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LinkedIn-Ads" sheetId="4" r:id="rId8"/>
    <sheet state="visible" name="GTMDB-Google-Ads" sheetId="5" r:id="rId9"/>
    <sheet state="visible" name="GTMDB-GA4" sheetId="6" r:id="rId10"/>
  </sheets>
  <definedNames>
    <definedName name="coeff_d_2aec1445_2700_46b4_a4aa_86db27ca31a6">'GTMDB-LinkedIn-Ads'!$A$2:$J$8508</definedName>
    <definedName name="coeff_d_1c2b2ed6_b4c7_4d0f_98ee_eeac0b763940">#REF!</definedName>
    <definedName name="coeff_d_daca09f3_0a9a_43ba_a8f8_70ebdf83130a">#REF!</definedName>
    <definedName name="coeff_d_83f98e2d_8442_49ba_9fcd_ff68d97464d1">'GTMDB-Deals'!$A$2:$AF$997</definedName>
    <definedName name="coeff_d_b9057bb0_4dac_41ca_b708_47861b49582f">'GTMDB-Contacts-Inbound'!$A$2:$S$1316</definedName>
    <definedName name="coeff_d_7141193d_8e51_4d21_9e22_13ed94380f4b">'GTMDB-GA4'!$A$2:$J$12346</definedName>
    <definedName name="coeff_d_7c4c4e69_7f4c_407a_a252_c89498dc2b31">'GTMDB-Google-Ads'!$A$2:$J$3243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 authorId="0" ref="AF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Company</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 authorId="0" ref="S2">
      <text>
        <t xml:space="preserve">This is an associated field from another object in HubSpot.
Object: Associated Deal</t>
      </text>
    </comment>
  </commentList>
</comments>
</file>

<file path=xl/sharedStrings.xml><?xml version="1.0" encoding="utf-8"?>
<sst xmlns="http://schemas.openxmlformats.org/spreadsheetml/2006/main" count="64740" uniqueCount="7688">
  <si>
    <t/>
  </si>
  <si>
    <t>Deal ID</t>
  </si>
  <si>
    <t>Deal Name</t>
  </si>
  <si>
    <t>Deal Owner First Name</t>
  </si>
  <si>
    <t>Amount</t>
  </si>
  <si>
    <t>Deal Stage</t>
  </si>
  <si>
    <t>SAO (S2-S6)</t>
  </si>
  <si>
    <t>Create Date</t>
  </si>
  <si>
    <t>Close Date</t>
  </si>
  <si>
    <t>Pipeline</t>
  </si>
  <si>
    <t>Deal Type</t>
  </si>
  <si>
    <t>Campaign</t>
  </si>
  <si>
    <t>Campaign Source</t>
  </si>
  <si>
    <t>Geo</t>
  </si>
  <si>
    <t>Closed Won Reason</t>
  </si>
  <si>
    <t>Closed Lost Additional Details</t>
  </si>
  <si>
    <t>Rejected Reason</t>
  </si>
  <si>
    <t>Derailed Reason</t>
  </si>
  <si>
    <t>Company ID</t>
  </si>
  <si>
    <t>Company name</t>
  </si>
  <si>
    <t>Company Domain Name</t>
  </si>
  <si>
    <t>Lifecycle Stage</t>
  </si>
  <si>
    <t>Contract End Date (GTMB)</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</si>
  <si>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</si>
  <si>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</si>
  <si>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</si>
  <si>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</si>
  <si>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</si>
  <si>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</si>
  <si>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</si>
  <si>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</si>
  <si>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</si>
  <si>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</si>
  <si>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</si>
  <si>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</si>
  <si>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</si>
  <si>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</si>
  <si>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Reachdesk - New Deal</t>
  </si>
  <si>
    <t>Christian</t>
  </si>
  <si>
    <t>S1: Qualification</t>
  </si>
  <si>
    <t>Sales Pipeline</t>
  </si>
  <si>
    <t>Standard Logo</t>
  </si>
  <si>
    <t>Inbound</t>
  </si>
  <si>
    <t>Website Form fill</t>
  </si>
  <si>
    <t>North America</t>
  </si>
  <si>
    <t>Reachdesk</t>
  </si>
  <si>
    <t>reachdesk.com</t>
  </si>
  <si>
    <t>lead</t>
  </si>
  <si>
    <t>58</t>
  </si>
  <si>
    <t>WP Engine - New Deal</t>
  </si>
  <si>
    <t>Rory</t>
  </si>
  <si>
    <t>S2: As-Is</t>
  </si>
  <si>
    <t>Yes</t>
  </si>
  <si>
    <t>Key Logo</t>
  </si>
  <si>
    <t>WP Engine</t>
  </si>
  <si>
    <t>wpengine.com</t>
  </si>
  <si>
    <t>4</t>
  </si>
  <si>
    <t>interface.ai - New Deal</t>
  </si>
  <si>
    <t>interface.ai</t>
  </si>
  <si>
    <t>SirionLabs - New Deal</t>
  </si>
  <si>
    <t>General Outbound</t>
  </si>
  <si>
    <t>AK Ops</t>
  </si>
  <si>
    <t>Sirion</t>
  </si>
  <si>
    <t>sirion.ai</t>
  </si>
  <si>
    <t>3</t>
  </si>
  <si>
    <t>Assemble - New Deal</t>
  </si>
  <si>
    <t>Assemble</t>
  </si>
  <si>
    <t>theassemble.com</t>
  </si>
  <si>
    <t>Litera - New Deal</t>
  </si>
  <si>
    <t>Litera</t>
  </si>
  <si>
    <t>litera.com</t>
  </si>
  <si>
    <t>2</t>
  </si>
  <si>
    <t>Carpedia Consulting (Pty) Ltd - New Deal</t>
  </si>
  <si>
    <t>S8 - Rejected</t>
  </si>
  <si>
    <t>RoW</t>
  </si>
  <si>
    <t>Impact not Identified</t>
  </si>
  <si>
    <t>Carpedia</t>
  </si>
  <si>
    <t>carpedia.co.za</t>
  </si>
  <si>
    <t>Abridge - New Deal</t>
  </si>
  <si>
    <t>Abridge</t>
  </si>
  <si>
    <t>abridge.com</t>
  </si>
  <si>
    <t>5</t>
  </si>
  <si>
    <t>FireMon - New Deal</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</si>
  <si>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</si>
  <si>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</si>
  <si>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</si>
  <si>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</si>
  <si>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</si>
  <si>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</si>
  <si>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</si>
  <si>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</si>
  <si>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</si>
  <si>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</si>
  <si>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</si>
  <si>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</si>
  <si>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</si>
  <si>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</si>
  <si>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70547114</t>
  </si>
  <si>
    <t>Apartment List - New Deal</t>
  </si>
  <si>
    <t>Apartment List</t>
  </si>
  <si>
    <t>apartmentlist.com</t>
  </si>
  <si>
    <t>PhonePe - New Deal</t>
  </si>
  <si>
    <t>India</t>
  </si>
  <si>
    <t>PhonePe</t>
  </si>
  <si>
    <t>phonepe.com</t>
  </si>
  <si>
    <t>Censys - New Deal</t>
  </si>
  <si>
    <t>Censys</t>
  </si>
  <si>
    <t>censys.com</t>
  </si>
  <si>
    <t>1</t>
  </si>
  <si>
    <t>Crestron Electronics - New Deal</t>
  </si>
  <si>
    <t>Crestron Electronics</t>
  </si>
  <si>
    <t>crestron.com</t>
  </si>
  <si>
    <t>Drata - New Deal</t>
  </si>
  <si>
    <t>Drata</t>
  </si>
  <si>
    <t>drata.com</t>
  </si>
  <si>
    <t>Loop - New Deal</t>
  </si>
  <si>
    <t>Loop</t>
  </si>
  <si>
    <t>loopreturns.com</t>
  </si>
  <si>
    <t>Keepit - New Deal</t>
  </si>
  <si>
    <t>Keepit</t>
  </si>
  <si>
    <t>keepit.com</t>
  </si>
  <si>
    <t>Statista - New Deal</t>
  </si>
  <si>
    <t>Timeline Outside of 6 Months</t>
  </si>
  <si>
    <t>Statista</t>
  </si>
  <si>
    <t>statista.com</t>
  </si>
  <si>
    <t>6</t>
  </si>
  <si>
    <t>Jeevan Infotech - New Deal</t>
  </si>
  <si>
    <t>S9 - Derailed</t>
  </si>
  <si>
    <t>Lost Access to Power</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</si>
  <si>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</si>
  <si>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</si>
  <si>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</si>
  <si>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</si>
  <si>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</si>
  <si>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</si>
  <si>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</si>
  <si>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</si>
  <si>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</si>
  <si>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</si>
  <si>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</si>
  <si>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</si>
  <si>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</si>
  <si>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</si>
  <si>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</si>
  <si>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Pain Deprioritized</t>
  </si>
  <si>
    <t>CurbWaste</t>
  </si>
  <si>
    <t>curbwaste.com</t>
  </si>
  <si>
    <t>Maple - New Deal</t>
  </si>
  <si>
    <t>Ron</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</si>
  <si>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</si>
  <si>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</si>
  <si>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</si>
  <si>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</si>
  <si>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</si>
  <si>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</si>
  <si>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</si>
  <si>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</si>
  <si>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</si>
  <si>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</si>
  <si>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</si>
  <si>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</si>
  <si>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</si>
  <si>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</si>
  <si>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</si>
  <si>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</si>
  <si>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</si>
  <si>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</si>
  <si>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</si>
  <si>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</si>
  <si>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</si>
  <si>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</si>
  <si>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</si>
  <si>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</si>
  <si>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</si>
  <si>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</si>
  <si>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</si>
  <si>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</si>
  <si>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</si>
  <si>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</si>
  <si>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</si>
  <si>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</si>
  <si>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</si>
  <si>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</si>
  <si>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</si>
  <si>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</si>
  <si>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</si>
  <si>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</si>
  <si>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</si>
  <si>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</si>
  <si>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</si>
  <si>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</si>
  <si>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</si>
  <si>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</si>
  <si>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</si>
  <si>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</si>
  <si>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</si>
  <si>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</si>
  <si>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</si>
  <si>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</si>
  <si>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</si>
  <si>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</si>
  <si>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</si>
  <si>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</si>
  <si>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</si>
  <si>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</si>
  <si>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</si>
  <si>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</si>
  <si>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</si>
  <si>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</si>
  <si>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</si>
  <si>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</si>
  <si>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</si>
  <si>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</si>
  <si>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</si>
  <si>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</si>
  <si>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</si>
  <si>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</si>
  <si>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</si>
  <si>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</si>
  <si>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</si>
  <si>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</si>
  <si>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</si>
  <si>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</si>
  <si>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</si>
  <si>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</si>
  <si>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</si>
  <si>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</si>
  <si>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</si>
  <si>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</si>
  <si>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</si>
  <si>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</si>
  <si>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</si>
  <si>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</si>
  <si>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</si>
  <si>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</si>
  <si>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</si>
  <si>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</si>
  <si>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</si>
  <si>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</si>
  <si>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</si>
  <si>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</si>
  <si>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</si>
  <si>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</si>
  <si>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</si>
  <si>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</si>
  <si>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</si>
  <si>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</si>
  <si>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</si>
  <si>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</si>
  <si>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</si>
  <si>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</si>
  <si>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</si>
  <si>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</si>
  <si>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</si>
  <si>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</si>
  <si>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</si>
  <si>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</si>
  <si>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</si>
  <si>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 xml:space="preserve">🔍 Buyer Pain Points
Content created by marketing "died on the vine" — no visibility into whether reps used it
Lacked insight into what was working, when, and why
Highspot described as "super manual" — team wanted automation and AI-driven personalization
Reps hoarding content on personal machines; low adoption of existing tools
Needed programmatic enablement across Sales, SEs, Customer Engineers, and CSMs
Version control and outdated asset leakage from Google Drive/HubSpot
✅ Why We Won
AI-first, rep-centric approach resonated strongly — "meets reps where they are" vs. requiring them to leave their workflow
Deep analytics &amp; content visibility — Sarah specifically called out the lack of this with their current setup
Persona-driven recommendations directly addressed her concern about different content for different buyer personas
Google Drive + HubSpot native integrations — matched their existing tech stack (HubSpot CRM, Google Workspace, Slack, Outreach, Chorus)
Digital Sales Rooms aligned with their ABM strategy for targeted account engagement
Version control &amp; content governance addressed Theresa's concern about outdated assets leaking externally
Deal Desk/RFP capability unlocked expansion opportunity — Sara proactively asked to bring Rev Ops, Finance, and Sales leadership for a follow-up
</t>
  </si>
  <si>
    <t>ASAPP</t>
  </si>
  <si>
    <t>asapp.com</t>
  </si>
  <si>
    <t>Netwoven - New Deal</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</si>
  <si>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</si>
  <si>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</si>
  <si>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</si>
  <si>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</si>
  <si>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</si>
  <si>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</si>
  <si>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</si>
  <si>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</si>
  <si>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</si>
  <si>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</si>
  <si>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</si>
  <si>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</si>
  <si>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</si>
  <si>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</si>
  <si>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</si>
  <si>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</si>
  <si>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</si>
  <si>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</si>
  <si>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</si>
  <si>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</si>
  <si>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</si>
  <si>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</si>
  <si>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</si>
  <si>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</si>
  <si>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</si>
  <si>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</si>
  <si>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</si>
  <si>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</si>
  <si>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</si>
  <si>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</si>
  <si>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</si>
  <si>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</si>
  <si>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</si>
  <si>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</si>
  <si>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</si>
  <si>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</si>
  <si>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</si>
  <si>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</si>
  <si>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</si>
  <si>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</si>
  <si>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</si>
  <si>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</si>
  <si>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</si>
  <si>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</si>
  <si>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</si>
  <si>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</si>
  <si>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</si>
  <si>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</si>
  <si>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</si>
  <si>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</si>
  <si>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</si>
  <si>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</si>
  <si>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</si>
  <si>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</si>
  <si>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</si>
  <si>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</si>
  <si>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</si>
  <si>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</si>
  <si>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</si>
  <si>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</si>
  <si>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</si>
  <si>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</si>
  <si>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</si>
  <si>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</si>
  <si>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</si>
  <si>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</si>
  <si>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</si>
  <si>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</si>
  <si>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</si>
  <si>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</si>
  <si>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</si>
  <si>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</si>
  <si>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</si>
  <si>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</si>
  <si>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</si>
  <si>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</si>
  <si>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</si>
  <si>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</si>
  <si>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</si>
  <si>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</si>
  <si>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</si>
  <si>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</si>
  <si>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</si>
  <si>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</si>
  <si>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</si>
  <si>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</si>
  <si>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</si>
  <si>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</si>
  <si>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</si>
  <si>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</si>
  <si>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</si>
  <si>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</si>
  <si>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</si>
  <si>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</si>
  <si>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</si>
  <si>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</si>
  <si>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</si>
  <si>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</si>
  <si>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</si>
  <si>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</si>
  <si>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</si>
  <si>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</si>
  <si>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</si>
  <si>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</si>
  <si>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</si>
  <si>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</si>
  <si>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</si>
  <si>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</si>
  <si>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</si>
  <si>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</si>
  <si>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</si>
  <si>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</si>
  <si>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</si>
  <si>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</si>
  <si>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</si>
  <si>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</si>
  <si>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</si>
  <si>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</si>
  <si>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</si>
  <si>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</si>
  <si>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</si>
  <si>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</si>
  <si>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</si>
  <si>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</si>
  <si>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</si>
  <si>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</si>
  <si>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</si>
  <si>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</si>
  <si>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</si>
  <si>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</si>
  <si>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</si>
  <si>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</si>
  <si>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</si>
  <si>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</si>
  <si>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</si>
  <si>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</si>
  <si>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</si>
  <si>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</si>
  <si>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</si>
  <si>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</si>
  <si>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</si>
  <si>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</si>
  <si>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</si>
  <si>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</si>
  <si>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</si>
  <si>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</si>
  <si>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</si>
  <si>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</si>
  <si>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</si>
  <si>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</si>
  <si>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</si>
  <si>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</si>
  <si>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</si>
  <si>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</si>
  <si>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</si>
  <si>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</si>
  <si>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</si>
  <si>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</si>
  <si>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</si>
  <si>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</si>
  <si>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</si>
  <si>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</si>
  <si>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</si>
  <si>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</si>
  <si>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</si>
  <si>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</si>
  <si>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</si>
  <si>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</si>
  <si>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</si>
  <si>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</si>
  <si>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</si>
  <si>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</si>
  <si>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</si>
  <si>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</si>
  <si>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</si>
  <si>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</si>
  <si>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</si>
  <si>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</si>
  <si>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</si>
  <si>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</si>
  <si>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</si>
  <si>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</si>
  <si>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</si>
  <si>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</si>
  <si>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</si>
  <si>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</si>
  <si>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</si>
  <si>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</si>
  <si>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</si>
  <si>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</si>
  <si>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</si>
  <si>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</si>
  <si>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</si>
  <si>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</si>
  <si>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</si>
  <si>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</si>
  <si>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</si>
  <si>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</si>
  <si>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</si>
  <si>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</si>
  <si>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</si>
  <si>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</si>
  <si>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</si>
  <si>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</si>
  <si>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</si>
  <si>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</si>
  <si>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</si>
  <si>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</si>
  <si>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</si>
  <si>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</si>
  <si>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</si>
  <si>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</si>
  <si>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</si>
  <si>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</si>
  <si>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</si>
  <si>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</si>
  <si>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</si>
  <si>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</si>
  <si>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</si>
  <si>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</si>
  <si>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</si>
  <si>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</si>
  <si>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</si>
  <si>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</si>
  <si>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</si>
  <si>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</si>
  <si>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</si>
  <si>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</si>
  <si>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</si>
  <si>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</si>
  <si>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</si>
  <si>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</si>
  <si>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</si>
  <si>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</si>
  <si>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</si>
  <si>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</si>
  <si>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</si>
  <si>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</si>
  <si>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</si>
  <si>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</si>
  <si>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</si>
  <si>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</si>
  <si>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</si>
  <si>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</si>
  <si>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</si>
  <si>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</si>
  <si>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</si>
  <si>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</si>
  <si>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</si>
  <si>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</si>
  <si>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</si>
  <si>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</si>
  <si>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</si>
  <si>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</si>
  <si>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</si>
  <si>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</si>
  <si>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</si>
  <si>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</si>
  <si>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</si>
  <si>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</si>
  <si>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</si>
  <si>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</si>
  <si>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</si>
  <si>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</si>
  <si>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</si>
  <si>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</si>
  <si>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</si>
  <si>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</si>
  <si>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</si>
  <si>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</si>
  <si>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</si>
  <si>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</si>
  <si>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</si>
  <si>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</si>
  <si>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</si>
  <si>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</si>
  <si>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</si>
  <si>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</si>
  <si>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</si>
  <si>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</si>
  <si>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</si>
  <si>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</si>
  <si>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</si>
  <si>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</si>
  <si>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</si>
  <si>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</si>
  <si>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</si>
  <si>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</si>
  <si>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</si>
  <si>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</si>
  <si>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</si>
  <si>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</si>
  <si>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</si>
  <si>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</si>
  <si>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</si>
  <si>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</si>
  <si>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</si>
  <si>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</si>
  <si>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</si>
  <si>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</si>
  <si>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</si>
  <si>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</si>
  <si>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</si>
  <si>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</si>
  <si>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</si>
  <si>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</si>
  <si>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</si>
  <si>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</si>
  <si>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</si>
  <si>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</si>
  <si>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</si>
  <si>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</si>
  <si>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</si>
  <si>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</si>
  <si>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</si>
  <si>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</si>
  <si>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</si>
  <si>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</si>
  <si>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</si>
  <si>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</si>
  <si>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</si>
  <si>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</si>
  <si>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</si>
  <si>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</si>
  <si>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</si>
  <si>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</si>
  <si>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</si>
  <si>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</si>
  <si>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</si>
  <si>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</si>
  <si>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</si>
  <si>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</si>
  <si>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</si>
  <si>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</si>
  <si>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</si>
  <si>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</si>
  <si>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</si>
  <si>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</si>
  <si>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</si>
  <si>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</si>
  <si>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</si>
  <si>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</si>
  <si>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</si>
  <si>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</si>
  <si>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</si>
  <si>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</si>
  <si>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</si>
  <si>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</si>
  <si>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</si>
  <si>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</si>
  <si>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</si>
  <si>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</si>
  <si>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</si>
  <si>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</si>
  <si>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</si>
  <si>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</si>
  <si>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</si>
  <si>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</si>
  <si>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</si>
  <si>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</si>
  <si>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</si>
  <si>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</si>
  <si>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</si>
  <si>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</si>
  <si>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</si>
  <si>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</si>
  <si>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</si>
  <si>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</si>
  <si>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</si>
  <si>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</si>
  <si>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</si>
  <si>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</si>
  <si>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</si>
  <si>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</si>
  <si>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</si>
  <si>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</si>
  <si>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</si>
  <si>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</si>
  <si>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</si>
  <si>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</si>
  <si>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</si>
  <si>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</si>
  <si>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</si>
  <si>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</si>
  <si>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</si>
  <si>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</si>
  <si>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</si>
  <si>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</si>
  <si>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</si>
  <si>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</si>
  <si>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</si>
  <si>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</si>
  <si>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</si>
  <si>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</si>
  <si>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</si>
  <si>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</si>
  <si>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</si>
  <si>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</si>
  <si>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</si>
  <si>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</si>
  <si>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</si>
  <si>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</si>
  <si>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</si>
  <si>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</si>
  <si>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</si>
  <si>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</si>
  <si>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</si>
  <si>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</si>
  <si>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</si>
  <si>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</si>
  <si>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</si>
  <si>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</si>
  <si>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</si>
  <si>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</si>
  <si>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</si>
  <si>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</si>
  <si>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</si>
  <si>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</si>
  <si>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</si>
  <si>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</si>
  <si>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</si>
  <si>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</si>
  <si>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</si>
  <si>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</si>
  <si>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</si>
  <si>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</si>
  <si>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</si>
  <si>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</si>
  <si>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</si>
  <si>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</si>
  <si>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</si>
  <si>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</si>
  <si>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</si>
  <si>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</si>
  <si>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</si>
  <si>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</si>
  <si>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</si>
  <si>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</si>
  <si>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</si>
  <si>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</si>
  <si>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</si>
  <si>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</si>
  <si>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</si>
  <si>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</si>
  <si>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</si>
  <si>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</si>
  <si>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</si>
  <si>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</si>
  <si>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</si>
  <si>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</si>
  <si>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</si>
  <si>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</si>
  <si>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</si>
  <si>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</si>
  <si>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</si>
  <si>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</si>
  <si>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</si>
  <si>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</si>
  <si>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</si>
  <si>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</si>
  <si>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</si>
  <si>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</si>
  <si>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</si>
  <si>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</si>
  <si>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</si>
  <si>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</si>
  <si>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</si>
  <si>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</si>
  <si>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</si>
  <si>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</si>
  <si>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</si>
  <si>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</si>
  <si>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</si>
  <si>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</si>
  <si>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</si>
  <si>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</si>
  <si>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</si>
  <si>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</si>
  <si>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</si>
  <si>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</si>
  <si>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</si>
  <si>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</si>
  <si>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</si>
  <si>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</si>
  <si>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</si>
  <si>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</si>
  <si>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</si>
  <si>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</si>
  <si>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</si>
  <si>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</si>
  <si>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</si>
  <si>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</si>
  <si>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</si>
  <si>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</si>
  <si>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</si>
  <si>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</si>
  <si>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</si>
  <si>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</si>
  <si>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</si>
  <si>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</si>
  <si>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</si>
  <si>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</si>
  <si>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</si>
  <si>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</si>
  <si>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</si>
  <si>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</si>
  <si>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</si>
  <si>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</si>
  <si>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</si>
  <si>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</si>
  <si>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</si>
  <si>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</si>
  <si>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</si>
  <si>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</si>
  <si>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</si>
  <si>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</si>
  <si>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</si>
  <si>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</si>
  <si>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</si>
  <si>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</si>
  <si>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</si>
  <si>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</si>
  <si>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</si>
  <si>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</si>
  <si>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</si>
  <si>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</si>
  <si>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</si>
  <si>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</si>
  <si>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</si>
  <si>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</si>
  <si>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</si>
  <si>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</si>
  <si>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</si>
  <si>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</si>
  <si>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</si>
  <si>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</si>
  <si>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</si>
  <si>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</si>
  <si>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</si>
  <si>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</si>
  <si>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</si>
  <si>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</si>
  <si>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</si>
  <si>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</si>
  <si>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</si>
  <si>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</si>
  <si>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</si>
  <si>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</si>
  <si>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</si>
  <si>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</si>
  <si>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</si>
  <si>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</si>
  <si>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</si>
  <si>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</si>
  <si>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</si>
  <si>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</si>
  <si>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</si>
  <si>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</si>
  <si>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</si>
  <si>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</si>
  <si>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</si>
  <si>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</si>
  <si>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</si>
  <si>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</si>
  <si>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</si>
  <si>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</si>
  <si>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</si>
  <si>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</si>
  <si>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</si>
  <si>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</si>
  <si>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</si>
  <si>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</si>
  <si>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</si>
  <si>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</si>
  <si>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</si>
  <si>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</si>
  <si>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</si>
  <si>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</si>
  <si>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</si>
  <si>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</si>
  <si>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</si>
  <si>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</si>
  <si>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</si>
  <si>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</si>
  <si>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</si>
  <si>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</si>
  <si>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</si>
  <si>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</si>
  <si>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</si>
  <si>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</si>
  <si>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</si>
  <si>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</si>
  <si>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</si>
  <si>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</si>
  <si>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</si>
  <si>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</si>
  <si>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</si>
  <si>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</si>
  <si>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</si>
  <si>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</si>
  <si>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</si>
  <si>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</si>
  <si>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</si>
  <si>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</si>
  <si>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</si>
  <si>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</si>
  <si>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</si>
  <si>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</si>
  <si>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</si>
  <si>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</si>
  <si>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</si>
  <si>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</si>
  <si>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</si>
  <si>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</si>
  <si>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</si>
  <si>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</si>
  <si>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</si>
  <si>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</si>
  <si>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</si>
  <si>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</si>
  <si>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</si>
  <si>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</si>
  <si>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</si>
  <si>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</si>
  <si>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</si>
  <si>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</si>
  <si>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</si>
  <si>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</si>
  <si>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</si>
  <si>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</si>
  <si>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</si>
  <si>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</si>
  <si>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</si>
  <si>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</si>
  <si>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</si>
  <si>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</si>
  <si>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</si>
  <si>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</si>
  <si>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</si>
  <si>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</si>
  <si>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</si>
  <si>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</si>
  <si>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</si>
  <si>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</si>
  <si>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</si>
  <si>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</si>
  <si>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</si>
  <si>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</si>
  <si>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</si>
  <si>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</si>
  <si>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</si>
  <si>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</si>
  <si>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</si>
  <si>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</si>
  <si>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</si>
  <si>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</si>
  <si>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</si>
  <si>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</si>
  <si>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</si>
  <si>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</si>
  <si>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</si>
  <si>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</si>
  <si>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</si>
  <si>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</si>
  <si>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</si>
  <si>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</si>
  <si>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</si>
  <si>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</si>
  <si>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</si>
  <si>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</si>
  <si>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</si>
  <si>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</si>
  <si>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</si>
  <si>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</si>
  <si>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</si>
  <si>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</si>
  <si>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</si>
  <si>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</si>
  <si>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</si>
  <si>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</si>
  <si>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</si>
  <si>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</si>
  <si>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</si>
  <si>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</si>
  <si>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</si>
  <si>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</si>
  <si>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</si>
  <si>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</si>
  <si>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</si>
  <si>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</si>
  <si>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</si>
  <si>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</si>
  <si>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</si>
  <si>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</si>
  <si>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</si>
  <si>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</si>
  <si>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</si>
  <si>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</si>
  <si>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</si>
  <si>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</si>
  <si>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</si>
  <si>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</si>
  <si>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</si>
  <si>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</si>
  <si>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</si>
  <si>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</si>
  <si>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</si>
  <si>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</si>
  <si>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</si>
  <si>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</si>
  <si>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</si>
  <si>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</si>
  <si>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</si>
  <si>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</si>
  <si>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</si>
  <si>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</si>
  <si>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</si>
  <si>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</si>
  <si>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</si>
  <si>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</si>
  <si>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</si>
  <si>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</si>
  <si>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</si>
  <si>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</si>
  <si>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</si>
  <si>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</si>
  <si>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</si>
  <si>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</si>
  <si>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</si>
  <si>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</si>
  <si>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</si>
  <si>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</si>
  <si>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</si>
  <si>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</si>
  <si>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</si>
  <si>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</si>
  <si>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</si>
  <si>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</si>
  <si>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</si>
  <si>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</si>
  <si>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</si>
  <si>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</si>
  <si>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</si>
  <si>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</si>
  <si>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</si>
  <si>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</si>
  <si>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</si>
  <si>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</si>
  <si>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</si>
  <si>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</si>
  <si>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</si>
  <si>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</si>
  <si>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</si>
  <si>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</si>
  <si>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</si>
  <si>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</si>
  <si>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</si>
  <si>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</si>
  <si>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</si>
  <si>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</si>
  <si>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</si>
  <si>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</si>
  <si>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</si>
  <si>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</si>
  <si>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</si>
  <si>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</si>
  <si>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</si>
  <si>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</si>
  <si>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</si>
  <si>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</si>
  <si>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</si>
  <si>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</si>
  <si>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</si>
  <si>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</si>
  <si>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</si>
  <si>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</si>
  <si>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</si>
  <si>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</si>
  <si>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</si>
  <si>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</si>
  <si>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</si>
  <si>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</si>
  <si>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</si>
  <si>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</si>
  <si>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</si>
  <si>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</si>
  <si>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</si>
  <si>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</si>
  <si>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</si>
  <si>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</si>
  <si>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</si>
  <si>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</si>
  <si>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</si>
  <si>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</si>
  <si>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</si>
  <si>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</si>
  <si>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</si>
  <si>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</si>
  <si>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</si>
  <si>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</si>
  <si>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</si>
  <si>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</si>
  <si>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</si>
  <si>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</si>
  <si>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</si>
  <si>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</si>
  <si>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</si>
  <si>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</si>
  <si>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</si>
  <si>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</si>
  <si>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</si>
  <si>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</si>
  <si>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</si>
  <si>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</si>
  <si>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</si>
  <si>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</si>
  <si>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</si>
  <si>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</si>
  <si>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</si>
  <si>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</si>
  <si>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</si>
  <si>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</si>
  <si>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</si>
  <si>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</si>
  <si>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</si>
  <si>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</si>
  <si>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</si>
  <si>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</si>
  <si>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</si>
  <si>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</si>
  <si>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</si>
  <si>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</si>
  <si>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</si>
  <si>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</si>
  <si>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</si>
  <si>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</si>
  <si>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</si>
  <si>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</si>
  <si>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</si>
  <si>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</si>
  <si>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</si>
  <si>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</si>
  <si>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</si>
  <si>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</si>
  <si>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</si>
  <si>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</si>
  <si>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</si>
  <si>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</si>
  <si>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</si>
  <si>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</si>
  <si>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</si>
  <si>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</si>
  <si>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</si>
  <si>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</si>
  <si>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</si>
  <si>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</si>
  <si>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</si>
  <si>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</si>
  <si>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</si>
  <si>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</si>
  <si>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</si>
  <si>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</si>
  <si>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</si>
  <si>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</si>
  <si>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</si>
  <si>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</si>
  <si>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</si>
  <si>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</si>
  <si>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</si>
  <si>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</si>
  <si>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</si>
  <si>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</si>
  <si>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</si>
  <si>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</si>
  <si>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</si>
  <si>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</si>
  <si>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</si>
  <si>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</si>
  <si>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</si>
  <si>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</si>
  <si>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</si>
  <si>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</si>
  <si>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</si>
  <si>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</si>
  <si>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</si>
  <si>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</si>
  <si>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</si>
  <si>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</si>
  <si>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</si>
  <si>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</si>
  <si>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</si>
  <si>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</si>
  <si>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</si>
  <si>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</si>
  <si>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</si>
  <si>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</si>
  <si>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</si>
  <si>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</si>
  <si>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</si>
  <si>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</si>
  <si>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</si>
  <si>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</si>
  <si>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</si>
  <si>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</si>
  <si>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</si>
  <si>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</si>
  <si>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</si>
  <si>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</si>
  <si>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</si>
  <si>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</si>
  <si>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</si>
  <si>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</si>
  <si>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</si>
  <si>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</si>
  <si>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</si>
  <si>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</si>
  <si>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</si>
  <si>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</si>
  <si>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</si>
  <si>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</si>
  <si>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</si>
  <si>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</si>
  <si>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</si>
  <si>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</si>
  <si>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</si>
  <si>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</si>
  <si>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</si>
  <si>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</si>
  <si>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</si>
  <si>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</si>
  <si>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</si>
  <si>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</si>
  <si>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</si>
  <si>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</si>
  <si>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</si>
  <si>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</si>
  <si>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</si>
  <si>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</si>
  <si>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</si>
  <si>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</si>
  <si>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</si>
  <si>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</si>
  <si>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</si>
  <si>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</si>
  <si>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</si>
  <si>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</si>
  <si>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</si>
  <si>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</si>
  <si>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</si>
  <si>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</si>
  <si>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</si>
  <si>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</si>
  <si>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</si>
  <si>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</si>
  <si>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</si>
  <si>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</si>
  <si>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</si>
  <si>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</si>
  <si>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</si>
  <si>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</si>
  <si>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</si>
  <si>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</si>
  <si>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</si>
  <si>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</si>
  <si>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</si>
  <si>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</si>
  <si>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</si>
  <si>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</si>
  <si>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</si>
  <si>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</si>
  <si>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</si>
  <si>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</si>
  <si>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</si>
  <si>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</si>
  <si>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</si>
  <si>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</si>
  <si>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</si>
  <si>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</si>
  <si>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</si>
  <si>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</si>
  <si>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</si>
  <si>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</si>
  <si>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</si>
  <si>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</si>
  <si>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</si>
  <si>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</si>
  <si>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</si>
  <si>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</si>
  <si>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</si>
  <si>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</si>
  <si>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</si>
  <si>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</si>
  <si>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</si>
  <si>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</si>
  <si>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</si>
  <si>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</si>
  <si>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</si>
  <si>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</si>
  <si>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</si>
  <si>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</si>
  <si>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</si>
  <si>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</si>
  <si>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</si>
  <si>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</si>
  <si>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</si>
  <si>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</si>
  <si>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</si>
  <si>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</si>
  <si>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</si>
  <si>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</si>
  <si>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</si>
  <si>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</si>
  <si>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</si>
  <si>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</si>
  <si>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</si>
  <si>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</si>
  <si>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</si>
  <si>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</si>
  <si>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</si>
  <si>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</si>
  <si>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</si>
  <si>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</si>
  <si>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</si>
  <si>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</si>
  <si>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</si>
  <si>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</si>
  <si>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</si>
  <si>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</si>
  <si>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</si>
  <si>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</si>
  <si>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</si>
  <si>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</si>
  <si>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</si>
  <si>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</si>
  <si>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</si>
  <si>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</si>
  <si>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</si>
  <si>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</si>
  <si>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</si>
  <si>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</si>
  <si>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</si>
  <si>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</si>
  <si>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</si>
  <si>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</si>
  <si>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</si>
  <si>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</si>
  <si>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</si>
  <si>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</si>
  <si>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</si>
  <si>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</si>
  <si>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</si>
  <si>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</si>
  <si>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</si>
  <si>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</si>
  <si>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</si>
  <si>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</si>
  <si>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</si>
  <si>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</si>
  <si>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</si>
  <si>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</si>
  <si>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</si>
  <si>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</si>
  <si>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</si>
  <si>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</si>
  <si>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</si>
  <si>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</si>
  <si>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</si>
  <si>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</si>
  <si>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</si>
  <si>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</si>
  <si>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</si>
  <si>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</si>
  <si>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</si>
  <si>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</si>
  <si>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</si>
  <si>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</si>
  <si>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</si>
  <si>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</si>
  <si>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</si>
  <si>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</si>
  <si>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</si>
  <si>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</si>
  <si>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</si>
  <si>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</si>
  <si>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</si>
  <si>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</si>
  <si>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</si>
  <si>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</si>
  <si>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</si>
  <si>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</si>
  <si>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</si>
  <si>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</si>
  <si>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</si>
  <si>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</si>
  <si>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</si>
  <si>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</si>
  <si>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</si>
  <si>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</si>
  <si>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</si>
  <si>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</si>
  <si>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</si>
  <si>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</si>
  <si>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</si>
  <si>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</si>
  <si>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</si>
  <si>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</si>
  <si>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</si>
  <si>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</si>
  <si>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</si>
  <si>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</si>
  <si>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</si>
  <si>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</si>
  <si>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</si>
  <si>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</si>
  <si>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</si>
  <si>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</si>
  <si>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</si>
  <si>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</si>
  <si>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</si>
  <si>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</si>
  <si>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</si>
  <si>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</si>
  <si>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</si>
  <si>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</si>
  <si>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</si>
  <si>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</si>
  <si>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</si>
  <si>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</si>
  <si>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</si>
  <si>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</si>
  <si>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</si>
  <si>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</si>
  <si>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</si>
  <si>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</si>
  <si>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</si>
  <si>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</si>
  <si>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</si>
  <si>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</si>
  <si>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</si>
  <si>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</si>
  <si>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</si>
  <si>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</si>
  <si>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</si>
  <si>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</si>
  <si>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</si>
  <si>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</si>
  <si>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</si>
  <si>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</si>
  <si>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</si>
  <si>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</si>
  <si>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</si>
  <si>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</si>
  <si>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</si>
  <si>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</si>
  <si>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</si>
  <si>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</si>
  <si>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</si>
  <si>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</si>
  <si>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</si>
  <si>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</si>
  <si>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</si>
  <si>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</si>
  <si>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</si>
  <si>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</si>
  <si>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</si>
  <si>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</si>
  <si>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</si>
  <si>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</si>
  <si>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</si>
  <si>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</si>
  <si>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</si>
  <si>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</si>
  <si>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</si>
  <si>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</si>
  <si>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</si>
  <si>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</si>
  <si>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</si>
  <si>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</si>
  <si>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</si>
  <si>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</si>
  <si>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</si>
  <si>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</si>
  <si>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</si>
  <si>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</si>
  <si>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</si>
  <si>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</si>
  <si>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</si>
  <si>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</si>
  <si>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</si>
  <si>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</si>
  <si>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</si>
  <si>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</si>
  <si>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</si>
  <si>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</si>
  <si>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</si>
  <si>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</si>
  <si>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</si>
  <si>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</si>
  <si>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</si>
  <si>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</si>
  <si>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</si>
  <si>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</si>
  <si>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</si>
  <si>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</si>
  <si>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</si>
  <si>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</si>
  <si>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</si>
  <si>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</si>
  <si>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</si>
  <si>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</si>
  <si>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</si>
  <si>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</si>
  <si>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</si>
  <si>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</si>
  <si>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</si>
  <si>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</si>
  <si>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</si>
  <si>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</si>
  <si>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</si>
  <si>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</si>
  <si>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</si>
  <si>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</si>
  <si>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</si>
  <si>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</si>
  <si>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</si>
  <si>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</si>
  <si>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</si>
  <si>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</si>
  <si>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</si>
  <si>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</si>
  <si>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</si>
  <si>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</si>
  <si>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</si>
  <si>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</si>
  <si>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</si>
  <si>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</si>
  <si>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</si>
  <si>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</si>
  <si>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</si>
  <si>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</si>
  <si>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</si>
  <si>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</si>
  <si>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</si>
  <si>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</si>
  <si>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</si>
  <si>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</si>
  <si>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</si>
  <si>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</si>
  <si>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</si>
  <si>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</si>
  <si>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</si>
  <si>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</si>
  <si>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</si>
  <si>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</si>
  <si>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</si>
  <si>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</si>
  <si>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</si>
  <si>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</si>
  <si>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</si>
  <si>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</si>
  <si>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</si>
  <si>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</si>
  <si>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</si>
  <si>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</si>
  <si>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</si>
  <si>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</si>
  <si>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</si>
  <si>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</si>
  <si>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</si>
  <si>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</si>
  <si>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</si>
  <si>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</si>
  <si>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</si>
  <si>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</si>
  <si>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</si>
  <si>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</si>
  <si>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</si>
  <si>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</si>
  <si>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</si>
  <si>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</si>
  <si>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</si>
  <si>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</si>
  <si>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</si>
  <si>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</si>
  <si>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</si>
  <si>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</si>
  <si>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</si>
  <si>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</si>
  <si>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</si>
  <si>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</si>
  <si>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</si>
  <si>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</si>
  <si>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</si>
  <si>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</si>
  <si>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</si>
  <si>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</si>
  <si>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</si>
  <si>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</si>
  <si>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</si>
  <si>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</si>
  <si>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</si>
  <si>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</si>
  <si>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</si>
  <si>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</si>
  <si>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</si>
  <si>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</si>
  <si>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</si>
  <si>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</si>
  <si>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</si>
  <si>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</si>
  <si>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</si>
  <si>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</si>
  <si>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</si>
  <si>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</si>
  <si>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</si>
  <si>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</si>
  <si>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</si>
  <si>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</si>
  <si>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</si>
  <si>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</si>
  <si>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</si>
  <si>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</si>
  <si>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</si>
  <si>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</si>
  <si>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</si>
  <si>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</si>
  <si>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</si>
  <si>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</si>
  <si>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</si>
  <si>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</si>
  <si>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</si>
  <si>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</si>
  <si>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</si>
  <si>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</si>
  <si>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</si>
  <si>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</si>
  <si>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</si>
  <si>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</si>
  <si>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</si>
  <si>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</si>
  <si>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</si>
  <si>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</si>
  <si>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</si>
  <si>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</si>
  <si>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</si>
  <si>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</si>
  <si>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</si>
  <si>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</si>
  <si>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</si>
  <si>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</si>
  <si>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</si>
  <si>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</si>
  <si>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</si>
  <si>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</si>
  <si>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</si>
  <si>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</si>
  <si>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</si>
  <si>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</si>
  <si>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</si>
  <si>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</si>
  <si>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</si>
  <si>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</si>
  <si>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</si>
  <si>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</si>
  <si>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</si>
  <si>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</si>
  <si>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</si>
  <si>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</si>
  <si>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</si>
  <si>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</si>
  <si>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</si>
  <si>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</si>
  <si>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</si>
  <si>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</si>
  <si>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</si>
  <si>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</si>
  <si>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</si>
  <si>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</si>
  <si>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</si>
  <si>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</si>
  <si>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</si>
  <si>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</si>
  <si>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</si>
  <si>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</si>
  <si>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</si>
  <si>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</si>
  <si>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</si>
  <si>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</si>
  <si>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</si>
  <si>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</si>
  <si>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</si>
  <si>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</si>
  <si>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</si>
  <si>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</si>
  <si>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</si>
  <si>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</si>
  <si>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</si>
  <si>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</si>
  <si>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</si>
  <si>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</si>
  <si>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</si>
  <si>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</si>
  <si>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</si>
  <si>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</si>
  <si>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</si>
  <si>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</si>
  <si>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</si>
  <si>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</si>
  <si>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</si>
  <si>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</si>
  <si>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</si>
  <si>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</si>
  <si>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</si>
  <si>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</si>
  <si>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</si>
  <si>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</si>
  <si>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</si>
  <si>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</si>
  <si>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</si>
  <si>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</si>
  <si>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</si>
  <si>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</si>
  <si>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</si>
  <si>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</si>
  <si>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</si>
  <si>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</si>
  <si>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</si>
  <si>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</si>
  <si>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</si>
  <si>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</si>
  <si>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</si>
  <si>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</si>
  <si>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</si>
  <si>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</si>
  <si>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</si>
  <si>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</si>
  <si>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</si>
  <si>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</si>
  <si>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</si>
  <si>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</si>
  <si>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</si>
  <si>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</si>
  <si>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</si>
  <si>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</si>
  <si>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</si>
  <si>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</si>
  <si>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</si>
  <si>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</si>
  <si>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</si>
  <si>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</si>
  <si>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</si>
  <si>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</si>
  <si>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</si>
  <si>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</si>
  <si>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</si>
  <si>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</si>
  <si>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</si>
  <si>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</si>
  <si>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</si>
  <si>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</si>
  <si>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</si>
  <si>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</si>
  <si>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</si>
  <si>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</si>
  <si>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</si>
  <si>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</si>
  <si>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</si>
  <si>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</si>
  <si>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</si>
  <si>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</si>
  <si>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</si>
  <si>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</si>
  <si>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</si>
  <si>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</si>
  <si>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</si>
  <si>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</si>
  <si>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</si>
  <si>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</si>
  <si>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</si>
  <si>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</si>
  <si>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</si>
  <si>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</si>
  <si>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</si>
  <si>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</si>
  <si>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</si>
  <si>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</si>
  <si>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</si>
  <si>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</si>
  <si>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</si>
  <si>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</si>
  <si>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</si>
  <si>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</si>
  <si>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</si>
  <si>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</si>
  <si>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</si>
  <si>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</si>
  <si>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</si>
  <si>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</si>
  <si>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</si>
  <si>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</si>
  <si>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</si>
  <si>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</si>
  <si>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</si>
  <si>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</si>
  <si>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</si>
  <si>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</si>
  <si>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</si>
  <si>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</si>
  <si>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</si>
  <si>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</si>
  <si>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</si>
  <si>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</si>
  <si>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</si>
  <si>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</si>
  <si>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</si>
  <si>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</si>
  <si>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</si>
  <si>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</si>
  <si>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</si>
  <si>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</si>
  <si>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</si>
  <si>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</si>
  <si>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</si>
  <si>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</si>
  <si>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</si>
  <si>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</si>
  <si>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</si>
  <si>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</si>
  <si>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</si>
  <si>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</si>
  <si>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</si>
  <si>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</si>
  <si>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</si>
  <si>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</si>
  <si>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</si>
  <si>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</si>
  <si>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</si>
  <si>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</si>
  <si>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</si>
  <si>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</si>
  <si>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</si>
  <si>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</si>
  <si>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</si>
  <si>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</si>
  <si>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</si>
  <si>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</si>
  <si>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</si>
  <si>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</si>
  <si>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</si>
  <si>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</si>
  <si>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</si>
  <si>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</si>
  <si>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</si>
  <si>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</si>
  <si>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</si>
  <si>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</si>
  <si>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</si>
  <si>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</si>
  <si>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</si>
  <si>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</si>
  <si>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</si>
  <si>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</si>
  <si>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</si>
  <si>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</si>
  <si>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</si>
  <si>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</si>
  <si>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</si>
  <si>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</si>
  <si>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</si>
  <si>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</si>
  <si>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</si>
  <si>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</si>
  <si>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</si>
  <si>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</si>
  <si>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</si>
  <si>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</si>
  <si>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</si>
  <si>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</si>
  <si>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</si>
  <si>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</si>
  <si>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</si>
  <si>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</si>
  <si>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</si>
  <si>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</si>
  <si>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</si>
  <si>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</si>
  <si>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</si>
  <si>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</si>
  <si>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</si>
  <si>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</si>
  <si>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</si>
  <si>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</si>
  <si>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</si>
  <si>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</si>
  <si>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</si>
  <si>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</si>
  <si>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</si>
  <si>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</si>
  <si>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</si>
  <si>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</si>
  <si>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</si>
  <si>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</si>
  <si>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</si>
  <si>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</si>
  <si>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</si>
  <si>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</si>
  <si>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</si>
  <si>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</si>
  <si>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</si>
  <si>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</si>
  <si>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</si>
  <si>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</si>
  <si>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</si>
  <si>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</si>
  <si>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</si>
  <si>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</si>
  <si>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</si>
  <si>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</si>
  <si>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</si>
  <si>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</si>
  <si>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</si>
  <si>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</si>
  <si>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</si>
  <si>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</si>
  <si>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</si>
  <si>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</si>
  <si>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</si>
  <si>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</si>
  <si>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</si>
  <si>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</si>
  <si>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</si>
  <si>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</si>
  <si>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</si>
  <si>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</si>
  <si>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</si>
  <si>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</si>
  <si>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</si>
  <si>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</si>
  <si>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</si>
  <si>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</si>
  <si>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</si>
  <si>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</si>
  <si>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</si>
  <si>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</si>
  <si>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</si>
  <si>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</si>
  <si>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</si>
  <si>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</si>
  <si>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</si>
  <si>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</si>
  <si>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</si>
  <si>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</si>
  <si>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</si>
  <si>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</si>
  <si>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</si>
  <si>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</si>
  <si>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</si>
  <si>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</si>
  <si>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</si>
  <si>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</si>
  <si>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</si>
  <si>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</si>
  <si>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</si>
  <si>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</si>
  <si>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</si>
  <si>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</si>
  <si>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</si>
  <si>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</si>
  <si>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</si>
  <si>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</si>
  <si>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</si>
  <si>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</si>
  <si>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</si>
  <si>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</si>
  <si>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</si>
  <si>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</si>
  <si>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</si>
  <si>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</si>
  <si>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</si>
  <si>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</si>
  <si>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</si>
  <si>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</si>
  <si>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</si>
  <si>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</si>
  <si>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</si>
  <si>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</si>
  <si>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</si>
  <si>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</si>
  <si>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</si>
  <si>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</si>
  <si>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</si>
  <si>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</si>
  <si>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</si>
  <si>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</si>
  <si>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</si>
  <si>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</si>
  <si>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</si>
  <si>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</si>
  <si>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</si>
  <si>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</si>
  <si>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</si>
  <si>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</si>
  <si>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</si>
  <si>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</si>
  <si>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</si>
  <si>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</si>
  <si>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</si>
  <si>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</si>
  <si>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</si>
  <si>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</si>
  <si>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</si>
  <si>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</si>
  <si>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</si>
  <si>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</si>
  <si>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</si>
  <si>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</si>
  <si>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</si>
  <si>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</si>
  <si>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</si>
  <si>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</si>
  <si>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</si>
  <si>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</si>
  <si>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</si>
  <si>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</si>
  <si>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</si>
  <si>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</si>
  <si>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</si>
  <si>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</si>
  <si>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</si>
  <si>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</si>
  <si>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</si>
  <si>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</si>
  <si>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</si>
  <si>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</si>
  <si>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</si>
  <si>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</si>
  <si>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</si>
  <si>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</si>
  <si>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</si>
  <si>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</si>
  <si>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</si>
  <si>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</si>
  <si>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</si>
  <si>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</si>
  <si>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</si>
  <si>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</si>
  <si>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</si>
  <si>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</si>
  <si>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</si>
  <si>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</si>
  <si>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</si>
  <si>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</si>
  <si>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</si>
  <si>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</si>
  <si>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</si>
  <si>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</si>
  <si>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</si>
  <si>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</si>
  <si>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</si>
  <si>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</si>
  <si>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</si>
  <si>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</si>
  <si>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</si>
  <si>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</si>
  <si>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</si>
  <si>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</si>
  <si>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</si>
  <si>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</si>
  <si>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</si>
  <si>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</si>
  <si>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</si>
  <si>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</si>
  <si>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</si>
  <si>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</si>
  <si>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</si>
  <si>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</si>
  <si>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</si>
  <si>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</si>
  <si>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</si>
  <si>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</si>
  <si>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</si>
  <si>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</si>
  <si>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</si>
  <si>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</si>
  <si>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</si>
  <si>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</si>
  <si>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</si>
  <si>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</si>
  <si>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</si>
  <si>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</si>
  <si>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</si>
  <si>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</si>
  <si>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</si>
  <si>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</si>
  <si>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</si>
  <si>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</si>
  <si>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</si>
  <si>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</si>
  <si>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</si>
  <si>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</si>
  <si>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</si>
  <si>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</si>
  <si>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</si>
  <si>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</si>
  <si>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</si>
  <si>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</si>
  <si>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</si>
  <si>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</si>
  <si>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</si>
  <si>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</si>
  <si>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</si>
  <si>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</si>
  <si>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</si>
  <si>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</si>
  <si>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</si>
  <si>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</si>
  <si>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</si>
  <si>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</si>
  <si>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</si>
  <si>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</si>
  <si>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</si>
  <si>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</si>
  <si>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</si>
  <si>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</si>
  <si>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</si>
  <si>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</si>
  <si>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</si>
  <si>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</si>
  <si>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</si>
  <si>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</si>
  <si>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</si>
  <si>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</si>
  <si>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</si>
  <si>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</si>
  <si>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</si>
  <si>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</si>
  <si>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</si>
  <si>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</si>
  <si>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</si>
  <si>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</si>
  <si>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</si>
  <si>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</si>
  <si>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</si>
  <si>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</si>
  <si>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</si>
  <si>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</si>
  <si>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</si>
  <si>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</si>
  <si>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</si>
  <si>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</si>
  <si>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</si>
  <si>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</si>
  <si>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</si>
  <si>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</si>
  <si>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</si>
  <si>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</si>
  <si>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</si>
  <si>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</si>
  <si>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</si>
  <si>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</si>
  <si>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</si>
  <si>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</si>
  <si>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</si>
  <si>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</si>
  <si>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</si>
  <si>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</si>
  <si>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</si>
  <si>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</si>
  <si>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</si>
  <si>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</si>
  <si>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</si>
  <si>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</si>
  <si>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</si>
  <si>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</si>
  <si>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</si>
  <si>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</si>
  <si>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</si>
  <si>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</si>
  <si>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</si>
  <si>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</si>
  <si>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</si>
  <si>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</si>
  <si>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</si>
  <si>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</si>
  <si>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</si>
  <si>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</si>
  <si>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</si>
  <si>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</si>
  <si>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</si>
  <si>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</si>
  <si>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</si>
  <si>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</si>
  <si>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</si>
  <si>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</si>
  <si>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</si>
  <si>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</si>
  <si>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</si>
  <si>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</si>
  <si>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</si>
  <si>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</si>
  <si>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</si>
  <si>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</si>
  <si>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</si>
  <si>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</si>
  <si>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</si>
  <si>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</si>
  <si>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</si>
  <si>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</si>
  <si>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</si>
  <si>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</si>
  <si>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</si>
  <si>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</si>
  <si>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</si>
  <si>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</si>
  <si>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</si>
  <si>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</si>
  <si>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</si>
  <si>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</si>
  <si>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</si>
  <si>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</si>
  <si>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</si>
  <si>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</si>
  <si>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</si>
  <si>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</si>
  <si>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</si>
  <si>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</si>
  <si>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</si>
  <si>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</si>
  <si>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</si>
  <si>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</si>
  <si>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</si>
  <si>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</si>
  <si>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</si>
  <si>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</si>
  <si>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</si>
  <si>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</si>
  <si>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</si>
  <si>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</si>
  <si>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</si>
  <si>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</si>
  <si>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</si>
  <si>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</si>
  <si>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</si>
  <si>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</si>
  <si>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</si>
  <si>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</si>
  <si>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</si>
  <si>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</si>
  <si>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</si>
  <si>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</si>
  <si>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</si>
  <si>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</si>
  <si>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</si>
  <si>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</si>
  <si>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</si>
  <si>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</si>
  <si>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</si>
  <si>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</si>
  <si>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</si>
  <si>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</si>
  <si>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</si>
  <si>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</si>
  <si>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</si>
  <si>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</si>
  <si>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</si>
  <si>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</si>
  <si>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</si>
  <si>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</si>
  <si>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</si>
  <si>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</si>
  <si>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</si>
  <si>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</si>
  <si>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</si>
  <si>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</si>
  <si>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</si>
  <si>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</si>
  <si>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</si>
  <si>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</si>
  <si>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</si>
  <si>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</si>
  <si>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</si>
  <si>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</si>
  <si>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</si>
  <si>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</si>
  <si>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</si>
  <si>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</si>
  <si>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</si>
  <si>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</si>
  <si>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</si>
  <si>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</si>
  <si>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</si>
  <si>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</si>
  <si>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</si>
  <si>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</si>
  <si>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</si>
  <si>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</si>
  <si>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</si>
  <si>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</si>
  <si>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</si>
  <si>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</si>
  <si>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</si>
  <si>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</si>
  <si>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</si>
  <si>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</si>
  <si>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</si>
  <si>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</si>
  <si>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</si>
  <si>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</si>
  <si>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</si>
  <si>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</si>
  <si>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</si>
  <si>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</si>
  <si>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</si>
  <si>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</si>
  <si>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</si>
  <si>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</si>
  <si>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</si>
  <si>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</si>
  <si>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</si>
  <si>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</si>
  <si>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</si>
  <si>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</si>
  <si>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</si>
  <si>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</si>
  <si>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</si>
  <si>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</si>
  <si>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</si>
  <si>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</si>
  <si>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</si>
  <si>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</si>
  <si>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</si>
  <si>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</si>
  <si>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</si>
  <si>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</si>
  <si>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</si>
  <si>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</si>
  <si>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</si>
  <si>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</si>
  <si>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</si>
  <si>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</si>
  <si>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</si>
  <si>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</si>
  <si>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</si>
  <si>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</si>
  <si>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</si>
  <si>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</si>
  <si>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</si>
  <si>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</si>
  <si>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</si>
  <si>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</si>
  <si>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</si>
  <si>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</si>
  <si>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</si>
  <si>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</si>
  <si>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</si>
  <si>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</si>
  <si>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</si>
  <si>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</si>
  <si>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</si>
  <si>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</si>
  <si>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</si>
  <si>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</si>
  <si>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</si>
  <si>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</si>
  <si>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</si>
  <si>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</si>
  <si>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</si>
  <si>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</si>
  <si>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</si>
  <si>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</si>
  <si>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</si>
  <si>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</si>
  <si>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</si>
  <si>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</si>
  <si>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</si>
  <si>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</si>
  <si>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</si>
  <si>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</si>
  <si>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</si>
  <si>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</si>
  <si>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</si>
  <si>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</si>
  <si>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</si>
  <si>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</si>
  <si>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</si>
  <si>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</si>
  <si>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</si>
  <si>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</si>
  <si>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</si>
  <si>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</si>
  <si>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</si>
  <si>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</si>
  <si>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</si>
  <si>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</si>
  <si>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</si>
  <si>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</si>
  <si>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</si>
  <si>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</si>
  <si>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</si>
  <si>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</si>
  <si>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</si>
  <si>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</si>
  <si>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</si>
  <si>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</si>
  <si>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</si>
  <si>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</si>
  <si>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</si>
  <si>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</si>
  <si>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</si>
  <si>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</si>
  <si>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</si>
  <si>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</si>
  <si>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</si>
  <si>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</si>
  <si>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</si>
  <si>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</si>
  <si>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</si>
  <si>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</si>
  <si>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</si>
  <si>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</si>
  <si>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</si>
  <si>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</si>
  <si>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</si>
  <si>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</si>
  <si>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</si>
  <si>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</si>
  <si>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</si>
  <si>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</si>
  <si>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</si>
  <si>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</si>
  <si>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</si>
  <si>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</si>
  <si>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</si>
  <si>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</si>
  <si>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</si>
  <si>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</si>
  <si>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</si>
  <si>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</si>
  <si>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</si>
  <si>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</si>
  <si>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</si>
  <si>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</si>
  <si>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</si>
  <si>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</si>
  <si>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</si>
  <si>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</si>
  <si>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</si>
  <si>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</si>
  <si>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</si>
  <si>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</si>
  <si>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</si>
  <si>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</si>
  <si>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</si>
  <si>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</si>
  <si>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</si>
  <si>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</si>
  <si>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</si>
  <si>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</si>
  <si>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</si>
  <si>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</si>
  <si>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</si>
  <si>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</si>
  <si>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</si>
  <si>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</si>
  <si>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</si>
  <si>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</si>
  <si>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</si>
  <si>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</si>
  <si>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</si>
  <si>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</si>
  <si>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</si>
  <si>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</si>
  <si>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</si>
  <si>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</si>
  <si>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</si>
  <si>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</si>
  <si>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</si>
  <si>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</si>
  <si>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</si>
  <si>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</si>
  <si>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</si>
  <si>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</si>
  <si>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</si>
  <si>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</si>
  <si>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</si>
  <si>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</si>
  <si>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</si>
  <si>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</si>
  <si>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</si>
  <si>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</si>
  <si>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</si>
  <si>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</si>
  <si>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</si>
  <si>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</si>
  <si>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</si>
  <si>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</si>
  <si>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</si>
  <si>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</si>
  <si>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</si>
  <si>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</si>
  <si>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</si>
  <si>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</si>
  <si>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</si>
  <si>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</si>
  <si>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</si>
  <si>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</si>
  <si>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</si>
  <si>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</si>
  <si>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</si>
  <si>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</si>
  <si>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</si>
  <si>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</si>
  <si>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</si>
  <si>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</si>
  <si>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</si>
  <si>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</si>
  <si>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</si>
  <si>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</si>
  <si>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</si>
  <si>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</si>
  <si>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</si>
  <si>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</si>
  <si>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</si>
  <si>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</si>
  <si>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</si>
  <si>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</si>
  <si>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</si>
  <si>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</si>
  <si>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</si>
  <si>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</si>
  <si>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</si>
  <si>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</si>
  <si>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</si>
  <si>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</si>
  <si>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</si>
  <si>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</si>
  <si>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</si>
  <si>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</si>
  <si>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</si>
  <si>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</si>
  <si>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</si>
  <si>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</si>
  <si>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</si>
  <si>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</si>
  <si>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</si>
  <si>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</si>
  <si>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</si>
  <si>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</si>
  <si>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</si>
  <si>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</si>
  <si>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</si>
  <si>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</si>
  <si>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</si>
  <si>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</si>
  <si>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</si>
  <si>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</si>
  <si>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</si>
  <si>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</si>
  <si>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</si>
  <si>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</si>
  <si>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</si>
  <si>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</si>
  <si>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</si>
  <si>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</si>
  <si>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</si>
  <si>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</si>
  <si>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</si>
  <si>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</si>
  <si>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</si>
  <si>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</si>
  <si>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</si>
  <si>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</si>
  <si>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</si>
  <si>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</si>
  <si>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</si>
  <si>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</si>
  <si>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</si>
  <si>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</si>
  <si>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</si>
  <si>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</si>
  <si>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</si>
  <si>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</si>
  <si>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</si>
  <si>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</si>
  <si>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</si>
  <si>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</si>
  <si>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</si>
  <si>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</si>
  <si>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</si>
  <si>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</si>
  <si>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</si>
  <si>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</si>
  <si>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</si>
  <si>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</si>
  <si>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</si>
  <si>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</si>
  <si>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</si>
  <si>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</si>
  <si>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</si>
  <si>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</si>
  <si>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</si>
  <si>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</si>
  <si>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</si>
  <si>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</si>
  <si>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</si>
  <si>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</si>
  <si>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</si>
  <si>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</si>
  <si>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</si>
  <si>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</si>
  <si>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</si>
  <si>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</si>
  <si>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</si>
  <si>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</si>
  <si>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</si>
  <si>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</si>
  <si>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</si>
  <si>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</si>
  <si>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</si>
  <si>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</si>
  <si>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</si>
  <si>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</si>
  <si>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</si>
  <si>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</si>
  <si>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</si>
  <si>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</si>
  <si>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</si>
  <si>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</si>
  <si>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</si>
  <si>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</si>
  <si>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</si>
  <si>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</si>
  <si>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</si>
  <si>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</si>
  <si>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</si>
  <si>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</si>
  <si>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</si>
  <si>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</si>
  <si>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</si>
  <si>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</si>
  <si>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</si>
  <si>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</si>
  <si>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</si>
  <si>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</si>
  <si>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</si>
  <si>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</si>
  <si>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</si>
  <si>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</si>
  <si>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</si>
  <si>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</si>
  <si>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</si>
  <si>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</si>
  <si>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</si>
  <si>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</si>
  <si>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</si>
  <si>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</si>
  <si>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</si>
  <si>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</si>
  <si>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</si>
  <si>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</si>
  <si>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</si>
  <si>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</si>
  <si>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</si>
  <si>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</si>
  <si>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</si>
  <si>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</si>
  <si>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</si>
  <si>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</si>
  <si>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</si>
  <si>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</si>
  <si>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</si>
  <si>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</si>
  <si>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</si>
  <si>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</si>
  <si>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</si>
  <si>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</si>
  <si>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</si>
  <si>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</si>
  <si>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</si>
  <si>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</si>
  <si>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</si>
  <si>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</si>
  <si>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</si>
  <si>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</si>
  <si>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</si>
  <si>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</si>
  <si>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</si>
  <si>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</si>
  <si>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</si>
  <si>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</si>
  <si>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</si>
  <si>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</si>
  <si>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</si>
  <si>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</si>
  <si>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</si>
  <si>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</si>
  <si>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</si>
  <si>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</si>
  <si>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</si>
  <si>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</si>
  <si>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</si>
  <si>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</si>
  <si>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</si>
  <si>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</si>
  <si>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</si>
  <si>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</si>
  <si>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</si>
  <si>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</si>
  <si>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</si>
  <si>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</si>
  <si>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</si>
  <si>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</si>
  <si>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</si>
  <si>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</si>
  <si>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</si>
  <si>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</si>
  <si>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</si>
  <si>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</si>
  <si>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</si>
  <si>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</si>
  <si>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</si>
  <si>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</si>
  <si>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</si>
  <si>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</si>
  <si>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</si>
  <si>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</si>
  <si>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</si>
  <si>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</si>
  <si>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</si>
  <si>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</si>
  <si>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</si>
  <si>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</si>
  <si>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</si>
  <si>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</si>
  <si>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</si>
  <si>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</si>
  <si>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</si>
  <si>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</si>
  <si>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</si>
  <si>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</si>
  <si>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</si>
  <si>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</si>
  <si>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</si>
  <si>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</si>
  <si>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</si>
  <si>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</si>
  <si>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</si>
  <si>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</si>
  <si>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</si>
  <si>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</si>
  <si>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</si>
  <si>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</si>
  <si>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</si>
  <si>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</si>
  <si>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</si>
  <si>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</si>
  <si>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</si>
  <si>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</si>
  <si>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</si>
  <si>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</si>
  <si>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</si>
  <si>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</si>
  <si>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</si>
  <si>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</si>
  <si>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</si>
  <si>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</si>
  <si>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</si>
  <si>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</si>
  <si>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</si>
  <si>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</si>
  <si>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</si>
  <si>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</si>
  <si>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</si>
  <si>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</si>
  <si>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</si>
  <si>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</si>
  <si>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</si>
  <si>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</si>
  <si>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</si>
  <si>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</si>
  <si>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</si>
  <si>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</si>
  <si>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</si>
  <si>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</si>
  <si>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</si>
  <si>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</si>
  <si>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</si>
  <si>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</si>
  <si>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</si>
  <si>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</si>
  <si>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</si>
  <si>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</si>
  <si>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</si>
  <si>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</si>
  <si>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</si>
  <si>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</si>
  <si>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</si>
  <si>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</si>
  <si>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</si>
  <si>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</si>
  <si>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</si>
  <si>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</si>
  <si>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</si>
  <si>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</si>
  <si>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</si>
  <si>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</si>
  <si>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</si>
  <si>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</si>
  <si>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</si>
  <si>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</si>
  <si>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</si>
  <si>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</si>
  <si>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</si>
  <si>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</si>
  <si>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</si>
  <si>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</si>
  <si>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</si>
  <si>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</si>
  <si>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</si>
  <si>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</si>
  <si>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</si>
  <si>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</si>
  <si>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</si>
  <si>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</si>
  <si>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</si>
  <si>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</si>
  <si>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</si>
  <si>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</si>
  <si>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</si>
  <si>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</si>
  <si>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</si>
  <si>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</si>
  <si>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</si>
  <si>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</si>
  <si>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</si>
  <si>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</si>
  <si>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</si>
  <si>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</si>
  <si>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</si>
  <si>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</si>
  <si>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</si>
  <si>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</si>
  <si>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</si>
  <si>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</si>
  <si>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</si>
  <si>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</si>
  <si>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</si>
  <si>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</si>
  <si>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</si>
  <si>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</si>
  <si>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</si>
  <si>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</si>
  <si>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</si>
  <si>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</si>
  <si>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</si>
  <si>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</si>
  <si>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</si>
  <si>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</si>
  <si>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</si>
  <si>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</si>
  <si>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</si>
  <si>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</si>
  <si>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</si>
  <si>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</si>
  <si>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</si>
  <si>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</si>
  <si>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</si>
  <si>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</si>
  <si>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</si>
  <si>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</si>
  <si>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</si>
  <si>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</si>
  <si>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</si>
  <si>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</si>
  <si>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</si>
  <si>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</si>
  <si>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</si>
  <si>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</si>
  <si>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</si>
  <si>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</si>
  <si>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</si>
  <si>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</si>
  <si>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</si>
  <si>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</si>
  <si>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</si>
  <si>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</si>
  <si>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</si>
  <si>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</si>
  <si>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</si>
  <si>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</si>
  <si>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</si>
  <si>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</si>
  <si>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</si>
  <si>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</si>
  <si>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</si>
  <si>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</si>
  <si>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</si>
  <si>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</si>
  <si>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</si>
  <si>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</si>
  <si>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</si>
  <si>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</si>
  <si>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</si>
  <si>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</si>
  <si>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</si>
  <si>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</si>
  <si>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</si>
  <si>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</si>
  <si>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</si>
  <si>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</si>
  <si>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</si>
  <si>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</si>
  <si>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</si>
  <si>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</si>
  <si>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</si>
  <si>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</si>
  <si>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</si>
  <si>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</si>
  <si>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</si>
  <si>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</si>
  <si>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</si>
  <si>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</si>
  <si>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</si>
  <si>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</si>
  <si>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</si>
  <si>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</si>
  <si>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</si>
  <si>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</si>
  <si>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</si>
  <si>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</si>
  <si>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</si>
  <si>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</si>
  <si>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</si>
  <si>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</si>
  <si>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</si>
  <si>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</si>
  <si>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</si>
  <si>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</si>
  <si>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</si>
  <si>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</si>
  <si>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</si>
  <si>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</si>
  <si>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</si>
  <si>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</si>
  <si>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</si>
  <si>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</si>
  <si>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</si>
  <si>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</si>
  <si>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</si>
  <si>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</si>
  <si>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</si>
  <si>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</si>
  <si>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</si>
  <si>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</si>
  <si>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</si>
  <si>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</si>
  <si>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</si>
  <si>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</si>
  <si>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</si>
  <si>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</si>
  <si>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</si>
  <si>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</si>
  <si>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</si>
  <si>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</si>
  <si>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</si>
  <si>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</si>
  <si>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</si>
  <si>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</si>
  <si>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</si>
  <si>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</si>
  <si>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</si>
  <si>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</si>
  <si>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</si>
  <si>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</si>
  <si>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</si>
  <si>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</si>
  <si>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</si>
  <si>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</si>
  <si>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</si>
  <si>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</si>
  <si>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</si>
  <si>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</si>
  <si>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</si>
  <si>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</si>
  <si>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</si>
  <si>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</si>
  <si>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</si>
  <si>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</si>
  <si>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</si>
  <si>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</si>
  <si>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</si>
  <si>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</si>
  <si>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</si>
  <si>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</si>
  <si>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</si>
  <si>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</si>
  <si>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</si>
  <si>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</si>
  <si>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</si>
  <si>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</si>
  <si>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</si>
  <si>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</si>
  <si>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</si>
  <si>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</si>
  <si>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</si>
  <si>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</si>
  <si>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</si>
  <si>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</si>
  <si>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</si>
  <si>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</si>
  <si>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</si>
  <si>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</si>
  <si>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</si>
  <si>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</si>
  <si>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</si>
  <si>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</si>
  <si>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</si>
  <si>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</si>
  <si>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</si>
  <si>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</si>
  <si>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</si>
  <si>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</si>
  <si>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</si>
  <si>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</si>
  <si>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</si>
  <si>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</si>
  <si>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</si>
  <si>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</si>
  <si>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</si>
  <si>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</si>
  <si>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</si>
  <si>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</si>
  <si>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</si>
  <si>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</si>
  <si>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</si>
  <si>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</si>
  <si>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</si>
  <si>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</si>
  <si>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</si>
  <si>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</si>
  <si>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</si>
  <si>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</si>
  <si>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</si>
  <si>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</si>
  <si>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</si>
  <si>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</si>
  <si>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</si>
  <si>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</si>
  <si>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</si>
  <si>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</si>
  <si>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</si>
  <si>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</si>
  <si>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</si>
  <si>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</si>
  <si>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</si>
  <si>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</si>
  <si>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</si>
  <si>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</si>
  <si>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</si>
  <si>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</si>
  <si>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</si>
  <si>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</si>
  <si>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</si>
  <si>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</si>
  <si>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</si>
  <si>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</si>
  <si>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</si>
  <si>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</si>
  <si>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</si>
  <si>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</si>
  <si>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</si>
  <si>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</si>
  <si>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</si>
  <si>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</si>
  <si>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</si>
  <si>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</si>
  <si>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</si>
  <si>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</si>
  <si>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</si>
  <si>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</si>
  <si>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</si>
  <si>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</si>
  <si>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</si>
  <si>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</si>
  <si>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</si>
  <si>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</si>
  <si>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</si>
  <si>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</si>
  <si>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</si>
  <si>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</si>
  <si>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</si>
  <si>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</si>
  <si>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</si>
  <si>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</si>
  <si>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</si>
  <si>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</si>
  <si>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</si>
  <si>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</si>
  <si>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</si>
  <si>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</si>
  <si>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</si>
  <si>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</si>
  <si>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</si>
  <si>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</si>
  <si>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</si>
  <si>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</si>
  <si>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</si>
  <si>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</si>
  <si>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</si>
  <si>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</si>
  <si>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</si>
  <si>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</si>
  <si>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</si>
  <si>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</si>
  <si>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</si>
  <si>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</si>
  <si>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</si>
  <si>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</si>
  <si>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</si>
  <si>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</si>
  <si>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</si>
  <si>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</si>
  <si>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</si>
  <si>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</si>
  <si>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</si>
  <si>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</si>
  <si>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</si>
  <si>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</si>
  <si>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</si>
  <si>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</si>
  <si>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</si>
  <si>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</si>
  <si>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</si>
  <si>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</si>
  <si>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</si>
  <si>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</si>
  <si>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</si>
  <si>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</si>
  <si>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</si>
  <si>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</si>
  <si>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</si>
  <si>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</si>
  <si>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</si>
  <si>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</si>
  <si>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</si>
  <si>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</si>
  <si>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</si>
  <si>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</si>
  <si>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</si>
  <si>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</si>
  <si>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</si>
  <si>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</si>
  <si>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</si>
  <si>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</si>
  <si>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</si>
  <si>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</si>
  <si>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</si>
  <si>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</si>
  <si>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</si>
  <si>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</si>
  <si>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</si>
  <si>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</si>
  <si>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</si>
  <si>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</si>
  <si>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</si>
  <si>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</si>
  <si>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</si>
  <si>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</si>
  <si>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</si>
  <si>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</si>
  <si>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</si>
  <si>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</si>
  <si>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</si>
  <si>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</si>
  <si>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</si>
  <si>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</si>
  <si>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</si>
  <si>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</si>
  <si>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</si>
  <si>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</si>
  <si>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</si>
  <si>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</si>
  <si>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</si>
  <si>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</si>
  <si>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</si>
  <si>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</si>
  <si>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</si>
  <si>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</si>
  <si>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</si>
  <si>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</si>
  <si>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</si>
  <si>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</si>
  <si>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</si>
  <si>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</si>
  <si>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</si>
  <si>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</si>
  <si>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</si>
  <si>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</si>
  <si>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</si>
  <si>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</si>
  <si>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</si>
  <si>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</si>
  <si>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</si>
  <si>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</si>
  <si>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</si>
  <si>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</si>
  <si>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</si>
  <si>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</si>
  <si>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</si>
  <si>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</si>
  <si>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</si>
  <si>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</si>
  <si>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</si>
  <si>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</si>
  <si>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</si>
  <si>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</si>
  <si>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</si>
  <si>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</si>
  <si>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</si>
  <si>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</si>
  <si>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</si>
  <si>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</si>
  <si>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</si>
  <si>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</si>
  <si>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</si>
  <si>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</si>
  <si>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</si>
  <si>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</si>
  <si>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</si>
  <si>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</si>
  <si>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</si>
  <si>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</si>
  <si>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</si>
  <si>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</si>
  <si>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</si>
  <si>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</si>
  <si>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</si>
  <si>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</si>
  <si>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</si>
  <si>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</si>
  <si>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</si>
  <si>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</si>
  <si>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</si>
  <si>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</si>
  <si>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</si>
  <si>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</si>
  <si>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</si>
  <si>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</si>
  <si>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</si>
  <si>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</si>
  <si>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</si>
  <si>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</si>
  <si>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</si>
  <si>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</si>
  <si>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</si>
  <si>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</si>
  <si>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LinkedIn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</si>
  <si>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</si>
  <si>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</si>
  <si>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</si>
  <si>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</si>
  <si>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</si>
  <si>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</si>
  <si>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</si>
  <si>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</si>
  <si>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</si>
  <si>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</si>
  <si>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</si>
  <si>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</si>
  <si>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kinga.kusak@reachdesk.com</t>
  </si>
  <si>
    <t>google search</t>
  </si>
  <si>
    <t>luke.lockwood@wpengine.com</t>
  </si>
  <si>
    <t>ClaudeAI</t>
  </si>
  <si>
    <t>varnika.chaturvedi@interface.ai</t>
  </si>
  <si>
    <t>ChatGPT</t>
  </si>
  <si>
    <t>AI Referrals</t>
  </si>
  <si>
    <t>ted@theassemble.com</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</si>
  <si>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</si>
  <si>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</si>
  <si>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</si>
  <si>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</si>
  <si>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</si>
  <si>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</si>
  <si>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</si>
  <si>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</si>
  <si>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</si>
  <si>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</si>
  <si>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</si>
  <si>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</si>
  <si>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</si>
  <si>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</si>
  <si>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</si>
  <si>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</si>
  <si>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</si>
  <si>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</si>
  <si>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</si>
  <si>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</si>
  <si>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</si>
  <si>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</si>
  <si>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</si>
  <si>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</si>
  <si>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</si>
  <si>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</si>
  <si>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</si>
  <si>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</si>
  <si>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</si>
  <si>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</si>
  <si>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</si>
  <si>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</si>
  <si>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</si>
  <si>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</si>
  <si>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</si>
  <si>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</si>
  <si>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</si>
  <si>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</si>
  <si>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info@blogspulse.com</t>
  </si>
  <si>
    <t>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</si>
  <si>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</si>
  <si>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</si>
  <si>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</si>
  <si>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</si>
  <si>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</si>
  <si>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</si>
  <si>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</si>
  <si>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</si>
  <si>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</si>
  <si>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</si>
  <si>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</si>
  <si>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pearllemon.com</t>
  </si>
  <si>
    <t>Junks</t>
  </si>
  <si>
    <t>Word of Mouth</t>
  </si>
  <si>
    <t>Pearl Lemon</t>
  </si>
  <si>
    <t>adam@shootsta.com</t>
  </si>
  <si>
    <t>shootsta.com</t>
  </si>
  <si>
    <t>google</t>
  </si>
  <si>
    <t>Shootsta</t>
  </si>
  <si>
    <t>tushar.varma@naukri.com</t>
  </si>
  <si>
    <t>Online Search</t>
  </si>
  <si>
    <t>hannah.magalhaes@mobato.com.br</t>
  </si>
  <si>
    <t>Youtube</t>
  </si>
  <si>
    <t>max@dmhoop.com</t>
  </si>
  <si>
    <t>addaxlab.com</t>
  </si>
  <si>
    <t>Non ICP</t>
  </si>
  <si>
    <t>Addax</t>
  </si>
  <si>
    <t>siddharth.singh06@bajajlife.com</t>
  </si>
  <si>
    <t>bajajlife.com</t>
  </si>
  <si>
    <t>Google Search</t>
  </si>
  <si>
    <t>Bajaj Life</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</si>
  <si>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</si>
  <si>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</si>
  <si>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</si>
  <si>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</si>
  <si>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</si>
  <si>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</si>
  <si>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</si>
  <si>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</si>
  <si>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</si>
  <si>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</si>
  <si>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runatbest.com</t>
  </si>
  <si>
    <t>Reference</t>
  </si>
  <si>
    <t>Run At Best</t>
  </si>
  <si>
    <t>ari.levin@skutopia.com</t>
  </si>
  <si>
    <t>skutopia.com</t>
  </si>
  <si>
    <t>SKUTOPIA</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</si>
  <si>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</si>
  <si>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</si>
  <si>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</si>
  <si>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</si>
  <si>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</si>
  <si>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</si>
  <si>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</si>
  <si>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</si>
  <si>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</si>
  <si>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</si>
  <si>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</si>
  <si>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</si>
  <si>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</si>
  <si>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</si>
  <si>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</si>
  <si>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</si>
  <si>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</si>
  <si>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</si>
  <si>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</si>
  <si>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</si>
  <si>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</si>
  <si>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</si>
  <si>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</si>
  <si>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</si>
  <si>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</si>
  <si>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</si>
  <si>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</si>
  <si>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</si>
  <si>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</si>
  <si>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</si>
  <si>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icousd.com</t>
  </si>
  <si>
    <t>Chatgpt</t>
  </si>
  <si>
    <t>n@certbar.com</t>
  </si>
  <si>
    <t>Neon.fund podcast to website to portfolio and trying to solve sales problem.</t>
  </si>
  <si>
    <t>Venture Capital</t>
  </si>
  <si>
    <t>akanksha.tanwar@magicbricks.com</t>
  </si>
  <si>
    <t>Used in my previous org - Darwinbox</t>
  </si>
  <si>
    <t>m1n1n1mo@bugcrowdninja.com</t>
  </si>
  <si>
    <t>bugcrowdninja.com</t>
  </si>
  <si>
    <t>friend</t>
  </si>
  <si>
    <t>Bugcrowdninja</t>
  </si>
  <si>
    <t>mircea.serediuc@cube-digital.io</t>
  </si>
  <si>
    <t>cube-digital.io</t>
  </si>
  <si>
    <t>Perplexity</t>
  </si>
  <si>
    <t>Cube</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</si>
  <si>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</si>
  <si>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</si>
  <si>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</si>
  <si>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</si>
  <si>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</si>
  <si>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</si>
  <si>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</si>
  <si>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</si>
  <si>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</si>
  <si>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</si>
  <si>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</si>
  <si>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</si>
  <si>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</si>
  <si>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</si>
  <si>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</si>
  <si>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</si>
  <si>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</si>
  <si>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</si>
  <si>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</si>
  <si>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</si>
  <si>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</si>
  <si>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strsi.com</t>
  </si>
  <si>
    <t>Strategic Systems</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</si>
  <si>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</si>
  <si>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</si>
  <si>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</si>
  <si>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</si>
  <si>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</si>
  <si>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</si>
  <si>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</si>
  <si>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</si>
  <si>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</si>
  <si>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</si>
  <si>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</si>
  <si>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</si>
  <si>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</si>
  <si>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visanahealth.com</t>
  </si>
  <si>
    <t>Visana Health</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</si>
  <si>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</si>
  <si>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</si>
  <si>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</si>
  <si>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</si>
  <si>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</si>
  <si>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</si>
  <si>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</si>
  <si>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</si>
  <si>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</si>
  <si>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atlassian.com</t>
  </si>
  <si>
    <t>online</t>
  </si>
  <si>
    <t>Atlassian</t>
  </si>
  <si>
    <t>laurie.laramie@docebo.com</t>
  </si>
  <si>
    <t>chatGPT</t>
  </si>
  <si>
    <t>shubham.sharma@applify.co</t>
  </si>
  <si>
    <t>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</si>
  <si>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</si>
  <si>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</si>
  <si>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</si>
  <si>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</si>
  <si>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</si>
  <si>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</si>
  <si>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</si>
  <si>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</si>
  <si>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</si>
  <si>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</si>
  <si>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</si>
  <si>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</si>
  <si>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</si>
  <si>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</si>
  <si>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</si>
  <si>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sendtrumpet.com</t>
  </si>
  <si>
    <t>Trumpet</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</si>
  <si>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</si>
  <si>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</si>
  <si>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</si>
  <si>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</si>
  <si>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</si>
  <si>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</si>
  <si>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</si>
  <si>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</si>
  <si>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</si>
  <si>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</si>
  <si>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</si>
  <si>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</si>
  <si>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</si>
  <si>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</si>
  <si>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</si>
  <si>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</si>
  <si>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</si>
  <si>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</si>
  <si>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</si>
  <si>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</si>
  <si>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</si>
  <si>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</si>
  <si>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</si>
  <si>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</si>
  <si>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</si>
  <si>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</si>
  <si>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</si>
  <si>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</si>
  <si>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</si>
  <si>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</si>
  <si>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</si>
  <si>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</si>
  <si>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</si>
  <si>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</si>
  <si>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</si>
  <si>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</si>
  <si>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</si>
  <si>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</si>
  <si>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</si>
  <si>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defendx.ch</t>
  </si>
  <si>
    <t>AI</t>
  </si>
  <si>
    <t>cgeil@sos-nv.com</t>
  </si>
  <si>
    <t>Web search</t>
  </si>
  <si>
    <t>ashima.reji@phonepe.com</t>
  </si>
  <si>
    <t>Through connections</t>
  </si>
  <si>
    <t>ys452955@g.risd.org</t>
  </si>
  <si>
    <t>g.risd.org</t>
  </si>
  <si>
    <t>Richardson ISD</t>
  </si>
  <si>
    <t>ben.cotton@you.com</t>
  </si>
  <si>
    <t>chandler@ursa8films.com</t>
  </si>
  <si>
    <t>ursa8films.com</t>
  </si>
  <si>
    <t>Ursa 8 Films</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</si>
  <si>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</si>
  <si>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</si>
  <si>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</si>
  <si>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</si>
  <si>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</si>
  <si>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</si>
  <si>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</si>
  <si>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</si>
  <si>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</si>
  <si>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</si>
  <si>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</si>
  <si>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</si>
  <si>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</si>
  <si>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</si>
  <si>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</si>
  <si>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</si>
  <si>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</si>
  <si>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</si>
  <si>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</si>
  <si>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</si>
  <si>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</si>
  <si>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</si>
  <si>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</si>
  <si>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</si>
  <si>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</si>
  <si>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</si>
  <si>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</si>
  <si>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</si>
  <si>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</si>
  <si>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</si>
  <si>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</si>
  <si>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</si>
  <si>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</si>
  <si>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</si>
  <si>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</si>
  <si>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</si>
  <si>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</si>
  <si>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</si>
  <si>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</si>
  <si>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</si>
  <si>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</si>
  <si>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cconstantinou.info</t>
  </si>
  <si>
    <t>Testing</t>
  </si>
  <si>
    <t>Constantinos Constantinou</t>
  </si>
  <si>
    <t>kashish.saxena@truecaller.com</t>
  </si>
  <si>
    <t>ankur.dhingra@gmail.com</t>
  </si>
  <si>
    <t>gmsil.com</t>
  </si>
  <si>
    <t>Webs reach</t>
  </si>
  <si>
    <t>Group Marketing Services</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</si>
  <si>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</si>
  <si>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</si>
  <si>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</si>
  <si>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</si>
  <si>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</si>
  <si>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</si>
  <si>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</si>
  <si>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</si>
  <si>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</si>
  <si>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</si>
  <si>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</si>
  <si>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</si>
  <si>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</si>
  <si>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</si>
  <si>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</si>
  <si>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</si>
  <si>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</si>
  <si>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</si>
  <si>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</si>
  <si>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</si>
  <si>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</si>
  <si>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</si>
  <si>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ally.ca</t>
  </si>
  <si>
    <t>Ally</t>
  </si>
  <si>
    <t>briangotti@geotab.com</t>
  </si>
  <si>
    <t>n/a</t>
  </si>
  <si>
    <t>maxine@arist.co</t>
  </si>
  <si>
    <t>arist.co</t>
  </si>
  <si>
    <t>From a friend</t>
  </si>
  <si>
    <t>Arist</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</si>
  <si>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</si>
  <si>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</si>
  <si>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</si>
  <si>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</si>
  <si>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</si>
  <si>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</si>
  <si>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</si>
  <si>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basraconsultingservices.com</t>
  </si>
  <si>
    <t>Pitching for Partnership</t>
  </si>
  <si>
    <t>Family.</t>
  </si>
  <si>
    <t>Basra Consulting Services</t>
  </si>
  <si>
    <t>amy.grendus@elantis.com</t>
  </si>
  <si>
    <t>erin.mccarthy@activeprospect.com</t>
  </si>
  <si>
    <t>Teammate</t>
  </si>
  <si>
    <t>neetha@betaeducation.org</t>
  </si>
  <si>
    <t>googled</t>
  </si>
  <si>
    <t>damian@tascoutsourcing.com</t>
  </si>
  <si>
    <t>amanda.sattler@objective.com</t>
  </si>
  <si>
    <t>chetan@ckapoor.org</t>
  </si>
  <si>
    <t>ckapoor.org</t>
  </si>
  <si>
    <t>GTM Buddy</t>
  </si>
  <si>
    <t>fdsa</t>
  </si>
  <si>
    <t>aseem.pranay@bcg.com</t>
  </si>
  <si>
    <t>dennis@bidease.com</t>
  </si>
  <si>
    <t>victoria@sigmacomputing.com</t>
  </si>
  <si>
    <t>sejal@zenskar.com</t>
  </si>
  <si>
    <t>chaitanya.gk@saroeinc.com</t>
  </si>
  <si>
    <t>saroeinc.com</t>
  </si>
  <si>
    <t>LinkedIn Post</t>
  </si>
  <si>
    <t>Saroe</t>
  </si>
  <si>
    <t>coryd@microserve.ca</t>
  </si>
  <si>
    <t>Looking for high spot</t>
  </si>
  <si>
    <t>Highspot-Competitor-Phrase-USCA-2025-07</t>
  </si>
  <si>
    <t>m.mostafa@singleclic.com</t>
  </si>
  <si>
    <t>singleclic.com</t>
  </si>
  <si>
    <t>Microsoft Teams</t>
  </si>
  <si>
    <t>Singleclic</t>
  </si>
  <si>
    <t>ravi.nanganai@mediamint.com</t>
  </si>
  <si>
    <t>mediamint.com</t>
  </si>
  <si>
    <t>Tasting</t>
  </si>
  <si>
    <t>MediaMint</t>
  </si>
  <si>
    <t>ansh@dawdle.in</t>
  </si>
  <si>
    <t>referral</t>
  </si>
  <si>
    <t>hudson@ravennahq.com</t>
  </si>
  <si>
    <t>search</t>
  </si>
  <si>
    <t>akash.mishra@nobroker.in</t>
  </si>
  <si>
    <t>nobroker.in</t>
  </si>
  <si>
    <t>Searching on web</t>
  </si>
  <si>
    <t>NoBroker</t>
  </si>
  <si>
    <t>aravind@technohandz.com</t>
  </si>
  <si>
    <t>technohandz.com</t>
  </si>
  <si>
    <t>I know GTM Buddy</t>
  </si>
  <si>
    <t>Technohandz</t>
  </si>
  <si>
    <t>lhassid@hackthebox.com</t>
  </si>
  <si>
    <t>mwarner@blumira.com</t>
  </si>
  <si>
    <t>KKR/1011</t>
  </si>
  <si>
    <t>kaoushik.ramachandran@aurigo.com</t>
  </si>
  <si>
    <t>2024-03-28T21:21:00Z</t>
  </si>
  <si>
    <t>SERP</t>
  </si>
  <si>
    <t>devanand.pothapragada@freyrsolutions.com</t>
  </si>
  <si>
    <t>Colleagues recommendation</t>
  </si>
  <si>
    <t>sreya.samaddar@greytip.com</t>
  </si>
  <si>
    <t>velev@gtmrevenue.com</t>
  </si>
  <si>
    <t>donny@ricklo.33mail.com</t>
  </si>
  <si>
    <t>ricklo.33mail.com</t>
  </si>
  <si>
    <t>sd</t>
  </si>
  <si>
    <t>33mail</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</si>
  <si>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</si>
  <si>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</si>
  <si>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</si>
  <si>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</si>
  <si>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</si>
  <si>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</si>
  <si>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</si>
  <si>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</si>
  <si>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</si>
  <si>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</si>
  <si>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</si>
  <si>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marktly.co</t>
  </si>
  <si>
    <t>from my mentor</t>
  </si>
  <si>
    <t>Marktly</t>
  </si>
  <si>
    <t>cpo@connectree.co</t>
  </si>
  <si>
    <t>connectree.co</t>
  </si>
  <si>
    <t>CONNECTREE</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</si>
  <si>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</si>
  <si>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</si>
  <si>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</si>
  <si>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</si>
  <si>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</si>
  <si>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</si>
  <si>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</si>
  <si>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</si>
  <si>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</si>
  <si>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</si>
  <si>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</si>
  <si>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</si>
  <si>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</si>
  <si>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</si>
  <si>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</si>
  <si>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</si>
  <si>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</si>
  <si>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</si>
  <si>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</si>
  <si>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</si>
  <si>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</si>
  <si>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</si>
  <si>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</si>
  <si>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</si>
  <si>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</si>
  <si>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</si>
  <si>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</si>
  <si>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</si>
  <si>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</si>
  <si>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</si>
  <si>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</si>
  <si>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</si>
  <si>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</si>
  <si>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xswl123.cn</t>
  </si>
  <si>
    <t>961889455@qq.com</t>
  </si>
  <si>
    <t>pam.waldman@celigo.com</t>
  </si>
  <si>
    <t>Webinar</t>
  </si>
  <si>
    <t>monika@uniqode.com</t>
  </si>
  <si>
    <t>From a colleague who used it in their previous organisation</t>
  </si>
  <si>
    <t>alotofthingz@site.co</t>
  </si>
  <si>
    <t>site.co</t>
  </si>
  <si>
    <t>Maybe we could've</t>
  </si>
  <si>
    <t>Site.nl</t>
  </si>
  <si>
    <t>deven@unoptimised.com</t>
  </si>
  <si>
    <t>unoptimised.com</t>
  </si>
  <si>
    <t>From SaaSBoomi</t>
  </si>
  <si>
    <t>UnOptimised HQ</t>
  </si>
  <si>
    <t>shayna@vendoroo.ai</t>
  </si>
  <si>
    <t>referred</t>
  </si>
  <si>
    <t>tmiyamoto@venacorp.com</t>
  </si>
  <si>
    <t>Podcast</t>
  </si>
  <si>
    <t>jwarwick@rednucleus.com</t>
  </si>
  <si>
    <t>LinkedIN</t>
  </si>
  <si>
    <t>2300520013@kluniversity.in</t>
  </si>
  <si>
    <t>kluniversity.in</t>
  </si>
  <si>
    <t>through google</t>
  </si>
  <si>
    <t>KL University</t>
  </si>
  <si>
    <t>paulo@qbiq.ai</t>
  </si>
  <si>
    <t>Sales Enablement Squad</t>
  </si>
  <si>
    <t>todd.lienart@jasper.ai</t>
  </si>
  <si>
    <t>rehman.m@shiksharatanindia.org</t>
  </si>
  <si>
    <t>shiksharatanindia.org</t>
  </si>
  <si>
    <t>Internet</t>
  </si>
  <si>
    <t>Shiksharatan India</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</si>
  <si>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</si>
  <si>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</si>
  <si>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</si>
  <si>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</si>
  <si>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</si>
  <si>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</si>
  <si>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</si>
  <si>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</si>
  <si>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</si>
  <si>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</si>
  <si>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</si>
  <si>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</si>
  <si>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</si>
  <si>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</si>
  <si>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</si>
  <si>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</si>
  <si>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2023-12-13T22:37:00Z</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</si>
  <si>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</si>
  <si>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</si>
  <si>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</si>
  <si>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</si>
  <si>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</si>
  <si>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</si>
  <si>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</si>
  <si>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</si>
  <si>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</si>
  <si>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</si>
  <si>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</si>
  <si>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whispercreekhomes.com</t>
  </si>
  <si>
    <t>Whisper Creek Homes</t>
  </si>
  <si>
    <t>anurag@grocliq.com</t>
  </si>
  <si>
    <t>VC</t>
  </si>
  <si>
    <t>tarun@neokred.tech</t>
  </si>
  <si>
    <t>I heard it through youtube, would like to know more.</t>
  </si>
  <si>
    <t>will@pre.dev</t>
  </si>
  <si>
    <t>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</si>
  <si>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</si>
  <si>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</si>
  <si>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</si>
  <si>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</si>
  <si>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</si>
  <si>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</si>
  <si>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</si>
  <si>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</si>
  <si>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</si>
  <si>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</si>
  <si>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</si>
  <si>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</si>
  <si>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</si>
  <si>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</si>
  <si>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</si>
  <si>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</si>
  <si>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</si>
  <si>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</si>
  <si>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</si>
  <si>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mail.co</t>
  </si>
  <si>
    <t>youtube</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</si>
  <si>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</si>
  <si>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</si>
  <si>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</si>
  <si>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</si>
  <si>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</si>
  <si>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</si>
  <si>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</si>
  <si>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</si>
  <si>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</si>
  <si>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</si>
  <si>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</si>
  <si>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</si>
  <si>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</si>
  <si>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</si>
  <si>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</si>
  <si>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</si>
  <si>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</si>
  <si>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</si>
  <si>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</si>
  <si>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</si>
  <si>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</si>
  <si>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</si>
  <si>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</si>
  <si>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</si>
  <si>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</si>
  <si>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</si>
  <si>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</si>
  <si>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</si>
  <si>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</si>
  <si>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</si>
  <si>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</si>
  <si>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</si>
  <si>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</si>
  <si>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</si>
  <si>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</si>
  <si>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</si>
  <si>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</si>
  <si>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</si>
  <si>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</si>
  <si>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</si>
  <si>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</si>
  <si>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</si>
  <si>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fire-electronics.ca</t>
  </si>
  <si>
    <t>Fire Electronics</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</si>
  <si>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</si>
  <si>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</si>
  <si>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</si>
  <si>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</si>
  <si>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</si>
  <si>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</si>
  <si>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</si>
  <si>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</si>
  <si>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</si>
  <si>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</si>
  <si>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</si>
  <si>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</si>
  <si>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</si>
  <si>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weaviate.io</t>
  </si>
  <si>
    <t>Weaviate</t>
  </si>
  <si>
    <t>jeffrey.wold@nomentia.com</t>
  </si>
  <si>
    <t>carlos@vial.com</t>
  </si>
  <si>
    <t>rsurve@novatechset.com</t>
  </si>
  <si>
    <t>novatechset.com</t>
  </si>
  <si>
    <t>Nova Techset</t>
  </si>
  <si>
    <t>chandler@trekhealth.io</t>
  </si>
  <si>
    <t>daniel.gonzalez@madhive.com</t>
  </si>
  <si>
    <t>carissa.thomas@sitemate.com</t>
  </si>
  <si>
    <t>david.knight@sonatype.com</t>
  </si>
  <si>
    <t>sonatype.com</t>
  </si>
  <si>
    <t>Sonatype</t>
  </si>
  <si>
    <t>jano.zepter@telefonica.com</t>
  </si>
  <si>
    <t>saran.niambele@sascholar.org</t>
  </si>
  <si>
    <t>sascholar.org</t>
  </si>
  <si>
    <t>juanpablo@weagree.com</t>
  </si>
  <si>
    <t>weagree.com</t>
  </si>
  <si>
    <t>Weagree</t>
  </si>
  <si>
    <t>mliegl@bathfitter.com</t>
  </si>
  <si>
    <t>mckennac@cypris.ai</t>
  </si>
  <si>
    <t>cypris.ai</t>
  </si>
  <si>
    <t>Cypris</t>
  </si>
  <si>
    <t>pragas@financeops.co</t>
  </si>
  <si>
    <t>financeops.ai</t>
  </si>
  <si>
    <t>FinanceOps</t>
  </si>
  <si>
    <t>amaresh.ojha@logikality.com</t>
  </si>
  <si>
    <t>luciana.vecchi@dataiku.com</t>
  </si>
  <si>
    <t>anumeha@dawdle.in</t>
  </si>
  <si>
    <t>rsindall@r3.digital</t>
  </si>
  <si>
    <t>r3.digital</t>
  </si>
  <si>
    <t>R3 Digital</t>
  </si>
  <si>
    <t>sherri.kaufman@brightrtravel.com</t>
  </si>
  <si>
    <t>tnicholas@anonyome.com</t>
  </si>
  <si>
    <t>anonyome.com</t>
  </si>
  <si>
    <t>Anonyome Labs</t>
  </si>
  <si>
    <t>manhardeep.kochhar@flyfish.ai</t>
  </si>
  <si>
    <t>flyfish.ai</t>
  </si>
  <si>
    <t>Flyfish</t>
  </si>
  <si>
    <t>suhag.vamja@gokwik.co</t>
  </si>
  <si>
    <t>jon.tomin@vital.io</t>
  </si>
  <si>
    <t>vital.io</t>
  </si>
  <si>
    <t>Vital</t>
  </si>
  <si>
    <t>lane@transcend.io</t>
  </si>
  <si>
    <t>andrew@unstoppable.do</t>
  </si>
  <si>
    <t>larrywilliams@fenixparts.com</t>
  </si>
  <si>
    <t>alex.miklin@hrsoft.com</t>
  </si>
  <si>
    <t>h20230835@pilani.bits-pilani.ac.in</t>
  </si>
  <si>
    <t>pilani.bits-pilani.ac.in</t>
  </si>
  <si>
    <t>student</t>
  </si>
  <si>
    <t>BITS Pilani</t>
  </si>
  <si>
    <t>peter@lichtnl.nl</t>
  </si>
  <si>
    <t>lichtnl.nl</t>
  </si>
  <si>
    <t>LICHTNL</t>
  </si>
  <si>
    <t>zaniyyah@magmamath.com</t>
  </si>
  <si>
    <t>jemy.thomas@everlaw.com</t>
  </si>
  <si>
    <t>klacy@jellyfish.co</t>
  </si>
  <si>
    <t>john.montgomery@openlane.com</t>
  </si>
  <si>
    <t>jga@dixa.com</t>
  </si>
  <si>
    <t>rschenkenfelder@insightinhealth.com</t>
  </si>
  <si>
    <t>insightinhealth.com</t>
  </si>
  <si>
    <t>Insightin Health</t>
  </si>
  <si>
    <t>zeth@woomio.com</t>
  </si>
  <si>
    <t>woomio.com</t>
  </si>
  <si>
    <t>Woomio</t>
  </si>
  <si>
    <t>shashi.menon@testsigma.com</t>
  </si>
  <si>
    <t>testsigma.com</t>
  </si>
  <si>
    <t>Testsigma</t>
  </si>
  <si>
    <t>matthew.jeffries@neuron7.ai</t>
  </si>
  <si>
    <t>amarion@epignosishq.com</t>
  </si>
  <si>
    <t>epignosishq.com</t>
  </si>
  <si>
    <t>Epignosis learning technologies</t>
  </si>
  <si>
    <t>larry@cquence.app</t>
  </si>
  <si>
    <t>cquence.app</t>
  </si>
  <si>
    <t>Cquence</t>
  </si>
  <si>
    <t>moheet@mailmodo.com</t>
  </si>
  <si>
    <t>mailmodo.com</t>
  </si>
  <si>
    <t xml:space="preserve">Vipul asked to ignore this form fill. https://gtmbuddy.slack.com/archives/C0341EAF27R/p1731033254792479?thread_ts=1730977233.576219&amp;cid=C0341EAF27R
</t>
  </si>
  <si>
    <t>Mailmodo Technologies Inc</t>
  </si>
  <si>
    <t>nancye@notablehealth.com</t>
  </si>
  <si>
    <t>nathaniel.blalock@alchemer.com</t>
  </si>
  <si>
    <t>waseem.akram@getcakewalktest.com</t>
  </si>
  <si>
    <t>getcakewalktest.com</t>
  </si>
  <si>
    <t>website not accessible, linkedin not found</t>
  </si>
  <si>
    <t>rob.walter@sundaysky.com</t>
  </si>
  <si>
    <t>jtajuba@mparticle.com</t>
  </si>
  <si>
    <t>gv@simplicontract.com</t>
  </si>
  <si>
    <t>simplicontract.com</t>
  </si>
  <si>
    <t>SimpliContract</t>
  </si>
  <si>
    <t>hayleys@recastsoftware.com</t>
  </si>
  <si>
    <t>drake.mooneyham@studio.holiday</t>
  </si>
  <si>
    <t>studio.holiday</t>
  </si>
  <si>
    <t>j.alhassan@rewaatech.com</t>
  </si>
  <si>
    <t>rewaatech.com</t>
  </si>
  <si>
    <t>Rawaa</t>
  </si>
  <si>
    <t>saas@hasura.io</t>
  </si>
  <si>
    <t>eliott.shams@tracktik.com</t>
  </si>
  <si>
    <t>trackforcevaliant.com</t>
  </si>
  <si>
    <t>Trackforce Valiant</t>
  </si>
  <si>
    <t>m.loudiyi@ocpgroup.ma</t>
  </si>
  <si>
    <t>ocpgroup.ma</t>
  </si>
  <si>
    <t>OCP Group</t>
  </si>
  <si>
    <t>antony@greatleads.ru</t>
  </si>
  <si>
    <t>greatleads.ru</t>
  </si>
  <si>
    <t>Greatleads</t>
  </si>
  <si>
    <t>nguyenm@mscdirect.com</t>
  </si>
  <si>
    <t>mscdirect.com</t>
  </si>
  <si>
    <t>MSC Industrial Supply Co.</t>
  </si>
  <si>
    <t>gblackhurst@obsidiansecurity.com</t>
  </si>
  <si>
    <t>2024-01-29T23:46:00Z</t>
  </si>
  <si>
    <t>william.lenfestey@hginsights.com</t>
  </si>
  <si>
    <t>2023-12-12T16:37:00Z</t>
  </si>
  <si>
    <t>greg@ohmd.com</t>
  </si>
  <si>
    <t>rodrigo.bunay@checkout.com</t>
  </si>
  <si>
    <t>pratik@enthu.com</t>
  </si>
  <si>
    <t>enthu.com</t>
  </si>
  <si>
    <t>EnthuZiastic</t>
  </si>
  <si>
    <t>info@usa-hogan.com</t>
  </si>
  <si>
    <t>usa-hogan.com</t>
  </si>
  <si>
    <t>parked domain, linkedin profile not available</t>
  </si>
  <si>
    <t>nancy@decorlanein.com</t>
  </si>
  <si>
    <t>decorlanein.com</t>
  </si>
  <si>
    <t xml:space="preserve">domain not active. </t>
  </si>
  <si>
    <t>trish.n@covergenius.com</t>
  </si>
  <si>
    <t>grgo@rizitea.com</t>
  </si>
  <si>
    <t>rizitea.com</t>
  </si>
  <si>
    <t>website not working. no linkedin page</t>
  </si>
  <si>
    <t>anushka.b@spotdraft.com</t>
  </si>
  <si>
    <t>dinesh.kulhari@lji.io</t>
  </si>
  <si>
    <t>lji.io</t>
  </si>
  <si>
    <t>Loyalty Juggernaut</t>
  </si>
  <si>
    <t>tech@sulamanahmed.com</t>
  </si>
  <si>
    <t>sulamanahmed.com</t>
  </si>
  <si>
    <t>website doesn't exist. 1 person company.</t>
  </si>
  <si>
    <t>Sulaman Ahmed</t>
  </si>
  <si>
    <t>madison@propertymeld.com</t>
  </si>
  <si>
    <t>propertymeld.com</t>
  </si>
  <si>
    <t>Property Meld</t>
  </si>
  <si>
    <t>tannu.aggarwal@kymgl.com</t>
  </si>
  <si>
    <t>kymgl.com</t>
  </si>
  <si>
    <t>8 people company, only 3 people in sales+BD</t>
  </si>
  <si>
    <t>Healthcare Market Research &amp; Consulting</t>
  </si>
  <si>
    <t>sebastine@findpros.ai</t>
  </si>
  <si>
    <t>findpros.ai</t>
  </si>
  <si>
    <t>FindPro Group Inc</t>
  </si>
  <si>
    <t>jacob.fernow@keelvar.com</t>
  </si>
  <si>
    <t>box@sandbox.com</t>
  </si>
  <si>
    <t>sandbox.com</t>
  </si>
  <si>
    <t>junk lead</t>
  </si>
  <si>
    <t>Sandbox.com</t>
  </si>
  <si>
    <t>antonio.neglia@katanamrp.com</t>
  </si>
  <si>
    <t>katanamrp.com</t>
  </si>
  <si>
    <t>Katana</t>
  </si>
  <si>
    <t>nane.martirosyan@emlid.com</t>
  </si>
  <si>
    <t>devin@mybedrock.com</t>
  </si>
  <si>
    <t>alfie.gardner@socialvalueportal.com</t>
  </si>
  <si>
    <t>socialvalueportal.com</t>
  </si>
  <si>
    <t>Social Value Portal Ltd</t>
  </si>
  <si>
    <t>kalle@klue.com</t>
  </si>
  <si>
    <t>neharika.n@joveo.com</t>
  </si>
  <si>
    <t>hzarina@credence.tech</t>
  </si>
  <si>
    <t>credence.tech</t>
  </si>
  <si>
    <t>Credence</t>
  </si>
  <si>
    <t>john@smartgrass.co.nz</t>
  </si>
  <si>
    <t>smartgrass.co.nz</t>
  </si>
  <si>
    <t>SmartGrass</t>
  </si>
  <si>
    <t>wasey@repairdesk.co</t>
  </si>
  <si>
    <t>eva.cohen@nettyawards.com</t>
  </si>
  <si>
    <t>nettyawards.com</t>
  </si>
  <si>
    <t>1 person company</t>
  </si>
  <si>
    <t>Netty Awards</t>
  </si>
  <si>
    <t>hemant.mathur@celebaltech.com</t>
  </si>
  <si>
    <t>celebaltech.com</t>
  </si>
  <si>
    <t>Celebal Technologies</t>
  </si>
  <si>
    <t>ahmad.muhammad@tkxel.io</t>
  </si>
  <si>
    <t>tkxel.io</t>
  </si>
  <si>
    <t>ankit@infolocus.in</t>
  </si>
  <si>
    <t>infolocus.in</t>
  </si>
  <si>
    <t>LinkedIn not found</t>
  </si>
  <si>
    <t>Infolocus</t>
  </si>
  <si>
    <t>vaibhav@scalemetric.io</t>
  </si>
  <si>
    <t>scalemetric.io</t>
  </si>
  <si>
    <t>kaci.cardoza@qt.io</t>
  </si>
  <si>
    <t>jackieretig@clumio.com</t>
  </si>
  <si>
    <t>mymaafashin@servise.com</t>
  </si>
  <si>
    <t>servise.com</t>
  </si>
  <si>
    <t>Junk email, linkedin not found</t>
  </si>
  <si>
    <t>grace.moceri@guild.com</t>
  </si>
  <si>
    <t>phil@moveforward.consulting</t>
  </si>
  <si>
    <t>moveforward.consulting</t>
  </si>
  <si>
    <t>Move Forward Consulting</t>
  </si>
  <si>
    <t>rahul.panicker@petpooja.com</t>
  </si>
  <si>
    <t>info@soilpower.com</t>
  </si>
  <si>
    <t>soilpower.com</t>
  </si>
  <si>
    <t>Fertilok Soilpower</t>
  </si>
  <si>
    <t>shabbir@googl.com</t>
  </si>
  <si>
    <t>yopma.com</t>
  </si>
  <si>
    <t>vivek.li@prosperr.io</t>
  </si>
  <si>
    <t>less than 10 sales reps, wrong persona</t>
  </si>
  <si>
    <t>michael.eldredge@contentstack.com</t>
  </si>
  <si>
    <t>alicia.cordero@profitsolv.com</t>
  </si>
  <si>
    <t>profitsolv.com</t>
  </si>
  <si>
    <t>Profitsolv</t>
  </si>
  <si>
    <t>monish.odrani@ideaforgetech.com</t>
  </si>
  <si>
    <t>allan@magicplan.app</t>
  </si>
  <si>
    <t>2024-05-17T02:10:00Z</t>
  </si>
  <si>
    <t>myrelle@economiaseguros.com</t>
  </si>
  <si>
    <t>economiaseguros.com</t>
  </si>
  <si>
    <t>Not an ICP company</t>
  </si>
  <si>
    <t>Economiaseguros</t>
  </si>
  <si>
    <t>sanskar@webbuddy.agency</t>
  </si>
  <si>
    <t>webbuddy.agency</t>
  </si>
  <si>
    <t>Webbuddy</t>
  </si>
  <si>
    <t>rowland.harris@heartland.us</t>
  </si>
  <si>
    <t>heartland.us</t>
  </si>
  <si>
    <t>Heartland</t>
  </si>
  <si>
    <t>colin@owndata.com</t>
  </si>
  <si>
    <t>hossain@etap.com</t>
  </si>
  <si>
    <t>etap.com</t>
  </si>
  <si>
    <t>ETAP - Operation Technology</t>
  </si>
  <si>
    <t>gautam@aspsys.co.in</t>
  </si>
  <si>
    <t>aspsys.co.in</t>
  </si>
  <si>
    <t>robby.halford@teamwork.com</t>
  </si>
  <si>
    <t>roi@easypie.ai</t>
  </si>
  <si>
    <t>easypie.ai</t>
  </si>
  <si>
    <t>siddharth.kulkarni@sprinklr.com</t>
  </si>
  <si>
    <t>nitin.bisht@hrone.cloud</t>
  </si>
  <si>
    <t>hrone.cloud</t>
  </si>
  <si>
    <t>HROne</t>
  </si>
  <si>
    <t>akashkhanna@exotel.com</t>
  </si>
  <si>
    <t>aaina@scrut.io</t>
  </si>
  <si>
    <t>anushka.dand@razorpay.com</t>
  </si>
  <si>
    <t>jjones@tribalvision.com</t>
  </si>
  <si>
    <t>tribalvision.com</t>
  </si>
  <si>
    <t>TribalVision LLC</t>
  </si>
  <si>
    <t>nicole@technemedia.co</t>
  </si>
  <si>
    <t>technemedia.co</t>
  </si>
  <si>
    <t>Wrong persona</t>
  </si>
  <si>
    <t>Techne Media</t>
  </si>
  <si>
    <t>baihr@cbc-capital.com</t>
  </si>
  <si>
    <t>cbc-capital.com</t>
  </si>
  <si>
    <t>Wrong persona, Not an ICP company</t>
  </si>
  <si>
    <t>China Broadband Capital</t>
  </si>
  <si>
    <t>madanm@immione.com</t>
  </si>
  <si>
    <t>immione.com</t>
  </si>
  <si>
    <t>Linkedin not found.</t>
  </si>
  <si>
    <t>immiONE</t>
  </si>
  <si>
    <t>tim@netnew.solutions</t>
  </si>
  <si>
    <t>netnew.solutions</t>
  </si>
  <si>
    <t>Net New Solutions</t>
  </si>
  <si>
    <t>abi@leadnotlag.com</t>
  </si>
  <si>
    <t>leadnotlag.com</t>
  </si>
  <si>
    <t>Lead Not L</t>
  </si>
  <si>
    <t>mansi@jombay.com</t>
  </si>
  <si>
    <t>jombay.com</t>
  </si>
  <si>
    <t>Jombay</t>
  </si>
  <si>
    <t>zicame@snapmail.cc</t>
  </si>
  <si>
    <t>snapmail.cc</t>
  </si>
  <si>
    <t>Snapmail</t>
  </si>
  <si>
    <t>ember.campbell@ushur.com</t>
  </si>
  <si>
    <t>a.haddad@aumet.com</t>
  </si>
  <si>
    <t>aumet.com</t>
  </si>
  <si>
    <t>Aumet</t>
  </si>
  <si>
    <t>toni@quesma.com</t>
  </si>
  <si>
    <t>quesma.com</t>
  </si>
  <si>
    <t>neeraj.gulati@monotype.com</t>
  </si>
  <si>
    <t>monotype.com</t>
  </si>
  <si>
    <t>Monotype</t>
  </si>
  <si>
    <t>noah@adoro.us</t>
  </si>
  <si>
    <t>adoro.us</t>
  </si>
  <si>
    <t>not found on LinkedIn</t>
  </si>
  <si>
    <t>Adoro</t>
  </si>
  <si>
    <t>anil@incruiter.com</t>
  </si>
  <si>
    <t>incruiter.com</t>
  </si>
  <si>
    <t>Less than 20 reps</t>
  </si>
  <si>
    <t>Incruiter</t>
  </si>
  <si>
    <t>rohit.chohan@truworthwellness.com</t>
  </si>
  <si>
    <t>truworthwellness.com</t>
  </si>
  <si>
    <t>Truworth Wellness</t>
  </si>
  <si>
    <t>walter.paliska@dotdata.com</t>
  </si>
  <si>
    <t>samrid.shrestha@covu.com</t>
  </si>
  <si>
    <t>covu.com</t>
  </si>
  <si>
    <t>Experience in lead gen and marketing. not in pmm</t>
  </si>
  <si>
    <t>COVU Insurance Solutions LLC</t>
  </si>
  <si>
    <t>puranjay@tryloop.ai</t>
  </si>
  <si>
    <t>tryloop.ai</t>
  </si>
  <si>
    <t>irrelevant persona</t>
  </si>
  <si>
    <t>Loop AI</t>
  </si>
  <si>
    <t>arvinder.singla@sign3labs.com</t>
  </si>
  <si>
    <t>sign3labs.com</t>
  </si>
  <si>
    <t>SIGN3</t>
  </si>
  <si>
    <t>poorni@boardflo.site</t>
  </si>
  <si>
    <t>boardflo.site</t>
  </si>
  <si>
    <t>BoardFlo</t>
  </si>
  <si>
    <t>amitabh@kwanzoo.com</t>
  </si>
  <si>
    <t>kwanzoo.com</t>
  </si>
  <si>
    <t>sales team size&lt;10</t>
  </si>
  <si>
    <t>Kwanzoo</t>
  </si>
  <si>
    <t>rajat@zenskar.com</t>
  </si>
  <si>
    <t>dayasheelan@turbostart.co</t>
  </si>
  <si>
    <t>turbostart.co</t>
  </si>
  <si>
    <t>Turbostart</t>
  </si>
  <si>
    <t>farhana@urbanpiper.com</t>
  </si>
  <si>
    <t>basil@multiversepartners.com</t>
  </si>
  <si>
    <t>multiversepartners.com</t>
  </si>
  <si>
    <t>Focus is on advertising, media strategy.</t>
  </si>
  <si>
    <t>Multiverse Partners</t>
  </si>
  <si>
    <t>anish@tryhelium.xyz</t>
  </si>
  <si>
    <t>tryhelium.xyz</t>
  </si>
  <si>
    <t>carlosvalverde@seedtag.com</t>
  </si>
  <si>
    <t>seedtag.com</t>
  </si>
  <si>
    <t>Note from Divanshu: We can skip it. Also if you see the language is non English, usually there is a very low chances of an opportunity in that case.</t>
  </si>
  <si>
    <t>Seedtag</t>
  </si>
  <si>
    <t>sundar@bautomate.com</t>
  </si>
  <si>
    <t>bautomate.com</t>
  </si>
  <si>
    <t>Bautomate</t>
  </si>
  <si>
    <t>hritika@threado.com</t>
  </si>
  <si>
    <t>threado.com</t>
  </si>
  <si>
    <t>Threado</t>
  </si>
  <si>
    <t>namit.mahendru@ipventures.in</t>
  </si>
  <si>
    <t>ipventures.in</t>
  </si>
  <si>
    <t>Ipventures.in</t>
  </si>
  <si>
    <t>safwaan@doodle-blue.com</t>
  </si>
  <si>
    <t>irnini.com</t>
  </si>
  <si>
    <t>amanda.yanushefski@getmaintainx.com</t>
  </si>
  <si>
    <t>jessica.demasi@guardianfall.com</t>
  </si>
  <si>
    <t>guardianfall.com</t>
  </si>
  <si>
    <t>Guardian</t>
  </si>
  <si>
    <t>arthur@frood.in</t>
  </si>
  <si>
    <t>frood.in</t>
  </si>
  <si>
    <t>chiara.gianola@mirakl.com</t>
  </si>
  <si>
    <t>kyle@autobooks.co</t>
  </si>
  <si>
    <t>autobooks.co</t>
  </si>
  <si>
    <t>Autobooks, Inc</t>
  </si>
  <si>
    <t>krishnathakur@changengine.in</t>
  </si>
  <si>
    <t>changengine.in</t>
  </si>
  <si>
    <t>Changengine</t>
  </si>
  <si>
    <t>ak@sadigital.in</t>
  </si>
  <si>
    <t>sadigital.in</t>
  </si>
  <si>
    <t>Sā Digital</t>
  </si>
  <si>
    <t>anna.buffard@sprinklr.com</t>
  </si>
  <si>
    <t>pallab.ghosh@truecaller.com</t>
  </si>
  <si>
    <t>marian.hunt@fountain.com</t>
  </si>
  <si>
    <t>celeste@mountain.com</t>
  </si>
  <si>
    <t>amit.didolkar@finbox.in</t>
  </si>
  <si>
    <t>sunil.jain@agrostar.in</t>
  </si>
  <si>
    <t>agrostar.in</t>
  </si>
  <si>
    <t>AgroStar</t>
  </si>
  <si>
    <t>yvette.boucher@centralreach.com</t>
  </si>
  <si>
    <t>suhail@thribe.in</t>
  </si>
  <si>
    <t>thribe.in</t>
  </si>
  <si>
    <t>company size&lt;10</t>
  </si>
  <si>
    <t>Thribe</t>
  </si>
  <si>
    <t>somnath.m@hyperverge.co</t>
  </si>
  <si>
    <t>hyperverge.co</t>
  </si>
  <si>
    <t>HyperVerge</t>
  </si>
  <si>
    <t>c.walter@beewatec.de</t>
  </si>
  <si>
    <t>beewatec.de</t>
  </si>
  <si>
    <t>BeeWaTec</t>
  </si>
  <si>
    <t>vemixi7451@molyg.com</t>
  </si>
  <si>
    <t>sumer@easyflex.in</t>
  </si>
  <si>
    <t>easyflex.in</t>
  </si>
  <si>
    <t>Kanwal Industrial Corporation</t>
  </si>
  <si>
    <t>chris.haberle@seekout.com</t>
  </si>
  <si>
    <t>shailyaditya@callhippo.com</t>
  </si>
  <si>
    <t>asharma@procloz.com</t>
  </si>
  <si>
    <t>procloz.com</t>
  </si>
  <si>
    <t>Procloz - Compliant Workforce Solutions</t>
  </si>
  <si>
    <t>swapnilk@ecomexpress.in</t>
  </si>
  <si>
    <t>piyush.jain@eccindia.co.in</t>
  </si>
  <si>
    <t>eccindia.co.in</t>
  </si>
  <si>
    <t>company website, linkedin profile not found</t>
  </si>
  <si>
    <t>shawnba.hoffman@guardrail.tech</t>
  </si>
  <si>
    <t>guardrail.tech</t>
  </si>
  <si>
    <t>Guardrail Technologies</t>
  </si>
  <si>
    <t>sunanda.dutta@shield.com</t>
  </si>
  <si>
    <t>shield.com</t>
  </si>
  <si>
    <t>SHIELD</t>
  </si>
  <si>
    <t>mohit@quinn.live</t>
  </si>
  <si>
    <t>quinn.live</t>
  </si>
  <si>
    <t>less than 20 sellers, 32 people company.  no pmm and enablement leaders</t>
  </si>
  <si>
    <t>Quinn</t>
  </si>
  <si>
    <t>satish@goselfserve.in</t>
  </si>
  <si>
    <t>goselfserve.in</t>
  </si>
  <si>
    <t>less than 20 sellers</t>
  </si>
  <si>
    <t>GoSelfServe</t>
  </si>
  <si>
    <t>bob@tablioo.com</t>
  </si>
  <si>
    <t>tablioo.com</t>
  </si>
  <si>
    <t>Tablioo</t>
  </si>
  <si>
    <t>drmiller@peak.org</t>
  </si>
  <si>
    <t>peak.org</t>
  </si>
  <si>
    <t>PEAK Internet</t>
  </si>
  <si>
    <t>hannah.sabetti@debtbook.com</t>
  </si>
  <si>
    <t>debtbook.com</t>
  </si>
  <si>
    <t>Debtbook</t>
  </si>
  <si>
    <t>or@maastery.com</t>
  </si>
  <si>
    <t>maastery.com</t>
  </si>
  <si>
    <t>maastery</t>
  </si>
  <si>
    <t>blaire.constantinou@addepar.com</t>
  </si>
  <si>
    <t>himanshi.balecha@squadstack.com</t>
  </si>
  <si>
    <t>vishaal.paraman@kovai.co</t>
  </si>
  <si>
    <t>kovai.co</t>
  </si>
  <si>
    <t>Kovai.co</t>
  </si>
  <si>
    <t>cbratsis@ipipeline.com</t>
  </si>
  <si>
    <t>aashu@xoxoday.com</t>
  </si>
  <si>
    <t>jkunz@travelbank.com</t>
  </si>
  <si>
    <t>travelbank.com</t>
  </si>
  <si>
    <t>travelbank</t>
  </si>
  <si>
    <t>madeline@hirshan.com</t>
  </si>
  <si>
    <t>hirshan.com</t>
  </si>
  <si>
    <t>shubham.sharma@usemultiplier.com</t>
  </si>
  <si>
    <t>shilpa.rao@gupshup.io</t>
  </si>
  <si>
    <t>slathia@votecgroup.com</t>
  </si>
  <si>
    <t>votecgroup.com</t>
  </si>
  <si>
    <t>VOTEC Group</t>
  </si>
  <si>
    <t>ankit.chaturvedi@rategain.com</t>
  </si>
  <si>
    <t>megan.gordon@prevail.io</t>
  </si>
  <si>
    <t>prevail.io</t>
  </si>
  <si>
    <t>IC</t>
  </si>
  <si>
    <t>Prevail Legal</t>
  </si>
  <si>
    <t>jake@momence.com</t>
  </si>
  <si>
    <t>momence.com</t>
  </si>
  <si>
    <t>Momence</t>
  </si>
  <si>
    <t>muni@reo.dev</t>
  </si>
  <si>
    <t>founders@dollarpe.com</t>
  </si>
  <si>
    <t>dollarpe.com</t>
  </si>
  <si>
    <t>Company size&lt;10</t>
  </si>
  <si>
    <t>DollarPe.</t>
  </si>
  <si>
    <t>smllrapu@memphis.edu</t>
  </si>
  <si>
    <t>memphis.edu</t>
  </si>
  <si>
    <t>junk lead. LinkedIn not found</t>
  </si>
  <si>
    <t>University of Memphis</t>
  </si>
  <si>
    <t>ablanchard@nasuni.com</t>
  </si>
  <si>
    <t>2023-12-21T11:23:00Z</t>
  </si>
  <si>
    <t>rashi.mishra@razorpay.com</t>
  </si>
  <si>
    <t>sandm@e-claim.com</t>
  </si>
  <si>
    <t>e-claim.com</t>
  </si>
  <si>
    <t>less than 20 seller</t>
  </si>
  <si>
    <t>ClickClaims</t>
  </si>
  <si>
    <t>jeisenberg@intelepeer.com</t>
  </si>
  <si>
    <t>2023-12-13T23:50:00Z</t>
  </si>
  <si>
    <t>deepak@thrivingsprings.com</t>
  </si>
  <si>
    <t>thrivingsprings.com</t>
  </si>
  <si>
    <t>Thriving Springs</t>
  </si>
  <si>
    <t>tushar.poddar@skuad.io</t>
  </si>
  <si>
    <t>skuad.io</t>
  </si>
  <si>
    <t>Skuad</t>
  </si>
  <si>
    <t>admin@cyberkavacha.com</t>
  </si>
  <si>
    <t>cyberkavacha.com</t>
  </si>
  <si>
    <t>m.carmona@prodways.com</t>
  </si>
  <si>
    <t>prodways.com</t>
  </si>
  <si>
    <t>Prodways</t>
  </si>
  <si>
    <t>abbie.dockerill@ultimate.ai</t>
  </si>
  <si>
    <t>ultimate.ai</t>
  </si>
  <si>
    <t>Ultimate.ai</t>
  </si>
  <si>
    <t>shubham.shinde@launchfast.in</t>
  </si>
  <si>
    <t>launchfast.in</t>
  </si>
  <si>
    <t>akshay@nanonets.com</t>
  </si>
  <si>
    <t>parvez.kadbal@dove-soft.com</t>
  </si>
  <si>
    <t>dove-soft.com</t>
  </si>
  <si>
    <t>Dove Soft Pvt Ltd.</t>
  </si>
  <si>
    <t>ttowner@dvunified.com</t>
  </si>
  <si>
    <t>dvunified.com</t>
  </si>
  <si>
    <t>Da Vinci Unified WMS</t>
  </si>
  <si>
    <t>info@technocratshorizons.com</t>
  </si>
  <si>
    <t>technocratshorizons.com</t>
  </si>
  <si>
    <t>Technocrats Horizons</t>
  </si>
  <si>
    <t>liao.monica@advance.ai</t>
  </si>
  <si>
    <t>advance.ai</t>
  </si>
  <si>
    <t>ADVANCE.AI</t>
  </si>
  <si>
    <t>matthew.agronin@ubiquity.com</t>
  </si>
  <si>
    <t>ubiquity.com</t>
  </si>
  <si>
    <t>Ubiquity Global Services Inc</t>
  </si>
  <si>
    <t>jacob@kaladigital.com.au</t>
  </si>
  <si>
    <t>kaladigital.com.au</t>
  </si>
  <si>
    <t>Kala Digital</t>
  </si>
  <si>
    <t>akhilesh@moreyeahs.com</t>
  </si>
  <si>
    <t>moreyeahs.com</t>
  </si>
  <si>
    <t>MoreYeahs Inc</t>
  </si>
  <si>
    <t>enalwala@iotap.com</t>
  </si>
  <si>
    <t>iotap.com</t>
  </si>
  <si>
    <t>IOTAP</t>
  </si>
  <si>
    <t>camila.cunha@factorial.co</t>
  </si>
  <si>
    <t>factorialhr.com</t>
  </si>
  <si>
    <t>Factorial</t>
  </si>
  <si>
    <t>shobha@redcoral.in</t>
  </si>
  <si>
    <t>redcoral.in</t>
  </si>
  <si>
    <t>Red Coral Travel Experiences</t>
  </si>
  <si>
    <t>eemohammed@ooredoo.qa</t>
  </si>
  <si>
    <t>ooredoo.qa</t>
  </si>
  <si>
    <t>Ooredoo Qatar</t>
  </si>
  <si>
    <t>sophie.k@fevtutor.com</t>
  </si>
  <si>
    <t>george@aptiv.io</t>
  </si>
  <si>
    <t>aptiv.io</t>
  </si>
  <si>
    <t>Aptivio</t>
  </si>
  <si>
    <t>calista.anderson@netspi.com</t>
  </si>
  <si>
    <t>constantine@gonobleswans.com</t>
  </si>
  <si>
    <t>gonobleswans.com</t>
  </si>
  <si>
    <t>Gonobleswans</t>
  </si>
  <si>
    <t>srinivas.kamath@greytip.com</t>
  </si>
  <si>
    <t>brittni.kiick@provisiopartners.com</t>
  </si>
  <si>
    <t>akhilesh@exponentpt.com</t>
  </si>
  <si>
    <t>exponentpt.com</t>
  </si>
  <si>
    <t>Scaleup-sherpa</t>
  </si>
  <si>
    <t>david.vandenbogaerde@lizy.be</t>
  </si>
  <si>
    <t>lizy.be</t>
  </si>
  <si>
    <t>LIZY</t>
  </si>
  <si>
    <t>michaela.britt@foleon.com</t>
  </si>
  <si>
    <t>aawad@planful.com</t>
  </si>
  <si>
    <t>adena@tread.io</t>
  </si>
  <si>
    <t>ihit.rao@loconav.com</t>
  </si>
  <si>
    <t>loconav.com</t>
  </si>
  <si>
    <t>LocoNav</t>
  </si>
  <si>
    <t>madhavi.natukula@cloud4c.com</t>
  </si>
  <si>
    <t>brandee.sanders@revenue.io</t>
  </si>
  <si>
    <t>thendrickson@hopskipdrive.com</t>
  </si>
  <si>
    <t>mehfishan.nishat@machintel.com</t>
  </si>
  <si>
    <t>machintel.com</t>
  </si>
  <si>
    <t>Machintel</t>
  </si>
  <si>
    <t>aaryendr.rajpurohit@amagi.com</t>
  </si>
  <si>
    <t>sawai@rootteam.co.jp</t>
  </si>
  <si>
    <t>rootteam.co.jp</t>
  </si>
  <si>
    <t>株式会社ルートチーム</t>
  </si>
  <si>
    <t>lina.miranda@placer.ai</t>
  </si>
  <si>
    <t>tom@augustcollection.co.uk</t>
  </si>
  <si>
    <t>augustcollection.co.uk</t>
  </si>
  <si>
    <t>August</t>
  </si>
  <si>
    <t>taha@joveo.com</t>
  </si>
  <si>
    <t>v.kartik@hyperverge.co</t>
  </si>
  <si>
    <t>timothy@v7labs.com</t>
  </si>
  <si>
    <t>v7labs.com</t>
  </si>
  <si>
    <t>V7</t>
  </si>
  <si>
    <t>charles@liveguru.io</t>
  </si>
  <si>
    <t>liveguru.io</t>
  </si>
  <si>
    <t>LiveGuru</t>
  </si>
  <si>
    <t>anastasia.fete@peoplefluent.com</t>
  </si>
  <si>
    <t>lara.hourquebie@abtasty.com</t>
  </si>
  <si>
    <t>ab@rocketlane.com</t>
  </si>
  <si>
    <t>gaurav.ojha@edmingle.com</t>
  </si>
  <si>
    <t>edmingle.com</t>
  </si>
  <si>
    <t>Edmingle</t>
  </si>
  <si>
    <t>devendra@digitalmantra.in</t>
  </si>
  <si>
    <t>digitalmantra.in</t>
  </si>
  <si>
    <t>DigitalMantra</t>
  </si>
  <si>
    <t>andy.ramspott@cesco.com</t>
  </si>
  <si>
    <t>lgarrett@ontic.co</t>
  </si>
  <si>
    <t>ontic.co</t>
  </si>
  <si>
    <t>Ontic</t>
  </si>
  <si>
    <t>roxanne.pepin@apaleo.com</t>
  </si>
  <si>
    <t>sankar@securden.com</t>
  </si>
  <si>
    <t>securden.com</t>
  </si>
  <si>
    <t>Securden</t>
  </si>
  <si>
    <t>sarvesh@satsure.co</t>
  </si>
  <si>
    <t>satsure.co</t>
  </si>
  <si>
    <t>Satsure</t>
  </si>
  <si>
    <t>alyssa.sevilla@cardiodiagnosticsinc.com</t>
  </si>
  <si>
    <t>cardiodiagnosticsinc.com</t>
  </si>
  <si>
    <t>Cardio Diagnostics</t>
  </si>
  <si>
    <t>kartik.mehrotra@betterplace.co.in</t>
  </si>
  <si>
    <t>2023-08-27T00:55:00Z</t>
  </si>
  <si>
    <t>betterplace.co.in</t>
  </si>
  <si>
    <t>BetterPlace</t>
  </si>
  <si>
    <t>aayushi.bhatjiwale@webengage.com</t>
  </si>
  <si>
    <t>rakesh@inifox.com</t>
  </si>
  <si>
    <t>inifox.com</t>
  </si>
  <si>
    <t>majji@elephantedgeai.com</t>
  </si>
  <si>
    <t>elephantedgeai.com</t>
  </si>
  <si>
    <t>Elephantedgeai</t>
  </si>
  <si>
    <t>kuldeep.thakur@inspirext.com</t>
  </si>
  <si>
    <t>inspirext.com</t>
  </si>
  <si>
    <t>Inspirext Consulting Ltd</t>
  </si>
  <si>
    <t>swami@360extech.com</t>
  </si>
  <si>
    <t>360extech.com</t>
  </si>
  <si>
    <t>360Ex</t>
  </si>
  <si>
    <t>lionel.joham@silent-yachts.com</t>
  </si>
  <si>
    <t>silent-yachts.com</t>
  </si>
  <si>
    <t>SILENT-YACHTS</t>
  </si>
  <si>
    <t>aadil.bhat@samparksoftwares.com</t>
  </si>
  <si>
    <t>samparksoftwares.com</t>
  </si>
  <si>
    <t>Sampark</t>
  </si>
  <si>
    <t>ashmar.barbour@woodpecker.co</t>
  </si>
  <si>
    <t>woodpecker.co</t>
  </si>
  <si>
    <t>Woodpecker.co</t>
  </si>
  <si>
    <t>shafique.gajdhar@betterplace.co.in</t>
  </si>
  <si>
    <t>danny@sprinto.com</t>
  </si>
  <si>
    <t>shailesh@writeplus.co</t>
  </si>
  <si>
    <t>writeplus.co</t>
  </si>
  <si>
    <t>Write+ AI</t>
  </si>
  <si>
    <t>iliyassippy@gmail.com</t>
  </si>
  <si>
    <t>naturalremedy.com</t>
  </si>
  <si>
    <t>Natural Remedies</t>
  </si>
  <si>
    <t>phil@mk2v.com</t>
  </si>
  <si>
    <t>mk2v.com</t>
  </si>
  <si>
    <t>Mark Two Ventures</t>
  </si>
  <si>
    <t>bking@bumpin.io</t>
  </si>
  <si>
    <t>bumpin.io</t>
  </si>
  <si>
    <t>sankara@koot.business</t>
  </si>
  <si>
    <t>koot.business</t>
  </si>
  <si>
    <t>malzamil@telgani.com</t>
  </si>
  <si>
    <t>telgani.com</t>
  </si>
  <si>
    <t>Telgani</t>
  </si>
  <si>
    <t>deepa_b@ormae.com</t>
  </si>
  <si>
    <t>ormae.com</t>
  </si>
  <si>
    <t>ORMAE LLP</t>
  </si>
  <si>
    <t>ayushim2022@iimbg.ac.in</t>
  </si>
  <si>
    <t>iimbg.ac.in</t>
  </si>
  <si>
    <t>Indian Institute of Management Bodh Gaya</t>
  </si>
  <si>
    <t>mikem@thewritingproject.com</t>
  </si>
  <si>
    <t>thewritingproject.com</t>
  </si>
  <si>
    <t>The Writing Project</t>
  </si>
  <si>
    <t>neha.srivastava@xuriti.com</t>
  </si>
  <si>
    <t>xuriti.com</t>
  </si>
  <si>
    <t>naveen@mpp.co.in</t>
  </si>
  <si>
    <t>mpp.co.in</t>
  </si>
  <si>
    <t>The Mathrubhumi Printing and Publishing Company</t>
  </si>
  <si>
    <t>ashley.harrington@ataccama.com</t>
  </si>
  <si>
    <t>ataccama.com</t>
  </si>
  <si>
    <t>Ataccama</t>
  </si>
  <si>
    <t>abhinav@founderlink.ai</t>
  </si>
  <si>
    <t>founderlink.ai</t>
  </si>
  <si>
    <t>adam.pavley@impact.com</t>
  </si>
  <si>
    <t>shubham@topbeat.in</t>
  </si>
  <si>
    <t>topbeat.in</t>
  </si>
  <si>
    <t>Topbeat</t>
  </si>
  <si>
    <t>b.raviteja@peoplestrong.com</t>
  </si>
  <si>
    <t>smith.sen@votecgroup.com</t>
  </si>
  <si>
    <t>karan.arora@mygate.com</t>
  </si>
  <si>
    <t>mygate.com</t>
  </si>
  <si>
    <t>Mygate</t>
  </si>
  <si>
    <t>taro@forge.vc</t>
  </si>
  <si>
    <t>forge.vc</t>
  </si>
  <si>
    <t>Forge</t>
  </si>
  <si>
    <t>chaitsi@brownliving.in</t>
  </si>
  <si>
    <t>brownliving.in</t>
  </si>
  <si>
    <t>Brown Living</t>
  </si>
  <si>
    <t>christel.bastida@healietech.com</t>
  </si>
  <si>
    <t>healietech.com</t>
  </si>
  <si>
    <t>HealieTech</t>
  </si>
  <si>
    <t>meghana.balasubramanyam@testsigma.com</t>
  </si>
  <si>
    <t>andrea.fulton@shiftmed.com</t>
  </si>
  <si>
    <t>shiftmed.com</t>
  </si>
  <si>
    <t>ShiftMed LLC</t>
  </si>
  <si>
    <t>contact@ewokestudio.com</t>
  </si>
  <si>
    <t>ewokestudio.com</t>
  </si>
  <si>
    <t>Ewoke Studio</t>
  </si>
  <si>
    <t>william.c@usepave.net</t>
  </si>
  <si>
    <t>lauren.peyton@shorelight.com</t>
  </si>
  <si>
    <t>shorelight.com</t>
  </si>
  <si>
    <t>Shorelight</t>
  </si>
  <si>
    <t>umang@syook.com</t>
  </si>
  <si>
    <t>syook.com</t>
  </si>
  <si>
    <t>Syook</t>
  </si>
  <si>
    <t>ash@smartbots.ai</t>
  </si>
  <si>
    <t>smartbots.ai</t>
  </si>
  <si>
    <t>SmartBots</t>
  </si>
  <si>
    <t>rjetty@rjeys.com</t>
  </si>
  <si>
    <t>rjeys.com</t>
  </si>
  <si>
    <t>RJEYS INFINITY SOLUTIONS</t>
  </si>
  <si>
    <t>giri@assuretrac.com</t>
  </si>
  <si>
    <t>assuretrac.com</t>
  </si>
  <si>
    <t>Assuretrac</t>
  </si>
  <si>
    <t>akash.kumar@dotpe.in</t>
  </si>
  <si>
    <t>dotpe.in</t>
  </si>
  <si>
    <t>DotPe</t>
  </si>
  <si>
    <t>vivek.h@facilio.com</t>
  </si>
  <si>
    <t>brad.pennefather@psandco.ca</t>
  </si>
  <si>
    <t>psandco.ca</t>
  </si>
  <si>
    <t>PS&amp;Co</t>
  </si>
  <si>
    <t>santhosh.shankar@rakuten.com</t>
  </si>
  <si>
    <t>rakuten.com</t>
  </si>
  <si>
    <t>Rakuten Rewards</t>
  </si>
  <si>
    <t>melissa@thespeakerlab.com</t>
  </si>
  <si>
    <t>thespeakerlab.com</t>
  </si>
  <si>
    <t>The Speaker Lab</t>
  </si>
  <si>
    <t>kalpana.singh@recordedfuture.com</t>
  </si>
  <si>
    <t>hitendra@turno.club</t>
  </si>
  <si>
    <t>turno.club</t>
  </si>
  <si>
    <t>Turno</t>
  </si>
  <si>
    <t>kas@knowledgeadvisory.com</t>
  </si>
  <si>
    <t>knowledgeadvisory.com</t>
  </si>
  <si>
    <t>Knowledge Advisory</t>
  </si>
  <si>
    <t>aditya@leegality.com</t>
  </si>
  <si>
    <t>jigyasa.sharma@unicommerce.com</t>
  </si>
  <si>
    <t>unicommerce.com</t>
  </si>
  <si>
    <t>Unicommerce</t>
  </si>
  <si>
    <t>andrear@getzlinq.com</t>
  </si>
  <si>
    <t>sudesh.k@emudhra.com</t>
  </si>
  <si>
    <t>emudhra.com</t>
  </si>
  <si>
    <t>eMudhra</t>
  </si>
  <si>
    <t>alan@dimensionallycursed.com</t>
  </si>
  <si>
    <t>dimensionallycursed.com</t>
  </si>
  <si>
    <t>Dimensionally Cursed</t>
  </si>
  <si>
    <t>saniya@rocketlane.com</t>
  </si>
  <si>
    <t>rohit.g@disprz.com</t>
  </si>
  <si>
    <t>vincent@merca.team</t>
  </si>
  <si>
    <t>merca.team</t>
  </si>
  <si>
    <t>Mercateam</t>
  </si>
  <si>
    <t>fabian.vonkleinsorgen@simplesystem.com</t>
  </si>
  <si>
    <t>simplesystem.com</t>
  </si>
  <si>
    <t>simple system</t>
  </si>
  <si>
    <t>sunnyghosh@brewra.com</t>
  </si>
  <si>
    <t>brewra.com</t>
  </si>
  <si>
    <t>Brewra Ventures</t>
  </si>
  <si>
    <t>shehzad@joveo.com</t>
  </si>
  <si>
    <t>kinsey.eaton@cloudkitchens.com</t>
  </si>
  <si>
    <t>lindsay@knapsack.cloud</t>
  </si>
  <si>
    <t>knapsack.cloud</t>
  </si>
  <si>
    <t>Knapsack</t>
  </si>
  <si>
    <t>h.steenstra@shypple.com</t>
  </si>
  <si>
    <t>vijay@locobuzz.com</t>
  </si>
  <si>
    <t>locobuzz.com</t>
  </si>
  <si>
    <t>Locobuzz</t>
  </si>
  <si>
    <t>sandeep.kumar@absorblms.com</t>
  </si>
  <si>
    <t>mohamed.abdullah@cyclotron.com</t>
  </si>
  <si>
    <t>cyclotron.com</t>
  </si>
  <si>
    <t>Cyclotron Inc</t>
  </si>
  <si>
    <t>michael@veknermedia.com</t>
  </si>
  <si>
    <t>veknermedia.com</t>
  </si>
  <si>
    <t>alex.knechtl@soliduslabs.com</t>
  </si>
  <si>
    <t>bhdavis@careacademy.com</t>
  </si>
  <si>
    <t>akshay.k@otomeyt.ai</t>
  </si>
  <si>
    <t>otomeyt.ai</t>
  </si>
  <si>
    <t>Otomeyt</t>
  </si>
  <si>
    <t>shawn@my-cpe.com</t>
  </si>
  <si>
    <t>my-cpe.com</t>
  </si>
  <si>
    <t>myCPE</t>
  </si>
  <si>
    <t>pritam.pandey@go-yubi.com</t>
  </si>
  <si>
    <t>go-yubi.com</t>
  </si>
  <si>
    <t>jenna.stuart@teledyneflir.com</t>
  </si>
  <si>
    <t>abhishek@mailmodo.com</t>
  </si>
  <si>
    <t>sudhir.pande@trezix.io</t>
  </si>
  <si>
    <t>trezix.io</t>
  </si>
  <si>
    <t>Trezix</t>
  </si>
  <si>
    <t>maciej.hoffmann@espeo.eu</t>
  </si>
  <si>
    <t>ankit@callhippo.com</t>
  </si>
  <si>
    <t>ian@trillbit.com</t>
  </si>
  <si>
    <t>trillbit.com</t>
  </si>
  <si>
    <t>Trillbit</t>
  </si>
  <si>
    <t>luis@ie89.com</t>
  </si>
  <si>
    <t>ie89.com</t>
  </si>
  <si>
    <t>arjun@bytebeam.io</t>
  </si>
  <si>
    <t>bytebeam.io</t>
  </si>
  <si>
    <t>Bytebeam</t>
  </si>
  <si>
    <t>krishnan.kaushik@apty.io</t>
  </si>
  <si>
    <t>giridhar@nuvepro.com</t>
  </si>
  <si>
    <t>nuvepro.com</t>
  </si>
  <si>
    <t>Nuvepro</t>
  </si>
  <si>
    <t>jasmeet.gandhi@trezix.io</t>
  </si>
  <si>
    <t>amit.rohra@locale.ai</t>
  </si>
  <si>
    <t>locale.ai</t>
  </si>
  <si>
    <t>LocaleAI Inc</t>
  </si>
  <si>
    <t>shrayansh.sett@clear.in</t>
  </si>
  <si>
    <t>deepak.ruchandani@happay.com</t>
  </si>
  <si>
    <t>happay.com</t>
  </si>
  <si>
    <t>Happay</t>
  </si>
  <si>
    <t>sanchit@innerfit.me</t>
  </si>
  <si>
    <t>innerfit.me</t>
  </si>
  <si>
    <t>Inner Fit</t>
  </si>
  <si>
    <t>darshanps@weblineindia.com</t>
  </si>
  <si>
    <t>weblineindia.com</t>
  </si>
  <si>
    <t>WeblineIndia</t>
  </si>
  <si>
    <t>ashish@yugasa.com</t>
  </si>
  <si>
    <t>yugasa.com</t>
  </si>
  <si>
    <t>Yugasa Software Labs</t>
  </si>
  <si>
    <t>smriti.c@razorpay.com</t>
  </si>
  <si>
    <t>rashid@ithorizon.co</t>
  </si>
  <si>
    <t>ithorizon.co</t>
  </si>
  <si>
    <t>Ithorizon</t>
  </si>
  <si>
    <t>rohit.dey@vwo.com</t>
  </si>
  <si>
    <t>vwo.com</t>
  </si>
  <si>
    <t>VWO</t>
  </si>
  <si>
    <t>yuliya.shcherbachova@wandb.com</t>
  </si>
  <si>
    <t>irene.betist@foleon.com</t>
  </si>
  <si>
    <t>deepakshi@klubworks.com</t>
  </si>
  <si>
    <t>klubworks.com</t>
  </si>
  <si>
    <t>Klub</t>
  </si>
  <si>
    <t>aniket@xoxoday.com</t>
  </si>
  <si>
    <t>kaan.sahin@useinsider.com</t>
  </si>
  <si>
    <t>emilia.lehojarvi@enfuce.com</t>
  </si>
  <si>
    <t>saurabh.kelkar@xoriant.com</t>
  </si>
  <si>
    <t>sham.b@accelq.com</t>
  </si>
  <si>
    <t>accelq.com</t>
  </si>
  <si>
    <t>ACCELQ</t>
  </si>
  <si>
    <t>george.ford@inboxinsight.com</t>
  </si>
  <si>
    <t>saheenc.najeeb@edgeverve.com</t>
  </si>
  <si>
    <t>edgeverve.com</t>
  </si>
  <si>
    <t>EdgeVerve</t>
  </si>
  <si>
    <t>omprakash.k@fuegosys.com</t>
  </si>
  <si>
    <t>fuegosys.com</t>
  </si>
  <si>
    <t>Fuego Systems</t>
  </si>
  <si>
    <t>arpan.j29@clear.in</t>
  </si>
  <si>
    <t>dalmeida@sayari.com</t>
  </si>
  <si>
    <t>utkarsh.bhatnagar@bootlabstech.com</t>
  </si>
  <si>
    <t>bootlabstech.com</t>
  </si>
  <si>
    <t>BootLabs</t>
  </si>
  <si>
    <t>rachel.cheyfitz@coro.net</t>
  </si>
  <si>
    <t>apoorv.singh@rivigo.com</t>
  </si>
  <si>
    <t>rivigo.com</t>
  </si>
  <si>
    <t>Rivigo</t>
  </si>
  <si>
    <t>richard.mello@godigitalselling.com</t>
  </si>
  <si>
    <t>godigitalselling.com</t>
  </si>
  <si>
    <t>Digital Selling</t>
  </si>
  <si>
    <t>clouwels@slp.com</t>
  </si>
  <si>
    <t>slp.com</t>
  </si>
  <si>
    <t>Southern Lithoplate</t>
  </si>
  <si>
    <t>shob.saxena@entropiktech.com</t>
  </si>
  <si>
    <t>biggiesmall@2pac.com</t>
  </si>
  <si>
    <t>2pac.com</t>
  </si>
  <si>
    <t>2PAC</t>
  </si>
  <si>
    <t>jai@presales.app</t>
  </si>
  <si>
    <t>presales.app</t>
  </si>
  <si>
    <t>swami@foodni.com</t>
  </si>
  <si>
    <t>foodni.com</t>
  </si>
  <si>
    <t>FOOD n I.</t>
  </si>
  <si>
    <t>soham.banerjee@qualitykiosk.com</t>
  </si>
  <si>
    <t>hryan@sweeny.com</t>
  </si>
  <si>
    <t>gym.com</t>
  </si>
  <si>
    <t>Gym Solutions LLC</t>
  </si>
  <si>
    <t>pronan@moveworks.ai</t>
  </si>
  <si>
    <t>2024-01-12T17:53:00Z</t>
  </si>
  <si>
    <t>moveworks.com</t>
  </si>
  <si>
    <t>Moveworks</t>
  </si>
  <si>
    <t>nchamberlin@fieldwire.com</t>
  </si>
  <si>
    <t>2024-05-26T20:07:00Z</t>
  </si>
  <si>
    <t>fieldwire.com</t>
  </si>
  <si>
    <t>Fieldwire by Hilti</t>
  </si>
  <si>
    <t>vdecarlo@bandwidth.com</t>
  </si>
  <si>
    <t>2023-12-04T19:34:00Z</t>
  </si>
  <si>
    <t>skendall@foursquare.com</t>
  </si>
  <si>
    <t>2023-03-22T02:35:00Z</t>
  </si>
  <si>
    <t>jmacomber@lumivero.com</t>
  </si>
  <si>
    <t>2024-04-07T18:25:00Z</t>
  </si>
  <si>
    <t>lumivero.com</t>
  </si>
  <si>
    <t>Lumivero</t>
  </si>
  <si>
    <t>npatel@bigid.com</t>
  </si>
  <si>
    <t>2024-03-31T05:39:00Z</t>
  </si>
  <si>
    <t>cporter@prophix.com</t>
  </si>
  <si>
    <t>2023-12-12T01:44:00Z</t>
  </si>
  <si>
    <t>amy.touchstone@actioniq.com</t>
  </si>
  <si>
    <t>2024-01-16T21:10:00Z</t>
  </si>
  <si>
    <t>keshav.kumar@innovaccer.com</t>
  </si>
  <si>
    <t>2022-04-22T13:36:00Z</t>
  </si>
  <si>
    <t>caleb.dow@introhive.com</t>
  </si>
  <si>
    <t>2024-03-22T03:17:00Z</t>
  </si>
  <si>
    <t>scott@getjones.com</t>
  </si>
  <si>
    <t>2024-05-30T02:58:00Z</t>
  </si>
  <si>
    <t>getjones.com</t>
  </si>
  <si>
    <t>Jones Software</t>
  </si>
  <si>
    <t>marriott@csdisco.com</t>
  </si>
  <si>
    <t>2024-06-13T17:01:00Z</t>
  </si>
  <si>
    <t>jeff.gunderson@demandscience.com</t>
  </si>
  <si>
    <t>2024-03-15T12:01:00Z</t>
  </si>
  <si>
    <t>pushkar.ap@yellow.ai</t>
  </si>
  <si>
    <t>2022-05-18T07:27:00Z</t>
  </si>
  <si>
    <t>fiona.norton@bigcommerce.com</t>
  </si>
  <si>
    <t>2024-05-13T16:42:00Z</t>
  </si>
  <si>
    <t>bigcommerce.com</t>
  </si>
  <si>
    <t>BigCommerce</t>
  </si>
  <si>
    <t>audrey.fairbrother@hotelengine.com</t>
  </si>
  <si>
    <t>2022-06-02T20:51:00Z</t>
  </si>
  <si>
    <t>christopher.rudolph@catonetworks.com</t>
  </si>
  <si>
    <t>2023-12-07T00:24:00Z</t>
  </si>
  <si>
    <t>syed.sayem@securiti.ai</t>
  </si>
  <si>
    <t>2022-06-11T11:19:00Z</t>
  </si>
  <si>
    <t>yohai.west@checkmarx.com</t>
  </si>
  <si>
    <t>2023-12-12T06:52:00Z</t>
  </si>
  <si>
    <t>incredibuild.com</t>
  </si>
  <si>
    <t>Incredibuild</t>
  </si>
  <si>
    <t>garima.aneja@grazitti.com</t>
  </si>
  <si>
    <t>2024-06-24T08:13:00Z</t>
  </si>
  <si>
    <t>grazitti.com</t>
  </si>
  <si>
    <t>Grazitti Interactive</t>
  </si>
  <si>
    <t>kirsten.vonderwroge@adroll.com</t>
  </si>
  <si>
    <t>2023-12-01T20:04:00Z</t>
  </si>
  <si>
    <t>adroll.com</t>
  </si>
  <si>
    <t>AdRoll</t>
  </si>
  <si>
    <t>marta.delgado@extend.com</t>
  </si>
  <si>
    <t>2024-05-16T16:09:00Z</t>
  </si>
  <si>
    <t>extend.com</t>
  </si>
  <si>
    <t>Extend</t>
  </si>
  <si>
    <t>anita.lang@paradox.ai</t>
  </si>
  <si>
    <t>2024-06-17T23:15:00Z</t>
  </si>
  <si>
    <t>paradox.ai</t>
  </si>
  <si>
    <t>Paradox, A Workday Company</t>
  </si>
  <si>
    <t>erica.cook@subsplash.com</t>
  </si>
  <si>
    <t>2024-05-21T18:50:00Z</t>
  </si>
  <si>
    <t>ymiller@evercommerce.com</t>
  </si>
  <si>
    <t>2023-12-04T14:40:00Z</t>
  </si>
  <si>
    <t>kschwab@apspayroll.com</t>
  </si>
  <si>
    <t>2024-06-27T13:29:00Z</t>
  </si>
  <si>
    <t>salesrohangoel@gmail.com</t>
  </si>
  <si>
    <t>2022-06-17T03:04:00Z</t>
  </si>
  <si>
    <t>blake.ng@rezdy.com</t>
  </si>
  <si>
    <t>2023-12-01T00:34:00Z</t>
  </si>
  <si>
    <t>chaseparvez@gmail.com</t>
  </si>
  <si>
    <t>2022-06-17T05:39:00Z</t>
  </si>
  <si>
    <t>manikyala.dirisala@covalensedigital.com</t>
  </si>
  <si>
    <t>2022-06-17T17:13:00Z</t>
  </si>
  <si>
    <t>covalensedigital.com</t>
  </si>
  <si>
    <t>Covalensedigital</t>
  </si>
  <si>
    <t>jayesh.mathur@vfirst.com</t>
  </si>
  <si>
    <t>2022-06-19T04:34:00Z</t>
  </si>
  <si>
    <t>prashanth.bavimane@blumeglobal.com</t>
  </si>
  <si>
    <t>2023-07-21T05:55:00Z</t>
  </si>
  <si>
    <t>blumeglobal.com</t>
  </si>
  <si>
    <t>Blume Global</t>
  </si>
  <si>
    <t>sejalbajaria@hotmail.com</t>
  </si>
  <si>
    <t>2022-06-21T01:21:00Z</t>
  </si>
  <si>
    <t>katarzynac@cubictelecom.com</t>
  </si>
  <si>
    <t>2022-06-21T20:18:00Z</t>
  </si>
  <si>
    <t>cubictelecom.com</t>
  </si>
  <si>
    <t>Cubic Telecom</t>
  </si>
  <si>
    <t>ahmed.zia143@gmail.com</t>
  </si>
  <si>
    <t>2022-06-21T23:21:00Z</t>
  </si>
  <si>
    <t>ahmed.mamdouh.nassar@gmail.com</t>
  </si>
  <si>
    <t>2022-06-22T08:42:00Z</t>
  </si>
  <si>
    <t>singh.satvinder90@gmail.com</t>
  </si>
  <si>
    <t>2022-06-23T08:37:00Z</t>
  </si>
  <si>
    <t>maria.klonz@brandwatch.com</t>
  </si>
  <si>
    <t>2022-06-23T19:34:00Z</t>
  </si>
  <si>
    <t>okw714@yahoo.com</t>
  </si>
  <si>
    <t>2022-06-25T08:33:00Z</t>
  </si>
  <si>
    <t>rakeshravishankar@gmail.com</t>
  </si>
  <si>
    <t>2022-06-25T12:06:00Z</t>
  </si>
  <si>
    <t>laxmandhamsam@gmail.com</t>
  </si>
  <si>
    <t>2022-06-27T17:22:00Z</t>
  </si>
  <si>
    <t>dturpel@cordial.com</t>
  </si>
  <si>
    <t>2022-06-27T19:47:00Z</t>
  </si>
  <si>
    <t>cordial.com</t>
  </si>
  <si>
    <t>Cordial</t>
  </si>
  <si>
    <t>ferdina@leena.ai</t>
  </si>
  <si>
    <t>2024-05-28T15:21:00Z</t>
  </si>
  <si>
    <t>leena.ai</t>
  </si>
  <si>
    <t>Leena AI</t>
  </si>
  <si>
    <t>amit.agarwal@algonomy.com</t>
  </si>
  <si>
    <t>2022-06-29T14:05:00Z</t>
  </si>
  <si>
    <t>algonomy.com</t>
  </si>
  <si>
    <t>Algonomy</t>
  </si>
  <si>
    <t>monique.johnson@brightedge.com</t>
  </si>
  <si>
    <t>2023-03-03T22:27:00Z</t>
  </si>
  <si>
    <t>somya.singh@skuad.io</t>
  </si>
  <si>
    <t>2024-05-23T11:10:00Z</t>
  </si>
  <si>
    <t>cgosnear@triplelift.com</t>
  </si>
  <si>
    <t>2024-03-26T20:38:00Z</t>
  </si>
  <si>
    <t>echin@abnormalsecurity.com</t>
  </si>
  <si>
    <t>2024-05-17T15:35:00Z</t>
  </si>
  <si>
    <t>ryan.geidner@appfolio.com</t>
  </si>
  <si>
    <t>2024-06-24T16:27:00Z</t>
  </si>
  <si>
    <t>chloe.goldstein@menlosecurity.com</t>
  </si>
  <si>
    <t>2023-06-08T18:52:00Z</t>
  </si>
  <si>
    <t>menlosecurity.com</t>
  </si>
  <si>
    <t>Menlo Security Inc.</t>
  </si>
  <si>
    <t>danny.korrs@netradyne.com</t>
  </si>
  <si>
    <t>2023-05-09T04:11:00Z</t>
  </si>
  <si>
    <t>netradyne.com</t>
  </si>
  <si>
    <t>Netradyne</t>
  </si>
  <si>
    <t>pomalley@symplr.com</t>
  </si>
  <si>
    <t>2023-09-27T00:41:00Z</t>
  </si>
  <si>
    <t>symplr.com</t>
  </si>
  <si>
    <t>symplr</t>
  </si>
  <si>
    <t>jdesmond@synack.com</t>
  </si>
  <si>
    <t>2024-05-24T21:05:00Z</t>
  </si>
  <si>
    <t>lluckett@synack.com</t>
  </si>
  <si>
    <t>2024-03-19T23:17:00Z</t>
  </si>
  <si>
    <t>david.stelzl@trustwave.com</t>
  </si>
  <si>
    <t>2024-06-18T12:19:00Z</t>
  </si>
  <si>
    <t>trustwave.com</t>
  </si>
  <si>
    <t>Trustwave</t>
  </si>
  <si>
    <t>kwerner@mimecast.com</t>
  </si>
  <si>
    <t>2024-05-22T15:18:00Z</t>
  </si>
  <si>
    <t>mimecast.com</t>
  </si>
  <si>
    <t>Mimecast</t>
  </si>
  <si>
    <t>avani.shah@boomi.com</t>
  </si>
  <si>
    <t>2023-12-24T05:19:00Z</t>
  </si>
  <si>
    <t>boomi.com</t>
  </si>
  <si>
    <t>Boomi</t>
  </si>
  <si>
    <t>sstory@missioncloud.com</t>
  </si>
  <si>
    <t>2023-11-30T23:26:00Z</t>
  </si>
  <si>
    <t>henri.veijola@supermetrics.com</t>
  </si>
  <si>
    <t>2023-12-01T16:41:00Z</t>
  </si>
  <si>
    <t>cbeetham@touchbistro.com</t>
  </si>
  <si>
    <t>2023-12-13T03:44:00Z</t>
  </si>
  <si>
    <t>touchbistro.com</t>
  </si>
  <si>
    <t>TouchBistro</t>
  </si>
  <si>
    <t>alex.stark@appian.com</t>
  </si>
  <si>
    <t>2023-10-18T00:46:00Z</t>
  </si>
  <si>
    <t>kevin.brower@pattern.com</t>
  </si>
  <si>
    <t>2024-02-20T22:12:00Z</t>
  </si>
  <si>
    <t>pattern.com</t>
  </si>
  <si>
    <t>Pattern</t>
  </si>
  <si>
    <t>harshita.b@42gears.com</t>
  </si>
  <si>
    <t>2024-06-24T18:36:00Z</t>
  </si>
  <si>
    <t>42gears.com</t>
  </si>
  <si>
    <t>42Gears Mobility Systems Pvt Ltd.</t>
  </si>
  <si>
    <t>achinoam.k@appsflyer.com</t>
  </si>
  <si>
    <t>2024-03-21T07:45:00Z</t>
  </si>
  <si>
    <t>michele.defonzo@intentsify.io</t>
  </si>
  <si>
    <t>2024-02-21T15:56:00Z</t>
  </si>
  <si>
    <t>mlevick@aurorasolar.com</t>
  </si>
  <si>
    <t>2024-04-04T17:47:00Z</t>
  </si>
  <si>
    <t>courtney.davis@oeconnection.com</t>
  </si>
  <si>
    <t>2024-06-21T13:39:00Z</t>
  </si>
  <si>
    <t>oeconnection.com</t>
  </si>
  <si>
    <t>OEC</t>
  </si>
  <si>
    <t>garrett.kelly@fivetran.com</t>
  </si>
  <si>
    <t>2024-02-10T00:08:00Z</t>
  </si>
  <si>
    <t>fivetran.com</t>
  </si>
  <si>
    <t>Fivetran</t>
  </si>
  <si>
    <t>rhughes@vizrt.com</t>
  </si>
  <si>
    <t>2023-06-16T14:51:00Z</t>
  </si>
  <si>
    <t>vizrt.com</t>
  </si>
  <si>
    <t>Vizrt</t>
  </si>
  <si>
    <t>jesse@streamsets.com</t>
  </si>
  <si>
    <t>2024-01-23T16:07:00Z</t>
  </si>
  <si>
    <t>streamsets.com</t>
  </si>
  <si>
    <t>StreamSets Inc.</t>
  </si>
  <si>
    <t>markb@azuga.com</t>
  </si>
  <si>
    <t>2024-05-31T12:08:00Z</t>
  </si>
  <si>
    <t>azuga.com</t>
  </si>
  <si>
    <t>Azuga, Inc.</t>
  </si>
  <si>
    <t>ycoquia@csod.com</t>
  </si>
  <si>
    <t>2024-02-03T02:55:00Z</t>
  </si>
  <si>
    <t>cornerstoneondemand.com</t>
  </si>
  <si>
    <t>Cornerstone OnDemand</t>
  </si>
  <si>
    <t>amarnath.rajan@appsflyer.com</t>
  </si>
  <si>
    <t>2023-12-05T10:33:00Z</t>
  </si>
  <si>
    <t>dhrubajyothi.sarkar@inmobi.com</t>
  </si>
  <si>
    <t>2023-12-10T07:48:00Z</t>
  </si>
  <si>
    <t>inmobi.com</t>
  </si>
  <si>
    <t>InMobi</t>
  </si>
  <si>
    <t>rishi.sarma@solarwinds.com</t>
  </si>
  <si>
    <t>2024-06-12T13:48:00Z</t>
  </si>
  <si>
    <t>solarwinds.com</t>
  </si>
  <si>
    <t>SolarWinds</t>
  </si>
  <si>
    <t>reisenberg@yotpo.com</t>
  </si>
  <si>
    <t>2024-06-01T13:35:00Z</t>
  </si>
  <si>
    <t>hendrik.schless@lookout.com</t>
  </si>
  <si>
    <t>2024-03-24T13:36:00Z</t>
  </si>
  <si>
    <t>sam.flaster@cyberark.com</t>
  </si>
  <si>
    <t>2024-04-23T04:08:00Z</t>
  </si>
  <si>
    <t>cyberark.com</t>
  </si>
  <si>
    <t>CyberArk</t>
  </si>
  <si>
    <t>david.talaga@dataiku.com</t>
  </si>
  <si>
    <t>2023-10-20T00:49:00Z</t>
  </si>
  <si>
    <t>ayoung@ghx.com</t>
  </si>
  <si>
    <t>2024-06-22T15:32:00Z</t>
  </si>
  <si>
    <t>ghx.com</t>
  </si>
  <si>
    <t>GHX</t>
  </si>
  <si>
    <t>naveed.ahmad@caspio.com</t>
  </si>
  <si>
    <t>2023-04-05T04:29:00Z</t>
  </si>
  <si>
    <t>caspio.com</t>
  </si>
  <si>
    <t>Caspio</t>
  </si>
  <si>
    <t>nari@coupa.com</t>
  </si>
  <si>
    <t>2024-03-03T23:59:00Z</t>
  </si>
  <si>
    <t>coupa.com</t>
  </si>
  <si>
    <t>Coupa</t>
  </si>
  <si>
    <t>frank.toy@ofx.com</t>
  </si>
  <si>
    <t>2024-03-21T18:15:00Z</t>
  </si>
  <si>
    <t>daniel.berman@snyk.io</t>
  </si>
  <si>
    <t>2024-01-12T05:12:00Z</t>
  </si>
  <si>
    <t>snyk.io</t>
  </si>
  <si>
    <t>Snyk</t>
  </si>
  <si>
    <t>savannahmartin@hireez.com</t>
  </si>
  <si>
    <t>2023-12-20T03:20:00Z</t>
  </si>
  <si>
    <t>hireez.com</t>
  </si>
  <si>
    <t>hireEZ</t>
  </si>
  <si>
    <t>aaubley@hired.com</t>
  </si>
  <si>
    <t>2024-01-29T00:28:00Z</t>
  </si>
  <si>
    <t>hired.com</t>
  </si>
  <si>
    <t>Hired</t>
  </si>
  <si>
    <t>ashley.vanniekerk@criticalstart.com</t>
  </si>
  <si>
    <t>2025-03-11T22:15:00Z</t>
  </si>
  <si>
    <t>murtuza.hussain@ziphq.com</t>
  </si>
  <si>
    <t>2024-01-07T16:40:00Z</t>
  </si>
  <si>
    <t>jcameron@diligent.com</t>
  </si>
  <si>
    <t>2023-12-05T06:49:00Z</t>
  </si>
  <si>
    <t>mandy.ince@achievers.com</t>
  </si>
  <si>
    <t>2023-12-21T17:59:00Z</t>
  </si>
  <si>
    <t>achievers.com</t>
  </si>
  <si>
    <t>Achievers</t>
  </si>
  <si>
    <t>ilorance@telesign.com</t>
  </si>
  <si>
    <t>2023-12-07T01:20:00Z</t>
  </si>
  <si>
    <t>telesign.com</t>
  </si>
  <si>
    <t>Telesign</t>
  </si>
  <si>
    <t>tgreenwood@matterport.com</t>
  </si>
  <si>
    <t>2024-01-29T11:58:00Z</t>
  </si>
  <si>
    <t>matterport.com</t>
  </si>
  <si>
    <t>Matterport</t>
  </si>
  <si>
    <t>jhaskell@nasuni.com</t>
  </si>
  <si>
    <t>2023-06-29T02:13:00Z</t>
  </si>
  <si>
    <t>lquinteiroalves@gitlab.com</t>
  </si>
  <si>
    <t>2023-12-12T02:47:00Z</t>
  </si>
  <si>
    <t>jennifer.bui@dialpad.com</t>
  </si>
  <si>
    <t>2024-01-17T16:07:00Z</t>
  </si>
  <si>
    <t>itzik@gitlab.com</t>
  </si>
  <si>
    <t>2024-01-01T18:36:00Z</t>
  </si>
  <si>
    <t>csparks@attentivemobile.com</t>
  </si>
  <si>
    <t>2024-06-11T22:43:00Z</t>
  </si>
  <si>
    <t>attentive.com</t>
  </si>
  <si>
    <t>Attentive</t>
  </si>
  <si>
    <t>mike@social4you.sg</t>
  </si>
  <si>
    <t>2023-02-13T15:32:00Z</t>
  </si>
  <si>
    <t>social4you.sg</t>
  </si>
  <si>
    <t>Social4You</t>
  </si>
  <si>
    <t>francis.lim@accss.asia</t>
  </si>
  <si>
    <t>2023-02-14T03:46:00Z</t>
  </si>
  <si>
    <t>accss.asia</t>
  </si>
  <si>
    <t>ACCSS Asia</t>
  </si>
  <si>
    <t>alexis.nagle@snapraise.com</t>
  </si>
  <si>
    <t>2024-01-16T18:47:00Z</t>
  </si>
  <si>
    <t>victoria.baldwin@carta.com</t>
  </si>
  <si>
    <t>2023-12-01T18:57:00Z</t>
  </si>
  <si>
    <t>carta.com</t>
  </si>
  <si>
    <t>Carta</t>
  </si>
  <si>
    <t>justin.enns@resolver.com</t>
  </si>
  <si>
    <t>2023-12-04T19:56:00Z</t>
  </si>
  <si>
    <t>kiran@peoplestrong.com</t>
  </si>
  <si>
    <t>2023-02-20T23:52:00Z</t>
  </si>
  <si>
    <t>david.krackow@contractpodai.com</t>
  </si>
  <si>
    <t>2024-05-12T23:41:00Z</t>
  </si>
  <si>
    <t>contractpodai.com</t>
  </si>
  <si>
    <t>ContractPodAi</t>
  </si>
  <si>
    <t>parag.poddar@synaptic.com</t>
  </si>
  <si>
    <t>2023-03-02T09:40:00Z</t>
  </si>
  <si>
    <t>synaptic.com</t>
  </si>
  <si>
    <t>Synaptic</t>
  </si>
  <si>
    <t>josh.rod@similarweb.com</t>
  </si>
  <si>
    <t>2024-01-14T19:23:00Z</t>
  </si>
  <si>
    <t>julian.dawkins@infobip.com</t>
  </si>
  <si>
    <t>2023-07-02T00:53:00Z</t>
  </si>
  <si>
    <t>infobip.com</t>
  </si>
  <si>
    <t>Infobip</t>
  </si>
  <si>
    <t>tali.chuchinsky@similarweb.com</t>
  </si>
  <si>
    <t>2023-12-10T20:02:00Z</t>
  </si>
  <si>
    <t>rebecca.b@miro.com</t>
  </si>
  <si>
    <t>2024-05-06T19:09:00Z</t>
  </si>
  <si>
    <t>miro.com</t>
  </si>
  <si>
    <t>Miro</t>
  </si>
  <si>
    <t>bruce.johnson@cradlepoint.com</t>
  </si>
  <si>
    <t>2024-06-12T17:37:00Z</t>
  </si>
  <si>
    <t>chetali.varshney@calix.com</t>
  </si>
  <si>
    <t>2023-03-02T16:11:00Z</t>
  </si>
  <si>
    <t>calix.com</t>
  </si>
  <si>
    <t>Calix</t>
  </si>
  <si>
    <t>paritosh@gmail.com</t>
  </si>
  <si>
    <t>2023-03-03T17:17:00Z</t>
  </si>
  <si>
    <t>egnyte.com</t>
  </si>
  <si>
    <t>Egnyte</t>
  </si>
  <si>
    <t>vipin.vijayakumaran@kore.com</t>
  </si>
  <si>
    <t>2023-03-06T09:51:00Z</t>
  </si>
  <si>
    <t>prajwal.adappa@sprinklr.com</t>
  </si>
  <si>
    <t>2023-03-09T09:05:00Z</t>
  </si>
  <si>
    <t>gabor.farkas@spryker.com</t>
  </si>
  <si>
    <t>2023-03-09T16:27:00Z</t>
  </si>
  <si>
    <t>spryker.com</t>
  </si>
  <si>
    <t>Spryker</t>
  </si>
  <si>
    <t>nyah.neita@flywire.com</t>
  </si>
  <si>
    <t>2023-12-04T15:00:00Z</t>
  </si>
  <si>
    <t>secarson@merative.com</t>
  </si>
  <si>
    <t>2023-12-25T13:44:00Z</t>
  </si>
  <si>
    <t>mhillard@magnite.com</t>
  </si>
  <si>
    <t>2023-12-01T16:09:00Z</t>
  </si>
  <si>
    <t>magnite.com</t>
  </si>
  <si>
    <t>Magnite</t>
  </si>
  <si>
    <t>sneha.sharma@bhnetwork.com</t>
  </si>
  <si>
    <t>2023-05-15T12:40:00Z</t>
  </si>
  <si>
    <t>blackhawknetwork.com</t>
  </si>
  <si>
    <t>Blackhawk Network</t>
  </si>
  <si>
    <t>lucie.casamitjana@skello.io</t>
  </si>
  <si>
    <t>2023-07-05T11:18:00Z</t>
  </si>
  <si>
    <t>skello.io</t>
  </si>
  <si>
    <t>Skello</t>
  </si>
  <si>
    <t>rozi.buber@lytx.com</t>
  </si>
  <si>
    <t>2023-04-13T11:03:00Z</t>
  </si>
  <si>
    <t>lytx.com</t>
  </si>
  <si>
    <t>Lytx, Inc.</t>
  </si>
  <si>
    <t>christopher.ottman@coconutsoftware.com</t>
  </si>
  <si>
    <t>2023-03-30T19:26:00Z</t>
  </si>
  <si>
    <t>coconutsoftware.com</t>
  </si>
  <si>
    <t>Coconut Software</t>
  </si>
  <si>
    <t>henry@nerdbug.io</t>
  </si>
  <si>
    <t>2023-03-31T15:09:00Z</t>
  </si>
  <si>
    <t>nerdbug.io</t>
  </si>
  <si>
    <t>Nerdbug</t>
  </si>
  <si>
    <t>praveenm@lambdatest.com</t>
  </si>
  <si>
    <t>2023-04-04T07:33:00Z</t>
  </si>
  <si>
    <t>ravindraprajapatt@gmail.com</t>
  </si>
  <si>
    <t>2023-04-06T12:42:00Z</t>
  </si>
  <si>
    <t>eclinicalworks.com</t>
  </si>
  <si>
    <t>eClinicalWorks</t>
  </si>
  <si>
    <t>imazal@cegid.com</t>
  </si>
  <si>
    <t>2023-04-07T12:02:00Z</t>
  </si>
  <si>
    <t>shivani.s@greyorange.com</t>
  </si>
  <si>
    <t>2023-04-24T11:23:00Z</t>
  </si>
  <si>
    <t>subhasis.sahoo@cashfree.com</t>
  </si>
  <si>
    <t>2023-04-12T04:12:00Z</t>
  </si>
  <si>
    <t>waisau.sit@druva.com</t>
  </si>
  <si>
    <t>2023-04-14T04:11:00Z</t>
  </si>
  <si>
    <t>prachi.sharma@greytip.com</t>
  </si>
  <si>
    <t>2023-04-19T19:04:00Z</t>
  </si>
  <si>
    <t>carolina.salome@king.com</t>
  </si>
  <si>
    <t>2023-04-25T10:01:00Z</t>
  </si>
  <si>
    <t>king.com</t>
  </si>
  <si>
    <t>King.com Ltd.</t>
  </si>
  <si>
    <t>camille@modjo.ai</t>
  </si>
  <si>
    <t>2023-04-25T19:02:00Z</t>
  </si>
  <si>
    <t>modjo.ai</t>
  </si>
  <si>
    <t>Modjo</t>
  </si>
  <si>
    <t>klara@coursera.org</t>
  </si>
  <si>
    <t>2023-12-08T05:34:00Z</t>
  </si>
  <si>
    <t>cottesen@rechargeapps.com</t>
  </si>
  <si>
    <t>2023-05-03T23:00:00Z</t>
  </si>
  <si>
    <t>rechargepayments.com</t>
  </si>
  <si>
    <t>Recharge</t>
  </si>
  <si>
    <t>collin.rhea@aptean.com</t>
  </si>
  <si>
    <t>2024-06-13T16:19:00Z</t>
  </si>
  <si>
    <t>aptean.com</t>
  </si>
  <si>
    <t>Aptean</t>
  </si>
  <si>
    <t>ariels@jfrog.com</t>
  </si>
  <si>
    <t>2023-05-09T20:03:00Z</t>
  </si>
  <si>
    <t>jfrog.com</t>
  </si>
  <si>
    <t>JFrog</t>
  </si>
  <si>
    <t>brandon.flowers@powerfactors.com</t>
  </si>
  <si>
    <t>2024-06-11T12:51:00Z</t>
  </si>
  <si>
    <t>powerfactors.com</t>
  </si>
  <si>
    <t>Power Factors</t>
  </si>
  <si>
    <t>donae.goodrich@adverity.com</t>
  </si>
  <si>
    <t>2024-01-02T18:07:00Z</t>
  </si>
  <si>
    <t>seisenberg@auditboard.com</t>
  </si>
  <si>
    <t>2025-04-02T22:04:00Z</t>
  </si>
  <si>
    <t>tim.busa@vergesense.com</t>
  </si>
  <si>
    <t>2024-01-13T00:33:00Z</t>
  </si>
  <si>
    <t>krystian.kuta@salesmanago.com</t>
  </si>
  <si>
    <t>2023-07-27T17:59:00Z</t>
  </si>
  <si>
    <t>ssalis@tigerconnect.com</t>
  </si>
  <si>
    <t>2024-01-19T23:10:00Z</t>
  </si>
  <si>
    <t>tigerconnect.com</t>
  </si>
  <si>
    <t>TigerConnect</t>
  </si>
  <si>
    <t>b.fletcher@tricentis.com</t>
  </si>
  <si>
    <t>2024-06-10T23:43:00Z</t>
  </si>
  <si>
    <t>tricentis.com</t>
  </si>
  <si>
    <t>Tricentis</t>
  </si>
  <si>
    <t>maja.kowalska@salesmanago.com</t>
  </si>
  <si>
    <t>2023-06-20T10:09:00Z</t>
  </si>
  <si>
    <t>vregla@redpoints.com</t>
  </si>
  <si>
    <t>2023-06-29T16:02:00Z</t>
  </si>
  <si>
    <t>redpoints.com</t>
  </si>
  <si>
    <t>Red Points</t>
  </si>
  <si>
    <t>david.geffen@glassboxdigital.com</t>
  </si>
  <si>
    <t>2023-12-09T22:02:00Z</t>
  </si>
  <si>
    <t>ryan.bazler@nintex.com</t>
  </si>
  <si>
    <t>2024-02-13T21:36:00Z</t>
  </si>
  <si>
    <t>ldb1014@att.net</t>
  </si>
  <si>
    <t>2023-08-08T13:08:00Z</t>
  </si>
  <si>
    <t>goempyrean.com</t>
  </si>
  <si>
    <t>Empyrean</t>
  </si>
  <si>
    <t>michals@nayax.com</t>
  </si>
  <si>
    <t>2024-01-20T18:39:00Z</t>
  </si>
  <si>
    <t>maxime.azoulay@cpe.fr</t>
  </si>
  <si>
    <t>2023-08-12T14:16:00Z</t>
  </si>
  <si>
    <t>cpe.fr</t>
  </si>
  <si>
    <t>CPE Lyon</t>
  </si>
  <si>
    <t>joel.rakes@checkr.com</t>
  </si>
  <si>
    <t>2023-08-15T02:05:00Z</t>
  </si>
  <si>
    <t>advait.makhija@urbanpiper.com</t>
  </si>
  <si>
    <t>2023-08-26T07:17:00Z</t>
  </si>
  <si>
    <t>prashanth.bavimane@wisetechglobal.com</t>
  </si>
  <si>
    <t>2023-08-26T08:20:00Z</t>
  </si>
  <si>
    <t>radhika.kh@media.net</t>
  </si>
  <si>
    <t>2023-09-04T13:55:00Z</t>
  </si>
  <si>
    <t>media.net</t>
  </si>
  <si>
    <t>Media.net</t>
  </si>
  <si>
    <t>timcarlson@forwardnetworks.com</t>
  </si>
  <si>
    <t>2023-12-07T22:08:00Z</t>
  </si>
  <si>
    <t>jennie.cini@flashparking.com</t>
  </si>
  <si>
    <t>2023-09-09T14:04:00Z</t>
  </si>
  <si>
    <t>flashparking.com</t>
  </si>
  <si>
    <t>Flash</t>
  </si>
  <si>
    <t>chiara.difede@birdeye.com</t>
  </si>
  <si>
    <t>2023-12-11T02:15:00Z</t>
  </si>
  <si>
    <t>chad.trabucco@go1.com</t>
  </si>
  <si>
    <t>2024-04-25T06:09:00Z</t>
  </si>
  <si>
    <t>go1.com</t>
  </si>
  <si>
    <t>Go1</t>
  </si>
  <si>
    <t>ethan@triplewhale.com</t>
  </si>
  <si>
    <t>2024-03-17T18:35:00Z</t>
  </si>
  <si>
    <t>yvonne.kular@broadsign.com</t>
  </si>
  <si>
    <t>2024-04-01T18:11:00Z</t>
  </si>
  <si>
    <t>broadsign.com</t>
  </si>
  <si>
    <t>Broadsign</t>
  </si>
  <si>
    <t>lisa.vanderbeck@imply.io</t>
  </si>
  <si>
    <t>2023-11-19T15:09:00Z</t>
  </si>
  <si>
    <t>chris.cavallino@replicant.ai</t>
  </si>
  <si>
    <t>2023-12-15T21:54:00Z</t>
  </si>
  <si>
    <t>vivian.eden@jumpcloud.com</t>
  </si>
  <si>
    <t>2025-03-17T15:05:00Z</t>
  </si>
  <si>
    <t>jumpcloud.com</t>
  </si>
  <si>
    <t>JumpCloud</t>
  </si>
  <si>
    <t>mbushell@aerospike.com</t>
  </si>
  <si>
    <t>2023-12-04T21:31:00Z</t>
  </si>
  <si>
    <t>aubrey.myjer@doordash.com</t>
  </si>
  <si>
    <t>2023-11-28T18:35:00Z</t>
  </si>
  <si>
    <t>sam.lauck@flocksafety.com</t>
  </si>
  <si>
    <t>2023-11-28T19:11:00Z</t>
  </si>
  <si>
    <t>flocksafety.com</t>
  </si>
  <si>
    <t>Flock Safety</t>
  </si>
  <si>
    <t>megan.kemphaus@starburstdata.com</t>
  </si>
  <si>
    <t>2023-11-28T19:42:00Z</t>
  </si>
  <si>
    <t>starburstdata.com</t>
  </si>
  <si>
    <t>Starburst Data</t>
  </si>
  <si>
    <t>myouman@mimecast.com</t>
  </si>
  <si>
    <t>2023-11-29T06:22:00Z</t>
  </si>
  <si>
    <t>gmcgary@surveymonkey.com</t>
  </si>
  <si>
    <t>2023-11-30T00:48:00Z</t>
  </si>
  <si>
    <t>surveymonkey.com</t>
  </si>
  <si>
    <t>SurveyMonkey</t>
  </si>
  <si>
    <t>ryan.nunes@sailpoint.com</t>
  </si>
  <si>
    <t>2023-11-30T19:38:00Z</t>
  </si>
  <si>
    <t>saurabh.khurana@sproutsocial.com</t>
  </si>
  <si>
    <t>2023-11-30T22:35:00Z</t>
  </si>
  <si>
    <t>rob.koehn@ringcentral.com</t>
  </si>
  <si>
    <t>2023-12-01T01:07:00Z</t>
  </si>
  <si>
    <t>ringcentral.com</t>
  </si>
  <si>
    <t>RingCentral</t>
  </si>
  <si>
    <t>alex.collins@wexinc.com</t>
  </si>
  <si>
    <t>2023-12-01T04:21:00Z</t>
  </si>
  <si>
    <t>joseph.joslin@freshworks.com</t>
  </si>
  <si>
    <t>2023-12-02T00:40:00Z</t>
  </si>
  <si>
    <t>freshworks.com</t>
  </si>
  <si>
    <t>Freshworks</t>
  </si>
  <si>
    <t>dorit.oren@sysaid.com</t>
  </si>
  <si>
    <t>2023-12-02T17:40:00Z</t>
  </si>
  <si>
    <t>sc7055@nyu.edu</t>
  </si>
  <si>
    <t>2023-12-02T19:27:00Z</t>
  </si>
  <si>
    <t>nyu.edu</t>
  </si>
  <si>
    <t>left job at basis technology. university email address submitted.</t>
  </si>
  <si>
    <t>New York University</t>
  </si>
  <si>
    <t>jordan.miller@gorgias.com</t>
  </si>
  <si>
    <t>2023-12-04T17:40:00Z</t>
  </si>
  <si>
    <t>sgibson@talroo.com</t>
  </si>
  <si>
    <t>2023-12-04T21:25:00Z</t>
  </si>
  <si>
    <t>knyzova@turnitin.com</t>
  </si>
  <si>
    <t>2023-12-05T13:56:00Z</t>
  </si>
  <si>
    <t>avinash.sinha@freshworks.com</t>
  </si>
  <si>
    <t>2023-12-06T04:18:00Z</t>
  </si>
  <si>
    <t>sonal.sharma@zycus.com</t>
  </si>
  <si>
    <t>2023-12-06T09:56:00Z</t>
  </si>
  <si>
    <t>dorittu@monday.com</t>
  </si>
  <si>
    <t>2023-12-07T15:51:00Z</t>
  </si>
  <si>
    <t>ctowle@esw.com</t>
  </si>
  <si>
    <t>2023-12-07T18:05:00Z</t>
  </si>
  <si>
    <t>esw.com</t>
  </si>
  <si>
    <t>ESW</t>
  </si>
  <si>
    <t>sbezreh@oreilly.com</t>
  </si>
  <si>
    <t>2023-12-08T02:26:00Z</t>
  </si>
  <si>
    <t>inbal.sarig@tipalti.com</t>
  </si>
  <si>
    <t>2023-12-08T14:58:00Z</t>
  </si>
  <si>
    <t>katherine.taylor@aprimo.com</t>
  </si>
  <si>
    <t>2023-12-08T16:30:00Z</t>
  </si>
  <si>
    <t>shobhit.gupta@freshworks.com</t>
  </si>
  <si>
    <t>2023-12-11T11:25:00Z</t>
  </si>
  <si>
    <t>kxdong@alumni.stanford.edu</t>
  </si>
  <si>
    <t>2023-12-12T01:27:00Z</t>
  </si>
  <si>
    <t>fareed.bukhari@okta.com</t>
  </si>
  <si>
    <t>2023-12-12T01:37:00Z</t>
  </si>
  <si>
    <t>okta.com</t>
  </si>
  <si>
    <t>Okta</t>
  </si>
  <si>
    <t>jmaterna@litmus.com</t>
  </si>
  <si>
    <t>2023-12-12T02:46:00Z</t>
  </si>
  <si>
    <t>migr@siteimprove.com</t>
  </si>
  <si>
    <t>2023-12-12T14:51:00Z</t>
  </si>
  <si>
    <t>asahu@netskope.com</t>
  </si>
  <si>
    <t>2023-12-12T15:22:00Z</t>
  </si>
  <si>
    <t>netskope.com</t>
  </si>
  <si>
    <t>Netskope</t>
  </si>
  <si>
    <t>olivia.blahut@ridewithvia.com</t>
  </si>
  <si>
    <t>2023-12-12T17:49:00Z</t>
  </si>
  <si>
    <t>ridewithvia.com</t>
  </si>
  <si>
    <t>Via</t>
  </si>
  <si>
    <t>trevor.rasmussen@deluxe.com</t>
  </si>
  <si>
    <t>2023-12-12T21:02:00Z</t>
  </si>
  <si>
    <t>sadyanthaya@cvent.com</t>
  </si>
  <si>
    <t>2023-12-13T14:05:00Z</t>
  </si>
  <si>
    <t>sankalp.naranje@getblueshift.com</t>
  </si>
  <si>
    <t>2023-12-14T16:44:00Z</t>
  </si>
  <si>
    <t>blueshift.com</t>
  </si>
  <si>
    <t>Blueshift</t>
  </si>
  <si>
    <t>nirvik.mitter@360smsapp.com</t>
  </si>
  <si>
    <t>2024-04-02T07:39:00Z</t>
  </si>
  <si>
    <t>360degreecloud.com</t>
  </si>
  <si>
    <t>360 Degree Cloud Technologies Pvt. Ltd.</t>
  </si>
  <si>
    <t>aarona@genesisdigital.co</t>
  </si>
  <si>
    <t>2023-12-15T00:07:00Z</t>
  </si>
  <si>
    <t>parth.choudhury@birdeye.com</t>
  </si>
  <si>
    <t>2023-12-18T06:28:00Z</t>
  </si>
  <si>
    <t>chelsea.davis@upstack.com</t>
  </si>
  <si>
    <t>2023-12-19T17:27:00Z</t>
  </si>
  <si>
    <t>upstack.com</t>
  </si>
  <si>
    <t>UPSTACK</t>
  </si>
  <si>
    <t>alex.gammelgard@rollworks.com</t>
  </si>
  <si>
    <t>2023-12-11T23:42:00Z</t>
  </si>
  <si>
    <t>rwilliams@firstlight.net</t>
  </si>
  <si>
    <t>2023-12-19T23:17:00Z</t>
  </si>
  <si>
    <t>apurva.mahendra@snowsoftware.com</t>
  </si>
  <si>
    <t>2023-12-20T04:13:00Z</t>
  </si>
  <si>
    <t>snowsoftware.com</t>
  </si>
  <si>
    <t>Snow Software</t>
  </si>
  <si>
    <t>skrisht1@binghamton.edu</t>
  </si>
  <si>
    <t>2023-12-21T18:08:00Z</t>
  </si>
  <si>
    <t>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</si>
  <si>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</si>
  <si>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</si>
  <si>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doug.paolillo@openx.com</t>
  </si>
  <si>
    <t>2023-12-22T17:07:00Z</t>
  </si>
  <si>
    <t>ilke@apexchat.com</t>
  </si>
  <si>
    <t>2023-12-24T08:09:00Z</t>
  </si>
  <si>
    <t>asher.benbenisty@algosec.com</t>
  </si>
  <si>
    <t>2023-12-24T13:34:00Z</t>
  </si>
  <si>
    <t>clint@carwars.com</t>
  </si>
  <si>
    <t>2024-05-24T20:53:00Z</t>
  </si>
  <si>
    <t>carwars.com</t>
  </si>
  <si>
    <t>Car Wars</t>
  </si>
  <si>
    <t>emiller@convoso.com</t>
  </si>
  <si>
    <t>2024-01-02T17:12:00Z</t>
  </si>
  <si>
    <t>meg.barnes@flexe.com</t>
  </si>
  <si>
    <t>2024-01-02T17:14:00Z</t>
  </si>
  <si>
    <t>leeann.kincal@resolver.com</t>
  </si>
  <si>
    <t>2024-01-03T16:12:00Z</t>
  </si>
  <si>
    <t>x.qin@hq.bill.com</t>
  </si>
  <si>
    <t>2024-01-10T22:56:00Z</t>
  </si>
  <si>
    <t>mary.correnti@replicant.ai</t>
  </si>
  <si>
    <t>2024-01-11T02:22:00Z</t>
  </si>
  <si>
    <t>rnewman@quid.com</t>
  </si>
  <si>
    <t>2024-01-11T13:56:00Z</t>
  </si>
  <si>
    <t>daniel.behrman@grammarly.com</t>
  </si>
  <si>
    <t>2024-01-11T19:47:00Z</t>
  </si>
  <si>
    <t>tom.mcconnon@intelex.com</t>
  </si>
  <si>
    <t>2024-01-11T22:29:00Z</t>
  </si>
  <si>
    <t>rinel.levitin@tapclicks.com</t>
  </si>
  <si>
    <t>2024-01-12T18:32:00Z</t>
  </si>
  <si>
    <t>jgibson@defswarm.com</t>
  </si>
  <si>
    <t>2024-01-13T13:35:00Z</t>
  </si>
  <si>
    <t>defswarm.com</t>
  </si>
  <si>
    <t>freelance product marketer at AI The AI Helpdesk. junk email address submitted</t>
  </si>
  <si>
    <t>Defswarm</t>
  </si>
  <si>
    <t>laura.zwickl@learninga-z.com</t>
  </si>
  <si>
    <t>2024-01-13T19:10:00Z</t>
  </si>
  <si>
    <t>learninga-z.com</t>
  </si>
  <si>
    <t>Learning A-Z</t>
  </si>
  <si>
    <t>aisling@telnyx.com</t>
  </si>
  <si>
    <t>2024-01-15T10:51:00Z</t>
  </si>
  <si>
    <t>sarah@redoxengine.com</t>
  </si>
  <si>
    <t>2024-01-16T13:58:00Z</t>
  </si>
  <si>
    <t>sonalis@clickworth.io</t>
  </si>
  <si>
    <t>2024-01-17T19:30:00Z</t>
  </si>
  <si>
    <t>clickworth.io</t>
  </si>
  <si>
    <t>vishwesh.margasahayam@softwareag.com</t>
  </si>
  <si>
    <t>2024-01-18T15:42:00Z</t>
  </si>
  <si>
    <t>softwareag.com</t>
  </si>
  <si>
    <t>Software AG</t>
  </si>
  <si>
    <t>jgoode@veritone.com</t>
  </si>
  <si>
    <t>2024-01-18T17:32:00Z</t>
  </si>
  <si>
    <t>annadgorbunova@enablemybusiness.com</t>
  </si>
  <si>
    <t>2024-01-18T20:36:00Z</t>
  </si>
  <si>
    <t>enablemybusiness.com</t>
  </si>
  <si>
    <t>wrong email address, left the job</t>
  </si>
  <si>
    <t>Enablemybusiness</t>
  </si>
  <si>
    <t>alison.hayter@loopio.com</t>
  </si>
  <si>
    <t>2024-01-19T14:46:00Z</t>
  </si>
  <si>
    <t>karlhenrik@newrelic.com</t>
  </si>
  <si>
    <t>2024-01-19T17:08:00Z</t>
  </si>
  <si>
    <t>bernard.cohen@rockwellautomation.com</t>
  </si>
  <si>
    <t>2024-01-19T22:18:00Z</t>
  </si>
  <si>
    <t>emily.benham@dynatrace.com</t>
  </si>
  <si>
    <t>2024-01-21T10:16:00Z</t>
  </si>
  <si>
    <t>dynatrace.com</t>
  </si>
  <si>
    <t>Dynatrace</t>
  </si>
  <si>
    <t>alina.sharon-green@lusha.com</t>
  </si>
  <si>
    <t>2024-01-21T12:51:00Z</t>
  </si>
  <si>
    <t>elise.p@medisafe.com</t>
  </si>
  <si>
    <t>2024-01-23T00:43:00Z</t>
  </si>
  <si>
    <t>ymoazzam@varonis.com</t>
  </si>
  <si>
    <t>2024-01-23T13:42:00Z</t>
  </si>
  <si>
    <t>varonis.com</t>
  </si>
  <si>
    <t>Varonis</t>
  </si>
  <si>
    <t>vpere073@fiu.edu</t>
  </si>
  <si>
    <t>2024-01-24T15:58:00Z</t>
  </si>
  <si>
    <t>fiu.edu</t>
  </si>
  <si>
    <t>less than 3 years of experience in PMM</t>
  </si>
  <si>
    <t>Florida International University</t>
  </si>
  <si>
    <t>agoode@liveperson.com</t>
  </si>
  <si>
    <t>2024-01-24T16:31:00Z</t>
  </si>
  <si>
    <t>mfollis@softheon.com</t>
  </si>
  <si>
    <t>2024-01-24T22:31:00Z</t>
  </si>
  <si>
    <t>philippe.caradonna@e-hps.com</t>
  </si>
  <si>
    <t>2024-01-26T22:19:00Z</t>
  </si>
  <si>
    <t>daniel.odowd@optimizely.com</t>
  </si>
  <si>
    <t>2024-01-27T18:50:00Z</t>
  </si>
  <si>
    <t>ryan.cushman@realpage.com</t>
  </si>
  <si>
    <t>2024-01-28T00:24:00Z</t>
  </si>
  <si>
    <t>mark.fuller@labster.com</t>
  </si>
  <si>
    <t>2024-01-29T21:43:00Z</t>
  </si>
  <si>
    <t>fiyer@obsidiansecurity.com</t>
  </si>
  <si>
    <t>2024-01-29T23:51:00Z</t>
  </si>
  <si>
    <t>jfr@templafy.com</t>
  </si>
  <si>
    <t>2024-01-30T04:42:00Z</t>
  </si>
  <si>
    <t>templafy.com</t>
  </si>
  <si>
    <t>Templafy</t>
  </si>
  <si>
    <t>john_conder2@intuit.com</t>
  </si>
  <si>
    <t>2024-01-31T00:40:00Z</t>
  </si>
  <si>
    <t>michellelee@nextdoor.com</t>
  </si>
  <si>
    <t>2024-01-31T02:17:00Z</t>
  </si>
  <si>
    <t>nextdoor.com</t>
  </si>
  <si>
    <t>Nextdoor</t>
  </si>
  <si>
    <t>yee-ann.lee@external.contentful.com</t>
  </si>
  <si>
    <t>2024-02-01T23:08:00Z</t>
  </si>
  <si>
    <t>contentful.com</t>
  </si>
  <si>
    <t>Contentful</t>
  </si>
  <si>
    <t>glee@rxbenefits.com</t>
  </si>
  <si>
    <t>2024-02-02T21:45:00Z</t>
  </si>
  <si>
    <t>jford@zuora.com</t>
  </si>
  <si>
    <t>2024-02-03T04:00:00Z</t>
  </si>
  <si>
    <t>dannalyn.prado@basis.com</t>
  </si>
  <si>
    <t>2024-02-03T02:43:00Z</t>
  </si>
  <si>
    <t>basis.com</t>
  </si>
  <si>
    <t>Basis Technologies</t>
  </si>
  <si>
    <t>zander.kyba@audienceview.com</t>
  </si>
  <si>
    <t>2024-02-04T21:00:00Z</t>
  </si>
  <si>
    <t>audienceview.com</t>
  </si>
  <si>
    <t>AudienceView</t>
  </si>
  <si>
    <t>serank@uci.edu</t>
  </si>
  <si>
    <t>2024-02-08T18:13:00Z</t>
  </si>
  <si>
    <t>uci.edu</t>
  </si>
  <si>
    <t>University Of California, Irvine</t>
  </si>
  <si>
    <t>susan.zou@kargo.com</t>
  </si>
  <si>
    <t>2024-02-09T09:05:00Z</t>
  </si>
  <si>
    <t>kargo.com</t>
  </si>
  <si>
    <t>Kargo</t>
  </si>
  <si>
    <t>rex.robinson@trulioo.com</t>
  </si>
  <si>
    <t>2024-02-09T22:12:00Z</t>
  </si>
  <si>
    <t>colin.daymude@calendly.com</t>
  </si>
  <si>
    <t>2024-02-22T18:20:00Z</t>
  </si>
  <si>
    <t>mary.baird@hach.com</t>
  </si>
  <si>
    <t>2024-02-13T21:04:00Z</t>
  </si>
  <si>
    <t>sharadhi.patel@joinhandshake.com</t>
  </si>
  <si>
    <t>2024-02-14T21:02:00Z</t>
  </si>
  <si>
    <t>joinhandshake.com</t>
  </si>
  <si>
    <t>Handshake</t>
  </si>
  <si>
    <t>shailesh@hubilo.com</t>
  </si>
  <si>
    <t>2024-03-25T05:52:00Z</t>
  </si>
  <si>
    <t>mgeigle@stackoverflow.com</t>
  </si>
  <si>
    <t>2024-02-15T19:46:00Z</t>
  </si>
  <si>
    <t>hema.balaraman@solace.com</t>
  </si>
  <si>
    <t>2024-05-15T16:13:00Z</t>
  </si>
  <si>
    <t>solace.com</t>
  </si>
  <si>
    <t>Solace</t>
  </si>
  <si>
    <t>amymo@checkpoint.com</t>
  </si>
  <si>
    <t>2024-02-17T15:03:00Z</t>
  </si>
  <si>
    <t>checkpoint.com</t>
  </si>
  <si>
    <t>Check Point Software</t>
  </si>
  <si>
    <t>sam.moody@hibob.io</t>
  </si>
  <si>
    <t>2023-06-25T17:57:00Z</t>
  </si>
  <si>
    <t>m.peters@f5.com</t>
  </si>
  <si>
    <t>2024-02-18T18:20:00Z</t>
  </si>
  <si>
    <t>oliver.tree@mongodb.com</t>
  </si>
  <si>
    <t>2024-02-20T16:37:00Z</t>
  </si>
  <si>
    <t>mongodb.com</t>
  </si>
  <si>
    <t>MongoDB</t>
  </si>
  <si>
    <t>gourav.mazumder@kore.com</t>
  </si>
  <si>
    <t>2024-02-20T23:42:00Z</t>
  </si>
  <si>
    <t>Closed-lost deal in dec 2023</t>
  </si>
  <si>
    <t>meagan.karen.davis@hunters.ai</t>
  </si>
  <si>
    <t>2024-04-23T16:38:00Z</t>
  </si>
  <si>
    <t>ray.lin@tpisoftware.com</t>
  </si>
  <si>
    <t>2024-02-22T12:34:00Z</t>
  </si>
  <si>
    <t>jason.kaska@dronedeploy.com</t>
  </si>
  <si>
    <t>2024-02-22T13:50:00Z</t>
  </si>
  <si>
    <t>m.aljabery@aumet.com</t>
  </si>
  <si>
    <t>2024-02-22T20:43:00Z</t>
  </si>
  <si>
    <t>Junior level job title</t>
  </si>
  <si>
    <t>aviram.kadosh@gigaspaces.com</t>
  </si>
  <si>
    <t>2024-02-23T12:01:00Z</t>
  </si>
  <si>
    <t>jamie.b@pecan.ai</t>
  </si>
  <si>
    <t>2024-02-24T18:47:00Z</t>
  </si>
  <si>
    <t>aleesia.haverdink@brandlive.com</t>
  </si>
  <si>
    <t>2024-02-25T16:09:00Z</t>
  </si>
  <si>
    <t>brandlive.com</t>
  </si>
  <si>
    <t>Brandlive</t>
  </si>
  <si>
    <t>sunil.arora@optiva.com</t>
  </si>
  <si>
    <t>2024-02-26T04:12:00Z</t>
  </si>
  <si>
    <t>optiva.com</t>
  </si>
  <si>
    <t>Optiva</t>
  </si>
  <si>
    <t>ethan@ignitionapp.com</t>
  </si>
  <si>
    <t>2024-02-26T09:02:00Z</t>
  </si>
  <si>
    <t>matt.crawford@health.telstra.com</t>
  </si>
  <si>
    <t>2024-05-01T07:52:00Z</t>
  </si>
  <si>
    <t>telstrahealth.com</t>
  </si>
  <si>
    <t>Telstra Health</t>
  </si>
  <si>
    <t>j.joy@revizto.com</t>
  </si>
  <si>
    <t>2024-02-26T10:52:00Z</t>
  </si>
  <si>
    <t>revizto.com</t>
  </si>
  <si>
    <t>Revizto</t>
  </si>
  <si>
    <t>umair.ahmed@acronis.com</t>
  </si>
  <si>
    <t>2024-05-12T14:36:00Z</t>
  </si>
  <si>
    <t>acronis.com</t>
  </si>
  <si>
    <t>Acronis</t>
  </si>
  <si>
    <t>chetan.borkar@arconnet.com</t>
  </si>
  <si>
    <t>2024-02-28T11:52:00Z</t>
  </si>
  <si>
    <t>arconnet.com</t>
  </si>
  <si>
    <t>ARCON</t>
  </si>
  <si>
    <t>yatendra.varma@xeno.in</t>
  </si>
  <si>
    <t>2024-02-28T16:00:00Z</t>
  </si>
  <si>
    <t>getxeno.com</t>
  </si>
  <si>
    <t>presales persona</t>
  </si>
  <si>
    <t>Xeno</t>
  </si>
  <si>
    <t>dheeraj.kausshik@myadrenalin.com</t>
  </si>
  <si>
    <t>2024-02-29T06:39:00Z</t>
  </si>
  <si>
    <t>myadrenalin.com</t>
  </si>
  <si>
    <t>Adrenalin.hr</t>
  </si>
  <si>
    <t>s.nitinbhatnagar@resulticks.com</t>
  </si>
  <si>
    <t>2024-03-04T17:29:00Z</t>
  </si>
  <si>
    <t>liza.vedder@prosites.com</t>
  </si>
  <si>
    <t>2024-03-05T02:58:00Z</t>
  </si>
  <si>
    <t>prosites.com</t>
  </si>
  <si>
    <t>ProSites</t>
  </si>
  <si>
    <t>cameron.tousley@eset.com</t>
  </si>
  <si>
    <t>2024-03-05T15:23:00Z</t>
  </si>
  <si>
    <t>eset.com</t>
  </si>
  <si>
    <t>ESET</t>
  </si>
  <si>
    <t>claudia.andahl@cbsexcels.com</t>
  </si>
  <si>
    <t>2024-03-05T16:26:00Z</t>
  </si>
  <si>
    <t>blueprism.com</t>
  </si>
  <si>
    <t>SS&amp;C Blue Prism</t>
  </si>
  <si>
    <t>surabhi.srivastava@qure.ai</t>
  </si>
  <si>
    <t>2024-03-05T22:56:00Z</t>
  </si>
  <si>
    <t>qure.ai</t>
  </si>
  <si>
    <t>Qure.ai</t>
  </si>
  <si>
    <t>itoledano@panaya.com</t>
  </si>
  <si>
    <t>2024-03-31T06:29:00Z</t>
  </si>
  <si>
    <t>panaya.com</t>
  </si>
  <si>
    <t>Panaya</t>
  </si>
  <si>
    <t>dan.cohen@ezcater.com</t>
  </si>
  <si>
    <t>2024-05-23T16:38:00Z</t>
  </si>
  <si>
    <t>ezcater.com</t>
  </si>
  <si>
    <t>ezCater</t>
  </si>
  <si>
    <t>candace.taber@granicus.com</t>
  </si>
  <si>
    <t>2024-03-18T17:07:00Z</t>
  </si>
  <si>
    <t>granicus.com</t>
  </si>
  <si>
    <t>Granicus</t>
  </si>
  <si>
    <t>talia@swiftly.com</t>
  </si>
  <si>
    <t>2024-04-17T19:30:00Z</t>
  </si>
  <si>
    <t>kpatalano@justworks.com</t>
  </si>
  <si>
    <t>2024-03-07T21:19:00Z</t>
  </si>
  <si>
    <t>natalie.weil@resy.com</t>
  </si>
  <si>
    <t>resy.com</t>
  </si>
  <si>
    <t>Resy</t>
  </si>
  <si>
    <t>ken.naito@operto.com</t>
  </si>
  <si>
    <t>2024-03-08T00:46:00Z</t>
  </si>
  <si>
    <t>nakul.kothari@juspay.in</t>
  </si>
  <si>
    <t>2024-03-10T13:37:00Z</t>
  </si>
  <si>
    <t>tugrul.altiner@akinon.com</t>
  </si>
  <si>
    <t>2024-03-11T02:10:00Z</t>
  </si>
  <si>
    <t>akinon.com</t>
  </si>
  <si>
    <t>Akinon</t>
  </si>
  <si>
    <t>david.zion@agilitypr.com</t>
  </si>
  <si>
    <t>2024-03-11T13:15:00Z</t>
  </si>
  <si>
    <t>jayesh.menon@argano.com</t>
  </si>
  <si>
    <t>2024-03-12T11:36:00Z</t>
  </si>
  <si>
    <t>argano.com</t>
  </si>
  <si>
    <t>Argano</t>
  </si>
  <si>
    <t>jeff@headspin.io</t>
  </si>
  <si>
    <t>2024-03-12T12:09:00Z</t>
  </si>
  <si>
    <t>joshua.schultz@zayzoon.com</t>
  </si>
  <si>
    <t>2024-03-13T01:44:00Z</t>
  </si>
  <si>
    <t>zayzoon.com</t>
  </si>
  <si>
    <t>Zayzoon</t>
  </si>
  <si>
    <t>ronakmodi@fynd.com</t>
  </si>
  <si>
    <t>2024-03-13T19:31:00Z</t>
  </si>
  <si>
    <t>fynd.com</t>
  </si>
  <si>
    <t>Fynd (Shopsense Retail Technologies Ltd.)</t>
  </si>
  <si>
    <t>cbodenmiller@cas.org</t>
  </si>
  <si>
    <t>2024-04-06T22:33:00Z</t>
  </si>
  <si>
    <t>cas.org</t>
  </si>
  <si>
    <t>CAS</t>
  </si>
  <si>
    <t>sean.tynan@rossum.ai</t>
  </si>
  <si>
    <t>2024-03-15T00:29:00Z</t>
  </si>
  <si>
    <t>arpit.purohit@shipsy.io</t>
  </si>
  <si>
    <t>2024-03-17T19:50:00Z</t>
  </si>
  <si>
    <t>soumya@facilio.com</t>
  </si>
  <si>
    <t>2024-04-02T10:41:00Z</t>
  </si>
  <si>
    <t>lauren.larose@growthspace.com</t>
  </si>
  <si>
    <t>2024-03-15T14:36:00Z</t>
  </si>
  <si>
    <t>growthspace.com</t>
  </si>
  <si>
    <t>Growthspace</t>
  </si>
  <si>
    <t>peter.noll@avispl.com</t>
  </si>
  <si>
    <t>2024-03-15T17:37:00Z</t>
  </si>
  <si>
    <t>avispl.com</t>
  </si>
  <si>
    <t>AVI-SPL</t>
  </si>
  <si>
    <t>anas.swar@noibu.com</t>
  </si>
  <si>
    <t>2024-03-15T18:35:00Z</t>
  </si>
  <si>
    <t>lauren.craigie@cortex.io</t>
  </si>
  <si>
    <t>2024-03-16T00:00:00Z</t>
  </si>
  <si>
    <t>cortex.io</t>
  </si>
  <si>
    <t>Cortex</t>
  </si>
  <si>
    <t>alex.l@respond.io</t>
  </si>
  <si>
    <t>2024-03-16T02:05:00Z</t>
  </si>
  <si>
    <t>respond.io</t>
  </si>
  <si>
    <t>mohsin.mohammed@subex.com</t>
  </si>
  <si>
    <t>2024-03-16T06:24:00Z</t>
  </si>
  <si>
    <t>subex.com</t>
  </si>
  <si>
    <t>Subex</t>
  </si>
  <si>
    <t>arben.morina@cision.com</t>
  </si>
  <si>
    <t>2024-03-16T16:01:00Z</t>
  </si>
  <si>
    <t>ohads@sqream.com</t>
  </si>
  <si>
    <t>2024-03-17T04:36:00Z</t>
  </si>
  <si>
    <t>sqream.com</t>
  </si>
  <si>
    <t>Sqream</t>
  </si>
  <si>
    <t>akshita.kanumury@freshworks.com</t>
  </si>
  <si>
    <t>2024-03-17T10:53:00Z</t>
  </si>
  <si>
    <t>swetha.viriyala@vaave.com</t>
  </si>
  <si>
    <t>2024-03-17T17:03:00Z</t>
  </si>
  <si>
    <t>vaave.com</t>
  </si>
  <si>
    <t>Vaave</t>
  </si>
  <si>
    <t>audrey@getbento.com</t>
  </si>
  <si>
    <t>2024-03-17T19:39:00Z</t>
  </si>
  <si>
    <t>getbento.com</t>
  </si>
  <si>
    <t>BentoBox</t>
  </si>
  <si>
    <t>surbhi.gupta@avalara.com</t>
  </si>
  <si>
    <t>2024-03-18T05:30:00Z</t>
  </si>
  <si>
    <t>avalara.com</t>
  </si>
  <si>
    <t>Avalara</t>
  </si>
  <si>
    <t>delshya@facilio.com</t>
  </si>
  <si>
    <t>2024-03-18T07:02:00Z</t>
  </si>
  <si>
    <t>lachlan.mcritchie@workato.com</t>
  </si>
  <si>
    <t>2024-03-19T01:10:00Z</t>
  </si>
  <si>
    <t>workato.com</t>
  </si>
  <si>
    <t>Workato</t>
  </si>
  <si>
    <t>idant@cymulate.com</t>
  </si>
  <si>
    <t>2024-03-19T13:10:00Z</t>
  </si>
  <si>
    <t>austin@hivebrite.com</t>
  </si>
  <si>
    <t>2024-03-19T13:25:00Z</t>
  </si>
  <si>
    <t>brian.alapatt@chainalysis.com</t>
  </si>
  <si>
    <t>2024-03-19T16:13:00Z</t>
  </si>
  <si>
    <t>chainalysis.com</t>
  </si>
  <si>
    <t>Chainalysis</t>
  </si>
  <si>
    <t>aj.swamy@tinuiti.com</t>
  </si>
  <si>
    <t>2024-03-19T16:48:00Z</t>
  </si>
  <si>
    <t>tinuiti.com</t>
  </si>
  <si>
    <t>Tinuiti</t>
  </si>
  <si>
    <t>lance.pacheco@doordash.com</t>
  </si>
  <si>
    <t>2024-03-19T18:08:00Z</t>
  </si>
  <si>
    <t>madhu@vajro.com</t>
  </si>
  <si>
    <t>2024-03-19T18:22:00Z</t>
  </si>
  <si>
    <t>vajro.com</t>
  </si>
  <si>
    <t>Vajro</t>
  </si>
  <si>
    <t>jonathan.lawrence@preqin.com</t>
  </si>
  <si>
    <t>2024-03-19T19:08:00Z</t>
  </si>
  <si>
    <t>preqin.com</t>
  </si>
  <si>
    <t>Preqin</t>
  </si>
  <si>
    <t>chelsea.malvaso@basis.com</t>
  </si>
  <si>
    <t>2024-03-19T19:13:00Z</t>
  </si>
  <si>
    <t>brick.storts@appzen.com</t>
  </si>
  <si>
    <t>2024-03-19T20:11:00Z</t>
  </si>
  <si>
    <t>victoria.ngolam@crowdstrike.com</t>
  </si>
  <si>
    <t>2024-03-19T20:50:00Z</t>
  </si>
  <si>
    <t>crowdstrike.com</t>
  </si>
  <si>
    <t>CrowdStrike</t>
  </si>
  <si>
    <t>charlie.boyden@nutanix.com</t>
  </si>
  <si>
    <t>2024-03-19T21:10:00Z</t>
  </si>
  <si>
    <t>nutanix.com</t>
  </si>
  <si>
    <t>Nutanix</t>
  </si>
  <si>
    <t>tony.muljadi@bloomreach.com</t>
  </si>
  <si>
    <t>2024-03-20T01:17:00Z</t>
  </si>
  <si>
    <t>jacqulyn.yassen@butterflymx.com</t>
  </si>
  <si>
    <t>2024-03-20T02:59:00Z</t>
  </si>
  <si>
    <t>butterflymx.com</t>
  </si>
  <si>
    <t>ButterflyMX</t>
  </si>
  <si>
    <t>siddhaarth.sivasamy@vwo.com</t>
  </si>
  <si>
    <t>2024-03-20T16:07:00Z</t>
  </si>
  <si>
    <t>Less than 3 years of experience in PMM</t>
  </si>
  <si>
    <t>aleith@lwolf.com</t>
  </si>
  <si>
    <t>2024-03-20T17:21:00Z</t>
  </si>
  <si>
    <t>lwolf.com</t>
  </si>
  <si>
    <t>Lone Wolf Technologies</t>
  </si>
  <si>
    <t>matthew.vallortigara@gumgum.com</t>
  </si>
  <si>
    <t>2024-03-20T17:34:00Z</t>
  </si>
  <si>
    <t>shashank@cypherlearning.com</t>
  </si>
  <si>
    <t>2024-03-21T10:33:00Z</t>
  </si>
  <si>
    <t>cypherlearning.com</t>
  </si>
  <si>
    <t>CYPHER Learning</t>
  </si>
  <si>
    <t>rebecca.lerner@meshpayments.com</t>
  </si>
  <si>
    <t>2024-03-21T20:11:00Z</t>
  </si>
  <si>
    <t>meshpayments.com</t>
  </si>
  <si>
    <t>Mesh Payments</t>
  </si>
  <si>
    <t>anjana.athanikar@onsurity.com</t>
  </si>
  <si>
    <t>2024-03-22T02:32:00Z</t>
  </si>
  <si>
    <t>onsurity.com</t>
  </si>
  <si>
    <t>less than 3 years of experience in pmm</t>
  </si>
  <si>
    <t>Onsurity</t>
  </si>
  <si>
    <t>vaishnavidevi.s@zohocorp.com</t>
  </si>
  <si>
    <t>2024-03-22T06:17:00Z</t>
  </si>
  <si>
    <t>zohocorp.com</t>
  </si>
  <si>
    <t>Zoho Corporation</t>
  </si>
  <si>
    <t>tsteinberger@emoneyadvisor.com</t>
  </si>
  <si>
    <t>2024-03-22T12:58:00Z</t>
  </si>
  <si>
    <t>emoneyadvisor.com</t>
  </si>
  <si>
    <t>eMoney Advisor</t>
  </si>
  <si>
    <t>jacquie@essensys.tech</t>
  </si>
  <si>
    <t>2024-03-22T13:39:00Z</t>
  </si>
  <si>
    <t>sam.pal@pingcap.com</t>
  </si>
  <si>
    <t>2024-03-22T16:42:00Z</t>
  </si>
  <si>
    <t>lironh@activefence.com</t>
  </si>
  <si>
    <t>2024-03-22T18:51:00Z</t>
  </si>
  <si>
    <t>ishwarya@tabsquare.com</t>
  </si>
  <si>
    <t>2024-03-23T03:18:00Z</t>
  </si>
  <si>
    <t>tabsquare.ai</t>
  </si>
  <si>
    <t>TabSquare.AI</t>
  </si>
  <si>
    <t>ramkrishnan.ramani@mongodb.com</t>
  </si>
  <si>
    <t>2024-03-23T03:05:00Z</t>
  </si>
  <si>
    <t>rigel@nectarhr.com</t>
  </si>
  <si>
    <t>2024-03-23T05:13:00Z</t>
  </si>
  <si>
    <t>nectarhr.com</t>
  </si>
  <si>
    <t>Nectar</t>
  </si>
  <si>
    <t>roy.tay@zendesk.com</t>
  </si>
  <si>
    <t>2024-03-23T10:08:00Z</t>
  </si>
  <si>
    <t>zendesk.com</t>
  </si>
  <si>
    <t>Zendesk</t>
  </si>
  <si>
    <t>gaya.sarin@tulip.co</t>
  </si>
  <si>
    <t>2024-03-23T11:49:00Z</t>
  </si>
  <si>
    <t>tulip.co</t>
  </si>
  <si>
    <t>Tulip Interfaces</t>
  </si>
  <si>
    <t>sarah.dorenkott@corpay.com</t>
  </si>
  <si>
    <t>2024-03-23T15:56:00Z</t>
  </si>
  <si>
    <t>corpay.com</t>
  </si>
  <si>
    <t>Corpay</t>
  </si>
  <si>
    <t>harshad.agarwal@wisetechglobal.com</t>
  </si>
  <si>
    <t>2024-03-23T17:00:00Z</t>
  </si>
  <si>
    <t>amitai.richman@k2view.com</t>
  </si>
  <si>
    <t>2024-03-23T19:03:00Z</t>
  </si>
  <si>
    <t>k2view.com</t>
  </si>
  <si>
    <t>K2view</t>
  </si>
  <si>
    <t>aparna.muralidharan@dscout.com</t>
  </si>
  <si>
    <t>2024-03-23T20:10:00Z</t>
  </si>
  <si>
    <t>sedmonds@isaacinstruments.com</t>
  </si>
  <si>
    <t>2024-03-24T11:39:00Z</t>
  </si>
  <si>
    <t>isaacinstruments.com</t>
  </si>
  <si>
    <t>ISAAC Instruments</t>
  </si>
  <si>
    <t>fblando@globalvision.co</t>
  </si>
  <si>
    <t>2024-03-24T18:01:00Z</t>
  </si>
  <si>
    <t>globalvision.co</t>
  </si>
  <si>
    <t>GlobalVision</t>
  </si>
  <si>
    <t>thansen@dentalintel.com</t>
  </si>
  <si>
    <t>2024-03-25T02:45:00Z</t>
  </si>
  <si>
    <t>diana.maria@zohocorp.com</t>
  </si>
  <si>
    <t>2024-03-25T10:16:00Z</t>
  </si>
  <si>
    <t>jesse.miller@zoominfo.com</t>
  </si>
  <si>
    <t>2024-03-25T19:20:00Z</t>
  </si>
  <si>
    <t>zoominfo.com</t>
  </si>
  <si>
    <t>ZoomInfo</t>
  </si>
  <si>
    <t>matt.shepherd@zipline.inc</t>
  </si>
  <si>
    <t>2024-03-25T22:35:00Z</t>
  </si>
  <si>
    <t>sachin.malekar@simplilearn.net</t>
  </si>
  <si>
    <t>2024-03-26T05:56:00Z</t>
  </si>
  <si>
    <t>simplilearn.com</t>
  </si>
  <si>
    <t>1. Shared email address of previous employer
2. Open to work status on linkedin</t>
  </si>
  <si>
    <t>Simplilearn</t>
  </si>
  <si>
    <t>ragurama@lentra.ai</t>
  </si>
  <si>
    <t>2024-03-26T06:30:00Z</t>
  </si>
  <si>
    <t>lentra.ai</t>
  </si>
  <si>
    <t>Lentra</t>
  </si>
  <si>
    <t>piyush.bhamare@celoxis.com</t>
  </si>
  <si>
    <t>2024-05-11T03:09:00Z</t>
  </si>
  <si>
    <t>sundar@realsports.ai</t>
  </si>
  <si>
    <t>2024-03-26T14:37:00Z</t>
  </si>
  <si>
    <t>realsports.ai</t>
  </si>
  <si>
    <t>duplicate lead. Established his own startup.</t>
  </si>
  <si>
    <t>Real Sports AI</t>
  </si>
  <si>
    <t>rosalie.hamernik@ellevationeducation.com</t>
  </si>
  <si>
    <t>2024-03-26T23:11:00Z</t>
  </si>
  <si>
    <t>ellevationeducation.com</t>
  </si>
  <si>
    <t>Ellevation Education</t>
  </si>
  <si>
    <t>aman.b@mydbsync.com</t>
  </si>
  <si>
    <t>2024-03-27T02:45:00Z</t>
  </si>
  <si>
    <t>mydbsync.com</t>
  </si>
  <si>
    <t>DBSync</t>
  </si>
  <si>
    <t>carolina.escobar@yalo.com</t>
  </si>
  <si>
    <t>2024-03-27T04:56:00Z</t>
  </si>
  <si>
    <t>yalo.com</t>
  </si>
  <si>
    <t>Yalo</t>
  </si>
  <si>
    <t>hi@prabalbora.com</t>
  </si>
  <si>
    <t>2024-03-27T08:01:00Z</t>
  </si>
  <si>
    <t>prabalbora.com</t>
  </si>
  <si>
    <t>1. Experience in pmm&lt;3 yrs
2. Wrong email address submitted</t>
  </si>
  <si>
    <t>Prabal Bora</t>
  </si>
  <si>
    <t>andrew.almand@datadome.co</t>
  </si>
  <si>
    <t>2024-03-27T13:48:00Z</t>
  </si>
  <si>
    <t>jordan.roeder@sage.com</t>
  </si>
  <si>
    <t>2024-03-27T20:00:00Z</t>
  </si>
  <si>
    <t>sageintacct.com</t>
  </si>
  <si>
    <t>Sage Intacct, Inc.</t>
  </si>
  <si>
    <t>haden.holley@gethearth.com</t>
  </si>
  <si>
    <t>2024-03-27T21:07:00Z</t>
  </si>
  <si>
    <t>gethearth.com</t>
  </si>
  <si>
    <t xml:space="preserve">Individual Contributor/outbound sales rep
</t>
  </si>
  <si>
    <t>Hearth</t>
  </si>
  <si>
    <t>pearl.chung@people.ai</t>
  </si>
  <si>
    <t>2024-03-28T05:19:00Z</t>
  </si>
  <si>
    <t>ruchira.sharma@plivo.com</t>
  </si>
  <si>
    <t>2024-03-28T12:15:00Z</t>
  </si>
  <si>
    <t>plivo.com</t>
  </si>
  <si>
    <t>Plivo</t>
  </si>
  <si>
    <t>srlanzit@paycor.com</t>
  </si>
  <si>
    <t>2024-03-28T15:54:00Z</t>
  </si>
  <si>
    <t>paycor.com</t>
  </si>
  <si>
    <t>Paycor</t>
  </si>
  <si>
    <t>sonya.noronha@geocomply.com</t>
  </si>
  <si>
    <t>2024-03-28T17:20:00Z</t>
  </si>
  <si>
    <t>geocomply.com</t>
  </si>
  <si>
    <t>GeoComply</t>
  </si>
  <si>
    <t>dvendrell@hubspot.com</t>
  </si>
  <si>
    <t>2024-03-28T20:01:00Z</t>
  </si>
  <si>
    <t>aashish.gambhir@provana.com</t>
  </si>
  <si>
    <t>2024-03-28T21:14:00Z</t>
  </si>
  <si>
    <t>morgan.doyle@persuit.com</t>
  </si>
  <si>
    <t>2024-03-28T21:52:00Z</t>
  </si>
  <si>
    <t>amit.mangwani@unity3d.com</t>
  </si>
  <si>
    <t>2024-03-29T09:05:00Z</t>
  </si>
  <si>
    <t>unity.com</t>
  </si>
  <si>
    <t>Unity</t>
  </si>
  <si>
    <t>matthew.fike@ezofficeinventory.com</t>
  </si>
  <si>
    <t>2024-03-29T12:16:00Z</t>
  </si>
  <si>
    <t>ezo.io</t>
  </si>
  <si>
    <t>EZO</t>
  </si>
  <si>
    <t>edward.kim@spendflo.com</t>
  </si>
  <si>
    <t>2024-03-29T15:12:00Z</t>
  </si>
  <si>
    <t>aselassie@salesforce.com</t>
  </si>
  <si>
    <t>2024-03-29T17:44:00Z</t>
  </si>
  <si>
    <t>salesforce.com</t>
  </si>
  <si>
    <t>ClickSoftware</t>
  </si>
  <si>
    <t>marley.pulz@hellofyllo.com</t>
  </si>
  <si>
    <t>2024-03-29T18:41:00Z</t>
  </si>
  <si>
    <t>jonathan.bach@sessionai.com</t>
  </si>
  <si>
    <t>2024-03-29T23:17:00Z</t>
  </si>
  <si>
    <t>sram@zscaler.com</t>
  </si>
  <si>
    <t>2024-03-30T18:40:00Z</t>
  </si>
  <si>
    <t>He is part of solutions engineering, and they have an enablement function. He looks like is part of pre sales, which is to give the help the sales team with technical knowledge. He or his team won’t be part of enablement.</t>
  </si>
  <si>
    <t>ybenchlouch@yoobic.com</t>
  </si>
  <si>
    <t>2024-03-31T06:20:00Z</t>
  </si>
  <si>
    <t>yoobic.com</t>
  </si>
  <si>
    <t>YOOBIC</t>
  </si>
  <si>
    <t>mano.dhanoa@omaticsoftware.com</t>
  </si>
  <si>
    <t>2024-03-31T13:38:00Z</t>
  </si>
  <si>
    <t>omaticsoftware.com</t>
  </si>
  <si>
    <t>Omatic</t>
  </si>
  <si>
    <t>kecampbell@hubspot.com</t>
  </si>
  <si>
    <t>2024-03-31T16:42:00Z</t>
  </si>
  <si>
    <t>mangal@sitedocs.com</t>
  </si>
  <si>
    <t>2024-04-01T10:34:00Z</t>
  </si>
  <si>
    <t>bweinblatt@movableink.com</t>
  </si>
  <si>
    <t>2024-04-01T16:36:00Z</t>
  </si>
  <si>
    <t>sarah@brightdata.com</t>
  </si>
  <si>
    <t>2024-04-01T16:24:00Z</t>
  </si>
  <si>
    <t>brightdata.com</t>
  </si>
  <si>
    <t>Bright Data</t>
  </si>
  <si>
    <t>diganta15@micamail.in</t>
  </si>
  <si>
    <t>2024-04-02T08:35:00Z</t>
  </si>
  <si>
    <t>micamail.in</t>
  </si>
  <si>
    <t>jamie.roelofs@visier.com</t>
  </si>
  <si>
    <t>2024-04-02T12:52:00Z</t>
  </si>
  <si>
    <t>harsha@carestack.com</t>
  </si>
  <si>
    <t>2024-04-02T13:34:00Z</t>
  </si>
  <si>
    <t>carestack.com</t>
  </si>
  <si>
    <t xml:space="preserve">less than 3 years of experience in PMM. Sales enablement is not mentioned on LinkedIn profile.
</t>
  </si>
  <si>
    <t>CareStack</t>
  </si>
  <si>
    <t>lindsay.millar@rubrik.com</t>
  </si>
  <si>
    <t>2024-04-02T14:29:00Z</t>
  </si>
  <si>
    <t>rubrik.com</t>
  </si>
  <si>
    <t>Rubrik</t>
  </si>
  <si>
    <t>russell.duncan@jll.com</t>
  </si>
  <si>
    <t>2024-04-02T15:22:00Z</t>
  </si>
  <si>
    <t>jllt.com</t>
  </si>
  <si>
    <t>JLL Technologies</t>
  </si>
  <si>
    <t>jsiders@paychex.com</t>
  </si>
  <si>
    <t>2024-04-02T16:38:00Z</t>
  </si>
  <si>
    <t>paychex.com</t>
  </si>
  <si>
    <t>Oasis</t>
  </si>
  <si>
    <t>genaro.ocreto@stem.com</t>
  </si>
  <si>
    <t>2024-04-02T17:18:00Z</t>
  </si>
  <si>
    <t>sara.nady@enigma.com</t>
  </si>
  <si>
    <t>2024-04-02T19:01:00Z</t>
  </si>
  <si>
    <t>enigma.com</t>
  </si>
  <si>
    <t>Enigma Technologies</t>
  </si>
  <si>
    <t>thor.sanderson@smartsheet.com</t>
  </si>
  <si>
    <t>2024-04-04T11:07:00Z</t>
  </si>
  <si>
    <t>smartsheet.com</t>
  </si>
  <si>
    <t>Smartsheet</t>
  </si>
  <si>
    <t>dale@dash.app</t>
  </si>
  <si>
    <t>2024-04-02T21:23:00Z</t>
  </si>
  <si>
    <t>dash.app</t>
  </si>
  <si>
    <t>He works at Fooda (Target Account) as Sales Executive and at Dash as Head of Sales. Hence, he got targeted by our ads.</t>
  </si>
  <si>
    <t>Dash</t>
  </si>
  <si>
    <t>swetha@rocketlane.com</t>
  </si>
  <si>
    <t>2024-04-03T03:50:00Z</t>
  </si>
  <si>
    <t>nikki.hau@affirm.com</t>
  </si>
  <si>
    <t>2024-04-03T16:03:00Z</t>
  </si>
  <si>
    <t>affirm.com</t>
  </si>
  <si>
    <t>Affirm</t>
  </si>
  <si>
    <t>drew@embrace.io</t>
  </si>
  <si>
    <t>2024-04-04T15:17:00Z</t>
  </si>
  <si>
    <t>mrinal.kapoor@nutanix.com</t>
  </si>
  <si>
    <t>2024-04-05T08:45:00Z</t>
  </si>
  <si>
    <t>sanket@spectra-vision.com</t>
  </si>
  <si>
    <t>2024-04-05T09:38:00Z</t>
  </si>
  <si>
    <t>spectra-vision.com</t>
  </si>
  <si>
    <t>Spectra Technovision</t>
  </si>
  <si>
    <t>john@wizcommerce.com</t>
  </si>
  <si>
    <t>2024-04-05T14:53:00Z</t>
  </si>
  <si>
    <t>sourcewiz.com</t>
  </si>
  <si>
    <t>WizCommerce</t>
  </si>
  <si>
    <t>brittany.lockwood@dealpath.com</t>
  </si>
  <si>
    <t>2024-04-05T17:53:00Z</t>
  </si>
  <si>
    <t>michael.porc@swapcard.com</t>
  </si>
  <si>
    <t>2024-04-05T21:33:00Z</t>
  </si>
  <si>
    <t>turner@blue42agency.com</t>
  </si>
  <si>
    <t>2024-04-06T04:11:00Z</t>
  </si>
  <si>
    <t>blue42agency.com</t>
  </si>
  <si>
    <t>Left the job at targetted company and joined non-icp company</t>
  </si>
  <si>
    <t>garima.pandey@affle.com</t>
  </si>
  <si>
    <t>2024-04-06T12:35:00Z</t>
  </si>
  <si>
    <t>affle.com</t>
  </si>
  <si>
    <t>Affle</t>
  </si>
  <si>
    <t>noa.david@suse.com</t>
  </si>
  <si>
    <t>2024-04-06T14:26:00Z</t>
  </si>
  <si>
    <t>skhanna@gosecure.net</t>
  </si>
  <si>
    <t>2024-04-06T20:40:00Z</t>
  </si>
  <si>
    <t>gosecure.net</t>
  </si>
  <si>
    <t>GoSecure</t>
  </si>
  <si>
    <t>abhinay.gajula@compliancequest.com</t>
  </si>
  <si>
    <t>2024-04-07T01:16:00Z</t>
  </si>
  <si>
    <t>bhavesh.nachnani@getfareye.com</t>
  </si>
  <si>
    <t>2024-04-07T12:07:00Z</t>
  </si>
  <si>
    <t>fareye.com</t>
  </si>
  <si>
    <t>FarEye</t>
  </si>
  <si>
    <t>cayla@sketchup.com</t>
  </si>
  <si>
    <t>2024-04-07T15:46:00Z</t>
  </si>
  <si>
    <t>sankam@codegen.net</t>
  </si>
  <si>
    <t>2024-04-08T12:35:00Z</t>
  </si>
  <si>
    <t>codegen.co.uk</t>
  </si>
  <si>
    <t>CodeGen International</t>
  </si>
  <si>
    <t>logan.hart@zoominfo.com</t>
  </si>
  <si>
    <t>2024-04-08T19:08:00Z</t>
  </si>
  <si>
    <t>less than 3 years of experience in PMM, didn't mention anything related to sales enablement on LinkedIn profile.</t>
  </si>
  <si>
    <t>jeshua.anderson@jolt.com</t>
  </si>
  <si>
    <t>2024-04-09T02:40:00Z</t>
  </si>
  <si>
    <t>naresh.kumar@tracktik.com</t>
  </si>
  <si>
    <t>2024-04-09T12:33:00Z</t>
  </si>
  <si>
    <t>nicksoux@proton.me</t>
  </si>
  <si>
    <t>2024-04-09T20:16:00Z</t>
  </si>
  <si>
    <t>scaledagile.com</t>
  </si>
  <si>
    <t>SAFe by Scaled Agile, Inc.</t>
  </si>
  <si>
    <t>grant.hutchons@trustwave.com</t>
  </si>
  <si>
    <t>2024-04-09T23:22:00Z</t>
  </si>
  <si>
    <t>nishitrao@cal.berkeley.edu</t>
  </si>
  <si>
    <t>2024-04-10T04:46:00Z</t>
  </si>
  <si>
    <t>8x8.com</t>
  </si>
  <si>
    <t>8x8</t>
  </si>
  <si>
    <t>shreyas.jagadeesh@freshworks.com</t>
  </si>
  <si>
    <t>2024-04-10T11:40:00Z</t>
  </si>
  <si>
    <t>The person has less than 3 yrs of experience in Freshworks company. We have received multiple form fills from this company.</t>
  </si>
  <si>
    <t>abhishek.singh@simplilearn.net</t>
  </si>
  <si>
    <t>2024-04-10T11:46:00Z</t>
  </si>
  <si>
    <t>Experience in business development</t>
  </si>
  <si>
    <t>gnguyen@auditboard.com</t>
  </si>
  <si>
    <t>2024-04-10T16:10:00Z</t>
  </si>
  <si>
    <t>austen.patrick-street@chargepoint.com</t>
  </si>
  <si>
    <t>2024-04-11T16:37:00Z</t>
  </si>
  <si>
    <t>monique@appdome.com</t>
  </si>
  <si>
    <t>2024-04-11T17:04:00Z</t>
  </si>
  <si>
    <t>appdome.com</t>
  </si>
  <si>
    <t>Appdome</t>
  </si>
  <si>
    <t>thunziker@dentalintel.com</t>
  </si>
  <si>
    <t>2024-04-11T22:44:00Z</t>
  </si>
  <si>
    <t>kasturi.talukdar@primefocus.com</t>
  </si>
  <si>
    <t>2024-04-12T09:09:00Z</t>
  </si>
  <si>
    <t>primefocus.com</t>
  </si>
  <si>
    <t>Prime Focus Limited</t>
  </si>
  <si>
    <t>ana.montoya@workiva.com</t>
  </si>
  <si>
    <t>2024-04-12T19:13:00Z</t>
  </si>
  <si>
    <t>akhil.ahuja@eltropy.com</t>
  </si>
  <si>
    <t>2024-04-13T22:59:00Z</t>
  </si>
  <si>
    <t>eltropy.com</t>
  </si>
  <si>
    <t>Eltropy</t>
  </si>
  <si>
    <t>dgross@bidpalnetwork.com</t>
  </si>
  <si>
    <t>2024-04-14T01:46:00Z</t>
  </si>
  <si>
    <t>davidf@eftsure.com.au</t>
  </si>
  <si>
    <t>2024-04-14T02:36:00Z</t>
  </si>
  <si>
    <t>eftsure.com</t>
  </si>
  <si>
    <t>Eftsure</t>
  </si>
  <si>
    <t>ajay.uppaluri@sourcegraph.com</t>
  </si>
  <si>
    <t>2024-04-14T20:24:00Z</t>
  </si>
  <si>
    <t>alex.menzies@phocassoftware.com</t>
  </si>
  <si>
    <t>2024-04-14T23:59:00Z</t>
  </si>
  <si>
    <t>andrew.kirk@govos.com</t>
  </si>
  <si>
    <t>2024-04-15T05:23:00Z</t>
  </si>
  <si>
    <t>govos.com</t>
  </si>
  <si>
    <t>Govos</t>
  </si>
  <si>
    <t>kraychaudhuri@ezesoft.com</t>
  </si>
  <si>
    <t>2024-04-15T05:25:00Z</t>
  </si>
  <si>
    <t>ezesoft.com</t>
  </si>
  <si>
    <t>Eze Software (SS&amp;C Eze, a unit of SS&amp;C Technologies)</t>
  </si>
  <si>
    <t>jatin.arora@getfareye.com</t>
  </si>
  <si>
    <t>2024-04-15T10:35:00Z</t>
  </si>
  <si>
    <t>fernando.shupe@collectivehealth.com</t>
  </si>
  <si>
    <t>2024-04-15T16:30:00Z</t>
  </si>
  <si>
    <t>diane.thelen@powerschool.com</t>
  </si>
  <si>
    <t>2024-04-15T23:50:00Z</t>
  </si>
  <si>
    <t>chirag.mehta@mobifin.com</t>
  </si>
  <si>
    <t>2024-04-16T14:00:00Z</t>
  </si>
  <si>
    <t>panamaxil.com</t>
  </si>
  <si>
    <t>Panamax</t>
  </si>
  <si>
    <t>luke.you@rubrik.com</t>
  </si>
  <si>
    <t>2024-04-16T14:55:00Z</t>
  </si>
  <si>
    <t>jeff.butts@mhcautomation.com</t>
  </si>
  <si>
    <t>2024-04-16T16:11:00Z</t>
  </si>
  <si>
    <t>mhcautomation.com</t>
  </si>
  <si>
    <t>MHC</t>
  </si>
  <si>
    <t>sara.rabadi@scorpion.co</t>
  </si>
  <si>
    <t>2024-04-16T16:35:00Z</t>
  </si>
  <si>
    <t>lsmith@rxbenefits.com</t>
  </si>
  <si>
    <t>2024-04-16T18:24:00Z</t>
  </si>
  <si>
    <t>jzuleta@cardlytics.com</t>
  </si>
  <si>
    <t>2024-04-16T20:29:00Z</t>
  </si>
  <si>
    <t>eric.tausend@cellebrite.com</t>
  </si>
  <si>
    <t>2024-03-21T04:07:00Z</t>
  </si>
  <si>
    <t>cellebrite.com</t>
  </si>
  <si>
    <t>Cellebrite</t>
  </si>
  <si>
    <t>karan.sondhi@trellix.com</t>
  </si>
  <si>
    <t>2024-04-17T21:15:00Z</t>
  </si>
  <si>
    <t>trellix.com</t>
  </si>
  <si>
    <t>Trellix</t>
  </si>
  <si>
    <t>lbarth@marchex.com</t>
  </si>
  <si>
    <t>2024-04-18T04:24:00Z</t>
  </si>
  <si>
    <t>marchex.com</t>
  </si>
  <si>
    <t>Marchex</t>
  </si>
  <si>
    <t>rprabur@zscaler.com</t>
  </si>
  <si>
    <t>2024-04-18T06:13:00Z</t>
  </si>
  <si>
    <t>arunagarwal@mastersindia.co</t>
  </si>
  <si>
    <t>2024-05-26T06:11:00Z</t>
  </si>
  <si>
    <t>mastersindia.co</t>
  </si>
  <si>
    <t>Masters India</t>
  </si>
  <si>
    <t>sam.harper@subsplash.com</t>
  </si>
  <si>
    <t>2024-04-18T13:21:00Z</t>
  </si>
  <si>
    <t>avi.p@cheq.ai</t>
  </si>
  <si>
    <t>2024-04-18T14:59:00Z</t>
  </si>
  <si>
    <t>cheq.ai</t>
  </si>
  <si>
    <t>CHEQ</t>
  </si>
  <si>
    <t>tyler.peters@rainfocus.com</t>
  </si>
  <si>
    <t>2024-04-18T18:17:00Z</t>
  </si>
  <si>
    <t>rainfocus.com</t>
  </si>
  <si>
    <t>RainFocus</t>
  </si>
  <si>
    <t>noah.aossey@realworklabs.com</t>
  </si>
  <si>
    <t>2024-04-18T21:19:00Z</t>
  </si>
  <si>
    <t>realworklabs.com</t>
  </si>
  <si>
    <t>Junior position</t>
  </si>
  <si>
    <t>RealWork</t>
  </si>
  <si>
    <t>ryan@agentsync.io</t>
  </si>
  <si>
    <t>2024-04-19T01:57:00Z</t>
  </si>
  <si>
    <t>agentsync.io</t>
  </si>
  <si>
    <t>AgentSync</t>
  </si>
  <si>
    <t>leo.palmaro@revalizesoftware.com</t>
  </si>
  <si>
    <t>2024-04-19T14:38:00Z</t>
  </si>
  <si>
    <t>revalizesoftware.com</t>
  </si>
  <si>
    <t>Revalize</t>
  </si>
  <si>
    <t>ryanseeras@testgorilla.com</t>
  </si>
  <si>
    <t>2024-04-19T22:13:00Z</t>
  </si>
  <si>
    <t>testgorilla.com</t>
  </si>
  <si>
    <t>TestGorilla</t>
  </si>
  <si>
    <t>neha.verma@devo.com</t>
  </si>
  <si>
    <t>2024-04-20T01:29:00Z</t>
  </si>
  <si>
    <t>devo.com</t>
  </si>
  <si>
    <t>Devo</t>
  </si>
  <si>
    <t>yesuah.bell@madmobile.com</t>
  </si>
  <si>
    <t>2024-04-21T00:13:00Z</t>
  </si>
  <si>
    <t>madmobile.com</t>
  </si>
  <si>
    <t>Mad Mobile</t>
  </si>
  <si>
    <t>stella.chaves@crayon.co</t>
  </si>
  <si>
    <t>2024-04-21T04:59:00Z</t>
  </si>
  <si>
    <t>crayon.co</t>
  </si>
  <si>
    <t>Crayon</t>
  </si>
  <si>
    <t>amanda.sparks@leandna.com</t>
  </si>
  <si>
    <t>2024-04-22T14:53:00Z</t>
  </si>
  <si>
    <t>nicholas.hartley@procore.com</t>
  </si>
  <si>
    <t>2024-04-22T18:20:00Z</t>
  </si>
  <si>
    <t>procore.com</t>
  </si>
  <si>
    <t>Procore Technologies</t>
  </si>
  <si>
    <t>david.bentley@gridpoint.com</t>
  </si>
  <si>
    <t>2024-04-23T13:52:00Z</t>
  </si>
  <si>
    <t>gridpoint.com</t>
  </si>
  <si>
    <t>GridPoint</t>
  </si>
  <si>
    <t>bumane@kargo.com</t>
  </si>
  <si>
    <t>2024-04-23T19:36:00Z</t>
  </si>
  <si>
    <t>ethomason@smatechnologies.com</t>
  </si>
  <si>
    <t>2024-04-23T21:42:00Z</t>
  </si>
  <si>
    <t>continuous.com</t>
  </si>
  <si>
    <t>Continuous</t>
  </si>
  <si>
    <t>pabrahante@pax8.com</t>
  </si>
  <si>
    <t>2024-04-24T21:41:00Z</t>
  </si>
  <si>
    <t>pax8.com</t>
  </si>
  <si>
    <t>Pax8</t>
  </si>
  <si>
    <t>dickron@goco.io</t>
  </si>
  <si>
    <t>2024-06-01T01:16:00Z</t>
  </si>
  <si>
    <t>goco.io</t>
  </si>
  <si>
    <t>GoCo.io</t>
  </si>
  <si>
    <t>pszalkowski@reputation.com</t>
  </si>
  <si>
    <t>2024-04-26T00:19:00Z</t>
  </si>
  <si>
    <t>reputation.com</t>
  </si>
  <si>
    <t>Reputation</t>
  </si>
  <si>
    <t>ric@estateguru.com</t>
  </si>
  <si>
    <t>2024-04-26T02:10:00Z</t>
  </si>
  <si>
    <t>estateguru.com</t>
  </si>
  <si>
    <t>Also works at Qualio. Hence, he got targeted by our Ad. The current company has only 27 employees. Asked for Brian's suggestion - Brian's response - It looks like there are only 20 people in the company...might be too small.</t>
  </si>
  <si>
    <t>Estate Guru</t>
  </si>
  <si>
    <t>vjain@clickup.com</t>
  </si>
  <si>
    <t>2024-04-27T08:49:00Z</t>
  </si>
  <si>
    <t>seanmichaelsmith@inmar.com</t>
  </si>
  <si>
    <t>2024-04-27T11:58:00Z</t>
  </si>
  <si>
    <t>inmar.com</t>
  </si>
  <si>
    <t>Inmar Intelligence</t>
  </si>
  <si>
    <t>tylerj@brightervision.com</t>
  </si>
  <si>
    <t>2024-04-29T15:27:00Z</t>
  </si>
  <si>
    <t>annabelle.kovacs@beanworks.com</t>
  </si>
  <si>
    <t>2024-04-30T05:56:00Z</t>
  </si>
  <si>
    <t>beanworks.com</t>
  </si>
  <si>
    <t>Beanworks by Quadient</t>
  </si>
  <si>
    <t>sshah@versa-networks.com</t>
  </si>
  <si>
    <t>2024-05-01T00:24:00Z</t>
  </si>
  <si>
    <t>versa-networks.com</t>
  </si>
  <si>
    <t>Versa Networks</t>
  </si>
  <si>
    <t>ryan.smith@vulcan.io</t>
  </si>
  <si>
    <t>2024-05-01T18:26:00Z</t>
  </si>
  <si>
    <t>vulcan.io</t>
  </si>
  <si>
    <t>Vulcan Cyber</t>
  </si>
  <si>
    <t>tortega@altametrics.com</t>
  </si>
  <si>
    <t>2024-05-02T23:22:00Z</t>
  </si>
  <si>
    <t>altametrics.com</t>
  </si>
  <si>
    <t>Altametrics</t>
  </si>
  <si>
    <t>capt.qezilbash@cint.com</t>
  </si>
  <si>
    <t>2024-05-03T15:31:00Z</t>
  </si>
  <si>
    <t>cint.com</t>
  </si>
  <si>
    <t>Cint</t>
  </si>
  <si>
    <t>ssmith@bishopfox.com</t>
  </si>
  <si>
    <t>2024-05-03T16:29:00Z</t>
  </si>
  <si>
    <t>bishopfox.com</t>
  </si>
  <si>
    <t>Bishop Fox</t>
  </si>
  <si>
    <t>jim.trotta@everbridge.com</t>
  </si>
  <si>
    <t>2024-05-03T19:14:00Z</t>
  </si>
  <si>
    <t>macree.colvin@corpay.com</t>
  </si>
  <si>
    <t>2024-05-03T22:14:00Z</t>
  </si>
  <si>
    <t>oeg@qad.com</t>
  </si>
  <si>
    <t>2024-05-04T00:44:00Z</t>
  </si>
  <si>
    <t>qad.com</t>
  </si>
  <si>
    <t>QAD</t>
  </si>
  <si>
    <t>jbrothers@oxblue.com</t>
  </si>
  <si>
    <t>2024-05-04T02:51:00Z</t>
  </si>
  <si>
    <t>ian.meadow@vts.com</t>
  </si>
  <si>
    <t>2024-05-05T22:24:00Z</t>
  </si>
  <si>
    <t>brad.langley@aventri.com</t>
  </si>
  <si>
    <t>2024-05-06T13:30:00Z</t>
  </si>
  <si>
    <t>ian.chinn@ideas.com</t>
  </si>
  <si>
    <t>2024-05-07T07:02:00Z</t>
  </si>
  <si>
    <t>ideas.com</t>
  </si>
  <si>
    <t>IDeaS Revenue Solutions</t>
  </si>
  <si>
    <t>arun.bharti@jugnoo.in</t>
  </si>
  <si>
    <t>2024-05-07T10:58:00Z</t>
  </si>
  <si>
    <t>jugnoo.io</t>
  </si>
  <si>
    <t>Jugnoo</t>
  </si>
  <si>
    <t>dlaskus@consoleconnect.com</t>
  </si>
  <si>
    <t>2024-05-07T21:55:00Z</t>
  </si>
  <si>
    <t>consoleconnect.com</t>
  </si>
  <si>
    <t>Console Connect</t>
  </si>
  <si>
    <t>wsheng@adaptavist.com</t>
  </si>
  <si>
    <t>2024-05-08T01:40:00Z</t>
  </si>
  <si>
    <t>vas@ramanuj.am</t>
  </si>
  <si>
    <t>2024-05-08T02:05:00Z</t>
  </si>
  <si>
    <t>ramanuj.am</t>
  </si>
  <si>
    <t>lnpalmer@gmail.com</t>
  </si>
  <si>
    <t>2024-05-08T04:45:00Z</t>
  </si>
  <si>
    <t>adarsh.s1@infoedge.com</t>
  </si>
  <si>
    <t>2024-05-08T10:35:00Z</t>
  </si>
  <si>
    <t>infoedge.com</t>
  </si>
  <si>
    <t xml:space="preserve">less than 3 years of experience in pmm. </t>
  </si>
  <si>
    <t>Infoedge India Ltd.,</t>
  </si>
  <si>
    <t>r.kowalik@kontakt.io</t>
  </si>
  <si>
    <t>2024-05-08T15:36:00Z</t>
  </si>
  <si>
    <t>kontakt.io</t>
  </si>
  <si>
    <t>Kontakt.io</t>
  </si>
  <si>
    <t>censsle@ripple.com</t>
  </si>
  <si>
    <t>2024-05-08T23:52:00Z</t>
  </si>
  <si>
    <t>ripple.com</t>
  </si>
  <si>
    <t>Ripple</t>
  </si>
  <si>
    <t>rob.rizzari@bugcrowd.com</t>
  </si>
  <si>
    <t>2024-05-09T09:27:00Z</t>
  </si>
  <si>
    <t>bugcrowd.com</t>
  </si>
  <si>
    <t>Bugcrowd</t>
  </si>
  <si>
    <t>brandon@briq.com</t>
  </si>
  <si>
    <t>2024-05-09T12:56:00Z</t>
  </si>
  <si>
    <t>briq.com</t>
  </si>
  <si>
    <t>Briq</t>
  </si>
  <si>
    <t>david.terrazas@domo.com</t>
  </si>
  <si>
    <t>2024-05-09T14:50:00Z</t>
  </si>
  <si>
    <t>rohit.lodha@cleartax.in</t>
  </si>
  <si>
    <t>2024-05-10T08:27:00Z</t>
  </si>
  <si>
    <t>samantha.moeder@phenom.com</t>
  </si>
  <si>
    <t>2024-05-10T18:19:00Z</t>
  </si>
  <si>
    <t>phenom.com</t>
  </si>
  <si>
    <t>Phenom</t>
  </si>
  <si>
    <t>ashish.c@kapturecrm.com</t>
  </si>
  <si>
    <t>2024-05-10T19:49:00Z</t>
  </si>
  <si>
    <t>kapturecrm.com</t>
  </si>
  <si>
    <t>Kapture CX</t>
  </si>
  <si>
    <t>b.mohsen@foodics.com</t>
  </si>
  <si>
    <t>2024-05-11T09:25:00Z</t>
  </si>
  <si>
    <t>foodics.com</t>
  </si>
  <si>
    <t>Foodics</t>
  </si>
  <si>
    <t>emorouse@unifocus.com</t>
  </si>
  <si>
    <t>2024-05-13T18:30:00Z</t>
  </si>
  <si>
    <t>unifocus.com</t>
  </si>
  <si>
    <t>Unifocus</t>
  </si>
  <si>
    <t>jubin.john@mygate.com</t>
  </si>
  <si>
    <t>2024-05-14T05:26:00Z</t>
  </si>
  <si>
    <t>vikas.kumar@windriver.com</t>
  </si>
  <si>
    <t>2024-05-14T09:45:00Z</t>
  </si>
  <si>
    <t>windriver.com</t>
  </si>
  <si>
    <t>Wind River</t>
  </si>
  <si>
    <t>avi.lekowsky@limblecmms.com</t>
  </si>
  <si>
    <t>2024-05-14T15:03:00Z</t>
  </si>
  <si>
    <t>limblecmms.com</t>
  </si>
  <si>
    <t>Limble CMMS</t>
  </si>
  <si>
    <t>rmccurry@securityscorecard.io</t>
  </si>
  <si>
    <t>2024-05-14T22:54:00Z</t>
  </si>
  <si>
    <t>securityscorecard.com</t>
  </si>
  <si>
    <t>SecurityScorecard</t>
  </si>
  <si>
    <t>brian.scully@envestnet.com</t>
  </si>
  <si>
    <t>2024-03-16T10:40:00Z</t>
  </si>
  <si>
    <t>christina.ling@calm.com</t>
  </si>
  <si>
    <t>2024-05-15T15:37:00Z</t>
  </si>
  <si>
    <t>calm.com</t>
  </si>
  <si>
    <t>Calm</t>
  </si>
  <si>
    <t>rahul.tabeck@solarwinds.com</t>
  </si>
  <si>
    <t>2024-05-16T07:17:00Z</t>
  </si>
  <si>
    <t>david_k@optimove.com</t>
  </si>
  <si>
    <t>2024-05-23T07:18:00Z</t>
  </si>
  <si>
    <t>marco.schneiderman@chownow.com</t>
  </si>
  <si>
    <t>2024-05-16T13:48:00Z</t>
  </si>
  <si>
    <t>chownow.com</t>
  </si>
  <si>
    <t>ChowNow</t>
  </si>
  <si>
    <t>max.tipton@paperlessparts.com</t>
  </si>
  <si>
    <t>2024-05-16T18:41:00Z</t>
  </si>
  <si>
    <t>ben.timm@daxko.com</t>
  </si>
  <si>
    <t>2024-05-17T23:47:00Z</t>
  </si>
  <si>
    <t>reid.schmitt@fusionconnect.com</t>
  </si>
  <si>
    <t>2024-05-18T14:14:00Z</t>
  </si>
  <si>
    <t>fusionconnect.com</t>
  </si>
  <si>
    <t>Fusion Connect</t>
  </si>
  <si>
    <t>gabe.flores@avetta.com</t>
  </si>
  <si>
    <t>2024-05-18T17:13:00Z</t>
  </si>
  <si>
    <t>sahil.a@turing.com</t>
  </si>
  <si>
    <t>2024-05-19T04:28:00Z</t>
  </si>
  <si>
    <t>turing.com</t>
  </si>
  <si>
    <t>Turing</t>
  </si>
  <si>
    <t>megan.g@walkme.com</t>
  </si>
  <si>
    <t>2024-05-19T15:01:00Z</t>
  </si>
  <si>
    <t>aniket.deolikar@icertis.com</t>
  </si>
  <si>
    <t>2024-05-20T05:08:00Z</t>
  </si>
  <si>
    <t>icertis.com</t>
  </si>
  <si>
    <t>Icertis</t>
  </si>
  <si>
    <t>rajat.radhakrishnan@devrev.ai</t>
  </si>
  <si>
    <t>2024-05-20T08:47:00Z</t>
  </si>
  <si>
    <t>adarsh.raj@builder.ai</t>
  </si>
  <si>
    <t>2024-05-20T15:17:00Z</t>
  </si>
  <si>
    <t>ankit.shrivastava@zaggle.in</t>
  </si>
  <si>
    <t>2024-05-20T16:07:00Z</t>
  </si>
  <si>
    <t>zaggle.in</t>
  </si>
  <si>
    <t>Zaggle</t>
  </si>
  <si>
    <t>michael.abenhaim@dubber.net</t>
  </si>
  <si>
    <t>2024-05-20T17:05:00Z</t>
  </si>
  <si>
    <t>dubber.net</t>
  </si>
  <si>
    <t>Dubber</t>
  </si>
  <si>
    <t>lior.schinagel@homebot.ai</t>
  </si>
  <si>
    <t>2024-05-20T18:56:00Z</t>
  </si>
  <si>
    <t>david.chau@bbva.com</t>
  </si>
  <si>
    <t>2024-05-20T23:03:00Z</t>
  </si>
  <si>
    <t>chris.russell@vc3.com</t>
  </si>
  <si>
    <t>2024-05-20T22:26:00Z</t>
  </si>
  <si>
    <t>lisa.assous@tehtris.eu</t>
  </si>
  <si>
    <t>2024-05-28T14:48:00Z</t>
  </si>
  <si>
    <t>jarnold@chatmeter.com</t>
  </si>
  <si>
    <t>2024-05-22T22:49:00Z</t>
  </si>
  <si>
    <t>jamie.walsh@archerirm.com</t>
  </si>
  <si>
    <t>2024-05-23T00:34:00Z</t>
  </si>
  <si>
    <t>archerirm.com</t>
  </si>
  <si>
    <t>Archer Integrated Risk Management</t>
  </si>
  <si>
    <t>scott.lehman@teletracnavman.com</t>
  </si>
  <si>
    <t>2024-05-23T01:21:00Z</t>
  </si>
  <si>
    <t>vaishnavi.raman@chargebee.com</t>
  </si>
  <si>
    <t>2024-05-23T09:21:00Z</t>
  </si>
  <si>
    <t>brad.schulman@corpay.com</t>
  </si>
  <si>
    <t>2024-05-23T17:45:00Z</t>
  </si>
  <si>
    <t>iehninger@explorance.com</t>
  </si>
  <si>
    <t>2024-05-23T18:54:00Z</t>
  </si>
  <si>
    <t>tali@connecteam.com</t>
  </si>
  <si>
    <t>2024-05-23T20:12:00Z</t>
  </si>
  <si>
    <t>connecteam.com</t>
  </si>
  <si>
    <t>Connecteam</t>
  </si>
  <si>
    <t>adegreef@carnow.com</t>
  </si>
  <si>
    <t>2024-05-23T21:51:00Z</t>
  </si>
  <si>
    <t>carnow.com</t>
  </si>
  <si>
    <t>CarNow</t>
  </si>
  <si>
    <t>chris.fitzgerald@loopme.com</t>
  </si>
  <si>
    <t>2024-05-23T22:31:00Z</t>
  </si>
  <si>
    <t>loopme.com</t>
  </si>
  <si>
    <t>LoopMe</t>
  </si>
  <si>
    <t>jklein@xometry.com</t>
  </si>
  <si>
    <t>2024-05-24T13:32:00Z</t>
  </si>
  <si>
    <t>xometry.com</t>
  </si>
  <si>
    <t>Xometry</t>
  </si>
  <si>
    <t>sarah.sarah@crownpeak.com</t>
  </si>
  <si>
    <t>2024-05-24T18:28:00Z</t>
  </si>
  <si>
    <t>mahendra.singh@loophealth.com</t>
  </si>
  <si>
    <t>2024-05-25T06:21:00Z</t>
  </si>
  <si>
    <t>loophealth.com</t>
  </si>
  <si>
    <t>jay.schieve@creyos.com</t>
  </si>
  <si>
    <t>2024-05-25T15:20:00Z</t>
  </si>
  <si>
    <t>creyos.com</t>
  </si>
  <si>
    <t>Creyos</t>
  </si>
  <si>
    <t>ajith.kp@katalon.com</t>
  </si>
  <si>
    <t>2024-05-27T09:17:00Z</t>
  </si>
  <si>
    <t>katalon.com</t>
  </si>
  <si>
    <t>Katalon</t>
  </si>
  <si>
    <t>siddiq@accuknox.com</t>
  </si>
  <si>
    <t>2024-05-27T10:29:00Z</t>
  </si>
  <si>
    <t>accuknox.com</t>
  </si>
  <si>
    <t>AccuKnox</t>
  </si>
  <si>
    <t>anna.alaverdian@yotpo.com</t>
  </si>
  <si>
    <t>2024-05-27T13:51:00Z</t>
  </si>
  <si>
    <t>kyle.payne@act-on.com</t>
  </si>
  <si>
    <t>2024-05-28T02:19:00Z</t>
  </si>
  <si>
    <t>chandanv@sprinto.com</t>
  </si>
  <si>
    <t>2024-05-28T04:18:00Z</t>
  </si>
  <si>
    <t>srikar.chitturi@chargebee.com</t>
  </si>
  <si>
    <t>2024-05-28T05:55:00Z</t>
  </si>
  <si>
    <t>jgaggin@kargo.com</t>
  </si>
  <si>
    <t>2024-05-28T10:49:00Z</t>
  </si>
  <si>
    <t>dkatiyar@unifonic.com</t>
  </si>
  <si>
    <t>2024-05-28T16:23:00Z</t>
  </si>
  <si>
    <t>unifonic.com</t>
  </si>
  <si>
    <t>Unifonic</t>
  </si>
  <si>
    <t>doug@2loons.com</t>
  </si>
  <si>
    <t>2024-05-28T21:04:00Z</t>
  </si>
  <si>
    <t>smartbear.com</t>
  </si>
  <si>
    <t>SmartBear</t>
  </si>
  <si>
    <t>daveg@hackthebox.com</t>
  </si>
  <si>
    <t>2024-05-28T20:30:00Z</t>
  </si>
  <si>
    <t>nabras.mohammed@whatfix.com</t>
  </si>
  <si>
    <t>2024-05-29T06:11:00Z</t>
  </si>
  <si>
    <t>matthewsa@papayaglobal.com</t>
  </si>
  <si>
    <t>2024-05-30T04:15:00Z</t>
  </si>
  <si>
    <t>papayaglobal.com</t>
  </si>
  <si>
    <t>Papaya Global</t>
  </si>
  <si>
    <t>adonio@panaya.com</t>
  </si>
  <si>
    <t>2024-05-30T06:01:00Z</t>
  </si>
  <si>
    <t>j.patel@shiftkey.com</t>
  </si>
  <si>
    <t>2024-05-30T06:17:00Z</t>
  </si>
  <si>
    <t>shiftkey.com</t>
  </si>
  <si>
    <t>shiftkey</t>
  </si>
  <si>
    <t>mschaner@netskope.com</t>
  </si>
  <si>
    <t>2024-05-30T13:23:00Z</t>
  </si>
  <si>
    <t>redwards@copperleaf.com</t>
  </si>
  <si>
    <t>2024-05-30T15:53:00Z</t>
  </si>
  <si>
    <t>copperleaf.com</t>
  </si>
  <si>
    <t>IFS Copperleaf</t>
  </si>
  <si>
    <t>chad@himaxwell.com</t>
  </si>
  <si>
    <t>2024-05-30T22:45:00Z</t>
  </si>
  <si>
    <t>dliu@snaplogic.com</t>
  </si>
  <si>
    <t>2024-05-30T23:09:00Z</t>
  </si>
  <si>
    <t>snaplogic.com</t>
  </si>
  <si>
    <t>SnapLogic</t>
  </si>
  <si>
    <t>rajesh.savio@beroe-inc.com</t>
  </si>
  <si>
    <t>2024-05-31T08:17:00Z</t>
  </si>
  <si>
    <t>beroeinc.com</t>
  </si>
  <si>
    <t>Beroe</t>
  </si>
  <si>
    <t>richard.elving@markforged.com</t>
  </si>
  <si>
    <t>2024-06-01T09:57:00Z</t>
  </si>
  <si>
    <t>michel.mitri@procom.ca</t>
  </si>
  <si>
    <t>2024-06-02T00:54:00Z</t>
  </si>
  <si>
    <t>procomservices.com</t>
  </si>
  <si>
    <t>Procom</t>
  </si>
  <si>
    <t>raju.burnwal@deque.com</t>
  </si>
  <si>
    <t>2024-06-02T09:42:00Z</t>
  </si>
  <si>
    <t>deque.com</t>
  </si>
  <si>
    <t>Deque Systems, Inc</t>
  </si>
  <si>
    <t>jack.r@nextinsurance.com</t>
  </si>
  <si>
    <t>2024-06-02T13:58:00Z</t>
  </si>
  <si>
    <t>nextinsurance.com</t>
  </si>
  <si>
    <t>Next Insurance</t>
  </si>
  <si>
    <t>james.janssen@trolley.com</t>
  </si>
  <si>
    <t>2024-06-02T23:40:00Z</t>
  </si>
  <si>
    <t>jer043@bucknell.edu</t>
  </si>
  <si>
    <t>2024-06-03T00:40:00Z</t>
  </si>
  <si>
    <t>jess.petrella@zayzoon.com</t>
  </si>
  <si>
    <t>2024-06-03T00:59:00Z</t>
  </si>
  <si>
    <t>ranjit.dhalwani@efficientip.com</t>
  </si>
  <si>
    <t>2024-06-03T02:57:00Z</t>
  </si>
  <si>
    <t>efficientip.com</t>
  </si>
  <si>
    <t>EfficientIP</t>
  </si>
  <si>
    <t>suhagkv@lambdatest.com</t>
  </si>
  <si>
    <t>2024-06-03T06:15:00Z</t>
  </si>
  <si>
    <t>afshanr@lambdatest.com</t>
  </si>
  <si>
    <t>2024-06-03T12:56:00Z</t>
  </si>
  <si>
    <t>benita@facilio.com</t>
  </si>
  <si>
    <t>2024-06-03T14:38:00Z</t>
  </si>
  <si>
    <t>jamie.lajoie@cision.com</t>
  </si>
  <si>
    <t>2024-06-03T15:16:00Z</t>
  </si>
  <si>
    <t>avudali@cleo.com</t>
  </si>
  <si>
    <t>2024-06-03T20:34:00Z</t>
  </si>
  <si>
    <t>bgantz@explorance.com</t>
  </si>
  <si>
    <t>2024-06-03T20:46:00Z</t>
  </si>
  <si>
    <t>kevin.tuckness@five9.com</t>
  </si>
  <si>
    <t>2024-06-04T07:30:00Z</t>
  </si>
  <si>
    <t>five9.com</t>
  </si>
  <si>
    <t>Five9</t>
  </si>
  <si>
    <t>modi.c@gloat.com</t>
  </si>
  <si>
    <t>2024-06-04T09:34:00Z</t>
  </si>
  <si>
    <t>gloat.com</t>
  </si>
  <si>
    <t>Gloat</t>
  </si>
  <si>
    <t>tara.welton@braincube.com</t>
  </si>
  <si>
    <t>2024-06-04T10:29:00Z</t>
  </si>
  <si>
    <t>braincube.com</t>
  </si>
  <si>
    <t>Braincube</t>
  </si>
  <si>
    <t>aditya.onkarappa@sentinelone.com</t>
  </si>
  <si>
    <t>2024-06-05T06:55:00Z</t>
  </si>
  <si>
    <t>caleb.stonehouse@placer.ai</t>
  </si>
  <si>
    <t>2024-06-05T11:47:00Z</t>
  </si>
  <si>
    <t>c-jmullen@apptio.com</t>
  </si>
  <si>
    <t>2024-06-05T13:00:00Z</t>
  </si>
  <si>
    <t>dludlow@iworq.com</t>
  </si>
  <si>
    <t>2024-06-05T14:16:00Z</t>
  </si>
  <si>
    <t>iworq.com</t>
  </si>
  <si>
    <t>iWorQ Systems</t>
  </si>
  <si>
    <t>aaron@contactmonkey.com</t>
  </si>
  <si>
    <t>2024-06-05T16:17:00Z</t>
  </si>
  <si>
    <t>contactmonkey.com</t>
  </si>
  <si>
    <t>ContactMonkey</t>
  </si>
  <si>
    <t>brandon.sheppard@splashthat.com</t>
  </si>
  <si>
    <t>2024-06-05T22:02:00Z</t>
  </si>
  <si>
    <t>splashthat.com</t>
  </si>
  <si>
    <t>Splash</t>
  </si>
  <si>
    <t>karthik.kv@pathfactory.com</t>
  </si>
  <si>
    <t>2024-06-06T12:40:00Z</t>
  </si>
  <si>
    <t>pathfactory.com</t>
  </si>
  <si>
    <t>PathFactory</t>
  </si>
  <si>
    <t>mayank.gupta@clear.in</t>
  </si>
  <si>
    <t>2024-06-06T13:21:00Z</t>
  </si>
  <si>
    <t>mihir.sharma@myoperator.co</t>
  </si>
  <si>
    <t>2024-06-06T18:47:00Z</t>
  </si>
  <si>
    <t>myoperator.com</t>
  </si>
  <si>
    <t>MyOperator</t>
  </si>
  <si>
    <t>monica@responsive.io</t>
  </si>
  <si>
    <t>2024-06-06T17:00:00Z</t>
  </si>
  <si>
    <t>responsive.io</t>
  </si>
  <si>
    <t>Responsive</t>
  </si>
  <si>
    <t>mikala.marquis@guesty.com</t>
  </si>
  <si>
    <t>2024-06-07T03:23:00Z</t>
  </si>
  <si>
    <t>dena.wieder-freiden@hibob.io</t>
  </si>
  <si>
    <t>2024-06-07T06:24:00Z</t>
  </si>
  <si>
    <t>h.keuchkerian@swordhealth.com</t>
  </si>
  <si>
    <t>2024-06-07T12:29:00Z</t>
  </si>
  <si>
    <t>swordhealth.com</t>
  </si>
  <si>
    <t>Sword Health</t>
  </si>
  <si>
    <t>thomasdanh@velocityglobal.com</t>
  </si>
  <si>
    <t>2024-06-08T22:17:00Z</t>
  </si>
  <si>
    <t>nayantara.gautam@planview.com</t>
  </si>
  <si>
    <t>2024-06-09T15:35:00Z</t>
  </si>
  <si>
    <t>planview.com</t>
  </si>
  <si>
    <t>Planview</t>
  </si>
  <si>
    <t>akalaskar6@gatech.edu</t>
  </si>
  <si>
    <t>2024-06-09T23:03:00Z</t>
  </si>
  <si>
    <t>esl.gatech.edu</t>
  </si>
  <si>
    <t>Working as an AI Model Trainer at Scale AI (Contract - 3 months), Also, working at PwC as project management intern (2 months)</t>
  </si>
  <si>
    <t>Georgia Institute Of Technology</t>
  </si>
  <si>
    <t>jnylen@gocatalant.com</t>
  </si>
  <si>
    <t>2024-06-10T03:42:00Z</t>
  </si>
  <si>
    <t>gocatalant.com</t>
  </si>
  <si>
    <t>Catalant Technologies</t>
  </si>
  <si>
    <t>rakhee.krishnan@qure.ai</t>
  </si>
  <si>
    <t>2024-06-10T07:37:00Z</t>
  </si>
  <si>
    <t>karan.mehta@myndsol.com</t>
  </si>
  <si>
    <t>2024-06-10T09:05:00Z</t>
  </si>
  <si>
    <t>myndsolution.com</t>
  </si>
  <si>
    <t>Mynd Integrated Solutions</t>
  </si>
  <si>
    <t>gopala.krishnan@chargebee.com</t>
  </si>
  <si>
    <t>2024-06-10T09:41:00Z</t>
  </si>
  <si>
    <t>hazel.gunapala@coinbase.com</t>
  </si>
  <si>
    <t>2024-06-10T12:37:00Z</t>
  </si>
  <si>
    <t>coinbase.com</t>
  </si>
  <si>
    <t>Coinbase</t>
  </si>
  <si>
    <t>dgraham@litify.com</t>
  </si>
  <si>
    <t>2024-06-10T15:02:00Z</t>
  </si>
  <si>
    <t>litify.com</t>
  </si>
  <si>
    <t>Litify</t>
  </si>
  <si>
    <t>peter.pflaster@automox.com</t>
  </si>
  <si>
    <t>2024-06-10T16:48:00Z</t>
  </si>
  <si>
    <t>joe_shiraz@elixir.com</t>
  </si>
  <si>
    <t>2024-06-10T18:22:00Z</t>
  </si>
  <si>
    <t>elixir.com</t>
  </si>
  <si>
    <t>Elixir Technologies</t>
  </si>
  <si>
    <t>dboykin@onetrust.com</t>
  </si>
  <si>
    <t>2024-06-10T18:55:00Z</t>
  </si>
  <si>
    <t>onetrust.com</t>
  </si>
  <si>
    <t>OneTrust</t>
  </si>
  <si>
    <t>rahil.gambhir@sirionlabs.com</t>
  </si>
  <si>
    <t>2024-06-10T20:48:00Z</t>
  </si>
  <si>
    <t>samuel.lee@unit21.ai</t>
  </si>
  <si>
    <t>2024-06-10T21:13:00Z</t>
  </si>
  <si>
    <t>unit21.ai</t>
  </si>
  <si>
    <t>Unit21</t>
  </si>
  <si>
    <t>henry.wood@fluentcommerce.com</t>
  </si>
  <si>
    <t>2024-06-11T01:27:00Z</t>
  </si>
  <si>
    <t>fluentcommerce.com</t>
  </si>
  <si>
    <t>Fluent Commerce</t>
  </si>
  <si>
    <t>tara.akkerman@sai360.com</t>
  </si>
  <si>
    <t>2024-06-11T13:06:00Z</t>
  </si>
  <si>
    <t>sai360.com</t>
  </si>
  <si>
    <t>SAI360</t>
  </si>
  <si>
    <t>ariel.sternfine@buildots.com</t>
  </si>
  <si>
    <t>2024-06-11T22:18:00Z</t>
  </si>
  <si>
    <t>christiane.chugbo@lightspeedhq.com</t>
  </si>
  <si>
    <t>2024-06-11T22:57:00Z</t>
  </si>
  <si>
    <t>lightspeedhq.com</t>
  </si>
  <si>
    <t>Lightspeed Commerce</t>
  </si>
  <si>
    <t>vincent.bordini@outsystems.com</t>
  </si>
  <si>
    <t>2024-06-12T02:06:00Z</t>
  </si>
  <si>
    <t>niteshk@radware.com</t>
  </si>
  <si>
    <t>2024-04-18T07:02:00Z</t>
  </si>
  <si>
    <t>constantine.johns@workiva.com</t>
  </si>
  <si>
    <t>2024-06-12T22:08:00Z</t>
  </si>
  <si>
    <t>stephen@cresta.ai</t>
  </si>
  <si>
    <t>2024-06-13T03:15:00Z</t>
  </si>
  <si>
    <t>cresta.com</t>
  </si>
  <si>
    <t>Cresta</t>
  </si>
  <si>
    <t>vijith@leena.ai</t>
  </si>
  <si>
    <t>2024-06-13T04:25:00Z</t>
  </si>
  <si>
    <t>dean.pogroske@logz.io</t>
  </si>
  <si>
    <t>2024-06-13T07:10:00Z</t>
  </si>
  <si>
    <t>logz.io</t>
  </si>
  <si>
    <t>Logz.io</t>
  </si>
  <si>
    <t>ellen@getcensus.com</t>
  </si>
  <si>
    <t>2024-06-13T14:44:00Z</t>
  </si>
  <si>
    <t>getcensus.com</t>
  </si>
  <si>
    <t>Census</t>
  </si>
  <si>
    <t>amartin@payactiv.com</t>
  </si>
  <si>
    <t>2024-06-13T15:59:00Z</t>
  </si>
  <si>
    <t>payactiv.com</t>
  </si>
  <si>
    <t>Payactiv</t>
  </si>
  <si>
    <t>kelly.cristaldi@virtuous.org</t>
  </si>
  <si>
    <t>2024-06-13T17:51:00Z</t>
  </si>
  <si>
    <t>virtuous.org</t>
  </si>
  <si>
    <t>Virtuous</t>
  </si>
  <si>
    <t>ashuttleworth@360insights.com</t>
  </si>
  <si>
    <t>2024-06-13T17:37:00Z</t>
  </si>
  <si>
    <t>360insights.com</t>
  </si>
  <si>
    <t>360insights</t>
  </si>
  <si>
    <t>albion.ong@fireworkhq.com</t>
  </si>
  <si>
    <t>2024-06-15T07:34:00Z</t>
  </si>
  <si>
    <t>firework.com</t>
  </si>
  <si>
    <t>Firework</t>
  </si>
  <si>
    <t>liron.mendel@cyesec.com</t>
  </si>
  <si>
    <t>2024-06-15T20:19:00Z</t>
  </si>
  <si>
    <t>cyesec.com</t>
  </si>
  <si>
    <t>CYE</t>
  </si>
  <si>
    <t>ncurran@vmray.com</t>
  </si>
  <si>
    <t>2024-06-16T12:52:00Z</t>
  </si>
  <si>
    <t>vmray.com</t>
  </si>
  <si>
    <t>VMRay</t>
  </si>
  <si>
    <t>astewart@genasys.com</t>
  </si>
  <si>
    <t>2024-06-16T22:30:00Z</t>
  </si>
  <si>
    <t>yakovlev.victor@gmail.com</t>
  </si>
  <si>
    <t>2024-06-17T12:20:00Z</t>
  </si>
  <si>
    <t>jordan.korte@talkdesk.com</t>
  </si>
  <si>
    <t>2024-06-17T13:23:00Z</t>
  </si>
  <si>
    <t>kevin.nickel@everestgrp.com</t>
  </si>
  <si>
    <t>2024-06-17T15:58:00Z</t>
  </si>
  <si>
    <t>riqbal@digitalocean.com</t>
  </si>
  <si>
    <t>2024-06-19T05:05:00Z</t>
  </si>
  <si>
    <t>digitalocean.com</t>
  </si>
  <si>
    <t>Head of cyber security - irrelevant persona</t>
  </si>
  <si>
    <t>DigitalOcean</t>
  </si>
  <si>
    <t>josh.didion@mindbodyonline.com</t>
  </si>
  <si>
    <t>2024-06-19T22:04:00Z</t>
  </si>
  <si>
    <t>mindbodyonline.com</t>
  </si>
  <si>
    <t>Mindbody</t>
  </si>
  <si>
    <t>shivangi.chaubey@rahisystems.com</t>
  </si>
  <si>
    <t>2024-06-20T06:02:00Z</t>
  </si>
  <si>
    <t>rahi.io</t>
  </si>
  <si>
    <t>Rahi</t>
  </si>
  <si>
    <t>noelle.morris@medallion.co</t>
  </si>
  <si>
    <t>2024-06-20T13:46:00Z</t>
  </si>
  <si>
    <t>medallion.co</t>
  </si>
  <si>
    <t>Medallion</t>
  </si>
  <si>
    <t>alexp@cdata.com</t>
  </si>
  <si>
    <t>2024-06-20T19:02:00Z</t>
  </si>
  <si>
    <t>cdata.com</t>
  </si>
  <si>
    <t>CData Software</t>
  </si>
  <si>
    <t>roee.f@taboola.com</t>
  </si>
  <si>
    <t>2024-06-21T12:32:00Z</t>
  </si>
  <si>
    <t>taboola.com</t>
  </si>
  <si>
    <t>Taboola</t>
  </si>
  <si>
    <t>priyanka.sahay@airslate.com</t>
  </si>
  <si>
    <t>2024-06-21T21:15:00Z</t>
  </si>
  <si>
    <t>mike.bollman@automox.com</t>
  </si>
  <si>
    <t>2024-06-22T15:00:00Z</t>
  </si>
  <si>
    <t>andrew.baker@lvt.com</t>
  </si>
  <si>
    <t>2024-06-23T03:37:00Z</t>
  </si>
  <si>
    <t>ronha@papayaglobal.com</t>
  </si>
  <si>
    <t>2024-06-23T12:31:00Z</t>
  </si>
  <si>
    <t>kennedy.mason@domo.com</t>
  </si>
  <si>
    <t>2024-06-23T18:05:00Z</t>
  </si>
  <si>
    <t>ed.matanes@callminer.com</t>
  </si>
  <si>
    <t>2024-06-23T20:43:00Z</t>
  </si>
  <si>
    <t>callminer.com</t>
  </si>
  <si>
    <t>CallMiner</t>
  </si>
  <si>
    <t>melanie.simon@fingerprint.com</t>
  </si>
  <si>
    <t>2024-06-24T14:36:00Z</t>
  </si>
  <si>
    <t>fingerprint.com</t>
  </si>
  <si>
    <t>Fingerprint</t>
  </si>
  <si>
    <t>matt.sansone@goteleport.com</t>
  </si>
  <si>
    <t>2024-06-24T15:36:00Z</t>
  </si>
  <si>
    <t>goteleport.com</t>
  </si>
  <si>
    <t>Teleport</t>
  </si>
  <si>
    <t>jake.goldfield@salesloft.com</t>
  </si>
  <si>
    <t>2024-06-25T14:10:00Z</t>
  </si>
  <si>
    <t>amanda.hanks@definitivehc.com</t>
  </si>
  <si>
    <t>2024-06-25T15:17:00Z</t>
  </si>
  <si>
    <t>definitivehc.com</t>
  </si>
  <si>
    <t>Definitive Healthcare</t>
  </si>
  <si>
    <t>daria.sherr@semrush.com</t>
  </si>
  <si>
    <t>2024-06-25T16:08:00Z</t>
  </si>
  <si>
    <t>sam.manjarres@watchguard.com</t>
  </si>
  <si>
    <t>2024-06-26T03:59:00Z</t>
  </si>
  <si>
    <t>watchguard.com</t>
  </si>
  <si>
    <t>WatchGuard Technologies</t>
  </si>
  <si>
    <t>bsperling@payjunction.com</t>
  </si>
  <si>
    <t>2024-06-26T12:26:00Z</t>
  </si>
  <si>
    <t>jclarke@voltus.co</t>
  </si>
  <si>
    <t>2024-06-26T17:48:00Z</t>
  </si>
  <si>
    <t>voltus.co</t>
  </si>
  <si>
    <t>Voltus</t>
  </si>
  <si>
    <t>randyphillips@truckstop.com</t>
  </si>
  <si>
    <t>2024-06-26T18:47:00Z</t>
  </si>
  <si>
    <t>truckstop.com</t>
  </si>
  <si>
    <t>Truckstop.com</t>
  </si>
  <si>
    <t>dlockett@burwood.com</t>
  </si>
  <si>
    <t>2024-06-26T23:57:00Z</t>
  </si>
  <si>
    <t>burwood.com</t>
  </si>
  <si>
    <t>Burwood Group</t>
  </si>
  <si>
    <t>nilesh@versa-networks.com</t>
  </si>
  <si>
    <t>2024-06-27T06:13:00Z</t>
  </si>
  <si>
    <t>richard.brindisi@asuresoftware.com</t>
  </si>
  <si>
    <t>2024-06-27T13:42:00Z</t>
  </si>
  <si>
    <t>asuresoftware.com</t>
  </si>
  <si>
    <t>Asure Software</t>
  </si>
  <si>
    <t>ryan.whitehouse@meetmarigold.com</t>
  </si>
  <si>
    <t>2024-06-27T23:58:00Z</t>
  </si>
  <si>
    <t>brooke.herbst@supplypike.com</t>
  </si>
  <si>
    <t>2024-06-28T20:13:00Z</t>
  </si>
  <si>
    <t>supplypike.com</t>
  </si>
  <si>
    <t>SupplyPike</t>
  </si>
  <si>
    <t>mallory.margiotta@omaticsoftware.com</t>
  </si>
  <si>
    <t>2024-07-01T18:39:00Z</t>
  </si>
  <si>
    <t>mark.dejong@spectrio.com</t>
  </si>
  <si>
    <t>2024-07-05T11:42:00Z</t>
  </si>
  <si>
    <t>ajett@mediaocean.com</t>
  </si>
  <si>
    <t>2024-07-10T19:19:00Z</t>
  </si>
  <si>
    <t>mediaocean.com</t>
  </si>
  <si>
    <t>Mediaocean</t>
  </si>
  <si>
    <t>sebastien.cleroux@vyntra.ca</t>
  </si>
  <si>
    <t>2025-02-19T20:41:00Z</t>
  </si>
  <si>
    <t>saviynt.com</t>
  </si>
  <si>
    <t>Saviynt</t>
  </si>
  <si>
    <t>ofilakouris@augury.com</t>
  </si>
  <si>
    <t>2025-04-09T11:17:00Z</t>
  </si>
  <si>
    <t>augury.com</t>
  </si>
  <si>
    <t>Augury</t>
  </si>
  <si>
    <t>molly@horizon3.ai</t>
  </si>
  <si>
    <t>2025-03-05T16:30:00Z</t>
  </si>
  <si>
    <t>horizon3.ai</t>
  </si>
  <si>
    <t>Horizon3.ai</t>
  </si>
  <si>
    <t>g.raber@kontakt.io</t>
  </si>
  <si>
    <t>2024-06-24T14:59:00Z</t>
  </si>
  <si>
    <t>christina.ling@verifiable.com</t>
  </si>
  <si>
    <t>2025-10-31T00:09:00Z</t>
  </si>
  <si>
    <t>nicola.fowler@flywire.com</t>
  </si>
  <si>
    <t>2026-02-26T20:10:00Z</t>
  </si>
  <si>
    <t>kerenr@nayax.com</t>
  </si>
  <si>
    <t>2026-03-07T18:11:00Z</t>
  </si>
  <si>
    <t>Impressions</t>
  </si>
  <si>
    <t>Clicks</t>
  </si>
  <si>
    <t>Cost in USD</t>
  </si>
  <si>
    <t>Date Range</t>
  </si>
  <si>
    <t>CPC</t>
  </si>
  <si>
    <t>CPM</t>
  </si>
  <si>
    <t>CTR (%)</t>
  </si>
  <si>
    <t>Cost Per Conversion</t>
  </si>
  <si>
    <t>Leads</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</si>
  <si>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</si>
  <si>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</si>
  <si>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</si>
  <si>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</si>
  <si>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</si>
  <si>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</si>
  <si>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</si>
  <si>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</si>
  <si>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</si>
  <si>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</si>
  <si>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</si>
  <si>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</si>
  <si>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</si>
  <si>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</si>
  <si>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</si>
  <si>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</si>
  <si>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</si>
  <si>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</si>
  <si>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</si>
  <si>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</si>
  <si>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</si>
  <si>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</si>
  <si>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</si>
  <si>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</si>
  <si>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</si>
  <si>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</si>
  <si>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</si>
  <si>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</si>
  <si>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</si>
  <si>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</si>
  <si>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</si>
  <si>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</si>
  <si>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</si>
  <si>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</si>
  <si>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</si>
  <si>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</si>
  <si>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</si>
  <si>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</si>
  <si>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</si>
  <si>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</si>
  <si>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</si>
  <si>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</si>
  <si>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</si>
  <si>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</si>
  <si>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</si>
  <si>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</si>
  <si>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</si>
  <si>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</si>
  <si>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</si>
  <si>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</si>
  <si>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</si>
  <si>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</si>
  <si>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</si>
  <si>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</si>
  <si>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</si>
  <si>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</si>
  <si>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</si>
  <si>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</si>
  <si>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</si>
  <si>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</si>
  <si>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</si>
  <si>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</si>
  <si>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</si>
  <si>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</si>
  <si>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</si>
  <si>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</si>
  <si>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</si>
  <si>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</si>
  <si>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</si>
  <si>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</si>
  <si>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</si>
  <si>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</si>
  <si>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</si>
  <si>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</si>
  <si>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</si>
  <si>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</si>
  <si>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</si>
  <si>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</si>
  <si>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</si>
  <si>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</si>
  <si>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</si>
  <si>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</si>
  <si>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</si>
  <si>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</si>
  <si>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</si>
  <si>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</si>
  <si>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</si>
  <si>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</si>
  <si>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</si>
  <si>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</si>
  <si>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</si>
  <si>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</si>
  <si>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</si>
  <si>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</si>
  <si>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</si>
  <si>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</si>
  <si>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</si>
  <si>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</si>
  <si>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</si>
  <si>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</si>
  <si>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</si>
  <si>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</si>
  <si>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</si>
  <si>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</si>
  <si>
    <t>Cost Micros</t>
  </si>
  <si>
    <t>Date</t>
  </si>
  <si>
    <t>Average Cpc</t>
  </si>
  <si>
    <t>Average Cpm</t>
  </si>
  <si>
    <t>Ctr</t>
  </si>
  <si>
    <t>Campaign Name</t>
  </si>
  <si>
    <t>Conversions</t>
  </si>
  <si>
    <t>Just in time sales Enablement</t>
  </si>
  <si>
    <t>Tool/Platform/Software - USA</t>
  </si>
  <si>
    <t>Competitor-Highspot-US</t>
  </si>
  <si>
    <t>Competitor-Seismic -US</t>
  </si>
  <si>
    <t>Competitor-Showpad-US</t>
  </si>
  <si>
    <t>Competitor-Generic-Search-Phrase-USA</t>
  </si>
  <si>
    <t>Competitor-Generic-Search-Phrase-India</t>
  </si>
  <si>
    <t>showpad_comp_longtail_search_lead_phrase_usa</t>
  </si>
  <si>
    <t>seismic_comp_longtail_search_lead_phrase_usa</t>
  </si>
  <si>
    <t>highspot_comp_longtail_search_lead_phrase_usa</t>
  </si>
  <si>
    <t>highspot_comp_longtail_search_lead_phrase_row</t>
  </si>
  <si>
    <t>Meeting-Prep-Longtail-USCA-2025-09</t>
  </si>
  <si>
    <t>AI-Sales-Enablement-Longtail-USCA-2025-09</t>
  </si>
  <si>
    <t>CS-Enablement-Longtail-USCA-2025-09</t>
  </si>
  <si>
    <t>Partner-Enablement-Longtail-USCA-2025-09</t>
  </si>
  <si>
    <t>Year month</t>
  </si>
  <si>
    <t>Session default channel group</t>
  </si>
  <si>
    <t>Landing page</t>
  </si>
  <si>
    <t>Total users</t>
  </si>
  <si>
    <t>Sessions</t>
  </si>
  <si>
    <t>New users</t>
  </si>
  <si>
    <t>Sessions per user</t>
  </si>
  <si>
    <t>Bounce rate</t>
  </si>
  <si>
    <t>Average session duration</t>
  </si>
  <si>
    <t>Views</t>
  </si>
  <si>
    <t>% New Sessions</t>
  </si>
  <si>
    <t>Pages / Session</t>
  </si>
  <si>
    <t>Direct</t>
  </si>
  <si>
    <t>/</t>
  </si>
  <si>
    <t>Organic Search</t>
  </si>
  <si>
    <t>Unassigned</t>
  </si>
  <si>
    <t>Paid Search</t>
  </si>
  <si>
    <t>(not set)</t>
  </si>
  <si>
    <t>/blog/highspot-seismic-merger-analysis</t>
  </si>
  <si>
    <t>Organic Social</t>
  </si>
  <si>
    <t>/product/nucleus</t>
  </si>
  <si>
    <t>/guides/ultimate-buyers-guide-ai-role-play-platforms</t>
  </si>
  <si>
    <t>/solutions/sales-enablement</t>
  </si>
  <si>
    <t>/revenue-activation</t>
  </si>
  <si>
    <t>/company/about-us</t>
  </si>
  <si>
    <t>/privacy-policy</t>
  </si>
  <si>
    <t>/product/meeting-prep</t>
  </si>
  <si>
    <t>/why-gtmbuddy</t>
  </si>
  <si>
    <t>/b2b-sales-tools-directory</t>
  </si>
  <si>
    <t>/blog/b2b-saas-product-launch-checklist</t>
  </si>
  <si>
    <t>/changelog</t>
  </si>
  <si>
    <t>/guides/partner-enablement/channel-partner-enablement</t>
  </si>
  <si>
    <t>/guides/sales-enablement</t>
  </si>
  <si>
    <t>/platform/integrations</t>
  </si>
  <si>
    <t>/product/ai-role-plays</t>
  </si>
  <si>
    <t>/terms-and-conditions</t>
  </si>
  <si>
    <t>/guides/revenue-enablement</t>
  </si>
  <si>
    <t>/product/askbuddy-ai-copilot</t>
  </si>
  <si>
    <t>/product/content-governance-and-organization-software</t>
  </si>
  <si>
    <t>/product/sales-rep-success</t>
  </si>
  <si>
    <t>/sales-enablement-jobs</t>
  </si>
  <si>
    <t>/solutions/revenue-leaders</t>
  </si>
  <si>
    <t>/blog</t>
  </si>
  <si>
    <t>/blog/how-do-ai-role-play-platforms-simulate-real-buyer-conversations</t>
  </si>
  <si>
    <t>/blog/how-to-create-competitive-sales-battle-card-templates</t>
  </si>
  <si>
    <t>/company/newsroom</t>
  </si>
  <si>
    <t>/cost-calculator</t>
  </si>
  <si>
    <t>/customers</t>
  </si>
  <si>
    <t>/ebooks/fixing-the-leaky-sales-funnel</t>
  </si>
  <si>
    <t>/migrate-from-legacy-enablement-platforms/bigtincan-showpad-alternatives-competitors</t>
  </si>
  <si>
    <t>/migrate-from-legacy-enablement-platforms/highspot-alternatives-competitors</t>
  </si>
  <si>
    <t>/resources/the-ai-enablement-cookbook</t>
  </si>
  <si>
    <t>/agentic-ai-enablement-prompts</t>
  </si>
  <si>
    <t>/blog/ai-role-play-features-buyers-framework</t>
  </si>
  <si>
    <t>/blog/checklist-to-plan-a-successful-sko-sales-kickoff</t>
  </si>
  <si>
    <t>/blog/elevate-frontline-managers-with-ai</t>
  </si>
  <si>
    <t>/blog/how-ai-is-reshaping-revenue-enablement</t>
  </si>
  <si>
    <t>/blog/how-revenue-enablement-drives-cross-functional-alignment</t>
  </si>
  <si>
    <t>/blog/how-to-create-a-sales-pitch-deck</t>
  </si>
  <si>
    <t>/blog/implementing-ai-role-play-common-mistakes-to-avoid</t>
  </si>
  <si>
    <t>/blog/top-sales-enablement-leaders-to-follow</t>
  </si>
  <si>
    <t>/blog/what-100-quarters-in-sales-taught-us-about-cybersecurity-enablement</t>
  </si>
  <si>
    <t>/blog/why-everything-you-know-about-buyer-personas-is-wrong--and-what-replaces-it</t>
  </si>
  <si>
    <t>/company/newsroom/gtm-buddy-raises-8-million-series-a-to-fix-leaky-b2b-sales-funnels</t>
  </si>
  <si>
    <t>/contact</t>
  </si>
  <si>
    <t>/customers/moengage</t>
  </si>
  <si>
    <t>/guides/customer-success-enablement</t>
  </si>
  <si>
    <t>/guides/partner-enablement/partner-enablement-framework-and-best-practices</t>
  </si>
  <si>
    <t>/guides/revenue-enablement/revenue-enablement-vs-sales-enablement</t>
  </si>
  <si>
    <t>/guides/sales-enablement/how-ai-is-transforming-sales-enablement</t>
  </si>
  <si>
    <t>/migrate-from-legacy-enablement-platforms</t>
  </si>
  <si>
    <t>/migrate-from-legacy-enablement-platforms/hyperbound-alternatives-competitors</t>
  </si>
  <si>
    <t>/migrate-from-legacy-enablement-platforms/seismic-alternatives-competitors</t>
  </si>
  <si>
    <t>/migrate-from-legacy-enablement-platforms/trumpet-alternatives-competitors</t>
  </si>
  <si>
    <t>/product/cms</t>
  </si>
  <si>
    <t>/product/content-authoring-software</t>
  </si>
  <si>
    <t>/product/lms</t>
  </si>
  <si>
    <t>/solutions/customer-success</t>
  </si>
  <si>
    <t>/solutions/partners</t>
  </si>
  <si>
    <t>/wall-of-love</t>
  </si>
  <si>
    <t>Cross-network</t>
  </si>
  <si>
    <t>/Framework</t>
  </si>
  <si>
    <t>/agentic-ai-enablement-prompts/pain-funnel-discovery-ai-prompt</t>
  </si>
  <si>
    <t>/blog/ai-roleplay-advantage-for-experienced-sellers</t>
  </si>
  <si>
    <t>/blog/ai-transformation-isnt-something-you-declare-its-already-happening-to-you</t>
  </si>
  <si>
    <t>/blog/coaching-in-context-agentic-sales-era</t>
  </si>
  <si>
    <t>/blog/dont-use-google-drive-for-sales-enablement</t>
  </si>
  <si>
    <t>/blog/enablement-tech-stack-consolidation-reality-check-assessment</t>
  </si>
  <si>
    <t>/blog/hidden-complexity-and-challenges-of-traditional-revenue-enablement-platforms</t>
  </si>
  <si>
    <t>/blog/hidden-pitfalls-of-adding-ai-to-enablement</t>
  </si>
  <si>
    <t>/blog/how-ai-is-reshaping-next-generation-digital-sales-room</t>
  </si>
  <si>
    <t>/blog/how-real-time-revenue-insights-elevate-enablement-in-boardroom</t>
  </si>
  <si>
    <t>/blog/how-to-help-reps-combat-the-forgetting-curve-through-situational-enablement</t>
  </si>
  <si>
    <t>/blog/how-to-respond-to-rfps-faster</t>
  </si>
  <si>
    <t>/blog/i-replaced-myself-as-the-router-what-i-learned-building-5-ai-operating-loops-for-a-44-person-company</t>
  </si>
  <si>
    <t>/blog/ineffective-enablement-platform-costing-you-revenue</t>
  </si>
  <si>
    <t>/blog/judgment-free-ai-role-plays-reshaping-sales-practice</t>
  </si>
  <si>
    <t>/blog/leading-ai-first-unified-enablement-revolution-with-ai-sales-role-play-digital-sales-rooms</t>
  </si>
  <si>
    <t>/blog/objection-handling-with-ai-role-play</t>
  </si>
  <si>
    <t>/blog/sales-enablement-mergers-architecture-shift</t>
  </si>
  <si>
    <t>/blog/step-by-step-guide-how-to-create-realistic-ai-role-plays-effectively</t>
  </si>
  <si>
    <t>/blog/step-by-step-guide-how-to-set-up-digital-sales-room</t>
  </si>
  <si>
    <t>/blog/strategic-role-of-enablement-in-b2b-product-launches</t>
  </si>
  <si>
    <t>/blog/the-2-3-million-content-delivery-gap-why-your-revenue-enablement-strategy-is-failing-at-the-last-mile</t>
  </si>
  <si>
    <t>/blog/the-inception-problem-how-to-sell-when-your-sale-is-the-product-demo</t>
  </si>
  <si>
    <t>/blog/the-power-of-ai-in-unifying-revops-and-revenue-enablement-for-predictable-growth-by-2025</t>
  </si>
  <si>
    <t>/blog/the-truth-about-ai-washing-in-sales</t>
  </si>
  <si>
    <t>/blog/top-10-ai-powered-sales-role-play-scenarios-to-elevate-your-sales-training-in-2025</t>
  </si>
  <si>
    <t>/blog/top-digital-sales-room-use-cases-across-customer-lifecycle</t>
  </si>
  <si>
    <t>/blog/what-happened-when-we-gave-our-sales-team-6-ai-missions</t>
  </si>
  <si>
    <t>/blog/why-building-an-ai-native-company-is-the-wrong-goal</t>
  </si>
  <si>
    <t>/book-a-demo</t>
  </si>
  <si>
    <t>/careers</t>
  </si>
  <si>
    <t>/company/newsroom/e4enable-and-gtm-buddy-integrate-to-drive-sales-success</t>
  </si>
  <si>
    <t>/company/newsroom/revenue-activation-redefines-enablement-in-the-agentic-era-of-sales</t>
  </si>
  <si>
    <t>/customers/bizzabo</t>
  </si>
  <si>
    <t>/customers/cybercube</t>
  </si>
  <si>
    <t>/customers/darwinbox</t>
  </si>
  <si>
    <t>/customers/keelvar</t>
  </si>
  <si>
    <t>/customers/leandata</t>
  </si>
  <si>
    <t>/customers/moengage__How</t>
  </si>
  <si>
    <t>/data-processing-agreement</t>
  </si>
  <si>
    <t>/google</t>
  </si>
  <si>
    <t>/guides/partner-enablement</t>
  </si>
  <si>
    <t>/guides/partner-enablement/how-to-evaluate-implement-partner-enablement-software</t>
  </si>
  <si>
    <t>/guides/revenue-enablement/how-to-measure-the-success-of-your-revenue-enablement-efforts</t>
  </si>
  <si>
    <t>/guides/revenue-enablement/revenue-enablement-best-practices</t>
  </si>
  <si>
    <t>/guides/sales-enablement/sales-enablement-tech-stack-tools</t>
  </si>
  <si>
    <t>/guides/sales-enablement/sales-enablement-trends</t>
  </si>
  <si>
    <t>/integrations/slack</t>
  </si>
  <si>
    <t>/interactive-demo</t>
  </si>
  <si>
    <t>/migrate-from-legacy-enablement-platforms/letter-ai-alternatives-competitors</t>
  </si>
  <si>
    <t>/platform/implementation</t>
  </si>
  <si>
    <t>/product/content-analytics</t>
  </si>
  <si>
    <t>/product/content-discovery-and-delivery-platform</t>
  </si>
  <si>
    <t>/product/digital-sales-room</t>
  </si>
  <si>
    <t>/product/partner-portal</t>
  </si>
  <si>
    <t>/product/rfp-automation</t>
  </si>
  <si>
    <t>/render</t>
  </si>
  <si>
    <t>/resources/article/dont-use-google-drive-for-sales-enablement</t>
  </si>
  <si>
    <t>/resources/enablement-maturity-assessment</t>
  </si>
  <si>
    <t>/revenue-activation-system</t>
  </si>
  <si>
    <t>/revenue-enablement-glossary</t>
  </si>
  <si>
    <t>/signup</t>
  </si>
  <si>
    <t>/solutions</t>
  </si>
  <si>
    <t>/solutions/cybersecurity</t>
  </si>
  <si>
    <t>/solutions/marketing</t>
  </si>
  <si>
    <t>/solutions/sales</t>
  </si>
  <si>
    <t>/spekit-alternatives-competitors</t>
  </si>
  <si>
    <t>/webinar/winning-at-every-stage-with-actionable-sales-strategies</t>
  </si>
  <si>
    <t>/LXRlbXBvcm</t>
  </si>
  <si>
    <t>/blog/why-your-ai-training-is-failing</t>
  </si>
  <si>
    <t>/blog/how-to-create-mutual-action-plans-to-streamline-b2b-sales</t>
  </si>
  <si>
    <t>/blog/agentic-ceo-building-a-category-capacity-vs-headcount</t>
  </si>
  <si>
    <t>/-temporary-slug-a3000152-b4e8-4569-b9b9-5576fdcd4a35</t>
  </si>
  <si>
    <t>/blog/why-unified-revenue-enablement-is-the-key-to-future-proofing-your-revenue-teams</t>
  </si>
  <si>
    <t>/terms-of-use</t>
  </si>
  <si>
    <t>/blog/adaptive-competitive-intelligence-rethinking-battle-cards</t>
  </si>
  <si>
    <t>/nucleus</t>
  </si>
  <si>
    <t>/-temporary-slug-6cbdea24-263d-4014-8690-f226f65f55d0</t>
  </si>
  <si>
    <t>/blog/future-of-ai-change-management-trust-drives-adoption</t>
  </si>
  <si>
    <t>/revenue-calculator</t>
  </si>
  <si>
    <t>/-temporary-slug-1594b9b1-08a5-4539-9716-4a8e7f0d6b6c</t>
  </si>
  <si>
    <t>/ap</t>
  </si>
  <si>
    <t>/blog/highspot-seismic-merger-startups-sprint</t>
  </si>
  <si>
    <t>/top-rep-replication-vs-activation</t>
  </si>
  <si>
    <t>/webinar/spectrio-ending-content-chaos-with-ai-enablement</t>
  </si>
  <si>
    <t>Paid Other</t>
  </si>
  <si>
    <t>/blog/ai-role-play-vs-traditional-sales-coaching</t>
  </si>
  <si>
    <t>/blog/how-were-building-an-ai-native-sales-team-at-a-44-person-company</t>
  </si>
  <si>
    <t>/blog/why-switch-to-gtmbuddy-from-legacy-enablement-platforms</t>
  </si>
  <si>
    <t>/guides/sales-enablement/coaching-sales-leaders-for-success</t>
  </si>
  <si>
    <t>/paperflite-alternatives-competitors</t>
  </si>
  <si>
    <t>/ExportPreview</t>
  </si>
  <si>
    <t>/NewAssessment</t>
  </si>
  <si>
    <t>/WebinarEp3</t>
  </si>
  <si>
    <t>/agentic-ai-enablement-prompts/ai-deal-readiness-forecast-integrity-prompt</t>
  </si>
  <si>
    <t>/agentic-persona-model</t>
  </si>
  <si>
    <t>/blog/90-days-guide-for-a-new-sales-enabler</t>
  </si>
  <si>
    <t>/blog/ai-native-vs-fragmented-enablement</t>
  </si>
  <si>
    <t>/blog/buyer-centric-enablement-next-steps</t>
  </si>
  <si>
    <t>/blog/content-heavy-enablement-is-dead-how-ai-driven-personalization-is-transforming-sales-teams</t>
  </si>
  <si>
    <t>/blog/the-productivity-trap-why-ai-makes-us-more-productive-is-the-wrong-frame-and-what-agentic-actually-means</t>
  </si>
  <si>
    <t>/collections</t>
  </si>
  <si>
    <t>/dayeaxsi</t>
  </si>
  <si>
    <t>/product/ai-native-enablement-platform</t>
  </si>
  <si>
    <t>/products</t>
  </si>
  <si>
    <t>/thank-you</t>
  </si>
  <si>
    <t>/webinar/using-sales-plays-to-exceed-conversion-goals</t>
  </si>
  <si>
    <t>/&amp;amp=</t>
  </si>
  <si>
    <t>/)</t>
  </si>
  <si>
    <t>/-temporary-slug-0353f967-7dcd-4852-b993-43b1cb782672</t>
  </si>
  <si>
    <t>/-temporary-slug-1594b9b1-08a5=</t>
  </si>
  <si>
    <t>/-temporary-slug-3d1a1ece-a9ff-4e23-ba7d-1a511f1cfb11</t>
  </si>
  <si>
    <t>/-temporary-slug-42f3129b-5225-4f94-924e-59bb37431378</t>
  </si>
  <si>
    <t>/-temporary-slug-6cbdea24-263d=</t>
  </si>
  <si>
    <t>/-temporary-slug-a3000152-b4e8=</t>
  </si>
  <si>
    <t>/-temporary-slug-d5560809-85bc-4247-bb81-2fdca91012e0</t>
  </si>
  <si>
    <t>/=20</t>
  </si>
  <si>
    <t>/Dashboard</t>
  </si>
  <si>
    <t>/Home</t>
  </si>
  <si>
    <t>/Playbook</t>
  </si>
  <si>
    <t>/WebinarEp2</t>
  </si>
  <si>
    <t>/__;!!GHn4MdBqjrtv!gU6SSD=</t>
  </si>
  <si>
    <t>/__;!!GHn4MdBqjrtv!j51KN=</t>
  </si>
  <si>
    <t>/about</t>
  </si>
  <si>
    <t>/agentic-ai-enablement-prompts/ai-content-library-builder-prompt</t>
  </si>
  <si>
    <t>/bin/topic.py</t>
  </si>
  <si>
    <t>/blog/ai-driven-learning-management-unlocking-confidence-in-sales-teams-through-smarter-training</t>
  </si>
  <si>
    <t>/blog/ai-role-play-use-cases-for-sales-customer-success</t>
  </si>
  <si>
    <t>/blog/how-does-just-in-time-sales-enablement-work</t>
  </si>
  <si>
    <t>/blog/how-to-find-the-right-sales-methodology-for-saas-organization</t>
  </si>
  <si>
    <t>/blog/i-replaced-myself-as-the-router-what-happened-when-i-built-5-ai-operating-loops-for-a-44-person-company</t>
  </si>
  <si>
    <t>/blog/improve-buyer-collaboration-digital-sales-rooms</t>
  </si>
  <si>
    <t>/blog/successful-sales-calls-with-meeting-prep</t>
  </si>
  <si>
    <t>/blog/top-5-questions-to-ask-while-evaluating-sales-enablement-tools</t>
  </si>
  <si>
    <t>/blog/transform-b2b-buying-digital-sales-rooms</t>
  </si>
  <si>
    <t>/blog/transform-revenue-enablement-with-contextual-search</t>
  </si>
  <si>
    <t>/blog/why-everything-you-know-about-buyer-personas-is-wrong-and-what-replaces-it</t>
  </si>
  <si>
    <t>/blog/why-microsoft-sharepoint-is-not-the-best-tool-for-sales-enablement</t>
  </si>
  <si>
    <t>/blog/why-switch-from-change-management-to-change-enablement</t>
  </si>
  <si>
    <t>/cart</t>
  </si>
  <si>
    <t>/company/newsroom/introducing-ask-buddy</t>
  </si>
  <si>
    <t>/customer-stories</t>
  </si>
  <si>
    <t>/customers/cybersecurity</t>
  </si>
  <si>
    <t>/d/msgid/support/0100019d02193ced-63725361-bb61-44dd-b98e-9178853d544c-000000@email.amazonses.com</t>
  </si>
  <si>
    <t>/demo</t>
  </si>
  <si>
    <t>/gong-integration</t>
  </si>
  <si>
    <t>/group/support</t>
  </si>
  <si>
    <t>/group/support/post</t>
  </si>
  <si>
    <t>/group/support/subscribe</t>
  </si>
  <si>
    <t>/guides/revenue-enablement/how-revenue-enablement-platforms-revolutionizing-sales</t>
  </si>
  <si>
    <t>/guides/sales-enablement/sales-enablement-program-best-practices</t>
  </si>
  <si>
    <t>/integrations</t>
  </si>
  <si>
    <t>/integrations/gong</t>
  </si>
  <si>
    <t>/lp/integrations</t>
  </si>
  <si>
    <t>/our-story</t>
  </si>
  <si>
    <t>/product</t>
  </si>
  <si>
    <t>/product/ai-guided-selling</t>
  </si>
  <si>
    <t>/resources/how-ai-redefines-learning-and-performance</t>
  </si>
  <si>
    <t>/share/hubspotvideo/209954021896</t>
  </si>
  <si>
    <t>/shop</t>
  </si>
  <si>
    <t>/sitemap.blog</t>
  </si>
  <si>
    <t>/store</t>
  </si>
  <si>
    <t>/t26/ra</t>
  </si>
  <si>
    <t>/webinarep1</t>
  </si>
  <si>
    <t>/compare-enablement-platforms</t>
  </si>
  <si>
    <t>/podcasts/voices-of-enablement</t>
  </si>
  <si>
    <t>/product/product-knowledge</t>
  </si>
  <si>
    <t>/blog/product-marketing-books</t>
  </si>
  <si>
    <t>/t26/homepage</t>
  </si>
  <si>
    <t>/podcasts/the-gap</t>
  </si>
  <si>
    <t>/resources/roi-calculator</t>
  </si>
  <si>
    <t>/sales</t>
  </si>
  <si>
    <t>/blog/what-modern-sales-enablement-means</t>
  </si>
  <si>
    <t>Organic Video</t>
  </si>
  <si>
    <t>/Tracker</t>
  </si>
  <si>
    <t>/customers/replicant</t>
  </si>
  <si>
    <t>/highspot-alternatives-competitors</t>
  </si>
  <si>
    <t>/interview/voices-of-enablement</t>
  </si>
  <si>
    <t>/podcasts</t>
  </si>
  <si>
    <t>/podcasts/voices-of-enablement/ashley-philipps</t>
  </si>
  <si>
    <t>/t26/ap</t>
  </si>
  <si>
    <t>/t26/solutions</t>
  </si>
  <si>
    <t>/blog/digital-sales-room-faqs</t>
  </si>
  <si>
    <t>/blog/how-to-use-digital-sales-rooms-for-abm-and-outbound-campaigns</t>
  </si>
  <si>
    <t>/lp/compare-showpad-alternatives-competitors</t>
  </si>
  <si>
    <t>/manifesto</t>
  </si>
  <si>
    <t>/podcasts/the-gap/john-head</t>
  </si>
  <si>
    <t>/product/competitive-enablement</t>
  </si>
  <si>
    <t>/ra</t>
  </si>
  <si>
    <t>/resources</t>
  </si>
  <si>
    <t>/solutions/sales-development</t>
  </si>
  <si>
    <t>/t26/cost-calculator</t>
  </si>
  <si>
    <t>/why-gtmbuddy-old</t>
  </si>
  <si>
    <t>/-temporary-slug-4b4eed14-9b79=</t>
  </si>
  <si>
    <t>/__;!!MdZ9-hZ0wg!MFhQ_IWAQBmnuevxHZDRXbg6hQO_NaT4zqiO=</t>
  </si>
  <si>
    <t>/agentic-ai-enablement-prompts/ai-laer-objection-handling-prompt</t>
  </si>
  <si>
    <t>/agentic-ai-enablement-prompts/ai-one-thing-cue-prompt-coaching-precision</t>
  </si>
  <si>
    <t>/agentic-ai-enablement-prompts/prospect-to-content-matching-ai-prompt</t>
  </si>
  <si>
    <t>/blog/6-ways-ai-will-transform-revenue-enablement-in-2025</t>
  </si>
  <si>
    <t>/blog/a-new-take-on-sales-content-tag-taxonomies</t>
  </si>
  <si>
    <t>/blog/context-b2b-content</t>
  </si>
  <si>
    <t>/blog/contextual-ai-selling</t>
  </si>
  <si>
    <t>/blog/enable-sales-managers-todd-caponi-framework</t>
  </si>
  <si>
    <t>/blog/g2-grid-report-sales-enablement-software</t>
  </si>
  <si>
    <t>/blog/how-to-fix-your-leaky-sales-funnel-and-win-at-every-stage</t>
  </si>
  <si>
    <t>/blog/infographic-whats-stopping-sales-enablement</t>
  </si>
  <si>
    <t>/blog/interactive-product-tours-as-sales-collateral</t>
  </si>
  <si>
    <t>/blog/soc2-type-1-certification</t>
  </si>
  <si>
    <t>/blog/social-proof-is-a-deal-killer-how-enablers-can-help-reps-succeed</t>
  </si>
  <si>
    <t>/blog/strategic-digital-sales-rooms-vs-shared-folders</t>
  </si>
  <si>
    <t>/blog/top-7-skills-of-a-successful-product-marketer</t>
  </si>
  <si>
    <t>/blog/top-sales-conferences</t>
  </si>
  <si>
    <t>/blog/trust.</t>
  </si>
  <si>
    <t>/blog/what-good-looks-like-in-revenue-enablement</t>
  </si>
  <si>
    <t>/blog/why-ai-is-set-to-elevate-customer-success-to-new-heights</t>
  </si>
  <si>
    <t>/blog/why-sellers-lose-deals-cost-change-vs-cost-inaction</t>
  </si>
  <si>
    <t>/blog/why-the-future-of-sales-training-is-about-untraining-your-reps</t>
  </si>
  <si>
    <t>/blog/why-you-should-have-moved-on-from-docsend-yesterday</t>
  </si>
  <si>
    <t>/company</t>
  </si>
  <si>
    <t>/controls</t>
  </si>
  <si>
    <t>/guides/revenue-enablement/top-revenue-enablement-roles-responsibilities-and-salary-insights</t>
  </si>
  <si>
    <t>/guides/sales-enablement/creating-effective-sales-enablement-content-strategy</t>
  </si>
  <si>
    <t>/guides/sales-enablement/sales-enablement-benefits-for-revenue-teams</t>
  </si>
  <si>
    <t>/home</t>
  </si>
  <si>
    <t>/lp/ai-content-delivery</t>
  </si>
  <si>
    <t>/lp/continuous-ramp-with-ai</t>
  </si>
  <si>
    <t>/lp/highspot-vs-seismic-vs-showpad-vs-gtmbuddy</t>
  </si>
  <si>
    <t>/lp/partner-enablement</t>
  </si>
  <si>
    <t>/migrate-from-pillar-page</t>
  </si>
  <si>
    <t>/platform</t>
  </si>
  <si>
    <t>/platform/security</t>
  </si>
  <si>
    <t>/podcasts/the-gap/cory-bray</t>
  </si>
  <si>
    <t>/podcasts/the-gap/matt-green</t>
  </si>
  <si>
    <t>/podcasts/the-gap/megan-prince</t>
  </si>
  <si>
    <t>/podcasts/voices-of-enablement/braxton-carr</t>
  </si>
  <si>
    <t>/podcasts/voices-of-enablement/jonathan-kvarfordt</t>
  </si>
  <si>
    <t>/podcasts/voices-of-enablement/kieran-smith</t>
  </si>
  <si>
    <t>/podcasts/voices-of-enablement/krati-seth</t>
  </si>
  <si>
    <t>/podcasts/voices-of-enablement/salil-mishra</t>
  </si>
  <si>
    <t>/podcasts/voices-of-enablement/samir-doshi</t>
  </si>
  <si>
    <t>/podcasts/voices-of-enablement/shara-simms</t>
  </si>
  <si>
    <t>/podcasts/voices-of-enablement/stephanie-benavidez</t>
  </si>
  <si>
    <t>/podcasts/voices-of-enablement/tom-george</t>
  </si>
  <si>
    <t>Paid Social</t>
  </si>
  <si>
    <t>/product/buyer-engagement</t>
  </si>
  <si>
    <t>/product/onboarding-and-everboarding</t>
  </si>
  <si>
    <t>/product/partner-portals</t>
  </si>
  <si>
    <t>/product/persona-intelligence</t>
  </si>
  <si>
    <t>/res-meet-gtm-buddy</t>
  </si>
  <si>
    <t>/resources/revenue-enablement-trends-for-2025</t>
  </si>
  <si>
    <t>/sales-success</t>
  </si>
  <si>
    <t>/seismic-alternatives-competitors</t>
  </si>
  <si>
    <t>/services</t>
  </si>
  <si>
    <t>/shares/view/room/view/6912401737d218516434c097</t>
  </si>
  <si>
    <t>/showpad-alternative</t>
  </si>
  <si>
    <t>/showpad-alternatives-competitors</t>
  </si>
  <si>
    <t>/styleguide-v2</t>
  </si>
  <si>
    <t>/t26/manifesto</t>
  </si>
  <si>
    <t>/t26/migrate-from-pillar-page</t>
  </si>
  <si>
    <t>/t26/migrate/highspot</t>
  </si>
  <si>
    <t>/t26/revenue-calculator</t>
  </si>
  <si>
    <t>/voices-of-enablement-summaries-volume-one</t>
  </si>
  <si>
    <t>/lp/digital-sales-rooms</t>
  </si>
  <si>
    <t>/lp/ai-role-play</t>
  </si>
  <si>
    <t>/lp/rfp-automation</t>
  </si>
  <si>
    <t>/-temporary-slug-1e40bb65-3c55-491d-a823-6fbc0267ad6c</t>
  </si>
  <si>
    <t>/lp/compare-digital-sales-rooms-software</t>
  </si>
  <si>
    <t>/-temporary-slug-3150fcc8-52ad-434b-a231-e899060d74c7</t>
  </si>
  <si>
    <t>/lp/compare-highspot-alternatives-competitors</t>
  </si>
  <si>
    <t>/unified-ai-enablement-platform-tools</t>
  </si>
  <si>
    <t>/-temporary-slug-783d701c-5a40-4825-b2a5-d0ec4e0539ea</t>
  </si>
  <si>
    <t>/-temporary-slug-e0cf575d-fbe9-4a30-9df6-81916c94c6d6</t>
  </si>
  <si>
    <t>/dGVybXMtYW</t>
  </si>
  <si>
    <t>/podcasts/voices-of-enablement/del-nakhi</t>
  </si>
  <si>
    <t>/podcasts/voices-of-enablement/felix-krueger</t>
  </si>
  <si>
    <t>/-temporary-slug-7dcddef1-af9d-4967-ba1d-7700cb15b944</t>
  </si>
  <si>
    <t>/career</t>
  </si>
  <si>
    <t>/letter-ai-alternatives-competitors</t>
  </si>
  <si>
    <t>/podcasts/voices-of-enablement/avner-baruch</t>
  </si>
  <si>
    <t>/podcasts/voices-of-enablement/lawrence-wayne-o-connor</t>
  </si>
  <si>
    <t>/podcasts/voices-of-enablement/selen-kartal</t>
  </si>
  <si>
    <t>/podcasts/voices-of-enablement/stephanie-white</t>
  </si>
  <si>
    <t>/ Karthi Ratnam CMO</t>
  </si>
  <si>
    <t>/-temporary-slug-35bf723a-de36-47fe-9661-ce4aeebd8f14</t>
  </si>
  <si>
    <t>/-temporary-slug-4ec4e976-64f6-48b8-b799-406b6be6d42d</t>
  </si>
  <si>
    <t>/-temporary-slug-8a6f25fa-eb77-4775-98c7-9e61e0b0cde1</t>
  </si>
  <si>
    <t>/-temporary-slug-94482a71-0d6e-46f1-9ec9-6740b453d85e</t>
  </si>
  <si>
    <t>/-temporary-slug-eab4bc53-cd39-4390-8100-c82b6610691e</t>
  </si>
  <si>
    <t>/-temporary-slug-faacbdba-9f06-408a-a68b-e9ca520c79c9</t>
  </si>
  <si>
    <t>/about-us</t>
  </si>
  <si>
    <t>/agentic-ai-enablement-prompts/ai-retrieval-prompt-rep-readiness</t>
  </si>
  <si>
    <t>/agentic-ai-enablement-prompts/ai-skill-gap-finder-prompt-pattern-recognition</t>
  </si>
  <si>
    <t>/autonomous-revenue-enablement-system</t>
  </si>
  <si>
    <t>/blog/mutual-action-plans-in-sales3</t>
  </si>
  <si>
    <t>/case-studies</t>
  </si>
  <si>
    <t>/company/newsroom/Z3RtLWJ1ZG</t>
  </si>
  <si>
    <t>/features</t>
  </si>
  <si>
    <t>/guides/revenue-enablement/gtmbuddy.ai/guides/forget-the-hacks-proven-revenue-enablement-best-practices</t>
  </si>
  <si>
    <t>/guides/revenue-enablement/gtmbuddy.ai/guides/revenue-enablement-vs-sales-enablement</t>
  </si>
  <si>
    <t>/integrations/salesloft</t>
  </si>
  <si>
    <t>/lp/compare-ai-role-play-platforms</t>
  </si>
  <si>
    <t>/podcasts/the-gap/amber-watts</t>
  </si>
  <si>
    <t>/podcasts/the-gap/ron-baden</t>
  </si>
  <si>
    <t>/podcasts/the-gap/scott-leese</t>
  </si>
  <si>
    <t>/podcasts/voices-of-enablement/bryan-grobstein</t>
  </si>
  <si>
    <t>/podcasts/voices-of-enablement/carly-and-malvina</t>
  </si>
  <si>
    <t>/podcasts/voices-of-enablement/felix-valeda</t>
  </si>
  <si>
    <t>/podcasts/voices-of-enablement/jennifer-dougherty</t>
  </si>
  <si>
    <t>/podcasts/voices-of-enablement/kunal-pandya</t>
  </si>
  <si>
    <t>/podcasts/voices-of-enablement/nick-salas</t>
  </si>
  <si>
    <t>/podcasts/voices-of-enablement/paul-butterfield</t>
  </si>
  <si>
    <t>/podcasts/voices-of-enablement/phil-putnam</t>
  </si>
  <si>
    <t>/podcasts/voices-of-enablement/stephanie-middaugh</t>
  </si>
  <si>
    <t>/podcasts/voices-of-enablement/whitney-sieck</t>
  </si>
  <si>
    <t>/press</t>
  </si>
  <si>
    <t>/product/content-discovery</t>
  </si>
  <si>
    <t>/product/post-meeting-follow-up</t>
  </si>
  <si>
    <t>/product/social-proof</t>
  </si>
  <si>
    <t>/redirect/35740</t>
  </si>
  <si>
    <t>/resources/author/admin</t>
  </si>
  <si>
    <t>/resources/author/nayankgtmbuddy-ai</t>
  </si>
  <si>
    <t>/resources/author/sundar-velliachamy</t>
  </si>
  <si>
    <t>/roleplay</t>
  </si>
  <si>
    <t>/sales-enablement-glossary</t>
  </si>
  <si>
    <t>/testimonials</t>
  </si>
  <si>
    <t>/tool/gtm-buddy/go</t>
  </si>
  <si>
    <t>/webinar-framework-to-build-world-class-sales-managers-by-todd-caponi</t>
  </si>
  <si>
    <t>/podcasts/voices-of-enablement/susan-savona</t>
  </si>
  <si>
    <t>/podcasts/voices-of-enablement/sally-ladrach</t>
  </si>
  <si>
    <t>/podcasts/voices-of-enablement/scott-powell</t>
  </si>
  <si>
    <t>/blog/digital-sales-rooms-for-cross-functional-gtm-teams</t>
  </si>
  <si>
    <t>/lp/ai-predictive-coaching</t>
  </si>
  <si>
    <t>/podcasts/the-gap/david-weiss</t>
  </si>
  <si>
    <t>/podcasts/the-gap/steph-reck</t>
  </si>
  <si>
    <t>/podcasts/voices-of-enablement/christian-palmer</t>
  </si>
  <si>
    <t>/request-a-trial</t>
  </si>
  <si>
    <t>/agentic-ai-enablement-prompts/ai-buyer-language-reframe-prompt</t>
  </si>
  <si>
    <t>/aws-marketplace-request</t>
  </si>
  <si>
    <t>/events/res-2024</t>
  </si>
  <si>
    <t>/squad-up-new-york</t>
  </si>
  <si>
    <t>/-temporary-slug-398fd12e-6a2c-4333-b612-6fe75e196d32</t>
  </si>
  <si>
    <t>/-temporary-slug-f6b3104f-ff71-45eb-901d-c12f97e9eb8e</t>
  </si>
  <si>
    <t>/company/media-kit.pdf</t>
  </si>
  <si>
    <t>/.wf_auth</t>
  </si>
  <si>
    <t>/12-days</t>
  </si>
  <si>
    <t>/agentic-ai-enablement-prompts/day-2</t>
  </si>
  <si>
    <t>/gifting-preferences</t>
  </si>
  <si>
    <t>/interview/voices-of-enablement/felix-krueger</t>
  </si>
  <si>
    <t>/lp/highspot-vs-seismic-vs-gtm-buddy</t>
  </si>
  <si>
    <t>/lp/paperflite-alternative</t>
  </si>
  <si>
    <t>/lp/seismic-alternative-competitors</t>
  </si>
  <si>
    <t>/thank-you-for-requesting-a-trial</t>
  </si>
  <si>
    <t>/-temporary-slug-3176b60d-0f93-48c8-83ed-5d7448c2989b</t>
  </si>
  <si>
    <t>/-temporary-slug-48e9b00c-debd-47fc-b873-2fb7e6afe5c3</t>
  </si>
  <si>
    <t>/-temporary-slug-62628fae-b4e9-4757-9d81-a029f463228c</t>
  </si>
  <si>
    <t>/-temporary-slug-7541aa04-e7c5-4969-81c3-95a82ccdf258</t>
  </si>
  <si>
    <t>/-temporary-slug-81942fa5-3858-4c36-8ad9-8a37ef54771b</t>
  </si>
  <si>
    <t>/-temporary-slug-aede4589-0b5e-4018-a8ad-832fa8568ef9</t>
  </si>
  <si>
    <t>/-temporary-slug-d766a6c4-1c82-4842-9f5a-743e9eaf090a</t>
  </si>
  <si>
    <t>/-temporary-slug-dfe95cf3-741e-4a5f-b50c-a6e1944ccce8</t>
  </si>
  <si>
    <t>/-temporary-slug-f7079a7d-51c9-4e64-bd76-67303231fe5a</t>
  </si>
  <si>
    <t>/-temporary-slug-ff5f4add-1f4a-4465-8b71-ac2786673fbc</t>
  </si>
  <si>
    <t>/12-days/day-1</t>
  </si>
  <si>
    <t>/agentic-ai-enablement-prompts/day-10</t>
  </si>
  <si>
    <t>/agentic-ai-enablement-prompts/day-3</t>
  </si>
  <si>
    <t>/blog/partner-enablement-framework</t>
  </si>
  <si>
    <t>/fixing-the-sales-gap-in-cybersecurity</t>
  </si>
  <si>
    <t>/guides/partner-enablement/implement-partner-enablement</t>
  </si>
  <si>
    <t>/interview/voices-of-enablement/kunal-pandya</t>
  </si>
  <si>
    <t>/lp/meeting-prep</t>
  </si>
  <si>
    <t>/lp/seismic-alternative</t>
  </si>
  <si>
    <t>/paperflite-alternative</t>
  </si>
  <si>
    <t>/solutions/sales-enablement.</t>
  </si>
  <si>
    <t>/data:text/css,@import url('https://cdn.privado.ai/version/indexV1.css');</t>
  </si>
  <si>
    <t>/lp/seismic-alternatives-competitors</t>
  </si>
  <si>
    <t>/lp/showpad-alternatives-competitors</t>
  </si>
  <si>
    <t>/lp/letter-ai-alternatives-competitors</t>
  </si>
  <si>
    <t>/lp/paperflite-alternatives-competitors</t>
  </si>
  <si>
    <t>/unified-ai-enablement-platform</t>
  </si>
  <si>
    <t>/lp/highspot-alternatives-competitors</t>
  </si>
  <si>
    <t>/pricing</t>
  </si>
  <si>
    <t>/lp/spekit-alternatives-competitors</t>
  </si>
  <si>
    <t>/product/data:text/css,@import url('https://cdn.privado.ai/version/indexV1.css');</t>
  </si>
  <si>
    <t>/blog/data:text/css,@import url('https://cdn.privado.ai/version/indexV1.css');</t>
  </si>
  <si>
    <t>/guides/data:text/css,@import url('https:/cdn.privado.ai/version/indexV1.css');</t>
  </si>
  <si>
    <t>/interactive-demo-salesforce</t>
  </si>
  <si>
    <t>/resources/article/contextual-ai-selling</t>
  </si>
  <si>
    <t>/resources/author/santa-thounaojam</t>
  </si>
  <si>
    <t>/resources/category/announcements</t>
  </si>
  <si>
    <t>/styleguide</t>
  </si>
  <si>
    <t>/-temporary-slug-8fc87b90-bfa4-448a-9baa-9a158edb9b4e</t>
  </si>
  <si>
    <t>/-temporary-slug-b41c40da-895b-438a-aba4-06c40b2ec00c</t>
  </si>
  <si>
    <t>/-temporary-slug-d9bd1906-6e48-42a7-82de-d39bdd6127e7</t>
  </si>
  <si>
    <t>/-temporary-slug-f922778b-7128-4927-a1e0-26feae7cb7bc</t>
  </si>
  <si>
    <t>/ai-powered-enablement-platform</t>
  </si>
  <si>
    <t>/blog/channel-partner-enablement</t>
  </si>
  <si>
    <t>/blog/data:text/css,@import url('https:/cdn.privado.ai/version/indexV1.css');</t>
  </si>
  <si>
    <t>/blog/partner-enablement</t>
  </si>
  <si>
    <t>/company/data:text/css,@import url('https://cdn.privado.ai/version/indexV1.css');</t>
  </si>
  <si>
    <t>/guides/data:text/css,@import url('https://cdn.privado.ai/version/indexV1.css');</t>
  </si>
  <si>
    <t>/interview/voices-of-enablement/jennifer-dougherty</t>
  </si>
  <si>
    <t>/interview/voices-of-enablement/stephanie-benavidez</t>
  </si>
  <si>
    <t>/interview/voices-of-enablement/stephanie-middaugh</t>
  </si>
  <si>
    <t>/lp/highspot-alternative-competitors-row</t>
  </si>
  <si>
    <t>/lp/spekit-alternative</t>
  </si>
  <si>
    <t>/marketing</t>
  </si>
  <si>
    <t>/podcasts/data:text/css,@import url('https://cdn.privado.ai/version/indexV1.css');</t>
  </si>
  <si>
    <t>/podcasts/data:text/css,@import url('https:/cdn.privado.ai/version/indexV1.css');</t>
  </si>
  <si>
    <t>/podcasts/the-gap/data:text/css,@import url('https://cdn.privado.ai/version/indexV1.css');</t>
  </si>
  <si>
    <t>/portfolio-item/gtmbuddy</t>
  </si>
  <si>
    <t>/privacy</t>
  </si>
  <si>
    <t>/resources/2022/02</t>
  </si>
  <si>
    <t>/resources/2022/04</t>
  </si>
  <si>
    <t>/resources/2022/05</t>
  </si>
  <si>
    <t>/resources/2022/06</t>
  </si>
  <si>
    <t>/resources/announcements/soc2-type-1-certification</t>
  </si>
  <si>
    <t>/resources/article/buyer-focused-sales-deck</t>
  </si>
  <si>
    <t>/resources/article/infographic-whats-stopping-sales-enablement</t>
  </si>
  <si>
    <t>/resources/article/just-in-time-enablement-sales</t>
  </si>
  <si>
    <t>/resources/article/winning-battlecards-sellers-love</t>
  </si>
  <si>
    <t>/resources/author/adityaj</t>
  </si>
  <si>
    <t>/resources/author/belal-batrawy</t>
  </si>
  <si>
    <t>/resources/author/deepakj</t>
  </si>
  <si>
    <t>/resources/category/product</t>
  </si>
  <si>
    <t>/resources/product/boost-your-sales-enablement</t>
  </si>
  <si>
    <t>/thank-you-2</t>
  </si>
  <si>
    <t>/unified-ai-enablement-platformcdaf</t>
  </si>
  <si>
    <t>/webinar-thank-you</t>
  </si>
  <si>
    <t>/webinar/“https:/www.googletagmanager.com/ns.html</t>
  </si>
  <si>
    <t>/lp/customer-success-enablement</t>
  </si>
  <si>
    <t>/-temporary-slug-45c9bb3f-dd16-44f3-bbd0-6a7b48905394</t>
  </si>
  <si>
    <t>/-temporary-slug-36b90e8e-0bf6-465e-91cc-2743e9a49f38</t>
  </si>
  <si>
    <t>/“https://www.googletagmanager.com/“https://www.googletagmanager.com/“https://www.googletagmanager.com/ns.html</t>
  </si>
  <si>
    <t>/“https://www.googletagmanager.com/“https://www.googletagmanager.com/“https://www.googletagmanager.com/“https://www.googletagmanager.com/“https://www.googletagmanager.com/ns.html</t>
  </si>
  <si>
    <t>/-temporary-slug-27d10897-82e5-4ab7-b583-2d72c1c2a5ce</t>
  </si>
  <si>
    <t>/[slug]</t>
  </si>
  <si>
    <t>/fmboiweft73/“https://www.googletagmanager.com/“https://www.googletagmanager.com/“https://www.googletagmanager.com/ns.html</t>
  </si>
  <si>
    <t>/fmboiweft73/“https://www.googletagmanager.com/“https://www.googletagmanager.com/“https://www.googletagmanager.com/“https://www.googletagmanager.com/“https://www.googletagmanager.com/ns.html</t>
  </si>
  <si>
    <t>/“https://www.googletagmanager.com/ns.html</t>
  </si>
  <si>
    <t>Organic Shopping</t>
  </si>
  <si>
    <t>/-temporary-slug-f3f2b67d-d433-4deb-a8fd-19329c9e2d4a</t>
  </si>
  <si>
    <t>/ads-template</t>
  </si>
  <si>
    <t>/ads/highspot-vs-seismic-vs-gtm-buddy</t>
  </si>
  <si>
    <t>/compare-enablement-platforms-tools</t>
  </si>
  <si>
    <t>/demo-days</t>
  </si>
  <si>
    <t>/ebooks/data:text/css,@import url('https://cdn.privado.ai/version/indexV1.css');</t>
  </si>
  <si>
    <t>/fmboiweft73/“https://www.googletagmanager.com/ns.html</t>
  </si>
  <si>
    <t>/fmboiweft73/“https://www.googletagmanager.com/“https://www.googletagmanager.com/ns.html</t>
  </si>
  <si>
    <t>/fmboiweft73/“https://www.googletagmanager.com/“https://www.googletagmanager.com/“https://www.googletagmanager.com/“https://www.googletagmanager.com/ns.html</t>
  </si>
  <si>
    <t>/free-trial</t>
  </si>
  <si>
    <t>/highspot-alternative</t>
  </si>
  <si>
    <t>/index.php</t>
  </si>
  <si>
    <t>/jj</t>
  </si>
  <si>
    <t>/lp/compare-seismic-alternatives-competitors</t>
  </si>
  <si>
    <t>/product/ZGlnaXRhbC</t>
  </si>
  <si>
    <t>/product/ai-guided-sellings</t>
  </si>
  <si>
    <t>/product/content-management</t>
  </si>
  <si>
    <t>/“https://www.googletagmanager.com/“https://www.googletagmanager.com/ns.html</t>
  </si>
  <si>
    <t>/“https://www.googletagmanager.com/“https://www.googletagmanager.com/“https://www.googletagmanager.com/“https://www.googletagmanager.com/ns.html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</si>
  <si>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</si>
  <si>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</si>
  <si>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</si>
  <si>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ns.html</t>
  </si>
  <si>
    <t>/guides/partner-enablement/channel‑partner‑enablement</t>
  </si>
  <si>
    <t>/-temporary-slug-c0abc903-99b5-4f1b-b9f9-d8ad3eae2495</t>
  </si>
  <si>
    <t>/platform/implementation---revamp-sep25</t>
  </si>
  <si>
    <t>/san-francisco-dinner</t>
  </si>
  <si>
    <t>/-temporary-slug-100acb1b-59a4-441d-83e6-91dba7f0bb35</t>
  </si>
  <si>
    <t>/homepage-hero-are</t>
  </si>
  <si>
    <t>/-temporary-slug-5ce9e165-4876-4ffc-aa1c-98b42fc367ac</t>
  </si>
  <si>
    <t>/platform/security-revamp-sept25</t>
  </si>
  <si>
    <t>/portfolio</t>
  </si>
  <si>
    <t>/-temporary-slug-15c1be00-92ec-4cb3-8bf5-6b580ae6fe39</t>
  </si>
  <si>
    <t>/-temporary-slug-289e48d5-af9c-4cc4-ae56-7d0b619cd178</t>
  </si>
  <si>
    <t>/-temporary-slug-48ac866a-04bc-41b8-a0da-f9e39af73f9a</t>
  </si>
  <si>
    <t>/-temporary-slug-5b3e9ab0-6c1e-4b54-aba0-66d8f41b03f5</t>
  </si>
  <si>
    <t>/-temporary-slug-653df595-fd5d-41d3-90be-07da54b38d21</t>
  </si>
  <si>
    <t>/-temporary-slug-8d60b1e3-7f0a-46c9-92a6-6195a22a5a3b</t>
  </si>
  <si>
    <t>/-temporary-slug-9669db0c-0340-4dc0-880e-d1a33f998a68</t>
  </si>
  <si>
    <t>/-temporary-slug-cbbe3702-000c-4a14-9893-4bac2e16ea15</t>
  </si>
  <si>
    <t>/-temporary-slug-dae7b5ad-49d2-468e-ab1d-83b617141a5c</t>
  </si>
  <si>
    <t>/blog/ai-role-play-features-2025</t>
  </si>
  <si>
    <t>/conference-season</t>
  </si>
  <si>
    <t>/cybersecurity</t>
  </si>
  <si>
    <t>/legal/privacy-policy</t>
  </si>
  <si>
    <t>/platform/meeting-prep-copy</t>
  </si>
  <si>
    <t>/product/Y29tcGV0aX</t>
  </si>
  <si>
    <t>/product/ai-lms-for-continuous-training-coaching</t>
  </si>
  <si>
    <t>/product/buyer-engagement)</t>
  </si>
  <si>
    <t>/]</t>
  </si>
  <si>
    <t>/blog/aGlkZGVuLW</t>
  </si>
  <si>
    <t>/use-cases</t>
  </si>
  <si>
    <t>/-temporary-slug-4bb1c4a8-d3c7-4374-891e-e9b5b053433c</t>
  </si>
  <si>
    <t>/-temporary-slug-d09dbe66-e2be-4716-9675-f61e48635308</t>
  </si>
  <si>
    <t>/-temporary-slug-e5112e0d-10de-4eac-bd0d-aa8d808fd0c8</t>
  </si>
  <si>
    <t>/-temporary-slug-ea75147e-c1fe-4f8b-b80b-d9cc10de88d7</t>
  </si>
  <si>
    <t>/-temporary-slug-f34c9f48-491a-4701-bb36-ff49fc8f3072</t>
  </si>
  <si>
    <t>/ZGF0YS1wcm</t>
  </si>
  <si>
    <t>/customer-success-enablement-guide-2025</t>
  </si>
  <si>
    <t>/lp/highspot-vs-seismic-vs-gtmbuddy</t>
  </si>
  <si>
    <t>/product-tour</t>
  </si>
  <si>
    <t>/release-notes</t>
  </si>
  <si>
    <t>/sitemap</t>
  </si>
  <si>
    <t>/terms-of-service</t>
  </si>
  <si>
    <t>/-temporary-slug-160f5d87-d190-447e-b40e-ed8c5974bd56</t>
  </si>
  <si>
    <t>/-temporary-slug-1b282411-8b53-4786-bea2-9e6f2ebf14de</t>
  </si>
  <si>
    <t>/-temporary-slug-1ef013fc-6f75-44f0-a1ea-933ba40a0980</t>
  </si>
  <si>
    <t>/-temporary-slug-20c1841e-1316-448f-8b6a-1a4b32593915</t>
  </si>
  <si>
    <t>/-temporary-slug-309e2552-0fd5-4032-be8b-e6e1e583b9c9</t>
  </si>
  <si>
    <t>/-temporary-slug-3ec87700-e574-4d03-91cb-e55959a89043</t>
  </si>
  <si>
    <t>/-temporary-slug-41376abd-e9f8-4b4a-b26a-30e6a3781659</t>
  </si>
  <si>
    <t>/-temporary-slug-578c80ee-0ae5-46db-81bc-170ba9130ea2</t>
  </si>
  <si>
    <t>/-temporary-slug-63824998-ec61-4782-8ad7-4db777d55bf0</t>
  </si>
  <si>
    <t>/-temporary-slug-7040f290-4ff8-460e-9169-acd0e56671ab</t>
  </si>
  <si>
    <t>/-temporary-slug-7681c27f-915f-4849-8b19-4219e511b327</t>
  </si>
  <si>
    <t>/-temporary-slug-801590b5-b5b1-47cf-9804-e27440397ef6</t>
  </si>
  <si>
    <t>/-temporary-slug-8b0c68d0-bd25-4d7a-8918-f8be7c80e5a5</t>
  </si>
  <si>
    <t>/-temporary-slug-92d06dc5-7200-4c22-8506-e4dd354483dd</t>
  </si>
  <si>
    <t>/-temporary-slug-9bccd086-bfa5-43a3-81b5-8a65b2770611</t>
  </si>
  <si>
    <t>/-temporary-slug-b19c7938-aeba-47c7-9302-378f468bb8cb</t>
  </si>
  <si>
    <t>/blog---categories</t>
  </si>
  <si>
    <t>/comparison/paperflite-vs-gtmbuddy</t>
  </si>
  <si>
    <t>/group/teamcs/post</t>
  </si>
  <si>
    <t>/guides/revenue-enablement itil</t>
  </si>
  <si>
    <t>/guides/sales-enablement/c2FsZXMtZW</t>
  </si>
  <si>
    <t>/integration</t>
  </si>
  <si>
    <t>/news/gtm-buddy-raises-8-million-series-a-to-fix-leaky-b2b-sales-conversion</t>
  </si>
  <si>
    <t>/show-and-tell-ai-in-enablement</t>
  </si>
  <si>
    <t>/status</t>
  </si>
  <si>
    <t>/-temporary-slug-fe2f325c-ab9b-497b-822d-4485026d5c10</t>
  </si>
  <si>
    <t>/virtual-enablement-workshop-ii</t>
  </si>
  <si>
    <t>/-temporary-slug-3578900d-84cf-4533-a07a-b9bf45fed8b2</t>
  </si>
  <si>
    <t>/-temporary-slug-3a0d1ebe-f6e1-4d5d-9830-fe51a8843be7</t>
  </si>
  <si>
    <t>/-temporary-slug-3fc3f372-7293-4a27-b6a7-e4a08330c17a</t>
  </si>
  <si>
    <t>/-temporary-slug-8f897543-5709-4f6a-b0ae-01181eb1d090</t>
  </si>
  <si>
    <t>/-temporary-slug-90b39682-d592-474b-8ae6-8d89880b5892</t>
  </si>
  <si>
    <t>/-temporary-slug-ce37d317-42ba-463e-a226-b7b81c907973</t>
  </si>
  <si>
    <t>/-temporary-slug-d3270b43-72c8-4933-ac4d-02cbc3c26ca4</t>
  </si>
  <si>
    <t>/-temporary-slug-de1dc895-b6ec-472c-a0b7-7e7254ff0e38</t>
  </si>
  <si>
    <t>/blog/revenue-enablement-vs-sales-enablement</t>
  </si>
  <si>
    <t>/d/msg=</t>
  </si>
  <si>
    <t>/data/getpage.php</t>
  </si>
  <si>
    <t>/events/actionable-strategies-webinar</t>
  </si>
  <si>
    <t>/group/teamcs</t>
  </si>
  <si>
    <t>/integrations/hubspot.html</t>
  </si>
  <si>
    <t>/podcasts/voices-of-enablement/summaries-vol1</t>
  </si>
  <si>
    <t>/referral/jonathan-kvarfordt</t>
  </si>
  <si>
    <t>/virtual-enablement-workshop</t>
  </si>
  <si>
    <t>/product/ai-guided-selling---updates-jun-2025</t>
  </si>
  <si>
    <t>/-temporary-slug-27312873-0e5d-470e-b586-fe5e02467ce4</t>
  </si>
  <si>
    <t>/-temporary-slug-3f31beae-9cec-4122-9280-73441b6f9ada</t>
  </si>
  <si>
    <t>/-temporary-slug-44cc5364-2c6a-4fcb-9018-2692a8a4b89f</t>
  </si>
  <si>
    <t>/-temporary-slug-a00f485d-ed3b-42e6-8478-f2a8f8a8fad6</t>
  </si>
  <si>
    <t>/product/post-meeting-follow-up---updates-jun-2025</t>
  </si>
  <si>
    <t>/"/product/cms/"</t>
  </si>
  <si>
    <t>/-temporary-slug-19444ce9-d604-4e80-a92d-44c3276e94bf</t>
  </si>
  <si>
    <t>/-temporary-slug-27312873-0e5d=</t>
  </si>
  <si>
    <t>/-temporary-slug-499bb1a0-792e-410b-bef0-6ad7ef808f85</t>
  </si>
  <si>
    <t>/-temporary-slug-60b70b0e-f3ee-4557-b919-4042b8499d99</t>
  </si>
  <si>
    <t>/-temporary-slug-6d21ddba-26c9-47d6-8c11-5c6adb9a9e2f</t>
  </si>
  <si>
    <t>/-temporary-slug-7681c27f-915f=</t>
  </si>
  <si>
    <t>/-temporary-slug-889b6105-8878-4e0b-80ec-b1c69a482564</t>
  </si>
  <si>
    <t>/-temporary-slug-b9b852dc-e309-4da3-8e81-0900e52c3acb</t>
  </si>
  <si>
    <t>/-temporary-slug-c47d7446-4430-414b-acf3-fd61579e3f6b</t>
  </si>
  <si>
    <t>/-temporary-slug-c8fb32c0-c8ce-4634-aa56-ba813a526c5e</t>
  </si>
  <si>
    <t>/-temporary-slug-d7a511f6-723a-4182-9a98-c980c4e8bc02</t>
  </si>
  <si>
    <t>/-temporary-slug-e5285f88-9e78-4915-b196-5128bf34e680</t>
  </si>
  <si>
    <t>/guides/sales-enablement/aG93LWFpLW</t>
  </si>
  <si>
    <t>/product/askbouty-ai-copilot</t>
  </si>
  <si>
    <t>/san-francisco-mic-and-mingle</t>
  </si>
  <si>
    <t>/-temporary-slug-b587c34a-238b-4014-9827-5b2515739e9c</t>
  </si>
  <si>
    <t>/-temporary-slug-1984b8a6-6290-4967-af24-2f6dd605467a</t>
  </si>
  <si>
    <t>/-temporary-slug-29fd10c7-d179-4322-bd95-8ff278921844</t>
  </si>
  <si>
    <t>/-temporary-slug-f27353d2-8772-4ade-84ad-c427df3849fc</t>
  </si>
  <si>
    <t>/-temporary-slug-f56eba52-04af-458d-938d-c7988d0be4ec</t>
  </si>
  <si>
    <t>/product/ai-co-pilot</t>
  </si>
  <si>
    <t>/-temporary-slug-3f0ae5a7-6d37=</t>
  </si>
  <si>
    <t>/-temporary-slug-d27d0670-0c39-4d94-b848-9f103acef8cc</t>
  </si>
  <si>
    <t>/-temporary-slug-f93c3345-1ba2-4872-8361-ac7aaae27b8c</t>
  </si>
  <si>
    <t>/-temporary-slug-f93c3345-1ba2=</t>
  </si>
  <si>
    <t>/blog/just-in-time-sales-enablement-capabilities</t>
  </si>
  <si>
    <t>/customers/sayari</t>
  </si>
  <si>
    <t>/events/enablement-phoenix-arizona</t>
  </si>
  <si>
    <t>/guides/dWx0aW1hdG</t>
  </si>
  <si>
    <t>/guides/revenue-enablement-platforms</t>
  </si>
  <si>
    <t>/old‑demo.html</t>
  </si>
  <si>
    <t>/product/deal-assist</t>
  </si>
  <si>
    <t>/product/deal-assist-removed</t>
  </si>
  <si>
    <t>/produc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t>
  </si>
  <si>
    <t>/virtual-enablement-workshop-0</t>
  </si>
  <si>
    <t>/product/ai-role-plays-updated</t>
  </si>
  <si>
    <t>/render2</t>
  </si>
  <si>
    <t>/guides/the-ultimate-buyers-guide-to-ai-role-play-platforms-in-2025</t>
  </si>
  <si>
    <t>/product/digital-sales-room---updated</t>
  </si>
  <si>
    <t>/-temporary-slug-5379ff49-3899-4dfd-9b74-99000eca443a</t>
  </si>
  <si>
    <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t>
  </si>
  <si>
    <t>/-temporary-slug-24cd25ff-b1e8-42f9-a381-a346f5756374</t>
  </si>
  <si>
    <t>/-temporary-slug-3091b2d7-4737-410e-8fe8-9736e54847bb</t>
  </si>
  <si>
    <t>/-temporary-slug-31c107bc-5f1f=</t>
  </si>
  <si>
    <t>/-temporary-slug-7065f8f2-1c45-4704-b44c-7fdfdf99dbce</t>
  </si>
  <si>
    <t>/-temporary-slug-788e3e0c-3ceb-4ef2-89b3-24aee60e8dfa</t>
  </si>
  <si>
    <t>/-temporary-slug-986c36ad-307e-4108-b461-e87ae76580fc</t>
  </si>
  <si>
    <t>/-temporary-slug-a0d06d8a-e923-4c58-9035-5f2023bf658a</t>
  </si>
  <si>
    <t>/-temporary-slug-c44216cd-5d11-48d0-948f-057e857fd4ad</t>
  </si>
  <si>
    <t>/-temporary-slug-c6f4fce0-c38d-4906-b57f-ec10c95593aa</t>
  </si>
  <si>
    <t>/-temporary-slug-df31285e-81ea-4da9-84c3-c20a571e452f</t>
  </si>
  <si>
    <t>/blog/the-path-to-sales-success-why-we-need-a-new-way-to-win</t>
  </si>
  <si>
    <t>/blog/voices-of-enablement-an-interview-with-whitney-sieck</t>
  </si>
  <si>
    <t>/chicago-mic-and-mingle</t>
  </si>
  <si>
    <t>/demo-da</t>
  </si>
  <si>
    <t>/homepage-25-v3</t>
  </si>
  <si>
    <t>/join-gtm-buddy</t>
  </si>
  <si>
    <t>/not_found</t>
  </si>
  <si>
    <t>/product/“https://www.googletagmanager.com/ns.html</t>
  </si>
  <si>
    <t>/sales-enablement-jobs(job</t>
  </si>
  <si>
    <t>/nyc-mic-and-mingle</t>
  </si>
  <si>
    <t>/-temporary-slug-132da567-6752=</t>
  </si>
  <si>
    <t>/-temporary-slug-af2f332c-6929-473e-a2c9-1b0bd3812c1b</t>
  </si>
  <si>
    <t>/-temporary-slug-d04e543a-211b=</t>
  </si>
  <si>
    <t>/-temporary-slug-d0d750f6-78fc-49e0-8edc-29dbf647c85e</t>
  </si>
  <si>
    <t>/blog/boost-your-sales-enablement</t>
  </si>
  <si>
    <t>/blog/dGhlLXRydX</t>
  </si>
  <si>
    <t>/sample-test-page-by-hobspot-migration-team</t>
  </si>
  <si>
    <t>/sf-mic-and-mingle</t>
  </si>
  <si>
    <t>/solutions/c2FsZXMtZW</t>
  </si>
  <si>
    <t>/solutions/cibersecurity</t>
  </si>
  <si>
    <t>/solutions/“https://www.googletagmanager.com/“https://www.googletagmanager.com/ns.html</t>
  </si>
  <si>
    <t>/why-gtm-buddy-new</t>
  </si>
  <si>
    <t>/-temporary-slug-a35d3063-c14c=</t>
  </si>
  <si>
    <t>/-temporary-slug-d3270b43-72c8=</t>
  </si>
  <si>
    <t>/-temporary-slug-d61c9984-c3df=</t>
  </si>
  <si>
    <t>//runtime/.tmecahe.php</t>
  </si>
  <si>
    <t>/chicago-sail-and-sláinte</t>
  </si>
  <si>
    <t>/san-francisco-mic-and-mingle-0</t>
  </si>
  <si>
    <t>/solutions/customer-su. ccess</t>
  </si>
  <si>
    <t>/solutions-new/sales-enablement</t>
  </si>
  <si>
    <t>/product-new/meeting-prep</t>
  </si>
  <si>
    <t>/menu-jan-25</t>
  </si>
  <si>
    <t>/product-new/ai-powered-deal-assist</t>
  </si>
  <si>
    <t>/product-new/ask-buddy</t>
  </si>
  <si>
    <t>/product-new/reps-succes</t>
  </si>
  <si>
    <t>/ Total</t>
  </si>
  <si>
    <t>/).</t>
  </si>
  <si>
    <t>/-temporary-slug-204fb6ec-82f1=</t>
  </si>
  <si>
    <t>/-temporary-slug-e1106207-94f5=</t>
  </si>
  <si>
    <t>/privacy-policy.</t>
  </si>
  <si>
    <t>/product-new/content-delivery</t>
  </si>
  <si>
    <t>/product-new/revenue-results</t>
  </si>
  <si>
    <t>/product/sales-success</t>
  </si>
  <si>
    <t>/solutions-new/customer-success</t>
  </si>
  <si>
    <t>/solutions-new/pmm</t>
  </si>
  <si>
    <t>/webinar/framework-to-build-world-class-sales-managers-by-todd-caponi</t>
  </si>
  <si>
    <t>/homepage-25-v1</t>
  </si>
  <si>
    <t>/sample-blog</t>
  </si>
  <si>
    <t>/browserstack</t>
  </si>
  <si>
    <t>/guides/revenue-enablement-vs-sales-enablement</t>
  </si>
  <si>
    <t>/homepage-25-v2</t>
  </si>
  <si>
    <t>/job-board</t>
  </si>
  <si>
    <t>/resources/guide-to-revenue-enablement-trends-for-2025</t>
  </si>
  <si>
    <t>/sample-blog/sample-post-5</t>
  </si>
  <si>
    <t>/sample-lp-page-by-hubspot-migration-team-https/info.gtmbuddy.ai/sample-test-page-by-hobspot-migration-team</t>
  </si>
  <si>
    <t>/guides/how-revenue-enablement-platforms-revolutionizing-sales</t>
  </si>
  <si>
    <t>/guides/forget-the-hacks-proven-revenue-enablement-best-practices</t>
  </si>
  <si>
    <t>/company/newsroom-new</t>
  </si>
  <si>
    <t>/guides/channel-partner-enablement</t>
  </si>
  <si>
    <t>/guides/implement-partner-enablement</t>
  </si>
  <si>
    <t>/guides/partner-enablement-framework-rationale</t>
  </si>
  <si>
    <t>/resources/sales-enablement-glossary</t>
  </si>
  <si>
    <t>/shares/view/room/view/6731d5336b91ab697215ed3c</t>
  </si>
  <si>
    <t>/lp/gtm-buddy-alternative-competitors</t>
  </si>
  <si>
    <t>/lp/gtm-buddy-vs-paperflite</t>
  </si>
  <si>
    <t>/editorProxy/e9581f740a425f891b298e66346a22151a7c007a/aHR0cHM6Ly9ndG1idWRkeS5haQ==</t>
  </si>
  <si>
    <t>/lp/gtm-buddy-vs-highspot</t>
  </si>
  <si>
    <t>/lp/highspot-alternative-competitors</t>
  </si>
  <si>
    <t>/platform/security/data-processing-agreement</t>
  </si>
  <si>
    <t>/platform/security/google</t>
  </si>
  <si>
    <t>/platform/security/platform/security</t>
  </si>
  <si>
    <t>/platform/security/podcasts</t>
  </si>
  <si>
    <t>/platform/security/podcasts/voices-of-enablement</t>
  </si>
  <si>
    <t>/platform/security/product/competitive-enablement</t>
  </si>
  <si>
    <t>/platform/security/product/digital-sales-room</t>
  </si>
  <si>
    <t>/platform/security/product/onboarding-and-everboarding</t>
  </si>
  <si>
    <t>/platform/security/product/product-knowledge</t>
  </si>
  <si>
    <t>/platform/security/sales-enablement-glossary</t>
  </si>
  <si>
    <t>/platform/security/terms-and-conditions</t>
  </si>
  <si>
    <t>/platform/security/terms-of-use</t>
  </si>
  <si>
    <t>/platform/security/wall-of-love</t>
  </si>
  <si>
    <t>/platform/security/why-gtmbuddy</t>
  </si>
  <si>
    <t>/podcasts/the-gap/Cory Bray</t>
  </si>
  <si>
    <t>/|https:/gtmbuddy.ai</t>
  </si>
  <si>
    <t>/podcasts/the-gap-post</t>
  </si>
  <si>
    <t>/resources/fixing-the-leaky-sales-funnel</t>
  </si>
  <si>
    <t>/blog/Y2hlY2tsaX</t>
  </si>
  <si>
    <t>/company/leakysales</t>
  </si>
  <si>
    <t>/interview/voices-of-enablement/nick-salas</t>
  </si>
  <si>
    <t>/interview/voices-of-enablement/selen-kartal</t>
  </si>
  <si>
    <t>/interview/voices-of-enablement/susan-savona</t>
  </si>
  <si>
    <t>/lp/showpad-alternative</t>
  </si>
  <si>
    <t>/podcasts/the-gap/Megan Prince</t>
  </si>
  <si>
    <t>/the-gap</t>
  </si>
  <si>
    <t>/the_gap</t>
  </si>
  <si>
    <t>/interview/voices-of-enablement/krati-seth</t>
  </si>
  <si>
    <t>/resources/article/first-90-days-sales-enabler</t>
  </si>
  <si>
    <t>/blog/dG9wLXNhbG</t>
  </si>
  <si>
    <t>/interview/voices-of-enablement/jonathan-kvarfordt</t>
  </si>
  <si>
    <t>/interview/voices-of-enablement/whitney-sieck</t>
  </si>
  <si>
    <t>/api/mailings/click/PMRGSZBCHIYTKNRZGAYSYITVOJWCEORCNB2HI4DTHIXS=</t>
  </si>
  <si>
    <t>/bangalore-mixer</t>
  </si>
  <si>
    <t>/interview/voices-of-enablement/felix-valeda</t>
  </si>
  <si>
    <t>/interview/voices-of-enablement/stephanie-white</t>
  </si>
  <si>
    <t>/pages-testimonials/sales-enablement</t>
  </si>
  <si>
    <t>/podcasts/Voices_of_Enablement</t>
  </si>
  <si>
    <t>/product/social-prooflin</t>
  </si>
  <si>
    <t>/why-browserstack-sellers-need-buddy</t>
  </si>
  <si>
    <t>/interview/voices-of-enablement/braxton-carr</t>
  </si>
  <si>
    <t>/customers---new</t>
  </si>
  <si>
    <t>/interview/voices-of-enablement/ashley-philipps</t>
  </si>
  <si>
    <t>/interview/voices-of-enablement/lawrence-wayne-o-connor</t>
  </si>
  <si>
    <t>/wall_of_love</t>
  </si>
  <si>
    <t>/webinar/webinar-lp-template</t>
  </si>
  <si>
    <t>/webinars/winning-at-every-stage</t>
  </si>
  <si>
    <t>/interview/voices-of-enablement/sally-ladrach</t>
  </si>
  <si>
    <t>/interview/voices-of-enablement/scott-powell</t>
  </si>
  <si>
    <t>/interview/voices-of-enablement/shara-simms</t>
  </si>
  <si>
    <t>/homepage---new-hero-animation-april-24</t>
  </si>
  <si>
    <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ns.html</t>
  </si>
  <si>
    <t>/about-us.html</t>
  </si>
  <si>
    <t>/c2FsZXMtZW</t>
  </si>
  <si>
    <t>/interview/voices-of-enablement/avner-baruch</t>
  </si>
  <si>
    <t>/interview/voices-of-enablement/phil-putnam</t>
  </si>
  <si>
    <t>/interview/voices-of-enablement/tom-george</t>
  </si>
  <si>
    <t>/signup-to-be-notified</t>
  </si>
  <si>
    <t>/“https://www.googletagmanager.com/“https://www.googletagmanager.com/“https://www.googletagmanager.com/“https://www.googletagmanager.com/“https://www.googletagmanager.com/“https://www.googletagmanager.com/“https://www.googletagmanager.com/“https://www.googletagmanager.com/ns.html</t>
  </si>
  <si>
    <t>/blog/a-new-take-on-sales-content-tag-taxonomies)</t>
  </si>
  <si>
    <t>/interview/voices-of-enablement/christian-palmer</t>
  </si>
  <si>
    <t>/interview/voices-of-enablement/kieran-smith</t>
  </si>
  <si>
    <t>/shares/external/view/id/65b77404734a9f40646ce021/65b77404734a9f=</t>
  </si>
  <si>
    <t>/book-a-demo), or drop us a note at info@gtmbuddy.ai</t>
  </si>
  <si>
    <t>/interview/voices-of-enablement/carly-and-malvina</t>
  </si>
  <si>
    <t>/product-updates/boost-your-sales-enablement</t>
  </si>
  <si>
    <t>/404</t>
  </si>
  <si>
    <t>/interview/dm9pY2VzLW</t>
  </si>
  <si>
    <t>/interview/voices-of-enablement/del-nakhi</t>
  </si>
  <si>
    <t>/jonathan</t>
  </si>
  <si>
    <t>/seismic-alternative</t>
  </si>
  <si>
    <t>/support</t>
  </si>
  <si>
    <t>/DocProxy/Fetch/9C0771FA-849A-EE11-ABCE-020716C124E7~0</t>
  </si>
  <si>
    <t>/DocProxy/Fetch/9c0771fa-849a-ee11-abce-020716c124e7~0~NoCache</t>
  </si>
  <si>
    <t>/interview/voices-of-enablement/paul-butterfield</t>
  </si>
  <si>
    <t>Display</t>
  </si>
  <si>
    <t>/product/content-discoveryhttps:/world.salesenablementcollective.com/location/sanfrancisco/downloadbrochure</t>
  </si>
  <si>
    <t>/events/athletics-vs-mariners</t>
  </si>
  <si>
    <t>/book-a-demo),%20or%20drop%20us%20a%20note%20at%20info@gtmbuddy.ai</t>
  </si>
  <si>
    <t>/%20</t>
  </si>
  <si>
    <t>/events/YXRobGV0aW</t>
  </si>
  <si>
    <t>/highspot-alternative-competitors-row</t>
  </si>
  <si>
    <t>/homepage-new-jul23</t>
  </si>
  <si>
    <t>/interview/voices-of-enablement/bryan-grobstein</t>
  </si>
  <si>
    <t>/interview/voices-of-enablement/interview-voices-of-enablement-felix-krueger</t>
  </si>
  <si>
    <t>/interview/voices-of-enablement/salil-mishra</t>
  </si>
  <si>
    <t>/login</t>
  </si>
  <si>
    <t>/dashboard</t>
  </si>
  <si>
    <t>/editorProxy/b2d1fcdd0b1750df287dab2167e827302f48f5bb/aHR0cHM6Ly9ndG1idWRkeS5haQ==/lp/highspot-alternative-competitors</t>
  </si>
  <si>
    <t>/highspot-alternative-competitors</t>
  </si>
  <si>
    <t>/interview/voices-of-enablement/interview-voices-of-enablement-felix-valeda</t>
  </si>
  <si>
    <t>/interview/voices-of-enablement/interview-voices-of-enablement-jonathan-kvarfordt</t>
  </si>
  <si>
    <t>/webinar/roi-of-enablement</t>
  </si>
  <si>
    <t>/lp/highspot-alternative</t>
  </si>
  <si>
    <t>/blog/voices-of-enablement-an-interview-with-salil-mishra</t>
  </si>
  <si>
    <t>/lp/highspot-alternative-revamp-jul23</t>
  </si>
  <si>
    <t>/blog/voices-of-enablement-an-interview-with-braxton-carr</t>
  </si>
  <si>
    <t>/blog/voices-of-enablement-an-interview-with-bryan-grobstein</t>
  </si>
  <si>
    <t>/blog/voices-of-enablement-an-interview-with-krati-seth</t>
  </si>
  <si>
    <t>/blog/voices-of-enablement-an-interview-with-stephanie-white</t>
  </si>
  <si>
    <t>//lp/highspot-alternative-competitors</t>
  </si>
  <si>
    <t>/blog/voices-of-enablement-an-interview-with-ashley-philipps</t>
  </si>
  <si>
    <t>/blog/voices-of-enablement-an-interview-with-stephanie-benavidez</t>
  </si>
  <si>
    <t>/blog/voices-of-enablement-an-interview-with-stephanie-middaugh</t>
  </si>
  <si>
    <t>/index.html</t>
  </si>
  <si>
    <t>/interview/voices-of-enablement/voices-of-enablement-an-interview-with-krati-seth</t>
  </si>
  <si>
    <t>/interview/voices-of-enablement/voices-of-enablement-an-interview-with-salil-mishra</t>
  </si>
  <si>
    <t>/blog/solving-search-for-revenue-enablement</t>
  </si>
  <si>
    <t>/sales-enablementhttps://gtmbuddy.ai/sales-enablement-jobs</t>
  </si>
  <si>
    <t>/blog/voices-of-enablement-an-interview-with-tom-george</t>
  </si>
  <si>
    <t>/product/guided-selling</t>
  </si>
  <si>
    <t>/DocProxy/Fetch/07D58127-61F4-ED11-ABC6-12BC89A8F273~0</t>
  </si>
  <si>
    <t>/DocProxy/Fetch/1C1F7EEF-15F1-ED11-ABC6-12BC89A8F273~0</t>
  </si>
  <si>
    <t>/DocProxy/Fetch/7C327F09-61F4-ED11-ABC6-12BC89A8F273~0</t>
  </si>
  <si>
    <t>/DocProxy/Fetch/BDA1801B-61F4-ED11-ABC6-12BC89A8F273~0</t>
  </si>
  <si>
    <t>/DocProxy/Fetch/F4D58127-61F4-ED11-ABC6-12BC89A8F273~0</t>
  </si>
  <si>
    <t>/DocProxy/Fetch/F8D48127-61F4-ED11-ABC6-12BC89A8F273~0</t>
  </si>
  <si>
    <t>/lp/tools-directory-for-sales-reps</t>
  </si>
  <si>
    <t>/spekit-alternative</t>
  </si>
  <si>
    <t>/product/persona-inteliggence</t>
  </si>
  <si>
    <t>/sales-enablement-meetup</t>
  </si>
  <si>
    <t>/events/sales-enablement-meetup</t>
  </si>
  <si>
    <t>/paperflite</t>
  </si>
  <si>
    <t>/product/working-persona-inteliggence</t>
  </si>
  <si>
    <t>/resources/article/just-in-time-sales-enablement-capabilities</t>
  </si>
  <si>
    <t>/sales-enablement-jobsFound%20this%20website%20through%20TEC.%20Going%20to%20look%20up%20SE%20professionls%20who%20work%20at%20any%20healthcare%20companies%20that%20have%20SE%20jobs%20posted.</t>
  </si>
  <si>
    <t>/blog/voices-of-enablement-whitney-sieck</t>
  </si>
  <si>
    <t>/cms</t>
  </si>
  <si>
    <t>/implementationplatform</t>
  </si>
  <si>
    <t>/spekit</t>
  </si>
  <si>
    <t>/sales-enablement-jobsWith</t>
  </si>
  <si>
    <t>/gtmbuddy.ai/sales-enablement-glossary</t>
  </si>
  <si>
    <t>/https:/gtmbuddy.ai</t>
  </si>
  <si>
    <t>/lp</t>
  </si>
  <si>
    <t>/blog/successful-sales-calls-with-meeting-prep%7C</t>
  </si>
  <si>
    <t>/b2b-sales-tools-directly</t>
  </si>
  <si>
    <t>/blog/c29jMi10eX</t>
  </si>
  <si>
    <t>/blog/top-sales-enablement-leaders-to-follow%20blog</t>
  </si>
  <si>
    <t>/blog/top-sales-enablement-leaders-to-follow)</t>
  </si>
  <si>
    <t>/book-a-demo-03</t>
  </si>
  <si>
    <t>/integrations/customer-success-box</t>
  </si>
  <si>
    <t>/integrations/gmail</t>
  </si>
  <si>
    <t>/integrations/salesforce</t>
  </si>
  <si>
    <t>/product/Y29udGVudC</t>
  </si>
  <si>
    <t>/%20linkdin</t>
  </si>
  <si>
    <t>/integrations/hubspot</t>
  </si>
  <si>
    <t>/integrations/outlook</t>
  </si>
  <si>
    <t>/mockup-2-tools-directory</t>
  </si>
  <si>
    <t>/mockup-tools-directory</t>
  </si>
  <si>
    <t>/news/soc2-type-1-certification</t>
  </si>
  <si>
    <t>/sitemap.xml%20OPEN%20SITEMAP%20%EE%A2%9E%20%EE%97%94</t>
  </si>
  <si>
    <t>/integration/slack</t>
  </si>
  <si>
    <t>/implementation</t>
  </si>
  <si>
    <t>/blog/here-are-15-sales-enablement-influencers-you-should-follow-on-linkedin</t>
  </si>
  <si>
    <t>/platform/implementations</t>
  </si>
  <si>
    <t>/Implementation</t>
  </si>
  <si>
    <t>Mobile Push Notifications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</si>
</sst>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quot;$&quot;#,##0"/>
    <numFmt numFmtId="165" formatCode="yyyy-mm-dd h:mm:ss"/>
    <numFmt numFmtId="166" formatCode="yyyy-mm-dd"/>
    <numFmt numFmtId="167" formatCode="mmm&quot; &quot;d&quot;, &quot;yyyy"/>
    <numFmt numFmtId="168" formatCode="m/yyyy"/>
    <numFmt numFmtId="169" formatCode="m/d/yyyy"/>
    <numFmt numFmtId="170" formatCode="&quot;$&quot;#,##0.00"/>
    <numFmt numFmtId="171" formatCode="mmmm&quot;, &quot;yyyy"/>
  </numFmts>
  <fonts count="11">
    <font>
      <sz val="10.0"/>
      <color rgb="FF000000"/>
      <name val="Arial"/>
      <scheme val="minor"/>
    </font>
    <font>
      <color rgb="FF000000"/>
      <name val="Proxima Nova"/>
    </font>
    <font>
      <b/>
      <sz val="24.0"/>
      <color theme="1"/>
      <name val="Proxima Nova"/>
    </font>
    <font>
      <color theme="1"/>
      <name val="Proxima Nova"/>
    </font>
    <font>
      <color rgb="FFFFFFFF"/>
      <name val="Roboto"/>
    </font>
    <font>
      <b/>
      <color rgb="FF1155CC"/>
      <name val="Roboto"/>
    </font>
    <font>
      <u/>
      <color rgb="FF0000FF"/>
    </font>
    <font>
      <color theme="1"/>
      <name val="Arial"/>
      <scheme val="minor"/>
    </font>
    <font>
      <u/>
      <color rgb="FF0000FF"/>
    </font>
    <font>
      <u/>
      <color rgb="FF0000FF"/>
    </font>
    <font>
      <b/>
      <color theme="1"/>
      <name val="Arial"/>
      <scheme val="minor"/>
    </font>
  </fonts>
  <fills count="8">
    <fill>
      <patternFill patternType="none"/>
    </fill>
    <fill>
      <patternFill patternType="lightGray"/>
    </fill>
    <fill>
      <patternFill patternType="solid">
        <fgColor rgb="FFFFFFFF"/>
        <bgColor rgb="FFFFFFFF"/>
      </patternFill>
    </fill>
    <fill>
      <patternFill patternType="solid">
        <fgColor theme="0"/>
        <bgColor theme="0"/>
      </patternFill>
    </fill>
    <fill>
      <patternFill patternType="solid">
        <fgColor rgb="FF2677F1"/>
        <bgColor rgb="FF2677F1"/>
      </patternFill>
    </fill>
    <fill>
      <patternFill patternType="solid">
        <fgColor rgb="FFDAEDFF"/>
        <bgColor rgb="FFDAEDFF"/>
      </patternFill>
    </fill>
    <fill>
      <patternFill patternType="solid">
        <fgColor rgb="FFFFFF00"/>
        <bgColor rgb="FFFFFF00"/>
      </patternFill>
    </fill>
    <fill>
      <patternFill patternType="solid">
        <fgColor rgb="FFEAD1DC"/>
        <bgColor rgb="FFEAD1DC"/>
      </patternFill>
    </fill>
  </fills>
  <borders count="8">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ttom style="thick">
        <color rgb="FF000000"/>
      </bottom>
    </border>
    <border>
      <bottom style="thick">
        <color rgb="FF000000"/>
      </bottom>
    </border>
    <border>
      <right style="thick">
        <color rgb="FF000000"/>
      </right>
      <bottom style="thick">
        <color rgb="FF000000"/>
      </bottom>
    </border>
    <border>
      <left style="thin">
        <color rgb="FF2677F1"/>
      </left>
      <right style="thin">
        <color rgb="FF2677F1"/>
      </right>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4" xfId="0" applyAlignment="1" applyFill="1" applyFont="1" applyNumberFormat="1">
      <alignment readingOrder="0" shrinkToFit="0" vertical="center" wrapText="0"/>
    </xf>
    <xf borderId="0" fillId="3" fontId="2" numFmtId="0" xfId="0" applyAlignment="1" applyFill="1" applyFont="1">
      <alignment readingOrder="0" vertical="bottom"/>
    </xf>
    <xf borderId="0" fillId="0" fontId="3" numFmtId="0" xfId="0" applyFont="1"/>
    <xf borderId="0" fillId="2" fontId="1" numFmtId="3" xfId="0" applyAlignment="1" applyFont="1" applyNumberFormat="1">
      <alignment readingOrder="0" shrinkToFit="0" vertical="center" wrapText="0"/>
    </xf>
    <xf borderId="1" fillId="3" fontId="2" numFmtId="0" xfId="0" applyAlignment="1" applyBorder="1" applyFont="1">
      <alignment readingOrder="0" vertical="bottom"/>
    </xf>
    <xf borderId="2" fillId="0" fontId="3" numFmtId="0" xfId="0" applyBorder="1" applyFont="1"/>
    <xf borderId="3" fillId="2" fontId="1" numFmtId="4" xfId="0" applyAlignment="1" applyBorder="1" applyFont="1" applyNumberFormat="1">
      <alignment readingOrder="0" shrinkToFit="0" vertical="center" wrapText="0"/>
    </xf>
    <xf borderId="4" fillId="3" fontId="2" numFmtId="0" xfId="0" applyAlignment="1" applyBorder="1" applyFont="1">
      <alignment readingOrder="0" vertical="bottom"/>
    </xf>
    <xf borderId="5" fillId="0" fontId="3" numFmtId="0" xfId="0" applyBorder="1" applyFont="1"/>
    <xf borderId="6" fillId="2" fontId="1" numFmtId="4" xfId="0" applyAlignment="1" applyBorder="1" applyFont="1" applyNumberFormat="1">
      <alignment readingOrder="0" shrinkToFit="0" vertical="center" wrapText="0"/>
    </xf>
    <xf borderId="7" fillId="4" fontId="4" numFmtId="0" xfId="0" applyAlignment="1" applyBorder="1" applyFill="1" applyFont="1">
      <alignment horizontal="left" readingOrder="0" shrinkToFit="0" textRotation="0" vertical="center" wrapText="0"/>
    </xf>
    <xf borderId="7" fillId="4" fontId="4" numFmtId="164" xfId="0" applyAlignment="1" applyBorder="1" applyFont="1" applyNumberFormat="1">
      <alignment horizontal="left" readingOrder="0" shrinkToFit="0" textRotation="0" vertical="center" wrapText="0"/>
    </xf>
    <xf borderId="0" fillId="4" fontId="4" numFmtId="0" xfId="0" applyAlignment="1" applyFont="1">
      <alignment horizontal="left" readingOrder="0" shrinkToFit="0" textRotation="0" vertical="center" wrapText="0"/>
    </xf>
    <xf borderId="0" fillId="4" fontId="4" numFmtId="164" xfId="0" applyAlignment="1" applyFont="1" applyNumberFormat="1">
      <alignment horizontal="left" readingOrder="0" shrinkToFit="0" textRotation="0" vertical="center" wrapText="0"/>
    </xf>
    <xf borderId="0" fillId="4" fontId="4" numFmtId="1" xfId="0" applyAlignment="1" applyFont="1" applyNumberFormat="1">
      <alignment horizontal="left" readingOrder="0" shrinkToFit="0" textRotation="0" vertical="center" wrapText="0"/>
    </xf>
    <xf borderId="0" fillId="4" fontId="4" numFmtId="49" xfId="0" applyAlignment="1" applyFont="1" applyNumberFormat="1">
      <alignment horizontal="left" readingOrder="0" shrinkToFit="0" textRotation="0" vertical="center" wrapText="0"/>
    </xf>
    <xf borderId="0" fillId="4" fontId="4" numFmtId="0" xfId="0" applyAlignment="1" applyFont="1">
      <alignment horizontal="left" readingOrder="0" shrinkToFit="0" textRotation="0" vertical="center" wrapText="0"/>
    </xf>
    <xf borderId="0" fillId="5" fontId="5" numFmtId="0" xfId="0" applyAlignment="1" applyFill="1" applyFont="1">
      <alignment horizontal="left" readingOrder="0" shrinkToFit="0" vertical="center" wrapText="0"/>
    </xf>
    <xf borderId="0" fillId="5" fontId="5" numFmtId="164" xfId="0" applyAlignment="1" applyFont="1" applyNumberFormat="1">
      <alignment horizontal="left" readingOrder="0" shrinkToFit="0" vertical="center" wrapText="0"/>
    </xf>
    <xf borderId="0" fillId="5" fontId="5" numFmtId="1" xfId="0" applyAlignment="1" applyFont="1" applyNumberFormat="1">
      <alignment horizontal="left" readingOrder="0" shrinkToFit="0" vertical="center" wrapText="0"/>
    </xf>
    <xf borderId="0" fillId="5" fontId="5" numFmtId="49" xfId="0" applyAlignment="1" applyFont="1" applyNumberFormat="1">
      <alignment horizontal="left" readingOrder="0" shrinkToFit="0" vertical="center" wrapText="0"/>
    </xf>
    <xf borderId="0" fillId="6" fontId="5" numFmtId="0" xfId="0" applyAlignment="1" applyFill="1" applyFont="1">
      <alignment horizontal="left" readingOrder="0" shrinkToFit="0" vertical="center" wrapText="0"/>
    </xf>
    <xf borderId="0" fillId="0" fontId="6" numFmtId="0" xfId="0" applyAlignment="1" applyFont="1">
      <alignment horizontal="left"/>
    </xf>
    <xf borderId="0" fillId="0" fontId="7" numFmtId="0" xfId="0" applyAlignment="1" applyFont="1">
      <alignment horizontal="left" readingOrder="0"/>
    </xf>
    <xf borderId="0" fillId="0" fontId="7" numFmtId="164" xfId="0" applyAlignment="1" applyFont="1" applyNumberFormat="1">
      <alignment horizontal="left" readingOrder="0"/>
    </xf>
    <xf borderId="0" fillId="0" fontId="7" numFmtId="165" xfId="0" applyAlignment="1" applyFont="1" applyNumberFormat="1">
      <alignment horizontal="left" readingOrder="0"/>
    </xf>
    <xf borderId="0" fillId="0" fontId="7" numFmtId="0" xfId="0" applyAlignment="1" applyFont="1">
      <alignment horizontal="left"/>
    </xf>
    <xf borderId="0" fillId="0" fontId="8" numFmtId="0" xfId="0" applyAlignment="1" applyFont="1">
      <alignment horizontal="left" readingOrder="0"/>
    </xf>
    <xf borderId="0" fillId="0" fontId="7" numFmtId="1" xfId="0" applyAlignment="1" applyFont="1" applyNumberFormat="1">
      <alignment horizontal="left" readingOrder="0"/>
    </xf>
    <xf borderId="0" fillId="0" fontId="7" numFmtId="49" xfId="0" applyAlignment="1" applyFont="1" applyNumberFormat="1">
      <alignment horizontal="left" readingOrder="0"/>
    </xf>
    <xf borderId="0" fillId="0" fontId="7" numFmtId="49" xfId="0" applyAlignment="1" applyFont="1" applyNumberFormat="1">
      <alignment horizontal="left"/>
    </xf>
    <xf borderId="0" fillId="0" fontId="7" numFmtId="164" xfId="0" applyAlignment="1" applyFont="1" applyNumberFormat="1">
      <alignment horizontal="left"/>
    </xf>
    <xf borderId="0" fillId="0" fontId="9" numFmtId="0" xfId="0" applyAlignment="1" applyFont="1">
      <alignment horizontal="left"/>
    </xf>
    <xf borderId="0" fillId="0" fontId="7" numFmtId="0" xfId="0" applyAlignment="1" applyFont="1">
      <alignment horizontal="left"/>
    </xf>
    <xf borderId="0" fillId="0" fontId="7" numFmtId="166" xfId="0" applyAlignment="1" applyFont="1" applyNumberFormat="1">
      <alignment horizontal="left" readingOrder="0"/>
    </xf>
    <xf borderId="0" fillId="0" fontId="7" numFmtId="167" xfId="0" applyAlignment="1" applyFont="1" applyNumberFormat="1">
      <alignment horizontal="left"/>
    </xf>
    <xf borderId="0" fillId="0" fontId="7" numFmtId="1" xfId="0" applyAlignment="1" applyFont="1" applyNumberFormat="1">
      <alignment horizontal="left"/>
    </xf>
    <xf borderId="7" fillId="4" fontId="4" numFmtId="0" xfId="0" applyAlignment="1" applyBorder="1" applyFont="1">
      <alignment horizontal="left" readingOrder="0" vertical="center"/>
    </xf>
    <xf borderId="7" fillId="4" fontId="4" numFmtId="0" xfId="0" applyAlignment="1" applyBorder="1" applyFont="1">
      <alignment horizontal="left" vertical="center"/>
    </xf>
    <xf borderId="0" fillId="4" fontId="4" numFmtId="0" xfId="0" applyAlignment="1" applyFont="1">
      <alignment horizontal="left" vertical="center"/>
    </xf>
    <xf borderId="0" fillId="5" fontId="5" numFmtId="0" xfId="0" applyAlignment="1" applyFont="1">
      <alignment horizontal="left" readingOrder="0" vertical="center"/>
    </xf>
    <xf borderId="0" fillId="6" fontId="5" numFmtId="0" xfId="0" applyAlignment="1" applyFont="1">
      <alignment horizontal="left" readingOrder="0" vertical="center"/>
    </xf>
    <xf borderId="7" fillId="4" fontId="4" numFmtId="0" xfId="0" applyAlignment="1" applyBorder="1" applyFont="1">
      <alignment horizontal="left" readingOrder="0" shrinkToFit="0" vertical="center" wrapText="0"/>
    </xf>
    <xf borderId="0" fillId="0" fontId="7" numFmtId="0" xfId="0" applyAlignment="1" applyFont="1">
      <alignment horizontal="left" readingOrder="0"/>
    </xf>
    <xf borderId="0" fillId="0" fontId="7" numFmtId="168" xfId="0" applyAlignment="1" applyFont="1" applyNumberFormat="1">
      <alignment horizontal="left" readingOrder="0"/>
    </xf>
    <xf borderId="0" fillId="0" fontId="7" numFmtId="169" xfId="0" applyAlignment="1" applyFont="1" applyNumberFormat="1">
      <alignment horizontal="left" readingOrder="0"/>
    </xf>
    <xf borderId="0" fillId="0" fontId="7" numFmtId="170" xfId="0" applyFont="1" applyNumberFormat="1"/>
    <xf borderId="0" fillId="0" fontId="7" numFmtId="10" xfId="0" applyFont="1" applyNumberFormat="1"/>
    <xf borderId="7" fillId="4" fontId="4" numFmtId="171" xfId="0" applyAlignment="1" applyBorder="1" applyFont="1" applyNumberFormat="1">
      <alignment horizontal="left" readingOrder="0" shrinkToFit="0" vertical="top" wrapText="0"/>
    </xf>
    <xf borderId="7" fillId="4" fontId="4" numFmtId="0" xfId="0" applyAlignment="1" applyBorder="1" applyFont="1">
      <alignment horizontal="left" readingOrder="0" shrinkToFit="0" vertical="top" wrapText="0"/>
    </xf>
    <xf borderId="7" fillId="4" fontId="4" numFmtId="10" xfId="0" applyAlignment="1" applyBorder="1" applyFont="1" applyNumberFormat="1">
      <alignment horizontal="left" readingOrder="0" shrinkToFit="0" vertical="top" wrapText="0"/>
    </xf>
    <xf borderId="7" fillId="4" fontId="4" numFmtId="10" xfId="0" applyAlignment="1" applyBorder="1" applyFont="1" applyNumberFormat="1">
      <alignment horizontal="left" shrinkToFit="0" vertical="top" wrapText="0"/>
    </xf>
    <xf borderId="0" fillId="4" fontId="4" numFmtId="10" xfId="0" applyAlignment="1" applyFont="1" applyNumberFormat="1">
      <alignment horizontal="left" shrinkToFit="0" vertical="top" wrapText="0"/>
    </xf>
    <xf borderId="0" fillId="5" fontId="5" numFmtId="0" xfId="0" applyAlignment="1" applyFont="1">
      <alignment horizontal="left" readingOrder="0" shrinkToFit="0" vertical="top" wrapText="0"/>
    </xf>
    <xf borderId="0" fillId="5" fontId="5" numFmtId="0" xfId="0" applyAlignment="1" applyFont="1">
      <alignment horizontal="left" readingOrder="0" shrinkToFit="0" vertical="center" wrapText="0"/>
    </xf>
    <xf borderId="0" fillId="7" fontId="10" numFmtId="10" xfId="0" applyAlignment="1" applyFill="1" applyFont="1" applyNumberFormat="1">
      <alignment horizontal="left" readingOrder="0" shrinkToFit="0" vertical="top" wrapText="0"/>
    </xf>
    <xf borderId="0" fillId="7" fontId="10" numFmtId="0" xfId="0" applyAlignment="1" applyFont="1">
      <alignment horizontal="left" readingOrder="0" vertical="center"/>
    </xf>
    <xf borderId="0" fillId="0" fontId="7" numFmtId="171" xfId="0" applyAlignment="1" applyFont="1" applyNumberFormat="1">
      <alignment horizontal="left" readingOrder="0"/>
    </xf>
    <xf borderId="0" fillId="0" fontId="7" numFmtId="1" xfId="0" applyFont="1" applyNumberFormat="1"/>
    <xf borderId="0" fillId="0" fontId="7" numFmtId="2" xfId="0" applyFont="1" applyNumberFormat="1"/>
    <xf borderId="0" fillId="0" fontId="7" numFmtId="10" xfId="0" applyAlignment="1" applyFont="1" applyNumberFormat="1">
      <alignment horizontal="left"/>
    </xf>
    <xf borderId="0" fillId="0" fontId="7" numFmtId="4" xfId="0" applyAlignment="1" applyFont="1" applyNumberFormat="1">
      <alignment horizontal="left"/>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xdr:colOff>
      <xdr:row>1</xdr:row>
      <xdr:rowOff>19050</xdr:rowOff>
    </xdr:from>
    <xdr:ext cx="2009775" cy="33337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4.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2.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3.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1.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8.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9.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7.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2.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0.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1.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3.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7.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5.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21.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9.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8.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20.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mapal-os.com" TargetMode="External"/><Relationship Id="rId194" Type="http://schemas.openxmlformats.org/officeDocument/2006/relationships/hyperlink" Target="http://geotab.com" TargetMode="External"/><Relationship Id="rId193" Type="http://schemas.openxmlformats.org/officeDocument/2006/relationships/hyperlink" Target="http://moengage.com" TargetMode="External"/><Relationship Id="rId192" Type="http://schemas.openxmlformats.org/officeDocument/2006/relationships/hyperlink" Target="http://sprinto.com" TargetMode="External"/><Relationship Id="rId191" Type="http://schemas.openxmlformats.org/officeDocument/2006/relationships/hyperlink" Target="http://sysaid.com" TargetMode="External"/><Relationship Id="rId187" Type="http://schemas.openxmlformats.org/officeDocument/2006/relationships/hyperlink" Target="http://iu.edu" TargetMode="External"/><Relationship Id="rId186" Type="http://schemas.openxmlformats.org/officeDocument/2006/relationships/hyperlink" Target="http://collectivehealth.com" TargetMode="External"/><Relationship Id="rId185" Type="http://schemas.openxmlformats.org/officeDocument/2006/relationships/hyperlink" Target="http://ccanter.com" TargetMode="External"/><Relationship Id="rId184" Type="http://schemas.openxmlformats.org/officeDocument/2006/relationships/hyperlink" Target="http://snipp.com" TargetMode="External"/><Relationship Id="rId189" Type="http://schemas.openxmlformats.org/officeDocument/2006/relationships/hyperlink" Target="http://floqast.com" TargetMode="External"/><Relationship Id="rId188" Type="http://schemas.openxmlformats.org/officeDocument/2006/relationships/hyperlink" Target="http://usd.edu" TargetMode="External"/><Relationship Id="rId183" Type="http://schemas.openxmlformats.org/officeDocument/2006/relationships/hyperlink" Target="http://candidpro.com" TargetMode="External"/><Relationship Id="rId182" Type="http://schemas.openxmlformats.org/officeDocument/2006/relationships/hyperlink" Target="http://truecaller.com" TargetMode="External"/><Relationship Id="rId181" Type="http://schemas.openxmlformats.org/officeDocument/2006/relationships/hyperlink" Target="http://prosperr.io" TargetMode="External"/><Relationship Id="rId180" Type="http://schemas.openxmlformats.org/officeDocument/2006/relationships/hyperlink" Target="http://justworks.com" TargetMode="External"/><Relationship Id="rId176" Type="http://schemas.openxmlformats.org/officeDocument/2006/relationships/hyperlink" Target="http://isidefense.com" TargetMode="External"/><Relationship Id="rId175" Type="http://schemas.openxmlformats.org/officeDocument/2006/relationships/hyperlink" Target="http://gatekeeperhq.com" TargetMode="External"/><Relationship Id="rId174" Type="http://schemas.openxmlformats.org/officeDocument/2006/relationships/hyperlink" Target="http://paddle.com" TargetMode="External"/><Relationship Id="rId173" Type="http://schemas.openxmlformats.org/officeDocument/2006/relationships/hyperlink" Target="http://accelevents.com" TargetMode="External"/><Relationship Id="rId179" Type="http://schemas.openxmlformats.org/officeDocument/2006/relationships/hyperlink" Target="http://officespacesoftware.com" TargetMode="External"/><Relationship Id="rId178" Type="http://schemas.openxmlformats.org/officeDocument/2006/relationships/hyperlink" Target="http://clear.in" TargetMode="External"/><Relationship Id="rId177" Type="http://schemas.openxmlformats.org/officeDocument/2006/relationships/hyperlink" Target="http://amazon.com" TargetMode="External"/><Relationship Id="rId198" Type="http://schemas.openxmlformats.org/officeDocument/2006/relationships/hyperlink" Target="http://elantis.com" TargetMode="External"/><Relationship Id="rId197" Type="http://schemas.openxmlformats.org/officeDocument/2006/relationships/hyperlink" Target="http://veragov.com" TargetMode="External"/><Relationship Id="rId196" Type="http://schemas.openxmlformats.org/officeDocument/2006/relationships/hyperlink" Target="http://bcg.com" TargetMode="External"/><Relationship Id="rId195" Type="http://schemas.openxmlformats.org/officeDocument/2006/relationships/hyperlink" Target="http://hubspot.com" TargetMode="External"/><Relationship Id="rId199" Type="http://schemas.openxmlformats.org/officeDocument/2006/relationships/hyperlink" Target="http://activeprospect.com" TargetMode="External"/><Relationship Id="rId150" Type="http://schemas.openxmlformats.org/officeDocument/2006/relationships/hyperlink" Target="http://kastle.com" TargetMode="External"/><Relationship Id="rId392" Type="http://schemas.openxmlformats.org/officeDocument/2006/relationships/hyperlink" Target="http://sundaysky.com" TargetMode="External"/><Relationship Id="rId391" Type="http://schemas.openxmlformats.org/officeDocument/2006/relationships/hyperlink" Target="http://writer.com" TargetMode="External"/><Relationship Id="rId390" Type="http://schemas.openxmlformats.org/officeDocument/2006/relationships/hyperlink" Target="http://mparticle.com" TargetMode="External"/><Relationship Id="rId1" Type="http://schemas.openxmlformats.org/officeDocument/2006/relationships/comments" Target="../comments1.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shipsy.io" TargetMode="External"/><Relationship Id="rId4" Type="http://schemas.openxmlformats.org/officeDocument/2006/relationships/hyperlink" Target="http://interface.ai" TargetMode="External"/><Relationship Id="rId148" Type="http://schemas.openxmlformats.org/officeDocument/2006/relationships/hyperlink" Target="http://softsellr.com" TargetMode="External"/><Relationship Id="rId9" Type="http://schemas.openxmlformats.org/officeDocument/2006/relationships/hyperlink" Target="http://carpedia.co.za" TargetMode="External"/><Relationship Id="rId143" Type="http://schemas.openxmlformats.org/officeDocument/2006/relationships/hyperlink" Target="http://you.com" TargetMode="External"/><Relationship Id="rId385" Type="http://schemas.openxmlformats.org/officeDocument/2006/relationships/hyperlink" Target="http://zscaler.com" TargetMode="External"/><Relationship Id="rId142" Type="http://schemas.openxmlformats.org/officeDocument/2006/relationships/hyperlink" Target="http://sos-nv.com" TargetMode="External"/><Relationship Id="rId384" Type="http://schemas.openxmlformats.org/officeDocument/2006/relationships/hyperlink" Target="http://notablehealth.com" TargetMode="External"/><Relationship Id="rId141" Type="http://schemas.openxmlformats.org/officeDocument/2006/relationships/hyperlink" Target="http://kissflow.com" TargetMode="External"/><Relationship Id="rId383" Type="http://schemas.openxmlformats.org/officeDocument/2006/relationships/hyperlink" Target="http://xmcyber.com" TargetMode="External"/><Relationship Id="rId140" Type="http://schemas.openxmlformats.org/officeDocument/2006/relationships/hyperlink" Target="http://infogain.com" TargetMode="External"/><Relationship Id="rId382" Type="http://schemas.openxmlformats.org/officeDocument/2006/relationships/hyperlink" Target="http://mirakl.com" TargetMode="External"/><Relationship Id="rId5" Type="http://schemas.openxmlformats.org/officeDocument/2006/relationships/hyperlink" Target="http://interface.ai" TargetMode="External"/><Relationship Id="rId147" Type="http://schemas.openxmlformats.org/officeDocument/2006/relationships/hyperlink" Target="http://empathy.com" TargetMode="External"/><Relationship Id="rId389" Type="http://schemas.openxmlformats.org/officeDocument/2006/relationships/hyperlink" Target="http://alchemer.com" TargetMode="External"/><Relationship Id="rId6" Type="http://schemas.openxmlformats.org/officeDocument/2006/relationships/hyperlink" Target="http://sirion.ai" TargetMode="External"/><Relationship Id="rId146" Type="http://schemas.openxmlformats.org/officeDocument/2006/relationships/hyperlink" Target="http://clayton.k12.ga.us" TargetMode="External"/><Relationship Id="rId388" Type="http://schemas.openxmlformats.org/officeDocument/2006/relationships/hyperlink" Target="http://everestgrp.com" TargetMode="External"/><Relationship Id="rId7" Type="http://schemas.openxmlformats.org/officeDocument/2006/relationships/hyperlink" Target="http://theassemble.com" TargetMode="External"/><Relationship Id="rId145" Type="http://schemas.openxmlformats.org/officeDocument/2006/relationships/hyperlink" Target="http://phonepe.com" TargetMode="External"/><Relationship Id="rId387" Type="http://schemas.openxmlformats.org/officeDocument/2006/relationships/hyperlink" Target="http://neuron7.ai" TargetMode="External"/><Relationship Id="rId8" Type="http://schemas.openxmlformats.org/officeDocument/2006/relationships/hyperlink" Target="http://litera.com" TargetMode="External"/><Relationship Id="rId144" Type="http://schemas.openxmlformats.org/officeDocument/2006/relationships/hyperlink" Target="http://you.com" TargetMode="External"/><Relationship Id="rId386" Type="http://schemas.openxmlformats.org/officeDocument/2006/relationships/hyperlink" Target="http://neuron7.ai" TargetMode="External"/><Relationship Id="rId381" Type="http://schemas.openxmlformats.org/officeDocument/2006/relationships/hyperlink" Target="http://keelvar.com" TargetMode="External"/><Relationship Id="rId380" Type="http://schemas.openxmlformats.org/officeDocument/2006/relationships/hyperlink" Target="http://openlane.com" TargetMode="External"/><Relationship Id="rId139" Type="http://schemas.openxmlformats.org/officeDocument/2006/relationships/hyperlink" Target="http://glossgenius.com" TargetMode="External"/><Relationship Id="rId138" Type="http://schemas.openxmlformats.org/officeDocument/2006/relationships/hyperlink" Target="http://atomchat.io" TargetMode="External"/><Relationship Id="rId137" Type="http://schemas.openxmlformats.org/officeDocument/2006/relationships/hyperlink" Target="http://centrical.com" TargetMode="External"/><Relationship Id="rId379" Type="http://schemas.openxmlformats.org/officeDocument/2006/relationships/hyperlink" Target="http://magmamath.com" TargetMode="External"/><Relationship Id="rId132" Type="http://schemas.openxmlformats.org/officeDocument/2006/relationships/hyperlink" Target="http://hasura.io" TargetMode="External"/><Relationship Id="rId374" Type="http://schemas.openxmlformats.org/officeDocument/2006/relationships/hyperlink" Target="http://transcend.io" TargetMode="External"/><Relationship Id="rId131" Type="http://schemas.openxmlformats.org/officeDocument/2006/relationships/hyperlink" Target="http://waisldigital.com" TargetMode="External"/><Relationship Id="rId373" Type="http://schemas.openxmlformats.org/officeDocument/2006/relationships/hyperlink" Target="http://hrsoft.com" TargetMode="External"/><Relationship Id="rId130" Type="http://schemas.openxmlformats.org/officeDocument/2006/relationships/hyperlink" Target="http://atomicwork.com" TargetMode="External"/><Relationship Id="rId372" Type="http://schemas.openxmlformats.org/officeDocument/2006/relationships/hyperlink" Target="http://jellyfish.co" TargetMode="External"/><Relationship Id="rId371" Type="http://schemas.openxmlformats.org/officeDocument/2006/relationships/hyperlink" Target="http://unstoppable.do" TargetMode="External"/><Relationship Id="rId136" Type="http://schemas.openxmlformats.org/officeDocument/2006/relationships/hyperlink" Target="http://act-on.com" TargetMode="External"/><Relationship Id="rId378" Type="http://schemas.openxmlformats.org/officeDocument/2006/relationships/hyperlink" Target="http://ceros.com" TargetMode="External"/><Relationship Id="rId135" Type="http://schemas.openxmlformats.org/officeDocument/2006/relationships/hyperlink" Target="http://walkme.com" TargetMode="External"/><Relationship Id="rId377" Type="http://schemas.openxmlformats.org/officeDocument/2006/relationships/hyperlink" Target="http://fenixparts.com" TargetMode="External"/><Relationship Id="rId134" Type="http://schemas.openxmlformats.org/officeDocument/2006/relationships/hyperlink" Target="http://easywebinar.com" TargetMode="External"/><Relationship Id="rId376" Type="http://schemas.openxmlformats.org/officeDocument/2006/relationships/hyperlink" Target="http://betterment.com" TargetMode="External"/><Relationship Id="rId133" Type="http://schemas.openxmlformats.org/officeDocument/2006/relationships/hyperlink" Target="http://sproutsocial.com" TargetMode="External"/><Relationship Id="rId375" Type="http://schemas.openxmlformats.org/officeDocument/2006/relationships/hyperlink" Target="http://gokwik.co" TargetMode="External"/><Relationship Id="rId172" Type="http://schemas.openxmlformats.org/officeDocument/2006/relationships/hyperlink" Target="http://temporal.io" TargetMode="External"/><Relationship Id="rId171" Type="http://schemas.openxmlformats.org/officeDocument/2006/relationships/hyperlink" Target="http://filevine.com" TargetMode="External"/><Relationship Id="rId170" Type="http://schemas.openxmlformats.org/officeDocument/2006/relationships/hyperlink" Target="http://oreilly.com" TargetMode="External"/><Relationship Id="rId165" Type="http://schemas.openxmlformats.org/officeDocument/2006/relationships/hyperlink" Target="http://scale.com" TargetMode="External"/><Relationship Id="rId164" Type="http://schemas.openxmlformats.org/officeDocument/2006/relationships/hyperlink" Target="http://imparta.com" TargetMode="External"/><Relationship Id="rId163" Type="http://schemas.openxmlformats.org/officeDocument/2006/relationships/hyperlink" Target="http://mommysimaginationstation.org" TargetMode="External"/><Relationship Id="rId162" Type="http://schemas.openxmlformats.org/officeDocument/2006/relationships/hyperlink" Target="http://conga.com" TargetMode="External"/><Relationship Id="rId169" Type="http://schemas.openxmlformats.org/officeDocument/2006/relationships/hyperlink" Target="http://aaamt.in" TargetMode="External"/><Relationship Id="rId168" Type="http://schemas.openxmlformats.org/officeDocument/2006/relationships/hyperlink" Target="http://credohealth.com" TargetMode="External"/><Relationship Id="rId167" Type="http://schemas.openxmlformats.org/officeDocument/2006/relationships/hyperlink" Target="http://metpg.com" TargetMode="External"/><Relationship Id="rId166" Type="http://schemas.openxmlformats.org/officeDocument/2006/relationships/hyperlink" Target="http://webcastle.in" TargetMode="External"/><Relationship Id="rId161" Type="http://schemas.openxmlformats.org/officeDocument/2006/relationships/hyperlink" Target="http://meltwater.com" TargetMode="External"/><Relationship Id="rId160" Type="http://schemas.openxmlformats.org/officeDocument/2006/relationships/hyperlink" Target="http://strategycorps.com" TargetMode="External"/><Relationship Id="rId159" Type="http://schemas.openxmlformats.org/officeDocument/2006/relationships/hyperlink" Target="http://teamfront.com" TargetMode="External"/><Relationship Id="rId154" Type="http://schemas.openxmlformats.org/officeDocument/2006/relationships/hyperlink" Target="http://deel.com" TargetMode="External"/><Relationship Id="rId396" Type="http://schemas.openxmlformats.org/officeDocument/2006/relationships/hyperlink" Target="http://capillarytech.com" TargetMode="External"/><Relationship Id="rId153" Type="http://schemas.openxmlformats.org/officeDocument/2006/relationships/hyperlink" Target="http://billd.com" TargetMode="External"/><Relationship Id="rId395" Type="http://schemas.openxmlformats.org/officeDocument/2006/relationships/hyperlink" Target="http://smokeball.com" TargetMode="External"/><Relationship Id="rId152" Type="http://schemas.openxmlformats.org/officeDocument/2006/relationships/hyperlink" Target="http://dexian.com" TargetMode="External"/><Relationship Id="rId394" Type="http://schemas.openxmlformats.org/officeDocument/2006/relationships/hyperlink" Target="http://recastsoftware.com" TargetMode="External"/><Relationship Id="rId151" Type="http://schemas.openxmlformats.org/officeDocument/2006/relationships/hyperlink" Target="http://emersonrogers.com" TargetMode="External"/><Relationship Id="rId393" Type="http://schemas.openxmlformats.org/officeDocument/2006/relationships/hyperlink" Target="http://liveramp.com" TargetMode="External"/><Relationship Id="rId158" Type="http://schemas.openxmlformats.org/officeDocument/2006/relationships/hyperlink" Target="http://simpligov.com" TargetMode="External"/><Relationship Id="rId157" Type="http://schemas.openxmlformats.org/officeDocument/2006/relationships/hyperlink" Target="http://tcpsoftware.com" TargetMode="External"/><Relationship Id="rId399" Type="http://schemas.openxmlformats.org/officeDocument/2006/relationships/hyperlink" Target="http://cleargov.com" TargetMode="External"/><Relationship Id="rId156" Type="http://schemas.openxmlformats.org/officeDocument/2006/relationships/hyperlink" Target="http://cloudkitchens.com" TargetMode="External"/><Relationship Id="rId398" Type="http://schemas.openxmlformats.org/officeDocument/2006/relationships/hyperlink" Target="http://vectra.ai" TargetMode="External"/><Relationship Id="rId155" Type="http://schemas.openxmlformats.org/officeDocument/2006/relationships/hyperlink" Target="http://angelaligner.com" TargetMode="External"/><Relationship Id="rId397" Type="http://schemas.openxmlformats.org/officeDocument/2006/relationships/hyperlink" Target="http://torq.io" TargetMode="External"/><Relationship Id="rId808" Type="http://schemas.openxmlformats.org/officeDocument/2006/relationships/hyperlink" Target="http://gupshup.io" TargetMode="External"/><Relationship Id="rId807" Type="http://schemas.openxmlformats.org/officeDocument/2006/relationships/hyperlink" Target="http://beyondtrust.com" TargetMode="External"/><Relationship Id="rId806" Type="http://schemas.openxmlformats.org/officeDocument/2006/relationships/hyperlink" Target="http://iterable.com" TargetMode="External"/><Relationship Id="rId805" Type="http://schemas.openxmlformats.org/officeDocument/2006/relationships/hyperlink" Target="http://vymo.com" TargetMode="External"/><Relationship Id="rId809" Type="http://schemas.openxmlformats.org/officeDocument/2006/relationships/hyperlink" Target="http://careacademy.com" TargetMode="External"/><Relationship Id="rId800" Type="http://schemas.openxmlformats.org/officeDocument/2006/relationships/hyperlink" Target="http://haptik.ai" TargetMode="External"/><Relationship Id="rId804" Type="http://schemas.openxmlformats.org/officeDocument/2006/relationships/hyperlink" Target="http://verint.com" TargetMode="External"/><Relationship Id="rId803" Type="http://schemas.openxmlformats.org/officeDocument/2006/relationships/hyperlink" Target="http://toddleapp.com" TargetMode="External"/><Relationship Id="rId802" Type="http://schemas.openxmlformats.org/officeDocument/2006/relationships/hyperlink" Target="http://leegality.com" TargetMode="External"/><Relationship Id="rId801" Type="http://schemas.openxmlformats.org/officeDocument/2006/relationships/hyperlink" Target="http://recordedfuture.com" TargetMode="External"/><Relationship Id="rId40" Type="http://schemas.openxmlformats.org/officeDocument/2006/relationships/hyperlink" Target="http://naukri.com" TargetMode="External"/><Relationship Id="rId42" Type="http://schemas.openxmlformats.org/officeDocument/2006/relationships/hyperlink" Target="http://keelvar.com" TargetMode="External"/><Relationship Id="rId41" Type="http://schemas.openxmlformats.org/officeDocument/2006/relationships/hyperlink" Target="http://naukri.com" TargetMode="External"/><Relationship Id="rId44" Type="http://schemas.openxmlformats.org/officeDocument/2006/relationships/hyperlink" Target="http://quavo.com" TargetMode="External"/><Relationship Id="rId43" Type="http://schemas.openxmlformats.org/officeDocument/2006/relationships/hyperlink" Target="http://peoplestrong.com" TargetMode="External"/><Relationship Id="rId46" Type="http://schemas.openxmlformats.org/officeDocument/2006/relationships/hyperlink" Target="http://trmlabs.com" TargetMode="External"/><Relationship Id="rId45" Type="http://schemas.openxmlformats.org/officeDocument/2006/relationships/hyperlink" Target="http://mobato.com.br" TargetMode="External"/><Relationship Id="rId509" Type="http://schemas.openxmlformats.org/officeDocument/2006/relationships/hyperlink" Target="http://vts.com" TargetMode="External"/><Relationship Id="rId508" Type="http://schemas.openxmlformats.org/officeDocument/2006/relationships/hyperlink" Target="http://everbridge.com" TargetMode="External"/><Relationship Id="rId503" Type="http://schemas.openxmlformats.org/officeDocument/2006/relationships/hyperlink" Target="http://jolt.com" TargetMode="External"/><Relationship Id="rId745" Type="http://schemas.openxmlformats.org/officeDocument/2006/relationships/hyperlink" Target="http://salesmanago.com" TargetMode="External"/><Relationship Id="rId987" Type="http://schemas.openxmlformats.org/officeDocument/2006/relationships/hyperlink" Target="http://lattice.com" TargetMode="External"/><Relationship Id="rId502" Type="http://schemas.openxmlformats.org/officeDocument/2006/relationships/hyperlink" Target="http://podium.com" TargetMode="External"/><Relationship Id="rId744" Type="http://schemas.openxmlformats.org/officeDocument/2006/relationships/hyperlink" Target="http://deliverect.com" TargetMode="External"/><Relationship Id="rId986" Type="http://schemas.openxmlformats.org/officeDocument/2006/relationships/hyperlink" Target="http://eptura.com" TargetMode="External"/><Relationship Id="rId501" Type="http://schemas.openxmlformats.org/officeDocument/2006/relationships/hyperlink" Target="http://adaptavist.com" TargetMode="External"/><Relationship Id="rId743" Type="http://schemas.openxmlformats.org/officeDocument/2006/relationships/hyperlink" Target="http://netspi.com" TargetMode="External"/><Relationship Id="rId985" Type="http://schemas.openxmlformats.org/officeDocument/2006/relationships/hyperlink" Target="http://simscale.com" TargetMode="External"/><Relationship Id="rId500" Type="http://schemas.openxmlformats.org/officeDocument/2006/relationships/hyperlink" Target="http://redcloudtechnology.com" TargetMode="External"/><Relationship Id="rId742" Type="http://schemas.openxmlformats.org/officeDocument/2006/relationships/hyperlink" Target="http://capillarytech.com" TargetMode="External"/><Relationship Id="rId984" Type="http://schemas.openxmlformats.org/officeDocument/2006/relationships/hyperlink" Target="http://globalshares.com" TargetMode="External"/><Relationship Id="rId507" Type="http://schemas.openxmlformats.org/officeDocument/2006/relationships/hyperlink" Target="http://1beat.com" TargetMode="External"/><Relationship Id="rId749" Type="http://schemas.openxmlformats.org/officeDocument/2006/relationships/hyperlink" Target="http://anyscale.com" TargetMode="External"/><Relationship Id="rId506" Type="http://schemas.openxmlformats.org/officeDocument/2006/relationships/hyperlink" Target="http://openspace.ai" TargetMode="External"/><Relationship Id="rId748" Type="http://schemas.openxmlformats.org/officeDocument/2006/relationships/hyperlink" Target="http://provisiopartners.com" TargetMode="External"/><Relationship Id="rId505" Type="http://schemas.openxmlformats.org/officeDocument/2006/relationships/hyperlink" Target="http://sisense.com" TargetMode="External"/><Relationship Id="rId747" Type="http://schemas.openxmlformats.org/officeDocument/2006/relationships/hyperlink" Target="http://wonderschool.com" TargetMode="External"/><Relationship Id="rId989" Type="http://schemas.openxmlformats.org/officeDocument/2006/relationships/hyperlink" Target="http://placer.ai" TargetMode="External"/><Relationship Id="rId504" Type="http://schemas.openxmlformats.org/officeDocument/2006/relationships/hyperlink" Target="http://suse.com" TargetMode="External"/><Relationship Id="rId746" Type="http://schemas.openxmlformats.org/officeDocument/2006/relationships/hyperlink" Target="http://dataiku.com" TargetMode="External"/><Relationship Id="rId988" Type="http://schemas.openxmlformats.org/officeDocument/2006/relationships/hyperlink" Target="http://servicechannel.com" TargetMode="External"/><Relationship Id="rId48" Type="http://schemas.openxmlformats.org/officeDocument/2006/relationships/hyperlink" Target="http://every.io" TargetMode="External"/><Relationship Id="rId47" Type="http://schemas.openxmlformats.org/officeDocument/2006/relationships/hyperlink" Target="http://tqasolutions.com" TargetMode="External"/><Relationship Id="rId49" Type="http://schemas.openxmlformats.org/officeDocument/2006/relationships/hyperlink" Target="http://dndaisolutions.com" TargetMode="External"/><Relationship Id="rId741" Type="http://schemas.openxmlformats.org/officeDocument/2006/relationships/hyperlink" Target="http://fevtutor.com" TargetMode="External"/><Relationship Id="rId983" Type="http://schemas.openxmlformats.org/officeDocument/2006/relationships/hyperlink" Target="http://leadfeeder.com" TargetMode="External"/><Relationship Id="rId740" Type="http://schemas.openxmlformats.org/officeDocument/2006/relationships/hyperlink" Target="http://lob.com" TargetMode="External"/><Relationship Id="rId982" Type="http://schemas.openxmlformats.org/officeDocument/2006/relationships/hyperlink" Target="http://ozonetel.com" TargetMode="External"/><Relationship Id="rId981" Type="http://schemas.openxmlformats.org/officeDocument/2006/relationships/hyperlink" Target="http://thoughtexchange.com" TargetMode="External"/><Relationship Id="rId980" Type="http://schemas.openxmlformats.org/officeDocument/2006/relationships/hyperlink" Target="http://revenue.io" TargetMode="External"/><Relationship Id="rId31" Type="http://schemas.openxmlformats.org/officeDocument/2006/relationships/hyperlink" Target="http://netcorecloud.com" TargetMode="External"/><Relationship Id="rId30" Type="http://schemas.openxmlformats.org/officeDocument/2006/relationships/hyperlink" Target="http://bluehost.com" TargetMode="External"/><Relationship Id="rId33" Type="http://schemas.openxmlformats.org/officeDocument/2006/relationships/hyperlink" Target="http://ukg.com" TargetMode="External"/><Relationship Id="rId32" Type="http://schemas.openxmlformats.org/officeDocument/2006/relationships/hyperlink" Target="http://fello.ai" TargetMode="External"/><Relationship Id="rId35" Type="http://schemas.openxmlformats.org/officeDocument/2006/relationships/hyperlink" Target="http://engine.com" TargetMode="External"/><Relationship Id="rId34" Type="http://schemas.openxmlformats.org/officeDocument/2006/relationships/hyperlink" Target="http://traliant.com" TargetMode="External"/><Relationship Id="rId739" Type="http://schemas.openxmlformats.org/officeDocument/2006/relationships/hyperlink" Target="http://scrut.io" TargetMode="External"/><Relationship Id="rId734" Type="http://schemas.openxmlformats.org/officeDocument/2006/relationships/hyperlink" Target="http://forwardnetworks.com" TargetMode="External"/><Relationship Id="rId976" Type="http://schemas.openxmlformats.org/officeDocument/2006/relationships/hyperlink" Target="http://workbravely.com" TargetMode="External"/><Relationship Id="rId733" Type="http://schemas.openxmlformats.org/officeDocument/2006/relationships/hyperlink" Target="http://flywire.com" TargetMode="External"/><Relationship Id="rId975" Type="http://schemas.openxmlformats.org/officeDocument/2006/relationships/hyperlink" Target="http://pandadoc.com" TargetMode="External"/><Relationship Id="rId732" Type="http://schemas.openxmlformats.org/officeDocument/2006/relationships/hyperlink" Target="http://aprimo.com" TargetMode="External"/><Relationship Id="rId974" Type="http://schemas.openxmlformats.org/officeDocument/2006/relationships/hyperlink" Target="http://livestorm.co" TargetMode="External"/><Relationship Id="rId731" Type="http://schemas.openxmlformats.org/officeDocument/2006/relationships/hyperlink" Target="http://siteimprove.com" TargetMode="External"/><Relationship Id="rId973" Type="http://schemas.openxmlformats.org/officeDocument/2006/relationships/hyperlink" Target="http://proquoai.com" TargetMode="External"/><Relationship Id="rId738" Type="http://schemas.openxmlformats.org/officeDocument/2006/relationships/hyperlink" Target="http://talroo.com" TargetMode="External"/><Relationship Id="rId737" Type="http://schemas.openxmlformats.org/officeDocument/2006/relationships/hyperlink" Target="http://bandwidth.com" TargetMode="External"/><Relationship Id="rId979" Type="http://schemas.openxmlformats.org/officeDocument/2006/relationships/hyperlink" Target="http://revenue.io" TargetMode="External"/><Relationship Id="rId736" Type="http://schemas.openxmlformats.org/officeDocument/2006/relationships/hyperlink" Target="http://diligent.com" TargetMode="External"/><Relationship Id="rId978" Type="http://schemas.openxmlformats.org/officeDocument/2006/relationships/hyperlink" Target="http://clearbit.com" TargetMode="External"/><Relationship Id="rId735" Type="http://schemas.openxmlformats.org/officeDocument/2006/relationships/hyperlink" Target="http://nanonets.com" TargetMode="External"/><Relationship Id="rId977" Type="http://schemas.openxmlformats.org/officeDocument/2006/relationships/hyperlink" Target="http://challengerinc.com" TargetMode="External"/><Relationship Id="rId37" Type="http://schemas.openxmlformats.org/officeDocument/2006/relationships/hyperlink" Target="http://getcor.ai" TargetMode="External"/><Relationship Id="rId36" Type="http://schemas.openxmlformats.org/officeDocument/2006/relationships/hyperlink" Target="http://rategain.com" TargetMode="External"/><Relationship Id="rId39" Type="http://schemas.openxmlformats.org/officeDocument/2006/relationships/hyperlink" Target="http://cloudkitchens.com" TargetMode="External"/><Relationship Id="rId38" Type="http://schemas.openxmlformats.org/officeDocument/2006/relationships/hyperlink" Target="http://joindeleteme.com" TargetMode="External"/><Relationship Id="rId730" Type="http://schemas.openxmlformats.org/officeDocument/2006/relationships/hyperlink" Target="http://hginsights.com" TargetMode="External"/><Relationship Id="rId972" Type="http://schemas.openxmlformats.org/officeDocument/2006/relationships/hyperlink" Target="http://flow.io" TargetMode="External"/><Relationship Id="rId971" Type="http://schemas.openxmlformats.org/officeDocument/2006/relationships/hyperlink" Target="http://cloudinary.com" TargetMode="External"/><Relationship Id="rId970" Type="http://schemas.openxmlformats.org/officeDocument/2006/relationships/hyperlink" Target="http://onupkeep.com" TargetMode="External"/><Relationship Id="rId20" Type="http://schemas.openxmlformats.org/officeDocument/2006/relationships/hyperlink" Target="http://loopreturns.com" TargetMode="External"/><Relationship Id="rId22" Type="http://schemas.openxmlformats.org/officeDocument/2006/relationships/hyperlink" Target="http://statista.com" TargetMode="External"/><Relationship Id="rId21" Type="http://schemas.openxmlformats.org/officeDocument/2006/relationships/hyperlink" Target="http://keepit.com" TargetMode="External"/><Relationship Id="rId24" Type="http://schemas.openxmlformats.org/officeDocument/2006/relationships/hyperlink" Target="http://starguard.uk" TargetMode="External"/><Relationship Id="rId23" Type="http://schemas.openxmlformats.org/officeDocument/2006/relationships/hyperlink" Target="http://jeevaninfotech.com" TargetMode="External"/><Relationship Id="rId525" Type="http://schemas.openxmlformats.org/officeDocument/2006/relationships/hyperlink" Target="http://moengage.com" TargetMode="External"/><Relationship Id="rId767" Type="http://schemas.openxmlformats.org/officeDocument/2006/relationships/hyperlink" Target="http://qualtrics.com" TargetMode="External"/><Relationship Id="rId524" Type="http://schemas.openxmlformats.org/officeDocument/2006/relationships/hyperlink" Target="http://razorpay.com" TargetMode="External"/><Relationship Id="rId766" Type="http://schemas.openxmlformats.org/officeDocument/2006/relationships/hyperlink" Target="http://squareup.com" TargetMode="External"/><Relationship Id="rId523" Type="http://schemas.openxmlformats.org/officeDocument/2006/relationships/hyperlink" Target="http://phocassoftware.com" TargetMode="External"/><Relationship Id="rId765" Type="http://schemas.openxmlformats.org/officeDocument/2006/relationships/hyperlink" Target="http://peoplefluent.com" TargetMode="External"/><Relationship Id="rId522" Type="http://schemas.openxmlformats.org/officeDocument/2006/relationships/hyperlink" Target="http://urbanpiper.com" TargetMode="External"/><Relationship Id="rId764" Type="http://schemas.openxmlformats.org/officeDocument/2006/relationships/hyperlink" Target="http://zluri.com" TargetMode="External"/><Relationship Id="rId529" Type="http://schemas.openxmlformats.org/officeDocument/2006/relationships/hyperlink" Target="http://rocketlane.com" TargetMode="External"/><Relationship Id="rId528" Type="http://schemas.openxmlformats.org/officeDocument/2006/relationships/hyperlink" Target="http://movableink.com" TargetMode="External"/><Relationship Id="rId527" Type="http://schemas.openxmlformats.org/officeDocument/2006/relationships/hyperlink" Target="http://sessionai.com" TargetMode="External"/><Relationship Id="rId769" Type="http://schemas.openxmlformats.org/officeDocument/2006/relationships/hyperlink" Target="http://aetosimaging.com" TargetMode="External"/><Relationship Id="rId526" Type="http://schemas.openxmlformats.org/officeDocument/2006/relationships/hyperlink" Target="http://aurorasolar.com" TargetMode="External"/><Relationship Id="rId768" Type="http://schemas.openxmlformats.org/officeDocument/2006/relationships/hyperlink" Target="http://simetrik.com" TargetMode="External"/><Relationship Id="rId26" Type="http://schemas.openxmlformats.org/officeDocument/2006/relationships/hyperlink" Target="http://talkdesk.com" TargetMode="External"/><Relationship Id="rId25" Type="http://schemas.openxmlformats.org/officeDocument/2006/relationships/hyperlink" Target="http://blancco.com" TargetMode="External"/><Relationship Id="rId28" Type="http://schemas.openxmlformats.org/officeDocument/2006/relationships/hyperlink" Target="http://curbwaste.com" TargetMode="External"/><Relationship Id="rId27" Type="http://schemas.openxmlformats.org/officeDocument/2006/relationships/hyperlink" Target="http://revavenues.ai" TargetMode="External"/><Relationship Id="rId521" Type="http://schemas.openxmlformats.org/officeDocument/2006/relationships/hyperlink" Target="http://walnut.io" TargetMode="External"/><Relationship Id="rId763" Type="http://schemas.openxmlformats.org/officeDocument/2006/relationships/hyperlink" Target="http://appzen.com" TargetMode="External"/><Relationship Id="rId29" Type="http://schemas.openxmlformats.org/officeDocument/2006/relationships/hyperlink" Target="http://getmaple.ca" TargetMode="External"/><Relationship Id="rId520" Type="http://schemas.openxmlformats.org/officeDocument/2006/relationships/hyperlink" Target="http://powerschool.com" TargetMode="External"/><Relationship Id="rId762" Type="http://schemas.openxmlformats.org/officeDocument/2006/relationships/hyperlink" Target="http://symphonysummit.com" TargetMode="External"/><Relationship Id="rId761" Type="http://schemas.openxmlformats.org/officeDocument/2006/relationships/hyperlink" Target="http://leegality.com" TargetMode="External"/><Relationship Id="rId760" Type="http://schemas.openxmlformats.org/officeDocument/2006/relationships/hyperlink" Target="http://entrio.io" TargetMode="External"/><Relationship Id="rId11" Type="http://schemas.openxmlformats.org/officeDocument/2006/relationships/hyperlink" Target="http://firemon.com" TargetMode="External"/><Relationship Id="rId10" Type="http://schemas.openxmlformats.org/officeDocument/2006/relationships/hyperlink" Target="http://abridge.com" TargetMode="External"/><Relationship Id="rId13" Type="http://schemas.openxmlformats.org/officeDocument/2006/relationships/hyperlink" Target="http://mvandc.com" TargetMode="External"/><Relationship Id="rId12" Type="http://schemas.openxmlformats.org/officeDocument/2006/relationships/hyperlink" Target="http://pantheon.io" TargetMode="External"/><Relationship Id="rId519" Type="http://schemas.openxmlformats.org/officeDocument/2006/relationships/hyperlink" Target="http://sprinklr.com" TargetMode="External"/><Relationship Id="rId514" Type="http://schemas.openxmlformats.org/officeDocument/2006/relationships/hyperlink" Target="http://scorpion.co" TargetMode="External"/><Relationship Id="rId756" Type="http://schemas.openxmlformats.org/officeDocument/2006/relationships/hyperlink" Target="http://hopskipdrive.com" TargetMode="External"/><Relationship Id="rId998" Type="http://schemas.openxmlformats.org/officeDocument/2006/relationships/hyperlink" Target="http://capillarytech.com" TargetMode="External"/><Relationship Id="rId513" Type="http://schemas.openxmlformats.org/officeDocument/2006/relationships/hyperlink" Target="http://provana.com" TargetMode="External"/><Relationship Id="rId755" Type="http://schemas.openxmlformats.org/officeDocument/2006/relationships/hyperlink" Target="http://plume.com" TargetMode="External"/><Relationship Id="rId997" Type="http://schemas.openxmlformats.org/officeDocument/2006/relationships/hyperlink" Target="http://leadr.com" TargetMode="External"/><Relationship Id="rId512" Type="http://schemas.openxmlformats.org/officeDocument/2006/relationships/hyperlink" Target="http://kandji.io" TargetMode="External"/><Relationship Id="rId754" Type="http://schemas.openxmlformats.org/officeDocument/2006/relationships/hyperlink" Target="http://tread.io" TargetMode="External"/><Relationship Id="rId996" Type="http://schemas.openxmlformats.org/officeDocument/2006/relationships/hyperlink" Target="http://esper.io" TargetMode="External"/><Relationship Id="rId511" Type="http://schemas.openxmlformats.org/officeDocument/2006/relationships/hyperlink" Target="http://rxbenefits.com" TargetMode="External"/><Relationship Id="rId753" Type="http://schemas.openxmlformats.org/officeDocument/2006/relationships/hyperlink" Target="http://greythr.com" TargetMode="External"/><Relationship Id="rId995" Type="http://schemas.openxmlformats.org/officeDocument/2006/relationships/hyperlink" Target="http://testlio.com" TargetMode="External"/><Relationship Id="rId518" Type="http://schemas.openxmlformats.org/officeDocument/2006/relationships/hyperlink" Target="http://swapcard.com" TargetMode="External"/><Relationship Id="rId517" Type="http://schemas.openxmlformats.org/officeDocument/2006/relationships/hyperlink" Target="http://leandna.com" TargetMode="External"/><Relationship Id="rId759" Type="http://schemas.openxmlformats.org/officeDocument/2006/relationships/hyperlink" Target="http://planful.com" TargetMode="External"/><Relationship Id="rId516" Type="http://schemas.openxmlformats.org/officeDocument/2006/relationships/hyperlink" Target="http://exotel.com" TargetMode="External"/><Relationship Id="rId758" Type="http://schemas.openxmlformats.org/officeDocument/2006/relationships/hyperlink" Target="http://appian.com" TargetMode="External"/><Relationship Id="rId515" Type="http://schemas.openxmlformats.org/officeDocument/2006/relationships/hyperlink" Target="http://evercommerce.com" TargetMode="External"/><Relationship Id="rId757" Type="http://schemas.openxmlformats.org/officeDocument/2006/relationships/hyperlink" Target="http://bizzabo.com" TargetMode="External"/><Relationship Id="rId999" Type="http://schemas.openxmlformats.org/officeDocument/2006/relationships/hyperlink" Target="http://darwinbox.com" TargetMode="External"/><Relationship Id="rId15" Type="http://schemas.openxmlformats.org/officeDocument/2006/relationships/hyperlink" Target="http://apartmentlist.com" TargetMode="External"/><Relationship Id="rId990" Type="http://schemas.openxmlformats.org/officeDocument/2006/relationships/hyperlink" Target="http://placer.ai" TargetMode="External"/><Relationship Id="rId14" Type="http://schemas.openxmlformats.org/officeDocument/2006/relationships/hyperlink" Target="http://torotms.com" TargetMode="External"/><Relationship Id="rId17" Type="http://schemas.openxmlformats.org/officeDocument/2006/relationships/hyperlink" Target="http://censys.com" TargetMode="External"/><Relationship Id="rId16" Type="http://schemas.openxmlformats.org/officeDocument/2006/relationships/hyperlink" Target="http://phonepe.com" TargetMode="External"/><Relationship Id="rId19" Type="http://schemas.openxmlformats.org/officeDocument/2006/relationships/hyperlink" Target="http://drata.com" TargetMode="External"/><Relationship Id="rId510" Type="http://schemas.openxmlformats.org/officeDocument/2006/relationships/hyperlink" Target="http://stova.io" TargetMode="External"/><Relationship Id="rId752" Type="http://schemas.openxmlformats.org/officeDocument/2006/relationships/hyperlink" Target="http://cloud4c.com" TargetMode="External"/><Relationship Id="rId994" Type="http://schemas.openxmlformats.org/officeDocument/2006/relationships/hyperlink" Target="http://slintel.com" TargetMode="External"/><Relationship Id="rId18" Type="http://schemas.openxmlformats.org/officeDocument/2006/relationships/hyperlink" Target="http://crestron.com" TargetMode="External"/><Relationship Id="rId751" Type="http://schemas.openxmlformats.org/officeDocument/2006/relationships/hyperlink" Target="http://foleon.com" TargetMode="External"/><Relationship Id="rId993" Type="http://schemas.openxmlformats.org/officeDocument/2006/relationships/hyperlink" Target="http://cognism.com" TargetMode="External"/><Relationship Id="rId750" Type="http://schemas.openxmlformats.org/officeDocument/2006/relationships/hyperlink" Target="http://simetrik.com" TargetMode="External"/><Relationship Id="rId992" Type="http://schemas.openxmlformats.org/officeDocument/2006/relationships/hyperlink" Target="http://netlify.com" TargetMode="External"/><Relationship Id="rId991" Type="http://schemas.openxmlformats.org/officeDocument/2006/relationships/hyperlink" Target="http://placer.io" TargetMode="External"/><Relationship Id="rId84" Type="http://schemas.openxmlformats.org/officeDocument/2006/relationships/hyperlink" Target="http://webengage.com" TargetMode="External"/><Relationship Id="rId83" Type="http://schemas.openxmlformats.org/officeDocument/2006/relationships/hyperlink" Target="http://redroverk12.com" TargetMode="External"/><Relationship Id="rId86" Type="http://schemas.openxmlformats.org/officeDocument/2006/relationships/hyperlink" Target="http://banyaninfrastructure.com" TargetMode="External"/><Relationship Id="rId85" Type="http://schemas.openxmlformats.org/officeDocument/2006/relationships/hyperlink" Target="http://markforged.com" TargetMode="External"/><Relationship Id="rId88" Type="http://schemas.openxmlformats.org/officeDocument/2006/relationships/hyperlink" Target="http://spreadthejoy.org" TargetMode="External"/><Relationship Id="rId87" Type="http://schemas.openxmlformats.org/officeDocument/2006/relationships/hyperlink" Target="http://sycurio.com" TargetMode="External"/><Relationship Id="rId89" Type="http://schemas.openxmlformats.org/officeDocument/2006/relationships/hyperlink" Target="http://togetherplatform.com" TargetMode="External"/><Relationship Id="rId709" Type="http://schemas.openxmlformats.org/officeDocument/2006/relationships/hyperlink" Target="http://gitlab.com" TargetMode="External"/><Relationship Id="rId708" Type="http://schemas.openxmlformats.org/officeDocument/2006/relationships/hyperlink" Target="http://yotpo.com" TargetMode="External"/><Relationship Id="rId707" Type="http://schemas.openxmlformats.org/officeDocument/2006/relationships/hyperlink" Target="http://openx.com" TargetMode="External"/><Relationship Id="rId949" Type="http://schemas.openxmlformats.org/officeDocument/2006/relationships/hyperlink" Target="http://meliopayments.com" TargetMode="External"/><Relationship Id="rId706" Type="http://schemas.openxmlformats.org/officeDocument/2006/relationships/hyperlink" Target="http://oreilly.com" TargetMode="External"/><Relationship Id="rId948" Type="http://schemas.openxmlformats.org/officeDocument/2006/relationships/hyperlink" Target="http://airtable.com" TargetMode="External"/><Relationship Id="rId80" Type="http://schemas.openxmlformats.org/officeDocument/2006/relationships/hyperlink" Target="http://advantive.com" TargetMode="External"/><Relationship Id="rId82" Type="http://schemas.openxmlformats.org/officeDocument/2006/relationships/hyperlink" Target="http://voxelai.com" TargetMode="External"/><Relationship Id="rId81" Type="http://schemas.openxmlformats.org/officeDocument/2006/relationships/hyperlink" Target="http://documentcrunch.com" TargetMode="External"/><Relationship Id="rId701" Type="http://schemas.openxmlformats.org/officeDocument/2006/relationships/hyperlink" Target="http://intelex.com" TargetMode="External"/><Relationship Id="rId943" Type="http://schemas.openxmlformats.org/officeDocument/2006/relationships/hyperlink" Target="http://canto.com" TargetMode="External"/><Relationship Id="rId700" Type="http://schemas.openxmlformats.org/officeDocument/2006/relationships/hyperlink" Target="http://monday.com" TargetMode="External"/><Relationship Id="rId942" Type="http://schemas.openxmlformats.org/officeDocument/2006/relationships/hyperlink" Target="http://bombora.com" TargetMode="External"/><Relationship Id="rId941" Type="http://schemas.openxmlformats.org/officeDocument/2006/relationships/hyperlink" Target="http://kandji.io" TargetMode="External"/><Relationship Id="rId940" Type="http://schemas.openxmlformats.org/officeDocument/2006/relationships/hyperlink" Target="http://gravysolutions.io" TargetMode="External"/><Relationship Id="rId705" Type="http://schemas.openxmlformats.org/officeDocument/2006/relationships/hyperlink" Target="http://surveysparrow.com" TargetMode="External"/><Relationship Id="rId947" Type="http://schemas.openxmlformats.org/officeDocument/2006/relationships/hyperlink" Target="http://docebo.com" TargetMode="External"/><Relationship Id="rId704" Type="http://schemas.openxmlformats.org/officeDocument/2006/relationships/hyperlink" Target="http://hindustantimes.com" TargetMode="External"/><Relationship Id="rId946" Type="http://schemas.openxmlformats.org/officeDocument/2006/relationships/hyperlink" Target="http://famly.co" TargetMode="External"/><Relationship Id="rId703" Type="http://schemas.openxmlformats.org/officeDocument/2006/relationships/hyperlink" Target="http://bill.com" TargetMode="External"/><Relationship Id="rId945" Type="http://schemas.openxmlformats.org/officeDocument/2006/relationships/hyperlink" Target="http://agorapulse.com" TargetMode="External"/><Relationship Id="rId702" Type="http://schemas.openxmlformats.org/officeDocument/2006/relationships/hyperlink" Target="http://grammarly.com" TargetMode="External"/><Relationship Id="rId944" Type="http://schemas.openxmlformats.org/officeDocument/2006/relationships/hyperlink" Target="http://deel.com" TargetMode="External"/><Relationship Id="rId73" Type="http://schemas.openxmlformats.org/officeDocument/2006/relationships/hyperlink" Target="http://certbar.com" TargetMode="External"/><Relationship Id="rId72" Type="http://schemas.openxmlformats.org/officeDocument/2006/relationships/hyperlink" Target="http://vulncheck.com" TargetMode="External"/><Relationship Id="rId75" Type="http://schemas.openxmlformats.org/officeDocument/2006/relationships/hyperlink" Target="http://pentera.io" TargetMode="External"/><Relationship Id="rId74" Type="http://schemas.openxmlformats.org/officeDocument/2006/relationships/hyperlink" Target="http://gem.com" TargetMode="External"/><Relationship Id="rId77" Type="http://schemas.openxmlformats.org/officeDocument/2006/relationships/hyperlink" Target="http://samivy.com" TargetMode="External"/><Relationship Id="rId76" Type="http://schemas.openxmlformats.org/officeDocument/2006/relationships/hyperlink" Target="http://qualysec.com" TargetMode="External"/><Relationship Id="rId79" Type="http://schemas.openxmlformats.org/officeDocument/2006/relationships/hyperlink" Target="http://everlylife.com" TargetMode="External"/><Relationship Id="rId78" Type="http://schemas.openxmlformats.org/officeDocument/2006/relationships/hyperlink" Target="http://usemultiplier.com" TargetMode="External"/><Relationship Id="rId939" Type="http://schemas.openxmlformats.org/officeDocument/2006/relationships/hyperlink" Target="http://typeform.com" TargetMode="External"/><Relationship Id="rId938" Type="http://schemas.openxmlformats.org/officeDocument/2006/relationships/hyperlink" Target="http://orumhq.com" TargetMode="External"/><Relationship Id="rId937" Type="http://schemas.openxmlformats.org/officeDocument/2006/relationships/hyperlink" Target="http://tact.ai" TargetMode="External"/><Relationship Id="rId71" Type="http://schemas.openxmlformats.org/officeDocument/2006/relationships/hyperlink" Target="http://rentana.io" TargetMode="External"/><Relationship Id="rId70" Type="http://schemas.openxmlformats.org/officeDocument/2006/relationships/hyperlink" Target="http://tallysolutions.com" TargetMode="External"/><Relationship Id="rId932" Type="http://schemas.openxmlformats.org/officeDocument/2006/relationships/hyperlink" Target="http://vymo.com" TargetMode="External"/><Relationship Id="rId931" Type="http://schemas.openxmlformats.org/officeDocument/2006/relationships/hyperlink" Target="http://saaslabs.co" TargetMode="External"/><Relationship Id="rId930" Type="http://schemas.openxmlformats.org/officeDocument/2006/relationships/hyperlink" Target="http://tourial.com" TargetMode="External"/><Relationship Id="rId936" Type="http://schemas.openxmlformats.org/officeDocument/2006/relationships/hyperlink" Target="http://tact.ai" TargetMode="External"/><Relationship Id="rId935" Type="http://schemas.openxmlformats.org/officeDocument/2006/relationships/hyperlink" Target="http://apty.io" TargetMode="External"/><Relationship Id="rId934" Type="http://schemas.openxmlformats.org/officeDocument/2006/relationships/hyperlink" Target="http://atlan.com" TargetMode="External"/><Relationship Id="rId933" Type="http://schemas.openxmlformats.org/officeDocument/2006/relationships/hyperlink" Target="http://instabase.com" TargetMode="External"/><Relationship Id="rId62" Type="http://schemas.openxmlformats.org/officeDocument/2006/relationships/hyperlink" Target="http://spotdraft.com" TargetMode="External"/><Relationship Id="rId61" Type="http://schemas.openxmlformats.org/officeDocument/2006/relationships/hyperlink" Target="http://replicant.com" TargetMode="External"/><Relationship Id="rId64" Type="http://schemas.openxmlformats.org/officeDocument/2006/relationships/hyperlink" Target="http://fastbreak.ai" TargetMode="External"/><Relationship Id="rId63" Type="http://schemas.openxmlformats.org/officeDocument/2006/relationships/hyperlink" Target="http://exotel.com" TargetMode="External"/><Relationship Id="rId66" Type="http://schemas.openxmlformats.org/officeDocument/2006/relationships/hyperlink" Target="http://trysparrow.com" TargetMode="External"/><Relationship Id="rId65" Type="http://schemas.openxmlformats.org/officeDocument/2006/relationships/hyperlink" Target="http://aceve.com" TargetMode="External"/><Relationship Id="rId68" Type="http://schemas.openxmlformats.org/officeDocument/2006/relationships/hyperlink" Target="http://magicbricks.com" TargetMode="External"/><Relationship Id="rId67" Type="http://schemas.openxmlformats.org/officeDocument/2006/relationships/hyperlink" Target="http://motivity.net" TargetMode="External"/><Relationship Id="rId729" Type="http://schemas.openxmlformats.org/officeDocument/2006/relationships/hyperlink" Target="http://birdeye.com" TargetMode="External"/><Relationship Id="rId728" Type="http://schemas.openxmlformats.org/officeDocument/2006/relationships/hyperlink" Target="http://turnitin.com" TargetMode="External"/><Relationship Id="rId60" Type="http://schemas.openxmlformats.org/officeDocument/2006/relationships/hyperlink" Target="http://gatewayfinancialpartners.com" TargetMode="External"/><Relationship Id="rId723" Type="http://schemas.openxmlformats.org/officeDocument/2006/relationships/hyperlink" Target="http://coursera.org" TargetMode="External"/><Relationship Id="rId965" Type="http://schemas.openxmlformats.org/officeDocument/2006/relationships/hyperlink" Target="http://duda.co" TargetMode="External"/><Relationship Id="rId722" Type="http://schemas.openxmlformats.org/officeDocument/2006/relationships/hyperlink" Target="http://bonterratech.com" TargetMode="External"/><Relationship Id="rId964" Type="http://schemas.openxmlformats.org/officeDocument/2006/relationships/hyperlink" Target="http://infeedo.ai" TargetMode="External"/><Relationship Id="rId721" Type="http://schemas.openxmlformats.org/officeDocument/2006/relationships/hyperlink" Target="http://kore.ai" TargetMode="External"/><Relationship Id="rId963" Type="http://schemas.openxmlformats.org/officeDocument/2006/relationships/hyperlink" Target="http://theabdteam.com" TargetMode="External"/><Relationship Id="rId720" Type="http://schemas.openxmlformats.org/officeDocument/2006/relationships/hyperlink" Target="http://kore.ai" TargetMode="External"/><Relationship Id="rId962" Type="http://schemas.openxmlformats.org/officeDocument/2006/relationships/hyperlink" Target="http://ordwaylabs.com" TargetMode="External"/><Relationship Id="rId727" Type="http://schemas.openxmlformats.org/officeDocument/2006/relationships/hyperlink" Target="http://rollworks.com" TargetMode="External"/><Relationship Id="rId969" Type="http://schemas.openxmlformats.org/officeDocument/2006/relationships/hyperlink" Target="http://smartasset.com" TargetMode="External"/><Relationship Id="rId726" Type="http://schemas.openxmlformats.org/officeDocument/2006/relationships/hyperlink" Target="http://deluxe.com" TargetMode="External"/><Relationship Id="rId968" Type="http://schemas.openxmlformats.org/officeDocument/2006/relationships/hyperlink" Target="http://servicetitan.com" TargetMode="External"/><Relationship Id="rId725" Type="http://schemas.openxmlformats.org/officeDocument/2006/relationships/hyperlink" Target="http://supermetrics.com" TargetMode="External"/><Relationship Id="rId967" Type="http://schemas.openxmlformats.org/officeDocument/2006/relationships/hyperlink" Target="http://beyondpricing.com" TargetMode="External"/><Relationship Id="rId724" Type="http://schemas.openxmlformats.org/officeDocument/2006/relationships/hyperlink" Target="http://catonetworks.com" TargetMode="External"/><Relationship Id="rId966" Type="http://schemas.openxmlformats.org/officeDocument/2006/relationships/hyperlink" Target="http://kandji.io" TargetMode="External"/><Relationship Id="rId69" Type="http://schemas.openxmlformats.org/officeDocument/2006/relationships/hyperlink" Target="http://p2p.org" TargetMode="External"/><Relationship Id="rId961" Type="http://schemas.openxmlformats.org/officeDocument/2006/relationships/hyperlink" Target="http://lunchbox.io" TargetMode="External"/><Relationship Id="rId960" Type="http://schemas.openxmlformats.org/officeDocument/2006/relationships/hyperlink" Target="http://webflow.com" TargetMode="External"/><Relationship Id="rId51" Type="http://schemas.openxmlformats.org/officeDocument/2006/relationships/hyperlink" Target="http://asapp.com" TargetMode="External"/><Relationship Id="rId50" Type="http://schemas.openxmlformats.org/officeDocument/2006/relationships/hyperlink" Target="http://vega.io" TargetMode="External"/><Relationship Id="rId53" Type="http://schemas.openxmlformats.org/officeDocument/2006/relationships/hyperlink" Target="http://bizzabo.com" TargetMode="External"/><Relationship Id="rId52" Type="http://schemas.openxmlformats.org/officeDocument/2006/relationships/hyperlink" Target="http://netwoven.com" TargetMode="External"/><Relationship Id="rId55" Type="http://schemas.openxmlformats.org/officeDocument/2006/relationships/hyperlink" Target="http://ushur.com" TargetMode="External"/><Relationship Id="rId54" Type="http://schemas.openxmlformats.org/officeDocument/2006/relationships/hyperlink" Target="http://procol.ai" TargetMode="External"/><Relationship Id="rId57" Type="http://schemas.openxmlformats.org/officeDocument/2006/relationships/hyperlink" Target="http://leaphealth.com" TargetMode="External"/><Relationship Id="rId56" Type="http://schemas.openxmlformats.org/officeDocument/2006/relationships/hyperlink" Target="http://smylr.co" TargetMode="External"/><Relationship Id="rId719" Type="http://schemas.openxmlformats.org/officeDocument/2006/relationships/hyperlink" Target="http://genesisdigital.co" TargetMode="External"/><Relationship Id="rId718" Type="http://schemas.openxmlformats.org/officeDocument/2006/relationships/hyperlink" Target="http://wexinc.com" TargetMode="External"/><Relationship Id="rId717" Type="http://schemas.openxmlformats.org/officeDocument/2006/relationships/hyperlink" Target="http://tipalti.com" TargetMode="External"/><Relationship Id="rId959" Type="http://schemas.openxmlformats.org/officeDocument/2006/relationships/hyperlink" Target="http://officespacesoftware.com" TargetMode="External"/><Relationship Id="rId712" Type="http://schemas.openxmlformats.org/officeDocument/2006/relationships/hyperlink" Target="http://convoso.com" TargetMode="External"/><Relationship Id="rId954" Type="http://schemas.openxmlformats.org/officeDocument/2006/relationships/hyperlink" Target="http://restaurant365.com" TargetMode="External"/><Relationship Id="rId711" Type="http://schemas.openxmlformats.org/officeDocument/2006/relationships/hyperlink" Target="http://litmus.io" TargetMode="External"/><Relationship Id="rId953" Type="http://schemas.openxmlformats.org/officeDocument/2006/relationships/hyperlink" Target="http://brighttalk.com" TargetMode="External"/><Relationship Id="rId710" Type="http://schemas.openxmlformats.org/officeDocument/2006/relationships/hyperlink" Target="http://replicant.com" TargetMode="External"/><Relationship Id="rId952" Type="http://schemas.openxmlformats.org/officeDocument/2006/relationships/hyperlink" Target="http://helloagora.com" TargetMode="External"/><Relationship Id="rId951" Type="http://schemas.openxmlformats.org/officeDocument/2006/relationships/hyperlink" Target="http://levelset.com" TargetMode="External"/><Relationship Id="rId716" Type="http://schemas.openxmlformats.org/officeDocument/2006/relationships/hyperlink" Target="http://firstlight.net" TargetMode="External"/><Relationship Id="rId958" Type="http://schemas.openxmlformats.org/officeDocument/2006/relationships/hyperlink" Target="http://glofox.com" TargetMode="External"/><Relationship Id="rId715" Type="http://schemas.openxmlformats.org/officeDocument/2006/relationships/hyperlink" Target="http://nasuni.com" TargetMode="External"/><Relationship Id="rId957" Type="http://schemas.openxmlformats.org/officeDocument/2006/relationships/hyperlink" Target="http://ramp.com" TargetMode="External"/><Relationship Id="rId714" Type="http://schemas.openxmlformats.org/officeDocument/2006/relationships/hyperlink" Target="http://prophix.com" TargetMode="External"/><Relationship Id="rId956" Type="http://schemas.openxmlformats.org/officeDocument/2006/relationships/hyperlink" Target="http://goshippo.com" TargetMode="External"/><Relationship Id="rId713" Type="http://schemas.openxmlformats.org/officeDocument/2006/relationships/hyperlink" Target="http://flexe.com" TargetMode="External"/><Relationship Id="rId955" Type="http://schemas.openxmlformats.org/officeDocument/2006/relationships/hyperlink" Target="http://accredible.com" TargetMode="External"/><Relationship Id="rId59" Type="http://schemas.openxmlformats.org/officeDocument/2006/relationships/hyperlink" Target="http://infrahub.ai" TargetMode="External"/><Relationship Id="rId58" Type="http://schemas.openxmlformats.org/officeDocument/2006/relationships/hyperlink" Target="http://nousinfo.com" TargetMode="External"/><Relationship Id="rId950" Type="http://schemas.openxmlformats.org/officeDocument/2006/relationships/hyperlink" Target="http://thinkific.com" TargetMode="External"/><Relationship Id="rId590" Type="http://schemas.openxmlformats.org/officeDocument/2006/relationships/hyperlink" Target="http://springbuk.com" TargetMode="External"/><Relationship Id="rId107" Type="http://schemas.openxmlformats.org/officeDocument/2006/relationships/hyperlink" Target="http://versatil.vc" TargetMode="External"/><Relationship Id="rId349" Type="http://schemas.openxmlformats.org/officeDocument/2006/relationships/hyperlink" Target="http://nomentia.com" TargetMode="External"/><Relationship Id="rId106" Type="http://schemas.openxmlformats.org/officeDocument/2006/relationships/hyperlink" Target="http://sacred7enterprises.org" TargetMode="External"/><Relationship Id="rId348" Type="http://schemas.openxmlformats.org/officeDocument/2006/relationships/hyperlink" Target="http://dialpad.com" TargetMode="External"/><Relationship Id="rId105" Type="http://schemas.openxmlformats.org/officeDocument/2006/relationships/hyperlink" Target="http://activtrak.com" TargetMode="External"/><Relationship Id="rId347" Type="http://schemas.openxmlformats.org/officeDocument/2006/relationships/hyperlink" Target="http://finmo.net" TargetMode="External"/><Relationship Id="rId589" Type="http://schemas.openxmlformats.org/officeDocument/2006/relationships/hyperlink" Target="http://gumgum.com" TargetMode="External"/><Relationship Id="rId104" Type="http://schemas.openxmlformats.org/officeDocument/2006/relationships/hyperlink" Target="http://dashsocial.com" TargetMode="External"/><Relationship Id="rId346" Type="http://schemas.openxmlformats.org/officeDocument/2006/relationships/hyperlink" Target="http://on24.com" TargetMode="External"/><Relationship Id="rId588" Type="http://schemas.openxmlformats.org/officeDocument/2006/relationships/hyperlink" Target="http://everlaw.com" TargetMode="External"/><Relationship Id="rId109" Type="http://schemas.openxmlformats.org/officeDocument/2006/relationships/hyperlink" Target="http://hockeystack.com" TargetMode="External"/><Relationship Id="rId108" Type="http://schemas.openxmlformats.org/officeDocument/2006/relationships/hyperlink" Target="http://sonder.io" TargetMode="External"/><Relationship Id="rId341" Type="http://schemas.openxmlformats.org/officeDocument/2006/relationships/hyperlink" Target="http://zithara.ai" TargetMode="External"/><Relationship Id="rId583" Type="http://schemas.openxmlformats.org/officeDocument/2006/relationships/hyperlink" Target="http://doofinder.com" TargetMode="External"/><Relationship Id="rId340" Type="http://schemas.openxmlformats.org/officeDocument/2006/relationships/hyperlink" Target="http://centrical.com" TargetMode="External"/><Relationship Id="rId582" Type="http://schemas.openxmlformats.org/officeDocument/2006/relationships/hyperlink" Target="http://mews.com" TargetMode="External"/><Relationship Id="rId581" Type="http://schemas.openxmlformats.org/officeDocument/2006/relationships/hyperlink" Target="http://wisetechglobal.com" TargetMode="External"/><Relationship Id="rId580" Type="http://schemas.openxmlformats.org/officeDocument/2006/relationships/hyperlink" Target="http://getmaintainx.com" TargetMode="External"/><Relationship Id="rId103" Type="http://schemas.openxmlformats.org/officeDocument/2006/relationships/hyperlink" Target="http://absorblms.com" TargetMode="External"/><Relationship Id="rId345" Type="http://schemas.openxmlformats.org/officeDocument/2006/relationships/hyperlink" Target="http://sumologic.com" TargetMode="External"/><Relationship Id="rId587" Type="http://schemas.openxmlformats.org/officeDocument/2006/relationships/hyperlink" Target="http://prove.com" TargetMode="External"/><Relationship Id="rId102" Type="http://schemas.openxmlformats.org/officeDocument/2006/relationships/hyperlink" Target="http://questanalytics.com" TargetMode="External"/><Relationship Id="rId344" Type="http://schemas.openxmlformats.org/officeDocument/2006/relationships/hyperlink" Target="http://absorblms.com" TargetMode="External"/><Relationship Id="rId586" Type="http://schemas.openxmlformats.org/officeDocument/2006/relationships/hyperlink" Target="http://lookout.com" TargetMode="External"/><Relationship Id="rId101" Type="http://schemas.openxmlformats.org/officeDocument/2006/relationships/hyperlink" Target="http://peoplefluent.com" TargetMode="External"/><Relationship Id="rId343" Type="http://schemas.openxmlformats.org/officeDocument/2006/relationships/hyperlink" Target="http://radancy.com" TargetMode="External"/><Relationship Id="rId585" Type="http://schemas.openxmlformats.org/officeDocument/2006/relationships/hyperlink" Target="http://broadvoice.com" TargetMode="External"/><Relationship Id="rId100" Type="http://schemas.openxmlformats.org/officeDocument/2006/relationships/hyperlink" Target="http://docebo.com" TargetMode="External"/><Relationship Id="rId342" Type="http://schemas.openxmlformats.org/officeDocument/2006/relationships/hyperlink" Target="http://hakusports.com" TargetMode="External"/><Relationship Id="rId584" Type="http://schemas.openxmlformats.org/officeDocument/2006/relationships/hyperlink" Target="http://noibu.com" TargetMode="External"/><Relationship Id="rId338" Type="http://schemas.openxmlformats.org/officeDocument/2006/relationships/hyperlink" Target="http://cardlytics.com" TargetMode="External"/><Relationship Id="rId337" Type="http://schemas.openxmlformats.org/officeDocument/2006/relationships/hyperlink" Target="http://headway.co" TargetMode="External"/><Relationship Id="rId579" Type="http://schemas.openxmlformats.org/officeDocument/2006/relationships/hyperlink" Target="http://starburst.io" TargetMode="External"/><Relationship Id="rId336" Type="http://schemas.openxmlformats.org/officeDocument/2006/relationships/hyperlink" Target="http://patch.io" TargetMode="External"/><Relationship Id="rId578" Type="http://schemas.openxmlformats.org/officeDocument/2006/relationships/hyperlink" Target="http://cymulate.com" TargetMode="External"/><Relationship Id="rId335" Type="http://schemas.openxmlformats.org/officeDocument/2006/relationships/hyperlink" Target="http://konghq.com" TargetMode="External"/><Relationship Id="rId577" Type="http://schemas.openxmlformats.org/officeDocument/2006/relationships/hyperlink" Target="http://appsflyer.com" TargetMode="External"/><Relationship Id="rId339" Type="http://schemas.openxmlformats.org/officeDocument/2006/relationships/hyperlink" Target="http://dealpath.com" TargetMode="External"/><Relationship Id="rId330" Type="http://schemas.openxmlformats.org/officeDocument/2006/relationships/hyperlink" Target="http://xoxoday.com" TargetMode="External"/><Relationship Id="rId572" Type="http://schemas.openxmlformats.org/officeDocument/2006/relationships/hyperlink" Target="http://demandscience.com" TargetMode="External"/><Relationship Id="rId571" Type="http://schemas.openxmlformats.org/officeDocument/2006/relationships/hyperlink" Target="http://triplelift.com" TargetMode="External"/><Relationship Id="rId570" Type="http://schemas.openxmlformats.org/officeDocument/2006/relationships/hyperlink" Target="http://riskified.com" TargetMode="External"/><Relationship Id="rId334" Type="http://schemas.openxmlformats.org/officeDocument/2006/relationships/hyperlink" Target="http://2centscapital.com" TargetMode="External"/><Relationship Id="rId576" Type="http://schemas.openxmlformats.org/officeDocument/2006/relationships/hyperlink" Target="http://lacework.com" TargetMode="External"/><Relationship Id="rId333" Type="http://schemas.openxmlformats.org/officeDocument/2006/relationships/hyperlink" Target="http://revealdata.com" TargetMode="External"/><Relationship Id="rId575" Type="http://schemas.openxmlformats.org/officeDocument/2006/relationships/hyperlink" Target="http://bloomreach.com" TargetMode="External"/><Relationship Id="rId332" Type="http://schemas.openxmlformats.org/officeDocument/2006/relationships/hyperlink" Target="http://orderful.com" TargetMode="External"/><Relationship Id="rId574" Type="http://schemas.openxmlformats.org/officeDocument/2006/relationships/hyperlink" Target="http://datadome.co" TargetMode="External"/><Relationship Id="rId331" Type="http://schemas.openxmlformats.org/officeDocument/2006/relationships/hyperlink" Target="http://saaslabs.co" TargetMode="External"/><Relationship Id="rId573" Type="http://schemas.openxmlformats.org/officeDocument/2006/relationships/hyperlink" Target="http://treasuredata.com" TargetMode="External"/><Relationship Id="rId370" Type="http://schemas.openxmlformats.org/officeDocument/2006/relationships/hyperlink" Target="http://peoplestrong.com" TargetMode="External"/><Relationship Id="rId129" Type="http://schemas.openxmlformats.org/officeDocument/2006/relationships/hyperlink" Target="http://spotlightmediafargo.com" TargetMode="External"/><Relationship Id="rId128" Type="http://schemas.openxmlformats.org/officeDocument/2006/relationships/hyperlink" Target="http://teramind.co" TargetMode="External"/><Relationship Id="rId127" Type="http://schemas.openxmlformats.org/officeDocument/2006/relationships/hyperlink" Target="http://pella.com" TargetMode="External"/><Relationship Id="rId369" Type="http://schemas.openxmlformats.org/officeDocument/2006/relationships/hyperlink" Target="http://everlaw.com" TargetMode="External"/><Relationship Id="rId126" Type="http://schemas.openxmlformats.org/officeDocument/2006/relationships/hyperlink" Target="http://verifiable.com" TargetMode="External"/><Relationship Id="rId368" Type="http://schemas.openxmlformats.org/officeDocument/2006/relationships/hyperlink" Target="http://questanalytics.com" TargetMode="External"/><Relationship Id="rId121" Type="http://schemas.openxmlformats.org/officeDocument/2006/relationships/hyperlink" Target="http://sailpoint.com" TargetMode="External"/><Relationship Id="rId363" Type="http://schemas.openxmlformats.org/officeDocument/2006/relationships/hyperlink" Target="http://vestwell.com" TargetMode="External"/><Relationship Id="rId120" Type="http://schemas.openxmlformats.org/officeDocument/2006/relationships/hyperlink" Target="http://masspay.io" TargetMode="External"/><Relationship Id="rId362" Type="http://schemas.openxmlformats.org/officeDocument/2006/relationships/hyperlink" Target="http://logikality.ai" TargetMode="External"/><Relationship Id="rId361" Type="http://schemas.openxmlformats.org/officeDocument/2006/relationships/hyperlink" Target="http://quavo.com" TargetMode="External"/><Relationship Id="rId360" Type="http://schemas.openxmlformats.org/officeDocument/2006/relationships/hyperlink" Target="http://bathfitter.com" TargetMode="External"/><Relationship Id="rId125" Type="http://schemas.openxmlformats.org/officeDocument/2006/relationships/hyperlink" Target="http://permutive.com" TargetMode="External"/><Relationship Id="rId367" Type="http://schemas.openxmlformats.org/officeDocument/2006/relationships/hyperlink" Target="http://dixa.com" TargetMode="External"/><Relationship Id="rId124" Type="http://schemas.openxmlformats.org/officeDocument/2006/relationships/hyperlink" Target="http://agencybloc.com" TargetMode="External"/><Relationship Id="rId366" Type="http://schemas.openxmlformats.org/officeDocument/2006/relationships/hyperlink" Target="http://brightrtravel.com" TargetMode="External"/><Relationship Id="rId123" Type="http://schemas.openxmlformats.org/officeDocument/2006/relationships/hyperlink" Target="http://sentinelone.com" TargetMode="External"/><Relationship Id="rId365" Type="http://schemas.openxmlformats.org/officeDocument/2006/relationships/hyperlink" Target="http://chargebee.com" TargetMode="External"/><Relationship Id="rId122" Type="http://schemas.openxmlformats.org/officeDocument/2006/relationships/hyperlink" Target="http://avidxchange.com" TargetMode="External"/><Relationship Id="rId364" Type="http://schemas.openxmlformats.org/officeDocument/2006/relationships/hyperlink" Target="http://spectrio.com" TargetMode="External"/><Relationship Id="rId95" Type="http://schemas.openxmlformats.org/officeDocument/2006/relationships/hyperlink" Target="http://wirelessventures.net" TargetMode="External"/><Relationship Id="rId94" Type="http://schemas.openxmlformats.org/officeDocument/2006/relationships/hyperlink" Target="http://suralink.com" TargetMode="External"/><Relationship Id="rId97" Type="http://schemas.openxmlformats.org/officeDocument/2006/relationships/hyperlink" Target="http://culturalcare.com" TargetMode="External"/><Relationship Id="rId96" Type="http://schemas.openxmlformats.org/officeDocument/2006/relationships/hyperlink" Target="http://gf.com" TargetMode="External"/><Relationship Id="rId99" Type="http://schemas.openxmlformats.org/officeDocument/2006/relationships/hyperlink" Target="http://pigment.com" TargetMode="External"/><Relationship Id="rId98" Type="http://schemas.openxmlformats.org/officeDocument/2006/relationships/hyperlink" Target="http://resolve.ai" TargetMode="External"/><Relationship Id="rId91" Type="http://schemas.openxmlformats.org/officeDocument/2006/relationships/hyperlink" Target="http://freschesolutions.com" TargetMode="External"/><Relationship Id="rId90" Type="http://schemas.openxmlformats.org/officeDocument/2006/relationships/hyperlink" Target="http://arrowfinishing.com" TargetMode="External"/><Relationship Id="rId93" Type="http://schemas.openxmlformats.org/officeDocument/2006/relationships/hyperlink" Target="http://athleaders.co" TargetMode="External"/><Relationship Id="rId92" Type="http://schemas.openxmlformats.org/officeDocument/2006/relationships/hyperlink" Target="http://markmonitor.com" TargetMode="External"/><Relationship Id="rId118" Type="http://schemas.openxmlformats.org/officeDocument/2006/relationships/hyperlink" Target="http://kortext.com" TargetMode="External"/><Relationship Id="rId117" Type="http://schemas.openxmlformats.org/officeDocument/2006/relationships/hyperlink" Target="http://harmonicsecurity.com" TargetMode="External"/><Relationship Id="rId359" Type="http://schemas.openxmlformats.org/officeDocument/2006/relationships/hyperlink" Target="http://liveramp.com" TargetMode="External"/><Relationship Id="rId116" Type="http://schemas.openxmlformats.org/officeDocument/2006/relationships/hyperlink" Target="http://frontlineeducation.com" TargetMode="External"/><Relationship Id="rId358" Type="http://schemas.openxmlformats.org/officeDocument/2006/relationships/hyperlink" Target="http://dataiku.com" TargetMode="External"/><Relationship Id="rId115" Type="http://schemas.openxmlformats.org/officeDocument/2006/relationships/hyperlink" Target="http://maggicowlan.com" TargetMode="External"/><Relationship Id="rId357" Type="http://schemas.openxmlformats.org/officeDocument/2006/relationships/hyperlink" Target="http://optimizely.com" TargetMode="External"/><Relationship Id="rId599" Type="http://schemas.openxmlformats.org/officeDocument/2006/relationships/hyperlink" Target="http://triplewhale.com" TargetMode="External"/><Relationship Id="rId119" Type="http://schemas.openxmlformats.org/officeDocument/2006/relationships/hyperlink" Target="http://rtgecommerce.com" TargetMode="External"/><Relationship Id="rId110" Type="http://schemas.openxmlformats.org/officeDocument/2006/relationships/hyperlink" Target="http://velasea.com" TargetMode="External"/><Relationship Id="rId352" Type="http://schemas.openxmlformats.org/officeDocument/2006/relationships/hyperlink" Target="http://madhive.com" TargetMode="External"/><Relationship Id="rId594" Type="http://schemas.openxmlformats.org/officeDocument/2006/relationships/hyperlink" Target="http://doordash.com" TargetMode="External"/><Relationship Id="rId351" Type="http://schemas.openxmlformats.org/officeDocument/2006/relationships/hyperlink" Target="http://trekhealth.io" TargetMode="External"/><Relationship Id="rId593" Type="http://schemas.openxmlformats.org/officeDocument/2006/relationships/hyperlink" Target="http://appzen.com" TargetMode="External"/><Relationship Id="rId350" Type="http://schemas.openxmlformats.org/officeDocument/2006/relationships/hyperlink" Target="http://vial.com" TargetMode="External"/><Relationship Id="rId592" Type="http://schemas.openxmlformats.org/officeDocument/2006/relationships/hyperlink" Target="http://resulticks.com" TargetMode="External"/><Relationship Id="rId591" Type="http://schemas.openxmlformats.org/officeDocument/2006/relationships/hyperlink" Target="http://cegid.com" TargetMode="External"/><Relationship Id="rId114" Type="http://schemas.openxmlformats.org/officeDocument/2006/relationships/hyperlink" Target="http://axcelerate.com" TargetMode="External"/><Relationship Id="rId356" Type="http://schemas.openxmlformats.org/officeDocument/2006/relationships/hyperlink" Target="http://cloudkitchens.com" TargetMode="External"/><Relationship Id="rId598" Type="http://schemas.openxmlformats.org/officeDocument/2006/relationships/hyperlink" Target="http://rossum.ai" TargetMode="External"/><Relationship Id="rId113" Type="http://schemas.openxmlformats.org/officeDocument/2006/relationships/hyperlink" Target="http://armorcode.com" TargetMode="External"/><Relationship Id="rId355" Type="http://schemas.openxmlformats.org/officeDocument/2006/relationships/hyperlink" Target="http://telefonica.com" TargetMode="External"/><Relationship Id="rId597" Type="http://schemas.openxmlformats.org/officeDocument/2006/relationships/hyperlink" Target="http://thoughtindustries.com" TargetMode="External"/><Relationship Id="rId112" Type="http://schemas.openxmlformats.org/officeDocument/2006/relationships/hyperlink" Target="http://kankani.in" TargetMode="External"/><Relationship Id="rId354" Type="http://schemas.openxmlformats.org/officeDocument/2006/relationships/hyperlink" Target="http://sitemate.com" TargetMode="External"/><Relationship Id="rId596" Type="http://schemas.openxmlformats.org/officeDocument/2006/relationships/hyperlink" Target="http://mirakl.com" TargetMode="External"/><Relationship Id="rId111" Type="http://schemas.openxmlformats.org/officeDocument/2006/relationships/hyperlink" Target="http://bathfitter.com" TargetMode="External"/><Relationship Id="rId353" Type="http://schemas.openxmlformats.org/officeDocument/2006/relationships/hyperlink" Target="http://clevertap.com" TargetMode="External"/><Relationship Id="rId595" Type="http://schemas.openxmlformats.org/officeDocument/2006/relationships/hyperlink" Target="http://hivebrite.io" TargetMode="External"/><Relationship Id="rId305" Type="http://schemas.openxmlformats.org/officeDocument/2006/relationships/hyperlink" Target="http://provisiopartners.com" TargetMode="External"/><Relationship Id="rId547" Type="http://schemas.openxmlformats.org/officeDocument/2006/relationships/hyperlink" Target="http://dotdata.com" TargetMode="External"/><Relationship Id="rId789" Type="http://schemas.openxmlformats.org/officeDocument/2006/relationships/hyperlink" Target="http://impact.com" TargetMode="External"/><Relationship Id="rId304" Type="http://schemas.openxmlformats.org/officeDocument/2006/relationships/hyperlink" Target="http://mdvip.com" TargetMode="External"/><Relationship Id="rId546" Type="http://schemas.openxmlformats.org/officeDocument/2006/relationships/hyperlink" Target="http://onecause.com" TargetMode="External"/><Relationship Id="rId788" Type="http://schemas.openxmlformats.org/officeDocument/2006/relationships/hyperlink" Target="http://simetrik.com" TargetMode="External"/><Relationship Id="rId303" Type="http://schemas.openxmlformats.org/officeDocument/2006/relationships/hyperlink" Target="http://doppel.com" TargetMode="External"/><Relationship Id="rId545" Type="http://schemas.openxmlformats.org/officeDocument/2006/relationships/hyperlink" Target="http://dscout.com" TargetMode="External"/><Relationship Id="rId787" Type="http://schemas.openxmlformats.org/officeDocument/2006/relationships/hyperlink" Target="http://keka.com" TargetMode="External"/><Relationship Id="rId302" Type="http://schemas.openxmlformats.org/officeDocument/2006/relationships/hyperlink" Target="http://craftable.com" TargetMode="External"/><Relationship Id="rId544" Type="http://schemas.openxmlformats.org/officeDocument/2006/relationships/hyperlink" Target="http://ncino.com" TargetMode="External"/><Relationship Id="rId786" Type="http://schemas.openxmlformats.org/officeDocument/2006/relationships/hyperlink" Target="http://entropik.io" TargetMode="External"/><Relationship Id="rId309" Type="http://schemas.openxmlformats.org/officeDocument/2006/relationships/hyperlink" Target="http://crigloo.com" TargetMode="External"/><Relationship Id="rId308" Type="http://schemas.openxmlformats.org/officeDocument/2006/relationships/hyperlink" Target="http://sayari.com" TargetMode="External"/><Relationship Id="rId307" Type="http://schemas.openxmlformats.org/officeDocument/2006/relationships/hyperlink" Target="http://dell.com" TargetMode="External"/><Relationship Id="rId549" Type="http://schemas.openxmlformats.org/officeDocument/2006/relationships/hyperlink" Target="http://onespan.com" TargetMode="External"/><Relationship Id="rId306" Type="http://schemas.openxmlformats.org/officeDocument/2006/relationships/hyperlink" Target="http://lambdatest.com" TargetMode="External"/><Relationship Id="rId548" Type="http://schemas.openxmlformats.org/officeDocument/2006/relationships/hyperlink" Target="http://dealpath.com" TargetMode="External"/><Relationship Id="rId781" Type="http://schemas.openxmlformats.org/officeDocument/2006/relationships/hyperlink" Target="http://simetrik.com" TargetMode="External"/><Relationship Id="rId780" Type="http://schemas.openxmlformats.org/officeDocument/2006/relationships/hyperlink" Target="http://tungstenautomation.com" TargetMode="External"/><Relationship Id="rId301" Type="http://schemas.openxmlformats.org/officeDocument/2006/relationships/hyperlink" Target="http://transferroom.com" TargetMode="External"/><Relationship Id="rId543" Type="http://schemas.openxmlformats.org/officeDocument/2006/relationships/hyperlink" Target="http://dentalintel.com" TargetMode="External"/><Relationship Id="rId785" Type="http://schemas.openxmlformats.org/officeDocument/2006/relationships/hyperlink" Target="http://questanalytics.com" TargetMode="External"/><Relationship Id="rId300" Type="http://schemas.openxmlformats.org/officeDocument/2006/relationships/hyperlink" Target="http://reltio.com" TargetMode="External"/><Relationship Id="rId542" Type="http://schemas.openxmlformats.org/officeDocument/2006/relationships/hyperlink" Target="http://ushur.com" TargetMode="External"/><Relationship Id="rId784" Type="http://schemas.openxmlformats.org/officeDocument/2006/relationships/hyperlink" Target="http://pinecone.io" TargetMode="External"/><Relationship Id="rId541" Type="http://schemas.openxmlformats.org/officeDocument/2006/relationships/hyperlink" Target="http://hellofyllo.com" TargetMode="External"/><Relationship Id="rId783" Type="http://schemas.openxmlformats.org/officeDocument/2006/relationships/hyperlink" Target="http://tines.com" TargetMode="External"/><Relationship Id="rId540" Type="http://schemas.openxmlformats.org/officeDocument/2006/relationships/hyperlink" Target="http://sketchup.com" TargetMode="External"/><Relationship Id="rId782" Type="http://schemas.openxmlformats.org/officeDocument/2006/relationships/hyperlink" Target="http://snappy.com" TargetMode="External"/><Relationship Id="rId536" Type="http://schemas.openxmlformats.org/officeDocument/2006/relationships/hyperlink" Target="http://quantummetric.com" TargetMode="External"/><Relationship Id="rId778" Type="http://schemas.openxmlformats.org/officeDocument/2006/relationships/hyperlink" Target="http://cesco.com" TargetMode="External"/><Relationship Id="rId535" Type="http://schemas.openxmlformats.org/officeDocument/2006/relationships/hyperlink" Target="http://sourcegraph.com" TargetMode="External"/><Relationship Id="rId777" Type="http://schemas.openxmlformats.org/officeDocument/2006/relationships/hyperlink" Target="http://degreed.com" TargetMode="External"/><Relationship Id="rId534" Type="http://schemas.openxmlformats.org/officeDocument/2006/relationships/hyperlink" Target="http://spendflo.com" TargetMode="External"/><Relationship Id="rId776" Type="http://schemas.openxmlformats.org/officeDocument/2006/relationships/hyperlink" Target="http://gainsight.com" TargetMode="External"/><Relationship Id="rId533" Type="http://schemas.openxmlformats.org/officeDocument/2006/relationships/hyperlink" Target="http://deepwatch.com" TargetMode="External"/><Relationship Id="rId775" Type="http://schemas.openxmlformats.org/officeDocument/2006/relationships/hyperlink" Target="http://maxio.com" TargetMode="External"/><Relationship Id="rId539" Type="http://schemas.openxmlformats.org/officeDocument/2006/relationships/hyperlink" Target="http://imply.io" TargetMode="External"/><Relationship Id="rId538" Type="http://schemas.openxmlformats.org/officeDocument/2006/relationships/hyperlink" Target="http://collectivehealth.com" TargetMode="External"/><Relationship Id="rId537" Type="http://schemas.openxmlformats.org/officeDocument/2006/relationships/hyperlink" Target="http://chargepoint.com" TargetMode="External"/><Relationship Id="rId779" Type="http://schemas.openxmlformats.org/officeDocument/2006/relationships/hyperlink" Target="http://apaleo.com" TargetMode="External"/><Relationship Id="rId770" Type="http://schemas.openxmlformats.org/officeDocument/2006/relationships/hyperlink" Target="http://soliduslabs.com" TargetMode="External"/><Relationship Id="rId532" Type="http://schemas.openxmlformats.org/officeDocument/2006/relationships/hyperlink" Target="http://stem.com" TargetMode="External"/><Relationship Id="rId774" Type="http://schemas.openxmlformats.org/officeDocument/2006/relationships/hyperlink" Target="http://abtasty.com" TargetMode="External"/><Relationship Id="rId531" Type="http://schemas.openxmlformats.org/officeDocument/2006/relationships/hyperlink" Target="http://swiftly.com" TargetMode="External"/><Relationship Id="rId773" Type="http://schemas.openxmlformats.org/officeDocument/2006/relationships/hyperlink" Target="http://thoughtbot.com" TargetMode="External"/><Relationship Id="rId530" Type="http://schemas.openxmlformats.org/officeDocument/2006/relationships/hyperlink" Target="http://webpros.com" TargetMode="External"/><Relationship Id="rId772" Type="http://schemas.openxmlformats.org/officeDocument/2006/relationships/hyperlink" Target="http://dolby.com" TargetMode="External"/><Relationship Id="rId771" Type="http://schemas.openxmlformats.org/officeDocument/2006/relationships/hyperlink" Target="http://checkr.com" TargetMode="External"/><Relationship Id="rId327" Type="http://schemas.openxmlformats.org/officeDocument/2006/relationships/hyperlink" Target="http://deel.com" TargetMode="External"/><Relationship Id="rId569" Type="http://schemas.openxmlformats.org/officeDocument/2006/relationships/hyperlink" Target="http://catonetworks.com" TargetMode="External"/><Relationship Id="rId326" Type="http://schemas.openxmlformats.org/officeDocument/2006/relationships/hyperlink" Target="http://denodo.com" TargetMode="External"/><Relationship Id="rId568" Type="http://schemas.openxmlformats.org/officeDocument/2006/relationships/hyperlink" Target="http://activefence.com" TargetMode="External"/><Relationship Id="rId325" Type="http://schemas.openxmlformats.org/officeDocument/2006/relationships/hyperlink" Target="http://zluri.com" TargetMode="External"/><Relationship Id="rId567" Type="http://schemas.openxmlformats.org/officeDocument/2006/relationships/hyperlink" Target="http://leadiq.com" TargetMode="External"/><Relationship Id="rId324" Type="http://schemas.openxmlformats.org/officeDocument/2006/relationships/hyperlink" Target="http://jellyfish.co" TargetMode="External"/><Relationship Id="rId566" Type="http://schemas.openxmlformats.org/officeDocument/2006/relationships/hyperlink" Target="http://maxio.com" TargetMode="External"/><Relationship Id="rId329" Type="http://schemas.openxmlformats.org/officeDocument/2006/relationships/hyperlink" Target="http://aceve.com" TargetMode="External"/><Relationship Id="rId328" Type="http://schemas.openxmlformats.org/officeDocument/2006/relationships/hyperlink" Target="http://criticalstart.com" TargetMode="External"/><Relationship Id="rId561" Type="http://schemas.openxmlformats.org/officeDocument/2006/relationships/hyperlink" Target="http://exabeam.com" TargetMode="External"/><Relationship Id="rId560" Type="http://schemas.openxmlformats.org/officeDocument/2006/relationships/hyperlink" Target="http://introhive.com" TargetMode="External"/><Relationship Id="rId323" Type="http://schemas.openxmlformats.org/officeDocument/2006/relationships/hyperlink" Target="http://devrev.ai" TargetMode="External"/><Relationship Id="rId565" Type="http://schemas.openxmlformats.org/officeDocument/2006/relationships/hyperlink" Target="http://fieldnation.com" TargetMode="External"/><Relationship Id="rId322" Type="http://schemas.openxmlformats.org/officeDocument/2006/relationships/hyperlink" Target="http://replicant.com" TargetMode="External"/><Relationship Id="rId564" Type="http://schemas.openxmlformats.org/officeDocument/2006/relationships/hyperlink" Target="http://teradata.com" TargetMode="External"/><Relationship Id="rId321" Type="http://schemas.openxmlformats.org/officeDocument/2006/relationships/hyperlink" Target="http://convozen.ai" TargetMode="External"/><Relationship Id="rId563" Type="http://schemas.openxmlformats.org/officeDocument/2006/relationships/hyperlink" Target="http://getzipline.com" TargetMode="External"/><Relationship Id="rId320" Type="http://schemas.openxmlformats.org/officeDocument/2006/relationships/hyperlink" Target="http://boltzmann.co" TargetMode="External"/><Relationship Id="rId562" Type="http://schemas.openxmlformats.org/officeDocument/2006/relationships/hyperlink" Target="http://hibob.com" TargetMode="External"/><Relationship Id="rId316" Type="http://schemas.openxmlformats.org/officeDocument/2006/relationships/hyperlink" Target="http://benifex.com" TargetMode="External"/><Relationship Id="rId558" Type="http://schemas.openxmlformats.org/officeDocument/2006/relationships/hyperlink" Target="http://pingcap.com" TargetMode="External"/><Relationship Id="rId315" Type="http://schemas.openxmlformats.org/officeDocument/2006/relationships/hyperlink" Target="http://vantagecircle.com" TargetMode="External"/><Relationship Id="rId557" Type="http://schemas.openxmlformats.org/officeDocument/2006/relationships/hyperlink" Target="http://bigid.com" TargetMode="External"/><Relationship Id="rId799" Type="http://schemas.openxmlformats.org/officeDocument/2006/relationships/hyperlink" Target="http://shypple.com" TargetMode="External"/><Relationship Id="rId314" Type="http://schemas.openxmlformats.org/officeDocument/2006/relationships/hyperlink" Target="http://compliancequest.com" TargetMode="External"/><Relationship Id="rId556" Type="http://schemas.openxmlformats.org/officeDocument/2006/relationships/hyperlink" Target="http://lyrahealth.com" TargetMode="External"/><Relationship Id="rId798" Type="http://schemas.openxmlformats.org/officeDocument/2006/relationships/hyperlink" Target="http://facilio.com" TargetMode="External"/><Relationship Id="rId313" Type="http://schemas.openxmlformats.org/officeDocument/2006/relationships/hyperlink" Target="http://aptus.ai" TargetMode="External"/><Relationship Id="rId555" Type="http://schemas.openxmlformats.org/officeDocument/2006/relationships/hyperlink" Target="http://browserstack.com" TargetMode="External"/><Relationship Id="rId797" Type="http://schemas.openxmlformats.org/officeDocument/2006/relationships/hyperlink" Target="http://bayzat.com" TargetMode="External"/><Relationship Id="rId319" Type="http://schemas.openxmlformats.org/officeDocument/2006/relationships/hyperlink" Target="http://ceipal.com" TargetMode="External"/><Relationship Id="rId318" Type="http://schemas.openxmlformats.org/officeDocument/2006/relationships/hyperlink" Target="http://recastsoftware.com" TargetMode="External"/><Relationship Id="rId317" Type="http://schemas.openxmlformats.org/officeDocument/2006/relationships/hyperlink" Target="http://axiomllc.com" TargetMode="External"/><Relationship Id="rId559" Type="http://schemas.openxmlformats.org/officeDocument/2006/relationships/hyperlink" Target="http://sitedocs.com" TargetMode="External"/><Relationship Id="rId550" Type="http://schemas.openxmlformats.org/officeDocument/2006/relationships/hyperlink" Target="http://leapwork.com" TargetMode="External"/><Relationship Id="rId792" Type="http://schemas.openxmlformats.org/officeDocument/2006/relationships/hyperlink" Target="http://veriff.com" TargetMode="External"/><Relationship Id="rId791" Type="http://schemas.openxmlformats.org/officeDocument/2006/relationships/hyperlink" Target="http://gympass.com" TargetMode="External"/><Relationship Id="rId790" Type="http://schemas.openxmlformats.org/officeDocument/2006/relationships/hyperlink" Target="http://impact.com" TargetMode="External"/><Relationship Id="rId312" Type="http://schemas.openxmlformats.org/officeDocument/2006/relationships/hyperlink" Target="http://aptus.ai" TargetMode="External"/><Relationship Id="rId554" Type="http://schemas.openxmlformats.org/officeDocument/2006/relationships/hyperlink" Target="http://sarasanalytics.com" TargetMode="External"/><Relationship Id="rId796" Type="http://schemas.openxmlformats.org/officeDocument/2006/relationships/hyperlink" Target="http://getzlinq.com" TargetMode="External"/><Relationship Id="rId311" Type="http://schemas.openxmlformats.org/officeDocument/2006/relationships/hyperlink" Target="http://nurseregistry.com" TargetMode="External"/><Relationship Id="rId553" Type="http://schemas.openxmlformats.org/officeDocument/2006/relationships/hyperlink" Target="http://aerospike.com" TargetMode="External"/><Relationship Id="rId795" Type="http://schemas.openxmlformats.org/officeDocument/2006/relationships/hyperlink" Target="http://ellucian.com" TargetMode="External"/><Relationship Id="rId310" Type="http://schemas.openxmlformats.org/officeDocument/2006/relationships/hyperlink" Target="http://riskonnect.com" TargetMode="External"/><Relationship Id="rId552" Type="http://schemas.openxmlformats.org/officeDocument/2006/relationships/hyperlink" Target="http://embrace.io" TargetMode="External"/><Relationship Id="rId794" Type="http://schemas.openxmlformats.org/officeDocument/2006/relationships/hyperlink" Target="http://peoplestrong.com" TargetMode="External"/><Relationship Id="rId551" Type="http://schemas.openxmlformats.org/officeDocument/2006/relationships/hyperlink" Target="http://visier.com" TargetMode="External"/><Relationship Id="rId793" Type="http://schemas.openxmlformats.org/officeDocument/2006/relationships/hyperlink" Target="http://hasura.io" TargetMode="External"/><Relationship Id="rId297" Type="http://schemas.openxmlformats.org/officeDocument/2006/relationships/hyperlink" Target="http://scrive.com" TargetMode="External"/><Relationship Id="rId296" Type="http://schemas.openxmlformats.org/officeDocument/2006/relationships/hyperlink" Target="http://finbox.in" TargetMode="External"/><Relationship Id="rId295" Type="http://schemas.openxmlformats.org/officeDocument/2006/relationships/hyperlink" Target="http://sprinklr.com" TargetMode="External"/><Relationship Id="rId294" Type="http://schemas.openxmlformats.org/officeDocument/2006/relationships/hyperlink" Target="http://flashpoint.io" TargetMode="External"/><Relationship Id="rId299" Type="http://schemas.openxmlformats.org/officeDocument/2006/relationships/hyperlink" Target="http://healthmonitor.com" TargetMode="External"/><Relationship Id="rId298" Type="http://schemas.openxmlformats.org/officeDocument/2006/relationships/hyperlink" Target="http://guesty.com" TargetMode="External"/><Relationship Id="rId271" Type="http://schemas.openxmlformats.org/officeDocument/2006/relationships/hyperlink" Target="http://sprypt.com" TargetMode="External"/><Relationship Id="rId270" Type="http://schemas.openxmlformats.org/officeDocument/2006/relationships/hyperlink" Target="http://originbenefits.com" TargetMode="External"/><Relationship Id="rId269" Type="http://schemas.openxmlformats.org/officeDocument/2006/relationships/hyperlink" Target="http://wnstn.ai" TargetMode="External"/><Relationship Id="rId264" Type="http://schemas.openxmlformats.org/officeDocument/2006/relationships/hyperlink" Target="http://clear.in" TargetMode="External"/><Relationship Id="rId263" Type="http://schemas.openxmlformats.org/officeDocument/2006/relationships/hyperlink" Target="http://moveconcierge.com" TargetMode="External"/><Relationship Id="rId262" Type="http://schemas.openxmlformats.org/officeDocument/2006/relationships/hyperlink" Target="http://baroz.co.il" TargetMode="External"/><Relationship Id="rId261" Type="http://schemas.openxmlformats.org/officeDocument/2006/relationships/hyperlink" Target="http://telenity.com" TargetMode="External"/><Relationship Id="rId268" Type="http://schemas.openxmlformats.org/officeDocument/2006/relationships/hyperlink" Target="http://hcah.in" TargetMode="External"/><Relationship Id="rId267" Type="http://schemas.openxmlformats.org/officeDocument/2006/relationships/hyperlink" Target="http://bonterratech.com" TargetMode="External"/><Relationship Id="rId266" Type="http://schemas.openxmlformats.org/officeDocument/2006/relationships/hyperlink" Target="http://blueconic.com" TargetMode="External"/><Relationship Id="rId265" Type="http://schemas.openxmlformats.org/officeDocument/2006/relationships/hyperlink" Target="http://ashbyhq.com" TargetMode="External"/><Relationship Id="rId260" Type="http://schemas.openxmlformats.org/officeDocument/2006/relationships/hyperlink" Target="http://1beat.com" TargetMode="External"/><Relationship Id="rId259" Type="http://schemas.openxmlformats.org/officeDocument/2006/relationships/hyperlink" Target="http://keelvar.com" TargetMode="External"/><Relationship Id="rId258" Type="http://schemas.openxmlformats.org/officeDocument/2006/relationships/hyperlink" Target="http://embracecloud.nl" TargetMode="External"/><Relationship Id="rId253" Type="http://schemas.openxmlformats.org/officeDocument/2006/relationships/hyperlink" Target="http://rednucleus.com" TargetMode="External"/><Relationship Id="rId495" Type="http://schemas.openxmlformats.org/officeDocument/2006/relationships/hyperlink" Target="http://scrut.io" TargetMode="External"/><Relationship Id="rId252" Type="http://schemas.openxmlformats.org/officeDocument/2006/relationships/hyperlink" Target="http://vendoroo.ai" TargetMode="External"/><Relationship Id="rId494" Type="http://schemas.openxmlformats.org/officeDocument/2006/relationships/hyperlink" Target="http://ideaforgetech.com" TargetMode="External"/><Relationship Id="rId251" Type="http://schemas.openxmlformats.org/officeDocument/2006/relationships/hyperlink" Target="http://grab.com" TargetMode="External"/><Relationship Id="rId493" Type="http://schemas.openxmlformats.org/officeDocument/2006/relationships/hyperlink" Target="http://contentstack.com" TargetMode="External"/><Relationship Id="rId250" Type="http://schemas.openxmlformats.org/officeDocument/2006/relationships/hyperlink" Target="http://uniqode.com" TargetMode="External"/><Relationship Id="rId492" Type="http://schemas.openxmlformats.org/officeDocument/2006/relationships/hyperlink" Target="http://sitecore.com" TargetMode="External"/><Relationship Id="rId257" Type="http://schemas.openxmlformats.org/officeDocument/2006/relationships/hyperlink" Target="http://perfios.com" TargetMode="External"/><Relationship Id="rId499" Type="http://schemas.openxmlformats.org/officeDocument/2006/relationships/hyperlink" Target="http://envestnet.com" TargetMode="External"/><Relationship Id="rId256" Type="http://schemas.openxmlformats.org/officeDocument/2006/relationships/hyperlink" Target="http://jasper.ai" TargetMode="External"/><Relationship Id="rId498" Type="http://schemas.openxmlformats.org/officeDocument/2006/relationships/hyperlink" Target="http://ofx.com" TargetMode="External"/><Relationship Id="rId255" Type="http://schemas.openxmlformats.org/officeDocument/2006/relationships/hyperlink" Target="http://greythr.com" TargetMode="External"/><Relationship Id="rId497" Type="http://schemas.openxmlformats.org/officeDocument/2006/relationships/hyperlink" Target="http://owndata.com" TargetMode="External"/><Relationship Id="rId254" Type="http://schemas.openxmlformats.org/officeDocument/2006/relationships/hyperlink" Target="http://qbiq.ai" TargetMode="External"/><Relationship Id="rId496" Type="http://schemas.openxmlformats.org/officeDocument/2006/relationships/hyperlink" Target="http://celoxis.com" TargetMode="External"/><Relationship Id="rId293" Type="http://schemas.openxmlformats.org/officeDocument/2006/relationships/hyperlink" Target="http://crossbeam.com" TargetMode="External"/><Relationship Id="rId292" Type="http://schemas.openxmlformats.org/officeDocument/2006/relationships/hyperlink" Target="http://teamfront.com" TargetMode="External"/><Relationship Id="rId291" Type="http://schemas.openxmlformats.org/officeDocument/2006/relationships/hyperlink" Target="http://rategain.com" TargetMode="External"/><Relationship Id="rId290" Type="http://schemas.openxmlformats.org/officeDocument/2006/relationships/hyperlink" Target="http://avconcepts.com" TargetMode="External"/><Relationship Id="rId286" Type="http://schemas.openxmlformats.org/officeDocument/2006/relationships/hyperlink" Target="http://demandscience.com" TargetMode="External"/><Relationship Id="rId285" Type="http://schemas.openxmlformats.org/officeDocument/2006/relationships/hyperlink" Target="http://solink.com" TargetMode="External"/><Relationship Id="rId284" Type="http://schemas.openxmlformats.org/officeDocument/2006/relationships/hyperlink" Target="http://engine.com" TargetMode="External"/><Relationship Id="rId283" Type="http://schemas.openxmlformats.org/officeDocument/2006/relationships/hyperlink" Target="http://remote.com" TargetMode="External"/><Relationship Id="rId289" Type="http://schemas.openxmlformats.org/officeDocument/2006/relationships/hyperlink" Target="http://zenskar.com" TargetMode="External"/><Relationship Id="rId288" Type="http://schemas.openxmlformats.org/officeDocument/2006/relationships/hyperlink" Target="http://auditboard.com" TargetMode="External"/><Relationship Id="rId287" Type="http://schemas.openxmlformats.org/officeDocument/2006/relationships/hyperlink" Target="http://aledade.com" TargetMode="External"/><Relationship Id="rId282" Type="http://schemas.openxmlformats.org/officeDocument/2006/relationships/hyperlink" Target="http://propertyangel.in" TargetMode="External"/><Relationship Id="rId281" Type="http://schemas.openxmlformats.org/officeDocument/2006/relationships/hyperlink" Target="http://sonarsource.com" TargetMode="External"/><Relationship Id="rId280" Type="http://schemas.openxmlformats.org/officeDocument/2006/relationships/hyperlink" Target="http://leandata.com" TargetMode="External"/><Relationship Id="rId275" Type="http://schemas.openxmlformats.org/officeDocument/2006/relationships/hyperlink" Target="http://greythr.com" TargetMode="External"/><Relationship Id="rId274" Type="http://schemas.openxmlformats.org/officeDocument/2006/relationships/hyperlink" Target="http://ventureep.co" TargetMode="External"/><Relationship Id="rId273" Type="http://schemas.openxmlformats.org/officeDocument/2006/relationships/hyperlink" Target="http://cyberhaven.com" TargetMode="External"/><Relationship Id="rId272" Type="http://schemas.openxmlformats.org/officeDocument/2006/relationships/hyperlink" Target="http://grocliq.com" TargetMode="External"/><Relationship Id="rId279" Type="http://schemas.openxmlformats.org/officeDocument/2006/relationships/hyperlink" Target="http://k1x.io" TargetMode="External"/><Relationship Id="rId278" Type="http://schemas.openxmlformats.org/officeDocument/2006/relationships/hyperlink" Target="http://linkedin.com" TargetMode="External"/><Relationship Id="rId277" Type="http://schemas.openxmlformats.org/officeDocument/2006/relationships/hyperlink" Target="http://konekto.io" TargetMode="External"/><Relationship Id="rId276" Type="http://schemas.openxmlformats.org/officeDocument/2006/relationships/hyperlink" Target="http://konekto.io" TargetMode="External"/><Relationship Id="rId907" Type="http://schemas.openxmlformats.org/officeDocument/2006/relationships/hyperlink" Target="http://lokalise.com" TargetMode="External"/><Relationship Id="rId906" Type="http://schemas.openxmlformats.org/officeDocument/2006/relationships/hyperlink" Target="http://haptik.ai" TargetMode="External"/><Relationship Id="rId905" Type="http://schemas.openxmlformats.org/officeDocument/2006/relationships/hyperlink" Target="http://mitratech.com" TargetMode="External"/><Relationship Id="rId904" Type="http://schemas.openxmlformats.org/officeDocument/2006/relationships/hyperlink" Target="http://moengage.com" TargetMode="External"/><Relationship Id="rId909" Type="http://schemas.openxmlformats.org/officeDocument/2006/relationships/hyperlink" Target="http://shipperhq.com" TargetMode="External"/><Relationship Id="rId908" Type="http://schemas.openxmlformats.org/officeDocument/2006/relationships/hyperlink" Target="http://gupshup.io" TargetMode="External"/><Relationship Id="rId903" Type="http://schemas.openxmlformats.org/officeDocument/2006/relationships/hyperlink" Target="http://kennected.io" TargetMode="External"/><Relationship Id="rId902" Type="http://schemas.openxmlformats.org/officeDocument/2006/relationships/hyperlink" Target="http://coralogix.com" TargetMode="External"/><Relationship Id="rId901" Type="http://schemas.openxmlformats.org/officeDocument/2006/relationships/hyperlink" Target="http://rocketium.com" TargetMode="External"/><Relationship Id="rId900" Type="http://schemas.openxmlformats.org/officeDocument/2006/relationships/hyperlink" Target="http://signzy.com" TargetMode="External"/><Relationship Id="rId929" Type="http://schemas.openxmlformats.org/officeDocument/2006/relationships/hyperlink" Target="http://montecarlodata.com" TargetMode="External"/><Relationship Id="rId928" Type="http://schemas.openxmlformats.org/officeDocument/2006/relationships/hyperlink" Target="http://vidyard.com" TargetMode="External"/><Relationship Id="rId927" Type="http://schemas.openxmlformats.org/officeDocument/2006/relationships/hyperlink" Target="http://moderncampus.com" TargetMode="External"/><Relationship Id="rId926" Type="http://schemas.openxmlformats.org/officeDocument/2006/relationships/hyperlink" Target="http://gravitee.io" TargetMode="External"/><Relationship Id="rId921" Type="http://schemas.openxmlformats.org/officeDocument/2006/relationships/hyperlink" Target="http://apriori.com" TargetMode="External"/><Relationship Id="rId920" Type="http://schemas.openxmlformats.org/officeDocument/2006/relationships/hyperlink" Target="http://securiti.ai" TargetMode="External"/><Relationship Id="rId925" Type="http://schemas.openxmlformats.org/officeDocument/2006/relationships/hyperlink" Target="http://gravitee.io" TargetMode="External"/><Relationship Id="rId924" Type="http://schemas.openxmlformats.org/officeDocument/2006/relationships/hyperlink" Target="http://saasoptics.com" TargetMode="External"/><Relationship Id="rId923" Type="http://schemas.openxmlformats.org/officeDocument/2006/relationships/hyperlink" Target="http://getspectrum.io" TargetMode="External"/><Relationship Id="rId922" Type="http://schemas.openxmlformats.org/officeDocument/2006/relationships/hyperlink" Target="http://higherlogic.com" TargetMode="External"/><Relationship Id="rId918" Type="http://schemas.openxmlformats.org/officeDocument/2006/relationships/hyperlink" Target="http://clickup.com" TargetMode="External"/><Relationship Id="rId917" Type="http://schemas.openxmlformats.org/officeDocument/2006/relationships/hyperlink" Target="http://krisp.ai" TargetMode="External"/><Relationship Id="rId916" Type="http://schemas.openxmlformats.org/officeDocument/2006/relationships/hyperlink" Target="http://crossbeam.com" TargetMode="External"/><Relationship Id="rId915" Type="http://schemas.openxmlformats.org/officeDocument/2006/relationships/hyperlink" Target="http://logrocket.com" TargetMode="External"/><Relationship Id="rId919" Type="http://schemas.openxmlformats.org/officeDocument/2006/relationships/hyperlink" Target="http://linksquares.com" TargetMode="External"/><Relationship Id="rId910" Type="http://schemas.openxmlformats.org/officeDocument/2006/relationships/hyperlink" Target="http://wunderkind.co" TargetMode="External"/><Relationship Id="rId914" Type="http://schemas.openxmlformats.org/officeDocument/2006/relationships/hyperlink" Target="http://agiloft.com" TargetMode="External"/><Relationship Id="rId913" Type="http://schemas.openxmlformats.org/officeDocument/2006/relationships/hyperlink" Target="http://dbtlabs.com" TargetMode="External"/><Relationship Id="rId912" Type="http://schemas.openxmlformats.org/officeDocument/2006/relationships/hyperlink" Target="http://captivateiq.com" TargetMode="External"/><Relationship Id="rId911" Type="http://schemas.openxmlformats.org/officeDocument/2006/relationships/hyperlink" Target="http://useinsider.com" TargetMode="External"/><Relationship Id="rId629" Type="http://schemas.openxmlformats.org/officeDocument/2006/relationships/hyperlink" Target="http://f5.com" TargetMode="External"/><Relationship Id="rId624" Type="http://schemas.openxmlformats.org/officeDocument/2006/relationships/hyperlink" Target="http://justworks.com" TargetMode="External"/><Relationship Id="rId866" Type="http://schemas.openxmlformats.org/officeDocument/2006/relationships/hyperlink" Target="http://vfirst.com" TargetMode="External"/><Relationship Id="rId623" Type="http://schemas.openxmlformats.org/officeDocument/2006/relationships/hyperlink" Target="http://mixpanel.com" TargetMode="External"/><Relationship Id="rId865" Type="http://schemas.openxmlformats.org/officeDocument/2006/relationships/hyperlink" Target="http://acuvate.com" TargetMode="External"/><Relationship Id="rId622" Type="http://schemas.openxmlformats.org/officeDocument/2006/relationships/hyperlink" Target="http://fountain.com" TargetMode="External"/><Relationship Id="rId864" Type="http://schemas.openxmlformats.org/officeDocument/2006/relationships/hyperlink" Target="http://zycus.com" TargetMode="External"/><Relationship Id="rId621" Type="http://schemas.openxmlformats.org/officeDocument/2006/relationships/hyperlink" Target="http://watershed.com" TargetMode="External"/><Relationship Id="rId863" Type="http://schemas.openxmlformats.org/officeDocument/2006/relationships/hyperlink" Target="http://tookitaki.com" TargetMode="External"/><Relationship Id="rId628" Type="http://schemas.openxmlformats.org/officeDocument/2006/relationships/hyperlink" Target="http://teramind.co" TargetMode="External"/><Relationship Id="rId627" Type="http://schemas.openxmlformats.org/officeDocument/2006/relationships/hyperlink" Target="http://yipitdata.com" TargetMode="External"/><Relationship Id="rId869" Type="http://schemas.openxmlformats.org/officeDocument/2006/relationships/hyperlink" Target="http://alayacare.com" TargetMode="External"/><Relationship Id="rId626" Type="http://schemas.openxmlformats.org/officeDocument/2006/relationships/hyperlink" Target="http://scale.com" TargetMode="External"/><Relationship Id="rId868" Type="http://schemas.openxmlformats.org/officeDocument/2006/relationships/hyperlink" Target="http://harness.io" TargetMode="External"/><Relationship Id="rId625" Type="http://schemas.openxmlformats.org/officeDocument/2006/relationships/hyperlink" Target="http://idealsvdr.com" TargetMode="External"/><Relationship Id="rId867" Type="http://schemas.openxmlformats.org/officeDocument/2006/relationships/hyperlink" Target="http://birdeye.com" TargetMode="External"/><Relationship Id="rId620" Type="http://schemas.openxmlformats.org/officeDocument/2006/relationships/hyperlink" Target="http://levelaccess.com" TargetMode="External"/><Relationship Id="rId862" Type="http://schemas.openxmlformats.org/officeDocument/2006/relationships/hyperlink" Target="http://hippovideo.io" TargetMode="External"/><Relationship Id="rId861" Type="http://schemas.openxmlformats.org/officeDocument/2006/relationships/hyperlink" Target="http://exotel.com" TargetMode="External"/><Relationship Id="rId860" Type="http://schemas.openxmlformats.org/officeDocument/2006/relationships/hyperlink" Target="http://scaleupsaas.org" TargetMode="External"/><Relationship Id="rId619" Type="http://schemas.openxmlformats.org/officeDocument/2006/relationships/hyperlink" Target="http://quadient.com" TargetMode="External"/><Relationship Id="rId618" Type="http://schemas.openxmlformats.org/officeDocument/2006/relationships/hyperlink" Target="http://truecaller.com" TargetMode="External"/><Relationship Id="rId613" Type="http://schemas.openxmlformats.org/officeDocument/2006/relationships/hyperlink" Target="http://usekojo.com" TargetMode="External"/><Relationship Id="rId855" Type="http://schemas.openxmlformats.org/officeDocument/2006/relationships/hyperlink" Target="http://couchbase.com" TargetMode="External"/><Relationship Id="rId612" Type="http://schemas.openxmlformats.org/officeDocument/2006/relationships/hyperlink" Target="http://juspay.in" TargetMode="External"/><Relationship Id="rId854" Type="http://schemas.openxmlformats.org/officeDocument/2006/relationships/hyperlink" Target="http://netcorecloud.com" TargetMode="External"/><Relationship Id="rId611" Type="http://schemas.openxmlformats.org/officeDocument/2006/relationships/hyperlink" Target="http://netcall.com" TargetMode="External"/><Relationship Id="rId853" Type="http://schemas.openxmlformats.org/officeDocument/2006/relationships/hyperlink" Target="http://pave.com" TargetMode="External"/><Relationship Id="rId610" Type="http://schemas.openxmlformats.org/officeDocument/2006/relationships/hyperlink" Target="http://ignitionapp.com" TargetMode="External"/><Relationship Id="rId852" Type="http://schemas.openxmlformats.org/officeDocument/2006/relationships/hyperlink" Target="http://billdr.co" TargetMode="External"/><Relationship Id="rId617" Type="http://schemas.openxmlformats.org/officeDocument/2006/relationships/hyperlink" Target="http://operto.com" TargetMode="External"/><Relationship Id="rId859" Type="http://schemas.openxmlformats.org/officeDocument/2006/relationships/hyperlink" Target="http://atlashxm.com" TargetMode="External"/><Relationship Id="rId616" Type="http://schemas.openxmlformats.org/officeDocument/2006/relationships/hyperlink" Target="http://nexhealth.com" TargetMode="External"/><Relationship Id="rId858" Type="http://schemas.openxmlformats.org/officeDocument/2006/relationships/hyperlink" Target="http://eso.com" TargetMode="External"/><Relationship Id="rId615" Type="http://schemas.openxmlformats.org/officeDocument/2006/relationships/hyperlink" Target="http://pecan.ai" TargetMode="External"/><Relationship Id="rId857" Type="http://schemas.openxmlformats.org/officeDocument/2006/relationships/hyperlink" Target="http://rollworks.com" TargetMode="External"/><Relationship Id="rId614" Type="http://schemas.openxmlformats.org/officeDocument/2006/relationships/hyperlink" Target="http://brandwatch.com" TargetMode="External"/><Relationship Id="rId856" Type="http://schemas.openxmlformats.org/officeDocument/2006/relationships/hyperlink" Target="http://eccouncil.org" TargetMode="External"/><Relationship Id="rId851" Type="http://schemas.openxmlformats.org/officeDocument/2006/relationships/hyperlink" Target="http://teamsnap.com" TargetMode="External"/><Relationship Id="rId850" Type="http://schemas.openxmlformats.org/officeDocument/2006/relationships/hyperlink" Target="http://skedulo.com" TargetMode="External"/><Relationship Id="rId409" Type="http://schemas.openxmlformats.org/officeDocument/2006/relationships/hyperlink" Target="http://optimove.com" TargetMode="External"/><Relationship Id="rId404" Type="http://schemas.openxmlformats.org/officeDocument/2006/relationships/hyperlink" Target="http://gupshup.io" TargetMode="External"/><Relationship Id="rId646" Type="http://schemas.openxmlformats.org/officeDocument/2006/relationships/hyperlink" Target="http://nintex.com" TargetMode="External"/><Relationship Id="rId888" Type="http://schemas.openxmlformats.org/officeDocument/2006/relationships/hyperlink" Target="http://amagi.com" TargetMode="External"/><Relationship Id="rId403" Type="http://schemas.openxmlformats.org/officeDocument/2006/relationships/hyperlink" Target="http://questanalytics.com" TargetMode="External"/><Relationship Id="rId645" Type="http://schemas.openxmlformats.org/officeDocument/2006/relationships/hyperlink" Target="http://calendly.com" TargetMode="External"/><Relationship Id="rId887" Type="http://schemas.openxmlformats.org/officeDocument/2006/relationships/hyperlink" Target="http://cropin.com" TargetMode="External"/><Relationship Id="rId402" Type="http://schemas.openxmlformats.org/officeDocument/2006/relationships/hyperlink" Target="http://filevine.com" TargetMode="External"/><Relationship Id="rId644" Type="http://schemas.openxmlformats.org/officeDocument/2006/relationships/hyperlink" Target="http://tpisoftware.com" TargetMode="External"/><Relationship Id="rId886" Type="http://schemas.openxmlformats.org/officeDocument/2006/relationships/hyperlink" Target="http://kissflow.com" TargetMode="External"/><Relationship Id="rId401" Type="http://schemas.openxmlformats.org/officeDocument/2006/relationships/hyperlink" Target="http://webengage.com" TargetMode="External"/><Relationship Id="rId643" Type="http://schemas.openxmlformats.org/officeDocument/2006/relationships/hyperlink" Target="http://gorgias.com" TargetMode="External"/><Relationship Id="rId885" Type="http://schemas.openxmlformats.org/officeDocument/2006/relationships/hyperlink" Target="http://blueocean.ai" TargetMode="External"/><Relationship Id="rId408" Type="http://schemas.openxmlformats.org/officeDocument/2006/relationships/hyperlink" Target="http://ushur.com" TargetMode="External"/><Relationship Id="rId407" Type="http://schemas.openxmlformats.org/officeDocument/2006/relationships/hyperlink" Target="http://simpplr.com" TargetMode="External"/><Relationship Id="rId649" Type="http://schemas.openxmlformats.org/officeDocument/2006/relationships/hyperlink" Target="http://ziphq.com" TargetMode="External"/><Relationship Id="rId406" Type="http://schemas.openxmlformats.org/officeDocument/2006/relationships/hyperlink" Target="http://salesloft.com" TargetMode="External"/><Relationship Id="rId648" Type="http://schemas.openxmlformats.org/officeDocument/2006/relationships/hyperlink" Target="http://intentsify.io" TargetMode="External"/><Relationship Id="rId405" Type="http://schemas.openxmlformats.org/officeDocument/2006/relationships/hyperlink" Target="http://goconsensus.com" TargetMode="External"/><Relationship Id="rId647" Type="http://schemas.openxmlformats.org/officeDocument/2006/relationships/hyperlink" Target="http://seekout.com" TargetMode="External"/><Relationship Id="rId889" Type="http://schemas.openxmlformats.org/officeDocument/2006/relationships/hyperlink" Target="http://disprz.com" TargetMode="External"/><Relationship Id="rId880" Type="http://schemas.openxmlformats.org/officeDocument/2006/relationships/hyperlink" Target="http://verbit.ai" TargetMode="External"/><Relationship Id="rId400" Type="http://schemas.openxmlformats.org/officeDocument/2006/relationships/hyperlink" Target="http://appsflyer.com" TargetMode="External"/><Relationship Id="rId642" Type="http://schemas.openxmlformats.org/officeDocument/2006/relationships/hyperlink" Target="http://chargebee.com" TargetMode="External"/><Relationship Id="rId884" Type="http://schemas.openxmlformats.org/officeDocument/2006/relationships/hyperlink" Target="http://mural.co" TargetMode="External"/><Relationship Id="rId641" Type="http://schemas.openxmlformats.org/officeDocument/2006/relationships/hyperlink" Target="http://nayax.com" TargetMode="External"/><Relationship Id="rId883" Type="http://schemas.openxmlformats.org/officeDocument/2006/relationships/hyperlink" Target="http://nova-benefits.com" TargetMode="External"/><Relationship Id="rId640" Type="http://schemas.openxmlformats.org/officeDocument/2006/relationships/hyperlink" Target="http://gigaspaces.com" TargetMode="External"/><Relationship Id="rId882" Type="http://schemas.openxmlformats.org/officeDocument/2006/relationships/hyperlink" Target="http://credavenue.com" TargetMode="External"/><Relationship Id="rId881" Type="http://schemas.openxmlformats.org/officeDocument/2006/relationships/hyperlink" Target="http://ceipal.com" TargetMode="External"/><Relationship Id="rId635" Type="http://schemas.openxmlformats.org/officeDocument/2006/relationships/hyperlink" Target="http://telnyx.com" TargetMode="External"/><Relationship Id="rId877" Type="http://schemas.openxmlformats.org/officeDocument/2006/relationships/hyperlink" Target="http://ironcladapp.com" TargetMode="External"/><Relationship Id="rId634" Type="http://schemas.openxmlformats.org/officeDocument/2006/relationships/hyperlink" Target="http://upside.com" TargetMode="External"/><Relationship Id="rId876" Type="http://schemas.openxmlformats.org/officeDocument/2006/relationships/hyperlink" Target="http://apty.io" TargetMode="External"/><Relationship Id="rId633" Type="http://schemas.openxmlformats.org/officeDocument/2006/relationships/hyperlink" Target="http://zuora.com" TargetMode="External"/><Relationship Id="rId875" Type="http://schemas.openxmlformats.org/officeDocument/2006/relationships/hyperlink" Target="http://planful.com" TargetMode="External"/><Relationship Id="rId632" Type="http://schemas.openxmlformats.org/officeDocument/2006/relationships/hyperlink" Target="http://leadershipconnect.io" TargetMode="External"/><Relationship Id="rId874" Type="http://schemas.openxmlformats.org/officeDocument/2006/relationships/hyperlink" Target="http://imocha.io" TargetMode="External"/><Relationship Id="rId639" Type="http://schemas.openxmlformats.org/officeDocument/2006/relationships/hyperlink" Target="http://merative.com" TargetMode="External"/><Relationship Id="rId638" Type="http://schemas.openxmlformats.org/officeDocument/2006/relationships/hyperlink" Target="http://dronedeploy.com" TargetMode="External"/><Relationship Id="rId637" Type="http://schemas.openxmlformats.org/officeDocument/2006/relationships/hyperlink" Target="http://coherehealth.com" TargetMode="External"/><Relationship Id="rId879" Type="http://schemas.openxmlformats.org/officeDocument/2006/relationships/hyperlink" Target="http://verbit.ai" TargetMode="External"/><Relationship Id="rId636" Type="http://schemas.openxmlformats.org/officeDocument/2006/relationships/hyperlink" Target="http://billingplatform.com" TargetMode="External"/><Relationship Id="rId878" Type="http://schemas.openxmlformats.org/officeDocument/2006/relationships/hyperlink" Target="http://clarifai.com" TargetMode="External"/><Relationship Id="rId631" Type="http://schemas.openxmlformats.org/officeDocument/2006/relationships/hyperlink" Target="http://integranxt.com" TargetMode="External"/><Relationship Id="rId873" Type="http://schemas.openxmlformats.org/officeDocument/2006/relationships/hyperlink" Target="http://striim.com" TargetMode="External"/><Relationship Id="rId630" Type="http://schemas.openxmlformats.org/officeDocument/2006/relationships/hyperlink" Target="http://sensehq.com" TargetMode="External"/><Relationship Id="rId872" Type="http://schemas.openxmlformats.org/officeDocument/2006/relationships/hyperlink" Target="http://itilite.com" TargetMode="External"/><Relationship Id="rId871" Type="http://schemas.openxmlformats.org/officeDocument/2006/relationships/hyperlink" Target="http://innovaccer.com" TargetMode="External"/><Relationship Id="rId870" Type="http://schemas.openxmlformats.org/officeDocument/2006/relationships/hyperlink" Target="http://15five.com" TargetMode="External"/><Relationship Id="rId829" Type="http://schemas.openxmlformats.org/officeDocument/2006/relationships/hyperlink" Target="http://circleci.com" TargetMode="External"/><Relationship Id="rId828" Type="http://schemas.openxmlformats.org/officeDocument/2006/relationships/hyperlink" Target="http://xoriant.com" TargetMode="External"/><Relationship Id="rId827" Type="http://schemas.openxmlformats.org/officeDocument/2006/relationships/hyperlink" Target="http://enfuce.com" TargetMode="External"/><Relationship Id="rId822" Type="http://schemas.openxmlformats.org/officeDocument/2006/relationships/hyperlink" Target="http://quantum.com" TargetMode="External"/><Relationship Id="rId821" Type="http://schemas.openxmlformats.org/officeDocument/2006/relationships/hyperlink" Target="http://onespan.com" TargetMode="External"/><Relationship Id="rId820" Type="http://schemas.openxmlformats.org/officeDocument/2006/relationships/hyperlink" Target="http://sourcewhale.com" TargetMode="External"/><Relationship Id="rId826" Type="http://schemas.openxmlformats.org/officeDocument/2006/relationships/hyperlink" Target="http://browserstack.com" TargetMode="External"/><Relationship Id="rId825" Type="http://schemas.openxmlformats.org/officeDocument/2006/relationships/hyperlink" Target="http://inboxinsight.com" TargetMode="External"/><Relationship Id="rId824" Type="http://schemas.openxmlformats.org/officeDocument/2006/relationships/hyperlink" Target="http://sayari.com" TargetMode="External"/><Relationship Id="rId823" Type="http://schemas.openxmlformats.org/officeDocument/2006/relationships/hyperlink" Target="http://wandb.ai" TargetMode="External"/><Relationship Id="rId819" Type="http://schemas.openxmlformats.org/officeDocument/2006/relationships/hyperlink" Target="http://infoblox.com" TargetMode="External"/><Relationship Id="rId818" Type="http://schemas.openxmlformats.org/officeDocument/2006/relationships/hyperlink" Target="http://coro.net" TargetMode="External"/><Relationship Id="rId817" Type="http://schemas.openxmlformats.org/officeDocument/2006/relationships/hyperlink" Target="http://g2.com" TargetMode="External"/><Relationship Id="rId816" Type="http://schemas.openxmlformats.org/officeDocument/2006/relationships/hyperlink" Target="http://tanium.com" TargetMode="External"/><Relationship Id="rId811" Type="http://schemas.openxmlformats.org/officeDocument/2006/relationships/hyperlink" Target="http://scrive.com" TargetMode="External"/><Relationship Id="rId810" Type="http://schemas.openxmlformats.org/officeDocument/2006/relationships/hyperlink" Target="http://brightedge.com" TargetMode="External"/><Relationship Id="rId815" Type="http://schemas.openxmlformats.org/officeDocument/2006/relationships/hyperlink" Target="http://teledyneflir.com" TargetMode="External"/><Relationship Id="rId814" Type="http://schemas.openxmlformats.org/officeDocument/2006/relationships/hyperlink" Target="http://teledyneflir.com" TargetMode="External"/><Relationship Id="rId813" Type="http://schemas.openxmlformats.org/officeDocument/2006/relationships/hyperlink" Target="http://webengage.com" TargetMode="External"/><Relationship Id="rId812" Type="http://schemas.openxmlformats.org/officeDocument/2006/relationships/hyperlink" Target="http://dotmatics.com" TargetMode="External"/><Relationship Id="rId609" Type="http://schemas.openxmlformats.org/officeDocument/2006/relationships/hyperlink" Target="http://spendesk.com" TargetMode="External"/><Relationship Id="rId608" Type="http://schemas.openxmlformats.org/officeDocument/2006/relationships/hyperlink" Target="http://flashpoint.io" TargetMode="External"/><Relationship Id="rId607" Type="http://schemas.openxmlformats.org/officeDocument/2006/relationships/hyperlink" Target="http://medallia.com" TargetMode="External"/><Relationship Id="rId849" Type="http://schemas.openxmlformats.org/officeDocument/2006/relationships/hyperlink" Target="http://quickbase.com" TargetMode="External"/><Relationship Id="rId602" Type="http://schemas.openxmlformats.org/officeDocument/2006/relationships/hyperlink" Target="http://centralreach.com" TargetMode="External"/><Relationship Id="rId844" Type="http://schemas.openxmlformats.org/officeDocument/2006/relationships/hyperlink" Target="http://usemultiplier.com" TargetMode="External"/><Relationship Id="rId601" Type="http://schemas.openxmlformats.org/officeDocument/2006/relationships/hyperlink" Target="http://aytm.com" TargetMode="External"/><Relationship Id="rId843" Type="http://schemas.openxmlformats.org/officeDocument/2006/relationships/hyperlink" Target="http://pantheon.io" TargetMode="External"/><Relationship Id="rId600" Type="http://schemas.openxmlformats.org/officeDocument/2006/relationships/hyperlink" Target="http://druva.com" TargetMode="External"/><Relationship Id="rId842" Type="http://schemas.openxmlformats.org/officeDocument/2006/relationships/hyperlink" Target="http://clozd.com" TargetMode="External"/><Relationship Id="rId841" Type="http://schemas.openxmlformats.org/officeDocument/2006/relationships/hyperlink" Target="http://lob.com" TargetMode="External"/><Relationship Id="rId606" Type="http://schemas.openxmlformats.org/officeDocument/2006/relationships/hyperlink" Target="http://headspin.io" TargetMode="External"/><Relationship Id="rId848" Type="http://schemas.openxmlformats.org/officeDocument/2006/relationships/hyperlink" Target="http://amplitude.com" TargetMode="External"/><Relationship Id="rId605" Type="http://schemas.openxmlformats.org/officeDocument/2006/relationships/hyperlink" Target="http://infeedo.ai" TargetMode="External"/><Relationship Id="rId847" Type="http://schemas.openxmlformats.org/officeDocument/2006/relationships/hyperlink" Target="http://vanta.com" TargetMode="External"/><Relationship Id="rId604" Type="http://schemas.openxmlformats.org/officeDocument/2006/relationships/hyperlink" Target="http://finbox.in" TargetMode="External"/><Relationship Id="rId846" Type="http://schemas.openxmlformats.org/officeDocument/2006/relationships/hyperlink" Target="http://bullhorn.com" TargetMode="External"/><Relationship Id="rId603" Type="http://schemas.openxmlformats.org/officeDocument/2006/relationships/hyperlink" Target="http://agilitypr.com" TargetMode="External"/><Relationship Id="rId845" Type="http://schemas.openxmlformats.org/officeDocument/2006/relationships/hyperlink" Target="http://vantagecircle.com" TargetMode="External"/><Relationship Id="rId840" Type="http://schemas.openxmlformats.org/officeDocument/2006/relationships/hyperlink" Target="http://entrust.com" TargetMode="External"/><Relationship Id="rId839" Type="http://schemas.openxmlformats.org/officeDocument/2006/relationships/hyperlink" Target="http://greenhouse.io" TargetMode="External"/><Relationship Id="rId838" Type="http://schemas.openxmlformats.org/officeDocument/2006/relationships/hyperlink" Target="http://split.io" TargetMode="External"/><Relationship Id="rId833" Type="http://schemas.openxmlformats.org/officeDocument/2006/relationships/hyperlink" Target="http://increff.com" TargetMode="External"/><Relationship Id="rId832" Type="http://schemas.openxmlformats.org/officeDocument/2006/relationships/hyperlink" Target="http://filevine.com" TargetMode="External"/><Relationship Id="rId831" Type="http://schemas.openxmlformats.org/officeDocument/2006/relationships/hyperlink" Target="http://absorblms.com" TargetMode="External"/><Relationship Id="rId830" Type="http://schemas.openxmlformats.org/officeDocument/2006/relationships/hyperlink" Target="http://processfusion.com" TargetMode="External"/><Relationship Id="rId837" Type="http://schemas.openxmlformats.org/officeDocument/2006/relationships/hyperlink" Target="http://kubermatic.com" TargetMode="External"/><Relationship Id="rId836" Type="http://schemas.openxmlformats.org/officeDocument/2006/relationships/hyperlink" Target="http://appcast.io" TargetMode="External"/><Relationship Id="rId835" Type="http://schemas.openxmlformats.org/officeDocument/2006/relationships/hyperlink" Target="http://qualitykiosk.com" TargetMode="External"/><Relationship Id="rId834" Type="http://schemas.openxmlformats.org/officeDocument/2006/relationships/hyperlink" Target="http://highradius.com" TargetMode="External"/><Relationship Id="rId228" Type="http://schemas.openxmlformats.org/officeDocument/2006/relationships/hyperlink" Target="http://threatconnect.com" TargetMode="External"/><Relationship Id="rId227" Type="http://schemas.openxmlformats.org/officeDocument/2006/relationships/hyperlink" Target="http://yotpo.com" TargetMode="External"/><Relationship Id="rId469" Type="http://schemas.openxmlformats.org/officeDocument/2006/relationships/hyperlink" Target="http://people.ai" TargetMode="External"/><Relationship Id="rId226" Type="http://schemas.openxmlformats.org/officeDocument/2006/relationships/hyperlink" Target="http://comviva.com" TargetMode="External"/><Relationship Id="rId468" Type="http://schemas.openxmlformats.org/officeDocument/2006/relationships/hyperlink" Target="http://people.ai" TargetMode="External"/><Relationship Id="rId225" Type="http://schemas.openxmlformats.org/officeDocument/2006/relationships/hyperlink" Target="http://amarok.com" TargetMode="External"/><Relationship Id="rId467" Type="http://schemas.openxmlformats.org/officeDocument/2006/relationships/hyperlink" Target="http://accolade.com" TargetMode="External"/><Relationship Id="rId229" Type="http://schemas.openxmlformats.org/officeDocument/2006/relationships/hyperlink" Target="http://iheartmedia.com" TargetMode="External"/><Relationship Id="rId220" Type="http://schemas.openxmlformats.org/officeDocument/2006/relationships/hyperlink" Target="http://blumira.com" TargetMode="External"/><Relationship Id="rId462" Type="http://schemas.openxmlformats.org/officeDocument/2006/relationships/hyperlink" Target="http://qt.io" TargetMode="External"/><Relationship Id="rId461" Type="http://schemas.openxmlformats.org/officeDocument/2006/relationships/hyperlink" Target="http://chatmeter.com" TargetMode="External"/><Relationship Id="rId460" Type="http://schemas.openxmlformats.org/officeDocument/2006/relationships/hyperlink" Target="http://apptio.com" TargetMode="External"/><Relationship Id="rId224" Type="http://schemas.openxmlformats.org/officeDocument/2006/relationships/hyperlink" Target="http://jamloop.com" TargetMode="External"/><Relationship Id="rId466" Type="http://schemas.openxmlformats.org/officeDocument/2006/relationships/hyperlink" Target="http://walkme.com" TargetMode="External"/><Relationship Id="rId223" Type="http://schemas.openxmlformats.org/officeDocument/2006/relationships/hyperlink" Target="http://invitationhomes.com" TargetMode="External"/><Relationship Id="rId465" Type="http://schemas.openxmlformats.org/officeDocument/2006/relationships/hyperlink" Target="http://stampli.com" TargetMode="External"/><Relationship Id="rId222" Type="http://schemas.openxmlformats.org/officeDocument/2006/relationships/hyperlink" Target="http://gtmrevenue.com" TargetMode="External"/><Relationship Id="rId464" Type="http://schemas.openxmlformats.org/officeDocument/2006/relationships/hyperlink" Target="http://alation.com" TargetMode="External"/><Relationship Id="rId221" Type="http://schemas.openxmlformats.org/officeDocument/2006/relationships/hyperlink" Target="http://3ds.com" TargetMode="External"/><Relationship Id="rId463" Type="http://schemas.openxmlformats.org/officeDocument/2006/relationships/hyperlink" Target="http://explorance.com" TargetMode="External"/><Relationship Id="rId217" Type="http://schemas.openxmlformats.org/officeDocument/2006/relationships/hyperlink" Target="http://taec.com.mx" TargetMode="External"/><Relationship Id="rId459" Type="http://schemas.openxmlformats.org/officeDocument/2006/relationships/hyperlink" Target="http://cision.com" TargetMode="External"/><Relationship Id="rId216" Type="http://schemas.openxmlformats.org/officeDocument/2006/relationships/hyperlink" Target="http://aurigo.com" TargetMode="External"/><Relationship Id="rId458" Type="http://schemas.openxmlformats.org/officeDocument/2006/relationships/hyperlink" Target="http://simpplr.com" TargetMode="External"/><Relationship Id="rId215" Type="http://schemas.openxmlformats.org/officeDocument/2006/relationships/hyperlink" Target="http://leegality.com" TargetMode="External"/><Relationship Id="rId457" Type="http://schemas.openxmlformats.org/officeDocument/2006/relationships/hyperlink" Target="http://repairdesk.co" TargetMode="External"/><Relationship Id="rId699" Type="http://schemas.openxmlformats.org/officeDocument/2006/relationships/hyperlink" Target="http://monday.com" TargetMode="External"/><Relationship Id="rId214" Type="http://schemas.openxmlformats.org/officeDocument/2006/relationships/hyperlink" Target="http://ravennahq.com" TargetMode="External"/><Relationship Id="rId456" Type="http://schemas.openxmlformats.org/officeDocument/2006/relationships/hyperlink" Target="http://himaxwell.com" TargetMode="External"/><Relationship Id="rId698" Type="http://schemas.openxmlformats.org/officeDocument/2006/relationships/hyperlink" Target="http://missioncloud.com" TargetMode="External"/><Relationship Id="rId219" Type="http://schemas.openxmlformats.org/officeDocument/2006/relationships/hyperlink" Target="http://hackthebox.com" TargetMode="External"/><Relationship Id="rId218" Type="http://schemas.openxmlformats.org/officeDocument/2006/relationships/hyperlink" Target="http://vectra.ai" TargetMode="External"/><Relationship Id="rId451" Type="http://schemas.openxmlformats.org/officeDocument/2006/relationships/hyperlink" Target="http://outsystems.com" TargetMode="External"/><Relationship Id="rId693" Type="http://schemas.openxmlformats.org/officeDocument/2006/relationships/hyperlink" Target="http://netbasequid.com" TargetMode="External"/><Relationship Id="rId450" Type="http://schemas.openxmlformats.org/officeDocument/2006/relationships/hyperlink" Target="http://workiva.com" TargetMode="External"/><Relationship Id="rId692" Type="http://schemas.openxmlformats.org/officeDocument/2006/relationships/hyperlink" Target="http://snapraise.com" TargetMode="External"/><Relationship Id="rId691" Type="http://schemas.openxmlformats.org/officeDocument/2006/relationships/hyperlink" Target="http://tapclicks.com" TargetMode="External"/><Relationship Id="rId690" Type="http://schemas.openxmlformats.org/officeDocument/2006/relationships/hyperlink" Target="http://veritone.com" TargetMode="External"/><Relationship Id="rId213" Type="http://schemas.openxmlformats.org/officeDocument/2006/relationships/hyperlink" Target="http://gupshup.io" TargetMode="External"/><Relationship Id="rId455" Type="http://schemas.openxmlformats.org/officeDocument/2006/relationships/hyperlink" Target="http://cradlepoint.com" TargetMode="External"/><Relationship Id="rId697" Type="http://schemas.openxmlformats.org/officeDocument/2006/relationships/hyperlink" Target="http://actioniq.com" TargetMode="External"/><Relationship Id="rId212" Type="http://schemas.openxmlformats.org/officeDocument/2006/relationships/hyperlink" Target="http://elementalrevenue.com" TargetMode="External"/><Relationship Id="rId454" Type="http://schemas.openxmlformats.org/officeDocument/2006/relationships/hyperlink" Target="http://csdisco.com" TargetMode="External"/><Relationship Id="rId696" Type="http://schemas.openxmlformats.org/officeDocument/2006/relationships/hyperlink" Target="http://adverity.com" TargetMode="External"/><Relationship Id="rId211" Type="http://schemas.openxmlformats.org/officeDocument/2006/relationships/hyperlink" Target="http://curriculumassociates.com" TargetMode="External"/><Relationship Id="rId453" Type="http://schemas.openxmlformats.org/officeDocument/2006/relationships/hyperlink" Target="http://automox.com" TargetMode="External"/><Relationship Id="rId695" Type="http://schemas.openxmlformats.org/officeDocument/2006/relationships/hyperlink" Target="http://rategain.com" TargetMode="External"/><Relationship Id="rId210" Type="http://schemas.openxmlformats.org/officeDocument/2006/relationships/hyperlink" Target="http://credo.ai" TargetMode="External"/><Relationship Id="rId452" Type="http://schemas.openxmlformats.org/officeDocument/2006/relationships/hyperlink" Target="http://trolley.com" TargetMode="External"/><Relationship Id="rId694" Type="http://schemas.openxmlformats.org/officeDocument/2006/relationships/hyperlink" Target="http://cloudkitchens.com" TargetMode="External"/><Relationship Id="rId491" Type="http://schemas.openxmlformats.org/officeDocument/2006/relationships/hyperlink" Target="http://persuit.com" TargetMode="External"/><Relationship Id="rId490" Type="http://schemas.openxmlformats.org/officeDocument/2006/relationships/hyperlink" Target="http://paperlessparts.com" TargetMode="External"/><Relationship Id="rId249" Type="http://schemas.openxmlformats.org/officeDocument/2006/relationships/hyperlink" Target="http://exotel.com" TargetMode="External"/><Relationship Id="rId248" Type="http://schemas.openxmlformats.org/officeDocument/2006/relationships/hyperlink" Target="http://venasolutions.com" TargetMode="External"/><Relationship Id="rId247" Type="http://schemas.openxmlformats.org/officeDocument/2006/relationships/hyperlink" Target="http://celigo.com" TargetMode="External"/><Relationship Id="rId489" Type="http://schemas.openxmlformats.org/officeDocument/2006/relationships/hyperlink" Target="http://abnormal.ai" TargetMode="External"/><Relationship Id="rId242" Type="http://schemas.openxmlformats.org/officeDocument/2006/relationships/hyperlink" Target="http://appsflyer.com" TargetMode="External"/><Relationship Id="rId484" Type="http://schemas.openxmlformats.org/officeDocument/2006/relationships/hyperlink" Target="http://teamwork.com" TargetMode="External"/><Relationship Id="rId241" Type="http://schemas.openxmlformats.org/officeDocument/2006/relationships/hyperlink" Target="http://sprinklr.com" TargetMode="External"/><Relationship Id="rId483" Type="http://schemas.openxmlformats.org/officeDocument/2006/relationships/hyperlink" Target="http://homebot.ai" TargetMode="External"/><Relationship Id="rId240" Type="http://schemas.openxmlformats.org/officeDocument/2006/relationships/hyperlink" Target="http://hyro.ai" TargetMode="External"/><Relationship Id="rId482" Type="http://schemas.openxmlformats.org/officeDocument/2006/relationships/hyperlink" Target="http://petpooja.com" TargetMode="External"/><Relationship Id="rId481" Type="http://schemas.openxmlformats.org/officeDocument/2006/relationships/hyperlink" Target="http://subsplash.com" TargetMode="External"/><Relationship Id="rId246" Type="http://schemas.openxmlformats.org/officeDocument/2006/relationships/hyperlink" Target="http://nurix.ai" TargetMode="External"/><Relationship Id="rId488" Type="http://schemas.openxmlformats.org/officeDocument/2006/relationships/hyperlink" Target="http://vc3.com" TargetMode="External"/><Relationship Id="rId245" Type="http://schemas.openxmlformats.org/officeDocument/2006/relationships/hyperlink" Target="http://darwinbox.com" TargetMode="External"/><Relationship Id="rId487" Type="http://schemas.openxmlformats.org/officeDocument/2006/relationships/hyperlink" Target="http://builder.ai" TargetMode="External"/><Relationship Id="rId244" Type="http://schemas.openxmlformats.org/officeDocument/2006/relationships/hyperlink" Target="http://agorareal.com" TargetMode="External"/><Relationship Id="rId486" Type="http://schemas.openxmlformats.org/officeDocument/2006/relationships/hyperlink" Target="http://builder.ai" TargetMode="External"/><Relationship Id="rId243" Type="http://schemas.openxmlformats.org/officeDocument/2006/relationships/hyperlink" Target="http://zencentiv.com" TargetMode="External"/><Relationship Id="rId485" Type="http://schemas.openxmlformats.org/officeDocument/2006/relationships/hyperlink" Target="http://teamwork.com" TargetMode="External"/><Relationship Id="rId480" Type="http://schemas.openxmlformats.org/officeDocument/2006/relationships/hyperlink" Target="http://mountain.com" TargetMode="External"/><Relationship Id="rId239" Type="http://schemas.openxmlformats.org/officeDocument/2006/relationships/hyperlink" Target="http://alida.com" TargetMode="External"/><Relationship Id="rId238" Type="http://schemas.openxmlformats.org/officeDocument/2006/relationships/hyperlink" Target="http://anuntatech.com" TargetMode="External"/><Relationship Id="rId237" Type="http://schemas.openxmlformats.org/officeDocument/2006/relationships/hyperlink" Target="http://covasant.com" TargetMode="External"/><Relationship Id="rId479" Type="http://schemas.openxmlformats.org/officeDocument/2006/relationships/hyperlink" Target="http://teletracnavman.com" TargetMode="External"/><Relationship Id="rId236" Type="http://schemas.openxmlformats.org/officeDocument/2006/relationships/hyperlink" Target="http://aloware.com" TargetMode="External"/><Relationship Id="rId478" Type="http://schemas.openxmlformats.org/officeDocument/2006/relationships/hyperlink" Target="http://synack.com" TargetMode="External"/><Relationship Id="rId231" Type="http://schemas.openxmlformats.org/officeDocument/2006/relationships/hyperlink" Target="http://thoughtspot.com" TargetMode="External"/><Relationship Id="rId473" Type="http://schemas.openxmlformats.org/officeDocument/2006/relationships/hyperlink" Target="http://hackthebox.com" TargetMode="External"/><Relationship Id="rId230" Type="http://schemas.openxmlformats.org/officeDocument/2006/relationships/hyperlink" Target="http://arine.io" TargetMode="External"/><Relationship Id="rId472" Type="http://schemas.openxmlformats.org/officeDocument/2006/relationships/hyperlink" Target="http://cleo.com" TargetMode="External"/><Relationship Id="rId471" Type="http://schemas.openxmlformats.org/officeDocument/2006/relationships/hyperlink" Target="http://clumio.com" TargetMode="External"/><Relationship Id="rId470" Type="http://schemas.openxmlformats.org/officeDocument/2006/relationships/hyperlink" Target="http://oxblue.com" TargetMode="External"/><Relationship Id="rId235" Type="http://schemas.openxmlformats.org/officeDocument/2006/relationships/hyperlink" Target="http://scalinguprevenues.com" TargetMode="External"/><Relationship Id="rId477" Type="http://schemas.openxmlformats.org/officeDocument/2006/relationships/hyperlink" Target="http://guild.com" TargetMode="External"/><Relationship Id="rId234" Type="http://schemas.openxmlformats.org/officeDocument/2006/relationships/hyperlink" Target="http://forsysinc.com" TargetMode="External"/><Relationship Id="rId476" Type="http://schemas.openxmlformats.org/officeDocument/2006/relationships/hyperlink" Target="http://blazeo.com" TargetMode="External"/><Relationship Id="rId233" Type="http://schemas.openxmlformats.org/officeDocument/2006/relationships/hyperlink" Target="http://simple2insure.net" TargetMode="External"/><Relationship Id="rId475" Type="http://schemas.openxmlformats.org/officeDocument/2006/relationships/hyperlink" Target="http://avetta.com" TargetMode="External"/><Relationship Id="rId232" Type="http://schemas.openxmlformats.org/officeDocument/2006/relationships/hyperlink" Target="http://simple2insure.net" TargetMode="External"/><Relationship Id="rId474" Type="http://schemas.openxmlformats.org/officeDocument/2006/relationships/hyperlink" Target="http://daxko.com" TargetMode="External"/><Relationship Id="rId426" Type="http://schemas.openxmlformats.org/officeDocument/2006/relationships/hyperlink" Target="http://spotdraft.com" TargetMode="External"/><Relationship Id="rId668" Type="http://schemas.openxmlformats.org/officeDocument/2006/relationships/hyperlink" Target="http://intuit.com" TargetMode="External"/><Relationship Id="rId425" Type="http://schemas.openxmlformats.org/officeDocument/2006/relationships/hyperlink" Target="http://canva.com" TargetMode="External"/><Relationship Id="rId667" Type="http://schemas.openxmlformats.org/officeDocument/2006/relationships/hyperlink" Target="http://greyorange.com" TargetMode="External"/><Relationship Id="rId424" Type="http://schemas.openxmlformats.org/officeDocument/2006/relationships/hyperlink" Target="http://wiz.io" TargetMode="External"/><Relationship Id="rId666" Type="http://schemas.openxmlformats.org/officeDocument/2006/relationships/hyperlink" Target="http://rezdy.com" TargetMode="External"/><Relationship Id="rId423" Type="http://schemas.openxmlformats.org/officeDocument/2006/relationships/hyperlink" Target="http://csgi.com" TargetMode="External"/><Relationship Id="rId665" Type="http://schemas.openxmlformats.org/officeDocument/2006/relationships/hyperlink" Target="http://catonetworks.com" TargetMode="External"/><Relationship Id="rId429" Type="http://schemas.openxmlformats.org/officeDocument/2006/relationships/hyperlink" Target="http://foursquare.com" TargetMode="External"/><Relationship Id="rId428" Type="http://schemas.openxmlformats.org/officeDocument/2006/relationships/hyperlink" Target="http://cybcube.com" TargetMode="External"/><Relationship Id="rId427" Type="http://schemas.openxmlformats.org/officeDocument/2006/relationships/hyperlink" Target="http://captivateiq.com" TargetMode="External"/><Relationship Id="rId669" Type="http://schemas.openxmlformats.org/officeDocument/2006/relationships/hyperlink" Target="http://obsidiansecurity.com" TargetMode="External"/><Relationship Id="rId660" Type="http://schemas.openxmlformats.org/officeDocument/2006/relationships/hyperlink" Target="http://realpage.com" TargetMode="External"/><Relationship Id="rId422" Type="http://schemas.openxmlformats.org/officeDocument/2006/relationships/hyperlink" Target="http://specterops.io" TargetMode="External"/><Relationship Id="rId664" Type="http://schemas.openxmlformats.org/officeDocument/2006/relationships/hyperlink" Target="http://glassbox.com" TargetMode="External"/><Relationship Id="rId421" Type="http://schemas.openxmlformats.org/officeDocument/2006/relationships/hyperlink" Target="http://upside.com" TargetMode="External"/><Relationship Id="rId663" Type="http://schemas.openxmlformats.org/officeDocument/2006/relationships/hyperlink" Target="http://squadstack.com" TargetMode="External"/><Relationship Id="rId420" Type="http://schemas.openxmlformats.org/officeDocument/2006/relationships/hyperlink" Target="http://semrush.com" TargetMode="External"/><Relationship Id="rId662" Type="http://schemas.openxmlformats.org/officeDocument/2006/relationships/hyperlink" Target="http://sayari.com" TargetMode="External"/><Relationship Id="rId661" Type="http://schemas.openxmlformats.org/officeDocument/2006/relationships/hyperlink" Target="http://addepar.com" TargetMode="External"/><Relationship Id="rId1004" Type="http://schemas.openxmlformats.org/officeDocument/2006/relationships/vmlDrawing" Target="../drawings/vmlDrawing1.vml"/><Relationship Id="rId415" Type="http://schemas.openxmlformats.org/officeDocument/2006/relationships/hyperlink" Target="http://ohmd.com" TargetMode="External"/><Relationship Id="rId657" Type="http://schemas.openxmlformats.org/officeDocument/2006/relationships/hyperlink" Target="http://aisera.com" TargetMode="External"/><Relationship Id="rId899" Type="http://schemas.openxmlformats.org/officeDocument/2006/relationships/hyperlink" Target="http://alyce.com" TargetMode="External"/><Relationship Id="rId414" Type="http://schemas.openxmlformats.org/officeDocument/2006/relationships/hyperlink" Target="http://hginsights.com" TargetMode="External"/><Relationship Id="rId656" Type="http://schemas.openxmlformats.org/officeDocument/2006/relationships/hyperlink" Target="http://stackoverflow.com" TargetMode="External"/><Relationship Id="rId898" Type="http://schemas.openxmlformats.org/officeDocument/2006/relationships/hyperlink" Target="http://facilio.com" TargetMode="External"/><Relationship Id="rId413" Type="http://schemas.openxmlformats.org/officeDocument/2006/relationships/hyperlink" Target="http://klarity.ai" TargetMode="External"/><Relationship Id="rId655" Type="http://schemas.openxmlformats.org/officeDocument/2006/relationships/hyperlink" Target="http://hach.com" TargetMode="External"/><Relationship Id="rId897" Type="http://schemas.openxmlformats.org/officeDocument/2006/relationships/hyperlink" Target="http://hubilo.com" TargetMode="External"/><Relationship Id="rId412" Type="http://schemas.openxmlformats.org/officeDocument/2006/relationships/hyperlink" Target="http://obsidiansecurity.com" TargetMode="External"/><Relationship Id="rId654" Type="http://schemas.openxmlformats.org/officeDocument/2006/relationships/hyperlink" Target="http://ecomexpress.in" TargetMode="External"/><Relationship Id="rId896" Type="http://schemas.openxmlformats.org/officeDocument/2006/relationships/hyperlink" Target="http://resolver.com" TargetMode="External"/><Relationship Id="rId419" Type="http://schemas.openxmlformats.org/officeDocument/2006/relationships/hyperlink" Target="http://claroty.com" TargetMode="External"/><Relationship Id="rId418" Type="http://schemas.openxmlformats.org/officeDocument/2006/relationships/hyperlink" Target="http://checkout.com" TargetMode="External"/><Relationship Id="rId417" Type="http://schemas.openxmlformats.org/officeDocument/2006/relationships/hyperlink" Target="http://checkout.com" TargetMode="External"/><Relationship Id="rId659" Type="http://schemas.openxmlformats.org/officeDocument/2006/relationships/hyperlink" Target="http://ipipeline.com" TargetMode="External"/><Relationship Id="rId416" Type="http://schemas.openxmlformats.org/officeDocument/2006/relationships/hyperlink" Target="http://covergenius.com" TargetMode="External"/><Relationship Id="rId658" Type="http://schemas.openxmlformats.org/officeDocument/2006/relationships/hyperlink" Target="http://labster.com" TargetMode="External"/><Relationship Id="rId891" Type="http://schemas.openxmlformats.org/officeDocument/2006/relationships/hyperlink" Target="http://compport.com" TargetMode="External"/><Relationship Id="rId890" Type="http://schemas.openxmlformats.org/officeDocument/2006/relationships/hyperlink" Target="http://entropik.io" TargetMode="External"/><Relationship Id="rId411" Type="http://schemas.openxmlformats.org/officeDocument/2006/relationships/hyperlink" Target="http://interplaylearning.com" TargetMode="External"/><Relationship Id="rId653" Type="http://schemas.openxmlformats.org/officeDocument/2006/relationships/hyperlink" Target="http://callhippo.com" TargetMode="External"/><Relationship Id="rId895" Type="http://schemas.openxmlformats.org/officeDocument/2006/relationships/hyperlink" Target="http://pendo.io" TargetMode="External"/><Relationship Id="rId1000" Type="http://schemas.openxmlformats.org/officeDocument/2006/relationships/hyperlink" Target="http://yellow.ai" TargetMode="External"/><Relationship Id="rId410" Type="http://schemas.openxmlformats.org/officeDocument/2006/relationships/hyperlink" Target="http://icis.com" TargetMode="External"/><Relationship Id="rId652" Type="http://schemas.openxmlformats.org/officeDocument/2006/relationships/hyperlink" Target="http://zycus.com" TargetMode="External"/><Relationship Id="rId894" Type="http://schemas.openxmlformats.org/officeDocument/2006/relationships/hyperlink" Target="http://pendo.io" TargetMode="External"/><Relationship Id="rId1001" Type="http://schemas.openxmlformats.org/officeDocument/2006/relationships/hyperlink" Target="http://yellow.ai" TargetMode="External"/><Relationship Id="rId651" Type="http://schemas.openxmlformats.org/officeDocument/2006/relationships/hyperlink" Target="http://getaccept.com" TargetMode="External"/><Relationship Id="rId893" Type="http://schemas.openxmlformats.org/officeDocument/2006/relationships/hyperlink" Target="http://algolia.com" TargetMode="External"/><Relationship Id="rId1002" Type="http://schemas.openxmlformats.org/officeDocument/2006/relationships/hyperlink" Target="http://whatfix.com" TargetMode="External"/><Relationship Id="rId650" Type="http://schemas.openxmlformats.org/officeDocument/2006/relationships/hyperlink" Target="http://trulioo.com" TargetMode="External"/><Relationship Id="rId892" Type="http://schemas.openxmlformats.org/officeDocument/2006/relationships/hyperlink" Target="http://cybcube.com" TargetMode="External"/><Relationship Id="rId1003" Type="http://schemas.openxmlformats.org/officeDocument/2006/relationships/drawing" Target="../drawings/drawing2.xml"/><Relationship Id="rId206" Type="http://schemas.openxmlformats.org/officeDocument/2006/relationships/hyperlink" Target="http://microserve.ca" TargetMode="External"/><Relationship Id="rId448" Type="http://schemas.openxmlformats.org/officeDocument/2006/relationships/hyperlink" Target="http://crownpeak.com" TargetMode="External"/><Relationship Id="rId205" Type="http://schemas.openxmlformats.org/officeDocument/2006/relationships/hyperlink" Target="http://sigmacomputing.com" TargetMode="External"/><Relationship Id="rId447" Type="http://schemas.openxmlformats.org/officeDocument/2006/relationships/hyperlink" Target="http://buildots.com" TargetMode="External"/><Relationship Id="rId689" Type="http://schemas.openxmlformats.org/officeDocument/2006/relationships/hyperlink" Target="http://leandata.com" TargetMode="External"/><Relationship Id="rId204" Type="http://schemas.openxmlformats.org/officeDocument/2006/relationships/hyperlink" Target="http://bidease.com" TargetMode="External"/><Relationship Id="rId446" Type="http://schemas.openxmlformats.org/officeDocument/2006/relationships/hyperlink" Target="http://airslate.com" TargetMode="External"/><Relationship Id="rId688" Type="http://schemas.openxmlformats.org/officeDocument/2006/relationships/hyperlink" Target="http://cvent.com" TargetMode="External"/><Relationship Id="rId203" Type="http://schemas.openxmlformats.org/officeDocument/2006/relationships/hyperlink" Target="http://zenskar.com" TargetMode="External"/><Relationship Id="rId445" Type="http://schemas.openxmlformats.org/officeDocument/2006/relationships/hyperlink" Target="http://genasys.com" TargetMode="External"/><Relationship Id="rId687" Type="http://schemas.openxmlformats.org/officeDocument/2006/relationships/hyperlink" Target="http://leapsome.com" TargetMode="External"/><Relationship Id="rId209" Type="http://schemas.openxmlformats.org/officeDocument/2006/relationships/hyperlink" Target="http://kandji.io" TargetMode="External"/><Relationship Id="rId208" Type="http://schemas.openxmlformats.org/officeDocument/2006/relationships/hyperlink" Target="http://cashfree.com" TargetMode="External"/><Relationship Id="rId207" Type="http://schemas.openxmlformats.org/officeDocument/2006/relationships/hyperlink" Target="http://freyrsolutions.com" TargetMode="External"/><Relationship Id="rId449" Type="http://schemas.openxmlformats.org/officeDocument/2006/relationships/hyperlink" Target="http://tehtris.com" TargetMode="External"/><Relationship Id="rId440" Type="http://schemas.openxmlformats.org/officeDocument/2006/relationships/hyperlink" Target="http://ceros.com" TargetMode="External"/><Relationship Id="rId682" Type="http://schemas.openxmlformats.org/officeDocument/2006/relationships/hyperlink" Target="http://medisafe.com" TargetMode="External"/><Relationship Id="rId681" Type="http://schemas.openxmlformats.org/officeDocument/2006/relationships/hyperlink" Target="http://loopio.com" TargetMode="External"/><Relationship Id="rId680" Type="http://schemas.openxmlformats.org/officeDocument/2006/relationships/hyperlink" Target="http://doubleverify.com" TargetMode="External"/><Relationship Id="rId202" Type="http://schemas.openxmlformats.org/officeDocument/2006/relationships/hyperlink" Target="http://objective.com" TargetMode="External"/><Relationship Id="rId444" Type="http://schemas.openxmlformats.org/officeDocument/2006/relationships/hyperlink" Target="http://appfolio.com" TargetMode="External"/><Relationship Id="rId686" Type="http://schemas.openxmlformats.org/officeDocument/2006/relationships/hyperlink" Target="http://uniphore.com" TargetMode="External"/><Relationship Id="rId201" Type="http://schemas.openxmlformats.org/officeDocument/2006/relationships/hyperlink" Target="http://tascoutsourcing.com" TargetMode="External"/><Relationship Id="rId443" Type="http://schemas.openxmlformats.org/officeDocument/2006/relationships/hyperlink" Target="http://joveo.com" TargetMode="External"/><Relationship Id="rId685" Type="http://schemas.openxmlformats.org/officeDocument/2006/relationships/hyperlink" Target="http://xoxoday.com" TargetMode="External"/><Relationship Id="rId200" Type="http://schemas.openxmlformats.org/officeDocument/2006/relationships/hyperlink" Target="http://betaeducation.org" TargetMode="External"/><Relationship Id="rId442" Type="http://schemas.openxmlformats.org/officeDocument/2006/relationships/hyperlink" Target="http://velocityglobal.com" TargetMode="External"/><Relationship Id="rId684" Type="http://schemas.openxmlformats.org/officeDocument/2006/relationships/hyperlink" Target="http://lusha.com" TargetMode="External"/><Relationship Id="rId441" Type="http://schemas.openxmlformats.org/officeDocument/2006/relationships/hyperlink" Target="http://pubmatic.com" TargetMode="External"/><Relationship Id="rId683" Type="http://schemas.openxmlformats.org/officeDocument/2006/relationships/hyperlink" Target="http://algosec.com" TargetMode="External"/><Relationship Id="rId437" Type="http://schemas.openxmlformats.org/officeDocument/2006/relationships/hyperlink" Target="http://payjunction.com" TargetMode="External"/><Relationship Id="rId679" Type="http://schemas.openxmlformats.org/officeDocument/2006/relationships/hyperlink" Target="http://redoxengine.com" TargetMode="External"/><Relationship Id="rId436" Type="http://schemas.openxmlformats.org/officeDocument/2006/relationships/hyperlink" Target="http://lvt.com" TargetMode="External"/><Relationship Id="rId678" Type="http://schemas.openxmlformats.org/officeDocument/2006/relationships/hyperlink" Target="http://plex.com" TargetMode="External"/><Relationship Id="rId435" Type="http://schemas.openxmlformats.org/officeDocument/2006/relationships/hyperlink" Target="http://emlid.com" TargetMode="External"/><Relationship Id="rId677" Type="http://schemas.openxmlformats.org/officeDocument/2006/relationships/hyperlink" Target="http://newrelic.com" TargetMode="External"/><Relationship Id="rId434" Type="http://schemas.openxmlformats.org/officeDocument/2006/relationships/hyperlink" Target="http://meetmarigold.com" TargetMode="External"/><Relationship Id="rId676" Type="http://schemas.openxmlformats.org/officeDocument/2006/relationships/hyperlink" Target="http://optimizely.com" TargetMode="External"/><Relationship Id="rId439" Type="http://schemas.openxmlformats.org/officeDocument/2006/relationships/hyperlink" Target="http://domo.com" TargetMode="External"/><Relationship Id="rId438" Type="http://schemas.openxmlformats.org/officeDocument/2006/relationships/hyperlink" Target="http://klue.com" TargetMode="External"/><Relationship Id="rId671" Type="http://schemas.openxmlformats.org/officeDocument/2006/relationships/hyperlink" Target="http://intelepeer.com" TargetMode="External"/><Relationship Id="rId670" Type="http://schemas.openxmlformats.org/officeDocument/2006/relationships/hyperlink" Target="http://vergesense.com" TargetMode="External"/><Relationship Id="rId433" Type="http://schemas.openxmlformats.org/officeDocument/2006/relationships/hyperlink" Target="http://apspayroll.com" TargetMode="External"/><Relationship Id="rId675" Type="http://schemas.openxmlformats.org/officeDocument/2006/relationships/hyperlink" Target="http://softheon.com" TargetMode="External"/><Relationship Id="rId432" Type="http://schemas.openxmlformats.org/officeDocument/2006/relationships/hyperlink" Target="http://mybedrock.com" TargetMode="External"/><Relationship Id="rId674" Type="http://schemas.openxmlformats.org/officeDocument/2006/relationships/hyperlink" Target="http://liveperson.com" TargetMode="External"/><Relationship Id="rId431" Type="http://schemas.openxmlformats.org/officeDocument/2006/relationships/hyperlink" Target="http://kingshammersbd.com" TargetMode="External"/><Relationship Id="rId673" Type="http://schemas.openxmlformats.org/officeDocument/2006/relationships/hyperlink" Target="http://similarweb.com" TargetMode="External"/><Relationship Id="rId430" Type="http://schemas.openxmlformats.org/officeDocument/2006/relationships/hyperlink" Target="http://keelvar.com" TargetMode="External"/><Relationship Id="rId672" Type="http://schemas.openxmlformats.org/officeDocument/2006/relationships/hyperlink" Target="http://resolver.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greythr.com" TargetMode="External"/><Relationship Id="rId194" Type="http://schemas.openxmlformats.org/officeDocument/2006/relationships/hyperlink" Target="http://amarok.com" TargetMode="External"/><Relationship Id="rId193" Type="http://schemas.openxmlformats.org/officeDocument/2006/relationships/hyperlink" Target="http://jamloop.com" TargetMode="External"/><Relationship Id="rId192" Type="http://schemas.openxmlformats.org/officeDocument/2006/relationships/hyperlink" Target="http://ricklo.33mail.com" TargetMode="External"/><Relationship Id="rId191" Type="http://schemas.openxmlformats.org/officeDocument/2006/relationships/hyperlink" Target="http://gtmrevenue.com" TargetMode="External"/><Relationship Id="rId187" Type="http://schemas.openxmlformats.org/officeDocument/2006/relationships/hyperlink" Target="http://blumira.com" TargetMode="External"/><Relationship Id="rId186" Type="http://schemas.openxmlformats.org/officeDocument/2006/relationships/hyperlink" Target="http://hackthebox.com" TargetMode="External"/><Relationship Id="rId185" Type="http://schemas.openxmlformats.org/officeDocument/2006/relationships/hyperlink" Target="http://technohandz.com" TargetMode="External"/><Relationship Id="rId184" Type="http://schemas.openxmlformats.org/officeDocument/2006/relationships/hyperlink" Target="http://nobroker.in" TargetMode="External"/><Relationship Id="rId189" Type="http://schemas.openxmlformats.org/officeDocument/2006/relationships/hyperlink" Target="http://freyrsolutions.com" TargetMode="External"/><Relationship Id="rId188" Type="http://schemas.openxmlformats.org/officeDocument/2006/relationships/hyperlink" Target="http://aurigo.com" TargetMode="External"/><Relationship Id="rId183" Type="http://schemas.openxmlformats.org/officeDocument/2006/relationships/hyperlink" Target="http://ravennahq.com" TargetMode="External"/><Relationship Id="rId182" Type="http://schemas.openxmlformats.org/officeDocument/2006/relationships/hyperlink" Target="http://mediamint.com" TargetMode="External"/><Relationship Id="rId181" Type="http://schemas.openxmlformats.org/officeDocument/2006/relationships/hyperlink" Target="http://singleclic.com" TargetMode="External"/><Relationship Id="rId180" Type="http://schemas.openxmlformats.org/officeDocument/2006/relationships/hyperlink" Target="http://microserve.ca" TargetMode="External"/><Relationship Id="rId176" Type="http://schemas.openxmlformats.org/officeDocument/2006/relationships/hyperlink" Target="http://bidease.com" TargetMode="External"/><Relationship Id="rId175" Type="http://schemas.openxmlformats.org/officeDocument/2006/relationships/hyperlink" Target="http://bcg.com" TargetMode="External"/><Relationship Id="rId174" Type="http://schemas.openxmlformats.org/officeDocument/2006/relationships/hyperlink" Target="http://ckapoor.org" TargetMode="External"/><Relationship Id="rId173" Type="http://schemas.openxmlformats.org/officeDocument/2006/relationships/hyperlink" Target="http://ckapoor.org" TargetMode="External"/><Relationship Id="rId179" Type="http://schemas.openxmlformats.org/officeDocument/2006/relationships/hyperlink" Target="http://saroeinc.com" TargetMode="External"/><Relationship Id="rId178" Type="http://schemas.openxmlformats.org/officeDocument/2006/relationships/hyperlink" Target="http://zenskar.com" TargetMode="External"/><Relationship Id="rId177" Type="http://schemas.openxmlformats.org/officeDocument/2006/relationships/hyperlink" Target="http://sigmacomputing.com" TargetMode="External"/><Relationship Id="rId198" Type="http://schemas.openxmlformats.org/officeDocument/2006/relationships/hyperlink" Target="http://marktly.co" TargetMode="External"/><Relationship Id="rId197" Type="http://schemas.openxmlformats.org/officeDocument/2006/relationships/hyperlink" Target="http://invitationhomes.com" TargetMode="External"/><Relationship Id="rId196" Type="http://schemas.openxmlformats.org/officeDocument/2006/relationships/hyperlink" Target="http://comviva.com" TargetMode="External"/><Relationship Id="rId195" Type="http://schemas.openxmlformats.org/officeDocument/2006/relationships/hyperlink" Target="http://curriculumassociates.com" TargetMode="External"/><Relationship Id="rId199" Type="http://schemas.openxmlformats.org/officeDocument/2006/relationships/hyperlink" Target="http://connectree.co" TargetMode="External"/><Relationship Id="rId150" Type="http://schemas.openxmlformats.org/officeDocument/2006/relationships/hyperlink" Target="http://gmsil.com" TargetMode="External"/><Relationship Id="rId392" Type="http://schemas.openxmlformats.org/officeDocument/2006/relationships/hyperlink" Target="http://clumio.com" TargetMode="External"/><Relationship Id="rId391" Type="http://schemas.openxmlformats.org/officeDocument/2006/relationships/hyperlink" Target="http://qt.io" TargetMode="External"/><Relationship Id="rId390" Type="http://schemas.openxmlformats.org/officeDocument/2006/relationships/hyperlink" Target="http://scalemetric.io" TargetMode="External"/><Relationship Id="rId1" Type="http://schemas.openxmlformats.org/officeDocument/2006/relationships/comments" Target="../comments2.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truecaller.com" TargetMode="External"/><Relationship Id="rId4" Type="http://schemas.openxmlformats.org/officeDocument/2006/relationships/hyperlink" Target="http://interface.ai" TargetMode="External"/><Relationship Id="rId148" Type="http://schemas.openxmlformats.org/officeDocument/2006/relationships/hyperlink" Target="http://cconstantinou.info" TargetMode="External"/><Relationship Id="rId1090" Type="http://schemas.openxmlformats.org/officeDocument/2006/relationships/hyperlink" Target="http://sketchup.com" TargetMode="External"/><Relationship Id="rId1091" Type="http://schemas.openxmlformats.org/officeDocument/2006/relationships/hyperlink" Target="http://codegen.co.uk" TargetMode="External"/><Relationship Id="rId1092" Type="http://schemas.openxmlformats.org/officeDocument/2006/relationships/hyperlink" Target="http://zoominfo.com" TargetMode="External"/><Relationship Id="rId1093" Type="http://schemas.openxmlformats.org/officeDocument/2006/relationships/hyperlink" Target="http://jolt.com" TargetMode="External"/><Relationship Id="rId1094" Type="http://schemas.openxmlformats.org/officeDocument/2006/relationships/hyperlink" Target="http://trackforcevaliant.com" TargetMode="External"/><Relationship Id="rId9" Type="http://schemas.openxmlformats.org/officeDocument/2006/relationships/hyperlink" Target="http://abridge.com" TargetMode="External"/><Relationship Id="rId143" Type="http://schemas.openxmlformats.org/officeDocument/2006/relationships/hyperlink" Target="http://isidefense.com" TargetMode="External"/><Relationship Id="rId385" Type="http://schemas.openxmlformats.org/officeDocument/2006/relationships/hyperlink" Target="http://celebaltech.com" TargetMode="External"/><Relationship Id="rId1095" Type="http://schemas.openxmlformats.org/officeDocument/2006/relationships/hyperlink" Target="http://scaledagile.com" TargetMode="External"/><Relationship Id="rId142" Type="http://schemas.openxmlformats.org/officeDocument/2006/relationships/hyperlink" Target="http://gatekeeperhq.com" TargetMode="External"/><Relationship Id="rId384" Type="http://schemas.openxmlformats.org/officeDocument/2006/relationships/hyperlink" Target="http://nettyawards.com" TargetMode="External"/><Relationship Id="rId1096" Type="http://schemas.openxmlformats.org/officeDocument/2006/relationships/hyperlink" Target="http://trustwave.com" TargetMode="External"/><Relationship Id="rId141" Type="http://schemas.openxmlformats.org/officeDocument/2006/relationships/hyperlink" Target="http://oreilly.com" TargetMode="External"/><Relationship Id="rId383" Type="http://schemas.openxmlformats.org/officeDocument/2006/relationships/hyperlink" Target="http://repairdesk.co" TargetMode="External"/><Relationship Id="rId1097" Type="http://schemas.openxmlformats.org/officeDocument/2006/relationships/hyperlink" Target="http://8x8.com" TargetMode="External"/><Relationship Id="rId140" Type="http://schemas.openxmlformats.org/officeDocument/2006/relationships/hyperlink" Target="http://aaamt.in" TargetMode="External"/><Relationship Id="rId382" Type="http://schemas.openxmlformats.org/officeDocument/2006/relationships/hyperlink" Target="http://smartgrass.co.nz" TargetMode="External"/><Relationship Id="rId1098" Type="http://schemas.openxmlformats.org/officeDocument/2006/relationships/hyperlink" Target="http://freshworks.com" TargetMode="External"/><Relationship Id="rId5" Type="http://schemas.openxmlformats.org/officeDocument/2006/relationships/hyperlink" Target="http://interface.ai" TargetMode="External"/><Relationship Id="rId147" Type="http://schemas.openxmlformats.org/officeDocument/2006/relationships/hyperlink" Target="http://prosperr.io" TargetMode="External"/><Relationship Id="rId389" Type="http://schemas.openxmlformats.org/officeDocument/2006/relationships/hyperlink" Target="http://scalemetric.io" TargetMode="External"/><Relationship Id="rId1099" Type="http://schemas.openxmlformats.org/officeDocument/2006/relationships/hyperlink" Target="http://simplilearn.com" TargetMode="External"/><Relationship Id="rId6" Type="http://schemas.openxmlformats.org/officeDocument/2006/relationships/hyperlink" Target="http://theassemble.com" TargetMode="External"/><Relationship Id="rId146" Type="http://schemas.openxmlformats.org/officeDocument/2006/relationships/hyperlink" Target="http://clear.in" TargetMode="External"/><Relationship Id="rId388" Type="http://schemas.openxmlformats.org/officeDocument/2006/relationships/hyperlink" Target="http://infolocus.in" TargetMode="External"/><Relationship Id="rId7" Type="http://schemas.openxmlformats.org/officeDocument/2006/relationships/hyperlink" Target="http://litera.com" TargetMode="External"/><Relationship Id="rId145" Type="http://schemas.openxmlformats.org/officeDocument/2006/relationships/hyperlink" Target="http://amazon.com" TargetMode="External"/><Relationship Id="rId387" Type="http://schemas.openxmlformats.org/officeDocument/2006/relationships/hyperlink" Target="http://tkxel.io" TargetMode="External"/><Relationship Id="rId8" Type="http://schemas.openxmlformats.org/officeDocument/2006/relationships/hyperlink" Target="http://carpedia.co.za" TargetMode="External"/><Relationship Id="rId144" Type="http://schemas.openxmlformats.org/officeDocument/2006/relationships/hyperlink" Target="http://paddle.com" TargetMode="External"/><Relationship Id="rId386" Type="http://schemas.openxmlformats.org/officeDocument/2006/relationships/hyperlink" Target="http://tkxel.io" TargetMode="External"/><Relationship Id="rId381" Type="http://schemas.openxmlformats.org/officeDocument/2006/relationships/hyperlink" Target="http://joveo.com" TargetMode="External"/><Relationship Id="rId380" Type="http://schemas.openxmlformats.org/officeDocument/2006/relationships/hyperlink" Target="http://klue.com" TargetMode="External"/><Relationship Id="rId139" Type="http://schemas.openxmlformats.org/officeDocument/2006/relationships/hyperlink" Target="http://credohealth.com" TargetMode="External"/><Relationship Id="rId138" Type="http://schemas.openxmlformats.org/officeDocument/2006/relationships/hyperlink" Target="http://metpg.com" TargetMode="External"/><Relationship Id="rId137" Type="http://schemas.openxmlformats.org/officeDocument/2006/relationships/hyperlink" Target="http://scale.com" TargetMode="External"/><Relationship Id="rId379" Type="http://schemas.openxmlformats.org/officeDocument/2006/relationships/hyperlink" Target="http://socialvalueportal.com" TargetMode="External"/><Relationship Id="rId1080" Type="http://schemas.openxmlformats.org/officeDocument/2006/relationships/hyperlink" Target="http://sourcewiz.com" TargetMode="External"/><Relationship Id="rId1081" Type="http://schemas.openxmlformats.org/officeDocument/2006/relationships/hyperlink" Target="http://dealpath.com" TargetMode="External"/><Relationship Id="rId1082" Type="http://schemas.openxmlformats.org/officeDocument/2006/relationships/hyperlink" Target="http://swapcard.com" TargetMode="External"/><Relationship Id="rId1083" Type="http://schemas.openxmlformats.org/officeDocument/2006/relationships/hyperlink" Target="http://blue42agency.com" TargetMode="External"/><Relationship Id="rId132" Type="http://schemas.openxmlformats.org/officeDocument/2006/relationships/hyperlink" Target="http://simpligov.com" TargetMode="External"/><Relationship Id="rId374" Type="http://schemas.openxmlformats.org/officeDocument/2006/relationships/hyperlink" Target="http://sandbox.com" TargetMode="External"/><Relationship Id="rId1084" Type="http://schemas.openxmlformats.org/officeDocument/2006/relationships/hyperlink" Target="http://blue42agency.com" TargetMode="External"/><Relationship Id="rId131" Type="http://schemas.openxmlformats.org/officeDocument/2006/relationships/hyperlink" Target="http://angelaligner.com" TargetMode="External"/><Relationship Id="rId373" Type="http://schemas.openxmlformats.org/officeDocument/2006/relationships/hyperlink" Target="http://keelvar.com" TargetMode="External"/><Relationship Id="rId1085" Type="http://schemas.openxmlformats.org/officeDocument/2006/relationships/hyperlink" Target="http://affle.com" TargetMode="External"/><Relationship Id="rId130" Type="http://schemas.openxmlformats.org/officeDocument/2006/relationships/hyperlink" Target="http://engine.com" TargetMode="External"/><Relationship Id="rId372" Type="http://schemas.openxmlformats.org/officeDocument/2006/relationships/hyperlink" Target="http://findpros.ai" TargetMode="External"/><Relationship Id="rId1086" Type="http://schemas.openxmlformats.org/officeDocument/2006/relationships/hyperlink" Target="http://suse.com" TargetMode="External"/><Relationship Id="rId371" Type="http://schemas.openxmlformats.org/officeDocument/2006/relationships/hyperlink" Target="http://kymgl.com" TargetMode="External"/><Relationship Id="rId1087" Type="http://schemas.openxmlformats.org/officeDocument/2006/relationships/hyperlink" Target="http://gosecure.net" TargetMode="External"/><Relationship Id="rId136" Type="http://schemas.openxmlformats.org/officeDocument/2006/relationships/hyperlink" Target="http://mommysimaginationstation.org" TargetMode="External"/><Relationship Id="rId378" Type="http://schemas.openxmlformats.org/officeDocument/2006/relationships/hyperlink" Target="http://mybedrock.com" TargetMode="External"/><Relationship Id="rId1088" Type="http://schemas.openxmlformats.org/officeDocument/2006/relationships/hyperlink" Target="http://compliancequest.com" TargetMode="External"/><Relationship Id="rId135" Type="http://schemas.openxmlformats.org/officeDocument/2006/relationships/hyperlink" Target="http://strategycorps.com" TargetMode="External"/><Relationship Id="rId377" Type="http://schemas.openxmlformats.org/officeDocument/2006/relationships/hyperlink" Target="http://emlid.com" TargetMode="External"/><Relationship Id="rId1089" Type="http://schemas.openxmlformats.org/officeDocument/2006/relationships/hyperlink" Target="http://fareye.com" TargetMode="External"/><Relationship Id="rId134" Type="http://schemas.openxmlformats.org/officeDocument/2006/relationships/hyperlink" Target="http://gatekeeperhq.com" TargetMode="External"/><Relationship Id="rId376" Type="http://schemas.openxmlformats.org/officeDocument/2006/relationships/hyperlink" Target="http://katanamrp.com" TargetMode="External"/><Relationship Id="rId133" Type="http://schemas.openxmlformats.org/officeDocument/2006/relationships/hyperlink" Target="http://teamfront.com" TargetMode="External"/><Relationship Id="rId375" Type="http://schemas.openxmlformats.org/officeDocument/2006/relationships/hyperlink" Target="http://sandbox.com" TargetMode="External"/><Relationship Id="rId172" Type="http://schemas.openxmlformats.org/officeDocument/2006/relationships/hyperlink" Target="http://objective.com" TargetMode="External"/><Relationship Id="rId171" Type="http://schemas.openxmlformats.org/officeDocument/2006/relationships/hyperlink" Target="http://tascoutsourcing.com" TargetMode="External"/><Relationship Id="rId170" Type="http://schemas.openxmlformats.org/officeDocument/2006/relationships/hyperlink" Target="http://betaeducation.org" TargetMode="External"/><Relationship Id="rId165" Type="http://schemas.openxmlformats.org/officeDocument/2006/relationships/hyperlink" Target="http://veragov.com" TargetMode="External"/><Relationship Id="rId164" Type="http://schemas.openxmlformats.org/officeDocument/2006/relationships/hyperlink" Target="http://webcastle.in" TargetMode="External"/><Relationship Id="rId163" Type="http://schemas.openxmlformats.org/officeDocument/2006/relationships/hyperlink" Target="http://arist.co" TargetMode="External"/><Relationship Id="rId162" Type="http://schemas.openxmlformats.org/officeDocument/2006/relationships/hyperlink" Target="http://geotab.com" TargetMode="External"/><Relationship Id="rId169" Type="http://schemas.openxmlformats.org/officeDocument/2006/relationships/hyperlink" Target="http://activeprospect.com" TargetMode="External"/><Relationship Id="rId168" Type="http://schemas.openxmlformats.org/officeDocument/2006/relationships/hyperlink" Target="http://elantis.com" TargetMode="External"/><Relationship Id="rId167" Type="http://schemas.openxmlformats.org/officeDocument/2006/relationships/hyperlink" Target="http://basraconsultingservices.com" TargetMode="External"/><Relationship Id="rId166" Type="http://schemas.openxmlformats.org/officeDocument/2006/relationships/hyperlink" Target="http://venasolutions.com" TargetMode="External"/><Relationship Id="rId161" Type="http://schemas.openxmlformats.org/officeDocument/2006/relationships/hyperlink" Target="http://ally.ca" TargetMode="External"/><Relationship Id="rId160" Type="http://schemas.openxmlformats.org/officeDocument/2006/relationships/hyperlink" Target="http://iu.edu" TargetMode="External"/><Relationship Id="rId159" Type="http://schemas.openxmlformats.org/officeDocument/2006/relationships/hyperlink" Target="http://sprinto.com" TargetMode="External"/><Relationship Id="rId154" Type="http://schemas.openxmlformats.org/officeDocument/2006/relationships/hyperlink" Target="http://ccanter.com" TargetMode="External"/><Relationship Id="rId396" Type="http://schemas.openxmlformats.org/officeDocument/2006/relationships/hyperlink" Target="http://petpooja.com" TargetMode="External"/><Relationship Id="rId153" Type="http://schemas.openxmlformats.org/officeDocument/2006/relationships/hyperlink" Target="http://zscaler.com" TargetMode="External"/><Relationship Id="rId395" Type="http://schemas.openxmlformats.org/officeDocument/2006/relationships/hyperlink" Target="http://guild.com" TargetMode="External"/><Relationship Id="rId152" Type="http://schemas.openxmlformats.org/officeDocument/2006/relationships/hyperlink" Target="http://candidpro.com" TargetMode="External"/><Relationship Id="rId394" Type="http://schemas.openxmlformats.org/officeDocument/2006/relationships/hyperlink" Target="http://servise.com" TargetMode="External"/><Relationship Id="rId151" Type="http://schemas.openxmlformats.org/officeDocument/2006/relationships/hyperlink" Target="http://snipp.com" TargetMode="External"/><Relationship Id="rId393" Type="http://schemas.openxmlformats.org/officeDocument/2006/relationships/hyperlink" Target="http://servise.com" TargetMode="External"/><Relationship Id="rId158" Type="http://schemas.openxmlformats.org/officeDocument/2006/relationships/hyperlink" Target="http://sysaid.com" TargetMode="External"/><Relationship Id="rId157" Type="http://schemas.openxmlformats.org/officeDocument/2006/relationships/hyperlink" Target="http://mapal-os.com" TargetMode="External"/><Relationship Id="rId399" Type="http://schemas.openxmlformats.org/officeDocument/2006/relationships/hyperlink" Target="http://yopma.com" TargetMode="External"/><Relationship Id="rId156" Type="http://schemas.openxmlformats.org/officeDocument/2006/relationships/hyperlink" Target="http://usd.edu" TargetMode="External"/><Relationship Id="rId398" Type="http://schemas.openxmlformats.org/officeDocument/2006/relationships/hyperlink" Target="http://yopma.com" TargetMode="External"/><Relationship Id="rId155" Type="http://schemas.openxmlformats.org/officeDocument/2006/relationships/hyperlink" Target="http://collectivehealth.com" TargetMode="External"/><Relationship Id="rId397" Type="http://schemas.openxmlformats.org/officeDocument/2006/relationships/hyperlink" Target="http://soilpower.com" TargetMode="External"/><Relationship Id="rId808" Type="http://schemas.openxmlformats.org/officeDocument/2006/relationships/hyperlink" Target="http://aptean.com" TargetMode="External"/><Relationship Id="rId807" Type="http://schemas.openxmlformats.org/officeDocument/2006/relationships/hyperlink" Target="http://rechargepayments.com" TargetMode="External"/><Relationship Id="rId806" Type="http://schemas.openxmlformats.org/officeDocument/2006/relationships/hyperlink" Target="http://coursera.org" TargetMode="External"/><Relationship Id="rId805" Type="http://schemas.openxmlformats.org/officeDocument/2006/relationships/hyperlink" Target="http://modjo.ai" TargetMode="External"/><Relationship Id="rId809" Type="http://schemas.openxmlformats.org/officeDocument/2006/relationships/hyperlink" Target="http://jfrog.com" TargetMode="External"/><Relationship Id="rId800" Type="http://schemas.openxmlformats.org/officeDocument/2006/relationships/hyperlink" Target="http://greyorange.com" TargetMode="External"/><Relationship Id="rId804" Type="http://schemas.openxmlformats.org/officeDocument/2006/relationships/hyperlink" Target="http://king.com" TargetMode="External"/><Relationship Id="rId803" Type="http://schemas.openxmlformats.org/officeDocument/2006/relationships/hyperlink" Target="http://greythr.com" TargetMode="External"/><Relationship Id="rId802" Type="http://schemas.openxmlformats.org/officeDocument/2006/relationships/hyperlink" Target="http://druva.com" TargetMode="External"/><Relationship Id="rId801" Type="http://schemas.openxmlformats.org/officeDocument/2006/relationships/hyperlink" Target="http://cashfree.com" TargetMode="External"/><Relationship Id="rId40" Type="http://schemas.openxmlformats.org/officeDocument/2006/relationships/hyperlink" Target="http://asapp.com" TargetMode="External"/><Relationship Id="rId1334" Type="http://schemas.openxmlformats.org/officeDocument/2006/relationships/hyperlink" Target="http://spectrio.com" TargetMode="External"/><Relationship Id="rId1335" Type="http://schemas.openxmlformats.org/officeDocument/2006/relationships/hyperlink" Target="http://mediaocean.com" TargetMode="External"/><Relationship Id="rId42" Type="http://schemas.openxmlformats.org/officeDocument/2006/relationships/hyperlink" Target="http://runatbest.com" TargetMode="External"/><Relationship Id="rId1336" Type="http://schemas.openxmlformats.org/officeDocument/2006/relationships/hyperlink" Target="http://saviynt.com" TargetMode="External"/><Relationship Id="rId41" Type="http://schemas.openxmlformats.org/officeDocument/2006/relationships/hyperlink" Target="http://procol.ai" TargetMode="External"/><Relationship Id="rId1337" Type="http://schemas.openxmlformats.org/officeDocument/2006/relationships/hyperlink" Target="http://augury.com" TargetMode="External"/><Relationship Id="rId44" Type="http://schemas.openxmlformats.org/officeDocument/2006/relationships/hyperlink" Target="http://netwoven.com" TargetMode="External"/><Relationship Id="rId1338" Type="http://schemas.openxmlformats.org/officeDocument/2006/relationships/hyperlink" Target="http://horizon3.ai" TargetMode="External"/><Relationship Id="rId43" Type="http://schemas.openxmlformats.org/officeDocument/2006/relationships/hyperlink" Target="http://skutopia.com" TargetMode="External"/><Relationship Id="rId1339" Type="http://schemas.openxmlformats.org/officeDocument/2006/relationships/hyperlink" Target="http://horizon3.ai" TargetMode="External"/><Relationship Id="rId46" Type="http://schemas.openxmlformats.org/officeDocument/2006/relationships/hyperlink" Target="http://leaphealth.com" TargetMode="External"/><Relationship Id="rId45" Type="http://schemas.openxmlformats.org/officeDocument/2006/relationships/hyperlink" Target="http://smylr.co" TargetMode="External"/><Relationship Id="rId509" Type="http://schemas.openxmlformats.org/officeDocument/2006/relationships/hyperlink" Target="http://ultimate.ai" TargetMode="External"/><Relationship Id="rId508" Type="http://schemas.openxmlformats.org/officeDocument/2006/relationships/hyperlink" Target="http://ultimate.ai" TargetMode="External"/><Relationship Id="rId503" Type="http://schemas.openxmlformats.org/officeDocument/2006/relationships/hyperlink" Target="http://thrivingsprings.com" TargetMode="External"/><Relationship Id="rId745" Type="http://schemas.openxmlformats.org/officeDocument/2006/relationships/hyperlink" Target="http://appsflyer.com" TargetMode="External"/><Relationship Id="rId987" Type="http://schemas.openxmlformats.org/officeDocument/2006/relationships/hyperlink" Target="http://sqream.com" TargetMode="External"/><Relationship Id="rId502" Type="http://schemas.openxmlformats.org/officeDocument/2006/relationships/hyperlink" Target="http://intelepeer.com" TargetMode="External"/><Relationship Id="rId744" Type="http://schemas.openxmlformats.org/officeDocument/2006/relationships/hyperlink" Target="http://cornerstoneondemand.com" TargetMode="External"/><Relationship Id="rId986" Type="http://schemas.openxmlformats.org/officeDocument/2006/relationships/hyperlink" Target="http://cision.com" TargetMode="External"/><Relationship Id="rId501" Type="http://schemas.openxmlformats.org/officeDocument/2006/relationships/hyperlink" Target="http://e-claim.com" TargetMode="External"/><Relationship Id="rId743" Type="http://schemas.openxmlformats.org/officeDocument/2006/relationships/hyperlink" Target="http://azuga.com" TargetMode="External"/><Relationship Id="rId985" Type="http://schemas.openxmlformats.org/officeDocument/2006/relationships/hyperlink" Target="http://subex.com" TargetMode="External"/><Relationship Id="rId500" Type="http://schemas.openxmlformats.org/officeDocument/2006/relationships/hyperlink" Target="http://razorpay.com" TargetMode="External"/><Relationship Id="rId742" Type="http://schemas.openxmlformats.org/officeDocument/2006/relationships/hyperlink" Target="http://streamsets.com" TargetMode="External"/><Relationship Id="rId984" Type="http://schemas.openxmlformats.org/officeDocument/2006/relationships/hyperlink" Target="http://respond.io" TargetMode="External"/><Relationship Id="rId507" Type="http://schemas.openxmlformats.org/officeDocument/2006/relationships/hyperlink" Target="http://prodways.com" TargetMode="External"/><Relationship Id="rId749" Type="http://schemas.openxmlformats.org/officeDocument/2006/relationships/hyperlink" Target="http://lookout.com" TargetMode="External"/><Relationship Id="rId506" Type="http://schemas.openxmlformats.org/officeDocument/2006/relationships/hyperlink" Target="http://cyberkavacha.com" TargetMode="External"/><Relationship Id="rId748" Type="http://schemas.openxmlformats.org/officeDocument/2006/relationships/hyperlink" Target="http://yotpo.com" TargetMode="External"/><Relationship Id="rId505" Type="http://schemas.openxmlformats.org/officeDocument/2006/relationships/hyperlink" Target="http://cyberkavacha.com" TargetMode="External"/><Relationship Id="rId747" Type="http://schemas.openxmlformats.org/officeDocument/2006/relationships/hyperlink" Target="http://solarwinds.com" TargetMode="External"/><Relationship Id="rId989" Type="http://schemas.openxmlformats.org/officeDocument/2006/relationships/hyperlink" Target="http://vaave.com" TargetMode="External"/><Relationship Id="rId504" Type="http://schemas.openxmlformats.org/officeDocument/2006/relationships/hyperlink" Target="http://skuad.io" TargetMode="External"/><Relationship Id="rId746" Type="http://schemas.openxmlformats.org/officeDocument/2006/relationships/hyperlink" Target="http://inmobi.com" TargetMode="External"/><Relationship Id="rId988" Type="http://schemas.openxmlformats.org/officeDocument/2006/relationships/hyperlink" Target="http://freshworks.com" TargetMode="External"/><Relationship Id="rId48" Type="http://schemas.openxmlformats.org/officeDocument/2006/relationships/hyperlink" Target="http://infrahub.ai" TargetMode="External"/><Relationship Id="rId47" Type="http://schemas.openxmlformats.org/officeDocument/2006/relationships/hyperlink" Target="http://nousinfo.com" TargetMode="External"/><Relationship Id="rId49" Type="http://schemas.openxmlformats.org/officeDocument/2006/relationships/hyperlink" Target="http://gatewayfinancialpartners.com" TargetMode="External"/><Relationship Id="rId741" Type="http://schemas.openxmlformats.org/officeDocument/2006/relationships/hyperlink" Target="http://vizrt.com" TargetMode="External"/><Relationship Id="rId983" Type="http://schemas.openxmlformats.org/officeDocument/2006/relationships/hyperlink" Target="http://respond.io" TargetMode="External"/><Relationship Id="rId1330" Type="http://schemas.openxmlformats.org/officeDocument/2006/relationships/hyperlink" Target="http://asuresoftware.com" TargetMode="External"/><Relationship Id="rId740" Type="http://schemas.openxmlformats.org/officeDocument/2006/relationships/hyperlink" Target="http://fivetran.com" TargetMode="External"/><Relationship Id="rId982" Type="http://schemas.openxmlformats.org/officeDocument/2006/relationships/hyperlink" Target="http://cortex.io" TargetMode="External"/><Relationship Id="rId1331" Type="http://schemas.openxmlformats.org/officeDocument/2006/relationships/hyperlink" Target="http://meetmarigold.com" TargetMode="External"/><Relationship Id="rId981" Type="http://schemas.openxmlformats.org/officeDocument/2006/relationships/hyperlink" Target="http://noibu.com" TargetMode="External"/><Relationship Id="rId1332" Type="http://schemas.openxmlformats.org/officeDocument/2006/relationships/hyperlink" Target="http://supplypike.com" TargetMode="External"/><Relationship Id="rId980" Type="http://schemas.openxmlformats.org/officeDocument/2006/relationships/hyperlink" Target="http://avispl.com" TargetMode="External"/><Relationship Id="rId1333" Type="http://schemas.openxmlformats.org/officeDocument/2006/relationships/hyperlink" Target="http://omaticsoftware.com" TargetMode="External"/><Relationship Id="rId1323" Type="http://schemas.openxmlformats.org/officeDocument/2006/relationships/hyperlink" Target="http://watchguard.com" TargetMode="External"/><Relationship Id="rId1324" Type="http://schemas.openxmlformats.org/officeDocument/2006/relationships/hyperlink" Target="http://payjunction.com" TargetMode="External"/><Relationship Id="rId31" Type="http://schemas.openxmlformats.org/officeDocument/2006/relationships/hyperlink" Target="http://naukri.com" TargetMode="External"/><Relationship Id="rId1325" Type="http://schemas.openxmlformats.org/officeDocument/2006/relationships/hyperlink" Target="http://voltus.co" TargetMode="External"/><Relationship Id="rId30" Type="http://schemas.openxmlformats.org/officeDocument/2006/relationships/hyperlink" Target="http://shootsta.com" TargetMode="External"/><Relationship Id="rId1326" Type="http://schemas.openxmlformats.org/officeDocument/2006/relationships/hyperlink" Target="http://truckstop.com" TargetMode="External"/><Relationship Id="rId33" Type="http://schemas.openxmlformats.org/officeDocument/2006/relationships/hyperlink" Target="http://mobato.com.br" TargetMode="External"/><Relationship Id="rId1327" Type="http://schemas.openxmlformats.org/officeDocument/2006/relationships/hyperlink" Target="http://truckstop.com" TargetMode="External"/><Relationship Id="rId32" Type="http://schemas.openxmlformats.org/officeDocument/2006/relationships/hyperlink" Target="http://naukri.com" TargetMode="External"/><Relationship Id="rId1328" Type="http://schemas.openxmlformats.org/officeDocument/2006/relationships/hyperlink" Target="http://burwood.com" TargetMode="External"/><Relationship Id="rId35" Type="http://schemas.openxmlformats.org/officeDocument/2006/relationships/hyperlink" Target="http://bajajlife.com" TargetMode="External"/><Relationship Id="rId1329" Type="http://schemas.openxmlformats.org/officeDocument/2006/relationships/hyperlink" Target="http://versa-networks.com" TargetMode="External"/><Relationship Id="rId34" Type="http://schemas.openxmlformats.org/officeDocument/2006/relationships/hyperlink" Target="http://addaxlab.com" TargetMode="External"/><Relationship Id="rId739" Type="http://schemas.openxmlformats.org/officeDocument/2006/relationships/hyperlink" Target="http://oeconnection.com" TargetMode="External"/><Relationship Id="rId734" Type="http://schemas.openxmlformats.org/officeDocument/2006/relationships/hyperlink" Target="http://pattern.com" TargetMode="External"/><Relationship Id="rId976" Type="http://schemas.openxmlformats.org/officeDocument/2006/relationships/hyperlink" Target="http://rossum.ai" TargetMode="External"/><Relationship Id="rId733" Type="http://schemas.openxmlformats.org/officeDocument/2006/relationships/hyperlink" Target="http://appian.com" TargetMode="External"/><Relationship Id="rId975" Type="http://schemas.openxmlformats.org/officeDocument/2006/relationships/hyperlink" Target="http://cas.org" TargetMode="External"/><Relationship Id="rId732" Type="http://schemas.openxmlformats.org/officeDocument/2006/relationships/hyperlink" Target="http://touchbistro.com" TargetMode="External"/><Relationship Id="rId974" Type="http://schemas.openxmlformats.org/officeDocument/2006/relationships/hyperlink" Target="http://fynd.com" TargetMode="External"/><Relationship Id="rId731" Type="http://schemas.openxmlformats.org/officeDocument/2006/relationships/hyperlink" Target="http://supermetrics.com" TargetMode="External"/><Relationship Id="rId973" Type="http://schemas.openxmlformats.org/officeDocument/2006/relationships/hyperlink" Target="http://zayzoon.com" TargetMode="External"/><Relationship Id="rId738" Type="http://schemas.openxmlformats.org/officeDocument/2006/relationships/hyperlink" Target="http://aurorasolar.com" TargetMode="External"/><Relationship Id="rId737" Type="http://schemas.openxmlformats.org/officeDocument/2006/relationships/hyperlink" Target="http://intentsify.io" TargetMode="External"/><Relationship Id="rId979" Type="http://schemas.openxmlformats.org/officeDocument/2006/relationships/hyperlink" Target="http://growthspace.com" TargetMode="External"/><Relationship Id="rId736" Type="http://schemas.openxmlformats.org/officeDocument/2006/relationships/hyperlink" Target="http://appsflyer.com" TargetMode="External"/><Relationship Id="rId978" Type="http://schemas.openxmlformats.org/officeDocument/2006/relationships/hyperlink" Target="http://facilio.com" TargetMode="External"/><Relationship Id="rId735" Type="http://schemas.openxmlformats.org/officeDocument/2006/relationships/hyperlink" Target="http://42gears.com" TargetMode="External"/><Relationship Id="rId977" Type="http://schemas.openxmlformats.org/officeDocument/2006/relationships/hyperlink" Target="http://shipsy.io" TargetMode="External"/><Relationship Id="rId37" Type="http://schemas.openxmlformats.org/officeDocument/2006/relationships/hyperlink" Target="http://tqasolutions.com" TargetMode="External"/><Relationship Id="rId36" Type="http://schemas.openxmlformats.org/officeDocument/2006/relationships/hyperlink" Target="http://trmlabs.com" TargetMode="External"/><Relationship Id="rId39" Type="http://schemas.openxmlformats.org/officeDocument/2006/relationships/hyperlink" Target="http://dndaisolutions.com" TargetMode="External"/><Relationship Id="rId38" Type="http://schemas.openxmlformats.org/officeDocument/2006/relationships/hyperlink" Target="http://every.io" TargetMode="External"/><Relationship Id="rId730" Type="http://schemas.openxmlformats.org/officeDocument/2006/relationships/hyperlink" Target="http://missioncloud.com" TargetMode="External"/><Relationship Id="rId972" Type="http://schemas.openxmlformats.org/officeDocument/2006/relationships/hyperlink" Target="http://headspin.io" TargetMode="External"/><Relationship Id="rId971" Type="http://schemas.openxmlformats.org/officeDocument/2006/relationships/hyperlink" Target="http://argano.com" TargetMode="External"/><Relationship Id="rId1320" Type="http://schemas.openxmlformats.org/officeDocument/2006/relationships/hyperlink" Target="http://salesloft.com" TargetMode="External"/><Relationship Id="rId970" Type="http://schemas.openxmlformats.org/officeDocument/2006/relationships/hyperlink" Target="http://agilitypr.com" TargetMode="External"/><Relationship Id="rId1321" Type="http://schemas.openxmlformats.org/officeDocument/2006/relationships/hyperlink" Target="http://definitivehc.com" TargetMode="External"/><Relationship Id="rId1322" Type="http://schemas.openxmlformats.org/officeDocument/2006/relationships/hyperlink" Target="http://semrush.com" TargetMode="External"/><Relationship Id="rId1114" Type="http://schemas.openxmlformats.org/officeDocument/2006/relationships/hyperlink" Target="http://collectivehealth.com" TargetMode="External"/><Relationship Id="rId1115" Type="http://schemas.openxmlformats.org/officeDocument/2006/relationships/hyperlink" Target="http://powerschool.com" TargetMode="External"/><Relationship Id="rId20" Type="http://schemas.openxmlformats.org/officeDocument/2006/relationships/hyperlink" Target="http://starguard.uk" TargetMode="External"/><Relationship Id="rId1116" Type="http://schemas.openxmlformats.org/officeDocument/2006/relationships/hyperlink" Target="http://panamaxil.com" TargetMode="External"/><Relationship Id="rId1117" Type="http://schemas.openxmlformats.org/officeDocument/2006/relationships/hyperlink" Target="http://rubrik.com" TargetMode="External"/><Relationship Id="rId22" Type="http://schemas.openxmlformats.org/officeDocument/2006/relationships/hyperlink" Target="http://curbwaste.com" TargetMode="External"/><Relationship Id="rId1118" Type="http://schemas.openxmlformats.org/officeDocument/2006/relationships/hyperlink" Target="http://mhcautomation.com" TargetMode="External"/><Relationship Id="rId21" Type="http://schemas.openxmlformats.org/officeDocument/2006/relationships/hyperlink" Target="http://revavenues.ai" TargetMode="External"/><Relationship Id="rId1119" Type="http://schemas.openxmlformats.org/officeDocument/2006/relationships/hyperlink" Target="http://scorpion.co" TargetMode="External"/><Relationship Id="rId24" Type="http://schemas.openxmlformats.org/officeDocument/2006/relationships/hyperlink" Target="http://fello.ai" TargetMode="External"/><Relationship Id="rId23" Type="http://schemas.openxmlformats.org/officeDocument/2006/relationships/hyperlink" Target="http://getmaple.ca" TargetMode="External"/><Relationship Id="rId525" Type="http://schemas.openxmlformats.org/officeDocument/2006/relationships/hyperlink" Target="http://fevtutor.com" TargetMode="External"/><Relationship Id="rId767" Type="http://schemas.openxmlformats.org/officeDocument/2006/relationships/hyperlink" Target="http://dialpad.com" TargetMode="External"/><Relationship Id="rId524" Type="http://schemas.openxmlformats.org/officeDocument/2006/relationships/hyperlink" Target="http://ooredoo.qa" TargetMode="External"/><Relationship Id="rId766" Type="http://schemas.openxmlformats.org/officeDocument/2006/relationships/hyperlink" Target="http://gitlab.com" TargetMode="External"/><Relationship Id="rId523" Type="http://schemas.openxmlformats.org/officeDocument/2006/relationships/hyperlink" Target="http://redcoral.in" TargetMode="External"/><Relationship Id="rId765" Type="http://schemas.openxmlformats.org/officeDocument/2006/relationships/hyperlink" Target="http://nasuni.com" TargetMode="External"/><Relationship Id="rId522" Type="http://schemas.openxmlformats.org/officeDocument/2006/relationships/hyperlink" Target="http://factorialhr.com" TargetMode="External"/><Relationship Id="rId764" Type="http://schemas.openxmlformats.org/officeDocument/2006/relationships/hyperlink" Target="http://matterport.com" TargetMode="External"/><Relationship Id="rId529" Type="http://schemas.openxmlformats.org/officeDocument/2006/relationships/hyperlink" Target="http://greythr.com" TargetMode="External"/><Relationship Id="rId528" Type="http://schemas.openxmlformats.org/officeDocument/2006/relationships/hyperlink" Target="http://gonobleswans.com" TargetMode="External"/><Relationship Id="rId527" Type="http://schemas.openxmlformats.org/officeDocument/2006/relationships/hyperlink" Target="http://netspi.com" TargetMode="External"/><Relationship Id="rId769" Type="http://schemas.openxmlformats.org/officeDocument/2006/relationships/hyperlink" Target="http://attentive.com" TargetMode="External"/><Relationship Id="rId526" Type="http://schemas.openxmlformats.org/officeDocument/2006/relationships/hyperlink" Target="http://aptiv.io" TargetMode="External"/><Relationship Id="rId768" Type="http://schemas.openxmlformats.org/officeDocument/2006/relationships/hyperlink" Target="http://gitlab.com" TargetMode="External"/><Relationship Id="rId26" Type="http://schemas.openxmlformats.org/officeDocument/2006/relationships/hyperlink" Target="http://getcor.ai" TargetMode="External"/><Relationship Id="rId25" Type="http://schemas.openxmlformats.org/officeDocument/2006/relationships/hyperlink" Target="http://blogspulse.com" TargetMode="External"/><Relationship Id="rId28" Type="http://schemas.openxmlformats.org/officeDocument/2006/relationships/hyperlink" Target="http://lambdatest.com" TargetMode="External"/><Relationship Id="rId27" Type="http://schemas.openxmlformats.org/officeDocument/2006/relationships/hyperlink" Target="http://joindeleteme.com" TargetMode="External"/><Relationship Id="rId521" Type="http://schemas.openxmlformats.org/officeDocument/2006/relationships/hyperlink" Target="http://iotap.com" TargetMode="External"/><Relationship Id="rId763" Type="http://schemas.openxmlformats.org/officeDocument/2006/relationships/hyperlink" Target="http://telesign.com" TargetMode="External"/><Relationship Id="rId1110" Type="http://schemas.openxmlformats.org/officeDocument/2006/relationships/hyperlink" Target="http://phocassoftware.com" TargetMode="External"/><Relationship Id="rId29" Type="http://schemas.openxmlformats.org/officeDocument/2006/relationships/hyperlink" Target="http://pearllemon.com" TargetMode="External"/><Relationship Id="rId520" Type="http://schemas.openxmlformats.org/officeDocument/2006/relationships/hyperlink" Target="http://moreyeahs.com" TargetMode="External"/><Relationship Id="rId762" Type="http://schemas.openxmlformats.org/officeDocument/2006/relationships/hyperlink" Target="http://achievers.com" TargetMode="External"/><Relationship Id="rId1111" Type="http://schemas.openxmlformats.org/officeDocument/2006/relationships/hyperlink" Target="http://govos.com" TargetMode="External"/><Relationship Id="rId761" Type="http://schemas.openxmlformats.org/officeDocument/2006/relationships/hyperlink" Target="http://diligent.com" TargetMode="External"/><Relationship Id="rId1112" Type="http://schemas.openxmlformats.org/officeDocument/2006/relationships/hyperlink" Target="http://ezesoft.com" TargetMode="External"/><Relationship Id="rId760" Type="http://schemas.openxmlformats.org/officeDocument/2006/relationships/hyperlink" Target="http://ziphq.com" TargetMode="External"/><Relationship Id="rId1113" Type="http://schemas.openxmlformats.org/officeDocument/2006/relationships/hyperlink" Target="http://fareye.com" TargetMode="External"/><Relationship Id="rId1103" Type="http://schemas.openxmlformats.org/officeDocument/2006/relationships/hyperlink" Target="http://dentalintel.com" TargetMode="External"/><Relationship Id="rId1345" Type="http://schemas.openxmlformats.org/officeDocument/2006/relationships/drawing" Target="../drawings/drawing3.xml"/><Relationship Id="rId1104" Type="http://schemas.openxmlformats.org/officeDocument/2006/relationships/hyperlink" Target="http://primefocus.com" TargetMode="External"/><Relationship Id="rId1346" Type="http://schemas.openxmlformats.org/officeDocument/2006/relationships/vmlDrawing" Target="../drawings/vmlDrawing2.vml"/><Relationship Id="rId1105" Type="http://schemas.openxmlformats.org/officeDocument/2006/relationships/hyperlink" Target="http://workiva.com" TargetMode="External"/><Relationship Id="rId1106" Type="http://schemas.openxmlformats.org/officeDocument/2006/relationships/hyperlink" Target="http://eltropy.com" TargetMode="External"/><Relationship Id="rId11" Type="http://schemas.openxmlformats.org/officeDocument/2006/relationships/hyperlink" Target="http://mvandc.com" TargetMode="External"/><Relationship Id="rId1107" Type="http://schemas.openxmlformats.org/officeDocument/2006/relationships/hyperlink" Target="http://onecause.com" TargetMode="External"/><Relationship Id="rId10" Type="http://schemas.openxmlformats.org/officeDocument/2006/relationships/hyperlink" Target="http://firemon.com" TargetMode="External"/><Relationship Id="rId1108" Type="http://schemas.openxmlformats.org/officeDocument/2006/relationships/hyperlink" Target="http://eftsure.com" TargetMode="External"/><Relationship Id="rId13" Type="http://schemas.openxmlformats.org/officeDocument/2006/relationships/hyperlink" Target="http://torotms.com" TargetMode="External"/><Relationship Id="rId1109" Type="http://schemas.openxmlformats.org/officeDocument/2006/relationships/hyperlink" Target="http://sourcegraph.com" TargetMode="External"/><Relationship Id="rId12" Type="http://schemas.openxmlformats.org/officeDocument/2006/relationships/hyperlink" Target="http://pantheon.io" TargetMode="External"/><Relationship Id="rId519" Type="http://schemas.openxmlformats.org/officeDocument/2006/relationships/hyperlink" Target="http://kaladigital.com.au" TargetMode="External"/><Relationship Id="rId514" Type="http://schemas.openxmlformats.org/officeDocument/2006/relationships/hyperlink" Target="http://dvunified.com" TargetMode="External"/><Relationship Id="rId756" Type="http://schemas.openxmlformats.org/officeDocument/2006/relationships/hyperlink" Target="http://snyk.io" TargetMode="External"/><Relationship Id="rId998" Type="http://schemas.openxmlformats.org/officeDocument/2006/relationships/hyperlink" Target="http://doordash.com" TargetMode="External"/><Relationship Id="rId513" Type="http://schemas.openxmlformats.org/officeDocument/2006/relationships/hyperlink" Target="http://dove-soft.com" TargetMode="External"/><Relationship Id="rId755" Type="http://schemas.openxmlformats.org/officeDocument/2006/relationships/hyperlink" Target="http://ofx.com" TargetMode="External"/><Relationship Id="rId997" Type="http://schemas.openxmlformats.org/officeDocument/2006/relationships/hyperlink" Target="http://tinuiti.com" TargetMode="External"/><Relationship Id="rId512" Type="http://schemas.openxmlformats.org/officeDocument/2006/relationships/hyperlink" Target="http://nanonets.com" TargetMode="External"/><Relationship Id="rId754" Type="http://schemas.openxmlformats.org/officeDocument/2006/relationships/hyperlink" Target="http://coupa.com" TargetMode="External"/><Relationship Id="rId996" Type="http://schemas.openxmlformats.org/officeDocument/2006/relationships/hyperlink" Target="http://chainalysis.com" TargetMode="External"/><Relationship Id="rId511" Type="http://schemas.openxmlformats.org/officeDocument/2006/relationships/hyperlink" Target="http://launchfast.in" TargetMode="External"/><Relationship Id="rId753" Type="http://schemas.openxmlformats.org/officeDocument/2006/relationships/hyperlink" Target="http://caspio.com" TargetMode="External"/><Relationship Id="rId995" Type="http://schemas.openxmlformats.org/officeDocument/2006/relationships/hyperlink" Target="http://hivebrite.io" TargetMode="External"/><Relationship Id="rId518" Type="http://schemas.openxmlformats.org/officeDocument/2006/relationships/hyperlink" Target="http://ubiquity.com" TargetMode="External"/><Relationship Id="rId517" Type="http://schemas.openxmlformats.org/officeDocument/2006/relationships/hyperlink" Target="http://advance.ai" TargetMode="External"/><Relationship Id="rId759" Type="http://schemas.openxmlformats.org/officeDocument/2006/relationships/hyperlink" Target="http://criticalstart.com" TargetMode="External"/><Relationship Id="rId516" Type="http://schemas.openxmlformats.org/officeDocument/2006/relationships/hyperlink" Target="http://advance.ai" TargetMode="External"/><Relationship Id="rId758" Type="http://schemas.openxmlformats.org/officeDocument/2006/relationships/hyperlink" Target="http://hired.com" TargetMode="External"/><Relationship Id="rId515" Type="http://schemas.openxmlformats.org/officeDocument/2006/relationships/hyperlink" Target="http://technocratshorizons.com" TargetMode="External"/><Relationship Id="rId757" Type="http://schemas.openxmlformats.org/officeDocument/2006/relationships/hyperlink" Target="http://hireez.com" TargetMode="External"/><Relationship Id="rId999" Type="http://schemas.openxmlformats.org/officeDocument/2006/relationships/hyperlink" Target="http://vajro.com" TargetMode="External"/><Relationship Id="rId15" Type="http://schemas.openxmlformats.org/officeDocument/2006/relationships/hyperlink" Target="http://phonepe.com" TargetMode="External"/><Relationship Id="rId990" Type="http://schemas.openxmlformats.org/officeDocument/2006/relationships/hyperlink" Target="http://getbento.com" TargetMode="External"/><Relationship Id="rId14" Type="http://schemas.openxmlformats.org/officeDocument/2006/relationships/hyperlink" Target="http://apartmentlist.com" TargetMode="External"/><Relationship Id="rId17" Type="http://schemas.openxmlformats.org/officeDocument/2006/relationships/hyperlink" Target="http://crestron.com" TargetMode="External"/><Relationship Id="rId16" Type="http://schemas.openxmlformats.org/officeDocument/2006/relationships/hyperlink" Target="http://censys.com" TargetMode="External"/><Relationship Id="rId1340" Type="http://schemas.openxmlformats.org/officeDocument/2006/relationships/hyperlink" Target="http://kontakt.io" TargetMode="External"/><Relationship Id="rId19" Type="http://schemas.openxmlformats.org/officeDocument/2006/relationships/hyperlink" Target="http://jeevaninfotech.com" TargetMode="External"/><Relationship Id="rId510" Type="http://schemas.openxmlformats.org/officeDocument/2006/relationships/hyperlink" Target="http://launchfast.in" TargetMode="External"/><Relationship Id="rId752" Type="http://schemas.openxmlformats.org/officeDocument/2006/relationships/hyperlink" Target="http://ghx.com" TargetMode="External"/><Relationship Id="rId994" Type="http://schemas.openxmlformats.org/officeDocument/2006/relationships/hyperlink" Target="http://cymulate.com" TargetMode="External"/><Relationship Id="rId1341" Type="http://schemas.openxmlformats.org/officeDocument/2006/relationships/hyperlink" Target="http://kontakt.io" TargetMode="External"/><Relationship Id="rId18" Type="http://schemas.openxmlformats.org/officeDocument/2006/relationships/hyperlink" Target="http://loopreturns.com" TargetMode="External"/><Relationship Id="rId751" Type="http://schemas.openxmlformats.org/officeDocument/2006/relationships/hyperlink" Target="http://dataiku.com" TargetMode="External"/><Relationship Id="rId993" Type="http://schemas.openxmlformats.org/officeDocument/2006/relationships/hyperlink" Target="http://workato.com" TargetMode="External"/><Relationship Id="rId1100" Type="http://schemas.openxmlformats.org/officeDocument/2006/relationships/hyperlink" Target="http://auditboard.com" TargetMode="External"/><Relationship Id="rId1342" Type="http://schemas.openxmlformats.org/officeDocument/2006/relationships/hyperlink" Target="http://verifiable.com" TargetMode="External"/><Relationship Id="rId750" Type="http://schemas.openxmlformats.org/officeDocument/2006/relationships/hyperlink" Target="http://cyberark.com" TargetMode="External"/><Relationship Id="rId992" Type="http://schemas.openxmlformats.org/officeDocument/2006/relationships/hyperlink" Target="http://facilio.com" TargetMode="External"/><Relationship Id="rId1101" Type="http://schemas.openxmlformats.org/officeDocument/2006/relationships/hyperlink" Target="http://chargepoint.com" TargetMode="External"/><Relationship Id="rId1343" Type="http://schemas.openxmlformats.org/officeDocument/2006/relationships/hyperlink" Target="http://flywire.com" TargetMode="External"/><Relationship Id="rId991" Type="http://schemas.openxmlformats.org/officeDocument/2006/relationships/hyperlink" Target="http://avalara.com" TargetMode="External"/><Relationship Id="rId1102" Type="http://schemas.openxmlformats.org/officeDocument/2006/relationships/hyperlink" Target="http://appdome.com" TargetMode="External"/><Relationship Id="rId1344" Type="http://schemas.openxmlformats.org/officeDocument/2006/relationships/hyperlink" Target="http://nayax.com" TargetMode="External"/><Relationship Id="rId84" Type="http://schemas.openxmlformats.org/officeDocument/2006/relationships/hyperlink" Target="http://culturalcare.com" TargetMode="External"/><Relationship Id="rId83" Type="http://schemas.openxmlformats.org/officeDocument/2006/relationships/hyperlink" Target="http://wirelessventures.net" TargetMode="External"/><Relationship Id="rId86" Type="http://schemas.openxmlformats.org/officeDocument/2006/relationships/hyperlink" Target="http://atlassian.com" TargetMode="External"/><Relationship Id="rId85" Type="http://schemas.openxmlformats.org/officeDocument/2006/relationships/hyperlink" Target="http://resolve.ai" TargetMode="External"/><Relationship Id="rId88" Type="http://schemas.openxmlformats.org/officeDocument/2006/relationships/hyperlink" Target="http://applify.co" TargetMode="External"/><Relationship Id="rId87" Type="http://schemas.openxmlformats.org/officeDocument/2006/relationships/hyperlink" Target="http://docebo.com" TargetMode="External"/><Relationship Id="rId89" Type="http://schemas.openxmlformats.org/officeDocument/2006/relationships/hyperlink" Target="http://dashsocial.com" TargetMode="External"/><Relationship Id="rId709" Type="http://schemas.openxmlformats.org/officeDocument/2006/relationships/hyperlink" Target="http://covalensedigital.com" TargetMode="External"/><Relationship Id="rId708" Type="http://schemas.openxmlformats.org/officeDocument/2006/relationships/hyperlink" Target="http://rezdy.com" TargetMode="External"/><Relationship Id="rId707" Type="http://schemas.openxmlformats.org/officeDocument/2006/relationships/hyperlink" Target="http://apspayroll.com" TargetMode="External"/><Relationship Id="rId949" Type="http://schemas.openxmlformats.org/officeDocument/2006/relationships/hyperlink" Target="http://revizto.com" TargetMode="External"/><Relationship Id="rId706" Type="http://schemas.openxmlformats.org/officeDocument/2006/relationships/hyperlink" Target="http://evercommerce.com" TargetMode="External"/><Relationship Id="rId948" Type="http://schemas.openxmlformats.org/officeDocument/2006/relationships/hyperlink" Target="http://telstrahealth.com" TargetMode="External"/><Relationship Id="rId80" Type="http://schemas.openxmlformats.org/officeDocument/2006/relationships/hyperlink" Target="http://athleaders.co" TargetMode="External"/><Relationship Id="rId82" Type="http://schemas.openxmlformats.org/officeDocument/2006/relationships/hyperlink" Target="http://suralink.com" TargetMode="External"/><Relationship Id="rId81" Type="http://schemas.openxmlformats.org/officeDocument/2006/relationships/hyperlink" Target="http://visanahealth.com" TargetMode="External"/><Relationship Id="rId701" Type="http://schemas.openxmlformats.org/officeDocument/2006/relationships/hyperlink" Target="http://grazitti.com" TargetMode="External"/><Relationship Id="rId943" Type="http://schemas.openxmlformats.org/officeDocument/2006/relationships/hyperlink" Target="http://gigaspaces.com" TargetMode="External"/><Relationship Id="rId700" Type="http://schemas.openxmlformats.org/officeDocument/2006/relationships/hyperlink" Target="http://incredibuild.com" TargetMode="External"/><Relationship Id="rId942" Type="http://schemas.openxmlformats.org/officeDocument/2006/relationships/hyperlink" Target="http://aumet.com" TargetMode="External"/><Relationship Id="rId941" Type="http://schemas.openxmlformats.org/officeDocument/2006/relationships/hyperlink" Target="http://dronedeploy.com" TargetMode="External"/><Relationship Id="rId940" Type="http://schemas.openxmlformats.org/officeDocument/2006/relationships/hyperlink" Target="http://tpisoftware.com" TargetMode="External"/><Relationship Id="rId705" Type="http://schemas.openxmlformats.org/officeDocument/2006/relationships/hyperlink" Target="http://subsplash.com" TargetMode="External"/><Relationship Id="rId947" Type="http://schemas.openxmlformats.org/officeDocument/2006/relationships/hyperlink" Target="http://ignitionapp.com" TargetMode="External"/><Relationship Id="rId704" Type="http://schemas.openxmlformats.org/officeDocument/2006/relationships/hyperlink" Target="http://paradox.ai" TargetMode="External"/><Relationship Id="rId946" Type="http://schemas.openxmlformats.org/officeDocument/2006/relationships/hyperlink" Target="http://optiva.com" TargetMode="External"/><Relationship Id="rId703" Type="http://schemas.openxmlformats.org/officeDocument/2006/relationships/hyperlink" Target="http://extend.com" TargetMode="External"/><Relationship Id="rId945" Type="http://schemas.openxmlformats.org/officeDocument/2006/relationships/hyperlink" Target="http://brandlive.com" TargetMode="External"/><Relationship Id="rId702" Type="http://schemas.openxmlformats.org/officeDocument/2006/relationships/hyperlink" Target="http://adroll.com" TargetMode="External"/><Relationship Id="rId944" Type="http://schemas.openxmlformats.org/officeDocument/2006/relationships/hyperlink" Target="http://pecan.ai" TargetMode="External"/><Relationship Id="rId73" Type="http://schemas.openxmlformats.org/officeDocument/2006/relationships/hyperlink" Target="http://strsi.com" TargetMode="External"/><Relationship Id="rId72" Type="http://schemas.openxmlformats.org/officeDocument/2006/relationships/hyperlink" Target="http://banyaninfrastructure.com" TargetMode="External"/><Relationship Id="rId75" Type="http://schemas.openxmlformats.org/officeDocument/2006/relationships/hyperlink" Target="http://spreadthejoy.org" TargetMode="External"/><Relationship Id="rId74" Type="http://schemas.openxmlformats.org/officeDocument/2006/relationships/hyperlink" Target="http://sycurio.com" TargetMode="External"/><Relationship Id="rId77" Type="http://schemas.openxmlformats.org/officeDocument/2006/relationships/hyperlink" Target="http://togetherplatform.com" TargetMode="External"/><Relationship Id="rId76" Type="http://schemas.openxmlformats.org/officeDocument/2006/relationships/hyperlink" Target="http://aceve.com" TargetMode="External"/><Relationship Id="rId79" Type="http://schemas.openxmlformats.org/officeDocument/2006/relationships/hyperlink" Target="http://freschesolutions.com" TargetMode="External"/><Relationship Id="rId78" Type="http://schemas.openxmlformats.org/officeDocument/2006/relationships/hyperlink" Target="http://arrowfinishing.com" TargetMode="External"/><Relationship Id="rId939" Type="http://schemas.openxmlformats.org/officeDocument/2006/relationships/hyperlink" Target="http://kore.ai" TargetMode="External"/><Relationship Id="rId938" Type="http://schemas.openxmlformats.org/officeDocument/2006/relationships/hyperlink" Target="http://kore.ai" TargetMode="External"/><Relationship Id="rId937" Type="http://schemas.openxmlformats.org/officeDocument/2006/relationships/hyperlink" Target="http://mongodb.com" TargetMode="External"/><Relationship Id="rId71" Type="http://schemas.openxmlformats.org/officeDocument/2006/relationships/hyperlink" Target="http://zohomail.in" TargetMode="External"/><Relationship Id="rId70" Type="http://schemas.openxmlformats.org/officeDocument/2006/relationships/hyperlink" Target="http://voxelai.com" TargetMode="External"/><Relationship Id="rId932" Type="http://schemas.openxmlformats.org/officeDocument/2006/relationships/hyperlink" Target="http://stackoverflow.com" TargetMode="External"/><Relationship Id="rId931" Type="http://schemas.openxmlformats.org/officeDocument/2006/relationships/hyperlink" Target="http://hubilo.com" TargetMode="External"/><Relationship Id="rId930" Type="http://schemas.openxmlformats.org/officeDocument/2006/relationships/hyperlink" Target="http://joinhandshake.com" TargetMode="External"/><Relationship Id="rId936" Type="http://schemas.openxmlformats.org/officeDocument/2006/relationships/hyperlink" Target="http://f5.com" TargetMode="External"/><Relationship Id="rId935" Type="http://schemas.openxmlformats.org/officeDocument/2006/relationships/hyperlink" Target="http://hibob.com" TargetMode="External"/><Relationship Id="rId934" Type="http://schemas.openxmlformats.org/officeDocument/2006/relationships/hyperlink" Target="http://checkpoint.com" TargetMode="External"/><Relationship Id="rId933" Type="http://schemas.openxmlformats.org/officeDocument/2006/relationships/hyperlink" Target="http://solace.com" TargetMode="External"/><Relationship Id="rId62" Type="http://schemas.openxmlformats.org/officeDocument/2006/relationships/hyperlink" Target="http://qualysec.com" TargetMode="External"/><Relationship Id="rId1312" Type="http://schemas.openxmlformats.org/officeDocument/2006/relationships/hyperlink" Target="http://airslate.com" TargetMode="External"/><Relationship Id="rId61" Type="http://schemas.openxmlformats.org/officeDocument/2006/relationships/hyperlink" Target="http://cube-digital.io" TargetMode="External"/><Relationship Id="rId1313" Type="http://schemas.openxmlformats.org/officeDocument/2006/relationships/hyperlink" Target="http://automox.com" TargetMode="External"/><Relationship Id="rId64" Type="http://schemas.openxmlformats.org/officeDocument/2006/relationships/hyperlink" Target="http://samivy.com" TargetMode="External"/><Relationship Id="rId1314" Type="http://schemas.openxmlformats.org/officeDocument/2006/relationships/hyperlink" Target="http://lvt.com" TargetMode="External"/><Relationship Id="rId63" Type="http://schemas.openxmlformats.org/officeDocument/2006/relationships/hyperlink" Target="http://rentana.io" TargetMode="External"/><Relationship Id="rId1315" Type="http://schemas.openxmlformats.org/officeDocument/2006/relationships/hyperlink" Target="http://papayaglobal.com" TargetMode="External"/><Relationship Id="rId66" Type="http://schemas.openxmlformats.org/officeDocument/2006/relationships/hyperlink" Target="http://everlylife.com" TargetMode="External"/><Relationship Id="rId1316" Type="http://schemas.openxmlformats.org/officeDocument/2006/relationships/hyperlink" Target="http://domo.com" TargetMode="External"/><Relationship Id="rId65" Type="http://schemas.openxmlformats.org/officeDocument/2006/relationships/hyperlink" Target="http://usemultiplier.com" TargetMode="External"/><Relationship Id="rId1317" Type="http://schemas.openxmlformats.org/officeDocument/2006/relationships/hyperlink" Target="http://callminer.com" TargetMode="External"/><Relationship Id="rId68" Type="http://schemas.openxmlformats.org/officeDocument/2006/relationships/hyperlink" Target="http://documentcrunch.com" TargetMode="External"/><Relationship Id="rId1318" Type="http://schemas.openxmlformats.org/officeDocument/2006/relationships/hyperlink" Target="http://fingerprint.com" TargetMode="External"/><Relationship Id="rId67" Type="http://schemas.openxmlformats.org/officeDocument/2006/relationships/hyperlink" Target="http://advantive.com" TargetMode="External"/><Relationship Id="rId1319" Type="http://schemas.openxmlformats.org/officeDocument/2006/relationships/hyperlink" Target="http://goteleport.com" TargetMode="External"/><Relationship Id="rId729" Type="http://schemas.openxmlformats.org/officeDocument/2006/relationships/hyperlink" Target="http://boomi.com" TargetMode="External"/><Relationship Id="rId728" Type="http://schemas.openxmlformats.org/officeDocument/2006/relationships/hyperlink" Target="http://mimecast.com" TargetMode="External"/><Relationship Id="rId60" Type="http://schemas.openxmlformats.org/officeDocument/2006/relationships/hyperlink" Target="http://bugcrowdninja.com" TargetMode="External"/><Relationship Id="rId723" Type="http://schemas.openxmlformats.org/officeDocument/2006/relationships/hyperlink" Target="http://netradyne.com" TargetMode="External"/><Relationship Id="rId965" Type="http://schemas.openxmlformats.org/officeDocument/2006/relationships/hyperlink" Target="http://justworks.com" TargetMode="External"/><Relationship Id="rId722" Type="http://schemas.openxmlformats.org/officeDocument/2006/relationships/hyperlink" Target="http://menlosecurity.com" TargetMode="External"/><Relationship Id="rId964" Type="http://schemas.openxmlformats.org/officeDocument/2006/relationships/hyperlink" Target="http://swiftly.com" TargetMode="External"/><Relationship Id="rId721" Type="http://schemas.openxmlformats.org/officeDocument/2006/relationships/hyperlink" Target="http://appfolio.com" TargetMode="External"/><Relationship Id="rId963" Type="http://schemas.openxmlformats.org/officeDocument/2006/relationships/hyperlink" Target="http://granicus.com" TargetMode="External"/><Relationship Id="rId720" Type="http://schemas.openxmlformats.org/officeDocument/2006/relationships/hyperlink" Target="http://abnormal.ai" TargetMode="External"/><Relationship Id="rId962" Type="http://schemas.openxmlformats.org/officeDocument/2006/relationships/hyperlink" Target="http://ezcater.com" TargetMode="External"/><Relationship Id="rId727" Type="http://schemas.openxmlformats.org/officeDocument/2006/relationships/hyperlink" Target="http://trustwave.com" TargetMode="External"/><Relationship Id="rId969" Type="http://schemas.openxmlformats.org/officeDocument/2006/relationships/hyperlink" Target="http://akinon.com" TargetMode="External"/><Relationship Id="rId726" Type="http://schemas.openxmlformats.org/officeDocument/2006/relationships/hyperlink" Target="http://synack.com" TargetMode="External"/><Relationship Id="rId968" Type="http://schemas.openxmlformats.org/officeDocument/2006/relationships/hyperlink" Target="http://juspay.in" TargetMode="External"/><Relationship Id="rId725" Type="http://schemas.openxmlformats.org/officeDocument/2006/relationships/hyperlink" Target="http://synack.com" TargetMode="External"/><Relationship Id="rId967" Type="http://schemas.openxmlformats.org/officeDocument/2006/relationships/hyperlink" Target="http://operto.com" TargetMode="External"/><Relationship Id="rId724" Type="http://schemas.openxmlformats.org/officeDocument/2006/relationships/hyperlink" Target="http://symplr.com" TargetMode="External"/><Relationship Id="rId966" Type="http://schemas.openxmlformats.org/officeDocument/2006/relationships/hyperlink" Target="http://resy.com" TargetMode="External"/><Relationship Id="rId69" Type="http://schemas.openxmlformats.org/officeDocument/2006/relationships/hyperlink" Target="http://redroverk12.com" TargetMode="External"/><Relationship Id="rId961" Type="http://schemas.openxmlformats.org/officeDocument/2006/relationships/hyperlink" Target="http://panaya.com" TargetMode="External"/><Relationship Id="rId960" Type="http://schemas.openxmlformats.org/officeDocument/2006/relationships/hyperlink" Target="http://qure.ai" TargetMode="External"/><Relationship Id="rId1310" Type="http://schemas.openxmlformats.org/officeDocument/2006/relationships/hyperlink" Target="http://cdata.com" TargetMode="External"/><Relationship Id="rId1311" Type="http://schemas.openxmlformats.org/officeDocument/2006/relationships/hyperlink" Target="http://taboola.com" TargetMode="External"/><Relationship Id="rId51" Type="http://schemas.openxmlformats.org/officeDocument/2006/relationships/hyperlink" Target="http://fastbreak.ai" TargetMode="External"/><Relationship Id="rId1301" Type="http://schemas.openxmlformats.org/officeDocument/2006/relationships/hyperlink" Target="http://vmray.com" TargetMode="External"/><Relationship Id="rId50" Type="http://schemas.openxmlformats.org/officeDocument/2006/relationships/hyperlink" Target="http://sprinto.com" TargetMode="External"/><Relationship Id="rId1302" Type="http://schemas.openxmlformats.org/officeDocument/2006/relationships/hyperlink" Target="http://genasys.com" TargetMode="External"/><Relationship Id="rId53" Type="http://schemas.openxmlformats.org/officeDocument/2006/relationships/hyperlink" Target="http://motivity.net" TargetMode="External"/><Relationship Id="rId1303" Type="http://schemas.openxmlformats.org/officeDocument/2006/relationships/hyperlink" Target="http://pubmatic.com" TargetMode="External"/><Relationship Id="rId52" Type="http://schemas.openxmlformats.org/officeDocument/2006/relationships/hyperlink" Target="http://trysparrow.com" TargetMode="External"/><Relationship Id="rId1304" Type="http://schemas.openxmlformats.org/officeDocument/2006/relationships/hyperlink" Target="http://talkdesk.com" TargetMode="External"/><Relationship Id="rId55" Type="http://schemas.openxmlformats.org/officeDocument/2006/relationships/hyperlink" Target="http://tallysolutions.com" TargetMode="External"/><Relationship Id="rId1305" Type="http://schemas.openxmlformats.org/officeDocument/2006/relationships/hyperlink" Target="http://everestgrp.com" TargetMode="External"/><Relationship Id="rId54" Type="http://schemas.openxmlformats.org/officeDocument/2006/relationships/hyperlink" Target="http://p2p.org" TargetMode="External"/><Relationship Id="rId1306" Type="http://schemas.openxmlformats.org/officeDocument/2006/relationships/hyperlink" Target="http://digitalocean.com" TargetMode="External"/><Relationship Id="rId57" Type="http://schemas.openxmlformats.org/officeDocument/2006/relationships/hyperlink" Target="http://icousd.com" TargetMode="External"/><Relationship Id="rId1307" Type="http://schemas.openxmlformats.org/officeDocument/2006/relationships/hyperlink" Target="http://mindbodyonline.com" TargetMode="External"/><Relationship Id="rId56" Type="http://schemas.openxmlformats.org/officeDocument/2006/relationships/hyperlink" Target="http://tallysolutions.com" TargetMode="External"/><Relationship Id="rId1308" Type="http://schemas.openxmlformats.org/officeDocument/2006/relationships/hyperlink" Target="http://rahi.io" TargetMode="External"/><Relationship Id="rId1309" Type="http://schemas.openxmlformats.org/officeDocument/2006/relationships/hyperlink" Target="http://medallion.co" TargetMode="External"/><Relationship Id="rId719" Type="http://schemas.openxmlformats.org/officeDocument/2006/relationships/hyperlink" Target="http://triplelift.com" TargetMode="External"/><Relationship Id="rId718" Type="http://schemas.openxmlformats.org/officeDocument/2006/relationships/hyperlink" Target="http://skuad.io" TargetMode="External"/><Relationship Id="rId717" Type="http://schemas.openxmlformats.org/officeDocument/2006/relationships/hyperlink" Target="http://brightedge.com" TargetMode="External"/><Relationship Id="rId959" Type="http://schemas.openxmlformats.org/officeDocument/2006/relationships/hyperlink" Target="http://qure.ai" TargetMode="External"/><Relationship Id="rId712" Type="http://schemas.openxmlformats.org/officeDocument/2006/relationships/hyperlink" Target="http://cubictelecom.com" TargetMode="External"/><Relationship Id="rId954" Type="http://schemas.openxmlformats.org/officeDocument/2006/relationships/hyperlink" Target="http://adrenalin.hr" TargetMode="External"/><Relationship Id="rId711" Type="http://schemas.openxmlformats.org/officeDocument/2006/relationships/hyperlink" Target="http://blumeglobal.com" TargetMode="External"/><Relationship Id="rId953" Type="http://schemas.openxmlformats.org/officeDocument/2006/relationships/hyperlink" Target="http://myadrenalin.com" TargetMode="External"/><Relationship Id="rId710" Type="http://schemas.openxmlformats.org/officeDocument/2006/relationships/hyperlink" Target="http://vfirst.com" TargetMode="External"/><Relationship Id="rId952" Type="http://schemas.openxmlformats.org/officeDocument/2006/relationships/hyperlink" Target="http://getxeno.com" TargetMode="External"/><Relationship Id="rId951" Type="http://schemas.openxmlformats.org/officeDocument/2006/relationships/hyperlink" Target="http://arconnet.com" TargetMode="External"/><Relationship Id="rId716" Type="http://schemas.openxmlformats.org/officeDocument/2006/relationships/hyperlink" Target="http://algonomy.com" TargetMode="External"/><Relationship Id="rId958" Type="http://schemas.openxmlformats.org/officeDocument/2006/relationships/hyperlink" Target="http://blueprism.com" TargetMode="External"/><Relationship Id="rId715" Type="http://schemas.openxmlformats.org/officeDocument/2006/relationships/hyperlink" Target="http://leena.ai" TargetMode="External"/><Relationship Id="rId957" Type="http://schemas.openxmlformats.org/officeDocument/2006/relationships/hyperlink" Target="http://eset.com" TargetMode="External"/><Relationship Id="rId714" Type="http://schemas.openxmlformats.org/officeDocument/2006/relationships/hyperlink" Target="http://cordial.com" TargetMode="External"/><Relationship Id="rId956" Type="http://schemas.openxmlformats.org/officeDocument/2006/relationships/hyperlink" Target="http://prosites.com" TargetMode="External"/><Relationship Id="rId713" Type="http://schemas.openxmlformats.org/officeDocument/2006/relationships/hyperlink" Target="http://brandwatch.com" TargetMode="External"/><Relationship Id="rId955" Type="http://schemas.openxmlformats.org/officeDocument/2006/relationships/hyperlink" Target="http://resulticks.com" TargetMode="External"/><Relationship Id="rId59" Type="http://schemas.openxmlformats.org/officeDocument/2006/relationships/hyperlink" Target="http://magicbricks.com" TargetMode="External"/><Relationship Id="rId58" Type="http://schemas.openxmlformats.org/officeDocument/2006/relationships/hyperlink" Target="http://certbar.com" TargetMode="External"/><Relationship Id="rId950" Type="http://schemas.openxmlformats.org/officeDocument/2006/relationships/hyperlink" Target="http://acronis.com" TargetMode="External"/><Relationship Id="rId1300" Type="http://schemas.openxmlformats.org/officeDocument/2006/relationships/hyperlink" Target="http://cyesec.com" TargetMode="External"/><Relationship Id="rId590" Type="http://schemas.openxmlformats.org/officeDocument/2006/relationships/hyperlink" Target="http://impact.com" TargetMode="External"/><Relationship Id="rId107" Type="http://schemas.openxmlformats.org/officeDocument/2006/relationships/hyperlink" Target="http://permutive.com" TargetMode="External"/><Relationship Id="rId349" Type="http://schemas.openxmlformats.org/officeDocument/2006/relationships/hyperlink" Target="http://rewaatech.com" TargetMode="External"/><Relationship Id="rId106" Type="http://schemas.openxmlformats.org/officeDocument/2006/relationships/hyperlink" Target="http://agencybloc.com" TargetMode="External"/><Relationship Id="rId348" Type="http://schemas.openxmlformats.org/officeDocument/2006/relationships/hyperlink" Target="http://recastsoftware.com" TargetMode="External"/><Relationship Id="rId105" Type="http://schemas.openxmlformats.org/officeDocument/2006/relationships/hyperlink" Target="http://avidxchange.com" TargetMode="External"/><Relationship Id="rId347" Type="http://schemas.openxmlformats.org/officeDocument/2006/relationships/hyperlink" Target="http://simplicontract.com" TargetMode="External"/><Relationship Id="rId589" Type="http://schemas.openxmlformats.org/officeDocument/2006/relationships/hyperlink" Target="http://founderlink.ai" TargetMode="External"/><Relationship Id="rId104" Type="http://schemas.openxmlformats.org/officeDocument/2006/relationships/hyperlink" Target="http://sailpoint.com" TargetMode="External"/><Relationship Id="rId346" Type="http://schemas.openxmlformats.org/officeDocument/2006/relationships/hyperlink" Target="http://mparticle.com" TargetMode="External"/><Relationship Id="rId588" Type="http://schemas.openxmlformats.org/officeDocument/2006/relationships/hyperlink" Target="http://founderlink.ai" TargetMode="External"/><Relationship Id="rId109" Type="http://schemas.openxmlformats.org/officeDocument/2006/relationships/hyperlink" Target="http://spotlightmediafargo.com" TargetMode="External"/><Relationship Id="rId1170" Type="http://schemas.openxmlformats.org/officeDocument/2006/relationships/hyperlink" Target="http://kontakt.io" TargetMode="External"/><Relationship Id="rId108" Type="http://schemas.openxmlformats.org/officeDocument/2006/relationships/hyperlink" Target="http://pella.com" TargetMode="External"/><Relationship Id="rId1171" Type="http://schemas.openxmlformats.org/officeDocument/2006/relationships/hyperlink" Target="http://kontakt.io" TargetMode="External"/><Relationship Id="rId341" Type="http://schemas.openxmlformats.org/officeDocument/2006/relationships/hyperlink" Target="http://notablehealth.com" TargetMode="External"/><Relationship Id="rId583" Type="http://schemas.openxmlformats.org/officeDocument/2006/relationships/hyperlink" Target="http://thewritingproject.com" TargetMode="External"/><Relationship Id="rId1172" Type="http://schemas.openxmlformats.org/officeDocument/2006/relationships/hyperlink" Target="http://ripple.com" TargetMode="External"/><Relationship Id="rId340" Type="http://schemas.openxmlformats.org/officeDocument/2006/relationships/hyperlink" Target="http://mailmodo.com" TargetMode="External"/><Relationship Id="rId582" Type="http://schemas.openxmlformats.org/officeDocument/2006/relationships/hyperlink" Target="http://iimbg.ac.in" TargetMode="External"/><Relationship Id="rId1173" Type="http://schemas.openxmlformats.org/officeDocument/2006/relationships/hyperlink" Target="http://bugcrowd.com" TargetMode="External"/><Relationship Id="rId581" Type="http://schemas.openxmlformats.org/officeDocument/2006/relationships/hyperlink" Target="http://ormae.com" TargetMode="External"/><Relationship Id="rId1174" Type="http://schemas.openxmlformats.org/officeDocument/2006/relationships/hyperlink" Target="http://briq.com" TargetMode="External"/><Relationship Id="rId580" Type="http://schemas.openxmlformats.org/officeDocument/2006/relationships/hyperlink" Target="http://telgani.com" TargetMode="External"/><Relationship Id="rId1175" Type="http://schemas.openxmlformats.org/officeDocument/2006/relationships/hyperlink" Target="http://domo.com" TargetMode="External"/><Relationship Id="rId103" Type="http://schemas.openxmlformats.org/officeDocument/2006/relationships/hyperlink" Target="http://masspay.io" TargetMode="External"/><Relationship Id="rId345" Type="http://schemas.openxmlformats.org/officeDocument/2006/relationships/hyperlink" Target="http://sundaysky.com" TargetMode="External"/><Relationship Id="rId587" Type="http://schemas.openxmlformats.org/officeDocument/2006/relationships/hyperlink" Target="http://ataccama.com" TargetMode="External"/><Relationship Id="rId1176" Type="http://schemas.openxmlformats.org/officeDocument/2006/relationships/hyperlink" Target="http://clear.in" TargetMode="External"/><Relationship Id="rId102" Type="http://schemas.openxmlformats.org/officeDocument/2006/relationships/hyperlink" Target="http://rtgecommerce.com" TargetMode="External"/><Relationship Id="rId344" Type="http://schemas.openxmlformats.org/officeDocument/2006/relationships/hyperlink" Target="http://getcakewalktest.com" TargetMode="External"/><Relationship Id="rId586" Type="http://schemas.openxmlformats.org/officeDocument/2006/relationships/hyperlink" Target="http://mpp.co.in" TargetMode="External"/><Relationship Id="rId1177" Type="http://schemas.openxmlformats.org/officeDocument/2006/relationships/hyperlink" Target="http://phenom.com" TargetMode="External"/><Relationship Id="rId101" Type="http://schemas.openxmlformats.org/officeDocument/2006/relationships/hyperlink" Target="http://versatil.vc" TargetMode="External"/><Relationship Id="rId343" Type="http://schemas.openxmlformats.org/officeDocument/2006/relationships/hyperlink" Target="http://getcakewalktest.com" TargetMode="External"/><Relationship Id="rId585" Type="http://schemas.openxmlformats.org/officeDocument/2006/relationships/hyperlink" Target="http://xuriti.com" TargetMode="External"/><Relationship Id="rId1178" Type="http://schemas.openxmlformats.org/officeDocument/2006/relationships/hyperlink" Target="http://kapturecrm.com" TargetMode="External"/><Relationship Id="rId100" Type="http://schemas.openxmlformats.org/officeDocument/2006/relationships/hyperlink" Target="http://kortext.com" TargetMode="External"/><Relationship Id="rId342" Type="http://schemas.openxmlformats.org/officeDocument/2006/relationships/hyperlink" Target="http://alchemer.com" TargetMode="External"/><Relationship Id="rId584" Type="http://schemas.openxmlformats.org/officeDocument/2006/relationships/hyperlink" Target="http://xuriti.com" TargetMode="External"/><Relationship Id="rId1179" Type="http://schemas.openxmlformats.org/officeDocument/2006/relationships/hyperlink" Target="http://foodics.com" TargetMode="External"/><Relationship Id="rId1169" Type="http://schemas.openxmlformats.org/officeDocument/2006/relationships/hyperlink" Target="http://infoedge.com" TargetMode="External"/><Relationship Id="rId338" Type="http://schemas.openxmlformats.org/officeDocument/2006/relationships/hyperlink" Target="http://neuron7.ai" TargetMode="External"/><Relationship Id="rId337" Type="http://schemas.openxmlformats.org/officeDocument/2006/relationships/hyperlink" Target="http://neuron7.ai" TargetMode="External"/><Relationship Id="rId579" Type="http://schemas.openxmlformats.org/officeDocument/2006/relationships/hyperlink" Target="http://bumpin.io" TargetMode="External"/><Relationship Id="rId336" Type="http://schemas.openxmlformats.org/officeDocument/2006/relationships/hyperlink" Target="http://testsigma.com" TargetMode="External"/><Relationship Id="rId578" Type="http://schemas.openxmlformats.org/officeDocument/2006/relationships/hyperlink" Target="http://bumpin.io" TargetMode="External"/><Relationship Id="rId335" Type="http://schemas.openxmlformats.org/officeDocument/2006/relationships/hyperlink" Target="http://woomio.com" TargetMode="External"/><Relationship Id="rId577" Type="http://schemas.openxmlformats.org/officeDocument/2006/relationships/hyperlink" Target="http://mk2v.com" TargetMode="External"/><Relationship Id="rId339" Type="http://schemas.openxmlformats.org/officeDocument/2006/relationships/hyperlink" Target="http://epignosishq.com" TargetMode="External"/><Relationship Id="rId1160" Type="http://schemas.openxmlformats.org/officeDocument/2006/relationships/hyperlink" Target="http://vts.com" TargetMode="External"/><Relationship Id="rId330" Type="http://schemas.openxmlformats.org/officeDocument/2006/relationships/hyperlink" Target="http://everlaw.com" TargetMode="External"/><Relationship Id="rId572" Type="http://schemas.openxmlformats.org/officeDocument/2006/relationships/hyperlink" Target="http://woodpecker.co" TargetMode="External"/><Relationship Id="rId1161" Type="http://schemas.openxmlformats.org/officeDocument/2006/relationships/hyperlink" Target="http://stova.io" TargetMode="External"/><Relationship Id="rId571" Type="http://schemas.openxmlformats.org/officeDocument/2006/relationships/hyperlink" Target="http://woodpecker.co" TargetMode="External"/><Relationship Id="rId1162" Type="http://schemas.openxmlformats.org/officeDocument/2006/relationships/hyperlink" Target="http://ideas.com" TargetMode="External"/><Relationship Id="rId570" Type="http://schemas.openxmlformats.org/officeDocument/2006/relationships/hyperlink" Target="http://samparksoftwares.com" TargetMode="External"/><Relationship Id="rId1163" Type="http://schemas.openxmlformats.org/officeDocument/2006/relationships/hyperlink" Target="http://jugnoo.io" TargetMode="External"/><Relationship Id="rId1164" Type="http://schemas.openxmlformats.org/officeDocument/2006/relationships/hyperlink" Target="http://consoleconnect.com" TargetMode="External"/><Relationship Id="rId334" Type="http://schemas.openxmlformats.org/officeDocument/2006/relationships/hyperlink" Target="http://insightinhealth.com" TargetMode="External"/><Relationship Id="rId576" Type="http://schemas.openxmlformats.org/officeDocument/2006/relationships/hyperlink" Target="http://naturalremedy.com" TargetMode="External"/><Relationship Id="rId1165" Type="http://schemas.openxmlformats.org/officeDocument/2006/relationships/hyperlink" Target="http://adaptavist.com" TargetMode="External"/><Relationship Id="rId333" Type="http://schemas.openxmlformats.org/officeDocument/2006/relationships/hyperlink" Target="http://dixa.com" TargetMode="External"/><Relationship Id="rId575" Type="http://schemas.openxmlformats.org/officeDocument/2006/relationships/hyperlink" Target="http://writeplus.co" TargetMode="External"/><Relationship Id="rId1166" Type="http://schemas.openxmlformats.org/officeDocument/2006/relationships/hyperlink" Target="http://ramanuj.am" TargetMode="External"/><Relationship Id="rId332" Type="http://schemas.openxmlformats.org/officeDocument/2006/relationships/hyperlink" Target="http://openlane.com" TargetMode="External"/><Relationship Id="rId574" Type="http://schemas.openxmlformats.org/officeDocument/2006/relationships/hyperlink" Target="http://sprinto.com" TargetMode="External"/><Relationship Id="rId1167" Type="http://schemas.openxmlformats.org/officeDocument/2006/relationships/hyperlink" Target="http://ramanuj.am" TargetMode="External"/><Relationship Id="rId331" Type="http://schemas.openxmlformats.org/officeDocument/2006/relationships/hyperlink" Target="http://jellyfish.co" TargetMode="External"/><Relationship Id="rId573" Type="http://schemas.openxmlformats.org/officeDocument/2006/relationships/hyperlink" Target="http://betterplace.co.in" TargetMode="External"/><Relationship Id="rId1168" Type="http://schemas.openxmlformats.org/officeDocument/2006/relationships/hyperlink" Target="http://accolade.com" TargetMode="External"/><Relationship Id="rId370" Type="http://schemas.openxmlformats.org/officeDocument/2006/relationships/hyperlink" Target="http://propertymeld.com" TargetMode="External"/><Relationship Id="rId129" Type="http://schemas.openxmlformats.org/officeDocument/2006/relationships/hyperlink" Target="http://deel.com" TargetMode="External"/><Relationship Id="rId128" Type="http://schemas.openxmlformats.org/officeDocument/2006/relationships/hyperlink" Target="http://billd.com" TargetMode="External"/><Relationship Id="rId127" Type="http://schemas.openxmlformats.org/officeDocument/2006/relationships/hyperlink" Target="http://dexian.com" TargetMode="External"/><Relationship Id="rId369" Type="http://schemas.openxmlformats.org/officeDocument/2006/relationships/hyperlink" Target="http://sulamanahmed.com" TargetMode="External"/><Relationship Id="rId126" Type="http://schemas.openxmlformats.org/officeDocument/2006/relationships/hyperlink" Target="http://emersonrogers.com" TargetMode="External"/><Relationship Id="rId368" Type="http://schemas.openxmlformats.org/officeDocument/2006/relationships/hyperlink" Target="http://lji.io" TargetMode="External"/><Relationship Id="rId1190" Type="http://schemas.openxmlformats.org/officeDocument/2006/relationships/hyperlink" Target="http://paperlessparts.com" TargetMode="External"/><Relationship Id="rId1191" Type="http://schemas.openxmlformats.org/officeDocument/2006/relationships/hyperlink" Target="http://daxko.com" TargetMode="External"/><Relationship Id="rId1192" Type="http://schemas.openxmlformats.org/officeDocument/2006/relationships/hyperlink" Target="http://fusionconnect.com" TargetMode="External"/><Relationship Id="rId1193" Type="http://schemas.openxmlformats.org/officeDocument/2006/relationships/hyperlink" Target="http://avetta.com" TargetMode="External"/><Relationship Id="rId121" Type="http://schemas.openxmlformats.org/officeDocument/2006/relationships/hyperlink" Target="http://g.risd.org" TargetMode="External"/><Relationship Id="rId363" Type="http://schemas.openxmlformats.org/officeDocument/2006/relationships/hyperlink" Target="http://decorlanein.com" TargetMode="External"/><Relationship Id="rId1194" Type="http://schemas.openxmlformats.org/officeDocument/2006/relationships/hyperlink" Target="http://turing.com" TargetMode="External"/><Relationship Id="rId120" Type="http://schemas.openxmlformats.org/officeDocument/2006/relationships/hyperlink" Target="http://phonepe.com" TargetMode="External"/><Relationship Id="rId362" Type="http://schemas.openxmlformats.org/officeDocument/2006/relationships/hyperlink" Target="http://usa-hogan.com" TargetMode="External"/><Relationship Id="rId1195" Type="http://schemas.openxmlformats.org/officeDocument/2006/relationships/hyperlink" Target="http://walkme.com" TargetMode="External"/><Relationship Id="rId361" Type="http://schemas.openxmlformats.org/officeDocument/2006/relationships/hyperlink" Target="http://usa-hogan.com" TargetMode="External"/><Relationship Id="rId1196" Type="http://schemas.openxmlformats.org/officeDocument/2006/relationships/hyperlink" Target="http://icertis.com" TargetMode="External"/><Relationship Id="rId360" Type="http://schemas.openxmlformats.org/officeDocument/2006/relationships/hyperlink" Target="http://enthu.com" TargetMode="External"/><Relationship Id="rId1197" Type="http://schemas.openxmlformats.org/officeDocument/2006/relationships/hyperlink" Target="http://devrev.ai" TargetMode="External"/><Relationship Id="rId125" Type="http://schemas.openxmlformats.org/officeDocument/2006/relationships/hyperlink" Target="http://clayton.k12.ga.us" TargetMode="External"/><Relationship Id="rId367" Type="http://schemas.openxmlformats.org/officeDocument/2006/relationships/hyperlink" Target="http://spotdraft.com" TargetMode="External"/><Relationship Id="rId1198" Type="http://schemas.openxmlformats.org/officeDocument/2006/relationships/hyperlink" Target="http://builder.ai" TargetMode="External"/><Relationship Id="rId124" Type="http://schemas.openxmlformats.org/officeDocument/2006/relationships/hyperlink" Target="http://ursa8films.com" TargetMode="External"/><Relationship Id="rId366" Type="http://schemas.openxmlformats.org/officeDocument/2006/relationships/hyperlink" Target="http://rizitea.com" TargetMode="External"/><Relationship Id="rId1199" Type="http://schemas.openxmlformats.org/officeDocument/2006/relationships/hyperlink" Target="http://builder.ai" TargetMode="External"/><Relationship Id="rId123" Type="http://schemas.openxmlformats.org/officeDocument/2006/relationships/hyperlink" Target="http://you.com" TargetMode="External"/><Relationship Id="rId365" Type="http://schemas.openxmlformats.org/officeDocument/2006/relationships/hyperlink" Target="http://rizitea.com" TargetMode="External"/><Relationship Id="rId122" Type="http://schemas.openxmlformats.org/officeDocument/2006/relationships/hyperlink" Target="http://you.com" TargetMode="External"/><Relationship Id="rId364" Type="http://schemas.openxmlformats.org/officeDocument/2006/relationships/hyperlink" Target="http://covergenius.com" TargetMode="External"/><Relationship Id="rId95" Type="http://schemas.openxmlformats.org/officeDocument/2006/relationships/hyperlink" Target="http://sendtrumpet.com" TargetMode="External"/><Relationship Id="rId94" Type="http://schemas.openxmlformats.org/officeDocument/2006/relationships/hyperlink" Target="http://armorcode.com" TargetMode="External"/><Relationship Id="rId97" Type="http://schemas.openxmlformats.org/officeDocument/2006/relationships/hyperlink" Target="http://maggicowlan.com" TargetMode="External"/><Relationship Id="rId96" Type="http://schemas.openxmlformats.org/officeDocument/2006/relationships/hyperlink" Target="http://teramind.co" TargetMode="External"/><Relationship Id="rId99" Type="http://schemas.openxmlformats.org/officeDocument/2006/relationships/hyperlink" Target="http://axcelerate.com" TargetMode="External"/><Relationship Id="rId98" Type="http://schemas.openxmlformats.org/officeDocument/2006/relationships/hyperlink" Target="http://frontlineeducation.com" TargetMode="External"/><Relationship Id="rId91" Type="http://schemas.openxmlformats.org/officeDocument/2006/relationships/hyperlink" Target="http://sacred7enterprises.org" TargetMode="External"/><Relationship Id="rId90" Type="http://schemas.openxmlformats.org/officeDocument/2006/relationships/hyperlink" Target="http://activtrak.com" TargetMode="External"/><Relationship Id="rId93" Type="http://schemas.openxmlformats.org/officeDocument/2006/relationships/hyperlink" Target="http://kankani.in" TargetMode="External"/><Relationship Id="rId92" Type="http://schemas.openxmlformats.org/officeDocument/2006/relationships/hyperlink" Target="http://hockeystack.com" TargetMode="External"/><Relationship Id="rId118" Type="http://schemas.openxmlformats.org/officeDocument/2006/relationships/hyperlink" Target="http://defendx.ch" TargetMode="External"/><Relationship Id="rId117" Type="http://schemas.openxmlformats.org/officeDocument/2006/relationships/hyperlink" Target="http://kissflow.com" TargetMode="External"/><Relationship Id="rId359" Type="http://schemas.openxmlformats.org/officeDocument/2006/relationships/hyperlink" Target="http://checkout.com" TargetMode="External"/><Relationship Id="rId116" Type="http://schemas.openxmlformats.org/officeDocument/2006/relationships/hyperlink" Target="http://glossgenius.com" TargetMode="External"/><Relationship Id="rId358" Type="http://schemas.openxmlformats.org/officeDocument/2006/relationships/hyperlink" Target="http://checkout.com" TargetMode="External"/><Relationship Id="rId115" Type="http://schemas.openxmlformats.org/officeDocument/2006/relationships/hyperlink" Target="http://atomchat.io" TargetMode="External"/><Relationship Id="rId357" Type="http://schemas.openxmlformats.org/officeDocument/2006/relationships/hyperlink" Target="http://ohmd.com" TargetMode="External"/><Relationship Id="rId599" Type="http://schemas.openxmlformats.org/officeDocument/2006/relationships/hyperlink" Target="http://testsigma.com" TargetMode="External"/><Relationship Id="rId1180" Type="http://schemas.openxmlformats.org/officeDocument/2006/relationships/hyperlink" Target="http://unifocus.com" TargetMode="External"/><Relationship Id="rId1181" Type="http://schemas.openxmlformats.org/officeDocument/2006/relationships/hyperlink" Target="http://mygate.com" TargetMode="External"/><Relationship Id="rId119" Type="http://schemas.openxmlformats.org/officeDocument/2006/relationships/hyperlink" Target="http://sos-nv.com" TargetMode="External"/><Relationship Id="rId1182" Type="http://schemas.openxmlformats.org/officeDocument/2006/relationships/hyperlink" Target="http://windriver.com" TargetMode="External"/><Relationship Id="rId110" Type="http://schemas.openxmlformats.org/officeDocument/2006/relationships/hyperlink" Target="http://teramind.co" TargetMode="External"/><Relationship Id="rId352" Type="http://schemas.openxmlformats.org/officeDocument/2006/relationships/hyperlink" Target="http://ocpgroup.ma" TargetMode="External"/><Relationship Id="rId594" Type="http://schemas.openxmlformats.org/officeDocument/2006/relationships/hyperlink" Target="http://votecgroup.com" TargetMode="External"/><Relationship Id="rId1183" Type="http://schemas.openxmlformats.org/officeDocument/2006/relationships/hyperlink" Target="http://limblecmms.com" TargetMode="External"/><Relationship Id="rId351" Type="http://schemas.openxmlformats.org/officeDocument/2006/relationships/hyperlink" Target="http://trackforcevaliant.com" TargetMode="External"/><Relationship Id="rId593" Type="http://schemas.openxmlformats.org/officeDocument/2006/relationships/hyperlink" Target="http://peoplestrong.com" TargetMode="External"/><Relationship Id="rId1184" Type="http://schemas.openxmlformats.org/officeDocument/2006/relationships/hyperlink" Target="http://securityscorecard.com" TargetMode="External"/><Relationship Id="rId350" Type="http://schemas.openxmlformats.org/officeDocument/2006/relationships/hyperlink" Target="http://hasura.io" TargetMode="External"/><Relationship Id="rId592" Type="http://schemas.openxmlformats.org/officeDocument/2006/relationships/hyperlink" Target="http://topbeat.in" TargetMode="External"/><Relationship Id="rId1185" Type="http://schemas.openxmlformats.org/officeDocument/2006/relationships/hyperlink" Target="http://envestnet.com" TargetMode="External"/><Relationship Id="rId591" Type="http://schemas.openxmlformats.org/officeDocument/2006/relationships/hyperlink" Target="http://impact.com" TargetMode="External"/><Relationship Id="rId1186" Type="http://schemas.openxmlformats.org/officeDocument/2006/relationships/hyperlink" Target="http://calm.com" TargetMode="External"/><Relationship Id="rId114" Type="http://schemas.openxmlformats.org/officeDocument/2006/relationships/hyperlink" Target="http://act-on.com" TargetMode="External"/><Relationship Id="rId356" Type="http://schemas.openxmlformats.org/officeDocument/2006/relationships/hyperlink" Target="http://hginsights.com" TargetMode="External"/><Relationship Id="rId598" Type="http://schemas.openxmlformats.org/officeDocument/2006/relationships/hyperlink" Target="http://healietech.com" TargetMode="External"/><Relationship Id="rId1187" Type="http://schemas.openxmlformats.org/officeDocument/2006/relationships/hyperlink" Target="http://solarwinds.com" TargetMode="External"/><Relationship Id="rId113" Type="http://schemas.openxmlformats.org/officeDocument/2006/relationships/hyperlink" Target="http://easywebinar.com" TargetMode="External"/><Relationship Id="rId355" Type="http://schemas.openxmlformats.org/officeDocument/2006/relationships/hyperlink" Target="http://obsidiansecurity.com" TargetMode="External"/><Relationship Id="rId597" Type="http://schemas.openxmlformats.org/officeDocument/2006/relationships/hyperlink" Target="http://brownliving.in" TargetMode="External"/><Relationship Id="rId1188" Type="http://schemas.openxmlformats.org/officeDocument/2006/relationships/hyperlink" Target="http://optimove.com" TargetMode="External"/><Relationship Id="rId112" Type="http://schemas.openxmlformats.org/officeDocument/2006/relationships/hyperlink" Target="http://waisldigital.com" TargetMode="External"/><Relationship Id="rId354" Type="http://schemas.openxmlformats.org/officeDocument/2006/relationships/hyperlink" Target="http://mscdirect.com" TargetMode="External"/><Relationship Id="rId596" Type="http://schemas.openxmlformats.org/officeDocument/2006/relationships/hyperlink" Target="http://forge.vc" TargetMode="External"/><Relationship Id="rId1189" Type="http://schemas.openxmlformats.org/officeDocument/2006/relationships/hyperlink" Target="http://chownow.com" TargetMode="External"/><Relationship Id="rId111" Type="http://schemas.openxmlformats.org/officeDocument/2006/relationships/hyperlink" Target="http://atomicwork.com" TargetMode="External"/><Relationship Id="rId353" Type="http://schemas.openxmlformats.org/officeDocument/2006/relationships/hyperlink" Target="http://greatleads.ru" TargetMode="External"/><Relationship Id="rId595" Type="http://schemas.openxmlformats.org/officeDocument/2006/relationships/hyperlink" Target="http://mygate.com" TargetMode="External"/><Relationship Id="rId1136" Type="http://schemas.openxmlformats.org/officeDocument/2006/relationships/hyperlink" Target="http://crayon.co" TargetMode="External"/><Relationship Id="rId1137" Type="http://schemas.openxmlformats.org/officeDocument/2006/relationships/hyperlink" Target="http://leandna.com" TargetMode="External"/><Relationship Id="rId1138" Type="http://schemas.openxmlformats.org/officeDocument/2006/relationships/hyperlink" Target="http://procore.com" TargetMode="External"/><Relationship Id="rId1139" Type="http://schemas.openxmlformats.org/officeDocument/2006/relationships/hyperlink" Target="http://gridpoint.com" TargetMode="External"/><Relationship Id="rId305" Type="http://schemas.openxmlformats.org/officeDocument/2006/relationships/hyperlink" Target="http://trekhealth.io" TargetMode="External"/><Relationship Id="rId547" Type="http://schemas.openxmlformats.org/officeDocument/2006/relationships/hyperlink" Target="http://joveo.com" TargetMode="External"/><Relationship Id="rId789" Type="http://schemas.openxmlformats.org/officeDocument/2006/relationships/hyperlink" Target="http://flywire.com" TargetMode="External"/><Relationship Id="rId304" Type="http://schemas.openxmlformats.org/officeDocument/2006/relationships/hyperlink" Target="http://novatechset.com" TargetMode="External"/><Relationship Id="rId546" Type="http://schemas.openxmlformats.org/officeDocument/2006/relationships/hyperlink" Target="http://augustcollection.co.uk" TargetMode="External"/><Relationship Id="rId788" Type="http://schemas.openxmlformats.org/officeDocument/2006/relationships/hyperlink" Target="http://spryker.com" TargetMode="External"/><Relationship Id="rId303" Type="http://schemas.openxmlformats.org/officeDocument/2006/relationships/hyperlink" Target="http://vial.com" TargetMode="External"/><Relationship Id="rId545" Type="http://schemas.openxmlformats.org/officeDocument/2006/relationships/hyperlink" Target="http://placer.ai" TargetMode="External"/><Relationship Id="rId787" Type="http://schemas.openxmlformats.org/officeDocument/2006/relationships/hyperlink" Target="http://sprinklr.com" TargetMode="External"/><Relationship Id="rId302" Type="http://schemas.openxmlformats.org/officeDocument/2006/relationships/hyperlink" Target="http://nomentia.com" TargetMode="External"/><Relationship Id="rId544" Type="http://schemas.openxmlformats.org/officeDocument/2006/relationships/hyperlink" Target="http://placer.io" TargetMode="External"/><Relationship Id="rId786" Type="http://schemas.openxmlformats.org/officeDocument/2006/relationships/hyperlink" Target="http://kore.ai" TargetMode="External"/><Relationship Id="rId309" Type="http://schemas.openxmlformats.org/officeDocument/2006/relationships/hyperlink" Target="http://telefonica.com" TargetMode="External"/><Relationship Id="rId308" Type="http://schemas.openxmlformats.org/officeDocument/2006/relationships/hyperlink" Target="http://sonatype.com" TargetMode="External"/><Relationship Id="rId307" Type="http://schemas.openxmlformats.org/officeDocument/2006/relationships/hyperlink" Target="http://sitemate.com" TargetMode="External"/><Relationship Id="rId549" Type="http://schemas.openxmlformats.org/officeDocument/2006/relationships/hyperlink" Target="http://v7labs.com" TargetMode="External"/><Relationship Id="rId306" Type="http://schemas.openxmlformats.org/officeDocument/2006/relationships/hyperlink" Target="http://madhive.com" TargetMode="External"/><Relationship Id="rId548" Type="http://schemas.openxmlformats.org/officeDocument/2006/relationships/hyperlink" Target="http://hyperverge.co" TargetMode="External"/><Relationship Id="rId781" Type="http://schemas.openxmlformats.org/officeDocument/2006/relationships/hyperlink" Target="http://miro.com" TargetMode="External"/><Relationship Id="rId780" Type="http://schemas.openxmlformats.org/officeDocument/2006/relationships/hyperlink" Target="http://similarweb.com" TargetMode="External"/><Relationship Id="rId1130" Type="http://schemas.openxmlformats.org/officeDocument/2006/relationships/hyperlink" Target="http://realworklabs.com" TargetMode="External"/><Relationship Id="rId1131" Type="http://schemas.openxmlformats.org/officeDocument/2006/relationships/hyperlink" Target="http://agentsync.io" TargetMode="External"/><Relationship Id="rId301" Type="http://schemas.openxmlformats.org/officeDocument/2006/relationships/hyperlink" Target="http://weaviate.io" TargetMode="External"/><Relationship Id="rId543" Type="http://schemas.openxmlformats.org/officeDocument/2006/relationships/hyperlink" Target="http://rootteam.co.jp" TargetMode="External"/><Relationship Id="rId785" Type="http://schemas.openxmlformats.org/officeDocument/2006/relationships/hyperlink" Target="http://kore.ai" TargetMode="External"/><Relationship Id="rId1132" Type="http://schemas.openxmlformats.org/officeDocument/2006/relationships/hyperlink" Target="http://revalizesoftware.com" TargetMode="External"/><Relationship Id="rId300" Type="http://schemas.openxmlformats.org/officeDocument/2006/relationships/hyperlink" Target="http://on24.com" TargetMode="External"/><Relationship Id="rId542" Type="http://schemas.openxmlformats.org/officeDocument/2006/relationships/hyperlink" Target="http://amagi.com" TargetMode="External"/><Relationship Id="rId784" Type="http://schemas.openxmlformats.org/officeDocument/2006/relationships/hyperlink" Target="http://egnyte.com" TargetMode="External"/><Relationship Id="rId1133" Type="http://schemas.openxmlformats.org/officeDocument/2006/relationships/hyperlink" Target="http://testgorilla.com" TargetMode="External"/><Relationship Id="rId541" Type="http://schemas.openxmlformats.org/officeDocument/2006/relationships/hyperlink" Target="http://machintel.com" TargetMode="External"/><Relationship Id="rId783" Type="http://schemas.openxmlformats.org/officeDocument/2006/relationships/hyperlink" Target="http://calix.com" TargetMode="External"/><Relationship Id="rId1134" Type="http://schemas.openxmlformats.org/officeDocument/2006/relationships/hyperlink" Target="http://devo.com" TargetMode="External"/><Relationship Id="rId540" Type="http://schemas.openxmlformats.org/officeDocument/2006/relationships/hyperlink" Target="http://hopskipdrive.com" TargetMode="External"/><Relationship Id="rId782" Type="http://schemas.openxmlformats.org/officeDocument/2006/relationships/hyperlink" Target="http://cradlepoint.com" TargetMode="External"/><Relationship Id="rId1135" Type="http://schemas.openxmlformats.org/officeDocument/2006/relationships/hyperlink" Target="http://madmobile.com" TargetMode="External"/><Relationship Id="rId1125" Type="http://schemas.openxmlformats.org/officeDocument/2006/relationships/hyperlink" Target="http://zscaler.com" TargetMode="External"/><Relationship Id="rId1126" Type="http://schemas.openxmlformats.org/officeDocument/2006/relationships/hyperlink" Target="http://mastersindia.co" TargetMode="External"/><Relationship Id="rId1127" Type="http://schemas.openxmlformats.org/officeDocument/2006/relationships/hyperlink" Target="http://subsplash.com" TargetMode="External"/><Relationship Id="rId1128" Type="http://schemas.openxmlformats.org/officeDocument/2006/relationships/hyperlink" Target="http://cheq.ai" TargetMode="External"/><Relationship Id="rId1129" Type="http://schemas.openxmlformats.org/officeDocument/2006/relationships/hyperlink" Target="http://rainfocus.com" TargetMode="External"/><Relationship Id="rId536" Type="http://schemas.openxmlformats.org/officeDocument/2006/relationships/hyperlink" Target="http://loconav.com" TargetMode="External"/><Relationship Id="rId778" Type="http://schemas.openxmlformats.org/officeDocument/2006/relationships/hyperlink" Target="http://similarweb.com" TargetMode="External"/><Relationship Id="rId535" Type="http://schemas.openxmlformats.org/officeDocument/2006/relationships/hyperlink" Target="http://tread.io" TargetMode="External"/><Relationship Id="rId777" Type="http://schemas.openxmlformats.org/officeDocument/2006/relationships/hyperlink" Target="http://synaptic.com" TargetMode="External"/><Relationship Id="rId534" Type="http://schemas.openxmlformats.org/officeDocument/2006/relationships/hyperlink" Target="http://planful.com" TargetMode="External"/><Relationship Id="rId776" Type="http://schemas.openxmlformats.org/officeDocument/2006/relationships/hyperlink" Target="http://contractpodai.com" TargetMode="External"/><Relationship Id="rId533" Type="http://schemas.openxmlformats.org/officeDocument/2006/relationships/hyperlink" Target="http://foleon.com" TargetMode="External"/><Relationship Id="rId775" Type="http://schemas.openxmlformats.org/officeDocument/2006/relationships/hyperlink" Target="http://peoplestrong.com" TargetMode="External"/><Relationship Id="rId539" Type="http://schemas.openxmlformats.org/officeDocument/2006/relationships/hyperlink" Target="http://revenue.io" TargetMode="External"/><Relationship Id="rId538" Type="http://schemas.openxmlformats.org/officeDocument/2006/relationships/hyperlink" Target="http://revenue.io" TargetMode="External"/><Relationship Id="rId537" Type="http://schemas.openxmlformats.org/officeDocument/2006/relationships/hyperlink" Target="http://cloud4c.com" TargetMode="External"/><Relationship Id="rId779" Type="http://schemas.openxmlformats.org/officeDocument/2006/relationships/hyperlink" Target="http://infobip.com" TargetMode="External"/><Relationship Id="rId770" Type="http://schemas.openxmlformats.org/officeDocument/2006/relationships/hyperlink" Target="http://social4you.sg" TargetMode="External"/><Relationship Id="rId1120" Type="http://schemas.openxmlformats.org/officeDocument/2006/relationships/hyperlink" Target="http://rxbenefits.com" TargetMode="External"/><Relationship Id="rId532" Type="http://schemas.openxmlformats.org/officeDocument/2006/relationships/hyperlink" Target="http://lizy.be" TargetMode="External"/><Relationship Id="rId774" Type="http://schemas.openxmlformats.org/officeDocument/2006/relationships/hyperlink" Target="http://resolver.com" TargetMode="External"/><Relationship Id="rId1121" Type="http://schemas.openxmlformats.org/officeDocument/2006/relationships/hyperlink" Target="http://cardlytics.com" TargetMode="External"/><Relationship Id="rId531" Type="http://schemas.openxmlformats.org/officeDocument/2006/relationships/hyperlink" Target="http://exponentpt.com" TargetMode="External"/><Relationship Id="rId773" Type="http://schemas.openxmlformats.org/officeDocument/2006/relationships/hyperlink" Target="http://carta.com" TargetMode="External"/><Relationship Id="rId1122" Type="http://schemas.openxmlformats.org/officeDocument/2006/relationships/hyperlink" Target="http://cellebrite.com" TargetMode="External"/><Relationship Id="rId530" Type="http://schemas.openxmlformats.org/officeDocument/2006/relationships/hyperlink" Target="http://provisiopartners.com" TargetMode="External"/><Relationship Id="rId772" Type="http://schemas.openxmlformats.org/officeDocument/2006/relationships/hyperlink" Target="http://snapraise.com" TargetMode="External"/><Relationship Id="rId1123" Type="http://schemas.openxmlformats.org/officeDocument/2006/relationships/hyperlink" Target="http://trellix.com" TargetMode="External"/><Relationship Id="rId771" Type="http://schemas.openxmlformats.org/officeDocument/2006/relationships/hyperlink" Target="http://accss.asia" TargetMode="External"/><Relationship Id="rId1124" Type="http://schemas.openxmlformats.org/officeDocument/2006/relationships/hyperlink" Target="http://marchex.com" TargetMode="External"/><Relationship Id="rId1158" Type="http://schemas.openxmlformats.org/officeDocument/2006/relationships/hyperlink" Target="http://qad.com" TargetMode="External"/><Relationship Id="rId1159" Type="http://schemas.openxmlformats.org/officeDocument/2006/relationships/hyperlink" Target="http://oxblue.com" TargetMode="External"/><Relationship Id="rId327" Type="http://schemas.openxmlformats.org/officeDocument/2006/relationships/hyperlink" Target="http://pilani.bits-pilani.ac.in" TargetMode="External"/><Relationship Id="rId569" Type="http://schemas.openxmlformats.org/officeDocument/2006/relationships/hyperlink" Target="http://silent-yachts.com" TargetMode="External"/><Relationship Id="rId326" Type="http://schemas.openxmlformats.org/officeDocument/2006/relationships/hyperlink" Target="http://hrsoft.com" TargetMode="External"/><Relationship Id="rId568" Type="http://schemas.openxmlformats.org/officeDocument/2006/relationships/hyperlink" Target="http://360extech.com" TargetMode="External"/><Relationship Id="rId325" Type="http://schemas.openxmlformats.org/officeDocument/2006/relationships/hyperlink" Target="http://fenixparts.com" TargetMode="External"/><Relationship Id="rId567" Type="http://schemas.openxmlformats.org/officeDocument/2006/relationships/hyperlink" Target="http://inspirext.com" TargetMode="External"/><Relationship Id="rId324" Type="http://schemas.openxmlformats.org/officeDocument/2006/relationships/hyperlink" Target="http://unstoppable.do" TargetMode="External"/><Relationship Id="rId566" Type="http://schemas.openxmlformats.org/officeDocument/2006/relationships/hyperlink" Target="http://elephantedgeai.com" TargetMode="External"/><Relationship Id="rId329" Type="http://schemas.openxmlformats.org/officeDocument/2006/relationships/hyperlink" Target="http://magmamath.com" TargetMode="External"/><Relationship Id="rId328" Type="http://schemas.openxmlformats.org/officeDocument/2006/relationships/hyperlink" Target="http://lichtnl.nl" TargetMode="External"/><Relationship Id="rId561" Type="http://schemas.openxmlformats.org/officeDocument/2006/relationships/hyperlink" Target="http://cardiodiagnosticsinc.com" TargetMode="External"/><Relationship Id="rId1150" Type="http://schemas.openxmlformats.org/officeDocument/2006/relationships/hyperlink" Target="http://beanworks.com" TargetMode="External"/><Relationship Id="rId560" Type="http://schemas.openxmlformats.org/officeDocument/2006/relationships/hyperlink" Target="http://satsure.co" TargetMode="External"/><Relationship Id="rId1151" Type="http://schemas.openxmlformats.org/officeDocument/2006/relationships/hyperlink" Target="http://versa-networks.com" TargetMode="External"/><Relationship Id="rId1152" Type="http://schemas.openxmlformats.org/officeDocument/2006/relationships/hyperlink" Target="http://vulcan.io" TargetMode="External"/><Relationship Id="rId1153" Type="http://schemas.openxmlformats.org/officeDocument/2006/relationships/hyperlink" Target="http://altametrics.com" TargetMode="External"/><Relationship Id="rId323" Type="http://schemas.openxmlformats.org/officeDocument/2006/relationships/hyperlink" Target="http://transcend.io" TargetMode="External"/><Relationship Id="rId565" Type="http://schemas.openxmlformats.org/officeDocument/2006/relationships/hyperlink" Target="http://inifox.com" TargetMode="External"/><Relationship Id="rId1154" Type="http://schemas.openxmlformats.org/officeDocument/2006/relationships/hyperlink" Target="http://cint.com" TargetMode="External"/><Relationship Id="rId322" Type="http://schemas.openxmlformats.org/officeDocument/2006/relationships/hyperlink" Target="http://vital.io" TargetMode="External"/><Relationship Id="rId564" Type="http://schemas.openxmlformats.org/officeDocument/2006/relationships/hyperlink" Target="http://inifox.com" TargetMode="External"/><Relationship Id="rId1155" Type="http://schemas.openxmlformats.org/officeDocument/2006/relationships/hyperlink" Target="http://bishopfox.com" TargetMode="External"/><Relationship Id="rId321" Type="http://schemas.openxmlformats.org/officeDocument/2006/relationships/hyperlink" Target="http://gokwik.co" TargetMode="External"/><Relationship Id="rId563" Type="http://schemas.openxmlformats.org/officeDocument/2006/relationships/hyperlink" Target="http://webengage.com" TargetMode="External"/><Relationship Id="rId1156" Type="http://schemas.openxmlformats.org/officeDocument/2006/relationships/hyperlink" Target="http://everbridge.com" TargetMode="External"/><Relationship Id="rId320" Type="http://schemas.openxmlformats.org/officeDocument/2006/relationships/hyperlink" Target="http://flyfish.ai" TargetMode="External"/><Relationship Id="rId562" Type="http://schemas.openxmlformats.org/officeDocument/2006/relationships/hyperlink" Target="http://betterplace.co.in" TargetMode="External"/><Relationship Id="rId1157" Type="http://schemas.openxmlformats.org/officeDocument/2006/relationships/hyperlink" Target="http://corpay.com" TargetMode="External"/><Relationship Id="rId1147" Type="http://schemas.openxmlformats.org/officeDocument/2006/relationships/hyperlink" Target="http://clickup.com" TargetMode="External"/><Relationship Id="rId1148" Type="http://schemas.openxmlformats.org/officeDocument/2006/relationships/hyperlink" Target="http://inmar.com" TargetMode="External"/><Relationship Id="rId1149" Type="http://schemas.openxmlformats.org/officeDocument/2006/relationships/hyperlink" Target="http://evercommerce.com" TargetMode="External"/><Relationship Id="rId316" Type="http://schemas.openxmlformats.org/officeDocument/2006/relationships/hyperlink" Target="http://logikality.ai" TargetMode="External"/><Relationship Id="rId558" Type="http://schemas.openxmlformats.org/officeDocument/2006/relationships/hyperlink" Target="http://apaleo.com" TargetMode="External"/><Relationship Id="rId315" Type="http://schemas.openxmlformats.org/officeDocument/2006/relationships/hyperlink" Target="http://financeops.ai" TargetMode="External"/><Relationship Id="rId557" Type="http://schemas.openxmlformats.org/officeDocument/2006/relationships/hyperlink" Target="http://ontic.co" TargetMode="External"/><Relationship Id="rId799" Type="http://schemas.openxmlformats.org/officeDocument/2006/relationships/hyperlink" Target="http://cegid.com" TargetMode="External"/><Relationship Id="rId314" Type="http://schemas.openxmlformats.org/officeDocument/2006/relationships/hyperlink" Target="http://cypris.ai" TargetMode="External"/><Relationship Id="rId556" Type="http://schemas.openxmlformats.org/officeDocument/2006/relationships/hyperlink" Target="http://cesco.com" TargetMode="External"/><Relationship Id="rId798" Type="http://schemas.openxmlformats.org/officeDocument/2006/relationships/hyperlink" Target="http://eclinicalworks.com" TargetMode="External"/><Relationship Id="rId313" Type="http://schemas.openxmlformats.org/officeDocument/2006/relationships/hyperlink" Target="http://bathfitter.com" TargetMode="External"/><Relationship Id="rId555" Type="http://schemas.openxmlformats.org/officeDocument/2006/relationships/hyperlink" Target="http://digitalmantra.in" TargetMode="External"/><Relationship Id="rId797" Type="http://schemas.openxmlformats.org/officeDocument/2006/relationships/hyperlink" Target="http://lambdatest.com" TargetMode="External"/><Relationship Id="rId319" Type="http://schemas.openxmlformats.org/officeDocument/2006/relationships/hyperlink" Target="http://anonyome.com" TargetMode="External"/><Relationship Id="rId318" Type="http://schemas.openxmlformats.org/officeDocument/2006/relationships/hyperlink" Target="http://brightrtravel.com" TargetMode="External"/><Relationship Id="rId317" Type="http://schemas.openxmlformats.org/officeDocument/2006/relationships/hyperlink" Target="http://dataiku.com" TargetMode="External"/><Relationship Id="rId559" Type="http://schemas.openxmlformats.org/officeDocument/2006/relationships/hyperlink" Target="http://securden.com" TargetMode="External"/><Relationship Id="rId550" Type="http://schemas.openxmlformats.org/officeDocument/2006/relationships/hyperlink" Target="http://liveguru.io" TargetMode="External"/><Relationship Id="rId792" Type="http://schemas.openxmlformats.org/officeDocument/2006/relationships/hyperlink" Target="http://blackhawknetwork.com" TargetMode="External"/><Relationship Id="rId791" Type="http://schemas.openxmlformats.org/officeDocument/2006/relationships/hyperlink" Target="http://magnite.com" TargetMode="External"/><Relationship Id="rId1140" Type="http://schemas.openxmlformats.org/officeDocument/2006/relationships/hyperlink" Target="http://kargo.com" TargetMode="External"/><Relationship Id="rId790" Type="http://schemas.openxmlformats.org/officeDocument/2006/relationships/hyperlink" Target="http://merative.com" TargetMode="External"/><Relationship Id="rId1141" Type="http://schemas.openxmlformats.org/officeDocument/2006/relationships/hyperlink" Target="http://continuous.com" TargetMode="External"/><Relationship Id="rId1142" Type="http://schemas.openxmlformats.org/officeDocument/2006/relationships/hyperlink" Target="http://pax8.com" TargetMode="External"/><Relationship Id="rId312" Type="http://schemas.openxmlformats.org/officeDocument/2006/relationships/hyperlink" Target="http://weagree.com" TargetMode="External"/><Relationship Id="rId554" Type="http://schemas.openxmlformats.org/officeDocument/2006/relationships/hyperlink" Target="http://edmingle.com" TargetMode="External"/><Relationship Id="rId796" Type="http://schemas.openxmlformats.org/officeDocument/2006/relationships/hyperlink" Target="http://nerdbug.io" TargetMode="External"/><Relationship Id="rId1143" Type="http://schemas.openxmlformats.org/officeDocument/2006/relationships/hyperlink" Target="http://goco.io" TargetMode="External"/><Relationship Id="rId311" Type="http://schemas.openxmlformats.org/officeDocument/2006/relationships/hyperlink" Target="http://sascholar.org" TargetMode="External"/><Relationship Id="rId553" Type="http://schemas.openxmlformats.org/officeDocument/2006/relationships/hyperlink" Target="http://rocketlane.com" TargetMode="External"/><Relationship Id="rId795" Type="http://schemas.openxmlformats.org/officeDocument/2006/relationships/hyperlink" Target="http://coconutsoftware.com" TargetMode="External"/><Relationship Id="rId1144" Type="http://schemas.openxmlformats.org/officeDocument/2006/relationships/hyperlink" Target="http://goco.io" TargetMode="External"/><Relationship Id="rId310" Type="http://schemas.openxmlformats.org/officeDocument/2006/relationships/hyperlink" Target="http://sascholar.org" TargetMode="External"/><Relationship Id="rId552" Type="http://schemas.openxmlformats.org/officeDocument/2006/relationships/hyperlink" Target="http://abtasty.com" TargetMode="External"/><Relationship Id="rId794" Type="http://schemas.openxmlformats.org/officeDocument/2006/relationships/hyperlink" Target="http://lytx.com" TargetMode="External"/><Relationship Id="rId1145" Type="http://schemas.openxmlformats.org/officeDocument/2006/relationships/hyperlink" Target="http://reputation.com" TargetMode="External"/><Relationship Id="rId551" Type="http://schemas.openxmlformats.org/officeDocument/2006/relationships/hyperlink" Target="http://peoplefluent.com" TargetMode="External"/><Relationship Id="rId793" Type="http://schemas.openxmlformats.org/officeDocument/2006/relationships/hyperlink" Target="http://skello.io" TargetMode="External"/><Relationship Id="rId1146" Type="http://schemas.openxmlformats.org/officeDocument/2006/relationships/hyperlink" Target="http://estateguru.com" TargetMode="External"/><Relationship Id="rId297" Type="http://schemas.openxmlformats.org/officeDocument/2006/relationships/hyperlink" Target="http://chinese-auto-part.com" TargetMode="External"/><Relationship Id="rId296" Type="http://schemas.openxmlformats.org/officeDocument/2006/relationships/hyperlink" Target="http://chinese-auto-part.com" TargetMode="External"/><Relationship Id="rId295" Type="http://schemas.openxmlformats.org/officeDocument/2006/relationships/hyperlink" Target="http://headway.co" TargetMode="External"/><Relationship Id="rId294" Type="http://schemas.openxmlformats.org/officeDocument/2006/relationships/hyperlink" Target="http://zithara.ai" TargetMode="External"/><Relationship Id="rId299" Type="http://schemas.openxmlformats.org/officeDocument/2006/relationships/hyperlink" Target="http://dialpad.com" TargetMode="External"/><Relationship Id="rId298" Type="http://schemas.openxmlformats.org/officeDocument/2006/relationships/hyperlink" Target="http://hakusports.com" TargetMode="External"/><Relationship Id="rId271" Type="http://schemas.openxmlformats.org/officeDocument/2006/relationships/hyperlink" Target="http://craftable.com" TargetMode="External"/><Relationship Id="rId270" Type="http://schemas.openxmlformats.org/officeDocument/2006/relationships/hyperlink" Target="http://workwithsquares.com" TargetMode="External"/><Relationship Id="rId269" Type="http://schemas.openxmlformats.org/officeDocument/2006/relationships/hyperlink" Target="http://transferroom.com" TargetMode="External"/><Relationship Id="rId264" Type="http://schemas.openxmlformats.org/officeDocument/2006/relationships/hyperlink" Target="http://crossbeam.com" TargetMode="External"/><Relationship Id="rId263" Type="http://schemas.openxmlformats.org/officeDocument/2006/relationships/hyperlink" Target="http://teamfront.com" TargetMode="External"/><Relationship Id="rId262" Type="http://schemas.openxmlformats.org/officeDocument/2006/relationships/hyperlink" Target="http://avconcepts.com" TargetMode="External"/><Relationship Id="rId261" Type="http://schemas.openxmlformats.org/officeDocument/2006/relationships/hyperlink" Target="http://zenskar.com" TargetMode="External"/><Relationship Id="rId268" Type="http://schemas.openxmlformats.org/officeDocument/2006/relationships/hyperlink" Target="http://reltio.com" TargetMode="External"/><Relationship Id="rId267" Type="http://schemas.openxmlformats.org/officeDocument/2006/relationships/hyperlink" Target="http://healthmonitor.com" TargetMode="External"/><Relationship Id="rId266" Type="http://schemas.openxmlformats.org/officeDocument/2006/relationships/hyperlink" Target="http://guesty.com" TargetMode="External"/><Relationship Id="rId265" Type="http://schemas.openxmlformats.org/officeDocument/2006/relationships/hyperlink" Target="http://sprinklr.com" TargetMode="External"/><Relationship Id="rId260" Type="http://schemas.openxmlformats.org/officeDocument/2006/relationships/hyperlink" Target="http://mail.co" TargetMode="External"/><Relationship Id="rId259" Type="http://schemas.openxmlformats.org/officeDocument/2006/relationships/hyperlink" Target="http://mail.co" TargetMode="External"/><Relationship Id="rId258" Type="http://schemas.openxmlformats.org/officeDocument/2006/relationships/hyperlink" Target="http://aledade.com" TargetMode="External"/><Relationship Id="rId253" Type="http://schemas.openxmlformats.org/officeDocument/2006/relationships/hyperlink" Target="http://sonarsource.com" TargetMode="External"/><Relationship Id="rId495" Type="http://schemas.openxmlformats.org/officeDocument/2006/relationships/hyperlink" Target="http://prevail.io" TargetMode="External"/><Relationship Id="rId252" Type="http://schemas.openxmlformats.org/officeDocument/2006/relationships/hyperlink" Target="http://linkedin.com" TargetMode="External"/><Relationship Id="rId494" Type="http://schemas.openxmlformats.org/officeDocument/2006/relationships/hyperlink" Target="http://rategain.com" TargetMode="External"/><Relationship Id="rId251" Type="http://schemas.openxmlformats.org/officeDocument/2006/relationships/hyperlink" Target="http://konekto.io" TargetMode="External"/><Relationship Id="rId493" Type="http://schemas.openxmlformats.org/officeDocument/2006/relationships/hyperlink" Target="http://votecgroup.com" TargetMode="External"/><Relationship Id="rId250" Type="http://schemas.openxmlformats.org/officeDocument/2006/relationships/hyperlink" Target="http://konekto.io" TargetMode="External"/><Relationship Id="rId492" Type="http://schemas.openxmlformats.org/officeDocument/2006/relationships/hyperlink" Target="http://gupshup.io" TargetMode="External"/><Relationship Id="rId257" Type="http://schemas.openxmlformats.org/officeDocument/2006/relationships/hyperlink" Target="http://demandscience.com" TargetMode="External"/><Relationship Id="rId499" Type="http://schemas.openxmlformats.org/officeDocument/2006/relationships/hyperlink" Target="http://nasuni.com" TargetMode="External"/><Relationship Id="rId256" Type="http://schemas.openxmlformats.org/officeDocument/2006/relationships/hyperlink" Target="http://solink.com" TargetMode="External"/><Relationship Id="rId498" Type="http://schemas.openxmlformats.org/officeDocument/2006/relationships/hyperlink" Target="http://memphis.edu" TargetMode="External"/><Relationship Id="rId255" Type="http://schemas.openxmlformats.org/officeDocument/2006/relationships/hyperlink" Target="http://remote.com" TargetMode="External"/><Relationship Id="rId497" Type="http://schemas.openxmlformats.org/officeDocument/2006/relationships/hyperlink" Target="http://dollarpe.com" TargetMode="External"/><Relationship Id="rId254" Type="http://schemas.openxmlformats.org/officeDocument/2006/relationships/hyperlink" Target="http://propertyangel.in" TargetMode="External"/><Relationship Id="rId496" Type="http://schemas.openxmlformats.org/officeDocument/2006/relationships/hyperlink" Target="http://momence.com" TargetMode="External"/><Relationship Id="rId293" Type="http://schemas.openxmlformats.org/officeDocument/2006/relationships/hyperlink" Target="http://centrical.com" TargetMode="External"/><Relationship Id="rId292" Type="http://schemas.openxmlformats.org/officeDocument/2006/relationships/hyperlink" Target="http://cardlytics.com" TargetMode="External"/><Relationship Id="rId291" Type="http://schemas.openxmlformats.org/officeDocument/2006/relationships/hyperlink" Target="http://patch.io" TargetMode="External"/><Relationship Id="rId290" Type="http://schemas.openxmlformats.org/officeDocument/2006/relationships/hyperlink" Target="http://konghq.com" TargetMode="External"/><Relationship Id="rId286" Type="http://schemas.openxmlformats.org/officeDocument/2006/relationships/hyperlink" Target="http://orderful.com" TargetMode="External"/><Relationship Id="rId285" Type="http://schemas.openxmlformats.org/officeDocument/2006/relationships/hyperlink" Target="http://saaslabs.co" TargetMode="External"/><Relationship Id="rId284" Type="http://schemas.openxmlformats.org/officeDocument/2006/relationships/hyperlink" Target="http://xoxoday.com" TargetMode="External"/><Relationship Id="rId283" Type="http://schemas.openxmlformats.org/officeDocument/2006/relationships/hyperlink" Target="http://aceve.com" TargetMode="External"/><Relationship Id="rId289" Type="http://schemas.openxmlformats.org/officeDocument/2006/relationships/hyperlink" Target="http://fire-electronics.ca" TargetMode="External"/><Relationship Id="rId288" Type="http://schemas.openxmlformats.org/officeDocument/2006/relationships/hyperlink" Target="http://2centscapital.com" TargetMode="External"/><Relationship Id="rId287" Type="http://schemas.openxmlformats.org/officeDocument/2006/relationships/hyperlink" Target="http://2centscapital.com" TargetMode="External"/><Relationship Id="rId282" Type="http://schemas.openxmlformats.org/officeDocument/2006/relationships/hyperlink" Target="http://convozen.ai" TargetMode="External"/><Relationship Id="rId281" Type="http://schemas.openxmlformats.org/officeDocument/2006/relationships/hyperlink" Target="http://jellyfish.co" TargetMode="External"/><Relationship Id="rId280" Type="http://schemas.openxmlformats.org/officeDocument/2006/relationships/hyperlink" Target="http://aptus.ai" TargetMode="External"/><Relationship Id="rId275" Type="http://schemas.openxmlformats.org/officeDocument/2006/relationships/hyperlink" Target="http://crigloo.com" TargetMode="External"/><Relationship Id="rId274" Type="http://schemas.openxmlformats.org/officeDocument/2006/relationships/hyperlink" Target="http://riskonnect.com" TargetMode="External"/><Relationship Id="rId273" Type="http://schemas.openxmlformats.org/officeDocument/2006/relationships/hyperlink" Target="http://dell.com" TargetMode="External"/><Relationship Id="rId272" Type="http://schemas.openxmlformats.org/officeDocument/2006/relationships/hyperlink" Target="http://mdvip.com" TargetMode="External"/><Relationship Id="rId279" Type="http://schemas.openxmlformats.org/officeDocument/2006/relationships/hyperlink" Target="http://aptus.ai" TargetMode="External"/><Relationship Id="rId278" Type="http://schemas.openxmlformats.org/officeDocument/2006/relationships/hyperlink" Target="http://boltzmann.co" TargetMode="External"/><Relationship Id="rId277" Type="http://schemas.openxmlformats.org/officeDocument/2006/relationships/hyperlink" Target="http://benifex.com" TargetMode="External"/><Relationship Id="rId276" Type="http://schemas.openxmlformats.org/officeDocument/2006/relationships/hyperlink" Target="http://nurseregistry.com" TargetMode="External"/><Relationship Id="rId907" Type="http://schemas.openxmlformats.org/officeDocument/2006/relationships/hyperlink" Target="http://medisafe.com" TargetMode="External"/><Relationship Id="rId906" Type="http://schemas.openxmlformats.org/officeDocument/2006/relationships/hyperlink" Target="http://lusha.com" TargetMode="External"/><Relationship Id="rId905" Type="http://schemas.openxmlformats.org/officeDocument/2006/relationships/hyperlink" Target="http://dynatrace.com" TargetMode="External"/><Relationship Id="rId904" Type="http://schemas.openxmlformats.org/officeDocument/2006/relationships/hyperlink" Target="http://plex.com" TargetMode="External"/><Relationship Id="rId909" Type="http://schemas.openxmlformats.org/officeDocument/2006/relationships/hyperlink" Target="http://fiu.edu" TargetMode="External"/><Relationship Id="rId908" Type="http://schemas.openxmlformats.org/officeDocument/2006/relationships/hyperlink" Target="http://varonis.com" TargetMode="External"/><Relationship Id="rId903" Type="http://schemas.openxmlformats.org/officeDocument/2006/relationships/hyperlink" Target="http://newrelic.com" TargetMode="External"/><Relationship Id="rId902" Type="http://schemas.openxmlformats.org/officeDocument/2006/relationships/hyperlink" Target="http://loopio.com" TargetMode="External"/><Relationship Id="rId901" Type="http://schemas.openxmlformats.org/officeDocument/2006/relationships/hyperlink" Target="http://enablemybusiness.com" TargetMode="External"/><Relationship Id="rId900" Type="http://schemas.openxmlformats.org/officeDocument/2006/relationships/hyperlink" Target="http://veritone.com" TargetMode="External"/><Relationship Id="rId929" Type="http://schemas.openxmlformats.org/officeDocument/2006/relationships/hyperlink" Target="http://hach.com" TargetMode="External"/><Relationship Id="rId928" Type="http://schemas.openxmlformats.org/officeDocument/2006/relationships/hyperlink" Target="http://calendly.com" TargetMode="External"/><Relationship Id="rId927" Type="http://schemas.openxmlformats.org/officeDocument/2006/relationships/hyperlink" Target="http://trulioo.com" TargetMode="External"/><Relationship Id="rId926" Type="http://schemas.openxmlformats.org/officeDocument/2006/relationships/hyperlink" Target="http://kargo.com" TargetMode="External"/><Relationship Id="rId921" Type="http://schemas.openxmlformats.org/officeDocument/2006/relationships/hyperlink" Target="http://rxbenefits.com" TargetMode="External"/><Relationship Id="rId920" Type="http://schemas.openxmlformats.org/officeDocument/2006/relationships/hyperlink" Target="http://contentful.com" TargetMode="External"/><Relationship Id="rId925" Type="http://schemas.openxmlformats.org/officeDocument/2006/relationships/hyperlink" Target="http://uci.edu" TargetMode="External"/><Relationship Id="rId924" Type="http://schemas.openxmlformats.org/officeDocument/2006/relationships/hyperlink" Target="http://audienceview.com" TargetMode="External"/><Relationship Id="rId923" Type="http://schemas.openxmlformats.org/officeDocument/2006/relationships/hyperlink" Target="http://basis.com" TargetMode="External"/><Relationship Id="rId922" Type="http://schemas.openxmlformats.org/officeDocument/2006/relationships/hyperlink" Target="http://zuora.com" TargetMode="External"/><Relationship Id="rId918" Type="http://schemas.openxmlformats.org/officeDocument/2006/relationships/hyperlink" Target="http://intuit.com" TargetMode="External"/><Relationship Id="rId917" Type="http://schemas.openxmlformats.org/officeDocument/2006/relationships/hyperlink" Target="http://templafy.com" TargetMode="External"/><Relationship Id="rId916" Type="http://schemas.openxmlformats.org/officeDocument/2006/relationships/hyperlink" Target="http://obsidiansecurity.com" TargetMode="External"/><Relationship Id="rId915" Type="http://schemas.openxmlformats.org/officeDocument/2006/relationships/hyperlink" Target="http://labster.com" TargetMode="External"/><Relationship Id="rId919" Type="http://schemas.openxmlformats.org/officeDocument/2006/relationships/hyperlink" Target="http://nextdoor.com" TargetMode="External"/><Relationship Id="rId910" Type="http://schemas.openxmlformats.org/officeDocument/2006/relationships/hyperlink" Target="http://liveperson.com" TargetMode="External"/><Relationship Id="rId914" Type="http://schemas.openxmlformats.org/officeDocument/2006/relationships/hyperlink" Target="http://realpage.com" TargetMode="External"/><Relationship Id="rId913" Type="http://schemas.openxmlformats.org/officeDocument/2006/relationships/hyperlink" Target="http://optimizely.com" TargetMode="External"/><Relationship Id="rId912" Type="http://schemas.openxmlformats.org/officeDocument/2006/relationships/hyperlink" Target="http://heartland.us" TargetMode="External"/><Relationship Id="rId911" Type="http://schemas.openxmlformats.org/officeDocument/2006/relationships/hyperlink" Target="http://softheon.com" TargetMode="External"/><Relationship Id="rId1213" Type="http://schemas.openxmlformats.org/officeDocument/2006/relationships/hyperlink" Target="http://carnow.com" TargetMode="External"/><Relationship Id="rId1214" Type="http://schemas.openxmlformats.org/officeDocument/2006/relationships/hyperlink" Target="http://loopme.com" TargetMode="External"/><Relationship Id="rId1215" Type="http://schemas.openxmlformats.org/officeDocument/2006/relationships/hyperlink" Target="http://xometry.com" TargetMode="External"/><Relationship Id="rId1216" Type="http://schemas.openxmlformats.org/officeDocument/2006/relationships/hyperlink" Target="http://crownpeak.com" TargetMode="External"/><Relationship Id="rId1217" Type="http://schemas.openxmlformats.org/officeDocument/2006/relationships/hyperlink" Target="http://loophealth.com" TargetMode="External"/><Relationship Id="rId1218" Type="http://schemas.openxmlformats.org/officeDocument/2006/relationships/hyperlink" Target="http://creyos.com" TargetMode="External"/><Relationship Id="rId1219" Type="http://schemas.openxmlformats.org/officeDocument/2006/relationships/hyperlink" Target="http://katalon.com" TargetMode="External"/><Relationship Id="rId629" Type="http://schemas.openxmlformats.org/officeDocument/2006/relationships/hyperlink" Target="http://cyclotron.com" TargetMode="External"/><Relationship Id="rId624" Type="http://schemas.openxmlformats.org/officeDocument/2006/relationships/hyperlink" Target="http://joveo.com" TargetMode="External"/><Relationship Id="rId866" Type="http://schemas.openxmlformats.org/officeDocument/2006/relationships/hyperlink" Target="http://siteimprove.com" TargetMode="External"/><Relationship Id="rId623" Type="http://schemas.openxmlformats.org/officeDocument/2006/relationships/hyperlink" Target="http://brewra.com" TargetMode="External"/><Relationship Id="rId865" Type="http://schemas.openxmlformats.org/officeDocument/2006/relationships/hyperlink" Target="http://litmus.io" TargetMode="External"/><Relationship Id="rId622" Type="http://schemas.openxmlformats.org/officeDocument/2006/relationships/hyperlink" Target="http://simplesystem.com" TargetMode="External"/><Relationship Id="rId864" Type="http://schemas.openxmlformats.org/officeDocument/2006/relationships/hyperlink" Target="http://okta.com" TargetMode="External"/><Relationship Id="rId621" Type="http://schemas.openxmlformats.org/officeDocument/2006/relationships/hyperlink" Target="http://disprz.com" TargetMode="External"/><Relationship Id="rId863" Type="http://schemas.openxmlformats.org/officeDocument/2006/relationships/hyperlink" Target="http://pandadoc.com" TargetMode="External"/><Relationship Id="rId628" Type="http://schemas.openxmlformats.org/officeDocument/2006/relationships/hyperlink" Target="http://absorblms.com" TargetMode="External"/><Relationship Id="rId627" Type="http://schemas.openxmlformats.org/officeDocument/2006/relationships/hyperlink" Target="http://locobuzz.com" TargetMode="External"/><Relationship Id="rId869" Type="http://schemas.openxmlformats.org/officeDocument/2006/relationships/hyperlink" Target="http://deluxe.com" TargetMode="External"/><Relationship Id="rId626" Type="http://schemas.openxmlformats.org/officeDocument/2006/relationships/hyperlink" Target="http://shypple.com" TargetMode="External"/><Relationship Id="rId868" Type="http://schemas.openxmlformats.org/officeDocument/2006/relationships/hyperlink" Target="http://ridewithvia.com" TargetMode="External"/><Relationship Id="rId625" Type="http://schemas.openxmlformats.org/officeDocument/2006/relationships/hyperlink" Target="http://cloudkitchens.com" TargetMode="External"/><Relationship Id="rId867" Type="http://schemas.openxmlformats.org/officeDocument/2006/relationships/hyperlink" Target="http://netskope.com" TargetMode="External"/><Relationship Id="rId620" Type="http://schemas.openxmlformats.org/officeDocument/2006/relationships/hyperlink" Target="http://rocketlane.com" TargetMode="External"/><Relationship Id="rId862" Type="http://schemas.openxmlformats.org/officeDocument/2006/relationships/hyperlink" Target="http://freshworks.com" TargetMode="External"/><Relationship Id="rId861" Type="http://schemas.openxmlformats.org/officeDocument/2006/relationships/hyperlink" Target="http://aprimo.com" TargetMode="External"/><Relationship Id="rId1210" Type="http://schemas.openxmlformats.org/officeDocument/2006/relationships/hyperlink" Target="http://corpay.com" TargetMode="External"/><Relationship Id="rId860" Type="http://schemas.openxmlformats.org/officeDocument/2006/relationships/hyperlink" Target="http://tipalti.com" TargetMode="External"/><Relationship Id="rId1211" Type="http://schemas.openxmlformats.org/officeDocument/2006/relationships/hyperlink" Target="http://explorance.com" TargetMode="External"/><Relationship Id="rId1212" Type="http://schemas.openxmlformats.org/officeDocument/2006/relationships/hyperlink" Target="http://connecteam.com" TargetMode="External"/><Relationship Id="rId1202" Type="http://schemas.openxmlformats.org/officeDocument/2006/relationships/hyperlink" Target="http://homebot.ai" TargetMode="External"/><Relationship Id="rId1203" Type="http://schemas.openxmlformats.org/officeDocument/2006/relationships/hyperlink" Target="http://stampli.com" TargetMode="External"/><Relationship Id="rId1204" Type="http://schemas.openxmlformats.org/officeDocument/2006/relationships/hyperlink" Target="http://vc3.com" TargetMode="External"/><Relationship Id="rId1205" Type="http://schemas.openxmlformats.org/officeDocument/2006/relationships/hyperlink" Target="http://tehtris.com" TargetMode="External"/><Relationship Id="rId1206" Type="http://schemas.openxmlformats.org/officeDocument/2006/relationships/hyperlink" Target="http://chatmeter.com" TargetMode="External"/><Relationship Id="rId1207" Type="http://schemas.openxmlformats.org/officeDocument/2006/relationships/hyperlink" Target="http://archerirm.com" TargetMode="External"/><Relationship Id="rId1208" Type="http://schemas.openxmlformats.org/officeDocument/2006/relationships/hyperlink" Target="http://teletracnavman.com" TargetMode="External"/><Relationship Id="rId1209" Type="http://schemas.openxmlformats.org/officeDocument/2006/relationships/hyperlink" Target="http://chargebee.com" TargetMode="External"/><Relationship Id="rId619" Type="http://schemas.openxmlformats.org/officeDocument/2006/relationships/hyperlink" Target="http://dimensionallycursed.com" TargetMode="External"/><Relationship Id="rId618" Type="http://schemas.openxmlformats.org/officeDocument/2006/relationships/hyperlink" Target="http://emudhra.com" TargetMode="External"/><Relationship Id="rId613" Type="http://schemas.openxmlformats.org/officeDocument/2006/relationships/hyperlink" Target="http://recordedfuture.com" TargetMode="External"/><Relationship Id="rId855" Type="http://schemas.openxmlformats.org/officeDocument/2006/relationships/hyperlink" Target="http://zycus.com" TargetMode="External"/><Relationship Id="rId612" Type="http://schemas.openxmlformats.org/officeDocument/2006/relationships/hyperlink" Target="http://thespeakerlab.com" TargetMode="External"/><Relationship Id="rId854" Type="http://schemas.openxmlformats.org/officeDocument/2006/relationships/hyperlink" Target="http://freshworks.com" TargetMode="External"/><Relationship Id="rId611" Type="http://schemas.openxmlformats.org/officeDocument/2006/relationships/hyperlink" Target="http://rakuten.com" TargetMode="External"/><Relationship Id="rId853" Type="http://schemas.openxmlformats.org/officeDocument/2006/relationships/hyperlink" Target="http://turnitin.com" TargetMode="External"/><Relationship Id="rId610" Type="http://schemas.openxmlformats.org/officeDocument/2006/relationships/hyperlink" Target="http://psandco.ca" TargetMode="External"/><Relationship Id="rId852" Type="http://schemas.openxmlformats.org/officeDocument/2006/relationships/hyperlink" Target="http://talroo.com" TargetMode="External"/><Relationship Id="rId617" Type="http://schemas.openxmlformats.org/officeDocument/2006/relationships/hyperlink" Target="http://getzlinq.com" TargetMode="External"/><Relationship Id="rId859" Type="http://schemas.openxmlformats.org/officeDocument/2006/relationships/hyperlink" Target="http://oreilly.com" TargetMode="External"/><Relationship Id="rId616" Type="http://schemas.openxmlformats.org/officeDocument/2006/relationships/hyperlink" Target="http://unicommerce.com" TargetMode="External"/><Relationship Id="rId858" Type="http://schemas.openxmlformats.org/officeDocument/2006/relationships/hyperlink" Target="http://esw.com" TargetMode="External"/><Relationship Id="rId615" Type="http://schemas.openxmlformats.org/officeDocument/2006/relationships/hyperlink" Target="http://leegality.com" TargetMode="External"/><Relationship Id="rId857" Type="http://schemas.openxmlformats.org/officeDocument/2006/relationships/hyperlink" Target="http://monday.com" TargetMode="External"/><Relationship Id="rId614" Type="http://schemas.openxmlformats.org/officeDocument/2006/relationships/hyperlink" Target="http://knowledgeadvisory.com" TargetMode="External"/><Relationship Id="rId856" Type="http://schemas.openxmlformats.org/officeDocument/2006/relationships/hyperlink" Target="http://monday.com" TargetMode="External"/><Relationship Id="rId851" Type="http://schemas.openxmlformats.org/officeDocument/2006/relationships/hyperlink" Target="http://gorgias.com" TargetMode="External"/><Relationship Id="rId850" Type="http://schemas.openxmlformats.org/officeDocument/2006/relationships/hyperlink" Target="http://nyu.edu" TargetMode="External"/><Relationship Id="rId1200" Type="http://schemas.openxmlformats.org/officeDocument/2006/relationships/hyperlink" Target="http://zaggle.in" TargetMode="External"/><Relationship Id="rId1201" Type="http://schemas.openxmlformats.org/officeDocument/2006/relationships/hyperlink" Target="http://dubber.net" TargetMode="External"/><Relationship Id="rId1235" Type="http://schemas.openxmlformats.org/officeDocument/2006/relationships/hyperlink" Target="http://himaxwell.com" TargetMode="External"/><Relationship Id="rId1236" Type="http://schemas.openxmlformats.org/officeDocument/2006/relationships/hyperlink" Target="http://snaplogic.com" TargetMode="External"/><Relationship Id="rId1237" Type="http://schemas.openxmlformats.org/officeDocument/2006/relationships/hyperlink" Target="http://beroeinc.com" TargetMode="External"/><Relationship Id="rId1238" Type="http://schemas.openxmlformats.org/officeDocument/2006/relationships/hyperlink" Target="http://markforged.com" TargetMode="External"/><Relationship Id="rId1239" Type="http://schemas.openxmlformats.org/officeDocument/2006/relationships/hyperlink" Target="http://procomservices.com" TargetMode="External"/><Relationship Id="rId409" Type="http://schemas.openxmlformats.org/officeDocument/2006/relationships/hyperlink" Target="http://aspsys.co.in" TargetMode="External"/><Relationship Id="rId404" Type="http://schemas.openxmlformats.org/officeDocument/2006/relationships/hyperlink" Target="http://economiaseguros.com" TargetMode="External"/><Relationship Id="rId646" Type="http://schemas.openxmlformats.org/officeDocument/2006/relationships/hyperlink" Target="http://apty.io" TargetMode="External"/><Relationship Id="rId888" Type="http://schemas.openxmlformats.org/officeDocument/2006/relationships/hyperlink" Target="http://replicant.com" TargetMode="External"/><Relationship Id="rId403" Type="http://schemas.openxmlformats.org/officeDocument/2006/relationships/hyperlink" Target="http://ideaforgetech.com" TargetMode="External"/><Relationship Id="rId645" Type="http://schemas.openxmlformats.org/officeDocument/2006/relationships/hyperlink" Target="http://bytebeam.io" TargetMode="External"/><Relationship Id="rId887" Type="http://schemas.openxmlformats.org/officeDocument/2006/relationships/hyperlink" Target="http://bill.com" TargetMode="External"/><Relationship Id="rId402" Type="http://schemas.openxmlformats.org/officeDocument/2006/relationships/hyperlink" Target="http://profitsolv.com" TargetMode="External"/><Relationship Id="rId644" Type="http://schemas.openxmlformats.org/officeDocument/2006/relationships/hyperlink" Target="http://ie89.com" TargetMode="External"/><Relationship Id="rId886" Type="http://schemas.openxmlformats.org/officeDocument/2006/relationships/hyperlink" Target="http://resolver.com" TargetMode="External"/><Relationship Id="rId401" Type="http://schemas.openxmlformats.org/officeDocument/2006/relationships/hyperlink" Target="http://contentstack.com" TargetMode="External"/><Relationship Id="rId643" Type="http://schemas.openxmlformats.org/officeDocument/2006/relationships/hyperlink" Target="http://ie89.com" TargetMode="External"/><Relationship Id="rId885" Type="http://schemas.openxmlformats.org/officeDocument/2006/relationships/hyperlink" Target="http://flexe.com" TargetMode="External"/><Relationship Id="rId408" Type="http://schemas.openxmlformats.org/officeDocument/2006/relationships/hyperlink" Target="http://aspsys.co.in" TargetMode="External"/><Relationship Id="rId407" Type="http://schemas.openxmlformats.org/officeDocument/2006/relationships/hyperlink" Target="http://etap.com" TargetMode="External"/><Relationship Id="rId649" Type="http://schemas.openxmlformats.org/officeDocument/2006/relationships/hyperlink" Target="http://locale.ai" TargetMode="External"/><Relationship Id="rId406" Type="http://schemas.openxmlformats.org/officeDocument/2006/relationships/hyperlink" Target="http://owndata.com" TargetMode="External"/><Relationship Id="rId648" Type="http://schemas.openxmlformats.org/officeDocument/2006/relationships/hyperlink" Target="http://trezix.io" TargetMode="External"/><Relationship Id="rId405" Type="http://schemas.openxmlformats.org/officeDocument/2006/relationships/hyperlink" Target="http://heartland.us" TargetMode="External"/><Relationship Id="rId647" Type="http://schemas.openxmlformats.org/officeDocument/2006/relationships/hyperlink" Target="http://nuvepro.com" TargetMode="External"/><Relationship Id="rId889" Type="http://schemas.openxmlformats.org/officeDocument/2006/relationships/hyperlink" Target="http://netbasequid.com" TargetMode="External"/><Relationship Id="rId880" Type="http://schemas.openxmlformats.org/officeDocument/2006/relationships/hyperlink" Target="http://openx.com" TargetMode="External"/><Relationship Id="rId1230" Type="http://schemas.openxmlformats.org/officeDocument/2006/relationships/hyperlink" Target="http://papayaglobal.com" TargetMode="External"/><Relationship Id="rId400" Type="http://schemas.openxmlformats.org/officeDocument/2006/relationships/hyperlink" Target="http://prosperr.io" TargetMode="External"/><Relationship Id="rId642" Type="http://schemas.openxmlformats.org/officeDocument/2006/relationships/hyperlink" Target="http://trillbit.com" TargetMode="External"/><Relationship Id="rId884" Type="http://schemas.openxmlformats.org/officeDocument/2006/relationships/hyperlink" Target="http://convoso.com" TargetMode="External"/><Relationship Id="rId1231" Type="http://schemas.openxmlformats.org/officeDocument/2006/relationships/hyperlink" Target="http://panaya.com" TargetMode="External"/><Relationship Id="rId641" Type="http://schemas.openxmlformats.org/officeDocument/2006/relationships/hyperlink" Target="http://callhippo.com" TargetMode="External"/><Relationship Id="rId883" Type="http://schemas.openxmlformats.org/officeDocument/2006/relationships/hyperlink" Target="http://carwars.com" TargetMode="External"/><Relationship Id="rId1232" Type="http://schemas.openxmlformats.org/officeDocument/2006/relationships/hyperlink" Target="http://shiftkey.com" TargetMode="External"/><Relationship Id="rId640" Type="http://schemas.openxmlformats.org/officeDocument/2006/relationships/hyperlink" Target="http://trezix.io" TargetMode="External"/><Relationship Id="rId882" Type="http://schemas.openxmlformats.org/officeDocument/2006/relationships/hyperlink" Target="http://algosec.com" TargetMode="External"/><Relationship Id="rId1233" Type="http://schemas.openxmlformats.org/officeDocument/2006/relationships/hyperlink" Target="http://netskope.com" TargetMode="External"/><Relationship Id="rId881" Type="http://schemas.openxmlformats.org/officeDocument/2006/relationships/hyperlink" Target="http://blazeo.com" TargetMode="External"/><Relationship Id="rId1234" Type="http://schemas.openxmlformats.org/officeDocument/2006/relationships/hyperlink" Target="http://copperleaf.com" TargetMode="External"/><Relationship Id="rId1224" Type="http://schemas.openxmlformats.org/officeDocument/2006/relationships/hyperlink" Target="http://chargebee.com" TargetMode="External"/><Relationship Id="rId1225" Type="http://schemas.openxmlformats.org/officeDocument/2006/relationships/hyperlink" Target="http://kargo.com" TargetMode="External"/><Relationship Id="rId1226" Type="http://schemas.openxmlformats.org/officeDocument/2006/relationships/hyperlink" Target="http://unifonic.com" TargetMode="External"/><Relationship Id="rId1227" Type="http://schemas.openxmlformats.org/officeDocument/2006/relationships/hyperlink" Target="http://smartbear.com" TargetMode="External"/><Relationship Id="rId1228" Type="http://schemas.openxmlformats.org/officeDocument/2006/relationships/hyperlink" Target="http://hackthebox.com" TargetMode="External"/><Relationship Id="rId1229" Type="http://schemas.openxmlformats.org/officeDocument/2006/relationships/hyperlink" Target="http://whatfix.com" TargetMode="External"/><Relationship Id="rId635" Type="http://schemas.openxmlformats.org/officeDocument/2006/relationships/hyperlink" Target="http://my-cpe.com" TargetMode="External"/><Relationship Id="rId877" Type="http://schemas.openxmlformats.org/officeDocument/2006/relationships/hyperlink" Target="http://firstlight.net" TargetMode="External"/><Relationship Id="rId634" Type="http://schemas.openxmlformats.org/officeDocument/2006/relationships/hyperlink" Target="http://otomeyt.ai" TargetMode="External"/><Relationship Id="rId876" Type="http://schemas.openxmlformats.org/officeDocument/2006/relationships/hyperlink" Target="http://rollworks.com" TargetMode="External"/><Relationship Id="rId633" Type="http://schemas.openxmlformats.org/officeDocument/2006/relationships/hyperlink" Target="http://careacademy.com" TargetMode="External"/><Relationship Id="rId875" Type="http://schemas.openxmlformats.org/officeDocument/2006/relationships/hyperlink" Target="http://upstack.com" TargetMode="External"/><Relationship Id="rId632" Type="http://schemas.openxmlformats.org/officeDocument/2006/relationships/hyperlink" Target="http://soliduslabs.com" TargetMode="External"/><Relationship Id="rId874" Type="http://schemas.openxmlformats.org/officeDocument/2006/relationships/hyperlink" Target="http://birdeye.com" TargetMode="External"/><Relationship Id="rId639" Type="http://schemas.openxmlformats.org/officeDocument/2006/relationships/hyperlink" Target="http://mailmodo.com" TargetMode="External"/><Relationship Id="rId638" Type="http://schemas.openxmlformats.org/officeDocument/2006/relationships/hyperlink" Target="http://teledyneflir.com" TargetMode="External"/><Relationship Id="rId637" Type="http://schemas.openxmlformats.org/officeDocument/2006/relationships/hyperlink" Target="http://teledyneflir.com" TargetMode="External"/><Relationship Id="rId879" Type="http://schemas.openxmlformats.org/officeDocument/2006/relationships/hyperlink" Target="http://binghamton.edu" TargetMode="External"/><Relationship Id="rId636" Type="http://schemas.openxmlformats.org/officeDocument/2006/relationships/hyperlink" Target="http://go-yubi.com" TargetMode="External"/><Relationship Id="rId878" Type="http://schemas.openxmlformats.org/officeDocument/2006/relationships/hyperlink" Target="http://snowsoftware.com" TargetMode="External"/><Relationship Id="rId631" Type="http://schemas.openxmlformats.org/officeDocument/2006/relationships/hyperlink" Target="http://veknermedia.com" TargetMode="External"/><Relationship Id="rId873" Type="http://schemas.openxmlformats.org/officeDocument/2006/relationships/hyperlink" Target="http://genesisdigital.co" TargetMode="External"/><Relationship Id="rId1220" Type="http://schemas.openxmlformats.org/officeDocument/2006/relationships/hyperlink" Target="http://accuknox.com" TargetMode="External"/><Relationship Id="rId630" Type="http://schemas.openxmlformats.org/officeDocument/2006/relationships/hyperlink" Target="http://veknermedia.com" TargetMode="External"/><Relationship Id="rId872" Type="http://schemas.openxmlformats.org/officeDocument/2006/relationships/hyperlink" Target="http://360degreecloud.com" TargetMode="External"/><Relationship Id="rId1221" Type="http://schemas.openxmlformats.org/officeDocument/2006/relationships/hyperlink" Target="http://yotpo.com" TargetMode="External"/><Relationship Id="rId871" Type="http://schemas.openxmlformats.org/officeDocument/2006/relationships/hyperlink" Target="http://blueshift.com" TargetMode="External"/><Relationship Id="rId1222" Type="http://schemas.openxmlformats.org/officeDocument/2006/relationships/hyperlink" Target="http://act-on.com" TargetMode="External"/><Relationship Id="rId870" Type="http://schemas.openxmlformats.org/officeDocument/2006/relationships/hyperlink" Target="http://cvent.com" TargetMode="External"/><Relationship Id="rId1223" Type="http://schemas.openxmlformats.org/officeDocument/2006/relationships/hyperlink" Target="http://sprinto.com" TargetMode="External"/><Relationship Id="rId829" Type="http://schemas.openxmlformats.org/officeDocument/2006/relationships/hyperlink" Target="http://forwardnetworks.com" TargetMode="External"/><Relationship Id="rId828" Type="http://schemas.openxmlformats.org/officeDocument/2006/relationships/hyperlink" Target="http://media.net" TargetMode="External"/><Relationship Id="rId827" Type="http://schemas.openxmlformats.org/officeDocument/2006/relationships/hyperlink" Target="http://media.net" TargetMode="External"/><Relationship Id="rId822" Type="http://schemas.openxmlformats.org/officeDocument/2006/relationships/hyperlink" Target="http://nayax.com" TargetMode="External"/><Relationship Id="rId821" Type="http://schemas.openxmlformats.org/officeDocument/2006/relationships/hyperlink" Target="http://goempyrean.com" TargetMode="External"/><Relationship Id="rId820" Type="http://schemas.openxmlformats.org/officeDocument/2006/relationships/hyperlink" Target="http://nintex.com" TargetMode="External"/><Relationship Id="rId826" Type="http://schemas.openxmlformats.org/officeDocument/2006/relationships/hyperlink" Target="http://wisetechglobal.com" TargetMode="External"/><Relationship Id="rId825" Type="http://schemas.openxmlformats.org/officeDocument/2006/relationships/hyperlink" Target="http://urbanpiper.com" TargetMode="External"/><Relationship Id="rId824" Type="http://schemas.openxmlformats.org/officeDocument/2006/relationships/hyperlink" Target="http://checkr.com" TargetMode="External"/><Relationship Id="rId823" Type="http://schemas.openxmlformats.org/officeDocument/2006/relationships/hyperlink" Target="http://cpe.fr" TargetMode="External"/><Relationship Id="rId819" Type="http://schemas.openxmlformats.org/officeDocument/2006/relationships/hyperlink" Target="http://glassbox.com" TargetMode="External"/><Relationship Id="rId818" Type="http://schemas.openxmlformats.org/officeDocument/2006/relationships/hyperlink" Target="http://redpoints.com" TargetMode="External"/><Relationship Id="rId817" Type="http://schemas.openxmlformats.org/officeDocument/2006/relationships/hyperlink" Target="http://salesmanago.com" TargetMode="External"/><Relationship Id="rId816" Type="http://schemas.openxmlformats.org/officeDocument/2006/relationships/hyperlink" Target="http://tricentis.com" TargetMode="External"/><Relationship Id="rId811" Type="http://schemas.openxmlformats.org/officeDocument/2006/relationships/hyperlink" Target="http://adverity.com" TargetMode="External"/><Relationship Id="rId810" Type="http://schemas.openxmlformats.org/officeDocument/2006/relationships/hyperlink" Target="http://powerfactors.com" TargetMode="External"/><Relationship Id="rId815" Type="http://schemas.openxmlformats.org/officeDocument/2006/relationships/hyperlink" Target="http://tigerconnect.com" TargetMode="External"/><Relationship Id="rId814" Type="http://schemas.openxmlformats.org/officeDocument/2006/relationships/hyperlink" Target="http://salesmanago.com" TargetMode="External"/><Relationship Id="rId813" Type="http://schemas.openxmlformats.org/officeDocument/2006/relationships/hyperlink" Target="http://vergesense.com" TargetMode="External"/><Relationship Id="rId812" Type="http://schemas.openxmlformats.org/officeDocument/2006/relationships/hyperlink" Target="http://auditboard.com" TargetMode="External"/><Relationship Id="rId609" Type="http://schemas.openxmlformats.org/officeDocument/2006/relationships/hyperlink" Target="http://facilio.com" TargetMode="External"/><Relationship Id="rId608" Type="http://schemas.openxmlformats.org/officeDocument/2006/relationships/hyperlink" Target="http://dotpe.in" TargetMode="External"/><Relationship Id="rId607" Type="http://schemas.openxmlformats.org/officeDocument/2006/relationships/hyperlink" Target="http://assuretrac.com" TargetMode="External"/><Relationship Id="rId849" Type="http://schemas.openxmlformats.org/officeDocument/2006/relationships/hyperlink" Target="http://sysaid.com" TargetMode="External"/><Relationship Id="rId602" Type="http://schemas.openxmlformats.org/officeDocument/2006/relationships/hyperlink" Target="http://pave.com" TargetMode="External"/><Relationship Id="rId844" Type="http://schemas.openxmlformats.org/officeDocument/2006/relationships/hyperlink" Target="http://sailpoint.com" TargetMode="External"/><Relationship Id="rId601" Type="http://schemas.openxmlformats.org/officeDocument/2006/relationships/hyperlink" Target="http://ewokestudio.com" TargetMode="External"/><Relationship Id="rId843" Type="http://schemas.openxmlformats.org/officeDocument/2006/relationships/hyperlink" Target="http://surveymonkey.com" TargetMode="External"/><Relationship Id="rId600" Type="http://schemas.openxmlformats.org/officeDocument/2006/relationships/hyperlink" Target="http://shiftmed.com" TargetMode="External"/><Relationship Id="rId842" Type="http://schemas.openxmlformats.org/officeDocument/2006/relationships/hyperlink" Target="http://mimecast.com" TargetMode="External"/><Relationship Id="rId841" Type="http://schemas.openxmlformats.org/officeDocument/2006/relationships/hyperlink" Target="http://starburstdata.com" TargetMode="External"/><Relationship Id="rId606" Type="http://schemas.openxmlformats.org/officeDocument/2006/relationships/hyperlink" Target="http://rjeys.com" TargetMode="External"/><Relationship Id="rId848" Type="http://schemas.openxmlformats.org/officeDocument/2006/relationships/hyperlink" Target="http://freshworks.com" TargetMode="External"/><Relationship Id="rId605" Type="http://schemas.openxmlformats.org/officeDocument/2006/relationships/hyperlink" Target="http://smartbots.ai" TargetMode="External"/><Relationship Id="rId847" Type="http://schemas.openxmlformats.org/officeDocument/2006/relationships/hyperlink" Target="http://wexinc.com" TargetMode="External"/><Relationship Id="rId604" Type="http://schemas.openxmlformats.org/officeDocument/2006/relationships/hyperlink" Target="http://syook.com" TargetMode="External"/><Relationship Id="rId846" Type="http://schemas.openxmlformats.org/officeDocument/2006/relationships/hyperlink" Target="http://ringcentral.com" TargetMode="External"/><Relationship Id="rId603" Type="http://schemas.openxmlformats.org/officeDocument/2006/relationships/hyperlink" Target="http://shorelight.com" TargetMode="External"/><Relationship Id="rId845" Type="http://schemas.openxmlformats.org/officeDocument/2006/relationships/hyperlink" Target="http://sproutsocial.com" TargetMode="External"/><Relationship Id="rId840" Type="http://schemas.openxmlformats.org/officeDocument/2006/relationships/hyperlink" Target="http://flocksafety.com" TargetMode="External"/><Relationship Id="rId839" Type="http://schemas.openxmlformats.org/officeDocument/2006/relationships/hyperlink" Target="http://doordash.com" TargetMode="External"/><Relationship Id="rId838" Type="http://schemas.openxmlformats.org/officeDocument/2006/relationships/hyperlink" Target="http://aerospike.com" TargetMode="External"/><Relationship Id="rId833" Type="http://schemas.openxmlformats.org/officeDocument/2006/relationships/hyperlink" Target="http://triplewhale.com" TargetMode="External"/><Relationship Id="rId832" Type="http://schemas.openxmlformats.org/officeDocument/2006/relationships/hyperlink" Target="http://go1.com" TargetMode="External"/><Relationship Id="rId831" Type="http://schemas.openxmlformats.org/officeDocument/2006/relationships/hyperlink" Target="http://birdeye.com" TargetMode="External"/><Relationship Id="rId830" Type="http://schemas.openxmlformats.org/officeDocument/2006/relationships/hyperlink" Target="http://flashparking.com" TargetMode="External"/><Relationship Id="rId837" Type="http://schemas.openxmlformats.org/officeDocument/2006/relationships/hyperlink" Target="http://jumpcloud.com" TargetMode="External"/><Relationship Id="rId836" Type="http://schemas.openxmlformats.org/officeDocument/2006/relationships/hyperlink" Target="http://replicant.com" TargetMode="External"/><Relationship Id="rId835" Type="http://schemas.openxmlformats.org/officeDocument/2006/relationships/hyperlink" Target="http://imply.io" TargetMode="External"/><Relationship Id="rId834" Type="http://schemas.openxmlformats.org/officeDocument/2006/relationships/hyperlink" Target="http://broadsign.com" TargetMode="External"/><Relationship Id="rId1059" Type="http://schemas.openxmlformats.org/officeDocument/2006/relationships/hyperlink" Target="http://yoobic.com" TargetMode="External"/><Relationship Id="rId228" Type="http://schemas.openxmlformats.org/officeDocument/2006/relationships/hyperlink" Target="http://rednucleus.com" TargetMode="External"/><Relationship Id="rId227" Type="http://schemas.openxmlformats.org/officeDocument/2006/relationships/hyperlink" Target="http://venasolutions.com" TargetMode="External"/><Relationship Id="rId469" Type="http://schemas.openxmlformats.org/officeDocument/2006/relationships/hyperlink" Target="http://easyflex.in" TargetMode="External"/><Relationship Id="rId226" Type="http://schemas.openxmlformats.org/officeDocument/2006/relationships/hyperlink" Target="http://vendoroo.ai" TargetMode="External"/><Relationship Id="rId468" Type="http://schemas.openxmlformats.org/officeDocument/2006/relationships/hyperlink" Target="http://beewatec.de" TargetMode="External"/><Relationship Id="rId225" Type="http://schemas.openxmlformats.org/officeDocument/2006/relationships/hyperlink" Target="http://unoptimised.com" TargetMode="External"/><Relationship Id="rId467" Type="http://schemas.openxmlformats.org/officeDocument/2006/relationships/hyperlink" Target="http://hyperverge.co" TargetMode="External"/><Relationship Id="rId1290" Type="http://schemas.openxmlformats.org/officeDocument/2006/relationships/hyperlink" Target="http://workiva.com" TargetMode="External"/><Relationship Id="rId1291" Type="http://schemas.openxmlformats.org/officeDocument/2006/relationships/hyperlink" Target="http://cresta.com" TargetMode="External"/><Relationship Id="rId229" Type="http://schemas.openxmlformats.org/officeDocument/2006/relationships/hyperlink" Target="http://kluniversity.in" TargetMode="External"/><Relationship Id="rId1050" Type="http://schemas.openxmlformats.org/officeDocument/2006/relationships/hyperlink" Target="http://provana.com" TargetMode="External"/><Relationship Id="rId1292" Type="http://schemas.openxmlformats.org/officeDocument/2006/relationships/hyperlink" Target="http://leena.ai" TargetMode="External"/><Relationship Id="rId220" Type="http://schemas.openxmlformats.org/officeDocument/2006/relationships/hyperlink" Target="http://xswl123.cn" TargetMode="External"/><Relationship Id="rId462" Type="http://schemas.openxmlformats.org/officeDocument/2006/relationships/hyperlink" Target="http://mountain.com" TargetMode="External"/><Relationship Id="rId1051" Type="http://schemas.openxmlformats.org/officeDocument/2006/relationships/hyperlink" Target="http://persuit.com" TargetMode="External"/><Relationship Id="rId1293" Type="http://schemas.openxmlformats.org/officeDocument/2006/relationships/hyperlink" Target="http://logz.io" TargetMode="External"/><Relationship Id="rId461" Type="http://schemas.openxmlformats.org/officeDocument/2006/relationships/hyperlink" Target="http://fountain.com" TargetMode="External"/><Relationship Id="rId1052" Type="http://schemas.openxmlformats.org/officeDocument/2006/relationships/hyperlink" Target="http://unity.com" TargetMode="External"/><Relationship Id="rId1294" Type="http://schemas.openxmlformats.org/officeDocument/2006/relationships/hyperlink" Target="http://logz.io" TargetMode="External"/><Relationship Id="rId460" Type="http://schemas.openxmlformats.org/officeDocument/2006/relationships/hyperlink" Target="http://truecaller.com" TargetMode="External"/><Relationship Id="rId1053" Type="http://schemas.openxmlformats.org/officeDocument/2006/relationships/hyperlink" Target="http://ezo.io" TargetMode="External"/><Relationship Id="rId1295" Type="http://schemas.openxmlformats.org/officeDocument/2006/relationships/hyperlink" Target="http://getcensus.com" TargetMode="External"/><Relationship Id="rId1054" Type="http://schemas.openxmlformats.org/officeDocument/2006/relationships/hyperlink" Target="http://spendflo.com" TargetMode="External"/><Relationship Id="rId1296" Type="http://schemas.openxmlformats.org/officeDocument/2006/relationships/hyperlink" Target="http://payactiv.com" TargetMode="External"/><Relationship Id="rId224" Type="http://schemas.openxmlformats.org/officeDocument/2006/relationships/hyperlink" Target="http://site.nl" TargetMode="External"/><Relationship Id="rId466" Type="http://schemas.openxmlformats.org/officeDocument/2006/relationships/hyperlink" Target="http://thribe.in" TargetMode="External"/><Relationship Id="rId1055" Type="http://schemas.openxmlformats.org/officeDocument/2006/relationships/hyperlink" Target="http://salesforce.com" TargetMode="External"/><Relationship Id="rId1297" Type="http://schemas.openxmlformats.org/officeDocument/2006/relationships/hyperlink" Target="http://virtuous.org" TargetMode="External"/><Relationship Id="rId223" Type="http://schemas.openxmlformats.org/officeDocument/2006/relationships/hyperlink" Target="http://site.co" TargetMode="External"/><Relationship Id="rId465" Type="http://schemas.openxmlformats.org/officeDocument/2006/relationships/hyperlink" Target="http://centralreach.com" TargetMode="External"/><Relationship Id="rId1056" Type="http://schemas.openxmlformats.org/officeDocument/2006/relationships/hyperlink" Target="http://hellofyllo.com" TargetMode="External"/><Relationship Id="rId1298" Type="http://schemas.openxmlformats.org/officeDocument/2006/relationships/hyperlink" Target="http://360insights.com" TargetMode="External"/><Relationship Id="rId222" Type="http://schemas.openxmlformats.org/officeDocument/2006/relationships/hyperlink" Target="http://uniqode.com" TargetMode="External"/><Relationship Id="rId464" Type="http://schemas.openxmlformats.org/officeDocument/2006/relationships/hyperlink" Target="http://agrostar.in" TargetMode="External"/><Relationship Id="rId1057" Type="http://schemas.openxmlformats.org/officeDocument/2006/relationships/hyperlink" Target="http://sessionai.com" TargetMode="External"/><Relationship Id="rId1299" Type="http://schemas.openxmlformats.org/officeDocument/2006/relationships/hyperlink" Target="http://firework.com" TargetMode="External"/><Relationship Id="rId221" Type="http://schemas.openxmlformats.org/officeDocument/2006/relationships/hyperlink" Target="http://celigo.com" TargetMode="External"/><Relationship Id="rId463" Type="http://schemas.openxmlformats.org/officeDocument/2006/relationships/hyperlink" Target="http://finbox.in" TargetMode="External"/><Relationship Id="rId1058" Type="http://schemas.openxmlformats.org/officeDocument/2006/relationships/hyperlink" Target="http://zscaler.com" TargetMode="External"/><Relationship Id="rId1048" Type="http://schemas.openxmlformats.org/officeDocument/2006/relationships/hyperlink" Target="http://geocomply.com" TargetMode="External"/><Relationship Id="rId1049" Type="http://schemas.openxmlformats.org/officeDocument/2006/relationships/hyperlink" Target="http://hubspot.com" TargetMode="External"/><Relationship Id="rId217" Type="http://schemas.openxmlformats.org/officeDocument/2006/relationships/hyperlink" Target="http://nurix.ai" TargetMode="External"/><Relationship Id="rId459" Type="http://schemas.openxmlformats.org/officeDocument/2006/relationships/hyperlink" Target="http://sprinklr.com" TargetMode="External"/><Relationship Id="rId216" Type="http://schemas.openxmlformats.org/officeDocument/2006/relationships/hyperlink" Target="http://agorareal.com" TargetMode="External"/><Relationship Id="rId458" Type="http://schemas.openxmlformats.org/officeDocument/2006/relationships/hyperlink" Target="http://sadigital.in" TargetMode="External"/><Relationship Id="rId215" Type="http://schemas.openxmlformats.org/officeDocument/2006/relationships/hyperlink" Target="http://zencentiv.com" TargetMode="External"/><Relationship Id="rId457" Type="http://schemas.openxmlformats.org/officeDocument/2006/relationships/hyperlink" Target="http://changengine.in" TargetMode="External"/><Relationship Id="rId699" Type="http://schemas.openxmlformats.org/officeDocument/2006/relationships/hyperlink" Target="http://securiti.ai" TargetMode="External"/><Relationship Id="rId214" Type="http://schemas.openxmlformats.org/officeDocument/2006/relationships/hyperlink" Target="http://sprinklr.com" TargetMode="External"/><Relationship Id="rId456" Type="http://schemas.openxmlformats.org/officeDocument/2006/relationships/hyperlink" Target="http://autobooks.co" TargetMode="External"/><Relationship Id="rId698" Type="http://schemas.openxmlformats.org/officeDocument/2006/relationships/hyperlink" Target="http://catonetworks.com" TargetMode="External"/><Relationship Id="rId219" Type="http://schemas.openxmlformats.org/officeDocument/2006/relationships/hyperlink" Target="http://xswl123.cn" TargetMode="External"/><Relationship Id="rId1280" Type="http://schemas.openxmlformats.org/officeDocument/2006/relationships/hyperlink" Target="http://elixir.com" TargetMode="External"/><Relationship Id="rId218" Type="http://schemas.openxmlformats.org/officeDocument/2006/relationships/hyperlink" Target="http://venasolutions.com" TargetMode="External"/><Relationship Id="rId1281" Type="http://schemas.openxmlformats.org/officeDocument/2006/relationships/hyperlink" Target="http://onetrust.com" TargetMode="External"/><Relationship Id="rId451" Type="http://schemas.openxmlformats.org/officeDocument/2006/relationships/hyperlink" Target="http://getmaintainx.com" TargetMode="External"/><Relationship Id="rId693" Type="http://schemas.openxmlformats.org/officeDocument/2006/relationships/hyperlink" Target="http://demandscience.com" TargetMode="External"/><Relationship Id="rId1040" Type="http://schemas.openxmlformats.org/officeDocument/2006/relationships/hyperlink" Target="http://prabalbora.com" TargetMode="External"/><Relationship Id="rId1282" Type="http://schemas.openxmlformats.org/officeDocument/2006/relationships/hyperlink" Target="http://sirion.ai" TargetMode="External"/><Relationship Id="rId450" Type="http://schemas.openxmlformats.org/officeDocument/2006/relationships/hyperlink" Target="http://irnini.com" TargetMode="External"/><Relationship Id="rId692" Type="http://schemas.openxmlformats.org/officeDocument/2006/relationships/hyperlink" Target="http://csdisco.com" TargetMode="External"/><Relationship Id="rId1041" Type="http://schemas.openxmlformats.org/officeDocument/2006/relationships/hyperlink" Target="http://datadome.co" TargetMode="External"/><Relationship Id="rId1283" Type="http://schemas.openxmlformats.org/officeDocument/2006/relationships/hyperlink" Target="http://unit21.ai" TargetMode="External"/><Relationship Id="rId691" Type="http://schemas.openxmlformats.org/officeDocument/2006/relationships/hyperlink" Target="http://getjones.com" TargetMode="External"/><Relationship Id="rId1042" Type="http://schemas.openxmlformats.org/officeDocument/2006/relationships/hyperlink" Target="http://sageintacct.com" TargetMode="External"/><Relationship Id="rId1284" Type="http://schemas.openxmlformats.org/officeDocument/2006/relationships/hyperlink" Target="http://fluentcommerce.com" TargetMode="External"/><Relationship Id="rId690" Type="http://schemas.openxmlformats.org/officeDocument/2006/relationships/hyperlink" Target="http://introhive.com" TargetMode="External"/><Relationship Id="rId1043" Type="http://schemas.openxmlformats.org/officeDocument/2006/relationships/hyperlink" Target="http://gethearth.com" TargetMode="External"/><Relationship Id="rId1285" Type="http://schemas.openxmlformats.org/officeDocument/2006/relationships/hyperlink" Target="http://sai360.com" TargetMode="External"/><Relationship Id="rId213" Type="http://schemas.openxmlformats.org/officeDocument/2006/relationships/hyperlink" Target="http://hyro.ai" TargetMode="External"/><Relationship Id="rId455" Type="http://schemas.openxmlformats.org/officeDocument/2006/relationships/hyperlink" Target="http://mirakl.com" TargetMode="External"/><Relationship Id="rId697" Type="http://schemas.openxmlformats.org/officeDocument/2006/relationships/hyperlink" Target="http://engine.com" TargetMode="External"/><Relationship Id="rId1044" Type="http://schemas.openxmlformats.org/officeDocument/2006/relationships/hyperlink" Target="http://people.ai" TargetMode="External"/><Relationship Id="rId1286" Type="http://schemas.openxmlformats.org/officeDocument/2006/relationships/hyperlink" Target="http://buildots.com" TargetMode="External"/><Relationship Id="rId212" Type="http://schemas.openxmlformats.org/officeDocument/2006/relationships/hyperlink" Target="http://alida.com" TargetMode="External"/><Relationship Id="rId454" Type="http://schemas.openxmlformats.org/officeDocument/2006/relationships/hyperlink" Target="http://frood.in" TargetMode="External"/><Relationship Id="rId696" Type="http://schemas.openxmlformats.org/officeDocument/2006/relationships/hyperlink" Target="http://bigcommerce.com" TargetMode="External"/><Relationship Id="rId1045" Type="http://schemas.openxmlformats.org/officeDocument/2006/relationships/hyperlink" Target="http://people.ai" TargetMode="External"/><Relationship Id="rId1287" Type="http://schemas.openxmlformats.org/officeDocument/2006/relationships/hyperlink" Target="http://lightspeedhq.com" TargetMode="External"/><Relationship Id="rId211" Type="http://schemas.openxmlformats.org/officeDocument/2006/relationships/hyperlink" Target="http://covasant.com" TargetMode="External"/><Relationship Id="rId453" Type="http://schemas.openxmlformats.org/officeDocument/2006/relationships/hyperlink" Target="http://frood.in" TargetMode="External"/><Relationship Id="rId695" Type="http://schemas.openxmlformats.org/officeDocument/2006/relationships/hyperlink" Target="http://yellow.ai" TargetMode="External"/><Relationship Id="rId1046" Type="http://schemas.openxmlformats.org/officeDocument/2006/relationships/hyperlink" Target="http://plivo.com" TargetMode="External"/><Relationship Id="rId1288" Type="http://schemas.openxmlformats.org/officeDocument/2006/relationships/hyperlink" Target="http://outsystems.com" TargetMode="External"/><Relationship Id="rId210" Type="http://schemas.openxmlformats.org/officeDocument/2006/relationships/hyperlink" Target="http://anuntatech.com" TargetMode="External"/><Relationship Id="rId452" Type="http://schemas.openxmlformats.org/officeDocument/2006/relationships/hyperlink" Target="http://guardianfall.com" TargetMode="External"/><Relationship Id="rId694" Type="http://schemas.openxmlformats.org/officeDocument/2006/relationships/hyperlink" Target="http://yellow.ai" TargetMode="External"/><Relationship Id="rId1047" Type="http://schemas.openxmlformats.org/officeDocument/2006/relationships/hyperlink" Target="http://paycor.com" TargetMode="External"/><Relationship Id="rId1289" Type="http://schemas.openxmlformats.org/officeDocument/2006/relationships/hyperlink" Target="http://grazitti.com" TargetMode="External"/><Relationship Id="rId491" Type="http://schemas.openxmlformats.org/officeDocument/2006/relationships/hyperlink" Target="http://usemultiplier.com" TargetMode="External"/><Relationship Id="rId490" Type="http://schemas.openxmlformats.org/officeDocument/2006/relationships/hyperlink" Target="http://hirshan.com" TargetMode="External"/><Relationship Id="rId249" Type="http://schemas.openxmlformats.org/officeDocument/2006/relationships/hyperlink" Target="http://ventureep.co" TargetMode="External"/><Relationship Id="rId248" Type="http://schemas.openxmlformats.org/officeDocument/2006/relationships/hyperlink" Target="http://cyberhaven.com" TargetMode="External"/><Relationship Id="rId247" Type="http://schemas.openxmlformats.org/officeDocument/2006/relationships/hyperlink" Target="http://grocliq.com" TargetMode="External"/><Relationship Id="rId489" Type="http://schemas.openxmlformats.org/officeDocument/2006/relationships/hyperlink" Target="http://hirshan.com" TargetMode="External"/><Relationship Id="rId1070" Type="http://schemas.openxmlformats.org/officeDocument/2006/relationships/hyperlink" Target="http://jllt.com" TargetMode="External"/><Relationship Id="rId1071" Type="http://schemas.openxmlformats.org/officeDocument/2006/relationships/hyperlink" Target="http://paychex.com" TargetMode="External"/><Relationship Id="rId1072" Type="http://schemas.openxmlformats.org/officeDocument/2006/relationships/hyperlink" Target="http://stem.com" TargetMode="External"/><Relationship Id="rId242" Type="http://schemas.openxmlformats.org/officeDocument/2006/relationships/hyperlink" Target="http://hcah.in" TargetMode="External"/><Relationship Id="rId484" Type="http://schemas.openxmlformats.org/officeDocument/2006/relationships/hyperlink" Target="http://kovai.co" TargetMode="External"/><Relationship Id="rId1073" Type="http://schemas.openxmlformats.org/officeDocument/2006/relationships/hyperlink" Target="http://enigma.com" TargetMode="External"/><Relationship Id="rId241" Type="http://schemas.openxmlformats.org/officeDocument/2006/relationships/hyperlink" Target="http://bonterratech.com" TargetMode="External"/><Relationship Id="rId483" Type="http://schemas.openxmlformats.org/officeDocument/2006/relationships/hyperlink" Target="http://squadstack.com" TargetMode="External"/><Relationship Id="rId1074" Type="http://schemas.openxmlformats.org/officeDocument/2006/relationships/hyperlink" Target="http://smartsheet.com" TargetMode="External"/><Relationship Id="rId240" Type="http://schemas.openxmlformats.org/officeDocument/2006/relationships/hyperlink" Target="http://ashbyhq.com" TargetMode="External"/><Relationship Id="rId482" Type="http://schemas.openxmlformats.org/officeDocument/2006/relationships/hyperlink" Target="http://addepar.com" TargetMode="External"/><Relationship Id="rId1075" Type="http://schemas.openxmlformats.org/officeDocument/2006/relationships/hyperlink" Target="http://rocketlane.com" TargetMode="External"/><Relationship Id="rId481" Type="http://schemas.openxmlformats.org/officeDocument/2006/relationships/hyperlink" Target="http://maastery.com" TargetMode="External"/><Relationship Id="rId1076" Type="http://schemas.openxmlformats.org/officeDocument/2006/relationships/hyperlink" Target="http://affirm.com" TargetMode="External"/><Relationship Id="rId246" Type="http://schemas.openxmlformats.org/officeDocument/2006/relationships/hyperlink" Target="http://whispercreekhomes.com" TargetMode="External"/><Relationship Id="rId488" Type="http://schemas.openxmlformats.org/officeDocument/2006/relationships/hyperlink" Target="http://travelbank.com" TargetMode="External"/><Relationship Id="rId1077" Type="http://schemas.openxmlformats.org/officeDocument/2006/relationships/hyperlink" Target="http://embrace.io" TargetMode="External"/><Relationship Id="rId245" Type="http://schemas.openxmlformats.org/officeDocument/2006/relationships/hyperlink" Target="http://sprypt.com" TargetMode="External"/><Relationship Id="rId487" Type="http://schemas.openxmlformats.org/officeDocument/2006/relationships/hyperlink" Target="http://xoxoday.com" TargetMode="External"/><Relationship Id="rId1078" Type="http://schemas.openxmlformats.org/officeDocument/2006/relationships/hyperlink" Target="http://nutanix.com" TargetMode="External"/><Relationship Id="rId244" Type="http://schemas.openxmlformats.org/officeDocument/2006/relationships/hyperlink" Target="http://originbenefits.com" TargetMode="External"/><Relationship Id="rId486" Type="http://schemas.openxmlformats.org/officeDocument/2006/relationships/hyperlink" Target="http://ipipeline.com" TargetMode="External"/><Relationship Id="rId1079" Type="http://schemas.openxmlformats.org/officeDocument/2006/relationships/hyperlink" Target="http://spectra-vision.com" TargetMode="External"/><Relationship Id="rId243" Type="http://schemas.openxmlformats.org/officeDocument/2006/relationships/hyperlink" Target="http://wnstn.ai" TargetMode="External"/><Relationship Id="rId485" Type="http://schemas.openxmlformats.org/officeDocument/2006/relationships/hyperlink" Target="http://kovai.co" TargetMode="External"/><Relationship Id="rId480" Type="http://schemas.openxmlformats.org/officeDocument/2006/relationships/hyperlink" Target="http://debtbook.com" TargetMode="External"/><Relationship Id="rId239" Type="http://schemas.openxmlformats.org/officeDocument/2006/relationships/hyperlink" Target="http://clear.in" TargetMode="External"/><Relationship Id="rId238" Type="http://schemas.openxmlformats.org/officeDocument/2006/relationships/hyperlink" Target="http://moveconcierge.com" TargetMode="External"/><Relationship Id="rId237" Type="http://schemas.openxmlformats.org/officeDocument/2006/relationships/hyperlink" Target="http://baroz.co.il" TargetMode="External"/><Relationship Id="rId479" Type="http://schemas.openxmlformats.org/officeDocument/2006/relationships/hyperlink" Target="http://peak.org" TargetMode="External"/><Relationship Id="rId236" Type="http://schemas.openxmlformats.org/officeDocument/2006/relationships/hyperlink" Target="http://telenity.com" TargetMode="External"/><Relationship Id="rId478" Type="http://schemas.openxmlformats.org/officeDocument/2006/relationships/hyperlink" Target="http://tablioo.com" TargetMode="External"/><Relationship Id="rId1060" Type="http://schemas.openxmlformats.org/officeDocument/2006/relationships/hyperlink" Target="http://omaticsoftware.com" TargetMode="External"/><Relationship Id="rId1061" Type="http://schemas.openxmlformats.org/officeDocument/2006/relationships/hyperlink" Target="http://hubspot.com" TargetMode="External"/><Relationship Id="rId231" Type="http://schemas.openxmlformats.org/officeDocument/2006/relationships/hyperlink" Target="http://jasper.ai" TargetMode="External"/><Relationship Id="rId473" Type="http://schemas.openxmlformats.org/officeDocument/2006/relationships/hyperlink" Target="http://ecomexpress.in" TargetMode="External"/><Relationship Id="rId1062" Type="http://schemas.openxmlformats.org/officeDocument/2006/relationships/hyperlink" Target="http://sitedocs.com" TargetMode="External"/><Relationship Id="rId230" Type="http://schemas.openxmlformats.org/officeDocument/2006/relationships/hyperlink" Target="http://qbiq.ai" TargetMode="External"/><Relationship Id="rId472" Type="http://schemas.openxmlformats.org/officeDocument/2006/relationships/hyperlink" Target="http://procloz.com" TargetMode="External"/><Relationship Id="rId1063" Type="http://schemas.openxmlformats.org/officeDocument/2006/relationships/hyperlink" Target="http://movableink.com" TargetMode="External"/><Relationship Id="rId471" Type="http://schemas.openxmlformats.org/officeDocument/2006/relationships/hyperlink" Target="http://callhippo.com" TargetMode="External"/><Relationship Id="rId1064" Type="http://schemas.openxmlformats.org/officeDocument/2006/relationships/hyperlink" Target="http://brightdata.com" TargetMode="External"/><Relationship Id="rId470" Type="http://schemas.openxmlformats.org/officeDocument/2006/relationships/hyperlink" Target="http://seekout.com" TargetMode="External"/><Relationship Id="rId1065" Type="http://schemas.openxmlformats.org/officeDocument/2006/relationships/hyperlink" Target="http://micamail.in" TargetMode="External"/><Relationship Id="rId235" Type="http://schemas.openxmlformats.org/officeDocument/2006/relationships/hyperlink" Target="http://embracecloud.nl" TargetMode="External"/><Relationship Id="rId477" Type="http://schemas.openxmlformats.org/officeDocument/2006/relationships/hyperlink" Target="http://goselfserve.in" TargetMode="External"/><Relationship Id="rId1066" Type="http://schemas.openxmlformats.org/officeDocument/2006/relationships/hyperlink" Target="http://micamail.in" TargetMode="External"/><Relationship Id="rId234" Type="http://schemas.openxmlformats.org/officeDocument/2006/relationships/hyperlink" Target="http://grab.com" TargetMode="External"/><Relationship Id="rId476" Type="http://schemas.openxmlformats.org/officeDocument/2006/relationships/hyperlink" Target="http://shield.com" TargetMode="External"/><Relationship Id="rId1067" Type="http://schemas.openxmlformats.org/officeDocument/2006/relationships/hyperlink" Target="http://visier.com" TargetMode="External"/><Relationship Id="rId233" Type="http://schemas.openxmlformats.org/officeDocument/2006/relationships/hyperlink" Target="http://perfios.com" TargetMode="External"/><Relationship Id="rId475" Type="http://schemas.openxmlformats.org/officeDocument/2006/relationships/hyperlink" Target="http://eccindia.co.in" TargetMode="External"/><Relationship Id="rId1068" Type="http://schemas.openxmlformats.org/officeDocument/2006/relationships/hyperlink" Target="http://carestack.com" TargetMode="External"/><Relationship Id="rId232" Type="http://schemas.openxmlformats.org/officeDocument/2006/relationships/hyperlink" Target="http://shiksharatanindia.org" TargetMode="External"/><Relationship Id="rId474" Type="http://schemas.openxmlformats.org/officeDocument/2006/relationships/hyperlink" Target="http://eccindia.co.in" TargetMode="External"/><Relationship Id="rId1069" Type="http://schemas.openxmlformats.org/officeDocument/2006/relationships/hyperlink" Target="http://rubrik.com" TargetMode="External"/><Relationship Id="rId1015" Type="http://schemas.openxmlformats.org/officeDocument/2006/relationships/hyperlink" Target="http://pingcap.com" TargetMode="External"/><Relationship Id="rId1257" Type="http://schemas.openxmlformats.org/officeDocument/2006/relationships/hyperlink" Target="http://placer.ai" TargetMode="External"/><Relationship Id="rId1016" Type="http://schemas.openxmlformats.org/officeDocument/2006/relationships/hyperlink" Target="http://activefence.com" TargetMode="External"/><Relationship Id="rId1258" Type="http://schemas.openxmlformats.org/officeDocument/2006/relationships/hyperlink" Target="http://apptio.com" TargetMode="External"/><Relationship Id="rId1017" Type="http://schemas.openxmlformats.org/officeDocument/2006/relationships/hyperlink" Target="http://tabsquare.ai" TargetMode="External"/><Relationship Id="rId1259" Type="http://schemas.openxmlformats.org/officeDocument/2006/relationships/hyperlink" Target="http://iworq.com" TargetMode="External"/><Relationship Id="rId1018" Type="http://schemas.openxmlformats.org/officeDocument/2006/relationships/hyperlink" Target="http://tabsquare.ai" TargetMode="External"/><Relationship Id="rId1019" Type="http://schemas.openxmlformats.org/officeDocument/2006/relationships/hyperlink" Target="http://mongodb.com" TargetMode="External"/><Relationship Id="rId426" Type="http://schemas.openxmlformats.org/officeDocument/2006/relationships/hyperlink" Target="http://aumet.com" TargetMode="External"/><Relationship Id="rId668" Type="http://schemas.openxmlformats.org/officeDocument/2006/relationships/hyperlink" Target="http://fuegosys.com" TargetMode="External"/><Relationship Id="rId425" Type="http://schemas.openxmlformats.org/officeDocument/2006/relationships/hyperlink" Target="http://ushur.com" TargetMode="External"/><Relationship Id="rId667" Type="http://schemas.openxmlformats.org/officeDocument/2006/relationships/hyperlink" Target="http://edgeverve.com" TargetMode="External"/><Relationship Id="rId424" Type="http://schemas.openxmlformats.org/officeDocument/2006/relationships/hyperlink" Target="http://snapmail.cc" TargetMode="External"/><Relationship Id="rId666" Type="http://schemas.openxmlformats.org/officeDocument/2006/relationships/hyperlink" Target="http://inboxinsight.com" TargetMode="External"/><Relationship Id="rId423" Type="http://schemas.openxmlformats.org/officeDocument/2006/relationships/hyperlink" Target="http://jombay.com" TargetMode="External"/><Relationship Id="rId665" Type="http://schemas.openxmlformats.org/officeDocument/2006/relationships/hyperlink" Target="http://accelq.com" TargetMode="External"/><Relationship Id="rId429" Type="http://schemas.openxmlformats.org/officeDocument/2006/relationships/hyperlink" Target="http://monotype.com" TargetMode="External"/><Relationship Id="rId428" Type="http://schemas.openxmlformats.org/officeDocument/2006/relationships/hyperlink" Target="http://quesma.com" TargetMode="External"/><Relationship Id="rId427" Type="http://schemas.openxmlformats.org/officeDocument/2006/relationships/hyperlink" Target="http://quesma.com" TargetMode="External"/><Relationship Id="rId669" Type="http://schemas.openxmlformats.org/officeDocument/2006/relationships/hyperlink" Target="http://clear.in" TargetMode="External"/><Relationship Id="rId660" Type="http://schemas.openxmlformats.org/officeDocument/2006/relationships/hyperlink" Target="http://klubworks.com" TargetMode="External"/><Relationship Id="rId1250" Type="http://schemas.openxmlformats.org/officeDocument/2006/relationships/hyperlink" Target="http://cleo.com" TargetMode="External"/><Relationship Id="rId1251" Type="http://schemas.openxmlformats.org/officeDocument/2006/relationships/hyperlink" Target="http://explorance.com" TargetMode="External"/><Relationship Id="rId1010" Type="http://schemas.openxmlformats.org/officeDocument/2006/relationships/hyperlink" Target="http://cypherlearning.com" TargetMode="External"/><Relationship Id="rId1252" Type="http://schemas.openxmlformats.org/officeDocument/2006/relationships/hyperlink" Target="http://five9.com" TargetMode="External"/><Relationship Id="rId422" Type="http://schemas.openxmlformats.org/officeDocument/2006/relationships/hyperlink" Target="http://leadnotlag.com" TargetMode="External"/><Relationship Id="rId664" Type="http://schemas.openxmlformats.org/officeDocument/2006/relationships/hyperlink" Target="http://xoriant.com" TargetMode="External"/><Relationship Id="rId1011" Type="http://schemas.openxmlformats.org/officeDocument/2006/relationships/hyperlink" Target="http://meshpayments.com" TargetMode="External"/><Relationship Id="rId1253" Type="http://schemas.openxmlformats.org/officeDocument/2006/relationships/hyperlink" Target="http://gloat.com" TargetMode="External"/><Relationship Id="rId421" Type="http://schemas.openxmlformats.org/officeDocument/2006/relationships/hyperlink" Target="http://immione.com" TargetMode="External"/><Relationship Id="rId663" Type="http://schemas.openxmlformats.org/officeDocument/2006/relationships/hyperlink" Target="http://enfuce.com" TargetMode="External"/><Relationship Id="rId1012" Type="http://schemas.openxmlformats.org/officeDocument/2006/relationships/hyperlink" Target="http://onsurity.com" TargetMode="External"/><Relationship Id="rId1254" Type="http://schemas.openxmlformats.org/officeDocument/2006/relationships/hyperlink" Target="http://braincube.com" TargetMode="External"/><Relationship Id="rId420" Type="http://schemas.openxmlformats.org/officeDocument/2006/relationships/hyperlink" Target="http://cbc-capital.com" TargetMode="External"/><Relationship Id="rId662" Type="http://schemas.openxmlformats.org/officeDocument/2006/relationships/hyperlink" Target="http://useinsider.com" TargetMode="External"/><Relationship Id="rId1013" Type="http://schemas.openxmlformats.org/officeDocument/2006/relationships/hyperlink" Target="http://zohocorp.com" TargetMode="External"/><Relationship Id="rId1255" Type="http://schemas.openxmlformats.org/officeDocument/2006/relationships/hyperlink" Target="http://sentinelone.com" TargetMode="External"/><Relationship Id="rId661" Type="http://schemas.openxmlformats.org/officeDocument/2006/relationships/hyperlink" Target="http://xoxoday.com" TargetMode="External"/><Relationship Id="rId1014" Type="http://schemas.openxmlformats.org/officeDocument/2006/relationships/hyperlink" Target="http://emoneyadvisor.com" TargetMode="External"/><Relationship Id="rId1256" Type="http://schemas.openxmlformats.org/officeDocument/2006/relationships/hyperlink" Target="http://placer.io" TargetMode="External"/><Relationship Id="rId1004" Type="http://schemas.openxmlformats.org/officeDocument/2006/relationships/hyperlink" Target="http://nutanix.com" TargetMode="External"/><Relationship Id="rId1246" Type="http://schemas.openxmlformats.org/officeDocument/2006/relationships/hyperlink" Target="http://lambdatest.com" TargetMode="External"/><Relationship Id="rId1005" Type="http://schemas.openxmlformats.org/officeDocument/2006/relationships/hyperlink" Target="http://bloomreach.com" TargetMode="External"/><Relationship Id="rId1247" Type="http://schemas.openxmlformats.org/officeDocument/2006/relationships/hyperlink" Target="http://lambdatest.com" TargetMode="External"/><Relationship Id="rId1006" Type="http://schemas.openxmlformats.org/officeDocument/2006/relationships/hyperlink" Target="http://butterflymx.com" TargetMode="External"/><Relationship Id="rId1248" Type="http://schemas.openxmlformats.org/officeDocument/2006/relationships/hyperlink" Target="http://facilio.com" TargetMode="External"/><Relationship Id="rId1007" Type="http://schemas.openxmlformats.org/officeDocument/2006/relationships/hyperlink" Target="http://vwo.com" TargetMode="External"/><Relationship Id="rId1249" Type="http://schemas.openxmlformats.org/officeDocument/2006/relationships/hyperlink" Target="http://cision.com" TargetMode="External"/><Relationship Id="rId1008" Type="http://schemas.openxmlformats.org/officeDocument/2006/relationships/hyperlink" Target="http://lwolf.com" TargetMode="External"/><Relationship Id="rId1009" Type="http://schemas.openxmlformats.org/officeDocument/2006/relationships/hyperlink" Target="http://gumgum.com" TargetMode="External"/><Relationship Id="rId415" Type="http://schemas.openxmlformats.org/officeDocument/2006/relationships/hyperlink" Target="http://exotel.com" TargetMode="External"/><Relationship Id="rId657" Type="http://schemas.openxmlformats.org/officeDocument/2006/relationships/hyperlink" Target="http://vwo.com" TargetMode="External"/><Relationship Id="rId899" Type="http://schemas.openxmlformats.org/officeDocument/2006/relationships/hyperlink" Target="http://softwareag.com" TargetMode="External"/><Relationship Id="rId414" Type="http://schemas.openxmlformats.org/officeDocument/2006/relationships/hyperlink" Target="http://sprinklr.com" TargetMode="External"/><Relationship Id="rId656" Type="http://schemas.openxmlformats.org/officeDocument/2006/relationships/hyperlink" Target="http://ithorizon.co" TargetMode="External"/><Relationship Id="rId898" Type="http://schemas.openxmlformats.org/officeDocument/2006/relationships/hyperlink" Target="http://clickworth.io" TargetMode="External"/><Relationship Id="rId413" Type="http://schemas.openxmlformats.org/officeDocument/2006/relationships/hyperlink" Target="http://easypie.ai" TargetMode="External"/><Relationship Id="rId655" Type="http://schemas.openxmlformats.org/officeDocument/2006/relationships/hyperlink" Target="http://razorpay.com" TargetMode="External"/><Relationship Id="rId897" Type="http://schemas.openxmlformats.org/officeDocument/2006/relationships/hyperlink" Target="http://clickworth.io" TargetMode="External"/><Relationship Id="rId412" Type="http://schemas.openxmlformats.org/officeDocument/2006/relationships/hyperlink" Target="http://easypie.ai" TargetMode="External"/><Relationship Id="rId654" Type="http://schemas.openxmlformats.org/officeDocument/2006/relationships/hyperlink" Target="http://yugasa.com" TargetMode="External"/><Relationship Id="rId896" Type="http://schemas.openxmlformats.org/officeDocument/2006/relationships/hyperlink" Target="http://redoxengine.com" TargetMode="External"/><Relationship Id="rId419" Type="http://schemas.openxmlformats.org/officeDocument/2006/relationships/hyperlink" Target="http://technemedia.co" TargetMode="External"/><Relationship Id="rId418" Type="http://schemas.openxmlformats.org/officeDocument/2006/relationships/hyperlink" Target="http://tribalvision.com" TargetMode="External"/><Relationship Id="rId417" Type="http://schemas.openxmlformats.org/officeDocument/2006/relationships/hyperlink" Target="http://razorpay.com" TargetMode="External"/><Relationship Id="rId659" Type="http://schemas.openxmlformats.org/officeDocument/2006/relationships/hyperlink" Target="http://foleon.com" TargetMode="External"/><Relationship Id="rId416" Type="http://schemas.openxmlformats.org/officeDocument/2006/relationships/hyperlink" Target="http://scrut.io" TargetMode="External"/><Relationship Id="rId658" Type="http://schemas.openxmlformats.org/officeDocument/2006/relationships/hyperlink" Target="http://wandb.ai" TargetMode="External"/><Relationship Id="rId891" Type="http://schemas.openxmlformats.org/officeDocument/2006/relationships/hyperlink" Target="http://intelex.com" TargetMode="External"/><Relationship Id="rId890" Type="http://schemas.openxmlformats.org/officeDocument/2006/relationships/hyperlink" Target="http://grammarly.com" TargetMode="External"/><Relationship Id="rId1240" Type="http://schemas.openxmlformats.org/officeDocument/2006/relationships/hyperlink" Target="http://deque.com" TargetMode="External"/><Relationship Id="rId1241" Type="http://schemas.openxmlformats.org/officeDocument/2006/relationships/hyperlink" Target="http://nextinsurance.com" TargetMode="External"/><Relationship Id="rId411" Type="http://schemas.openxmlformats.org/officeDocument/2006/relationships/hyperlink" Target="http://teamwork.com" TargetMode="External"/><Relationship Id="rId653" Type="http://schemas.openxmlformats.org/officeDocument/2006/relationships/hyperlink" Target="http://weblineindia.com" TargetMode="External"/><Relationship Id="rId895" Type="http://schemas.openxmlformats.org/officeDocument/2006/relationships/hyperlink" Target="http://telnyx.com" TargetMode="External"/><Relationship Id="rId1000" Type="http://schemas.openxmlformats.org/officeDocument/2006/relationships/hyperlink" Target="http://preqin.com" TargetMode="External"/><Relationship Id="rId1242" Type="http://schemas.openxmlformats.org/officeDocument/2006/relationships/hyperlink" Target="http://trolley.com" TargetMode="External"/><Relationship Id="rId410" Type="http://schemas.openxmlformats.org/officeDocument/2006/relationships/hyperlink" Target="http://teamwork.com" TargetMode="External"/><Relationship Id="rId652" Type="http://schemas.openxmlformats.org/officeDocument/2006/relationships/hyperlink" Target="http://innerfit.me" TargetMode="External"/><Relationship Id="rId894" Type="http://schemas.openxmlformats.org/officeDocument/2006/relationships/hyperlink" Target="http://learninga-z.com" TargetMode="External"/><Relationship Id="rId1001" Type="http://schemas.openxmlformats.org/officeDocument/2006/relationships/hyperlink" Target="http://basis.com" TargetMode="External"/><Relationship Id="rId1243" Type="http://schemas.openxmlformats.org/officeDocument/2006/relationships/hyperlink" Target="http://brightedge.com" TargetMode="External"/><Relationship Id="rId651" Type="http://schemas.openxmlformats.org/officeDocument/2006/relationships/hyperlink" Target="http://happay.com" TargetMode="External"/><Relationship Id="rId893" Type="http://schemas.openxmlformats.org/officeDocument/2006/relationships/hyperlink" Target="http://defswarm.com" TargetMode="External"/><Relationship Id="rId1002" Type="http://schemas.openxmlformats.org/officeDocument/2006/relationships/hyperlink" Target="http://appzen.com" TargetMode="External"/><Relationship Id="rId1244" Type="http://schemas.openxmlformats.org/officeDocument/2006/relationships/hyperlink" Target="http://zayzoon.com" TargetMode="External"/><Relationship Id="rId650" Type="http://schemas.openxmlformats.org/officeDocument/2006/relationships/hyperlink" Target="http://clear.in" TargetMode="External"/><Relationship Id="rId892" Type="http://schemas.openxmlformats.org/officeDocument/2006/relationships/hyperlink" Target="http://tapclicks.com" TargetMode="External"/><Relationship Id="rId1003" Type="http://schemas.openxmlformats.org/officeDocument/2006/relationships/hyperlink" Target="http://crowdstrike.com" TargetMode="External"/><Relationship Id="rId1245" Type="http://schemas.openxmlformats.org/officeDocument/2006/relationships/hyperlink" Target="http://efficientip.com" TargetMode="External"/><Relationship Id="rId1037" Type="http://schemas.openxmlformats.org/officeDocument/2006/relationships/hyperlink" Target="http://ellevationeducation.com" TargetMode="External"/><Relationship Id="rId1279" Type="http://schemas.openxmlformats.org/officeDocument/2006/relationships/hyperlink" Target="http://automox.com" TargetMode="External"/><Relationship Id="rId1038" Type="http://schemas.openxmlformats.org/officeDocument/2006/relationships/hyperlink" Target="http://mydbsync.com" TargetMode="External"/><Relationship Id="rId1039" Type="http://schemas.openxmlformats.org/officeDocument/2006/relationships/hyperlink" Target="http://yalo.com" TargetMode="External"/><Relationship Id="rId206" Type="http://schemas.openxmlformats.org/officeDocument/2006/relationships/hyperlink" Target="http://forsysinc.com" TargetMode="External"/><Relationship Id="rId448" Type="http://schemas.openxmlformats.org/officeDocument/2006/relationships/hyperlink" Target="http://ipventures.in" TargetMode="External"/><Relationship Id="rId205" Type="http://schemas.openxmlformats.org/officeDocument/2006/relationships/hyperlink" Target="http://simple2insure.net" TargetMode="External"/><Relationship Id="rId447" Type="http://schemas.openxmlformats.org/officeDocument/2006/relationships/hyperlink" Target="http://ipventures.in" TargetMode="External"/><Relationship Id="rId689" Type="http://schemas.openxmlformats.org/officeDocument/2006/relationships/hyperlink" Target="http://innovaccer.com" TargetMode="External"/><Relationship Id="rId204" Type="http://schemas.openxmlformats.org/officeDocument/2006/relationships/hyperlink" Target="http://simple2insure.net" TargetMode="External"/><Relationship Id="rId446" Type="http://schemas.openxmlformats.org/officeDocument/2006/relationships/hyperlink" Target="http://threado.com" TargetMode="External"/><Relationship Id="rId688" Type="http://schemas.openxmlformats.org/officeDocument/2006/relationships/hyperlink" Target="http://actioniq.com" TargetMode="External"/><Relationship Id="rId203" Type="http://schemas.openxmlformats.org/officeDocument/2006/relationships/hyperlink" Target="http://iheartmedia.com" TargetMode="External"/><Relationship Id="rId445" Type="http://schemas.openxmlformats.org/officeDocument/2006/relationships/hyperlink" Target="http://bautomate.com" TargetMode="External"/><Relationship Id="rId687" Type="http://schemas.openxmlformats.org/officeDocument/2006/relationships/hyperlink" Target="http://prophix.com" TargetMode="External"/><Relationship Id="rId209" Type="http://schemas.openxmlformats.org/officeDocument/2006/relationships/hyperlink" Target="http://aloware.com" TargetMode="External"/><Relationship Id="rId208" Type="http://schemas.openxmlformats.org/officeDocument/2006/relationships/hyperlink" Target="http://scalinguprevenues.com" TargetMode="External"/><Relationship Id="rId207" Type="http://schemas.openxmlformats.org/officeDocument/2006/relationships/hyperlink" Target="http://perfios.com" TargetMode="External"/><Relationship Id="rId449" Type="http://schemas.openxmlformats.org/officeDocument/2006/relationships/hyperlink" Target="http://irnini.com" TargetMode="External"/><Relationship Id="rId1270" Type="http://schemas.openxmlformats.org/officeDocument/2006/relationships/hyperlink" Target="http://planview.com" TargetMode="External"/><Relationship Id="rId440" Type="http://schemas.openxmlformats.org/officeDocument/2006/relationships/hyperlink" Target="http://urbanpiper.com" TargetMode="External"/><Relationship Id="rId682" Type="http://schemas.openxmlformats.org/officeDocument/2006/relationships/hyperlink" Target="http://fieldwire.com" TargetMode="External"/><Relationship Id="rId1271" Type="http://schemas.openxmlformats.org/officeDocument/2006/relationships/hyperlink" Target="http://esl.gatech.edu" TargetMode="External"/><Relationship Id="rId681" Type="http://schemas.openxmlformats.org/officeDocument/2006/relationships/hyperlink" Target="http://moveworks.com" TargetMode="External"/><Relationship Id="rId1030" Type="http://schemas.openxmlformats.org/officeDocument/2006/relationships/hyperlink" Target="http://zohocorp.com" TargetMode="External"/><Relationship Id="rId1272" Type="http://schemas.openxmlformats.org/officeDocument/2006/relationships/hyperlink" Target="http://gocatalant.com" TargetMode="External"/><Relationship Id="rId680" Type="http://schemas.openxmlformats.org/officeDocument/2006/relationships/hyperlink" Target="http://gym.com" TargetMode="External"/><Relationship Id="rId1031" Type="http://schemas.openxmlformats.org/officeDocument/2006/relationships/hyperlink" Target="http://zoominfo.com" TargetMode="External"/><Relationship Id="rId1273" Type="http://schemas.openxmlformats.org/officeDocument/2006/relationships/hyperlink" Target="http://qure.ai" TargetMode="External"/><Relationship Id="rId1032" Type="http://schemas.openxmlformats.org/officeDocument/2006/relationships/hyperlink" Target="http://getzipline.com" TargetMode="External"/><Relationship Id="rId1274" Type="http://schemas.openxmlformats.org/officeDocument/2006/relationships/hyperlink" Target="http://qure.ai" TargetMode="External"/><Relationship Id="rId202" Type="http://schemas.openxmlformats.org/officeDocument/2006/relationships/hyperlink" Target="http://thoughtspot.com" TargetMode="External"/><Relationship Id="rId444" Type="http://schemas.openxmlformats.org/officeDocument/2006/relationships/hyperlink" Target="http://seedtag.com" TargetMode="External"/><Relationship Id="rId686" Type="http://schemas.openxmlformats.org/officeDocument/2006/relationships/hyperlink" Target="http://bigid.com" TargetMode="External"/><Relationship Id="rId1033" Type="http://schemas.openxmlformats.org/officeDocument/2006/relationships/hyperlink" Target="http://simplilearn.com" TargetMode="External"/><Relationship Id="rId1275" Type="http://schemas.openxmlformats.org/officeDocument/2006/relationships/hyperlink" Target="http://myndsolution.com" TargetMode="External"/><Relationship Id="rId201" Type="http://schemas.openxmlformats.org/officeDocument/2006/relationships/hyperlink" Target="http://arine.io" TargetMode="External"/><Relationship Id="rId443" Type="http://schemas.openxmlformats.org/officeDocument/2006/relationships/hyperlink" Target="http://tryhelium.xyz" TargetMode="External"/><Relationship Id="rId685" Type="http://schemas.openxmlformats.org/officeDocument/2006/relationships/hyperlink" Target="http://lumivero.com" TargetMode="External"/><Relationship Id="rId1034" Type="http://schemas.openxmlformats.org/officeDocument/2006/relationships/hyperlink" Target="http://lentra.ai" TargetMode="External"/><Relationship Id="rId1276" Type="http://schemas.openxmlformats.org/officeDocument/2006/relationships/hyperlink" Target="http://chargebee.com" TargetMode="External"/><Relationship Id="rId200" Type="http://schemas.openxmlformats.org/officeDocument/2006/relationships/hyperlink" Target="http://threatconnect.com" TargetMode="External"/><Relationship Id="rId442" Type="http://schemas.openxmlformats.org/officeDocument/2006/relationships/hyperlink" Target="http://tryhelium.xyz" TargetMode="External"/><Relationship Id="rId684" Type="http://schemas.openxmlformats.org/officeDocument/2006/relationships/hyperlink" Target="http://foursquare.com" TargetMode="External"/><Relationship Id="rId1035" Type="http://schemas.openxmlformats.org/officeDocument/2006/relationships/hyperlink" Target="http://celoxis.com" TargetMode="External"/><Relationship Id="rId1277" Type="http://schemas.openxmlformats.org/officeDocument/2006/relationships/hyperlink" Target="http://coinbase.com" TargetMode="External"/><Relationship Id="rId441" Type="http://schemas.openxmlformats.org/officeDocument/2006/relationships/hyperlink" Target="http://multiversepartners.com" TargetMode="External"/><Relationship Id="rId683" Type="http://schemas.openxmlformats.org/officeDocument/2006/relationships/hyperlink" Target="http://bandwidth.com" TargetMode="External"/><Relationship Id="rId1036" Type="http://schemas.openxmlformats.org/officeDocument/2006/relationships/hyperlink" Target="http://realsports.ai" TargetMode="External"/><Relationship Id="rId1278" Type="http://schemas.openxmlformats.org/officeDocument/2006/relationships/hyperlink" Target="http://litify.com" TargetMode="External"/><Relationship Id="rId1026" Type="http://schemas.openxmlformats.org/officeDocument/2006/relationships/hyperlink" Target="http://dscout.com" TargetMode="External"/><Relationship Id="rId1268" Type="http://schemas.openxmlformats.org/officeDocument/2006/relationships/hyperlink" Target="http://swordhealth.com" TargetMode="External"/><Relationship Id="rId1027" Type="http://schemas.openxmlformats.org/officeDocument/2006/relationships/hyperlink" Target="http://isaacinstruments.com" TargetMode="External"/><Relationship Id="rId1269" Type="http://schemas.openxmlformats.org/officeDocument/2006/relationships/hyperlink" Target="http://velocityglobal.com" TargetMode="External"/><Relationship Id="rId1028" Type="http://schemas.openxmlformats.org/officeDocument/2006/relationships/hyperlink" Target="http://globalvision.co" TargetMode="External"/><Relationship Id="rId1029" Type="http://schemas.openxmlformats.org/officeDocument/2006/relationships/hyperlink" Target="http://dentalintel.com" TargetMode="External"/><Relationship Id="rId437" Type="http://schemas.openxmlformats.org/officeDocument/2006/relationships/hyperlink" Target="http://kwanzoo.com" TargetMode="External"/><Relationship Id="rId679" Type="http://schemas.openxmlformats.org/officeDocument/2006/relationships/hyperlink" Target="http://qualitykiosk.com" TargetMode="External"/><Relationship Id="rId436" Type="http://schemas.openxmlformats.org/officeDocument/2006/relationships/hyperlink" Target="http://sign3labs.com" TargetMode="External"/><Relationship Id="rId678" Type="http://schemas.openxmlformats.org/officeDocument/2006/relationships/hyperlink" Target="http://foodni.com" TargetMode="External"/><Relationship Id="rId435" Type="http://schemas.openxmlformats.org/officeDocument/2006/relationships/hyperlink" Target="http://tryloop.ai" TargetMode="External"/><Relationship Id="rId677" Type="http://schemas.openxmlformats.org/officeDocument/2006/relationships/hyperlink" Target="http://2pac.com" TargetMode="External"/><Relationship Id="rId434" Type="http://schemas.openxmlformats.org/officeDocument/2006/relationships/hyperlink" Target="http://covu.com" TargetMode="External"/><Relationship Id="rId676" Type="http://schemas.openxmlformats.org/officeDocument/2006/relationships/hyperlink" Target="http://entropik.io" TargetMode="External"/><Relationship Id="rId439" Type="http://schemas.openxmlformats.org/officeDocument/2006/relationships/hyperlink" Target="http://turbostart.co" TargetMode="External"/><Relationship Id="rId438" Type="http://schemas.openxmlformats.org/officeDocument/2006/relationships/hyperlink" Target="http://zenskar.com" TargetMode="External"/><Relationship Id="rId671" Type="http://schemas.openxmlformats.org/officeDocument/2006/relationships/hyperlink" Target="http://bootlabstech.com" TargetMode="External"/><Relationship Id="rId1260" Type="http://schemas.openxmlformats.org/officeDocument/2006/relationships/hyperlink" Target="http://contactmonkey.com" TargetMode="External"/><Relationship Id="rId670" Type="http://schemas.openxmlformats.org/officeDocument/2006/relationships/hyperlink" Target="http://sayari.com" TargetMode="External"/><Relationship Id="rId1261" Type="http://schemas.openxmlformats.org/officeDocument/2006/relationships/hyperlink" Target="http://splashthat.com" TargetMode="External"/><Relationship Id="rId1020" Type="http://schemas.openxmlformats.org/officeDocument/2006/relationships/hyperlink" Target="http://nectarhr.com" TargetMode="External"/><Relationship Id="rId1262" Type="http://schemas.openxmlformats.org/officeDocument/2006/relationships/hyperlink" Target="http://pathfactory.com" TargetMode="External"/><Relationship Id="rId1021" Type="http://schemas.openxmlformats.org/officeDocument/2006/relationships/hyperlink" Target="http://zendesk.com" TargetMode="External"/><Relationship Id="rId1263" Type="http://schemas.openxmlformats.org/officeDocument/2006/relationships/hyperlink" Target="http://clear.in" TargetMode="External"/><Relationship Id="rId433" Type="http://schemas.openxmlformats.org/officeDocument/2006/relationships/hyperlink" Target="http://dotdata.com" TargetMode="External"/><Relationship Id="rId675" Type="http://schemas.openxmlformats.org/officeDocument/2006/relationships/hyperlink" Target="http://slp.com" TargetMode="External"/><Relationship Id="rId1022" Type="http://schemas.openxmlformats.org/officeDocument/2006/relationships/hyperlink" Target="http://tulip.co" TargetMode="External"/><Relationship Id="rId1264" Type="http://schemas.openxmlformats.org/officeDocument/2006/relationships/hyperlink" Target="http://myoperator.com" TargetMode="External"/><Relationship Id="rId432" Type="http://schemas.openxmlformats.org/officeDocument/2006/relationships/hyperlink" Target="http://truworthwellness.com" TargetMode="External"/><Relationship Id="rId674" Type="http://schemas.openxmlformats.org/officeDocument/2006/relationships/hyperlink" Target="http://godigitalselling.com" TargetMode="External"/><Relationship Id="rId1023" Type="http://schemas.openxmlformats.org/officeDocument/2006/relationships/hyperlink" Target="http://corpay.com" TargetMode="External"/><Relationship Id="rId1265" Type="http://schemas.openxmlformats.org/officeDocument/2006/relationships/hyperlink" Target="http://responsive.io" TargetMode="External"/><Relationship Id="rId431" Type="http://schemas.openxmlformats.org/officeDocument/2006/relationships/hyperlink" Target="http://incruiter.com" TargetMode="External"/><Relationship Id="rId673" Type="http://schemas.openxmlformats.org/officeDocument/2006/relationships/hyperlink" Target="http://rivigo.com" TargetMode="External"/><Relationship Id="rId1024" Type="http://schemas.openxmlformats.org/officeDocument/2006/relationships/hyperlink" Target="http://wisetechglobal.com" TargetMode="External"/><Relationship Id="rId1266" Type="http://schemas.openxmlformats.org/officeDocument/2006/relationships/hyperlink" Target="http://guesty.com" TargetMode="External"/><Relationship Id="rId430" Type="http://schemas.openxmlformats.org/officeDocument/2006/relationships/hyperlink" Target="http://adoro.us" TargetMode="External"/><Relationship Id="rId672" Type="http://schemas.openxmlformats.org/officeDocument/2006/relationships/hyperlink" Target="http://coro.net" TargetMode="External"/><Relationship Id="rId1025" Type="http://schemas.openxmlformats.org/officeDocument/2006/relationships/hyperlink" Target="http://k2view.com" TargetMode="External"/><Relationship Id="rId1267" Type="http://schemas.openxmlformats.org/officeDocument/2006/relationships/hyperlink" Target="http://hibob.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7CEBE"/>
    <outlinePr summaryBelow="0" summaryRight="0"/>
  </sheetPr>
  <sheetViews>
    <sheetView showGridLines="0" workbookViewId="0"/>
  </sheetViews>
  <sheetFormatPr customHeight="1" defaultColWidth="12.63" defaultRowHeight="15.75"/>
  <cols>
    <col customWidth="1" min="1" max="7" width="9.0"/>
  </cols>
  <sheetData>
    <row r="1">
      <c r="A1" s="1"/>
      <c r="B1" s="2"/>
      <c r="C1" s="2"/>
      <c r="D1" s="3"/>
      <c r="E1" s="1"/>
      <c r="F1" s="4"/>
      <c r="G1" s="4"/>
    </row>
    <row r="2">
      <c r="A2" s="1"/>
      <c r="B2" s="2"/>
      <c r="C2" s="5"/>
      <c r="D2" s="6"/>
      <c r="E2" s="7"/>
      <c r="F2" s="4"/>
      <c r="G2" s="4"/>
    </row>
    <row r="3">
      <c r="A3" s="1"/>
      <c r="B3" s="2"/>
      <c r="C3" s="8"/>
      <c r="D3" s="9"/>
      <c r="E3" s="10"/>
      <c r="F3" s="4"/>
      <c r="G3" s="4"/>
    </row>
    <row r="4">
      <c r="A4" s="1"/>
      <c r="B4" s="2"/>
      <c r="C4" s="2"/>
      <c r="D4" s="3"/>
      <c r="E4" s="1"/>
      <c r="F4" s="4"/>
      <c r="G4"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6" width="12.25"/>
  </cols>
  <sheetData>
    <row r="1" ht="30.75" customHeight="1">
      <c r="A1" s="11" t="str">
        <f>CONCATENATE(
            "              ", "HubSpot Import", char(10),
            "              ", "",
            IFERROR(IFS(
                (now()-"2026/04/08 21:51") &lt;= 0,
                    "",
                AND((now()-"2026/04/08 21:51") * 1440 &gt;= 0, (now()-"2026/04/08 21:51") * 1440 &lt;= 5),
                    "Last updated just now",
                (now()-"2026/04/08 21:51") * 1440 &lt;= 60,
                    "Last updated "&amp;FLOOR((now()-"2026/04/08 21:51")*1440,1)&amp;" minutes ago",
                (now()-"2026/04/08 21:51") * 24 &lt;= 24,
                    "Last updated "&amp;FLOOR((now()-"2026/04/08 21:51")*24,1) &amp;
                        IF(FLOOR((now()-"2026/04/08 21:51")*24,1) &lt;= 1, " hour ago", " hours ago"),
                (now()-"2026/04/08 21:51") &lt;= 30,
                    "Last updated "&amp;FLOOR((now()-"2026/04/08 21:51"),1) &amp;
                        IF(FLOOR((now()-"2026/04/08 21:51"),1) &lt;= 1, " day ago", " days ago"),
                (now()-"2026/04/08 21:51") &gt; 30,
                    "Last updated " &amp;
                        FLOOR((now()-"2026/04/08 21:51")/7,1) &amp;
                        IF(FLOOR((now()-"2026/04/08 21:51"),1) &lt;= 1, " week ago", " weeks ago")
            ),"Last updated on 2026/04/08 21:51")
        )</f>
        <v>              HubSpot Import
              Last updated 20 minutes ago</v>
      </c>
      <c r="B1" s="11" t="s">
        <v>0</v>
      </c>
      <c r="C1" s="11" t="str">
        <f>IFERROR(IF(NOW(), _COEFF_ssop()),"")</f>
        <v/>
      </c>
      <c r="D1" s="12" t="s">
        <v>0</v>
      </c>
      <c r="E1" s="11" t="s">
        <v>0</v>
      </c>
      <c r="F1" s="11" t="s">
        <v>0</v>
      </c>
      <c r="G1" s="11" t="s">
        <v>0</v>
      </c>
      <c r="H1" s="11" t="s">
        <v>0</v>
      </c>
      <c r="I1" s="11" t="s">
        <v>0</v>
      </c>
      <c r="J1" s="11" t="s">
        <v>0</v>
      </c>
      <c r="K1" s="11" t="s">
        <v>0</v>
      </c>
      <c r="L1" s="11" t="s">
        <v>0</v>
      </c>
      <c r="M1" s="13" t="s">
        <v>0</v>
      </c>
      <c r="N1" s="13" t="s">
        <v>0</v>
      </c>
      <c r="O1" s="13" t="s">
        <v>0</v>
      </c>
      <c r="P1" s="13" t="s">
        <v>0</v>
      </c>
      <c r="Q1" s="13" t="s">
        <v>0</v>
      </c>
      <c r="R1" s="13" t="s">
        <v>0</v>
      </c>
      <c r="S1" s="13" t="s">
        <v>0</v>
      </c>
      <c r="T1" s="13" t="s">
        <v>0</v>
      </c>
      <c r="U1" s="13" t="s">
        <v>0</v>
      </c>
      <c r="V1" s="13" t="s">
        <v>0</v>
      </c>
      <c r="W1" s="14" t="s">
        <v>0</v>
      </c>
      <c r="X1" s="15" t="s">
        <v>0</v>
      </c>
      <c r="Y1" s="15" t="s">
        <v>0</v>
      </c>
      <c r="Z1" s="16" t="s">
        <v>0</v>
      </c>
      <c r="AA1" s="16" t="s">
        <v>0</v>
      </c>
      <c r="AB1" s="16" t="s">
        <v>0</v>
      </c>
      <c r="AC1" s="16" t="s">
        <v>0</v>
      </c>
      <c r="AD1" s="16" t="s">
        <v>0</v>
      </c>
      <c r="AE1" s="16" t="s">
        <v>0</v>
      </c>
      <c r="AF1" s="16" t="s">
        <v>0</v>
      </c>
      <c r="AG1" s="17"/>
      <c r="AH1" s="17"/>
      <c r="AI1" s="17"/>
      <c r="AJ1" s="17"/>
    </row>
    <row r="2" ht="22.5" customHeight="1">
      <c r="A2" s="18" t="s">
        <v>1</v>
      </c>
      <c r="B2" s="18" t="s">
        <v>2</v>
      </c>
      <c r="C2" s="18" t="s">
        <v>3</v>
      </c>
      <c r="D2" s="19" t="s">
        <v>4</v>
      </c>
      <c r="E2" s="18" t="s">
        <v>5</v>
      </c>
      <c r="F2" s="18" t="s">
        <v>6</v>
      </c>
      <c r="G2" s="18" t="s">
        <v>7</v>
      </c>
      <c r="H2" s="18" t="s">
        <v>8</v>
      </c>
      <c r="I2" s="18" t="s">
        <v>9</v>
      </c>
      <c r="J2" s="18" t="s">
        <v>10</v>
      </c>
      <c r="K2" s="18" t="s">
        <v>11</v>
      </c>
      <c r="L2" s="18" t="s">
        <v>12</v>
      </c>
      <c r="M2" s="18" t="s">
        <v>13</v>
      </c>
      <c r="N2" s="18" t="s">
        <v>14</v>
      </c>
      <c r="O2" s="18" t="s">
        <v>15</v>
      </c>
      <c r="P2" s="18" t="s">
        <v>16</v>
      </c>
      <c r="Q2" s="18" t="s">
        <v>17</v>
      </c>
      <c r="R2" s="18" t="s">
        <v>18</v>
      </c>
      <c r="S2" s="18" t="s">
        <v>19</v>
      </c>
      <c r="T2" s="18" t="s">
        <v>20</v>
      </c>
      <c r="U2" s="18" t="s">
        <v>21</v>
      </c>
      <c r="V2" s="18" t="s">
        <v>22</v>
      </c>
      <c r="W2" s="19" t="s">
        <v>23</v>
      </c>
      <c r="X2" s="20" t="s">
        <v>24</v>
      </c>
      <c r="Y2" s="20" t="s">
        <v>25</v>
      </c>
      <c r="Z2" s="21" t="s">
        <v>26</v>
      </c>
      <c r="AA2" s="21" t="s">
        <v>27</v>
      </c>
      <c r="AB2" s="21" t="s">
        <v>28</v>
      </c>
      <c r="AC2" s="21" t="s">
        <v>29</v>
      </c>
      <c r="AD2" s="21" t="s">
        <v>30</v>
      </c>
      <c r="AE2" s="21" t="s">
        <v>31</v>
      </c>
      <c r="AF2" s="21" t="s">
        <v>32</v>
      </c>
      <c r="AG2" s="22" t="s">
        <v>33</v>
      </c>
      <c r="AH2" s="22" t="s">
        <v>34</v>
      </c>
      <c r="AI2" s="22" t="s">
        <v>35</v>
      </c>
      <c r="AJ2" s="22" t="s">
        <v>36</v>
      </c>
    </row>
    <row r="3" ht="15.75" customHeight="1">
      <c r="A3" s="23">
        <f>HYPERLINK("https://app.hubspot.com/contacts/8748051/record/0-3/58642910638", 58642910638)</f>
        <v>58642910638</v>
      </c>
      <c r="B3" s="24" t="s">
        <v>37</v>
      </c>
      <c r="C3" s="24" t="s">
        <v>38</v>
      </c>
      <c r="D3" s="25">
        <v>10500.0</v>
      </c>
      <c r="E3" s="24" t="s">
        <v>39</v>
      </c>
      <c r="F3" s="24"/>
      <c r="G3" s="26">
        <v>46113.49916666667</v>
      </c>
      <c r="H3" s="26">
        <v>46293.49915509259</v>
      </c>
      <c r="I3" s="24" t="s">
        <v>40</v>
      </c>
      <c r="J3" s="24" t="s">
        <v>41</v>
      </c>
      <c r="K3" s="24" t="s">
        <v>42</v>
      </c>
      <c r="L3" s="24" t="s">
        <v>43</v>
      </c>
      <c r="M3" s="24" t="s">
        <v>44</v>
      </c>
      <c r="N3" s="24"/>
      <c r="O3" s="27"/>
      <c r="P3" s="27"/>
      <c r="Q3" s="27"/>
      <c r="R3" s="23">
        <f>HYPERLINK("https://app.hubspot.com/contacts/8748051/record/0-2/6266374152", 6266374152)</f>
        <v>6266374152</v>
      </c>
      <c r="S3" s="24" t="s">
        <v>45</v>
      </c>
      <c r="T3" s="28" t="s">
        <v>46</v>
      </c>
      <c r="U3" s="24" t="s">
        <v>47</v>
      </c>
      <c r="V3" s="24"/>
      <c r="W3" s="25"/>
      <c r="X3" s="29">
        <v>113.0</v>
      </c>
      <c r="Y3" s="29">
        <v>21.0</v>
      </c>
      <c r="Z3" s="30" t="s">
        <v>48</v>
      </c>
      <c r="AA3" s="30"/>
      <c r="AB3" s="31"/>
      <c r="AC3" s="31"/>
      <c r="AD3" s="30"/>
      <c r="AE3" s="30"/>
      <c r="AF3" s="30"/>
      <c r="AG3" s="27" t="str">
        <f t="shared" ref="AG3:AG997" si="1">IF(OR(J3="Standard Logo", J3="Key Logo"), "New Logo", J3)</f>
        <v>New Logo</v>
      </c>
      <c r="AH3" s="27" t="str">
        <f t="shared" ref="AH3:AH53" si="2">IF(U3="customer","Customer",IF(U3=34564763,"Churn","Lead"))</f>
        <v>Lead</v>
      </c>
      <c r="AI3" s="27" t="str">
        <f t="shared" ref="AI3:AI53" si="3">IF(X3&lt;=200,"0-200",
IF(X3&lt;=500,"201-500",
IF(X3&lt;=1000,"501-1000",
IF(X3&lt;=5000,"1001-5000",
IF(X3&lt;=10000,"5000-10000","10000+")))))</f>
        <v>0-200</v>
      </c>
      <c r="AJ3" s="27" t="str">
        <f t="shared" ref="AJ3:AJ53" si="4">IF(Y3&lt;=20,"0-20",
IF(Y3&lt;=50,"21-50",
IF(Y3&lt;=100,"51-100",
IF(Y3&lt;=500,"101-500","500+"))))</f>
        <v>21-50</v>
      </c>
    </row>
    <row r="4" ht="15.75" customHeight="1">
      <c r="A4" s="23">
        <f>HYPERLINK("https://app.hubspot.com/contacts/8748051/record/0-3/58604482148", 58604482148)</f>
        <v>58604482148</v>
      </c>
      <c r="B4" s="24" t="s">
        <v>49</v>
      </c>
      <c r="C4" s="24" t="s">
        <v>50</v>
      </c>
      <c r="D4" s="25">
        <v>75000.0</v>
      </c>
      <c r="E4" s="24" t="s">
        <v>51</v>
      </c>
      <c r="F4" s="24" t="s">
        <v>52</v>
      </c>
      <c r="G4" s="26">
        <v>46112.44082175926</v>
      </c>
      <c r="H4" s="26">
        <v>46325.612604166665</v>
      </c>
      <c r="I4" s="24" t="s">
        <v>40</v>
      </c>
      <c r="J4" s="24" t="s">
        <v>53</v>
      </c>
      <c r="K4" s="24" t="s">
        <v>42</v>
      </c>
      <c r="L4" s="24" t="s">
        <v>43</v>
      </c>
      <c r="M4" s="24" t="s">
        <v>44</v>
      </c>
      <c r="N4" s="24"/>
      <c r="O4" s="27"/>
      <c r="P4" s="27"/>
      <c r="Q4" s="27"/>
      <c r="R4" s="23">
        <f>HYPERLINK("https://app.hubspot.com/contacts/8748051/record/0-2/9909085526", 9909085526)</f>
        <v>9909085526</v>
      </c>
      <c r="S4" s="24" t="s">
        <v>54</v>
      </c>
      <c r="T4" s="28" t="s">
        <v>55</v>
      </c>
      <c r="U4" s="24" t="s">
        <v>47</v>
      </c>
      <c r="V4" s="24"/>
      <c r="W4" s="25"/>
      <c r="X4" s="29">
        <v>1112.0</v>
      </c>
      <c r="Y4" s="29">
        <v>187.0</v>
      </c>
      <c r="Z4" s="30" t="s">
        <v>56</v>
      </c>
      <c r="AA4" s="30"/>
      <c r="AB4" s="31"/>
      <c r="AC4" s="30"/>
      <c r="AD4" s="30"/>
      <c r="AE4" s="30"/>
      <c r="AF4" s="30"/>
      <c r="AG4" s="27" t="str">
        <f t="shared" si="1"/>
        <v>New Logo</v>
      </c>
      <c r="AH4" s="27" t="str">
        <f t="shared" si="2"/>
        <v>Lead</v>
      </c>
      <c r="AI4" s="27" t="str">
        <f t="shared" si="3"/>
        <v>1001-5000</v>
      </c>
      <c r="AJ4" s="27" t="str">
        <f t="shared" si="4"/>
        <v>101-500</v>
      </c>
    </row>
    <row r="5" ht="15.75" customHeight="1">
      <c r="A5" s="23">
        <f>HYPERLINK("https://app.hubspot.com/contacts/8748051/record/0-3/58387272752", 58387272752)</f>
        <v>58387272752</v>
      </c>
      <c r="B5" s="24" t="s">
        <v>57</v>
      </c>
      <c r="C5" s="24" t="s">
        <v>38</v>
      </c>
      <c r="D5" s="25">
        <v>7000.0</v>
      </c>
      <c r="E5" s="24" t="s">
        <v>51</v>
      </c>
      <c r="F5" s="24" t="s">
        <v>52</v>
      </c>
      <c r="G5" s="26">
        <v>46107.383993055555</v>
      </c>
      <c r="H5" s="26">
        <v>46287.38398148148</v>
      </c>
      <c r="I5" s="24" t="s">
        <v>40</v>
      </c>
      <c r="J5" s="24" t="s">
        <v>41</v>
      </c>
      <c r="K5" s="24" t="s">
        <v>42</v>
      </c>
      <c r="L5" s="24" t="s">
        <v>43</v>
      </c>
      <c r="M5" s="24" t="s">
        <v>44</v>
      </c>
      <c r="N5" s="27"/>
      <c r="O5" s="27"/>
      <c r="P5" s="27"/>
      <c r="Q5" s="27"/>
      <c r="R5" s="23">
        <f>HYPERLINK("https://app.hubspot.com/contacts/8748051/record/0-2/9069625153", 9069625153)</f>
        <v>9069625153</v>
      </c>
      <c r="S5" s="28" t="s">
        <v>58</v>
      </c>
      <c r="T5" s="28" t="s">
        <v>58</v>
      </c>
      <c r="U5" s="24" t="s">
        <v>47</v>
      </c>
      <c r="V5" s="24"/>
      <c r="W5" s="25"/>
      <c r="X5" s="29">
        <v>231.0</v>
      </c>
      <c r="Y5" s="29">
        <v>14.0</v>
      </c>
      <c r="Z5" s="30"/>
      <c r="AA5" s="30"/>
      <c r="AB5" s="31"/>
      <c r="AC5" s="30"/>
      <c r="AD5" s="30"/>
      <c r="AE5" s="30"/>
      <c r="AF5" s="30"/>
      <c r="AG5" s="27" t="str">
        <f t="shared" si="1"/>
        <v>New Logo</v>
      </c>
      <c r="AH5" s="27" t="str">
        <f t="shared" si="2"/>
        <v>Lead</v>
      </c>
      <c r="AI5" s="27" t="str">
        <f t="shared" si="3"/>
        <v>201-500</v>
      </c>
      <c r="AJ5" s="27" t="str">
        <f t="shared" si="4"/>
        <v>0-20</v>
      </c>
    </row>
    <row r="6" ht="15.75" customHeight="1">
      <c r="A6" s="23">
        <f>HYPERLINK("https://app.hubspot.com/contacts/8748051/record/0-3/58363292323", 58363292323)</f>
        <v>58363292323</v>
      </c>
      <c r="B6" s="24" t="s">
        <v>59</v>
      </c>
      <c r="C6" s="24" t="s">
        <v>38</v>
      </c>
      <c r="D6" s="25">
        <v>48500.0</v>
      </c>
      <c r="E6" s="24" t="s">
        <v>39</v>
      </c>
      <c r="F6" s="24"/>
      <c r="G6" s="26">
        <v>46107.34203703704</v>
      </c>
      <c r="H6" s="26">
        <v>46287.34202546296</v>
      </c>
      <c r="I6" s="24" t="s">
        <v>40</v>
      </c>
      <c r="J6" s="24" t="s">
        <v>53</v>
      </c>
      <c r="K6" s="24" t="s">
        <v>60</v>
      </c>
      <c r="L6" s="24" t="s">
        <v>61</v>
      </c>
      <c r="M6" s="24" t="s">
        <v>44</v>
      </c>
      <c r="N6" s="27"/>
      <c r="O6" s="27"/>
      <c r="P6" s="27"/>
      <c r="Q6" s="27"/>
      <c r="R6" s="23">
        <f>HYPERLINK("https://app.hubspot.com/contacts/8748051/record/0-2/37172738454", 37172738454)</f>
        <v>37172738454</v>
      </c>
      <c r="S6" s="24" t="s">
        <v>62</v>
      </c>
      <c r="T6" s="28" t="s">
        <v>63</v>
      </c>
      <c r="U6" s="24" t="s">
        <v>47</v>
      </c>
      <c r="V6" s="24"/>
      <c r="W6" s="25"/>
      <c r="X6" s="29">
        <v>1098.0</v>
      </c>
      <c r="Y6" s="29">
        <v>97.0</v>
      </c>
      <c r="Z6" s="30" t="s">
        <v>64</v>
      </c>
      <c r="AA6" s="30"/>
      <c r="AB6" s="31"/>
      <c r="AC6" s="30"/>
      <c r="AD6" s="30"/>
      <c r="AE6" s="30"/>
      <c r="AF6" s="30"/>
      <c r="AG6" s="27" t="str">
        <f t="shared" si="1"/>
        <v>New Logo</v>
      </c>
      <c r="AH6" s="27" t="str">
        <f t="shared" si="2"/>
        <v>Lead</v>
      </c>
      <c r="AI6" s="27" t="str">
        <f t="shared" si="3"/>
        <v>1001-5000</v>
      </c>
      <c r="AJ6" s="27" t="str">
        <f t="shared" si="4"/>
        <v>51-100</v>
      </c>
    </row>
    <row r="7" ht="15.75" customHeight="1">
      <c r="A7" s="23">
        <f>HYPERLINK("https://app.hubspot.com/contacts/8748051/record/0-3/58333389614", 58333389614)</f>
        <v>58333389614</v>
      </c>
      <c r="B7" s="24" t="s">
        <v>65</v>
      </c>
      <c r="C7" s="24" t="s">
        <v>38</v>
      </c>
      <c r="D7" s="25">
        <v>8000.0</v>
      </c>
      <c r="E7" s="24" t="s">
        <v>39</v>
      </c>
      <c r="F7" s="24"/>
      <c r="G7" s="26">
        <v>46106.42074074074</v>
      </c>
      <c r="H7" s="26">
        <v>46286.42071759259</v>
      </c>
      <c r="I7" s="24" t="s">
        <v>40</v>
      </c>
      <c r="J7" s="24" t="s">
        <v>41</v>
      </c>
      <c r="K7" s="24" t="s">
        <v>42</v>
      </c>
      <c r="L7" s="24" t="s">
        <v>43</v>
      </c>
      <c r="M7" s="24" t="s">
        <v>44</v>
      </c>
      <c r="N7" s="27"/>
      <c r="O7" s="27"/>
      <c r="P7" s="27"/>
      <c r="Q7" s="27"/>
      <c r="R7" s="23">
        <f>HYPERLINK("https://app.hubspot.com/contacts/8748051/record/0-2/53246882698", 53246882698)</f>
        <v>53246882698</v>
      </c>
      <c r="S7" s="24" t="s">
        <v>66</v>
      </c>
      <c r="T7" s="28" t="s">
        <v>67</v>
      </c>
      <c r="U7" s="24"/>
      <c r="V7" s="24"/>
      <c r="W7" s="32"/>
      <c r="X7" s="29">
        <v>82.0</v>
      </c>
      <c r="Y7" s="29">
        <v>16.0</v>
      </c>
      <c r="Z7" s="30"/>
      <c r="AA7" s="31"/>
      <c r="AB7" s="31"/>
      <c r="AC7" s="31"/>
      <c r="AD7" s="31"/>
      <c r="AE7" s="31"/>
      <c r="AF7" s="31"/>
      <c r="AG7" s="27" t="str">
        <f t="shared" si="1"/>
        <v>New Logo</v>
      </c>
      <c r="AH7" s="27" t="str">
        <f t="shared" si="2"/>
        <v>Lead</v>
      </c>
      <c r="AI7" s="27" t="str">
        <f t="shared" si="3"/>
        <v>0-200</v>
      </c>
      <c r="AJ7" s="27" t="str">
        <f t="shared" si="4"/>
        <v>0-20</v>
      </c>
    </row>
    <row r="8" ht="15.75" customHeight="1">
      <c r="A8" s="23">
        <f>HYPERLINK("https://app.hubspot.com/contacts/8748051/record/0-3/58316326266", 58316326266)</f>
        <v>58316326266</v>
      </c>
      <c r="B8" s="24" t="s">
        <v>68</v>
      </c>
      <c r="C8" s="24" t="s">
        <v>38</v>
      </c>
      <c r="D8" s="25">
        <v>80000.0</v>
      </c>
      <c r="E8" s="24" t="s">
        <v>39</v>
      </c>
      <c r="F8" s="24"/>
      <c r="G8" s="26">
        <v>46105.94732638889</v>
      </c>
      <c r="H8" s="26">
        <v>46285.94731481482</v>
      </c>
      <c r="I8" s="24" t="s">
        <v>40</v>
      </c>
      <c r="J8" s="24" t="s">
        <v>53</v>
      </c>
      <c r="K8" s="24" t="s">
        <v>42</v>
      </c>
      <c r="L8" s="24" t="s">
        <v>43</v>
      </c>
      <c r="M8" s="24" t="s">
        <v>44</v>
      </c>
      <c r="N8" s="24"/>
      <c r="O8" s="27"/>
      <c r="P8" s="27"/>
      <c r="Q8" s="27"/>
      <c r="R8" s="23">
        <f>HYPERLINK("https://app.hubspot.com/contacts/8748051/record/0-2/53211444012", 53211444012)</f>
        <v>53211444012</v>
      </c>
      <c r="S8" s="24" t="s">
        <v>69</v>
      </c>
      <c r="T8" s="28" t="s">
        <v>70</v>
      </c>
      <c r="U8" s="24" t="s">
        <v>47</v>
      </c>
      <c r="V8" s="24"/>
      <c r="W8" s="25"/>
      <c r="X8" s="29">
        <v>1519.0</v>
      </c>
      <c r="Y8" s="29">
        <v>160.0</v>
      </c>
      <c r="Z8" s="30" t="s">
        <v>71</v>
      </c>
      <c r="AA8" s="30"/>
      <c r="AB8" s="31"/>
      <c r="AC8" s="31"/>
      <c r="AD8" s="30"/>
      <c r="AE8" s="30"/>
      <c r="AF8" s="30"/>
      <c r="AG8" s="27" t="str">
        <f t="shared" si="1"/>
        <v>New Logo</v>
      </c>
      <c r="AH8" s="27" t="str">
        <f t="shared" si="2"/>
        <v>Lead</v>
      </c>
      <c r="AI8" s="27" t="str">
        <f t="shared" si="3"/>
        <v>1001-5000</v>
      </c>
      <c r="AJ8" s="27" t="str">
        <f t="shared" si="4"/>
        <v>101-500</v>
      </c>
    </row>
    <row r="9" ht="15.75" customHeight="1">
      <c r="A9" s="23">
        <f>HYPERLINK("https://app.hubspot.com/contacts/8748051/record/0-3/58247153269", 58247153269)</f>
        <v>58247153269</v>
      </c>
      <c r="B9" s="24" t="s">
        <v>72</v>
      </c>
      <c r="C9" s="24" t="s">
        <v>50</v>
      </c>
      <c r="D9" s="25">
        <v>0.0</v>
      </c>
      <c r="E9" s="24" t="s">
        <v>73</v>
      </c>
      <c r="F9" s="24"/>
      <c r="G9" s="26">
        <v>46104.38637731481</v>
      </c>
      <c r="H9" s="26">
        <v>46284.38636574074</v>
      </c>
      <c r="I9" s="24" t="s">
        <v>40</v>
      </c>
      <c r="J9" s="24" t="s">
        <v>41</v>
      </c>
      <c r="K9" s="24" t="s">
        <v>42</v>
      </c>
      <c r="L9" s="24" t="s">
        <v>43</v>
      </c>
      <c r="M9" s="24" t="s">
        <v>74</v>
      </c>
      <c r="N9" s="24"/>
      <c r="O9" s="27"/>
      <c r="P9" s="24" t="s">
        <v>75</v>
      </c>
      <c r="Q9" s="27"/>
      <c r="R9" s="23">
        <f>HYPERLINK("https://app.hubspot.com/contacts/8748051/record/0-2/53158535438", 53158535438)</f>
        <v>53158535438</v>
      </c>
      <c r="S9" s="24" t="s">
        <v>76</v>
      </c>
      <c r="T9" s="28" t="s">
        <v>77</v>
      </c>
      <c r="U9" s="24"/>
      <c r="V9" s="24"/>
      <c r="W9" s="25"/>
      <c r="X9" s="29">
        <v>1.0</v>
      </c>
      <c r="Y9" s="29">
        <v>0.0</v>
      </c>
      <c r="Z9" s="30"/>
      <c r="AA9" s="30"/>
      <c r="AB9" s="31"/>
      <c r="AC9" s="31"/>
      <c r="AD9" s="30"/>
      <c r="AE9" s="30"/>
      <c r="AF9" s="30"/>
      <c r="AG9" s="27" t="str">
        <f t="shared" si="1"/>
        <v>New Logo</v>
      </c>
      <c r="AH9" s="27" t="str">
        <f t="shared" si="2"/>
        <v>Lead</v>
      </c>
      <c r="AI9" s="27" t="str">
        <f t="shared" si="3"/>
        <v>0-200</v>
      </c>
      <c r="AJ9" s="27" t="str">
        <f t="shared" si="4"/>
        <v>0-20</v>
      </c>
    </row>
    <row r="10" ht="15.75" customHeight="1">
      <c r="A10" s="23">
        <f>HYPERLINK("https://app.hubspot.com/contacts/8748051/record/0-3/58220787347", 58220787347)</f>
        <v>58220787347</v>
      </c>
      <c r="B10" s="24" t="s">
        <v>78</v>
      </c>
      <c r="C10" s="24" t="s">
        <v>50</v>
      </c>
      <c r="D10" s="25">
        <v>50000.0</v>
      </c>
      <c r="E10" s="24" t="s">
        <v>51</v>
      </c>
      <c r="F10" s="24" t="s">
        <v>52</v>
      </c>
      <c r="G10" s="26">
        <v>46102.422372685185</v>
      </c>
      <c r="H10" s="26">
        <v>46295.54226851852</v>
      </c>
      <c r="I10" s="24" t="s">
        <v>40</v>
      </c>
      <c r="J10" s="24" t="s">
        <v>41</v>
      </c>
      <c r="K10" s="24" t="s">
        <v>42</v>
      </c>
      <c r="L10" s="24" t="s">
        <v>43</v>
      </c>
      <c r="M10" s="24" t="s">
        <v>44</v>
      </c>
      <c r="N10" s="27"/>
      <c r="O10" s="27"/>
      <c r="P10" s="27"/>
      <c r="Q10" s="27"/>
      <c r="R10" s="23">
        <f>HYPERLINK("https://app.hubspot.com/contacts/8748051/record/0-2/46826990727", 46826990727)</f>
        <v>46826990727</v>
      </c>
      <c r="S10" s="24" t="s">
        <v>79</v>
      </c>
      <c r="T10" s="28" t="s">
        <v>80</v>
      </c>
      <c r="U10" s="24"/>
      <c r="V10" s="24"/>
      <c r="W10" s="25"/>
      <c r="X10" s="29">
        <v>522.0</v>
      </c>
      <c r="Y10" s="29">
        <v>42.0</v>
      </c>
      <c r="Z10" s="30" t="s">
        <v>81</v>
      </c>
      <c r="AA10" s="30"/>
      <c r="AB10" s="31"/>
      <c r="AC10" s="30"/>
      <c r="AD10" s="30"/>
      <c r="AE10" s="30"/>
      <c r="AF10" s="30"/>
      <c r="AG10" s="27" t="str">
        <f t="shared" si="1"/>
        <v>New Logo</v>
      </c>
      <c r="AH10" s="27" t="str">
        <f t="shared" si="2"/>
        <v>Lead</v>
      </c>
      <c r="AI10" s="27" t="str">
        <f t="shared" si="3"/>
        <v>501-1000</v>
      </c>
      <c r="AJ10" s="27" t="str">
        <f t="shared" si="4"/>
        <v>21-50</v>
      </c>
    </row>
    <row r="11" ht="15.75" customHeight="1">
      <c r="A11" s="23">
        <f>HYPERLINK("https://app.hubspot.com/contacts/8748051/record/0-3/58206471848", 58206471848)</f>
        <v>58206471848</v>
      </c>
      <c r="B11" s="24" t="s">
        <v>82</v>
      </c>
      <c r="C11" s="24" t="s">
        <v>50</v>
      </c>
      <c r="D11" s="25">
        <v>43500.0</v>
      </c>
      <c r="E11" s="24" t="s">
        <v>51</v>
      </c>
      <c r="F11" s="24" t="s">
        <v>52</v>
      </c>
      <c r="G11" s="26">
        <v>46101.44375</v>
      </c>
      <c r="H11" s="26">
        <v>46281.44375</v>
      </c>
      <c r="I11" s="24" t="s">
        <v>40</v>
      </c>
      <c r="J11" s="24" t="s">
        <v>53</v>
      </c>
      <c r="K11" s="24" t="s">
        <v>42</v>
      </c>
      <c r="L11" s="24" t="s">
        <v>43</v>
      </c>
      <c r="M11" s="24" t="s">
        <v>44</v>
      </c>
      <c r="N11" s="27"/>
      <c r="O11" s="27"/>
      <c r="P11" s="27"/>
      <c r="Q11" s="27"/>
      <c r="R11" s="23">
        <f>HYPERLINK("https://app.hubspot.com/contacts/8748051/record/0-2/8929735180", 8929735180)</f>
        <v>8929735180</v>
      </c>
      <c r="S11" s="24" t="s">
        <v>83</v>
      </c>
      <c r="T11" s="28" t="s">
        <v>84</v>
      </c>
      <c r="U11" s="24" t="s">
        <v>47</v>
      </c>
      <c r="V11" s="24"/>
      <c r="W11" s="32"/>
      <c r="X11" s="29">
        <v>257.0</v>
      </c>
      <c r="Y11" s="29">
        <v>87.0</v>
      </c>
      <c r="Z11" s="30"/>
      <c r="AA11" s="31"/>
      <c r="AB11" s="31"/>
      <c r="AC11" s="31"/>
      <c r="AD11" s="31"/>
      <c r="AE11" s="31"/>
      <c r="AF11" s="31"/>
      <c r="AG11" s="27" t="str">
        <f t="shared" si="1"/>
        <v>New Logo</v>
      </c>
      <c r="AH11" s="27" t="str">
        <f t="shared" si="2"/>
        <v>Lead</v>
      </c>
      <c r="AI11" s="27" t="str">
        <f t="shared" si="3"/>
        <v>201-500</v>
      </c>
      <c r="AJ11" s="27" t="str">
        <f t="shared" si="4"/>
        <v>51-100</v>
      </c>
    </row>
    <row r="12" ht="15.75" customHeight="1">
      <c r="A12" s="23">
        <f>HYPERLINK("https://app.hubspot.com/contacts/8748051/record/0-3/58158334877", 58158334877)</f>
        <v>58158334877</v>
      </c>
      <c r="B12" s="24" t="s">
        <v>85</v>
      </c>
      <c r="C12" s="24" t="s">
        <v>50</v>
      </c>
      <c r="D12" s="25">
        <v>75000.0</v>
      </c>
      <c r="E12" s="24" t="s">
        <v>51</v>
      </c>
      <c r="F12" s="24" t="s">
        <v>52</v>
      </c>
      <c r="G12" s="26">
        <v>46100.60497685185</v>
      </c>
      <c r="H12" s="26">
        <v>46197.95379629629</v>
      </c>
      <c r="I12" s="24" t="s">
        <v>40</v>
      </c>
      <c r="J12" s="24" t="s">
        <v>41</v>
      </c>
      <c r="K12" s="24" t="s">
        <v>42</v>
      </c>
      <c r="L12" s="24" t="s">
        <v>43</v>
      </c>
      <c r="M12" s="24" t="s">
        <v>44</v>
      </c>
      <c r="N12" s="24"/>
      <c r="O12" s="27"/>
      <c r="P12" s="24"/>
      <c r="Q12" s="27"/>
      <c r="R12" s="23">
        <f>HYPERLINK("https://app.hubspot.com/contacts/8748051/record/0-2/7649366028", 7649366028)</f>
        <v>7649366028</v>
      </c>
      <c r="S12" s="24" t="s">
        <v>86</v>
      </c>
      <c r="T12" s="28" t="s">
        <v>87</v>
      </c>
      <c r="U12" s="24" t="s">
        <v>47</v>
      </c>
      <c r="V12" s="24"/>
      <c r="W12" s="25"/>
      <c r="X12" s="29">
        <v>413.0</v>
      </c>
      <c r="Y12" s="29">
        <v>45.0</v>
      </c>
      <c r="Z12" s="30" t="s">
        <v>71</v>
      </c>
      <c r="AA12" s="30"/>
      <c r="AB12" s="31"/>
      <c r="AC12" s="31"/>
      <c r="AD12" s="30"/>
      <c r="AE12" s="31"/>
      <c r="AF12" s="31"/>
      <c r="AG12" s="27" t="str">
        <f t="shared" si="1"/>
        <v>New Logo</v>
      </c>
      <c r="AH12" s="27" t="str">
        <f t="shared" si="2"/>
        <v>Lead</v>
      </c>
      <c r="AI12" s="27" t="str">
        <f t="shared" si="3"/>
        <v>201-500</v>
      </c>
      <c r="AJ12" s="27" t="str">
        <f t="shared" si="4"/>
        <v>21-50</v>
      </c>
    </row>
    <row r="13" ht="15.75" customHeight="1">
      <c r="A13" s="23">
        <f>HYPERLINK("https://app.hubspot.com/contacts/8748051/record/0-3/58179794196", 58179794196)</f>
        <v>58179794196</v>
      </c>
      <c r="B13" s="24" t="s">
        <v>88</v>
      </c>
      <c r="C13" s="24" t="s">
        <v>38</v>
      </c>
      <c r="D13" s="25">
        <v>3500.0</v>
      </c>
      <c r="E13" s="24" t="s">
        <v>39</v>
      </c>
      <c r="F13" s="24"/>
      <c r="G13" s="26">
        <v>46099.884108796294</v>
      </c>
      <c r="H13" s="26">
        <v>46279.884097222224</v>
      </c>
      <c r="I13" s="24" t="s">
        <v>40</v>
      </c>
      <c r="J13" s="24" t="s">
        <v>41</v>
      </c>
      <c r="K13" s="24" t="s">
        <v>42</v>
      </c>
      <c r="L13" s="24" t="s">
        <v>43</v>
      </c>
      <c r="M13" s="24"/>
      <c r="N13" s="24"/>
      <c r="O13" s="27"/>
      <c r="P13" s="24"/>
      <c r="Q13" s="27"/>
      <c r="R13" s="23">
        <f>HYPERLINK("https://app.hubspot.com/contacts/8748051/record/0-2/53113806635", 53113806635)</f>
        <v>53113806635</v>
      </c>
      <c r="S13" s="24" t="s">
        <v>89</v>
      </c>
      <c r="T13" s="28" t="s">
        <v>90</v>
      </c>
      <c r="U13" s="24"/>
      <c r="V13" s="24"/>
      <c r="W13" s="25"/>
      <c r="X13" s="29">
        <v>8.0</v>
      </c>
      <c r="Y13" s="29">
        <v>7.0</v>
      </c>
      <c r="Z13" s="30"/>
      <c r="AA13" s="30"/>
      <c r="AB13" s="30"/>
      <c r="AC13" s="30"/>
      <c r="AD13" s="30"/>
      <c r="AE13" s="30"/>
      <c r="AF13" s="30"/>
      <c r="AG13" s="27" t="str">
        <f t="shared" si="1"/>
        <v>New Logo</v>
      </c>
      <c r="AH13" s="27" t="str">
        <f t="shared" si="2"/>
        <v>Lead</v>
      </c>
      <c r="AI13" s="27" t="str">
        <f t="shared" si="3"/>
        <v>0-200</v>
      </c>
      <c r="AJ13" s="27" t="str">
        <f t="shared" si="4"/>
        <v>0-20</v>
      </c>
    </row>
    <row r="14" ht="15.75" customHeight="1">
      <c r="A14" s="23">
        <f>HYPERLINK("https://app.hubspot.com/contacts/8748051/record/0-3/58098333475", 58098333475)</f>
        <v>58098333475</v>
      </c>
      <c r="B14" s="24" t="s">
        <v>91</v>
      </c>
      <c r="C14" s="24" t="s">
        <v>38</v>
      </c>
      <c r="D14" s="25">
        <v>28800.0</v>
      </c>
      <c r="E14" s="24" t="s">
        <v>92</v>
      </c>
      <c r="F14" s="24" t="s">
        <v>52</v>
      </c>
      <c r="G14" s="26">
        <v>46098.74565972222</v>
      </c>
      <c r="H14" s="26">
        <v>46111.97148148148</v>
      </c>
      <c r="I14" s="24" t="s">
        <v>40</v>
      </c>
      <c r="J14" s="24" t="s">
        <v>41</v>
      </c>
      <c r="K14" s="24" t="s">
        <v>42</v>
      </c>
      <c r="L14" s="24" t="s">
        <v>43</v>
      </c>
      <c r="M14" s="24" t="s">
        <v>44</v>
      </c>
      <c r="N14" s="24" t="s">
        <v>93</v>
      </c>
      <c r="O14" s="27"/>
      <c r="P14" s="27"/>
      <c r="Q14" s="24"/>
      <c r="R14" s="23">
        <f>HYPERLINK("https://app.hubspot.com/contacts/8748051/record/0-2/53016781695", 53016781695)</f>
        <v>53016781695</v>
      </c>
      <c r="S14" s="24" t="s">
        <v>94</v>
      </c>
      <c r="T14" s="28" t="s">
        <v>95</v>
      </c>
      <c r="U14" s="24" t="s">
        <v>96</v>
      </c>
      <c r="V14" s="24"/>
      <c r="W14" s="25">
        <v>28800.0</v>
      </c>
      <c r="X14" s="29">
        <v>83.0</v>
      </c>
      <c r="Y14" s="29">
        <v>30.0</v>
      </c>
      <c r="Z14" s="30"/>
      <c r="AA14" s="30" t="s">
        <v>97</v>
      </c>
      <c r="AB14" s="30"/>
      <c r="AC14" s="30"/>
      <c r="AD14" s="30"/>
      <c r="AE14" s="30"/>
      <c r="AF14" s="30"/>
      <c r="AG14" s="27" t="str">
        <f t="shared" si="1"/>
        <v>New Logo</v>
      </c>
      <c r="AH14" s="27" t="str">
        <f t="shared" si="2"/>
        <v>Customer</v>
      </c>
      <c r="AI14" s="27" t="str">
        <f t="shared" si="3"/>
        <v>0-200</v>
      </c>
      <c r="AJ14" s="27" t="str">
        <f t="shared" si="4"/>
        <v>21-50</v>
      </c>
    </row>
    <row r="15" ht="15.75" customHeight="1">
      <c r="A15" s="23">
        <f>HYPERLINK("https://app.hubspot.com/contacts/8748051/record/0-3/58055838476", 58055838476)</f>
        <v>58055838476</v>
      </c>
      <c r="B15" s="24" t="s">
        <v>98</v>
      </c>
      <c r="C15" s="24" t="s">
        <v>50</v>
      </c>
      <c r="D15" s="25">
        <v>50000.0</v>
      </c>
      <c r="E15" s="24" t="s">
        <v>51</v>
      </c>
      <c r="F15" s="24" t="s">
        <v>52</v>
      </c>
      <c r="G15" s="26">
        <v>46097.72263888889</v>
      </c>
      <c r="H15" s="26">
        <v>46387.5747337963</v>
      </c>
      <c r="I15" s="24" t="s">
        <v>40</v>
      </c>
      <c r="J15" s="24" t="s">
        <v>41</v>
      </c>
      <c r="K15" s="24" t="s">
        <v>42</v>
      </c>
      <c r="L15" s="24" t="s">
        <v>43</v>
      </c>
      <c r="M15" s="24" t="s">
        <v>44</v>
      </c>
      <c r="N15" s="27"/>
      <c r="O15" s="27"/>
      <c r="P15" s="24"/>
      <c r="Q15" s="27"/>
      <c r="R15" s="23">
        <f>HYPERLINK("https://app.hubspot.com/contacts/8748051/record/0-2/8929767828", 8929767828)</f>
        <v>8929767828</v>
      </c>
      <c r="S15" s="24" t="s">
        <v>99</v>
      </c>
      <c r="T15" s="28" t="s">
        <v>100</v>
      </c>
      <c r="U15" s="24" t="s">
        <v>47</v>
      </c>
      <c r="V15" s="24"/>
      <c r="W15" s="25"/>
      <c r="X15" s="29">
        <v>511.0</v>
      </c>
      <c r="Y15" s="29">
        <v>75.0</v>
      </c>
      <c r="Z15" s="30" t="s">
        <v>64</v>
      </c>
      <c r="AA15" s="30"/>
      <c r="AB15" s="30"/>
      <c r="AC15" s="31"/>
      <c r="AD15" s="30"/>
      <c r="AE15" s="30"/>
      <c r="AF15" s="30"/>
      <c r="AG15" s="27" t="str">
        <f t="shared" si="1"/>
        <v>New Logo</v>
      </c>
      <c r="AH15" s="27" t="str">
        <f t="shared" si="2"/>
        <v>Lead</v>
      </c>
      <c r="AI15" s="27" t="str">
        <f t="shared" si="3"/>
        <v>501-1000</v>
      </c>
      <c r="AJ15" s="27" t="str">
        <f t="shared" si="4"/>
        <v>51-100</v>
      </c>
    </row>
    <row r="16" ht="15.75" customHeight="1">
      <c r="A16" s="23">
        <f>HYPERLINK("https://app.hubspot.com/contacts/8748051/record/0-3/58008942377", 58008942377)</f>
        <v>58008942377</v>
      </c>
      <c r="B16" s="24" t="s">
        <v>101</v>
      </c>
      <c r="C16" s="24" t="s">
        <v>38</v>
      </c>
      <c r="D16" s="25">
        <v>100000.0</v>
      </c>
      <c r="E16" s="24" t="s">
        <v>39</v>
      </c>
      <c r="F16" s="24"/>
      <c r="G16" s="26">
        <v>46096.44189814815</v>
      </c>
      <c r="H16" s="26">
        <v>46276.44188657407</v>
      </c>
      <c r="I16" s="24" t="s">
        <v>40</v>
      </c>
      <c r="J16" s="24" t="s">
        <v>53</v>
      </c>
      <c r="K16" s="24" t="s">
        <v>42</v>
      </c>
      <c r="L16" s="24" t="s">
        <v>43</v>
      </c>
      <c r="M16" s="24" t="s">
        <v>102</v>
      </c>
      <c r="N16" s="27"/>
      <c r="O16" s="27"/>
      <c r="P16" s="24"/>
      <c r="Q16" s="27"/>
      <c r="R16" s="23">
        <f>HYPERLINK("https://app.hubspot.com/contacts/8748051/record/0-2/9664359229", 9664359229)</f>
        <v>9664359229</v>
      </c>
      <c r="S16" s="24" t="s">
        <v>103</v>
      </c>
      <c r="T16" s="28" t="s">
        <v>104</v>
      </c>
      <c r="U16" s="24" t="s">
        <v>47</v>
      </c>
      <c r="V16" s="24"/>
      <c r="W16" s="25"/>
      <c r="X16" s="29">
        <v>17488.0</v>
      </c>
      <c r="Y16" s="29">
        <v>4615.0</v>
      </c>
      <c r="Z16" s="30"/>
      <c r="AA16" s="30"/>
      <c r="AB16" s="30"/>
      <c r="AC16" s="30"/>
      <c r="AD16" s="30"/>
      <c r="AE16" s="30"/>
      <c r="AF16" s="30"/>
      <c r="AG16" s="27" t="str">
        <f t="shared" si="1"/>
        <v>New Logo</v>
      </c>
      <c r="AH16" s="27" t="str">
        <f t="shared" si="2"/>
        <v>Lead</v>
      </c>
      <c r="AI16" s="27" t="str">
        <f t="shared" si="3"/>
        <v>10000+</v>
      </c>
      <c r="AJ16" s="27" t="str">
        <f t="shared" si="4"/>
        <v>500+</v>
      </c>
    </row>
    <row r="17" ht="15.75" customHeight="1">
      <c r="A17" s="23">
        <f>HYPERLINK("https://app.hubspot.com/contacts/8748051/record/0-3/58006091190", 58006091190)</f>
        <v>58006091190</v>
      </c>
      <c r="B17" s="24" t="s">
        <v>105</v>
      </c>
      <c r="C17" s="24" t="s">
        <v>50</v>
      </c>
      <c r="D17" s="25">
        <v>35000.0</v>
      </c>
      <c r="E17" s="24" t="s">
        <v>51</v>
      </c>
      <c r="F17" s="24" t="s">
        <v>52</v>
      </c>
      <c r="G17" s="26">
        <v>46094.55850694444</v>
      </c>
      <c r="H17" s="26">
        <v>46325.39695601852</v>
      </c>
      <c r="I17" s="24" t="s">
        <v>40</v>
      </c>
      <c r="J17" s="24" t="s">
        <v>41</v>
      </c>
      <c r="K17" s="24" t="s">
        <v>42</v>
      </c>
      <c r="L17" s="24" t="s">
        <v>43</v>
      </c>
      <c r="M17" s="24" t="s">
        <v>44</v>
      </c>
      <c r="N17" s="27"/>
      <c r="O17" s="27"/>
      <c r="P17" s="24"/>
      <c r="Q17" s="27"/>
      <c r="R17" s="23">
        <f>HYPERLINK("https://app.hubspot.com/contacts/8748051/record/0-2/17911970466", 17911970466)</f>
        <v>17911970466</v>
      </c>
      <c r="S17" s="24" t="s">
        <v>106</v>
      </c>
      <c r="T17" s="28" t="s">
        <v>107</v>
      </c>
      <c r="U17" s="24" t="s">
        <v>47</v>
      </c>
      <c r="V17" s="24"/>
      <c r="W17" s="32"/>
      <c r="X17" s="29">
        <v>166.0</v>
      </c>
      <c r="Y17" s="29">
        <v>35.0</v>
      </c>
      <c r="Z17" s="30" t="s">
        <v>108</v>
      </c>
      <c r="AA17" s="31"/>
      <c r="AB17" s="31"/>
      <c r="AC17" s="31"/>
      <c r="AD17" s="31"/>
      <c r="AE17" s="31"/>
      <c r="AF17" s="31"/>
      <c r="AG17" s="27" t="str">
        <f t="shared" si="1"/>
        <v>New Logo</v>
      </c>
      <c r="AH17" s="27" t="str">
        <f t="shared" si="2"/>
        <v>Lead</v>
      </c>
      <c r="AI17" s="27" t="str">
        <f t="shared" si="3"/>
        <v>0-200</v>
      </c>
      <c r="AJ17" s="27" t="str">
        <f t="shared" si="4"/>
        <v>21-50</v>
      </c>
    </row>
    <row r="18" ht="15.75" customHeight="1">
      <c r="A18" s="23">
        <f>HYPERLINK("https://app.hubspot.com/contacts/8748051/record/0-3/57991199811", 57991199811)</f>
        <v>57991199811</v>
      </c>
      <c r="B18" s="24" t="s">
        <v>109</v>
      </c>
      <c r="C18" s="24" t="s">
        <v>38</v>
      </c>
      <c r="D18" s="25">
        <v>100000.0</v>
      </c>
      <c r="E18" s="24" t="s">
        <v>51</v>
      </c>
      <c r="F18" s="24" t="s">
        <v>52</v>
      </c>
      <c r="G18" s="26">
        <v>46094.46927083333</v>
      </c>
      <c r="H18" s="26">
        <v>46274.46925925926</v>
      </c>
      <c r="I18" s="24" t="s">
        <v>40</v>
      </c>
      <c r="J18" s="24" t="s">
        <v>53</v>
      </c>
      <c r="K18" s="24" t="s">
        <v>42</v>
      </c>
      <c r="L18" s="24" t="s">
        <v>43</v>
      </c>
      <c r="M18" s="24" t="s">
        <v>44</v>
      </c>
      <c r="N18" s="24"/>
      <c r="O18" s="27"/>
      <c r="P18" s="24"/>
      <c r="Q18" s="27"/>
      <c r="R18" s="23">
        <f>HYPERLINK("https://app.hubspot.com/contacts/8748051/record/0-2/52944634674", 52944634674)</f>
        <v>52944634674</v>
      </c>
      <c r="S18" s="24" t="s">
        <v>110</v>
      </c>
      <c r="T18" s="28" t="s">
        <v>111</v>
      </c>
      <c r="U18" s="24"/>
      <c r="V18" s="24"/>
      <c r="W18" s="25"/>
      <c r="X18" s="29">
        <v>2247.0</v>
      </c>
      <c r="Y18" s="29">
        <v>386.0</v>
      </c>
      <c r="Z18" s="30" t="s">
        <v>56</v>
      </c>
      <c r="AA18" s="30"/>
      <c r="AB18" s="31"/>
      <c r="AC18" s="31"/>
      <c r="AD18" s="30"/>
      <c r="AE18" s="30"/>
      <c r="AF18" s="30"/>
      <c r="AG18" s="27" t="str">
        <f t="shared" si="1"/>
        <v>New Logo</v>
      </c>
      <c r="AH18" s="27" t="str">
        <f t="shared" si="2"/>
        <v>Lead</v>
      </c>
      <c r="AI18" s="27" t="str">
        <f t="shared" si="3"/>
        <v>1001-5000</v>
      </c>
      <c r="AJ18" s="27" t="str">
        <f t="shared" si="4"/>
        <v>101-500</v>
      </c>
    </row>
    <row r="19" ht="15.75" customHeight="1">
      <c r="A19" s="23">
        <f>HYPERLINK("https://app.hubspot.com/contacts/8748051/record/0-3/57878420569", 57878420569)</f>
        <v>57878420569</v>
      </c>
      <c r="B19" s="24" t="s">
        <v>112</v>
      </c>
      <c r="C19" s="24" t="s">
        <v>50</v>
      </c>
      <c r="D19" s="25">
        <v>100000.0</v>
      </c>
      <c r="E19" s="24" t="s">
        <v>51</v>
      </c>
      <c r="F19" s="24" t="s">
        <v>52</v>
      </c>
      <c r="G19" s="26">
        <v>46091.45738425926</v>
      </c>
      <c r="H19" s="26">
        <v>46295.58965277778</v>
      </c>
      <c r="I19" s="24" t="s">
        <v>40</v>
      </c>
      <c r="J19" s="24" t="s">
        <v>53</v>
      </c>
      <c r="K19" s="24" t="s">
        <v>60</v>
      </c>
      <c r="L19" s="24" t="s">
        <v>61</v>
      </c>
      <c r="M19" s="24" t="s">
        <v>44</v>
      </c>
      <c r="N19" s="24"/>
      <c r="O19" s="27"/>
      <c r="P19" s="24"/>
      <c r="Q19" s="27"/>
      <c r="R19" s="23">
        <f>HYPERLINK("https://app.hubspot.com/contacts/8748051/record/0-2/7665619318", 7665619318)</f>
        <v>7665619318</v>
      </c>
      <c r="S19" s="24" t="s">
        <v>113</v>
      </c>
      <c r="T19" s="28" t="s">
        <v>114</v>
      </c>
      <c r="U19" s="24" t="s">
        <v>47</v>
      </c>
      <c r="V19" s="24"/>
      <c r="W19" s="25"/>
      <c r="X19" s="29">
        <v>687.0</v>
      </c>
      <c r="Y19" s="29">
        <v>162.0</v>
      </c>
      <c r="Z19" s="30" t="s">
        <v>64</v>
      </c>
      <c r="AA19" s="30"/>
      <c r="AB19" s="30"/>
      <c r="AC19" s="30"/>
      <c r="AD19" s="30"/>
      <c r="AE19" s="30"/>
      <c r="AF19" s="30"/>
      <c r="AG19" s="27" t="str">
        <f t="shared" si="1"/>
        <v>New Logo</v>
      </c>
      <c r="AH19" s="27" t="str">
        <f t="shared" si="2"/>
        <v>Lead</v>
      </c>
      <c r="AI19" s="27" t="str">
        <f t="shared" si="3"/>
        <v>501-1000</v>
      </c>
      <c r="AJ19" s="27" t="str">
        <f t="shared" si="4"/>
        <v>101-500</v>
      </c>
    </row>
    <row r="20" ht="15.75" customHeight="1">
      <c r="A20" s="23">
        <f>HYPERLINK("https://app.hubspot.com/contacts/8748051/record/0-3/57833065393", 57833065393)</f>
        <v>57833065393</v>
      </c>
      <c r="B20" s="24" t="s">
        <v>115</v>
      </c>
      <c r="C20" s="24" t="s">
        <v>38</v>
      </c>
      <c r="D20" s="25">
        <v>32500.0</v>
      </c>
      <c r="E20" s="24" t="s">
        <v>51</v>
      </c>
      <c r="F20" s="24" t="s">
        <v>52</v>
      </c>
      <c r="G20" s="26">
        <v>46090.62799768519</v>
      </c>
      <c r="H20" s="26">
        <v>46203.17273148148</v>
      </c>
      <c r="I20" s="24" t="s">
        <v>40</v>
      </c>
      <c r="J20" s="24" t="s">
        <v>41</v>
      </c>
      <c r="K20" s="24" t="s">
        <v>42</v>
      </c>
      <c r="L20" s="24" t="s">
        <v>43</v>
      </c>
      <c r="M20" s="24" t="s">
        <v>44</v>
      </c>
      <c r="N20" s="27"/>
      <c r="O20" s="24"/>
      <c r="P20" s="24"/>
      <c r="Q20" s="27"/>
      <c r="R20" s="23">
        <f>HYPERLINK("https://app.hubspot.com/contacts/8748051/record/0-2/8762296116", 8762296116)</f>
        <v>8762296116</v>
      </c>
      <c r="S20" s="24" t="s">
        <v>116</v>
      </c>
      <c r="T20" s="28" t="s">
        <v>117</v>
      </c>
      <c r="U20" s="24" t="s">
        <v>47</v>
      </c>
      <c r="V20" s="24"/>
      <c r="W20" s="25"/>
      <c r="X20" s="29">
        <v>280.0</v>
      </c>
      <c r="Y20" s="29">
        <v>65.0</v>
      </c>
      <c r="Z20" s="30"/>
      <c r="AA20" s="30"/>
      <c r="AB20" s="31"/>
      <c r="AC20" s="30"/>
      <c r="AD20" s="30"/>
      <c r="AE20" s="30"/>
      <c r="AF20" s="30"/>
      <c r="AG20" s="27" t="str">
        <f t="shared" si="1"/>
        <v>New Logo</v>
      </c>
      <c r="AH20" s="27" t="str">
        <f t="shared" si="2"/>
        <v>Lead</v>
      </c>
      <c r="AI20" s="27" t="str">
        <f t="shared" si="3"/>
        <v>201-500</v>
      </c>
      <c r="AJ20" s="27" t="str">
        <f t="shared" si="4"/>
        <v>51-100</v>
      </c>
    </row>
    <row r="21" ht="15.75" customHeight="1">
      <c r="A21" s="23">
        <f>HYPERLINK("https://app.hubspot.com/contacts/8748051/record/0-3/57718872632", 57718872632)</f>
        <v>57718872632</v>
      </c>
      <c r="B21" s="24" t="s">
        <v>118</v>
      </c>
      <c r="C21" s="24" t="s">
        <v>50</v>
      </c>
      <c r="D21" s="25">
        <v>76000.0</v>
      </c>
      <c r="E21" s="24" t="s">
        <v>39</v>
      </c>
      <c r="F21" s="24"/>
      <c r="G21" s="26">
        <v>46087.53833333333</v>
      </c>
      <c r="H21" s="26">
        <v>46387.41483796296</v>
      </c>
      <c r="I21" s="24" t="s">
        <v>40</v>
      </c>
      <c r="J21" s="24" t="s">
        <v>41</v>
      </c>
      <c r="K21" s="24" t="s">
        <v>60</v>
      </c>
      <c r="L21" s="24" t="s">
        <v>61</v>
      </c>
      <c r="M21" s="24" t="s">
        <v>74</v>
      </c>
      <c r="N21" s="27"/>
      <c r="O21" s="27"/>
      <c r="P21" s="24"/>
      <c r="Q21" s="27"/>
      <c r="R21" s="23">
        <f>HYPERLINK("https://app.hubspot.com/contacts/8748051/record/0-2/14811116167", 14811116167)</f>
        <v>14811116167</v>
      </c>
      <c r="S21" s="24" t="s">
        <v>119</v>
      </c>
      <c r="T21" s="28" t="s">
        <v>120</v>
      </c>
      <c r="U21" s="24" t="s">
        <v>47</v>
      </c>
      <c r="V21" s="24"/>
      <c r="W21" s="25"/>
      <c r="X21" s="29">
        <v>582.0</v>
      </c>
      <c r="Y21" s="29">
        <v>152.0</v>
      </c>
      <c r="Z21" s="30" t="s">
        <v>71</v>
      </c>
      <c r="AA21" s="30"/>
      <c r="AB21" s="30"/>
      <c r="AC21" s="31"/>
      <c r="AD21" s="30"/>
      <c r="AE21" s="30"/>
      <c r="AF21" s="30"/>
      <c r="AG21" s="27" t="str">
        <f t="shared" si="1"/>
        <v>New Logo</v>
      </c>
      <c r="AH21" s="27" t="str">
        <f t="shared" si="2"/>
        <v>Lead</v>
      </c>
      <c r="AI21" s="27" t="str">
        <f t="shared" si="3"/>
        <v>501-1000</v>
      </c>
      <c r="AJ21" s="27" t="str">
        <f t="shared" si="4"/>
        <v>101-500</v>
      </c>
    </row>
    <row r="22" ht="15.75" customHeight="1">
      <c r="A22" s="23">
        <f>HYPERLINK("https://app.hubspot.com/contacts/8748051/record/0-3/57566073934", 57566073934)</f>
        <v>57566073934</v>
      </c>
      <c r="B22" s="24" t="s">
        <v>121</v>
      </c>
      <c r="C22" s="24" t="s">
        <v>50</v>
      </c>
      <c r="D22" s="25">
        <v>100000.0</v>
      </c>
      <c r="E22" s="24" t="s">
        <v>73</v>
      </c>
      <c r="F22" s="24"/>
      <c r="G22" s="26">
        <v>46086.488171296296</v>
      </c>
      <c r="H22" s="26">
        <v>46093.474652777775</v>
      </c>
      <c r="I22" s="24" t="s">
        <v>40</v>
      </c>
      <c r="J22" s="24" t="s">
        <v>53</v>
      </c>
      <c r="K22" s="24" t="s">
        <v>60</v>
      </c>
      <c r="L22" s="24" t="s">
        <v>61</v>
      </c>
      <c r="M22" s="24" t="s">
        <v>74</v>
      </c>
      <c r="N22" s="24"/>
      <c r="O22" s="24"/>
      <c r="P22" s="24" t="s">
        <v>122</v>
      </c>
      <c r="Q22" s="27"/>
      <c r="R22" s="23">
        <f>HYPERLINK("https://app.hubspot.com/contacts/8748051/record/0-2/19176228533", 19176228533)</f>
        <v>19176228533</v>
      </c>
      <c r="S22" s="24" t="s">
        <v>123</v>
      </c>
      <c r="T22" s="28" t="s">
        <v>124</v>
      </c>
      <c r="U22" s="24" t="s">
        <v>47</v>
      </c>
      <c r="V22" s="24"/>
      <c r="W22" s="25"/>
      <c r="X22" s="29">
        <v>1349.0</v>
      </c>
      <c r="Y22" s="29">
        <v>219.0</v>
      </c>
      <c r="Z22" s="30" t="s">
        <v>125</v>
      </c>
      <c r="AA22" s="30"/>
      <c r="AB22" s="31"/>
      <c r="AC22" s="31"/>
      <c r="AD22" s="30"/>
      <c r="AE22" s="30"/>
      <c r="AF22" s="30"/>
      <c r="AG22" s="27" t="str">
        <f t="shared" si="1"/>
        <v>New Logo</v>
      </c>
      <c r="AH22" s="27" t="str">
        <f t="shared" si="2"/>
        <v>Lead</v>
      </c>
      <c r="AI22" s="27" t="str">
        <f t="shared" si="3"/>
        <v>1001-5000</v>
      </c>
      <c r="AJ22" s="27" t="str">
        <f t="shared" si="4"/>
        <v>101-500</v>
      </c>
    </row>
    <row r="23" ht="15.75" customHeight="1">
      <c r="A23" s="23">
        <f>HYPERLINK("https://app.hubspot.com/contacts/8748051/record/0-3/57388475262", 57388475262)</f>
        <v>57388475262</v>
      </c>
      <c r="B23" s="24" t="s">
        <v>126</v>
      </c>
      <c r="C23" s="24" t="s">
        <v>38</v>
      </c>
      <c r="D23" s="25">
        <v>20000.0</v>
      </c>
      <c r="E23" s="24" t="s">
        <v>127</v>
      </c>
      <c r="F23" s="24" t="s">
        <v>52</v>
      </c>
      <c r="G23" s="26">
        <v>46084.3953125</v>
      </c>
      <c r="H23" s="26">
        <v>46203.18381944444</v>
      </c>
      <c r="I23" s="24" t="s">
        <v>40</v>
      </c>
      <c r="J23" s="24" t="s">
        <v>41</v>
      </c>
      <c r="K23" s="24" t="s">
        <v>42</v>
      </c>
      <c r="L23" s="24" t="s">
        <v>43</v>
      </c>
      <c r="M23" s="24" t="s">
        <v>102</v>
      </c>
      <c r="N23" s="24"/>
      <c r="O23" s="24"/>
      <c r="P23" s="27"/>
      <c r="Q23" s="24" t="s">
        <v>128</v>
      </c>
      <c r="R23" s="23">
        <f>HYPERLINK("https://app.hubspot.com/contacts/8748051/record/0-2/52429945224", 52429945224)</f>
        <v>52429945224</v>
      </c>
      <c r="S23" s="24" t="s">
        <v>129</v>
      </c>
      <c r="T23" s="28" t="s">
        <v>130</v>
      </c>
      <c r="U23" s="24"/>
      <c r="V23" s="24"/>
      <c r="W23" s="25"/>
      <c r="X23" s="29">
        <v>45.0</v>
      </c>
      <c r="Y23" s="29">
        <v>2.0</v>
      </c>
      <c r="Z23" s="30"/>
      <c r="AA23" s="30"/>
      <c r="AB23" s="31"/>
      <c r="AC23" s="31"/>
      <c r="AD23" s="30"/>
      <c r="AE23" s="30"/>
      <c r="AF23" s="30"/>
      <c r="AG23" s="27" t="str">
        <f t="shared" si="1"/>
        <v>New Logo</v>
      </c>
      <c r="AH23" s="27" t="str">
        <f t="shared" si="2"/>
        <v>Lead</v>
      </c>
      <c r="AI23" s="27" t="str">
        <f t="shared" si="3"/>
        <v>0-200</v>
      </c>
      <c r="AJ23" s="27" t="str">
        <f t="shared" si="4"/>
        <v>0-20</v>
      </c>
    </row>
    <row r="24" ht="15.75" customHeight="1">
      <c r="A24" s="23">
        <f>HYPERLINK("https://app.hubspot.com/contacts/8748051/record/0-3/57398781292", 57398781292)</f>
        <v>57398781292</v>
      </c>
      <c r="B24" s="24" t="s">
        <v>131</v>
      </c>
      <c r="C24" s="24" t="s">
        <v>38</v>
      </c>
      <c r="D24" s="25">
        <v>0.0</v>
      </c>
      <c r="E24" s="24" t="s">
        <v>39</v>
      </c>
      <c r="F24" s="24"/>
      <c r="G24" s="26">
        <v>46084.337002314816</v>
      </c>
      <c r="H24" s="26">
        <v>46264.33694444445</v>
      </c>
      <c r="I24" s="24" t="s">
        <v>40</v>
      </c>
      <c r="J24" s="24" t="s">
        <v>41</v>
      </c>
      <c r="K24" s="24" t="s">
        <v>42</v>
      </c>
      <c r="L24" s="24" t="s">
        <v>43</v>
      </c>
      <c r="M24" s="24"/>
      <c r="N24" s="24"/>
      <c r="O24" s="27"/>
      <c r="P24" s="24"/>
      <c r="Q24" s="24"/>
      <c r="R24" s="23">
        <f>HYPERLINK("https://app.hubspot.com/contacts/8748051/record/0-2/52433793158", 52433793158)</f>
        <v>52433793158</v>
      </c>
      <c r="S24" s="24" t="s">
        <v>132</v>
      </c>
      <c r="T24" s="28" t="s">
        <v>133</v>
      </c>
      <c r="U24" s="24"/>
      <c r="V24" s="24"/>
      <c r="W24" s="25"/>
      <c r="X24" s="29">
        <v>7.0</v>
      </c>
      <c r="Y24" s="29">
        <v>0.0</v>
      </c>
      <c r="Z24" s="30"/>
      <c r="AA24" s="30"/>
      <c r="AB24" s="31"/>
      <c r="AC24" s="31"/>
      <c r="AD24" s="30"/>
      <c r="AE24" s="30"/>
      <c r="AF24" s="30"/>
      <c r="AG24" s="27" t="str">
        <f t="shared" si="1"/>
        <v>New Logo</v>
      </c>
      <c r="AH24" s="27" t="str">
        <f t="shared" si="2"/>
        <v>Lead</v>
      </c>
      <c r="AI24" s="27" t="str">
        <f t="shared" si="3"/>
        <v>0-200</v>
      </c>
      <c r="AJ24" s="27" t="str">
        <f t="shared" si="4"/>
        <v>0-20</v>
      </c>
    </row>
    <row r="25" ht="15.75" customHeight="1">
      <c r="A25" s="23">
        <f>HYPERLINK("https://app.hubspot.com/contacts/8748051/record/0-3/57354490411", 57354490411)</f>
        <v>57354490411</v>
      </c>
      <c r="B25" s="24" t="s">
        <v>134</v>
      </c>
      <c r="C25" s="24" t="s">
        <v>38</v>
      </c>
      <c r="D25" s="25">
        <v>41500.0</v>
      </c>
      <c r="E25" s="24" t="s">
        <v>39</v>
      </c>
      <c r="F25" s="24"/>
      <c r="G25" s="26">
        <v>46083.511770833335</v>
      </c>
      <c r="H25" s="26">
        <v>46263.51174768519</v>
      </c>
      <c r="I25" s="24" t="s">
        <v>40</v>
      </c>
      <c r="J25" s="24" t="s">
        <v>41</v>
      </c>
      <c r="K25" s="24" t="s">
        <v>60</v>
      </c>
      <c r="L25" s="24" t="s">
        <v>61</v>
      </c>
      <c r="M25" s="24" t="s">
        <v>44</v>
      </c>
      <c r="N25" s="24"/>
      <c r="O25" s="24"/>
      <c r="P25" s="24"/>
      <c r="Q25" s="27"/>
      <c r="R25" s="23">
        <f>HYPERLINK("https://app.hubspot.com/contacts/8748051/record/0-2/18380912239", 18380912239)</f>
        <v>18380912239</v>
      </c>
      <c r="S25" s="24" t="s">
        <v>135</v>
      </c>
      <c r="T25" s="28" t="s">
        <v>136</v>
      </c>
      <c r="U25" s="24" t="s">
        <v>47</v>
      </c>
      <c r="V25" s="24"/>
      <c r="W25" s="25"/>
      <c r="X25" s="29">
        <v>364.0</v>
      </c>
      <c r="Y25" s="29">
        <v>81.0</v>
      </c>
      <c r="Z25" s="30" t="s">
        <v>108</v>
      </c>
      <c r="AA25" s="30"/>
      <c r="AB25" s="31"/>
      <c r="AC25" s="31"/>
      <c r="AD25" s="30"/>
      <c r="AE25" s="30"/>
      <c r="AF25" s="30"/>
      <c r="AG25" s="27" t="str">
        <f t="shared" si="1"/>
        <v>New Logo</v>
      </c>
      <c r="AH25" s="27" t="str">
        <f t="shared" si="2"/>
        <v>Lead</v>
      </c>
      <c r="AI25" s="27" t="str">
        <f t="shared" si="3"/>
        <v>201-500</v>
      </c>
      <c r="AJ25" s="27" t="str">
        <f t="shared" si="4"/>
        <v>51-100</v>
      </c>
    </row>
    <row r="26" ht="15.75" customHeight="1">
      <c r="A26" s="23">
        <f>HYPERLINK("https://app.hubspot.com/contacts/8748051/record/0-3/57344873112", 57344873112)</f>
        <v>57344873112</v>
      </c>
      <c r="B26" s="24" t="s">
        <v>137</v>
      </c>
      <c r="C26" s="24" t="s">
        <v>50</v>
      </c>
      <c r="D26" s="25">
        <v>100000.0</v>
      </c>
      <c r="E26" s="24" t="s">
        <v>73</v>
      </c>
      <c r="F26" s="24"/>
      <c r="G26" s="26">
        <v>46083.386979166666</v>
      </c>
      <c r="H26" s="26">
        <v>46263.38695601852</v>
      </c>
      <c r="I26" s="24" t="s">
        <v>40</v>
      </c>
      <c r="J26" s="24" t="s">
        <v>53</v>
      </c>
      <c r="K26" s="24" t="s">
        <v>60</v>
      </c>
      <c r="L26" s="24" t="s">
        <v>61</v>
      </c>
      <c r="M26" s="24" t="s">
        <v>44</v>
      </c>
      <c r="N26" s="24"/>
      <c r="O26" s="27"/>
      <c r="P26" s="24" t="s">
        <v>122</v>
      </c>
      <c r="Q26" s="24"/>
      <c r="R26" s="23">
        <f>HYPERLINK("https://app.hubspot.com/contacts/8748051/record/0-2/30623359770", 30623359770)</f>
        <v>30623359770</v>
      </c>
      <c r="S26" s="24" t="s">
        <v>138</v>
      </c>
      <c r="T26" s="28" t="s">
        <v>139</v>
      </c>
      <c r="U26" s="24" t="s">
        <v>47</v>
      </c>
      <c r="V26" s="24"/>
      <c r="W26" s="25"/>
      <c r="X26" s="29">
        <v>1358.0</v>
      </c>
      <c r="Y26" s="29">
        <v>230.0</v>
      </c>
      <c r="Z26" s="30" t="s">
        <v>125</v>
      </c>
      <c r="AA26" s="30"/>
      <c r="AB26" s="31"/>
      <c r="AC26" s="31"/>
      <c r="AD26" s="30"/>
      <c r="AE26" s="30"/>
      <c r="AF26" s="30"/>
      <c r="AG26" s="27" t="str">
        <f t="shared" si="1"/>
        <v>New Logo</v>
      </c>
      <c r="AH26" s="27" t="str">
        <f t="shared" si="2"/>
        <v>Lead</v>
      </c>
      <c r="AI26" s="27" t="str">
        <f t="shared" si="3"/>
        <v>1001-5000</v>
      </c>
      <c r="AJ26" s="27" t="str">
        <f t="shared" si="4"/>
        <v>101-500</v>
      </c>
    </row>
    <row r="27" ht="15.75" customHeight="1">
      <c r="A27" s="23">
        <f>HYPERLINK("https://app.hubspot.com/contacts/8748051/record/0-3/57219368517", 57219368517)</f>
        <v>57219368517</v>
      </c>
      <c r="B27" s="24" t="s">
        <v>140</v>
      </c>
      <c r="C27" s="24" t="s">
        <v>38</v>
      </c>
      <c r="D27" s="25">
        <v>500.0</v>
      </c>
      <c r="E27" s="24" t="s">
        <v>39</v>
      </c>
      <c r="F27" s="24"/>
      <c r="G27" s="26">
        <v>46081.271678240744</v>
      </c>
      <c r="H27" s="26">
        <v>46261.27166666667</v>
      </c>
      <c r="I27" s="24" t="s">
        <v>40</v>
      </c>
      <c r="J27" s="24" t="s">
        <v>41</v>
      </c>
      <c r="K27" s="24" t="s">
        <v>42</v>
      </c>
      <c r="L27" s="24" t="s">
        <v>43</v>
      </c>
      <c r="M27" s="24"/>
      <c r="N27" s="24"/>
      <c r="O27" s="24"/>
      <c r="P27" s="24"/>
      <c r="Q27" s="24"/>
      <c r="R27" s="23">
        <f>HYPERLINK("https://app.hubspot.com/contacts/8748051/record/0-2/52198138726", 52198138726)</f>
        <v>52198138726</v>
      </c>
      <c r="S27" s="24" t="s">
        <v>141</v>
      </c>
      <c r="T27" s="28" t="s">
        <v>142</v>
      </c>
      <c r="U27" s="24"/>
      <c r="V27" s="24"/>
      <c r="W27" s="25"/>
      <c r="X27" s="29">
        <v>4.0</v>
      </c>
      <c r="Y27" s="29">
        <v>1.0</v>
      </c>
      <c r="Z27" s="30"/>
      <c r="AA27" s="30"/>
      <c r="AB27" s="30"/>
      <c r="AC27" s="31"/>
      <c r="AD27" s="30"/>
      <c r="AE27" s="31"/>
      <c r="AF27" s="30"/>
      <c r="AG27" s="27" t="str">
        <f t="shared" si="1"/>
        <v>New Logo</v>
      </c>
      <c r="AH27" s="27" t="str">
        <f t="shared" si="2"/>
        <v>Lead</v>
      </c>
      <c r="AI27" s="27" t="str">
        <f t="shared" si="3"/>
        <v>0-200</v>
      </c>
      <c r="AJ27" s="27" t="str">
        <f t="shared" si="4"/>
        <v>0-20</v>
      </c>
    </row>
    <row r="28" ht="15.75" customHeight="1">
      <c r="A28" s="23">
        <f>HYPERLINK("https://app.hubspot.com/contacts/8748051/record/0-3/57137183797", 57137183797)</f>
        <v>57137183797</v>
      </c>
      <c r="B28" s="24" t="s">
        <v>143</v>
      </c>
      <c r="C28" s="24" t="s">
        <v>38</v>
      </c>
      <c r="D28" s="25">
        <v>3000.0</v>
      </c>
      <c r="E28" s="24" t="s">
        <v>127</v>
      </c>
      <c r="F28" s="24"/>
      <c r="G28" s="26">
        <v>46080.66540509259</v>
      </c>
      <c r="H28" s="26">
        <v>46260.66539351852</v>
      </c>
      <c r="I28" s="24" t="s">
        <v>40</v>
      </c>
      <c r="J28" s="24" t="s">
        <v>41</v>
      </c>
      <c r="K28" s="24" t="s">
        <v>42</v>
      </c>
      <c r="L28" s="24" t="s">
        <v>43</v>
      </c>
      <c r="M28" s="24" t="s">
        <v>44</v>
      </c>
      <c r="N28" s="24"/>
      <c r="O28" s="24"/>
      <c r="P28" s="24"/>
      <c r="Q28" s="24" t="s">
        <v>144</v>
      </c>
      <c r="R28" s="23">
        <f>HYPERLINK("https://app.hubspot.com/contacts/8748051/record/0-2/52248697149", 52248697149)</f>
        <v>52248697149</v>
      </c>
      <c r="S28" s="24" t="s">
        <v>145</v>
      </c>
      <c r="T28" s="28" t="s">
        <v>146</v>
      </c>
      <c r="U28" s="24"/>
      <c r="V28" s="24"/>
      <c r="W28" s="25"/>
      <c r="X28" s="29">
        <v>57.0</v>
      </c>
      <c r="Y28" s="29">
        <v>6.0</v>
      </c>
      <c r="Z28" s="30"/>
      <c r="AA28" s="30"/>
      <c r="AB28" s="31"/>
      <c r="AC28" s="31"/>
      <c r="AD28" s="30"/>
      <c r="AE28" s="31"/>
      <c r="AF28" s="30"/>
      <c r="AG28" s="27" t="str">
        <f t="shared" si="1"/>
        <v>New Logo</v>
      </c>
      <c r="AH28" s="27" t="str">
        <f t="shared" si="2"/>
        <v>Lead</v>
      </c>
      <c r="AI28" s="27" t="str">
        <f t="shared" si="3"/>
        <v>0-200</v>
      </c>
      <c r="AJ28" s="27" t="str">
        <f t="shared" si="4"/>
        <v>0-20</v>
      </c>
    </row>
    <row r="29" ht="15.75" customHeight="1">
      <c r="A29" s="23">
        <f>HYPERLINK("https://app.hubspot.com/contacts/8748051/record/0-3/57114347057", 57114347057)</f>
        <v>57114347057</v>
      </c>
      <c r="B29" s="24" t="s">
        <v>147</v>
      </c>
      <c r="C29" s="24" t="s">
        <v>148</v>
      </c>
      <c r="D29" s="25">
        <v>8500.0</v>
      </c>
      <c r="E29" s="24" t="s">
        <v>149</v>
      </c>
      <c r="F29" s="24" t="s">
        <v>52</v>
      </c>
      <c r="G29" s="26">
        <v>46079.601018518515</v>
      </c>
      <c r="H29" s="26">
        <v>46096.8012962963</v>
      </c>
      <c r="I29" s="24" t="s">
        <v>40</v>
      </c>
      <c r="J29" s="24" t="s">
        <v>53</v>
      </c>
      <c r="K29" s="24" t="s">
        <v>42</v>
      </c>
      <c r="L29" s="24" t="s">
        <v>43</v>
      </c>
      <c r="M29" s="24" t="s">
        <v>44</v>
      </c>
      <c r="N29" s="24"/>
      <c r="O29" s="24" t="s">
        <v>150</v>
      </c>
      <c r="P29" s="27"/>
      <c r="Q29" s="27"/>
      <c r="R29" s="23">
        <f>HYPERLINK("https://app.hubspot.com/contacts/8748051/record/0-2/52161971734", 52161971734)</f>
        <v>52161971734</v>
      </c>
      <c r="S29" s="24" t="s">
        <v>151</v>
      </c>
      <c r="T29" s="28" t="s">
        <v>152</v>
      </c>
      <c r="U29" s="24"/>
      <c r="V29" s="24"/>
      <c r="W29" s="25"/>
      <c r="X29" s="29">
        <v>232.0</v>
      </c>
      <c r="Y29" s="29">
        <v>17.0</v>
      </c>
      <c r="Z29" s="31"/>
      <c r="AA29" s="30"/>
      <c r="AB29" s="30"/>
      <c r="AC29" s="30"/>
      <c r="AD29" s="30"/>
      <c r="AE29" s="30"/>
      <c r="AF29" s="30"/>
      <c r="AG29" s="27" t="str">
        <f t="shared" si="1"/>
        <v>New Logo</v>
      </c>
      <c r="AH29" s="27" t="str">
        <f t="shared" si="2"/>
        <v>Lead</v>
      </c>
      <c r="AI29" s="27" t="str">
        <f t="shared" si="3"/>
        <v>201-500</v>
      </c>
      <c r="AJ29" s="27" t="str">
        <f t="shared" si="4"/>
        <v>0-20</v>
      </c>
    </row>
    <row r="30" ht="15.75" customHeight="1">
      <c r="A30" s="23">
        <f>HYPERLINK("https://app.hubspot.com/contacts/8748051/record/0-3/57117122306", 57117122306)</f>
        <v>57117122306</v>
      </c>
      <c r="B30" s="24" t="s">
        <v>153</v>
      </c>
      <c r="C30" s="24" t="s">
        <v>50</v>
      </c>
      <c r="D30" s="25">
        <v>40000.0</v>
      </c>
      <c r="E30" s="24" t="s">
        <v>154</v>
      </c>
      <c r="F30" s="24" t="s">
        <v>52</v>
      </c>
      <c r="G30" s="26">
        <v>46079.531747685185</v>
      </c>
      <c r="H30" s="26">
        <v>46142.42626157407</v>
      </c>
      <c r="I30" s="24" t="s">
        <v>40</v>
      </c>
      <c r="J30" s="24" t="s">
        <v>41</v>
      </c>
      <c r="K30" s="24"/>
      <c r="L30" s="24" t="s">
        <v>155</v>
      </c>
      <c r="M30" s="24" t="s">
        <v>44</v>
      </c>
      <c r="N30" s="24"/>
      <c r="O30" s="24"/>
      <c r="P30" s="27"/>
      <c r="Q30" s="24"/>
      <c r="R30" s="23">
        <f>HYPERLINK("https://app.hubspot.com/contacts/8748051/record/0-2/28495618996", 28495618996)</f>
        <v>28495618996</v>
      </c>
      <c r="S30" s="24" t="s">
        <v>156</v>
      </c>
      <c r="T30" s="28" t="s">
        <v>157</v>
      </c>
      <c r="U30" s="24" t="s">
        <v>47</v>
      </c>
      <c r="V30" s="24"/>
      <c r="W30" s="25"/>
      <c r="X30" s="29">
        <v>314.0</v>
      </c>
      <c r="Y30" s="29">
        <v>32.0</v>
      </c>
      <c r="Z30" s="30"/>
      <c r="AA30" s="30"/>
      <c r="AB30" s="31"/>
      <c r="AC30" s="30"/>
      <c r="AD30" s="30"/>
      <c r="AE30" s="30"/>
      <c r="AF30" s="30"/>
      <c r="AG30" s="27" t="str">
        <f t="shared" si="1"/>
        <v>New Logo</v>
      </c>
      <c r="AH30" s="27" t="str">
        <f t="shared" si="2"/>
        <v>Lead</v>
      </c>
      <c r="AI30" s="27" t="str">
        <f t="shared" si="3"/>
        <v>201-500</v>
      </c>
      <c r="AJ30" s="27" t="str">
        <f t="shared" si="4"/>
        <v>21-50</v>
      </c>
    </row>
    <row r="31" ht="15.75" customHeight="1">
      <c r="A31" s="23">
        <f>HYPERLINK("https://app.hubspot.com/contacts/8748051/record/0-3/57021683630", 57021683630)</f>
        <v>57021683630</v>
      </c>
      <c r="B31" s="24" t="s">
        <v>158</v>
      </c>
      <c r="C31" s="24" t="s">
        <v>159</v>
      </c>
      <c r="D31" s="25">
        <v>-3370.0</v>
      </c>
      <c r="E31" s="24" t="s">
        <v>92</v>
      </c>
      <c r="F31" s="24"/>
      <c r="G31" s="26">
        <v>46079.45900462963</v>
      </c>
      <c r="H31" s="26">
        <v>46079.459178240744</v>
      </c>
      <c r="I31" s="24" t="s">
        <v>40</v>
      </c>
      <c r="J31" s="24" t="s">
        <v>160</v>
      </c>
      <c r="K31" s="24" t="s">
        <v>161</v>
      </c>
      <c r="L31" s="24" t="s">
        <v>162</v>
      </c>
      <c r="M31" s="24" t="s">
        <v>102</v>
      </c>
      <c r="N31" s="24" t="s">
        <v>163</v>
      </c>
      <c r="O31" s="24"/>
      <c r="P31" s="24"/>
      <c r="Q31" s="27"/>
      <c r="R31" s="23">
        <f>HYPERLINK("https://app.hubspot.com/contacts/8748051/record/0-2/7763642695", 7763642695)</f>
        <v>7763642695</v>
      </c>
      <c r="S31" s="24" t="s">
        <v>164</v>
      </c>
      <c r="T31" s="28" t="s">
        <v>165</v>
      </c>
      <c r="U31" s="24" t="s">
        <v>96</v>
      </c>
      <c r="V31" s="24"/>
      <c r="W31" s="25">
        <v>28130.0</v>
      </c>
      <c r="X31" s="29">
        <v>1195.0</v>
      </c>
      <c r="Y31" s="29">
        <v>176.0</v>
      </c>
      <c r="Z31" s="30"/>
      <c r="AA31" s="30" t="s">
        <v>166</v>
      </c>
      <c r="AB31" s="30"/>
      <c r="AC31" s="31"/>
      <c r="AD31" s="30" t="s">
        <v>167</v>
      </c>
      <c r="AE31" s="30" t="s">
        <v>168</v>
      </c>
      <c r="AF31" s="30" t="s">
        <v>169</v>
      </c>
      <c r="AG31" s="27" t="str">
        <f t="shared" si="1"/>
        <v>Downsell</v>
      </c>
      <c r="AH31" s="27" t="str">
        <f t="shared" si="2"/>
        <v>Customer</v>
      </c>
      <c r="AI31" s="27" t="str">
        <f t="shared" si="3"/>
        <v>1001-5000</v>
      </c>
      <c r="AJ31" s="27" t="str">
        <f t="shared" si="4"/>
        <v>101-500</v>
      </c>
    </row>
    <row r="32" ht="15.75" customHeight="1">
      <c r="A32" s="23">
        <f>HYPERLINK("https://app.hubspot.com/contacts/8748051/record/0-3/57049619590", 57049619590)</f>
        <v>57049619590</v>
      </c>
      <c r="B32" s="24" t="s">
        <v>170</v>
      </c>
      <c r="C32" s="24" t="s">
        <v>38</v>
      </c>
      <c r="D32" s="25">
        <v>23000.0</v>
      </c>
      <c r="E32" s="24" t="s">
        <v>149</v>
      </c>
      <c r="F32" s="24" t="s">
        <v>52</v>
      </c>
      <c r="G32" s="26">
        <v>46078.74854166667</v>
      </c>
      <c r="H32" s="26">
        <v>46098.680451388886</v>
      </c>
      <c r="I32" s="24" t="s">
        <v>40</v>
      </c>
      <c r="J32" s="24" t="s">
        <v>41</v>
      </c>
      <c r="K32" s="24" t="s">
        <v>42</v>
      </c>
      <c r="L32" s="24" t="s">
        <v>43</v>
      </c>
      <c r="M32" s="24" t="s">
        <v>44</v>
      </c>
      <c r="N32" s="24"/>
      <c r="O32" s="24" t="s">
        <v>171</v>
      </c>
      <c r="P32" s="24"/>
      <c r="Q32" s="27"/>
      <c r="R32" s="23">
        <f>HYPERLINK("https://app.hubspot.com/contacts/8748051/record/0-2/41632615322", 41632615322)</f>
        <v>41632615322</v>
      </c>
      <c r="S32" s="24" t="s">
        <v>172</v>
      </c>
      <c r="T32" s="28" t="s">
        <v>173</v>
      </c>
      <c r="U32" s="24"/>
      <c r="V32" s="24"/>
      <c r="W32" s="25"/>
      <c r="X32" s="29">
        <v>202.0</v>
      </c>
      <c r="Y32" s="29">
        <v>46.0</v>
      </c>
      <c r="Z32" s="30" t="s">
        <v>108</v>
      </c>
      <c r="AA32" s="30"/>
      <c r="AB32" s="31"/>
      <c r="AC32" s="30"/>
      <c r="AD32" s="30"/>
      <c r="AE32" s="30"/>
      <c r="AF32" s="30"/>
      <c r="AG32" s="27" t="str">
        <f t="shared" si="1"/>
        <v>New Logo</v>
      </c>
      <c r="AH32" s="27" t="str">
        <f t="shared" si="2"/>
        <v>Lead</v>
      </c>
      <c r="AI32" s="27" t="str">
        <f t="shared" si="3"/>
        <v>201-500</v>
      </c>
      <c r="AJ32" s="27" t="str">
        <f t="shared" si="4"/>
        <v>21-50</v>
      </c>
    </row>
    <row r="33" ht="15.75" customHeight="1">
      <c r="A33" s="23">
        <f>HYPERLINK("https://app.hubspot.com/contacts/8748051/record/0-3/57013614382", 57013614382)</f>
        <v>57013614382</v>
      </c>
      <c r="B33" s="24" t="s">
        <v>174</v>
      </c>
      <c r="C33" s="24" t="s">
        <v>38</v>
      </c>
      <c r="D33" s="25">
        <v>100000.0</v>
      </c>
      <c r="E33" s="24" t="s">
        <v>51</v>
      </c>
      <c r="F33" s="24" t="s">
        <v>52</v>
      </c>
      <c r="G33" s="26">
        <v>46078.42549768519</v>
      </c>
      <c r="H33" s="26">
        <v>46258.42542824074</v>
      </c>
      <c r="I33" s="24" t="s">
        <v>40</v>
      </c>
      <c r="J33" s="24" t="s">
        <v>53</v>
      </c>
      <c r="K33" s="24" t="s">
        <v>60</v>
      </c>
      <c r="L33" s="24" t="s">
        <v>61</v>
      </c>
      <c r="M33" s="24" t="s">
        <v>44</v>
      </c>
      <c r="N33" s="24"/>
      <c r="O33" s="27"/>
      <c r="P33" s="24"/>
      <c r="Q33" s="27"/>
      <c r="R33" s="23">
        <f>HYPERLINK("https://app.hubspot.com/contacts/8748051/record/0-2/9238256980", 9238256980)</f>
        <v>9238256980</v>
      </c>
      <c r="S33" s="24" t="s">
        <v>175</v>
      </c>
      <c r="T33" s="28" t="s">
        <v>176</v>
      </c>
      <c r="U33" s="24"/>
      <c r="V33" s="24"/>
      <c r="W33" s="25"/>
      <c r="X33" s="29">
        <v>16451.0</v>
      </c>
      <c r="Y33" s="29">
        <v>1703.0</v>
      </c>
      <c r="Z33" s="30"/>
      <c r="AA33" s="30"/>
      <c r="AB33" s="31"/>
      <c r="AC33" s="31"/>
      <c r="AD33" s="30"/>
      <c r="AE33" s="30"/>
      <c r="AF33" s="30"/>
      <c r="AG33" s="27" t="str">
        <f t="shared" si="1"/>
        <v>New Logo</v>
      </c>
      <c r="AH33" s="27" t="str">
        <f t="shared" si="2"/>
        <v>Lead</v>
      </c>
      <c r="AI33" s="27" t="str">
        <f t="shared" si="3"/>
        <v>10000+</v>
      </c>
      <c r="AJ33" s="27" t="str">
        <f t="shared" si="4"/>
        <v>500+</v>
      </c>
    </row>
    <row r="34" ht="15.75" customHeight="1">
      <c r="A34" s="23">
        <f>HYPERLINK("https://app.hubspot.com/contacts/8748051/record/0-3/56928901170", 56928901170)</f>
        <v>56928901170</v>
      </c>
      <c r="B34" s="24" t="s">
        <v>177</v>
      </c>
      <c r="C34" s="24" t="s">
        <v>50</v>
      </c>
      <c r="D34" s="25">
        <v>16500.0</v>
      </c>
      <c r="E34" s="24" t="s">
        <v>39</v>
      </c>
      <c r="F34" s="24"/>
      <c r="G34" s="26">
        <v>46076.7753125</v>
      </c>
      <c r="H34" s="26">
        <v>46256.77527777778</v>
      </c>
      <c r="I34" s="24" t="s">
        <v>40</v>
      </c>
      <c r="J34" s="24" t="s">
        <v>41</v>
      </c>
      <c r="K34" s="24" t="s">
        <v>60</v>
      </c>
      <c r="L34" s="24" t="s">
        <v>178</v>
      </c>
      <c r="M34" s="24" t="s">
        <v>44</v>
      </c>
      <c r="N34" s="24"/>
      <c r="O34" s="27"/>
      <c r="P34" s="24"/>
      <c r="Q34" s="27"/>
      <c r="R34" s="23">
        <f>HYPERLINK("https://app.hubspot.com/contacts/8748051/record/0-2/7667037820", 7667037820)</f>
        <v>7667037820</v>
      </c>
      <c r="S34" s="24" t="s">
        <v>179</v>
      </c>
      <c r="T34" s="28" t="s">
        <v>180</v>
      </c>
      <c r="U34" s="24" t="s">
        <v>47</v>
      </c>
      <c r="V34" s="24"/>
      <c r="W34" s="25"/>
      <c r="X34" s="29">
        <v>159.0</v>
      </c>
      <c r="Y34" s="29">
        <v>33.0</v>
      </c>
      <c r="Z34" s="31"/>
      <c r="AA34" s="30"/>
      <c r="AB34" s="30"/>
      <c r="AC34" s="30"/>
      <c r="AD34" s="30"/>
      <c r="AE34" s="30"/>
      <c r="AF34" s="30"/>
      <c r="AG34" s="27" t="str">
        <f t="shared" si="1"/>
        <v>New Logo</v>
      </c>
      <c r="AH34" s="27" t="str">
        <f t="shared" si="2"/>
        <v>Lead</v>
      </c>
      <c r="AI34" s="27" t="str">
        <f t="shared" si="3"/>
        <v>0-200</v>
      </c>
      <c r="AJ34" s="27" t="str">
        <f t="shared" si="4"/>
        <v>21-50</v>
      </c>
    </row>
    <row r="35" ht="15.75" customHeight="1">
      <c r="A35" s="23">
        <f>HYPERLINK("https://app.hubspot.com/contacts/8748051/record/0-3/56549273430", 56549273430)</f>
        <v>56549273430</v>
      </c>
      <c r="B35" s="24" t="s">
        <v>181</v>
      </c>
      <c r="C35" s="24" t="s">
        <v>50</v>
      </c>
      <c r="D35" s="25">
        <v>8000.0</v>
      </c>
      <c r="E35" s="24" t="s">
        <v>92</v>
      </c>
      <c r="F35" s="24" t="s">
        <v>52</v>
      </c>
      <c r="G35" s="26">
        <v>46070.542650462965</v>
      </c>
      <c r="H35" s="26">
        <v>46083.35155092592</v>
      </c>
      <c r="I35" s="24" t="s">
        <v>40</v>
      </c>
      <c r="J35" s="24" t="s">
        <v>182</v>
      </c>
      <c r="K35" s="24" t="s">
        <v>161</v>
      </c>
      <c r="L35" s="24" t="s">
        <v>183</v>
      </c>
      <c r="M35" s="24" t="s">
        <v>44</v>
      </c>
      <c r="N35" s="24" t="s">
        <v>184</v>
      </c>
      <c r="O35" s="27"/>
      <c r="P35" s="24"/>
      <c r="Q35" s="24"/>
      <c r="R35" s="23">
        <f>HYPERLINK("https://app.hubspot.com/contacts/8748051/record/0-2/35716472621", 35716472621)</f>
        <v>35716472621</v>
      </c>
      <c r="S35" s="24" t="s">
        <v>185</v>
      </c>
      <c r="T35" s="28" t="s">
        <v>186</v>
      </c>
      <c r="U35" s="24" t="s">
        <v>96</v>
      </c>
      <c r="V35" s="24"/>
      <c r="W35" s="25">
        <v>88000.0</v>
      </c>
      <c r="X35" s="29">
        <v>972.0</v>
      </c>
      <c r="Y35" s="29">
        <v>295.0</v>
      </c>
      <c r="Z35" s="31"/>
      <c r="AA35" s="30" t="s">
        <v>97</v>
      </c>
      <c r="AB35" s="30"/>
      <c r="AC35" s="31"/>
      <c r="AD35" s="30" t="s">
        <v>187</v>
      </c>
      <c r="AE35" s="30"/>
      <c r="AF35" s="30" t="s">
        <v>188</v>
      </c>
      <c r="AG35" s="27" t="str">
        <f t="shared" si="1"/>
        <v>Upsell</v>
      </c>
      <c r="AH35" s="27" t="str">
        <f t="shared" si="2"/>
        <v>Customer</v>
      </c>
      <c r="AI35" s="27" t="str">
        <f t="shared" si="3"/>
        <v>501-1000</v>
      </c>
      <c r="AJ35" s="27" t="str">
        <f t="shared" si="4"/>
        <v>101-500</v>
      </c>
    </row>
    <row r="36" ht="15.75" customHeight="1">
      <c r="A36" s="23">
        <f>HYPERLINK("https://app.hubspot.com/contacts/8748051/record/0-3/56162829670", 56162829670)</f>
        <v>56162829670</v>
      </c>
      <c r="B36" s="24" t="s">
        <v>189</v>
      </c>
      <c r="C36" s="24" t="s">
        <v>159</v>
      </c>
      <c r="D36" s="25">
        <v>50064.0</v>
      </c>
      <c r="E36" s="24" t="s">
        <v>92</v>
      </c>
      <c r="F36" s="24" t="s">
        <v>52</v>
      </c>
      <c r="G36" s="26">
        <v>46066.367002314815</v>
      </c>
      <c r="H36" s="26">
        <v>46094.348715277774</v>
      </c>
      <c r="I36" s="24" t="s">
        <v>40</v>
      </c>
      <c r="J36" s="24" t="s">
        <v>182</v>
      </c>
      <c r="K36" s="24" t="s">
        <v>161</v>
      </c>
      <c r="L36" s="24" t="s">
        <v>162</v>
      </c>
      <c r="M36" s="24" t="s">
        <v>44</v>
      </c>
      <c r="N36" s="24" t="s">
        <v>190</v>
      </c>
      <c r="O36" s="27"/>
      <c r="P36" s="27"/>
      <c r="Q36" s="24"/>
      <c r="R36" s="23">
        <f>HYPERLINK("https://app.hubspot.com/contacts/8748051/record/0-2/8950154645", 8950154645)</f>
        <v>8950154645</v>
      </c>
      <c r="S36" s="24" t="s">
        <v>191</v>
      </c>
      <c r="T36" s="28" t="s">
        <v>192</v>
      </c>
      <c r="U36" s="24" t="s">
        <v>96</v>
      </c>
      <c r="V36" s="24"/>
      <c r="W36" s="25">
        <v>79564.0</v>
      </c>
      <c r="X36" s="29">
        <v>882.0</v>
      </c>
      <c r="Y36" s="29">
        <v>60.0</v>
      </c>
      <c r="Z36" s="30"/>
      <c r="AA36" s="30" t="s">
        <v>193</v>
      </c>
      <c r="AB36" s="30" t="s">
        <v>194</v>
      </c>
      <c r="AC36" s="30"/>
      <c r="AD36" s="30" t="s">
        <v>195</v>
      </c>
      <c r="AE36" s="30"/>
      <c r="AF36" s="30" t="s">
        <v>169</v>
      </c>
      <c r="AG36" s="27" t="str">
        <f t="shared" si="1"/>
        <v>Upsell</v>
      </c>
      <c r="AH36" s="27" t="str">
        <f t="shared" si="2"/>
        <v>Customer</v>
      </c>
      <c r="AI36" s="27" t="str">
        <f t="shared" si="3"/>
        <v>501-1000</v>
      </c>
      <c r="AJ36" s="27" t="str">
        <f t="shared" si="4"/>
        <v>51-100</v>
      </c>
    </row>
    <row r="37" ht="15.75" customHeight="1">
      <c r="A37" s="23">
        <f>HYPERLINK("https://app.hubspot.com/contacts/8748051/record/0-3/56137197580", 56137197580)</f>
        <v>56137197580</v>
      </c>
      <c r="B37" s="24" t="s">
        <v>196</v>
      </c>
      <c r="C37" s="24" t="s">
        <v>38</v>
      </c>
      <c r="D37" s="25">
        <v>500.0</v>
      </c>
      <c r="E37" s="24" t="s">
        <v>127</v>
      </c>
      <c r="F37" s="24"/>
      <c r="G37" s="26">
        <v>46065.80082175926</v>
      </c>
      <c r="H37" s="26">
        <v>46245.80079861111</v>
      </c>
      <c r="I37" s="24" t="s">
        <v>40</v>
      </c>
      <c r="J37" s="24" t="s">
        <v>41</v>
      </c>
      <c r="K37" s="24" t="s">
        <v>42</v>
      </c>
      <c r="L37" s="24" t="s">
        <v>43</v>
      </c>
      <c r="M37" s="24"/>
      <c r="N37" s="27"/>
      <c r="O37" s="24"/>
      <c r="P37" s="24"/>
      <c r="Q37" s="24" t="s">
        <v>197</v>
      </c>
      <c r="R37" s="23">
        <f>HYPERLINK("https://app.hubspot.com/contacts/8748051/record/0-2/51272752282", 51272752282)</f>
        <v>51272752282</v>
      </c>
      <c r="S37" s="24" t="s">
        <v>198</v>
      </c>
      <c r="T37" s="28" t="s">
        <v>199</v>
      </c>
      <c r="U37" s="24"/>
      <c r="V37" s="24"/>
      <c r="W37" s="25"/>
      <c r="X37" s="29">
        <v>9.0</v>
      </c>
      <c r="Y37" s="29">
        <v>1.0</v>
      </c>
      <c r="Z37" s="30"/>
      <c r="AA37" s="30"/>
      <c r="AB37" s="31"/>
      <c r="AC37" s="30"/>
      <c r="AD37" s="30"/>
      <c r="AE37" s="30"/>
      <c r="AF37" s="30"/>
      <c r="AG37" s="27" t="str">
        <f t="shared" si="1"/>
        <v>New Logo</v>
      </c>
      <c r="AH37" s="27" t="str">
        <f t="shared" si="2"/>
        <v>Lead</v>
      </c>
      <c r="AI37" s="27" t="str">
        <f t="shared" si="3"/>
        <v>0-200</v>
      </c>
      <c r="AJ37" s="27" t="str">
        <f t="shared" si="4"/>
        <v>0-20</v>
      </c>
    </row>
    <row r="38" ht="15.75" customHeight="1">
      <c r="A38" s="23">
        <f>HYPERLINK("https://app.hubspot.com/contacts/8748051/record/0-3/56125966216", 56125966216)</f>
        <v>56125966216</v>
      </c>
      <c r="B38" s="24" t="s">
        <v>200</v>
      </c>
      <c r="C38" s="24" t="s">
        <v>50</v>
      </c>
      <c r="D38" s="25">
        <v>30000.0</v>
      </c>
      <c r="E38" s="24" t="s">
        <v>51</v>
      </c>
      <c r="F38" s="24" t="s">
        <v>52</v>
      </c>
      <c r="G38" s="26">
        <v>46064.60424768519</v>
      </c>
      <c r="H38" s="26">
        <v>46203.58099537037</v>
      </c>
      <c r="I38" s="24" t="s">
        <v>40</v>
      </c>
      <c r="J38" s="24" t="s">
        <v>41</v>
      </c>
      <c r="K38" s="24" t="s">
        <v>42</v>
      </c>
      <c r="L38" s="24" t="s">
        <v>43</v>
      </c>
      <c r="M38" s="24" t="s">
        <v>44</v>
      </c>
      <c r="N38" s="27"/>
      <c r="O38" s="27"/>
      <c r="P38" s="24"/>
      <c r="Q38" s="24"/>
      <c r="R38" s="23">
        <f>HYPERLINK("https://app.hubspot.com/contacts/8748051/record/0-2/18415173681", 18415173681)</f>
        <v>18415173681</v>
      </c>
      <c r="S38" s="24" t="s">
        <v>201</v>
      </c>
      <c r="T38" s="28" t="s">
        <v>202</v>
      </c>
      <c r="U38" s="24" t="s">
        <v>47</v>
      </c>
      <c r="V38" s="24"/>
      <c r="W38" s="25"/>
      <c r="X38" s="29">
        <v>222.0</v>
      </c>
      <c r="Y38" s="29">
        <v>40.0</v>
      </c>
      <c r="Z38" s="30"/>
      <c r="AA38" s="30"/>
      <c r="AB38" s="31"/>
      <c r="AC38" s="30"/>
      <c r="AD38" s="30"/>
      <c r="AE38" s="30"/>
      <c r="AF38" s="30"/>
      <c r="AG38" s="27" t="str">
        <f t="shared" si="1"/>
        <v>New Logo</v>
      </c>
      <c r="AH38" s="27" t="str">
        <f t="shared" si="2"/>
        <v>Lead</v>
      </c>
      <c r="AI38" s="27" t="str">
        <f t="shared" si="3"/>
        <v>201-500</v>
      </c>
      <c r="AJ38" s="27" t="str">
        <f t="shared" si="4"/>
        <v>21-50</v>
      </c>
    </row>
    <row r="39" ht="15.75" customHeight="1">
      <c r="A39" s="23">
        <f>HYPERLINK("https://app.hubspot.com/contacts/8748051/record/0-3/55927356301", 55927356301)</f>
        <v>55927356301</v>
      </c>
      <c r="B39" s="24" t="s">
        <v>203</v>
      </c>
      <c r="C39" s="24" t="s">
        <v>148</v>
      </c>
      <c r="D39" s="25">
        <v>28980.0</v>
      </c>
      <c r="E39" s="24" t="s">
        <v>51</v>
      </c>
      <c r="F39" s="24" t="s">
        <v>52</v>
      </c>
      <c r="G39" s="26">
        <v>46064.149618055555</v>
      </c>
      <c r="H39" s="26">
        <v>46245.186631944445</v>
      </c>
      <c r="I39" s="24" t="s">
        <v>40</v>
      </c>
      <c r="J39" s="24" t="s">
        <v>204</v>
      </c>
      <c r="K39" s="24" t="s">
        <v>161</v>
      </c>
      <c r="L39" s="24" t="s">
        <v>162</v>
      </c>
      <c r="M39" s="24" t="s">
        <v>44</v>
      </c>
      <c r="N39" s="24"/>
      <c r="O39" s="27"/>
      <c r="P39" s="24"/>
      <c r="Q39" s="27"/>
      <c r="R39" s="23">
        <f>HYPERLINK("https://app.hubspot.com/contacts/8748051/record/0-2/15119716451", 15119716451)</f>
        <v>15119716451</v>
      </c>
      <c r="S39" s="24" t="s">
        <v>205</v>
      </c>
      <c r="T39" s="28" t="s">
        <v>206</v>
      </c>
      <c r="U39" s="24">
        <v>3.4564763E7</v>
      </c>
      <c r="V39" s="24"/>
      <c r="W39" s="25">
        <v>28960.0</v>
      </c>
      <c r="X39" s="29">
        <v>406.0</v>
      </c>
      <c r="Y39" s="29">
        <v>112.0</v>
      </c>
      <c r="Z39" s="30"/>
      <c r="AA39" s="30" t="s">
        <v>207</v>
      </c>
      <c r="AB39" s="31"/>
      <c r="AC39" s="30" t="s">
        <v>208</v>
      </c>
      <c r="AD39" s="30" t="s">
        <v>209</v>
      </c>
      <c r="AE39" s="30" t="s">
        <v>210</v>
      </c>
      <c r="AF39" s="30" t="s">
        <v>211</v>
      </c>
      <c r="AG39" s="27" t="str">
        <f t="shared" si="1"/>
        <v>Resell / Save</v>
      </c>
      <c r="AH39" s="27" t="str">
        <f t="shared" si="2"/>
        <v>Churn</v>
      </c>
      <c r="AI39" s="27" t="str">
        <f t="shared" si="3"/>
        <v>201-500</v>
      </c>
      <c r="AJ39" s="27" t="str">
        <f t="shared" si="4"/>
        <v>101-500</v>
      </c>
    </row>
    <row r="40" ht="15.75" customHeight="1">
      <c r="A40" s="23">
        <f>HYPERLINK("https://app.hubspot.com/contacts/8748051/record/0-3/55816943678", 55816943678)</f>
        <v>55816943678</v>
      </c>
      <c r="B40" s="24" t="s">
        <v>212</v>
      </c>
      <c r="C40" s="24" t="s">
        <v>50</v>
      </c>
      <c r="D40" s="25">
        <v>25000.0</v>
      </c>
      <c r="E40" s="24" t="s">
        <v>73</v>
      </c>
      <c r="F40" s="24"/>
      <c r="G40" s="26">
        <v>46062.40809027778</v>
      </c>
      <c r="H40" s="26">
        <v>46171.522569444445</v>
      </c>
      <c r="I40" s="24" t="s">
        <v>40</v>
      </c>
      <c r="J40" s="24" t="s">
        <v>41</v>
      </c>
      <c r="K40" s="24" t="s">
        <v>42</v>
      </c>
      <c r="L40" s="24" t="s">
        <v>43</v>
      </c>
      <c r="M40" s="24" t="s">
        <v>102</v>
      </c>
      <c r="N40" s="24"/>
      <c r="O40" s="24"/>
      <c r="P40" s="24" t="s">
        <v>213</v>
      </c>
      <c r="Q40" s="24"/>
      <c r="R40" s="23">
        <f>HYPERLINK("https://app.hubspot.com/contacts/8748051/record/0-2/7646062645", 7646062645)</f>
        <v>7646062645</v>
      </c>
      <c r="S40" s="28" t="s">
        <v>214</v>
      </c>
      <c r="T40" s="28" t="s">
        <v>215</v>
      </c>
      <c r="U40" s="24"/>
      <c r="V40" s="24"/>
      <c r="W40" s="25"/>
      <c r="X40" s="29">
        <v>2979.0</v>
      </c>
      <c r="Y40" s="29">
        <v>830.0</v>
      </c>
      <c r="Z40" s="30" t="s">
        <v>108</v>
      </c>
      <c r="AA40" s="30"/>
      <c r="AB40" s="30"/>
      <c r="AC40" s="31"/>
      <c r="AD40" s="30"/>
      <c r="AE40" s="30"/>
      <c r="AF40" s="30"/>
      <c r="AG40" s="27" t="str">
        <f t="shared" si="1"/>
        <v>New Logo</v>
      </c>
      <c r="AH40" s="27" t="str">
        <f t="shared" si="2"/>
        <v>Lead</v>
      </c>
      <c r="AI40" s="27" t="str">
        <f t="shared" si="3"/>
        <v>1001-5000</v>
      </c>
      <c r="AJ40" s="27" t="str">
        <f t="shared" si="4"/>
        <v>500+</v>
      </c>
    </row>
    <row r="41" ht="15.75" customHeight="1">
      <c r="A41" s="23">
        <f>HYPERLINK("https://app.hubspot.com/contacts/8748051/record/0-3/56136062351", 56136062351)</f>
        <v>56136062351</v>
      </c>
      <c r="B41" s="24" t="s">
        <v>216</v>
      </c>
      <c r="C41" s="24" t="s">
        <v>159</v>
      </c>
      <c r="D41" s="25">
        <v>1996.0</v>
      </c>
      <c r="E41" s="24" t="s">
        <v>92</v>
      </c>
      <c r="F41" s="24"/>
      <c r="G41" s="26">
        <v>46059.366377314815</v>
      </c>
      <c r="H41" s="26">
        <v>46059.36640046296</v>
      </c>
      <c r="I41" s="24" t="s">
        <v>40</v>
      </c>
      <c r="J41" s="24" t="s">
        <v>182</v>
      </c>
      <c r="K41" s="24" t="s">
        <v>161</v>
      </c>
      <c r="L41" s="24" t="s">
        <v>162</v>
      </c>
      <c r="M41" s="24" t="s">
        <v>74</v>
      </c>
      <c r="N41" s="24" t="s">
        <v>217</v>
      </c>
      <c r="O41" s="24"/>
      <c r="P41" s="27"/>
      <c r="Q41" s="27"/>
      <c r="R41" s="23">
        <f>HYPERLINK("https://app.hubspot.com/contacts/8748051/record/0-2/21926460338", 21926460338)</f>
        <v>21926460338</v>
      </c>
      <c r="S41" s="24" t="s">
        <v>218</v>
      </c>
      <c r="T41" s="28" t="s">
        <v>219</v>
      </c>
      <c r="U41" s="24" t="s">
        <v>96</v>
      </c>
      <c r="V41" s="24"/>
      <c r="W41" s="25">
        <v>12368.0</v>
      </c>
      <c r="X41" s="29">
        <v>134.0</v>
      </c>
      <c r="Y41" s="29">
        <v>16.0</v>
      </c>
      <c r="Z41" s="30"/>
      <c r="AA41" s="30" t="s">
        <v>220</v>
      </c>
      <c r="AB41" s="31"/>
      <c r="AC41" s="30"/>
      <c r="AD41" s="30" t="s">
        <v>221</v>
      </c>
      <c r="AE41" s="30" t="s">
        <v>222</v>
      </c>
      <c r="AF41" s="30" t="s">
        <v>169</v>
      </c>
      <c r="AG41" s="27" t="str">
        <f t="shared" si="1"/>
        <v>Upsell</v>
      </c>
      <c r="AH41" s="27" t="str">
        <f t="shared" si="2"/>
        <v>Customer</v>
      </c>
      <c r="AI41" s="27" t="str">
        <f t="shared" si="3"/>
        <v>0-200</v>
      </c>
      <c r="AJ41" s="27" t="str">
        <f t="shared" si="4"/>
        <v>0-20</v>
      </c>
    </row>
    <row r="42" ht="15.75" customHeight="1">
      <c r="A42" s="23">
        <f>HYPERLINK("https://app.hubspot.com/contacts/8748051/record/0-3/55624023821", 55624023821)</f>
        <v>55624023821</v>
      </c>
      <c r="B42" s="24" t="s">
        <v>223</v>
      </c>
      <c r="C42" s="24" t="s">
        <v>159</v>
      </c>
      <c r="D42" s="25">
        <v>3998.0</v>
      </c>
      <c r="E42" s="24" t="s">
        <v>92</v>
      </c>
      <c r="F42" s="24"/>
      <c r="G42" s="26">
        <v>46058.383576388886</v>
      </c>
      <c r="H42" s="26">
        <v>46058.38359953704</v>
      </c>
      <c r="I42" s="24" t="s">
        <v>40</v>
      </c>
      <c r="J42" s="24" t="s">
        <v>182</v>
      </c>
      <c r="K42" s="24" t="s">
        <v>161</v>
      </c>
      <c r="L42" s="24" t="s">
        <v>162</v>
      </c>
      <c r="M42" s="24" t="s">
        <v>102</v>
      </c>
      <c r="N42" s="24" t="s">
        <v>224</v>
      </c>
      <c r="O42" s="24"/>
      <c r="P42" s="24"/>
      <c r="Q42" s="27"/>
      <c r="R42" s="23">
        <f>HYPERLINK("https://app.hubspot.com/contacts/8748051/record/0-2/9132283033", 9132283033)</f>
        <v>9132283033</v>
      </c>
      <c r="S42" s="24" t="s">
        <v>225</v>
      </c>
      <c r="T42" s="28" t="s">
        <v>226</v>
      </c>
      <c r="U42" s="24" t="s">
        <v>96</v>
      </c>
      <c r="V42" s="24"/>
      <c r="W42" s="25">
        <v>7998.0</v>
      </c>
      <c r="X42" s="29">
        <v>1573.0</v>
      </c>
      <c r="Y42" s="29">
        <v>43.0</v>
      </c>
      <c r="Z42" s="30"/>
      <c r="AA42" s="30" t="s">
        <v>220</v>
      </c>
      <c r="AB42" s="30"/>
      <c r="AC42" s="30"/>
      <c r="AD42" s="30" t="s">
        <v>221</v>
      </c>
      <c r="AE42" s="30" t="s">
        <v>227</v>
      </c>
      <c r="AF42" s="30" t="s">
        <v>169</v>
      </c>
      <c r="AG42" s="27" t="str">
        <f t="shared" si="1"/>
        <v>Upsell</v>
      </c>
      <c r="AH42" s="27" t="str">
        <f t="shared" si="2"/>
        <v>Customer</v>
      </c>
      <c r="AI42" s="27" t="str">
        <f t="shared" si="3"/>
        <v>1001-5000</v>
      </c>
      <c r="AJ42" s="27" t="str">
        <f t="shared" si="4"/>
        <v>21-50</v>
      </c>
    </row>
    <row r="43" ht="15.75" customHeight="1">
      <c r="A43" s="23">
        <f>HYPERLINK("https://app.hubspot.com/contacts/8748051/record/0-3/55299370838", 55299370838)</f>
        <v>55299370838</v>
      </c>
      <c r="B43" s="24" t="s">
        <v>228</v>
      </c>
      <c r="C43" s="24" t="s">
        <v>148</v>
      </c>
      <c r="D43" s="25">
        <v>25000.0</v>
      </c>
      <c r="E43" s="24" t="s">
        <v>39</v>
      </c>
      <c r="F43" s="24"/>
      <c r="G43" s="26">
        <v>46055.37076388889</v>
      </c>
      <c r="H43" s="26">
        <v>46113.41105324074</v>
      </c>
      <c r="I43" s="24" t="s">
        <v>40</v>
      </c>
      <c r="J43" s="24" t="s">
        <v>204</v>
      </c>
      <c r="K43" s="24" t="s">
        <v>161</v>
      </c>
      <c r="L43" s="24" t="s">
        <v>162</v>
      </c>
      <c r="M43" s="24" t="s">
        <v>44</v>
      </c>
      <c r="N43" s="24"/>
      <c r="O43" s="27"/>
      <c r="P43" s="24"/>
      <c r="Q43" s="24"/>
      <c r="R43" s="23">
        <f>HYPERLINK("https://app.hubspot.com/contacts/8748051/record/0-2/28688518980", 28688518980)</f>
        <v>28688518980</v>
      </c>
      <c r="S43" s="24" t="s">
        <v>229</v>
      </c>
      <c r="T43" s="28" t="s">
        <v>230</v>
      </c>
      <c r="U43" s="24" t="s">
        <v>96</v>
      </c>
      <c r="V43" s="24"/>
      <c r="W43" s="25">
        <v>25000.0</v>
      </c>
      <c r="X43" s="29">
        <v>108.0</v>
      </c>
      <c r="Y43" s="29">
        <v>13.0</v>
      </c>
      <c r="Z43" s="30"/>
      <c r="AA43" s="30" t="s">
        <v>97</v>
      </c>
      <c r="AB43" s="30"/>
      <c r="AC43" s="30" t="s">
        <v>208</v>
      </c>
      <c r="AD43" s="30" t="s">
        <v>231</v>
      </c>
      <c r="AE43" s="30" t="s">
        <v>232</v>
      </c>
      <c r="AF43" s="30" t="s">
        <v>211</v>
      </c>
      <c r="AG43" s="27" t="str">
        <f t="shared" si="1"/>
        <v>Resell / Save</v>
      </c>
      <c r="AH43" s="27" t="str">
        <f t="shared" si="2"/>
        <v>Customer</v>
      </c>
      <c r="AI43" s="27" t="str">
        <f t="shared" si="3"/>
        <v>0-200</v>
      </c>
      <c r="AJ43" s="27" t="str">
        <f t="shared" si="4"/>
        <v>0-20</v>
      </c>
    </row>
    <row r="44" ht="15.75" customHeight="1">
      <c r="A44" s="23">
        <f>HYPERLINK("https://app.hubspot.com/contacts/8748051/record/0-3/55080753511", 55080753511)</f>
        <v>55080753511</v>
      </c>
      <c r="B44" s="24" t="s">
        <v>233</v>
      </c>
      <c r="C44" s="24" t="s">
        <v>38</v>
      </c>
      <c r="D44" s="25">
        <v>500.0</v>
      </c>
      <c r="E44" s="24" t="s">
        <v>73</v>
      </c>
      <c r="F44" s="24"/>
      <c r="G44" s="26">
        <v>46052.436203703706</v>
      </c>
      <c r="H44" s="26">
        <v>46232.436203703706</v>
      </c>
      <c r="I44" s="24" t="s">
        <v>40</v>
      </c>
      <c r="J44" s="24" t="s">
        <v>41</v>
      </c>
      <c r="K44" s="24" t="s">
        <v>42</v>
      </c>
      <c r="L44" s="24" t="s">
        <v>43</v>
      </c>
      <c r="M44" s="24" t="s">
        <v>74</v>
      </c>
      <c r="N44" s="27"/>
      <c r="O44" s="27"/>
      <c r="P44" s="24" t="s">
        <v>234</v>
      </c>
      <c r="Q44" s="24"/>
      <c r="R44" s="23">
        <f>HYPERLINK("https://app.hubspot.com/contacts/8748051/record/0-2/50242061138", 50242061138)</f>
        <v>50242061138</v>
      </c>
      <c r="S44" s="24" t="s">
        <v>235</v>
      </c>
      <c r="T44" s="28" t="s">
        <v>236</v>
      </c>
      <c r="U44" s="24"/>
      <c r="V44" s="24"/>
      <c r="W44" s="32"/>
      <c r="X44" s="29">
        <v>18.0</v>
      </c>
      <c r="Y44" s="29">
        <v>1.0</v>
      </c>
      <c r="Z44" s="30"/>
      <c r="AA44" s="31"/>
      <c r="AB44" s="31"/>
      <c r="AC44" s="31"/>
      <c r="AD44" s="31"/>
      <c r="AE44" s="31"/>
      <c r="AF44" s="31"/>
      <c r="AG44" s="27" t="str">
        <f t="shared" si="1"/>
        <v>New Logo</v>
      </c>
      <c r="AH44" s="27" t="str">
        <f t="shared" si="2"/>
        <v>Lead</v>
      </c>
      <c r="AI44" s="27" t="str">
        <f t="shared" si="3"/>
        <v>0-200</v>
      </c>
      <c r="AJ44" s="27" t="str">
        <f t="shared" si="4"/>
        <v>0-20</v>
      </c>
    </row>
    <row r="45" ht="15.75" customHeight="1">
      <c r="A45" s="23">
        <f>HYPERLINK("https://app.hubspot.com/contacts/8748051/record/0-3/54975935143", 54975935143)</f>
        <v>54975935143</v>
      </c>
      <c r="B45" s="24" t="s">
        <v>237</v>
      </c>
      <c r="C45" s="24" t="s">
        <v>50</v>
      </c>
      <c r="D45" s="25">
        <v>35000.0</v>
      </c>
      <c r="E45" s="24" t="s">
        <v>127</v>
      </c>
      <c r="F45" s="24" t="s">
        <v>52</v>
      </c>
      <c r="G45" s="26">
        <v>46051.365891203706</v>
      </c>
      <c r="H45" s="26">
        <v>46203.50324074074</v>
      </c>
      <c r="I45" s="24" t="s">
        <v>40</v>
      </c>
      <c r="J45" s="24" t="s">
        <v>41</v>
      </c>
      <c r="K45" s="24" t="s">
        <v>42</v>
      </c>
      <c r="L45" s="24" t="s">
        <v>43</v>
      </c>
      <c r="M45" s="24" t="s">
        <v>44</v>
      </c>
      <c r="N45" s="24"/>
      <c r="O45" s="27"/>
      <c r="P45" s="24"/>
      <c r="Q45" s="24" t="s">
        <v>238</v>
      </c>
      <c r="R45" s="23">
        <f>HYPERLINK("https://app.hubspot.com/contacts/8748051/record/0-2/9238289492", 9238289492)</f>
        <v>9238289492</v>
      </c>
      <c r="S45" s="24" t="s">
        <v>239</v>
      </c>
      <c r="T45" s="28" t="s">
        <v>240</v>
      </c>
      <c r="U45" s="24"/>
      <c r="V45" s="24"/>
      <c r="W45" s="25"/>
      <c r="X45" s="29">
        <v>369.0</v>
      </c>
      <c r="Y45" s="29">
        <v>40.0</v>
      </c>
      <c r="Z45" s="30" t="s">
        <v>108</v>
      </c>
      <c r="AA45" s="30"/>
      <c r="AB45" s="30"/>
      <c r="AC45" s="30"/>
      <c r="AD45" s="30"/>
      <c r="AE45" s="30"/>
      <c r="AF45" s="30"/>
      <c r="AG45" s="27" t="str">
        <f t="shared" si="1"/>
        <v>New Logo</v>
      </c>
      <c r="AH45" s="27" t="str">
        <f t="shared" si="2"/>
        <v>Lead</v>
      </c>
      <c r="AI45" s="27" t="str">
        <f t="shared" si="3"/>
        <v>201-500</v>
      </c>
      <c r="AJ45" s="27" t="str">
        <f t="shared" si="4"/>
        <v>21-50</v>
      </c>
    </row>
    <row r="46" ht="15.75" customHeight="1">
      <c r="A46" s="23">
        <f>HYPERLINK("https://app.hubspot.com/contacts/8748051/record/0-3/54944809320", 54944809320)</f>
        <v>54944809320</v>
      </c>
      <c r="B46" s="24" t="s">
        <v>241</v>
      </c>
      <c r="C46" s="24" t="s">
        <v>50</v>
      </c>
      <c r="D46" s="25">
        <v>15000.0</v>
      </c>
      <c r="E46" s="24" t="s">
        <v>127</v>
      </c>
      <c r="F46" s="24" t="s">
        <v>52</v>
      </c>
      <c r="G46" s="26">
        <v>46050.43851851852</v>
      </c>
      <c r="H46" s="26">
        <v>46112.40898148148</v>
      </c>
      <c r="I46" s="24" t="s">
        <v>40</v>
      </c>
      <c r="J46" s="24" t="s">
        <v>41</v>
      </c>
      <c r="K46" s="24" t="s">
        <v>42</v>
      </c>
      <c r="L46" s="24" t="s">
        <v>43</v>
      </c>
      <c r="M46" s="24" t="s">
        <v>44</v>
      </c>
      <c r="N46" s="24"/>
      <c r="O46" s="24"/>
      <c r="P46" s="24"/>
      <c r="Q46" s="24" t="s">
        <v>242</v>
      </c>
      <c r="R46" s="23">
        <f>HYPERLINK("https://app.hubspot.com/contacts/8748051/record/0-2/49960779408", 49960779408)</f>
        <v>49960779408</v>
      </c>
      <c r="S46" s="24" t="s">
        <v>243</v>
      </c>
      <c r="T46" s="28" t="s">
        <v>244</v>
      </c>
      <c r="U46" s="24"/>
      <c r="V46" s="24"/>
      <c r="W46" s="25"/>
      <c r="X46" s="29">
        <v>162.0</v>
      </c>
      <c r="Y46" s="29">
        <v>14.0</v>
      </c>
      <c r="Z46" s="30"/>
      <c r="AA46" s="30"/>
      <c r="AB46" s="31"/>
      <c r="AC46" s="31"/>
      <c r="AD46" s="30"/>
      <c r="AE46" s="30"/>
      <c r="AF46" s="30"/>
      <c r="AG46" s="27" t="str">
        <f t="shared" si="1"/>
        <v>New Logo</v>
      </c>
      <c r="AH46" s="27" t="str">
        <f t="shared" si="2"/>
        <v>Lead</v>
      </c>
      <c r="AI46" s="27" t="str">
        <f t="shared" si="3"/>
        <v>0-200</v>
      </c>
      <c r="AJ46" s="27" t="str">
        <f t="shared" si="4"/>
        <v>0-20</v>
      </c>
    </row>
    <row r="47" ht="15.75" customHeight="1">
      <c r="A47" s="23">
        <f>HYPERLINK("https://app.hubspot.com/contacts/8748051/record/0-3/54545581328", 54545581328)</f>
        <v>54545581328</v>
      </c>
      <c r="B47" s="24" t="s">
        <v>245</v>
      </c>
      <c r="C47" s="24" t="s">
        <v>50</v>
      </c>
      <c r="D47" s="25">
        <v>15000.0</v>
      </c>
      <c r="E47" s="24" t="s">
        <v>127</v>
      </c>
      <c r="F47" s="24" t="s">
        <v>52</v>
      </c>
      <c r="G47" s="26">
        <v>46048.33064814815</v>
      </c>
      <c r="H47" s="26">
        <v>46112.78084490741</v>
      </c>
      <c r="I47" s="24" t="s">
        <v>40</v>
      </c>
      <c r="J47" s="24" t="s">
        <v>41</v>
      </c>
      <c r="K47" s="24" t="s">
        <v>42</v>
      </c>
      <c r="L47" s="24" t="s">
        <v>43</v>
      </c>
      <c r="M47" s="24" t="s">
        <v>44</v>
      </c>
      <c r="N47" s="24"/>
      <c r="O47" s="24"/>
      <c r="P47" s="27"/>
      <c r="Q47" s="24" t="s">
        <v>246</v>
      </c>
      <c r="R47" s="23">
        <f>HYPERLINK("https://app.hubspot.com/contacts/8748051/record/0-2/49640665012", 49640665012)</f>
        <v>49640665012</v>
      </c>
      <c r="S47" s="24" t="s">
        <v>247</v>
      </c>
      <c r="T47" s="28" t="s">
        <v>248</v>
      </c>
      <c r="U47" s="24"/>
      <c r="V47" s="24"/>
      <c r="W47" s="25"/>
      <c r="X47" s="29">
        <v>397.0</v>
      </c>
      <c r="Y47" s="29">
        <v>23.0</v>
      </c>
      <c r="Z47" s="31"/>
      <c r="AA47" s="30"/>
      <c r="AB47" s="30"/>
      <c r="AC47" s="31"/>
      <c r="AD47" s="30"/>
      <c r="AE47" s="30"/>
      <c r="AF47" s="30"/>
      <c r="AG47" s="27" t="str">
        <f t="shared" si="1"/>
        <v>New Logo</v>
      </c>
      <c r="AH47" s="27" t="str">
        <f t="shared" si="2"/>
        <v>Lead</v>
      </c>
      <c r="AI47" s="27" t="str">
        <f t="shared" si="3"/>
        <v>201-500</v>
      </c>
      <c r="AJ47" s="27" t="str">
        <f t="shared" si="4"/>
        <v>21-50</v>
      </c>
    </row>
    <row r="48" ht="15.75" customHeight="1">
      <c r="A48" s="23">
        <f>HYPERLINK("https://app.hubspot.com/contacts/8748051/record/0-3/54362525809", 54362525809)</f>
        <v>54362525809</v>
      </c>
      <c r="B48" s="24" t="s">
        <v>249</v>
      </c>
      <c r="C48" s="24" t="s">
        <v>38</v>
      </c>
      <c r="D48" s="25">
        <v>10000.0</v>
      </c>
      <c r="E48" s="24" t="s">
        <v>51</v>
      </c>
      <c r="F48" s="24" t="s">
        <v>52</v>
      </c>
      <c r="G48" s="26">
        <v>46045.40615740741</v>
      </c>
      <c r="H48" s="26">
        <v>46225.40614583333</v>
      </c>
      <c r="I48" s="24" t="s">
        <v>40</v>
      </c>
      <c r="J48" s="24" t="s">
        <v>41</v>
      </c>
      <c r="K48" s="24" t="s">
        <v>42</v>
      </c>
      <c r="L48" s="24" t="s">
        <v>43</v>
      </c>
      <c r="M48" s="24" t="s">
        <v>74</v>
      </c>
      <c r="N48" s="24"/>
      <c r="O48" s="27"/>
      <c r="P48" s="24"/>
      <c r="Q48" s="27"/>
      <c r="R48" s="23">
        <f>HYPERLINK("https://app.hubspot.com/contacts/8748051/record/0-2/49481986307", 49481986307)</f>
        <v>49481986307</v>
      </c>
      <c r="S48" s="24" t="s">
        <v>250</v>
      </c>
      <c r="T48" s="28" t="s">
        <v>251</v>
      </c>
      <c r="U48" s="24"/>
      <c r="V48" s="24"/>
      <c r="W48" s="25"/>
      <c r="X48" s="29">
        <v>5.0</v>
      </c>
      <c r="Y48" s="29">
        <v>0.0</v>
      </c>
      <c r="Z48" s="30"/>
      <c r="AA48" s="30"/>
      <c r="AB48" s="30"/>
      <c r="AC48" s="31"/>
      <c r="AD48" s="31"/>
      <c r="AE48" s="31"/>
      <c r="AF48" s="31"/>
      <c r="AG48" s="27" t="str">
        <f t="shared" si="1"/>
        <v>New Logo</v>
      </c>
      <c r="AH48" s="27" t="str">
        <f t="shared" si="2"/>
        <v>Lead</v>
      </c>
      <c r="AI48" s="27" t="str">
        <f t="shared" si="3"/>
        <v>0-200</v>
      </c>
      <c r="AJ48" s="27" t="str">
        <f t="shared" si="4"/>
        <v>0-20</v>
      </c>
    </row>
    <row r="49" ht="15.75" customHeight="1">
      <c r="A49" s="23">
        <f>HYPERLINK("https://app.hubspot.com/contacts/8748051/record/0-3/54347281823", 54347281823)</f>
        <v>54347281823</v>
      </c>
      <c r="B49" s="24" t="s">
        <v>252</v>
      </c>
      <c r="C49" s="24" t="s">
        <v>148</v>
      </c>
      <c r="D49" s="25">
        <v>27703.0</v>
      </c>
      <c r="E49" s="24" t="s">
        <v>92</v>
      </c>
      <c r="F49" s="24" t="s">
        <v>52</v>
      </c>
      <c r="G49" s="26">
        <v>46044.70140046296</v>
      </c>
      <c r="H49" s="26">
        <v>46079.47864583333</v>
      </c>
      <c r="I49" s="24" t="s">
        <v>40</v>
      </c>
      <c r="J49" s="24" t="s">
        <v>41</v>
      </c>
      <c r="K49" s="24" t="s">
        <v>253</v>
      </c>
      <c r="L49" s="24" t="s">
        <v>155</v>
      </c>
      <c r="M49" s="24" t="s">
        <v>44</v>
      </c>
      <c r="N49" s="24" t="s">
        <v>254</v>
      </c>
      <c r="O49" s="24"/>
      <c r="P49" s="24"/>
      <c r="Q49" s="24"/>
      <c r="R49" s="23">
        <f>HYPERLINK("https://app.hubspot.com/contacts/8748051/record/0-2/49502226080", 49502226080)</f>
        <v>49502226080</v>
      </c>
      <c r="S49" s="24" t="s">
        <v>255</v>
      </c>
      <c r="T49" s="28" t="s">
        <v>256</v>
      </c>
      <c r="U49" s="24" t="s">
        <v>96</v>
      </c>
      <c r="V49" s="24"/>
      <c r="W49" s="25">
        <v>27703.0</v>
      </c>
      <c r="X49" s="29">
        <v>105.0</v>
      </c>
      <c r="Y49" s="29">
        <v>17.0</v>
      </c>
      <c r="Z49" s="30"/>
      <c r="AA49" s="30" t="s">
        <v>166</v>
      </c>
      <c r="AB49" s="30" t="s">
        <v>194</v>
      </c>
      <c r="AC49" s="31"/>
      <c r="AD49" s="31"/>
      <c r="AE49" s="31"/>
      <c r="AF49" s="31"/>
      <c r="AG49" s="27" t="str">
        <f t="shared" si="1"/>
        <v>New Logo</v>
      </c>
      <c r="AH49" s="27" t="str">
        <f t="shared" si="2"/>
        <v>Customer</v>
      </c>
      <c r="AI49" s="27" t="str">
        <f t="shared" si="3"/>
        <v>0-200</v>
      </c>
      <c r="AJ49" s="27" t="str">
        <f t="shared" si="4"/>
        <v>0-20</v>
      </c>
    </row>
    <row r="50" ht="15.75" customHeight="1">
      <c r="A50" s="23">
        <f>HYPERLINK("https://app.hubspot.com/contacts/8748051/record/0-3/54341766995", 54341766995)</f>
        <v>54341766995</v>
      </c>
      <c r="B50" s="24" t="s">
        <v>257</v>
      </c>
      <c r="C50" s="24" t="s">
        <v>50</v>
      </c>
      <c r="D50" s="25">
        <v>26000.0</v>
      </c>
      <c r="E50" s="24" t="s">
        <v>92</v>
      </c>
      <c r="F50" s="24" t="s">
        <v>52</v>
      </c>
      <c r="G50" s="26">
        <v>46044.65243055556</v>
      </c>
      <c r="H50" s="26">
        <v>46112.58252314815</v>
      </c>
      <c r="I50" s="24" t="s">
        <v>40</v>
      </c>
      <c r="J50" s="24" t="s">
        <v>41</v>
      </c>
      <c r="K50" s="24" t="s">
        <v>42</v>
      </c>
      <c r="L50" s="24" t="s">
        <v>43</v>
      </c>
      <c r="M50" s="24" t="s">
        <v>44</v>
      </c>
      <c r="N50" s="24" t="s">
        <v>258</v>
      </c>
      <c r="O50" s="27"/>
      <c r="P50" s="24"/>
      <c r="Q50" s="27"/>
      <c r="R50" s="23">
        <f>HYPERLINK("https://app.hubspot.com/contacts/8748051/record/0-2/7984321028", 7984321028)</f>
        <v>7984321028</v>
      </c>
      <c r="S50" s="24" t="s">
        <v>259</v>
      </c>
      <c r="T50" s="28" t="s">
        <v>260</v>
      </c>
      <c r="U50" s="24" t="s">
        <v>96</v>
      </c>
      <c r="V50" s="24"/>
      <c r="W50" s="25">
        <v>26000.0</v>
      </c>
      <c r="X50" s="29">
        <v>410.0</v>
      </c>
      <c r="Y50" s="29">
        <v>20.0</v>
      </c>
      <c r="Z50" s="30" t="s">
        <v>108</v>
      </c>
      <c r="AA50" s="30"/>
      <c r="AB50" s="30"/>
      <c r="AC50" s="30"/>
      <c r="AD50" s="30"/>
      <c r="AE50" s="30"/>
      <c r="AF50" s="30"/>
      <c r="AG50" s="27" t="str">
        <f t="shared" si="1"/>
        <v>New Logo</v>
      </c>
      <c r="AH50" s="27" t="str">
        <f t="shared" si="2"/>
        <v>Customer</v>
      </c>
      <c r="AI50" s="27" t="str">
        <f t="shared" si="3"/>
        <v>201-500</v>
      </c>
      <c r="AJ50" s="27" t="str">
        <f t="shared" si="4"/>
        <v>0-20</v>
      </c>
    </row>
    <row r="51" ht="15.75" customHeight="1">
      <c r="A51" s="23">
        <f>HYPERLINK("https://app.hubspot.com/contacts/8748051/record/0-3/54314549078", 54314549078)</f>
        <v>54314549078</v>
      </c>
      <c r="B51" s="24" t="s">
        <v>261</v>
      </c>
      <c r="C51" s="24" t="s">
        <v>50</v>
      </c>
      <c r="D51" s="25">
        <v>2500.0</v>
      </c>
      <c r="E51" s="24" t="s">
        <v>73</v>
      </c>
      <c r="F51" s="24"/>
      <c r="G51" s="26">
        <v>46043.48574074074</v>
      </c>
      <c r="H51" s="26">
        <v>46223.48572916666</v>
      </c>
      <c r="I51" s="24" t="s">
        <v>40</v>
      </c>
      <c r="J51" s="24" t="s">
        <v>41</v>
      </c>
      <c r="K51" s="24" t="s">
        <v>42</v>
      </c>
      <c r="L51" s="24" t="s">
        <v>43</v>
      </c>
      <c r="M51" s="24" t="s">
        <v>44</v>
      </c>
      <c r="N51" s="24"/>
      <c r="O51" s="27"/>
      <c r="P51" s="24" t="s">
        <v>75</v>
      </c>
      <c r="Q51" s="24"/>
      <c r="R51" s="23">
        <f>HYPERLINK("https://app.hubspot.com/contacts/8748051/record/0-2/49434176815", 49434176815)</f>
        <v>49434176815</v>
      </c>
      <c r="S51" s="24" t="s">
        <v>262</v>
      </c>
      <c r="T51" s="28" t="s">
        <v>263</v>
      </c>
      <c r="U51" s="24"/>
      <c r="V51" s="24"/>
      <c r="W51" s="25"/>
      <c r="X51" s="29">
        <v>139.0</v>
      </c>
      <c r="Y51" s="29">
        <v>5.0</v>
      </c>
      <c r="Z51" s="30"/>
      <c r="AA51" s="30"/>
      <c r="AB51" s="30"/>
      <c r="AC51" s="30"/>
      <c r="AD51" s="30"/>
      <c r="AE51" s="30"/>
      <c r="AF51" s="30"/>
      <c r="AG51" s="27" t="str">
        <f t="shared" si="1"/>
        <v>New Logo</v>
      </c>
      <c r="AH51" s="27" t="str">
        <f t="shared" si="2"/>
        <v>Lead</v>
      </c>
      <c r="AI51" s="27" t="str">
        <f t="shared" si="3"/>
        <v>0-200</v>
      </c>
      <c r="AJ51" s="27" t="str">
        <f t="shared" si="4"/>
        <v>0-20</v>
      </c>
    </row>
    <row r="52" ht="15.75" customHeight="1">
      <c r="A52" s="23">
        <f>HYPERLINK("https://app.hubspot.com/contacts/8748051/record/0-3/54315081069", 54315081069)</f>
        <v>54315081069</v>
      </c>
      <c r="B52" s="24" t="s">
        <v>264</v>
      </c>
      <c r="C52" s="24" t="s">
        <v>159</v>
      </c>
      <c r="D52" s="25">
        <v>-1980.0</v>
      </c>
      <c r="E52" s="24" t="s">
        <v>92</v>
      </c>
      <c r="F52" s="24"/>
      <c r="G52" s="26">
        <v>46043.45715277778</v>
      </c>
      <c r="H52" s="26">
        <v>46043.45717592593</v>
      </c>
      <c r="I52" s="24" t="s">
        <v>40</v>
      </c>
      <c r="J52" s="24" t="s">
        <v>160</v>
      </c>
      <c r="K52" s="24" t="s">
        <v>161</v>
      </c>
      <c r="L52" s="24" t="s">
        <v>162</v>
      </c>
      <c r="M52" s="24" t="s">
        <v>44</v>
      </c>
      <c r="N52" s="24" t="s">
        <v>265</v>
      </c>
      <c r="O52" s="24"/>
      <c r="P52" s="24"/>
      <c r="Q52" s="27"/>
      <c r="R52" s="23">
        <f>HYPERLINK("https://app.hubspot.com/contacts/8748051/record/0-2/7776553322", 7776553322)</f>
        <v>7776553322</v>
      </c>
      <c r="S52" s="24" t="s">
        <v>266</v>
      </c>
      <c r="T52" s="28" t="s">
        <v>267</v>
      </c>
      <c r="U52" s="24" t="s">
        <v>96</v>
      </c>
      <c r="V52" s="24"/>
      <c r="W52" s="25">
        <v>25740.0</v>
      </c>
      <c r="X52" s="29">
        <v>211.0</v>
      </c>
      <c r="Y52" s="29">
        <v>27.0</v>
      </c>
      <c r="Z52" s="30"/>
      <c r="AA52" s="30" t="s">
        <v>97</v>
      </c>
      <c r="AB52" s="30" t="s">
        <v>207</v>
      </c>
      <c r="AC52" s="30" t="s">
        <v>268</v>
      </c>
      <c r="AD52" s="30" t="s">
        <v>269</v>
      </c>
      <c r="AE52" s="30" t="s">
        <v>270</v>
      </c>
      <c r="AF52" s="30" t="s">
        <v>169</v>
      </c>
      <c r="AG52" s="27" t="str">
        <f t="shared" si="1"/>
        <v>Downsell</v>
      </c>
      <c r="AH52" s="27" t="str">
        <f t="shared" si="2"/>
        <v>Customer</v>
      </c>
      <c r="AI52" s="27" t="str">
        <f t="shared" si="3"/>
        <v>201-500</v>
      </c>
      <c r="AJ52" s="27" t="str">
        <f t="shared" si="4"/>
        <v>21-50</v>
      </c>
    </row>
    <row r="53" ht="15.75" customHeight="1">
      <c r="A53" s="23">
        <f>HYPERLINK("https://app.hubspot.com/contacts/8748051/record/0-3/54288161660", 54288161660)</f>
        <v>54288161660</v>
      </c>
      <c r="B53" s="24" t="s">
        <v>271</v>
      </c>
      <c r="C53" s="24" t="s">
        <v>38</v>
      </c>
      <c r="D53" s="25">
        <v>15000.0</v>
      </c>
      <c r="E53" s="24" t="s">
        <v>39</v>
      </c>
      <c r="F53" s="24"/>
      <c r="G53" s="26">
        <v>46043.441458333335</v>
      </c>
      <c r="H53" s="26">
        <v>46223.44142361111</v>
      </c>
      <c r="I53" s="24" t="s">
        <v>40</v>
      </c>
      <c r="J53" s="24" t="s">
        <v>41</v>
      </c>
      <c r="K53" s="24" t="s">
        <v>42</v>
      </c>
      <c r="L53" s="24" t="s">
        <v>43</v>
      </c>
      <c r="M53" s="24"/>
      <c r="N53" s="24"/>
      <c r="O53" s="24"/>
      <c r="P53" s="24"/>
      <c r="Q53" s="27"/>
      <c r="R53" s="23">
        <f>HYPERLINK("https://app.hubspot.com/contacts/8748051/record/0-2/50471069085", 50471069085)</f>
        <v>50471069085</v>
      </c>
      <c r="S53" s="24" t="s">
        <v>272</v>
      </c>
      <c r="T53" s="28" t="s">
        <v>273</v>
      </c>
      <c r="U53" s="24" t="s">
        <v>47</v>
      </c>
      <c r="V53" s="24"/>
      <c r="W53" s="25"/>
      <c r="X53" s="29">
        <v>200.0</v>
      </c>
      <c r="Y53" s="29">
        <v>15.0</v>
      </c>
      <c r="Z53" s="30"/>
      <c r="AA53" s="30"/>
      <c r="AB53" s="30"/>
      <c r="AC53" s="31"/>
      <c r="AD53" s="30"/>
      <c r="AE53" s="30"/>
      <c r="AF53" s="30"/>
      <c r="AG53" s="27" t="str">
        <f t="shared" si="1"/>
        <v>New Logo</v>
      </c>
      <c r="AH53" s="27" t="str">
        <f t="shared" si="2"/>
        <v>Lead</v>
      </c>
      <c r="AI53" s="27" t="str">
        <f t="shared" si="3"/>
        <v>0-200</v>
      </c>
      <c r="AJ53" s="27" t="str">
        <f t="shared" si="4"/>
        <v>0-20</v>
      </c>
    </row>
    <row r="54" ht="15.75" customHeight="1">
      <c r="A54" s="33">
        <f>HYPERLINK("https://app.hubspot.com/contacts/8748051/record/0-3/54166941849", 54166941849)</f>
        <v>54166941849</v>
      </c>
      <c r="B54" s="24" t="s">
        <v>274</v>
      </c>
      <c r="C54" s="24" t="s">
        <v>148</v>
      </c>
      <c r="D54" s="25">
        <v>27000.0</v>
      </c>
      <c r="E54" s="24" t="s">
        <v>149</v>
      </c>
      <c r="F54" s="24" t="s">
        <v>52</v>
      </c>
      <c r="G54" s="26">
        <v>46041.688101851854</v>
      </c>
      <c r="H54" s="26">
        <v>46110.81818287037</v>
      </c>
      <c r="I54" s="24" t="s">
        <v>40</v>
      </c>
      <c r="J54" s="24" t="s">
        <v>204</v>
      </c>
      <c r="K54" s="24" t="s">
        <v>161</v>
      </c>
      <c r="L54" s="24" t="s">
        <v>162</v>
      </c>
      <c r="M54" s="24" t="s">
        <v>44</v>
      </c>
      <c r="N54" s="24"/>
      <c r="O54" s="24" t="s">
        <v>275</v>
      </c>
      <c r="P54" s="34"/>
      <c r="Q54" s="34"/>
      <c r="R54" s="33">
        <f>HYPERLINK("https://app.hubspot.com/contacts/8748051/record/0-2/8016919815", 8016919815)</f>
        <v>8016919815</v>
      </c>
      <c r="S54" s="24" t="s">
        <v>276</v>
      </c>
      <c r="T54" s="28" t="s">
        <v>277</v>
      </c>
      <c r="U54" s="24">
        <v>3.4564763E7</v>
      </c>
      <c r="V54" s="35">
        <v>46112.0</v>
      </c>
      <c r="W54" s="25">
        <v>27480.0</v>
      </c>
      <c r="X54" s="29">
        <v>301.0</v>
      </c>
      <c r="Y54" s="29">
        <v>26.0</v>
      </c>
      <c r="Z54" s="30"/>
      <c r="AA54" s="30" t="s">
        <v>97</v>
      </c>
      <c r="AB54" s="30" t="s">
        <v>207</v>
      </c>
      <c r="AC54" s="31"/>
      <c r="AD54" s="30" t="s">
        <v>278</v>
      </c>
      <c r="AE54" s="30" t="s">
        <v>279</v>
      </c>
      <c r="AF54" s="30" t="s">
        <v>211</v>
      </c>
      <c r="AG54" s="34" t="str">
        <f t="shared" si="1"/>
        <v>Resell / Save</v>
      </c>
      <c r="AH54" s="34" t="str">
        <f>IF(U54="customer","Customer",IF(U54=34564763,"Churn","Lead"))</f>
        <v>Churn</v>
      </c>
      <c r="AI54" s="34" t="str">
        <f>IF(X54&lt;=200,"0-200",
IF(X54&lt;=500,"201-500",
IF(X54&lt;=1000,"501-1000",
IF(X54&lt;=5000,"1001-5000",
IF(X54&lt;=10000,"5000-10000","10000+")))))</f>
        <v>201-500</v>
      </c>
      <c r="AJ54" s="27" t="str">
        <f>IF(Y54&lt;=20,"0-20",
IF(Y54&lt;=50,"21-50",
IF(Y54&lt;=100,"51-100",
IF(Y54&lt;=500,"101-500","500+"))))</f>
        <v>21-50</v>
      </c>
    </row>
    <row r="55" ht="15.75" customHeight="1">
      <c r="A55" s="23">
        <f>HYPERLINK("https://app.hubspot.com/contacts/8748051/record/0-3/54192627052", 54192627052)</f>
        <v>54192627052</v>
      </c>
      <c r="B55" s="24" t="s">
        <v>280</v>
      </c>
      <c r="C55" s="24" t="s">
        <v>38</v>
      </c>
      <c r="D55" s="25">
        <v>0.0</v>
      </c>
      <c r="E55" s="24" t="s">
        <v>73</v>
      </c>
      <c r="F55" s="24"/>
      <c r="G55" s="26">
        <v>46041.31760416667</v>
      </c>
      <c r="H55" s="26">
        <v>46221.317407407405</v>
      </c>
      <c r="I55" s="24" t="s">
        <v>40</v>
      </c>
      <c r="J55" s="24" t="s">
        <v>41</v>
      </c>
      <c r="K55" s="24" t="s">
        <v>42</v>
      </c>
      <c r="L55" s="24" t="s">
        <v>43</v>
      </c>
      <c r="M55" s="24"/>
      <c r="N55" s="24"/>
      <c r="O55" s="24"/>
      <c r="P55" s="24" t="s">
        <v>75</v>
      </c>
      <c r="Q55" s="24"/>
      <c r="R55" s="23">
        <f>HYPERLINK("https://app.hubspot.com/contacts/8748051/record/0-2/49356471705", 49356471705)</f>
        <v>49356471705</v>
      </c>
      <c r="S55" s="24" t="s">
        <v>281</v>
      </c>
      <c r="T55" s="28" t="s">
        <v>282</v>
      </c>
      <c r="U55" s="24"/>
      <c r="V55" s="24"/>
      <c r="W55" s="25"/>
      <c r="X55" s="29">
        <v>3.0</v>
      </c>
      <c r="Y55" s="29">
        <v>0.0</v>
      </c>
      <c r="Z55" s="30"/>
      <c r="AA55" s="30"/>
      <c r="AB55" s="30"/>
      <c r="AC55" s="31"/>
      <c r="AD55" s="30"/>
      <c r="AE55" s="30"/>
      <c r="AF55" s="30"/>
      <c r="AG55" s="27" t="str">
        <f t="shared" si="1"/>
        <v>New Logo</v>
      </c>
      <c r="AH55" s="27" t="str">
        <f t="shared" ref="AH55:AH957" si="5">IF(U55="customer","Customer",IF(U55=34564763,"Churn","Lead"))</f>
        <v>Lead</v>
      </c>
      <c r="AI55" s="27" t="str">
        <f t="shared" ref="AI55:AI957" si="6">IF(X55&lt;=200,"0-200",
IF(X55&lt;=500,"201-500",
IF(X55&lt;=1000,"501-1000",
IF(X55&lt;=5000,"1001-5000",
IF(X55&lt;=10000,"5000-10000","10000+")))))</f>
        <v>0-200</v>
      </c>
      <c r="AJ55" s="27" t="str">
        <f t="shared" ref="AJ55:AJ957" si="7">IF(Y55&lt;=20,"0-20",
IF(Y55&lt;=50,"21-50",
IF(Y55&lt;=100,"51-100",
IF(Y55&lt;=500,"101-500","500+"))))</f>
        <v>0-20</v>
      </c>
    </row>
    <row r="56" ht="15.75" customHeight="1">
      <c r="A56" s="23">
        <f>HYPERLINK("https://app.hubspot.com/contacts/8748051/record/0-3/54003637801", 54003637801)</f>
        <v>54003637801</v>
      </c>
      <c r="B56" s="24" t="s">
        <v>283</v>
      </c>
      <c r="C56" s="24" t="s">
        <v>50</v>
      </c>
      <c r="D56" s="25">
        <v>15000.0</v>
      </c>
      <c r="E56" s="24" t="s">
        <v>149</v>
      </c>
      <c r="F56" s="24" t="s">
        <v>52</v>
      </c>
      <c r="G56" s="26">
        <v>46038.49900462963</v>
      </c>
      <c r="H56" s="26">
        <v>46084.495787037034</v>
      </c>
      <c r="I56" s="24" t="s">
        <v>40</v>
      </c>
      <c r="J56" s="24" t="s">
        <v>41</v>
      </c>
      <c r="K56" s="24" t="s">
        <v>42</v>
      </c>
      <c r="L56" s="24" t="s">
        <v>43</v>
      </c>
      <c r="M56" s="24" t="s">
        <v>44</v>
      </c>
      <c r="N56" s="24"/>
      <c r="O56" s="24" t="s">
        <v>284</v>
      </c>
      <c r="P56" s="24"/>
      <c r="Q56" s="24"/>
      <c r="R56" s="23">
        <f>HYPERLINK("https://app.hubspot.com/contacts/8748051/record/0-2/49119537465", 49119537465)</f>
        <v>49119537465</v>
      </c>
      <c r="S56" s="24" t="s">
        <v>285</v>
      </c>
      <c r="T56" s="28" t="s">
        <v>286</v>
      </c>
      <c r="U56" s="24"/>
      <c r="V56" s="24"/>
      <c r="W56" s="25"/>
      <c r="X56" s="29">
        <v>28.0</v>
      </c>
      <c r="Y56" s="29">
        <v>7.0</v>
      </c>
      <c r="Z56" s="30"/>
      <c r="AA56" s="30"/>
      <c r="AB56" s="31"/>
      <c r="AC56" s="31"/>
      <c r="AD56" s="30"/>
      <c r="AE56" s="30"/>
      <c r="AF56" s="30"/>
      <c r="AG56" s="27" t="str">
        <f t="shared" si="1"/>
        <v>New Logo</v>
      </c>
      <c r="AH56" s="27" t="str">
        <f t="shared" si="5"/>
        <v>Lead</v>
      </c>
      <c r="AI56" s="27" t="str">
        <f t="shared" si="6"/>
        <v>0-200</v>
      </c>
      <c r="AJ56" s="27" t="str">
        <f t="shared" si="7"/>
        <v>0-20</v>
      </c>
    </row>
    <row r="57" ht="15.75" customHeight="1">
      <c r="A57" s="23">
        <f>HYPERLINK("https://app.hubspot.com/contacts/8748051/record/0-3/53944291355", 53944291355)</f>
        <v>53944291355</v>
      </c>
      <c r="B57" s="24" t="s">
        <v>287</v>
      </c>
      <c r="C57" s="24" t="s">
        <v>50</v>
      </c>
      <c r="D57" s="25">
        <v>12500.0</v>
      </c>
      <c r="E57" s="24" t="s">
        <v>73</v>
      </c>
      <c r="F57" s="24"/>
      <c r="G57" s="26">
        <v>46037.40295138889</v>
      </c>
      <c r="H57" s="26">
        <v>46217.40293981481</v>
      </c>
      <c r="I57" s="24" t="s">
        <v>40</v>
      </c>
      <c r="J57" s="24" t="s">
        <v>41</v>
      </c>
      <c r="K57" s="24" t="s">
        <v>42</v>
      </c>
      <c r="L57" s="24" t="s">
        <v>43</v>
      </c>
      <c r="M57" s="24" t="s">
        <v>102</v>
      </c>
      <c r="N57" s="24"/>
      <c r="O57" s="27"/>
      <c r="P57" s="24" t="s">
        <v>213</v>
      </c>
      <c r="Q57" s="24"/>
      <c r="R57" s="23">
        <f>HYPERLINK("https://app.hubspot.com/contacts/8748051/record/0-2/18598720558", 18598720558)</f>
        <v>18598720558</v>
      </c>
      <c r="S57" s="24" t="s">
        <v>288</v>
      </c>
      <c r="T57" s="24" t="s">
        <v>289</v>
      </c>
      <c r="U57" s="24" t="s">
        <v>47</v>
      </c>
      <c r="V57" s="24"/>
      <c r="W57" s="25"/>
      <c r="X57" s="29">
        <v>62.0</v>
      </c>
      <c r="Y57" s="29">
        <v>25.0</v>
      </c>
      <c r="Z57" s="30"/>
      <c r="AA57" s="30"/>
      <c r="AB57" s="31"/>
      <c r="AC57" s="31"/>
      <c r="AD57" s="30"/>
      <c r="AE57" s="30"/>
      <c r="AF57" s="30"/>
      <c r="AG57" s="27" t="str">
        <f t="shared" si="1"/>
        <v>New Logo</v>
      </c>
      <c r="AH57" s="27" t="str">
        <f t="shared" si="5"/>
        <v>Lead</v>
      </c>
      <c r="AI57" s="27" t="str">
        <f t="shared" si="6"/>
        <v>0-200</v>
      </c>
      <c r="AJ57" s="27" t="str">
        <f t="shared" si="7"/>
        <v>21-50</v>
      </c>
    </row>
    <row r="58" ht="15.75" customHeight="1">
      <c r="A58" s="23">
        <f>HYPERLINK("https://app.hubspot.com/contacts/8748051/record/0-3/53864542225", 53864542225)</f>
        <v>53864542225</v>
      </c>
      <c r="B58" s="24" t="s">
        <v>290</v>
      </c>
      <c r="C58" s="24" t="s">
        <v>38</v>
      </c>
      <c r="D58" s="25">
        <v>7500.0</v>
      </c>
      <c r="E58" s="24" t="s">
        <v>127</v>
      </c>
      <c r="F58" s="24" t="s">
        <v>52</v>
      </c>
      <c r="G58" s="26">
        <v>46036.91506944445</v>
      </c>
      <c r="H58" s="26">
        <v>46216.91505787037</v>
      </c>
      <c r="I58" s="24" t="s">
        <v>40</v>
      </c>
      <c r="J58" s="24" t="s">
        <v>41</v>
      </c>
      <c r="K58" s="24" t="s">
        <v>42</v>
      </c>
      <c r="L58" s="24" t="s">
        <v>43</v>
      </c>
      <c r="M58" s="24" t="s">
        <v>74</v>
      </c>
      <c r="N58" s="27"/>
      <c r="O58" s="27"/>
      <c r="P58" s="24"/>
      <c r="Q58" s="24" t="s">
        <v>197</v>
      </c>
      <c r="R58" s="23">
        <f>HYPERLINK("https://app.hubspot.com/contacts/8748051/record/0-2/49076433176", 49076433176)</f>
        <v>49076433176</v>
      </c>
      <c r="S58" s="24" t="s">
        <v>291</v>
      </c>
      <c r="T58" s="24" t="s">
        <v>292</v>
      </c>
      <c r="U58" s="24"/>
      <c r="V58" s="24"/>
      <c r="W58" s="32"/>
      <c r="X58" s="29">
        <v>569.0</v>
      </c>
      <c r="Y58" s="29">
        <v>53.0</v>
      </c>
      <c r="Z58" s="30"/>
      <c r="AA58" s="31"/>
      <c r="AB58" s="31"/>
      <c r="AC58" s="31"/>
      <c r="AD58" s="31"/>
      <c r="AE58" s="31"/>
      <c r="AF58" s="31"/>
      <c r="AG58" s="27" t="str">
        <f t="shared" si="1"/>
        <v>New Logo</v>
      </c>
      <c r="AH58" s="27" t="str">
        <f t="shared" si="5"/>
        <v>Lead</v>
      </c>
      <c r="AI58" s="27" t="str">
        <f t="shared" si="6"/>
        <v>501-1000</v>
      </c>
      <c r="AJ58" s="27" t="str">
        <f t="shared" si="7"/>
        <v>51-100</v>
      </c>
    </row>
    <row r="59" ht="15.75" customHeight="1">
      <c r="A59" s="23">
        <f>HYPERLINK("https://app.hubspot.com/contacts/8748051/record/0-3/53814466116", 53814466116)</f>
        <v>53814466116</v>
      </c>
      <c r="B59" s="24" t="s">
        <v>293</v>
      </c>
      <c r="C59" s="24" t="s">
        <v>38</v>
      </c>
      <c r="D59" s="25">
        <v>26000.0</v>
      </c>
      <c r="E59" s="24" t="s">
        <v>127</v>
      </c>
      <c r="F59" s="24" t="s">
        <v>52</v>
      </c>
      <c r="G59" s="26">
        <v>46036.415034722224</v>
      </c>
      <c r="H59" s="26">
        <v>46216.41502314815</v>
      </c>
      <c r="I59" s="24" t="s">
        <v>40</v>
      </c>
      <c r="J59" s="24" t="s">
        <v>41</v>
      </c>
      <c r="K59" s="24" t="s">
        <v>42</v>
      </c>
      <c r="L59" s="24" t="s">
        <v>43</v>
      </c>
      <c r="M59" s="24" t="s">
        <v>102</v>
      </c>
      <c r="N59" s="27"/>
      <c r="O59" s="27"/>
      <c r="P59" s="24"/>
      <c r="Q59" s="24" t="s">
        <v>128</v>
      </c>
      <c r="R59" s="23">
        <f>HYPERLINK("https://app.hubspot.com/contacts/8748051/record/0-2/48931812153", 48931812153)</f>
        <v>48931812153</v>
      </c>
      <c r="S59" s="24" t="s">
        <v>294</v>
      </c>
      <c r="T59" s="28" t="s">
        <v>295</v>
      </c>
      <c r="U59" s="24"/>
      <c r="V59" s="24"/>
      <c r="W59" s="32"/>
      <c r="X59" s="29">
        <v>1882.0</v>
      </c>
      <c r="Y59" s="29">
        <v>52.0</v>
      </c>
      <c r="Z59" s="30"/>
      <c r="AA59" s="31"/>
      <c r="AB59" s="31"/>
      <c r="AC59" s="31"/>
      <c r="AD59" s="31"/>
      <c r="AE59" s="31"/>
      <c r="AF59" s="31"/>
      <c r="AG59" s="27" t="str">
        <f t="shared" si="1"/>
        <v>New Logo</v>
      </c>
      <c r="AH59" s="27" t="str">
        <f t="shared" si="5"/>
        <v>Lead</v>
      </c>
      <c r="AI59" s="27" t="str">
        <f t="shared" si="6"/>
        <v>1001-5000</v>
      </c>
      <c r="AJ59" s="27" t="str">
        <f t="shared" si="7"/>
        <v>51-100</v>
      </c>
    </row>
    <row r="60" ht="15.75" customHeight="1">
      <c r="A60" s="23">
        <f>HYPERLINK("https://app.hubspot.com/contacts/8748051/record/0-3/53811994683", 53811994683)</f>
        <v>53811994683</v>
      </c>
      <c r="B60" s="24" t="s">
        <v>296</v>
      </c>
      <c r="C60" s="24" t="s">
        <v>38</v>
      </c>
      <c r="D60" s="25">
        <v>0.0</v>
      </c>
      <c r="E60" s="24" t="s">
        <v>73</v>
      </c>
      <c r="F60" s="24"/>
      <c r="G60" s="26">
        <v>46036.41473379629</v>
      </c>
      <c r="H60" s="26">
        <v>46216.41473379629</v>
      </c>
      <c r="I60" s="24" t="s">
        <v>40</v>
      </c>
      <c r="J60" s="24" t="s">
        <v>41</v>
      </c>
      <c r="K60" s="24" t="s">
        <v>42</v>
      </c>
      <c r="L60" s="24" t="s">
        <v>43</v>
      </c>
      <c r="M60" s="24"/>
      <c r="N60" s="24"/>
      <c r="O60" s="27"/>
      <c r="P60" s="24" t="s">
        <v>234</v>
      </c>
      <c r="Q60" s="24"/>
      <c r="R60" s="23">
        <f>HYPERLINK("https://app.hubspot.com/contacts/8748051/record/0-2/48922792753", 48922792753)</f>
        <v>48922792753</v>
      </c>
      <c r="S60" s="24" t="s">
        <v>297</v>
      </c>
      <c r="T60" s="28" t="s">
        <v>298</v>
      </c>
      <c r="U60" s="24"/>
      <c r="V60" s="24"/>
      <c r="W60" s="25"/>
      <c r="X60" s="29">
        <v>5.0</v>
      </c>
      <c r="Y60" s="29">
        <v>0.0</v>
      </c>
      <c r="Z60" s="31"/>
      <c r="AA60" s="30"/>
      <c r="AB60" s="30"/>
      <c r="AC60" s="31"/>
      <c r="AD60" s="30"/>
      <c r="AE60" s="30"/>
      <c r="AF60" s="30"/>
      <c r="AG60" s="27" t="str">
        <f t="shared" si="1"/>
        <v>New Logo</v>
      </c>
      <c r="AH60" s="27" t="str">
        <f t="shared" si="5"/>
        <v>Lead</v>
      </c>
      <c r="AI60" s="27" t="str">
        <f t="shared" si="6"/>
        <v>0-200</v>
      </c>
      <c r="AJ60" s="27" t="str">
        <f t="shared" si="7"/>
        <v>0-20</v>
      </c>
    </row>
    <row r="61" ht="15.75" customHeight="1">
      <c r="A61" s="23">
        <f>HYPERLINK("https://app.hubspot.com/contacts/8748051/record/0-3/53767933957", 53767933957)</f>
        <v>53767933957</v>
      </c>
      <c r="B61" s="24" t="s">
        <v>299</v>
      </c>
      <c r="C61" s="24" t="s">
        <v>50</v>
      </c>
      <c r="D61" s="25">
        <v>1500.0</v>
      </c>
      <c r="E61" s="24" t="s">
        <v>73</v>
      </c>
      <c r="F61" s="24"/>
      <c r="G61" s="26">
        <v>46035.656319444446</v>
      </c>
      <c r="H61" s="26">
        <v>46215.65630787037</v>
      </c>
      <c r="I61" s="24" t="s">
        <v>40</v>
      </c>
      <c r="J61" s="24" t="s">
        <v>41</v>
      </c>
      <c r="K61" s="24" t="s">
        <v>42</v>
      </c>
      <c r="L61" s="24" t="s">
        <v>43</v>
      </c>
      <c r="M61" s="24" t="s">
        <v>44</v>
      </c>
      <c r="N61" s="24"/>
      <c r="O61" s="27"/>
      <c r="P61" s="24" t="s">
        <v>234</v>
      </c>
      <c r="Q61" s="27"/>
      <c r="R61" s="23">
        <f>HYPERLINK("https://app.hubspot.com/contacts/8748051/record/0-2/48892513299", 48892513299)</f>
        <v>48892513299</v>
      </c>
      <c r="S61" s="24" t="s">
        <v>300</v>
      </c>
      <c r="T61" s="28" t="s">
        <v>301</v>
      </c>
      <c r="U61" s="24"/>
      <c r="V61" s="24"/>
      <c r="W61" s="25"/>
      <c r="X61" s="29">
        <v>122.0</v>
      </c>
      <c r="Y61" s="29">
        <v>3.0</v>
      </c>
      <c r="Z61" s="30"/>
      <c r="AA61" s="30"/>
      <c r="AB61" s="30"/>
      <c r="AC61" s="31"/>
      <c r="AD61" s="30"/>
      <c r="AE61" s="30"/>
      <c r="AF61" s="30"/>
      <c r="AG61" s="27" t="str">
        <f t="shared" si="1"/>
        <v>New Logo</v>
      </c>
      <c r="AH61" s="27" t="str">
        <f t="shared" si="5"/>
        <v>Lead</v>
      </c>
      <c r="AI61" s="27" t="str">
        <f t="shared" si="6"/>
        <v>0-200</v>
      </c>
      <c r="AJ61" s="27" t="str">
        <f t="shared" si="7"/>
        <v>0-20</v>
      </c>
    </row>
    <row r="62" ht="15.75" customHeight="1">
      <c r="A62" s="23">
        <f>HYPERLINK("https://app.hubspot.com/contacts/8748051/record/0-3/53503863730", 53503863730)</f>
        <v>53503863730</v>
      </c>
      <c r="B62" s="24" t="s">
        <v>302</v>
      </c>
      <c r="C62" s="24" t="s">
        <v>159</v>
      </c>
      <c r="D62" s="25">
        <v>1280.0</v>
      </c>
      <c r="E62" s="24" t="s">
        <v>92</v>
      </c>
      <c r="F62" s="24"/>
      <c r="G62" s="26">
        <v>46032.00622685185</v>
      </c>
      <c r="H62" s="26">
        <v>46032.21704861111</v>
      </c>
      <c r="I62" s="24" t="s">
        <v>40</v>
      </c>
      <c r="J62" s="24" t="s">
        <v>182</v>
      </c>
      <c r="K62" s="24" t="s">
        <v>161</v>
      </c>
      <c r="L62" s="24" t="s">
        <v>162</v>
      </c>
      <c r="M62" s="24" t="s">
        <v>44</v>
      </c>
      <c r="N62" s="24" t="s">
        <v>303</v>
      </c>
      <c r="O62" s="27"/>
      <c r="P62" s="27"/>
      <c r="Q62" s="24"/>
      <c r="R62" s="23">
        <f>HYPERLINK("https://app.hubspot.com/contacts/8748051/record/0-2/18382656883", 18382656883)</f>
        <v>18382656883</v>
      </c>
      <c r="S62" s="24" t="s">
        <v>304</v>
      </c>
      <c r="T62" s="28" t="s">
        <v>305</v>
      </c>
      <c r="U62" s="24" t="s">
        <v>96</v>
      </c>
      <c r="V62" s="24"/>
      <c r="W62" s="25">
        <v>27480.0</v>
      </c>
      <c r="X62" s="29">
        <v>210.0</v>
      </c>
      <c r="Y62" s="29">
        <v>16.0</v>
      </c>
      <c r="Z62" s="30"/>
      <c r="AA62" s="30" t="s">
        <v>207</v>
      </c>
      <c r="AB62" s="30" t="s">
        <v>194</v>
      </c>
      <c r="AC62" s="31"/>
      <c r="AD62" s="30" t="s">
        <v>306</v>
      </c>
      <c r="AE62" s="30" t="s">
        <v>307</v>
      </c>
      <c r="AF62" s="30" t="s">
        <v>169</v>
      </c>
      <c r="AG62" s="27" t="str">
        <f t="shared" si="1"/>
        <v>Upsell</v>
      </c>
      <c r="AH62" s="27" t="str">
        <f t="shared" si="5"/>
        <v>Customer</v>
      </c>
      <c r="AI62" s="27" t="str">
        <f t="shared" si="6"/>
        <v>201-500</v>
      </c>
      <c r="AJ62" s="27" t="str">
        <f t="shared" si="7"/>
        <v>0-20</v>
      </c>
    </row>
    <row r="63" ht="15.75" customHeight="1">
      <c r="A63" s="23">
        <f>HYPERLINK("https://app.hubspot.com/contacts/8748051/record/0-3/53550504530", 53550504530)</f>
        <v>53550504530</v>
      </c>
      <c r="B63" s="24" t="s">
        <v>308</v>
      </c>
      <c r="C63" s="24" t="s">
        <v>159</v>
      </c>
      <c r="D63" s="25">
        <v>2500.0</v>
      </c>
      <c r="E63" s="24" t="s">
        <v>92</v>
      </c>
      <c r="F63" s="24"/>
      <c r="G63" s="26">
        <v>46032.00619212963</v>
      </c>
      <c r="H63" s="26">
        <v>46032.21702546296</v>
      </c>
      <c r="I63" s="24" t="s">
        <v>40</v>
      </c>
      <c r="J63" s="24" t="s">
        <v>182</v>
      </c>
      <c r="K63" s="24" t="s">
        <v>161</v>
      </c>
      <c r="L63" s="24" t="s">
        <v>162</v>
      </c>
      <c r="M63" s="24" t="s">
        <v>102</v>
      </c>
      <c r="N63" s="24" t="s">
        <v>309</v>
      </c>
      <c r="O63" s="24"/>
      <c r="P63" s="24"/>
      <c r="Q63" s="24"/>
      <c r="R63" s="23">
        <f>HYPERLINK("https://app.hubspot.com/contacts/8748051/record/0-2/8741219622", 8741219622)</f>
        <v>8741219622</v>
      </c>
      <c r="S63" s="24" t="s">
        <v>310</v>
      </c>
      <c r="T63" s="28" t="s">
        <v>311</v>
      </c>
      <c r="U63" s="24" t="s">
        <v>96</v>
      </c>
      <c r="V63" s="24"/>
      <c r="W63" s="25">
        <v>23500.0</v>
      </c>
      <c r="X63" s="29">
        <v>262.0</v>
      </c>
      <c r="Y63" s="29">
        <v>34.0</v>
      </c>
      <c r="Z63" s="30"/>
      <c r="AA63" s="30" t="s">
        <v>220</v>
      </c>
      <c r="AB63" s="31"/>
      <c r="AC63" s="31"/>
      <c r="AD63" s="30" t="s">
        <v>312</v>
      </c>
      <c r="AE63" s="30" t="s">
        <v>313</v>
      </c>
      <c r="AF63" s="30" t="s">
        <v>188</v>
      </c>
      <c r="AG63" s="27" t="str">
        <f t="shared" si="1"/>
        <v>Upsell</v>
      </c>
      <c r="AH63" s="27" t="str">
        <f t="shared" si="5"/>
        <v>Customer</v>
      </c>
      <c r="AI63" s="27" t="str">
        <f t="shared" si="6"/>
        <v>201-500</v>
      </c>
      <c r="AJ63" s="27" t="str">
        <f t="shared" si="7"/>
        <v>21-50</v>
      </c>
    </row>
    <row r="64" ht="15.75" customHeight="1">
      <c r="A64" s="23">
        <f>HYPERLINK("https://app.hubspot.com/contacts/8748051/record/0-3/53503863731", 53503863731)</f>
        <v>53503863731</v>
      </c>
      <c r="B64" s="24" t="s">
        <v>314</v>
      </c>
      <c r="C64" s="24" t="s">
        <v>159</v>
      </c>
      <c r="D64" s="25">
        <v>4800.0</v>
      </c>
      <c r="E64" s="24" t="s">
        <v>92</v>
      </c>
      <c r="F64" s="24"/>
      <c r="G64" s="26">
        <v>46032.006157407406</v>
      </c>
      <c r="H64" s="26">
        <v>46032.00625</v>
      </c>
      <c r="I64" s="24" t="s">
        <v>40</v>
      </c>
      <c r="J64" s="24" t="s">
        <v>182</v>
      </c>
      <c r="K64" s="24" t="s">
        <v>161</v>
      </c>
      <c r="L64" s="24" t="s">
        <v>162</v>
      </c>
      <c r="M64" s="24" t="s">
        <v>102</v>
      </c>
      <c r="N64" s="24" t="s">
        <v>315</v>
      </c>
      <c r="O64" s="24"/>
      <c r="P64" s="24"/>
      <c r="Q64" s="24"/>
      <c r="R64" s="23">
        <f>HYPERLINK("https://app.hubspot.com/contacts/8748051/record/0-2/7735473314", 7735473314)</f>
        <v>7735473314</v>
      </c>
      <c r="S64" s="24" t="s">
        <v>316</v>
      </c>
      <c r="T64" s="28" t="s">
        <v>317</v>
      </c>
      <c r="U64" s="24" t="s">
        <v>96</v>
      </c>
      <c r="V64" s="24"/>
      <c r="W64" s="25">
        <v>7920.0</v>
      </c>
      <c r="X64" s="29">
        <v>653.0</v>
      </c>
      <c r="Y64" s="29">
        <v>92.0</v>
      </c>
      <c r="Z64" s="30"/>
      <c r="AA64" s="30" t="s">
        <v>193</v>
      </c>
      <c r="AB64" s="31"/>
      <c r="AC64" s="31"/>
      <c r="AD64" s="30" t="s">
        <v>318</v>
      </c>
      <c r="AE64" s="30" t="s">
        <v>319</v>
      </c>
      <c r="AF64" s="30" t="s">
        <v>169</v>
      </c>
      <c r="AG64" s="27" t="str">
        <f t="shared" si="1"/>
        <v>Upsell</v>
      </c>
      <c r="AH64" s="27" t="str">
        <f t="shared" si="5"/>
        <v>Customer</v>
      </c>
      <c r="AI64" s="27" t="str">
        <f t="shared" si="6"/>
        <v>501-1000</v>
      </c>
      <c r="AJ64" s="27" t="str">
        <f t="shared" si="7"/>
        <v>51-100</v>
      </c>
    </row>
    <row r="65" ht="15.75" customHeight="1">
      <c r="A65" s="23">
        <f>HYPERLINK("https://app.hubspot.com/contacts/8748051/record/0-3/53531187273", 53531187273)</f>
        <v>53531187273</v>
      </c>
      <c r="B65" s="24" t="s">
        <v>320</v>
      </c>
      <c r="C65" s="24" t="s">
        <v>148</v>
      </c>
      <c r="D65" s="25">
        <v>2000.0</v>
      </c>
      <c r="E65" s="24" t="s">
        <v>73</v>
      </c>
      <c r="F65" s="24"/>
      <c r="G65" s="26">
        <v>46031.577060185184</v>
      </c>
      <c r="H65" s="26">
        <v>46211.577060185184</v>
      </c>
      <c r="I65" s="24" t="s">
        <v>40</v>
      </c>
      <c r="J65" s="24" t="s">
        <v>41</v>
      </c>
      <c r="K65" s="24" t="s">
        <v>42</v>
      </c>
      <c r="L65" s="24" t="s">
        <v>43</v>
      </c>
      <c r="M65" s="24" t="s">
        <v>44</v>
      </c>
      <c r="N65" s="24"/>
      <c r="O65" s="27"/>
      <c r="P65" s="24" t="s">
        <v>234</v>
      </c>
      <c r="Q65" s="24"/>
      <c r="R65" s="23">
        <f>HYPERLINK("https://app.hubspot.com/contacts/8748051/record/0-2/48717714718", 48717714718)</f>
        <v>48717714718</v>
      </c>
      <c r="S65" s="24" t="s">
        <v>321</v>
      </c>
      <c r="T65" s="28" t="s">
        <v>322</v>
      </c>
      <c r="U65" s="24"/>
      <c r="V65" s="24"/>
      <c r="W65" s="25"/>
      <c r="X65" s="29">
        <v>105.0</v>
      </c>
      <c r="Y65" s="29">
        <v>4.0</v>
      </c>
      <c r="Z65" s="30"/>
      <c r="AA65" s="30"/>
      <c r="AB65" s="31"/>
      <c r="AC65" s="30"/>
      <c r="AD65" s="30"/>
      <c r="AE65" s="30"/>
      <c r="AF65" s="30"/>
      <c r="AG65" s="27" t="str">
        <f t="shared" si="1"/>
        <v>New Logo</v>
      </c>
      <c r="AH65" s="27" t="str">
        <f t="shared" si="5"/>
        <v>Lead</v>
      </c>
      <c r="AI65" s="27" t="str">
        <f t="shared" si="6"/>
        <v>0-200</v>
      </c>
      <c r="AJ65" s="27" t="str">
        <f t="shared" si="7"/>
        <v>0-20</v>
      </c>
    </row>
    <row r="66" ht="15.75" customHeight="1">
      <c r="A66" s="23">
        <f>HYPERLINK("https://app.hubspot.com/contacts/8748051/record/0-3/53451551280", 53451551280)</f>
        <v>53451551280</v>
      </c>
      <c r="B66" s="24" t="s">
        <v>323</v>
      </c>
      <c r="C66" s="24" t="s">
        <v>50</v>
      </c>
      <c r="D66" s="25">
        <v>12500.0</v>
      </c>
      <c r="E66" s="24" t="s">
        <v>73</v>
      </c>
      <c r="F66" s="24"/>
      <c r="G66" s="26">
        <v>46030.6319212963</v>
      </c>
      <c r="H66" s="26">
        <v>46211.630960648145</v>
      </c>
      <c r="I66" s="24" t="s">
        <v>40</v>
      </c>
      <c r="J66" s="24" t="s">
        <v>41</v>
      </c>
      <c r="K66" s="24" t="s">
        <v>42</v>
      </c>
      <c r="L66" s="24" t="s">
        <v>43</v>
      </c>
      <c r="M66" s="24" t="s">
        <v>74</v>
      </c>
      <c r="N66" s="24"/>
      <c r="O66" s="24"/>
      <c r="P66" s="24" t="s">
        <v>234</v>
      </c>
      <c r="Q66" s="24"/>
      <c r="R66" s="23">
        <f>HYPERLINK("https://app.hubspot.com/contacts/8748051/record/0-2/35059245747", 35059245747)</f>
        <v>35059245747</v>
      </c>
      <c r="S66" s="24" t="s">
        <v>324</v>
      </c>
      <c r="T66" s="28" t="s">
        <v>325</v>
      </c>
      <c r="U66" s="24" t="s">
        <v>47</v>
      </c>
      <c r="V66" s="24"/>
      <c r="W66" s="25"/>
      <c r="X66" s="29">
        <v>241.0</v>
      </c>
      <c r="Y66" s="29">
        <v>47.0</v>
      </c>
      <c r="Z66" s="30" t="s">
        <v>108</v>
      </c>
      <c r="AA66" s="30"/>
      <c r="AB66" s="30"/>
      <c r="AC66" s="30"/>
      <c r="AD66" s="30"/>
      <c r="AE66" s="30"/>
      <c r="AF66" s="30"/>
      <c r="AG66" s="27" t="str">
        <f t="shared" si="1"/>
        <v>New Logo</v>
      </c>
      <c r="AH66" s="27" t="str">
        <f t="shared" si="5"/>
        <v>Lead</v>
      </c>
      <c r="AI66" s="27" t="str">
        <f t="shared" si="6"/>
        <v>201-500</v>
      </c>
      <c r="AJ66" s="27" t="str">
        <f t="shared" si="7"/>
        <v>21-50</v>
      </c>
    </row>
    <row r="67" ht="15.75" customHeight="1">
      <c r="A67" s="23">
        <f>HYPERLINK("https://app.hubspot.com/contacts/8748051/record/0-3/53428932737", 53428932737)</f>
        <v>53428932737</v>
      </c>
      <c r="B67" s="24" t="s">
        <v>326</v>
      </c>
      <c r="C67" s="24" t="s">
        <v>38</v>
      </c>
      <c r="D67" s="25">
        <v>25000.0</v>
      </c>
      <c r="E67" s="24" t="s">
        <v>327</v>
      </c>
      <c r="F67" s="24" t="s">
        <v>52</v>
      </c>
      <c r="G67" s="26">
        <v>46030.56230324074</v>
      </c>
      <c r="H67" s="26">
        <v>46142.413090277776</v>
      </c>
      <c r="I67" s="24" t="s">
        <v>40</v>
      </c>
      <c r="J67" s="24" t="s">
        <v>41</v>
      </c>
      <c r="K67" s="24" t="s">
        <v>42</v>
      </c>
      <c r="L67" s="24" t="s">
        <v>43</v>
      </c>
      <c r="M67" s="24" t="s">
        <v>44</v>
      </c>
      <c r="N67" s="24"/>
      <c r="O67" s="27"/>
      <c r="P67" s="24"/>
      <c r="Q67" s="24"/>
      <c r="R67" s="23">
        <f>HYPERLINK("https://app.hubspot.com/contacts/8748051/record/0-2/19176672265", 19176672265)</f>
        <v>19176672265</v>
      </c>
      <c r="S67" s="24" t="s">
        <v>328</v>
      </c>
      <c r="T67" s="28" t="s">
        <v>329</v>
      </c>
      <c r="U67" s="24" t="s">
        <v>47</v>
      </c>
      <c r="V67" s="24"/>
      <c r="W67" s="25"/>
      <c r="X67" s="29">
        <v>261.0</v>
      </c>
      <c r="Y67" s="29">
        <v>24.0</v>
      </c>
      <c r="Z67" s="30"/>
      <c r="AA67" s="30"/>
      <c r="AB67" s="30"/>
      <c r="AC67" s="30"/>
      <c r="AD67" s="30"/>
      <c r="AE67" s="30"/>
      <c r="AF67" s="30"/>
      <c r="AG67" s="27" t="str">
        <f t="shared" si="1"/>
        <v>New Logo</v>
      </c>
      <c r="AH67" s="27" t="str">
        <f t="shared" si="5"/>
        <v>Lead</v>
      </c>
      <c r="AI67" s="27" t="str">
        <f t="shared" si="6"/>
        <v>201-500</v>
      </c>
      <c r="AJ67" s="27" t="str">
        <f t="shared" si="7"/>
        <v>21-50</v>
      </c>
    </row>
    <row r="68" ht="15.75" customHeight="1">
      <c r="A68" s="23">
        <f>HYPERLINK("https://app.hubspot.com/contacts/8748051/record/0-3/53397139783", 53397139783)</f>
        <v>53397139783</v>
      </c>
      <c r="B68" s="24" t="s">
        <v>330</v>
      </c>
      <c r="C68" s="24" t="s">
        <v>38</v>
      </c>
      <c r="D68" s="25">
        <v>10000.0</v>
      </c>
      <c r="E68" s="24" t="s">
        <v>127</v>
      </c>
      <c r="F68" s="24" t="s">
        <v>52</v>
      </c>
      <c r="G68" s="26">
        <v>46030.404074074075</v>
      </c>
      <c r="H68" s="26">
        <v>46142.413194444445</v>
      </c>
      <c r="I68" s="24" t="s">
        <v>40</v>
      </c>
      <c r="J68" s="24" t="s">
        <v>41</v>
      </c>
      <c r="K68" s="24" t="s">
        <v>42</v>
      </c>
      <c r="L68" s="24" t="s">
        <v>43</v>
      </c>
      <c r="M68" s="24" t="s">
        <v>44</v>
      </c>
      <c r="N68" s="24"/>
      <c r="O68" s="24"/>
      <c r="P68" s="24"/>
      <c r="Q68" s="24" t="s">
        <v>128</v>
      </c>
      <c r="R68" s="23">
        <f>HYPERLINK("https://app.hubspot.com/contacts/8748051/record/0-2/38577068592", 38577068592)</f>
        <v>38577068592</v>
      </c>
      <c r="S68" s="24" t="s">
        <v>331</v>
      </c>
      <c r="T68" s="28" t="s">
        <v>332</v>
      </c>
      <c r="U68" s="24"/>
      <c r="V68" s="24"/>
      <c r="W68" s="25"/>
      <c r="X68" s="29">
        <v>59.0</v>
      </c>
      <c r="Y68" s="29">
        <v>11.0</v>
      </c>
      <c r="Z68" s="30"/>
      <c r="AA68" s="30"/>
      <c r="AB68" s="31"/>
      <c r="AC68" s="31"/>
      <c r="AD68" s="30"/>
      <c r="AE68" s="30"/>
      <c r="AF68" s="30"/>
      <c r="AG68" s="27" t="str">
        <f t="shared" si="1"/>
        <v>New Logo</v>
      </c>
      <c r="AH68" s="27" t="str">
        <f t="shared" si="5"/>
        <v>Lead</v>
      </c>
      <c r="AI68" s="27" t="str">
        <f t="shared" si="6"/>
        <v>0-200</v>
      </c>
      <c r="AJ68" s="27" t="str">
        <f t="shared" si="7"/>
        <v>0-20</v>
      </c>
    </row>
    <row r="69" ht="15.75" customHeight="1">
      <c r="A69" s="23">
        <f>HYPERLINK("https://app.hubspot.com/contacts/8748051/record/0-3/53410978432", 53410978432)</f>
        <v>53410978432</v>
      </c>
      <c r="B69" s="24" t="s">
        <v>333</v>
      </c>
      <c r="C69" s="24" t="s">
        <v>38</v>
      </c>
      <c r="D69" s="25">
        <v>25000.0</v>
      </c>
      <c r="E69" s="24" t="s">
        <v>127</v>
      </c>
      <c r="F69" s="24" t="s">
        <v>52</v>
      </c>
      <c r="G69" s="26">
        <v>46030.38574074074</v>
      </c>
      <c r="H69" s="26">
        <v>46210.38570601852</v>
      </c>
      <c r="I69" s="24" t="s">
        <v>40</v>
      </c>
      <c r="J69" s="24" t="s">
        <v>41</v>
      </c>
      <c r="K69" s="24" t="s">
        <v>42</v>
      </c>
      <c r="L69" s="24" t="s">
        <v>43</v>
      </c>
      <c r="M69" s="24" t="s">
        <v>102</v>
      </c>
      <c r="N69" s="27"/>
      <c r="O69" s="24"/>
      <c r="P69" s="24"/>
      <c r="Q69" s="24" t="s">
        <v>144</v>
      </c>
      <c r="R69" s="23">
        <f>HYPERLINK("https://app.hubspot.com/contacts/8748051/record/0-2/48226874505", 48226874505)</f>
        <v>48226874505</v>
      </c>
      <c r="S69" s="24" t="s">
        <v>334</v>
      </c>
      <c r="T69" s="28" t="s">
        <v>335</v>
      </c>
      <c r="U69" s="24"/>
      <c r="V69" s="24"/>
      <c r="W69" s="32"/>
      <c r="X69" s="29">
        <v>2169.0</v>
      </c>
      <c r="Y69" s="29">
        <v>996.0</v>
      </c>
      <c r="Z69" s="30"/>
      <c r="AA69" s="31"/>
      <c r="AB69" s="31"/>
      <c r="AC69" s="31"/>
      <c r="AD69" s="31"/>
      <c r="AE69" s="31"/>
      <c r="AF69" s="31"/>
      <c r="AG69" s="27" t="str">
        <f t="shared" si="1"/>
        <v>New Logo</v>
      </c>
      <c r="AH69" s="27" t="str">
        <f t="shared" si="5"/>
        <v>Lead</v>
      </c>
      <c r="AI69" s="27" t="str">
        <f t="shared" si="6"/>
        <v>1001-5000</v>
      </c>
      <c r="AJ69" s="27" t="str">
        <f t="shared" si="7"/>
        <v>500+</v>
      </c>
    </row>
    <row r="70" ht="15.75" customHeight="1">
      <c r="A70" s="23">
        <f>HYPERLINK("https://app.hubspot.com/contacts/8748051/record/0-3/53380681538", 53380681538)</f>
        <v>53380681538</v>
      </c>
      <c r="B70" s="24" t="s">
        <v>336</v>
      </c>
      <c r="C70" s="24" t="s">
        <v>38</v>
      </c>
      <c r="D70" s="25">
        <v>6000.0</v>
      </c>
      <c r="E70" s="24" t="s">
        <v>51</v>
      </c>
      <c r="F70" s="24" t="s">
        <v>52</v>
      </c>
      <c r="G70" s="26">
        <v>46029.36020833333</v>
      </c>
      <c r="H70" s="26">
        <v>46209.360138888886</v>
      </c>
      <c r="I70" s="24" t="s">
        <v>40</v>
      </c>
      <c r="J70" s="24" t="s">
        <v>41</v>
      </c>
      <c r="K70" s="24" t="s">
        <v>42</v>
      </c>
      <c r="L70" s="24" t="s">
        <v>43</v>
      </c>
      <c r="M70" s="24" t="s">
        <v>44</v>
      </c>
      <c r="N70" s="24"/>
      <c r="O70" s="24"/>
      <c r="P70" s="24"/>
      <c r="Q70" s="24"/>
      <c r="R70" s="23">
        <f>HYPERLINK("https://app.hubspot.com/contacts/8748051/record/0-2/48582687828", 48582687828)</f>
        <v>48582687828</v>
      </c>
      <c r="S70" s="24" t="s">
        <v>337</v>
      </c>
      <c r="T70" s="28" t="s">
        <v>338</v>
      </c>
      <c r="U70" s="24"/>
      <c r="V70" s="24"/>
      <c r="W70" s="25"/>
      <c r="X70" s="29">
        <v>183.0</v>
      </c>
      <c r="Y70" s="29">
        <v>12.0</v>
      </c>
      <c r="Z70" s="30"/>
      <c r="AA70" s="31"/>
      <c r="AB70" s="31"/>
      <c r="AC70" s="31"/>
      <c r="AD70" s="31"/>
      <c r="AE70" s="31"/>
      <c r="AF70" s="31"/>
      <c r="AG70" s="27" t="str">
        <f t="shared" si="1"/>
        <v>New Logo</v>
      </c>
      <c r="AH70" s="27" t="str">
        <f t="shared" si="5"/>
        <v>Lead</v>
      </c>
      <c r="AI70" s="27" t="str">
        <f t="shared" si="6"/>
        <v>0-200</v>
      </c>
      <c r="AJ70" s="27" t="str">
        <f t="shared" si="7"/>
        <v>0-20</v>
      </c>
    </row>
    <row r="71" ht="15.75" customHeight="1">
      <c r="A71" s="23">
        <f>HYPERLINK("https://app.hubspot.com/contacts/8748051/record/0-3/53178277456", 53178277456)</f>
        <v>53178277456</v>
      </c>
      <c r="B71" s="24" t="s">
        <v>339</v>
      </c>
      <c r="C71" s="24" t="s">
        <v>38</v>
      </c>
      <c r="D71" s="25">
        <v>35000.0</v>
      </c>
      <c r="E71" s="24" t="s">
        <v>127</v>
      </c>
      <c r="F71" s="24" t="s">
        <v>52</v>
      </c>
      <c r="G71" s="26">
        <v>46028.29896990741</v>
      </c>
      <c r="H71" s="26">
        <v>46208.29896990741</v>
      </c>
      <c r="I71" s="24" t="s">
        <v>40</v>
      </c>
      <c r="J71" s="24" t="s">
        <v>53</v>
      </c>
      <c r="K71" s="24" t="s">
        <v>42</v>
      </c>
      <c r="L71" s="24" t="s">
        <v>43</v>
      </c>
      <c r="M71" s="24" t="s">
        <v>102</v>
      </c>
      <c r="N71" s="24"/>
      <c r="O71" s="27"/>
      <c r="P71" s="24"/>
      <c r="Q71" s="24" t="s">
        <v>128</v>
      </c>
      <c r="R71" s="23">
        <f>HYPERLINK("https://app.hubspot.com/contacts/8748051/record/0-2/19176303172", 19176303172)</f>
        <v>19176303172</v>
      </c>
      <c r="S71" s="24" t="s">
        <v>340</v>
      </c>
      <c r="T71" s="28" t="s">
        <v>341</v>
      </c>
      <c r="U71" s="24" t="s">
        <v>47</v>
      </c>
      <c r="V71" s="24"/>
      <c r="W71" s="25"/>
      <c r="X71" s="29">
        <v>4398.0</v>
      </c>
      <c r="Y71" s="29">
        <v>883.0</v>
      </c>
      <c r="Z71" s="31"/>
      <c r="AA71" s="30"/>
      <c r="AB71" s="31"/>
      <c r="AC71" s="30"/>
      <c r="AD71" s="30"/>
      <c r="AE71" s="30"/>
      <c r="AF71" s="30"/>
      <c r="AG71" s="27" t="str">
        <f t="shared" si="1"/>
        <v>New Logo</v>
      </c>
      <c r="AH71" s="27" t="str">
        <f t="shared" si="5"/>
        <v>Lead</v>
      </c>
      <c r="AI71" s="27" t="str">
        <f t="shared" si="6"/>
        <v>1001-5000</v>
      </c>
      <c r="AJ71" s="27" t="str">
        <f t="shared" si="7"/>
        <v>500+</v>
      </c>
    </row>
    <row r="72" ht="15.75" customHeight="1">
      <c r="A72" s="23">
        <f>HYPERLINK("https://app.hubspot.com/contacts/8748051/record/0-3/53263612979", 53263612979)</f>
        <v>53263612979</v>
      </c>
      <c r="B72" s="24" t="s">
        <v>342</v>
      </c>
      <c r="C72" s="24" t="s">
        <v>38</v>
      </c>
      <c r="D72" s="25">
        <v>2000.0</v>
      </c>
      <c r="E72" s="24" t="s">
        <v>127</v>
      </c>
      <c r="F72" s="24"/>
      <c r="G72" s="26">
        <v>46027.47251157407</v>
      </c>
      <c r="H72" s="26">
        <v>46207.47248842593</v>
      </c>
      <c r="I72" s="24" t="s">
        <v>40</v>
      </c>
      <c r="J72" s="24" t="s">
        <v>41</v>
      </c>
      <c r="K72" s="24" t="s">
        <v>42</v>
      </c>
      <c r="L72" s="24" t="s">
        <v>43</v>
      </c>
      <c r="M72" s="24"/>
      <c r="N72" s="24"/>
      <c r="O72" s="24"/>
      <c r="P72" s="24"/>
      <c r="Q72" s="24" t="s">
        <v>144</v>
      </c>
      <c r="R72" s="23">
        <f>HYPERLINK("https://app.hubspot.com/contacts/8748051/record/0-2/47571406086", 47571406086)</f>
        <v>47571406086</v>
      </c>
      <c r="S72" s="24" t="s">
        <v>343</v>
      </c>
      <c r="T72" s="28" t="s">
        <v>344</v>
      </c>
      <c r="U72" s="24"/>
      <c r="V72" s="24"/>
      <c r="W72" s="25"/>
      <c r="X72" s="29">
        <v>17.0</v>
      </c>
      <c r="Y72" s="29">
        <v>4.0</v>
      </c>
      <c r="Z72" s="30"/>
      <c r="AA72" s="30"/>
      <c r="AB72" s="30"/>
      <c r="AC72" s="30"/>
      <c r="AD72" s="30"/>
      <c r="AE72" s="30"/>
      <c r="AF72" s="30"/>
      <c r="AG72" s="27" t="str">
        <f t="shared" si="1"/>
        <v>New Logo</v>
      </c>
      <c r="AH72" s="27" t="str">
        <f t="shared" si="5"/>
        <v>Lead</v>
      </c>
      <c r="AI72" s="27" t="str">
        <f t="shared" si="6"/>
        <v>0-200</v>
      </c>
      <c r="AJ72" s="27" t="str">
        <f t="shared" si="7"/>
        <v>0-20</v>
      </c>
    </row>
    <row r="73" ht="15.75" customHeight="1">
      <c r="A73" s="23">
        <f>HYPERLINK("https://app.hubspot.com/contacts/8748051/record/0-3/53247367047", 53247367047)</f>
        <v>53247367047</v>
      </c>
      <c r="B73" s="24" t="s">
        <v>345</v>
      </c>
      <c r="C73" s="24" t="s">
        <v>148</v>
      </c>
      <c r="D73" s="25">
        <v>22828.0</v>
      </c>
      <c r="E73" s="24" t="s">
        <v>92</v>
      </c>
      <c r="F73" s="24" t="s">
        <v>52</v>
      </c>
      <c r="G73" s="26">
        <v>46027.47217592593</v>
      </c>
      <c r="H73" s="26">
        <v>46059.53078703704</v>
      </c>
      <c r="I73" s="24" t="s">
        <v>40</v>
      </c>
      <c r="J73" s="24" t="s">
        <v>41</v>
      </c>
      <c r="K73" s="24" t="s">
        <v>253</v>
      </c>
      <c r="L73" s="24" t="s">
        <v>155</v>
      </c>
      <c r="M73" s="24" t="s">
        <v>44</v>
      </c>
      <c r="N73" s="24" t="s">
        <v>346</v>
      </c>
      <c r="O73" s="24"/>
      <c r="P73" s="24"/>
      <c r="Q73" s="24"/>
      <c r="R73" s="23">
        <f>HYPERLINK("https://app.hubspot.com/contacts/8748051/record/0-2/46442430225", 46442430225)</f>
        <v>46442430225</v>
      </c>
      <c r="S73" s="24" t="s">
        <v>347</v>
      </c>
      <c r="T73" s="28" t="s">
        <v>348</v>
      </c>
      <c r="U73" s="24" t="s">
        <v>96</v>
      </c>
      <c r="V73" s="24"/>
      <c r="W73" s="25">
        <v>22828.0</v>
      </c>
      <c r="X73" s="29">
        <v>63.0</v>
      </c>
      <c r="Y73" s="29">
        <v>18.0</v>
      </c>
      <c r="Z73" s="30"/>
      <c r="AA73" s="30" t="s">
        <v>349</v>
      </c>
      <c r="AB73" s="31"/>
      <c r="AC73" s="31"/>
      <c r="AD73" s="30" t="s">
        <v>350</v>
      </c>
      <c r="AE73" s="30"/>
      <c r="AF73" s="30"/>
      <c r="AG73" s="27" t="str">
        <f t="shared" si="1"/>
        <v>New Logo</v>
      </c>
      <c r="AH73" s="27" t="str">
        <f t="shared" si="5"/>
        <v>Customer</v>
      </c>
      <c r="AI73" s="27" t="str">
        <f t="shared" si="6"/>
        <v>0-200</v>
      </c>
      <c r="AJ73" s="27" t="str">
        <f t="shared" si="7"/>
        <v>0-20</v>
      </c>
    </row>
    <row r="74" ht="15.75" customHeight="1">
      <c r="A74" s="23">
        <f>HYPERLINK("https://app.hubspot.com/contacts/8748051/record/0-3/53116847482", 53116847482)</f>
        <v>53116847482</v>
      </c>
      <c r="B74" s="24" t="s">
        <v>351</v>
      </c>
      <c r="C74" s="24" t="s">
        <v>38</v>
      </c>
      <c r="D74" s="25">
        <v>0.0</v>
      </c>
      <c r="E74" s="24" t="s">
        <v>127</v>
      </c>
      <c r="F74" s="24" t="s">
        <v>52</v>
      </c>
      <c r="G74" s="26">
        <v>46024.64523148148</v>
      </c>
      <c r="H74" s="26">
        <v>46204.64523148148</v>
      </c>
      <c r="I74" s="24" t="s">
        <v>40</v>
      </c>
      <c r="J74" s="24" t="s">
        <v>41</v>
      </c>
      <c r="K74" s="24" t="s">
        <v>42</v>
      </c>
      <c r="L74" s="24" t="s">
        <v>43</v>
      </c>
      <c r="M74" s="24" t="s">
        <v>102</v>
      </c>
      <c r="N74" s="27"/>
      <c r="O74" s="24"/>
      <c r="P74" s="24"/>
      <c r="Q74" s="24" t="s">
        <v>128</v>
      </c>
      <c r="R74" s="23">
        <f>HYPERLINK("https://app.hubspot.com/contacts/8748051/record/0-2/48108158301", 48108158301)</f>
        <v>48108158301</v>
      </c>
      <c r="S74" s="24" t="s">
        <v>352</v>
      </c>
      <c r="T74" s="28" t="s">
        <v>353</v>
      </c>
      <c r="U74" s="24"/>
      <c r="V74" s="24"/>
      <c r="W74" s="32"/>
      <c r="X74" s="29">
        <v>29.0</v>
      </c>
      <c r="Y74" s="29">
        <v>0.0</v>
      </c>
      <c r="Z74" s="30"/>
      <c r="AA74" s="31"/>
      <c r="AB74" s="31"/>
      <c r="AC74" s="31"/>
      <c r="AD74" s="31"/>
      <c r="AE74" s="31"/>
      <c r="AF74" s="31"/>
      <c r="AG74" s="27" t="str">
        <f t="shared" si="1"/>
        <v>New Logo</v>
      </c>
      <c r="AH74" s="27" t="str">
        <f t="shared" si="5"/>
        <v>Lead</v>
      </c>
      <c r="AI74" s="27" t="str">
        <f t="shared" si="6"/>
        <v>0-200</v>
      </c>
      <c r="AJ74" s="27" t="str">
        <f t="shared" si="7"/>
        <v>0-20</v>
      </c>
    </row>
    <row r="75" ht="15.75" customHeight="1">
      <c r="A75" s="23">
        <f>HYPERLINK("https://app.hubspot.com/contacts/8748051/record/0-3/52834363461", 52834363461)</f>
        <v>52834363461</v>
      </c>
      <c r="B75" s="24" t="s">
        <v>354</v>
      </c>
      <c r="C75" s="24" t="s">
        <v>148</v>
      </c>
      <c r="D75" s="25">
        <v>33000.0</v>
      </c>
      <c r="E75" s="24" t="s">
        <v>149</v>
      </c>
      <c r="F75" s="24" t="s">
        <v>52</v>
      </c>
      <c r="G75" s="26">
        <v>46021.519155092596</v>
      </c>
      <c r="H75" s="26">
        <v>46062.33689814815</v>
      </c>
      <c r="I75" s="24" t="s">
        <v>40</v>
      </c>
      <c r="J75" s="24" t="s">
        <v>41</v>
      </c>
      <c r="K75" s="24" t="s">
        <v>60</v>
      </c>
      <c r="L75" s="24" t="s">
        <v>61</v>
      </c>
      <c r="M75" s="24" t="s">
        <v>44</v>
      </c>
      <c r="N75" s="24"/>
      <c r="O75" s="24" t="s">
        <v>355</v>
      </c>
      <c r="P75" s="24"/>
      <c r="Q75" s="27"/>
      <c r="R75" s="23">
        <f>HYPERLINK("https://app.hubspot.com/contacts/8748051/record/0-2/7668624263", 7668624263)</f>
        <v>7668624263</v>
      </c>
      <c r="S75" s="24" t="s">
        <v>356</v>
      </c>
      <c r="T75" s="28" t="s">
        <v>357</v>
      </c>
      <c r="U75" s="24" t="s">
        <v>47</v>
      </c>
      <c r="V75" s="24"/>
      <c r="W75" s="25"/>
      <c r="X75" s="29">
        <v>502.0</v>
      </c>
      <c r="Y75" s="29">
        <v>62.0</v>
      </c>
      <c r="Z75" s="30" t="s">
        <v>108</v>
      </c>
      <c r="AA75" s="30"/>
      <c r="AB75" s="30"/>
      <c r="AC75" s="31"/>
      <c r="AD75" s="30"/>
      <c r="AE75" s="31"/>
      <c r="AF75" s="30"/>
      <c r="AG75" s="27" t="str">
        <f t="shared" si="1"/>
        <v>New Logo</v>
      </c>
      <c r="AH75" s="27" t="str">
        <f t="shared" si="5"/>
        <v>Lead</v>
      </c>
      <c r="AI75" s="27" t="str">
        <f t="shared" si="6"/>
        <v>501-1000</v>
      </c>
      <c r="AJ75" s="27" t="str">
        <f t="shared" si="7"/>
        <v>51-100</v>
      </c>
    </row>
    <row r="76" ht="15.75" customHeight="1">
      <c r="A76" s="23">
        <f>HYPERLINK("https://app.hubspot.com/contacts/8748051/record/0-3/52850372896", 52850372896)</f>
        <v>52850372896</v>
      </c>
      <c r="B76" s="24" t="s">
        <v>358</v>
      </c>
      <c r="C76" s="24" t="s">
        <v>50</v>
      </c>
      <c r="D76" s="25">
        <v>59500.0</v>
      </c>
      <c r="E76" s="24" t="s">
        <v>73</v>
      </c>
      <c r="F76" s="24"/>
      <c r="G76" s="26">
        <v>46020.421481481484</v>
      </c>
      <c r="H76" s="26">
        <v>46200.42146990741</v>
      </c>
      <c r="I76" s="24" t="s">
        <v>40</v>
      </c>
      <c r="J76" s="24" t="s">
        <v>41</v>
      </c>
      <c r="K76" s="24" t="s">
        <v>60</v>
      </c>
      <c r="L76" s="24" t="s">
        <v>61</v>
      </c>
      <c r="M76" s="24" t="s">
        <v>74</v>
      </c>
      <c r="N76" s="24"/>
      <c r="O76" s="27"/>
      <c r="P76" s="24" t="s">
        <v>234</v>
      </c>
      <c r="Q76" s="24"/>
      <c r="R76" s="23">
        <f>HYPERLINK("https://app.hubspot.com/contacts/8748051/record/0-2/9502908975", 9502908975)</f>
        <v>9502908975</v>
      </c>
      <c r="S76" s="24" t="s">
        <v>359</v>
      </c>
      <c r="T76" s="28" t="s">
        <v>360</v>
      </c>
      <c r="U76" s="24" t="s">
        <v>361</v>
      </c>
      <c r="V76" s="24"/>
      <c r="W76" s="25"/>
      <c r="X76" s="29">
        <v>478.0</v>
      </c>
      <c r="Y76" s="29">
        <v>129.0</v>
      </c>
      <c r="Z76" s="30" t="s">
        <v>64</v>
      </c>
      <c r="AA76" s="30"/>
      <c r="AB76" s="30"/>
      <c r="AC76" s="31"/>
      <c r="AD76" s="30"/>
      <c r="AE76" s="30"/>
      <c r="AF76" s="30"/>
      <c r="AG76" s="27" t="str">
        <f t="shared" si="1"/>
        <v>New Logo</v>
      </c>
      <c r="AH76" s="27" t="str">
        <f t="shared" si="5"/>
        <v>Lead</v>
      </c>
      <c r="AI76" s="27" t="str">
        <f t="shared" si="6"/>
        <v>201-500</v>
      </c>
      <c r="AJ76" s="27" t="str">
        <f t="shared" si="7"/>
        <v>101-500</v>
      </c>
    </row>
    <row r="77" ht="15.75" customHeight="1">
      <c r="A77" s="23">
        <f>HYPERLINK("https://app.hubspot.com/contacts/8748051/record/0-3/52375066671", 52375066671)</f>
        <v>52375066671</v>
      </c>
      <c r="B77" s="24" t="s">
        <v>362</v>
      </c>
      <c r="C77" s="24" t="s">
        <v>38</v>
      </c>
      <c r="D77" s="25">
        <v>0.0</v>
      </c>
      <c r="E77" s="24" t="s">
        <v>73</v>
      </c>
      <c r="F77" s="24"/>
      <c r="G77" s="26">
        <v>46013.298726851855</v>
      </c>
      <c r="H77" s="26">
        <v>46193.29871527778</v>
      </c>
      <c r="I77" s="24" t="s">
        <v>40</v>
      </c>
      <c r="J77" s="24" t="s">
        <v>41</v>
      </c>
      <c r="K77" s="24" t="s">
        <v>42</v>
      </c>
      <c r="L77" s="24" t="s">
        <v>43</v>
      </c>
      <c r="M77" s="24" t="s">
        <v>102</v>
      </c>
      <c r="N77" s="24"/>
      <c r="O77" s="24"/>
      <c r="P77" s="24" t="s">
        <v>234</v>
      </c>
      <c r="Q77" s="24"/>
      <c r="R77" s="23">
        <f>HYPERLINK("https://app.hubspot.com/contacts/8748051/record/0-2/47614471201", 47614471201)</f>
        <v>47614471201</v>
      </c>
      <c r="S77" s="24" t="s">
        <v>363</v>
      </c>
      <c r="T77" s="28" t="s">
        <v>364</v>
      </c>
      <c r="U77" s="24"/>
      <c r="V77" s="24"/>
      <c r="W77" s="25"/>
      <c r="X77" s="29">
        <v>43.0</v>
      </c>
      <c r="Y77" s="29">
        <v>0.0</v>
      </c>
      <c r="Z77" s="30"/>
      <c r="AA77" s="30"/>
      <c r="AB77" s="31"/>
      <c r="AC77" s="31"/>
      <c r="AD77" s="30"/>
      <c r="AE77" s="31"/>
      <c r="AF77" s="31"/>
      <c r="AG77" s="27" t="str">
        <f t="shared" si="1"/>
        <v>New Logo</v>
      </c>
      <c r="AH77" s="27" t="str">
        <f t="shared" si="5"/>
        <v>Lead</v>
      </c>
      <c r="AI77" s="27" t="str">
        <f t="shared" si="6"/>
        <v>0-200</v>
      </c>
      <c r="AJ77" s="27" t="str">
        <f t="shared" si="7"/>
        <v>0-20</v>
      </c>
    </row>
    <row r="78" ht="15.75" customHeight="1">
      <c r="A78" s="23">
        <f>HYPERLINK("https://app.hubspot.com/contacts/8748051/record/0-3/52241804103", 52241804103)</f>
        <v>52241804103</v>
      </c>
      <c r="B78" s="24" t="s">
        <v>365</v>
      </c>
      <c r="C78" s="24" t="s">
        <v>38</v>
      </c>
      <c r="D78" s="25">
        <v>1000.0</v>
      </c>
      <c r="E78" s="24" t="s">
        <v>127</v>
      </c>
      <c r="F78" s="24"/>
      <c r="G78" s="26">
        <v>46010.80587962963</v>
      </c>
      <c r="H78" s="26">
        <v>46190.80587962963</v>
      </c>
      <c r="I78" s="24" t="s">
        <v>40</v>
      </c>
      <c r="J78" s="24" t="s">
        <v>41</v>
      </c>
      <c r="K78" s="24" t="s">
        <v>42</v>
      </c>
      <c r="L78" s="24" t="s">
        <v>43</v>
      </c>
      <c r="M78" s="24" t="s">
        <v>44</v>
      </c>
      <c r="N78" s="24"/>
      <c r="O78" s="24"/>
      <c r="P78" s="24" t="s">
        <v>75</v>
      </c>
      <c r="Q78" s="24" t="s">
        <v>128</v>
      </c>
      <c r="R78" s="23">
        <f>HYPERLINK("https://app.hubspot.com/contacts/8748051/record/0-2/47564970161", 47564970161)</f>
        <v>47564970161</v>
      </c>
      <c r="S78" s="24" t="s">
        <v>366</v>
      </c>
      <c r="T78" s="28" t="s">
        <v>367</v>
      </c>
      <c r="U78" s="24"/>
      <c r="V78" s="24"/>
      <c r="W78" s="25"/>
      <c r="X78" s="29">
        <v>9.0</v>
      </c>
      <c r="Y78" s="29">
        <v>2.0</v>
      </c>
      <c r="Z78" s="30"/>
      <c r="AA78" s="30"/>
      <c r="AB78" s="31"/>
      <c r="AC78" s="31"/>
      <c r="AD78" s="30"/>
      <c r="AE78" s="30"/>
      <c r="AF78" s="30"/>
      <c r="AG78" s="27" t="str">
        <f t="shared" si="1"/>
        <v>New Logo</v>
      </c>
      <c r="AH78" s="27" t="str">
        <f t="shared" si="5"/>
        <v>Lead</v>
      </c>
      <c r="AI78" s="27" t="str">
        <f t="shared" si="6"/>
        <v>0-200</v>
      </c>
      <c r="AJ78" s="27" t="str">
        <f t="shared" si="7"/>
        <v>0-20</v>
      </c>
    </row>
    <row r="79" ht="15.75" customHeight="1">
      <c r="A79" s="23">
        <f>HYPERLINK("https://app.hubspot.com/contacts/8748051/record/0-3/52243205923", 52243205923)</f>
        <v>52243205923</v>
      </c>
      <c r="B79" s="24" t="s">
        <v>368</v>
      </c>
      <c r="C79" s="24" t="s">
        <v>38</v>
      </c>
      <c r="D79" s="25">
        <v>62000.0</v>
      </c>
      <c r="E79" s="24" t="s">
        <v>149</v>
      </c>
      <c r="F79" s="24" t="s">
        <v>52</v>
      </c>
      <c r="G79" s="26">
        <v>46010.57655092593</v>
      </c>
      <c r="H79" s="26">
        <v>46048.35890046296</v>
      </c>
      <c r="I79" s="24" t="s">
        <v>40</v>
      </c>
      <c r="J79" s="24" t="s">
        <v>53</v>
      </c>
      <c r="K79" s="24" t="s">
        <v>42</v>
      </c>
      <c r="L79" s="24" t="s">
        <v>43</v>
      </c>
      <c r="M79" s="24" t="s">
        <v>74</v>
      </c>
      <c r="N79" s="27"/>
      <c r="O79" s="24" t="s">
        <v>369</v>
      </c>
      <c r="P79" s="24"/>
      <c r="Q79" s="24"/>
      <c r="R79" s="23">
        <f>HYPERLINK("https://app.hubspot.com/contacts/8748051/record/0-2/8448459081", 8448459081)</f>
        <v>8448459081</v>
      </c>
      <c r="S79" s="24" t="s">
        <v>370</v>
      </c>
      <c r="T79" s="28" t="s">
        <v>371</v>
      </c>
      <c r="U79" s="24" t="s">
        <v>47</v>
      </c>
      <c r="V79" s="24"/>
      <c r="W79" s="32"/>
      <c r="X79" s="29">
        <v>1160.0</v>
      </c>
      <c r="Y79" s="29">
        <v>188.0</v>
      </c>
      <c r="Z79" s="30" t="s">
        <v>372</v>
      </c>
      <c r="AA79" s="31"/>
      <c r="AB79" s="31"/>
      <c r="AC79" s="31"/>
      <c r="AD79" s="31"/>
      <c r="AE79" s="31"/>
      <c r="AF79" s="31"/>
      <c r="AG79" s="27" t="str">
        <f t="shared" si="1"/>
        <v>New Logo</v>
      </c>
      <c r="AH79" s="27" t="str">
        <f t="shared" si="5"/>
        <v>Lead</v>
      </c>
      <c r="AI79" s="27" t="str">
        <f t="shared" si="6"/>
        <v>1001-5000</v>
      </c>
      <c r="AJ79" s="27" t="str">
        <f t="shared" si="7"/>
        <v>101-500</v>
      </c>
    </row>
    <row r="80" ht="15.75" customHeight="1">
      <c r="A80" s="23">
        <f>HYPERLINK("https://app.hubspot.com/contacts/8748051/record/0-3/53233734008", 53233734008)</f>
        <v>53233734008</v>
      </c>
      <c r="B80" s="24" t="s">
        <v>373</v>
      </c>
      <c r="C80" s="24" t="s">
        <v>50</v>
      </c>
      <c r="D80" s="25">
        <v>10000.0</v>
      </c>
      <c r="E80" s="24" t="s">
        <v>127</v>
      </c>
      <c r="F80" s="24" t="s">
        <v>52</v>
      </c>
      <c r="G80" s="26">
        <v>46010.52769675926</v>
      </c>
      <c r="H80" s="26">
        <v>46190.52769675926</v>
      </c>
      <c r="I80" s="24" t="s">
        <v>40</v>
      </c>
      <c r="J80" s="24" t="s">
        <v>41</v>
      </c>
      <c r="K80" s="24" t="s">
        <v>42</v>
      </c>
      <c r="L80" s="24" t="s">
        <v>43</v>
      </c>
      <c r="M80" s="24" t="s">
        <v>44</v>
      </c>
      <c r="N80" s="27"/>
      <c r="O80" s="27"/>
      <c r="P80" s="24"/>
      <c r="Q80" s="24" t="s">
        <v>374</v>
      </c>
      <c r="R80" s="23">
        <f>HYPERLINK("https://app.hubspot.com/contacts/8748051/record/0-2/48189021323", 48189021323)</f>
        <v>48189021323</v>
      </c>
      <c r="S80" s="24" t="s">
        <v>375</v>
      </c>
      <c r="T80" s="28" t="s">
        <v>376</v>
      </c>
      <c r="U80" s="24"/>
      <c r="V80" s="24"/>
      <c r="W80" s="32"/>
      <c r="X80" s="29">
        <v>137.0</v>
      </c>
      <c r="Y80" s="29">
        <v>14.0</v>
      </c>
      <c r="Z80" s="30"/>
      <c r="AA80" s="31"/>
      <c r="AB80" s="31"/>
      <c r="AC80" s="31"/>
      <c r="AD80" s="31"/>
      <c r="AE80" s="31"/>
      <c r="AF80" s="31"/>
      <c r="AG80" s="27" t="str">
        <f t="shared" si="1"/>
        <v>New Logo</v>
      </c>
      <c r="AH80" s="27" t="str">
        <f t="shared" si="5"/>
        <v>Lead</v>
      </c>
      <c r="AI80" s="27" t="str">
        <f t="shared" si="6"/>
        <v>0-200</v>
      </c>
      <c r="AJ80" s="27" t="str">
        <f t="shared" si="7"/>
        <v>0-20</v>
      </c>
    </row>
    <row r="81" ht="15.75" customHeight="1">
      <c r="A81" s="23">
        <f>HYPERLINK("https://app.hubspot.com/contacts/8748051/record/0-3/52097481373", 52097481373)</f>
        <v>52097481373</v>
      </c>
      <c r="B81" s="24" t="s">
        <v>377</v>
      </c>
      <c r="C81" s="24" t="s">
        <v>38</v>
      </c>
      <c r="D81" s="25">
        <v>50500.0</v>
      </c>
      <c r="E81" s="24" t="s">
        <v>127</v>
      </c>
      <c r="F81" s="24" t="s">
        <v>52</v>
      </c>
      <c r="G81" s="26">
        <v>46010.48587962963</v>
      </c>
      <c r="H81" s="26">
        <v>46112.92054398148</v>
      </c>
      <c r="I81" s="24" t="s">
        <v>40</v>
      </c>
      <c r="J81" s="24" t="s">
        <v>53</v>
      </c>
      <c r="K81" s="24" t="s">
        <v>42</v>
      </c>
      <c r="L81" s="24" t="s">
        <v>43</v>
      </c>
      <c r="M81" s="24" t="s">
        <v>44</v>
      </c>
      <c r="N81" s="24"/>
      <c r="O81" s="27"/>
      <c r="P81" s="24"/>
      <c r="Q81" s="24" t="s">
        <v>128</v>
      </c>
      <c r="R81" s="23">
        <f>HYPERLINK("https://app.hubspot.com/contacts/8748051/record/0-2/17747112247", 17747112247)</f>
        <v>17747112247</v>
      </c>
      <c r="S81" s="24" t="s">
        <v>378</v>
      </c>
      <c r="T81" s="28" t="s">
        <v>379</v>
      </c>
      <c r="U81" s="24" t="s">
        <v>47</v>
      </c>
      <c r="V81" s="24"/>
      <c r="W81" s="25"/>
      <c r="X81" s="29">
        <v>716.0</v>
      </c>
      <c r="Y81" s="29">
        <v>104.0</v>
      </c>
      <c r="Z81" s="30" t="s">
        <v>71</v>
      </c>
      <c r="AA81" s="30"/>
      <c r="AB81" s="30"/>
      <c r="AC81" s="30"/>
      <c r="AD81" s="30"/>
      <c r="AE81" s="30"/>
      <c r="AF81" s="30"/>
      <c r="AG81" s="27" t="str">
        <f t="shared" si="1"/>
        <v>New Logo</v>
      </c>
      <c r="AH81" s="27" t="str">
        <f t="shared" si="5"/>
        <v>Lead</v>
      </c>
      <c r="AI81" s="27" t="str">
        <f t="shared" si="6"/>
        <v>501-1000</v>
      </c>
      <c r="AJ81" s="27" t="str">
        <f t="shared" si="7"/>
        <v>101-500</v>
      </c>
    </row>
    <row r="82" ht="15.75" customHeight="1">
      <c r="A82" s="23">
        <f>HYPERLINK("https://app.hubspot.com/contacts/8748051/record/0-3/52073496170", 52073496170)</f>
        <v>52073496170</v>
      </c>
      <c r="B82" s="24" t="s">
        <v>380</v>
      </c>
      <c r="C82" s="24" t="s">
        <v>50</v>
      </c>
      <c r="D82" s="25">
        <v>15000.0</v>
      </c>
      <c r="E82" s="24" t="s">
        <v>73</v>
      </c>
      <c r="F82" s="24"/>
      <c r="G82" s="26">
        <v>46009.52657407407</v>
      </c>
      <c r="H82" s="26">
        <v>46189.5265625</v>
      </c>
      <c r="I82" s="24" t="s">
        <v>40</v>
      </c>
      <c r="J82" s="24" t="s">
        <v>41</v>
      </c>
      <c r="K82" s="24" t="s">
        <v>42</v>
      </c>
      <c r="L82" s="24" t="s">
        <v>43</v>
      </c>
      <c r="M82" s="24"/>
      <c r="N82" s="24"/>
      <c r="O82" s="24"/>
      <c r="P82" s="24" t="s">
        <v>234</v>
      </c>
      <c r="Q82" s="24"/>
      <c r="R82" s="23">
        <f>HYPERLINK("https://app.hubspot.com/contacts/8748051/record/0-2/33148834998", 33148834998)</f>
        <v>33148834998</v>
      </c>
      <c r="S82" s="24" t="s">
        <v>381</v>
      </c>
      <c r="T82" s="28" t="s">
        <v>382</v>
      </c>
      <c r="U82" s="24" t="s">
        <v>47</v>
      </c>
      <c r="V82" s="24"/>
      <c r="W82" s="25"/>
      <c r="X82" s="29">
        <v>120.0</v>
      </c>
      <c r="Y82" s="29">
        <v>30.0</v>
      </c>
      <c r="Z82" s="30"/>
      <c r="AA82" s="30"/>
      <c r="AB82" s="30"/>
      <c r="AC82" s="30"/>
      <c r="AD82" s="30"/>
      <c r="AE82" s="30"/>
      <c r="AF82" s="30"/>
      <c r="AG82" s="27" t="str">
        <f t="shared" si="1"/>
        <v>New Logo</v>
      </c>
      <c r="AH82" s="27" t="str">
        <f t="shared" si="5"/>
        <v>Lead</v>
      </c>
      <c r="AI82" s="27" t="str">
        <f t="shared" si="6"/>
        <v>0-200</v>
      </c>
      <c r="AJ82" s="27" t="str">
        <f t="shared" si="7"/>
        <v>21-50</v>
      </c>
    </row>
    <row r="83" ht="15.75" customHeight="1">
      <c r="A83" s="23">
        <f>HYPERLINK("https://app.hubspot.com/contacts/8748051/record/0-3/52069893214", 52069893214)</f>
        <v>52069893214</v>
      </c>
      <c r="B83" s="24" t="s">
        <v>383</v>
      </c>
      <c r="C83" s="24" t="s">
        <v>38</v>
      </c>
      <c r="D83" s="25">
        <v>17000.0</v>
      </c>
      <c r="E83" s="24" t="s">
        <v>384</v>
      </c>
      <c r="F83" s="24" t="s">
        <v>52</v>
      </c>
      <c r="G83" s="26">
        <v>46008.584282407406</v>
      </c>
      <c r="H83" s="26">
        <v>46174.41491898148</v>
      </c>
      <c r="I83" s="24" t="s">
        <v>40</v>
      </c>
      <c r="J83" s="24" t="s">
        <v>41</v>
      </c>
      <c r="K83" s="24" t="s">
        <v>42</v>
      </c>
      <c r="L83" s="24" t="s">
        <v>43</v>
      </c>
      <c r="M83" s="24" t="s">
        <v>44</v>
      </c>
      <c r="N83" s="24"/>
      <c r="O83" s="27"/>
      <c r="P83" s="24"/>
      <c r="Q83" s="27"/>
      <c r="R83" s="23">
        <f>HYPERLINK("https://app.hubspot.com/contacts/8748051/record/0-2/47334647695", 47334647695)</f>
        <v>47334647695</v>
      </c>
      <c r="S83" s="24" t="s">
        <v>385</v>
      </c>
      <c r="T83" s="28" t="s">
        <v>386</v>
      </c>
      <c r="U83" s="24"/>
      <c r="V83" s="24"/>
      <c r="W83" s="25"/>
      <c r="X83" s="29">
        <v>116.0</v>
      </c>
      <c r="Y83" s="29">
        <v>28.0</v>
      </c>
      <c r="Z83" s="30"/>
      <c r="AA83" s="30"/>
      <c r="AB83" s="31"/>
      <c r="AC83" s="31"/>
      <c r="AD83" s="30"/>
      <c r="AE83" s="30"/>
      <c r="AF83" s="30"/>
      <c r="AG83" s="27" t="str">
        <f t="shared" si="1"/>
        <v>New Logo</v>
      </c>
      <c r="AH83" s="27" t="str">
        <f t="shared" si="5"/>
        <v>Lead</v>
      </c>
      <c r="AI83" s="27" t="str">
        <f t="shared" si="6"/>
        <v>0-200</v>
      </c>
      <c r="AJ83" s="27" t="str">
        <f t="shared" si="7"/>
        <v>21-50</v>
      </c>
    </row>
    <row r="84" ht="15.75" customHeight="1">
      <c r="A84" s="23">
        <f>HYPERLINK("https://app.hubspot.com/contacts/8748051/record/0-3/51995664283", 51995664283)</f>
        <v>51995664283</v>
      </c>
      <c r="B84" s="24" t="s">
        <v>387</v>
      </c>
      <c r="C84" s="24" t="s">
        <v>50</v>
      </c>
      <c r="D84" s="25">
        <v>14500.0</v>
      </c>
      <c r="E84" s="24" t="s">
        <v>73</v>
      </c>
      <c r="F84" s="24"/>
      <c r="G84" s="26">
        <v>46007.602997685186</v>
      </c>
      <c r="H84" s="26">
        <v>46187.60298611111</v>
      </c>
      <c r="I84" s="24" t="s">
        <v>40</v>
      </c>
      <c r="J84" s="24" t="s">
        <v>41</v>
      </c>
      <c r="K84" s="24" t="s">
        <v>42</v>
      </c>
      <c r="L84" s="24" t="s">
        <v>43</v>
      </c>
      <c r="M84" s="24" t="s">
        <v>44</v>
      </c>
      <c r="N84" s="24"/>
      <c r="O84" s="27"/>
      <c r="P84" s="24" t="s">
        <v>234</v>
      </c>
      <c r="Q84" s="27"/>
      <c r="R84" s="23">
        <f>HYPERLINK("https://app.hubspot.com/contacts/8748051/record/0-2/47340881525", 47340881525)</f>
        <v>47340881525</v>
      </c>
      <c r="S84" s="24" t="s">
        <v>388</v>
      </c>
      <c r="T84" s="28" t="s">
        <v>389</v>
      </c>
      <c r="U84" s="24"/>
      <c r="V84" s="24"/>
      <c r="W84" s="25"/>
      <c r="X84" s="29">
        <v>181.0</v>
      </c>
      <c r="Y84" s="29">
        <v>29.0</v>
      </c>
      <c r="Z84" s="30"/>
      <c r="AA84" s="30"/>
      <c r="AB84" s="30"/>
      <c r="AC84" s="31"/>
      <c r="AD84" s="30"/>
      <c r="AE84" s="30"/>
      <c r="AF84" s="30"/>
      <c r="AG84" s="27" t="str">
        <f t="shared" si="1"/>
        <v>New Logo</v>
      </c>
      <c r="AH84" s="27" t="str">
        <f t="shared" si="5"/>
        <v>Lead</v>
      </c>
      <c r="AI84" s="27" t="str">
        <f t="shared" si="6"/>
        <v>0-200</v>
      </c>
      <c r="AJ84" s="27" t="str">
        <f t="shared" si="7"/>
        <v>21-50</v>
      </c>
    </row>
    <row r="85" ht="15.75" customHeight="1">
      <c r="A85" s="23">
        <f>HYPERLINK("https://app.hubspot.com/contacts/8748051/record/0-3/51829985641", 51829985641)</f>
        <v>51829985641</v>
      </c>
      <c r="B85" s="24" t="s">
        <v>390</v>
      </c>
      <c r="C85" s="24" t="s">
        <v>159</v>
      </c>
      <c r="D85" s="25">
        <v>-2000.0</v>
      </c>
      <c r="E85" s="24" t="s">
        <v>92</v>
      </c>
      <c r="F85" s="24"/>
      <c r="G85" s="26">
        <v>46006.30966435185</v>
      </c>
      <c r="H85" s="26">
        <v>46007.31013888889</v>
      </c>
      <c r="I85" s="24" t="s">
        <v>40</v>
      </c>
      <c r="J85" s="24" t="s">
        <v>160</v>
      </c>
      <c r="K85" s="24" t="s">
        <v>161</v>
      </c>
      <c r="L85" s="24" t="s">
        <v>162</v>
      </c>
      <c r="M85" s="24" t="s">
        <v>102</v>
      </c>
      <c r="N85" s="24" t="s">
        <v>391</v>
      </c>
      <c r="O85" s="27"/>
      <c r="P85" s="24"/>
      <c r="Q85" s="24"/>
      <c r="R85" s="23">
        <f>HYPERLINK("https://app.hubspot.com/contacts/8748051/record/0-2/8323876145", 8323876145)</f>
        <v>8323876145</v>
      </c>
      <c r="S85" s="24" t="s">
        <v>392</v>
      </c>
      <c r="T85" s="28" t="s">
        <v>393</v>
      </c>
      <c r="U85" s="24" t="s">
        <v>96</v>
      </c>
      <c r="V85" s="24"/>
      <c r="W85" s="25">
        <v>14000.0</v>
      </c>
      <c r="X85" s="29">
        <v>469.0</v>
      </c>
      <c r="Y85" s="29">
        <v>42.0</v>
      </c>
      <c r="Z85" s="30"/>
      <c r="AA85" s="30" t="s">
        <v>220</v>
      </c>
      <c r="AB85" s="31"/>
      <c r="AC85" s="31"/>
      <c r="AD85" s="30" t="s">
        <v>394</v>
      </c>
      <c r="AE85" s="30" t="s">
        <v>395</v>
      </c>
      <c r="AF85" s="30" t="s">
        <v>396</v>
      </c>
      <c r="AG85" s="27" t="str">
        <f t="shared" si="1"/>
        <v>Downsell</v>
      </c>
      <c r="AH85" s="27" t="str">
        <f t="shared" si="5"/>
        <v>Customer</v>
      </c>
      <c r="AI85" s="27" t="str">
        <f t="shared" si="6"/>
        <v>201-500</v>
      </c>
      <c r="AJ85" s="27" t="str">
        <f t="shared" si="7"/>
        <v>21-50</v>
      </c>
    </row>
    <row r="86" ht="15.75" customHeight="1">
      <c r="A86" s="23">
        <f>HYPERLINK("https://app.hubspot.com/contacts/8748051/record/0-3/51786515564", 51786515564)</f>
        <v>51786515564</v>
      </c>
      <c r="B86" s="24" t="s">
        <v>397</v>
      </c>
      <c r="C86" s="24" t="s">
        <v>50</v>
      </c>
      <c r="D86" s="25">
        <v>29000.0</v>
      </c>
      <c r="E86" s="24" t="s">
        <v>73</v>
      </c>
      <c r="F86" s="24"/>
      <c r="G86" s="26">
        <v>46003.6199537037</v>
      </c>
      <c r="H86" s="26">
        <v>46183.619942129626</v>
      </c>
      <c r="I86" s="24" t="s">
        <v>40</v>
      </c>
      <c r="J86" s="24" t="s">
        <v>41</v>
      </c>
      <c r="K86" s="24" t="s">
        <v>60</v>
      </c>
      <c r="L86" s="24" t="s">
        <v>61</v>
      </c>
      <c r="M86" s="24" t="s">
        <v>44</v>
      </c>
      <c r="N86" s="24"/>
      <c r="O86" s="27"/>
      <c r="P86" s="24" t="s">
        <v>234</v>
      </c>
      <c r="Q86" s="24"/>
      <c r="R86" s="23">
        <f>HYPERLINK("https://app.hubspot.com/contacts/8748051/record/0-2/18382886215", 18382886215)</f>
        <v>18382886215</v>
      </c>
      <c r="S86" s="24" t="s">
        <v>398</v>
      </c>
      <c r="T86" s="28" t="s">
        <v>399</v>
      </c>
      <c r="U86" s="24" t="s">
        <v>47</v>
      </c>
      <c r="V86" s="24"/>
      <c r="W86" s="25"/>
      <c r="X86" s="29">
        <v>286.0</v>
      </c>
      <c r="Y86" s="29">
        <v>58.0</v>
      </c>
      <c r="Z86" s="30"/>
      <c r="AA86" s="30"/>
      <c r="AB86" s="30"/>
      <c r="AC86" s="31"/>
      <c r="AD86" s="31"/>
      <c r="AE86" s="31"/>
      <c r="AF86" s="31"/>
      <c r="AG86" s="27" t="str">
        <f t="shared" si="1"/>
        <v>New Logo</v>
      </c>
      <c r="AH86" s="27" t="str">
        <f t="shared" si="5"/>
        <v>Lead</v>
      </c>
      <c r="AI86" s="27" t="str">
        <f t="shared" si="6"/>
        <v>201-500</v>
      </c>
      <c r="AJ86" s="27" t="str">
        <f t="shared" si="7"/>
        <v>51-100</v>
      </c>
    </row>
    <row r="87" ht="15.75" customHeight="1">
      <c r="A87" s="23">
        <f>HYPERLINK("https://app.hubspot.com/contacts/8748051/record/0-3/51684994066", 51684994066)</f>
        <v>51684994066</v>
      </c>
      <c r="B87" s="24" t="s">
        <v>400</v>
      </c>
      <c r="C87" s="24" t="s">
        <v>50</v>
      </c>
      <c r="D87" s="25">
        <v>15000.0</v>
      </c>
      <c r="E87" s="24" t="s">
        <v>127</v>
      </c>
      <c r="F87" s="24" t="s">
        <v>52</v>
      </c>
      <c r="G87" s="26">
        <v>46002.72540509259</v>
      </c>
      <c r="H87" s="26">
        <v>46203.40762731482</v>
      </c>
      <c r="I87" s="24" t="s">
        <v>40</v>
      </c>
      <c r="J87" s="24" t="s">
        <v>41</v>
      </c>
      <c r="K87" s="24" t="s">
        <v>42</v>
      </c>
      <c r="L87" s="24" t="s">
        <v>43</v>
      </c>
      <c r="M87" s="24" t="s">
        <v>44</v>
      </c>
      <c r="N87" s="27"/>
      <c r="O87" s="24"/>
      <c r="P87" s="24"/>
      <c r="Q87" s="24" t="s">
        <v>401</v>
      </c>
      <c r="R87" s="23">
        <f>HYPERLINK("https://app.hubspot.com/contacts/8748051/record/0-2/47058468877", 47058468877)</f>
        <v>47058468877</v>
      </c>
      <c r="S87" s="24" t="s">
        <v>402</v>
      </c>
      <c r="T87" s="28" t="s">
        <v>403</v>
      </c>
      <c r="U87" s="24"/>
      <c r="V87" s="24"/>
      <c r="W87" s="32"/>
      <c r="X87" s="29">
        <v>50.0</v>
      </c>
      <c r="Y87" s="29">
        <v>9.0</v>
      </c>
      <c r="Z87" s="30" t="s">
        <v>108</v>
      </c>
      <c r="AA87" s="31"/>
      <c r="AB87" s="31"/>
      <c r="AC87" s="31"/>
      <c r="AD87" s="31"/>
      <c r="AE87" s="31"/>
      <c r="AF87" s="31"/>
      <c r="AG87" s="27" t="str">
        <f t="shared" si="1"/>
        <v>New Logo</v>
      </c>
      <c r="AH87" s="27" t="str">
        <f t="shared" si="5"/>
        <v>Lead</v>
      </c>
      <c r="AI87" s="27" t="str">
        <f t="shared" si="6"/>
        <v>0-200</v>
      </c>
      <c r="AJ87" s="27" t="str">
        <f t="shared" si="7"/>
        <v>0-20</v>
      </c>
    </row>
    <row r="88" ht="15.75" customHeight="1">
      <c r="A88" s="23">
        <f>HYPERLINK("https://app.hubspot.com/contacts/8748051/record/0-3/51655318907", 51655318907)</f>
        <v>51655318907</v>
      </c>
      <c r="B88" s="24" t="s">
        <v>404</v>
      </c>
      <c r="C88" s="24" t="s">
        <v>38</v>
      </c>
      <c r="D88" s="25">
        <v>12500.0</v>
      </c>
      <c r="E88" s="24" t="s">
        <v>39</v>
      </c>
      <c r="F88" s="24"/>
      <c r="G88" s="26">
        <v>46002.385104166664</v>
      </c>
      <c r="H88" s="26">
        <v>46245.40986111111</v>
      </c>
      <c r="I88" s="24" t="s">
        <v>40</v>
      </c>
      <c r="J88" s="24" t="s">
        <v>41</v>
      </c>
      <c r="K88" s="24" t="s">
        <v>42</v>
      </c>
      <c r="L88" s="24" t="s">
        <v>43</v>
      </c>
      <c r="M88" s="24" t="s">
        <v>74</v>
      </c>
      <c r="N88" s="24"/>
      <c r="O88" s="27"/>
      <c r="P88" s="24"/>
      <c r="Q88" s="24"/>
      <c r="R88" s="23">
        <f>HYPERLINK("https://app.hubspot.com/contacts/8748051/record/0-2/19176574816", 19176574816)</f>
        <v>19176574816</v>
      </c>
      <c r="S88" s="24" t="s">
        <v>405</v>
      </c>
      <c r="T88" s="28" t="s">
        <v>406</v>
      </c>
      <c r="U88" s="24" t="s">
        <v>47</v>
      </c>
      <c r="V88" s="24"/>
      <c r="W88" s="25"/>
      <c r="X88" s="29">
        <v>105.0</v>
      </c>
      <c r="Y88" s="29">
        <v>25.0</v>
      </c>
      <c r="Z88" s="30" t="s">
        <v>108</v>
      </c>
      <c r="AA88" s="30"/>
      <c r="AB88" s="31"/>
      <c r="AC88" s="31"/>
      <c r="AD88" s="30"/>
      <c r="AE88" s="31"/>
      <c r="AF88" s="31"/>
      <c r="AG88" s="27" t="str">
        <f t="shared" si="1"/>
        <v>New Logo</v>
      </c>
      <c r="AH88" s="27" t="str">
        <f t="shared" si="5"/>
        <v>Lead</v>
      </c>
      <c r="AI88" s="27" t="str">
        <f t="shared" si="6"/>
        <v>0-200</v>
      </c>
      <c r="AJ88" s="27" t="str">
        <f t="shared" si="7"/>
        <v>21-50</v>
      </c>
    </row>
    <row r="89" ht="15.75" customHeight="1">
      <c r="A89" s="23">
        <f>HYPERLINK("https://app.hubspot.com/contacts/8748051/record/0-3/51634328111", 51634328111)</f>
        <v>51634328111</v>
      </c>
      <c r="B89" s="24" t="s">
        <v>407</v>
      </c>
      <c r="C89" s="24" t="s">
        <v>50</v>
      </c>
      <c r="D89" s="25">
        <v>0.0</v>
      </c>
      <c r="E89" s="24" t="s">
        <v>73</v>
      </c>
      <c r="F89" s="24"/>
      <c r="G89" s="26">
        <v>46001.6953125</v>
      </c>
      <c r="H89" s="26">
        <v>46181.69527777778</v>
      </c>
      <c r="I89" s="24" t="s">
        <v>40</v>
      </c>
      <c r="J89" s="24" t="s">
        <v>41</v>
      </c>
      <c r="K89" s="24" t="s">
        <v>42</v>
      </c>
      <c r="L89" s="24" t="s">
        <v>43</v>
      </c>
      <c r="M89" s="24" t="s">
        <v>44</v>
      </c>
      <c r="N89" s="24"/>
      <c r="O89" s="27"/>
      <c r="P89" s="24" t="s">
        <v>234</v>
      </c>
      <c r="Q89" s="27"/>
      <c r="R89" s="23">
        <f>HYPERLINK("https://app.hubspot.com/contacts/8748051/record/0-2/46942005066", 46942005066)</f>
        <v>46942005066</v>
      </c>
      <c r="S89" s="24" t="s">
        <v>408</v>
      </c>
      <c r="T89" s="28" t="s">
        <v>409</v>
      </c>
      <c r="U89" s="24"/>
      <c r="V89" s="24"/>
      <c r="W89" s="25"/>
      <c r="X89" s="29">
        <v>7.0</v>
      </c>
      <c r="Y89" s="29">
        <v>0.0</v>
      </c>
      <c r="Z89" s="30"/>
      <c r="AA89" s="30"/>
      <c r="AB89" s="31"/>
      <c r="AC89" s="31"/>
      <c r="AD89" s="30"/>
      <c r="AE89" s="31"/>
      <c r="AF89" s="31"/>
      <c r="AG89" s="27" t="str">
        <f t="shared" si="1"/>
        <v>New Logo</v>
      </c>
      <c r="AH89" s="27" t="str">
        <f t="shared" si="5"/>
        <v>Lead</v>
      </c>
      <c r="AI89" s="27" t="str">
        <f t="shared" si="6"/>
        <v>0-200</v>
      </c>
      <c r="AJ89" s="27" t="str">
        <f t="shared" si="7"/>
        <v>0-20</v>
      </c>
    </row>
    <row r="90" ht="15.75" customHeight="1">
      <c r="A90" s="23">
        <f>HYPERLINK("https://app.hubspot.com/contacts/8748051/record/0-3/51518937694", 51518937694)</f>
        <v>51518937694</v>
      </c>
      <c r="B90" s="24" t="s">
        <v>410</v>
      </c>
      <c r="C90" s="24" t="s">
        <v>50</v>
      </c>
      <c r="D90" s="25">
        <v>50000.0</v>
      </c>
      <c r="E90" s="24" t="s">
        <v>51</v>
      </c>
      <c r="F90" s="24" t="s">
        <v>52</v>
      </c>
      <c r="G90" s="26">
        <v>46001.63545138889</v>
      </c>
      <c r="H90" s="26">
        <v>46203.71450231481</v>
      </c>
      <c r="I90" s="24" t="s">
        <v>40</v>
      </c>
      <c r="J90" s="24" t="s">
        <v>41</v>
      </c>
      <c r="K90" s="24" t="s">
        <v>60</v>
      </c>
      <c r="L90" s="24" t="s">
        <v>61</v>
      </c>
      <c r="M90" s="24" t="s">
        <v>44</v>
      </c>
      <c r="N90" s="24"/>
      <c r="O90" s="27"/>
      <c r="P90" s="24"/>
      <c r="Q90" s="24"/>
      <c r="R90" s="23">
        <f>HYPERLINK("https://app.hubspot.com/contacts/8748051/record/0-2/47245239937", 47245239937)</f>
        <v>47245239937</v>
      </c>
      <c r="S90" s="24" t="s">
        <v>411</v>
      </c>
      <c r="T90" s="24" t="s">
        <v>412</v>
      </c>
      <c r="U90" s="24"/>
      <c r="V90" s="24"/>
      <c r="W90" s="25"/>
      <c r="X90" s="29">
        <v>255.0</v>
      </c>
      <c r="Y90" s="29">
        <v>58.0</v>
      </c>
      <c r="Z90" s="30" t="s">
        <v>71</v>
      </c>
      <c r="AA90" s="30"/>
      <c r="AB90" s="31"/>
      <c r="AC90" s="31"/>
      <c r="AD90" s="30"/>
      <c r="AE90" s="31"/>
      <c r="AF90" s="31"/>
      <c r="AG90" s="27" t="str">
        <f t="shared" si="1"/>
        <v>New Logo</v>
      </c>
      <c r="AH90" s="27" t="str">
        <f t="shared" si="5"/>
        <v>Lead</v>
      </c>
      <c r="AI90" s="27" t="str">
        <f t="shared" si="6"/>
        <v>201-500</v>
      </c>
      <c r="AJ90" s="27" t="str">
        <f t="shared" si="7"/>
        <v>51-100</v>
      </c>
    </row>
    <row r="91" ht="15.75" customHeight="1">
      <c r="A91" s="23">
        <f>HYPERLINK("https://app.hubspot.com/contacts/8748051/record/0-3/51528548755", 51528548755)</f>
        <v>51528548755</v>
      </c>
      <c r="B91" s="24" t="s">
        <v>413</v>
      </c>
      <c r="C91" s="24" t="s">
        <v>38</v>
      </c>
      <c r="D91" s="25">
        <v>6500.0</v>
      </c>
      <c r="E91" s="24" t="s">
        <v>73</v>
      </c>
      <c r="F91" s="24"/>
      <c r="G91" s="26">
        <v>46000.687743055554</v>
      </c>
      <c r="H91" s="26">
        <v>46180.68771990741</v>
      </c>
      <c r="I91" s="24" t="s">
        <v>40</v>
      </c>
      <c r="J91" s="24" t="s">
        <v>41</v>
      </c>
      <c r="K91" s="24" t="s">
        <v>42</v>
      </c>
      <c r="L91" s="24" t="s">
        <v>43</v>
      </c>
      <c r="M91" s="24" t="s">
        <v>44</v>
      </c>
      <c r="N91" s="24"/>
      <c r="O91" s="27"/>
      <c r="P91" s="24" t="s">
        <v>75</v>
      </c>
      <c r="Q91" s="24"/>
      <c r="R91" s="23">
        <f>HYPERLINK("https://app.hubspot.com/contacts/8748051/record/0-2/46909196430", 46909196430)</f>
        <v>46909196430</v>
      </c>
      <c r="S91" s="24" t="s">
        <v>414</v>
      </c>
      <c r="T91" s="28" t="s">
        <v>415</v>
      </c>
      <c r="U91" s="24"/>
      <c r="V91" s="24"/>
      <c r="W91" s="25"/>
      <c r="X91" s="29">
        <v>45.0</v>
      </c>
      <c r="Y91" s="29">
        <v>13.0</v>
      </c>
      <c r="Z91" s="30"/>
      <c r="AA91" s="30"/>
      <c r="AB91" s="30"/>
      <c r="AC91" s="31"/>
      <c r="AD91" s="30"/>
      <c r="AE91" s="31"/>
      <c r="AF91" s="30"/>
      <c r="AG91" s="27" t="str">
        <f t="shared" si="1"/>
        <v>New Logo</v>
      </c>
      <c r="AH91" s="27" t="str">
        <f t="shared" si="5"/>
        <v>Lead</v>
      </c>
      <c r="AI91" s="27" t="str">
        <f t="shared" si="6"/>
        <v>0-200</v>
      </c>
      <c r="AJ91" s="27" t="str">
        <f t="shared" si="7"/>
        <v>0-20</v>
      </c>
    </row>
    <row r="92" ht="15.75" customHeight="1">
      <c r="A92" s="23">
        <f>HYPERLINK("https://app.hubspot.com/contacts/8748051/record/0-3/51521629606", 51521629606)</f>
        <v>51521629606</v>
      </c>
      <c r="B92" s="24" t="s">
        <v>416</v>
      </c>
      <c r="C92" s="24" t="s">
        <v>50</v>
      </c>
      <c r="D92" s="25">
        <v>3500.0</v>
      </c>
      <c r="E92" s="24" t="s">
        <v>73</v>
      </c>
      <c r="F92" s="24"/>
      <c r="G92" s="26">
        <v>46000.59458333333</v>
      </c>
      <c r="H92" s="26">
        <v>46000.68425925926</v>
      </c>
      <c r="I92" s="24" t="s">
        <v>40</v>
      </c>
      <c r="J92" s="24" t="s">
        <v>41</v>
      </c>
      <c r="K92" s="24" t="s">
        <v>42</v>
      </c>
      <c r="L92" s="24" t="s">
        <v>43</v>
      </c>
      <c r="M92" s="24" t="s">
        <v>44</v>
      </c>
      <c r="N92" s="24"/>
      <c r="O92" s="27"/>
      <c r="P92" s="24" t="s">
        <v>122</v>
      </c>
      <c r="Q92" s="24"/>
      <c r="R92" s="23">
        <f>HYPERLINK("https://app.hubspot.com/contacts/8748051/record/0-2/46912343452", 46912343452)</f>
        <v>46912343452</v>
      </c>
      <c r="S92" s="24" t="s">
        <v>417</v>
      </c>
      <c r="T92" s="28" t="s">
        <v>418</v>
      </c>
      <c r="U92" s="24"/>
      <c r="V92" s="24"/>
      <c r="W92" s="25"/>
      <c r="X92" s="29">
        <v>75.0</v>
      </c>
      <c r="Y92" s="29">
        <v>7.0</v>
      </c>
      <c r="Z92" s="30"/>
      <c r="AA92" s="30"/>
      <c r="AB92" s="30"/>
      <c r="AC92" s="31"/>
      <c r="AD92" s="31"/>
      <c r="AE92" s="31"/>
      <c r="AF92" s="31"/>
      <c r="AG92" s="27" t="str">
        <f t="shared" si="1"/>
        <v>New Logo</v>
      </c>
      <c r="AH92" s="27" t="str">
        <f t="shared" si="5"/>
        <v>Lead</v>
      </c>
      <c r="AI92" s="27" t="str">
        <f t="shared" si="6"/>
        <v>0-200</v>
      </c>
      <c r="AJ92" s="27" t="str">
        <f t="shared" si="7"/>
        <v>0-20</v>
      </c>
    </row>
    <row r="93" ht="15.75" customHeight="1">
      <c r="A93" s="23">
        <f>HYPERLINK("https://app.hubspot.com/contacts/8748051/record/0-3/51441209176", 51441209176)</f>
        <v>51441209176</v>
      </c>
      <c r="B93" s="24" t="s">
        <v>419</v>
      </c>
      <c r="C93" s="24" t="s">
        <v>38</v>
      </c>
      <c r="D93" s="25">
        <v>20000.0</v>
      </c>
      <c r="E93" s="24" t="s">
        <v>92</v>
      </c>
      <c r="F93" s="24" t="s">
        <v>52</v>
      </c>
      <c r="G93" s="26">
        <v>46000.38621527778</v>
      </c>
      <c r="H93" s="26">
        <v>46069.00761574074</v>
      </c>
      <c r="I93" s="24" t="s">
        <v>40</v>
      </c>
      <c r="J93" s="24" t="s">
        <v>41</v>
      </c>
      <c r="K93" s="24" t="s">
        <v>42</v>
      </c>
      <c r="L93" s="24" t="s">
        <v>43</v>
      </c>
      <c r="M93" s="24" t="s">
        <v>44</v>
      </c>
      <c r="N93" s="24" t="s">
        <v>420</v>
      </c>
      <c r="O93" s="24"/>
      <c r="P93" s="27"/>
      <c r="Q93" s="24"/>
      <c r="R93" s="23">
        <f>HYPERLINK("https://app.hubspot.com/contacts/8748051/record/0-2/19177041320", 19177041320)</f>
        <v>19177041320</v>
      </c>
      <c r="S93" s="24" t="s">
        <v>421</v>
      </c>
      <c r="T93" s="28" t="s">
        <v>422</v>
      </c>
      <c r="U93" s="24" t="s">
        <v>96</v>
      </c>
      <c r="V93" s="24"/>
      <c r="W93" s="25">
        <v>20000.0</v>
      </c>
      <c r="X93" s="29">
        <v>403.0</v>
      </c>
      <c r="Y93" s="29">
        <v>28.0</v>
      </c>
      <c r="Z93" s="30"/>
      <c r="AA93" s="30" t="s">
        <v>166</v>
      </c>
      <c r="AB93" s="30" t="s">
        <v>194</v>
      </c>
      <c r="AC93" s="31"/>
      <c r="AD93" s="30"/>
      <c r="AE93" s="31"/>
      <c r="AF93" s="31"/>
      <c r="AG93" s="27" t="str">
        <f t="shared" si="1"/>
        <v>New Logo</v>
      </c>
      <c r="AH93" s="27" t="str">
        <f t="shared" si="5"/>
        <v>Customer</v>
      </c>
      <c r="AI93" s="27" t="str">
        <f t="shared" si="6"/>
        <v>201-500</v>
      </c>
      <c r="AJ93" s="27" t="str">
        <f t="shared" si="7"/>
        <v>21-50</v>
      </c>
    </row>
    <row r="94" ht="15.75" customHeight="1">
      <c r="A94" s="23">
        <f>HYPERLINK("https://app.hubspot.com/contacts/8748051/record/0-3/51340096341", 51340096341)</f>
        <v>51340096341</v>
      </c>
      <c r="B94" s="24" t="s">
        <v>423</v>
      </c>
      <c r="C94" s="24" t="s">
        <v>148</v>
      </c>
      <c r="D94" s="25">
        <v>19000.0</v>
      </c>
      <c r="E94" s="24" t="s">
        <v>73</v>
      </c>
      <c r="F94" s="24"/>
      <c r="G94" s="26">
        <v>46000.38076388889</v>
      </c>
      <c r="H94" s="26">
        <v>46180.386400462965</v>
      </c>
      <c r="I94" s="24" t="s">
        <v>40</v>
      </c>
      <c r="J94" s="24" t="s">
        <v>41</v>
      </c>
      <c r="K94" s="24" t="s">
        <v>60</v>
      </c>
      <c r="L94" s="24" t="s">
        <v>61</v>
      </c>
      <c r="M94" s="24" t="s">
        <v>44</v>
      </c>
      <c r="N94" s="27"/>
      <c r="O94" s="27"/>
      <c r="P94" s="24" t="s">
        <v>122</v>
      </c>
      <c r="Q94" s="24"/>
      <c r="R94" s="23">
        <f>HYPERLINK("https://app.hubspot.com/contacts/8748051/record/0-2/18002762655", 18002762655)</f>
        <v>18002762655</v>
      </c>
      <c r="S94" s="24" t="s">
        <v>424</v>
      </c>
      <c r="T94" s="28" t="s">
        <v>425</v>
      </c>
      <c r="U94" s="24" t="s">
        <v>47</v>
      </c>
      <c r="V94" s="24"/>
      <c r="W94" s="32"/>
      <c r="X94" s="29">
        <v>192.0</v>
      </c>
      <c r="Y94" s="29">
        <v>38.0</v>
      </c>
      <c r="Z94" s="30"/>
      <c r="AA94" s="31"/>
      <c r="AB94" s="31"/>
      <c r="AC94" s="31"/>
      <c r="AD94" s="31"/>
      <c r="AE94" s="31"/>
      <c r="AF94" s="31"/>
      <c r="AG94" s="27" t="str">
        <f t="shared" si="1"/>
        <v>New Logo</v>
      </c>
      <c r="AH94" s="27" t="str">
        <f t="shared" si="5"/>
        <v>Lead</v>
      </c>
      <c r="AI94" s="27" t="str">
        <f t="shared" si="6"/>
        <v>0-200</v>
      </c>
      <c r="AJ94" s="27" t="str">
        <f t="shared" si="7"/>
        <v>21-50</v>
      </c>
    </row>
    <row r="95" ht="15.75" customHeight="1">
      <c r="A95" s="23">
        <f>HYPERLINK("https://app.hubspot.com/contacts/8748051/record/0-3/51445687066", 51445687066)</f>
        <v>51445687066</v>
      </c>
      <c r="B95" s="24" t="s">
        <v>426</v>
      </c>
      <c r="C95" s="24" t="s">
        <v>38</v>
      </c>
      <c r="D95" s="25">
        <v>5000.0</v>
      </c>
      <c r="E95" s="24" t="s">
        <v>127</v>
      </c>
      <c r="F95" s="24" t="s">
        <v>52</v>
      </c>
      <c r="G95" s="26">
        <v>45999.596504629626</v>
      </c>
      <c r="H95" s="26">
        <v>46108.668599537035</v>
      </c>
      <c r="I95" s="24" t="s">
        <v>40</v>
      </c>
      <c r="J95" s="24" t="s">
        <v>41</v>
      </c>
      <c r="K95" s="24" t="s">
        <v>42</v>
      </c>
      <c r="L95" s="24" t="s">
        <v>43</v>
      </c>
      <c r="M95" s="24" t="s">
        <v>74</v>
      </c>
      <c r="N95" s="24"/>
      <c r="O95" s="24"/>
      <c r="P95" s="24"/>
      <c r="Q95" s="24" t="s">
        <v>144</v>
      </c>
      <c r="R95" s="23">
        <f>HYPERLINK("https://app.hubspot.com/contacts/8748051/record/0-2/46777806410", 46777806410)</f>
        <v>46777806410</v>
      </c>
      <c r="S95" s="24" t="s">
        <v>427</v>
      </c>
      <c r="T95" s="28" t="s">
        <v>428</v>
      </c>
      <c r="U95" s="24"/>
      <c r="V95" s="24"/>
      <c r="W95" s="25"/>
      <c r="X95" s="29">
        <v>30.0</v>
      </c>
      <c r="Y95" s="29">
        <v>3.0</v>
      </c>
      <c r="Z95" s="30"/>
      <c r="AA95" s="30"/>
      <c r="AB95" s="31"/>
      <c r="AC95" s="30"/>
      <c r="AD95" s="30"/>
      <c r="AE95" s="30"/>
      <c r="AF95" s="30"/>
      <c r="AG95" s="27" t="str">
        <f t="shared" si="1"/>
        <v>New Logo</v>
      </c>
      <c r="AH95" s="27" t="str">
        <f t="shared" si="5"/>
        <v>Lead</v>
      </c>
      <c r="AI95" s="27" t="str">
        <f t="shared" si="6"/>
        <v>0-200</v>
      </c>
      <c r="AJ95" s="27" t="str">
        <f t="shared" si="7"/>
        <v>0-20</v>
      </c>
    </row>
    <row r="96" ht="15.75" customHeight="1">
      <c r="A96" s="23">
        <f>HYPERLINK("https://app.hubspot.com/contacts/8748051/record/0-3/51149486686", 51149486686)</f>
        <v>51149486686</v>
      </c>
      <c r="B96" s="24" t="s">
        <v>429</v>
      </c>
      <c r="C96" s="24" t="s">
        <v>50</v>
      </c>
      <c r="D96" s="25">
        <v>25000.0</v>
      </c>
      <c r="E96" s="24" t="s">
        <v>127</v>
      </c>
      <c r="F96" s="24" t="s">
        <v>52</v>
      </c>
      <c r="G96" s="26">
        <v>45994.545636574076</v>
      </c>
      <c r="H96" s="26">
        <v>46295.33232638889</v>
      </c>
      <c r="I96" s="24" t="s">
        <v>40</v>
      </c>
      <c r="J96" s="24" t="s">
        <v>41</v>
      </c>
      <c r="K96" s="24" t="s">
        <v>42</v>
      </c>
      <c r="L96" s="24" t="s">
        <v>43</v>
      </c>
      <c r="M96" s="24" t="s">
        <v>44</v>
      </c>
      <c r="N96" s="24"/>
      <c r="O96" s="27"/>
      <c r="P96" s="24"/>
      <c r="Q96" s="24" t="s">
        <v>238</v>
      </c>
      <c r="R96" s="23">
        <f>HYPERLINK("https://app.hubspot.com/contacts/8748051/record/0-2/18003109253", 18003109253)</f>
        <v>18003109253</v>
      </c>
      <c r="S96" s="24" t="s">
        <v>430</v>
      </c>
      <c r="T96" s="28" t="s">
        <v>431</v>
      </c>
      <c r="U96" s="24" t="s">
        <v>47</v>
      </c>
      <c r="V96" s="24"/>
      <c r="W96" s="25"/>
      <c r="X96" s="29">
        <v>101.0</v>
      </c>
      <c r="Y96" s="29">
        <v>13.0</v>
      </c>
      <c r="Z96" s="30"/>
      <c r="AA96" s="30"/>
      <c r="AB96" s="30"/>
      <c r="AC96" s="30"/>
      <c r="AD96" s="30"/>
      <c r="AE96" s="30"/>
      <c r="AF96" s="30"/>
      <c r="AG96" s="27" t="str">
        <f t="shared" si="1"/>
        <v>New Logo</v>
      </c>
      <c r="AH96" s="27" t="str">
        <f t="shared" si="5"/>
        <v>Lead</v>
      </c>
      <c r="AI96" s="27" t="str">
        <f t="shared" si="6"/>
        <v>0-200</v>
      </c>
      <c r="AJ96" s="27" t="str">
        <f t="shared" si="7"/>
        <v>0-20</v>
      </c>
    </row>
    <row r="97" ht="15.75" customHeight="1">
      <c r="A97" s="23">
        <f>HYPERLINK("https://app.hubspot.com/contacts/8748051/record/0-3/51042426447", 51042426447)</f>
        <v>51042426447</v>
      </c>
      <c r="B97" s="24" t="s">
        <v>432</v>
      </c>
      <c r="C97" s="24" t="s">
        <v>148</v>
      </c>
      <c r="D97" s="25">
        <v>1000.0</v>
      </c>
      <c r="E97" s="24" t="s">
        <v>73</v>
      </c>
      <c r="F97" s="24"/>
      <c r="G97" s="26">
        <v>45993.51520833333</v>
      </c>
      <c r="H97" s="26">
        <v>46173.515185185184</v>
      </c>
      <c r="I97" s="24" t="s">
        <v>40</v>
      </c>
      <c r="J97" s="24" t="s">
        <v>41</v>
      </c>
      <c r="K97" s="24" t="s">
        <v>42</v>
      </c>
      <c r="L97" s="24" t="s">
        <v>43</v>
      </c>
      <c r="M97" s="24" t="s">
        <v>44</v>
      </c>
      <c r="N97" s="24"/>
      <c r="O97" s="24"/>
      <c r="P97" s="24" t="s">
        <v>213</v>
      </c>
      <c r="Q97" s="24"/>
      <c r="R97" s="23">
        <f>HYPERLINK("https://app.hubspot.com/contacts/8748051/record/0-2/46444519487", 46444519487)</f>
        <v>46444519487</v>
      </c>
      <c r="S97" s="24" t="s">
        <v>433</v>
      </c>
      <c r="T97" s="28" t="s">
        <v>434</v>
      </c>
      <c r="U97" s="24"/>
      <c r="V97" s="24"/>
      <c r="W97" s="25"/>
      <c r="X97" s="29">
        <v>12.0</v>
      </c>
      <c r="Y97" s="29">
        <v>2.0</v>
      </c>
      <c r="Z97" s="30"/>
      <c r="AA97" s="30"/>
      <c r="AB97" s="30"/>
      <c r="AC97" s="30"/>
      <c r="AD97" s="30"/>
      <c r="AE97" s="30"/>
      <c r="AF97" s="30"/>
      <c r="AG97" s="27" t="str">
        <f t="shared" si="1"/>
        <v>New Logo</v>
      </c>
      <c r="AH97" s="27" t="str">
        <f t="shared" si="5"/>
        <v>Lead</v>
      </c>
      <c r="AI97" s="27" t="str">
        <f t="shared" si="6"/>
        <v>0-200</v>
      </c>
      <c r="AJ97" s="27" t="str">
        <f t="shared" si="7"/>
        <v>0-20</v>
      </c>
    </row>
    <row r="98" ht="15.75" customHeight="1">
      <c r="A98" s="23">
        <f>HYPERLINK("https://app.hubspot.com/contacts/8748051/record/0-3/50794622517", 50794622517)</f>
        <v>50794622517</v>
      </c>
      <c r="B98" s="24" t="s">
        <v>435</v>
      </c>
      <c r="C98" s="24" t="s">
        <v>38</v>
      </c>
      <c r="D98" s="25">
        <v>100000.0</v>
      </c>
      <c r="E98" s="24" t="s">
        <v>73</v>
      </c>
      <c r="F98" s="24"/>
      <c r="G98" s="26">
        <v>45992.710868055554</v>
      </c>
      <c r="H98" s="26">
        <v>46172.71084490741</v>
      </c>
      <c r="I98" s="24" t="s">
        <v>40</v>
      </c>
      <c r="J98" s="24" t="s">
        <v>53</v>
      </c>
      <c r="K98" s="24" t="s">
        <v>60</v>
      </c>
      <c r="L98" s="24" t="s">
        <v>61</v>
      </c>
      <c r="M98" s="24" t="s">
        <v>44</v>
      </c>
      <c r="N98" s="24"/>
      <c r="O98" s="27"/>
      <c r="P98" s="24" t="s">
        <v>234</v>
      </c>
      <c r="Q98" s="24"/>
      <c r="R98" s="23">
        <f>HYPERLINK("https://app.hubspot.com/contacts/8748051/record/0-2/37933644947", 37933644947)</f>
        <v>37933644947</v>
      </c>
      <c r="S98" s="24" t="s">
        <v>436</v>
      </c>
      <c r="T98" s="28" t="s">
        <v>437</v>
      </c>
      <c r="U98" s="24"/>
      <c r="V98" s="24"/>
      <c r="W98" s="25"/>
      <c r="X98" s="29">
        <v>13600.0</v>
      </c>
      <c r="Y98" s="29">
        <v>267.0</v>
      </c>
      <c r="Z98" s="30"/>
      <c r="AA98" s="30"/>
      <c r="AB98" s="30"/>
      <c r="AC98" s="30"/>
      <c r="AD98" s="30"/>
      <c r="AE98" s="30"/>
      <c r="AF98" s="30"/>
      <c r="AG98" s="27" t="str">
        <f t="shared" si="1"/>
        <v>New Logo</v>
      </c>
      <c r="AH98" s="27" t="str">
        <f t="shared" si="5"/>
        <v>Lead</v>
      </c>
      <c r="AI98" s="27" t="str">
        <f t="shared" si="6"/>
        <v>10000+</v>
      </c>
      <c r="AJ98" s="27" t="str">
        <f t="shared" si="7"/>
        <v>101-500</v>
      </c>
    </row>
    <row r="99" ht="15.75" customHeight="1">
      <c r="A99" s="23">
        <f>HYPERLINK("https://app.hubspot.com/contacts/8748051/record/0-3/50871348566", 50871348566)</f>
        <v>50871348566</v>
      </c>
      <c r="B99" s="24" t="s">
        <v>438</v>
      </c>
      <c r="C99" s="24" t="s">
        <v>38</v>
      </c>
      <c r="D99" s="25">
        <v>15000.0</v>
      </c>
      <c r="E99" s="24" t="s">
        <v>127</v>
      </c>
      <c r="F99" s="24" t="s">
        <v>52</v>
      </c>
      <c r="G99" s="26">
        <v>45992.688425925924</v>
      </c>
      <c r="H99" s="26">
        <v>46163.022314814814</v>
      </c>
      <c r="I99" s="24" t="s">
        <v>40</v>
      </c>
      <c r="J99" s="24" t="s">
        <v>53</v>
      </c>
      <c r="K99" s="24" t="s">
        <v>42</v>
      </c>
      <c r="L99" s="24" t="s">
        <v>43</v>
      </c>
      <c r="M99" s="24" t="s">
        <v>44</v>
      </c>
      <c r="N99" s="24"/>
      <c r="O99" s="27"/>
      <c r="P99" s="24"/>
      <c r="Q99" s="24" t="s">
        <v>197</v>
      </c>
      <c r="R99" s="23">
        <f>HYPERLINK("https://app.hubspot.com/contacts/8748051/record/0-2/43795392292", 43795392292)</f>
        <v>43795392292</v>
      </c>
      <c r="S99" s="24" t="s">
        <v>439</v>
      </c>
      <c r="T99" s="28" t="s">
        <v>440</v>
      </c>
      <c r="U99" s="24"/>
      <c r="V99" s="24"/>
      <c r="W99" s="25"/>
      <c r="X99" s="29">
        <v>5955.0</v>
      </c>
      <c r="Y99" s="29">
        <v>250.0</v>
      </c>
      <c r="Z99" s="30"/>
      <c r="AA99" s="30"/>
      <c r="AB99" s="31"/>
      <c r="AC99" s="31"/>
      <c r="AD99" s="30"/>
      <c r="AE99" s="30"/>
      <c r="AF99" s="30"/>
      <c r="AG99" s="27" t="str">
        <f t="shared" si="1"/>
        <v>New Logo</v>
      </c>
      <c r="AH99" s="27" t="str">
        <f t="shared" si="5"/>
        <v>Lead</v>
      </c>
      <c r="AI99" s="27" t="str">
        <f t="shared" si="6"/>
        <v>5000-10000</v>
      </c>
      <c r="AJ99" s="27" t="str">
        <f t="shared" si="7"/>
        <v>101-500</v>
      </c>
    </row>
    <row r="100" ht="15.75" customHeight="1">
      <c r="A100" s="23">
        <f>HYPERLINK("https://app.hubspot.com/contacts/8748051/record/0-3/50793353798", 50793353798)</f>
        <v>50793353798</v>
      </c>
      <c r="B100" s="24" t="s">
        <v>441</v>
      </c>
      <c r="C100" s="24" t="s">
        <v>38</v>
      </c>
      <c r="D100" s="25">
        <v>25000.0</v>
      </c>
      <c r="E100" s="24" t="s">
        <v>442</v>
      </c>
      <c r="F100" s="24" t="s">
        <v>52</v>
      </c>
      <c r="G100" s="26">
        <v>45992.60959490741</v>
      </c>
      <c r="H100" s="26">
        <v>46143.412939814814</v>
      </c>
      <c r="I100" s="24" t="s">
        <v>40</v>
      </c>
      <c r="J100" s="24" t="s">
        <v>41</v>
      </c>
      <c r="K100" s="24" t="s">
        <v>42</v>
      </c>
      <c r="L100" s="24" t="s">
        <v>43</v>
      </c>
      <c r="M100" s="24" t="s">
        <v>44</v>
      </c>
      <c r="N100" s="27"/>
      <c r="O100" s="24"/>
      <c r="P100" s="24"/>
      <c r="Q100" s="24"/>
      <c r="R100" s="23">
        <f>HYPERLINK("https://app.hubspot.com/contacts/8748051/record/0-2/46229441682", 46229441682)</f>
        <v>46229441682</v>
      </c>
      <c r="S100" s="24" t="s">
        <v>443</v>
      </c>
      <c r="T100" s="28" t="s">
        <v>444</v>
      </c>
      <c r="U100" s="24"/>
      <c r="V100" s="24"/>
      <c r="W100" s="32"/>
      <c r="X100" s="29">
        <v>123.0</v>
      </c>
      <c r="Y100" s="29">
        <v>16.0</v>
      </c>
      <c r="Z100" s="30" t="s">
        <v>108</v>
      </c>
      <c r="AA100" s="31"/>
      <c r="AB100" s="31"/>
      <c r="AC100" s="31"/>
      <c r="AD100" s="31"/>
      <c r="AE100" s="31"/>
      <c r="AF100" s="31"/>
      <c r="AG100" s="27" t="str">
        <f t="shared" si="1"/>
        <v>New Logo</v>
      </c>
      <c r="AH100" s="27" t="str">
        <f t="shared" si="5"/>
        <v>Lead</v>
      </c>
      <c r="AI100" s="27" t="str">
        <f t="shared" si="6"/>
        <v>0-200</v>
      </c>
      <c r="AJ100" s="27" t="str">
        <f t="shared" si="7"/>
        <v>0-20</v>
      </c>
    </row>
    <row r="101" ht="15.75" customHeight="1">
      <c r="A101" s="23">
        <f>HYPERLINK("https://app.hubspot.com/contacts/8748051/record/0-3/50478039948", 50478039948)</f>
        <v>50478039948</v>
      </c>
      <c r="B101" s="24" t="s">
        <v>445</v>
      </c>
      <c r="C101" s="24" t="s">
        <v>38</v>
      </c>
      <c r="D101" s="25">
        <v>36500.0</v>
      </c>
      <c r="E101" s="24" t="s">
        <v>127</v>
      </c>
      <c r="F101" s="24" t="s">
        <v>52</v>
      </c>
      <c r="G101" s="26">
        <v>45986.81113425926</v>
      </c>
      <c r="H101" s="26">
        <v>46166.81112268518</v>
      </c>
      <c r="I101" s="24" t="s">
        <v>40</v>
      </c>
      <c r="J101" s="24" t="s">
        <v>53</v>
      </c>
      <c r="K101" s="24" t="s">
        <v>42</v>
      </c>
      <c r="L101" s="24" t="s">
        <v>43</v>
      </c>
      <c r="M101" s="24" t="s">
        <v>44</v>
      </c>
      <c r="N101" s="27"/>
      <c r="O101" s="24"/>
      <c r="P101" s="24"/>
      <c r="Q101" s="24" t="s">
        <v>144</v>
      </c>
      <c r="R101" s="23">
        <f>HYPERLINK("https://app.hubspot.com/contacts/8748051/record/0-2/9460883813", 9460883813)</f>
        <v>9460883813</v>
      </c>
      <c r="S101" s="24" t="s">
        <v>446</v>
      </c>
      <c r="T101" s="24" t="s">
        <v>447</v>
      </c>
      <c r="U101" s="24"/>
      <c r="V101" s="24"/>
      <c r="W101" s="32"/>
      <c r="X101" s="29">
        <v>1187.0</v>
      </c>
      <c r="Y101" s="29">
        <v>89.0</v>
      </c>
      <c r="Z101" s="30" t="s">
        <v>71</v>
      </c>
      <c r="AA101" s="31"/>
      <c r="AB101" s="31"/>
      <c r="AC101" s="31"/>
      <c r="AD101" s="31"/>
      <c r="AE101" s="31"/>
      <c r="AF101" s="31"/>
      <c r="AG101" s="27" t="str">
        <f t="shared" si="1"/>
        <v>New Logo</v>
      </c>
      <c r="AH101" s="27" t="str">
        <f t="shared" si="5"/>
        <v>Lead</v>
      </c>
      <c r="AI101" s="27" t="str">
        <f t="shared" si="6"/>
        <v>1001-5000</v>
      </c>
      <c r="AJ101" s="27" t="str">
        <f t="shared" si="7"/>
        <v>51-100</v>
      </c>
    </row>
    <row r="102" ht="15.75" customHeight="1">
      <c r="A102" s="23">
        <f>HYPERLINK("https://app.hubspot.com/contacts/8748051/record/0-3/50461156525", 50461156525)</f>
        <v>50461156525</v>
      </c>
      <c r="B102" s="24" t="s">
        <v>448</v>
      </c>
      <c r="C102" s="24" t="s">
        <v>50</v>
      </c>
      <c r="D102" s="25">
        <v>100000.0</v>
      </c>
      <c r="E102" s="24" t="s">
        <v>149</v>
      </c>
      <c r="F102" s="24" t="s">
        <v>52</v>
      </c>
      <c r="G102" s="26">
        <v>45986.55112268519</v>
      </c>
      <c r="H102" s="26">
        <v>46031.411828703705</v>
      </c>
      <c r="I102" s="24" t="s">
        <v>40</v>
      </c>
      <c r="J102" s="24" t="s">
        <v>53</v>
      </c>
      <c r="K102" s="24" t="s">
        <v>42</v>
      </c>
      <c r="L102" s="24" t="s">
        <v>449</v>
      </c>
      <c r="M102" s="24" t="s">
        <v>74</v>
      </c>
      <c r="N102" s="24"/>
      <c r="O102" s="24" t="s">
        <v>450</v>
      </c>
      <c r="P102" s="24"/>
      <c r="Q102" s="24"/>
      <c r="R102" s="23">
        <f>HYPERLINK("https://app.hubspot.com/contacts/8748051/record/0-2/9238245459", 9238245459)</f>
        <v>9238245459</v>
      </c>
      <c r="S102" s="24" t="s">
        <v>451</v>
      </c>
      <c r="T102" s="28" t="s">
        <v>452</v>
      </c>
      <c r="U102" s="24" t="s">
        <v>47</v>
      </c>
      <c r="V102" s="24"/>
      <c r="W102" s="25"/>
      <c r="X102" s="29">
        <v>638.0</v>
      </c>
      <c r="Y102" s="29">
        <v>138.0</v>
      </c>
      <c r="Z102" s="30" t="s">
        <v>81</v>
      </c>
      <c r="AA102" s="30"/>
      <c r="AB102" s="31"/>
      <c r="AC102" s="30"/>
      <c r="AD102" s="30"/>
      <c r="AE102" s="30"/>
      <c r="AF102" s="30"/>
      <c r="AG102" s="27" t="str">
        <f t="shared" si="1"/>
        <v>New Logo</v>
      </c>
      <c r="AH102" s="27" t="str">
        <f t="shared" si="5"/>
        <v>Lead</v>
      </c>
      <c r="AI102" s="27" t="str">
        <f t="shared" si="6"/>
        <v>501-1000</v>
      </c>
      <c r="AJ102" s="27" t="str">
        <f t="shared" si="7"/>
        <v>101-500</v>
      </c>
    </row>
    <row r="103" ht="15.75" customHeight="1">
      <c r="A103" s="23">
        <f>HYPERLINK("https://app.hubspot.com/contacts/8748051/record/0-3/50452632124", 50452632124)</f>
        <v>50452632124</v>
      </c>
      <c r="B103" s="24" t="s">
        <v>453</v>
      </c>
      <c r="C103" s="24" t="s">
        <v>148</v>
      </c>
      <c r="D103" s="25">
        <v>99500.0</v>
      </c>
      <c r="E103" s="24" t="s">
        <v>73</v>
      </c>
      <c r="F103" s="24"/>
      <c r="G103" s="26">
        <v>45986.49275462963</v>
      </c>
      <c r="H103" s="26">
        <v>46166.49271990741</v>
      </c>
      <c r="I103" s="24" t="s">
        <v>40</v>
      </c>
      <c r="J103" s="24" t="s">
        <v>53</v>
      </c>
      <c r="K103" s="24" t="s">
        <v>42</v>
      </c>
      <c r="L103" s="24" t="s">
        <v>43</v>
      </c>
      <c r="M103" s="24" t="s">
        <v>44</v>
      </c>
      <c r="N103" s="24"/>
      <c r="O103" s="27"/>
      <c r="P103" s="24" t="s">
        <v>234</v>
      </c>
      <c r="Q103" s="24"/>
      <c r="R103" s="23">
        <f>HYPERLINK("https://app.hubspot.com/contacts/8748051/record/0-2/7715913391", 7715913391)</f>
        <v>7715913391</v>
      </c>
      <c r="S103" s="24" t="s">
        <v>454</v>
      </c>
      <c r="T103" s="28" t="s">
        <v>455</v>
      </c>
      <c r="U103" s="24" t="s">
        <v>47</v>
      </c>
      <c r="V103" s="24"/>
      <c r="W103" s="25"/>
      <c r="X103" s="29">
        <v>1019.0</v>
      </c>
      <c r="Y103" s="29">
        <v>183.0</v>
      </c>
      <c r="Z103" s="30" t="s">
        <v>456</v>
      </c>
      <c r="AA103" s="30"/>
      <c r="AB103" s="30"/>
      <c r="AC103" s="30"/>
      <c r="AD103" s="30"/>
      <c r="AE103" s="30"/>
      <c r="AF103" s="30"/>
      <c r="AG103" s="27" t="str">
        <f t="shared" si="1"/>
        <v>New Logo</v>
      </c>
      <c r="AH103" s="27" t="str">
        <f t="shared" si="5"/>
        <v>Lead</v>
      </c>
      <c r="AI103" s="27" t="str">
        <f t="shared" si="6"/>
        <v>1001-5000</v>
      </c>
      <c r="AJ103" s="27" t="str">
        <f t="shared" si="7"/>
        <v>101-500</v>
      </c>
    </row>
    <row r="104" ht="15.75" customHeight="1">
      <c r="A104" s="23">
        <f>HYPERLINK("https://app.hubspot.com/contacts/8748051/record/0-3/50435887955", 50435887955)</f>
        <v>50435887955</v>
      </c>
      <c r="B104" s="24" t="s">
        <v>457</v>
      </c>
      <c r="C104" s="24" t="s">
        <v>159</v>
      </c>
      <c r="D104" s="25">
        <v>-2540.0</v>
      </c>
      <c r="E104" s="24" t="s">
        <v>92</v>
      </c>
      <c r="F104" s="24"/>
      <c r="G104" s="26">
        <v>45985.6353125</v>
      </c>
      <c r="H104" s="26">
        <v>45985.63528935185</v>
      </c>
      <c r="I104" s="24" t="s">
        <v>40</v>
      </c>
      <c r="J104" s="24" t="s">
        <v>160</v>
      </c>
      <c r="K104" s="24" t="s">
        <v>161</v>
      </c>
      <c r="L104" s="24" t="s">
        <v>162</v>
      </c>
      <c r="M104" s="24" t="s">
        <v>44</v>
      </c>
      <c r="N104" s="24" t="s">
        <v>458</v>
      </c>
      <c r="O104" s="24"/>
      <c r="P104" s="24"/>
      <c r="Q104" s="24"/>
      <c r="R104" s="23">
        <f>HYPERLINK("https://app.hubspot.com/contacts/8748051/record/0-2/17267716867", 17267716867)</f>
        <v>17267716867</v>
      </c>
      <c r="S104" s="24" t="s">
        <v>459</v>
      </c>
      <c r="T104" s="28" t="s">
        <v>460</v>
      </c>
      <c r="U104" s="24" t="s">
        <v>96</v>
      </c>
      <c r="V104" s="24"/>
      <c r="W104" s="25">
        <v>3960.0</v>
      </c>
      <c r="X104" s="29">
        <v>349.0</v>
      </c>
      <c r="Y104" s="29">
        <v>21.0</v>
      </c>
      <c r="Z104" s="30"/>
      <c r="AA104" s="30" t="s">
        <v>207</v>
      </c>
      <c r="AB104" s="30"/>
      <c r="AC104" s="30" t="s">
        <v>461</v>
      </c>
      <c r="AD104" s="30" t="s">
        <v>462</v>
      </c>
      <c r="AE104" s="30" t="s">
        <v>463</v>
      </c>
      <c r="AF104" s="30" t="s">
        <v>211</v>
      </c>
      <c r="AG104" s="27" t="str">
        <f t="shared" si="1"/>
        <v>Downsell</v>
      </c>
      <c r="AH104" s="27" t="str">
        <f t="shared" si="5"/>
        <v>Customer</v>
      </c>
      <c r="AI104" s="27" t="str">
        <f t="shared" si="6"/>
        <v>201-500</v>
      </c>
      <c r="AJ104" s="27" t="str">
        <f t="shared" si="7"/>
        <v>21-50</v>
      </c>
    </row>
    <row r="105" ht="15.75" customHeight="1">
      <c r="A105" s="23">
        <f>HYPERLINK("https://app.hubspot.com/contacts/8748051/record/0-3/50443417157", 50443417157)</f>
        <v>50443417157</v>
      </c>
      <c r="B105" s="24" t="s">
        <v>464</v>
      </c>
      <c r="C105" s="24" t="s">
        <v>159</v>
      </c>
      <c r="D105" s="25">
        <v>11300.0</v>
      </c>
      <c r="E105" s="24" t="s">
        <v>92</v>
      </c>
      <c r="F105" s="24"/>
      <c r="G105" s="26">
        <v>45984.62646990741</v>
      </c>
      <c r="H105" s="26">
        <v>45984.626435185186</v>
      </c>
      <c r="I105" s="24" t="s">
        <v>40</v>
      </c>
      <c r="J105" s="24" t="s">
        <v>182</v>
      </c>
      <c r="K105" s="24" t="s">
        <v>161</v>
      </c>
      <c r="L105" s="24" t="s">
        <v>162</v>
      </c>
      <c r="M105" s="24" t="s">
        <v>44</v>
      </c>
      <c r="N105" s="24" t="s">
        <v>465</v>
      </c>
      <c r="O105" s="24"/>
      <c r="P105" s="24"/>
      <c r="Q105" s="24"/>
      <c r="R105" s="23">
        <f>HYPERLINK("https://app.hubspot.com/contacts/8748051/record/0-2/16734679839", 16734679839)</f>
        <v>16734679839</v>
      </c>
      <c r="S105" s="24" t="s">
        <v>466</v>
      </c>
      <c r="T105" s="28" t="s">
        <v>467</v>
      </c>
      <c r="U105" s="24" t="s">
        <v>96</v>
      </c>
      <c r="V105" s="24"/>
      <c r="W105" s="25">
        <v>29912.0</v>
      </c>
      <c r="X105" s="29">
        <v>280.0</v>
      </c>
      <c r="Y105" s="29">
        <v>15.0</v>
      </c>
      <c r="Z105" s="30"/>
      <c r="AA105" s="30" t="s">
        <v>349</v>
      </c>
      <c r="AB105" s="30" t="s">
        <v>207</v>
      </c>
      <c r="AC105" s="30" t="s">
        <v>208</v>
      </c>
      <c r="AD105" s="30" t="s">
        <v>462</v>
      </c>
      <c r="AE105" s="30" t="s">
        <v>468</v>
      </c>
      <c r="AF105" s="30" t="s">
        <v>169</v>
      </c>
      <c r="AG105" s="27" t="str">
        <f t="shared" si="1"/>
        <v>Upsell</v>
      </c>
      <c r="AH105" s="27" t="str">
        <f t="shared" si="5"/>
        <v>Customer</v>
      </c>
      <c r="AI105" s="27" t="str">
        <f t="shared" si="6"/>
        <v>201-500</v>
      </c>
      <c r="AJ105" s="27" t="str">
        <f t="shared" si="7"/>
        <v>0-20</v>
      </c>
    </row>
    <row r="106" ht="15.75" customHeight="1">
      <c r="A106" s="23">
        <f>HYPERLINK("https://app.hubspot.com/contacts/8748051/record/0-3/50443355156", 50443355156)</f>
        <v>50443355156</v>
      </c>
      <c r="B106" s="24" t="s">
        <v>469</v>
      </c>
      <c r="C106" s="24" t="s">
        <v>159</v>
      </c>
      <c r="D106" s="25">
        <v>16840.0</v>
      </c>
      <c r="E106" s="24" t="s">
        <v>92</v>
      </c>
      <c r="F106" s="24"/>
      <c r="G106" s="26">
        <v>45981.61729166667</v>
      </c>
      <c r="H106" s="26">
        <v>45981.64094907408</v>
      </c>
      <c r="I106" s="24" t="s">
        <v>40</v>
      </c>
      <c r="J106" s="24" t="s">
        <v>182</v>
      </c>
      <c r="K106" s="24" t="s">
        <v>161</v>
      </c>
      <c r="L106" s="24" t="s">
        <v>162</v>
      </c>
      <c r="M106" s="24" t="s">
        <v>44</v>
      </c>
      <c r="N106" s="24" t="s">
        <v>470</v>
      </c>
      <c r="O106" s="27"/>
      <c r="P106" s="24"/>
      <c r="Q106" s="24"/>
      <c r="R106" s="23">
        <f>HYPERLINK("https://app.hubspot.com/contacts/8748051/record/0-2/10013265046", 10013265046)</f>
        <v>10013265046</v>
      </c>
      <c r="S106" s="24" t="s">
        <v>471</v>
      </c>
      <c r="T106" s="28" t="s">
        <v>472</v>
      </c>
      <c r="U106" s="24" t="s">
        <v>96</v>
      </c>
      <c r="V106" s="24"/>
      <c r="W106" s="25">
        <v>40000.0</v>
      </c>
      <c r="X106" s="29">
        <v>588.0</v>
      </c>
      <c r="Y106" s="29">
        <v>142.0</v>
      </c>
      <c r="Z106" s="30"/>
      <c r="AA106" s="30" t="s">
        <v>220</v>
      </c>
      <c r="AB106" s="31"/>
      <c r="AC106" s="31"/>
      <c r="AD106" s="30" t="s">
        <v>473</v>
      </c>
      <c r="AE106" s="30" t="s">
        <v>474</v>
      </c>
      <c r="AF106" s="30" t="s">
        <v>169</v>
      </c>
      <c r="AG106" s="27" t="str">
        <f t="shared" si="1"/>
        <v>Upsell</v>
      </c>
      <c r="AH106" s="27" t="str">
        <f t="shared" si="5"/>
        <v>Customer</v>
      </c>
      <c r="AI106" s="27" t="str">
        <f t="shared" si="6"/>
        <v>501-1000</v>
      </c>
      <c r="AJ106" s="27" t="str">
        <f t="shared" si="7"/>
        <v>101-500</v>
      </c>
    </row>
    <row r="107" ht="15.75" customHeight="1">
      <c r="A107" s="23">
        <f>HYPERLINK("https://app.hubspot.com/contacts/8748051/record/0-3/49729053081", 49729053081)</f>
        <v>49729053081</v>
      </c>
      <c r="B107" s="24" t="s">
        <v>475</v>
      </c>
      <c r="C107" s="24" t="s">
        <v>148</v>
      </c>
      <c r="D107" s="25">
        <v>24500.0</v>
      </c>
      <c r="E107" s="24" t="s">
        <v>127</v>
      </c>
      <c r="F107" s="24" t="s">
        <v>52</v>
      </c>
      <c r="G107" s="26">
        <v>45981.595613425925</v>
      </c>
      <c r="H107" s="26">
        <v>46161.595601851855</v>
      </c>
      <c r="I107" s="24" t="s">
        <v>40</v>
      </c>
      <c r="J107" s="24" t="s">
        <v>41</v>
      </c>
      <c r="K107" s="24" t="s">
        <v>42</v>
      </c>
      <c r="L107" s="24" t="s">
        <v>43</v>
      </c>
      <c r="M107" s="24" t="s">
        <v>44</v>
      </c>
      <c r="N107" s="24"/>
      <c r="O107" s="27"/>
      <c r="P107" s="24"/>
      <c r="Q107" s="24" t="s">
        <v>128</v>
      </c>
      <c r="R107" s="23">
        <f>HYPERLINK("https://app.hubspot.com/contacts/8748051/record/0-2/45255543475", 45255543475)</f>
        <v>45255543475</v>
      </c>
      <c r="S107" s="24" t="s">
        <v>476</v>
      </c>
      <c r="T107" s="28" t="s">
        <v>477</v>
      </c>
      <c r="U107" s="24"/>
      <c r="V107" s="24"/>
      <c r="W107" s="25"/>
      <c r="X107" s="29">
        <v>298.0</v>
      </c>
      <c r="Y107" s="29">
        <v>63.0</v>
      </c>
      <c r="Z107" s="30" t="s">
        <v>71</v>
      </c>
      <c r="AA107" s="30"/>
      <c r="AB107" s="30"/>
      <c r="AC107" s="31"/>
      <c r="AD107" s="30"/>
      <c r="AE107" s="30"/>
      <c r="AF107" s="30"/>
      <c r="AG107" s="27" t="str">
        <f t="shared" si="1"/>
        <v>New Logo</v>
      </c>
      <c r="AH107" s="27" t="str">
        <f t="shared" si="5"/>
        <v>Lead</v>
      </c>
      <c r="AI107" s="27" t="str">
        <f t="shared" si="6"/>
        <v>201-500</v>
      </c>
      <c r="AJ107" s="27" t="str">
        <f t="shared" si="7"/>
        <v>51-100</v>
      </c>
    </row>
    <row r="108" ht="15.75" customHeight="1">
      <c r="A108" s="23">
        <f>HYPERLINK("https://app.hubspot.com/contacts/8748051/record/0-3/49719151166", 49719151166)</f>
        <v>49719151166</v>
      </c>
      <c r="B108" s="24" t="s">
        <v>478</v>
      </c>
      <c r="C108" s="24" t="s">
        <v>148</v>
      </c>
      <c r="D108" s="25">
        <v>20000.0</v>
      </c>
      <c r="E108" s="24" t="s">
        <v>127</v>
      </c>
      <c r="F108" s="24" t="s">
        <v>52</v>
      </c>
      <c r="G108" s="26">
        <v>45981.522731481484</v>
      </c>
      <c r="H108" s="26">
        <v>46161.52271990741</v>
      </c>
      <c r="I108" s="24" t="s">
        <v>40</v>
      </c>
      <c r="J108" s="24" t="s">
        <v>41</v>
      </c>
      <c r="K108" s="24" t="s">
        <v>42</v>
      </c>
      <c r="L108" s="24" t="s">
        <v>43</v>
      </c>
      <c r="M108" s="24" t="s">
        <v>44</v>
      </c>
      <c r="N108" s="27"/>
      <c r="O108" s="27"/>
      <c r="P108" s="24"/>
      <c r="Q108" s="24" t="s">
        <v>128</v>
      </c>
      <c r="R108" s="23">
        <f>HYPERLINK("https://app.hubspot.com/contacts/8748051/record/0-2/15942371161", 15942371161)</f>
        <v>15942371161</v>
      </c>
      <c r="S108" s="24" t="s">
        <v>479</v>
      </c>
      <c r="T108" s="28" t="s">
        <v>480</v>
      </c>
      <c r="U108" s="24" t="s">
        <v>47</v>
      </c>
      <c r="V108" s="24"/>
      <c r="W108" s="32"/>
      <c r="X108" s="29">
        <v>174.0</v>
      </c>
      <c r="Y108" s="29">
        <v>45.0</v>
      </c>
      <c r="Z108" s="30" t="s">
        <v>108</v>
      </c>
      <c r="AA108" s="31"/>
      <c r="AB108" s="31"/>
      <c r="AC108" s="31"/>
      <c r="AD108" s="31"/>
      <c r="AE108" s="31"/>
      <c r="AF108" s="31"/>
      <c r="AG108" s="27" t="str">
        <f t="shared" si="1"/>
        <v>New Logo</v>
      </c>
      <c r="AH108" s="27" t="str">
        <f t="shared" si="5"/>
        <v>Lead</v>
      </c>
      <c r="AI108" s="27" t="str">
        <f t="shared" si="6"/>
        <v>0-200</v>
      </c>
      <c r="AJ108" s="27" t="str">
        <f t="shared" si="7"/>
        <v>21-50</v>
      </c>
    </row>
    <row r="109" ht="15.75" customHeight="1">
      <c r="A109" s="23">
        <f>HYPERLINK("https://app.hubspot.com/contacts/8748051/record/0-3/49653738372", 49653738372)</f>
        <v>49653738372</v>
      </c>
      <c r="B109" s="24" t="s">
        <v>481</v>
      </c>
      <c r="C109" s="24" t="s">
        <v>50</v>
      </c>
      <c r="D109" s="25">
        <v>0.0</v>
      </c>
      <c r="E109" s="24" t="s">
        <v>73</v>
      </c>
      <c r="F109" s="24"/>
      <c r="G109" s="26">
        <v>45981.27064814815</v>
      </c>
      <c r="H109" s="26">
        <v>46161.270636574074</v>
      </c>
      <c r="I109" s="24" t="s">
        <v>40</v>
      </c>
      <c r="J109" s="24" t="s">
        <v>41</v>
      </c>
      <c r="K109" s="24" t="s">
        <v>42</v>
      </c>
      <c r="L109" s="24" t="s">
        <v>43</v>
      </c>
      <c r="M109" s="24" t="s">
        <v>44</v>
      </c>
      <c r="N109" s="24"/>
      <c r="O109" s="27"/>
      <c r="P109" s="24" t="s">
        <v>75</v>
      </c>
      <c r="Q109" s="27"/>
      <c r="R109" s="23">
        <f>HYPERLINK("https://app.hubspot.com/contacts/8748051/record/0-2/44999704181", 44999704181)</f>
        <v>44999704181</v>
      </c>
      <c r="S109" s="24" t="s">
        <v>482</v>
      </c>
      <c r="T109" s="28" t="s">
        <v>483</v>
      </c>
      <c r="U109" s="24"/>
      <c r="V109" s="24"/>
      <c r="W109" s="25"/>
      <c r="X109" s="29">
        <v>1.0</v>
      </c>
      <c r="Y109" s="29">
        <v>0.0</v>
      </c>
      <c r="Z109" s="30"/>
      <c r="AA109" s="30"/>
      <c r="AB109" s="31"/>
      <c r="AC109" s="31"/>
      <c r="AD109" s="30"/>
      <c r="AE109" s="31"/>
      <c r="AF109" s="30"/>
      <c r="AG109" s="27" t="str">
        <f t="shared" si="1"/>
        <v>New Logo</v>
      </c>
      <c r="AH109" s="27" t="str">
        <f t="shared" si="5"/>
        <v>Lead</v>
      </c>
      <c r="AI109" s="27" t="str">
        <f t="shared" si="6"/>
        <v>0-200</v>
      </c>
      <c r="AJ109" s="27" t="str">
        <f t="shared" si="7"/>
        <v>0-20</v>
      </c>
    </row>
    <row r="110" ht="15.75" customHeight="1">
      <c r="A110" s="23">
        <f>HYPERLINK("https://app.hubspot.com/contacts/8748051/record/0-3/49619975860", 49619975860)</f>
        <v>49619975860</v>
      </c>
      <c r="B110" s="24" t="s">
        <v>484</v>
      </c>
      <c r="C110" s="24" t="s">
        <v>50</v>
      </c>
      <c r="D110" s="25">
        <v>0.0</v>
      </c>
      <c r="E110" s="24" t="s">
        <v>73</v>
      </c>
      <c r="F110" s="24"/>
      <c r="G110" s="26">
        <v>45980.95353009259</v>
      </c>
      <c r="H110" s="26">
        <v>46160.953518518516</v>
      </c>
      <c r="I110" s="24" t="s">
        <v>40</v>
      </c>
      <c r="J110" s="24" t="s">
        <v>41</v>
      </c>
      <c r="K110" s="24" t="s">
        <v>42</v>
      </c>
      <c r="L110" s="24" t="s">
        <v>43</v>
      </c>
      <c r="M110" s="24"/>
      <c r="N110" s="27"/>
      <c r="O110" s="24"/>
      <c r="P110" s="24" t="s">
        <v>75</v>
      </c>
      <c r="Q110" s="24"/>
      <c r="R110" s="23">
        <f>HYPERLINK("https://app.hubspot.com/contacts/8748051/record/0-2/44383913314", 44383913314)</f>
        <v>44383913314</v>
      </c>
      <c r="S110" s="24" t="s">
        <v>485</v>
      </c>
      <c r="T110" s="28" t="s">
        <v>486</v>
      </c>
      <c r="U110" s="24"/>
      <c r="V110" s="24"/>
      <c r="W110" s="32"/>
      <c r="X110" s="29">
        <v>4.0</v>
      </c>
      <c r="Y110" s="29">
        <v>0.0</v>
      </c>
      <c r="Z110" s="30"/>
      <c r="AA110" s="31"/>
      <c r="AB110" s="31"/>
      <c r="AC110" s="31"/>
      <c r="AD110" s="31"/>
      <c r="AE110" s="31"/>
      <c r="AF110" s="31"/>
      <c r="AG110" s="27" t="str">
        <f t="shared" si="1"/>
        <v>New Logo</v>
      </c>
      <c r="AH110" s="27" t="str">
        <f t="shared" si="5"/>
        <v>Lead</v>
      </c>
      <c r="AI110" s="27" t="str">
        <f t="shared" si="6"/>
        <v>0-200</v>
      </c>
      <c r="AJ110" s="27" t="str">
        <f t="shared" si="7"/>
        <v>0-20</v>
      </c>
    </row>
    <row r="111" ht="15.75" customHeight="1">
      <c r="A111" s="23">
        <f>HYPERLINK("https://app.hubspot.com/contacts/8748051/record/0-3/49661834776", 49661834776)</f>
        <v>49661834776</v>
      </c>
      <c r="B111" s="24" t="s">
        <v>487</v>
      </c>
      <c r="C111" s="24" t="s">
        <v>148</v>
      </c>
      <c r="D111" s="25">
        <v>14000.0</v>
      </c>
      <c r="E111" s="24" t="s">
        <v>73</v>
      </c>
      <c r="F111" s="24"/>
      <c r="G111" s="26">
        <v>45980.94287037037</v>
      </c>
      <c r="H111" s="26">
        <v>46160.94284722222</v>
      </c>
      <c r="I111" s="24" t="s">
        <v>40</v>
      </c>
      <c r="J111" s="24" t="s">
        <v>41</v>
      </c>
      <c r="K111" s="24" t="s">
        <v>60</v>
      </c>
      <c r="L111" s="24" t="s">
        <v>61</v>
      </c>
      <c r="M111" s="24" t="s">
        <v>74</v>
      </c>
      <c r="N111" s="24"/>
      <c r="O111" s="24"/>
      <c r="P111" s="24" t="s">
        <v>75</v>
      </c>
      <c r="Q111" s="24"/>
      <c r="R111" s="23">
        <f>HYPERLINK("https://app.hubspot.com/contacts/8748051/record/0-2/19176504362", 19176504362)</f>
        <v>19176504362</v>
      </c>
      <c r="S111" s="24" t="s">
        <v>488</v>
      </c>
      <c r="T111" s="28" t="s">
        <v>489</v>
      </c>
      <c r="U111" s="24" t="s">
        <v>47</v>
      </c>
      <c r="V111" s="24"/>
      <c r="W111" s="25"/>
      <c r="X111" s="29">
        <v>287.0</v>
      </c>
      <c r="Y111" s="29">
        <v>20.0</v>
      </c>
      <c r="Z111" s="30" t="s">
        <v>108</v>
      </c>
      <c r="AA111" s="30"/>
      <c r="AB111" s="31"/>
      <c r="AC111" s="31"/>
      <c r="AD111" s="30"/>
      <c r="AE111" s="31"/>
      <c r="AF111" s="31"/>
      <c r="AG111" s="27" t="str">
        <f t="shared" si="1"/>
        <v>New Logo</v>
      </c>
      <c r="AH111" s="27" t="str">
        <f t="shared" si="5"/>
        <v>Lead</v>
      </c>
      <c r="AI111" s="27" t="str">
        <f t="shared" si="6"/>
        <v>201-500</v>
      </c>
      <c r="AJ111" s="27" t="str">
        <f t="shared" si="7"/>
        <v>0-20</v>
      </c>
    </row>
    <row r="112" ht="15.75" customHeight="1">
      <c r="A112" s="23">
        <f>HYPERLINK("https://app.hubspot.com/contacts/8748051/record/0-3/49655767943", 49655767943)</f>
        <v>49655767943</v>
      </c>
      <c r="B112" s="24" t="s">
        <v>490</v>
      </c>
      <c r="C112" s="24" t="s">
        <v>38</v>
      </c>
      <c r="D112" s="25">
        <v>10000.0</v>
      </c>
      <c r="E112" s="24" t="s">
        <v>127</v>
      </c>
      <c r="F112" s="24"/>
      <c r="G112" s="26">
        <v>45980.803391203706</v>
      </c>
      <c r="H112" s="26">
        <v>46160.80337962963</v>
      </c>
      <c r="I112" s="24" t="s">
        <v>40</v>
      </c>
      <c r="J112" s="24" t="s">
        <v>41</v>
      </c>
      <c r="K112" s="24" t="s">
        <v>42</v>
      </c>
      <c r="L112" s="24" t="s">
        <v>43</v>
      </c>
      <c r="M112" s="24" t="s">
        <v>74</v>
      </c>
      <c r="N112" s="24"/>
      <c r="O112" s="27"/>
      <c r="P112" s="24"/>
      <c r="Q112" s="24" t="s">
        <v>128</v>
      </c>
      <c r="R112" s="23">
        <f>HYPERLINK("https://app.hubspot.com/contacts/8748051/record/0-2/45186326845", 45186326845)</f>
        <v>45186326845</v>
      </c>
      <c r="S112" s="24" t="s">
        <v>491</v>
      </c>
      <c r="T112" s="28" t="s">
        <v>492</v>
      </c>
      <c r="U112" s="24"/>
      <c r="V112" s="24"/>
      <c r="W112" s="25"/>
      <c r="X112" s="29">
        <v>95.0</v>
      </c>
      <c r="Y112" s="29">
        <v>20.0</v>
      </c>
      <c r="Z112" s="30"/>
      <c r="AA112" s="30"/>
      <c r="AB112" s="30"/>
      <c r="AC112" s="31"/>
      <c r="AD112" s="30"/>
      <c r="AE112" s="30"/>
      <c r="AF112" s="30"/>
      <c r="AG112" s="27" t="str">
        <f t="shared" si="1"/>
        <v>New Logo</v>
      </c>
      <c r="AH112" s="27" t="str">
        <f t="shared" si="5"/>
        <v>Lead</v>
      </c>
      <c r="AI112" s="27" t="str">
        <f t="shared" si="6"/>
        <v>0-200</v>
      </c>
      <c r="AJ112" s="27" t="str">
        <f t="shared" si="7"/>
        <v>0-20</v>
      </c>
    </row>
    <row r="113" ht="15.75" customHeight="1">
      <c r="A113" s="23">
        <f>HYPERLINK("https://app.hubspot.com/contacts/8748051/record/0-3/49465205418", 49465205418)</f>
        <v>49465205418</v>
      </c>
      <c r="B113" s="24" t="s">
        <v>493</v>
      </c>
      <c r="C113" s="24" t="s">
        <v>148</v>
      </c>
      <c r="D113" s="25">
        <v>15000.0</v>
      </c>
      <c r="E113" s="24" t="s">
        <v>127</v>
      </c>
      <c r="F113" s="24" t="s">
        <v>52</v>
      </c>
      <c r="G113" s="26">
        <v>45980.55332175926</v>
      </c>
      <c r="H113" s="26">
        <v>46112.85502314815</v>
      </c>
      <c r="I113" s="24" t="s">
        <v>40</v>
      </c>
      <c r="J113" s="24" t="s">
        <v>41</v>
      </c>
      <c r="K113" s="24" t="s">
        <v>60</v>
      </c>
      <c r="L113" s="24" t="s">
        <v>61</v>
      </c>
      <c r="M113" s="24" t="s">
        <v>44</v>
      </c>
      <c r="N113" s="24"/>
      <c r="O113" s="24"/>
      <c r="P113" s="24"/>
      <c r="Q113" s="24" t="s">
        <v>197</v>
      </c>
      <c r="R113" s="23">
        <f>HYPERLINK("https://app.hubspot.com/contacts/8748051/record/0-2/40708368233", 40708368233)</f>
        <v>40708368233</v>
      </c>
      <c r="S113" s="24" t="s">
        <v>494</v>
      </c>
      <c r="T113" s="28" t="s">
        <v>495</v>
      </c>
      <c r="U113" s="24"/>
      <c r="V113" s="24"/>
      <c r="W113" s="25"/>
      <c r="X113" s="29">
        <v>65.0</v>
      </c>
      <c r="Y113" s="29">
        <v>38.0</v>
      </c>
      <c r="Z113" s="30"/>
      <c r="AA113" s="30"/>
      <c r="AB113" s="30"/>
      <c r="AC113" s="30"/>
      <c r="AD113" s="30"/>
      <c r="AE113" s="30"/>
      <c r="AF113" s="30"/>
      <c r="AG113" s="27" t="str">
        <f t="shared" si="1"/>
        <v>New Logo</v>
      </c>
      <c r="AH113" s="27" t="str">
        <f t="shared" si="5"/>
        <v>Lead</v>
      </c>
      <c r="AI113" s="27" t="str">
        <f t="shared" si="6"/>
        <v>0-200</v>
      </c>
      <c r="AJ113" s="27" t="str">
        <f t="shared" si="7"/>
        <v>21-50</v>
      </c>
    </row>
    <row r="114" ht="15.75" customHeight="1">
      <c r="A114" s="23">
        <f>HYPERLINK("https://app.hubspot.com/contacts/8748051/record/0-3/49624661914", 49624661914)</f>
        <v>49624661914</v>
      </c>
      <c r="B114" s="24" t="s">
        <v>496</v>
      </c>
      <c r="C114" s="24" t="s">
        <v>148</v>
      </c>
      <c r="D114" s="25">
        <v>25000.0</v>
      </c>
      <c r="E114" s="24" t="s">
        <v>92</v>
      </c>
      <c r="F114" s="24" t="s">
        <v>52</v>
      </c>
      <c r="G114" s="26">
        <v>45980.40542824074</v>
      </c>
      <c r="H114" s="26">
        <v>46043.706041666665</v>
      </c>
      <c r="I114" s="24" t="s">
        <v>40</v>
      </c>
      <c r="J114" s="24" t="s">
        <v>53</v>
      </c>
      <c r="K114" s="24" t="s">
        <v>60</v>
      </c>
      <c r="L114" s="24" t="s">
        <v>162</v>
      </c>
      <c r="M114" s="24" t="s">
        <v>44</v>
      </c>
      <c r="N114" s="24" t="s">
        <v>497</v>
      </c>
      <c r="O114" s="27"/>
      <c r="P114" s="24"/>
      <c r="Q114" s="24"/>
      <c r="R114" s="23">
        <f>HYPERLINK("https://app.hubspot.com/contacts/8748051/record/0-2/28715405232", 28715405232)</f>
        <v>28715405232</v>
      </c>
      <c r="S114" s="24" t="s">
        <v>498</v>
      </c>
      <c r="T114" s="28" t="s">
        <v>499</v>
      </c>
      <c r="U114" s="24" t="s">
        <v>96</v>
      </c>
      <c r="V114" s="24"/>
      <c r="W114" s="25">
        <v>25000.0</v>
      </c>
      <c r="X114" s="29">
        <v>1511.0</v>
      </c>
      <c r="Y114" s="29">
        <v>477.0</v>
      </c>
      <c r="Z114" s="30"/>
      <c r="AA114" s="30" t="s">
        <v>207</v>
      </c>
      <c r="AB114" s="30" t="s">
        <v>166</v>
      </c>
      <c r="AC114" s="31"/>
      <c r="AD114" s="30" t="s">
        <v>500</v>
      </c>
      <c r="AE114" s="30" t="s">
        <v>501</v>
      </c>
      <c r="AF114" s="30" t="s">
        <v>211</v>
      </c>
      <c r="AG114" s="27" t="str">
        <f t="shared" si="1"/>
        <v>New Logo</v>
      </c>
      <c r="AH114" s="27" t="str">
        <f t="shared" si="5"/>
        <v>Customer</v>
      </c>
      <c r="AI114" s="27" t="str">
        <f t="shared" si="6"/>
        <v>1001-5000</v>
      </c>
      <c r="AJ114" s="27" t="str">
        <f t="shared" si="7"/>
        <v>101-500</v>
      </c>
    </row>
    <row r="115" ht="15.75" customHeight="1">
      <c r="A115" s="23">
        <f>HYPERLINK("https://app.hubspot.com/contacts/8748051/record/0-3/49470592616", 49470592616)</f>
        <v>49470592616</v>
      </c>
      <c r="B115" s="24" t="s">
        <v>502</v>
      </c>
      <c r="C115" s="24" t="s">
        <v>38</v>
      </c>
      <c r="D115" s="25">
        <v>7500.0</v>
      </c>
      <c r="E115" s="24" t="s">
        <v>127</v>
      </c>
      <c r="F115" s="24" t="s">
        <v>52</v>
      </c>
      <c r="G115" s="26">
        <v>45980.20203703704</v>
      </c>
      <c r="H115" s="26">
        <v>46108.668657407405</v>
      </c>
      <c r="I115" s="24" t="s">
        <v>40</v>
      </c>
      <c r="J115" s="24" t="s">
        <v>41</v>
      </c>
      <c r="K115" s="24" t="s">
        <v>42</v>
      </c>
      <c r="L115" s="24" t="s">
        <v>43</v>
      </c>
      <c r="M115" s="24" t="s">
        <v>102</v>
      </c>
      <c r="N115" s="24"/>
      <c r="O115" s="27"/>
      <c r="P115" s="24"/>
      <c r="Q115" s="24" t="s">
        <v>503</v>
      </c>
      <c r="R115" s="23">
        <f>HYPERLINK("https://app.hubspot.com/contacts/8748051/record/0-2/45062632855", 45062632855)</f>
        <v>45062632855</v>
      </c>
      <c r="S115" s="24" t="s">
        <v>504</v>
      </c>
      <c r="T115" s="28" t="s">
        <v>505</v>
      </c>
      <c r="U115" s="24"/>
      <c r="V115" s="24"/>
      <c r="W115" s="25"/>
      <c r="X115" s="29">
        <v>1500.0</v>
      </c>
      <c r="Y115" s="29">
        <v>0.0</v>
      </c>
      <c r="Z115" s="30"/>
      <c r="AA115" s="30"/>
      <c r="AB115" s="31"/>
      <c r="AC115" s="31"/>
      <c r="AD115" s="30"/>
      <c r="AE115" s="31"/>
      <c r="AF115" s="30"/>
      <c r="AG115" s="27" t="str">
        <f t="shared" si="1"/>
        <v>New Logo</v>
      </c>
      <c r="AH115" s="27" t="str">
        <f t="shared" si="5"/>
        <v>Lead</v>
      </c>
      <c r="AI115" s="27" t="str">
        <f t="shared" si="6"/>
        <v>1001-5000</v>
      </c>
      <c r="AJ115" s="27" t="str">
        <f t="shared" si="7"/>
        <v>0-20</v>
      </c>
    </row>
    <row r="116" ht="15.75" customHeight="1">
      <c r="A116" s="23">
        <f>HYPERLINK("https://app.hubspot.com/contacts/8748051/record/0-3/49599094866", 49599094866)</f>
        <v>49599094866</v>
      </c>
      <c r="B116" s="24" t="s">
        <v>506</v>
      </c>
      <c r="C116" s="24" t="s">
        <v>50</v>
      </c>
      <c r="D116" s="25">
        <v>50760.0</v>
      </c>
      <c r="E116" s="24" t="s">
        <v>92</v>
      </c>
      <c r="F116" s="24" t="s">
        <v>52</v>
      </c>
      <c r="G116" s="26">
        <v>45979.8927662037</v>
      </c>
      <c r="H116" s="26">
        <v>46052.435532407406</v>
      </c>
      <c r="I116" s="24" t="s">
        <v>40</v>
      </c>
      <c r="J116" s="24" t="s">
        <v>41</v>
      </c>
      <c r="K116" s="24" t="s">
        <v>42</v>
      </c>
      <c r="L116" s="24" t="s">
        <v>43</v>
      </c>
      <c r="M116" s="24" t="s">
        <v>44</v>
      </c>
      <c r="N116" s="24" t="s">
        <v>507</v>
      </c>
      <c r="O116" s="24"/>
      <c r="P116" s="24"/>
      <c r="Q116" s="24"/>
      <c r="R116" s="23">
        <f>HYPERLINK("https://app.hubspot.com/contacts/8748051/record/0-2/47566489205", 47566489205)</f>
        <v>47566489205</v>
      </c>
      <c r="S116" s="24" t="s">
        <v>508</v>
      </c>
      <c r="T116" s="28" t="s">
        <v>509</v>
      </c>
      <c r="U116" s="24" t="s">
        <v>96</v>
      </c>
      <c r="V116" s="24"/>
      <c r="W116" s="25">
        <v>50760.0</v>
      </c>
      <c r="X116" s="29">
        <v>201.0</v>
      </c>
      <c r="Y116" s="29">
        <v>21.0</v>
      </c>
      <c r="Z116" s="30"/>
      <c r="AA116" s="30" t="s">
        <v>97</v>
      </c>
      <c r="AB116" s="31"/>
      <c r="AC116" s="31"/>
      <c r="AD116" s="30" t="s">
        <v>510</v>
      </c>
      <c r="AE116" s="31"/>
      <c r="AF116" s="30" t="s">
        <v>169</v>
      </c>
      <c r="AG116" s="27" t="str">
        <f t="shared" si="1"/>
        <v>New Logo</v>
      </c>
      <c r="AH116" s="27" t="str">
        <f t="shared" si="5"/>
        <v>Customer</v>
      </c>
      <c r="AI116" s="27" t="str">
        <f t="shared" si="6"/>
        <v>201-500</v>
      </c>
      <c r="AJ116" s="27" t="str">
        <f t="shared" si="7"/>
        <v>21-50</v>
      </c>
    </row>
    <row r="117" ht="15.75" customHeight="1">
      <c r="A117" s="23">
        <f>HYPERLINK("https://app.hubspot.com/contacts/8748051/record/0-3/49604626604", 49604626604)</f>
        <v>49604626604</v>
      </c>
      <c r="B117" s="24" t="s">
        <v>511</v>
      </c>
      <c r="C117" s="24" t="s">
        <v>50</v>
      </c>
      <c r="D117" s="25">
        <v>25000.0</v>
      </c>
      <c r="E117" s="24" t="s">
        <v>442</v>
      </c>
      <c r="F117" s="24" t="s">
        <v>52</v>
      </c>
      <c r="G117" s="26">
        <v>45979.84605324074</v>
      </c>
      <c r="H117" s="26">
        <v>46295.77616898148</v>
      </c>
      <c r="I117" s="24" t="s">
        <v>40</v>
      </c>
      <c r="J117" s="24" t="s">
        <v>41</v>
      </c>
      <c r="K117" s="24" t="s">
        <v>42</v>
      </c>
      <c r="L117" s="24" t="s">
        <v>43</v>
      </c>
      <c r="M117" s="24" t="s">
        <v>74</v>
      </c>
      <c r="N117" s="24"/>
      <c r="O117" s="24"/>
      <c r="P117" s="24"/>
      <c r="Q117" s="24"/>
      <c r="R117" s="23">
        <f>HYPERLINK("https://app.hubspot.com/contacts/8748051/record/0-2/48571644819", 48571644819)</f>
        <v>48571644819</v>
      </c>
      <c r="S117" s="24" t="s">
        <v>512</v>
      </c>
      <c r="T117" s="28" t="s">
        <v>513</v>
      </c>
      <c r="U117" s="24"/>
      <c r="V117" s="24"/>
      <c r="W117" s="25"/>
      <c r="X117" s="29">
        <v>145.0</v>
      </c>
      <c r="Y117" s="29">
        <v>8.0</v>
      </c>
      <c r="Z117" s="30" t="s">
        <v>108</v>
      </c>
      <c r="AA117" s="30"/>
      <c r="AB117" s="31"/>
      <c r="AC117" s="31"/>
      <c r="AD117" s="30"/>
      <c r="AE117" s="31"/>
      <c r="AF117" s="31"/>
      <c r="AG117" s="27" t="str">
        <f t="shared" si="1"/>
        <v>New Logo</v>
      </c>
      <c r="AH117" s="27" t="str">
        <f t="shared" si="5"/>
        <v>Lead</v>
      </c>
      <c r="AI117" s="27" t="str">
        <f t="shared" si="6"/>
        <v>0-200</v>
      </c>
      <c r="AJ117" s="27" t="str">
        <f t="shared" si="7"/>
        <v>0-20</v>
      </c>
    </row>
    <row r="118" ht="15.75" customHeight="1">
      <c r="A118" s="23">
        <f>HYPERLINK("https://app.hubspot.com/contacts/8748051/record/0-3/49464959126", 49464959126)</f>
        <v>49464959126</v>
      </c>
      <c r="B118" s="24" t="s">
        <v>514</v>
      </c>
      <c r="C118" s="24" t="s">
        <v>148</v>
      </c>
      <c r="D118" s="25">
        <v>1500.0</v>
      </c>
      <c r="E118" s="24" t="s">
        <v>73</v>
      </c>
      <c r="F118" s="24"/>
      <c r="G118" s="26">
        <v>45979.35559027778</v>
      </c>
      <c r="H118" s="26">
        <v>46159.35555555556</v>
      </c>
      <c r="I118" s="24" t="s">
        <v>40</v>
      </c>
      <c r="J118" s="24" t="s">
        <v>41</v>
      </c>
      <c r="K118" s="24" t="s">
        <v>42</v>
      </c>
      <c r="L118" s="24" t="s">
        <v>43</v>
      </c>
      <c r="M118" s="24" t="s">
        <v>44</v>
      </c>
      <c r="N118" s="27"/>
      <c r="O118" s="24"/>
      <c r="P118" s="24" t="s">
        <v>234</v>
      </c>
      <c r="Q118" s="27"/>
      <c r="R118" s="23">
        <f>HYPERLINK("https://app.hubspot.com/contacts/8748051/record/0-2/45061800802", 45061800802)</f>
        <v>45061800802</v>
      </c>
      <c r="S118" s="24" t="s">
        <v>515</v>
      </c>
      <c r="T118" s="24" t="s">
        <v>516</v>
      </c>
      <c r="U118" s="24"/>
      <c r="V118" s="24"/>
      <c r="W118" s="32"/>
      <c r="X118" s="29">
        <v>11.0</v>
      </c>
      <c r="Y118" s="29">
        <v>3.0</v>
      </c>
      <c r="Z118" s="30"/>
      <c r="AA118" s="31"/>
      <c r="AB118" s="31"/>
      <c r="AC118" s="31"/>
      <c r="AD118" s="31"/>
      <c r="AE118" s="31"/>
      <c r="AF118" s="31"/>
      <c r="AG118" s="27" t="str">
        <f t="shared" si="1"/>
        <v>New Logo</v>
      </c>
      <c r="AH118" s="27" t="str">
        <f t="shared" si="5"/>
        <v>Lead</v>
      </c>
      <c r="AI118" s="27" t="str">
        <f t="shared" si="6"/>
        <v>0-200</v>
      </c>
      <c r="AJ118" s="27" t="str">
        <f t="shared" si="7"/>
        <v>0-20</v>
      </c>
    </row>
    <row r="119" ht="15.75" customHeight="1">
      <c r="A119" s="23">
        <f>HYPERLINK("https://app.hubspot.com/contacts/8748051/record/0-3/49322585098", 49322585098)</f>
        <v>49322585098</v>
      </c>
      <c r="B119" s="24" t="s">
        <v>517</v>
      </c>
      <c r="C119" s="24" t="s">
        <v>148</v>
      </c>
      <c r="D119" s="25">
        <v>0.0</v>
      </c>
      <c r="E119" s="24" t="s">
        <v>73</v>
      </c>
      <c r="F119" s="24"/>
      <c r="G119" s="26">
        <v>45978.53859953704</v>
      </c>
      <c r="H119" s="26">
        <v>46158.53858796296</v>
      </c>
      <c r="I119" s="24" t="s">
        <v>40</v>
      </c>
      <c r="J119" s="24" t="s">
        <v>41</v>
      </c>
      <c r="K119" s="24" t="s">
        <v>42</v>
      </c>
      <c r="L119" s="24" t="s">
        <v>43</v>
      </c>
      <c r="M119" s="24"/>
      <c r="N119" s="24"/>
      <c r="O119" s="24"/>
      <c r="P119" s="24" t="s">
        <v>234</v>
      </c>
      <c r="Q119" s="24"/>
      <c r="R119" s="23">
        <f>HYPERLINK("https://app.hubspot.com/contacts/8748051/record/0-2/44826338349", 44826338349)</f>
        <v>44826338349</v>
      </c>
      <c r="S119" s="24" t="s">
        <v>518</v>
      </c>
      <c r="T119" s="28" t="s">
        <v>519</v>
      </c>
      <c r="U119" s="24"/>
      <c r="V119" s="24"/>
      <c r="W119" s="25"/>
      <c r="X119" s="29"/>
      <c r="Y119" s="29">
        <v>0.0</v>
      </c>
      <c r="Z119" s="30"/>
      <c r="AA119" s="30"/>
      <c r="AB119" s="31"/>
      <c r="AC119" s="31"/>
      <c r="AD119" s="30"/>
      <c r="AE119" s="31"/>
      <c r="AF119" s="30"/>
      <c r="AG119" s="27" t="str">
        <f t="shared" si="1"/>
        <v>New Logo</v>
      </c>
      <c r="AH119" s="27" t="str">
        <f t="shared" si="5"/>
        <v>Lead</v>
      </c>
      <c r="AI119" s="27" t="str">
        <f t="shared" si="6"/>
        <v>0-200</v>
      </c>
      <c r="AJ119" s="27" t="str">
        <f t="shared" si="7"/>
        <v>0-20</v>
      </c>
    </row>
    <row r="120" ht="15.75" customHeight="1">
      <c r="A120" s="23">
        <f>HYPERLINK("https://app.hubspot.com/contacts/8748051/record/0-3/49247354988", 49247354988)</f>
        <v>49247354988</v>
      </c>
      <c r="B120" s="24" t="s">
        <v>520</v>
      </c>
      <c r="C120" s="24" t="s">
        <v>148</v>
      </c>
      <c r="D120" s="25">
        <v>60500.0</v>
      </c>
      <c r="E120" s="24" t="s">
        <v>149</v>
      </c>
      <c r="F120" s="24" t="s">
        <v>52</v>
      </c>
      <c r="G120" s="26">
        <v>45978.50042824074</v>
      </c>
      <c r="H120" s="26">
        <v>46062.75958333333</v>
      </c>
      <c r="I120" s="24" t="s">
        <v>40</v>
      </c>
      <c r="J120" s="24" t="s">
        <v>41</v>
      </c>
      <c r="K120" s="24" t="s">
        <v>42</v>
      </c>
      <c r="L120" s="24" t="s">
        <v>43</v>
      </c>
      <c r="M120" s="24" t="s">
        <v>44</v>
      </c>
      <c r="N120" s="24"/>
      <c r="O120" s="24" t="s">
        <v>521</v>
      </c>
      <c r="P120" s="24"/>
      <c r="Q120" s="24"/>
      <c r="R120" s="23">
        <f>HYPERLINK("https://app.hubspot.com/contacts/8748051/record/0-2/9846549330", 9846549330)</f>
        <v>9846549330</v>
      </c>
      <c r="S120" s="24" t="s">
        <v>522</v>
      </c>
      <c r="T120" s="28" t="s">
        <v>523</v>
      </c>
      <c r="U120" s="24" t="s">
        <v>47</v>
      </c>
      <c r="V120" s="24"/>
      <c r="W120" s="25"/>
      <c r="X120" s="29">
        <v>1100.0</v>
      </c>
      <c r="Y120" s="29">
        <v>109.0</v>
      </c>
      <c r="Z120" s="30" t="s">
        <v>56</v>
      </c>
      <c r="AA120" s="30"/>
      <c r="AB120" s="31"/>
      <c r="AC120" s="31"/>
      <c r="AD120" s="30"/>
      <c r="AE120" s="31"/>
      <c r="AF120" s="30"/>
      <c r="AG120" s="27" t="str">
        <f t="shared" si="1"/>
        <v>New Logo</v>
      </c>
      <c r="AH120" s="27" t="str">
        <f t="shared" si="5"/>
        <v>Lead</v>
      </c>
      <c r="AI120" s="27" t="str">
        <f t="shared" si="6"/>
        <v>1001-5000</v>
      </c>
      <c r="AJ120" s="27" t="str">
        <f t="shared" si="7"/>
        <v>101-500</v>
      </c>
    </row>
    <row r="121" ht="15.75" customHeight="1">
      <c r="A121" s="23">
        <f>HYPERLINK("https://app.hubspot.com/contacts/8748051/record/0-3/49134449820", 49134449820)</f>
        <v>49134449820</v>
      </c>
      <c r="B121" s="24" t="s">
        <v>524</v>
      </c>
      <c r="C121" s="24" t="s">
        <v>148</v>
      </c>
      <c r="D121" s="25">
        <v>15000.0</v>
      </c>
      <c r="E121" s="24" t="s">
        <v>92</v>
      </c>
      <c r="F121" s="24" t="s">
        <v>52</v>
      </c>
      <c r="G121" s="26">
        <v>45977.93969907407</v>
      </c>
      <c r="H121" s="26">
        <v>45994.36922453704</v>
      </c>
      <c r="I121" s="24" t="s">
        <v>40</v>
      </c>
      <c r="J121" s="24" t="s">
        <v>41</v>
      </c>
      <c r="K121" s="24" t="s">
        <v>253</v>
      </c>
      <c r="L121" s="24" t="s">
        <v>155</v>
      </c>
      <c r="M121" s="24" t="s">
        <v>44</v>
      </c>
      <c r="N121" s="24" t="s">
        <v>525</v>
      </c>
      <c r="O121" s="27"/>
      <c r="P121" s="24"/>
      <c r="Q121" s="24"/>
      <c r="R121" s="23">
        <f>HYPERLINK("https://app.hubspot.com/contacts/8748051/record/0-2/44701007515", 44701007515)</f>
        <v>44701007515</v>
      </c>
      <c r="S121" s="24" t="s">
        <v>526</v>
      </c>
      <c r="T121" s="28" t="s">
        <v>527</v>
      </c>
      <c r="U121" s="24" t="s">
        <v>96</v>
      </c>
      <c r="V121" s="24"/>
      <c r="W121" s="25">
        <v>15000.0</v>
      </c>
      <c r="X121" s="29">
        <v>52.0</v>
      </c>
      <c r="Y121" s="29">
        <v>5.0</v>
      </c>
      <c r="Z121" s="30"/>
      <c r="AA121" s="30" t="s">
        <v>349</v>
      </c>
      <c r="AB121" s="31"/>
      <c r="AC121" s="30"/>
      <c r="AD121" s="30" t="s">
        <v>528</v>
      </c>
      <c r="AE121" s="30"/>
      <c r="AF121" s="30" t="s">
        <v>529</v>
      </c>
      <c r="AG121" s="27" t="str">
        <f t="shared" si="1"/>
        <v>New Logo</v>
      </c>
      <c r="AH121" s="27" t="str">
        <f t="shared" si="5"/>
        <v>Customer</v>
      </c>
      <c r="AI121" s="27" t="str">
        <f t="shared" si="6"/>
        <v>0-200</v>
      </c>
      <c r="AJ121" s="27" t="str">
        <f t="shared" si="7"/>
        <v>0-20</v>
      </c>
    </row>
    <row r="122" ht="15.75" customHeight="1">
      <c r="A122" s="23">
        <f>HYPERLINK("https://app.hubspot.com/contacts/8748051/record/0-3/49048169882", 49048169882)</f>
        <v>49048169882</v>
      </c>
      <c r="B122" s="24" t="s">
        <v>530</v>
      </c>
      <c r="C122" s="24" t="s">
        <v>148</v>
      </c>
      <c r="D122" s="25">
        <v>9000.0</v>
      </c>
      <c r="E122" s="24" t="s">
        <v>73</v>
      </c>
      <c r="F122" s="24" t="s">
        <v>52</v>
      </c>
      <c r="G122" s="26">
        <v>45975.42894675926</v>
      </c>
      <c r="H122" s="26">
        <v>46155.428935185184</v>
      </c>
      <c r="I122" s="24" t="s">
        <v>40</v>
      </c>
      <c r="J122" s="24" t="s">
        <v>41</v>
      </c>
      <c r="K122" s="24" t="s">
        <v>42</v>
      </c>
      <c r="L122" s="24" t="s">
        <v>43</v>
      </c>
      <c r="M122" s="24" t="s">
        <v>74</v>
      </c>
      <c r="N122" s="24"/>
      <c r="O122" s="24"/>
      <c r="P122" s="24" t="s">
        <v>75</v>
      </c>
      <c r="Q122" s="24"/>
      <c r="R122" s="23">
        <f>HYPERLINK("https://app.hubspot.com/contacts/8748051/record/0-2/44621085270", 44621085270)</f>
        <v>44621085270</v>
      </c>
      <c r="S122" s="24" t="s">
        <v>531</v>
      </c>
      <c r="T122" s="28" t="s">
        <v>532</v>
      </c>
      <c r="U122" s="24"/>
      <c r="V122" s="24"/>
      <c r="W122" s="25"/>
      <c r="X122" s="29">
        <v>211.0</v>
      </c>
      <c r="Y122" s="29">
        <v>18.0</v>
      </c>
      <c r="Z122" s="30"/>
      <c r="AA122" s="30"/>
      <c r="AB122" s="31"/>
      <c r="AC122" s="30"/>
      <c r="AD122" s="30"/>
      <c r="AE122" s="30"/>
      <c r="AF122" s="30"/>
      <c r="AG122" s="27" t="str">
        <f t="shared" si="1"/>
        <v>New Logo</v>
      </c>
      <c r="AH122" s="27" t="str">
        <f t="shared" si="5"/>
        <v>Lead</v>
      </c>
      <c r="AI122" s="27" t="str">
        <f t="shared" si="6"/>
        <v>201-500</v>
      </c>
      <c r="AJ122" s="27" t="str">
        <f t="shared" si="7"/>
        <v>0-20</v>
      </c>
    </row>
    <row r="123" ht="15.75" customHeight="1">
      <c r="A123" s="23">
        <f>HYPERLINK("https://app.hubspot.com/contacts/8748051/record/0-3/48818454545", 48818454545)</f>
        <v>48818454545</v>
      </c>
      <c r="B123" s="24" t="s">
        <v>533</v>
      </c>
      <c r="C123" s="24" t="s">
        <v>148</v>
      </c>
      <c r="D123" s="25">
        <v>0.0</v>
      </c>
      <c r="E123" s="24" t="s">
        <v>73</v>
      </c>
      <c r="F123" s="24"/>
      <c r="G123" s="26">
        <v>45971.91627314815</v>
      </c>
      <c r="H123" s="26">
        <v>46151.91626157407</v>
      </c>
      <c r="I123" s="24" t="s">
        <v>40</v>
      </c>
      <c r="J123" s="24" t="s">
        <v>41</v>
      </c>
      <c r="K123" s="24" t="s">
        <v>42</v>
      </c>
      <c r="L123" s="24" t="s">
        <v>43</v>
      </c>
      <c r="M123" s="24"/>
      <c r="N123" s="27"/>
      <c r="O123" s="24"/>
      <c r="P123" s="24" t="s">
        <v>234</v>
      </c>
      <c r="Q123" s="24"/>
      <c r="R123" s="23">
        <f>HYPERLINK("https://app.hubspot.com/contacts/8748051/record/0-2/44398650284", 44398650284)</f>
        <v>44398650284</v>
      </c>
      <c r="S123" s="24" t="s">
        <v>534</v>
      </c>
      <c r="T123" s="28" t="s">
        <v>535</v>
      </c>
      <c r="U123" s="24"/>
      <c r="V123" s="24"/>
      <c r="W123" s="32"/>
      <c r="X123" s="29"/>
      <c r="Y123" s="29">
        <v>0.0</v>
      </c>
      <c r="Z123" s="30"/>
      <c r="AA123" s="31"/>
      <c r="AB123" s="31"/>
      <c r="AC123" s="31"/>
      <c r="AD123" s="31"/>
      <c r="AE123" s="31"/>
      <c r="AF123" s="31"/>
      <c r="AG123" s="27" t="str">
        <f t="shared" si="1"/>
        <v>New Logo</v>
      </c>
      <c r="AH123" s="27" t="str">
        <f t="shared" si="5"/>
        <v>Lead</v>
      </c>
      <c r="AI123" s="27" t="str">
        <f t="shared" si="6"/>
        <v>0-200</v>
      </c>
      <c r="AJ123" s="27" t="str">
        <f t="shared" si="7"/>
        <v>0-20</v>
      </c>
    </row>
    <row r="124" ht="15.75" customHeight="1">
      <c r="A124" s="23">
        <f>HYPERLINK("https://app.hubspot.com/contacts/8748051/record/0-3/48830381419", 48830381419)</f>
        <v>48830381419</v>
      </c>
      <c r="B124" s="24" t="s">
        <v>536</v>
      </c>
      <c r="C124" s="24" t="s">
        <v>148</v>
      </c>
      <c r="D124" s="25">
        <v>3500.0</v>
      </c>
      <c r="E124" s="24" t="s">
        <v>73</v>
      </c>
      <c r="F124" s="24"/>
      <c r="G124" s="26">
        <v>45971.68515046296</v>
      </c>
      <c r="H124" s="26">
        <v>46151.68512731481</v>
      </c>
      <c r="I124" s="24" t="s">
        <v>40</v>
      </c>
      <c r="J124" s="24" t="s">
        <v>41</v>
      </c>
      <c r="K124" s="24" t="s">
        <v>42</v>
      </c>
      <c r="L124" s="24" t="s">
        <v>43</v>
      </c>
      <c r="M124" s="24" t="s">
        <v>44</v>
      </c>
      <c r="N124" s="27"/>
      <c r="O124" s="24"/>
      <c r="P124" s="24" t="s">
        <v>75</v>
      </c>
      <c r="Q124" s="24"/>
      <c r="R124" s="23">
        <f>HYPERLINK("https://app.hubspot.com/contacts/8748051/record/0-2/44387724722", 44387724722)</f>
        <v>44387724722</v>
      </c>
      <c r="S124" s="24" t="s">
        <v>537</v>
      </c>
      <c r="T124" s="28" t="s">
        <v>538</v>
      </c>
      <c r="U124" s="24"/>
      <c r="V124" s="24"/>
      <c r="W124" s="32"/>
      <c r="X124" s="29">
        <v>30.0</v>
      </c>
      <c r="Y124" s="29">
        <v>7.0</v>
      </c>
      <c r="Z124" s="30"/>
      <c r="AA124" s="31"/>
      <c r="AB124" s="31"/>
      <c r="AC124" s="31"/>
      <c r="AD124" s="31"/>
      <c r="AE124" s="31"/>
      <c r="AF124" s="31"/>
      <c r="AG124" s="27" t="str">
        <f t="shared" si="1"/>
        <v>New Logo</v>
      </c>
      <c r="AH124" s="27" t="str">
        <f t="shared" si="5"/>
        <v>Lead</v>
      </c>
      <c r="AI124" s="27" t="str">
        <f t="shared" si="6"/>
        <v>0-200</v>
      </c>
      <c r="AJ124" s="27" t="str">
        <f t="shared" si="7"/>
        <v>0-20</v>
      </c>
    </row>
    <row r="125" ht="15.75" customHeight="1">
      <c r="A125" s="23">
        <f>HYPERLINK("https://app.hubspot.com/contacts/8748051/record/0-3/48786999816", 48786999816)</f>
        <v>48786999816</v>
      </c>
      <c r="B125" s="24" t="s">
        <v>539</v>
      </c>
      <c r="C125" s="24" t="s">
        <v>50</v>
      </c>
      <c r="D125" s="25">
        <v>100000.0</v>
      </c>
      <c r="E125" s="24" t="s">
        <v>51</v>
      </c>
      <c r="F125" s="24" t="s">
        <v>52</v>
      </c>
      <c r="G125" s="26">
        <v>45971.40321759259</v>
      </c>
      <c r="H125" s="26">
        <v>46203.53388888889</v>
      </c>
      <c r="I125" s="24" t="s">
        <v>40</v>
      </c>
      <c r="J125" s="24" t="s">
        <v>53</v>
      </c>
      <c r="K125" s="24" t="s">
        <v>42</v>
      </c>
      <c r="L125" s="24" t="s">
        <v>43</v>
      </c>
      <c r="M125" s="24" t="s">
        <v>44</v>
      </c>
      <c r="N125" s="27"/>
      <c r="O125" s="27"/>
      <c r="P125" s="24"/>
      <c r="Q125" s="24"/>
      <c r="R125" s="23">
        <f>HYPERLINK("https://app.hubspot.com/contacts/8748051/record/0-2/8714341039", 8714341039)</f>
        <v>8714341039</v>
      </c>
      <c r="S125" s="24" t="s">
        <v>540</v>
      </c>
      <c r="T125" s="28" t="s">
        <v>541</v>
      </c>
      <c r="U125" s="24"/>
      <c r="V125" s="24"/>
      <c r="W125" s="32"/>
      <c r="X125" s="29">
        <v>3404.0</v>
      </c>
      <c r="Y125" s="29">
        <v>741.0</v>
      </c>
      <c r="Z125" s="30" t="s">
        <v>542</v>
      </c>
      <c r="AA125" s="31"/>
      <c r="AB125" s="31"/>
      <c r="AC125" s="31"/>
      <c r="AD125" s="31"/>
      <c r="AE125" s="31"/>
      <c r="AF125" s="31"/>
      <c r="AG125" s="27" t="str">
        <f t="shared" si="1"/>
        <v>New Logo</v>
      </c>
      <c r="AH125" s="27" t="str">
        <f t="shared" si="5"/>
        <v>Lead</v>
      </c>
      <c r="AI125" s="27" t="str">
        <f t="shared" si="6"/>
        <v>1001-5000</v>
      </c>
      <c r="AJ125" s="27" t="str">
        <f t="shared" si="7"/>
        <v>500+</v>
      </c>
    </row>
    <row r="126" ht="15.75" customHeight="1">
      <c r="A126" s="23">
        <f>HYPERLINK("https://app.hubspot.com/contacts/8748051/record/0-3/48719124392", 48719124392)</f>
        <v>48719124392</v>
      </c>
      <c r="B126" s="24" t="s">
        <v>543</v>
      </c>
      <c r="C126" s="24" t="s">
        <v>148</v>
      </c>
      <c r="D126" s="25">
        <v>100000.0</v>
      </c>
      <c r="E126" s="24" t="s">
        <v>127</v>
      </c>
      <c r="F126" s="24" t="s">
        <v>52</v>
      </c>
      <c r="G126" s="26">
        <v>45970.59043981481</v>
      </c>
      <c r="H126" s="26">
        <v>46150.59042824074</v>
      </c>
      <c r="I126" s="24" t="s">
        <v>40</v>
      </c>
      <c r="J126" s="24" t="s">
        <v>53</v>
      </c>
      <c r="K126" s="24" t="s">
        <v>42</v>
      </c>
      <c r="L126" s="24" t="s">
        <v>43</v>
      </c>
      <c r="M126" s="24" t="s">
        <v>44</v>
      </c>
      <c r="N126" s="24"/>
      <c r="O126" s="27"/>
      <c r="P126" s="24"/>
      <c r="Q126" s="24" t="s">
        <v>128</v>
      </c>
      <c r="R126" s="23">
        <f>HYPERLINK("https://app.hubspot.com/contacts/8748051/record/0-2/9354298161", 9354298161)</f>
        <v>9354298161</v>
      </c>
      <c r="S126" s="24" t="s">
        <v>544</v>
      </c>
      <c r="T126" s="28" t="s">
        <v>545</v>
      </c>
      <c r="U126" s="24" t="s">
        <v>47</v>
      </c>
      <c r="V126" s="24"/>
      <c r="W126" s="25"/>
      <c r="X126" s="29">
        <v>1761.0</v>
      </c>
      <c r="Y126" s="29">
        <v>221.0</v>
      </c>
      <c r="Z126" s="30" t="s">
        <v>546</v>
      </c>
      <c r="AA126" s="30"/>
      <c r="AB126" s="31"/>
      <c r="AC126" s="31"/>
      <c r="AD126" s="30"/>
      <c r="AE126" s="31"/>
      <c r="AF126" s="30"/>
      <c r="AG126" s="27" t="str">
        <f t="shared" si="1"/>
        <v>New Logo</v>
      </c>
      <c r="AH126" s="27" t="str">
        <f t="shared" si="5"/>
        <v>Lead</v>
      </c>
      <c r="AI126" s="27" t="str">
        <f t="shared" si="6"/>
        <v>1001-5000</v>
      </c>
      <c r="AJ126" s="27" t="str">
        <f t="shared" si="7"/>
        <v>101-500</v>
      </c>
    </row>
    <row r="127" ht="15.75" customHeight="1">
      <c r="A127" s="23">
        <f>HYPERLINK("https://app.hubspot.com/contacts/8748051/record/0-3/48400655682", 48400655682)</f>
        <v>48400655682</v>
      </c>
      <c r="B127" s="24" t="s">
        <v>547</v>
      </c>
      <c r="C127" s="24" t="s">
        <v>38</v>
      </c>
      <c r="D127" s="25">
        <v>100000.0</v>
      </c>
      <c r="E127" s="24" t="s">
        <v>73</v>
      </c>
      <c r="F127" s="24"/>
      <c r="G127" s="26">
        <v>45966.731944444444</v>
      </c>
      <c r="H127" s="26">
        <v>46146.73193287037</v>
      </c>
      <c r="I127" s="24" t="s">
        <v>40</v>
      </c>
      <c r="J127" s="24" t="s">
        <v>53</v>
      </c>
      <c r="K127" s="24" t="s">
        <v>60</v>
      </c>
      <c r="L127" s="24" t="s">
        <v>61</v>
      </c>
      <c r="M127" s="24" t="s">
        <v>44</v>
      </c>
      <c r="N127" s="24"/>
      <c r="O127" s="27"/>
      <c r="P127" s="24" t="s">
        <v>234</v>
      </c>
      <c r="Q127" s="24"/>
      <c r="R127" s="23">
        <f>HYPERLINK("https://app.hubspot.com/contacts/8748051/record/0-2/8142843932", 8142843932)</f>
        <v>8142843932</v>
      </c>
      <c r="S127" s="24" t="s">
        <v>548</v>
      </c>
      <c r="T127" s="28" t="s">
        <v>549</v>
      </c>
      <c r="U127" s="24" t="s">
        <v>47</v>
      </c>
      <c r="V127" s="24"/>
      <c r="W127" s="25"/>
      <c r="X127" s="29">
        <v>3141.0</v>
      </c>
      <c r="Y127" s="29">
        <v>670.0</v>
      </c>
      <c r="Z127" s="30" t="s">
        <v>372</v>
      </c>
      <c r="AA127" s="30"/>
      <c r="AB127" s="30"/>
      <c r="AC127" s="30"/>
      <c r="AD127" s="30"/>
      <c r="AE127" s="30"/>
      <c r="AF127" s="30"/>
      <c r="AG127" s="27" t="str">
        <f t="shared" si="1"/>
        <v>New Logo</v>
      </c>
      <c r="AH127" s="27" t="str">
        <f t="shared" si="5"/>
        <v>Lead</v>
      </c>
      <c r="AI127" s="27" t="str">
        <f t="shared" si="6"/>
        <v>1001-5000</v>
      </c>
      <c r="AJ127" s="27" t="str">
        <f t="shared" si="7"/>
        <v>500+</v>
      </c>
    </row>
    <row r="128" ht="15.75" customHeight="1">
      <c r="A128" s="23">
        <f>HYPERLINK("https://app.hubspot.com/contacts/8748051/record/0-3/48374291714", 48374291714)</f>
        <v>48374291714</v>
      </c>
      <c r="B128" s="24" t="s">
        <v>550</v>
      </c>
      <c r="C128" s="24" t="s">
        <v>148</v>
      </c>
      <c r="D128" s="25">
        <v>10000.0</v>
      </c>
      <c r="E128" s="24" t="s">
        <v>92</v>
      </c>
      <c r="F128" s="24" t="s">
        <v>52</v>
      </c>
      <c r="G128" s="26">
        <v>45966.51322916667</v>
      </c>
      <c r="H128" s="26">
        <v>46013.43071759259</v>
      </c>
      <c r="I128" s="24" t="s">
        <v>40</v>
      </c>
      <c r="J128" s="24" t="s">
        <v>41</v>
      </c>
      <c r="K128" s="24" t="s">
        <v>42</v>
      </c>
      <c r="L128" s="24" t="s">
        <v>43</v>
      </c>
      <c r="M128" s="24" t="s">
        <v>44</v>
      </c>
      <c r="N128" s="24" t="s">
        <v>551</v>
      </c>
      <c r="O128" s="27"/>
      <c r="P128" s="24"/>
      <c r="Q128" s="24"/>
      <c r="R128" s="23">
        <f>HYPERLINK("https://app.hubspot.com/contacts/8748051/record/0-2/19176660885", 19176660885)</f>
        <v>19176660885</v>
      </c>
      <c r="S128" s="24" t="s">
        <v>552</v>
      </c>
      <c r="T128" s="28" t="s">
        <v>553</v>
      </c>
      <c r="U128" s="24" t="s">
        <v>96</v>
      </c>
      <c r="V128" s="24"/>
      <c r="W128" s="25">
        <v>10000.0</v>
      </c>
      <c r="X128" s="29">
        <v>136.0</v>
      </c>
      <c r="Y128" s="29">
        <v>18.0</v>
      </c>
      <c r="Z128" s="30"/>
      <c r="AA128" s="30" t="s">
        <v>349</v>
      </c>
      <c r="AB128" s="31"/>
      <c r="AC128" s="31"/>
      <c r="AD128" s="30" t="s">
        <v>462</v>
      </c>
      <c r="AE128" s="31"/>
      <c r="AF128" s="30" t="s">
        <v>554</v>
      </c>
      <c r="AG128" s="27" t="str">
        <f t="shared" si="1"/>
        <v>New Logo</v>
      </c>
      <c r="AH128" s="27" t="str">
        <f t="shared" si="5"/>
        <v>Customer</v>
      </c>
      <c r="AI128" s="27" t="str">
        <f t="shared" si="6"/>
        <v>0-200</v>
      </c>
      <c r="AJ128" s="27" t="str">
        <f t="shared" si="7"/>
        <v>0-20</v>
      </c>
    </row>
    <row r="129" ht="15.75" customHeight="1">
      <c r="A129" s="23">
        <f>HYPERLINK("https://app.hubspot.com/contacts/8748051/record/0-3/48176732041", 48176732041)</f>
        <v>48176732041</v>
      </c>
      <c r="B129" s="24" t="s">
        <v>555</v>
      </c>
      <c r="C129" s="24" t="s">
        <v>50</v>
      </c>
      <c r="D129" s="25">
        <v>40000.0</v>
      </c>
      <c r="E129" s="24" t="s">
        <v>127</v>
      </c>
      <c r="F129" s="24" t="s">
        <v>52</v>
      </c>
      <c r="G129" s="26">
        <v>45965.491122685184</v>
      </c>
      <c r="H129" s="26">
        <v>46145.491111111114</v>
      </c>
      <c r="I129" s="24" t="s">
        <v>40</v>
      </c>
      <c r="J129" s="24" t="s">
        <v>41</v>
      </c>
      <c r="K129" s="24" t="s">
        <v>42</v>
      </c>
      <c r="L129" s="24" t="s">
        <v>43</v>
      </c>
      <c r="M129" s="24" t="s">
        <v>44</v>
      </c>
      <c r="N129" s="27"/>
      <c r="O129" s="24"/>
      <c r="P129" s="24"/>
      <c r="Q129" s="24" t="s">
        <v>128</v>
      </c>
      <c r="R129" s="23">
        <f>HYPERLINK("https://app.hubspot.com/contacts/8748051/record/0-2/8965285538", 8965285538)</f>
        <v>8965285538</v>
      </c>
      <c r="S129" s="24" t="s">
        <v>556</v>
      </c>
      <c r="T129" s="28" t="s">
        <v>557</v>
      </c>
      <c r="U129" s="24" t="s">
        <v>47</v>
      </c>
      <c r="V129" s="24"/>
      <c r="W129" s="25"/>
      <c r="X129" s="29">
        <v>113.0</v>
      </c>
      <c r="Y129" s="29">
        <v>16.0</v>
      </c>
      <c r="Z129" s="30"/>
      <c r="AA129" s="30"/>
      <c r="AB129" s="30"/>
      <c r="AC129" s="30"/>
      <c r="AD129" s="30"/>
      <c r="AE129" s="30"/>
      <c r="AF129" s="30"/>
      <c r="AG129" s="27" t="str">
        <f t="shared" si="1"/>
        <v>New Logo</v>
      </c>
      <c r="AH129" s="27" t="str">
        <f t="shared" si="5"/>
        <v>Lead</v>
      </c>
      <c r="AI129" s="27" t="str">
        <f t="shared" si="6"/>
        <v>0-200</v>
      </c>
      <c r="AJ129" s="27" t="str">
        <f t="shared" si="7"/>
        <v>0-20</v>
      </c>
    </row>
    <row r="130" ht="15.75" customHeight="1">
      <c r="A130" s="23">
        <f>HYPERLINK("https://app.hubspot.com/contacts/8748051/record/0-3/48124338192", 48124338192)</f>
        <v>48124338192</v>
      </c>
      <c r="B130" s="24" t="s">
        <v>558</v>
      </c>
      <c r="C130" s="24" t="s">
        <v>50</v>
      </c>
      <c r="D130" s="25">
        <v>10000.0</v>
      </c>
      <c r="E130" s="24" t="s">
        <v>127</v>
      </c>
      <c r="F130" s="24" t="s">
        <v>52</v>
      </c>
      <c r="G130" s="26">
        <v>45964.797118055554</v>
      </c>
      <c r="H130" s="26">
        <v>46170.89042824074</v>
      </c>
      <c r="I130" s="24" t="s">
        <v>40</v>
      </c>
      <c r="J130" s="24" t="s">
        <v>41</v>
      </c>
      <c r="K130" s="24" t="s">
        <v>559</v>
      </c>
      <c r="L130" s="24" t="s">
        <v>560</v>
      </c>
      <c r="M130" s="24" t="s">
        <v>44</v>
      </c>
      <c r="N130" s="24"/>
      <c r="O130" s="27"/>
      <c r="P130" s="24"/>
      <c r="Q130" s="24" t="s">
        <v>374</v>
      </c>
      <c r="R130" s="23">
        <f>HYPERLINK("https://app.hubspot.com/contacts/8748051/record/0-2/38263558413", 38263558413)</f>
        <v>38263558413</v>
      </c>
      <c r="S130" s="24" t="s">
        <v>561</v>
      </c>
      <c r="T130" s="28" t="s">
        <v>562</v>
      </c>
      <c r="U130" s="24"/>
      <c r="V130" s="24"/>
      <c r="W130" s="25"/>
      <c r="X130" s="29">
        <v>153.0</v>
      </c>
      <c r="Y130" s="29">
        <v>20.0</v>
      </c>
      <c r="Z130" s="30" t="s">
        <v>563</v>
      </c>
      <c r="AA130" s="30"/>
      <c r="AB130" s="31"/>
      <c r="AC130" s="31"/>
      <c r="AD130" s="30"/>
      <c r="AE130" s="31"/>
      <c r="AF130" s="31"/>
      <c r="AG130" s="27" t="str">
        <f t="shared" si="1"/>
        <v>New Logo</v>
      </c>
      <c r="AH130" s="27" t="str">
        <f t="shared" si="5"/>
        <v>Lead</v>
      </c>
      <c r="AI130" s="27" t="str">
        <f t="shared" si="6"/>
        <v>0-200</v>
      </c>
      <c r="AJ130" s="27" t="str">
        <f t="shared" si="7"/>
        <v>0-20</v>
      </c>
    </row>
    <row r="131" ht="15.75" customHeight="1">
      <c r="A131" s="23">
        <f>HYPERLINK("https://app.hubspot.com/contacts/8748051/record/0-3/48152079462", 48152079462)</f>
        <v>48152079462</v>
      </c>
      <c r="B131" s="24" t="s">
        <v>564</v>
      </c>
      <c r="C131" s="24" t="s">
        <v>50</v>
      </c>
      <c r="D131" s="25">
        <v>50000.0</v>
      </c>
      <c r="E131" s="24" t="s">
        <v>127</v>
      </c>
      <c r="F131" s="24" t="s">
        <v>52</v>
      </c>
      <c r="G131" s="26">
        <v>45964.44803240741</v>
      </c>
      <c r="H131" s="26">
        <v>46112.764398148145</v>
      </c>
      <c r="I131" s="24" t="s">
        <v>40</v>
      </c>
      <c r="J131" s="24" t="s">
        <v>53</v>
      </c>
      <c r="K131" s="24" t="s">
        <v>42</v>
      </c>
      <c r="L131" s="24" t="s">
        <v>43</v>
      </c>
      <c r="M131" s="24" t="s">
        <v>44</v>
      </c>
      <c r="N131" s="24"/>
      <c r="O131" s="27"/>
      <c r="P131" s="24"/>
      <c r="Q131" s="24" t="s">
        <v>144</v>
      </c>
      <c r="R131" s="23">
        <f>HYPERLINK("https://app.hubspot.com/contacts/8748051/record/0-2/43493632080", 43493632080)</f>
        <v>43493632080</v>
      </c>
      <c r="S131" s="24" t="s">
        <v>565</v>
      </c>
      <c r="T131" s="28" t="s">
        <v>566</v>
      </c>
      <c r="U131" s="24"/>
      <c r="V131" s="24"/>
      <c r="W131" s="25"/>
      <c r="X131" s="29">
        <v>4945.0</v>
      </c>
      <c r="Y131" s="29">
        <v>1193.0</v>
      </c>
      <c r="Z131" s="31"/>
      <c r="AA131" s="30"/>
      <c r="AB131" s="31"/>
      <c r="AC131" s="31"/>
      <c r="AD131" s="30"/>
      <c r="AE131" s="31"/>
      <c r="AF131" s="31"/>
      <c r="AG131" s="27" t="str">
        <f t="shared" si="1"/>
        <v>New Logo</v>
      </c>
      <c r="AH131" s="27" t="str">
        <f t="shared" si="5"/>
        <v>Lead</v>
      </c>
      <c r="AI131" s="27" t="str">
        <f t="shared" si="6"/>
        <v>1001-5000</v>
      </c>
      <c r="AJ131" s="27" t="str">
        <f t="shared" si="7"/>
        <v>500+</v>
      </c>
    </row>
    <row r="132" ht="15.75" customHeight="1">
      <c r="A132" s="23">
        <f>HYPERLINK("https://app.hubspot.com/contacts/8748051/record/0-3/48123091042", 48123091042)</f>
        <v>48123091042</v>
      </c>
      <c r="B132" s="24" t="s">
        <v>567</v>
      </c>
      <c r="C132" s="24" t="s">
        <v>50</v>
      </c>
      <c r="D132" s="25">
        <v>10000.0</v>
      </c>
      <c r="E132" s="24" t="s">
        <v>127</v>
      </c>
      <c r="F132" s="24" t="s">
        <v>52</v>
      </c>
      <c r="G132" s="26">
        <v>45964.417037037034</v>
      </c>
      <c r="H132" s="26">
        <v>46171.52606481482</v>
      </c>
      <c r="I132" s="24" t="s">
        <v>40</v>
      </c>
      <c r="J132" s="24" t="s">
        <v>41</v>
      </c>
      <c r="K132" s="24" t="s">
        <v>42</v>
      </c>
      <c r="L132" s="24" t="s">
        <v>43</v>
      </c>
      <c r="M132" s="24" t="s">
        <v>44</v>
      </c>
      <c r="N132" s="27"/>
      <c r="O132" s="24"/>
      <c r="P132" s="24"/>
      <c r="Q132" s="24" t="s">
        <v>568</v>
      </c>
      <c r="R132" s="23">
        <f>HYPERLINK("https://app.hubspot.com/contacts/8748051/record/0-2/19176667820", 19176667820)</f>
        <v>19176667820</v>
      </c>
      <c r="S132" s="24" t="s">
        <v>569</v>
      </c>
      <c r="T132" s="28" t="s">
        <v>570</v>
      </c>
      <c r="U132" s="24" t="s">
        <v>47</v>
      </c>
      <c r="V132" s="24"/>
      <c r="W132" s="32"/>
      <c r="X132" s="29">
        <v>174.0</v>
      </c>
      <c r="Y132" s="29">
        <v>41.0</v>
      </c>
      <c r="Z132" s="30"/>
      <c r="AA132" s="31"/>
      <c r="AB132" s="31"/>
      <c r="AC132" s="31"/>
      <c r="AD132" s="31"/>
      <c r="AE132" s="31"/>
      <c r="AF132" s="31"/>
      <c r="AG132" s="27" t="str">
        <f t="shared" si="1"/>
        <v>New Logo</v>
      </c>
      <c r="AH132" s="27" t="str">
        <f t="shared" si="5"/>
        <v>Lead</v>
      </c>
      <c r="AI132" s="27" t="str">
        <f t="shared" si="6"/>
        <v>0-200</v>
      </c>
      <c r="AJ132" s="27" t="str">
        <f t="shared" si="7"/>
        <v>21-50</v>
      </c>
    </row>
    <row r="133" ht="15.75" customHeight="1">
      <c r="A133" s="23">
        <f>HYPERLINK("https://app.hubspot.com/contacts/8748051/record/0-3/48149495562", 48149495562)</f>
        <v>48149495562</v>
      </c>
      <c r="B133" s="24" t="s">
        <v>571</v>
      </c>
      <c r="C133" s="24" t="s">
        <v>50</v>
      </c>
      <c r="D133" s="25">
        <v>3000.0</v>
      </c>
      <c r="E133" s="24" t="s">
        <v>73</v>
      </c>
      <c r="F133" s="24"/>
      <c r="G133" s="26">
        <v>45964.41458333333</v>
      </c>
      <c r="H133" s="26">
        <v>46144.413773148146</v>
      </c>
      <c r="I133" s="24" t="s">
        <v>40</v>
      </c>
      <c r="J133" s="24" t="s">
        <v>41</v>
      </c>
      <c r="K133" s="24" t="s">
        <v>42</v>
      </c>
      <c r="L133" s="24" t="s">
        <v>43</v>
      </c>
      <c r="M133" s="24" t="s">
        <v>44</v>
      </c>
      <c r="N133" s="27"/>
      <c r="O133" s="27"/>
      <c r="P133" s="24" t="s">
        <v>234</v>
      </c>
      <c r="Q133" s="24"/>
      <c r="R133" s="23">
        <f>HYPERLINK("https://app.hubspot.com/contacts/8748051/record/0-2/43465112984", 43465112984)</f>
        <v>43465112984</v>
      </c>
      <c r="S133" s="24" t="s">
        <v>572</v>
      </c>
      <c r="T133" s="28" t="s">
        <v>573</v>
      </c>
      <c r="U133" s="24"/>
      <c r="V133" s="24"/>
      <c r="W133" s="32"/>
      <c r="X133" s="29">
        <v>33.0</v>
      </c>
      <c r="Y133" s="29">
        <v>6.0</v>
      </c>
      <c r="Z133" s="30"/>
      <c r="AA133" s="31"/>
      <c r="AB133" s="31"/>
      <c r="AC133" s="31"/>
      <c r="AD133" s="31"/>
      <c r="AE133" s="31"/>
      <c r="AF133" s="31"/>
      <c r="AG133" s="27" t="str">
        <f t="shared" si="1"/>
        <v>New Logo</v>
      </c>
      <c r="AH133" s="27" t="str">
        <f t="shared" si="5"/>
        <v>Lead</v>
      </c>
      <c r="AI133" s="27" t="str">
        <f t="shared" si="6"/>
        <v>0-200</v>
      </c>
      <c r="AJ133" s="27" t="str">
        <f t="shared" si="7"/>
        <v>0-20</v>
      </c>
    </row>
    <row r="134" ht="15.75" customHeight="1">
      <c r="A134" s="23">
        <f>HYPERLINK("https://app.hubspot.com/contacts/8748051/record/0-3/47839184727", 47839184727)</f>
        <v>47839184727</v>
      </c>
      <c r="B134" s="24" t="s">
        <v>574</v>
      </c>
      <c r="C134" s="24" t="s">
        <v>148</v>
      </c>
      <c r="D134" s="25">
        <v>15000.0</v>
      </c>
      <c r="E134" s="24" t="s">
        <v>127</v>
      </c>
      <c r="F134" s="24" t="s">
        <v>52</v>
      </c>
      <c r="G134" s="26">
        <v>45961.39204861111</v>
      </c>
      <c r="H134" s="26">
        <v>46203.7615625</v>
      </c>
      <c r="I134" s="24" t="s">
        <v>40</v>
      </c>
      <c r="J134" s="24" t="s">
        <v>41</v>
      </c>
      <c r="K134" s="24" t="s">
        <v>42</v>
      </c>
      <c r="L134" s="24" t="s">
        <v>43</v>
      </c>
      <c r="M134" s="24" t="s">
        <v>44</v>
      </c>
      <c r="N134" s="27"/>
      <c r="O134" s="24"/>
      <c r="P134" s="24"/>
      <c r="Q134" s="24" t="s">
        <v>128</v>
      </c>
      <c r="R134" s="23">
        <f>HYPERLINK("https://app.hubspot.com/contacts/8748051/record/0-2/26386786317", 26386786317)</f>
        <v>26386786317</v>
      </c>
      <c r="S134" s="24" t="s">
        <v>575</v>
      </c>
      <c r="T134" s="28" t="s">
        <v>576</v>
      </c>
      <c r="U134" s="24" t="s">
        <v>47</v>
      </c>
      <c r="V134" s="24"/>
      <c r="W134" s="25"/>
      <c r="X134" s="29">
        <v>121.0</v>
      </c>
      <c r="Y134" s="29">
        <v>11.0</v>
      </c>
      <c r="Z134" s="30"/>
      <c r="AA134" s="30"/>
      <c r="AB134" s="30"/>
      <c r="AC134" s="30"/>
      <c r="AD134" s="30"/>
      <c r="AE134" s="30"/>
      <c r="AF134" s="30"/>
      <c r="AG134" s="27" t="str">
        <f t="shared" si="1"/>
        <v>New Logo</v>
      </c>
      <c r="AH134" s="27" t="str">
        <f t="shared" si="5"/>
        <v>Lead</v>
      </c>
      <c r="AI134" s="27" t="str">
        <f t="shared" si="6"/>
        <v>0-200</v>
      </c>
      <c r="AJ134" s="27" t="str">
        <f t="shared" si="7"/>
        <v>0-20</v>
      </c>
    </row>
    <row r="135" ht="15.75" customHeight="1">
      <c r="A135" s="23">
        <f>HYPERLINK("https://app.hubspot.com/contacts/8748051/record/0-3/47680023644", 47680023644)</f>
        <v>47680023644</v>
      </c>
      <c r="B135" s="24" t="s">
        <v>577</v>
      </c>
      <c r="C135" s="24" t="s">
        <v>50</v>
      </c>
      <c r="D135" s="25">
        <v>3500.0</v>
      </c>
      <c r="E135" s="24" t="s">
        <v>578</v>
      </c>
      <c r="F135" s="24"/>
      <c r="G135" s="26">
        <v>45961.391875</v>
      </c>
      <c r="H135" s="26">
        <v>46000.73091435185</v>
      </c>
      <c r="I135" s="24" t="s">
        <v>40</v>
      </c>
      <c r="J135" s="24" t="s">
        <v>41</v>
      </c>
      <c r="K135" s="24" t="s">
        <v>42</v>
      </c>
      <c r="L135" s="24" t="s">
        <v>43</v>
      </c>
      <c r="M135" s="24" t="s">
        <v>74</v>
      </c>
      <c r="N135" s="27"/>
      <c r="O135" s="27"/>
      <c r="P135" s="24"/>
      <c r="Q135" s="27"/>
      <c r="R135" s="23">
        <f>HYPERLINK("https://app.hubspot.com/contacts/8748051/record/0-2/43369192841", 43369192841)</f>
        <v>43369192841</v>
      </c>
      <c r="S135" s="24" t="s">
        <v>579</v>
      </c>
      <c r="T135" s="28" t="s">
        <v>580</v>
      </c>
      <c r="U135" s="24"/>
      <c r="V135" s="24"/>
      <c r="W135" s="25"/>
      <c r="X135" s="29">
        <v>528.0</v>
      </c>
      <c r="Y135" s="29">
        <v>7.0</v>
      </c>
      <c r="Z135" s="30"/>
      <c r="AA135" s="30"/>
      <c r="AB135" s="30"/>
      <c r="AC135" s="30"/>
      <c r="AD135" s="30"/>
      <c r="AE135" s="30"/>
      <c r="AF135" s="30"/>
      <c r="AG135" s="27" t="str">
        <f t="shared" si="1"/>
        <v>New Logo</v>
      </c>
      <c r="AH135" s="27" t="str">
        <f t="shared" si="5"/>
        <v>Lead</v>
      </c>
      <c r="AI135" s="27" t="str">
        <f t="shared" si="6"/>
        <v>501-1000</v>
      </c>
      <c r="AJ135" s="27" t="str">
        <f t="shared" si="7"/>
        <v>0-20</v>
      </c>
    </row>
    <row r="136" ht="15.75" customHeight="1">
      <c r="A136" s="23">
        <f>HYPERLINK("https://app.hubspot.com/contacts/8748051/record/0-3/48105876822", 48105876822)</f>
        <v>48105876822</v>
      </c>
      <c r="B136" s="24" t="s">
        <v>581</v>
      </c>
      <c r="C136" s="24" t="s">
        <v>159</v>
      </c>
      <c r="D136" s="25">
        <v>500.0</v>
      </c>
      <c r="E136" s="24" t="s">
        <v>92</v>
      </c>
      <c r="F136" s="24"/>
      <c r="G136" s="26">
        <v>45961.0</v>
      </c>
      <c r="H136" s="26">
        <v>45961.28289351852</v>
      </c>
      <c r="I136" s="24" t="s">
        <v>40</v>
      </c>
      <c r="J136" s="24" t="s">
        <v>182</v>
      </c>
      <c r="K136" s="24" t="s">
        <v>161</v>
      </c>
      <c r="L136" s="24" t="s">
        <v>162</v>
      </c>
      <c r="M136" s="24" t="s">
        <v>44</v>
      </c>
      <c r="N136" s="24"/>
      <c r="O136" s="24"/>
      <c r="P136" s="24"/>
      <c r="Q136" s="24"/>
      <c r="R136" s="23">
        <f>HYPERLINK("https://app.hubspot.com/contacts/8748051/record/0-2/15823033951", 15823033951)</f>
        <v>15823033951</v>
      </c>
      <c r="S136" s="24" t="s">
        <v>582</v>
      </c>
      <c r="T136" s="28" t="s">
        <v>583</v>
      </c>
      <c r="U136" s="24" t="s">
        <v>96</v>
      </c>
      <c r="V136" s="24"/>
      <c r="W136" s="25">
        <v>20500.0</v>
      </c>
      <c r="X136" s="29">
        <v>175.0</v>
      </c>
      <c r="Y136" s="29">
        <v>27.0</v>
      </c>
      <c r="Z136" s="30"/>
      <c r="AA136" s="30" t="s">
        <v>97</v>
      </c>
      <c r="AB136" s="30" t="s">
        <v>207</v>
      </c>
      <c r="AC136" s="30" t="s">
        <v>461</v>
      </c>
      <c r="AD136" s="30" t="s">
        <v>584</v>
      </c>
      <c r="AE136" s="30" t="s">
        <v>585</v>
      </c>
      <c r="AF136" s="30" t="s">
        <v>586</v>
      </c>
      <c r="AG136" s="27" t="str">
        <f t="shared" si="1"/>
        <v>Upsell</v>
      </c>
      <c r="AH136" s="27" t="str">
        <f t="shared" si="5"/>
        <v>Customer</v>
      </c>
      <c r="AI136" s="27" t="str">
        <f t="shared" si="6"/>
        <v>0-200</v>
      </c>
      <c r="AJ136" s="27" t="str">
        <f t="shared" si="7"/>
        <v>21-50</v>
      </c>
    </row>
    <row r="137" ht="15.75" customHeight="1">
      <c r="A137" s="23">
        <f>HYPERLINK("https://app.hubspot.com/contacts/8748051/record/0-3/47743235381", 47743235381)</f>
        <v>47743235381</v>
      </c>
      <c r="B137" s="24" t="s">
        <v>587</v>
      </c>
      <c r="C137" s="24" t="s">
        <v>38</v>
      </c>
      <c r="D137" s="25">
        <v>50000.0</v>
      </c>
      <c r="E137" s="24" t="s">
        <v>73</v>
      </c>
      <c r="F137" s="24"/>
      <c r="G137" s="26">
        <v>45960.67576388889</v>
      </c>
      <c r="H137" s="26">
        <v>46140.67575231481</v>
      </c>
      <c r="I137" s="24" t="s">
        <v>40</v>
      </c>
      <c r="J137" s="24" t="s">
        <v>53</v>
      </c>
      <c r="K137" s="24" t="s">
        <v>60</v>
      </c>
      <c r="L137" s="24" t="s">
        <v>61</v>
      </c>
      <c r="M137" s="24" t="s">
        <v>44</v>
      </c>
      <c r="N137" s="24"/>
      <c r="O137" s="27"/>
      <c r="P137" s="24" t="s">
        <v>213</v>
      </c>
      <c r="Q137" s="24"/>
      <c r="R137" s="23">
        <f>HYPERLINK("https://app.hubspot.com/contacts/8748051/record/0-2/9186970749", 9186970749)</f>
        <v>9186970749</v>
      </c>
      <c r="S137" s="24" t="s">
        <v>588</v>
      </c>
      <c r="T137" s="28" t="s">
        <v>589</v>
      </c>
      <c r="U137" s="24"/>
      <c r="V137" s="24"/>
      <c r="W137" s="25"/>
      <c r="X137" s="29">
        <v>1813.0</v>
      </c>
      <c r="Y137" s="29">
        <v>448.0</v>
      </c>
      <c r="Z137" s="30" t="s">
        <v>546</v>
      </c>
      <c r="AA137" s="30"/>
      <c r="AB137" s="31"/>
      <c r="AC137" s="30"/>
      <c r="AD137" s="30"/>
      <c r="AE137" s="30"/>
      <c r="AF137" s="30"/>
      <c r="AG137" s="27" t="str">
        <f t="shared" si="1"/>
        <v>New Logo</v>
      </c>
      <c r="AH137" s="27" t="str">
        <f t="shared" si="5"/>
        <v>Lead</v>
      </c>
      <c r="AI137" s="27" t="str">
        <f t="shared" si="6"/>
        <v>1001-5000</v>
      </c>
      <c r="AJ137" s="27" t="str">
        <f t="shared" si="7"/>
        <v>101-500</v>
      </c>
    </row>
    <row r="138" ht="15.75" customHeight="1">
      <c r="A138" s="23">
        <f>HYPERLINK("https://app.hubspot.com/contacts/8748051/record/0-3/47721664944", 47721664944)</f>
        <v>47721664944</v>
      </c>
      <c r="B138" s="24" t="s">
        <v>590</v>
      </c>
      <c r="C138" s="24" t="s">
        <v>50</v>
      </c>
      <c r="D138" s="25">
        <v>3000.0</v>
      </c>
      <c r="E138" s="24" t="s">
        <v>73</v>
      </c>
      <c r="F138" s="24"/>
      <c r="G138" s="26">
        <v>45960.39802083333</v>
      </c>
      <c r="H138" s="26">
        <v>46140.397997685184</v>
      </c>
      <c r="I138" s="24" t="s">
        <v>40</v>
      </c>
      <c r="J138" s="24" t="s">
        <v>41</v>
      </c>
      <c r="K138" s="24" t="s">
        <v>42</v>
      </c>
      <c r="L138" s="24" t="s">
        <v>43</v>
      </c>
      <c r="M138" s="24" t="s">
        <v>44</v>
      </c>
      <c r="N138" s="27"/>
      <c r="O138" s="27"/>
      <c r="P138" s="24" t="s">
        <v>234</v>
      </c>
      <c r="Q138" s="24"/>
      <c r="R138" s="23">
        <f>HYPERLINK("https://app.hubspot.com/contacts/8748051/record/0-2/43254158111", 43254158111)</f>
        <v>43254158111</v>
      </c>
      <c r="S138" s="24" t="s">
        <v>591</v>
      </c>
      <c r="T138" s="28" t="s">
        <v>592</v>
      </c>
      <c r="U138" s="24"/>
      <c r="V138" s="24"/>
      <c r="W138" s="32"/>
      <c r="X138" s="29">
        <v>38.0</v>
      </c>
      <c r="Y138" s="29">
        <v>6.0</v>
      </c>
      <c r="Z138" s="30"/>
      <c r="AA138" s="31"/>
      <c r="AB138" s="31"/>
      <c r="AC138" s="31"/>
      <c r="AD138" s="31"/>
      <c r="AE138" s="31"/>
      <c r="AF138" s="31"/>
      <c r="AG138" s="27" t="str">
        <f t="shared" si="1"/>
        <v>New Logo</v>
      </c>
      <c r="AH138" s="27" t="str">
        <f t="shared" si="5"/>
        <v>Lead</v>
      </c>
      <c r="AI138" s="27" t="str">
        <f t="shared" si="6"/>
        <v>0-200</v>
      </c>
      <c r="AJ138" s="27" t="str">
        <f t="shared" si="7"/>
        <v>0-20</v>
      </c>
    </row>
    <row r="139" ht="15.75" customHeight="1">
      <c r="A139" s="23">
        <f>HYPERLINK("https://app.hubspot.com/contacts/8748051/record/0-3/46997408389", 46997408389)</f>
        <v>46997408389</v>
      </c>
      <c r="B139" s="24" t="s">
        <v>593</v>
      </c>
      <c r="C139" s="24" t="s">
        <v>148</v>
      </c>
      <c r="D139" s="25">
        <v>98000.0</v>
      </c>
      <c r="E139" s="24" t="s">
        <v>127</v>
      </c>
      <c r="F139" s="24" t="s">
        <v>52</v>
      </c>
      <c r="G139" s="26">
        <v>45954.57405092593</v>
      </c>
      <c r="H139" s="26">
        <v>46136.5737037037</v>
      </c>
      <c r="I139" s="24" t="s">
        <v>40</v>
      </c>
      <c r="J139" s="24" t="s">
        <v>53</v>
      </c>
      <c r="K139" s="24" t="s">
        <v>594</v>
      </c>
      <c r="L139" s="24" t="s">
        <v>178</v>
      </c>
      <c r="M139" s="24" t="s">
        <v>44</v>
      </c>
      <c r="N139" s="27"/>
      <c r="O139" s="24"/>
      <c r="P139" s="24"/>
      <c r="Q139" s="24" t="s">
        <v>144</v>
      </c>
      <c r="R139" s="23">
        <f>HYPERLINK("https://app.hubspot.com/contacts/8748051/record/0-2/7655953081", 7655953081)</f>
        <v>7655953081</v>
      </c>
      <c r="S139" s="24" t="s">
        <v>595</v>
      </c>
      <c r="T139" s="28" t="s">
        <v>596</v>
      </c>
      <c r="U139" s="24" t="s">
        <v>47</v>
      </c>
      <c r="V139" s="24"/>
      <c r="W139" s="32"/>
      <c r="X139" s="29">
        <v>1160.0</v>
      </c>
      <c r="Y139" s="29">
        <v>187.0</v>
      </c>
      <c r="Z139" s="30" t="s">
        <v>597</v>
      </c>
      <c r="AA139" s="31"/>
      <c r="AB139" s="31"/>
      <c r="AC139" s="31"/>
      <c r="AD139" s="31"/>
      <c r="AE139" s="31"/>
      <c r="AF139" s="31"/>
      <c r="AG139" s="27" t="str">
        <f t="shared" si="1"/>
        <v>New Logo</v>
      </c>
      <c r="AH139" s="27" t="str">
        <f t="shared" si="5"/>
        <v>Lead</v>
      </c>
      <c r="AI139" s="27" t="str">
        <f t="shared" si="6"/>
        <v>1001-5000</v>
      </c>
      <c r="AJ139" s="27" t="str">
        <f t="shared" si="7"/>
        <v>101-500</v>
      </c>
    </row>
    <row r="140" ht="15.75" customHeight="1">
      <c r="A140" s="23">
        <f>HYPERLINK("https://app.hubspot.com/contacts/8748051/record/0-3/46752765625", 46752765625)</f>
        <v>46752765625</v>
      </c>
      <c r="B140" s="24" t="s">
        <v>598</v>
      </c>
      <c r="C140" s="24" t="s">
        <v>50</v>
      </c>
      <c r="D140" s="25">
        <v>15000.0</v>
      </c>
      <c r="E140" s="24" t="s">
        <v>127</v>
      </c>
      <c r="F140" s="24" t="s">
        <v>52</v>
      </c>
      <c r="G140" s="26">
        <v>45952.880844907406</v>
      </c>
      <c r="H140" s="26">
        <v>46132.880833333336</v>
      </c>
      <c r="I140" s="24" t="s">
        <v>40</v>
      </c>
      <c r="J140" s="24" t="s">
        <v>41</v>
      </c>
      <c r="K140" s="24" t="s">
        <v>42</v>
      </c>
      <c r="L140" s="24" t="s">
        <v>43</v>
      </c>
      <c r="M140" s="24" t="s">
        <v>44</v>
      </c>
      <c r="N140" s="27"/>
      <c r="O140" s="24"/>
      <c r="P140" s="24"/>
      <c r="Q140" s="24" t="s">
        <v>128</v>
      </c>
      <c r="R140" s="23">
        <f>HYPERLINK("https://app.hubspot.com/contacts/8748051/record/0-2/9238301248", 9238301248)</f>
        <v>9238301248</v>
      </c>
      <c r="S140" s="24" t="s">
        <v>599</v>
      </c>
      <c r="T140" s="28" t="s">
        <v>600</v>
      </c>
      <c r="U140" s="24" t="s">
        <v>47</v>
      </c>
      <c r="V140" s="24"/>
      <c r="W140" s="32"/>
      <c r="X140" s="29">
        <v>210.0</v>
      </c>
      <c r="Y140" s="29">
        <v>30.0</v>
      </c>
      <c r="Z140" s="30"/>
      <c r="AA140" s="31"/>
      <c r="AB140" s="31"/>
      <c r="AC140" s="31"/>
      <c r="AD140" s="31"/>
      <c r="AE140" s="31"/>
      <c r="AF140" s="31"/>
      <c r="AG140" s="27" t="str">
        <f t="shared" si="1"/>
        <v>New Logo</v>
      </c>
      <c r="AH140" s="27" t="str">
        <f t="shared" si="5"/>
        <v>Lead</v>
      </c>
      <c r="AI140" s="27" t="str">
        <f t="shared" si="6"/>
        <v>201-500</v>
      </c>
      <c r="AJ140" s="27" t="str">
        <f t="shared" si="7"/>
        <v>21-50</v>
      </c>
    </row>
    <row r="141" ht="15.75" customHeight="1">
      <c r="A141" s="23">
        <f>HYPERLINK("https://app.hubspot.com/contacts/8748051/record/0-3/46599506361", 46599506361)</f>
        <v>46599506361</v>
      </c>
      <c r="B141" s="24" t="s">
        <v>601</v>
      </c>
      <c r="C141" s="24" t="s">
        <v>148</v>
      </c>
      <c r="D141" s="25">
        <v>9500.0</v>
      </c>
      <c r="E141" s="24" t="s">
        <v>73</v>
      </c>
      <c r="F141" s="24" t="s">
        <v>52</v>
      </c>
      <c r="G141" s="26">
        <v>45951.64739583333</v>
      </c>
      <c r="H141" s="26">
        <v>46133.647141203706</v>
      </c>
      <c r="I141" s="24" t="s">
        <v>40</v>
      </c>
      <c r="J141" s="24" t="s">
        <v>41</v>
      </c>
      <c r="K141" s="24" t="s">
        <v>594</v>
      </c>
      <c r="L141" s="24" t="s">
        <v>61</v>
      </c>
      <c r="M141" s="24" t="s">
        <v>44</v>
      </c>
      <c r="N141" s="24"/>
      <c r="O141" s="24"/>
      <c r="P141" s="24" t="s">
        <v>75</v>
      </c>
      <c r="Q141" s="24"/>
      <c r="R141" s="23">
        <f>HYPERLINK("https://app.hubspot.com/contacts/8748051/record/0-2/8396005127", 8396005127)</f>
        <v>8396005127</v>
      </c>
      <c r="S141" s="24" t="s">
        <v>602</v>
      </c>
      <c r="T141" s="28" t="s">
        <v>603</v>
      </c>
      <c r="U141" s="24" t="s">
        <v>47</v>
      </c>
      <c r="V141" s="24"/>
      <c r="W141" s="25"/>
      <c r="X141" s="29">
        <v>126.0</v>
      </c>
      <c r="Y141" s="29">
        <v>19.0</v>
      </c>
      <c r="Z141" s="30"/>
      <c r="AA141" s="30"/>
      <c r="AB141" s="31"/>
      <c r="AC141" s="31"/>
      <c r="AD141" s="30"/>
      <c r="AE141" s="31"/>
      <c r="AF141" s="30"/>
      <c r="AG141" s="27" t="str">
        <f t="shared" si="1"/>
        <v>New Logo</v>
      </c>
      <c r="AH141" s="27" t="str">
        <f t="shared" si="5"/>
        <v>Lead</v>
      </c>
      <c r="AI141" s="27" t="str">
        <f t="shared" si="6"/>
        <v>0-200</v>
      </c>
      <c r="AJ141" s="27" t="str">
        <f t="shared" si="7"/>
        <v>0-20</v>
      </c>
    </row>
    <row r="142" ht="15.75" customHeight="1">
      <c r="A142" s="23">
        <f>HYPERLINK("https://app.hubspot.com/contacts/8748051/record/0-3/46659535648", 46659535648)</f>
        <v>46659535648</v>
      </c>
      <c r="B142" s="24" t="s">
        <v>604</v>
      </c>
      <c r="C142" s="24" t="s">
        <v>50</v>
      </c>
      <c r="D142" s="25">
        <v>14500.0</v>
      </c>
      <c r="E142" s="24" t="s">
        <v>73</v>
      </c>
      <c r="F142" s="24"/>
      <c r="G142" s="26">
        <v>45951.60664351852</v>
      </c>
      <c r="H142" s="26">
        <v>46131.606620370374</v>
      </c>
      <c r="I142" s="24" t="s">
        <v>40</v>
      </c>
      <c r="J142" s="24" t="s">
        <v>41</v>
      </c>
      <c r="K142" s="24" t="s">
        <v>42</v>
      </c>
      <c r="L142" s="24" t="s">
        <v>43</v>
      </c>
      <c r="M142" s="24" t="s">
        <v>44</v>
      </c>
      <c r="N142" s="24"/>
      <c r="O142" s="24"/>
      <c r="P142" s="24" t="s">
        <v>75</v>
      </c>
      <c r="Q142" s="24"/>
      <c r="R142" s="23">
        <f>HYPERLINK("https://app.hubspot.com/contacts/8748051/record/0-2/9069602715", 9069602715)</f>
        <v>9069602715</v>
      </c>
      <c r="S142" s="24" t="s">
        <v>605</v>
      </c>
      <c r="T142" s="28" t="s">
        <v>606</v>
      </c>
      <c r="U142" s="24"/>
      <c r="V142" s="24"/>
      <c r="W142" s="25"/>
      <c r="X142" s="29">
        <v>170.0</v>
      </c>
      <c r="Y142" s="29">
        <v>36.0</v>
      </c>
      <c r="Z142" s="30" t="s">
        <v>108</v>
      </c>
      <c r="AA142" s="30"/>
      <c r="AB142" s="31"/>
      <c r="AC142" s="31"/>
      <c r="AD142" s="30"/>
      <c r="AE142" s="31"/>
      <c r="AF142" s="30"/>
      <c r="AG142" s="27" t="str">
        <f t="shared" si="1"/>
        <v>New Logo</v>
      </c>
      <c r="AH142" s="27" t="str">
        <f t="shared" si="5"/>
        <v>Lead</v>
      </c>
      <c r="AI142" s="27" t="str">
        <f t="shared" si="6"/>
        <v>0-200</v>
      </c>
      <c r="AJ142" s="27" t="str">
        <f t="shared" si="7"/>
        <v>21-50</v>
      </c>
    </row>
    <row r="143" ht="15.75" customHeight="1">
      <c r="A143" s="23">
        <f>HYPERLINK("https://app.hubspot.com/contacts/8748051/record/0-3/46648765099", 46648765099)</f>
        <v>46648765099</v>
      </c>
      <c r="B143" s="24" t="s">
        <v>607</v>
      </c>
      <c r="C143" s="24" t="s">
        <v>50</v>
      </c>
      <c r="D143" s="25">
        <v>25000.0</v>
      </c>
      <c r="E143" s="24" t="s">
        <v>149</v>
      </c>
      <c r="F143" s="24" t="s">
        <v>52</v>
      </c>
      <c r="G143" s="26">
        <v>45951.586180555554</v>
      </c>
      <c r="H143" s="26">
        <v>46001.451944444445</v>
      </c>
      <c r="I143" s="24" t="s">
        <v>40</v>
      </c>
      <c r="J143" s="24" t="s">
        <v>41</v>
      </c>
      <c r="K143" s="24" t="s">
        <v>42</v>
      </c>
      <c r="L143" s="24" t="s">
        <v>43</v>
      </c>
      <c r="M143" s="24" t="s">
        <v>44</v>
      </c>
      <c r="N143" s="24"/>
      <c r="O143" s="24" t="s">
        <v>608</v>
      </c>
      <c r="P143" s="24"/>
      <c r="Q143" s="24"/>
      <c r="R143" s="23">
        <f>HYPERLINK("https://app.hubspot.com/contacts/8748051/record/0-2/42260545864", 42260545864)</f>
        <v>42260545864</v>
      </c>
      <c r="S143" s="24" t="s">
        <v>609</v>
      </c>
      <c r="T143" s="28" t="s">
        <v>610</v>
      </c>
      <c r="U143" s="24"/>
      <c r="V143" s="24"/>
      <c r="W143" s="25"/>
      <c r="X143" s="29">
        <v>325.0</v>
      </c>
      <c r="Y143" s="29">
        <v>40.0</v>
      </c>
      <c r="Z143" s="30" t="s">
        <v>108</v>
      </c>
      <c r="AA143" s="30"/>
      <c r="AB143" s="31"/>
      <c r="AC143" s="31"/>
      <c r="AD143" s="30"/>
      <c r="AE143" s="31"/>
      <c r="AF143" s="30"/>
      <c r="AG143" s="27" t="str">
        <f t="shared" si="1"/>
        <v>New Logo</v>
      </c>
      <c r="AH143" s="27" t="str">
        <f t="shared" si="5"/>
        <v>Lead</v>
      </c>
      <c r="AI143" s="27" t="str">
        <f t="shared" si="6"/>
        <v>201-500</v>
      </c>
      <c r="AJ143" s="27" t="str">
        <f t="shared" si="7"/>
        <v>21-50</v>
      </c>
    </row>
    <row r="144" ht="15.75" customHeight="1">
      <c r="A144" s="23">
        <f>HYPERLINK("https://app.hubspot.com/contacts/8748051/record/0-3/46512837763", 46512837763)</f>
        <v>46512837763</v>
      </c>
      <c r="B144" s="24" t="s">
        <v>611</v>
      </c>
      <c r="C144" s="24" t="s">
        <v>38</v>
      </c>
      <c r="D144" s="25">
        <v>42000.0</v>
      </c>
      <c r="E144" s="24" t="s">
        <v>73</v>
      </c>
      <c r="F144" s="24"/>
      <c r="G144" s="26">
        <v>45950.726875</v>
      </c>
      <c r="H144" s="26">
        <v>46199.48475694445</v>
      </c>
      <c r="I144" s="24" t="s">
        <v>40</v>
      </c>
      <c r="J144" s="24" t="s">
        <v>41</v>
      </c>
      <c r="K144" s="24" t="s">
        <v>594</v>
      </c>
      <c r="L144" s="24" t="s">
        <v>61</v>
      </c>
      <c r="M144" s="24" t="s">
        <v>44</v>
      </c>
      <c r="N144" s="24"/>
      <c r="O144" s="24"/>
      <c r="P144" s="24" t="s">
        <v>234</v>
      </c>
      <c r="Q144" s="24"/>
      <c r="R144" s="23">
        <f>HYPERLINK("https://app.hubspot.com/contacts/8748051/record/0-2/40066814483", 40066814483)</f>
        <v>40066814483</v>
      </c>
      <c r="S144" s="24" t="s">
        <v>612</v>
      </c>
      <c r="T144" s="28" t="s">
        <v>613</v>
      </c>
      <c r="U144" s="24"/>
      <c r="V144" s="24"/>
      <c r="W144" s="25"/>
      <c r="X144" s="29">
        <v>6000.0</v>
      </c>
      <c r="Y144" s="29">
        <v>84.0</v>
      </c>
      <c r="Z144" s="30"/>
      <c r="AA144" s="30"/>
      <c r="AB144" s="30"/>
      <c r="AC144" s="31"/>
      <c r="AD144" s="31"/>
      <c r="AE144" s="31"/>
      <c r="AF144" s="31"/>
      <c r="AG144" s="27" t="str">
        <f t="shared" si="1"/>
        <v>New Logo</v>
      </c>
      <c r="AH144" s="27" t="str">
        <f t="shared" si="5"/>
        <v>Lead</v>
      </c>
      <c r="AI144" s="27" t="str">
        <f t="shared" si="6"/>
        <v>5000-10000</v>
      </c>
      <c r="AJ144" s="27" t="str">
        <f t="shared" si="7"/>
        <v>51-100</v>
      </c>
    </row>
    <row r="145" ht="15.75" customHeight="1">
      <c r="A145" s="23">
        <f>HYPERLINK("https://app.hubspot.com/contacts/8748051/record/0-3/46334165395", 46334165395)</f>
        <v>46334165395</v>
      </c>
      <c r="B145" s="24" t="s">
        <v>614</v>
      </c>
      <c r="C145" s="24" t="s">
        <v>50</v>
      </c>
      <c r="D145" s="25">
        <v>35000.0</v>
      </c>
      <c r="E145" s="24" t="s">
        <v>73</v>
      </c>
      <c r="F145" s="24"/>
      <c r="G145" s="26">
        <v>45947.53045138889</v>
      </c>
      <c r="H145" s="26">
        <v>46127.530439814815</v>
      </c>
      <c r="I145" s="24" t="s">
        <v>40</v>
      </c>
      <c r="J145" s="24" t="s">
        <v>41</v>
      </c>
      <c r="K145" s="24" t="s">
        <v>42</v>
      </c>
      <c r="L145" s="24" t="s">
        <v>43</v>
      </c>
      <c r="M145" s="24" t="s">
        <v>44</v>
      </c>
      <c r="N145" s="27"/>
      <c r="O145" s="24"/>
      <c r="P145" s="24" t="s">
        <v>234</v>
      </c>
      <c r="Q145" s="24"/>
      <c r="R145" s="23">
        <f>HYPERLINK("https://app.hubspot.com/contacts/8748051/record/0-2/8630538410", 8630538410)</f>
        <v>8630538410</v>
      </c>
      <c r="S145" s="24" t="s">
        <v>615</v>
      </c>
      <c r="T145" s="28" t="s">
        <v>616</v>
      </c>
      <c r="U145" s="24" t="s">
        <v>47</v>
      </c>
      <c r="V145" s="24"/>
      <c r="W145" s="32"/>
      <c r="X145" s="29">
        <v>531.0</v>
      </c>
      <c r="Y145" s="29">
        <v>65.0</v>
      </c>
      <c r="Z145" s="30" t="s">
        <v>617</v>
      </c>
      <c r="AA145" s="31"/>
      <c r="AB145" s="31"/>
      <c r="AC145" s="31"/>
      <c r="AD145" s="31"/>
      <c r="AE145" s="31"/>
      <c r="AF145" s="31"/>
      <c r="AG145" s="27" t="str">
        <f t="shared" si="1"/>
        <v>New Logo</v>
      </c>
      <c r="AH145" s="27" t="str">
        <f t="shared" si="5"/>
        <v>Lead</v>
      </c>
      <c r="AI145" s="27" t="str">
        <f t="shared" si="6"/>
        <v>501-1000</v>
      </c>
      <c r="AJ145" s="27" t="str">
        <f t="shared" si="7"/>
        <v>51-100</v>
      </c>
    </row>
    <row r="146" ht="15.75" customHeight="1">
      <c r="A146" s="23">
        <f>HYPERLINK("https://app.hubspot.com/contacts/8748051/record/0-3/45987841872", 45987841872)</f>
        <v>45987841872</v>
      </c>
      <c r="B146" s="24" t="s">
        <v>618</v>
      </c>
      <c r="C146" s="24" t="s">
        <v>148</v>
      </c>
      <c r="D146" s="25">
        <v>0.0</v>
      </c>
      <c r="E146" s="24" t="s">
        <v>73</v>
      </c>
      <c r="F146" s="24"/>
      <c r="G146" s="26">
        <v>45944.64400462963</v>
      </c>
      <c r="H146" s="26">
        <v>46124.64399305556</v>
      </c>
      <c r="I146" s="24" t="s">
        <v>40</v>
      </c>
      <c r="J146" s="24" t="s">
        <v>41</v>
      </c>
      <c r="K146" s="24" t="s">
        <v>42</v>
      </c>
      <c r="L146" s="24" t="s">
        <v>43</v>
      </c>
      <c r="M146" s="24" t="s">
        <v>44</v>
      </c>
      <c r="N146" s="24"/>
      <c r="O146" s="24"/>
      <c r="P146" s="24" t="s">
        <v>75</v>
      </c>
      <c r="Q146" s="24"/>
      <c r="R146" s="23">
        <f>HYPERLINK("https://app.hubspot.com/contacts/8748051/record/0-2/41629652867", 41629652867)</f>
        <v>41629652867</v>
      </c>
      <c r="S146" s="24" t="s">
        <v>619</v>
      </c>
      <c r="T146" s="28" t="s">
        <v>620</v>
      </c>
      <c r="U146" s="24"/>
      <c r="V146" s="24"/>
      <c r="W146" s="25"/>
      <c r="X146" s="29">
        <v>30.0</v>
      </c>
      <c r="Y146" s="29"/>
      <c r="Z146" s="30"/>
      <c r="AA146" s="30"/>
      <c r="AB146" s="30"/>
      <c r="AC146" s="31"/>
      <c r="AD146" s="30"/>
      <c r="AE146" s="31"/>
      <c r="AF146" s="31"/>
      <c r="AG146" s="27" t="str">
        <f t="shared" si="1"/>
        <v>New Logo</v>
      </c>
      <c r="AH146" s="27" t="str">
        <f t="shared" si="5"/>
        <v>Lead</v>
      </c>
      <c r="AI146" s="27" t="str">
        <f t="shared" si="6"/>
        <v>0-200</v>
      </c>
      <c r="AJ146" s="27" t="str">
        <f t="shared" si="7"/>
        <v>0-20</v>
      </c>
    </row>
    <row r="147" ht="15.75" customHeight="1">
      <c r="A147" s="23">
        <f>HYPERLINK("https://app.hubspot.com/contacts/8748051/record/0-3/45939175996", 45939175996)</f>
        <v>45939175996</v>
      </c>
      <c r="B147" s="24" t="s">
        <v>621</v>
      </c>
      <c r="C147" s="24" t="s">
        <v>50</v>
      </c>
      <c r="D147" s="25">
        <v>15000.0</v>
      </c>
      <c r="E147" s="24" t="s">
        <v>51</v>
      </c>
      <c r="F147" s="24" t="s">
        <v>52</v>
      </c>
      <c r="G147" s="26">
        <v>45943.83898148148</v>
      </c>
      <c r="H147" s="26">
        <v>46203.40726851852</v>
      </c>
      <c r="I147" s="24" t="s">
        <v>40</v>
      </c>
      <c r="J147" s="24" t="s">
        <v>41</v>
      </c>
      <c r="K147" s="24" t="s">
        <v>42</v>
      </c>
      <c r="L147" s="24" t="s">
        <v>43</v>
      </c>
      <c r="M147" s="24" t="s">
        <v>44</v>
      </c>
      <c r="N147" s="27"/>
      <c r="O147" s="27"/>
      <c r="P147" s="24"/>
      <c r="Q147" s="24"/>
      <c r="R147" s="23">
        <f>HYPERLINK("https://app.hubspot.com/contacts/8748051/record/0-2/39594237571", 39594237571)</f>
        <v>39594237571</v>
      </c>
      <c r="S147" s="28" t="s">
        <v>622</v>
      </c>
      <c r="T147" s="28" t="s">
        <v>623</v>
      </c>
      <c r="U147" s="24"/>
      <c r="V147" s="24"/>
      <c r="W147" s="32"/>
      <c r="X147" s="29">
        <v>335.0</v>
      </c>
      <c r="Y147" s="29">
        <v>29.0</v>
      </c>
      <c r="Z147" s="30" t="s">
        <v>108</v>
      </c>
      <c r="AA147" s="31"/>
      <c r="AB147" s="31"/>
      <c r="AC147" s="31"/>
      <c r="AD147" s="31"/>
      <c r="AE147" s="31"/>
      <c r="AF147" s="31"/>
      <c r="AG147" s="27" t="str">
        <f t="shared" si="1"/>
        <v>New Logo</v>
      </c>
      <c r="AH147" s="27" t="str">
        <f t="shared" si="5"/>
        <v>Lead</v>
      </c>
      <c r="AI147" s="27" t="str">
        <f t="shared" si="6"/>
        <v>201-500</v>
      </c>
      <c r="AJ147" s="27" t="str">
        <f t="shared" si="7"/>
        <v>21-50</v>
      </c>
    </row>
    <row r="148" ht="15.75" customHeight="1">
      <c r="A148" s="23">
        <f>HYPERLINK("https://app.hubspot.com/contacts/8748051/record/0-3/45764913665", 45764913665)</f>
        <v>45764913665</v>
      </c>
      <c r="B148" s="24" t="s">
        <v>624</v>
      </c>
      <c r="C148" s="24" t="s">
        <v>38</v>
      </c>
      <c r="D148" s="25">
        <v>100000.0</v>
      </c>
      <c r="E148" s="24" t="s">
        <v>73</v>
      </c>
      <c r="F148" s="24"/>
      <c r="G148" s="26">
        <v>45943.25636574074</v>
      </c>
      <c r="H148" s="26">
        <v>46123.25634259259</v>
      </c>
      <c r="I148" s="24" t="s">
        <v>40</v>
      </c>
      <c r="J148" s="24" t="s">
        <v>53</v>
      </c>
      <c r="K148" s="24" t="s">
        <v>42</v>
      </c>
      <c r="L148" s="24" t="s">
        <v>43</v>
      </c>
      <c r="M148" s="24" t="s">
        <v>102</v>
      </c>
      <c r="N148" s="24"/>
      <c r="O148" s="24"/>
      <c r="P148" s="24" t="s">
        <v>234</v>
      </c>
      <c r="Q148" s="24"/>
      <c r="R148" s="23">
        <f>HYPERLINK("https://app.hubspot.com/contacts/8748051/record/0-2/9664359229", 9664359229)</f>
        <v>9664359229</v>
      </c>
      <c r="S148" s="24" t="s">
        <v>103</v>
      </c>
      <c r="T148" s="28" t="s">
        <v>104</v>
      </c>
      <c r="U148" s="24" t="s">
        <v>47</v>
      </c>
      <c r="V148" s="24"/>
      <c r="W148" s="25"/>
      <c r="X148" s="29">
        <v>17488.0</v>
      </c>
      <c r="Y148" s="29">
        <v>4615.0</v>
      </c>
      <c r="Z148" s="30"/>
      <c r="AA148" s="30"/>
      <c r="AB148" s="31"/>
      <c r="AC148" s="31"/>
      <c r="AD148" s="30"/>
      <c r="AE148" s="31"/>
      <c r="AF148" s="30"/>
      <c r="AG148" s="27" t="str">
        <f t="shared" si="1"/>
        <v>New Logo</v>
      </c>
      <c r="AH148" s="27" t="str">
        <f t="shared" si="5"/>
        <v>Lead</v>
      </c>
      <c r="AI148" s="27" t="str">
        <f t="shared" si="6"/>
        <v>10000+</v>
      </c>
      <c r="AJ148" s="27" t="str">
        <f t="shared" si="7"/>
        <v>500+</v>
      </c>
    </row>
    <row r="149" ht="15.75" customHeight="1">
      <c r="A149" s="23">
        <f>HYPERLINK("https://app.hubspot.com/contacts/8748051/record/0-3/45586133514", 45586133514)</f>
        <v>45586133514</v>
      </c>
      <c r="B149" s="24" t="s">
        <v>625</v>
      </c>
      <c r="C149" s="24" t="s">
        <v>38</v>
      </c>
      <c r="D149" s="25">
        <v>19000.0</v>
      </c>
      <c r="E149" s="24" t="s">
        <v>73</v>
      </c>
      <c r="F149" s="24"/>
      <c r="G149" s="26">
        <v>45939.304976851854</v>
      </c>
      <c r="H149" s="26">
        <v>46119.30496527778</v>
      </c>
      <c r="I149" s="24" t="s">
        <v>40</v>
      </c>
      <c r="J149" s="24" t="s">
        <v>41</v>
      </c>
      <c r="K149" s="24" t="s">
        <v>42</v>
      </c>
      <c r="L149" s="24" t="s">
        <v>43</v>
      </c>
      <c r="M149" s="24" t="s">
        <v>44</v>
      </c>
      <c r="N149" s="24"/>
      <c r="O149" s="24"/>
      <c r="P149" s="24" t="s">
        <v>75</v>
      </c>
      <c r="Q149" s="24"/>
      <c r="R149" s="23">
        <f>HYPERLINK("https://app.hubspot.com/contacts/8748051/record/0-2/41190590628", 41190590628)</f>
        <v>41190590628</v>
      </c>
      <c r="S149" s="24" t="s">
        <v>626</v>
      </c>
      <c r="T149" s="28" t="s">
        <v>627</v>
      </c>
      <c r="U149" s="24"/>
      <c r="V149" s="24"/>
      <c r="W149" s="25"/>
      <c r="X149" s="29">
        <v>4066.0</v>
      </c>
      <c r="Y149" s="29">
        <v>38.0</v>
      </c>
      <c r="Z149" s="30"/>
      <c r="AA149" s="30"/>
      <c r="AB149" s="31"/>
      <c r="AC149" s="31"/>
      <c r="AD149" s="30"/>
      <c r="AE149" s="31"/>
      <c r="AF149" s="30"/>
      <c r="AG149" s="27" t="str">
        <f t="shared" si="1"/>
        <v>New Logo</v>
      </c>
      <c r="AH149" s="27" t="str">
        <f t="shared" si="5"/>
        <v>Lead</v>
      </c>
      <c r="AI149" s="27" t="str">
        <f t="shared" si="6"/>
        <v>1001-5000</v>
      </c>
      <c r="AJ149" s="27" t="str">
        <f t="shared" si="7"/>
        <v>21-50</v>
      </c>
    </row>
    <row r="150" ht="15.75" customHeight="1">
      <c r="A150" s="23">
        <f>HYPERLINK("https://app.hubspot.com/contacts/8748051/record/0-3/45581429892", 45581429892)</f>
        <v>45581429892</v>
      </c>
      <c r="B150" s="24" t="s">
        <v>628</v>
      </c>
      <c r="C150" s="24" t="s">
        <v>148</v>
      </c>
      <c r="D150" s="25">
        <v>23005.0</v>
      </c>
      <c r="E150" s="24" t="s">
        <v>92</v>
      </c>
      <c r="F150" s="24" t="s">
        <v>52</v>
      </c>
      <c r="G150" s="26">
        <v>45938.65565972222</v>
      </c>
      <c r="H150" s="26">
        <v>45958.636458333334</v>
      </c>
      <c r="I150" s="24" t="s">
        <v>40</v>
      </c>
      <c r="J150" s="24" t="s">
        <v>41</v>
      </c>
      <c r="K150" s="24" t="s">
        <v>42</v>
      </c>
      <c r="L150" s="24" t="s">
        <v>449</v>
      </c>
      <c r="M150" s="24" t="s">
        <v>44</v>
      </c>
      <c r="N150" s="24" t="s">
        <v>629</v>
      </c>
      <c r="O150" s="24"/>
      <c r="P150" s="24"/>
      <c r="Q150" s="24"/>
      <c r="R150" s="23">
        <f>HYPERLINK("https://app.hubspot.com/contacts/8748051/record/0-2/40822299399", 40822299399)</f>
        <v>40822299399</v>
      </c>
      <c r="S150" s="24" t="s">
        <v>630</v>
      </c>
      <c r="T150" s="28" t="s">
        <v>631</v>
      </c>
      <c r="U150" s="24" t="s">
        <v>96</v>
      </c>
      <c r="V150" s="24"/>
      <c r="W150" s="25">
        <v>23005.0</v>
      </c>
      <c r="X150" s="29">
        <v>174.0</v>
      </c>
      <c r="Y150" s="29">
        <v>17.0</v>
      </c>
      <c r="Z150" s="30"/>
      <c r="AA150" s="30" t="s">
        <v>349</v>
      </c>
      <c r="AB150" s="30"/>
      <c r="AC150" s="31"/>
      <c r="AD150" s="30" t="s">
        <v>187</v>
      </c>
      <c r="AE150" s="31"/>
      <c r="AF150" s="30" t="s">
        <v>586</v>
      </c>
      <c r="AG150" s="27" t="str">
        <f t="shared" si="1"/>
        <v>New Logo</v>
      </c>
      <c r="AH150" s="27" t="str">
        <f t="shared" si="5"/>
        <v>Customer</v>
      </c>
      <c r="AI150" s="27" t="str">
        <f t="shared" si="6"/>
        <v>0-200</v>
      </c>
      <c r="AJ150" s="27" t="str">
        <f t="shared" si="7"/>
        <v>0-20</v>
      </c>
    </row>
    <row r="151" ht="15.75" customHeight="1">
      <c r="A151" s="23">
        <f>HYPERLINK("https://app.hubspot.com/contacts/8748051/record/0-3/45429950050", 45429950050)</f>
        <v>45429950050</v>
      </c>
      <c r="B151" s="24" t="s">
        <v>632</v>
      </c>
      <c r="C151" s="24" t="s">
        <v>148</v>
      </c>
      <c r="D151" s="25">
        <v>0.0</v>
      </c>
      <c r="E151" s="24" t="s">
        <v>73</v>
      </c>
      <c r="F151" s="24"/>
      <c r="G151" s="26">
        <v>45938.46356481482</v>
      </c>
      <c r="H151" s="26">
        <v>46118.463541666664</v>
      </c>
      <c r="I151" s="24" t="s">
        <v>40</v>
      </c>
      <c r="J151" s="24" t="s">
        <v>41</v>
      </c>
      <c r="K151" s="24" t="s">
        <v>594</v>
      </c>
      <c r="L151" s="24" t="s">
        <v>61</v>
      </c>
      <c r="M151" s="24"/>
      <c r="N151" s="24"/>
      <c r="O151" s="27"/>
      <c r="P151" s="24" t="s">
        <v>234</v>
      </c>
      <c r="Q151" s="24"/>
      <c r="R151" s="23">
        <f>HYPERLINK("https://app.hubspot.com/contacts/8748051/record/0-2/41002863628", 41002863628)</f>
        <v>41002863628</v>
      </c>
      <c r="S151" s="24" t="s">
        <v>633</v>
      </c>
      <c r="T151" s="28" t="s">
        <v>634</v>
      </c>
      <c r="U151" s="24"/>
      <c r="V151" s="24"/>
      <c r="W151" s="25"/>
      <c r="X151" s="29">
        <v>6.0</v>
      </c>
      <c r="Y151" s="29">
        <v>0.0</v>
      </c>
      <c r="Z151" s="30"/>
      <c r="AA151" s="30"/>
      <c r="AB151" s="30"/>
      <c r="AC151" s="30"/>
      <c r="AD151" s="30"/>
      <c r="AE151" s="30"/>
      <c r="AF151" s="30"/>
      <c r="AG151" s="27" t="str">
        <f t="shared" si="1"/>
        <v>New Logo</v>
      </c>
      <c r="AH151" s="27" t="str">
        <f t="shared" si="5"/>
        <v>Lead</v>
      </c>
      <c r="AI151" s="27" t="str">
        <f t="shared" si="6"/>
        <v>0-200</v>
      </c>
      <c r="AJ151" s="27" t="str">
        <f t="shared" si="7"/>
        <v>0-20</v>
      </c>
    </row>
    <row r="152" ht="15.75" customHeight="1">
      <c r="A152" s="23">
        <f>HYPERLINK("https://app.hubspot.com/contacts/8748051/record/0-3/45442101095", 45442101095)</f>
        <v>45442101095</v>
      </c>
      <c r="B152" s="24" t="s">
        <v>635</v>
      </c>
      <c r="C152" s="24" t="s">
        <v>38</v>
      </c>
      <c r="D152" s="25">
        <v>2000.0</v>
      </c>
      <c r="E152" s="24" t="s">
        <v>127</v>
      </c>
      <c r="F152" s="24"/>
      <c r="G152" s="26">
        <v>45938.44206018518</v>
      </c>
      <c r="H152" s="26">
        <v>46118.442037037035</v>
      </c>
      <c r="I152" s="24" t="s">
        <v>40</v>
      </c>
      <c r="J152" s="24" t="s">
        <v>41</v>
      </c>
      <c r="K152" s="24" t="s">
        <v>42</v>
      </c>
      <c r="L152" s="24" t="s">
        <v>43</v>
      </c>
      <c r="M152" s="24"/>
      <c r="N152" s="24"/>
      <c r="O152" s="27"/>
      <c r="P152" s="24"/>
      <c r="Q152" s="24" t="s">
        <v>128</v>
      </c>
      <c r="R152" s="23">
        <f>HYPERLINK("https://app.hubspot.com/contacts/8748051/record/0-2/41077974430", 41077974430)</f>
        <v>41077974430</v>
      </c>
      <c r="S152" s="24" t="s">
        <v>636</v>
      </c>
      <c r="T152" s="24" t="s">
        <v>637</v>
      </c>
      <c r="U152" s="24"/>
      <c r="V152" s="24"/>
      <c r="W152" s="25"/>
      <c r="X152" s="29">
        <v>10.0</v>
      </c>
      <c r="Y152" s="29">
        <v>4.0</v>
      </c>
      <c r="Z152" s="30"/>
      <c r="AA152" s="30"/>
      <c r="AB152" s="30"/>
      <c r="AC152" s="31"/>
      <c r="AD152" s="30"/>
      <c r="AE152" s="31"/>
      <c r="AF152" s="30"/>
      <c r="AG152" s="27" t="str">
        <f t="shared" si="1"/>
        <v>New Logo</v>
      </c>
      <c r="AH152" s="27" t="str">
        <f t="shared" si="5"/>
        <v>Lead</v>
      </c>
      <c r="AI152" s="27" t="str">
        <f t="shared" si="6"/>
        <v>0-200</v>
      </c>
      <c r="AJ152" s="27" t="str">
        <f t="shared" si="7"/>
        <v>0-20</v>
      </c>
    </row>
    <row r="153" ht="15.75" customHeight="1">
      <c r="A153" s="23">
        <f>HYPERLINK("https://app.hubspot.com/contacts/8748051/record/0-3/45499869953", 45499869953)</f>
        <v>45499869953</v>
      </c>
      <c r="B153" s="24" t="s">
        <v>638</v>
      </c>
      <c r="C153" s="24" t="s">
        <v>38</v>
      </c>
      <c r="D153" s="25">
        <v>8750.0</v>
      </c>
      <c r="E153" s="24" t="s">
        <v>92</v>
      </c>
      <c r="F153" s="24" t="s">
        <v>52</v>
      </c>
      <c r="G153" s="26">
        <v>45938.44153935185</v>
      </c>
      <c r="H153" s="26">
        <v>46066.60403935185</v>
      </c>
      <c r="I153" s="24" t="s">
        <v>40</v>
      </c>
      <c r="J153" s="24" t="s">
        <v>41</v>
      </c>
      <c r="K153" s="24"/>
      <c r="L153" s="24" t="s">
        <v>449</v>
      </c>
      <c r="M153" s="24" t="s">
        <v>102</v>
      </c>
      <c r="N153" s="24" t="s">
        <v>639</v>
      </c>
      <c r="O153" s="24"/>
      <c r="P153" s="24"/>
      <c r="Q153" s="24"/>
      <c r="R153" s="23">
        <f>HYPERLINK("https://app.hubspot.com/contacts/8748051/record/0-2/8955697984", 8955697984)</f>
        <v>8955697984</v>
      </c>
      <c r="S153" s="24" t="s">
        <v>640</v>
      </c>
      <c r="T153" s="28" t="s">
        <v>641</v>
      </c>
      <c r="U153" s="24" t="s">
        <v>96</v>
      </c>
      <c r="V153" s="24"/>
      <c r="W153" s="25">
        <v>8750.0</v>
      </c>
      <c r="X153" s="29">
        <v>390.0</v>
      </c>
      <c r="Y153" s="29">
        <v>35.0</v>
      </c>
      <c r="Z153" s="30"/>
      <c r="AA153" s="30" t="s">
        <v>193</v>
      </c>
      <c r="AB153" s="30" t="s">
        <v>194</v>
      </c>
      <c r="AC153" s="30"/>
      <c r="AD153" s="30"/>
      <c r="AE153" s="30"/>
      <c r="AF153" s="30"/>
      <c r="AG153" s="27" t="str">
        <f t="shared" si="1"/>
        <v>New Logo</v>
      </c>
      <c r="AH153" s="27" t="str">
        <f t="shared" si="5"/>
        <v>Customer</v>
      </c>
      <c r="AI153" s="27" t="str">
        <f t="shared" si="6"/>
        <v>201-500</v>
      </c>
      <c r="AJ153" s="27" t="str">
        <f t="shared" si="7"/>
        <v>21-50</v>
      </c>
    </row>
    <row r="154" ht="15.75" customHeight="1">
      <c r="A154" s="23">
        <f>HYPERLINK("https://app.hubspot.com/contacts/8748051/record/0-3/45450538497", 45450538497)</f>
        <v>45450538497</v>
      </c>
      <c r="B154" s="24" t="s">
        <v>642</v>
      </c>
      <c r="C154" s="24" t="s">
        <v>148</v>
      </c>
      <c r="D154" s="25">
        <v>41500.0</v>
      </c>
      <c r="E154" s="24" t="s">
        <v>127</v>
      </c>
      <c r="F154" s="24" t="s">
        <v>52</v>
      </c>
      <c r="G154" s="26">
        <v>45938.434224537035</v>
      </c>
      <c r="H154" s="26">
        <v>46118.434212962966</v>
      </c>
      <c r="I154" s="24" t="s">
        <v>40</v>
      </c>
      <c r="J154" s="24" t="s">
        <v>41</v>
      </c>
      <c r="K154" s="24" t="s">
        <v>594</v>
      </c>
      <c r="L154" s="24" t="s">
        <v>61</v>
      </c>
      <c r="M154" s="24" t="s">
        <v>44</v>
      </c>
      <c r="N154" s="27"/>
      <c r="O154" s="24"/>
      <c r="P154" s="27"/>
      <c r="Q154" s="24" t="s">
        <v>128</v>
      </c>
      <c r="R154" s="23">
        <f>HYPERLINK("https://app.hubspot.com/contacts/8748051/record/0-2/30686253848", 30686253848)</f>
        <v>30686253848</v>
      </c>
      <c r="S154" s="24" t="s">
        <v>643</v>
      </c>
      <c r="T154" s="28" t="s">
        <v>644</v>
      </c>
      <c r="U154" s="24" t="s">
        <v>47</v>
      </c>
      <c r="V154" s="24"/>
      <c r="W154" s="32"/>
      <c r="X154" s="29">
        <v>693.0</v>
      </c>
      <c r="Y154" s="29">
        <v>83.0</v>
      </c>
      <c r="Z154" s="30"/>
      <c r="AA154" s="31"/>
      <c r="AB154" s="31"/>
      <c r="AC154" s="31"/>
      <c r="AD154" s="31"/>
      <c r="AE154" s="31"/>
      <c r="AF154" s="31"/>
      <c r="AG154" s="27" t="str">
        <f t="shared" si="1"/>
        <v>New Logo</v>
      </c>
      <c r="AH154" s="27" t="str">
        <f t="shared" si="5"/>
        <v>Lead</v>
      </c>
      <c r="AI154" s="27" t="str">
        <f t="shared" si="6"/>
        <v>501-1000</v>
      </c>
      <c r="AJ154" s="27" t="str">
        <f t="shared" si="7"/>
        <v>51-100</v>
      </c>
    </row>
    <row r="155" ht="15.75" customHeight="1">
      <c r="A155" s="23">
        <f>HYPERLINK("https://app.hubspot.com/contacts/8748051/record/0-3/45451928346", 45451928346)</f>
        <v>45451928346</v>
      </c>
      <c r="B155" s="24" t="s">
        <v>645</v>
      </c>
      <c r="C155" s="24" t="s">
        <v>38</v>
      </c>
      <c r="D155" s="25">
        <v>100000.0</v>
      </c>
      <c r="E155" s="24" t="s">
        <v>149</v>
      </c>
      <c r="F155" s="24"/>
      <c r="G155" s="26">
        <v>45937.89109953704</v>
      </c>
      <c r="H155" s="26">
        <v>45984.53986111111</v>
      </c>
      <c r="I155" s="24" t="s">
        <v>40</v>
      </c>
      <c r="J155" s="24" t="s">
        <v>53</v>
      </c>
      <c r="K155" s="24" t="s">
        <v>42</v>
      </c>
      <c r="L155" s="24" t="s">
        <v>43</v>
      </c>
      <c r="M155" s="24"/>
      <c r="N155" s="24"/>
      <c r="O155" s="24" t="s">
        <v>646</v>
      </c>
      <c r="P155" s="27"/>
      <c r="Q155" s="24"/>
      <c r="R155" s="23">
        <f>HYPERLINK("https://app.hubspot.com/contacts/8748051/record/0-2/41105868191", 41105868191)</f>
        <v>41105868191</v>
      </c>
      <c r="S155" s="24" t="s">
        <v>647</v>
      </c>
      <c r="T155" s="28" t="s">
        <v>648</v>
      </c>
      <c r="U155" s="24"/>
      <c r="V155" s="24"/>
      <c r="W155" s="25"/>
      <c r="X155" s="29">
        <v>507.0</v>
      </c>
      <c r="Y155" s="29">
        <v>306.0</v>
      </c>
      <c r="Z155" s="30"/>
      <c r="AA155" s="30"/>
      <c r="AB155" s="31"/>
      <c r="AC155" s="31"/>
      <c r="AD155" s="30"/>
      <c r="AE155" s="31"/>
      <c r="AF155" s="31"/>
      <c r="AG155" s="27" t="str">
        <f t="shared" si="1"/>
        <v>New Logo</v>
      </c>
      <c r="AH155" s="27" t="str">
        <f t="shared" si="5"/>
        <v>Lead</v>
      </c>
      <c r="AI155" s="27" t="str">
        <f t="shared" si="6"/>
        <v>501-1000</v>
      </c>
      <c r="AJ155" s="27" t="str">
        <f t="shared" si="7"/>
        <v>101-500</v>
      </c>
    </row>
    <row r="156" ht="15.75" customHeight="1">
      <c r="A156" s="23">
        <f>HYPERLINK("https://app.hubspot.com/contacts/8748051/record/0-3/45354363535", 45354363535)</f>
        <v>45354363535</v>
      </c>
      <c r="B156" s="24" t="s">
        <v>649</v>
      </c>
      <c r="C156" s="24" t="s">
        <v>38</v>
      </c>
      <c r="D156" s="25">
        <v>100000.0</v>
      </c>
      <c r="E156" s="24" t="s">
        <v>51</v>
      </c>
      <c r="F156" s="24" t="s">
        <v>52</v>
      </c>
      <c r="G156" s="26">
        <v>45937.47914351852</v>
      </c>
      <c r="H156" s="26">
        <v>46234.40398148148</v>
      </c>
      <c r="I156" s="24" t="s">
        <v>40</v>
      </c>
      <c r="J156" s="24" t="s">
        <v>53</v>
      </c>
      <c r="K156" s="24" t="s">
        <v>42</v>
      </c>
      <c r="L156" s="24" t="s">
        <v>43</v>
      </c>
      <c r="M156" s="24" t="s">
        <v>44</v>
      </c>
      <c r="N156" s="24"/>
      <c r="O156" s="24"/>
      <c r="P156" s="27"/>
      <c r="Q156" s="24"/>
      <c r="R156" s="23">
        <f>HYPERLINK("https://app.hubspot.com/contacts/8748051/record/0-2/18832368254", 18832368254)</f>
        <v>18832368254</v>
      </c>
      <c r="S156" s="24" t="s">
        <v>650</v>
      </c>
      <c r="T156" s="28" t="s">
        <v>651</v>
      </c>
      <c r="U156" s="24" t="s">
        <v>47</v>
      </c>
      <c r="V156" s="24"/>
      <c r="W156" s="25"/>
      <c r="X156" s="29">
        <v>4509.0</v>
      </c>
      <c r="Y156" s="29">
        <v>393.0</v>
      </c>
      <c r="Z156" s="30" t="s">
        <v>372</v>
      </c>
      <c r="AA156" s="30"/>
      <c r="AB156" s="30"/>
      <c r="AC156" s="31"/>
      <c r="AD156" s="30"/>
      <c r="AE156" s="31"/>
      <c r="AF156" s="31"/>
      <c r="AG156" s="27" t="str">
        <f t="shared" si="1"/>
        <v>New Logo</v>
      </c>
      <c r="AH156" s="27" t="str">
        <f t="shared" si="5"/>
        <v>Lead</v>
      </c>
      <c r="AI156" s="27" t="str">
        <f t="shared" si="6"/>
        <v>1001-5000</v>
      </c>
      <c r="AJ156" s="27" t="str">
        <f t="shared" si="7"/>
        <v>101-500</v>
      </c>
    </row>
    <row r="157" ht="15.75" customHeight="1">
      <c r="A157" s="23">
        <f>HYPERLINK("https://app.hubspot.com/contacts/8748051/record/0-3/45315192745", 45315192745)</f>
        <v>45315192745</v>
      </c>
      <c r="B157" s="24" t="s">
        <v>652</v>
      </c>
      <c r="C157" s="24" t="s">
        <v>38</v>
      </c>
      <c r="D157" s="25">
        <v>10500.0</v>
      </c>
      <c r="E157" s="24" t="s">
        <v>149</v>
      </c>
      <c r="F157" s="24" t="s">
        <v>52</v>
      </c>
      <c r="G157" s="26">
        <v>45936.40206018519</v>
      </c>
      <c r="H157" s="26">
        <v>46058.665613425925</v>
      </c>
      <c r="I157" s="24" t="s">
        <v>40</v>
      </c>
      <c r="J157" s="24" t="s">
        <v>41</v>
      </c>
      <c r="K157" s="24" t="s">
        <v>42</v>
      </c>
      <c r="L157" s="24" t="s">
        <v>43</v>
      </c>
      <c r="M157" s="24" t="s">
        <v>44</v>
      </c>
      <c r="N157" s="27"/>
      <c r="O157" s="24" t="s">
        <v>653</v>
      </c>
      <c r="P157" s="24"/>
      <c r="Q157" s="24"/>
      <c r="R157" s="23">
        <f>HYPERLINK("https://app.hubspot.com/contacts/8748051/record/0-2/40871142018", 40871142018)</f>
        <v>40871142018</v>
      </c>
      <c r="S157" s="24" t="s">
        <v>654</v>
      </c>
      <c r="T157" s="28" t="s">
        <v>655</v>
      </c>
      <c r="U157" s="24"/>
      <c r="V157" s="24"/>
      <c r="W157" s="32"/>
      <c r="X157" s="29">
        <v>122.0</v>
      </c>
      <c r="Y157" s="29">
        <v>21.0</v>
      </c>
      <c r="Z157" s="30"/>
      <c r="AA157" s="31"/>
      <c r="AB157" s="31"/>
      <c r="AC157" s="31"/>
      <c r="AD157" s="31"/>
      <c r="AE157" s="31"/>
      <c r="AF157" s="31"/>
      <c r="AG157" s="27" t="str">
        <f t="shared" si="1"/>
        <v>New Logo</v>
      </c>
      <c r="AH157" s="27" t="str">
        <f t="shared" si="5"/>
        <v>Lead</v>
      </c>
      <c r="AI157" s="27" t="str">
        <f t="shared" si="6"/>
        <v>0-200</v>
      </c>
      <c r="AJ157" s="27" t="str">
        <f t="shared" si="7"/>
        <v>21-50</v>
      </c>
    </row>
    <row r="158" ht="15.75" customHeight="1">
      <c r="A158" s="23">
        <f>HYPERLINK("https://app.hubspot.com/contacts/8748051/record/0-3/45296463026", 45296463026)</f>
        <v>45296463026</v>
      </c>
      <c r="B158" s="24" t="s">
        <v>656</v>
      </c>
      <c r="C158" s="24" t="s">
        <v>38</v>
      </c>
      <c r="D158" s="25">
        <v>100000.0</v>
      </c>
      <c r="E158" s="24" t="s">
        <v>51</v>
      </c>
      <c r="F158" s="24" t="s">
        <v>52</v>
      </c>
      <c r="G158" s="26">
        <v>45936.401655092595</v>
      </c>
      <c r="H158" s="26">
        <v>46262.48552083333</v>
      </c>
      <c r="I158" s="24" t="s">
        <v>40</v>
      </c>
      <c r="J158" s="24" t="s">
        <v>53</v>
      </c>
      <c r="K158" s="24" t="s">
        <v>42</v>
      </c>
      <c r="L158" s="24" t="s">
        <v>43</v>
      </c>
      <c r="M158" s="24" t="s">
        <v>44</v>
      </c>
      <c r="N158" s="24"/>
      <c r="O158" s="27"/>
      <c r="P158" s="24"/>
      <c r="Q158" s="24"/>
      <c r="R158" s="23">
        <f>HYPERLINK("https://app.hubspot.com/contacts/8748051/record/0-2/8867142733", 8867142733)</f>
        <v>8867142733</v>
      </c>
      <c r="S158" s="24" t="s">
        <v>657</v>
      </c>
      <c r="T158" s="28" t="s">
        <v>658</v>
      </c>
      <c r="U158" s="24" t="s">
        <v>47</v>
      </c>
      <c r="V158" s="24"/>
      <c r="W158" s="25"/>
      <c r="X158" s="29">
        <v>8750.0</v>
      </c>
      <c r="Y158" s="29">
        <v>1438.0</v>
      </c>
      <c r="Z158" s="30" t="s">
        <v>659</v>
      </c>
      <c r="AA158" s="30"/>
      <c r="AB158" s="31"/>
      <c r="AC158" s="30"/>
      <c r="AD158" s="30"/>
      <c r="AE158" s="30"/>
      <c r="AF158" s="30"/>
      <c r="AG158" s="27" t="str">
        <f t="shared" si="1"/>
        <v>New Logo</v>
      </c>
      <c r="AH158" s="27" t="str">
        <f t="shared" si="5"/>
        <v>Lead</v>
      </c>
      <c r="AI158" s="27" t="str">
        <f t="shared" si="6"/>
        <v>5000-10000</v>
      </c>
      <c r="AJ158" s="27" t="str">
        <f t="shared" si="7"/>
        <v>500+</v>
      </c>
    </row>
    <row r="159" ht="15.75" customHeight="1">
      <c r="A159" s="23">
        <f>HYPERLINK("https://app.hubspot.com/contacts/8748051/record/0-3/45189008786", 45189008786)</f>
        <v>45189008786</v>
      </c>
      <c r="B159" s="24" t="s">
        <v>660</v>
      </c>
      <c r="C159" s="24" t="s">
        <v>50</v>
      </c>
      <c r="D159" s="25">
        <v>10000.0</v>
      </c>
      <c r="E159" s="24" t="s">
        <v>127</v>
      </c>
      <c r="F159" s="24" t="s">
        <v>52</v>
      </c>
      <c r="G159" s="26">
        <v>45933.38841435185</v>
      </c>
      <c r="H159" s="26">
        <v>46112.45340277778</v>
      </c>
      <c r="I159" s="24" t="s">
        <v>40</v>
      </c>
      <c r="J159" s="24" t="s">
        <v>41</v>
      </c>
      <c r="K159" s="24" t="s">
        <v>42</v>
      </c>
      <c r="L159" s="24" t="s">
        <v>43</v>
      </c>
      <c r="M159" s="24" t="s">
        <v>44</v>
      </c>
      <c r="N159" s="24"/>
      <c r="O159" s="24"/>
      <c r="P159" s="24"/>
      <c r="Q159" s="24" t="s">
        <v>238</v>
      </c>
      <c r="R159" s="23">
        <f>HYPERLINK("https://app.hubspot.com/contacts/8748051/record/0-2/39723801196", 39723801196)</f>
        <v>39723801196</v>
      </c>
      <c r="S159" s="24" t="s">
        <v>661</v>
      </c>
      <c r="T159" s="28" t="s">
        <v>662</v>
      </c>
      <c r="U159" s="24"/>
      <c r="V159" s="24"/>
      <c r="W159" s="25"/>
      <c r="X159" s="29">
        <v>299.0</v>
      </c>
      <c r="Y159" s="29">
        <v>78.0</v>
      </c>
      <c r="Z159" s="30"/>
      <c r="AA159" s="30"/>
      <c r="AB159" s="31"/>
      <c r="AC159" s="30"/>
      <c r="AD159" s="30"/>
      <c r="AE159" s="30"/>
      <c r="AF159" s="30"/>
      <c r="AG159" s="27" t="str">
        <f t="shared" si="1"/>
        <v>New Logo</v>
      </c>
      <c r="AH159" s="27" t="str">
        <f t="shared" si="5"/>
        <v>Lead</v>
      </c>
      <c r="AI159" s="27" t="str">
        <f t="shared" si="6"/>
        <v>201-500</v>
      </c>
      <c r="AJ159" s="27" t="str">
        <f t="shared" si="7"/>
        <v>51-100</v>
      </c>
    </row>
    <row r="160" ht="15.75" customHeight="1">
      <c r="A160" s="23">
        <f>HYPERLINK("https://app.hubspot.com/contacts/8748051/record/0-3/45327094084", 45327094084)</f>
        <v>45327094084</v>
      </c>
      <c r="B160" s="24" t="s">
        <v>663</v>
      </c>
      <c r="C160" s="24" t="s">
        <v>159</v>
      </c>
      <c r="D160" s="25">
        <v>-602.0</v>
      </c>
      <c r="E160" s="24" t="s">
        <v>92</v>
      </c>
      <c r="F160" s="24"/>
      <c r="G160" s="26">
        <v>45932.69709490741</v>
      </c>
      <c r="H160" s="26">
        <v>45936.696805555555</v>
      </c>
      <c r="I160" s="24" t="s">
        <v>40</v>
      </c>
      <c r="J160" s="24" t="s">
        <v>160</v>
      </c>
      <c r="K160" s="24" t="s">
        <v>161</v>
      </c>
      <c r="L160" s="24" t="s">
        <v>162</v>
      </c>
      <c r="M160" s="24" t="s">
        <v>44</v>
      </c>
      <c r="N160" s="24" t="s">
        <v>664</v>
      </c>
      <c r="O160" s="24"/>
      <c r="P160" s="24"/>
      <c r="Q160" s="24"/>
      <c r="R160" s="23">
        <f>HYPERLINK("https://app.hubspot.com/contacts/8748051/record/0-2/15119716451", 15119716451)</f>
        <v>15119716451</v>
      </c>
      <c r="S160" s="24" t="s">
        <v>205</v>
      </c>
      <c r="T160" s="28" t="s">
        <v>206</v>
      </c>
      <c r="U160" s="24">
        <v>3.4564763E7</v>
      </c>
      <c r="V160" s="24"/>
      <c r="W160" s="25">
        <v>28960.0</v>
      </c>
      <c r="X160" s="29">
        <v>406.0</v>
      </c>
      <c r="Y160" s="29">
        <v>112.0</v>
      </c>
      <c r="Z160" s="30"/>
      <c r="AA160" s="30" t="s">
        <v>207</v>
      </c>
      <c r="AB160" s="31"/>
      <c r="AC160" s="30" t="s">
        <v>208</v>
      </c>
      <c r="AD160" s="30" t="s">
        <v>209</v>
      </c>
      <c r="AE160" s="30" t="s">
        <v>210</v>
      </c>
      <c r="AF160" s="30" t="s">
        <v>211</v>
      </c>
      <c r="AG160" s="27" t="str">
        <f t="shared" si="1"/>
        <v>Downsell</v>
      </c>
      <c r="AH160" s="27" t="str">
        <f t="shared" si="5"/>
        <v>Churn</v>
      </c>
      <c r="AI160" s="27" t="str">
        <f t="shared" si="6"/>
        <v>201-500</v>
      </c>
      <c r="AJ160" s="27" t="str">
        <f t="shared" si="7"/>
        <v>101-500</v>
      </c>
    </row>
    <row r="161" ht="15.75" customHeight="1">
      <c r="A161" s="23">
        <f>HYPERLINK("https://app.hubspot.com/contacts/8748051/record/0-3/45140789881", 45140789881)</f>
        <v>45140789881</v>
      </c>
      <c r="B161" s="24" t="s">
        <v>665</v>
      </c>
      <c r="C161" s="24" t="s">
        <v>38</v>
      </c>
      <c r="D161" s="25">
        <v>110000.0</v>
      </c>
      <c r="E161" s="24" t="s">
        <v>51</v>
      </c>
      <c r="F161" s="24" t="s">
        <v>52</v>
      </c>
      <c r="G161" s="26">
        <v>45932.55866898148</v>
      </c>
      <c r="H161" s="26">
        <v>46199.018541666665</v>
      </c>
      <c r="I161" s="24" t="s">
        <v>40</v>
      </c>
      <c r="J161" s="24" t="s">
        <v>53</v>
      </c>
      <c r="K161" s="24" t="s">
        <v>60</v>
      </c>
      <c r="L161" s="24" t="s">
        <v>61</v>
      </c>
      <c r="M161" s="24" t="s">
        <v>44</v>
      </c>
      <c r="N161" s="27"/>
      <c r="O161" s="24"/>
      <c r="P161" s="24"/>
      <c r="Q161" s="24"/>
      <c r="R161" s="23">
        <f>HYPERLINK("https://app.hubspot.com/contacts/8748051/record/0-2/7674374064", 7674374064)</f>
        <v>7674374064</v>
      </c>
      <c r="S161" s="24" t="s">
        <v>666</v>
      </c>
      <c r="T161" s="28" t="s">
        <v>667</v>
      </c>
      <c r="U161" s="24" t="s">
        <v>47</v>
      </c>
      <c r="V161" s="24"/>
      <c r="W161" s="32"/>
      <c r="X161" s="29">
        <v>1257.0</v>
      </c>
      <c r="Y161" s="29">
        <v>264.0</v>
      </c>
      <c r="Z161" s="30" t="s">
        <v>81</v>
      </c>
      <c r="AA161" s="31"/>
      <c r="AB161" s="31"/>
      <c r="AC161" s="31"/>
      <c r="AD161" s="31"/>
      <c r="AE161" s="31"/>
      <c r="AF161" s="31"/>
      <c r="AG161" s="27" t="str">
        <f t="shared" si="1"/>
        <v>New Logo</v>
      </c>
      <c r="AH161" s="27" t="str">
        <f t="shared" si="5"/>
        <v>Lead</v>
      </c>
      <c r="AI161" s="27" t="str">
        <f t="shared" si="6"/>
        <v>1001-5000</v>
      </c>
      <c r="AJ161" s="27" t="str">
        <f t="shared" si="7"/>
        <v>101-500</v>
      </c>
    </row>
    <row r="162" ht="15.75" customHeight="1">
      <c r="A162" s="23">
        <f>HYPERLINK("https://app.hubspot.com/contacts/8748051/record/0-3/45102633035", 45102633035)</f>
        <v>45102633035</v>
      </c>
      <c r="B162" s="24" t="s">
        <v>668</v>
      </c>
      <c r="C162" s="24" t="s">
        <v>38</v>
      </c>
      <c r="D162" s="25">
        <v>25000.0</v>
      </c>
      <c r="E162" s="24" t="s">
        <v>149</v>
      </c>
      <c r="F162" s="24" t="s">
        <v>52</v>
      </c>
      <c r="G162" s="26">
        <v>45932.54586805555</v>
      </c>
      <c r="H162" s="26">
        <v>45975.23925925926</v>
      </c>
      <c r="I162" s="24" t="s">
        <v>40</v>
      </c>
      <c r="J162" s="24" t="s">
        <v>41</v>
      </c>
      <c r="K162" s="24" t="s">
        <v>42</v>
      </c>
      <c r="L162" s="24" t="s">
        <v>43</v>
      </c>
      <c r="M162" s="24" t="s">
        <v>44</v>
      </c>
      <c r="N162" s="24"/>
      <c r="O162" s="24" t="s">
        <v>669</v>
      </c>
      <c r="P162" s="24"/>
      <c r="Q162" s="24"/>
      <c r="R162" s="23">
        <f>HYPERLINK("https://app.hubspot.com/contacts/8748051/record/0-2/39434406029", 39434406029)</f>
        <v>39434406029</v>
      </c>
      <c r="S162" s="24" t="s">
        <v>670</v>
      </c>
      <c r="T162" s="28" t="s">
        <v>671</v>
      </c>
      <c r="U162" s="24"/>
      <c r="V162" s="24"/>
      <c r="W162" s="25"/>
      <c r="X162" s="29">
        <v>59.0</v>
      </c>
      <c r="Y162" s="29">
        <v>20.0</v>
      </c>
      <c r="Z162" s="30"/>
      <c r="AA162" s="30"/>
      <c r="AB162" s="31"/>
      <c r="AC162" s="31"/>
      <c r="AD162" s="30"/>
      <c r="AE162" s="31"/>
      <c r="AF162" s="30"/>
      <c r="AG162" s="27" t="str">
        <f t="shared" si="1"/>
        <v>New Logo</v>
      </c>
      <c r="AH162" s="27" t="str">
        <f t="shared" si="5"/>
        <v>Lead</v>
      </c>
      <c r="AI162" s="27" t="str">
        <f t="shared" si="6"/>
        <v>0-200</v>
      </c>
      <c r="AJ162" s="27" t="str">
        <f t="shared" si="7"/>
        <v>0-20</v>
      </c>
    </row>
    <row r="163" ht="15.75" customHeight="1">
      <c r="A163" s="23">
        <f>HYPERLINK("https://app.hubspot.com/contacts/8748051/record/0-3/44941183668", 44941183668)</f>
        <v>44941183668</v>
      </c>
      <c r="B163" s="24" t="s">
        <v>672</v>
      </c>
      <c r="C163" s="24" t="s">
        <v>38</v>
      </c>
      <c r="D163" s="25">
        <v>35000.0</v>
      </c>
      <c r="E163" s="24" t="s">
        <v>127</v>
      </c>
      <c r="F163" s="24" t="s">
        <v>52</v>
      </c>
      <c r="G163" s="26">
        <v>45930.62641203704</v>
      </c>
      <c r="H163" s="26">
        <v>46051.59478009259</v>
      </c>
      <c r="I163" s="24" t="s">
        <v>40</v>
      </c>
      <c r="J163" s="24" t="s">
        <v>41</v>
      </c>
      <c r="K163" s="24" t="s">
        <v>42</v>
      </c>
      <c r="L163" s="24" t="s">
        <v>43</v>
      </c>
      <c r="M163" s="24" t="s">
        <v>44</v>
      </c>
      <c r="N163" s="27"/>
      <c r="O163" s="27"/>
      <c r="P163" s="24"/>
      <c r="Q163" s="24" t="s">
        <v>144</v>
      </c>
      <c r="R163" s="23">
        <f>HYPERLINK("https://app.hubspot.com/contacts/8748051/record/0-2/31946973311", 31946973311)</f>
        <v>31946973311</v>
      </c>
      <c r="S163" s="24" t="s">
        <v>673</v>
      </c>
      <c r="T163" s="28" t="s">
        <v>674</v>
      </c>
      <c r="U163" s="24" t="s">
        <v>47</v>
      </c>
      <c r="V163" s="24"/>
      <c r="W163" s="32"/>
      <c r="X163" s="29">
        <v>36.0</v>
      </c>
      <c r="Y163" s="29">
        <v>3.0</v>
      </c>
      <c r="Z163" s="30"/>
      <c r="AA163" s="31"/>
      <c r="AB163" s="31"/>
      <c r="AC163" s="31"/>
      <c r="AD163" s="31"/>
      <c r="AE163" s="31"/>
      <c r="AF163" s="31"/>
      <c r="AG163" s="27" t="str">
        <f t="shared" si="1"/>
        <v>New Logo</v>
      </c>
      <c r="AH163" s="27" t="str">
        <f t="shared" si="5"/>
        <v>Lead</v>
      </c>
      <c r="AI163" s="27" t="str">
        <f t="shared" si="6"/>
        <v>0-200</v>
      </c>
      <c r="AJ163" s="27" t="str">
        <f t="shared" si="7"/>
        <v>0-20</v>
      </c>
    </row>
    <row r="164" ht="15.75" customHeight="1">
      <c r="A164" s="23">
        <f>HYPERLINK("https://app.hubspot.com/contacts/8748051/record/0-3/45116551543", 45116551543)</f>
        <v>45116551543</v>
      </c>
      <c r="B164" s="24" t="s">
        <v>675</v>
      </c>
      <c r="C164" s="24" t="s">
        <v>38</v>
      </c>
      <c r="D164" s="25">
        <v>6000.0</v>
      </c>
      <c r="E164" s="24" t="s">
        <v>127</v>
      </c>
      <c r="F164" s="24" t="s">
        <v>52</v>
      </c>
      <c r="G164" s="26">
        <v>45929.70880787037</v>
      </c>
      <c r="H164" s="26">
        <v>46163.02245370371</v>
      </c>
      <c r="I164" s="24" t="s">
        <v>40</v>
      </c>
      <c r="J164" s="24" t="s">
        <v>41</v>
      </c>
      <c r="K164" s="24" t="s">
        <v>42</v>
      </c>
      <c r="L164" s="24" t="s">
        <v>43</v>
      </c>
      <c r="M164" s="24" t="s">
        <v>44</v>
      </c>
      <c r="N164" s="27"/>
      <c r="O164" s="27"/>
      <c r="P164" s="24"/>
      <c r="Q164" s="24" t="s">
        <v>128</v>
      </c>
      <c r="R164" s="23">
        <f>HYPERLINK("https://app.hubspot.com/contacts/8748051/record/0-2/40573152920", 40573152920)</f>
        <v>40573152920</v>
      </c>
      <c r="S164" s="24" t="s">
        <v>676</v>
      </c>
      <c r="T164" s="28" t="s">
        <v>677</v>
      </c>
      <c r="U164" s="24"/>
      <c r="V164" s="24"/>
      <c r="W164" s="25"/>
      <c r="X164" s="29">
        <v>65.0</v>
      </c>
      <c r="Y164" s="29">
        <v>12.0</v>
      </c>
      <c r="Z164" s="30"/>
      <c r="AA164" s="30"/>
      <c r="AB164" s="31"/>
      <c r="AC164" s="31"/>
      <c r="AD164" s="30"/>
      <c r="AE164" s="31"/>
      <c r="AF164" s="30"/>
      <c r="AG164" s="27" t="str">
        <f t="shared" si="1"/>
        <v>New Logo</v>
      </c>
      <c r="AH164" s="27" t="str">
        <f t="shared" si="5"/>
        <v>Lead</v>
      </c>
      <c r="AI164" s="27" t="str">
        <f t="shared" si="6"/>
        <v>0-200</v>
      </c>
      <c r="AJ164" s="27" t="str">
        <f t="shared" si="7"/>
        <v>0-20</v>
      </c>
    </row>
    <row r="165" ht="15.75" customHeight="1">
      <c r="A165" s="23">
        <f>HYPERLINK("https://app.hubspot.com/contacts/8748051/record/0-3/44850969100", 44850969100)</f>
        <v>44850969100</v>
      </c>
      <c r="B165" s="24" t="s">
        <v>678</v>
      </c>
      <c r="C165" s="24" t="s">
        <v>50</v>
      </c>
      <c r="D165" s="25">
        <v>100000.0</v>
      </c>
      <c r="E165" s="24" t="s">
        <v>127</v>
      </c>
      <c r="F165" s="24"/>
      <c r="G165" s="26">
        <v>45929.67018518518</v>
      </c>
      <c r="H165" s="26">
        <v>46109.67017361111</v>
      </c>
      <c r="I165" s="24" t="s">
        <v>40</v>
      </c>
      <c r="J165" s="24" t="s">
        <v>53</v>
      </c>
      <c r="K165" s="24" t="s">
        <v>60</v>
      </c>
      <c r="L165" s="24" t="s">
        <v>61</v>
      </c>
      <c r="M165" s="24" t="s">
        <v>44</v>
      </c>
      <c r="N165" s="24"/>
      <c r="O165" s="27"/>
      <c r="P165" s="24"/>
      <c r="Q165" s="24" t="s">
        <v>238</v>
      </c>
      <c r="R165" s="23">
        <f>HYPERLINK("https://app.hubspot.com/contacts/8748051/record/0-2/30002652001", 30002652001)</f>
        <v>30002652001</v>
      </c>
      <c r="S165" s="24" t="s">
        <v>679</v>
      </c>
      <c r="T165" s="28" t="s">
        <v>680</v>
      </c>
      <c r="U165" s="24" t="s">
        <v>47</v>
      </c>
      <c r="V165" s="24"/>
      <c r="W165" s="25"/>
      <c r="X165" s="29">
        <v>2582.0</v>
      </c>
      <c r="Y165" s="29">
        <v>622.0</v>
      </c>
      <c r="Z165" s="30" t="s">
        <v>81</v>
      </c>
      <c r="AA165" s="30"/>
      <c r="AB165" s="31"/>
      <c r="AC165" s="31"/>
      <c r="AD165" s="30"/>
      <c r="AE165" s="31"/>
      <c r="AF165" s="31"/>
      <c r="AG165" s="27" t="str">
        <f t="shared" si="1"/>
        <v>New Logo</v>
      </c>
      <c r="AH165" s="27" t="str">
        <f t="shared" si="5"/>
        <v>Lead</v>
      </c>
      <c r="AI165" s="27" t="str">
        <f t="shared" si="6"/>
        <v>1001-5000</v>
      </c>
      <c r="AJ165" s="27" t="str">
        <f t="shared" si="7"/>
        <v>500+</v>
      </c>
    </row>
    <row r="166" ht="15.75" customHeight="1">
      <c r="A166" s="23">
        <f>HYPERLINK("https://app.hubspot.com/contacts/8748051/record/0-3/44887299372", 44887299372)</f>
        <v>44887299372</v>
      </c>
      <c r="B166" s="24" t="s">
        <v>681</v>
      </c>
      <c r="C166" s="24" t="s">
        <v>148</v>
      </c>
      <c r="D166" s="25">
        <v>100000.0</v>
      </c>
      <c r="E166" s="24" t="s">
        <v>73</v>
      </c>
      <c r="F166" s="24"/>
      <c r="G166" s="26">
        <v>45929.65537037037</v>
      </c>
      <c r="H166" s="26">
        <v>46109.6553587963</v>
      </c>
      <c r="I166" s="24" t="s">
        <v>40</v>
      </c>
      <c r="J166" s="24" t="s">
        <v>53</v>
      </c>
      <c r="K166" s="24" t="s">
        <v>60</v>
      </c>
      <c r="L166" s="24" t="s">
        <v>61</v>
      </c>
      <c r="M166" s="24" t="s">
        <v>44</v>
      </c>
      <c r="N166" s="24"/>
      <c r="O166" s="27"/>
      <c r="P166" s="24" t="s">
        <v>234</v>
      </c>
      <c r="Q166" s="24"/>
      <c r="R166" s="23">
        <f>HYPERLINK("https://app.hubspot.com/contacts/8748051/record/0-2/8022642712", 8022642712)</f>
        <v>8022642712</v>
      </c>
      <c r="S166" s="24" t="s">
        <v>682</v>
      </c>
      <c r="T166" s="28" t="s">
        <v>683</v>
      </c>
      <c r="U166" s="24" t="s">
        <v>47</v>
      </c>
      <c r="V166" s="24"/>
      <c r="W166" s="25"/>
      <c r="X166" s="29">
        <v>1798.0</v>
      </c>
      <c r="Y166" s="29">
        <v>199.0</v>
      </c>
      <c r="Z166" s="30" t="s">
        <v>546</v>
      </c>
      <c r="AA166" s="30"/>
      <c r="AB166" s="30"/>
      <c r="AC166" s="31"/>
      <c r="AD166" s="30"/>
      <c r="AE166" s="31"/>
      <c r="AF166" s="30"/>
      <c r="AG166" s="27" t="str">
        <f t="shared" si="1"/>
        <v>New Logo</v>
      </c>
      <c r="AH166" s="27" t="str">
        <f t="shared" si="5"/>
        <v>Lead</v>
      </c>
      <c r="AI166" s="27" t="str">
        <f t="shared" si="6"/>
        <v>1001-5000</v>
      </c>
      <c r="AJ166" s="27" t="str">
        <f t="shared" si="7"/>
        <v>101-500</v>
      </c>
    </row>
    <row r="167" ht="15.75" customHeight="1">
      <c r="A167" s="23">
        <f>HYPERLINK("https://app.hubspot.com/contacts/8748051/record/0-3/44844133543", 44844133543)</f>
        <v>44844133543</v>
      </c>
      <c r="B167" s="24" t="s">
        <v>684</v>
      </c>
      <c r="C167" s="24" t="s">
        <v>38</v>
      </c>
      <c r="D167" s="25">
        <v>0.0</v>
      </c>
      <c r="E167" s="24" t="s">
        <v>73</v>
      </c>
      <c r="F167" s="24"/>
      <c r="G167" s="26">
        <v>45929.41315972222</v>
      </c>
      <c r="H167" s="26">
        <v>46109.413148148145</v>
      </c>
      <c r="I167" s="24" t="s">
        <v>40</v>
      </c>
      <c r="J167" s="24" t="s">
        <v>41</v>
      </c>
      <c r="K167" s="24" t="s">
        <v>42</v>
      </c>
      <c r="L167" s="24" t="s">
        <v>43</v>
      </c>
      <c r="M167" s="24" t="s">
        <v>44</v>
      </c>
      <c r="N167" s="24"/>
      <c r="O167" s="27"/>
      <c r="P167" s="24" t="s">
        <v>75</v>
      </c>
      <c r="Q167" s="24"/>
      <c r="R167" s="23">
        <f>HYPERLINK("https://app.hubspot.com/contacts/8748051/record/0-2/40360210872", 40360210872)</f>
        <v>40360210872</v>
      </c>
      <c r="S167" s="24" t="s">
        <v>685</v>
      </c>
      <c r="T167" s="28" t="s">
        <v>686</v>
      </c>
      <c r="U167" s="24"/>
      <c r="V167" s="24"/>
      <c r="W167" s="25"/>
      <c r="X167" s="29"/>
      <c r="Y167" s="29"/>
      <c r="Z167" s="30"/>
      <c r="AA167" s="30"/>
      <c r="AB167" s="31"/>
      <c r="AC167" s="31"/>
      <c r="AD167" s="30"/>
      <c r="AE167" s="31"/>
      <c r="AF167" s="30"/>
      <c r="AG167" s="27" t="str">
        <f t="shared" si="1"/>
        <v>New Logo</v>
      </c>
      <c r="AH167" s="27" t="str">
        <f t="shared" si="5"/>
        <v>Lead</v>
      </c>
      <c r="AI167" s="27" t="str">
        <f t="shared" si="6"/>
        <v>0-200</v>
      </c>
      <c r="AJ167" s="27" t="str">
        <f t="shared" si="7"/>
        <v>0-20</v>
      </c>
    </row>
    <row r="168" ht="15.75" customHeight="1">
      <c r="A168" s="23">
        <f>HYPERLINK("https://app.hubspot.com/contacts/8748051/record/0-3/44596389670", 44596389670)</f>
        <v>44596389670</v>
      </c>
      <c r="B168" s="24" t="s">
        <v>687</v>
      </c>
      <c r="C168" s="24" t="s">
        <v>38</v>
      </c>
      <c r="D168" s="25">
        <v>17000.0</v>
      </c>
      <c r="E168" s="24" t="s">
        <v>73</v>
      </c>
      <c r="F168" s="24"/>
      <c r="G168" s="26">
        <v>45926.60569444444</v>
      </c>
      <c r="H168" s="26">
        <v>46106.60561342593</v>
      </c>
      <c r="I168" s="24" t="s">
        <v>40</v>
      </c>
      <c r="J168" s="24" t="s">
        <v>41</v>
      </c>
      <c r="K168" s="24" t="s">
        <v>60</v>
      </c>
      <c r="L168" s="24" t="s">
        <v>61</v>
      </c>
      <c r="M168" s="24"/>
      <c r="N168" s="24"/>
      <c r="O168" s="27"/>
      <c r="P168" s="24" t="s">
        <v>75</v>
      </c>
      <c r="Q168" s="24"/>
      <c r="R168" s="23">
        <f>HYPERLINK("https://app.hubspot.com/contacts/8748051/record/0-2/23562653782", 23562653782)</f>
        <v>23562653782</v>
      </c>
      <c r="S168" s="24" t="s">
        <v>688</v>
      </c>
      <c r="T168" s="28" t="s">
        <v>689</v>
      </c>
      <c r="U168" s="24" t="s">
        <v>47</v>
      </c>
      <c r="V168" s="24"/>
      <c r="W168" s="25"/>
      <c r="X168" s="29">
        <v>149.0</v>
      </c>
      <c r="Y168" s="29">
        <v>34.0</v>
      </c>
      <c r="Z168" s="30" t="s">
        <v>71</v>
      </c>
      <c r="AA168" s="30"/>
      <c r="AB168" s="31"/>
      <c r="AC168" s="31"/>
      <c r="AD168" s="30"/>
      <c r="AE168" s="31"/>
      <c r="AF168" s="30"/>
      <c r="AG168" s="27" t="str">
        <f t="shared" si="1"/>
        <v>New Logo</v>
      </c>
      <c r="AH168" s="27" t="str">
        <f t="shared" si="5"/>
        <v>Lead</v>
      </c>
      <c r="AI168" s="27" t="str">
        <f t="shared" si="6"/>
        <v>0-200</v>
      </c>
      <c r="AJ168" s="27" t="str">
        <f t="shared" si="7"/>
        <v>21-50</v>
      </c>
    </row>
    <row r="169" ht="15.75" customHeight="1">
      <c r="A169" s="23">
        <f>HYPERLINK("https://app.hubspot.com/contacts/8748051/record/0-3/44562261598", 44562261598)</f>
        <v>44562261598</v>
      </c>
      <c r="B169" s="24" t="s">
        <v>690</v>
      </c>
      <c r="C169" s="24" t="s">
        <v>38</v>
      </c>
      <c r="D169" s="25">
        <v>60000.0</v>
      </c>
      <c r="E169" s="24" t="s">
        <v>92</v>
      </c>
      <c r="F169" s="24" t="s">
        <v>52</v>
      </c>
      <c r="G169" s="26">
        <v>45925.543541666666</v>
      </c>
      <c r="H169" s="26">
        <v>45966.910208333335</v>
      </c>
      <c r="I169" s="24" t="s">
        <v>40</v>
      </c>
      <c r="J169" s="24" t="s">
        <v>53</v>
      </c>
      <c r="K169" s="24" t="s">
        <v>42</v>
      </c>
      <c r="L169" s="24" t="s">
        <v>43</v>
      </c>
      <c r="M169" s="24" t="s">
        <v>44</v>
      </c>
      <c r="N169" s="24" t="s">
        <v>691</v>
      </c>
      <c r="O169" s="24"/>
      <c r="P169" s="24"/>
      <c r="Q169" s="24"/>
      <c r="R169" s="23">
        <f>HYPERLINK("https://app.hubspot.com/contacts/8748051/record/0-2/9186997870", 9186997870)</f>
        <v>9186997870</v>
      </c>
      <c r="S169" s="24" t="s">
        <v>692</v>
      </c>
      <c r="T169" s="28" t="s">
        <v>693</v>
      </c>
      <c r="U169" s="24" t="s">
        <v>96</v>
      </c>
      <c r="V169" s="24"/>
      <c r="W169" s="25">
        <v>60000.0</v>
      </c>
      <c r="X169" s="29">
        <v>5630.0</v>
      </c>
      <c r="Y169" s="29">
        <v>154.0</v>
      </c>
      <c r="Z169" s="30"/>
      <c r="AA169" s="30" t="s">
        <v>207</v>
      </c>
      <c r="AB169" s="31"/>
      <c r="AC169" s="31"/>
      <c r="AD169" s="30" t="s">
        <v>312</v>
      </c>
      <c r="AE169" s="31"/>
      <c r="AF169" s="30" t="s">
        <v>529</v>
      </c>
      <c r="AG169" s="27" t="str">
        <f t="shared" si="1"/>
        <v>New Logo</v>
      </c>
      <c r="AH169" s="27" t="str">
        <f t="shared" si="5"/>
        <v>Customer</v>
      </c>
      <c r="AI169" s="27" t="str">
        <f t="shared" si="6"/>
        <v>5000-10000</v>
      </c>
      <c r="AJ169" s="27" t="str">
        <f t="shared" si="7"/>
        <v>101-500</v>
      </c>
    </row>
    <row r="170" ht="15.75" customHeight="1">
      <c r="A170" s="23">
        <f>HYPERLINK("https://app.hubspot.com/contacts/8748051/record/0-3/44491129487", 44491129487)</f>
        <v>44491129487</v>
      </c>
      <c r="B170" s="24" t="s">
        <v>694</v>
      </c>
      <c r="C170" s="24" t="s">
        <v>38</v>
      </c>
      <c r="D170" s="25">
        <v>4500.0</v>
      </c>
      <c r="E170" s="24" t="s">
        <v>73</v>
      </c>
      <c r="F170" s="24"/>
      <c r="G170" s="26">
        <v>45925.54038194445</v>
      </c>
      <c r="H170" s="26">
        <v>46106.53991898148</v>
      </c>
      <c r="I170" s="24" t="s">
        <v>40</v>
      </c>
      <c r="J170" s="24" t="s">
        <v>41</v>
      </c>
      <c r="K170" s="24" t="s">
        <v>42</v>
      </c>
      <c r="L170" s="24" t="s">
        <v>43</v>
      </c>
      <c r="M170" s="24" t="s">
        <v>102</v>
      </c>
      <c r="N170" s="27"/>
      <c r="O170" s="24"/>
      <c r="P170" s="24" t="s">
        <v>234</v>
      </c>
      <c r="Q170" s="24"/>
      <c r="R170" s="23">
        <f>HYPERLINK("https://app.hubspot.com/contacts/8748051/record/0-2/38710820780", 38710820780)</f>
        <v>38710820780</v>
      </c>
      <c r="S170" s="24" t="s">
        <v>695</v>
      </c>
      <c r="T170" s="28" t="s">
        <v>696</v>
      </c>
      <c r="U170" s="24"/>
      <c r="V170" s="24"/>
      <c r="W170" s="32"/>
      <c r="X170" s="29">
        <v>204.0</v>
      </c>
      <c r="Y170" s="29">
        <v>9.0</v>
      </c>
      <c r="Z170" s="30"/>
      <c r="AA170" s="31"/>
      <c r="AB170" s="31"/>
      <c r="AC170" s="31"/>
      <c r="AD170" s="31"/>
      <c r="AE170" s="31"/>
      <c r="AF170" s="31"/>
      <c r="AG170" s="27" t="str">
        <f t="shared" si="1"/>
        <v>New Logo</v>
      </c>
      <c r="AH170" s="27" t="str">
        <f t="shared" si="5"/>
        <v>Lead</v>
      </c>
      <c r="AI170" s="27" t="str">
        <f t="shared" si="6"/>
        <v>201-500</v>
      </c>
      <c r="AJ170" s="27" t="str">
        <f t="shared" si="7"/>
        <v>0-20</v>
      </c>
    </row>
    <row r="171" ht="15.75" customHeight="1">
      <c r="A171" s="23">
        <f>HYPERLINK("https://app.hubspot.com/contacts/8748051/record/0-3/44501843533", 44501843533)</f>
        <v>44501843533</v>
      </c>
      <c r="B171" s="24" t="s">
        <v>697</v>
      </c>
      <c r="C171" s="24" t="s">
        <v>38</v>
      </c>
      <c r="D171" s="25">
        <v>0.0</v>
      </c>
      <c r="E171" s="24" t="s">
        <v>127</v>
      </c>
      <c r="F171" s="24" t="s">
        <v>52</v>
      </c>
      <c r="G171" s="26">
        <v>45925.42481481482</v>
      </c>
      <c r="H171" s="26">
        <v>46171.01934027778</v>
      </c>
      <c r="I171" s="24" t="s">
        <v>40</v>
      </c>
      <c r="J171" s="24" t="s">
        <v>41</v>
      </c>
      <c r="K171" s="24" t="s">
        <v>42</v>
      </c>
      <c r="L171" s="24" t="s">
        <v>43</v>
      </c>
      <c r="M171" s="24" t="s">
        <v>44</v>
      </c>
      <c r="N171" s="27"/>
      <c r="O171" s="24"/>
      <c r="P171" s="24"/>
      <c r="Q171" s="24" t="s">
        <v>144</v>
      </c>
      <c r="R171" s="23">
        <f>HYPERLINK("https://app.hubspot.com/contacts/8748051/record/0-2/40210067266", 40210067266)</f>
        <v>40210067266</v>
      </c>
      <c r="S171" s="24" t="s">
        <v>698</v>
      </c>
      <c r="T171" s="28" t="s">
        <v>699</v>
      </c>
      <c r="U171" s="24"/>
      <c r="V171" s="24"/>
      <c r="W171" s="32"/>
      <c r="X171" s="29">
        <v>59.0</v>
      </c>
      <c r="Y171" s="29">
        <v>0.0</v>
      </c>
      <c r="Z171" s="30"/>
      <c r="AA171" s="31"/>
      <c r="AB171" s="31"/>
      <c r="AC171" s="31"/>
      <c r="AD171" s="31"/>
      <c r="AE171" s="31"/>
      <c r="AF171" s="31"/>
      <c r="AG171" s="27" t="str">
        <f t="shared" si="1"/>
        <v>New Logo</v>
      </c>
      <c r="AH171" s="27" t="str">
        <f t="shared" si="5"/>
        <v>Lead</v>
      </c>
      <c r="AI171" s="27" t="str">
        <f t="shared" si="6"/>
        <v>0-200</v>
      </c>
      <c r="AJ171" s="27" t="str">
        <f t="shared" si="7"/>
        <v>0-20</v>
      </c>
    </row>
    <row r="172" ht="15.75" customHeight="1">
      <c r="A172" s="23">
        <f>HYPERLINK("https://app.hubspot.com/contacts/8748051/record/0-3/44388175650", 44388175650)</f>
        <v>44388175650</v>
      </c>
      <c r="B172" s="24" t="s">
        <v>700</v>
      </c>
      <c r="C172" s="24" t="s">
        <v>50</v>
      </c>
      <c r="D172" s="25">
        <v>15000.0</v>
      </c>
      <c r="E172" s="24" t="s">
        <v>127</v>
      </c>
      <c r="F172" s="24" t="s">
        <v>52</v>
      </c>
      <c r="G172" s="26">
        <v>45924.58269675926</v>
      </c>
      <c r="H172" s="26">
        <v>46171.49936342592</v>
      </c>
      <c r="I172" s="24" t="s">
        <v>40</v>
      </c>
      <c r="J172" s="24" t="s">
        <v>41</v>
      </c>
      <c r="K172" s="24" t="s">
        <v>42</v>
      </c>
      <c r="L172" s="24" t="s">
        <v>43</v>
      </c>
      <c r="M172" s="24" t="s">
        <v>44</v>
      </c>
      <c r="N172" s="27"/>
      <c r="O172" s="27"/>
      <c r="P172" s="24"/>
      <c r="Q172" s="24" t="s">
        <v>238</v>
      </c>
      <c r="R172" s="23">
        <f>HYPERLINK("https://app.hubspot.com/contacts/8748051/record/0-2/40061927186", 40061927186)</f>
        <v>40061927186</v>
      </c>
      <c r="S172" s="24" t="s">
        <v>701</v>
      </c>
      <c r="T172" s="28" t="s">
        <v>702</v>
      </c>
      <c r="U172" s="24"/>
      <c r="V172" s="24"/>
      <c r="W172" s="32"/>
      <c r="X172" s="29">
        <v>36.0</v>
      </c>
      <c r="Y172" s="29">
        <v>3.0</v>
      </c>
      <c r="Z172" s="30"/>
      <c r="AA172" s="31"/>
      <c r="AB172" s="31"/>
      <c r="AC172" s="31"/>
      <c r="AD172" s="31"/>
      <c r="AE172" s="31"/>
      <c r="AF172" s="31"/>
      <c r="AG172" s="27" t="str">
        <f t="shared" si="1"/>
        <v>New Logo</v>
      </c>
      <c r="AH172" s="27" t="str">
        <f t="shared" si="5"/>
        <v>Lead</v>
      </c>
      <c r="AI172" s="27" t="str">
        <f t="shared" si="6"/>
        <v>0-200</v>
      </c>
      <c r="AJ172" s="27" t="str">
        <f t="shared" si="7"/>
        <v>0-20</v>
      </c>
    </row>
    <row r="173" ht="15.75" customHeight="1">
      <c r="A173" s="23">
        <f>HYPERLINK("https://app.hubspot.com/contacts/8748051/record/0-3/44433420045", 44433420045)</f>
        <v>44433420045</v>
      </c>
      <c r="B173" s="24" t="s">
        <v>703</v>
      </c>
      <c r="C173" s="24" t="s">
        <v>38</v>
      </c>
      <c r="D173" s="25">
        <v>0.0</v>
      </c>
      <c r="E173" s="24" t="s">
        <v>73</v>
      </c>
      <c r="F173" s="24"/>
      <c r="G173" s="26">
        <v>45924.40980324074</v>
      </c>
      <c r="H173" s="26">
        <v>46104.409791666665</v>
      </c>
      <c r="I173" s="24" t="s">
        <v>40</v>
      </c>
      <c r="J173" s="24" t="s">
        <v>41</v>
      </c>
      <c r="K173" s="24" t="s">
        <v>42</v>
      </c>
      <c r="L173" s="24" t="s">
        <v>43</v>
      </c>
      <c r="M173" s="24" t="s">
        <v>102</v>
      </c>
      <c r="N173" s="24"/>
      <c r="O173" s="24"/>
      <c r="P173" s="24" t="s">
        <v>75</v>
      </c>
      <c r="Q173" s="24"/>
      <c r="R173" s="23">
        <f>HYPERLINK("https://app.hubspot.com/contacts/8748051/record/0-2/40070535474", 40070535474)</f>
        <v>40070535474</v>
      </c>
      <c r="S173" s="24" t="s">
        <v>704</v>
      </c>
      <c r="T173" s="28" t="s">
        <v>705</v>
      </c>
      <c r="U173" s="24"/>
      <c r="V173" s="24"/>
      <c r="W173" s="25"/>
      <c r="X173" s="29">
        <v>22.0</v>
      </c>
      <c r="Y173" s="29">
        <v>0.0</v>
      </c>
      <c r="Z173" s="30"/>
      <c r="AA173" s="30"/>
      <c r="AB173" s="31"/>
      <c r="AC173" s="31"/>
      <c r="AD173" s="30"/>
      <c r="AE173" s="31"/>
      <c r="AF173" s="30"/>
      <c r="AG173" s="27" t="str">
        <f t="shared" si="1"/>
        <v>New Logo</v>
      </c>
      <c r="AH173" s="27" t="str">
        <f t="shared" si="5"/>
        <v>Lead</v>
      </c>
      <c r="AI173" s="27" t="str">
        <f t="shared" si="6"/>
        <v>0-200</v>
      </c>
      <c r="AJ173" s="27" t="str">
        <f t="shared" si="7"/>
        <v>0-20</v>
      </c>
    </row>
    <row r="174" ht="15.75" customHeight="1">
      <c r="A174" s="23">
        <f>HYPERLINK("https://app.hubspot.com/contacts/8748051/record/0-3/44390795530", 44390795530)</f>
        <v>44390795530</v>
      </c>
      <c r="B174" s="24" t="s">
        <v>706</v>
      </c>
      <c r="C174" s="24" t="s">
        <v>50</v>
      </c>
      <c r="D174" s="25">
        <v>10000.0</v>
      </c>
      <c r="E174" s="24" t="s">
        <v>127</v>
      </c>
      <c r="F174" s="24" t="s">
        <v>52</v>
      </c>
      <c r="G174" s="26">
        <v>45923.71488425926</v>
      </c>
      <c r="H174" s="26">
        <v>46234.40694444445</v>
      </c>
      <c r="I174" s="24" t="s">
        <v>40</v>
      </c>
      <c r="J174" s="24" t="s">
        <v>53</v>
      </c>
      <c r="K174" s="24" t="s">
        <v>42</v>
      </c>
      <c r="L174" s="24" t="s">
        <v>43</v>
      </c>
      <c r="M174" s="24" t="s">
        <v>44</v>
      </c>
      <c r="N174" s="24"/>
      <c r="O174" s="24"/>
      <c r="P174" s="27"/>
      <c r="Q174" s="24" t="s">
        <v>144</v>
      </c>
      <c r="R174" s="23">
        <f>HYPERLINK("https://app.hubspot.com/contacts/8748051/record/0-2/18354000145", 18354000145)</f>
        <v>18354000145</v>
      </c>
      <c r="S174" s="24" t="s">
        <v>707</v>
      </c>
      <c r="T174" s="28" t="s">
        <v>708</v>
      </c>
      <c r="U174" s="24" t="s">
        <v>47</v>
      </c>
      <c r="V174" s="24"/>
      <c r="W174" s="25"/>
      <c r="X174" s="29">
        <v>1345.0</v>
      </c>
      <c r="Y174" s="29">
        <v>267.0</v>
      </c>
      <c r="Z174" s="30" t="s">
        <v>64</v>
      </c>
      <c r="AA174" s="30"/>
      <c r="AB174" s="31"/>
      <c r="AC174" s="31"/>
      <c r="AD174" s="30"/>
      <c r="AE174" s="31"/>
      <c r="AF174" s="30"/>
      <c r="AG174" s="27" t="str">
        <f t="shared" si="1"/>
        <v>New Logo</v>
      </c>
      <c r="AH174" s="27" t="str">
        <f t="shared" si="5"/>
        <v>Lead</v>
      </c>
      <c r="AI174" s="27" t="str">
        <f t="shared" si="6"/>
        <v>1001-5000</v>
      </c>
      <c r="AJ174" s="27" t="str">
        <f t="shared" si="7"/>
        <v>101-500</v>
      </c>
    </row>
    <row r="175" ht="15.75" customHeight="1">
      <c r="A175" s="23">
        <f>HYPERLINK("https://app.hubspot.com/contacts/8748051/record/0-3/44214900879", 44214900879)</f>
        <v>44214900879</v>
      </c>
      <c r="B175" s="24" t="s">
        <v>709</v>
      </c>
      <c r="C175" s="24" t="s">
        <v>159</v>
      </c>
      <c r="D175" s="25">
        <v>-4040.0</v>
      </c>
      <c r="E175" s="24" t="s">
        <v>92</v>
      </c>
      <c r="F175" s="24"/>
      <c r="G175" s="26">
        <v>45923.67364583333</v>
      </c>
      <c r="H175" s="26">
        <v>45923.6737037037</v>
      </c>
      <c r="I175" s="24" t="s">
        <v>40</v>
      </c>
      <c r="J175" s="24" t="s">
        <v>160</v>
      </c>
      <c r="K175" s="24" t="s">
        <v>161</v>
      </c>
      <c r="L175" s="24" t="s">
        <v>162</v>
      </c>
      <c r="M175" s="24" t="s">
        <v>44</v>
      </c>
      <c r="N175" s="24" t="s">
        <v>710</v>
      </c>
      <c r="O175" s="24"/>
      <c r="P175" s="27"/>
      <c r="Q175" s="24"/>
      <c r="R175" s="23">
        <f>HYPERLINK("https://app.hubspot.com/contacts/8748051/record/0-2/7480085895", 7480085895)</f>
        <v>7480085895</v>
      </c>
      <c r="S175" s="24" t="s">
        <v>711</v>
      </c>
      <c r="T175" s="28" t="s">
        <v>712</v>
      </c>
      <c r="U175" s="24" t="s">
        <v>96</v>
      </c>
      <c r="V175" s="24"/>
      <c r="W175" s="25">
        <v>40000.0</v>
      </c>
      <c r="X175" s="29">
        <v>535.0</v>
      </c>
      <c r="Y175" s="29">
        <v>184.0</v>
      </c>
      <c r="Z175" s="30"/>
      <c r="AA175" s="30" t="s">
        <v>207</v>
      </c>
      <c r="AB175" s="31"/>
      <c r="AC175" s="31"/>
      <c r="AD175" s="30" t="s">
        <v>713</v>
      </c>
      <c r="AE175" s="31"/>
      <c r="AF175" s="30" t="s">
        <v>529</v>
      </c>
      <c r="AG175" s="27" t="str">
        <f t="shared" si="1"/>
        <v>Downsell</v>
      </c>
      <c r="AH175" s="27" t="str">
        <f t="shared" si="5"/>
        <v>Customer</v>
      </c>
      <c r="AI175" s="27" t="str">
        <f t="shared" si="6"/>
        <v>501-1000</v>
      </c>
      <c r="AJ175" s="27" t="str">
        <f t="shared" si="7"/>
        <v>101-500</v>
      </c>
    </row>
    <row r="176" ht="15.75" customHeight="1">
      <c r="A176" s="23">
        <f>HYPERLINK("https://app.hubspot.com/contacts/8748051/record/0-3/44081467184", 44081467184)</f>
        <v>44081467184</v>
      </c>
      <c r="B176" s="24" t="s">
        <v>714</v>
      </c>
      <c r="C176" s="24" t="s">
        <v>148</v>
      </c>
      <c r="D176" s="25">
        <v>25000.0</v>
      </c>
      <c r="E176" s="24" t="s">
        <v>73</v>
      </c>
      <c r="F176" s="24"/>
      <c r="G176" s="26">
        <v>45923.429375</v>
      </c>
      <c r="H176" s="26">
        <v>46203.76136574074</v>
      </c>
      <c r="I176" s="24" t="s">
        <v>40</v>
      </c>
      <c r="J176" s="24" t="s">
        <v>41</v>
      </c>
      <c r="K176" s="24" t="s">
        <v>161</v>
      </c>
      <c r="L176" s="24" t="s">
        <v>715</v>
      </c>
      <c r="M176" s="24" t="s">
        <v>44</v>
      </c>
      <c r="N176" s="24"/>
      <c r="O176" s="24"/>
      <c r="P176" s="24" t="s">
        <v>75</v>
      </c>
      <c r="Q176" s="24"/>
      <c r="R176" s="23">
        <f>HYPERLINK("https://app.hubspot.com/contacts/8748051/record/0-2/7923321272", 7923321272)</f>
        <v>7923321272</v>
      </c>
      <c r="S176" s="24" t="s">
        <v>716</v>
      </c>
      <c r="T176" s="28" t="s">
        <v>717</v>
      </c>
      <c r="U176" s="24" t="s">
        <v>47</v>
      </c>
      <c r="V176" s="24"/>
      <c r="W176" s="25"/>
      <c r="X176" s="29">
        <v>397.0</v>
      </c>
      <c r="Y176" s="29">
        <v>70.0</v>
      </c>
      <c r="Z176" s="30" t="s">
        <v>71</v>
      </c>
      <c r="AA176" s="30"/>
      <c r="AB176" s="31"/>
      <c r="AC176" s="31"/>
      <c r="AD176" s="30"/>
      <c r="AE176" s="31"/>
      <c r="AF176" s="30"/>
      <c r="AG176" s="27" t="str">
        <f t="shared" si="1"/>
        <v>New Logo</v>
      </c>
      <c r="AH176" s="27" t="str">
        <f t="shared" si="5"/>
        <v>Lead</v>
      </c>
      <c r="AI176" s="27" t="str">
        <f t="shared" si="6"/>
        <v>201-500</v>
      </c>
      <c r="AJ176" s="27" t="str">
        <f t="shared" si="7"/>
        <v>51-100</v>
      </c>
    </row>
    <row r="177" ht="15.75" customHeight="1">
      <c r="A177" s="23">
        <f>HYPERLINK("https://app.hubspot.com/contacts/8748051/record/0-3/43954719919", 43954719919)</f>
        <v>43954719919</v>
      </c>
      <c r="B177" s="24" t="s">
        <v>718</v>
      </c>
      <c r="C177" s="24" t="s">
        <v>50</v>
      </c>
      <c r="D177" s="25">
        <v>10000.0</v>
      </c>
      <c r="E177" s="24" t="s">
        <v>127</v>
      </c>
      <c r="F177" s="24" t="s">
        <v>52</v>
      </c>
      <c r="G177" s="26">
        <v>45919.58673611111</v>
      </c>
      <c r="H177" s="26">
        <v>46112.736909722225</v>
      </c>
      <c r="I177" s="24" t="s">
        <v>40</v>
      </c>
      <c r="J177" s="24" t="s">
        <v>41</v>
      </c>
      <c r="K177" s="24" t="s">
        <v>60</v>
      </c>
      <c r="L177" s="24" t="s">
        <v>61</v>
      </c>
      <c r="M177" s="24" t="s">
        <v>44</v>
      </c>
      <c r="N177" s="27"/>
      <c r="O177" s="24"/>
      <c r="P177" s="24"/>
      <c r="Q177" s="24" t="s">
        <v>719</v>
      </c>
      <c r="R177" s="23">
        <f>HYPERLINK("https://app.hubspot.com/contacts/8748051/record/0-2/39657241132", 39657241132)</f>
        <v>39657241132</v>
      </c>
      <c r="S177" s="24" t="s">
        <v>720</v>
      </c>
      <c r="T177" s="28" t="s">
        <v>721</v>
      </c>
      <c r="U177" s="24"/>
      <c r="V177" s="24"/>
      <c r="W177" s="32"/>
      <c r="X177" s="29">
        <v>61.0</v>
      </c>
      <c r="Y177" s="29">
        <v>5.0</v>
      </c>
      <c r="Z177" s="30"/>
      <c r="AA177" s="31"/>
      <c r="AB177" s="31"/>
      <c r="AC177" s="31"/>
      <c r="AD177" s="31"/>
      <c r="AE177" s="31"/>
      <c r="AF177" s="31"/>
      <c r="AG177" s="27" t="str">
        <f t="shared" si="1"/>
        <v>New Logo</v>
      </c>
      <c r="AH177" s="27" t="str">
        <f t="shared" si="5"/>
        <v>Lead</v>
      </c>
      <c r="AI177" s="27" t="str">
        <f t="shared" si="6"/>
        <v>0-200</v>
      </c>
      <c r="AJ177" s="27" t="str">
        <f t="shared" si="7"/>
        <v>0-20</v>
      </c>
    </row>
    <row r="178" ht="15.75" customHeight="1">
      <c r="A178" s="23">
        <f>HYPERLINK("https://app.hubspot.com/contacts/8748051/record/0-3/43937008921", 43937008921)</f>
        <v>43937008921</v>
      </c>
      <c r="B178" s="24" t="s">
        <v>722</v>
      </c>
      <c r="C178" s="24" t="s">
        <v>148</v>
      </c>
      <c r="D178" s="25">
        <v>24500.0</v>
      </c>
      <c r="E178" s="24" t="s">
        <v>149</v>
      </c>
      <c r="F178" s="24" t="s">
        <v>52</v>
      </c>
      <c r="G178" s="26">
        <v>45919.492476851854</v>
      </c>
      <c r="H178" s="26">
        <v>45944.75082175926</v>
      </c>
      <c r="I178" s="24" t="s">
        <v>40</v>
      </c>
      <c r="J178" s="24" t="s">
        <v>41</v>
      </c>
      <c r="K178" s="24" t="s">
        <v>42</v>
      </c>
      <c r="L178" s="24" t="s">
        <v>43</v>
      </c>
      <c r="M178" s="24" t="s">
        <v>44</v>
      </c>
      <c r="N178" s="27"/>
      <c r="O178" s="24" t="s">
        <v>723</v>
      </c>
      <c r="P178" s="24"/>
      <c r="Q178" s="24"/>
      <c r="R178" s="23">
        <f>HYPERLINK("https://app.hubspot.com/contacts/8748051/record/0-2/6816616587", 6816616587)</f>
        <v>6816616587</v>
      </c>
      <c r="S178" s="24" t="s">
        <v>724</v>
      </c>
      <c r="T178" s="28" t="s">
        <v>725</v>
      </c>
      <c r="U178" s="24" t="s">
        <v>47</v>
      </c>
      <c r="V178" s="24"/>
      <c r="W178" s="25"/>
      <c r="X178" s="29">
        <v>392.0</v>
      </c>
      <c r="Y178" s="29">
        <v>46.0</v>
      </c>
      <c r="Z178" s="30" t="s">
        <v>71</v>
      </c>
      <c r="AA178" s="30"/>
      <c r="AB178" s="31"/>
      <c r="AC178" s="31"/>
      <c r="AD178" s="30"/>
      <c r="AE178" s="31"/>
      <c r="AF178" s="30"/>
      <c r="AG178" s="27" t="str">
        <f t="shared" si="1"/>
        <v>New Logo</v>
      </c>
      <c r="AH178" s="27" t="str">
        <f t="shared" si="5"/>
        <v>Lead</v>
      </c>
      <c r="AI178" s="27" t="str">
        <f t="shared" si="6"/>
        <v>201-500</v>
      </c>
      <c r="AJ178" s="27" t="str">
        <f t="shared" si="7"/>
        <v>21-50</v>
      </c>
    </row>
    <row r="179" ht="15.75" customHeight="1">
      <c r="A179" s="23">
        <f>HYPERLINK("https://app.hubspot.com/contacts/8748051/record/0-3/43942831434", 43942831434)</f>
        <v>43942831434</v>
      </c>
      <c r="B179" s="24" t="s">
        <v>726</v>
      </c>
      <c r="C179" s="24" t="s">
        <v>50</v>
      </c>
      <c r="D179" s="25">
        <v>25000.0</v>
      </c>
      <c r="E179" s="24" t="s">
        <v>127</v>
      </c>
      <c r="F179" s="24" t="s">
        <v>52</v>
      </c>
      <c r="G179" s="26">
        <v>45919.46797453704</v>
      </c>
      <c r="H179" s="26">
        <v>46022.64098379629</v>
      </c>
      <c r="I179" s="24" t="s">
        <v>40</v>
      </c>
      <c r="J179" s="24" t="s">
        <v>41</v>
      </c>
      <c r="K179" s="24" t="s">
        <v>42</v>
      </c>
      <c r="L179" s="24" t="s">
        <v>43</v>
      </c>
      <c r="M179" s="24" t="s">
        <v>44</v>
      </c>
      <c r="N179" s="24"/>
      <c r="O179" s="27"/>
      <c r="P179" s="24"/>
      <c r="Q179" s="24" t="s">
        <v>503</v>
      </c>
      <c r="R179" s="23">
        <f>HYPERLINK("https://app.hubspot.com/contacts/8748051/record/0-2/39658829577", 39658829577)</f>
        <v>39658829577</v>
      </c>
      <c r="S179" s="24" t="s">
        <v>727</v>
      </c>
      <c r="T179" s="28" t="s">
        <v>728</v>
      </c>
      <c r="U179" s="24" t="s">
        <v>47</v>
      </c>
      <c r="V179" s="24"/>
      <c r="W179" s="25"/>
      <c r="X179" s="29">
        <v>118.0</v>
      </c>
      <c r="Y179" s="29">
        <v>28.0</v>
      </c>
      <c r="Z179" s="30" t="s">
        <v>108</v>
      </c>
      <c r="AA179" s="30"/>
      <c r="AB179" s="31"/>
      <c r="AC179" s="31"/>
      <c r="AD179" s="30"/>
      <c r="AE179" s="31"/>
      <c r="AF179" s="30"/>
      <c r="AG179" s="27" t="str">
        <f t="shared" si="1"/>
        <v>New Logo</v>
      </c>
      <c r="AH179" s="27" t="str">
        <f t="shared" si="5"/>
        <v>Lead</v>
      </c>
      <c r="AI179" s="27" t="str">
        <f t="shared" si="6"/>
        <v>0-200</v>
      </c>
      <c r="AJ179" s="27" t="str">
        <f t="shared" si="7"/>
        <v>21-50</v>
      </c>
    </row>
    <row r="180" ht="15.75" customHeight="1">
      <c r="A180" s="23">
        <f>HYPERLINK("https://app.hubspot.com/contacts/8748051/record/0-3/43906616068", 43906616068)</f>
        <v>43906616068</v>
      </c>
      <c r="B180" s="24" t="s">
        <v>729</v>
      </c>
      <c r="C180" s="24" t="s">
        <v>38</v>
      </c>
      <c r="D180" s="25">
        <v>9500.0</v>
      </c>
      <c r="E180" s="24" t="s">
        <v>127</v>
      </c>
      <c r="F180" s="24" t="s">
        <v>52</v>
      </c>
      <c r="G180" s="26">
        <v>45919.36798611111</v>
      </c>
      <c r="H180" s="26">
        <v>46199.01925925926</v>
      </c>
      <c r="I180" s="24" t="s">
        <v>40</v>
      </c>
      <c r="J180" s="24" t="s">
        <v>41</v>
      </c>
      <c r="K180" s="24" t="s">
        <v>42</v>
      </c>
      <c r="L180" s="24" t="s">
        <v>43</v>
      </c>
      <c r="M180" s="24" t="s">
        <v>44</v>
      </c>
      <c r="N180" s="24"/>
      <c r="O180" s="24"/>
      <c r="P180" s="27"/>
      <c r="Q180" s="24" t="s">
        <v>128</v>
      </c>
      <c r="R180" s="23">
        <f>HYPERLINK("https://app.hubspot.com/contacts/8748051/record/0-2/39616251562", 39616251562)</f>
        <v>39616251562</v>
      </c>
      <c r="S180" s="24" t="s">
        <v>730</v>
      </c>
      <c r="T180" s="28" t="s">
        <v>731</v>
      </c>
      <c r="U180" s="24"/>
      <c r="V180" s="24"/>
      <c r="W180" s="25"/>
      <c r="X180" s="29">
        <v>211.0</v>
      </c>
      <c r="Y180" s="29">
        <v>19.0</v>
      </c>
      <c r="Z180" s="30"/>
      <c r="AA180" s="30"/>
      <c r="AB180" s="30"/>
      <c r="AC180" s="31"/>
      <c r="AD180" s="30"/>
      <c r="AE180" s="31"/>
      <c r="AF180" s="30"/>
      <c r="AG180" s="27" t="str">
        <f t="shared" si="1"/>
        <v>New Logo</v>
      </c>
      <c r="AH180" s="27" t="str">
        <f t="shared" si="5"/>
        <v>Lead</v>
      </c>
      <c r="AI180" s="27" t="str">
        <f t="shared" si="6"/>
        <v>201-500</v>
      </c>
      <c r="AJ180" s="27" t="str">
        <f t="shared" si="7"/>
        <v>0-20</v>
      </c>
    </row>
    <row r="181" ht="15.75" customHeight="1">
      <c r="A181" s="23">
        <f>HYPERLINK("https://app.hubspot.com/contacts/8748051/record/0-3/43908394920", 43908394920)</f>
        <v>43908394920</v>
      </c>
      <c r="B181" s="24" t="s">
        <v>732</v>
      </c>
      <c r="C181" s="24" t="s">
        <v>50</v>
      </c>
      <c r="D181" s="25">
        <v>50000.0</v>
      </c>
      <c r="E181" s="24" t="s">
        <v>127</v>
      </c>
      <c r="F181" s="24" t="s">
        <v>52</v>
      </c>
      <c r="G181" s="26">
        <v>45918.832974537036</v>
      </c>
      <c r="H181" s="26">
        <v>46098.832962962966</v>
      </c>
      <c r="I181" s="24" t="s">
        <v>40</v>
      </c>
      <c r="J181" s="24" t="s">
        <v>53</v>
      </c>
      <c r="K181" s="24" t="s">
        <v>42</v>
      </c>
      <c r="L181" s="24" t="s">
        <v>43</v>
      </c>
      <c r="M181" s="24" t="s">
        <v>44</v>
      </c>
      <c r="N181" s="24"/>
      <c r="O181" s="24"/>
      <c r="P181" s="24"/>
      <c r="Q181" s="24" t="s">
        <v>144</v>
      </c>
      <c r="R181" s="23">
        <f>HYPERLINK("https://app.hubspot.com/contacts/8748051/record/0-2/44493161811", 44493161811)</f>
        <v>44493161811</v>
      </c>
      <c r="S181" s="24" t="s">
        <v>733</v>
      </c>
      <c r="T181" s="28" t="s">
        <v>734</v>
      </c>
      <c r="U181" s="24" t="s">
        <v>47</v>
      </c>
      <c r="V181" s="24"/>
      <c r="W181" s="25"/>
      <c r="X181" s="29">
        <v>853.0</v>
      </c>
      <c r="Y181" s="29">
        <v>125.0</v>
      </c>
      <c r="Z181" s="30" t="s">
        <v>108</v>
      </c>
      <c r="AA181" s="30"/>
      <c r="AB181" s="31"/>
      <c r="AC181" s="31"/>
      <c r="AD181" s="30"/>
      <c r="AE181" s="31"/>
      <c r="AF181" s="30"/>
      <c r="AG181" s="27" t="str">
        <f t="shared" si="1"/>
        <v>New Logo</v>
      </c>
      <c r="AH181" s="27" t="str">
        <f t="shared" si="5"/>
        <v>Lead</v>
      </c>
      <c r="AI181" s="27" t="str">
        <f t="shared" si="6"/>
        <v>501-1000</v>
      </c>
      <c r="AJ181" s="27" t="str">
        <f t="shared" si="7"/>
        <v>101-500</v>
      </c>
    </row>
    <row r="182" ht="15.75" customHeight="1">
      <c r="A182" s="23">
        <f>HYPERLINK("https://app.hubspot.com/contacts/8748051/record/0-3/43873250321", 43873250321)</f>
        <v>43873250321</v>
      </c>
      <c r="B182" s="24" t="s">
        <v>735</v>
      </c>
      <c r="C182" s="24" t="s">
        <v>148</v>
      </c>
      <c r="D182" s="25">
        <v>50000.0</v>
      </c>
      <c r="E182" s="24" t="s">
        <v>149</v>
      </c>
      <c r="F182" s="24" t="s">
        <v>52</v>
      </c>
      <c r="G182" s="26">
        <v>45918.380162037036</v>
      </c>
      <c r="H182" s="26">
        <v>46034.9390625</v>
      </c>
      <c r="I182" s="24" t="s">
        <v>40</v>
      </c>
      <c r="J182" s="24" t="s">
        <v>41</v>
      </c>
      <c r="K182" s="24" t="s">
        <v>42</v>
      </c>
      <c r="L182" s="24" t="s">
        <v>43</v>
      </c>
      <c r="M182" s="24" t="s">
        <v>102</v>
      </c>
      <c r="N182" s="24"/>
      <c r="O182" s="24" t="s">
        <v>736</v>
      </c>
      <c r="P182" s="24"/>
      <c r="Q182" s="24"/>
      <c r="R182" s="23">
        <f>HYPERLINK("https://app.hubspot.com/contacts/8748051/record/0-2/8816890039", 8816890039)</f>
        <v>8816890039</v>
      </c>
      <c r="S182" s="24" t="s">
        <v>737</v>
      </c>
      <c r="T182" s="28" t="s">
        <v>738</v>
      </c>
      <c r="U182" s="24" t="s">
        <v>47</v>
      </c>
      <c r="V182" s="24"/>
      <c r="W182" s="25"/>
      <c r="X182" s="29">
        <v>1482.0</v>
      </c>
      <c r="Y182" s="29">
        <v>252.0</v>
      </c>
      <c r="Z182" s="30"/>
      <c r="AA182" s="30"/>
      <c r="AB182" s="30"/>
      <c r="AC182" s="31"/>
      <c r="AD182" s="30"/>
      <c r="AE182" s="31"/>
      <c r="AF182" s="30"/>
      <c r="AG182" s="27" t="str">
        <f t="shared" si="1"/>
        <v>New Logo</v>
      </c>
      <c r="AH182" s="27" t="str">
        <f t="shared" si="5"/>
        <v>Lead</v>
      </c>
      <c r="AI182" s="27" t="str">
        <f t="shared" si="6"/>
        <v>1001-5000</v>
      </c>
      <c r="AJ182" s="27" t="str">
        <f t="shared" si="7"/>
        <v>101-500</v>
      </c>
    </row>
    <row r="183" ht="15.75" customHeight="1">
      <c r="A183" s="23">
        <f>HYPERLINK("https://app.hubspot.com/contacts/8748051/record/0-3/43880094046", 43880094046)</f>
        <v>43880094046</v>
      </c>
      <c r="B183" s="24" t="s">
        <v>739</v>
      </c>
      <c r="C183" s="24" t="s">
        <v>38</v>
      </c>
      <c r="D183" s="25">
        <v>50000.0</v>
      </c>
      <c r="E183" s="24" t="s">
        <v>149</v>
      </c>
      <c r="F183" s="24" t="s">
        <v>52</v>
      </c>
      <c r="G183" s="26">
        <v>45917.72699074074</v>
      </c>
      <c r="H183" s="26">
        <v>46008.41978009259</v>
      </c>
      <c r="I183" s="24" t="s">
        <v>40</v>
      </c>
      <c r="J183" s="24" t="s">
        <v>41</v>
      </c>
      <c r="K183" s="24" t="s">
        <v>161</v>
      </c>
      <c r="L183" s="24" t="s">
        <v>449</v>
      </c>
      <c r="M183" s="24" t="s">
        <v>44</v>
      </c>
      <c r="N183" s="24"/>
      <c r="O183" s="24" t="s">
        <v>740</v>
      </c>
      <c r="P183" s="24"/>
      <c r="Q183" s="24"/>
      <c r="R183" s="23">
        <f>HYPERLINK("https://app.hubspot.com/contacts/8748051/record/0-2/7595517443", 7595517443)</f>
        <v>7595517443</v>
      </c>
      <c r="S183" s="24" t="s">
        <v>741</v>
      </c>
      <c r="T183" s="28" t="s">
        <v>742</v>
      </c>
      <c r="U183" s="24" t="s">
        <v>47</v>
      </c>
      <c r="V183" s="24"/>
      <c r="W183" s="25"/>
      <c r="X183" s="29">
        <v>255.0</v>
      </c>
      <c r="Y183" s="29">
        <v>50.0</v>
      </c>
      <c r="Z183" s="30" t="s">
        <v>108</v>
      </c>
      <c r="AA183" s="30"/>
      <c r="AB183" s="30"/>
      <c r="AC183" s="31"/>
      <c r="AD183" s="30"/>
      <c r="AE183" s="30"/>
      <c r="AF183" s="30"/>
      <c r="AG183" s="27" t="str">
        <f t="shared" si="1"/>
        <v>New Logo</v>
      </c>
      <c r="AH183" s="27" t="str">
        <f t="shared" si="5"/>
        <v>Lead</v>
      </c>
      <c r="AI183" s="27" t="str">
        <f t="shared" si="6"/>
        <v>201-500</v>
      </c>
      <c r="AJ183" s="27" t="str">
        <f t="shared" si="7"/>
        <v>21-50</v>
      </c>
    </row>
    <row r="184" ht="15.75" customHeight="1">
      <c r="A184" s="23">
        <f>HYPERLINK("https://app.hubspot.com/contacts/8748051/record/0-3/43739968657", 43739968657)</f>
        <v>43739968657</v>
      </c>
      <c r="B184" s="24" t="s">
        <v>743</v>
      </c>
      <c r="C184" s="24" t="s">
        <v>38</v>
      </c>
      <c r="D184" s="25">
        <v>75000.0</v>
      </c>
      <c r="E184" s="24" t="s">
        <v>127</v>
      </c>
      <c r="F184" s="24" t="s">
        <v>52</v>
      </c>
      <c r="G184" s="26">
        <v>45917.60832175926</v>
      </c>
      <c r="H184" s="26">
        <v>46098.60710648148</v>
      </c>
      <c r="I184" s="24" t="s">
        <v>40</v>
      </c>
      <c r="J184" s="24" t="s">
        <v>53</v>
      </c>
      <c r="K184" s="24" t="s">
        <v>60</v>
      </c>
      <c r="L184" s="24" t="s">
        <v>715</v>
      </c>
      <c r="M184" s="24" t="s">
        <v>44</v>
      </c>
      <c r="N184" s="24"/>
      <c r="O184" s="24"/>
      <c r="P184" s="24"/>
      <c r="Q184" s="24" t="s">
        <v>144</v>
      </c>
      <c r="R184" s="23">
        <f>HYPERLINK("https://app.hubspot.com/contacts/8748051/record/0-2/9960253283", 9960253283)</f>
        <v>9960253283</v>
      </c>
      <c r="S184" s="24" t="s">
        <v>744</v>
      </c>
      <c r="T184" s="28" t="s">
        <v>745</v>
      </c>
      <c r="U184" s="24" t="s">
        <v>47</v>
      </c>
      <c r="V184" s="24"/>
      <c r="W184" s="25"/>
      <c r="X184" s="29">
        <v>1496.0</v>
      </c>
      <c r="Y184" s="29">
        <v>273.0</v>
      </c>
      <c r="Z184" s="30" t="s">
        <v>71</v>
      </c>
      <c r="AA184" s="30"/>
      <c r="AB184" s="30"/>
      <c r="AC184" s="31"/>
      <c r="AD184" s="30"/>
      <c r="AE184" s="30"/>
      <c r="AF184" s="30"/>
      <c r="AG184" s="27" t="str">
        <f t="shared" si="1"/>
        <v>New Logo</v>
      </c>
      <c r="AH184" s="27" t="str">
        <f t="shared" si="5"/>
        <v>Lead</v>
      </c>
      <c r="AI184" s="27" t="str">
        <f t="shared" si="6"/>
        <v>1001-5000</v>
      </c>
      <c r="AJ184" s="27" t="str">
        <f t="shared" si="7"/>
        <v>101-500</v>
      </c>
    </row>
    <row r="185" ht="15.75" customHeight="1">
      <c r="A185" s="23">
        <f>HYPERLINK("https://app.hubspot.com/contacts/8748051/record/0-3/43853328764", 43853328764)</f>
        <v>43853328764</v>
      </c>
      <c r="B185" s="24" t="s">
        <v>746</v>
      </c>
      <c r="C185" s="24" t="s">
        <v>38</v>
      </c>
      <c r="D185" s="25">
        <v>14000.0</v>
      </c>
      <c r="E185" s="24" t="s">
        <v>73</v>
      </c>
      <c r="F185" s="24"/>
      <c r="G185" s="26">
        <v>45917.29623842592</v>
      </c>
      <c r="H185" s="26">
        <v>46097.296111111114</v>
      </c>
      <c r="I185" s="24" t="s">
        <v>40</v>
      </c>
      <c r="J185" s="24" t="s">
        <v>41</v>
      </c>
      <c r="K185" s="24" t="s">
        <v>42</v>
      </c>
      <c r="L185" s="24" t="s">
        <v>43</v>
      </c>
      <c r="M185" s="24" t="s">
        <v>102</v>
      </c>
      <c r="N185" s="24"/>
      <c r="O185" s="24"/>
      <c r="P185" s="24" t="s">
        <v>234</v>
      </c>
      <c r="Q185" s="24"/>
      <c r="R185" s="23">
        <f>HYPERLINK("https://app.hubspot.com/contacts/8748051/record/0-2/20925995561", 20925995561)</f>
        <v>20925995561</v>
      </c>
      <c r="S185" s="24" t="s">
        <v>747</v>
      </c>
      <c r="T185" s="28" t="s">
        <v>748</v>
      </c>
      <c r="U185" s="24" t="s">
        <v>47</v>
      </c>
      <c r="V185" s="24"/>
      <c r="W185" s="25"/>
      <c r="X185" s="29">
        <v>172.0</v>
      </c>
      <c r="Y185" s="29">
        <v>28.0</v>
      </c>
      <c r="Z185" s="30"/>
      <c r="AA185" s="30"/>
      <c r="AB185" s="31"/>
      <c r="AC185" s="31"/>
      <c r="AD185" s="30"/>
      <c r="AE185" s="31"/>
      <c r="AF185" s="31"/>
      <c r="AG185" s="27" t="str">
        <f t="shared" si="1"/>
        <v>New Logo</v>
      </c>
      <c r="AH185" s="27" t="str">
        <f t="shared" si="5"/>
        <v>Lead</v>
      </c>
      <c r="AI185" s="27" t="str">
        <f t="shared" si="6"/>
        <v>0-200</v>
      </c>
      <c r="AJ185" s="27" t="str">
        <f t="shared" si="7"/>
        <v>21-50</v>
      </c>
    </row>
    <row r="186" ht="15.75" customHeight="1">
      <c r="A186" s="23">
        <f>HYPERLINK("https://app.hubspot.com/contacts/8748051/record/0-3/43719652211", 43719652211)</f>
        <v>43719652211</v>
      </c>
      <c r="B186" s="24" t="s">
        <v>749</v>
      </c>
      <c r="C186" s="24" t="s">
        <v>38</v>
      </c>
      <c r="D186" s="25">
        <v>21500.0</v>
      </c>
      <c r="E186" s="24" t="s">
        <v>73</v>
      </c>
      <c r="F186" s="24"/>
      <c r="G186" s="26">
        <v>45915.412766203706</v>
      </c>
      <c r="H186" s="26">
        <v>46095.41275462963</v>
      </c>
      <c r="I186" s="24" t="s">
        <v>40</v>
      </c>
      <c r="J186" s="24" t="s">
        <v>41</v>
      </c>
      <c r="K186" s="24" t="s">
        <v>42</v>
      </c>
      <c r="L186" s="24" t="s">
        <v>43</v>
      </c>
      <c r="M186" s="24"/>
      <c r="N186" s="24"/>
      <c r="O186" s="24"/>
      <c r="P186" s="24" t="s">
        <v>234</v>
      </c>
      <c r="Q186" s="24"/>
      <c r="R186" s="23">
        <f>HYPERLINK("https://app.hubspot.com/contacts/8748051/record/0-2/9238305910", 9238305910)</f>
        <v>9238305910</v>
      </c>
      <c r="S186" s="24" t="s">
        <v>750</v>
      </c>
      <c r="T186" s="28" t="s">
        <v>751</v>
      </c>
      <c r="U186" s="24" t="s">
        <v>47</v>
      </c>
      <c r="V186" s="24"/>
      <c r="W186" s="25"/>
      <c r="X186" s="29">
        <v>544.0</v>
      </c>
      <c r="Y186" s="29">
        <v>43.0</v>
      </c>
      <c r="Z186" s="30"/>
      <c r="AA186" s="30"/>
      <c r="AB186" s="31"/>
      <c r="AC186" s="31"/>
      <c r="AD186" s="30"/>
      <c r="AE186" s="31"/>
      <c r="AF186" s="30"/>
      <c r="AG186" s="27" t="str">
        <f t="shared" si="1"/>
        <v>New Logo</v>
      </c>
      <c r="AH186" s="27" t="str">
        <f t="shared" si="5"/>
        <v>Lead</v>
      </c>
      <c r="AI186" s="27" t="str">
        <f t="shared" si="6"/>
        <v>501-1000</v>
      </c>
      <c r="AJ186" s="27" t="str">
        <f t="shared" si="7"/>
        <v>21-50</v>
      </c>
    </row>
    <row r="187" ht="15.75" customHeight="1">
      <c r="A187" s="23">
        <f>HYPERLINK("https://app.hubspot.com/contacts/8748051/record/0-3/43653756229", 43653756229)</f>
        <v>43653756229</v>
      </c>
      <c r="B187" s="24" t="s">
        <v>752</v>
      </c>
      <c r="C187" s="24" t="s">
        <v>38</v>
      </c>
      <c r="D187" s="25">
        <v>22000.0</v>
      </c>
      <c r="E187" s="24" t="s">
        <v>127</v>
      </c>
      <c r="F187" s="24" t="s">
        <v>52</v>
      </c>
      <c r="G187" s="26">
        <v>45912.40677083333</v>
      </c>
      <c r="H187" s="26">
        <v>46108.6691087963</v>
      </c>
      <c r="I187" s="24" t="s">
        <v>40</v>
      </c>
      <c r="J187" s="24" t="s">
        <v>41</v>
      </c>
      <c r="K187" s="24" t="s">
        <v>42</v>
      </c>
      <c r="L187" s="24" t="s">
        <v>43</v>
      </c>
      <c r="M187" s="24" t="s">
        <v>44</v>
      </c>
      <c r="N187" s="24"/>
      <c r="O187" s="27"/>
      <c r="P187" s="24"/>
      <c r="Q187" s="24" t="s">
        <v>197</v>
      </c>
      <c r="R187" s="23">
        <f>HYPERLINK("https://app.hubspot.com/contacts/8748051/record/0-2/9238323308", 9238323308)</f>
        <v>9238323308</v>
      </c>
      <c r="S187" s="24" t="s">
        <v>753</v>
      </c>
      <c r="T187" s="28" t="s">
        <v>754</v>
      </c>
      <c r="U187" s="24"/>
      <c r="V187" s="24"/>
      <c r="W187" s="25"/>
      <c r="X187" s="29">
        <v>310.0</v>
      </c>
      <c r="Y187" s="29">
        <v>44.0</v>
      </c>
      <c r="Z187" s="30"/>
      <c r="AA187" s="30"/>
      <c r="AB187" s="30"/>
      <c r="AC187" s="31"/>
      <c r="AD187" s="30"/>
      <c r="AE187" s="31"/>
      <c r="AF187" s="30"/>
      <c r="AG187" s="27" t="str">
        <f t="shared" si="1"/>
        <v>New Logo</v>
      </c>
      <c r="AH187" s="27" t="str">
        <f t="shared" si="5"/>
        <v>Lead</v>
      </c>
      <c r="AI187" s="27" t="str">
        <f t="shared" si="6"/>
        <v>201-500</v>
      </c>
      <c r="AJ187" s="27" t="str">
        <f t="shared" si="7"/>
        <v>21-50</v>
      </c>
    </row>
    <row r="188" ht="15.75" customHeight="1">
      <c r="A188" s="23">
        <f>HYPERLINK("https://app.hubspot.com/contacts/8748051/record/0-3/43640783017", 43640783017)</f>
        <v>43640783017</v>
      </c>
      <c r="B188" s="24" t="s">
        <v>755</v>
      </c>
      <c r="C188" s="24" t="s">
        <v>50</v>
      </c>
      <c r="D188" s="25">
        <v>10000.0</v>
      </c>
      <c r="E188" s="24" t="s">
        <v>92</v>
      </c>
      <c r="F188" s="24" t="s">
        <v>52</v>
      </c>
      <c r="G188" s="26">
        <v>45911.989803240744</v>
      </c>
      <c r="H188" s="26">
        <v>46001.646516203706</v>
      </c>
      <c r="I188" s="24" t="s">
        <v>40</v>
      </c>
      <c r="J188" s="24" t="s">
        <v>41</v>
      </c>
      <c r="K188" s="24" t="s">
        <v>42</v>
      </c>
      <c r="L188" s="24" t="s">
        <v>43</v>
      </c>
      <c r="M188" s="24" t="s">
        <v>44</v>
      </c>
      <c r="N188" s="24" t="s">
        <v>756</v>
      </c>
      <c r="O188" s="27"/>
      <c r="P188" s="24"/>
      <c r="Q188" s="24"/>
      <c r="R188" s="23">
        <f>HYPERLINK("https://app.hubspot.com/contacts/8748051/record/0-2/39354506623", 39354506623)</f>
        <v>39354506623</v>
      </c>
      <c r="S188" s="24" t="s">
        <v>757</v>
      </c>
      <c r="T188" s="28" t="s">
        <v>758</v>
      </c>
      <c r="U188" s="24" t="s">
        <v>96</v>
      </c>
      <c r="V188" s="24"/>
      <c r="W188" s="25">
        <v>10000.0</v>
      </c>
      <c r="X188" s="29">
        <v>104.0</v>
      </c>
      <c r="Y188" s="29">
        <v>16.0</v>
      </c>
      <c r="Z188" s="30"/>
      <c r="AA188" s="30" t="s">
        <v>349</v>
      </c>
      <c r="AB188" s="30"/>
      <c r="AC188" s="31"/>
      <c r="AD188" s="30" t="s">
        <v>759</v>
      </c>
      <c r="AE188" s="31"/>
      <c r="AF188" s="30" t="s">
        <v>586</v>
      </c>
      <c r="AG188" s="27" t="str">
        <f t="shared" si="1"/>
        <v>New Logo</v>
      </c>
      <c r="AH188" s="27" t="str">
        <f t="shared" si="5"/>
        <v>Customer</v>
      </c>
      <c r="AI188" s="27" t="str">
        <f t="shared" si="6"/>
        <v>0-200</v>
      </c>
      <c r="AJ188" s="27" t="str">
        <f t="shared" si="7"/>
        <v>0-20</v>
      </c>
    </row>
    <row r="189" ht="15.75" customHeight="1">
      <c r="A189" s="23">
        <f>HYPERLINK("https://app.hubspot.com/contacts/8748051/record/0-3/43504578083", 43504578083)</f>
        <v>43504578083</v>
      </c>
      <c r="B189" s="24" t="s">
        <v>760</v>
      </c>
      <c r="C189" s="24" t="s">
        <v>38</v>
      </c>
      <c r="D189" s="25">
        <v>17500.0</v>
      </c>
      <c r="E189" s="24" t="s">
        <v>92</v>
      </c>
      <c r="F189" s="24" t="s">
        <v>52</v>
      </c>
      <c r="G189" s="26">
        <v>45908.657743055555</v>
      </c>
      <c r="H189" s="26">
        <v>46022.372349537036</v>
      </c>
      <c r="I189" s="24" t="s">
        <v>40</v>
      </c>
      <c r="J189" s="24" t="s">
        <v>41</v>
      </c>
      <c r="K189" s="24" t="s">
        <v>42</v>
      </c>
      <c r="L189" s="24" t="s">
        <v>43</v>
      </c>
      <c r="M189" s="24" t="s">
        <v>44</v>
      </c>
      <c r="N189" s="24" t="s">
        <v>761</v>
      </c>
      <c r="O189" s="27"/>
      <c r="P189" s="24"/>
      <c r="Q189" s="24"/>
      <c r="R189" s="23">
        <f>HYPERLINK("https://app.hubspot.com/contacts/8748051/record/0-2/42295909988", 42295909988)</f>
        <v>42295909988</v>
      </c>
      <c r="S189" s="24" t="s">
        <v>762</v>
      </c>
      <c r="T189" s="28" t="s">
        <v>763</v>
      </c>
      <c r="U189" s="24" t="s">
        <v>96</v>
      </c>
      <c r="V189" s="24"/>
      <c r="W189" s="25">
        <v>17500.0</v>
      </c>
      <c r="X189" s="29">
        <v>15.0</v>
      </c>
      <c r="Y189" s="29">
        <v>5.0</v>
      </c>
      <c r="Z189" s="30"/>
      <c r="AA189" s="30" t="s">
        <v>97</v>
      </c>
      <c r="AB189" s="30" t="s">
        <v>166</v>
      </c>
      <c r="AC189" s="30"/>
      <c r="AD189" s="30" t="s">
        <v>462</v>
      </c>
      <c r="AE189" s="30"/>
      <c r="AF189" s="30" t="s">
        <v>764</v>
      </c>
      <c r="AG189" s="27" t="str">
        <f t="shared" si="1"/>
        <v>New Logo</v>
      </c>
      <c r="AH189" s="27" t="str">
        <f t="shared" si="5"/>
        <v>Customer</v>
      </c>
      <c r="AI189" s="27" t="str">
        <f t="shared" si="6"/>
        <v>0-200</v>
      </c>
      <c r="AJ189" s="27" t="str">
        <f t="shared" si="7"/>
        <v>0-20</v>
      </c>
    </row>
    <row r="190" ht="15.75" customHeight="1">
      <c r="A190" s="23">
        <f>HYPERLINK("https://app.hubspot.com/contacts/8748051/record/0-3/43407730434", 43407730434)</f>
        <v>43407730434</v>
      </c>
      <c r="B190" s="24" t="s">
        <v>765</v>
      </c>
      <c r="C190" s="24" t="s">
        <v>50</v>
      </c>
      <c r="D190" s="25">
        <v>20000.0</v>
      </c>
      <c r="E190" s="24" t="s">
        <v>127</v>
      </c>
      <c r="F190" s="24" t="s">
        <v>52</v>
      </c>
      <c r="G190" s="26">
        <v>45906.33416666667</v>
      </c>
      <c r="H190" s="26">
        <v>46112.60980324074</v>
      </c>
      <c r="I190" s="24" t="s">
        <v>40</v>
      </c>
      <c r="J190" s="24" t="s">
        <v>41</v>
      </c>
      <c r="K190" s="24" t="s">
        <v>42</v>
      </c>
      <c r="L190" s="24" t="s">
        <v>43</v>
      </c>
      <c r="M190" s="24" t="s">
        <v>44</v>
      </c>
      <c r="N190" s="24"/>
      <c r="O190" s="24"/>
      <c r="P190" s="24"/>
      <c r="Q190" s="24" t="s">
        <v>246</v>
      </c>
      <c r="R190" s="23">
        <f>HYPERLINK("https://app.hubspot.com/contacts/8748051/record/0-2/10198110024", 10198110024)</f>
        <v>10198110024</v>
      </c>
      <c r="S190" s="24" t="s">
        <v>766</v>
      </c>
      <c r="T190" s="28" t="s">
        <v>767</v>
      </c>
      <c r="U190" s="24" t="s">
        <v>47</v>
      </c>
      <c r="V190" s="24"/>
      <c r="W190" s="25"/>
      <c r="X190" s="29">
        <v>771.0</v>
      </c>
      <c r="Y190" s="29">
        <v>52.0</v>
      </c>
      <c r="Z190" s="30" t="s">
        <v>125</v>
      </c>
      <c r="AA190" s="30"/>
      <c r="AB190" s="30"/>
      <c r="AC190" s="30"/>
      <c r="AD190" s="30"/>
      <c r="AE190" s="31"/>
      <c r="AF190" s="30"/>
      <c r="AG190" s="27" t="str">
        <f t="shared" si="1"/>
        <v>New Logo</v>
      </c>
      <c r="AH190" s="27" t="str">
        <f t="shared" si="5"/>
        <v>Lead</v>
      </c>
      <c r="AI190" s="27" t="str">
        <f t="shared" si="6"/>
        <v>501-1000</v>
      </c>
      <c r="AJ190" s="27" t="str">
        <f t="shared" si="7"/>
        <v>51-100</v>
      </c>
    </row>
    <row r="191" ht="15.75" customHeight="1">
      <c r="A191" s="23">
        <f>HYPERLINK("https://app.hubspot.com/contacts/8748051/record/0-3/43374235921", 43374235921)</f>
        <v>43374235921</v>
      </c>
      <c r="B191" s="24" t="s">
        <v>768</v>
      </c>
      <c r="C191" s="24" t="s">
        <v>148</v>
      </c>
      <c r="D191" s="25">
        <v>0.0</v>
      </c>
      <c r="E191" s="24" t="s">
        <v>73</v>
      </c>
      <c r="F191" s="24"/>
      <c r="G191" s="26">
        <v>45905.63079861111</v>
      </c>
      <c r="H191" s="26">
        <v>46087.008935185186</v>
      </c>
      <c r="I191" s="24" t="s">
        <v>40</v>
      </c>
      <c r="J191" s="24" t="s">
        <v>41</v>
      </c>
      <c r="K191" s="24" t="s">
        <v>42</v>
      </c>
      <c r="L191" s="24" t="s">
        <v>43</v>
      </c>
      <c r="M191" s="24" t="s">
        <v>44</v>
      </c>
      <c r="N191" s="24"/>
      <c r="O191" s="24"/>
      <c r="P191" s="24" t="s">
        <v>75</v>
      </c>
      <c r="Q191" s="24"/>
      <c r="R191" s="23">
        <f>HYPERLINK("https://app.hubspot.com/contacts/8748051/record/0-2/9238380169", 9238380169)</f>
        <v>9238380169</v>
      </c>
      <c r="S191" s="24" t="s">
        <v>769</v>
      </c>
      <c r="T191" s="28" t="s">
        <v>770</v>
      </c>
      <c r="U191" s="24"/>
      <c r="V191" s="24"/>
      <c r="W191" s="25"/>
      <c r="X191" s="29">
        <v>8733.0</v>
      </c>
      <c r="Y191" s="29"/>
      <c r="Z191" s="30"/>
      <c r="AA191" s="30"/>
      <c r="AB191" s="31"/>
      <c r="AC191" s="31"/>
      <c r="AD191" s="30"/>
      <c r="AE191" s="31"/>
      <c r="AF191" s="30"/>
      <c r="AG191" s="27" t="str">
        <f t="shared" si="1"/>
        <v>New Logo</v>
      </c>
      <c r="AH191" s="27" t="str">
        <f t="shared" si="5"/>
        <v>Lead</v>
      </c>
      <c r="AI191" s="27" t="str">
        <f t="shared" si="6"/>
        <v>5000-10000</v>
      </c>
      <c r="AJ191" s="27" t="str">
        <f t="shared" si="7"/>
        <v>0-20</v>
      </c>
    </row>
    <row r="192" ht="15.75" customHeight="1">
      <c r="A192" s="23">
        <f>HYPERLINK("https://app.hubspot.com/contacts/8748051/record/0-3/43418805132", 43418805132)</f>
        <v>43418805132</v>
      </c>
      <c r="B192" s="24" t="s">
        <v>771</v>
      </c>
      <c r="C192" s="24" t="s">
        <v>50</v>
      </c>
      <c r="D192" s="25">
        <v>22500.0</v>
      </c>
      <c r="E192" s="24" t="s">
        <v>127</v>
      </c>
      <c r="F192" s="24" t="s">
        <v>52</v>
      </c>
      <c r="G192" s="26">
        <v>45905.60994212963</v>
      </c>
      <c r="H192" s="26">
        <v>46112.52306712963</v>
      </c>
      <c r="I192" s="24" t="s">
        <v>40</v>
      </c>
      <c r="J192" s="24" t="s">
        <v>41</v>
      </c>
      <c r="K192" s="24" t="s">
        <v>42</v>
      </c>
      <c r="L192" s="24" t="s">
        <v>43</v>
      </c>
      <c r="M192" s="24" t="s">
        <v>44</v>
      </c>
      <c r="N192" s="27"/>
      <c r="O192" s="24"/>
      <c r="P192" s="24"/>
      <c r="Q192" s="24" t="s">
        <v>772</v>
      </c>
      <c r="R192" s="23">
        <f>HYPERLINK("https://app.hubspot.com/contacts/8748051/record/0-2/39182619295", 39182619295)</f>
        <v>39182619295</v>
      </c>
      <c r="S192" s="24" t="s">
        <v>773</v>
      </c>
      <c r="T192" s="28" t="s">
        <v>774</v>
      </c>
      <c r="U192" s="24"/>
      <c r="V192" s="24"/>
      <c r="W192" s="25"/>
      <c r="X192" s="29"/>
      <c r="Y192" s="29"/>
      <c r="Z192" s="30"/>
      <c r="AA192" s="30"/>
      <c r="AB192" s="31"/>
      <c r="AC192" s="31"/>
      <c r="AD192" s="30"/>
      <c r="AE192" s="31"/>
      <c r="AF192" s="30"/>
      <c r="AG192" s="27" t="str">
        <f t="shared" si="1"/>
        <v>New Logo</v>
      </c>
      <c r="AH192" s="27" t="str">
        <f t="shared" si="5"/>
        <v>Lead</v>
      </c>
      <c r="AI192" s="27" t="str">
        <f t="shared" si="6"/>
        <v>0-200</v>
      </c>
      <c r="AJ192" s="27" t="str">
        <f t="shared" si="7"/>
        <v>0-20</v>
      </c>
    </row>
    <row r="193" ht="15.75" customHeight="1">
      <c r="A193" s="23">
        <f>HYPERLINK("https://app.hubspot.com/contacts/8748051/record/0-3/43418107562", 43418107562)</f>
        <v>43418107562</v>
      </c>
      <c r="B193" s="24" t="s">
        <v>775</v>
      </c>
      <c r="C193" s="24" t="s">
        <v>50</v>
      </c>
      <c r="D193" s="25">
        <v>90000.0</v>
      </c>
      <c r="E193" s="24" t="s">
        <v>149</v>
      </c>
      <c r="F193" s="24" t="s">
        <v>52</v>
      </c>
      <c r="G193" s="26">
        <v>45905.56079861111</v>
      </c>
      <c r="H193" s="26">
        <v>45926.3875</v>
      </c>
      <c r="I193" s="24" t="s">
        <v>40</v>
      </c>
      <c r="J193" s="24" t="s">
        <v>53</v>
      </c>
      <c r="K193" s="24" t="s">
        <v>60</v>
      </c>
      <c r="L193" s="24" t="s">
        <v>61</v>
      </c>
      <c r="M193" s="24" t="s">
        <v>44</v>
      </c>
      <c r="N193" s="27"/>
      <c r="O193" s="24" t="s">
        <v>776</v>
      </c>
      <c r="P193" s="24"/>
      <c r="Q193" s="24"/>
      <c r="R193" s="23">
        <f>HYPERLINK("https://app.hubspot.com/contacts/8748051/record/0-2/6816550565", 6816550565)</f>
        <v>6816550565</v>
      </c>
      <c r="S193" s="24" t="s">
        <v>777</v>
      </c>
      <c r="T193" s="28" t="s">
        <v>778</v>
      </c>
      <c r="U193" s="24" t="s">
        <v>47</v>
      </c>
      <c r="V193" s="24"/>
      <c r="W193" s="25"/>
      <c r="X193" s="29">
        <v>834.0</v>
      </c>
      <c r="Y193" s="29">
        <v>181.0</v>
      </c>
      <c r="Z193" s="30" t="s">
        <v>64</v>
      </c>
      <c r="AA193" s="30"/>
      <c r="AB193" s="31"/>
      <c r="AC193" s="31"/>
      <c r="AD193" s="30"/>
      <c r="AE193" s="31"/>
      <c r="AF193" s="30"/>
      <c r="AG193" s="27" t="str">
        <f t="shared" si="1"/>
        <v>New Logo</v>
      </c>
      <c r="AH193" s="27" t="str">
        <f t="shared" si="5"/>
        <v>Lead</v>
      </c>
      <c r="AI193" s="27" t="str">
        <f t="shared" si="6"/>
        <v>501-1000</v>
      </c>
      <c r="AJ193" s="27" t="str">
        <f t="shared" si="7"/>
        <v>101-500</v>
      </c>
    </row>
    <row r="194" ht="15.75" customHeight="1">
      <c r="A194" s="23">
        <f>HYPERLINK("https://app.hubspot.com/contacts/8748051/record/0-3/43827765270", 43827765270)</f>
        <v>43827765270</v>
      </c>
      <c r="B194" s="24" t="s">
        <v>779</v>
      </c>
      <c r="C194" s="24" t="s">
        <v>38</v>
      </c>
      <c r="D194" s="25">
        <v>25000.0</v>
      </c>
      <c r="E194" s="24" t="s">
        <v>127</v>
      </c>
      <c r="F194" s="24" t="s">
        <v>52</v>
      </c>
      <c r="G194" s="26">
        <v>45904.38995370371</v>
      </c>
      <c r="H194" s="26">
        <v>46108.66850694444</v>
      </c>
      <c r="I194" s="24" t="s">
        <v>40</v>
      </c>
      <c r="J194" s="24" t="s">
        <v>41</v>
      </c>
      <c r="K194" s="24" t="s">
        <v>42</v>
      </c>
      <c r="L194" s="24" t="s">
        <v>43</v>
      </c>
      <c r="M194" s="24" t="s">
        <v>74</v>
      </c>
      <c r="N194" s="27"/>
      <c r="O194" s="27"/>
      <c r="P194" s="24"/>
      <c r="Q194" s="24" t="s">
        <v>197</v>
      </c>
      <c r="R194" s="23">
        <f>HYPERLINK("https://app.hubspot.com/contacts/8748051/record/0-2/19176728720", 19176728720)</f>
        <v>19176728720</v>
      </c>
      <c r="S194" s="24" t="s">
        <v>780</v>
      </c>
      <c r="T194" s="28" t="s">
        <v>781</v>
      </c>
      <c r="U194" s="24" t="s">
        <v>47</v>
      </c>
      <c r="V194" s="24"/>
      <c r="W194" s="25"/>
      <c r="X194" s="29">
        <v>183.0</v>
      </c>
      <c r="Y194" s="29">
        <v>16.0</v>
      </c>
      <c r="Z194" s="30" t="s">
        <v>108</v>
      </c>
      <c r="AA194" s="30"/>
      <c r="AB194" s="31"/>
      <c r="AC194" s="31"/>
      <c r="AD194" s="30"/>
      <c r="AE194" s="31"/>
      <c r="AF194" s="30"/>
      <c r="AG194" s="27" t="str">
        <f t="shared" si="1"/>
        <v>New Logo</v>
      </c>
      <c r="AH194" s="27" t="str">
        <f t="shared" si="5"/>
        <v>Lead</v>
      </c>
      <c r="AI194" s="27" t="str">
        <f t="shared" si="6"/>
        <v>0-200</v>
      </c>
      <c r="AJ194" s="27" t="str">
        <f t="shared" si="7"/>
        <v>0-20</v>
      </c>
    </row>
    <row r="195" ht="15.75" customHeight="1">
      <c r="A195" s="23">
        <f>HYPERLINK("https://app.hubspot.com/contacts/8748051/record/0-3/43284912510", 43284912510)</f>
        <v>43284912510</v>
      </c>
      <c r="B195" s="24" t="s">
        <v>782</v>
      </c>
      <c r="C195" s="24" t="s">
        <v>38</v>
      </c>
      <c r="D195" s="25">
        <v>19500.0</v>
      </c>
      <c r="E195" s="24" t="s">
        <v>127</v>
      </c>
      <c r="F195" s="24"/>
      <c r="G195" s="26">
        <v>45902.68876157407</v>
      </c>
      <c r="H195" s="26">
        <v>46082.68875</v>
      </c>
      <c r="I195" s="24" t="s">
        <v>40</v>
      </c>
      <c r="J195" s="24" t="s">
        <v>41</v>
      </c>
      <c r="K195" s="24" t="s">
        <v>42</v>
      </c>
      <c r="L195" s="24" t="s">
        <v>43</v>
      </c>
      <c r="M195" s="24" t="s">
        <v>44</v>
      </c>
      <c r="N195" s="24"/>
      <c r="O195" s="27"/>
      <c r="P195" s="24"/>
      <c r="Q195" s="24" t="s">
        <v>144</v>
      </c>
      <c r="R195" s="23">
        <f>HYPERLINK("https://app.hubspot.com/contacts/8748051/record/0-2/9238251109", 9238251109)</f>
        <v>9238251109</v>
      </c>
      <c r="S195" s="24" t="s">
        <v>783</v>
      </c>
      <c r="T195" s="28" t="s">
        <v>784</v>
      </c>
      <c r="U195" s="24"/>
      <c r="V195" s="24"/>
      <c r="W195" s="25"/>
      <c r="X195" s="29">
        <v>242.0</v>
      </c>
      <c r="Y195" s="29">
        <v>43.0</v>
      </c>
      <c r="Z195" s="30" t="s">
        <v>71</v>
      </c>
      <c r="AA195" s="30"/>
      <c r="AB195" s="30"/>
      <c r="AC195" s="30"/>
      <c r="AD195" s="30"/>
      <c r="AE195" s="31"/>
      <c r="AF195" s="30"/>
      <c r="AG195" s="27" t="str">
        <f t="shared" si="1"/>
        <v>New Logo</v>
      </c>
      <c r="AH195" s="27" t="str">
        <f t="shared" si="5"/>
        <v>Lead</v>
      </c>
      <c r="AI195" s="27" t="str">
        <f t="shared" si="6"/>
        <v>201-500</v>
      </c>
      <c r="AJ195" s="27" t="str">
        <f t="shared" si="7"/>
        <v>21-50</v>
      </c>
    </row>
    <row r="196" ht="15.75" customHeight="1">
      <c r="A196" s="23">
        <f>HYPERLINK("https://app.hubspot.com/contacts/8748051/record/0-3/43270768272", 43270768272)</f>
        <v>43270768272</v>
      </c>
      <c r="B196" s="24" t="s">
        <v>785</v>
      </c>
      <c r="C196" s="24" t="s">
        <v>50</v>
      </c>
      <c r="D196" s="25">
        <v>33000.0</v>
      </c>
      <c r="E196" s="24" t="s">
        <v>327</v>
      </c>
      <c r="F196" s="24" t="s">
        <v>52</v>
      </c>
      <c r="G196" s="26">
        <v>45902.42209490741</v>
      </c>
      <c r="H196" s="26">
        <v>46203.51099537037</v>
      </c>
      <c r="I196" s="24" t="s">
        <v>40</v>
      </c>
      <c r="J196" s="24" t="s">
        <v>53</v>
      </c>
      <c r="K196" s="24" t="s">
        <v>42</v>
      </c>
      <c r="L196" s="24" t="s">
        <v>43</v>
      </c>
      <c r="M196" s="24" t="s">
        <v>44</v>
      </c>
      <c r="N196" s="24"/>
      <c r="O196" s="27"/>
      <c r="P196" s="24"/>
      <c r="Q196" s="24"/>
      <c r="R196" s="23">
        <f>HYPERLINK("https://app.hubspot.com/contacts/8748051/record/0-2/7165296547", 7165296547)</f>
        <v>7165296547</v>
      </c>
      <c r="S196" s="24" t="s">
        <v>786</v>
      </c>
      <c r="T196" s="28" t="s">
        <v>787</v>
      </c>
      <c r="U196" s="24" t="s">
        <v>47</v>
      </c>
      <c r="V196" s="24"/>
      <c r="W196" s="25"/>
      <c r="X196" s="29">
        <v>386.0</v>
      </c>
      <c r="Y196" s="29">
        <v>88.0</v>
      </c>
      <c r="Z196" s="30"/>
      <c r="AA196" s="30"/>
      <c r="AB196" s="30"/>
      <c r="AC196" s="31"/>
      <c r="AD196" s="30"/>
      <c r="AE196" s="31"/>
      <c r="AF196" s="30"/>
      <c r="AG196" s="27" t="str">
        <f t="shared" si="1"/>
        <v>New Logo</v>
      </c>
      <c r="AH196" s="27" t="str">
        <f t="shared" si="5"/>
        <v>Lead</v>
      </c>
      <c r="AI196" s="27" t="str">
        <f t="shared" si="6"/>
        <v>201-500</v>
      </c>
      <c r="AJ196" s="27" t="str">
        <f t="shared" si="7"/>
        <v>51-100</v>
      </c>
    </row>
    <row r="197" ht="15.75" customHeight="1">
      <c r="A197" s="23">
        <f>HYPERLINK("https://app.hubspot.com/contacts/8748051/record/0-3/43989443695", 43989443695)</f>
        <v>43989443695</v>
      </c>
      <c r="B197" s="24" t="s">
        <v>788</v>
      </c>
      <c r="C197" s="24" t="s">
        <v>159</v>
      </c>
      <c r="D197" s="25">
        <v>5000.0</v>
      </c>
      <c r="E197" s="24" t="s">
        <v>92</v>
      </c>
      <c r="F197" s="24"/>
      <c r="G197" s="26">
        <v>45900.66038194444</v>
      </c>
      <c r="H197" s="26">
        <v>45900.66038194444</v>
      </c>
      <c r="I197" s="24" t="s">
        <v>40</v>
      </c>
      <c r="J197" s="24" t="s">
        <v>182</v>
      </c>
      <c r="K197" s="24" t="s">
        <v>161</v>
      </c>
      <c r="L197" s="24" t="s">
        <v>162</v>
      </c>
      <c r="M197" s="24" t="s">
        <v>44</v>
      </c>
      <c r="N197" s="24"/>
      <c r="O197" s="27"/>
      <c r="P197" s="24"/>
      <c r="Q197" s="24"/>
      <c r="R197" s="23">
        <f>HYPERLINK("https://app.hubspot.com/contacts/8748051/record/0-2/6996465316", 6996465316)</f>
        <v>6996465316</v>
      </c>
      <c r="S197" s="24" t="s">
        <v>789</v>
      </c>
      <c r="T197" s="28" t="s">
        <v>790</v>
      </c>
      <c r="U197" s="24" t="s">
        <v>96</v>
      </c>
      <c r="V197" s="24"/>
      <c r="W197" s="25">
        <v>52500.0</v>
      </c>
      <c r="X197" s="29">
        <v>848.0</v>
      </c>
      <c r="Y197" s="29">
        <v>65.0</v>
      </c>
      <c r="Z197" s="30"/>
      <c r="AA197" s="30" t="s">
        <v>220</v>
      </c>
      <c r="AB197" s="30" t="s">
        <v>194</v>
      </c>
      <c r="AC197" s="31"/>
      <c r="AD197" s="30" t="s">
        <v>791</v>
      </c>
      <c r="AE197" s="31"/>
      <c r="AF197" s="30" t="s">
        <v>169</v>
      </c>
      <c r="AG197" s="27" t="str">
        <f t="shared" si="1"/>
        <v>Upsell</v>
      </c>
      <c r="AH197" s="27" t="str">
        <f t="shared" si="5"/>
        <v>Customer</v>
      </c>
      <c r="AI197" s="27" t="str">
        <f t="shared" si="6"/>
        <v>501-1000</v>
      </c>
      <c r="AJ197" s="27" t="str">
        <f t="shared" si="7"/>
        <v>51-100</v>
      </c>
    </row>
    <row r="198" ht="15.75" customHeight="1">
      <c r="A198" s="23">
        <f>HYPERLINK("https://app.hubspot.com/contacts/8748051/record/0-3/43739681136", 43739681136)</f>
        <v>43739681136</v>
      </c>
      <c r="B198" s="24" t="s">
        <v>792</v>
      </c>
      <c r="C198" s="24" t="s">
        <v>38</v>
      </c>
      <c r="D198" s="25">
        <v>100000.0</v>
      </c>
      <c r="E198" s="24" t="s">
        <v>51</v>
      </c>
      <c r="F198" s="24" t="s">
        <v>52</v>
      </c>
      <c r="G198" s="26">
        <v>45897.66762731481</v>
      </c>
      <c r="H198" s="26">
        <v>46198.02211805555</v>
      </c>
      <c r="I198" s="24" t="s">
        <v>40</v>
      </c>
      <c r="J198" s="24" t="s">
        <v>53</v>
      </c>
      <c r="K198" s="24" t="s">
        <v>42</v>
      </c>
      <c r="L198" s="24" t="s">
        <v>43</v>
      </c>
      <c r="M198" s="24" t="s">
        <v>44</v>
      </c>
      <c r="N198" s="27"/>
      <c r="O198" s="27"/>
      <c r="P198" s="24"/>
      <c r="Q198" s="24"/>
      <c r="R198" s="23">
        <f>HYPERLINK("https://app.hubspot.com/contacts/8748051/record/0-2/9238334353", 9238334353)</f>
        <v>9238334353</v>
      </c>
      <c r="S198" s="24" t="s">
        <v>793</v>
      </c>
      <c r="T198" s="28" t="s">
        <v>794</v>
      </c>
      <c r="U198" s="24" t="s">
        <v>47</v>
      </c>
      <c r="V198" s="24"/>
      <c r="W198" s="25"/>
      <c r="X198" s="29">
        <v>3050.0</v>
      </c>
      <c r="Y198" s="29">
        <v>414.0</v>
      </c>
      <c r="Z198" s="30" t="s">
        <v>795</v>
      </c>
      <c r="AA198" s="30"/>
      <c r="AB198" s="31"/>
      <c r="AC198" s="31"/>
      <c r="AD198" s="30"/>
      <c r="AE198" s="31"/>
      <c r="AF198" s="30"/>
      <c r="AG198" s="27" t="str">
        <f t="shared" si="1"/>
        <v>New Logo</v>
      </c>
      <c r="AH198" s="27" t="str">
        <f t="shared" si="5"/>
        <v>Lead</v>
      </c>
      <c r="AI198" s="27" t="str">
        <f t="shared" si="6"/>
        <v>1001-5000</v>
      </c>
      <c r="AJ198" s="27" t="str">
        <f t="shared" si="7"/>
        <v>101-500</v>
      </c>
    </row>
    <row r="199" ht="15.75" customHeight="1">
      <c r="A199" s="23">
        <f>HYPERLINK("https://app.hubspot.com/contacts/8748051/record/0-3/42924803171", 42924803171)</f>
        <v>42924803171</v>
      </c>
      <c r="B199" s="24" t="s">
        <v>796</v>
      </c>
      <c r="C199" s="24" t="s">
        <v>50</v>
      </c>
      <c r="D199" s="25">
        <v>100000.0</v>
      </c>
      <c r="E199" s="24" t="s">
        <v>127</v>
      </c>
      <c r="F199" s="24" t="s">
        <v>52</v>
      </c>
      <c r="G199" s="26">
        <v>45895.71189814815</v>
      </c>
      <c r="H199" s="26">
        <v>46075.711851851855</v>
      </c>
      <c r="I199" s="24" t="s">
        <v>40</v>
      </c>
      <c r="J199" s="24" t="s">
        <v>53</v>
      </c>
      <c r="K199" s="24" t="s">
        <v>60</v>
      </c>
      <c r="L199" s="24" t="s">
        <v>61</v>
      </c>
      <c r="M199" s="24" t="s">
        <v>44</v>
      </c>
      <c r="N199" s="24"/>
      <c r="O199" s="27"/>
      <c r="P199" s="24"/>
      <c r="Q199" s="24" t="s">
        <v>374</v>
      </c>
      <c r="R199" s="23">
        <f>HYPERLINK("https://app.hubspot.com/contacts/8748051/record/0-2/4752572591", 4752572591)</f>
        <v>4752572591</v>
      </c>
      <c r="S199" s="24" t="s">
        <v>797</v>
      </c>
      <c r="T199" s="28" t="s">
        <v>798</v>
      </c>
      <c r="U199" s="24" t="s">
        <v>47</v>
      </c>
      <c r="V199" s="24"/>
      <c r="W199" s="25"/>
      <c r="X199" s="29">
        <v>11097.0</v>
      </c>
      <c r="Y199" s="29">
        <v>2728.0</v>
      </c>
      <c r="Z199" s="31"/>
      <c r="AA199" s="30"/>
      <c r="AB199" s="30"/>
      <c r="AC199" s="31"/>
      <c r="AD199" s="30"/>
      <c r="AE199" s="30"/>
      <c r="AF199" s="30"/>
      <c r="AG199" s="27" t="str">
        <f t="shared" si="1"/>
        <v>New Logo</v>
      </c>
      <c r="AH199" s="27" t="str">
        <f t="shared" si="5"/>
        <v>Lead</v>
      </c>
      <c r="AI199" s="27" t="str">
        <f t="shared" si="6"/>
        <v>10000+</v>
      </c>
      <c r="AJ199" s="27" t="str">
        <f t="shared" si="7"/>
        <v>500+</v>
      </c>
    </row>
    <row r="200" ht="15.75" customHeight="1">
      <c r="A200" s="23">
        <f>HYPERLINK("https://app.hubspot.com/contacts/8748051/record/0-3/42847856979", 42847856979)</f>
        <v>42847856979</v>
      </c>
      <c r="B200" s="24" t="s">
        <v>799</v>
      </c>
      <c r="C200" s="24" t="s">
        <v>50</v>
      </c>
      <c r="D200" s="25">
        <v>100000.0</v>
      </c>
      <c r="E200" s="24" t="s">
        <v>73</v>
      </c>
      <c r="F200" s="24"/>
      <c r="G200" s="26">
        <v>45895.47204861111</v>
      </c>
      <c r="H200" s="26">
        <v>46075.472025462965</v>
      </c>
      <c r="I200" s="24" t="s">
        <v>40</v>
      </c>
      <c r="J200" s="24" t="s">
        <v>53</v>
      </c>
      <c r="K200" s="24" t="s">
        <v>42</v>
      </c>
      <c r="L200" s="24" t="s">
        <v>43</v>
      </c>
      <c r="M200" s="24" t="s">
        <v>44</v>
      </c>
      <c r="N200" s="27"/>
      <c r="O200" s="24"/>
      <c r="P200" s="24" t="s">
        <v>75</v>
      </c>
      <c r="Q200" s="24"/>
      <c r="R200" s="23">
        <f>HYPERLINK("https://app.hubspot.com/contacts/8748051/record/0-2/7681111402", 7681111402)</f>
        <v>7681111402</v>
      </c>
      <c r="S200" s="24" t="s">
        <v>800</v>
      </c>
      <c r="T200" s="28" t="s">
        <v>801</v>
      </c>
      <c r="U200" s="24" t="s">
        <v>47</v>
      </c>
      <c r="V200" s="24"/>
      <c r="W200" s="32"/>
      <c r="X200" s="29">
        <v>39006.0</v>
      </c>
      <c r="Y200" s="29">
        <v>778.0</v>
      </c>
      <c r="Z200" s="30"/>
      <c r="AA200" s="31"/>
      <c r="AB200" s="31"/>
      <c r="AC200" s="31"/>
      <c r="AD200" s="31"/>
      <c r="AE200" s="31"/>
      <c r="AF200" s="31"/>
      <c r="AG200" s="27" t="str">
        <f t="shared" si="1"/>
        <v>New Logo</v>
      </c>
      <c r="AH200" s="27" t="str">
        <f t="shared" si="5"/>
        <v>Lead</v>
      </c>
      <c r="AI200" s="27" t="str">
        <f t="shared" si="6"/>
        <v>10000+</v>
      </c>
      <c r="AJ200" s="27" t="str">
        <f t="shared" si="7"/>
        <v>500+</v>
      </c>
    </row>
    <row r="201" ht="15.75" customHeight="1">
      <c r="A201" s="23">
        <f>HYPERLINK("https://app.hubspot.com/contacts/8748051/record/0-3/42826036055", 42826036055)</f>
        <v>42826036055</v>
      </c>
      <c r="B201" s="24" t="s">
        <v>802</v>
      </c>
      <c r="C201" s="24" t="s">
        <v>38</v>
      </c>
      <c r="D201" s="25">
        <v>0.0</v>
      </c>
      <c r="E201" s="24" t="s">
        <v>73</v>
      </c>
      <c r="F201" s="24"/>
      <c r="G201" s="26">
        <v>45894.4175</v>
      </c>
      <c r="H201" s="26">
        <v>46074.41747685185</v>
      </c>
      <c r="I201" s="24" t="s">
        <v>40</v>
      </c>
      <c r="J201" s="24" t="s">
        <v>41</v>
      </c>
      <c r="K201" s="24" t="s">
        <v>42</v>
      </c>
      <c r="L201" s="24" t="s">
        <v>43</v>
      </c>
      <c r="M201" s="24"/>
      <c r="N201" s="24"/>
      <c r="O201" s="27"/>
      <c r="P201" s="24" t="s">
        <v>75</v>
      </c>
      <c r="Q201" s="24"/>
      <c r="R201" s="23">
        <f>HYPERLINK("https://app.hubspot.com/contacts/8748051/record/0-2/38631159351", 38631159351)</f>
        <v>38631159351</v>
      </c>
      <c r="S201" s="24" t="s">
        <v>803</v>
      </c>
      <c r="T201" s="28" t="s">
        <v>804</v>
      </c>
      <c r="U201" s="24"/>
      <c r="V201" s="24"/>
      <c r="W201" s="25"/>
      <c r="X201" s="29">
        <v>1.0</v>
      </c>
      <c r="Y201" s="29">
        <v>0.0</v>
      </c>
      <c r="Z201" s="31"/>
      <c r="AA201" s="30"/>
      <c r="AB201" s="31"/>
      <c r="AC201" s="31"/>
      <c r="AD201" s="30"/>
      <c r="AE201" s="31"/>
      <c r="AF201" s="31"/>
      <c r="AG201" s="27" t="str">
        <f t="shared" si="1"/>
        <v>New Logo</v>
      </c>
      <c r="AH201" s="27" t="str">
        <f t="shared" si="5"/>
        <v>Lead</v>
      </c>
      <c r="AI201" s="27" t="str">
        <f t="shared" si="6"/>
        <v>0-200</v>
      </c>
      <c r="AJ201" s="27" t="str">
        <f t="shared" si="7"/>
        <v>0-20</v>
      </c>
    </row>
    <row r="202" ht="15.75" customHeight="1">
      <c r="A202" s="23">
        <f>HYPERLINK("https://app.hubspot.com/contacts/8748051/record/0-3/42666529807", 42666529807)</f>
        <v>42666529807</v>
      </c>
      <c r="B202" s="24" t="s">
        <v>805</v>
      </c>
      <c r="C202" s="24" t="s">
        <v>38</v>
      </c>
      <c r="D202" s="25">
        <v>12000.0</v>
      </c>
      <c r="E202" s="24" t="s">
        <v>127</v>
      </c>
      <c r="F202" s="24" t="s">
        <v>52</v>
      </c>
      <c r="G202" s="26">
        <v>45890.71983796296</v>
      </c>
      <c r="H202" s="26">
        <v>46070.719814814816</v>
      </c>
      <c r="I202" s="24" t="s">
        <v>40</v>
      </c>
      <c r="J202" s="24" t="s">
        <v>41</v>
      </c>
      <c r="K202" s="24" t="s">
        <v>42</v>
      </c>
      <c r="L202" s="24" t="s">
        <v>43</v>
      </c>
      <c r="M202" s="24" t="s">
        <v>44</v>
      </c>
      <c r="N202" s="24"/>
      <c r="O202" s="24"/>
      <c r="P202" s="24"/>
      <c r="Q202" s="24" t="s">
        <v>144</v>
      </c>
      <c r="R202" s="23">
        <f>HYPERLINK("https://app.hubspot.com/contacts/8748051/record/0-2/38512368226", 38512368226)</f>
        <v>38512368226</v>
      </c>
      <c r="S202" s="24" t="s">
        <v>806</v>
      </c>
      <c r="T202" s="28" t="s">
        <v>807</v>
      </c>
      <c r="U202" s="24"/>
      <c r="V202" s="24"/>
      <c r="W202" s="25"/>
      <c r="X202" s="29">
        <v>21.0</v>
      </c>
      <c r="Y202" s="29">
        <v>7.0</v>
      </c>
      <c r="Z202" s="30"/>
      <c r="AA202" s="30"/>
      <c r="AB202" s="31"/>
      <c r="AC202" s="31"/>
      <c r="AD202" s="30"/>
      <c r="AE202" s="31"/>
      <c r="AF202" s="31"/>
      <c r="AG202" s="27" t="str">
        <f t="shared" si="1"/>
        <v>New Logo</v>
      </c>
      <c r="AH202" s="27" t="str">
        <f t="shared" si="5"/>
        <v>Lead</v>
      </c>
      <c r="AI202" s="27" t="str">
        <f t="shared" si="6"/>
        <v>0-200</v>
      </c>
      <c r="AJ202" s="27" t="str">
        <f t="shared" si="7"/>
        <v>0-20</v>
      </c>
    </row>
    <row r="203" ht="15.75" customHeight="1">
      <c r="A203" s="23">
        <f>HYPERLINK("https://app.hubspot.com/contacts/8748051/record/0-3/42667854228", 42667854228)</f>
        <v>42667854228</v>
      </c>
      <c r="B203" s="24" t="s">
        <v>808</v>
      </c>
      <c r="C203" s="24" t="s">
        <v>38</v>
      </c>
      <c r="D203" s="25">
        <v>25000.0</v>
      </c>
      <c r="E203" s="24" t="s">
        <v>127</v>
      </c>
      <c r="F203" s="24" t="s">
        <v>52</v>
      </c>
      <c r="G203" s="26">
        <v>45890.54708333333</v>
      </c>
      <c r="H203" s="26">
        <v>46170.02239583333</v>
      </c>
      <c r="I203" s="24" t="s">
        <v>40</v>
      </c>
      <c r="J203" s="24" t="s">
        <v>41</v>
      </c>
      <c r="K203" s="24" t="s">
        <v>42</v>
      </c>
      <c r="L203" s="24" t="s">
        <v>43</v>
      </c>
      <c r="M203" s="24" t="s">
        <v>44</v>
      </c>
      <c r="N203" s="24"/>
      <c r="O203" s="27"/>
      <c r="P203" s="24"/>
      <c r="Q203" s="24" t="s">
        <v>128</v>
      </c>
      <c r="R203" s="23">
        <f>HYPERLINK("https://app.hubspot.com/contacts/8748051/record/0-2/17692579406", 17692579406)</f>
        <v>17692579406</v>
      </c>
      <c r="S203" s="24" t="s">
        <v>809</v>
      </c>
      <c r="T203" s="28" t="s">
        <v>810</v>
      </c>
      <c r="U203" s="24" t="s">
        <v>47</v>
      </c>
      <c r="V203" s="24"/>
      <c r="W203" s="25"/>
      <c r="X203" s="29">
        <v>155.0</v>
      </c>
      <c r="Y203" s="29">
        <v>18.0</v>
      </c>
      <c r="Z203" s="30"/>
      <c r="AA203" s="30"/>
      <c r="AB203" s="31"/>
      <c r="AC203" s="31"/>
      <c r="AD203" s="30"/>
      <c r="AE203" s="31"/>
      <c r="AF203" s="31"/>
      <c r="AG203" s="27" t="str">
        <f t="shared" si="1"/>
        <v>New Logo</v>
      </c>
      <c r="AH203" s="27" t="str">
        <f t="shared" si="5"/>
        <v>Lead</v>
      </c>
      <c r="AI203" s="27" t="str">
        <f t="shared" si="6"/>
        <v>0-200</v>
      </c>
      <c r="AJ203" s="27" t="str">
        <f t="shared" si="7"/>
        <v>0-20</v>
      </c>
    </row>
    <row r="204" ht="15.75" customHeight="1">
      <c r="A204" s="23">
        <f>HYPERLINK("https://app.hubspot.com/contacts/8748051/record/0-3/42405388646", 42405388646)</f>
        <v>42405388646</v>
      </c>
      <c r="B204" s="24" t="s">
        <v>811</v>
      </c>
      <c r="C204" s="24" t="s">
        <v>38</v>
      </c>
      <c r="D204" s="25">
        <v>0.0</v>
      </c>
      <c r="E204" s="24" t="s">
        <v>73</v>
      </c>
      <c r="F204" s="24"/>
      <c r="G204" s="26">
        <v>45888.39800925926</v>
      </c>
      <c r="H204" s="26">
        <v>46068.397986111115</v>
      </c>
      <c r="I204" s="24" t="s">
        <v>40</v>
      </c>
      <c r="J204" s="24" t="s">
        <v>41</v>
      </c>
      <c r="K204" s="24" t="s">
        <v>42</v>
      </c>
      <c r="L204" s="24" t="s">
        <v>43</v>
      </c>
      <c r="M204" s="24" t="s">
        <v>102</v>
      </c>
      <c r="N204" s="24"/>
      <c r="O204" s="27"/>
      <c r="P204" s="24" t="s">
        <v>234</v>
      </c>
      <c r="Q204" s="24"/>
      <c r="R204" s="23">
        <f>HYPERLINK("https://app.hubspot.com/contacts/8748051/record/0-2/38273694055", 38273694055)</f>
        <v>38273694055</v>
      </c>
      <c r="S204" s="24" t="s">
        <v>812</v>
      </c>
      <c r="T204" s="28" t="s">
        <v>813</v>
      </c>
      <c r="U204" s="24"/>
      <c r="V204" s="24"/>
      <c r="W204" s="25"/>
      <c r="X204" s="29"/>
      <c r="Y204" s="29">
        <v>0.0</v>
      </c>
      <c r="Z204" s="31"/>
      <c r="AA204" s="30"/>
      <c r="AB204" s="31"/>
      <c r="AC204" s="31"/>
      <c r="AD204" s="30"/>
      <c r="AE204" s="31"/>
      <c r="AF204" s="30"/>
      <c r="AG204" s="27" t="str">
        <f t="shared" si="1"/>
        <v>New Logo</v>
      </c>
      <c r="AH204" s="27" t="str">
        <f t="shared" si="5"/>
        <v>Lead</v>
      </c>
      <c r="AI204" s="27" t="str">
        <f t="shared" si="6"/>
        <v>0-200</v>
      </c>
      <c r="AJ204" s="27" t="str">
        <f t="shared" si="7"/>
        <v>0-20</v>
      </c>
    </row>
    <row r="205" ht="15.75" customHeight="1">
      <c r="A205" s="23">
        <f>HYPERLINK("https://app.hubspot.com/contacts/8748051/record/0-3/42411650572", 42411650572)</f>
        <v>42411650572</v>
      </c>
      <c r="B205" s="24" t="s">
        <v>814</v>
      </c>
      <c r="C205" s="24" t="s">
        <v>38</v>
      </c>
      <c r="D205" s="25">
        <v>40000.0</v>
      </c>
      <c r="E205" s="24" t="s">
        <v>127</v>
      </c>
      <c r="F205" s="24" t="s">
        <v>52</v>
      </c>
      <c r="G205" s="26">
        <v>45888.39745370371</v>
      </c>
      <c r="H205" s="26">
        <v>46135.87362268518</v>
      </c>
      <c r="I205" s="24" t="s">
        <v>40</v>
      </c>
      <c r="J205" s="24" t="s">
        <v>53</v>
      </c>
      <c r="K205" s="24" t="s">
        <v>42</v>
      </c>
      <c r="L205" s="24" t="s">
        <v>43</v>
      </c>
      <c r="M205" s="24" t="s">
        <v>74</v>
      </c>
      <c r="N205" s="24"/>
      <c r="O205" s="27"/>
      <c r="P205" s="24"/>
      <c r="Q205" s="24" t="s">
        <v>128</v>
      </c>
      <c r="R205" s="23">
        <f>HYPERLINK("https://app.hubspot.com/contacts/8748051/record/0-2/38275083582", 38275083582)</f>
        <v>38275083582</v>
      </c>
      <c r="S205" s="24" t="s">
        <v>815</v>
      </c>
      <c r="T205" s="28" t="s">
        <v>816</v>
      </c>
      <c r="U205" s="24"/>
      <c r="V205" s="24"/>
      <c r="W205" s="25"/>
      <c r="X205" s="29">
        <v>1184.0</v>
      </c>
      <c r="Y205" s="29">
        <v>178.0</v>
      </c>
      <c r="Z205" s="30"/>
      <c r="AA205" s="30"/>
      <c r="AB205" s="31"/>
      <c r="AC205" s="30"/>
      <c r="AD205" s="30"/>
      <c r="AE205" s="31"/>
      <c r="AF205" s="30"/>
      <c r="AG205" s="27" t="str">
        <f t="shared" si="1"/>
        <v>New Logo</v>
      </c>
      <c r="AH205" s="27" t="str">
        <f t="shared" si="5"/>
        <v>Lead</v>
      </c>
      <c r="AI205" s="27" t="str">
        <f t="shared" si="6"/>
        <v>1001-5000</v>
      </c>
      <c r="AJ205" s="27" t="str">
        <f t="shared" si="7"/>
        <v>101-500</v>
      </c>
    </row>
    <row r="206" ht="15.75" customHeight="1">
      <c r="A206" s="23">
        <f>HYPERLINK("https://app.hubspot.com/contacts/8748051/record/0-3/42428405315", 42428405315)</f>
        <v>42428405315</v>
      </c>
      <c r="B206" s="24" t="s">
        <v>817</v>
      </c>
      <c r="C206" s="24" t="s">
        <v>148</v>
      </c>
      <c r="D206" s="25">
        <v>13000.0</v>
      </c>
      <c r="E206" s="24" t="s">
        <v>73</v>
      </c>
      <c r="F206" s="24"/>
      <c r="G206" s="26">
        <v>45888.39671296296</v>
      </c>
      <c r="H206" s="26">
        <v>46068.396689814814</v>
      </c>
      <c r="I206" s="24" t="s">
        <v>40</v>
      </c>
      <c r="J206" s="24" t="s">
        <v>41</v>
      </c>
      <c r="K206" s="24" t="s">
        <v>42</v>
      </c>
      <c r="L206" s="24" t="s">
        <v>43</v>
      </c>
      <c r="M206" s="24" t="s">
        <v>74</v>
      </c>
      <c r="N206" s="27"/>
      <c r="O206" s="24"/>
      <c r="P206" s="24" t="s">
        <v>234</v>
      </c>
      <c r="Q206" s="24"/>
      <c r="R206" s="23">
        <f>HYPERLINK("https://app.hubspot.com/contacts/8748051/record/0-2/19176587355", 19176587355)</f>
        <v>19176587355</v>
      </c>
      <c r="S206" s="24" t="s">
        <v>818</v>
      </c>
      <c r="T206" s="28" t="s">
        <v>819</v>
      </c>
      <c r="U206" s="24" t="s">
        <v>47</v>
      </c>
      <c r="V206" s="24"/>
      <c r="W206" s="25"/>
      <c r="X206" s="29">
        <v>497.0</v>
      </c>
      <c r="Y206" s="29">
        <v>31.0</v>
      </c>
      <c r="Z206" s="30"/>
      <c r="AA206" s="30"/>
      <c r="AB206" s="31"/>
      <c r="AC206" s="31"/>
      <c r="AD206" s="30"/>
      <c r="AE206" s="31"/>
      <c r="AF206" s="30"/>
      <c r="AG206" s="27" t="str">
        <f t="shared" si="1"/>
        <v>New Logo</v>
      </c>
      <c r="AH206" s="27" t="str">
        <f t="shared" si="5"/>
        <v>Lead</v>
      </c>
      <c r="AI206" s="27" t="str">
        <f t="shared" si="6"/>
        <v>201-500</v>
      </c>
      <c r="AJ206" s="27" t="str">
        <f t="shared" si="7"/>
        <v>21-50</v>
      </c>
    </row>
    <row r="207" ht="15.75" customHeight="1">
      <c r="A207" s="23">
        <f>HYPERLINK("https://app.hubspot.com/contacts/8748051/record/0-3/42374346529", 42374346529)</f>
        <v>42374346529</v>
      </c>
      <c r="B207" s="24" t="s">
        <v>820</v>
      </c>
      <c r="C207" s="24" t="s">
        <v>38</v>
      </c>
      <c r="D207" s="25">
        <v>5000.0</v>
      </c>
      <c r="E207" s="24" t="s">
        <v>127</v>
      </c>
      <c r="F207" s="24" t="s">
        <v>52</v>
      </c>
      <c r="G207" s="26">
        <v>45887.40122685185</v>
      </c>
      <c r="H207" s="26">
        <v>46067.40116898148</v>
      </c>
      <c r="I207" s="24" t="s">
        <v>40</v>
      </c>
      <c r="J207" s="24" t="s">
        <v>41</v>
      </c>
      <c r="K207" s="24" t="s">
        <v>42</v>
      </c>
      <c r="L207" s="24" t="s">
        <v>43</v>
      </c>
      <c r="M207" s="24" t="s">
        <v>44</v>
      </c>
      <c r="N207" s="24"/>
      <c r="O207" s="24"/>
      <c r="P207" s="24"/>
      <c r="Q207" s="24" t="s">
        <v>197</v>
      </c>
      <c r="R207" s="23">
        <f>HYPERLINK("https://app.hubspot.com/contacts/8748051/record/0-2/20185415273", 20185415273)</f>
        <v>20185415273</v>
      </c>
      <c r="S207" s="24" t="s">
        <v>821</v>
      </c>
      <c r="T207" s="28" t="s">
        <v>822</v>
      </c>
      <c r="U207" s="24" t="s">
        <v>47</v>
      </c>
      <c r="V207" s="24"/>
      <c r="W207" s="25"/>
      <c r="X207" s="29">
        <v>77.0</v>
      </c>
      <c r="Y207" s="29">
        <v>6.0</v>
      </c>
      <c r="Z207" s="30"/>
      <c r="AA207" s="30"/>
      <c r="AB207" s="31"/>
      <c r="AC207" s="31"/>
      <c r="AD207" s="30"/>
      <c r="AE207" s="30"/>
      <c r="AF207" s="30"/>
      <c r="AG207" s="27" t="str">
        <f t="shared" si="1"/>
        <v>New Logo</v>
      </c>
      <c r="AH207" s="27" t="str">
        <f t="shared" si="5"/>
        <v>Lead</v>
      </c>
      <c r="AI207" s="27" t="str">
        <f t="shared" si="6"/>
        <v>0-200</v>
      </c>
      <c r="AJ207" s="27" t="str">
        <f t="shared" si="7"/>
        <v>0-20</v>
      </c>
    </row>
    <row r="208" ht="15.75" customHeight="1">
      <c r="A208" s="23">
        <f>HYPERLINK("https://app.hubspot.com/contacts/8748051/record/0-3/41809982898", 41809982898)</f>
        <v>41809982898</v>
      </c>
      <c r="B208" s="24" t="s">
        <v>823</v>
      </c>
      <c r="C208" s="24" t="s">
        <v>50</v>
      </c>
      <c r="D208" s="25">
        <v>25000.0</v>
      </c>
      <c r="E208" s="24" t="s">
        <v>127</v>
      </c>
      <c r="F208" s="24" t="s">
        <v>52</v>
      </c>
      <c r="G208" s="26">
        <v>45881.02413194445</v>
      </c>
      <c r="H208" s="26">
        <v>46203.638090277775</v>
      </c>
      <c r="I208" s="24" t="s">
        <v>40</v>
      </c>
      <c r="J208" s="24" t="s">
        <v>41</v>
      </c>
      <c r="K208" s="24" t="s">
        <v>42</v>
      </c>
      <c r="L208" s="24" t="s">
        <v>43</v>
      </c>
      <c r="M208" s="24" t="s">
        <v>44</v>
      </c>
      <c r="N208" s="24"/>
      <c r="O208" s="24"/>
      <c r="P208" s="24"/>
      <c r="Q208" s="24" t="s">
        <v>503</v>
      </c>
      <c r="R208" s="23">
        <f>HYPERLINK("https://app.hubspot.com/contacts/8748051/record/0-2/37664571821", 37664571821)</f>
        <v>37664571821</v>
      </c>
      <c r="S208" s="24" t="s">
        <v>824</v>
      </c>
      <c r="T208" s="28" t="s">
        <v>825</v>
      </c>
      <c r="U208" s="24"/>
      <c r="V208" s="24"/>
      <c r="W208" s="25"/>
      <c r="X208" s="29">
        <v>62.0</v>
      </c>
      <c r="Y208" s="29">
        <v>6.0</v>
      </c>
      <c r="Z208" s="30"/>
      <c r="AA208" s="30"/>
      <c r="AB208" s="30"/>
      <c r="AC208" s="31"/>
      <c r="AD208" s="30"/>
      <c r="AE208" s="30"/>
      <c r="AF208" s="30"/>
      <c r="AG208" s="27" t="str">
        <f t="shared" si="1"/>
        <v>New Logo</v>
      </c>
      <c r="AH208" s="27" t="str">
        <f t="shared" si="5"/>
        <v>Lead</v>
      </c>
      <c r="AI208" s="27" t="str">
        <f t="shared" si="6"/>
        <v>0-200</v>
      </c>
      <c r="AJ208" s="27" t="str">
        <f t="shared" si="7"/>
        <v>0-20</v>
      </c>
    </row>
    <row r="209" ht="15.75" customHeight="1">
      <c r="A209" s="23">
        <f>HYPERLINK("https://app.hubspot.com/contacts/8748051/record/0-3/41785897769", 41785897769)</f>
        <v>41785897769</v>
      </c>
      <c r="B209" s="24" t="s">
        <v>826</v>
      </c>
      <c r="C209" s="24" t="s">
        <v>50</v>
      </c>
      <c r="D209" s="25">
        <v>15000.0</v>
      </c>
      <c r="E209" s="24" t="s">
        <v>149</v>
      </c>
      <c r="F209" s="24" t="s">
        <v>52</v>
      </c>
      <c r="G209" s="26">
        <v>45880.63</v>
      </c>
      <c r="H209" s="26">
        <v>45918.76730324074</v>
      </c>
      <c r="I209" s="24" t="s">
        <v>40</v>
      </c>
      <c r="J209" s="24" t="s">
        <v>53</v>
      </c>
      <c r="K209" s="24" t="s">
        <v>42</v>
      </c>
      <c r="L209" s="24" t="s">
        <v>43</v>
      </c>
      <c r="M209" s="24" t="s">
        <v>44</v>
      </c>
      <c r="N209" s="24"/>
      <c r="O209" s="24" t="s">
        <v>827</v>
      </c>
      <c r="P209" s="24"/>
      <c r="Q209" s="24"/>
      <c r="R209" s="23">
        <f>HYPERLINK("https://app.hubspot.com/contacts/8748051/record/0-2/6816553099", 6816553099)</f>
        <v>6816553099</v>
      </c>
      <c r="S209" s="24" t="s">
        <v>828</v>
      </c>
      <c r="T209" s="28" t="s">
        <v>829</v>
      </c>
      <c r="U209" s="24" t="s">
        <v>47</v>
      </c>
      <c r="V209" s="24"/>
      <c r="W209" s="25"/>
      <c r="X209" s="29">
        <v>1436.0</v>
      </c>
      <c r="Y209" s="29">
        <v>278.0</v>
      </c>
      <c r="Z209" s="30" t="s">
        <v>81</v>
      </c>
      <c r="AA209" s="30"/>
      <c r="AB209" s="31"/>
      <c r="AC209" s="31"/>
      <c r="AD209" s="30"/>
      <c r="AE209" s="31"/>
      <c r="AF209" s="30"/>
      <c r="AG209" s="27" t="str">
        <f t="shared" si="1"/>
        <v>New Logo</v>
      </c>
      <c r="AH209" s="27" t="str">
        <f t="shared" si="5"/>
        <v>Lead</v>
      </c>
      <c r="AI209" s="27" t="str">
        <f t="shared" si="6"/>
        <v>1001-5000</v>
      </c>
      <c r="AJ209" s="27" t="str">
        <f t="shared" si="7"/>
        <v>101-500</v>
      </c>
    </row>
    <row r="210" ht="15.75" customHeight="1">
      <c r="A210" s="23">
        <f>HYPERLINK("https://app.hubspot.com/contacts/8748051/record/0-3/41578503009", 41578503009)</f>
        <v>41578503009</v>
      </c>
      <c r="B210" s="24" t="s">
        <v>830</v>
      </c>
      <c r="C210" s="24" t="s">
        <v>38</v>
      </c>
      <c r="D210" s="25">
        <v>25000.0</v>
      </c>
      <c r="E210" s="24" t="s">
        <v>127</v>
      </c>
      <c r="F210" s="24" t="s">
        <v>52</v>
      </c>
      <c r="G210" s="26">
        <v>45877.536631944444</v>
      </c>
      <c r="H210" s="26">
        <v>46107.31371527778</v>
      </c>
      <c r="I210" s="24" t="s">
        <v>40</v>
      </c>
      <c r="J210" s="24" t="s">
        <v>41</v>
      </c>
      <c r="K210" s="24" t="s">
        <v>42</v>
      </c>
      <c r="L210" s="24" t="s">
        <v>43</v>
      </c>
      <c r="M210" s="24" t="s">
        <v>44</v>
      </c>
      <c r="N210" s="24"/>
      <c r="O210" s="27"/>
      <c r="P210" s="24"/>
      <c r="Q210" s="24" t="s">
        <v>144</v>
      </c>
      <c r="R210" s="23">
        <f>HYPERLINK("https://app.hubspot.com/contacts/8748051/record/0-2/19176719448", 19176719448)</f>
        <v>19176719448</v>
      </c>
      <c r="S210" s="24" t="s">
        <v>831</v>
      </c>
      <c r="T210" s="28" t="s">
        <v>832</v>
      </c>
      <c r="U210" s="24" t="s">
        <v>47</v>
      </c>
      <c r="V210" s="24"/>
      <c r="W210" s="25"/>
      <c r="X210" s="29">
        <v>513.0</v>
      </c>
      <c r="Y210" s="29">
        <v>49.0</v>
      </c>
      <c r="Z210" s="30"/>
      <c r="AA210" s="30"/>
      <c r="AB210" s="30"/>
      <c r="AC210" s="31"/>
      <c r="AD210" s="30"/>
      <c r="AE210" s="31"/>
      <c r="AF210" s="30"/>
      <c r="AG210" s="27" t="str">
        <f t="shared" si="1"/>
        <v>New Logo</v>
      </c>
      <c r="AH210" s="27" t="str">
        <f t="shared" si="5"/>
        <v>Lead</v>
      </c>
      <c r="AI210" s="27" t="str">
        <f t="shared" si="6"/>
        <v>501-1000</v>
      </c>
      <c r="AJ210" s="27" t="str">
        <f t="shared" si="7"/>
        <v>21-50</v>
      </c>
    </row>
    <row r="211" ht="15.75" customHeight="1">
      <c r="A211" s="23">
        <f>HYPERLINK("https://app.hubspot.com/contacts/8748051/record/0-3/41576219434", 41576219434)</f>
        <v>41576219434</v>
      </c>
      <c r="B211" s="24" t="s">
        <v>833</v>
      </c>
      <c r="C211" s="24" t="s">
        <v>38</v>
      </c>
      <c r="D211" s="25">
        <v>41000.0</v>
      </c>
      <c r="E211" s="24" t="s">
        <v>73</v>
      </c>
      <c r="F211" s="24"/>
      <c r="G211" s="26">
        <v>45877.408055555556</v>
      </c>
      <c r="H211" s="26">
        <v>46057.40804398148</v>
      </c>
      <c r="I211" s="24" t="s">
        <v>40</v>
      </c>
      <c r="J211" s="24" t="s">
        <v>41</v>
      </c>
      <c r="K211" s="24" t="s">
        <v>42</v>
      </c>
      <c r="L211" s="24" t="s">
        <v>43</v>
      </c>
      <c r="M211" s="24" t="s">
        <v>102</v>
      </c>
      <c r="N211" s="27"/>
      <c r="O211" s="27"/>
      <c r="P211" s="24" t="s">
        <v>75</v>
      </c>
      <c r="Q211" s="24"/>
      <c r="R211" s="23">
        <f>HYPERLINK("https://app.hubspot.com/contacts/8748051/record/0-2/14810422275", 14810422275)</f>
        <v>14810422275</v>
      </c>
      <c r="S211" s="24" t="s">
        <v>834</v>
      </c>
      <c r="T211" s="28" t="s">
        <v>835</v>
      </c>
      <c r="U211" s="24" t="s">
        <v>47</v>
      </c>
      <c r="V211" s="24"/>
      <c r="W211" s="25"/>
      <c r="X211" s="29">
        <v>2081.0</v>
      </c>
      <c r="Y211" s="29">
        <v>81.0</v>
      </c>
      <c r="Z211" s="30"/>
      <c r="AA211" s="30"/>
      <c r="AB211" s="31"/>
      <c r="AC211" s="31"/>
      <c r="AD211" s="30"/>
      <c r="AE211" s="31"/>
      <c r="AF211" s="30"/>
      <c r="AG211" s="27" t="str">
        <f t="shared" si="1"/>
        <v>New Logo</v>
      </c>
      <c r="AH211" s="27" t="str">
        <f t="shared" si="5"/>
        <v>Lead</v>
      </c>
      <c r="AI211" s="27" t="str">
        <f t="shared" si="6"/>
        <v>1001-5000</v>
      </c>
      <c r="AJ211" s="27" t="str">
        <f t="shared" si="7"/>
        <v>51-100</v>
      </c>
    </row>
    <row r="212" ht="15.75" customHeight="1">
      <c r="A212" s="23">
        <f>HYPERLINK("https://app.hubspot.com/contacts/8748051/record/0-3/41561119299", 41561119299)</f>
        <v>41561119299</v>
      </c>
      <c r="B212" s="24" t="s">
        <v>836</v>
      </c>
      <c r="C212" s="24" t="s">
        <v>38</v>
      </c>
      <c r="D212" s="25">
        <v>35000.0</v>
      </c>
      <c r="E212" s="24" t="s">
        <v>327</v>
      </c>
      <c r="F212" s="24" t="s">
        <v>52</v>
      </c>
      <c r="G212" s="26">
        <v>45876.73148148148</v>
      </c>
      <c r="H212" s="26">
        <v>46142.40966435185</v>
      </c>
      <c r="I212" s="24" t="s">
        <v>40</v>
      </c>
      <c r="J212" s="24" t="s">
        <v>41</v>
      </c>
      <c r="K212" s="24" t="s">
        <v>161</v>
      </c>
      <c r="L212" s="24" t="s">
        <v>162</v>
      </c>
      <c r="M212" s="24" t="s">
        <v>102</v>
      </c>
      <c r="N212" s="24"/>
      <c r="O212" s="24"/>
      <c r="P212" s="24"/>
      <c r="Q212" s="24"/>
      <c r="R212" s="23">
        <f>HYPERLINK("https://app.hubspot.com/contacts/8748051/record/0-2/9727024782", 9727024782)</f>
        <v>9727024782</v>
      </c>
      <c r="S212" s="24" t="s">
        <v>837</v>
      </c>
      <c r="T212" s="28" t="s">
        <v>838</v>
      </c>
      <c r="U212" s="24" t="s">
        <v>47</v>
      </c>
      <c r="V212" s="24"/>
      <c r="W212" s="25"/>
      <c r="X212" s="29">
        <v>896.0</v>
      </c>
      <c r="Y212" s="29">
        <v>91.0</v>
      </c>
      <c r="Z212" s="30" t="s">
        <v>108</v>
      </c>
      <c r="AA212" s="30"/>
      <c r="AB212" s="31"/>
      <c r="AC212" s="31"/>
      <c r="AD212" s="30"/>
      <c r="AE212" s="31"/>
      <c r="AF212" s="30"/>
      <c r="AG212" s="27" t="str">
        <f t="shared" si="1"/>
        <v>New Logo</v>
      </c>
      <c r="AH212" s="27" t="str">
        <f t="shared" si="5"/>
        <v>Lead</v>
      </c>
      <c r="AI212" s="27" t="str">
        <f t="shared" si="6"/>
        <v>501-1000</v>
      </c>
      <c r="AJ212" s="27" t="str">
        <f t="shared" si="7"/>
        <v>51-100</v>
      </c>
    </row>
    <row r="213" ht="15.75" customHeight="1">
      <c r="A213" s="23">
        <f>HYPERLINK("https://app.hubspot.com/contacts/8748051/record/0-3/43990217299", 43990217299)</f>
        <v>43990217299</v>
      </c>
      <c r="B213" s="24" t="s">
        <v>839</v>
      </c>
      <c r="C213" s="24" t="s">
        <v>159</v>
      </c>
      <c r="D213" s="25">
        <v>210.0</v>
      </c>
      <c r="E213" s="24" t="s">
        <v>92</v>
      </c>
      <c r="F213" s="24"/>
      <c r="G213" s="26">
        <v>45875.65988425926</v>
      </c>
      <c r="H213" s="26">
        <v>45875.659895833334</v>
      </c>
      <c r="I213" s="24" t="s">
        <v>40</v>
      </c>
      <c r="J213" s="24" t="s">
        <v>182</v>
      </c>
      <c r="K213" s="24" t="s">
        <v>161</v>
      </c>
      <c r="L213" s="24" t="s">
        <v>162</v>
      </c>
      <c r="M213" s="24" t="s">
        <v>44</v>
      </c>
      <c r="N213" s="24"/>
      <c r="O213" s="24"/>
      <c r="P213" s="24"/>
      <c r="Q213" s="24"/>
      <c r="R213" s="23">
        <f>HYPERLINK("https://app.hubspot.com/contacts/8748051/record/0-2/7737526328", 7737526328)</f>
        <v>7737526328</v>
      </c>
      <c r="S213" s="24" t="s">
        <v>840</v>
      </c>
      <c r="T213" s="28" t="s">
        <v>841</v>
      </c>
      <c r="U213" s="24" t="s">
        <v>96</v>
      </c>
      <c r="V213" s="24"/>
      <c r="W213" s="25">
        <v>3210.0</v>
      </c>
      <c r="X213" s="29">
        <v>294.0</v>
      </c>
      <c r="Y213" s="29">
        <v>46.0</v>
      </c>
      <c r="Z213" s="30"/>
      <c r="AA213" s="30" t="s">
        <v>349</v>
      </c>
      <c r="AB213" s="30"/>
      <c r="AC213" s="31"/>
      <c r="AD213" s="30" t="s">
        <v>842</v>
      </c>
      <c r="AE213" s="30"/>
      <c r="AF213" s="30" t="s">
        <v>764</v>
      </c>
      <c r="AG213" s="27" t="str">
        <f t="shared" si="1"/>
        <v>Upsell</v>
      </c>
      <c r="AH213" s="27" t="str">
        <f t="shared" si="5"/>
        <v>Customer</v>
      </c>
      <c r="AI213" s="27" t="str">
        <f t="shared" si="6"/>
        <v>201-500</v>
      </c>
      <c r="AJ213" s="27" t="str">
        <f t="shared" si="7"/>
        <v>21-50</v>
      </c>
    </row>
    <row r="214" ht="15.75" customHeight="1">
      <c r="A214" s="23">
        <f>HYPERLINK("https://app.hubspot.com/contacts/8748051/record/0-3/41505592465", 41505592465)</f>
        <v>41505592465</v>
      </c>
      <c r="B214" s="24" t="s">
        <v>843</v>
      </c>
      <c r="C214" s="24" t="s">
        <v>50</v>
      </c>
      <c r="D214" s="25">
        <v>15000.0</v>
      </c>
      <c r="E214" s="24" t="s">
        <v>92</v>
      </c>
      <c r="F214" s="24" t="s">
        <v>52</v>
      </c>
      <c r="G214" s="26">
        <v>45875.51153935185</v>
      </c>
      <c r="H214" s="26">
        <v>45891.57971064815</v>
      </c>
      <c r="I214" s="24" t="s">
        <v>40</v>
      </c>
      <c r="J214" s="24" t="s">
        <v>41</v>
      </c>
      <c r="K214" s="24" t="s">
        <v>253</v>
      </c>
      <c r="L214" s="24" t="s">
        <v>155</v>
      </c>
      <c r="M214" s="24" t="s">
        <v>44</v>
      </c>
      <c r="N214" s="24" t="s">
        <v>844</v>
      </c>
      <c r="O214" s="24"/>
      <c r="P214" s="24"/>
      <c r="Q214" s="27"/>
      <c r="R214" s="23">
        <f>HYPERLINK("https://app.hubspot.com/contacts/8748051/record/0-2/37325794153", 37325794153)</f>
        <v>37325794153</v>
      </c>
      <c r="S214" s="24" t="s">
        <v>845</v>
      </c>
      <c r="T214" s="28" t="s">
        <v>846</v>
      </c>
      <c r="U214" s="24" t="s">
        <v>96</v>
      </c>
      <c r="V214" s="24"/>
      <c r="W214" s="25">
        <v>15000.0</v>
      </c>
      <c r="X214" s="29">
        <v>66.0</v>
      </c>
      <c r="Y214" s="29">
        <v>10.0</v>
      </c>
      <c r="Z214" s="30"/>
      <c r="AA214" s="30" t="s">
        <v>349</v>
      </c>
      <c r="AB214" s="31"/>
      <c r="AC214" s="31"/>
      <c r="AD214" s="30" t="s">
        <v>847</v>
      </c>
      <c r="AE214" s="30"/>
      <c r="AF214" s="30" t="s">
        <v>848</v>
      </c>
      <c r="AG214" s="27" t="str">
        <f t="shared" si="1"/>
        <v>New Logo</v>
      </c>
      <c r="AH214" s="27" t="str">
        <f t="shared" si="5"/>
        <v>Customer</v>
      </c>
      <c r="AI214" s="27" t="str">
        <f t="shared" si="6"/>
        <v>0-200</v>
      </c>
      <c r="AJ214" s="27" t="str">
        <f t="shared" si="7"/>
        <v>0-20</v>
      </c>
    </row>
    <row r="215" ht="15.75" customHeight="1">
      <c r="A215" s="23">
        <f>HYPERLINK("https://app.hubspot.com/contacts/8748051/record/0-3/41452513074", 41452513074)</f>
        <v>41452513074</v>
      </c>
      <c r="B215" s="24" t="s">
        <v>849</v>
      </c>
      <c r="C215" s="24" t="s">
        <v>38</v>
      </c>
      <c r="D215" s="25">
        <v>100000.0</v>
      </c>
      <c r="E215" s="24" t="s">
        <v>149</v>
      </c>
      <c r="F215" s="24" t="s">
        <v>52</v>
      </c>
      <c r="G215" s="26">
        <v>45875.41003472222</v>
      </c>
      <c r="H215" s="26">
        <v>45896.43387731481</v>
      </c>
      <c r="I215" s="24" t="s">
        <v>40</v>
      </c>
      <c r="J215" s="24" t="s">
        <v>53</v>
      </c>
      <c r="K215" s="24" t="s">
        <v>42</v>
      </c>
      <c r="L215" s="24" t="s">
        <v>43</v>
      </c>
      <c r="M215" s="24" t="s">
        <v>44</v>
      </c>
      <c r="N215" s="24"/>
      <c r="O215" s="24" t="s">
        <v>850</v>
      </c>
      <c r="P215" s="24"/>
      <c r="Q215" s="24"/>
      <c r="R215" s="23">
        <f>HYPERLINK("https://app.hubspot.com/contacts/8748051/record/0-2/38806934327", 38806934327)</f>
        <v>38806934327</v>
      </c>
      <c r="S215" s="24" t="s">
        <v>851</v>
      </c>
      <c r="T215" s="28" t="s">
        <v>852</v>
      </c>
      <c r="U215" s="24" t="s">
        <v>47</v>
      </c>
      <c r="V215" s="24"/>
      <c r="W215" s="25"/>
      <c r="X215" s="29">
        <v>2520.0</v>
      </c>
      <c r="Y215" s="29">
        <v>227.0</v>
      </c>
      <c r="Z215" s="30" t="s">
        <v>56</v>
      </c>
      <c r="AA215" s="30"/>
      <c r="AB215" s="30"/>
      <c r="AC215" s="31"/>
      <c r="AD215" s="30"/>
      <c r="AE215" s="30"/>
      <c r="AF215" s="30"/>
      <c r="AG215" s="27" t="str">
        <f t="shared" si="1"/>
        <v>New Logo</v>
      </c>
      <c r="AH215" s="27" t="str">
        <f t="shared" si="5"/>
        <v>Lead</v>
      </c>
      <c r="AI215" s="27" t="str">
        <f t="shared" si="6"/>
        <v>1001-5000</v>
      </c>
      <c r="AJ215" s="27" t="str">
        <f t="shared" si="7"/>
        <v>101-500</v>
      </c>
    </row>
    <row r="216" ht="15.75" customHeight="1">
      <c r="A216" s="23">
        <f>HYPERLINK("https://app.hubspot.com/contacts/8748051/record/0-3/41346748037", 41346748037)</f>
        <v>41346748037</v>
      </c>
      <c r="B216" s="24" t="s">
        <v>853</v>
      </c>
      <c r="C216" s="24" t="s">
        <v>148</v>
      </c>
      <c r="D216" s="25">
        <v>0.0</v>
      </c>
      <c r="E216" s="24" t="s">
        <v>73</v>
      </c>
      <c r="F216" s="24"/>
      <c r="G216" s="26">
        <v>45873.834641203706</v>
      </c>
      <c r="H216" s="26">
        <v>46053.83461805555</v>
      </c>
      <c r="I216" s="24" t="s">
        <v>40</v>
      </c>
      <c r="J216" s="24" t="s">
        <v>41</v>
      </c>
      <c r="K216" s="24" t="s">
        <v>594</v>
      </c>
      <c r="L216" s="24" t="s">
        <v>61</v>
      </c>
      <c r="M216" s="24" t="s">
        <v>44</v>
      </c>
      <c r="N216" s="24"/>
      <c r="O216" s="24"/>
      <c r="P216" s="24" t="s">
        <v>234</v>
      </c>
      <c r="Q216" s="24"/>
      <c r="R216" s="23">
        <f>HYPERLINK("https://app.hubspot.com/contacts/8748051/record/0-2/33367405089", 33367405089)</f>
        <v>33367405089</v>
      </c>
      <c r="S216" s="24" t="s">
        <v>854</v>
      </c>
      <c r="T216" s="28" t="s">
        <v>855</v>
      </c>
      <c r="U216" s="24" t="s">
        <v>47</v>
      </c>
      <c r="V216" s="24"/>
      <c r="W216" s="25"/>
      <c r="X216" s="29">
        <v>1.0</v>
      </c>
      <c r="Y216" s="29">
        <v>0.0</v>
      </c>
      <c r="Z216" s="30"/>
      <c r="AA216" s="30"/>
      <c r="AB216" s="30"/>
      <c r="AC216" s="31"/>
      <c r="AD216" s="30"/>
      <c r="AE216" s="31"/>
      <c r="AF216" s="30"/>
      <c r="AG216" s="27" t="str">
        <f t="shared" si="1"/>
        <v>New Logo</v>
      </c>
      <c r="AH216" s="27" t="str">
        <f t="shared" si="5"/>
        <v>Lead</v>
      </c>
      <c r="AI216" s="27" t="str">
        <f t="shared" si="6"/>
        <v>0-200</v>
      </c>
      <c r="AJ216" s="27" t="str">
        <f t="shared" si="7"/>
        <v>0-20</v>
      </c>
    </row>
    <row r="217" ht="15.75" customHeight="1">
      <c r="A217" s="23">
        <f>HYPERLINK("https://app.hubspot.com/contacts/8748051/record/0-3/43998011279", 43998011279)</f>
        <v>43998011279</v>
      </c>
      <c r="B217" s="24" t="s">
        <v>856</v>
      </c>
      <c r="C217" s="24" t="s">
        <v>159</v>
      </c>
      <c r="D217" s="25">
        <v>-17700.0</v>
      </c>
      <c r="E217" s="24" t="s">
        <v>92</v>
      </c>
      <c r="F217" s="24"/>
      <c r="G217" s="26">
        <v>45873.66008101852</v>
      </c>
      <c r="H217" s="26">
        <v>45873.660092592596</v>
      </c>
      <c r="I217" s="24" t="s">
        <v>40</v>
      </c>
      <c r="J217" s="24" t="s">
        <v>160</v>
      </c>
      <c r="K217" s="24" t="s">
        <v>161</v>
      </c>
      <c r="L217" s="24" t="s">
        <v>162</v>
      </c>
      <c r="M217" s="24" t="s">
        <v>102</v>
      </c>
      <c r="N217" s="24"/>
      <c r="O217" s="27"/>
      <c r="P217" s="24"/>
      <c r="Q217" s="24"/>
      <c r="R217" s="23">
        <f>HYPERLINK("https://app.hubspot.com/contacts/8748051/record/0-2/8513131656", 8513131656)</f>
        <v>8513131656</v>
      </c>
      <c r="S217" s="24" t="s">
        <v>857</v>
      </c>
      <c r="T217" s="28" t="s">
        <v>858</v>
      </c>
      <c r="U217" s="24" t="s">
        <v>96</v>
      </c>
      <c r="V217" s="24"/>
      <c r="W217" s="25">
        <v>25500.0</v>
      </c>
      <c r="X217" s="29">
        <v>1321.0</v>
      </c>
      <c r="Y217" s="29">
        <v>159.0</v>
      </c>
      <c r="Z217" s="30"/>
      <c r="AA217" s="30" t="s">
        <v>193</v>
      </c>
      <c r="AB217" s="30" t="s">
        <v>194</v>
      </c>
      <c r="AC217" s="31"/>
      <c r="AD217" s="30" t="s">
        <v>859</v>
      </c>
      <c r="AE217" s="31"/>
      <c r="AF217" s="30" t="s">
        <v>169</v>
      </c>
      <c r="AG217" s="27" t="str">
        <f t="shared" si="1"/>
        <v>Downsell</v>
      </c>
      <c r="AH217" s="27" t="str">
        <f t="shared" si="5"/>
        <v>Customer</v>
      </c>
      <c r="AI217" s="27" t="str">
        <f t="shared" si="6"/>
        <v>1001-5000</v>
      </c>
      <c r="AJ217" s="27" t="str">
        <f t="shared" si="7"/>
        <v>101-500</v>
      </c>
    </row>
    <row r="218" ht="15.75" customHeight="1">
      <c r="A218" s="23">
        <f>HYPERLINK("https://app.hubspot.com/contacts/8748051/record/0-3/41323418478", 41323418478)</f>
        <v>41323418478</v>
      </c>
      <c r="B218" s="24" t="s">
        <v>860</v>
      </c>
      <c r="C218" s="24" t="s">
        <v>50</v>
      </c>
      <c r="D218" s="25">
        <v>2500.0</v>
      </c>
      <c r="E218" s="24" t="s">
        <v>127</v>
      </c>
      <c r="F218" s="24" t="s">
        <v>52</v>
      </c>
      <c r="G218" s="26">
        <v>45873.289293981485</v>
      </c>
      <c r="H218" s="26">
        <v>46053.28928240741</v>
      </c>
      <c r="I218" s="24" t="s">
        <v>40</v>
      </c>
      <c r="J218" s="24" t="s">
        <v>41</v>
      </c>
      <c r="K218" s="24" t="s">
        <v>42</v>
      </c>
      <c r="L218" s="24" t="s">
        <v>43</v>
      </c>
      <c r="M218" s="24" t="s">
        <v>44</v>
      </c>
      <c r="N218" s="27"/>
      <c r="O218" s="24"/>
      <c r="P218" s="24"/>
      <c r="Q218" s="24" t="s">
        <v>238</v>
      </c>
      <c r="R218" s="23">
        <f>HYPERLINK("https://app.hubspot.com/contacts/8748051/record/0-2/37196899503", 37196899503)</f>
        <v>37196899503</v>
      </c>
      <c r="S218" s="24" t="s">
        <v>861</v>
      </c>
      <c r="T218" s="28" t="s">
        <v>862</v>
      </c>
      <c r="U218" s="24"/>
      <c r="V218" s="24"/>
      <c r="W218" s="25"/>
      <c r="X218" s="29">
        <v>41.0</v>
      </c>
      <c r="Y218" s="29">
        <v>5.0</v>
      </c>
      <c r="Z218" s="30"/>
      <c r="AA218" s="30"/>
      <c r="AB218" s="31"/>
      <c r="AC218" s="31"/>
      <c r="AD218" s="30"/>
      <c r="AE218" s="31"/>
      <c r="AF218" s="30"/>
      <c r="AG218" s="27" t="str">
        <f t="shared" si="1"/>
        <v>New Logo</v>
      </c>
      <c r="AH218" s="27" t="str">
        <f t="shared" si="5"/>
        <v>Lead</v>
      </c>
      <c r="AI218" s="27" t="str">
        <f t="shared" si="6"/>
        <v>0-200</v>
      </c>
      <c r="AJ218" s="27" t="str">
        <f t="shared" si="7"/>
        <v>0-20</v>
      </c>
    </row>
    <row r="219" ht="15.75" customHeight="1">
      <c r="A219" s="23">
        <f>HYPERLINK("https://app.hubspot.com/contacts/8748051/record/0-3/43992540042", 43992540042)</f>
        <v>43992540042</v>
      </c>
      <c r="B219" s="24" t="s">
        <v>863</v>
      </c>
      <c r="C219" s="24" t="s">
        <v>159</v>
      </c>
      <c r="D219" s="25">
        <v>4590.0</v>
      </c>
      <c r="E219" s="24" t="s">
        <v>92</v>
      </c>
      <c r="F219" s="24"/>
      <c r="G219" s="26">
        <v>45869.66018518519</v>
      </c>
      <c r="H219" s="26">
        <v>45869.66019675926</v>
      </c>
      <c r="I219" s="24" t="s">
        <v>40</v>
      </c>
      <c r="J219" s="24" t="s">
        <v>182</v>
      </c>
      <c r="K219" s="24" t="s">
        <v>161</v>
      </c>
      <c r="L219" s="24" t="s">
        <v>162</v>
      </c>
      <c r="M219" s="24" t="s">
        <v>102</v>
      </c>
      <c r="N219" s="24"/>
      <c r="O219" s="27"/>
      <c r="P219" s="24"/>
      <c r="Q219" s="24"/>
      <c r="R219" s="23">
        <f>HYPERLINK("https://app.hubspot.com/contacts/8748051/record/0-2/9781558177", 9781558177)</f>
        <v>9781558177</v>
      </c>
      <c r="S219" s="24" t="s">
        <v>864</v>
      </c>
      <c r="T219" s="28" t="s">
        <v>865</v>
      </c>
      <c r="U219" s="24" t="s">
        <v>96</v>
      </c>
      <c r="V219" s="24"/>
      <c r="W219" s="25">
        <v>21840.0</v>
      </c>
      <c r="X219" s="29">
        <v>221.0</v>
      </c>
      <c r="Y219" s="29">
        <v>17.0</v>
      </c>
      <c r="Z219" s="31"/>
      <c r="AA219" s="30" t="s">
        <v>220</v>
      </c>
      <c r="AB219" s="31"/>
      <c r="AC219" s="30"/>
      <c r="AD219" s="30" t="s">
        <v>866</v>
      </c>
      <c r="AE219" s="30"/>
      <c r="AF219" s="30" t="s">
        <v>169</v>
      </c>
      <c r="AG219" s="27" t="str">
        <f t="shared" si="1"/>
        <v>Upsell</v>
      </c>
      <c r="AH219" s="27" t="str">
        <f t="shared" si="5"/>
        <v>Customer</v>
      </c>
      <c r="AI219" s="27" t="str">
        <f t="shared" si="6"/>
        <v>201-500</v>
      </c>
      <c r="AJ219" s="27" t="str">
        <f t="shared" si="7"/>
        <v>0-20</v>
      </c>
    </row>
    <row r="220" ht="15.75" customHeight="1">
      <c r="A220" s="23">
        <f>HYPERLINK("https://app.hubspot.com/contacts/8748051/record/0-3/41120785998", 41120785998)</f>
        <v>41120785998</v>
      </c>
      <c r="B220" s="24" t="s">
        <v>867</v>
      </c>
      <c r="C220" s="24" t="s">
        <v>148</v>
      </c>
      <c r="D220" s="25">
        <v>10000.0</v>
      </c>
      <c r="E220" s="24" t="s">
        <v>73</v>
      </c>
      <c r="F220" s="24"/>
      <c r="G220" s="26">
        <v>45869.30615740741</v>
      </c>
      <c r="H220" s="26">
        <v>46049.30614583333</v>
      </c>
      <c r="I220" s="24" t="s">
        <v>40</v>
      </c>
      <c r="J220" s="24" t="s">
        <v>41</v>
      </c>
      <c r="K220" s="24" t="s">
        <v>42</v>
      </c>
      <c r="L220" s="24" t="s">
        <v>43</v>
      </c>
      <c r="M220" s="24" t="s">
        <v>44</v>
      </c>
      <c r="N220" s="24"/>
      <c r="O220" s="27"/>
      <c r="P220" s="24" t="s">
        <v>122</v>
      </c>
      <c r="Q220" s="24"/>
      <c r="R220" s="23">
        <f>HYPERLINK("https://app.hubspot.com/contacts/8748051/record/0-2/19176224894", 19176224894)</f>
        <v>19176224894</v>
      </c>
      <c r="S220" s="24" t="s">
        <v>868</v>
      </c>
      <c r="T220" s="28" t="s">
        <v>869</v>
      </c>
      <c r="U220" s="24" t="s">
        <v>47</v>
      </c>
      <c r="V220" s="24"/>
      <c r="W220" s="25"/>
      <c r="X220" s="29">
        <v>472.0</v>
      </c>
      <c r="Y220" s="29">
        <v>20.0</v>
      </c>
      <c r="Z220" s="30"/>
      <c r="AA220" s="30"/>
      <c r="AB220" s="30"/>
      <c r="AC220" s="31"/>
      <c r="AD220" s="30"/>
      <c r="AE220" s="30"/>
      <c r="AF220" s="30"/>
      <c r="AG220" s="27" t="str">
        <f t="shared" si="1"/>
        <v>New Logo</v>
      </c>
      <c r="AH220" s="27" t="str">
        <f t="shared" si="5"/>
        <v>Lead</v>
      </c>
      <c r="AI220" s="27" t="str">
        <f t="shared" si="6"/>
        <v>201-500</v>
      </c>
      <c r="AJ220" s="27" t="str">
        <f t="shared" si="7"/>
        <v>0-20</v>
      </c>
    </row>
    <row r="221" ht="15.75" customHeight="1">
      <c r="A221" s="23">
        <f>HYPERLINK("https://app.hubspot.com/contacts/8748051/record/0-3/41092589369", 41092589369)</f>
        <v>41092589369</v>
      </c>
      <c r="B221" s="24" t="s">
        <v>870</v>
      </c>
      <c r="C221" s="24" t="s">
        <v>50</v>
      </c>
      <c r="D221" s="25">
        <v>2000.0</v>
      </c>
      <c r="E221" s="24" t="s">
        <v>73</v>
      </c>
      <c r="F221" s="24"/>
      <c r="G221" s="26">
        <v>45868.545115740744</v>
      </c>
      <c r="H221" s="26">
        <v>46048.54509259259</v>
      </c>
      <c r="I221" s="24" t="s">
        <v>40</v>
      </c>
      <c r="J221" s="24" t="s">
        <v>41</v>
      </c>
      <c r="K221" s="24" t="s">
        <v>42</v>
      </c>
      <c r="L221" s="24" t="s">
        <v>43</v>
      </c>
      <c r="M221" s="24" t="s">
        <v>74</v>
      </c>
      <c r="N221" s="24"/>
      <c r="O221" s="24"/>
      <c r="P221" s="24" t="s">
        <v>75</v>
      </c>
      <c r="Q221" s="24"/>
      <c r="R221" s="23">
        <f>HYPERLINK("https://app.hubspot.com/contacts/8748051/record/0-2/36686914690", 36686914690)</f>
        <v>36686914690</v>
      </c>
      <c r="S221" s="24" t="s">
        <v>871</v>
      </c>
      <c r="T221" s="28" t="s">
        <v>872</v>
      </c>
      <c r="U221" s="24" t="s">
        <v>47</v>
      </c>
      <c r="V221" s="24"/>
      <c r="W221" s="25"/>
      <c r="X221" s="29">
        <v>77.0</v>
      </c>
      <c r="Y221" s="29">
        <v>4.0</v>
      </c>
      <c r="Z221" s="30"/>
      <c r="AA221" s="30"/>
      <c r="AB221" s="30"/>
      <c r="AC221" s="30"/>
      <c r="AD221" s="30"/>
      <c r="AE221" s="30"/>
      <c r="AF221" s="30"/>
      <c r="AG221" s="27" t="str">
        <f t="shared" si="1"/>
        <v>New Logo</v>
      </c>
      <c r="AH221" s="27" t="str">
        <f t="shared" si="5"/>
        <v>Lead</v>
      </c>
      <c r="AI221" s="27" t="str">
        <f t="shared" si="6"/>
        <v>0-200</v>
      </c>
      <c r="AJ221" s="27" t="str">
        <f t="shared" si="7"/>
        <v>0-20</v>
      </c>
    </row>
    <row r="222" ht="15.75" customHeight="1">
      <c r="A222" s="23">
        <f>HYPERLINK("https://app.hubspot.com/contacts/8748051/record/0-3/41078746887", 41078746887)</f>
        <v>41078746887</v>
      </c>
      <c r="B222" s="24" t="s">
        <v>873</v>
      </c>
      <c r="C222" s="24" t="s">
        <v>50</v>
      </c>
      <c r="D222" s="25">
        <v>18000.0</v>
      </c>
      <c r="E222" s="24" t="s">
        <v>92</v>
      </c>
      <c r="F222" s="24" t="s">
        <v>52</v>
      </c>
      <c r="G222" s="26">
        <v>45868.531168981484</v>
      </c>
      <c r="H222" s="26">
        <v>45989.90195601852</v>
      </c>
      <c r="I222" s="24" t="s">
        <v>40</v>
      </c>
      <c r="J222" s="24" t="s">
        <v>182</v>
      </c>
      <c r="K222" s="24" t="s">
        <v>42</v>
      </c>
      <c r="L222" s="24" t="s">
        <v>183</v>
      </c>
      <c r="M222" s="24" t="s">
        <v>44</v>
      </c>
      <c r="N222" s="24" t="s">
        <v>874</v>
      </c>
      <c r="O222" s="24"/>
      <c r="P222" s="24"/>
      <c r="Q222" s="24"/>
      <c r="R222" s="23">
        <f>HYPERLINK("https://app.hubspot.com/contacts/8748051/record/0-2/7863723650", 7863723650)</f>
        <v>7863723650</v>
      </c>
      <c r="S222" s="24" t="s">
        <v>875</v>
      </c>
      <c r="T222" s="28" t="s">
        <v>876</v>
      </c>
      <c r="U222" s="24" t="s">
        <v>96</v>
      </c>
      <c r="V222" s="24"/>
      <c r="W222" s="25">
        <v>65400.0</v>
      </c>
      <c r="X222" s="29">
        <v>650.0</v>
      </c>
      <c r="Y222" s="29">
        <v>135.0</v>
      </c>
      <c r="Z222" s="30"/>
      <c r="AA222" s="30" t="s">
        <v>97</v>
      </c>
      <c r="AB222" s="30" t="s">
        <v>207</v>
      </c>
      <c r="AC222" s="31"/>
      <c r="AD222" s="30" t="s">
        <v>877</v>
      </c>
      <c r="AE222" s="30" t="s">
        <v>878</v>
      </c>
      <c r="AF222" s="30" t="s">
        <v>169</v>
      </c>
      <c r="AG222" s="27" t="str">
        <f t="shared" si="1"/>
        <v>Upsell</v>
      </c>
      <c r="AH222" s="27" t="str">
        <f t="shared" si="5"/>
        <v>Customer</v>
      </c>
      <c r="AI222" s="27" t="str">
        <f t="shared" si="6"/>
        <v>501-1000</v>
      </c>
      <c r="AJ222" s="27" t="str">
        <f t="shared" si="7"/>
        <v>101-500</v>
      </c>
    </row>
    <row r="223" ht="15.75" customHeight="1">
      <c r="A223" s="23">
        <f>HYPERLINK("https://app.hubspot.com/contacts/8748051/record/0-3/41068201060", 41068201060)</f>
        <v>41068201060</v>
      </c>
      <c r="B223" s="24" t="s">
        <v>879</v>
      </c>
      <c r="C223" s="24" t="s">
        <v>148</v>
      </c>
      <c r="D223" s="25">
        <v>30500.0</v>
      </c>
      <c r="E223" s="24" t="s">
        <v>149</v>
      </c>
      <c r="F223" s="24" t="s">
        <v>52</v>
      </c>
      <c r="G223" s="26">
        <v>45868.41336805555</v>
      </c>
      <c r="H223" s="26">
        <v>45980.38789351852</v>
      </c>
      <c r="I223" s="24" t="s">
        <v>40</v>
      </c>
      <c r="J223" s="24" t="s">
        <v>41</v>
      </c>
      <c r="K223" s="24" t="s">
        <v>42</v>
      </c>
      <c r="L223" s="24" t="s">
        <v>43</v>
      </c>
      <c r="M223" s="24" t="s">
        <v>44</v>
      </c>
      <c r="N223" s="24"/>
      <c r="O223" s="24" t="s">
        <v>880</v>
      </c>
      <c r="P223" s="24"/>
      <c r="Q223" s="24"/>
      <c r="R223" s="23">
        <f>HYPERLINK("https://app.hubspot.com/contacts/8748051/record/0-2/18382767734", 18382767734)</f>
        <v>18382767734</v>
      </c>
      <c r="S223" s="24" t="s">
        <v>881</v>
      </c>
      <c r="T223" s="28" t="s">
        <v>882</v>
      </c>
      <c r="U223" s="24" t="s">
        <v>47</v>
      </c>
      <c r="V223" s="24"/>
      <c r="W223" s="25"/>
      <c r="X223" s="29">
        <v>2212.0</v>
      </c>
      <c r="Y223" s="29">
        <v>71.0</v>
      </c>
      <c r="Z223" s="30" t="s">
        <v>108</v>
      </c>
      <c r="AA223" s="30"/>
      <c r="AB223" s="31"/>
      <c r="AC223" s="31"/>
      <c r="AD223" s="30"/>
      <c r="AE223" s="30"/>
      <c r="AF223" s="30"/>
      <c r="AG223" s="27" t="str">
        <f t="shared" si="1"/>
        <v>New Logo</v>
      </c>
      <c r="AH223" s="27" t="str">
        <f t="shared" si="5"/>
        <v>Lead</v>
      </c>
      <c r="AI223" s="27" t="str">
        <f t="shared" si="6"/>
        <v>1001-5000</v>
      </c>
      <c r="AJ223" s="27" t="str">
        <f t="shared" si="7"/>
        <v>51-100</v>
      </c>
    </row>
    <row r="224" ht="15.75" customHeight="1">
      <c r="A224" s="23">
        <f>HYPERLINK("https://app.hubspot.com/contacts/8748051/record/0-3/41066731397", 41066731397)</f>
        <v>41066731397</v>
      </c>
      <c r="B224" s="24" t="s">
        <v>883</v>
      </c>
      <c r="C224" s="24" t="s">
        <v>38</v>
      </c>
      <c r="D224" s="25">
        <v>20000.0</v>
      </c>
      <c r="E224" s="24" t="s">
        <v>92</v>
      </c>
      <c r="F224" s="24" t="s">
        <v>52</v>
      </c>
      <c r="G224" s="26">
        <v>45868.40723379629</v>
      </c>
      <c r="H224" s="26">
        <v>46021.52452546296</v>
      </c>
      <c r="I224" s="24" t="s">
        <v>40</v>
      </c>
      <c r="J224" s="24" t="s">
        <v>41</v>
      </c>
      <c r="K224" s="24" t="s">
        <v>42</v>
      </c>
      <c r="L224" s="24" t="s">
        <v>43</v>
      </c>
      <c r="M224" s="24" t="s">
        <v>44</v>
      </c>
      <c r="N224" s="24" t="s">
        <v>884</v>
      </c>
      <c r="O224" s="27"/>
      <c r="P224" s="24"/>
      <c r="Q224" s="24"/>
      <c r="R224" s="23">
        <f>HYPERLINK("https://app.hubspot.com/contacts/8748051/record/0-2/36960772898", 36960772898)</f>
        <v>36960772898</v>
      </c>
      <c r="S224" s="24" t="s">
        <v>885</v>
      </c>
      <c r="T224" s="28" t="s">
        <v>886</v>
      </c>
      <c r="U224" s="24" t="s">
        <v>96</v>
      </c>
      <c r="V224" s="24"/>
      <c r="W224" s="25">
        <v>20000.0</v>
      </c>
      <c r="X224" s="29">
        <v>66.0</v>
      </c>
      <c r="Y224" s="29">
        <v>15.0</v>
      </c>
      <c r="Z224" s="30"/>
      <c r="AA224" s="30" t="s">
        <v>220</v>
      </c>
      <c r="AB224" s="31"/>
      <c r="AC224" s="31"/>
      <c r="AD224" s="30" t="s">
        <v>462</v>
      </c>
      <c r="AE224" s="30"/>
      <c r="AF224" s="30"/>
      <c r="AG224" s="27" t="str">
        <f t="shared" si="1"/>
        <v>New Logo</v>
      </c>
      <c r="AH224" s="27" t="str">
        <f t="shared" si="5"/>
        <v>Customer</v>
      </c>
      <c r="AI224" s="27" t="str">
        <f t="shared" si="6"/>
        <v>0-200</v>
      </c>
      <c r="AJ224" s="27" t="str">
        <f t="shared" si="7"/>
        <v>0-20</v>
      </c>
    </row>
    <row r="225" ht="15.75" customHeight="1">
      <c r="A225" s="23">
        <f>HYPERLINK("https://app.hubspot.com/contacts/8748051/record/0-3/40845538053", 40845538053)</f>
        <v>40845538053</v>
      </c>
      <c r="B225" s="24" t="s">
        <v>887</v>
      </c>
      <c r="C225" s="24" t="s">
        <v>38</v>
      </c>
      <c r="D225" s="25">
        <v>100000.0</v>
      </c>
      <c r="E225" s="24" t="s">
        <v>127</v>
      </c>
      <c r="F225" s="24" t="s">
        <v>52</v>
      </c>
      <c r="G225" s="26">
        <v>45863.58931712963</v>
      </c>
      <c r="H225" s="26">
        <v>46009.367268518516</v>
      </c>
      <c r="I225" s="24" t="s">
        <v>40</v>
      </c>
      <c r="J225" s="24" t="s">
        <v>53</v>
      </c>
      <c r="K225" s="24" t="s">
        <v>60</v>
      </c>
      <c r="L225" s="24" t="s">
        <v>61</v>
      </c>
      <c r="M225" s="24" t="s">
        <v>44</v>
      </c>
      <c r="N225" s="24"/>
      <c r="O225" s="27"/>
      <c r="P225" s="24"/>
      <c r="Q225" s="24" t="s">
        <v>144</v>
      </c>
      <c r="R225" s="23">
        <f>HYPERLINK("https://app.hubspot.com/contacts/8748051/record/0-2/15148229505", 15148229505)</f>
        <v>15148229505</v>
      </c>
      <c r="S225" s="24" t="s">
        <v>888</v>
      </c>
      <c r="T225" s="28" t="s">
        <v>889</v>
      </c>
      <c r="U225" s="24" t="s">
        <v>47</v>
      </c>
      <c r="V225" s="24"/>
      <c r="W225" s="25"/>
      <c r="X225" s="29">
        <v>1405.0</v>
      </c>
      <c r="Y225" s="29">
        <v>9.0</v>
      </c>
      <c r="Z225" s="30" t="s">
        <v>108</v>
      </c>
      <c r="AA225" s="30"/>
      <c r="AB225" s="31"/>
      <c r="AC225" s="31"/>
      <c r="AD225" s="30"/>
      <c r="AE225" s="31"/>
      <c r="AF225" s="30"/>
      <c r="AG225" s="27" t="str">
        <f t="shared" si="1"/>
        <v>New Logo</v>
      </c>
      <c r="AH225" s="27" t="str">
        <f t="shared" si="5"/>
        <v>Lead</v>
      </c>
      <c r="AI225" s="27" t="str">
        <f t="shared" si="6"/>
        <v>1001-5000</v>
      </c>
      <c r="AJ225" s="27" t="str">
        <f t="shared" si="7"/>
        <v>0-20</v>
      </c>
    </row>
    <row r="226" ht="15.75" customHeight="1">
      <c r="A226" s="23">
        <f>HYPERLINK("https://app.hubspot.com/contacts/8748051/record/0-3/40754286148", 40754286148)</f>
        <v>40754286148</v>
      </c>
      <c r="B226" s="24" t="s">
        <v>890</v>
      </c>
      <c r="C226" s="24" t="s">
        <v>148</v>
      </c>
      <c r="D226" s="25">
        <v>0.0</v>
      </c>
      <c r="E226" s="24" t="s">
        <v>73</v>
      </c>
      <c r="F226" s="24"/>
      <c r="G226" s="26">
        <v>45862.466678240744</v>
      </c>
      <c r="H226" s="26">
        <v>46042.46664351852</v>
      </c>
      <c r="I226" s="24" t="s">
        <v>40</v>
      </c>
      <c r="J226" s="24" t="s">
        <v>41</v>
      </c>
      <c r="K226" s="24" t="s">
        <v>42</v>
      </c>
      <c r="L226" s="24" t="s">
        <v>43</v>
      </c>
      <c r="M226" s="24" t="s">
        <v>44</v>
      </c>
      <c r="N226" s="24"/>
      <c r="O226" s="27"/>
      <c r="P226" s="24" t="s">
        <v>75</v>
      </c>
      <c r="Q226" s="24"/>
      <c r="R226" s="23">
        <f>HYPERLINK("https://app.hubspot.com/contacts/8748051/record/0-2/36689275544", 36689275544)</f>
        <v>36689275544</v>
      </c>
      <c r="S226" s="24" t="s">
        <v>891</v>
      </c>
      <c r="T226" s="28" t="s">
        <v>892</v>
      </c>
      <c r="U226" s="24" t="s">
        <v>47</v>
      </c>
      <c r="V226" s="24"/>
      <c r="W226" s="25"/>
      <c r="X226" s="29">
        <v>0.0</v>
      </c>
      <c r="Y226" s="29">
        <v>0.0</v>
      </c>
      <c r="Z226" s="30"/>
      <c r="AA226" s="30"/>
      <c r="AB226" s="31"/>
      <c r="AC226" s="30"/>
      <c r="AD226" s="30"/>
      <c r="AE226" s="31"/>
      <c r="AF226" s="30"/>
      <c r="AG226" s="27" t="str">
        <f t="shared" si="1"/>
        <v>New Logo</v>
      </c>
      <c r="AH226" s="27" t="str">
        <f t="shared" si="5"/>
        <v>Lead</v>
      </c>
      <c r="AI226" s="27" t="str">
        <f t="shared" si="6"/>
        <v>0-200</v>
      </c>
      <c r="AJ226" s="27" t="str">
        <f t="shared" si="7"/>
        <v>0-20</v>
      </c>
    </row>
    <row r="227" ht="15.75" customHeight="1">
      <c r="A227" s="23">
        <f>HYPERLINK("https://app.hubspot.com/contacts/8748051/record/0-3/40673451836", 40673451836)</f>
        <v>40673451836</v>
      </c>
      <c r="B227" s="24" t="s">
        <v>893</v>
      </c>
      <c r="C227" s="24" t="s">
        <v>38</v>
      </c>
      <c r="D227" s="25">
        <v>8500.0</v>
      </c>
      <c r="E227" s="24" t="s">
        <v>127</v>
      </c>
      <c r="F227" s="24" t="s">
        <v>52</v>
      </c>
      <c r="G227" s="26">
        <v>45860.888287037036</v>
      </c>
      <c r="H227" s="26">
        <v>46122.32958333333</v>
      </c>
      <c r="I227" s="24" t="s">
        <v>40</v>
      </c>
      <c r="J227" s="24" t="s">
        <v>41</v>
      </c>
      <c r="K227" s="24" t="s">
        <v>42</v>
      </c>
      <c r="L227" s="24" t="s">
        <v>43</v>
      </c>
      <c r="M227" s="24" t="s">
        <v>44</v>
      </c>
      <c r="N227" s="24"/>
      <c r="O227" s="27"/>
      <c r="P227" s="24"/>
      <c r="Q227" s="24" t="s">
        <v>144</v>
      </c>
      <c r="R227" s="23">
        <f>HYPERLINK("https://app.hubspot.com/contacts/8748051/record/0-2/36401575587", 36401575587)</f>
        <v>36401575587</v>
      </c>
      <c r="S227" s="24" t="s">
        <v>894</v>
      </c>
      <c r="T227" s="28" t="s">
        <v>895</v>
      </c>
      <c r="U227" s="24" t="s">
        <v>47</v>
      </c>
      <c r="V227" s="24"/>
      <c r="W227" s="25"/>
      <c r="X227" s="29">
        <v>1387.0</v>
      </c>
      <c r="Y227" s="29">
        <v>32.0</v>
      </c>
      <c r="Z227" s="30"/>
      <c r="AA227" s="30"/>
      <c r="AB227" s="31"/>
      <c r="AC227" s="30"/>
      <c r="AD227" s="30"/>
      <c r="AE227" s="31"/>
      <c r="AF227" s="30"/>
      <c r="AG227" s="27" t="str">
        <f t="shared" si="1"/>
        <v>New Logo</v>
      </c>
      <c r="AH227" s="27" t="str">
        <f t="shared" si="5"/>
        <v>Lead</v>
      </c>
      <c r="AI227" s="27" t="str">
        <f t="shared" si="6"/>
        <v>1001-5000</v>
      </c>
      <c r="AJ227" s="27" t="str">
        <f t="shared" si="7"/>
        <v>21-50</v>
      </c>
    </row>
    <row r="228" ht="15.75" customHeight="1">
      <c r="A228" s="23">
        <f>HYPERLINK("https://app.hubspot.com/contacts/8748051/record/0-3/40637983819", 40637983819)</f>
        <v>40637983819</v>
      </c>
      <c r="B228" s="24" t="s">
        <v>896</v>
      </c>
      <c r="C228" s="24" t="s">
        <v>50</v>
      </c>
      <c r="D228" s="25">
        <v>15000.0</v>
      </c>
      <c r="E228" s="24" t="s">
        <v>92</v>
      </c>
      <c r="F228" s="24" t="s">
        <v>52</v>
      </c>
      <c r="G228" s="26">
        <v>45859.91868055556</v>
      </c>
      <c r="H228" s="26">
        <v>45944.55898148148</v>
      </c>
      <c r="I228" s="24" t="s">
        <v>40</v>
      </c>
      <c r="J228" s="24" t="s">
        <v>41</v>
      </c>
      <c r="K228" s="24" t="s">
        <v>42</v>
      </c>
      <c r="L228" s="24" t="s">
        <v>43</v>
      </c>
      <c r="M228" s="24" t="s">
        <v>44</v>
      </c>
      <c r="N228" s="24" t="s">
        <v>897</v>
      </c>
      <c r="O228" s="27"/>
      <c r="P228" s="24"/>
      <c r="Q228" s="24"/>
      <c r="R228" s="23">
        <f>HYPERLINK("https://app.hubspot.com/contacts/8748051/record/0-2/36581207151", 36581207151)</f>
        <v>36581207151</v>
      </c>
      <c r="S228" s="24" t="s">
        <v>898</v>
      </c>
      <c r="T228" s="28" t="s">
        <v>899</v>
      </c>
      <c r="U228" s="24" t="s">
        <v>96</v>
      </c>
      <c r="V228" s="24"/>
      <c r="W228" s="25">
        <v>15000.0</v>
      </c>
      <c r="X228" s="29">
        <v>63.0</v>
      </c>
      <c r="Y228" s="29">
        <v>35.0</v>
      </c>
      <c r="Z228" s="30"/>
      <c r="AA228" s="30" t="s">
        <v>349</v>
      </c>
      <c r="AB228" s="31"/>
      <c r="AC228" s="30" t="s">
        <v>268</v>
      </c>
      <c r="AD228" s="30" t="s">
        <v>900</v>
      </c>
      <c r="AE228" s="31"/>
      <c r="AF228" s="30" t="s">
        <v>554</v>
      </c>
      <c r="AG228" s="27" t="str">
        <f t="shared" si="1"/>
        <v>New Logo</v>
      </c>
      <c r="AH228" s="27" t="str">
        <f t="shared" si="5"/>
        <v>Customer</v>
      </c>
      <c r="AI228" s="27" t="str">
        <f t="shared" si="6"/>
        <v>0-200</v>
      </c>
      <c r="AJ228" s="27" t="str">
        <f t="shared" si="7"/>
        <v>21-50</v>
      </c>
    </row>
    <row r="229" ht="15.75" customHeight="1">
      <c r="A229" s="23">
        <f>HYPERLINK("https://app.hubspot.com/contacts/8748051/record/0-3/40594900741", 40594900741)</f>
        <v>40594900741</v>
      </c>
      <c r="B229" s="24" t="s">
        <v>901</v>
      </c>
      <c r="C229" s="24" t="s">
        <v>38</v>
      </c>
      <c r="D229" s="25">
        <v>89000.0</v>
      </c>
      <c r="E229" s="24" t="s">
        <v>127</v>
      </c>
      <c r="F229" s="24" t="s">
        <v>52</v>
      </c>
      <c r="G229" s="26">
        <v>45859.671898148146</v>
      </c>
      <c r="H229" s="26">
        <v>46101.578518518516</v>
      </c>
      <c r="I229" s="24" t="s">
        <v>40</v>
      </c>
      <c r="J229" s="24" t="s">
        <v>53</v>
      </c>
      <c r="K229" s="24" t="s">
        <v>42</v>
      </c>
      <c r="L229" s="24" t="s">
        <v>43</v>
      </c>
      <c r="M229" s="24" t="s">
        <v>44</v>
      </c>
      <c r="N229" s="24"/>
      <c r="O229" s="24"/>
      <c r="P229" s="24"/>
      <c r="Q229" s="24" t="s">
        <v>128</v>
      </c>
      <c r="R229" s="23">
        <f>HYPERLINK("https://app.hubspot.com/contacts/8748051/record/0-2/15869853957", 15869853957)</f>
        <v>15869853957</v>
      </c>
      <c r="S229" s="24" t="s">
        <v>902</v>
      </c>
      <c r="T229" s="28" t="s">
        <v>903</v>
      </c>
      <c r="U229" s="24" t="s">
        <v>47</v>
      </c>
      <c r="V229" s="24"/>
      <c r="W229" s="25"/>
      <c r="X229" s="29">
        <v>444.0</v>
      </c>
      <c r="Y229" s="29">
        <v>196.0</v>
      </c>
      <c r="Z229" s="30" t="s">
        <v>56</v>
      </c>
      <c r="AA229" s="30"/>
      <c r="AB229" s="31"/>
      <c r="AC229" s="31"/>
      <c r="AD229" s="30"/>
      <c r="AE229" s="30"/>
      <c r="AF229" s="30"/>
      <c r="AG229" s="27" t="str">
        <f t="shared" si="1"/>
        <v>New Logo</v>
      </c>
      <c r="AH229" s="27" t="str">
        <f t="shared" si="5"/>
        <v>Lead</v>
      </c>
      <c r="AI229" s="27" t="str">
        <f t="shared" si="6"/>
        <v>201-500</v>
      </c>
      <c r="AJ229" s="27" t="str">
        <f t="shared" si="7"/>
        <v>101-500</v>
      </c>
    </row>
    <row r="230" ht="15.75" customHeight="1">
      <c r="A230" s="23">
        <f>HYPERLINK("https://app.hubspot.com/contacts/8748051/record/0-3/40561459858", 40561459858)</f>
        <v>40561459858</v>
      </c>
      <c r="B230" s="24" t="s">
        <v>904</v>
      </c>
      <c r="C230" s="24" t="s">
        <v>38</v>
      </c>
      <c r="D230" s="25">
        <v>25000.0</v>
      </c>
      <c r="E230" s="24" t="s">
        <v>127</v>
      </c>
      <c r="F230" s="24" t="s">
        <v>52</v>
      </c>
      <c r="G230" s="26">
        <v>45859.46778935185</v>
      </c>
      <c r="H230" s="26">
        <v>45989.46431712963</v>
      </c>
      <c r="I230" s="24" t="s">
        <v>40</v>
      </c>
      <c r="J230" s="24" t="s">
        <v>41</v>
      </c>
      <c r="K230" s="24" t="s">
        <v>42</v>
      </c>
      <c r="L230" s="24" t="s">
        <v>43</v>
      </c>
      <c r="M230" s="24" t="s">
        <v>102</v>
      </c>
      <c r="N230" s="27"/>
      <c r="O230" s="24"/>
      <c r="P230" s="24"/>
      <c r="Q230" s="24" t="s">
        <v>197</v>
      </c>
      <c r="R230" s="23">
        <f>HYPERLINK("https://app.hubspot.com/contacts/8748051/record/0-2/19176582916", 19176582916)</f>
        <v>19176582916</v>
      </c>
      <c r="S230" s="24" t="s">
        <v>905</v>
      </c>
      <c r="T230" s="28" t="s">
        <v>906</v>
      </c>
      <c r="U230" s="24" t="s">
        <v>47</v>
      </c>
      <c r="V230" s="24"/>
      <c r="W230" s="25"/>
      <c r="X230" s="29">
        <v>3250.0</v>
      </c>
      <c r="Y230" s="29">
        <v>121.0</v>
      </c>
      <c r="Z230" s="30"/>
      <c r="AA230" s="30"/>
      <c r="AB230" s="31"/>
      <c r="AC230" s="31"/>
      <c r="AD230" s="30"/>
      <c r="AE230" s="31"/>
      <c r="AF230" s="30"/>
      <c r="AG230" s="27" t="str">
        <f t="shared" si="1"/>
        <v>New Logo</v>
      </c>
      <c r="AH230" s="27" t="str">
        <f t="shared" si="5"/>
        <v>Lead</v>
      </c>
      <c r="AI230" s="27" t="str">
        <f t="shared" si="6"/>
        <v>1001-5000</v>
      </c>
      <c r="AJ230" s="27" t="str">
        <f t="shared" si="7"/>
        <v>101-500</v>
      </c>
    </row>
    <row r="231" ht="15.75" customHeight="1">
      <c r="A231" s="23">
        <f>HYPERLINK("https://app.hubspot.com/contacts/8748051/record/0-3/44000848767", 44000848767)</f>
        <v>44000848767</v>
      </c>
      <c r="B231" s="24" t="s">
        <v>907</v>
      </c>
      <c r="C231" s="24" t="s">
        <v>159</v>
      </c>
      <c r="D231" s="25">
        <v>1865.0</v>
      </c>
      <c r="E231" s="24" t="s">
        <v>92</v>
      </c>
      <c r="F231" s="24"/>
      <c r="G231" s="26">
        <v>45853.65965277778</v>
      </c>
      <c r="H231" s="26">
        <v>45853.65966435185</v>
      </c>
      <c r="I231" s="24" t="s">
        <v>40</v>
      </c>
      <c r="J231" s="24" t="s">
        <v>182</v>
      </c>
      <c r="K231" s="24" t="s">
        <v>161</v>
      </c>
      <c r="L231" s="24" t="s">
        <v>162</v>
      </c>
      <c r="M231" s="24" t="s">
        <v>44</v>
      </c>
      <c r="N231" s="27"/>
      <c r="O231" s="27"/>
      <c r="P231" s="24"/>
      <c r="Q231" s="24"/>
      <c r="R231" s="23">
        <f>HYPERLINK("https://app.hubspot.com/contacts/8748051/record/0-2/7686762401", 7686762401)</f>
        <v>7686762401</v>
      </c>
      <c r="S231" s="24" t="s">
        <v>908</v>
      </c>
      <c r="T231" s="28" t="s">
        <v>909</v>
      </c>
      <c r="U231" s="24" t="s">
        <v>96</v>
      </c>
      <c r="V231" s="24"/>
      <c r="W231" s="25">
        <v>48465.0</v>
      </c>
      <c r="X231" s="29">
        <v>966.0</v>
      </c>
      <c r="Y231" s="29">
        <v>102.0</v>
      </c>
      <c r="Z231" s="30"/>
      <c r="AA231" s="30" t="s">
        <v>207</v>
      </c>
      <c r="AB231" s="31"/>
      <c r="AC231" s="31"/>
      <c r="AD231" s="30" t="s">
        <v>910</v>
      </c>
      <c r="AE231" s="31"/>
      <c r="AF231" s="30" t="s">
        <v>554</v>
      </c>
      <c r="AG231" s="27" t="str">
        <f t="shared" si="1"/>
        <v>Upsell</v>
      </c>
      <c r="AH231" s="27" t="str">
        <f t="shared" si="5"/>
        <v>Customer</v>
      </c>
      <c r="AI231" s="27" t="str">
        <f t="shared" si="6"/>
        <v>501-1000</v>
      </c>
      <c r="AJ231" s="27" t="str">
        <f t="shared" si="7"/>
        <v>101-500</v>
      </c>
    </row>
    <row r="232" ht="15.75" customHeight="1">
      <c r="A232" s="23">
        <f>HYPERLINK("https://app.hubspot.com/contacts/8748051/record/0-3/40235751763", 40235751763)</f>
        <v>40235751763</v>
      </c>
      <c r="B232" s="24" t="s">
        <v>911</v>
      </c>
      <c r="C232" s="24" t="s">
        <v>148</v>
      </c>
      <c r="D232" s="25">
        <v>30000.0</v>
      </c>
      <c r="E232" s="24" t="s">
        <v>127</v>
      </c>
      <c r="F232" s="24" t="s">
        <v>52</v>
      </c>
      <c r="G232" s="26">
        <v>45852.70297453704</v>
      </c>
      <c r="H232" s="26">
        <v>46203.76150462963</v>
      </c>
      <c r="I232" s="24" t="s">
        <v>40</v>
      </c>
      <c r="J232" s="24" t="s">
        <v>41</v>
      </c>
      <c r="K232" s="24" t="s">
        <v>42</v>
      </c>
      <c r="L232" s="24" t="s">
        <v>43</v>
      </c>
      <c r="M232" s="24" t="s">
        <v>44</v>
      </c>
      <c r="N232" s="24"/>
      <c r="O232" s="24"/>
      <c r="P232" s="24"/>
      <c r="Q232" s="24" t="s">
        <v>128</v>
      </c>
      <c r="R232" s="23">
        <f>HYPERLINK("https://app.hubspot.com/contacts/8748051/record/0-2/19176533838", 19176533838)</f>
        <v>19176533838</v>
      </c>
      <c r="S232" s="24" t="s">
        <v>912</v>
      </c>
      <c r="T232" s="28" t="s">
        <v>913</v>
      </c>
      <c r="U232" s="24" t="s">
        <v>47</v>
      </c>
      <c r="V232" s="24"/>
      <c r="W232" s="25"/>
      <c r="X232" s="29">
        <v>168.0</v>
      </c>
      <c r="Y232" s="29">
        <v>16.0</v>
      </c>
      <c r="Z232" s="30"/>
      <c r="AA232" s="30"/>
      <c r="AB232" s="31"/>
      <c r="AC232" s="31"/>
      <c r="AD232" s="30"/>
      <c r="AE232" s="31"/>
      <c r="AF232" s="30"/>
      <c r="AG232" s="27" t="str">
        <f t="shared" si="1"/>
        <v>New Logo</v>
      </c>
      <c r="AH232" s="27" t="str">
        <f t="shared" si="5"/>
        <v>Lead</v>
      </c>
      <c r="AI232" s="27" t="str">
        <f t="shared" si="6"/>
        <v>0-200</v>
      </c>
      <c r="AJ232" s="27" t="str">
        <f t="shared" si="7"/>
        <v>0-20</v>
      </c>
    </row>
    <row r="233" ht="15.75" customHeight="1">
      <c r="A233" s="23">
        <f>HYPERLINK("https://app.hubspot.com/contacts/8748051/record/0-3/40250836559", 40250836559)</f>
        <v>40250836559</v>
      </c>
      <c r="B233" s="24" t="s">
        <v>914</v>
      </c>
      <c r="C233" s="24" t="s">
        <v>50</v>
      </c>
      <c r="D233" s="25">
        <v>10000.0</v>
      </c>
      <c r="E233" s="24" t="s">
        <v>51</v>
      </c>
      <c r="F233" s="24" t="s">
        <v>52</v>
      </c>
      <c r="G233" s="26">
        <v>45852.6740162037</v>
      </c>
      <c r="H233" s="26">
        <v>46295.95269675926</v>
      </c>
      <c r="I233" s="24" t="s">
        <v>40</v>
      </c>
      <c r="J233" s="24" t="s">
        <v>53</v>
      </c>
      <c r="K233" s="24" t="s">
        <v>42</v>
      </c>
      <c r="L233" s="24" t="s">
        <v>43</v>
      </c>
      <c r="M233" s="24" t="s">
        <v>44</v>
      </c>
      <c r="N233" s="24"/>
      <c r="O233" s="24"/>
      <c r="P233" s="24"/>
      <c r="Q233" s="24"/>
      <c r="R233" s="23">
        <f>HYPERLINK("https://app.hubspot.com/contacts/8748051/record/0-2/9238306695", 9238306695)</f>
        <v>9238306695</v>
      </c>
      <c r="S233" s="24" t="s">
        <v>915</v>
      </c>
      <c r="T233" s="28" t="s">
        <v>916</v>
      </c>
      <c r="U233" s="24" t="s">
        <v>47</v>
      </c>
      <c r="V233" s="24"/>
      <c r="W233" s="25"/>
      <c r="X233" s="29">
        <v>12647.0</v>
      </c>
      <c r="Y233" s="29">
        <v>3466.0</v>
      </c>
      <c r="Z233" s="31"/>
      <c r="AA233" s="30"/>
      <c r="AB233" s="31"/>
      <c r="AC233" s="31"/>
      <c r="AD233" s="30"/>
      <c r="AE233" s="31"/>
      <c r="AF233" s="30"/>
      <c r="AG233" s="27" t="str">
        <f t="shared" si="1"/>
        <v>New Logo</v>
      </c>
      <c r="AH233" s="27" t="str">
        <f t="shared" si="5"/>
        <v>Lead</v>
      </c>
      <c r="AI233" s="27" t="str">
        <f t="shared" si="6"/>
        <v>10000+</v>
      </c>
      <c r="AJ233" s="27" t="str">
        <f t="shared" si="7"/>
        <v>500+</v>
      </c>
    </row>
    <row r="234" ht="15.75" customHeight="1">
      <c r="A234" s="23">
        <f>HYPERLINK("https://app.hubspot.com/contacts/8748051/record/0-3/40024962160", 40024962160)</f>
        <v>40024962160</v>
      </c>
      <c r="B234" s="24" t="s">
        <v>917</v>
      </c>
      <c r="C234" s="24" t="s">
        <v>50</v>
      </c>
      <c r="D234" s="25">
        <v>4500.0</v>
      </c>
      <c r="E234" s="24" t="s">
        <v>73</v>
      </c>
      <c r="F234" s="24"/>
      <c r="G234" s="26">
        <v>45849.585706018515</v>
      </c>
      <c r="H234" s="26">
        <v>46029.585694444446</v>
      </c>
      <c r="I234" s="24" t="s">
        <v>40</v>
      </c>
      <c r="J234" s="24" t="s">
        <v>41</v>
      </c>
      <c r="K234" s="24" t="s">
        <v>42</v>
      </c>
      <c r="L234" s="24" t="s">
        <v>43</v>
      </c>
      <c r="M234" s="24" t="s">
        <v>44</v>
      </c>
      <c r="N234" s="24"/>
      <c r="O234" s="24"/>
      <c r="P234" s="24" t="s">
        <v>234</v>
      </c>
      <c r="Q234" s="24"/>
      <c r="R234" s="23">
        <f>HYPERLINK("https://app.hubspot.com/contacts/8748051/record/0-2/36031664519", 36031664519)</f>
        <v>36031664519</v>
      </c>
      <c r="S234" s="24" t="s">
        <v>918</v>
      </c>
      <c r="T234" s="28" t="s">
        <v>919</v>
      </c>
      <c r="U234" s="24" t="s">
        <v>47</v>
      </c>
      <c r="V234" s="24"/>
      <c r="W234" s="25"/>
      <c r="X234" s="29">
        <v>284.0</v>
      </c>
      <c r="Y234" s="29">
        <v>9.0</v>
      </c>
      <c r="Z234" s="31"/>
      <c r="AA234" s="30"/>
      <c r="AB234" s="31"/>
      <c r="AC234" s="31"/>
      <c r="AD234" s="30"/>
      <c r="AE234" s="31"/>
      <c r="AF234" s="30"/>
      <c r="AG234" s="27" t="str">
        <f t="shared" si="1"/>
        <v>New Logo</v>
      </c>
      <c r="AH234" s="27" t="str">
        <f t="shared" si="5"/>
        <v>Lead</v>
      </c>
      <c r="AI234" s="27" t="str">
        <f t="shared" si="6"/>
        <v>201-500</v>
      </c>
      <c r="AJ234" s="27" t="str">
        <f t="shared" si="7"/>
        <v>0-20</v>
      </c>
    </row>
    <row r="235" ht="15.75" customHeight="1">
      <c r="A235" s="23">
        <f>HYPERLINK("https://app.hubspot.com/contacts/8748051/record/0-3/39921808681", 39921808681)</f>
        <v>39921808681</v>
      </c>
      <c r="B235" s="24" t="s">
        <v>920</v>
      </c>
      <c r="C235" s="24" t="s">
        <v>50</v>
      </c>
      <c r="D235" s="25">
        <v>88000.0</v>
      </c>
      <c r="E235" s="24" t="s">
        <v>92</v>
      </c>
      <c r="F235" s="24" t="s">
        <v>52</v>
      </c>
      <c r="G235" s="26">
        <v>45847.71337962963</v>
      </c>
      <c r="H235" s="26">
        <v>46021.720347222225</v>
      </c>
      <c r="I235" s="24" t="s">
        <v>40</v>
      </c>
      <c r="J235" s="24" t="s">
        <v>41</v>
      </c>
      <c r="K235" s="24" t="s">
        <v>42</v>
      </c>
      <c r="L235" s="24" t="s">
        <v>43</v>
      </c>
      <c r="M235" s="24" t="s">
        <v>44</v>
      </c>
      <c r="N235" s="24" t="s">
        <v>921</v>
      </c>
      <c r="O235" s="24"/>
      <c r="P235" s="24"/>
      <c r="Q235" s="24"/>
      <c r="R235" s="23">
        <f>HYPERLINK("https://app.hubspot.com/contacts/8748051/record/0-2/8142455696", 8142455696)</f>
        <v>8142455696</v>
      </c>
      <c r="S235" s="24" t="s">
        <v>922</v>
      </c>
      <c r="T235" s="28" t="s">
        <v>923</v>
      </c>
      <c r="U235" s="24" t="s">
        <v>96</v>
      </c>
      <c r="V235" s="24"/>
      <c r="W235" s="25">
        <v>88000.0</v>
      </c>
      <c r="X235" s="29">
        <v>1683.0</v>
      </c>
      <c r="Y235" s="29">
        <v>249.0</v>
      </c>
      <c r="Z235" s="30"/>
      <c r="AA235" s="30" t="s">
        <v>207</v>
      </c>
      <c r="AB235" s="31"/>
      <c r="AC235" s="31"/>
      <c r="AD235" s="30" t="s">
        <v>924</v>
      </c>
      <c r="AE235" s="31"/>
      <c r="AF235" s="30" t="s">
        <v>529</v>
      </c>
      <c r="AG235" s="27" t="str">
        <f t="shared" si="1"/>
        <v>New Logo</v>
      </c>
      <c r="AH235" s="27" t="str">
        <f t="shared" si="5"/>
        <v>Customer</v>
      </c>
      <c r="AI235" s="27" t="str">
        <f t="shared" si="6"/>
        <v>1001-5000</v>
      </c>
      <c r="AJ235" s="27" t="str">
        <f t="shared" si="7"/>
        <v>101-500</v>
      </c>
    </row>
    <row r="236" ht="15.75" customHeight="1">
      <c r="A236" s="23">
        <f>HYPERLINK("https://app.hubspot.com/contacts/8748051/record/0-3/39929995149", 39929995149)</f>
        <v>39929995149</v>
      </c>
      <c r="B236" s="24" t="s">
        <v>925</v>
      </c>
      <c r="C236" s="24" t="s">
        <v>148</v>
      </c>
      <c r="D236" s="25">
        <v>25000.0</v>
      </c>
      <c r="E236" s="24" t="s">
        <v>127</v>
      </c>
      <c r="F236" s="24" t="s">
        <v>52</v>
      </c>
      <c r="G236" s="26">
        <v>45847.66179398148</v>
      </c>
      <c r="H236" s="26">
        <v>46022.66774305556</v>
      </c>
      <c r="I236" s="24" t="s">
        <v>40</v>
      </c>
      <c r="J236" s="24" t="s">
        <v>41</v>
      </c>
      <c r="K236" s="24" t="s">
        <v>42</v>
      </c>
      <c r="L236" s="24" t="s">
        <v>43</v>
      </c>
      <c r="M236" s="24" t="s">
        <v>44</v>
      </c>
      <c r="N236" s="27"/>
      <c r="O236" s="24"/>
      <c r="P236" s="24"/>
      <c r="Q236" s="24" t="s">
        <v>144</v>
      </c>
      <c r="R236" s="23">
        <f>HYPERLINK("https://app.hubspot.com/contacts/8748051/record/0-2/35873852551", 35873852551)</f>
        <v>35873852551</v>
      </c>
      <c r="S236" s="28" t="s">
        <v>926</v>
      </c>
      <c r="T236" s="28" t="s">
        <v>927</v>
      </c>
      <c r="U236" s="24" t="s">
        <v>47</v>
      </c>
      <c r="V236" s="24"/>
      <c r="W236" s="32"/>
      <c r="X236" s="29"/>
      <c r="Y236" s="29"/>
      <c r="Z236" s="30"/>
      <c r="AA236" s="31"/>
      <c r="AB236" s="31"/>
      <c r="AC236" s="31"/>
      <c r="AD236" s="31"/>
      <c r="AE236" s="31"/>
      <c r="AF236" s="31"/>
      <c r="AG236" s="27" t="str">
        <f t="shared" si="1"/>
        <v>New Logo</v>
      </c>
      <c r="AH236" s="27" t="str">
        <f t="shared" si="5"/>
        <v>Lead</v>
      </c>
      <c r="AI236" s="27" t="str">
        <f t="shared" si="6"/>
        <v>0-200</v>
      </c>
      <c r="AJ236" s="27" t="str">
        <f t="shared" si="7"/>
        <v>0-20</v>
      </c>
    </row>
    <row r="237" ht="15.75" customHeight="1">
      <c r="A237" s="23">
        <f>HYPERLINK("https://app.hubspot.com/contacts/8748051/record/0-3/39855861805", 39855861805)</f>
        <v>39855861805</v>
      </c>
      <c r="B237" s="24" t="s">
        <v>928</v>
      </c>
      <c r="C237" s="24" t="s">
        <v>50</v>
      </c>
      <c r="D237" s="25">
        <v>7500.0</v>
      </c>
      <c r="E237" s="24" t="s">
        <v>73</v>
      </c>
      <c r="F237" s="24"/>
      <c r="G237" s="26">
        <v>45846.30578703704</v>
      </c>
      <c r="H237" s="26">
        <v>46026.30577546296</v>
      </c>
      <c r="I237" s="24" t="s">
        <v>40</v>
      </c>
      <c r="J237" s="24" t="s">
        <v>41</v>
      </c>
      <c r="K237" s="24" t="s">
        <v>42</v>
      </c>
      <c r="L237" s="24" t="s">
        <v>43</v>
      </c>
      <c r="M237" s="24" t="s">
        <v>44</v>
      </c>
      <c r="N237" s="24"/>
      <c r="O237" s="27"/>
      <c r="P237" s="24" t="s">
        <v>75</v>
      </c>
      <c r="Q237" s="24"/>
      <c r="R237" s="23">
        <f>HYPERLINK("https://app.hubspot.com/contacts/8748051/record/0-2/35852040843", 35852040843)</f>
        <v>35852040843</v>
      </c>
      <c r="S237" s="24" t="s">
        <v>929</v>
      </c>
      <c r="T237" s="28" t="s">
        <v>930</v>
      </c>
      <c r="U237" s="24" t="s">
        <v>47</v>
      </c>
      <c r="V237" s="24"/>
      <c r="W237" s="25"/>
      <c r="X237" s="29">
        <v>555.0</v>
      </c>
      <c r="Y237" s="29">
        <v>15.0</v>
      </c>
      <c r="Z237" s="30"/>
      <c r="AA237" s="30"/>
      <c r="AB237" s="31"/>
      <c r="AC237" s="31"/>
      <c r="AD237" s="30"/>
      <c r="AE237" s="30"/>
      <c r="AF237" s="30"/>
      <c r="AG237" s="27" t="str">
        <f t="shared" si="1"/>
        <v>New Logo</v>
      </c>
      <c r="AH237" s="27" t="str">
        <f t="shared" si="5"/>
        <v>Lead</v>
      </c>
      <c r="AI237" s="27" t="str">
        <f t="shared" si="6"/>
        <v>501-1000</v>
      </c>
      <c r="AJ237" s="27" t="str">
        <f t="shared" si="7"/>
        <v>0-20</v>
      </c>
    </row>
    <row r="238" ht="15.75" customHeight="1">
      <c r="A238" s="23">
        <f>HYPERLINK("https://app.hubspot.com/contacts/8748051/record/0-3/39685011320", 39685011320)</f>
        <v>39685011320</v>
      </c>
      <c r="B238" s="24" t="s">
        <v>931</v>
      </c>
      <c r="C238" s="24" t="s">
        <v>148</v>
      </c>
      <c r="D238" s="25">
        <v>5000.0</v>
      </c>
      <c r="E238" s="24" t="s">
        <v>73</v>
      </c>
      <c r="F238" s="24"/>
      <c r="G238" s="26">
        <v>45842.299849537034</v>
      </c>
      <c r="H238" s="26">
        <v>46022.299837962964</v>
      </c>
      <c r="I238" s="24" t="s">
        <v>40</v>
      </c>
      <c r="J238" s="24" t="s">
        <v>41</v>
      </c>
      <c r="K238" s="24" t="s">
        <v>42</v>
      </c>
      <c r="L238" s="24" t="s">
        <v>43</v>
      </c>
      <c r="M238" s="24" t="s">
        <v>44</v>
      </c>
      <c r="N238" s="27"/>
      <c r="O238" s="24"/>
      <c r="P238" s="24" t="s">
        <v>234</v>
      </c>
      <c r="Q238" s="24"/>
      <c r="R238" s="23">
        <f>HYPERLINK("https://app.hubspot.com/contacts/8748051/record/0-2/35716473420", 35716473420)</f>
        <v>35716473420</v>
      </c>
      <c r="S238" s="24" t="s">
        <v>932</v>
      </c>
      <c r="T238" s="28" t="s">
        <v>933</v>
      </c>
      <c r="U238" s="24" t="s">
        <v>47</v>
      </c>
      <c r="V238" s="24"/>
      <c r="W238" s="32"/>
      <c r="X238" s="29"/>
      <c r="Y238" s="29">
        <v>10.0</v>
      </c>
      <c r="Z238" s="30"/>
      <c r="AA238" s="31"/>
      <c r="AB238" s="31"/>
      <c r="AC238" s="31"/>
      <c r="AD238" s="31"/>
      <c r="AE238" s="31"/>
      <c r="AF238" s="31"/>
      <c r="AG238" s="27" t="str">
        <f t="shared" si="1"/>
        <v>New Logo</v>
      </c>
      <c r="AH238" s="27" t="str">
        <f t="shared" si="5"/>
        <v>Lead</v>
      </c>
      <c r="AI238" s="27" t="str">
        <f t="shared" si="6"/>
        <v>0-200</v>
      </c>
      <c r="AJ238" s="27" t="str">
        <f t="shared" si="7"/>
        <v>0-20</v>
      </c>
    </row>
    <row r="239" ht="15.75" customHeight="1">
      <c r="A239" s="23">
        <f>HYPERLINK("https://app.hubspot.com/contacts/8748051/record/0-3/39680299684", 39680299684)</f>
        <v>39680299684</v>
      </c>
      <c r="B239" s="24" t="s">
        <v>934</v>
      </c>
      <c r="C239" s="24" t="s">
        <v>50</v>
      </c>
      <c r="D239" s="25">
        <v>7500.0</v>
      </c>
      <c r="E239" s="24" t="s">
        <v>127</v>
      </c>
      <c r="F239" s="24" t="s">
        <v>52</v>
      </c>
      <c r="G239" s="26">
        <v>45842.03219907408</v>
      </c>
      <c r="H239" s="26">
        <v>46022.032175925924</v>
      </c>
      <c r="I239" s="24" t="s">
        <v>40</v>
      </c>
      <c r="J239" s="24" t="s">
        <v>41</v>
      </c>
      <c r="K239" s="24" t="s">
        <v>42</v>
      </c>
      <c r="L239" s="24" t="s">
        <v>43</v>
      </c>
      <c r="M239" s="24" t="s">
        <v>44</v>
      </c>
      <c r="N239" s="24"/>
      <c r="O239" s="24"/>
      <c r="P239" s="24"/>
      <c r="Q239" s="24" t="s">
        <v>144</v>
      </c>
      <c r="R239" s="23">
        <f>HYPERLINK("https://app.hubspot.com/contacts/8748051/record/0-2/35714288133", 35714288133)</f>
        <v>35714288133</v>
      </c>
      <c r="S239" s="24" t="s">
        <v>935</v>
      </c>
      <c r="T239" s="28" t="s">
        <v>936</v>
      </c>
      <c r="U239" s="24" t="s">
        <v>47</v>
      </c>
      <c r="V239" s="24"/>
      <c r="W239" s="25"/>
      <c r="X239" s="29">
        <v>72.0</v>
      </c>
      <c r="Y239" s="29">
        <v>14.0</v>
      </c>
      <c r="Z239" s="30"/>
      <c r="AA239" s="30"/>
      <c r="AB239" s="31"/>
      <c r="AC239" s="31"/>
      <c r="AD239" s="30"/>
      <c r="AE239" s="30"/>
      <c r="AF239" s="30"/>
      <c r="AG239" s="27" t="str">
        <f t="shared" si="1"/>
        <v>New Logo</v>
      </c>
      <c r="AH239" s="27" t="str">
        <f t="shared" si="5"/>
        <v>Lead</v>
      </c>
      <c r="AI239" s="27" t="str">
        <f t="shared" si="6"/>
        <v>0-200</v>
      </c>
      <c r="AJ239" s="27" t="str">
        <f t="shared" si="7"/>
        <v>0-20</v>
      </c>
    </row>
    <row r="240" ht="15.75" customHeight="1">
      <c r="A240" s="23">
        <f>HYPERLINK("https://app.hubspot.com/contacts/8748051/record/0-3/39650960754", 39650960754)</f>
        <v>39650960754</v>
      </c>
      <c r="B240" s="24" t="s">
        <v>937</v>
      </c>
      <c r="C240" s="24" t="s">
        <v>50</v>
      </c>
      <c r="D240" s="25">
        <v>3500.0</v>
      </c>
      <c r="E240" s="24" t="s">
        <v>73</v>
      </c>
      <c r="F240" s="24"/>
      <c r="G240" s="26">
        <v>45841.36115740741</v>
      </c>
      <c r="H240" s="26">
        <v>46021.36114583333</v>
      </c>
      <c r="I240" s="24" t="s">
        <v>40</v>
      </c>
      <c r="J240" s="24" t="s">
        <v>41</v>
      </c>
      <c r="K240" s="24" t="s">
        <v>42</v>
      </c>
      <c r="L240" s="24" t="s">
        <v>43</v>
      </c>
      <c r="M240" s="24" t="s">
        <v>44</v>
      </c>
      <c r="N240" s="24"/>
      <c r="O240" s="24"/>
      <c r="P240" s="24" t="s">
        <v>234</v>
      </c>
      <c r="Q240" s="24"/>
      <c r="R240" s="23">
        <f>HYPERLINK("https://app.hubspot.com/contacts/8748051/record/0-2/35652802098", 35652802098)</f>
        <v>35652802098</v>
      </c>
      <c r="S240" s="24" t="s">
        <v>938</v>
      </c>
      <c r="T240" s="28" t="s">
        <v>939</v>
      </c>
      <c r="U240" s="24" t="s">
        <v>47</v>
      </c>
      <c r="V240" s="24"/>
      <c r="W240" s="25"/>
      <c r="X240" s="29">
        <v>102.0</v>
      </c>
      <c r="Y240" s="29">
        <v>7.0</v>
      </c>
      <c r="Z240" s="30"/>
      <c r="AA240" s="30"/>
      <c r="AB240" s="31"/>
      <c r="AC240" s="31"/>
      <c r="AD240" s="30"/>
      <c r="AE240" s="31"/>
      <c r="AF240" s="30"/>
      <c r="AG240" s="27" t="str">
        <f t="shared" si="1"/>
        <v>New Logo</v>
      </c>
      <c r="AH240" s="27" t="str">
        <f t="shared" si="5"/>
        <v>Lead</v>
      </c>
      <c r="AI240" s="27" t="str">
        <f t="shared" si="6"/>
        <v>0-200</v>
      </c>
      <c r="AJ240" s="27" t="str">
        <f t="shared" si="7"/>
        <v>0-20</v>
      </c>
    </row>
    <row r="241" ht="15.75" customHeight="1">
      <c r="A241" s="23">
        <f>HYPERLINK("https://app.hubspot.com/contacts/8748051/record/0-3/39651087419", 39651087419)</f>
        <v>39651087419</v>
      </c>
      <c r="B241" s="24" t="s">
        <v>940</v>
      </c>
      <c r="C241" s="24" t="s">
        <v>38</v>
      </c>
      <c r="D241" s="25">
        <v>15000.0</v>
      </c>
      <c r="E241" s="24" t="s">
        <v>149</v>
      </c>
      <c r="F241" s="24" t="s">
        <v>52</v>
      </c>
      <c r="G241" s="26">
        <v>45841.36069444445</v>
      </c>
      <c r="H241" s="26">
        <v>46076.32832175926</v>
      </c>
      <c r="I241" s="24" t="s">
        <v>40</v>
      </c>
      <c r="J241" s="24" t="s">
        <v>41</v>
      </c>
      <c r="K241" s="24" t="s">
        <v>42</v>
      </c>
      <c r="L241" s="24" t="s">
        <v>43</v>
      </c>
      <c r="M241" s="24" t="s">
        <v>44</v>
      </c>
      <c r="N241" s="24"/>
      <c r="O241" s="24" t="s">
        <v>941</v>
      </c>
      <c r="P241" s="24"/>
      <c r="Q241" s="24"/>
      <c r="R241" s="23">
        <f>HYPERLINK("https://app.hubspot.com/contacts/8748051/record/0-2/35677443192", 35677443192)</f>
        <v>35677443192</v>
      </c>
      <c r="S241" s="24" t="s">
        <v>942</v>
      </c>
      <c r="T241" s="28" t="s">
        <v>943</v>
      </c>
      <c r="U241" s="24" t="s">
        <v>47</v>
      </c>
      <c r="V241" s="24"/>
      <c r="W241" s="25"/>
      <c r="X241" s="29">
        <v>950.0</v>
      </c>
      <c r="Y241" s="29">
        <v>34.0</v>
      </c>
      <c r="Z241" s="30"/>
      <c r="AA241" s="30"/>
      <c r="AB241" s="31"/>
      <c r="AC241" s="31"/>
      <c r="AD241" s="30"/>
      <c r="AE241" s="31"/>
      <c r="AF241" s="30"/>
      <c r="AG241" s="27" t="str">
        <f t="shared" si="1"/>
        <v>New Logo</v>
      </c>
      <c r="AH241" s="27" t="str">
        <f t="shared" si="5"/>
        <v>Lead</v>
      </c>
      <c r="AI241" s="27" t="str">
        <f t="shared" si="6"/>
        <v>501-1000</v>
      </c>
      <c r="AJ241" s="27" t="str">
        <f t="shared" si="7"/>
        <v>21-50</v>
      </c>
    </row>
    <row r="242" ht="15.75" customHeight="1">
      <c r="A242" s="23">
        <f>HYPERLINK("https://app.hubspot.com/contacts/8748051/record/0-3/39524397206", 39524397206)</f>
        <v>39524397206</v>
      </c>
      <c r="B242" s="24" t="s">
        <v>944</v>
      </c>
      <c r="C242" s="24" t="s">
        <v>50</v>
      </c>
      <c r="D242" s="25">
        <v>35000.0</v>
      </c>
      <c r="E242" s="24" t="s">
        <v>92</v>
      </c>
      <c r="F242" s="24" t="s">
        <v>52</v>
      </c>
      <c r="G242" s="26">
        <v>45838.66668981482</v>
      </c>
      <c r="H242" s="26">
        <v>46021.82256944444</v>
      </c>
      <c r="I242" s="24" t="s">
        <v>40</v>
      </c>
      <c r="J242" s="24" t="s">
        <v>41</v>
      </c>
      <c r="K242" s="24" t="s">
        <v>42</v>
      </c>
      <c r="L242" s="24" t="s">
        <v>43</v>
      </c>
      <c r="M242" s="24" t="s">
        <v>44</v>
      </c>
      <c r="N242" s="24" t="s">
        <v>945</v>
      </c>
      <c r="O242" s="27"/>
      <c r="P242" s="24"/>
      <c r="Q242" s="24"/>
      <c r="R242" s="23">
        <f>HYPERLINK("https://app.hubspot.com/contacts/8748051/record/0-2/8303507885", 8303507885)</f>
        <v>8303507885</v>
      </c>
      <c r="S242" s="24" t="s">
        <v>946</v>
      </c>
      <c r="T242" s="28" t="s">
        <v>947</v>
      </c>
      <c r="U242" s="24" t="s">
        <v>96</v>
      </c>
      <c r="V242" s="24"/>
      <c r="W242" s="25">
        <v>35000.0</v>
      </c>
      <c r="X242" s="29">
        <v>402.0</v>
      </c>
      <c r="Y242" s="29">
        <v>40.0</v>
      </c>
      <c r="Z242" s="30"/>
      <c r="AA242" s="30" t="s">
        <v>97</v>
      </c>
      <c r="AB242" s="31"/>
      <c r="AC242" s="31"/>
      <c r="AD242" s="30" t="s">
        <v>924</v>
      </c>
      <c r="AE242" s="31"/>
      <c r="AF242" s="30" t="s">
        <v>169</v>
      </c>
      <c r="AG242" s="27" t="str">
        <f t="shared" si="1"/>
        <v>New Logo</v>
      </c>
      <c r="AH242" s="27" t="str">
        <f t="shared" si="5"/>
        <v>Customer</v>
      </c>
      <c r="AI242" s="27" t="str">
        <f t="shared" si="6"/>
        <v>201-500</v>
      </c>
      <c r="AJ242" s="27" t="str">
        <f t="shared" si="7"/>
        <v>21-50</v>
      </c>
    </row>
    <row r="243" ht="15.75" customHeight="1">
      <c r="A243" s="23">
        <f>HYPERLINK("https://app.hubspot.com/contacts/8748051/record/0-3/39493234444", 39493234444)</f>
        <v>39493234444</v>
      </c>
      <c r="B243" s="24" t="s">
        <v>948</v>
      </c>
      <c r="C243" s="24" t="s">
        <v>38</v>
      </c>
      <c r="D243" s="25">
        <v>7000.0</v>
      </c>
      <c r="E243" s="24" t="s">
        <v>73</v>
      </c>
      <c r="F243" s="24"/>
      <c r="G243" s="26">
        <v>45838.34646990741</v>
      </c>
      <c r="H243" s="26">
        <v>46018.34645833333</v>
      </c>
      <c r="I243" s="24" t="s">
        <v>40</v>
      </c>
      <c r="J243" s="24" t="s">
        <v>41</v>
      </c>
      <c r="K243" s="24" t="s">
        <v>42</v>
      </c>
      <c r="L243" s="24" t="s">
        <v>43</v>
      </c>
      <c r="M243" s="24" t="s">
        <v>74</v>
      </c>
      <c r="N243" s="27"/>
      <c r="O243" s="24"/>
      <c r="P243" s="24" t="s">
        <v>234</v>
      </c>
      <c r="Q243" s="24"/>
      <c r="R243" s="23">
        <f>HYPERLINK("https://app.hubspot.com/contacts/8748051/record/0-2/35502416005", 35502416005)</f>
        <v>35502416005</v>
      </c>
      <c r="S243" s="24" t="s">
        <v>949</v>
      </c>
      <c r="T243" s="28" t="s">
        <v>950</v>
      </c>
      <c r="U243" s="24" t="s">
        <v>47</v>
      </c>
      <c r="V243" s="24"/>
      <c r="W243" s="25"/>
      <c r="X243" s="29">
        <v>125.0</v>
      </c>
      <c r="Y243" s="29">
        <v>14.0</v>
      </c>
      <c r="Z243" s="30"/>
      <c r="AA243" s="30"/>
      <c r="AB243" s="31"/>
      <c r="AC243" s="31"/>
      <c r="AD243" s="30"/>
      <c r="AE243" s="30"/>
      <c r="AF243" s="30"/>
      <c r="AG243" s="27" t="str">
        <f t="shared" si="1"/>
        <v>New Logo</v>
      </c>
      <c r="AH243" s="27" t="str">
        <f t="shared" si="5"/>
        <v>Lead</v>
      </c>
      <c r="AI243" s="27" t="str">
        <f t="shared" si="6"/>
        <v>0-200</v>
      </c>
      <c r="AJ243" s="27" t="str">
        <f t="shared" si="7"/>
        <v>0-20</v>
      </c>
    </row>
    <row r="244" ht="15.75" customHeight="1">
      <c r="A244" s="23">
        <f>HYPERLINK("https://app.hubspot.com/contacts/8748051/record/0-3/39358096402", 39358096402)</f>
        <v>39358096402</v>
      </c>
      <c r="B244" s="24" t="s">
        <v>951</v>
      </c>
      <c r="C244" s="24" t="s">
        <v>50</v>
      </c>
      <c r="D244" s="25">
        <v>100000.0</v>
      </c>
      <c r="E244" s="24" t="s">
        <v>73</v>
      </c>
      <c r="F244" s="24"/>
      <c r="G244" s="26">
        <v>45834.74114583333</v>
      </c>
      <c r="H244" s="26">
        <v>46017.740960648145</v>
      </c>
      <c r="I244" s="24" t="s">
        <v>40</v>
      </c>
      <c r="J244" s="24" t="s">
        <v>53</v>
      </c>
      <c r="K244" s="24" t="s">
        <v>42</v>
      </c>
      <c r="L244" s="24" t="s">
        <v>43</v>
      </c>
      <c r="M244" s="24" t="s">
        <v>44</v>
      </c>
      <c r="N244" s="24"/>
      <c r="O244" s="24"/>
      <c r="P244" s="24" t="s">
        <v>75</v>
      </c>
      <c r="Q244" s="24"/>
      <c r="R244" s="23">
        <f>HYPERLINK("https://app.hubspot.com/contacts/8748051/record/0-2/8142764962", 8142764962)</f>
        <v>8142764962</v>
      </c>
      <c r="S244" s="24" t="s">
        <v>952</v>
      </c>
      <c r="T244" s="28" t="s">
        <v>953</v>
      </c>
      <c r="U244" s="24" t="s">
        <v>47</v>
      </c>
      <c r="V244" s="24"/>
      <c r="W244" s="25"/>
      <c r="X244" s="29">
        <v>4351.0</v>
      </c>
      <c r="Y244" s="29">
        <v>550.0</v>
      </c>
      <c r="Z244" s="30" t="s">
        <v>56</v>
      </c>
      <c r="AA244" s="30"/>
      <c r="AB244" s="31"/>
      <c r="AC244" s="31"/>
      <c r="AD244" s="30"/>
      <c r="AE244" s="30"/>
      <c r="AF244" s="30"/>
      <c r="AG244" s="27" t="str">
        <f t="shared" si="1"/>
        <v>New Logo</v>
      </c>
      <c r="AH244" s="27" t="str">
        <f t="shared" si="5"/>
        <v>Lead</v>
      </c>
      <c r="AI244" s="27" t="str">
        <f t="shared" si="6"/>
        <v>1001-5000</v>
      </c>
      <c r="AJ244" s="27" t="str">
        <f t="shared" si="7"/>
        <v>500+</v>
      </c>
    </row>
    <row r="245" ht="15.75" customHeight="1">
      <c r="A245" s="23">
        <f>HYPERLINK("https://app.hubspot.com/contacts/8748051/record/0-3/39275256381", 39275256381)</f>
        <v>39275256381</v>
      </c>
      <c r="B245" s="24" t="s">
        <v>954</v>
      </c>
      <c r="C245" s="24" t="s">
        <v>50</v>
      </c>
      <c r="D245" s="25">
        <v>75000.0</v>
      </c>
      <c r="E245" s="24" t="s">
        <v>149</v>
      </c>
      <c r="F245" s="24" t="s">
        <v>52</v>
      </c>
      <c r="G245" s="26">
        <v>45833.47971064815</v>
      </c>
      <c r="H245" s="26">
        <v>45943.68287037037</v>
      </c>
      <c r="I245" s="24" t="s">
        <v>40</v>
      </c>
      <c r="J245" s="24" t="s">
        <v>53</v>
      </c>
      <c r="K245" s="24" t="s">
        <v>161</v>
      </c>
      <c r="L245" s="24" t="s">
        <v>162</v>
      </c>
      <c r="M245" s="24" t="s">
        <v>44</v>
      </c>
      <c r="N245" s="24"/>
      <c r="O245" s="24" t="s">
        <v>955</v>
      </c>
      <c r="P245" s="24"/>
      <c r="Q245" s="24"/>
      <c r="R245" s="23">
        <f>HYPERLINK("https://app.hubspot.com/contacts/8748051/record/0-2/9284099377", 9284099377)</f>
        <v>9284099377</v>
      </c>
      <c r="S245" s="24" t="s">
        <v>956</v>
      </c>
      <c r="T245" s="28" t="s">
        <v>957</v>
      </c>
      <c r="U245" s="24" t="s">
        <v>47</v>
      </c>
      <c r="V245" s="24"/>
      <c r="W245" s="25"/>
      <c r="X245" s="29">
        <v>1509.0</v>
      </c>
      <c r="Y245" s="29">
        <v>198.0</v>
      </c>
      <c r="Z245" s="30" t="s">
        <v>56</v>
      </c>
      <c r="AA245" s="30"/>
      <c r="AB245" s="31"/>
      <c r="AC245" s="31"/>
      <c r="AD245" s="30"/>
      <c r="AE245" s="30"/>
      <c r="AF245" s="30"/>
      <c r="AG245" s="27" t="str">
        <f t="shared" si="1"/>
        <v>New Logo</v>
      </c>
      <c r="AH245" s="27" t="str">
        <f t="shared" si="5"/>
        <v>Lead</v>
      </c>
      <c r="AI245" s="27" t="str">
        <f t="shared" si="6"/>
        <v>1001-5000</v>
      </c>
      <c r="AJ245" s="27" t="str">
        <f t="shared" si="7"/>
        <v>101-500</v>
      </c>
    </row>
    <row r="246" ht="15.75" customHeight="1">
      <c r="A246" s="23">
        <f>HYPERLINK("https://app.hubspot.com/contacts/8748051/record/0-3/39253037614", 39253037614)</f>
        <v>39253037614</v>
      </c>
      <c r="B246" s="24" t="s">
        <v>958</v>
      </c>
      <c r="C246" s="24" t="s">
        <v>50</v>
      </c>
      <c r="D246" s="25">
        <v>15000.0</v>
      </c>
      <c r="E246" s="24" t="s">
        <v>92</v>
      </c>
      <c r="F246" s="24" t="s">
        <v>52</v>
      </c>
      <c r="G246" s="26">
        <v>45832.58446759259</v>
      </c>
      <c r="H246" s="26">
        <v>45838.487916666665</v>
      </c>
      <c r="I246" s="24" t="s">
        <v>40</v>
      </c>
      <c r="J246" s="24" t="s">
        <v>41</v>
      </c>
      <c r="K246" s="24" t="s">
        <v>42</v>
      </c>
      <c r="L246" s="24" t="s">
        <v>43</v>
      </c>
      <c r="M246" s="24" t="s">
        <v>44</v>
      </c>
      <c r="N246" s="24" t="s">
        <v>959</v>
      </c>
      <c r="O246" s="27"/>
      <c r="P246" s="24"/>
      <c r="Q246" s="24"/>
      <c r="R246" s="23">
        <f>HYPERLINK("https://app.hubspot.com/contacts/8748051/record/0-2/35404479570", 35404479570)</f>
        <v>35404479570</v>
      </c>
      <c r="S246" s="24" t="s">
        <v>960</v>
      </c>
      <c r="T246" s="28" t="s">
        <v>961</v>
      </c>
      <c r="U246" s="24" t="s">
        <v>96</v>
      </c>
      <c r="V246" s="24"/>
      <c r="W246" s="25">
        <v>15000.0</v>
      </c>
      <c r="X246" s="29">
        <v>12.0</v>
      </c>
      <c r="Y246" s="29">
        <v>3.0</v>
      </c>
      <c r="Z246" s="30"/>
      <c r="AA246" s="30" t="s">
        <v>207</v>
      </c>
      <c r="AB246" s="31"/>
      <c r="AC246" s="31"/>
      <c r="AD246" s="30" t="s">
        <v>962</v>
      </c>
      <c r="AE246" s="30" t="s">
        <v>963</v>
      </c>
      <c r="AF246" s="30" t="s">
        <v>211</v>
      </c>
      <c r="AG246" s="27" t="str">
        <f t="shared" si="1"/>
        <v>New Logo</v>
      </c>
      <c r="AH246" s="27" t="str">
        <f t="shared" si="5"/>
        <v>Customer</v>
      </c>
      <c r="AI246" s="27" t="str">
        <f t="shared" si="6"/>
        <v>0-200</v>
      </c>
      <c r="AJ246" s="27" t="str">
        <f t="shared" si="7"/>
        <v>0-20</v>
      </c>
    </row>
    <row r="247" ht="15.75" customHeight="1">
      <c r="A247" s="23">
        <f>HYPERLINK("https://app.hubspot.com/contacts/8748051/record/0-3/39253601357", 39253601357)</f>
        <v>39253601357</v>
      </c>
      <c r="B247" s="24" t="s">
        <v>964</v>
      </c>
      <c r="C247" s="24" t="s">
        <v>148</v>
      </c>
      <c r="D247" s="25">
        <v>19000.0</v>
      </c>
      <c r="E247" s="24" t="s">
        <v>73</v>
      </c>
      <c r="F247" s="24"/>
      <c r="G247" s="26">
        <v>45832.44337962963</v>
      </c>
      <c r="H247" s="26">
        <v>45995.72730324074</v>
      </c>
      <c r="I247" s="24" t="s">
        <v>40</v>
      </c>
      <c r="J247" s="24" t="s">
        <v>41</v>
      </c>
      <c r="K247" s="24" t="s">
        <v>42</v>
      </c>
      <c r="L247" s="24" t="s">
        <v>43</v>
      </c>
      <c r="M247" s="24" t="s">
        <v>44</v>
      </c>
      <c r="N247" s="24"/>
      <c r="O247" s="27"/>
      <c r="P247" s="24" t="s">
        <v>213</v>
      </c>
      <c r="Q247" s="24"/>
      <c r="R247" s="23">
        <f>HYPERLINK("https://app.hubspot.com/contacts/8748051/record/0-2/19176660880", 19176660880)</f>
        <v>19176660880</v>
      </c>
      <c r="S247" s="24" t="s">
        <v>965</v>
      </c>
      <c r="T247" s="28" t="s">
        <v>966</v>
      </c>
      <c r="U247" s="24" t="s">
        <v>47</v>
      </c>
      <c r="V247" s="24"/>
      <c r="W247" s="25"/>
      <c r="X247" s="29">
        <v>326.0</v>
      </c>
      <c r="Y247" s="29">
        <v>53.0</v>
      </c>
      <c r="Z247" s="30" t="s">
        <v>108</v>
      </c>
      <c r="AA247" s="30"/>
      <c r="AB247" s="31"/>
      <c r="AC247" s="31"/>
      <c r="AD247" s="30"/>
      <c r="AE247" s="31"/>
      <c r="AF247" s="30"/>
      <c r="AG247" s="27" t="str">
        <f t="shared" si="1"/>
        <v>New Logo</v>
      </c>
      <c r="AH247" s="27" t="str">
        <f t="shared" si="5"/>
        <v>Lead</v>
      </c>
      <c r="AI247" s="27" t="str">
        <f t="shared" si="6"/>
        <v>201-500</v>
      </c>
      <c r="AJ247" s="27" t="str">
        <f t="shared" si="7"/>
        <v>51-100</v>
      </c>
    </row>
    <row r="248" ht="15.75" customHeight="1">
      <c r="A248" s="23">
        <f>HYPERLINK("https://app.hubspot.com/contacts/8748051/record/0-3/39236657768", 39236657768)</f>
        <v>39236657768</v>
      </c>
      <c r="B248" s="24" t="s">
        <v>967</v>
      </c>
      <c r="C248" s="24" t="s">
        <v>148</v>
      </c>
      <c r="D248" s="25">
        <v>2000.0</v>
      </c>
      <c r="E248" s="24" t="s">
        <v>92</v>
      </c>
      <c r="F248" s="24"/>
      <c r="G248" s="26">
        <v>45832.308912037035</v>
      </c>
      <c r="H248" s="26">
        <v>45832.35254629629</v>
      </c>
      <c r="I248" s="24" t="s">
        <v>40</v>
      </c>
      <c r="J248" s="24" t="s">
        <v>182</v>
      </c>
      <c r="K248" s="24" t="s">
        <v>161</v>
      </c>
      <c r="L248" s="24" t="s">
        <v>162</v>
      </c>
      <c r="M248" s="24" t="s">
        <v>102</v>
      </c>
      <c r="N248" s="24" t="s">
        <v>182</v>
      </c>
      <c r="O248" s="24"/>
      <c r="P248" s="24"/>
      <c r="Q248" s="24"/>
      <c r="R248" s="23">
        <f>HYPERLINK("https://app.hubspot.com/contacts/8748051/record/0-2/37512849741", 37512849741)</f>
        <v>37512849741</v>
      </c>
      <c r="S248" s="24" t="s">
        <v>968</v>
      </c>
      <c r="T248" s="28" t="s">
        <v>969</v>
      </c>
      <c r="U248" s="24" t="s">
        <v>96</v>
      </c>
      <c r="V248" s="24"/>
      <c r="W248" s="25">
        <v>17000.0</v>
      </c>
      <c r="X248" s="29">
        <v>1348.0</v>
      </c>
      <c r="Y248" s="29">
        <v>181.0</v>
      </c>
      <c r="Z248" s="30"/>
      <c r="AA248" s="30" t="s">
        <v>220</v>
      </c>
      <c r="AB248" s="31"/>
      <c r="AC248" s="31"/>
      <c r="AD248" s="30" t="s">
        <v>970</v>
      </c>
      <c r="AE248" s="31"/>
      <c r="AF248" s="30" t="s">
        <v>169</v>
      </c>
      <c r="AG248" s="27" t="str">
        <f t="shared" si="1"/>
        <v>Upsell</v>
      </c>
      <c r="AH248" s="27" t="str">
        <f t="shared" si="5"/>
        <v>Customer</v>
      </c>
      <c r="AI248" s="27" t="str">
        <f t="shared" si="6"/>
        <v>1001-5000</v>
      </c>
      <c r="AJ248" s="27" t="str">
        <f t="shared" si="7"/>
        <v>101-500</v>
      </c>
    </row>
    <row r="249" ht="15.75" customHeight="1">
      <c r="A249" s="23">
        <f>HYPERLINK("https://app.hubspot.com/contacts/8748051/record/0-3/39208575374", 39208575374)</f>
        <v>39208575374</v>
      </c>
      <c r="B249" s="24" t="s">
        <v>971</v>
      </c>
      <c r="C249" s="24" t="s">
        <v>50</v>
      </c>
      <c r="D249" s="25">
        <v>6500.0</v>
      </c>
      <c r="E249" s="24" t="s">
        <v>73</v>
      </c>
      <c r="F249" s="24"/>
      <c r="G249" s="26">
        <v>45831.379282407404</v>
      </c>
      <c r="H249" s="26">
        <v>46011.379224537035</v>
      </c>
      <c r="I249" s="24" t="s">
        <v>40</v>
      </c>
      <c r="J249" s="24" t="s">
        <v>41</v>
      </c>
      <c r="K249" s="24" t="s">
        <v>42</v>
      </c>
      <c r="L249" s="24" t="s">
        <v>43</v>
      </c>
      <c r="M249" s="24" t="s">
        <v>74</v>
      </c>
      <c r="N249" s="24"/>
      <c r="O249" s="24"/>
      <c r="P249" s="24" t="s">
        <v>122</v>
      </c>
      <c r="Q249" s="24"/>
      <c r="R249" s="23">
        <f>HYPERLINK("https://app.hubspot.com/contacts/8748051/record/0-2/35271236145", 35271236145)</f>
        <v>35271236145</v>
      </c>
      <c r="S249" s="24" t="s">
        <v>972</v>
      </c>
      <c r="T249" s="28" t="s">
        <v>973</v>
      </c>
      <c r="U249" s="24" t="s">
        <v>47</v>
      </c>
      <c r="V249" s="24"/>
      <c r="W249" s="25"/>
      <c r="X249" s="29">
        <v>85.0</v>
      </c>
      <c r="Y249" s="29">
        <v>13.0</v>
      </c>
      <c r="Z249" s="30"/>
      <c r="AA249" s="30"/>
      <c r="AB249" s="31"/>
      <c r="AC249" s="31"/>
      <c r="AD249" s="30"/>
      <c r="AE249" s="31"/>
      <c r="AF249" s="30"/>
      <c r="AG249" s="27" t="str">
        <f t="shared" si="1"/>
        <v>New Logo</v>
      </c>
      <c r="AH249" s="27" t="str">
        <f t="shared" si="5"/>
        <v>Lead</v>
      </c>
      <c r="AI249" s="27" t="str">
        <f t="shared" si="6"/>
        <v>0-200</v>
      </c>
      <c r="AJ249" s="27" t="str">
        <f t="shared" si="7"/>
        <v>0-20</v>
      </c>
    </row>
    <row r="250" ht="15.75" customHeight="1">
      <c r="A250" s="23">
        <f>HYPERLINK("https://app.hubspot.com/contacts/8748051/record/0-3/39016902017", 39016902017)</f>
        <v>39016902017</v>
      </c>
      <c r="B250" s="24" t="s">
        <v>974</v>
      </c>
      <c r="C250" s="24" t="s">
        <v>50</v>
      </c>
      <c r="D250" s="25">
        <v>40500.0</v>
      </c>
      <c r="E250" s="24" t="s">
        <v>127</v>
      </c>
      <c r="F250" s="24" t="s">
        <v>52</v>
      </c>
      <c r="G250" s="26">
        <v>45826.59306712963</v>
      </c>
      <c r="H250" s="26">
        <v>45930.476851851854</v>
      </c>
      <c r="I250" s="24" t="s">
        <v>40</v>
      </c>
      <c r="J250" s="24" t="s">
        <v>41</v>
      </c>
      <c r="K250" s="24" t="s">
        <v>42</v>
      </c>
      <c r="L250" s="24" t="s">
        <v>43</v>
      </c>
      <c r="M250" s="24" t="s">
        <v>44</v>
      </c>
      <c r="N250" s="24"/>
      <c r="O250" s="27"/>
      <c r="P250" s="24"/>
      <c r="Q250" s="24" t="s">
        <v>128</v>
      </c>
      <c r="R250" s="23">
        <f>HYPERLINK("https://app.hubspot.com/contacts/8748051/record/0-2/7914547487", 7914547487)</f>
        <v>7914547487</v>
      </c>
      <c r="S250" s="24" t="s">
        <v>975</v>
      </c>
      <c r="T250" s="28" t="s">
        <v>976</v>
      </c>
      <c r="U250" s="24" t="s">
        <v>47</v>
      </c>
      <c r="V250" s="24"/>
      <c r="W250" s="25"/>
      <c r="X250" s="29">
        <v>757.0</v>
      </c>
      <c r="Y250" s="29">
        <v>88.0</v>
      </c>
      <c r="Z250" s="30" t="s">
        <v>64</v>
      </c>
      <c r="AA250" s="30"/>
      <c r="AB250" s="31"/>
      <c r="AC250" s="31"/>
      <c r="AD250" s="30"/>
      <c r="AE250" s="30"/>
      <c r="AF250" s="30"/>
      <c r="AG250" s="27" t="str">
        <f t="shared" si="1"/>
        <v>New Logo</v>
      </c>
      <c r="AH250" s="27" t="str">
        <f t="shared" si="5"/>
        <v>Lead</v>
      </c>
      <c r="AI250" s="27" t="str">
        <f t="shared" si="6"/>
        <v>501-1000</v>
      </c>
      <c r="AJ250" s="27" t="str">
        <f t="shared" si="7"/>
        <v>51-100</v>
      </c>
    </row>
    <row r="251" ht="15.75" customHeight="1">
      <c r="A251" s="23">
        <f>HYPERLINK("https://app.hubspot.com/contacts/8748051/record/0-3/39019144489", 39019144489)</f>
        <v>39019144489</v>
      </c>
      <c r="B251" s="24" t="s">
        <v>977</v>
      </c>
      <c r="C251" s="24" t="s">
        <v>148</v>
      </c>
      <c r="D251" s="25">
        <v>70000.0</v>
      </c>
      <c r="E251" s="24" t="s">
        <v>127</v>
      </c>
      <c r="F251" s="24" t="s">
        <v>52</v>
      </c>
      <c r="G251" s="26">
        <v>45826.52909722222</v>
      </c>
      <c r="H251" s="26">
        <v>46022.47320601852</v>
      </c>
      <c r="I251" s="24" t="s">
        <v>40</v>
      </c>
      <c r="J251" s="24" t="s">
        <v>41</v>
      </c>
      <c r="K251" s="24" t="s">
        <v>42</v>
      </c>
      <c r="L251" s="24" t="s">
        <v>43</v>
      </c>
      <c r="M251" s="24" t="s">
        <v>44</v>
      </c>
      <c r="N251" s="24"/>
      <c r="O251" s="27"/>
      <c r="P251" s="24"/>
      <c r="Q251" s="24" t="s">
        <v>503</v>
      </c>
      <c r="R251" s="23">
        <f>HYPERLINK("https://app.hubspot.com/contacts/8748051/record/0-2/9016989477", 9016989477)</f>
        <v>9016989477</v>
      </c>
      <c r="S251" s="24" t="s">
        <v>978</v>
      </c>
      <c r="T251" s="28" t="s">
        <v>979</v>
      </c>
      <c r="U251" s="24" t="s">
        <v>47</v>
      </c>
      <c r="V251" s="24"/>
      <c r="W251" s="25"/>
      <c r="X251" s="29">
        <v>693.0</v>
      </c>
      <c r="Y251" s="29">
        <v>162.0</v>
      </c>
      <c r="Z251" s="30" t="s">
        <v>125</v>
      </c>
      <c r="AA251" s="30"/>
      <c r="AB251" s="31"/>
      <c r="AC251" s="30"/>
      <c r="AD251" s="30"/>
      <c r="AE251" s="30"/>
      <c r="AF251" s="30"/>
      <c r="AG251" s="27" t="str">
        <f t="shared" si="1"/>
        <v>New Logo</v>
      </c>
      <c r="AH251" s="27" t="str">
        <f t="shared" si="5"/>
        <v>Lead</v>
      </c>
      <c r="AI251" s="27" t="str">
        <f t="shared" si="6"/>
        <v>501-1000</v>
      </c>
      <c r="AJ251" s="27" t="str">
        <f t="shared" si="7"/>
        <v>101-500</v>
      </c>
    </row>
    <row r="252" ht="15.75" customHeight="1">
      <c r="A252" s="23">
        <f>HYPERLINK("https://app.hubspot.com/contacts/8748051/record/0-3/39015449004", 39015449004)</f>
        <v>39015449004</v>
      </c>
      <c r="B252" s="24" t="s">
        <v>980</v>
      </c>
      <c r="C252" s="24" t="s">
        <v>50</v>
      </c>
      <c r="D252" s="25">
        <v>3500.0</v>
      </c>
      <c r="E252" s="24" t="s">
        <v>578</v>
      </c>
      <c r="F252" s="24" t="s">
        <v>52</v>
      </c>
      <c r="G252" s="26">
        <v>45826.48247685185</v>
      </c>
      <c r="H252" s="26">
        <v>45896.644895833335</v>
      </c>
      <c r="I252" s="24" t="s">
        <v>40</v>
      </c>
      <c r="J252" s="24" t="s">
        <v>182</v>
      </c>
      <c r="K252" s="24" t="s">
        <v>161</v>
      </c>
      <c r="L252" s="24" t="s">
        <v>162</v>
      </c>
      <c r="M252" s="24" t="s">
        <v>102</v>
      </c>
      <c r="N252" s="24"/>
      <c r="O252" s="27"/>
      <c r="P252" s="24"/>
      <c r="Q252" s="24"/>
      <c r="R252" s="23">
        <f>HYPERLINK("https://app.hubspot.com/contacts/8748051/record/0-2/7735473314", 7735473314)</f>
        <v>7735473314</v>
      </c>
      <c r="S252" s="24" t="s">
        <v>316</v>
      </c>
      <c r="T252" s="28" t="s">
        <v>317</v>
      </c>
      <c r="U252" s="24" t="s">
        <v>96</v>
      </c>
      <c r="V252" s="24"/>
      <c r="W252" s="25">
        <v>7920.0</v>
      </c>
      <c r="X252" s="29">
        <v>653.0</v>
      </c>
      <c r="Y252" s="29">
        <v>92.0</v>
      </c>
      <c r="Z252" s="30"/>
      <c r="AA252" s="30" t="s">
        <v>193</v>
      </c>
      <c r="AB252" s="31"/>
      <c r="AC252" s="30"/>
      <c r="AD252" s="30" t="s">
        <v>318</v>
      </c>
      <c r="AE252" s="30" t="s">
        <v>319</v>
      </c>
      <c r="AF252" s="30" t="s">
        <v>169</v>
      </c>
      <c r="AG252" s="27" t="str">
        <f t="shared" si="1"/>
        <v>Upsell</v>
      </c>
      <c r="AH252" s="27" t="str">
        <f t="shared" si="5"/>
        <v>Customer</v>
      </c>
      <c r="AI252" s="27" t="str">
        <f t="shared" si="6"/>
        <v>501-1000</v>
      </c>
      <c r="AJ252" s="27" t="str">
        <f t="shared" si="7"/>
        <v>51-100</v>
      </c>
    </row>
    <row r="253" ht="15.75" customHeight="1">
      <c r="A253" s="23">
        <f>HYPERLINK("https://app.hubspot.com/contacts/8748051/record/0-3/38959354216", 38959354216)</f>
        <v>38959354216</v>
      </c>
      <c r="B253" s="24" t="s">
        <v>981</v>
      </c>
      <c r="C253" s="24" t="s">
        <v>148</v>
      </c>
      <c r="D253" s="25">
        <v>4000.0</v>
      </c>
      <c r="E253" s="24" t="s">
        <v>73</v>
      </c>
      <c r="F253" s="24"/>
      <c r="G253" s="26">
        <v>45824.525092592594</v>
      </c>
      <c r="H253" s="26">
        <v>46004.52506944445</v>
      </c>
      <c r="I253" s="24" t="s">
        <v>40</v>
      </c>
      <c r="J253" s="24" t="s">
        <v>41</v>
      </c>
      <c r="K253" s="24" t="s">
        <v>42</v>
      </c>
      <c r="L253" s="24" t="s">
        <v>43</v>
      </c>
      <c r="M253" s="24" t="s">
        <v>44</v>
      </c>
      <c r="N253" s="24"/>
      <c r="O253" s="27"/>
      <c r="P253" s="24" t="s">
        <v>75</v>
      </c>
      <c r="Q253" s="24"/>
      <c r="R253" s="23">
        <f>HYPERLINK("https://app.hubspot.com/contacts/8748051/record/0-2/35097416855", 35097416855)</f>
        <v>35097416855</v>
      </c>
      <c r="S253" s="24" t="s">
        <v>982</v>
      </c>
      <c r="T253" s="28" t="s">
        <v>983</v>
      </c>
      <c r="U253" s="24" t="s">
        <v>47</v>
      </c>
      <c r="V253" s="24"/>
      <c r="W253" s="25"/>
      <c r="X253" s="29">
        <v>129.0</v>
      </c>
      <c r="Y253" s="29">
        <v>7.0</v>
      </c>
      <c r="Z253" s="30"/>
      <c r="AA253" s="30"/>
      <c r="AB253" s="31"/>
      <c r="AC253" s="31"/>
      <c r="AD253" s="30"/>
      <c r="AE253" s="30"/>
      <c r="AF253" s="30"/>
      <c r="AG253" s="27" t="str">
        <f t="shared" si="1"/>
        <v>New Logo</v>
      </c>
      <c r="AH253" s="27" t="str">
        <f t="shared" si="5"/>
        <v>Lead</v>
      </c>
      <c r="AI253" s="27" t="str">
        <f t="shared" si="6"/>
        <v>0-200</v>
      </c>
      <c r="AJ253" s="27" t="str">
        <f t="shared" si="7"/>
        <v>0-20</v>
      </c>
    </row>
    <row r="254" ht="15.75" customHeight="1">
      <c r="A254" s="23">
        <f>HYPERLINK("https://app.hubspot.com/contacts/8748051/record/0-3/38846224783", 38846224783)</f>
        <v>38846224783</v>
      </c>
      <c r="B254" s="24" t="s">
        <v>984</v>
      </c>
      <c r="C254" s="24" t="s">
        <v>50</v>
      </c>
      <c r="D254" s="25">
        <v>10000.0</v>
      </c>
      <c r="E254" s="24" t="s">
        <v>127</v>
      </c>
      <c r="F254" s="24"/>
      <c r="G254" s="26">
        <v>45821.39393518519</v>
      </c>
      <c r="H254" s="26">
        <v>46001.39393518519</v>
      </c>
      <c r="I254" s="24" t="s">
        <v>40</v>
      </c>
      <c r="J254" s="24" t="s">
        <v>53</v>
      </c>
      <c r="K254" s="24" t="s">
        <v>42</v>
      </c>
      <c r="L254" s="24" t="s">
        <v>43</v>
      </c>
      <c r="M254" s="24" t="s">
        <v>44</v>
      </c>
      <c r="N254" s="24"/>
      <c r="O254" s="27"/>
      <c r="P254" s="24"/>
      <c r="Q254" s="24" t="s">
        <v>238</v>
      </c>
      <c r="R254" s="23">
        <f>HYPERLINK("https://app.hubspot.com/contacts/8748051/record/0-2/9238401146", 9238401146)</f>
        <v>9238401146</v>
      </c>
      <c r="S254" s="24" t="s">
        <v>985</v>
      </c>
      <c r="T254" s="28" t="s">
        <v>986</v>
      </c>
      <c r="U254" s="24" t="s">
        <v>47</v>
      </c>
      <c r="V254" s="24"/>
      <c r="W254" s="25"/>
      <c r="X254" s="29">
        <v>51621.0</v>
      </c>
      <c r="Y254" s="29">
        <v>2591.0</v>
      </c>
      <c r="Z254" s="30"/>
      <c r="AA254" s="30"/>
      <c r="AB254" s="31"/>
      <c r="AC254" s="31"/>
      <c r="AD254" s="30"/>
      <c r="AE254" s="31"/>
      <c r="AF254" s="30"/>
      <c r="AG254" s="27" t="str">
        <f t="shared" si="1"/>
        <v>New Logo</v>
      </c>
      <c r="AH254" s="27" t="str">
        <f t="shared" si="5"/>
        <v>Lead</v>
      </c>
      <c r="AI254" s="27" t="str">
        <f t="shared" si="6"/>
        <v>10000+</v>
      </c>
      <c r="AJ254" s="27" t="str">
        <f t="shared" si="7"/>
        <v>500+</v>
      </c>
    </row>
    <row r="255" ht="15.75" customHeight="1">
      <c r="A255" s="23">
        <f>HYPERLINK("https://app.hubspot.com/contacts/8748051/record/0-3/38824171154", 38824171154)</f>
        <v>38824171154</v>
      </c>
      <c r="B255" s="24" t="s">
        <v>987</v>
      </c>
      <c r="C255" s="24" t="s">
        <v>50</v>
      </c>
      <c r="D255" s="25">
        <v>7500.0</v>
      </c>
      <c r="E255" s="24" t="s">
        <v>92</v>
      </c>
      <c r="F255" s="24" t="s">
        <v>52</v>
      </c>
      <c r="G255" s="26">
        <v>45820.69684027778</v>
      </c>
      <c r="H255" s="26">
        <v>45838.48936342593</v>
      </c>
      <c r="I255" s="24" t="s">
        <v>40</v>
      </c>
      <c r="J255" s="24" t="s">
        <v>41</v>
      </c>
      <c r="K255" s="24" t="s">
        <v>42</v>
      </c>
      <c r="L255" s="24" t="s">
        <v>43</v>
      </c>
      <c r="M255" s="24" t="s">
        <v>44</v>
      </c>
      <c r="N255" s="24" t="s">
        <v>988</v>
      </c>
      <c r="O255" s="27"/>
      <c r="P255" s="24"/>
      <c r="Q255" s="24"/>
      <c r="R255" s="23">
        <f>HYPERLINK("https://app.hubspot.com/contacts/8748051/record/0-2/35012615804", 35012615804)</f>
        <v>35012615804</v>
      </c>
      <c r="S255" s="24" t="s">
        <v>989</v>
      </c>
      <c r="T255" s="28" t="s">
        <v>990</v>
      </c>
      <c r="U255" s="24" t="s">
        <v>96</v>
      </c>
      <c r="V255" s="24"/>
      <c r="W255" s="25">
        <v>7500.0</v>
      </c>
      <c r="X255" s="29">
        <v>64.0</v>
      </c>
      <c r="Y255" s="29">
        <v>11.0</v>
      </c>
      <c r="Z255" s="30"/>
      <c r="AA255" s="30" t="s">
        <v>97</v>
      </c>
      <c r="AB255" s="31"/>
      <c r="AC255" s="31"/>
      <c r="AD255" s="30" t="s">
        <v>962</v>
      </c>
      <c r="AE255" s="30"/>
      <c r="AF255" s="30" t="s">
        <v>991</v>
      </c>
      <c r="AG255" s="27" t="str">
        <f t="shared" si="1"/>
        <v>New Logo</v>
      </c>
      <c r="AH255" s="27" t="str">
        <f t="shared" si="5"/>
        <v>Customer</v>
      </c>
      <c r="AI255" s="27" t="str">
        <f t="shared" si="6"/>
        <v>0-200</v>
      </c>
      <c r="AJ255" s="27" t="str">
        <f t="shared" si="7"/>
        <v>0-20</v>
      </c>
    </row>
    <row r="256" ht="15.75" customHeight="1">
      <c r="A256" s="23">
        <f>HYPERLINK("https://app.hubspot.com/contacts/8748051/record/0-3/38775189683", 38775189683)</f>
        <v>38775189683</v>
      </c>
      <c r="B256" s="24" t="s">
        <v>992</v>
      </c>
      <c r="C256" s="24" t="s">
        <v>38</v>
      </c>
      <c r="D256" s="25">
        <v>49500.0</v>
      </c>
      <c r="E256" s="24" t="s">
        <v>127</v>
      </c>
      <c r="F256" s="24" t="s">
        <v>52</v>
      </c>
      <c r="G256" s="26">
        <v>45819.590520833335</v>
      </c>
      <c r="H256" s="26">
        <v>46107.46976851852</v>
      </c>
      <c r="I256" s="24" t="s">
        <v>40</v>
      </c>
      <c r="J256" s="24" t="s">
        <v>41</v>
      </c>
      <c r="K256" s="24" t="s">
        <v>42</v>
      </c>
      <c r="L256" s="24" t="s">
        <v>43</v>
      </c>
      <c r="M256" s="24" t="s">
        <v>44</v>
      </c>
      <c r="N256" s="27"/>
      <c r="O256" s="27"/>
      <c r="P256" s="24"/>
      <c r="Q256" s="24" t="s">
        <v>144</v>
      </c>
      <c r="R256" s="23">
        <f>HYPERLINK("https://app.hubspot.com/contacts/8748051/record/0-2/34978412171", 34978412171)</f>
        <v>34978412171</v>
      </c>
      <c r="S256" s="24" t="s">
        <v>993</v>
      </c>
      <c r="T256" s="28" t="s">
        <v>994</v>
      </c>
      <c r="U256" s="24" t="s">
        <v>47</v>
      </c>
      <c r="V256" s="24"/>
      <c r="W256" s="25"/>
      <c r="X256" s="29">
        <v>823.0</v>
      </c>
      <c r="Y256" s="29">
        <v>107.0</v>
      </c>
      <c r="Z256" s="30"/>
      <c r="AA256" s="30"/>
      <c r="AB256" s="31"/>
      <c r="AC256" s="31"/>
      <c r="AD256" s="30"/>
      <c r="AE256" s="31"/>
      <c r="AF256" s="30"/>
      <c r="AG256" s="27" t="str">
        <f t="shared" si="1"/>
        <v>New Logo</v>
      </c>
      <c r="AH256" s="27" t="str">
        <f t="shared" si="5"/>
        <v>Lead</v>
      </c>
      <c r="AI256" s="27" t="str">
        <f t="shared" si="6"/>
        <v>501-1000</v>
      </c>
      <c r="AJ256" s="27" t="str">
        <f t="shared" si="7"/>
        <v>101-500</v>
      </c>
    </row>
    <row r="257" ht="15.75" customHeight="1">
      <c r="A257" s="23">
        <f>HYPERLINK("https://app.hubspot.com/contacts/8748051/record/0-3/38643597239", 38643597239)</f>
        <v>38643597239</v>
      </c>
      <c r="B257" s="24" t="s">
        <v>995</v>
      </c>
      <c r="C257" s="24" t="s">
        <v>38</v>
      </c>
      <c r="D257" s="25">
        <v>7000.0</v>
      </c>
      <c r="E257" s="24" t="s">
        <v>127</v>
      </c>
      <c r="F257" s="24" t="s">
        <v>52</v>
      </c>
      <c r="G257" s="26">
        <v>45816.566354166665</v>
      </c>
      <c r="H257" s="26">
        <v>46073.40671296296</v>
      </c>
      <c r="I257" s="24" t="s">
        <v>40</v>
      </c>
      <c r="J257" s="24" t="s">
        <v>41</v>
      </c>
      <c r="K257" s="24" t="s">
        <v>42</v>
      </c>
      <c r="L257" s="24" t="s">
        <v>43</v>
      </c>
      <c r="M257" s="24" t="s">
        <v>74</v>
      </c>
      <c r="N257" s="24"/>
      <c r="O257" s="27"/>
      <c r="P257" s="24"/>
      <c r="Q257" s="24" t="s">
        <v>128</v>
      </c>
      <c r="R257" s="23">
        <f>HYPERLINK("https://app.hubspot.com/contacts/8748051/record/0-2/34789099193", 34789099193)</f>
        <v>34789099193</v>
      </c>
      <c r="S257" s="24" t="s">
        <v>996</v>
      </c>
      <c r="T257" s="28" t="s">
        <v>997</v>
      </c>
      <c r="U257" s="24" t="s">
        <v>47</v>
      </c>
      <c r="V257" s="24"/>
      <c r="W257" s="25"/>
      <c r="X257" s="29">
        <v>96.0</v>
      </c>
      <c r="Y257" s="29">
        <v>13.0</v>
      </c>
      <c r="Z257" s="30"/>
      <c r="AA257" s="30"/>
      <c r="AB257" s="31"/>
      <c r="AC257" s="30"/>
      <c r="AD257" s="30"/>
      <c r="AE257" s="31"/>
      <c r="AF257" s="30"/>
      <c r="AG257" s="27" t="str">
        <f t="shared" si="1"/>
        <v>New Logo</v>
      </c>
      <c r="AH257" s="27" t="str">
        <f t="shared" si="5"/>
        <v>Lead</v>
      </c>
      <c r="AI257" s="27" t="str">
        <f t="shared" si="6"/>
        <v>0-200</v>
      </c>
      <c r="AJ257" s="27" t="str">
        <f t="shared" si="7"/>
        <v>0-20</v>
      </c>
    </row>
    <row r="258" ht="15.75" customHeight="1">
      <c r="A258" s="23">
        <f>HYPERLINK("https://app.hubspot.com/contacts/8748051/record/0-3/38530402227", 38530402227)</f>
        <v>38530402227</v>
      </c>
      <c r="B258" s="24" t="s">
        <v>998</v>
      </c>
      <c r="C258" s="24" t="s">
        <v>148</v>
      </c>
      <c r="D258" s="25">
        <v>8210.0</v>
      </c>
      <c r="E258" s="24" t="s">
        <v>73</v>
      </c>
      <c r="F258" s="24"/>
      <c r="G258" s="26">
        <v>45814.11004629629</v>
      </c>
      <c r="H258" s="26">
        <v>46022.47069444445</v>
      </c>
      <c r="I258" s="24" t="s">
        <v>40</v>
      </c>
      <c r="J258" s="24" t="s">
        <v>182</v>
      </c>
      <c r="K258" s="24" t="s">
        <v>42</v>
      </c>
      <c r="L258" s="24" t="s">
        <v>715</v>
      </c>
      <c r="M258" s="24" t="s">
        <v>102</v>
      </c>
      <c r="N258" s="27"/>
      <c r="O258" s="27"/>
      <c r="P258" s="24" t="s">
        <v>234</v>
      </c>
      <c r="Q258" s="24"/>
      <c r="R258" s="23">
        <f>HYPERLINK("https://app.hubspot.com/contacts/8748051/record/0-2/9069717254", 9069717254)</f>
        <v>9069717254</v>
      </c>
      <c r="S258" s="24" t="s">
        <v>999</v>
      </c>
      <c r="T258" s="28" t="s">
        <v>1000</v>
      </c>
      <c r="U258" s="24" t="s">
        <v>96</v>
      </c>
      <c r="V258" s="24"/>
      <c r="W258" s="25">
        <v>5040.0</v>
      </c>
      <c r="X258" s="29">
        <v>991.0</v>
      </c>
      <c r="Y258" s="29">
        <v>213.0</v>
      </c>
      <c r="Z258" s="30"/>
      <c r="AA258" s="30" t="s">
        <v>220</v>
      </c>
      <c r="AB258" s="31"/>
      <c r="AC258" s="31"/>
      <c r="AD258" s="30" t="s">
        <v>1001</v>
      </c>
      <c r="AE258" s="31"/>
      <c r="AF258" s="30" t="s">
        <v>764</v>
      </c>
      <c r="AG258" s="27" t="str">
        <f t="shared" si="1"/>
        <v>Upsell</v>
      </c>
      <c r="AH258" s="27" t="str">
        <f t="shared" si="5"/>
        <v>Customer</v>
      </c>
      <c r="AI258" s="27" t="str">
        <f t="shared" si="6"/>
        <v>501-1000</v>
      </c>
      <c r="AJ258" s="27" t="str">
        <f t="shared" si="7"/>
        <v>101-500</v>
      </c>
    </row>
    <row r="259" ht="15.75" customHeight="1">
      <c r="A259" s="23">
        <f>HYPERLINK("https://app.hubspot.com/contacts/8748051/record/0-3/38509006409", 38509006409)</f>
        <v>38509006409</v>
      </c>
      <c r="B259" s="24" t="s">
        <v>1002</v>
      </c>
      <c r="C259" s="24" t="s">
        <v>50</v>
      </c>
      <c r="D259" s="25">
        <v>10000.0</v>
      </c>
      <c r="E259" s="24" t="s">
        <v>127</v>
      </c>
      <c r="F259" s="24" t="s">
        <v>52</v>
      </c>
      <c r="G259" s="26">
        <v>45813.671319444446</v>
      </c>
      <c r="H259" s="26">
        <v>46112.4909375</v>
      </c>
      <c r="I259" s="24" t="s">
        <v>40</v>
      </c>
      <c r="J259" s="24" t="s">
        <v>41</v>
      </c>
      <c r="K259" s="24" t="s">
        <v>42</v>
      </c>
      <c r="L259" s="24" t="s">
        <v>43</v>
      </c>
      <c r="M259" s="24" t="s">
        <v>44</v>
      </c>
      <c r="N259" s="27"/>
      <c r="O259" s="24"/>
      <c r="P259" s="24"/>
      <c r="Q259" s="24" t="s">
        <v>144</v>
      </c>
      <c r="R259" s="23">
        <f>HYPERLINK("https://app.hubspot.com/contacts/8748051/record/0-2/16376183860", 16376183860)</f>
        <v>16376183860</v>
      </c>
      <c r="S259" s="24" t="s">
        <v>1003</v>
      </c>
      <c r="T259" s="28" t="s">
        <v>1004</v>
      </c>
      <c r="U259" s="24" t="s">
        <v>47</v>
      </c>
      <c r="V259" s="24"/>
      <c r="W259" s="32"/>
      <c r="X259" s="29">
        <v>1025.0</v>
      </c>
      <c r="Y259" s="29">
        <v>135.0</v>
      </c>
      <c r="Z259" s="30" t="s">
        <v>108</v>
      </c>
      <c r="AA259" s="31"/>
      <c r="AB259" s="31"/>
      <c r="AC259" s="31"/>
      <c r="AD259" s="31"/>
      <c r="AE259" s="31"/>
      <c r="AF259" s="31"/>
      <c r="AG259" s="27" t="str">
        <f t="shared" si="1"/>
        <v>New Logo</v>
      </c>
      <c r="AH259" s="27" t="str">
        <f t="shared" si="5"/>
        <v>Lead</v>
      </c>
      <c r="AI259" s="27" t="str">
        <f t="shared" si="6"/>
        <v>1001-5000</v>
      </c>
      <c r="AJ259" s="27" t="str">
        <f t="shared" si="7"/>
        <v>101-500</v>
      </c>
    </row>
    <row r="260" ht="15.75" customHeight="1">
      <c r="A260" s="23">
        <f>HYPERLINK("https://app.hubspot.com/contacts/8748051/record/0-3/38434478902", 38434478902)</f>
        <v>38434478902</v>
      </c>
      <c r="B260" s="24" t="s">
        <v>1005</v>
      </c>
      <c r="C260" s="24" t="s">
        <v>38</v>
      </c>
      <c r="D260" s="25">
        <v>32500.0</v>
      </c>
      <c r="E260" s="24" t="s">
        <v>73</v>
      </c>
      <c r="F260" s="24"/>
      <c r="G260" s="26">
        <v>45812.451875</v>
      </c>
      <c r="H260" s="26">
        <v>46037.44347222222</v>
      </c>
      <c r="I260" s="24" t="s">
        <v>40</v>
      </c>
      <c r="J260" s="24" t="s">
        <v>41</v>
      </c>
      <c r="K260" s="24" t="s">
        <v>42</v>
      </c>
      <c r="L260" s="24" t="s">
        <v>43</v>
      </c>
      <c r="M260" s="24" t="s">
        <v>44</v>
      </c>
      <c r="N260" s="24"/>
      <c r="O260" s="24"/>
      <c r="P260" s="24" t="s">
        <v>213</v>
      </c>
      <c r="Q260" s="24"/>
      <c r="R260" s="23">
        <f>HYPERLINK("https://app.hubspot.com/contacts/8748051/record/0-2/34645141515", 34645141515)</f>
        <v>34645141515</v>
      </c>
      <c r="S260" s="24" t="s">
        <v>1006</v>
      </c>
      <c r="T260" s="28" t="s">
        <v>1007</v>
      </c>
      <c r="U260" s="24" t="s">
        <v>47</v>
      </c>
      <c r="V260" s="24"/>
      <c r="W260" s="25"/>
      <c r="X260" s="29">
        <v>1530.0</v>
      </c>
      <c r="Y260" s="29">
        <v>66.0</v>
      </c>
      <c r="Z260" s="30"/>
      <c r="AA260" s="30"/>
      <c r="AB260" s="31"/>
      <c r="AC260" s="31"/>
      <c r="AD260" s="30"/>
      <c r="AE260" s="30"/>
      <c r="AF260" s="30"/>
      <c r="AG260" s="27" t="str">
        <f t="shared" si="1"/>
        <v>New Logo</v>
      </c>
      <c r="AH260" s="27" t="str">
        <f t="shared" si="5"/>
        <v>Lead</v>
      </c>
      <c r="AI260" s="27" t="str">
        <f t="shared" si="6"/>
        <v>1001-5000</v>
      </c>
      <c r="AJ260" s="27" t="str">
        <f t="shared" si="7"/>
        <v>51-100</v>
      </c>
    </row>
    <row r="261" ht="15.75" customHeight="1">
      <c r="A261" s="23">
        <f>HYPERLINK("https://app.hubspot.com/contacts/8748051/record/0-3/38348580449", 38348580449)</f>
        <v>38348580449</v>
      </c>
      <c r="B261" s="24" t="s">
        <v>1008</v>
      </c>
      <c r="C261" s="24" t="s">
        <v>1009</v>
      </c>
      <c r="D261" s="25">
        <v>5000.0</v>
      </c>
      <c r="E261" s="24" t="s">
        <v>73</v>
      </c>
      <c r="F261" s="24"/>
      <c r="G261" s="26">
        <v>45811.3834375</v>
      </c>
      <c r="H261" s="26">
        <v>45991.383425925924</v>
      </c>
      <c r="I261" s="24" t="s">
        <v>40</v>
      </c>
      <c r="J261" s="24" t="s">
        <v>41</v>
      </c>
      <c r="K261" s="24" t="s">
        <v>42</v>
      </c>
      <c r="L261" s="24" t="s">
        <v>43</v>
      </c>
      <c r="M261" s="24" t="s">
        <v>74</v>
      </c>
      <c r="N261" s="24"/>
      <c r="O261" s="24"/>
      <c r="P261" s="24" t="s">
        <v>122</v>
      </c>
      <c r="Q261" s="24"/>
      <c r="R261" s="23">
        <f>HYPERLINK("https://app.hubspot.com/contacts/8748051/record/0-2/34499925019", 34499925019)</f>
        <v>34499925019</v>
      </c>
      <c r="S261" s="24" t="s">
        <v>1010</v>
      </c>
      <c r="T261" s="28" t="s">
        <v>1011</v>
      </c>
      <c r="U261" s="24" t="s">
        <v>47</v>
      </c>
      <c r="V261" s="24"/>
      <c r="W261" s="25"/>
      <c r="X261" s="29">
        <v>97.0</v>
      </c>
      <c r="Y261" s="29">
        <v>10.0</v>
      </c>
      <c r="Z261" s="30"/>
      <c r="AA261" s="30"/>
      <c r="AB261" s="31"/>
      <c r="AC261" s="31"/>
      <c r="AD261" s="30"/>
      <c r="AE261" s="30"/>
      <c r="AF261" s="30"/>
      <c r="AG261" s="27" t="str">
        <f t="shared" si="1"/>
        <v>New Logo</v>
      </c>
      <c r="AH261" s="27" t="str">
        <f t="shared" si="5"/>
        <v>Lead</v>
      </c>
      <c r="AI261" s="27" t="str">
        <f t="shared" si="6"/>
        <v>0-200</v>
      </c>
      <c r="AJ261" s="27" t="str">
        <f t="shared" si="7"/>
        <v>0-20</v>
      </c>
    </row>
    <row r="262" ht="15.75" customHeight="1">
      <c r="A262" s="23">
        <f>HYPERLINK("https://app.hubspot.com/contacts/8748051/record/0-3/38348760958", 38348760958)</f>
        <v>38348760958</v>
      </c>
      <c r="B262" s="24" t="s">
        <v>1012</v>
      </c>
      <c r="C262" s="24" t="s">
        <v>148</v>
      </c>
      <c r="D262" s="25">
        <v>1000.0</v>
      </c>
      <c r="E262" s="24" t="s">
        <v>92</v>
      </c>
      <c r="F262" s="24"/>
      <c r="G262" s="26">
        <v>45811.37519675926</v>
      </c>
      <c r="H262" s="26">
        <v>45811.37571759259</v>
      </c>
      <c r="I262" s="24" t="s">
        <v>40</v>
      </c>
      <c r="J262" s="24" t="s">
        <v>182</v>
      </c>
      <c r="K262" s="24" t="s">
        <v>161</v>
      </c>
      <c r="L262" s="24" t="s">
        <v>162</v>
      </c>
      <c r="M262" s="24" t="s">
        <v>74</v>
      </c>
      <c r="N262" s="24" t="s">
        <v>1013</v>
      </c>
      <c r="O262" s="24"/>
      <c r="P262" s="24"/>
      <c r="Q262" s="24"/>
      <c r="R262" s="23">
        <f>HYPERLINK("https://app.hubspot.com/contacts/8748051/record/0-2/21926460338", 21926460338)</f>
        <v>21926460338</v>
      </c>
      <c r="S262" s="24" t="s">
        <v>218</v>
      </c>
      <c r="T262" s="28" t="s">
        <v>219</v>
      </c>
      <c r="U262" s="24" t="s">
        <v>96</v>
      </c>
      <c r="V262" s="24"/>
      <c r="W262" s="25">
        <v>12368.0</v>
      </c>
      <c r="X262" s="29">
        <v>134.0</v>
      </c>
      <c r="Y262" s="29">
        <v>16.0</v>
      </c>
      <c r="Z262" s="30"/>
      <c r="AA262" s="30" t="s">
        <v>220</v>
      </c>
      <c r="AB262" s="31"/>
      <c r="AC262" s="31"/>
      <c r="AD262" s="30" t="s">
        <v>221</v>
      </c>
      <c r="AE262" s="30" t="s">
        <v>222</v>
      </c>
      <c r="AF262" s="30" t="s">
        <v>169</v>
      </c>
      <c r="AG262" s="27" t="str">
        <f t="shared" si="1"/>
        <v>Upsell</v>
      </c>
      <c r="AH262" s="27" t="str">
        <f t="shared" si="5"/>
        <v>Customer</v>
      </c>
      <c r="AI262" s="27" t="str">
        <f t="shared" si="6"/>
        <v>0-200</v>
      </c>
      <c r="AJ262" s="27" t="str">
        <f t="shared" si="7"/>
        <v>0-20</v>
      </c>
    </row>
    <row r="263" ht="15.75" customHeight="1">
      <c r="A263" s="23">
        <f>HYPERLINK("https://app.hubspot.com/contacts/8748051/record/0-3/38284566359", 38284566359)</f>
        <v>38284566359</v>
      </c>
      <c r="B263" s="24" t="s">
        <v>1014</v>
      </c>
      <c r="C263" s="24" t="s">
        <v>1009</v>
      </c>
      <c r="D263" s="25">
        <v>16500.0</v>
      </c>
      <c r="E263" s="24" t="s">
        <v>73</v>
      </c>
      <c r="F263" s="24"/>
      <c r="G263" s="26">
        <v>45810.54537037037</v>
      </c>
      <c r="H263" s="26">
        <v>45993.50234953704</v>
      </c>
      <c r="I263" s="24" t="s">
        <v>40</v>
      </c>
      <c r="J263" s="24" t="s">
        <v>41</v>
      </c>
      <c r="K263" s="24" t="s">
        <v>60</v>
      </c>
      <c r="L263" s="24" t="s">
        <v>178</v>
      </c>
      <c r="M263" s="24" t="s">
        <v>74</v>
      </c>
      <c r="N263" s="27"/>
      <c r="O263" s="24"/>
      <c r="P263" s="24" t="s">
        <v>75</v>
      </c>
      <c r="Q263" s="24"/>
      <c r="R263" s="23">
        <f>HYPERLINK("https://app.hubspot.com/contacts/8748051/record/0-2/32765657909", 32765657909)</f>
        <v>32765657909</v>
      </c>
      <c r="S263" s="24" t="s">
        <v>1015</v>
      </c>
      <c r="T263" s="28" t="s">
        <v>1016</v>
      </c>
      <c r="U263" s="24" t="s">
        <v>47</v>
      </c>
      <c r="V263" s="24"/>
      <c r="W263" s="32"/>
      <c r="X263" s="29">
        <v>159.0</v>
      </c>
      <c r="Y263" s="29">
        <v>33.0</v>
      </c>
      <c r="Z263" s="30"/>
      <c r="AA263" s="31"/>
      <c r="AB263" s="31"/>
      <c r="AC263" s="31"/>
      <c r="AD263" s="31"/>
      <c r="AE263" s="31"/>
      <c r="AF263" s="31"/>
      <c r="AG263" s="27" t="str">
        <f t="shared" si="1"/>
        <v>New Logo</v>
      </c>
      <c r="AH263" s="27" t="str">
        <f t="shared" si="5"/>
        <v>Lead</v>
      </c>
      <c r="AI263" s="27" t="str">
        <f t="shared" si="6"/>
        <v>0-200</v>
      </c>
      <c r="AJ263" s="27" t="str">
        <f t="shared" si="7"/>
        <v>21-50</v>
      </c>
    </row>
    <row r="264" ht="15.75" customHeight="1">
      <c r="A264" s="23">
        <f>HYPERLINK("https://app.hubspot.com/contacts/8748051/record/0-3/38320089488", 38320089488)</f>
        <v>38320089488</v>
      </c>
      <c r="B264" s="24" t="s">
        <v>1017</v>
      </c>
      <c r="C264" s="24" t="s">
        <v>38</v>
      </c>
      <c r="D264" s="25">
        <v>13000.0</v>
      </c>
      <c r="E264" s="24" t="s">
        <v>73</v>
      </c>
      <c r="F264" s="24"/>
      <c r="G264" s="26">
        <v>45810.46103009259</v>
      </c>
      <c r="H264" s="26">
        <v>46037.44353009259</v>
      </c>
      <c r="I264" s="24" t="s">
        <v>40</v>
      </c>
      <c r="J264" s="24" t="s">
        <v>41</v>
      </c>
      <c r="K264" s="24" t="s">
        <v>42</v>
      </c>
      <c r="L264" s="24" t="s">
        <v>43</v>
      </c>
      <c r="M264" s="24" t="s">
        <v>44</v>
      </c>
      <c r="N264" s="27"/>
      <c r="O264" s="24"/>
      <c r="P264" s="24" t="s">
        <v>75</v>
      </c>
      <c r="Q264" s="27"/>
      <c r="R264" s="23">
        <f>HYPERLINK("https://app.hubspot.com/contacts/8748051/record/0-2/34500337286", 34500337286)</f>
        <v>34500337286</v>
      </c>
      <c r="S264" s="24" t="s">
        <v>1018</v>
      </c>
      <c r="T264" s="28" t="s">
        <v>1019</v>
      </c>
      <c r="U264" s="24" t="s">
        <v>47</v>
      </c>
      <c r="V264" s="24"/>
      <c r="W264" s="32"/>
      <c r="X264" s="29">
        <v>240.0</v>
      </c>
      <c r="Y264" s="29">
        <v>27.0</v>
      </c>
      <c r="Z264" s="30"/>
      <c r="AA264" s="31"/>
      <c r="AB264" s="31"/>
      <c r="AC264" s="31"/>
      <c r="AD264" s="31"/>
      <c r="AE264" s="31"/>
      <c r="AF264" s="31"/>
      <c r="AG264" s="27" t="str">
        <f t="shared" si="1"/>
        <v>New Logo</v>
      </c>
      <c r="AH264" s="27" t="str">
        <f t="shared" si="5"/>
        <v>Lead</v>
      </c>
      <c r="AI264" s="27" t="str">
        <f t="shared" si="6"/>
        <v>201-500</v>
      </c>
      <c r="AJ264" s="27" t="str">
        <f t="shared" si="7"/>
        <v>21-50</v>
      </c>
    </row>
    <row r="265" ht="15.75" customHeight="1">
      <c r="A265" s="23">
        <f>HYPERLINK("https://app.hubspot.com/contacts/8748051/record/0-3/38231802427", 38231802427)</f>
        <v>38231802427</v>
      </c>
      <c r="B265" s="24" t="s">
        <v>1020</v>
      </c>
      <c r="C265" s="24" t="s">
        <v>1009</v>
      </c>
      <c r="D265" s="25">
        <v>500.0</v>
      </c>
      <c r="E265" s="24" t="s">
        <v>73</v>
      </c>
      <c r="F265" s="24"/>
      <c r="G265" s="26">
        <v>45807.379594907405</v>
      </c>
      <c r="H265" s="26">
        <v>45987.379525462966</v>
      </c>
      <c r="I265" s="24" t="s">
        <v>40</v>
      </c>
      <c r="J265" s="24" t="s">
        <v>41</v>
      </c>
      <c r="K265" s="24" t="s">
        <v>42</v>
      </c>
      <c r="L265" s="24" t="s">
        <v>43</v>
      </c>
      <c r="M265" s="24" t="s">
        <v>74</v>
      </c>
      <c r="N265" s="24"/>
      <c r="O265" s="24"/>
      <c r="P265" s="24" t="s">
        <v>75</v>
      </c>
      <c r="Q265" s="24"/>
      <c r="R265" s="23">
        <f>HYPERLINK("https://app.hubspot.com/contacts/8748051/record/0-2/34450059282", 34450059282)</f>
        <v>34450059282</v>
      </c>
      <c r="S265" s="24" t="s">
        <v>1021</v>
      </c>
      <c r="T265" s="28" t="s">
        <v>1022</v>
      </c>
      <c r="U265" s="24" t="s">
        <v>47</v>
      </c>
      <c r="V265" s="24"/>
      <c r="W265" s="25"/>
      <c r="X265" s="29">
        <v>5.0</v>
      </c>
      <c r="Y265" s="29">
        <v>1.0</v>
      </c>
      <c r="Z265" s="30"/>
      <c r="AA265" s="30"/>
      <c r="AB265" s="30"/>
      <c r="AC265" s="31"/>
      <c r="AD265" s="30"/>
      <c r="AE265" s="31"/>
      <c r="AF265" s="30"/>
      <c r="AG265" s="27" t="str">
        <f t="shared" si="1"/>
        <v>New Logo</v>
      </c>
      <c r="AH265" s="27" t="str">
        <f t="shared" si="5"/>
        <v>Lead</v>
      </c>
      <c r="AI265" s="27" t="str">
        <f t="shared" si="6"/>
        <v>0-200</v>
      </c>
      <c r="AJ265" s="27" t="str">
        <f t="shared" si="7"/>
        <v>0-20</v>
      </c>
    </row>
    <row r="266" ht="15.75" customHeight="1">
      <c r="A266" s="23">
        <f>HYPERLINK("https://app.hubspot.com/contacts/8748051/record/0-3/38139472152", 38139472152)</f>
        <v>38139472152</v>
      </c>
      <c r="B266" s="24" t="s">
        <v>1023</v>
      </c>
      <c r="C266" s="24" t="s">
        <v>50</v>
      </c>
      <c r="D266" s="25">
        <v>25000.0</v>
      </c>
      <c r="E266" s="24" t="s">
        <v>73</v>
      </c>
      <c r="F266" s="24"/>
      <c r="G266" s="26">
        <v>45806.70162037037</v>
      </c>
      <c r="H266" s="26">
        <v>45986.70159722222</v>
      </c>
      <c r="I266" s="24" t="s">
        <v>40</v>
      </c>
      <c r="J266" s="24" t="s">
        <v>41</v>
      </c>
      <c r="K266" s="24" t="s">
        <v>42</v>
      </c>
      <c r="L266" s="24" t="s">
        <v>43</v>
      </c>
      <c r="M266" s="24" t="s">
        <v>44</v>
      </c>
      <c r="N266" s="24"/>
      <c r="O266" s="24"/>
      <c r="P266" s="24" t="s">
        <v>122</v>
      </c>
      <c r="Q266" s="24"/>
      <c r="R266" s="23">
        <f>HYPERLINK("https://app.hubspot.com/contacts/8748051/record/0-2/34347985315", 34347985315)</f>
        <v>34347985315</v>
      </c>
      <c r="S266" s="24" t="s">
        <v>1024</v>
      </c>
      <c r="T266" s="28" t="s">
        <v>1025</v>
      </c>
      <c r="U266" s="24" t="s">
        <v>47</v>
      </c>
      <c r="V266" s="24"/>
      <c r="W266" s="25"/>
      <c r="X266" s="29">
        <v>116.0</v>
      </c>
      <c r="Y266" s="29">
        <v>62.0</v>
      </c>
      <c r="Z266" s="30"/>
      <c r="AA266" s="30"/>
      <c r="AB266" s="30"/>
      <c r="AC266" s="31"/>
      <c r="AD266" s="30"/>
      <c r="AE266" s="31"/>
      <c r="AF266" s="30"/>
      <c r="AG266" s="27" t="str">
        <f t="shared" si="1"/>
        <v>New Logo</v>
      </c>
      <c r="AH266" s="27" t="str">
        <f t="shared" si="5"/>
        <v>Lead</v>
      </c>
      <c r="AI266" s="27" t="str">
        <f t="shared" si="6"/>
        <v>0-200</v>
      </c>
      <c r="AJ266" s="27" t="str">
        <f t="shared" si="7"/>
        <v>51-100</v>
      </c>
    </row>
    <row r="267" ht="15.75" customHeight="1">
      <c r="A267" s="23">
        <f>HYPERLINK("https://app.hubspot.com/contacts/8748051/record/0-3/38133930364", 38133930364)</f>
        <v>38133930364</v>
      </c>
      <c r="B267" s="24" t="s">
        <v>1026</v>
      </c>
      <c r="C267" s="24" t="s">
        <v>148</v>
      </c>
      <c r="D267" s="25">
        <v>100000.0</v>
      </c>
      <c r="E267" s="24" t="s">
        <v>73</v>
      </c>
      <c r="F267" s="24"/>
      <c r="G267" s="26">
        <v>45806.40920138889</v>
      </c>
      <c r="H267" s="26">
        <v>45986.40918981482</v>
      </c>
      <c r="I267" s="24" t="s">
        <v>40</v>
      </c>
      <c r="J267" s="24" t="s">
        <v>53</v>
      </c>
      <c r="K267" s="24" t="s">
        <v>42</v>
      </c>
      <c r="L267" s="24" t="s">
        <v>43</v>
      </c>
      <c r="M267" s="24" t="s">
        <v>44</v>
      </c>
      <c r="N267" s="24"/>
      <c r="O267" s="24"/>
      <c r="P267" s="24" t="s">
        <v>122</v>
      </c>
      <c r="Q267" s="24"/>
      <c r="R267" s="23">
        <f>HYPERLINK("https://app.hubspot.com/contacts/8748051/record/0-2/8816890039", 8816890039)</f>
        <v>8816890039</v>
      </c>
      <c r="S267" s="24" t="s">
        <v>737</v>
      </c>
      <c r="T267" s="28" t="s">
        <v>738</v>
      </c>
      <c r="U267" s="24" t="s">
        <v>47</v>
      </c>
      <c r="V267" s="24"/>
      <c r="W267" s="25"/>
      <c r="X267" s="29">
        <v>1482.0</v>
      </c>
      <c r="Y267" s="29">
        <v>252.0</v>
      </c>
      <c r="Z267" s="30"/>
      <c r="AA267" s="30"/>
      <c r="AB267" s="31"/>
      <c r="AC267" s="30"/>
      <c r="AD267" s="30"/>
      <c r="AE267" s="31"/>
      <c r="AF267" s="30"/>
      <c r="AG267" s="27" t="str">
        <f t="shared" si="1"/>
        <v>New Logo</v>
      </c>
      <c r="AH267" s="27" t="str">
        <f t="shared" si="5"/>
        <v>Lead</v>
      </c>
      <c r="AI267" s="27" t="str">
        <f t="shared" si="6"/>
        <v>1001-5000</v>
      </c>
      <c r="AJ267" s="27" t="str">
        <f t="shared" si="7"/>
        <v>101-500</v>
      </c>
    </row>
    <row r="268" ht="15.75" customHeight="1">
      <c r="A268" s="23">
        <f>HYPERLINK("https://app.hubspot.com/contacts/8748051/record/0-3/37905622539", 37905622539)</f>
        <v>37905622539</v>
      </c>
      <c r="B268" s="24" t="s">
        <v>1027</v>
      </c>
      <c r="C268" s="24" t="s">
        <v>50</v>
      </c>
      <c r="D268" s="25">
        <v>27000.0</v>
      </c>
      <c r="E268" s="24" t="s">
        <v>149</v>
      </c>
      <c r="F268" s="24" t="s">
        <v>52</v>
      </c>
      <c r="G268" s="26">
        <v>45801.57048611111</v>
      </c>
      <c r="H268" s="26">
        <v>45866.517800925925</v>
      </c>
      <c r="I268" s="24" t="s">
        <v>40</v>
      </c>
      <c r="J268" s="24" t="s">
        <v>41</v>
      </c>
      <c r="K268" s="24" t="s">
        <v>42</v>
      </c>
      <c r="L268" s="24" t="s">
        <v>43</v>
      </c>
      <c r="M268" s="24" t="s">
        <v>44</v>
      </c>
      <c r="N268" s="24"/>
      <c r="O268" s="24" t="s">
        <v>1028</v>
      </c>
      <c r="P268" s="24"/>
      <c r="Q268" s="24"/>
      <c r="R268" s="23">
        <f>HYPERLINK("https://app.hubspot.com/contacts/8748051/record/0-2/19176635436", 19176635436)</f>
        <v>19176635436</v>
      </c>
      <c r="S268" s="24" t="s">
        <v>1029</v>
      </c>
      <c r="T268" s="28" t="s">
        <v>1030</v>
      </c>
      <c r="U268" s="24" t="s">
        <v>47</v>
      </c>
      <c r="V268" s="24"/>
      <c r="W268" s="25"/>
      <c r="X268" s="29">
        <v>367.0</v>
      </c>
      <c r="Y268" s="29">
        <v>67.0</v>
      </c>
      <c r="Z268" s="30" t="s">
        <v>64</v>
      </c>
      <c r="AA268" s="30"/>
      <c r="AB268" s="31"/>
      <c r="AC268" s="31"/>
      <c r="AD268" s="30"/>
      <c r="AE268" s="31"/>
      <c r="AF268" s="30"/>
      <c r="AG268" s="27" t="str">
        <f t="shared" si="1"/>
        <v>New Logo</v>
      </c>
      <c r="AH268" s="27" t="str">
        <f t="shared" si="5"/>
        <v>Lead</v>
      </c>
      <c r="AI268" s="27" t="str">
        <f t="shared" si="6"/>
        <v>201-500</v>
      </c>
      <c r="AJ268" s="27" t="str">
        <f t="shared" si="7"/>
        <v>51-100</v>
      </c>
    </row>
    <row r="269" ht="15.75" customHeight="1">
      <c r="A269" s="23">
        <f>HYPERLINK("https://app.hubspot.com/contacts/8748051/record/0-3/37568211124", 37568211124)</f>
        <v>37568211124</v>
      </c>
      <c r="B269" s="24" t="s">
        <v>1031</v>
      </c>
      <c r="C269" s="24" t="s">
        <v>38</v>
      </c>
      <c r="D269" s="25">
        <v>30000.0</v>
      </c>
      <c r="E269" s="24" t="s">
        <v>127</v>
      </c>
      <c r="F269" s="24" t="s">
        <v>52</v>
      </c>
      <c r="G269" s="26">
        <v>45799.44574074074</v>
      </c>
      <c r="H269" s="26">
        <v>46073.61918981482</v>
      </c>
      <c r="I269" s="24" t="s">
        <v>40</v>
      </c>
      <c r="J269" s="24" t="s">
        <v>41</v>
      </c>
      <c r="K269" s="24" t="s">
        <v>60</v>
      </c>
      <c r="L269" s="24" t="s">
        <v>183</v>
      </c>
      <c r="M269" s="24" t="s">
        <v>44</v>
      </c>
      <c r="N269" s="24"/>
      <c r="O269" s="24"/>
      <c r="P269" s="24"/>
      <c r="Q269" s="24" t="s">
        <v>128</v>
      </c>
      <c r="R269" s="23">
        <f>HYPERLINK("https://app.hubspot.com/contacts/8748051/record/0-2/8929755456", 8929755456)</f>
        <v>8929755456</v>
      </c>
      <c r="S269" s="24" t="s">
        <v>1032</v>
      </c>
      <c r="T269" s="28" t="s">
        <v>1033</v>
      </c>
      <c r="U269" s="24" t="s">
        <v>47</v>
      </c>
      <c r="V269" s="24"/>
      <c r="W269" s="25"/>
      <c r="X269" s="29">
        <v>194.0</v>
      </c>
      <c r="Y269" s="29">
        <v>23.0</v>
      </c>
      <c r="Z269" s="30"/>
      <c r="AA269" s="30"/>
      <c r="AB269" s="30"/>
      <c r="AC269" s="31"/>
      <c r="AD269" s="30"/>
      <c r="AE269" s="31"/>
      <c r="AF269" s="30"/>
      <c r="AG269" s="27" t="str">
        <f t="shared" si="1"/>
        <v>New Logo</v>
      </c>
      <c r="AH269" s="27" t="str">
        <f t="shared" si="5"/>
        <v>Lead</v>
      </c>
      <c r="AI269" s="27" t="str">
        <f t="shared" si="6"/>
        <v>0-200</v>
      </c>
      <c r="AJ269" s="27" t="str">
        <f t="shared" si="7"/>
        <v>21-50</v>
      </c>
    </row>
    <row r="270" ht="15.75" customHeight="1">
      <c r="A270" s="23">
        <f>HYPERLINK("https://app.hubspot.com/contacts/8748051/record/0-3/37548367389", 37548367389)</f>
        <v>37548367389</v>
      </c>
      <c r="B270" s="24" t="s">
        <v>1034</v>
      </c>
      <c r="C270" s="24" t="s">
        <v>38</v>
      </c>
      <c r="D270" s="25">
        <v>80000.0</v>
      </c>
      <c r="E270" s="24" t="s">
        <v>127</v>
      </c>
      <c r="F270" s="24" t="s">
        <v>52</v>
      </c>
      <c r="G270" s="26">
        <v>45798.50724537037</v>
      </c>
      <c r="H270" s="26">
        <v>46052.571921296294</v>
      </c>
      <c r="I270" s="24" t="s">
        <v>40</v>
      </c>
      <c r="J270" s="24" t="s">
        <v>41</v>
      </c>
      <c r="K270" s="24" t="s">
        <v>42</v>
      </c>
      <c r="L270" s="24" t="s">
        <v>43</v>
      </c>
      <c r="M270" s="24" t="s">
        <v>44</v>
      </c>
      <c r="N270" s="24"/>
      <c r="O270" s="24"/>
      <c r="P270" s="24"/>
      <c r="Q270" s="24" t="s">
        <v>144</v>
      </c>
      <c r="R270" s="23">
        <f>HYPERLINK("https://app.hubspot.com/contacts/8748051/record/0-2/9083544964", 9083544964)</f>
        <v>9083544964</v>
      </c>
      <c r="S270" s="24" t="s">
        <v>1035</v>
      </c>
      <c r="T270" s="28" t="s">
        <v>1036</v>
      </c>
      <c r="U270" s="24" t="s">
        <v>47</v>
      </c>
      <c r="V270" s="24"/>
      <c r="W270" s="25"/>
      <c r="X270" s="29">
        <v>1312.0</v>
      </c>
      <c r="Y270" s="29">
        <v>202.0</v>
      </c>
      <c r="Z270" s="30" t="s">
        <v>56</v>
      </c>
      <c r="AA270" s="30"/>
      <c r="AB270" s="30"/>
      <c r="AC270" s="30"/>
      <c r="AD270" s="30"/>
      <c r="AE270" s="30"/>
      <c r="AF270" s="30"/>
      <c r="AG270" s="27" t="str">
        <f t="shared" si="1"/>
        <v>New Logo</v>
      </c>
      <c r="AH270" s="27" t="str">
        <f t="shared" si="5"/>
        <v>Lead</v>
      </c>
      <c r="AI270" s="27" t="str">
        <f t="shared" si="6"/>
        <v>1001-5000</v>
      </c>
      <c r="AJ270" s="27" t="str">
        <f t="shared" si="7"/>
        <v>101-500</v>
      </c>
    </row>
    <row r="271" ht="15.75" customHeight="1">
      <c r="A271" s="23">
        <f>HYPERLINK("https://app.hubspot.com/contacts/8748051/record/0-3/37447289907", 37447289907)</f>
        <v>37447289907</v>
      </c>
      <c r="B271" s="24" t="s">
        <v>1037</v>
      </c>
      <c r="C271" s="24" t="s">
        <v>38</v>
      </c>
      <c r="D271" s="25">
        <v>22000.0</v>
      </c>
      <c r="E271" s="24" t="s">
        <v>149</v>
      </c>
      <c r="F271" s="24" t="s">
        <v>52</v>
      </c>
      <c r="G271" s="26">
        <v>45797.39087962963</v>
      </c>
      <c r="H271" s="26">
        <v>45984.58224537037</v>
      </c>
      <c r="I271" s="24" t="s">
        <v>40</v>
      </c>
      <c r="J271" s="24" t="s">
        <v>41</v>
      </c>
      <c r="K271" s="24" t="s">
        <v>42</v>
      </c>
      <c r="L271" s="24" t="s">
        <v>43</v>
      </c>
      <c r="M271" s="24" t="s">
        <v>102</v>
      </c>
      <c r="N271" s="24"/>
      <c r="O271" s="24" t="s">
        <v>1038</v>
      </c>
      <c r="P271" s="24"/>
      <c r="Q271" s="24"/>
      <c r="R271" s="23">
        <f>HYPERLINK("https://app.hubspot.com/contacts/8748051/record/0-2/33682076983", 33682076983)</f>
        <v>33682076983</v>
      </c>
      <c r="S271" s="24" t="s">
        <v>1039</v>
      </c>
      <c r="T271" s="28" t="s">
        <v>1040</v>
      </c>
      <c r="U271" s="24" t="s">
        <v>47</v>
      </c>
      <c r="V271" s="24"/>
      <c r="W271" s="25"/>
      <c r="X271" s="29">
        <v>705.0</v>
      </c>
      <c r="Y271" s="29">
        <v>35.0</v>
      </c>
      <c r="Z271" s="30"/>
      <c r="AA271" s="30"/>
      <c r="AB271" s="30"/>
      <c r="AC271" s="30"/>
      <c r="AD271" s="30"/>
      <c r="AE271" s="30"/>
      <c r="AF271" s="30"/>
      <c r="AG271" s="27" t="str">
        <f t="shared" si="1"/>
        <v>New Logo</v>
      </c>
      <c r="AH271" s="27" t="str">
        <f t="shared" si="5"/>
        <v>Lead</v>
      </c>
      <c r="AI271" s="27" t="str">
        <f t="shared" si="6"/>
        <v>501-1000</v>
      </c>
      <c r="AJ271" s="27" t="str">
        <f t="shared" si="7"/>
        <v>21-50</v>
      </c>
    </row>
    <row r="272" ht="15.75" customHeight="1">
      <c r="A272" s="23">
        <f>HYPERLINK("https://app.hubspot.com/contacts/8748051/record/0-3/37432838235", 37432838235)</f>
        <v>37432838235</v>
      </c>
      <c r="B272" s="24" t="s">
        <v>1041</v>
      </c>
      <c r="C272" s="24" t="s">
        <v>1009</v>
      </c>
      <c r="D272" s="25">
        <v>0.0</v>
      </c>
      <c r="E272" s="24" t="s">
        <v>73</v>
      </c>
      <c r="F272" s="24"/>
      <c r="G272" s="26">
        <v>45796.451469907406</v>
      </c>
      <c r="H272" s="26">
        <v>45976.45144675926</v>
      </c>
      <c r="I272" s="24" t="s">
        <v>40</v>
      </c>
      <c r="J272" s="24" t="s">
        <v>41</v>
      </c>
      <c r="K272" s="24" t="s">
        <v>42</v>
      </c>
      <c r="L272" s="24" t="s">
        <v>43</v>
      </c>
      <c r="M272" s="24" t="s">
        <v>74</v>
      </c>
      <c r="N272" s="24"/>
      <c r="O272" s="24"/>
      <c r="P272" s="24" t="s">
        <v>75</v>
      </c>
      <c r="Q272" s="27"/>
      <c r="R272" s="23">
        <f>HYPERLINK("https://app.hubspot.com/contacts/8748051/record/0-2/33625048942", 33625048942)</f>
        <v>33625048942</v>
      </c>
      <c r="S272" s="24" t="s">
        <v>1042</v>
      </c>
      <c r="T272" s="28" t="s">
        <v>1043</v>
      </c>
      <c r="U272" s="24" t="s">
        <v>47</v>
      </c>
      <c r="V272" s="24"/>
      <c r="W272" s="25"/>
      <c r="X272" s="29">
        <v>9.0</v>
      </c>
      <c r="Y272" s="29">
        <v>0.0</v>
      </c>
      <c r="Z272" s="30"/>
      <c r="AA272" s="30"/>
      <c r="AB272" s="31"/>
      <c r="AC272" s="31"/>
      <c r="AD272" s="30"/>
      <c r="AE272" s="31"/>
      <c r="AF272" s="30"/>
      <c r="AG272" s="27" t="str">
        <f t="shared" si="1"/>
        <v>New Logo</v>
      </c>
      <c r="AH272" s="27" t="str">
        <f t="shared" si="5"/>
        <v>Lead</v>
      </c>
      <c r="AI272" s="27" t="str">
        <f t="shared" si="6"/>
        <v>0-200</v>
      </c>
      <c r="AJ272" s="27" t="str">
        <f t="shared" si="7"/>
        <v>0-20</v>
      </c>
    </row>
    <row r="273" ht="15.75" customHeight="1">
      <c r="A273" s="23">
        <f>HYPERLINK("https://app.hubspot.com/contacts/8748051/record/0-3/37413800245", 37413800245)</f>
        <v>37413800245</v>
      </c>
      <c r="B273" s="24" t="s">
        <v>1044</v>
      </c>
      <c r="C273" s="24" t="s">
        <v>38</v>
      </c>
      <c r="D273" s="25">
        <v>2000.0</v>
      </c>
      <c r="E273" s="24" t="s">
        <v>73</v>
      </c>
      <c r="F273" s="24"/>
      <c r="G273" s="26">
        <v>45796.16961805556</v>
      </c>
      <c r="H273" s="26">
        <v>46037.44359953704</v>
      </c>
      <c r="I273" s="24" t="s">
        <v>40</v>
      </c>
      <c r="J273" s="24" t="s">
        <v>41</v>
      </c>
      <c r="K273" s="24" t="s">
        <v>42</v>
      </c>
      <c r="L273" s="24" t="s">
        <v>43</v>
      </c>
      <c r="M273" s="24" t="s">
        <v>102</v>
      </c>
      <c r="N273" s="24"/>
      <c r="O273" s="24"/>
      <c r="P273" s="24" t="s">
        <v>75</v>
      </c>
      <c r="Q273" s="24"/>
      <c r="R273" s="23">
        <f>HYPERLINK("https://app.hubspot.com/contacts/8748051/record/0-2/33299670550", 33299670550)</f>
        <v>33299670550</v>
      </c>
      <c r="S273" s="24" t="s">
        <v>1045</v>
      </c>
      <c r="T273" s="24" t="s">
        <v>1046</v>
      </c>
      <c r="U273" s="24" t="s">
        <v>47</v>
      </c>
      <c r="V273" s="24"/>
      <c r="W273" s="25"/>
      <c r="X273" s="29">
        <v>121.0</v>
      </c>
      <c r="Y273" s="29">
        <v>4.0</v>
      </c>
      <c r="Z273" s="30"/>
      <c r="AA273" s="30"/>
      <c r="AB273" s="31"/>
      <c r="AC273" s="31"/>
      <c r="AD273" s="30"/>
      <c r="AE273" s="31"/>
      <c r="AF273" s="30"/>
      <c r="AG273" s="27" t="str">
        <f t="shared" si="1"/>
        <v>New Logo</v>
      </c>
      <c r="AH273" s="27" t="str">
        <f t="shared" si="5"/>
        <v>Lead</v>
      </c>
      <c r="AI273" s="27" t="str">
        <f t="shared" si="6"/>
        <v>0-200</v>
      </c>
      <c r="AJ273" s="27" t="str">
        <f t="shared" si="7"/>
        <v>0-20</v>
      </c>
    </row>
    <row r="274" ht="15.75" customHeight="1">
      <c r="A274" s="23">
        <f>HYPERLINK("https://app.hubspot.com/contacts/8748051/record/0-3/37313929140", 37313929140)</f>
        <v>37313929140</v>
      </c>
      <c r="B274" s="24" t="s">
        <v>1047</v>
      </c>
      <c r="C274" s="24" t="s">
        <v>148</v>
      </c>
      <c r="D274" s="25">
        <v>10000.0</v>
      </c>
      <c r="E274" s="24" t="s">
        <v>51</v>
      </c>
      <c r="F274" s="24" t="s">
        <v>52</v>
      </c>
      <c r="G274" s="26">
        <v>45793.32292824074</v>
      </c>
      <c r="H274" s="26">
        <v>46203.85973379629</v>
      </c>
      <c r="I274" s="24" t="s">
        <v>40</v>
      </c>
      <c r="J274" s="24" t="s">
        <v>41</v>
      </c>
      <c r="K274" s="24" t="s">
        <v>42</v>
      </c>
      <c r="L274" s="24" t="s">
        <v>43</v>
      </c>
      <c r="M274" s="24" t="s">
        <v>74</v>
      </c>
      <c r="N274" s="24"/>
      <c r="O274" s="27"/>
      <c r="P274" s="24"/>
      <c r="Q274" s="24"/>
      <c r="R274" s="23">
        <f>HYPERLINK("https://app.hubspot.com/contacts/8748051/record/0-2/33537883760", 33537883760)</f>
        <v>33537883760</v>
      </c>
      <c r="S274" s="24" t="s">
        <v>1048</v>
      </c>
      <c r="T274" s="28" t="s">
        <v>1049</v>
      </c>
      <c r="U274" s="24" t="s">
        <v>47</v>
      </c>
      <c r="V274" s="24"/>
      <c r="W274" s="25"/>
      <c r="X274" s="29">
        <v>60.0</v>
      </c>
      <c r="Y274" s="29">
        <v>20.0</v>
      </c>
      <c r="Z274" s="30"/>
      <c r="AA274" s="30"/>
      <c r="AB274" s="31"/>
      <c r="AC274" s="31"/>
      <c r="AD274" s="30"/>
      <c r="AE274" s="31"/>
      <c r="AF274" s="30"/>
      <c r="AG274" s="27" t="str">
        <f t="shared" si="1"/>
        <v>New Logo</v>
      </c>
      <c r="AH274" s="27" t="str">
        <f t="shared" si="5"/>
        <v>Lead</v>
      </c>
      <c r="AI274" s="27" t="str">
        <f t="shared" si="6"/>
        <v>0-200</v>
      </c>
      <c r="AJ274" s="27" t="str">
        <f t="shared" si="7"/>
        <v>0-20</v>
      </c>
    </row>
    <row r="275" ht="15.75" customHeight="1">
      <c r="A275" s="23">
        <f>HYPERLINK("https://app.hubspot.com/contacts/8748051/record/0-3/37268046968", 37268046968)</f>
        <v>37268046968</v>
      </c>
      <c r="B275" s="24" t="s">
        <v>1050</v>
      </c>
      <c r="C275" s="24" t="s">
        <v>148</v>
      </c>
      <c r="D275" s="25">
        <v>20000.0</v>
      </c>
      <c r="E275" s="24" t="s">
        <v>127</v>
      </c>
      <c r="F275" s="24" t="s">
        <v>52</v>
      </c>
      <c r="G275" s="26">
        <v>45792.47466435185</v>
      </c>
      <c r="H275" s="26">
        <v>45937.719375</v>
      </c>
      <c r="I275" s="24" t="s">
        <v>40</v>
      </c>
      <c r="J275" s="24" t="s">
        <v>41</v>
      </c>
      <c r="K275" s="24" t="s">
        <v>42</v>
      </c>
      <c r="L275" s="24" t="s">
        <v>43</v>
      </c>
      <c r="M275" s="24" t="s">
        <v>44</v>
      </c>
      <c r="N275" s="24"/>
      <c r="O275" s="24"/>
      <c r="P275" s="24"/>
      <c r="Q275" s="24" t="s">
        <v>401</v>
      </c>
      <c r="R275" s="23">
        <f>HYPERLINK("https://app.hubspot.com/contacts/8748051/record/0-2/6816568461", 6816568461)</f>
        <v>6816568461</v>
      </c>
      <c r="S275" s="24" t="s">
        <v>1051</v>
      </c>
      <c r="T275" s="24" t="s">
        <v>1052</v>
      </c>
      <c r="U275" s="24" t="s">
        <v>47</v>
      </c>
      <c r="V275" s="24"/>
      <c r="W275" s="25"/>
      <c r="X275" s="29">
        <v>148.0</v>
      </c>
      <c r="Y275" s="29">
        <v>23.0</v>
      </c>
      <c r="Z275" s="30" t="s">
        <v>108</v>
      </c>
      <c r="AA275" s="30"/>
      <c r="AB275" s="30"/>
      <c r="AC275" s="31"/>
      <c r="AD275" s="30"/>
      <c r="AE275" s="30"/>
      <c r="AF275" s="30"/>
      <c r="AG275" s="27" t="str">
        <f t="shared" si="1"/>
        <v>New Logo</v>
      </c>
      <c r="AH275" s="27" t="str">
        <f t="shared" si="5"/>
        <v>Lead</v>
      </c>
      <c r="AI275" s="27" t="str">
        <f t="shared" si="6"/>
        <v>0-200</v>
      </c>
      <c r="AJ275" s="27" t="str">
        <f t="shared" si="7"/>
        <v>21-50</v>
      </c>
    </row>
    <row r="276" ht="15.75" customHeight="1">
      <c r="A276" s="23">
        <f>HYPERLINK("https://app.hubspot.com/contacts/8748051/record/0-3/37182513242", 37182513242)</f>
        <v>37182513242</v>
      </c>
      <c r="B276" s="24" t="s">
        <v>1053</v>
      </c>
      <c r="C276" s="24" t="s">
        <v>50</v>
      </c>
      <c r="D276" s="25">
        <v>5000.0</v>
      </c>
      <c r="E276" s="24" t="s">
        <v>127</v>
      </c>
      <c r="F276" s="24" t="s">
        <v>52</v>
      </c>
      <c r="G276" s="26">
        <v>45791.395104166666</v>
      </c>
      <c r="H276" s="26">
        <v>45869.97195601852</v>
      </c>
      <c r="I276" s="24" t="s">
        <v>40</v>
      </c>
      <c r="J276" s="24" t="s">
        <v>41</v>
      </c>
      <c r="K276" s="24" t="s">
        <v>42</v>
      </c>
      <c r="L276" s="24" t="s">
        <v>43</v>
      </c>
      <c r="M276" s="24" t="s">
        <v>44</v>
      </c>
      <c r="N276" s="24"/>
      <c r="O276" s="27"/>
      <c r="P276" s="24"/>
      <c r="Q276" s="24" t="s">
        <v>568</v>
      </c>
      <c r="R276" s="23">
        <f>HYPERLINK("https://app.hubspot.com/contacts/8748051/record/0-2/33362121578", 33362121578)</f>
        <v>33362121578</v>
      </c>
      <c r="S276" s="24" t="s">
        <v>1054</v>
      </c>
      <c r="T276" s="28" t="s">
        <v>1055</v>
      </c>
      <c r="U276" s="24" t="s">
        <v>47</v>
      </c>
      <c r="V276" s="24"/>
      <c r="W276" s="25"/>
      <c r="X276" s="29">
        <v>153.0</v>
      </c>
      <c r="Y276" s="29">
        <v>16.0</v>
      </c>
      <c r="Z276" s="30"/>
      <c r="AA276" s="30"/>
      <c r="AB276" s="31"/>
      <c r="AC276" s="30"/>
      <c r="AD276" s="30"/>
      <c r="AE276" s="30"/>
      <c r="AF276" s="30"/>
      <c r="AG276" s="27" t="str">
        <f t="shared" si="1"/>
        <v>New Logo</v>
      </c>
      <c r="AH276" s="27" t="str">
        <f t="shared" si="5"/>
        <v>Lead</v>
      </c>
      <c r="AI276" s="27" t="str">
        <f t="shared" si="6"/>
        <v>0-200</v>
      </c>
      <c r="AJ276" s="27" t="str">
        <f t="shared" si="7"/>
        <v>0-20</v>
      </c>
    </row>
    <row r="277" ht="15.75" customHeight="1">
      <c r="A277" s="23">
        <f>HYPERLINK("https://app.hubspot.com/contacts/8748051/record/0-3/37137693053", 37137693053)</f>
        <v>37137693053</v>
      </c>
      <c r="B277" s="24" t="s">
        <v>1056</v>
      </c>
      <c r="C277" s="24" t="s">
        <v>1009</v>
      </c>
      <c r="D277" s="25">
        <v>1500.0</v>
      </c>
      <c r="E277" s="24" t="s">
        <v>73</v>
      </c>
      <c r="F277" s="24"/>
      <c r="G277" s="26">
        <v>45790.08991898148</v>
      </c>
      <c r="H277" s="26">
        <v>45970.089907407404</v>
      </c>
      <c r="I277" s="24" t="s">
        <v>40</v>
      </c>
      <c r="J277" s="24" t="s">
        <v>41</v>
      </c>
      <c r="K277" s="24" t="s">
        <v>42</v>
      </c>
      <c r="L277" s="24" t="s">
        <v>43</v>
      </c>
      <c r="M277" s="24" t="s">
        <v>44</v>
      </c>
      <c r="N277" s="24"/>
      <c r="O277" s="27"/>
      <c r="P277" s="24" t="s">
        <v>75</v>
      </c>
      <c r="Q277" s="24"/>
      <c r="R277" s="23">
        <f>HYPERLINK("https://app.hubspot.com/contacts/8748051/record/0-2/33347273798", 33347273798)</f>
        <v>33347273798</v>
      </c>
      <c r="S277" s="24" t="s">
        <v>1057</v>
      </c>
      <c r="T277" s="28" t="s">
        <v>1058</v>
      </c>
      <c r="U277" s="24" t="s">
        <v>47</v>
      </c>
      <c r="V277" s="24"/>
      <c r="W277" s="25"/>
      <c r="X277" s="29">
        <v>20.0</v>
      </c>
      <c r="Y277" s="29">
        <v>3.0</v>
      </c>
      <c r="Z277" s="30"/>
      <c r="AA277" s="30"/>
      <c r="AB277" s="30"/>
      <c r="AC277" s="31"/>
      <c r="AD277" s="30"/>
      <c r="AE277" s="30"/>
      <c r="AF277" s="30"/>
      <c r="AG277" s="27" t="str">
        <f t="shared" si="1"/>
        <v>New Logo</v>
      </c>
      <c r="AH277" s="27" t="str">
        <f t="shared" si="5"/>
        <v>Lead</v>
      </c>
      <c r="AI277" s="27" t="str">
        <f t="shared" si="6"/>
        <v>0-200</v>
      </c>
      <c r="AJ277" s="27" t="str">
        <f t="shared" si="7"/>
        <v>0-20</v>
      </c>
    </row>
    <row r="278" ht="15.75" customHeight="1">
      <c r="A278" s="23">
        <f>HYPERLINK("https://app.hubspot.com/contacts/8748051/record/0-3/36855145610", 36855145610)</f>
        <v>36855145610</v>
      </c>
      <c r="B278" s="24" t="s">
        <v>1059</v>
      </c>
      <c r="C278" s="24" t="s">
        <v>50</v>
      </c>
      <c r="D278" s="25">
        <v>25000.0</v>
      </c>
      <c r="E278" s="24" t="s">
        <v>127</v>
      </c>
      <c r="F278" s="24" t="s">
        <v>52</v>
      </c>
      <c r="G278" s="26">
        <v>45784.263761574075</v>
      </c>
      <c r="H278" s="26">
        <v>45930.390625</v>
      </c>
      <c r="I278" s="24" t="s">
        <v>40</v>
      </c>
      <c r="J278" s="24" t="s">
        <v>41</v>
      </c>
      <c r="K278" s="24" t="s">
        <v>42</v>
      </c>
      <c r="L278" s="24" t="s">
        <v>43</v>
      </c>
      <c r="M278" s="24" t="s">
        <v>44</v>
      </c>
      <c r="N278" s="24"/>
      <c r="O278" s="27"/>
      <c r="P278" s="24"/>
      <c r="Q278" s="24" t="s">
        <v>238</v>
      </c>
      <c r="R278" s="23">
        <f>HYPERLINK("https://app.hubspot.com/contacts/8748051/record/0-2/19177046457", 19177046457)</f>
        <v>19177046457</v>
      </c>
      <c r="S278" s="24" t="s">
        <v>1060</v>
      </c>
      <c r="T278" s="28" t="s">
        <v>1061</v>
      </c>
      <c r="U278" s="24" t="s">
        <v>47</v>
      </c>
      <c r="V278" s="24"/>
      <c r="W278" s="25"/>
      <c r="X278" s="29">
        <v>282.0</v>
      </c>
      <c r="Y278" s="29">
        <v>66.0</v>
      </c>
      <c r="Z278" s="30" t="s">
        <v>108</v>
      </c>
      <c r="AA278" s="30"/>
      <c r="AB278" s="31"/>
      <c r="AC278" s="31"/>
      <c r="AD278" s="30"/>
      <c r="AE278" s="31"/>
      <c r="AF278" s="30"/>
      <c r="AG278" s="27" t="str">
        <f t="shared" si="1"/>
        <v>New Logo</v>
      </c>
      <c r="AH278" s="27" t="str">
        <f t="shared" si="5"/>
        <v>Lead</v>
      </c>
      <c r="AI278" s="27" t="str">
        <f t="shared" si="6"/>
        <v>201-500</v>
      </c>
      <c r="AJ278" s="27" t="str">
        <f t="shared" si="7"/>
        <v>51-100</v>
      </c>
    </row>
    <row r="279" ht="15.75" customHeight="1">
      <c r="A279" s="23">
        <f>HYPERLINK("https://app.hubspot.com/contacts/8748051/record/0-3/36655737257", 36655737257)</f>
        <v>36655737257</v>
      </c>
      <c r="B279" s="24" t="s">
        <v>1062</v>
      </c>
      <c r="C279" s="24" t="s">
        <v>1009</v>
      </c>
      <c r="D279" s="25">
        <v>7200.0</v>
      </c>
      <c r="E279" s="24" t="s">
        <v>73</v>
      </c>
      <c r="F279" s="24"/>
      <c r="G279" s="26">
        <v>45780.41452546296</v>
      </c>
      <c r="H279" s="26">
        <v>45960.414502314816</v>
      </c>
      <c r="I279" s="24" t="s">
        <v>40</v>
      </c>
      <c r="J279" s="24" t="s">
        <v>41</v>
      </c>
      <c r="K279" s="24" t="s">
        <v>42</v>
      </c>
      <c r="L279" s="24" t="s">
        <v>43</v>
      </c>
      <c r="M279" s="24" t="s">
        <v>74</v>
      </c>
      <c r="N279" s="24"/>
      <c r="O279" s="24"/>
      <c r="P279" s="24" t="s">
        <v>75</v>
      </c>
      <c r="Q279" s="24"/>
      <c r="R279" s="23">
        <f>HYPERLINK("https://app.hubspot.com/contacts/8748051/record/0-2/32907464513", 32907464513)</f>
        <v>32907464513</v>
      </c>
      <c r="S279" s="24" t="s">
        <v>1063</v>
      </c>
      <c r="T279" s="28" t="s">
        <v>1064</v>
      </c>
      <c r="U279" s="24" t="s">
        <v>47</v>
      </c>
      <c r="V279" s="24"/>
      <c r="W279" s="25"/>
      <c r="X279" s="29">
        <v>19.0</v>
      </c>
      <c r="Y279" s="29">
        <v>0.0</v>
      </c>
      <c r="Z279" s="30"/>
      <c r="AA279" s="30"/>
      <c r="AB279" s="31"/>
      <c r="AC279" s="31"/>
      <c r="AD279" s="30"/>
      <c r="AE279" s="31"/>
      <c r="AF279" s="30"/>
      <c r="AG279" s="27" t="str">
        <f t="shared" si="1"/>
        <v>New Logo</v>
      </c>
      <c r="AH279" s="27" t="str">
        <f t="shared" si="5"/>
        <v>Lead</v>
      </c>
      <c r="AI279" s="27" t="str">
        <f t="shared" si="6"/>
        <v>0-200</v>
      </c>
      <c r="AJ279" s="27" t="str">
        <f t="shared" si="7"/>
        <v>0-20</v>
      </c>
    </row>
    <row r="280" ht="15.75" customHeight="1">
      <c r="A280" s="23">
        <f>HYPERLINK("https://app.hubspot.com/contacts/8748051/record/0-3/36653878828", 36653878828)</f>
        <v>36653878828</v>
      </c>
      <c r="B280" s="24" t="s">
        <v>1065</v>
      </c>
      <c r="C280" s="24" t="s">
        <v>1009</v>
      </c>
      <c r="D280" s="25">
        <v>5040.0</v>
      </c>
      <c r="E280" s="24" t="s">
        <v>92</v>
      </c>
      <c r="F280" s="24" t="s">
        <v>52</v>
      </c>
      <c r="G280" s="26">
        <v>45779.62600694445</v>
      </c>
      <c r="H280" s="26">
        <v>45821.34950231481</v>
      </c>
      <c r="I280" s="24" t="s">
        <v>40</v>
      </c>
      <c r="J280" s="24" t="s">
        <v>41</v>
      </c>
      <c r="K280" s="24" t="s">
        <v>60</v>
      </c>
      <c r="L280" s="24" t="s">
        <v>449</v>
      </c>
      <c r="M280" s="24" t="s">
        <v>102</v>
      </c>
      <c r="N280" s="24" t="s">
        <v>1066</v>
      </c>
      <c r="O280" s="24"/>
      <c r="P280" s="24"/>
      <c r="Q280" s="24"/>
      <c r="R280" s="23">
        <f>HYPERLINK("https://app.hubspot.com/contacts/8748051/record/0-2/9069717254", 9069717254)</f>
        <v>9069717254</v>
      </c>
      <c r="S280" s="24" t="s">
        <v>999</v>
      </c>
      <c r="T280" s="28" t="s">
        <v>1000</v>
      </c>
      <c r="U280" s="24" t="s">
        <v>96</v>
      </c>
      <c r="V280" s="24"/>
      <c r="W280" s="25">
        <v>5040.0</v>
      </c>
      <c r="X280" s="29">
        <v>991.0</v>
      </c>
      <c r="Y280" s="29">
        <v>213.0</v>
      </c>
      <c r="Z280" s="30"/>
      <c r="AA280" s="30" t="s">
        <v>220</v>
      </c>
      <c r="AB280" s="31"/>
      <c r="AC280" s="31"/>
      <c r="AD280" s="30" t="s">
        <v>1001</v>
      </c>
      <c r="AE280" s="31"/>
      <c r="AF280" s="30" t="s">
        <v>764</v>
      </c>
      <c r="AG280" s="27" t="str">
        <f t="shared" si="1"/>
        <v>New Logo</v>
      </c>
      <c r="AH280" s="27" t="str">
        <f t="shared" si="5"/>
        <v>Customer</v>
      </c>
      <c r="AI280" s="27" t="str">
        <f t="shared" si="6"/>
        <v>501-1000</v>
      </c>
      <c r="AJ280" s="27" t="str">
        <f t="shared" si="7"/>
        <v>101-500</v>
      </c>
    </row>
    <row r="281" ht="15.75" customHeight="1">
      <c r="A281" s="23">
        <f>HYPERLINK("https://app.hubspot.com/contacts/8748051/record/0-3/36622077979", 36622077979)</f>
        <v>36622077979</v>
      </c>
      <c r="B281" s="24" t="s">
        <v>1067</v>
      </c>
      <c r="C281" s="24" t="s">
        <v>148</v>
      </c>
      <c r="D281" s="25">
        <v>0.0</v>
      </c>
      <c r="E281" s="24" t="s">
        <v>73</v>
      </c>
      <c r="F281" s="24"/>
      <c r="G281" s="26">
        <v>45778.86275462963</v>
      </c>
      <c r="H281" s="26">
        <v>45958.86274305556</v>
      </c>
      <c r="I281" s="24" t="s">
        <v>40</v>
      </c>
      <c r="J281" s="24" t="s">
        <v>41</v>
      </c>
      <c r="K281" s="24" t="s">
        <v>42</v>
      </c>
      <c r="L281" s="24" t="s">
        <v>43</v>
      </c>
      <c r="M281" s="24" t="s">
        <v>102</v>
      </c>
      <c r="N281" s="24"/>
      <c r="O281" s="24"/>
      <c r="P281" s="24" t="s">
        <v>122</v>
      </c>
      <c r="Q281" s="24"/>
      <c r="R281" s="23">
        <f>HYPERLINK("https://app.hubspot.com/contacts/8748051/record/0-2/32877998338", 32877998338)</f>
        <v>32877998338</v>
      </c>
      <c r="S281" s="28" t="s">
        <v>1068</v>
      </c>
      <c r="T281" s="28" t="s">
        <v>1069</v>
      </c>
      <c r="U281" s="24" t="s">
        <v>47</v>
      </c>
      <c r="V281" s="24"/>
      <c r="W281" s="25"/>
      <c r="X281" s="29"/>
      <c r="Y281" s="29"/>
      <c r="Z281" s="30"/>
      <c r="AA281" s="30"/>
      <c r="AB281" s="30"/>
      <c r="AC281" s="30"/>
      <c r="AD281" s="30"/>
      <c r="AE281" s="31"/>
      <c r="AF281" s="30"/>
      <c r="AG281" s="27" t="str">
        <f t="shared" si="1"/>
        <v>New Logo</v>
      </c>
      <c r="AH281" s="27" t="str">
        <f t="shared" si="5"/>
        <v>Lead</v>
      </c>
      <c r="AI281" s="27" t="str">
        <f t="shared" si="6"/>
        <v>0-200</v>
      </c>
      <c r="AJ281" s="27" t="str">
        <f t="shared" si="7"/>
        <v>0-20</v>
      </c>
    </row>
    <row r="282" ht="15.75" customHeight="1">
      <c r="A282" s="23">
        <f>HYPERLINK("https://app.hubspot.com/contacts/8748051/record/0-3/36587972188", 36587972188)</f>
        <v>36587972188</v>
      </c>
      <c r="B282" s="24" t="s">
        <v>1070</v>
      </c>
      <c r="C282" s="24" t="s">
        <v>50</v>
      </c>
      <c r="D282" s="25">
        <v>90000.0</v>
      </c>
      <c r="E282" s="24" t="s">
        <v>149</v>
      </c>
      <c r="F282" s="24" t="s">
        <v>52</v>
      </c>
      <c r="G282" s="26">
        <v>45778.50729166667</v>
      </c>
      <c r="H282" s="26">
        <v>46064.67626157407</v>
      </c>
      <c r="I282" s="24" t="s">
        <v>40</v>
      </c>
      <c r="J282" s="24" t="s">
        <v>53</v>
      </c>
      <c r="K282" s="24" t="s">
        <v>42</v>
      </c>
      <c r="L282" s="24" t="s">
        <v>43</v>
      </c>
      <c r="M282" s="24" t="s">
        <v>44</v>
      </c>
      <c r="N282" s="24"/>
      <c r="O282" s="24" t="s">
        <v>1071</v>
      </c>
      <c r="P282" s="24"/>
      <c r="Q282" s="24"/>
      <c r="R282" s="23">
        <f>HYPERLINK("https://app.hubspot.com/contacts/8748051/record/0-2/33065200735", 33065200735)</f>
        <v>33065200735</v>
      </c>
      <c r="S282" s="24" t="s">
        <v>1072</v>
      </c>
      <c r="T282" s="28" t="s">
        <v>1073</v>
      </c>
      <c r="U282" s="24" t="s">
        <v>47</v>
      </c>
      <c r="V282" s="24"/>
      <c r="W282" s="25"/>
      <c r="X282" s="29">
        <v>23832.0</v>
      </c>
      <c r="Y282" s="29">
        <v>5161.0</v>
      </c>
      <c r="Z282" s="30"/>
      <c r="AA282" s="30"/>
      <c r="AB282" s="30"/>
      <c r="AC282" s="31"/>
      <c r="AD282" s="30"/>
      <c r="AE282" s="30"/>
      <c r="AF282" s="30"/>
      <c r="AG282" s="27" t="str">
        <f t="shared" si="1"/>
        <v>New Logo</v>
      </c>
      <c r="AH282" s="27" t="str">
        <f t="shared" si="5"/>
        <v>Lead</v>
      </c>
      <c r="AI282" s="27" t="str">
        <f t="shared" si="6"/>
        <v>10000+</v>
      </c>
      <c r="AJ282" s="27" t="str">
        <f t="shared" si="7"/>
        <v>500+</v>
      </c>
    </row>
    <row r="283" ht="15.75" customHeight="1">
      <c r="A283" s="23">
        <f>HYPERLINK("https://app.hubspot.com/contacts/8748051/record/0-3/36610499182", 36610499182)</f>
        <v>36610499182</v>
      </c>
      <c r="B283" s="24" t="s">
        <v>1074</v>
      </c>
      <c r="C283" s="24" t="s">
        <v>38</v>
      </c>
      <c r="D283" s="25">
        <v>5000.0</v>
      </c>
      <c r="E283" s="24" t="s">
        <v>127</v>
      </c>
      <c r="F283" s="24" t="s">
        <v>52</v>
      </c>
      <c r="G283" s="26">
        <v>45778.36332175926</v>
      </c>
      <c r="H283" s="26">
        <v>46079.58971064815</v>
      </c>
      <c r="I283" s="24" t="s">
        <v>40</v>
      </c>
      <c r="J283" s="24" t="s">
        <v>41</v>
      </c>
      <c r="K283" s="24" t="s">
        <v>60</v>
      </c>
      <c r="L283" s="24" t="s">
        <v>61</v>
      </c>
      <c r="M283" s="24" t="s">
        <v>44</v>
      </c>
      <c r="N283" s="24"/>
      <c r="O283" s="27"/>
      <c r="P283" s="24"/>
      <c r="Q283" s="24" t="s">
        <v>128</v>
      </c>
      <c r="R283" s="23">
        <f>HYPERLINK("https://app.hubspot.com/contacts/8748051/record/0-2/32846585606", 32846585606)</f>
        <v>32846585606</v>
      </c>
      <c r="S283" s="24" t="s">
        <v>1075</v>
      </c>
      <c r="T283" s="28" t="s">
        <v>1076</v>
      </c>
      <c r="U283" s="24" t="s">
        <v>47</v>
      </c>
      <c r="V283" s="24"/>
      <c r="W283" s="25"/>
      <c r="X283" s="29">
        <v>68.0</v>
      </c>
      <c r="Y283" s="29">
        <v>19.0</v>
      </c>
      <c r="Z283" s="30"/>
      <c r="AA283" s="30"/>
      <c r="AB283" s="30"/>
      <c r="AC283" s="30"/>
      <c r="AD283" s="30"/>
      <c r="AE283" s="30"/>
      <c r="AF283" s="30"/>
      <c r="AG283" s="27" t="str">
        <f t="shared" si="1"/>
        <v>New Logo</v>
      </c>
      <c r="AH283" s="27" t="str">
        <f t="shared" si="5"/>
        <v>Lead</v>
      </c>
      <c r="AI283" s="27" t="str">
        <f t="shared" si="6"/>
        <v>0-200</v>
      </c>
      <c r="AJ283" s="27" t="str">
        <f t="shared" si="7"/>
        <v>0-20</v>
      </c>
    </row>
    <row r="284" ht="15.75" customHeight="1">
      <c r="A284" s="23">
        <f>HYPERLINK("https://app.hubspot.com/contacts/8748051/record/0-3/43998631192", 43998631192)</f>
        <v>43998631192</v>
      </c>
      <c r="B284" s="24" t="s">
        <v>1077</v>
      </c>
      <c r="C284" s="24" t="s">
        <v>159</v>
      </c>
      <c r="D284" s="25">
        <v>2950.0</v>
      </c>
      <c r="E284" s="24" t="s">
        <v>92</v>
      </c>
      <c r="F284" s="24"/>
      <c r="G284" s="26">
        <v>45777.660532407404</v>
      </c>
      <c r="H284" s="26">
        <v>45777.66054398148</v>
      </c>
      <c r="I284" s="24" t="s">
        <v>40</v>
      </c>
      <c r="J284" s="24" t="s">
        <v>182</v>
      </c>
      <c r="K284" s="24" t="s">
        <v>161</v>
      </c>
      <c r="L284" s="24" t="s">
        <v>162</v>
      </c>
      <c r="M284" s="24" t="s">
        <v>44</v>
      </c>
      <c r="N284" s="24"/>
      <c r="O284" s="27"/>
      <c r="P284" s="24"/>
      <c r="Q284" s="24"/>
      <c r="R284" s="23">
        <f>HYPERLINK("https://app.hubspot.com/contacts/8748051/record/0-2/6816601476", 6816601476)</f>
        <v>6816601476</v>
      </c>
      <c r="S284" s="24" t="s">
        <v>1078</v>
      </c>
      <c r="T284" s="28" t="s">
        <v>1079</v>
      </c>
      <c r="U284" s="24" t="s">
        <v>96</v>
      </c>
      <c r="V284" s="24"/>
      <c r="W284" s="25">
        <v>32450.0</v>
      </c>
      <c r="X284" s="29">
        <v>203.0</v>
      </c>
      <c r="Y284" s="29">
        <v>40.0</v>
      </c>
      <c r="Z284" s="30"/>
      <c r="AA284" s="30" t="s">
        <v>207</v>
      </c>
      <c r="AB284" s="30" t="s">
        <v>194</v>
      </c>
      <c r="AC284" s="30"/>
      <c r="AD284" s="30" t="s">
        <v>877</v>
      </c>
      <c r="AE284" s="30" t="s">
        <v>1080</v>
      </c>
      <c r="AF284" s="30" t="s">
        <v>554</v>
      </c>
      <c r="AG284" s="27" t="str">
        <f t="shared" si="1"/>
        <v>Upsell</v>
      </c>
      <c r="AH284" s="27" t="str">
        <f t="shared" si="5"/>
        <v>Customer</v>
      </c>
      <c r="AI284" s="27" t="str">
        <f t="shared" si="6"/>
        <v>201-500</v>
      </c>
      <c r="AJ284" s="27" t="str">
        <f t="shared" si="7"/>
        <v>21-50</v>
      </c>
    </row>
    <row r="285" ht="15.75" customHeight="1">
      <c r="A285" s="23">
        <f>HYPERLINK("https://app.hubspot.com/contacts/8748051/record/0-3/36595382346", 36595382346)</f>
        <v>36595382346</v>
      </c>
      <c r="B285" s="24" t="s">
        <v>1081</v>
      </c>
      <c r="C285" s="24" t="s">
        <v>50</v>
      </c>
      <c r="D285" s="25">
        <v>10000.0</v>
      </c>
      <c r="E285" s="24" t="s">
        <v>127</v>
      </c>
      <c r="F285" s="24" t="s">
        <v>52</v>
      </c>
      <c r="G285" s="26">
        <v>45777.49875</v>
      </c>
      <c r="H285" s="26">
        <v>46234.57094907408</v>
      </c>
      <c r="I285" s="24" t="s">
        <v>40</v>
      </c>
      <c r="J285" s="24" t="s">
        <v>53</v>
      </c>
      <c r="K285" s="24" t="s">
        <v>42</v>
      </c>
      <c r="L285" s="24" t="s">
        <v>43</v>
      </c>
      <c r="M285" s="24" t="s">
        <v>44</v>
      </c>
      <c r="N285" s="24"/>
      <c r="O285" s="27"/>
      <c r="P285" s="24"/>
      <c r="Q285" s="24" t="s">
        <v>128</v>
      </c>
      <c r="R285" s="23">
        <f>HYPERLINK("https://app.hubspot.com/contacts/8748051/record/0-2/9513641119", 9513641119)</f>
        <v>9513641119</v>
      </c>
      <c r="S285" s="24" t="s">
        <v>1082</v>
      </c>
      <c r="T285" s="28" t="s">
        <v>1083</v>
      </c>
      <c r="U285" s="24" t="s">
        <v>47</v>
      </c>
      <c r="V285" s="24"/>
      <c r="W285" s="25"/>
      <c r="X285" s="29">
        <v>891.0</v>
      </c>
      <c r="Y285" s="29">
        <v>202.0</v>
      </c>
      <c r="Z285" s="30" t="s">
        <v>56</v>
      </c>
      <c r="AA285" s="30"/>
      <c r="AB285" s="30"/>
      <c r="AC285" s="31"/>
      <c r="AD285" s="30"/>
      <c r="AE285" s="31"/>
      <c r="AF285" s="30"/>
      <c r="AG285" s="27" t="str">
        <f t="shared" si="1"/>
        <v>New Logo</v>
      </c>
      <c r="AH285" s="27" t="str">
        <f t="shared" si="5"/>
        <v>Lead</v>
      </c>
      <c r="AI285" s="27" t="str">
        <f t="shared" si="6"/>
        <v>501-1000</v>
      </c>
      <c r="AJ285" s="27" t="str">
        <f t="shared" si="7"/>
        <v>101-500</v>
      </c>
    </row>
    <row r="286" ht="15.75" customHeight="1">
      <c r="A286" s="23">
        <f>HYPERLINK("https://app.hubspot.com/contacts/8748051/record/0-3/36563149903", 36563149903)</f>
        <v>36563149903</v>
      </c>
      <c r="B286" s="24" t="s">
        <v>1084</v>
      </c>
      <c r="C286" s="24" t="s">
        <v>1009</v>
      </c>
      <c r="D286" s="25">
        <v>2000.0</v>
      </c>
      <c r="E286" s="24" t="s">
        <v>73</v>
      </c>
      <c r="F286" s="24"/>
      <c r="G286" s="26">
        <v>45777.38707175926</v>
      </c>
      <c r="H286" s="26">
        <v>45960.386655092596</v>
      </c>
      <c r="I286" s="24" t="s">
        <v>40</v>
      </c>
      <c r="J286" s="24" t="s">
        <v>41</v>
      </c>
      <c r="K286" s="24" t="s">
        <v>42</v>
      </c>
      <c r="L286" s="24" t="s">
        <v>43</v>
      </c>
      <c r="M286" s="24" t="s">
        <v>102</v>
      </c>
      <c r="N286" s="24"/>
      <c r="O286" s="27"/>
      <c r="P286" s="24" t="s">
        <v>75</v>
      </c>
      <c r="Q286" s="24"/>
      <c r="R286" s="23">
        <f>HYPERLINK("https://app.hubspot.com/contacts/8748051/record/0-2/32722080322", 32722080322)</f>
        <v>32722080322</v>
      </c>
      <c r="S286" s="24" t="s">
        <v>1085</v>
      </c>
      <c r="T286" s="28" t="s">
        <v>1086</v>
      </c>
      <c r="U286" s="24" t="s">
        <v>47</v>
      </c>
      <c r="V286" s="24"/>
      <c r="W286" s="25"/>
      <c r="X286" s="29">
        <v>35.0</v>
      </c>
      <c r="Y286" s="29">
        <v>4.0</v>
      </c>
      <c r="Z286" s="31"/>
      <c r="AA286" s="30"/>
      <c r="AB286" s="30"/>
      <c r="AC286" s="30"/>
      <c r="AD286" s="30"/>
      <c r="AE286" s="30"/>
      <c r="AF286" s="30"/>
      <c r="AG286" s="27" t="str">
        <f t="shared" si="1"/>
        <v>New Logo</v>
      </c>
      <c r="AH286" s="27" t="str">
        <f t="shared" si="5"/>
        <v>Lead</v>
      </c>
      <c r="AI286" s="27" t="str">
        <f t="shared" si="6"/>
        <v>0-200</v>
      </c>
      <c r="AJ286" s="27" t="str">
        <f t="shared" si="7"/>
        <v>0-20</v>
      </c>
    </row>
    <row r="287" ht="15.75" customHeight="1">
      <c r="A287" s="23">
        <f>HYPERLINK("https://app.hubspot.com/contacts/8748051/record/0-3/36212115727", 36212115727)</f>
        <v>36212115727</v>
      </c>
      <c r="B287" s="24" t="s">
        <v>1087</v>
      </c>
      <c r="C287" s="24" t="s">
        <v>50</v>
      </c>
      <c r="D287" s="25">
        <v>100000.0</v>
      </c>
      <c r="E287" s="24" t="s">
        <v>73</v>
      </c>
      <c r="F287" s="24"/>
      <c r="G287" s="26">
        <v>45771.97175925926</v>
      </c>
      <c r="H287" s="26">
        <v>45951.97174768519</v>
      </c>
      <c r="I287" s="24" t="s">
        <v>40</v>
      </c>
      <c r="J287" s="24" t="s">
        <v>53</v>
      </c>
      <c r="K287" s="24" t="s">
        <v>42</v>
      </c>
      <c r="L287" s="24" t="s">
        <v>43</v>
      </c>
      <c r="M287" s="24" t="s">
        <v>44</v>
      </c>
      <c r="N287" s="24"/>
      <c r="O287" s="27"/>
      <c r="P287" s="24" t="s">
        <v>234</v>
      </c>
      <c r="Q287" s="24"/>
      <c r="R287" s="23">
        <f>HYPERLINK("https://app.hubspot.com/contacts/8748051/record/0-2/6816458012", 6816458012)</f>
        <v>6816458012</v>
      </c>
      <c r="S287" s="24" t="s">
        <v>1088</v>
      </c>
      <c r="T287" s="28" t="s">
        <v>1089</v>
      </c>
      <c r="U287" s="24" t="s">
        <v>47</v>
      </c>
      <c r="V287" s="24"/>
      <c r="W287" s="25"/>
      <c r="X287" s="29">
        <v>9144.0</v>
      </c>
      <c r="Y287" s="29">
        <v>779.0</v>
      </c>
      <c r="Z287" s="30"/>
      <c r="AA287" s="30"/>
      <c r="AB287" s="31"/>
      <c r="AC287" s="31"/>
      <c r="AD287" s="30"/>
      <c r="AE287" s="30"/>
      <c r="AF287" s="30"/>
      <c r="AG287" s="27" t="str">
        <f t="shared" si="1"/>
        <v>New Logo</v>
      </c>
      <c r="AH287" s="27" t="str">
        <f t="shared" si="5"/>
        <v>Lead</v>
      </c>
      <c r="AI287" s="27" t="str">
        <f t="shared" si="6"/>
        <v>5000-10000</v>
      </c>
      <c r="AJ287" s="27" t="str">
        <f t="shared" si="7"/>
        <v>500+</v>
      </c>
    </row>
    <row r="288" ht="15.75" customHeight="1">
      <c r="A288" s="23">
        <f>HYPERLINK("https://app.hubspot.com/contacts/8748051/record/0-3/36124029510", 36124029510)</f>
        <v>36124029510</v>
      </c>
      <c r="B288" s="24" t="s">
        <v>1090</v>
      </c>
      <c r="C288" s="24" t="s">
        <v>50</v>
      </c>
      <c r="D288" s="25">
        <v>80000.0</v>
      </c>
      <c r="E288" s="24" t="s">
        <v>92</v>
      </c>
      <c r="F288" s="24" t="s">
        <v>52</v>
      </c>
      <c r="G288" s="26">
        <v>45770.72572916667</v>
      </c>
      <c r="H288" s="26">
        <v>45956.90225694444</v>
      </c>
      <c r="I288" s="24" t="s">
        <v>40</v>
      </c>
      <c r="J288" s="24" t="s">
        <v>41</v>
      </c>
      <c r="K288" s="24" t="s">
        <v>42</v>
      </c>
      <c r="L288" s="24" t="s">
        <v>43</v>
      </c>
      <c r="M288" s="24" t="s">
        <v>44</v>
      </c>
      <c r="N288" s="24" t="s">
        <v>1091</v>
      </c>
      <c r="O288" s="27"/>
      <c r="P288" s="24"/>
      <c r="Q288" s="24" t="s">
        <v>401</v>
      </c>
      <c r="R288" s="23">
        <f>HYPERLINK("https://app.hubspot.com/contacts/8748051/record/0-2/35716472621", 35716472621)</f>
        <v>35716472621</v>
      </c>
      <c r="S288" s="24" t="s">
        <v>185</v>
      </c>
      <c r="T288" s="28" t="s">
        <v>186</v>
      </c>
      <c r="U288" s="24" t="s">
        <v>96</v>
      </c>
      <c r="V288" s="24"/>
      <c r="W288" s="25">
        <v>88000.0</v>
      </c>
      <c r="X288" s="29">
        <v>972.0</v>
      </c>
      <c r="Y288" s="29">
        <v>295.0</v>
      </c>
      <c r="Z288" s="30"/>
      <c r="AA288" s="30" t="s">
        <v>97</v>
      </c>
      <c r="AB288" s="30"/>
      <c r="AC288" s="30"/>
      <c r="AD288" s="30" t="s">
        <v>187</v>
      </c>
      <c r="AE288" s="30"/>
      <c r="AF288" s="30" t="s">
        <v>188</v>
      </c>
      <c r="AG288" s="27" t="str">
        <f t="shared" si="1"/>
        <v>New Logo</v>
      </c>
      <c r="AH288" s="27" t="str">
        <f t="shared" si="5"/>
        <v>Customer</v>
      </c>
      <c r="AI288" s="27" t="str">
        <f t="shared" si="6"/>
        <v>501-1000</v>
      </c>
      <c r="AJ288" s="27" t="str">
        <f t="shared" si="7"/>
        <v>101-500</v>
      </c>
    </row>
    <row r="289" ht="15.75" customHeight="1">
      <c r="A289" s="23">
        <f>HYPERLINK("https://app.hubspot.com/contacts/8748051/record/0-3/36142638880", 36142638880)</f>
        <v>36142638880</v>
      </c>
      <c r="B289" s="24" t="s">
        <v>1092</v>
      </c>
      <c r="C289" s="24" t="s">
        <v>148</v>
      </c>
      <c r="D289" s="25">
        <v>43500.0</v>
      </c>
      <c r="E289" s="24" t="s">
        <v>127</v>
      </c>
      <c r="F289" s="24" t="s">
        <v>52</v>
      </c>
      <c r="G289" s="26">
        <v>45770.41193287037</v>
      </c>
      <c r="H289" s="26">
        <v>45937.720497685186</v>
      </c>
      <c r="I289" s="24" t="s">
        <v>40</v>
      </c>
      <c r="J289" s="24" t="s">
        <v>41</v>
      </c>
      <c r="K289" s="24" t="s">
        <v>42</v>
      </c>
      <c r="L289" s="24" t="s">
        <v>43</v>
      </c>
      <c r="M289" s="24" t="s">
        <v>44</v>
      </c>
      <c r="N289" s="24"/>
      <c r="O289" s="24"/>
      <c r="P289" s="24"/>
      <c r="Q289" s="24" t="s">
        <v>503</v>
      </c>
      <c r="R289" s="23">
        <f>HYPERLINK("https://app.hubspot.com/contacts/8748051/record/0-2/32425083941", 32425083941)</f>
        <v>32425083941</v>
      </c>
      <c r="S289" s="24" t="s">
        <v>1093</v>
      </c>
      <c r="T289" s="28" t="s">
        <v>1094</v>
      </c>
      <c r="U289" s="24" t="s">
        <v>47</v>
      </c>
      <c r="V289" s="24"/>
      <c r="W289" s="25"/>
      <c r="X289" s="29">
        <v>417.0</v>
      </c>
      <c r="Y289" s="29">
        <v>113.0</v>
      </c>
      <c r="Z289" s="30" t="s">
        <v>71</v>
      </c>
      <c r="AA289" s="30"/>
      <c r="AB289" s="31"/>
      <c r="AC289" s="30"/>
      <c r="AD289" s="30"/>
      <c r="AE289" s="30"/>
      <c r="AF289" s="30"/>
      <c r="AG289" s="27" t="str">
        <f t="shared" si="1"/>
        <v>New Logo</v>
      </c>
      <c r="AH289" s="27" t="str">
        <f t="shared" si="5"/>
        <v>Lead</v>
      </c>
      <c r="AI289" s="27" t="str">
        <f t="shared" si="6"/>
        <v>201-500</v>
      </c>
      <c r="AJ289" s="27" t="str">
        <f t="shared" si="7"/>
        <v>101-500</v>
      </c>
    </row>
    <row r="290" ht="15.75" customHeight="1">
      <c r="A290" s="23">
        <f>HYPERLINK("https://app.hubspot.com/contacts/8748051/record/0-3/36065556254", 36065556254)</f>
        <v>36065556254</v>
      </c>
      <c r="B290" s="24" t="s">
        <v>1095</v>
      </c>
      <c r="C290" s="24" t="s">
        <v>148</v>
      </c>
      <c r="D290" s="25">
        <v>46000.0</v>
      </c>
      <c r="E290" s="24" t="s">
        <v>92</v>
      </c>
      <c r="F290" s="24" t="s">
        <v>52</v>
      </c>
      <c r="G290" s="26">
        <v>45769.61466435185</v>
      </c>
      <c r="H290" s="26">
        <v>45807.363229166665</v>
      </c>
      <c r="I290" s="24" t="s">
        <v>40</v>
      </c>
      <c r="J290" s="24" t="s">
        <v>53</v>
      </c>
      <c r="K290" s="24" t="s">
        <v>42</v>
      </c>
      <c r="L290" s="24" t="s">
        <v>43</v>
      </c>
      <c r="M290" s="24" t="s">
        <v>44</v>
      </c>
      <c r="N290" s="24" t="s">
        <v>1096</v>
      </c>
      <c r="O290" s="27"/>
      <c r="P290" s="24"/>
      <c r="Q290" s="24"/>
      <c r="R290" s="23">
        <f>HYPERLINK("https://app.hubspot.com/contacts/8748051/record/0-2/8161507100", 8161507100)</f>
        <v>8161507100</v>
      </c>
      <c r="S290" s="24" t="s">
        <v>1097</v>
      </c>
      <c r="T290" s="28" t="s">
        <v>1098</v>
      </c>
      <c r="U290" s="24" t="s">
        <v>96</v>
      </c>
      <c r="V290" s="24"/>
      <c r="W290" s="25">
        <v>46000.0</v>
      </c>
      <c r="X290" s="29">
        <v>1078.0</v>
      </c>
      <c r="Y290" s="29">
        <v>310.0</v>
      </c>
      <c r="Z290" s="30"/>
      <c r="AA290" s="30" t="s">
        <v>207</v>
      </c>
      <c r="AB290" s="31"/>
      <c r="AC290" s="30" t="s">
        <v>268</v>
      </c>
      <c r="AD290" s="30" t="s">
        <v>1099</v>
      </c>
      <c r="AE290" s="30"/>
      <c r="AF290" s="30" t="s">
        <v>554</v>
      </c>
      <c r="AG290" s="27" t="str">
        <f t="shared" si="1"/>
        <v>New Logo</v>
      </c>
      <c r="AH290" s="27" t="str">
        <f t="shared" si="5"/>
        <v>Customer</v>
      </c>
      <c r="AI290" s="27" t="str">
        <f t="shared" si="6"/>
        <v>1001-5000</v>
      </c>
      <c r="AJ290" s="27" t="str">
        <f t="shared" si="7"/>
        <v>101-500</v>
      </c>
    </row>
    <row r="291" ht="15.75" customHeight="1">
      <c r="A291" s="23">
        <f>HYPERLINK("https://app.hubspot.com/contacts/8748051/record/0-3/36028597311", 36028597311)</f>
        <v>36028597311</v>
      </c>
      <c r="B291" s="24" t="s">
        <v>1100</v>
      </c>
      <c r="C291" s="24" t="s">
        <v>148</v>
      </c>
      <c r="D291" s="25">
        <v>35500.0</v>
      </c>
      <c r="E291" s="24" t="s">
        <v>73</v>
      </c>
      <c r="F291" s="24"/>
      <c r="G291" s="26">
        <v>45768.481782407405</v>
      </c>
      <c r="H291" s="26">
        <v>45845.52990740741</v>
      </c>
      <c r="I291" s="24" t="s">
        <v>40</v>
      </c>
      <c r="J291" s="24" t="s">
        <v>41</v>
      </c>
      <c r="K291" s="24" t="s">
        <v>253</v>
      </c>
      <c r="L291" s="24" t="s">
        <v>43</v>
      </c>
      <c r="M291" s="24" t="s">
        <v>44</v>
      </c>
      <c r="N291" s="27"/>
      <c r="O291" s="24"/>
      <c r="P291" s="24" t="s">
        <v>122</v>
      </c>
      <c r="Q291" s="24"/>
      <c r="R291" s="23">
        <f>HYPERLINK("https://app.hubspot.com/contacts/8748051/record/0-2/9238390855", 9238390855)</f>
        <v>9238390855</v>
      </c>
      <c r="S291" s="24" t="s">
        <v>1101</v>
      </c>
      <c r="T291" s="28" t="s">
        <v>1102</v>
      </c>
      <c r="U291" s="24" t="s">
        <v>47</v>
      </c>
      <c r="V291" s="24"/>
      <c r="W291" s="32"/>
      <c r="X291" s="29">
        <v>1776.0</v>
      </c>
      <c r="Y291" s="29">
        <v>84.0</v>
      </c>
      <c r="Z291" s="30" t="s">
        <v>56</v>
      </c>
      <c r="AA291" s="31"/>
      <c r="AB291" s="31"/>
      <c r="AC291" s="31"/>
      <c r="AD291" s="31"/>
      <c r="AE291" s="31"/>
      <c r="AF291" s="31"/>
      <c r="AG291" s="27" t="str">
        <f t="shared" si="1"/>
        <v>New Logo</v>
      </c>
      <c r="AH291" s="27" t="str">
        <f t="shared" si="5"/>
        <v>Lead</v>
      </c>
      <c r="AI291" s="27" t="str">
        <f t="shared" si="6"/>
        <v>1001-5000</v>
      </c>
      <c r="AJ291" s="27" t="str">
        <f t="shared" si="7"/>
        <v>51-100</v>
      </c>
    </row>
    <row r="292" ht="15.75" customHeight="1">
      <c r="A292" s="23">
        <f>HYPERLINK("https://app.hubspot.com/contacts/8748051/record/0-3/35893352554", 35893352554)</f>
        <v>35893352554</v>
      </c>
      <c r="B292" s="24" t="s">
        <v>1103</v>
      </c>
      <c r="C292" s="24" t="s">
        <v>50</v>
      </c>
      <c r="D292" s="25">
        <v>43500.0</v>
      </c>
      <c r="E292" s="24" t="s">
        <v>73</v>
      </c>
      <c r="F292" s="24"/>
      <c r="G292" s="26">
        <v>45765.39094907408</v>
      </c>
      <c r="H292" s="26">
        <v>45948.38980324074</v>
      </c>
      <c r="I292" s="24" t="s">
        <v>40</v>
      </c>
      <c r="J292" s="24" t="s">
        <v>41</v>
      </c>
      <c r="K292" s="24" t="s">
        <v>1104</v>
      </c>
      <c r="L292" s="24" t="s">
        <v>560</v>
      </c>
      <c r="M292" s="24" t="s">
        <v>44</v>
      </c>
      <c r="N292" s="24"/>
      <c r="O292" s="27"/>
      <c r="P292" s="24" t="s">
        <v>75</v>
      </c>
      <c r="Q292" s="24"/>
      <c r="R292" s="23">
        <f>HYPERLINK("https://app.hubspot.com/contacts/8748051/record/0-2/6262832245", 6262832245)</f>
        <v>6262832245</v>
      </c>
      <c r="S292" s="24" t="s">
        <v>1105</v>
      </c>
      <c r="T292" s="28" t="s">
        <v>1106</v>
      </c>
      <c r="U292" s="24" t="s">
        <v>47</v>
      </c>
      <c r="V292" s="24"/>
      <c r="W292" s="25"/>
      <c r="X292" s="29">
        <v>985.0</v>
      </c>
      <c r="Y292" s="29">
        <v>143.0</v>
      </c>
      <c r="Z292" s="30" t="s">
        <v>1107</v>
      </c>
      <c r="AA292" s="30"/>
      <c r="AB292" s="30"/>
      <c r="AC292" s="30"/>
      <c r="AD292" s="30"/>
      <c r="AE292" s="30"/>
      <c r="AF292" s="30"/>
      <c r="AG292" s="27" t="str">
        <f t="shared" si="1"/>
        <v>New Logo</v>
      </c>
      <c r="AH292" s="27" t="str">
        <f t="shared" si="5"/>
        <v>Lead</v>
      </c>
      <c r="AI292" s="27" t="str">
        <f t="shared" si="6"/>
        <v>501-1000</v>
      </c>
      <c r="AJ292" s="27" t="str">
        <f t="shared" si="7"/>
        <v>101-500</v>
      </c>
    </row>
    <row r="293" ht="15.75" customHeight="1">
      <c r="A293" s="23">
        <f>HYPERLINK("https://app.hubspot.com/contacts/8748051/record/0-3/35827801260", 35827801260)</f>
        <v>35827801260</v>
      </c>
      <c r="B293" s="24" t="s">
        <v>1108</v>
      </c>
      <c r="C293" s="24" t="s">
        <v>38</v>
      </c>
      <c r="D293" s="25">
        <v>5000.0</v>
      </c>
      <c r="E293" s="24" t="s">
        <v>73</v>
      </c>
      <c r="F293" s="24"/>
      <c r="G293" s="26">
        <v>45763.463796296295</v>
      </c>
      <c r="H293" s="26">
        <v>45943.463784722226</v>
      </c>
      <c r="I293" s="24" t="s">
        <v>40</v>
      </c>
      <c r="J293" s="24" t="s">
        <v>41</v>
      </c>
      <c r="K293" s="24" t="s">
        <v>42</v>
      </c>
      <c r="L293" s="24" t="s">
        <v>43</v>
      </c>
      <c r="M293" s="24" t="s">
        <v>102</v>
      </c>
      <c r="N293" s="24"/>
      <c r="O293" s="24"/>
      <c r="P293" s="24" t="s">
        <v>213</v>
      </c>
      <c r="Q293" s="24"/>
      <c r="R293" s="23">
        <f>HYPERLINK("https://app.hubspot.com/contacts/8748051/record/0-2/20185415273", 20185415273)</f>
        <v>20185415273</v>
      </c>
      <c r="S293" s="24" t="s">
        <v>821</v>
      </c>
      <c r="T293" s="28" t="s">
        <v>822</v>
      </c>
      <c r="U293" s="24" t="s">
        <v>47</v>
      </c>
      <c r="V293" s="24"/>
      <c r="W293" s="25"/>
      <c r="X293" s="29">
        <v>77.0</v>
      </c>
      <c r="Y293" s="29">
        <v>6.0</v>
      </c>
      <c r="Z293" s="30"/>
      <c r="AA293" s="30"/>
      <c r="AB293" s="30"/>
      <c r="AC293" s="30"/>
      <c r="AD293" s="30"/>
      <c r="AE293" s="31"/>
      <c r="AF293" s="30"/>
      <c r="AG293" s="27" t="str">
        <f t="shared" si="1"/>
        <v>New Logo</v>
      </c>
      <c r="AH293" s="27" t="str">
        <f t="shared" si="5"/>
        <v>Lead</v>
      </c>
      <c r="AI293" s="27" t="str">
        <f t="shared" si="6"/>
        <v>0-200</v>
      </c>
      <c r="AJ293" s="27" t="str">
        <f t="shared" si="7"/>
        <v>0-20</v>
      </c>
    </row>
    <row r="294" ht="15.75" customHeight="1">
      <c r="A294" s="23">
        <f>HYPERLINK("https://app.hubspot.com/contacts/8748051/record/0-3/35764308320", 35764308320)</f>
        <v>35764308320</v>
      </c>
      <c r="B294" s="24" t="s">
        <v>1109</v>
      </c>
      <c r="C294" s="24" t="s">
        <v>50</v>
      </c>
      <c r="D294" s="25">
        <v>9500.0</v>
      </c>
      <c r="E294" s="24" t="s">
        <v>73</v>
      </c>
      <c r="F294" s="24"/>
      <c r="G294" s="26">
        <v>45762.78494212963</v>
      </c>
      <c r="H294" s="26">
        <v>45942.78491898148</v>
      </c>
      <c r="I294" s="24" t="s">
        <v>40</v>
      </c>
      <c r="J294" s="24" t="s">
        <v>41</v>
      </c>
      <c r="K294" s="24" t="s">
        <v>42</v>
      </c>
      <c r="L294" s="24" t="s">
        <v>43</v>
      </c>
      <c r="M294" s="24" t="s">
        <v>44</v>
      </c>
      <c r="N294" s="27"/>
      <c r="O294" s="27"/>
      <c r="P294" s="24" t="s">
        <v>75</v>
      </c>
      <c r="Q294" s="24"/>
      <c r="R294" s="23">
        <f>HYPERLINK("https://app.hubspot.com/contacts/8748051/record/0-2/32056215688", 32056215688)</f>
        <v>32056215688</v>
      </c>
      <c r="S294" s="24" t="s">
        <v>1110</v>
      </c>
      <c r="T294" s="28" t="s">
        <v>1111</v>
      </c>
      <c r="U294" s="24" t="s">
        <v>47</v>
      </c>
      <c r="V294" s="24"/>
      <c r="W294" s="25"/>
      <c r="X294" s="29">
        <v>226.0</v>
      </c>
      <c r="Y294" s="29">
        <v>19.0</v>
      </c>
      <c r="Z294" s="30"/>
      <c r="AA294" s="30"/>
      <c r="AB294" s="30"/>
      <c r="AC294" s="31"/>
      <c r="AD294" s="30"/>
      <c r="AE294" s="31"/>
      <c r="AF294" s="30"/>
      <c r="AG294" s="27" t="str">
        <f t="shared" si="1"/>
        <v>New Logo</v>
      </c>
      <c r="AH294" s="27" t="str">
        <f t="shared" si="5"/>
        <v>Lead</v>
      </c>
      <c r="AI294" s="27" t="str">
        <f t="shared" si="6"/>
        <v>201-500</v>
      </c>
      <c r="AJ294" s="27" t="str">
        <f t="shared" si="7"/>
        <v>0-20</v>
      </c>
    </row>
    <row r="295" ht="15.75" customHeight="1">
      <c r="A295" s="23">
        <f>HYPERLINK("https://app.hubspot.com/contacts/8748051/record/0-3/43997547687", 43997547687)</f>
        <v>43997547687</v>
      </c>
      <c r="B295" s="24" t="s">
        <v>1112</v>
      </c>
      <c r="C295" s="24" t="s">
        <v>159</v>
      </c>
      <c r="D295" s="25">
        <v>2000.0</v>
      </c>
      <c r="E295" s="24" t="s">
        <v>92</v>
      </c>
      <c r="F295" s="24"/>
      <c r="G295" s="26">
        <v>45761.65998842593</v>
      </c>
      <c r="H295" s="26">
        <v>45761.66</v>
      </c>
      <c r="I295" s="24" t="s">
        <v>40</v>
      </c>
      <c r="J295" s="24" t="s">
        <v>182</v>
      </c>
      <c r="K295" s="24" t="s">
        <v>161</v>
      </c>
      <c r="L295" s="24" t="s">
        <v>162</v>
      </c>
      <c r="M295" s="24"/>
      <c r="N295" s="24"/>
      <c r="O295" s="24"/>
      <c r="P295" s="24"/>
      <c r="Q295" s="24"/>
      <c r="R295" s="23">
        <f>HYPERLINK("https://app.hubspot.com/contacts/8748051/record/0-2/8950154645", 8950154645)</f>
        <v>8950154645</v>
      </c>
      <c r="S295" s="24" t="s">
        <v>191</v>
      </c>
      <c r="T295" s="28" t="s">
        <v>192</v>
      </c>
      <c r="U295" s="24" t="s">
        <v>96</v>
      </c>
      <c r="V295" s="24"/>
      <c r="W295" s="25">
        <v>79564.0</v>
      </c>
      <c r="X295" s="29">
        <v>882.0</v>
      </c>
      <c r="Y295" s="29">
        <v>60.0</v>
      </c>
      <c r="Z295" s="30"/>
      <c r="AA295" s="30" t="s">
        <v>193</v>
      </c>
      <c r="AB295" s="30" t="s">
        <v>194</v>
      </c>
      <c r="AC295" s="30"/>
      <c r="AD295" s="30" t="s">
        <v>195</v>
      </c>
      <c r="AE295" s="30"/>
      <c r="AF295" s="30" t="s">
        <v>169</v>
      </c>
      <c r="AG295" s="27" t="str">
        <f t="shared" si="1"/>
        <v>Upsell</v>
      </c>
      <c r="AH295" s="27" t="str">
        <f t="shared" si="5"/>
        <v>Customer</v>
      </c>
      <c r="AI295" s="27" t="str">
        <f t="shared" si="6"/>
        <v>501-1000</v>
      </c>
      <c r="AJ295" s="27" t="str">
        <f t="shared" si="7"/>
        <v>51-100</v>
      </c>
    </row>
    <row r="296" ht="15.75" customHeight="1">
      <c r="A296" s="23">
        <f>HYPERLINK("https://app.hubspot.com/contacts/8748051/record/0-3/35676027492", 35676027492)</f>
        <v>35676027492</v>
      </c>
      <c r="B296" s="24" t="s">
        <v>1113</v>
      </c>
      <c r="C296" s="24" t="s">
        <v>50</v>
      </c>
      <c r="D296" s="25">
        <v>1500.0</v>
      </c>
      <c r="E296" s="24" t="s">
        <v>73</v>
      </c>
      <c r="F296" s="24"/>
      <c r="G296" s="26">
        <v>45758.643055555556</v>
      </c>
      <c r="H296" s="26">
        <v>45938.64303240741</v>
      </c>
      <c r="I296" s="24" t="s">
        <v>40</v>
      </c>
      <c r="J296" s="24" t="s">
        <v>41</v>
      </c>
      <c r="K296" s="24" t="s">
        <v>42</v>
      </c>
      <c r="L296" s="24" t="s">
        <v>43</v>
      </c>
      <c r="M296" s="24" t="s">
        <v>44</v>
      </c>
      <c r="N296" s="24"/>
      <c r="O296" s="24"/>
      <c r="P296" s="24" t="s">
        <v>234</v>
      </c>
      <c r="Q296" s="24"/>
      <c r="R296" s="23">
        <f>HYPERLINK("https://app.hubspot.com/contacts/8748051/record/0-2/31946973311", 31946973311)</f>
        <v>31946973311</v>
      </c>
      <c r="S296" s="24" t="s">
        <v>673</v>
      </c>
      <c r="T296" s="28" t="s">
        <v>674</v>
      </c>
      <c r="U296" s="24" t="s">
        <v>47</v>
      </c>
      <c r="V296" s="24"/>
      <c r="W296" s="25"/>
      <c r="X296" s="29">
        <v>36.0</v>
      </c>
      <c r="Y296" s="29">
        <v>3.0</v>
      </c>
      <c r="Z296" s="30"/>
      <c r="AA296" s="30"/>
      <c r="AB296" s="31"/>
      <c r="AC296" s="31"/>
      <c r="AD296" s="30"/>
      <c r="AE296" s="31"/>
      <c r="AF296" s="30"/>
      <c r="AG296" s="27" t="str">
        <f t="shared" si="1"/>
        <v>New Logo</v>
      </c>
      <c r="AH296" s="27" t="str">
        <f t="shared" si="5"/>
        <v>Lead</v>
      </c>
      <c r="AI296" s="27" t="str">
        <f t="shared" si="6"/>
        <v>0-200</v>
      </c>
      <c r="AJ296" s="27" t="str">
        <f t="shared" si="7"/>
        <v>0-20</v>
      </c>
    </row>
    <row r="297" ht="15.75" customHeight="1">
      <c r="A297" s="23">
        <f>HYPERLINK("https://app.hubspot.com/contacts/8748051/record/0-3/35633263727", 35633263727)</f>
        <v>35633263727</v>
      </c>
      <c r="B297" s="24" t="s">
        <v>1114</v>
      </c>
      <c r="C297" s="24" t="s">
        <v>1009</v>
      </c>
      <c r="D297" s="25">
        <v>11000.0</v>
      </c>
      <c r="E297" s="24" t="s">
        <v>73</v>
      </c>
      <c r="F297" s="24"/>
      <c r="G297" s="26">
        <v>45757.55971064815</v>
      </c>
      <c r="H297" s="26">
        <v>45937.559699074074</v>
      </c>
      <c r="I297" s="24" t="s">
        <v>40</v>
      </c>
      <c r="J297" s="24" t="s">
        <v>41</v>
      </c>
      <c r="K297" s="24" t="s">
        <v>42</v>
      </c>
      <c r="L297" s="24" t="s">
        <v>43</v>
      </c>
      <c r="M297" s="24" t="s">
        <v>44</v>
      </c>
      <c r="N297" s="24"/>
      <c r="O297" s="24"/>
      <c r="P297" s="24" t="s">
        <v>75</v>
      </c>
      <c r="Q297" s="24"/>
      <c r="R297" s="23">
        <f>HYPERLINK("https://app.hubspot.com/contacts/8748051/record/0-2/7983431442", 7983431442)</f>
        <v>7983431442</v>
      </c>
      <c r="S297" s="24" t="s">
        <v>1115</v>
      </c>
      <c r="T297" s="28" t="s">
        <v>1116</v>
      </c>
      <c r="U297" s="24" t="s">
        <v>47</v>
      </c>
      <c r="V297" s="24"/>
      <c r="W297" s="25"/>
      <c r="X297" s="29">
        <v>183.0</v>
      </c>
      <c r="Y297" s="29">
        <v>35.0</v>
      </c>
      <c r="Z297" s="30" t="s">
        <v>108</v>
      </c>
      <c r="AA297" s="30"/>
      <c r="AB297" s="30"/>
      <c r="AC297" s="31"/>
      <c r="AD297" s="30"/>
      <c r="AE297" s="31"/>
      <c r="AF297" s="30"/>
      <c r="AG297" s="27" t="str">
        <f t="shared" si="1"/>
        <v>New Logo</v>
      </c>
      <c r="AH297" s="27" t="str">
        <f t="shared" si="5"/>
        <v>Lead</v>
      </c>
      <c r="AI297" s="27" t="str">
        <f t="shared" si="6"/>
        <v>0-200</v>
      </c>
      <c r="AJ297" s="27" t="str">
        <f t="shared" si="7"/>
        <v>21-50</v>
      </c>
    </row>
    <row r="298" ht="15.75" customHeight="1">
      <c r="A298" s="23">
        <f>HYPERLINK("https://app.hubspot.com/contacts/8748051/record/0-3/35631696556", 35631696556)</f>
        <v>35631696556</v>
      </c>
      <c r="B298" s="24" t="s">
        <v>1117</v>
      </c>
      <c r="C298" s="24" t="s">
        <v>148</v>
      </c>
      <c r="D298" s="25">
        <v>40000.0</v>
      </c>
      <c r="E298" s="24" t="s">
        <v>149</v>
      </c>
      <c r="F298" s="24" t="s">
        <v>52</v>
      </c>
      <c r="G298" s="26">
        <v>45756.70082175926</v>
      </c>
      <c r="H298" s="26">
        <v>45819.61006944445</v>
      </c>
      <c r="I298" s="24" t="s">
        <v>40</v>
      </c>
      <c r="J298" s="24" t="s">
        <v>41</v>
      </c>
      <c r="K298" s="24" t="s">
        <v>1104</v>
      </c>
      <c r="L298" s="24" t="s">
        <v>61</v>
      </c>
      <c r="M298" s="24" t="s">
        <v>44</v>
      </c>
      <c r="N298" s="24"/>
      <c r="O298" s="24" t="s">
        <v>1118</v>
      </c>
      <c r="P298" s="24"/>
      <c r="Q298" s="24"/>
      <c r="R298" s="23">
        <f>HYPERLINK("https://app.hubspot.com/contacts/8748051/record/0-2/9913542440", 9913542440)</f>
        <v>9913542440</v>
      </c>
      <c r="S298" s="24" t="s">
        <v>1119</v>
      </c>
      <c r="T298" s="28" t="s">
        <v>1120</v>
      </c>
      <c r="U298" s="24" t="s">
        <v>47</v>
      </c>
      <c r="V298" s="24"/>
      <c r="W298" s="25"/>
      <c r="X298" s="29">
        <v>360.0</v>
      </c>
      <c r="Y298" s="29">
        <v>42.0</v>
      </c>
      <c r="Z298" s="30" t="s">
        <v>108</v>
      </c>
      <c r="AA298" s="30"/>
      <c r="AB298" s="30"/>
      <c r="AC298" s="30"/>
      <c r="AD298" s="30"/>
      <c r="AE298" s="30"/>
      <c r="AF298" s="30"/>
      <c r="AG298" s="27" t="str">
        <f t="shared" si="1"/>
        <v>New Logo</v>
      </c>
      <c r="AH298" s="27" t="str">
        <f t="shared" si="5"/>
        <v>Lead</v>
      </c>
      <c r="AI298" s="27" t="str">
        <f t="shared" si="6"/>
        <v>201-500</v>
      </c>
      <c r="AJ298" s="27" t="str">
        <f t="shared" si="7"/>
        <v>21-50</v>
      </c>
    </row>
    <row r="299" ht="15.75" customHeight="1">
      <c r="A299" s="23">
        <f>HYPERLINK("https://app.hubspot.com/contacts/8748051/record/0-3/35628527472", 35628527472)</f>
        <v>35628527472</v>
      </c>
      <c r="B299" s="24" t="s">
        <v>1121</v>
      </c>
      <c r="C299" s="24" t="s">
        <v>50</v>
      </c>
      <c r="D299" s="25">
        <v>100000.0</v>
      </c>
      <c r="E299" s="24" t="s">
        <v>73</v>
      </c>
      <c r="F299" s="24"/>
      <c r="G299" s="26">
        <v>45756.643587962964</v>
      </c>
      <c r="H299" s="26">
        <v>45939.64320601852</v>
      </c>
      <c r="I299" s="24" t="s">
        <v>40</v>
      </c>
      <c r="J299" s="24" t="s">
        <v>53</v>
      </c>
      <c r="K299" s="24" t="s">
        <v>42</v>
      </c>
      <c r="L299" s="24" t="s">
        <v>43</v>
      </c>
      <c r="M299" s="24" t="s">
        <v>44</v>
      </c>
      <c r="N299" s="24"/>
      <c r="O299" s="24"/>
      <c r="P299" s="24" t="s">
        <v>75</v>
      </c>
      <c r="Q299" s="24"/>
      <c r="R299" s="23">
        <f>HYPERLINK("https://app.hubspot.com/contacts/8748051/record/0-2/8142764962", 8142764962)</f>
        <v>8142764962</v>
      </c>
      <c r="S299" s="24" t="s">
        <v>952</v>
      </c>
      <c r="T299" s="28" t="s">
        <v>953</v>
      </c>
      <c r="U299" s="24" t="s">
        <v>47</v>
      </c>
      <c r="V299" s="24"/>
      <c r="W299" s="25"/>
      <c r="X299" s="29">
        <v>4351.0</v>
      </c>
      <c r="Y299" s="29">
        <v>550.0</v>
      </c>
      <c r="Z299" s="30" t="s">
        <v>56</v>
      </c>
      <c r="AA299" s="30"/>
      <c r="AB299" s="30"/>
      <c r="AC299" s="30"/>
      <c r="AD299" s="30"/>
      <c r="AE299" s="30"/>
      <c r="AF299" s="30"/>
      <c r="AG299" s="27" t="str">
        <f t="shared" si="1"/>
        <v>New Logo</v>
      </c>
      <c r="AH299" s="27" t="str">
        <f t="shared" si="5"/>
        <v>Lead</v>
      </c>
      <c r="AI299" s="27" t="str">
        <f t="shared" si="6"/>
        <v>1001-5000</v>
      </c>
      <c r="AJ299" s="27" t="str">
        <f t="shared" si="7"/>
        <v>500+</v>
      </c>
    </row>
    <row r="300" ht="15.75" customHeight="1">
      <c r="A300" s="23">
        <f>HYPERLINK("https://app.hubspot.com/contacts/8748051/record/0-3/35613249650", 35613249650)</f>
        <v>35613249650</v>
      </c>
      <c r="B300" s="24" t="s">
        <v>1122</v>
      </c>
      <c r="C300" s="24" t="s">
        <v>38</v>
      </c>
      <c r="D300" s="25">
        <v>22000.0</v>
      </c>
      <c r="E300" s="24" t="s">
        <v>127</v>
      </c>
      <c r="F300" s="24" t="s">
        <v>52</v>
      </c>
      <c r="G300" s="26">
        <v>45756.35601851852</v>
      </c>
      <c r="H300" s="26">
        <v>46108.31337962963</v>
      </c>
      <c r="I300" s="24" t="s">
        <v>40</v>
      </c>
      <c r="J300" s="24" t="s">
        <v>41</v>
      </c>
      <c r="K300" s="24" t="s">
        <v>42</v>
      </c>
      <c r="L300" s="24" t="s">
        <v>43</v>
      </c>
      <c r="M300" s="24" t="s">
        <v>102</v>
      </c>
      <c r="N300" s="24"/>
      <c r="O300" s="24"/>
      <c r="P300" s="24"/>
      <c r="Q300" s="24" t="s">
        <v>128</v>
      </c>
      <c r="R300" s="23">
        <f>HYPERLINK("https://app.hubspot.com/contacts/8748051/record/0-2/18450809606", 18450809606)</f>
        <v>18450809606</v>
      </c>
      <c r="S300" s="24" t="s">
        <v>1123</v>
      </c>
      <c r="T300" s="28" t="s">
        <v>1124</v>
      </c>
      <c r="U300" s="24" t="s">
        <v>47</v>
      </c>
      <c r="V300" s="24"/>
      <c r="W300" s="25"/>
      <c r="X300" s="29">
        <v>260.0</v>
      </c>
      <c r="Y300" s="29">
        <v>25.0</v>
      </c>
      <c r="Z300" s="30"/>
      <c r="AA300" s="30"/>
      <c r="AB300" s="31"/>
      <c r="AC300" s="30"/>
      <c r="AD300" s="30"/>
      <c r="AE300" s="30"/>
      <c r="AF300" s="30"/>
      <c r="AG300" s="27" t="str">
        <f t="shared" si="1"/>
        <v>New Logo</v>
      </c>
      <c r="AH300" s="27" t="str">
        <f t="shared" si="5"/>
        <v>Lead</v>
      </c>
      <c r="AI300" s="27" t="str">
        <f t="shared" si="6"/>
        <v>201-500</v>
      </c>
      <c r="AJ300" s="27" t="str">
        <f t="shared" si="7"/>
        <v>21-50</v>
      </c>
    </row>
    <row r="301" ht="15.75" customHeight="1">
      <c r="A301" s="23">
        <f>HYPERLINK("https://app.hubspot.com/contacts/8748051/record/0-3/35616214589", 35616214589)</f>
        <v>35616214589</v>
      </c>
      <c r="B301" s="24" t="s">
        <v>1125</v>
      </c>
      <c r="C301" s="24" t="s">
        <v>1009</v>
      </c>
      <c r="D301" s="25">
        <v>40000.0</v>
      </c>
      <c r="E301" s="24" t="s">
        <v>127</v>
      </c>
      <c r="F301" s="24" t="s">
        <v>52</v>
      </c>
      <c r="G301" s="26">
        <v>45756.137870370374</v>
      </c>
      <c r="H301" s="26">
        <v>45838.13707175926</v>
      </c>
      <c r="I301" s="24" t="s">
        <v>40</v>
      </c>
      <c r="J301" s="24" t="s">
        <v>53</v>
      </c>
      <c r="K301" s="24" t="s">
        <v>60</v>
      </c>
      <c r="L301" s="24" t="s">
        <v>183</v>
      </c>
      <c r="M301" s="24" t="s">
        <v>74</v>
      </c>
      <c r="N301" s="24"/>
      <c r="O301" s="24"/>
      <c r="P301" s="24"/>
      <c r="Q301" s="24" t="s">
        <v>128</v>
      </c>
      <c r="R301" s="23">
        <f>HYPERLINK("https://app.hubspot.com/contacts/8748051/record/0-2/10910026910", 10910026910)</f>
        <v>10910026910</v>
      </c>
      <c r="S301" s="24" t="s">
        <v>1126</v>
      </c>
      <c r="T301" s="28" t="s">
        <v>1127</v>
      </c>
      <c r="U301" s="24" t="s">
        <v>47</v>
      </c>
      <c r="V301" s="24"/>
      <c r="W301" s="25"/>
      <c r="X301" s="29">
        <v>256.0</v>
      </c>
      <c r="Y301" s="29">
        <v>59.0</v>
      </c>
      <c r="Z301" s="30" t="s">
        <v>108</v>
      </c>
      <c r="AA301" s="30"/>
      <c r="AB301" s="30"/>
      <c r="AC301" s="31"/>
      <c r="AD301" s="30"/>
      <c r="AE301" s="31"/>
      <c r="AF301" s="30"/>
      <c r="AG301" s="27" t="str">
        <f t="shared" si="1"/>
        <v>New Logo</v>
      </c>
      <c r="AH301" s="27" t="str">
        <f t="shared" si="5"/>
        <v>Lead</v>
      </c>
      <c r="AI301" s="27" t="str">
        <f t="shared" si="6"/>
        <v>201-500</v>
      </c>
      <c r="AJ301" s="27" t="str">
        <f t="shared" si="7"/>
        <v>51-100</v>
      </c>
    </row>
    <row r="302" ht="15.75" customHeight="1">
      <c r="A302" s="23">
        <f>HYPERLINK("https://app.hubspot.com/contacts/8748051/record/0-3/35601301376", 35601301376)</f>
        <v>35601301376</v>
      </c>
      <c r="B302" s="24" t="s">
        <v>1128</v>
      </c>
      <c r="C302" s="24" t="s">
        <v>50</v>
      </c>
      <c r="D302" s="25">
        <v>25000.0</v>
      </c>
      <c r="E302" s="24" t="s">
        <v>149</v>
      </c>
      <c r="F302" s="24" t="s">
        <v>52</v>
      </c>
      <c r="G302" s="26">
        <v>45755.65849537037</v>
      </c>
      <c r="H302" s="26">
        <v>45770.50141203704</v>
      </c>
      <c r="I302" s="24" t="s">
        <v>40</v>
      </c>
      <c r="J302" s="24" t="s">
        <v>41</v>
      </c>
      <c r="K302" s="24" t="s">
        <v>42</v>
      </c>
      <c r="L302" s="24" t="s">
        <v>43</v>
      </c>
      <c r="M302" s="24" t="s">
        <v>44</v>
      </c>
      <c r="N302" s="24"/>
      <c r="O302" s="24" t="s">
        <v>1129</v>
      </c>
      <c r="P302" s="24"/>
      <c r="Q302" s="24"/>
      <c r="R302" s="23">
        <f>HYPERLINK("https://app.hubspot.com/contacts/8748051/record/0-2/16376195482", 16376195482)</f>
        <v>16376195482</v>
      </c>
      <c r="S302" s="24" t="s">
        <v>1130</v>
      </c>
      <c r="T302" s="28" t="s">
        <v>1131</v>
      </c>
      <c r="U302" s="24" t="s">
        <v>47</v>
      </c>
      <c r="V302" s="24"/>
      <c r="W302" s="25"/>
      <c r="X302" s="29">
        <v>807.0</v>
      </c>
      <c r="Y302" s="29">
        <v>97.0</v>
      </c>
      <c r="Z302" s="30" t="s">
        <v>108</v>
      </c>
      <c r="AA302" s="30"/>
      <c r="AB302" s="30"/>
      <c r="AC302" s="30"/>
      <c r="AD302" s="30"/>
      <c r="AE302" s="30"/>
      <c r="AF302" s="30"/>
      <c r="AG302" s="27" t="str">
        <f t="shared" si="1"/>
        <v>New Logo</v>
      </c>
      <c r="AH302" s="27" t="str">
        <f t="shared" si="5"/>
        <v>Lead</v>
      </c>
      <c r="AI302" s="27" t="str">
        <f t="shared" si="6"/>
        <v>501-1000</v>
      </c>
      <c r="AJ302" s="27" t="str">
        <f t="shared" si="7"/>
        <v>51-100</v>
      </c>
    </row>
    <row r="303" ht="15.75" customHeight="1">
      <c r="A303" s="23">
        <f>HYPERLINK("https://app.hubspot.com/contacts/8748051/record/0-3/35398932836", 35398932836)</f>
        <v>35398932836</v>
      </c>
      <c r="B303" s="24" t="s">
        <v>1132</v>
      </c>
      <c r="C303" s="24" t="s">
        <v>148</v>
      </c>
      <c r="D303" s="25">
        <v>22000.0</v>
      </c>
      <c r="E303" s="24" t="s">
        <v>73</v>
      </c>
      <c r="F303" s="24"/>
      <c r="G303" s="26">
        <v>45750.69483796296</v>
      </c>
      <c r="H303" s="26">
        <v>45930.69482638889</v>
      </c>
      <c r="I303" s="24" t="s">
        <v>40</v>
      </c>
      <c r="J303" s="24" t="s">
        <v>41</v>
      </c>
      <c r="K303" s="24" t="s">
        <v>42</v>
      </c>
      <c r="L303" s="24" t="s">
        <v>43</v>
      </c>
      <c r="M303" s="24" t="s">
        <v>44</v>
      </c>
      <c r="N303" s="24"/>
      <c r="O303" s="24"/>
      <c r="P303" s="24" t="s">
        <v>234</v>
      </c>
      <c r="Q303" s="24"/>
      <c r="R303" s="23">
        <f>HYPERLINK("https://app.hubspot.com/contacts/8748051/record/0-2/31731876899", 31731876899)</f>
        <v>31731876899</v>
      </c>
      <c r="S303" s="24" t="s">
        <v>1133</v>
      </c>
      <c r="T303" s="28" t="s">
        <v>1134</v>
      </c>
      <c r="U303" s="24" t="s">
        <v>47</v>
      </c>
      <c r="V303" s="24"/>
      <c r="W303" s="25"/>
      <c r="X303" s="29">
        <v>170.0</v>
      </c>
      <c r="Y303" s="29">
        <v>44.0</v>
      </c>
      <c r="Z303" s="30"/>
      <c r="AA303" s="30"/>
      <c r="AB303" s="30"/>
      <c r="AC303" s="31"/>
      <c r="AD303" s="30"/>
      <c r="AE303" s="31"/>
      <c r="AF303" s="30"/>
      <c r="AG303" s="27" t="str">
        <f t="shared" si="1"/>
        <v>New Logo</v>
      </c>
      <c r="AH303" s="27" t="str">
        <f t="shared" si="5"/>
        <v>Lead</v>
      </c>
      <c r="AI303" s="27" t="str">
        <f t="shared" si="6"/>
        <v>0-200</v>
      </c>
      <c r="AJ303" s="27" t="str">
        <f t="shared" si="7"/>
        <v>21-50</v>
      </c>
    </row>
    <row r="304" ht="15.75" customHeight="1">
      <c r="A304" s="23">
        <f>HYPERLINK("https://app.hubspot.com/contacts/8748051/record/0-3/35443306906", 35443306906)</f>
        <v>35443306906</v>
      </c>
      <c r="B304" s="24" t="s">
        <v>1135</v>
      </c>
      <c r="C304" s="24" t="s">
        <v>50</v>
      </c>
      <c r="D304" s="25">
        <v>75000.0</v>
      </c>
      <c r="E304" s="24" t="s">
        <v>92</v>
      </c>
      <c r="F304" s="24" t="s">
        <v>52</v>
      </c>
      <c r="G304" s="26">
        <v>45750.631423611114</v>
      </c>
      <c r="H304" s="26">
        <v>45892.92559027778</v>
      </c>
      <c r="I304" s="24" t="s">
        <v>40</v>
      </c>
      <c r="J304" s="24" t="s">
        <v>41</v>
      </c>
      <c r="K304" s="24" t="s">
        <v>253</v>
      </c>
      <c r="L304" s="24" t="s">
        <v>43</v>
      </c>
      <c r="M304" s="24" t="s">
        <v>44</v>
      </c>
      <c r="N304" s="24" t="s">
        <v>1136</v>
      </c>
      <c r="O304" s="24"/>
      <c r="P304" s="24"/>
      <c r="Q304" s="24"/>
      <c r="R304" s="23">
        <f>HYPERLINK("https://app.hubspot.com/contacts/8748051/record/0-2/7691930755", 7691930755)</f>
        <v>7691930755</v>
      </c>
      <c r="S304" s="24" t="s">
        <v>1137</v>
      </c>
      <c r="T304" s="28" t="s">
        <v>1138</v>
      </c>
      <c r="U304" s="24" t="s">
        <v>96</v>
      </c>
      <c r="V304" s="24"/>
      <c r="W304" s="25">
        <v>75000.0</v>
      </c>
      <c r="X304" s="29">
        <v>572.0</v>
      </c>
      <c r="Y304" s="29">
        <v>47.0</v>
      </c>
      <c r="Z304" s="30"/>
      <c r="AA304" s="30" t="s">
        <v>207</v>
      </c>
      <c r="AB304" s="30" t="s">
        <v>97</v>
      </c>
      <c r="AC304" s="31"/>
      <c r="AD304" s="30" t="s">
        <v>1139</v>
      </c>
      <c r="AE304" s="31"/>
      <c r="AF304" s="30" t="s">
        <v>169</v>
      </c>
      <c r="AG304" s="27" t="str">
        <f t="shared" si="1"/>
        <v>New Logo</v>
      </c>
      <c r="AH304" s="27" t="str">
        <f t="shared" si="5"/>
        <v>Customer</v>
      </c>
      <c r="AI304" s="27" t="str">
        <f t="shared" si="6"/>
        <v>501-1000</v>
      </c>
      <c r="AJ304" s="27" t="str">
        <f t="shared" si="7"/>
        <v>21-50</v>
      </c>
    </row>
    <row r="305" ht="15.75" customHeight="1">
      <c r="A305" s="23">
        <f>HYPERLINK("https://app.hubspot.com/contacts/8748051/record/0-3/35396163611", 35396163611)</f>
        <v>35396163611</v>
      </c>
      <c r="B305" s="24" t="s">
        <v>1140</v>
      </c>
      <c r="C305" s="24" t="s">
        <v>1009</v>
      </c>
      <c r="D305" s="25">
        <v>14000.0</v>
      </c>
      <c r="E305" s="24" t="s">
        <v>149</v>
      </c>
      <c r="F305" s="24" t="s">
        <v>52</v>
      </c>
      <c r="G305" s="26">
        <v>45750.44600694445</v>
      </c>
      <c r="H305" s="26">
        <v>45798.33907407407</v>
      </c>
      <c r="I305" s="24" t="s">
        <v>40</v>
      </c>
      <c r="J305" s="24" t="s">
        <v>41</v>
      </c>
      <c r="K305" s="24" t="s">
        <v>42</v>
      </c>
      <c r="L305" s="24" t="s">
        <v>43</v>
      </c>
      <c r="M305" s="24" t="s">
        <v>74</v>
      </c>
      <c r="N305" s="24"/>
      <c r="O305" s="24" t="s">
        <v>740</v>
      </c>
      <c r="P305" s="24"/>
      <c r="Q305" s="24"/>
      <c r="R305" s="23">
        <f>HYPERLINK("https://app.hubspot.com/contacts/8748051/record/0-2/19176733015", 19176733015)</f>
        <v>19176733015</v>
      </c>
      <c r="S305" s="24" t="s">
        <v>1141</v>
      </c>
      <c r="T305" s="28" t="s">
        <v>1142</v>
      </c>
      <c r="U305" s="24" t="s">
        <v>47</v>
      </c>
      <c r="V305" s="24"/>
      <c r="W305" s="25"/>
      <c r="X305" s="29">
        <v>149.0</v>
      </c>
      <c r="Y305" s="29">
        <v>26.0</v>
      </c>
      <c r="Z305" s="30" t="s">
        <v>108</v>
      </c>
      <c r="AA305" s="30"/>
      <c r="AB305" s="31"/>
      <c r="AC305" s="30"/>
      <c r="AD305" s="30"/>
      <c r="AE305" s="30"/>
      <c r="AF305" s="30"/>
      <c r="AG305" s="27" t="str">
        <f t="shared" si="1"/>
        <v>New Logo</v>
      </c>
      <c r="AH305" s="27" t="str">
        <f t="shared" si="5"/>
        <v>Lead</v>
      </c>
      <c r="AI305" s="27" t="str">
        <f t="shared" si="6"/>
        <v>0-200</v>
      </c>
      <c r="AJ305" s="27" t="str">
        <f t="shared" si="7"/>
        <v>21-50</v>
      </c>
    </row>
    <row r="306" ht="15.75" customHeight="1">
      <c r="A306" s="23">
        <f>HYPERLINK("https://app.hubspot.com/contacts/8748051/record/0-3/35396838020", 35396838020)</f>
        <v>35396838020</v>
      </c>
      <c r="B306" s="24" t="s">
        <v>1143</v>
      </c>
      <c r="C306" s="24" t="s">
        <v>50</v>
      </c>
      <c r="D306" s="25">
        <v>8000.0</v>
      </c>
      <c r="E306" s="24" t="s">
        <v>73</v>
      </c>
      <c r="F306" s="24"/>
      <c r="G306" s="26">
        <v>45749.84305555555</v>
      </c>
      <c r="H306" s="26">
        <v>45929.84303240741</v>
      </c>
      <c r="I306" s="24" t="s">
        <v>40</v>
      </c>
      <c r="J306" s="24" t="s">
        <v>41</v>
      </c>
      <c r="K306" s="24" t="s">
        <v>42</v>
      </c>
      <c r="L306" s="24" t="s">
        <v>43</v>
      </c>
      <c r="M306" s="24" t="s">
        <v>44</v>
      </c>
      <c r="N306" s="24"/>
      <c r="O306" s="27"/>
      <c r="P306" s="24" t="s">
        <v>122</v>
      </c>
      <c r="Q306" s="24"/>
      <c r="R306" s="23">
        <f>HYPERLINK("https://app.hubspot.com/contacts/8748051/record/0-2/19176719531", 19176719531)</f>
        <v>19176719531</v>
      </c>
      <c r="S306" s="24" t="s">
        <v>1144</v>
      </c>
      <c r="T306" s="28" t="s">
        <v>1145</v>
      </c>
      <c r="U306" s="24" t="s">
        <v>47</v>
      </c>
      <c r="V306" s="24"/>
      <c r="W306" s="25"/>
      <c r="X306" s="29">
        <v>108.0</v>
      </c>
      <c r="Y306" s="29">
        <v>24.0</v>
      </c>
      <c r="Z306" s="30" t="s">
        <v>108</v>
      </c>
      <c r="AA306" s="30"/>
      <c r="AB306" s="30"/>
      <c r="AC306" s="30"/>
      <c r="AD306" s="30"/>
      <c r="AE306" s="31"/>
      <c r="AF306" s="30"/>
      <c r="AG306" s="27" t="str">
        <f t="shared" si="1"/>
        <v>New Logo</v>
      </c>
      <c r="AH306" s="27" t="str">
        <f t="shared" si="5"/>
        <v>Lead</v>
      </c>
      <c r="AI306" s="27" t="str">
        <f t="shared" si="6"/>
        <v>0-200</v>
      </c>
      <c r="AJ306" s="27" t="str">
        <f t="shared" si="7"/>
        <v>21-50</v>
      </c>
    </row>
    <row r="307" ht="15.75" customHeight="1">
      <c r="A307" s="23">
        <f>HYPERLINK("https://app.hubspot.com/contacts/8748051/record/0-3/35427930020", 35427930020)</f>
        <v>35427930020</v>
      </c>
      <c r="B307" s="24" t="s">
        <v>1146</v>
      </c>
      <c r="C307" s="24" t="s">
        <v>50</v>
      </c>
      <c r="D307" s="25">
        <v>40960.0</v>
      </c>
      <c r="E307" s="24" t="s">
        <v>92</v>
      </c>
      <c r="F307" s="24" t="s">
        <v>52</v>
      </c>
      <c r="G307" s="26">
        <v>45749.758055555554</v>
      </c>
      <c r="H307" s="26">
        <v>45813.47445601852</v>
      </c>
      <c r="I307" s="24" t="s">
        <v>40</v>
      </c>
      <c r="J307" s="24" t="s">
        <v>41</v>
      </c>
      <c r="K307" s="24" t="s">
        <v>253</v>
      </c>
      <c r="L307" s="24" t="s">
        <v>155</v>
      </c>
      <c r="M307" s="24" t="s">
        <v>44</v>
      </c>
      <c r="N307" s="24" t="s">
        <v>1147</v>
      </c>
      <c r="O307" s="27"/>
      <c r="P307" s="24"/>
      <c r="Q307" s="24"/>
      <c r="R307" s="23">
        <f>HYPERLINK("https://app.hubspot.com/contacts/8748051/record/0-2/31733970694", 31733970694)</f>
        <v>31733970694</v>
      </c>
      <c r="S307" s="24" t="s">
        <v>1148</v>
      </c>
      <c r="T307" s="28" t="s">
        <v>1149</v>
      </c>
      <c r="U307" s="24" t="s">
        <v>96</v>
      </c>
      <c r="V307" s="24"/>
      <c r="W307" s="25">
        <v>40960.0</v>
      </c>
      <c r="X307" s="29">
        <v>172.0</v>
      </c>
      <c r="Y307" s="29">
        <v>30.0</v>
      </c>
      <c r="Z307" s="30"/>
      <c r="AA307" s="30" t="s">
        <v>97</v>
      </c>
      <c r="AB307" s="30"/>
      <c r="AC307" s="30"/>
      <c r="AD307" s="30" t="s">
        <v>1150</v>
      </c>
      <c r="AE307" s="30"/>
      <c r="AF307" s="30" t="s">
        <v>396</v>
      </c>
      <c r="AG307" s="27" t="str">
        <f t="shared" si="1"/>
        <v>New Logo</v>
      </c>
      <c r="AH307" s="27" t="str">
        <f t="shared" si="5"/>
        <v>Customer</v>
      </c>
      <c r="AI307" s="27" t="str">
        <f t="shared" si="6"/>
        <v>0-200</v>
      </c>
      <c r="AJ307" s="27" t="str">
        <f t="shared" si="7"/>
        <v>21-50</v>
      </c>
    </row>
    <row r="308" ht="15.75" customHeight="1">
      <c r="A308" s="23">
        <f>HYPERLINK("https://app.hubspot.com/contacts/8748051/record/0-3/35410720290", 35410720290)</f>
        <v>35410720290</v>
      </c>
      <c r="B308" s="24" t="s">
        <v>1151</v>
      </c>
      <c r="C308" s="24" t="s">
        <v>148</v>
      </c>
      <c r="D308" s="25">
        <v>35000.0</v>
      </c>
      <c r="E308" s="24" t="s">
        <v>92</v>
      </c>
      <c r="F308" s="24" t="s">
        <v>52</v>
      </c>
      <c r="G308" s="26">
        <v>45749.67340277778</v>
      </c>
      <c r="H308" s="26">
        <v>45875.47025462963</v>
      </c>
      <c r="I308" s="24" t="s">
        <v>40</v>
      </c>
      <c r="J308" s="24" t="s">
        <v>41</v>
      </c>
      <c r="K308" s="24" t="s">
        <v>42</v>
      </c>
      <c r="L308" s="24" t="s">
        <v>43</v>
      </c>
      <c r="M308" s="24" t="s">
        <v>44</v>
      </c>
      <c r="N308" s="24" t="s">
        <v>1152</v>
      </c>
      <c r="O308" s="27"/>
      <c r="P308" s="24"/>
      <c r="Q308" s="24"/>
      <c r="R308" s="23">
        <f>HYPERLINK("https://app.hubspot.com/contacts/8748051/record/0-2/31273452392", 31273452392)</f>
        <v>31273452392</v>
      </c>
      <c r="S308" s="24" t="s">
        <v>1153</v>
      </c>
      <c r="T308" s="28" t="s">
        <v>1154</v>
      </c>
      <c r="U308" s="24" t="s">
        <v>96</v>
      </c>
      <c r="V308" s="24"/>
      <c r="W308" s="25">
        <v>35000.0</v>
      </c>
      <c r="X308" s="29">
        <v>961.0</v>
      </c>
      <c r="Y308" s="29">
        <v>67.0</v>
      </c>
      <c r="Z308" s="30"/>
      <c r="AA308" s="30" t="s">
        <v>97</v>
      </c>
      <c r="AB308" s="30" t="s">
        <v>349</v>
      </c>
      <c r="AC308" s="30"/>
      <c r="AD308" s="30" t="s">
        <v>1155</v>
      </c>
      <c r="AE308" s="30"/>
      <c r="AF308" s="30" t="s">
        <v>396</v>
      </c>
      <c r="AG308" s="27" t="str">
        <f t="shared" si="1"/>
        <v>New Logo</v>
      </c>
      <c r="AH308" s="27" t="str">
        <f t="shared" si="5"/>
        <v>Customer</v>
      </c>
      <c r="AI308" s="27" t="str">
        <f t="shared" si="6"/>
        <v>501-1000</v>
      </c>
      <c r="AJ308" s="27" t="str">
        <f t="shared" si="7"/>
        <v>51-100</v>
      </c>
    </row>
    <row r="309" ht="15.75" customHeight="1">
      <c r="A309" s="23">
        <f>HYPERLINK("https://app.hubspot.com/contacts/8748051/record/0-3/35396816042", 35396816042)</f>
        <v>35396816042</v>
      </c>
      <c r="B309" s="24" t="s">
        <v>1156</v>
      </c>
      <c r="C309" s="24" t="s">
        <v>159</v>
      </c>
      <c r="D309" s="25">
        <v>-1000.0</v>
      </c>
      <c r="E309" s="24" t="s">
        <v>92</v>
      </c>
      <c r="F309" s="24"/>
      <c r="G309" s="26">
        <v>45749.66993055555</v>
      </c>
      <c r="H309" s="26">
        <v>45749.670011574075</v>
      </c>
      <c r="I309" s="24" t="s">
        <v>40</v>
      </c>
      <c r="J309" s="24" t="s">
        <v>160</v>
      </c>
      <c r="K309" s="24" t="s">
        <v>161</v>
      </c>
      <c r="L309" s="24" t="s">
        <v>162</v>
      </c>
      <c r="M309" s="24" t="s">
        <v>44</v>
      </c>
      <c r="N309" s="24" t="s">
        <v>1157</v>
      </c>
      <c r="O309" s="24"/>
      <c r="P309" s="27"/>
      <c r="Q309" s="24"/>
      <c r="R309" s="23">
        <f>HYPERLINK("https://app.hubspot.com/contacts/8748051/record/0-2/17971689616", 17971689616)</f>
        <v>17971689616</v>
      </c>
      <c r="S309" s="24" t="s">
        <v>1158</v>
      </c>
      <c r="T309" s="28" t="s">
        <v>1159</v>
      </c>
      <c r="U309" s="24">
        <v>3.4564763E7</v>
      </c>
      <c r="V309" s="35">
        <v>46081.0</v>
      </c>
      <c r="W309" s="25">
        <v>9800.0</v>
      </c>
      <c r="X309" s="29">
        <v>84.0</v>
      </c>
      <c r="Y309" s="29">
        <v>2.0</v>
      </c>
      <c r="Z309" s="30"/>
      <c r="AA309" s="30" t="s">
        <v>97</v>
      </c>
      <c r="AB309" s="31"/>
      <c r="AC309" s="30" t="s">
        <v>268</v>
      </c>
      <c r="AD309" s="30" t="s">
        <v>1160</v>
      </c>
      <c r="AE309" s="30" t="s">
        <v>1161</v>
      </c>
      <c r="AF309" s="30" t="s">
        <v>211</v>
      </c>
      <c r="AG309" s="27" t="str">
        <f t="shared" si="1"/>
        <v>Downsell</v>
      </c>
      <c r="AH309" s="27" t="str">
        <f t="shared" si="5"/>
        <v>Churn</v>
      </c>
      <c r="AI309" s="27" t="str">
        <f t="shared" si="6"/>
        <v>0-200</v>
      </c>
      <c r="AJ309" s="27" t="str">
        <f t="shared" si="7"/>
        <v>0-20</v>
      </c>
    </row>
    <row r="310" ht="15.75" customHeight="1">
      <c r="A310" s="23">
        <f>HYPERLINK("https://app.hubspot.com/contacts/8748051/record/0-3/35385947025", 35385947025)</f>
        <v>35385947025</v>
      </c>
      <c r="B310" s="24" t="s">
        <v>1162</v>
      </c>
      <c r="C310" s="24" t="s">
        <v>38</v>
      </c>
      <c r="D310" s="25">
        <v>25000.0</v>
      </c>
      <c r="E310" s="24" t="s">
        <v>92</v>
      </c>
      <c r="F310" s="24" t="s">
        <v>52</v>
      </c>
      <c r="G310" s="26">
        <v>45749.17208333333</v>
      </c>
      <c r="H310" s="26">
        <v>46007.7765625</v>
      </c>
      <c r="I310" s="24" t="s">
        <v>40</v>
      </c>
      <c r="J310" s="24" t="s">
        <v>41</v>
      </c>
      <c r="K310" s="24" t="s">
        <v>161</v>
      </c>
      <c r="L310" s="24" t="s">
        <v>449</v>
      </c>
      <c r="M310" s="24" t="s">
        <v>102</v>
      </c>
      <c r="N310" s="24" t="s">
        <v>1163</v>
      </c>
      <c r="O310" s="24"/>
      <c r="P310" s="24"/>
      <c r="Q310" s="24"/>
      <c r="R310" s="23">
        <f>HYPERLINK("https://app.hubspot.com/contacts/8748051/record/0-2/7914190947", 7914190947)</f>
        <v>7914190947</v>
      </c>
      <c r="S310" s="24" t="s">
        <v>1164</v>
      </c>
      <c r="T310" s="28" t="s">
        <v>1165</v>
      </c>
      <c r="U310" s="24" t="s">
        <v>96</v>
      </c>
      <c r="V310" s="24"/>
      <c r="W310" s="25">
        <v>25000.0</v>
      </c>
      <c r="X310" s="29">
        <v>597.0</v>
      </c>
      <c r="Y310" s="29">
        <v>145.0</v>
      </c>
      <c r="Z310" s="30"/>
      <c r="AA310" s="30" t="s">
        <v>193</v>
      </c>
      <c r="AB310" s="30" t="s">
        <v>194</v>
      </c>
      <c r="AC310" s="31"/>
      <c r="AD310" s="30" t="s">
        <v>1166</v>
      </c>
      <c r="AE310" s="31"/>
      <c r="AF310" s="30" t="s">
        <v>169</v>
      </c>
      <c r="AG310" s="27" t="str">
        <f t="shared" si="1"/>
        <v>New Logo</v>
      </c>
      <c r="AH310" s="27" t="str">
        <f t="shared" si="5"/>
        <v>Customer</v>
      </c>
      <c r="AI310" s="27" t="str">
        <f t="shared" si="6"/>
        <v>501-1000</v>
      </c>
      <c r="AJ310" s="27" t="str">
        <f t="shared" si="7"/>
        <v>101-500</v>
      </c>
    </row>
    <row r="311" ht="15.75" customHeight="1">
      <c r="A311" s="23">
        <f>HYPERLINK("https://app.hubspot.com/contacts/8748051/record/0-3/35346512133", 35346512133)</f>
        <v>35346512133</v>
      </c>
      <c r="B311" s="24" t="s">
        <v>1167</v>
      </c>
      <c r="C311" s="24" t="s">
        <v>50</v>
      </c>
      <c r="D311" s="25">
        <v>100000.0</v>
      </c>
      <c r="E311" s="24" t="s">
        <v>73</v>
      </c>
      <c r="F311" s="24"/>
      <c r="G311" s="26">
        <v>45748.838229166664</v>
      </c>
      <c r="H311" s="26">
        <v>45928.838159722225</v>
      </c>
      <c r="I311" s="24" t="s">
        <v>40</v>
      </c>
      <c r="J311" s="24" t="s">
        <v>53</v>
      </c>
      <c r="K311" s="24" t="s">
        <v>42</v>
      </c>
      <c r="L311" s="24" t="s">
        <v>43</v>
      </c>
      <c r="M311" s="24" t="s">
        <v>44</v>
      </c>
      <c r="N311" s="24"/>
      <c r="O311" s="24"/>
      <c r="P311" s="24" t="s">
        <v>75</v>
      </c>
      <c r="Q311" s="24"/>
      <c r="R311" s="23">
        <f>HYPERLINK("https://app.hubspot.com/contacts/8748051/record/0-2/9238276433", 9238276433)</f>
        <v>9238276433</v>
      </c>
      <c r="S311" s="24" t="s">
        <v>1168</v>
      </c>
      <c r="T311" s="28" t="s">
        <v>1169</v>
      </c>
      <c r="U311" s="24" t="s">
        <v>47</v>
      </c>
      <c r="V311" s="24"/>
      <c r="W311" s="25"/>
      <c r="X311" s="29">
        <v>130401.0</v>
      </c>
      <c r="Y311" s="29">
        <v>27635.0</v>
      </c>
      <c r="Z311" s="30"/>
      <c r="AA311" s="30"/>
      <c r="AB311" s="31"/>
      <c r="AC311" s="31"/>
      <c r="AD311" s="30"/>
      <c r="AE311" s="31"/>
      <c r="AF311" s="30"/>
      <c r="AG311" s="27" t="str">
        <f t="shared" si="1"/>
        <v>New Logo</v>
      </c>
      <c r="AH311" s="27" t="str">
        <f t="shared" si="5"/>
        <v>Lead</v>
      </c>
      <c r="AI311" s="27" t="str">
        <f t="shared" si="6"/>
        <v>10000+</v>
      </c>
      <c r="AJ311" s="27" t="str">
        <f t="shared" si="7"/>
        <v>500+</v>
      </c>
    </row>
    <row r="312" ht="15.75" customHeight="1">
      <c r="A312" s="23">
        <f>HYPERLINK("https://app.hubspot.com/contacts/8748051/record/0-3/35335194803", 35335194803)</f>
        <v>35335194803</v>
      </c>
      <c r="B312" s="24" t="s">
        <v>1170</v>
      </c>
      <c r="C312" s="24" t="s">
        <v>148</v>
      </c>
      <c r="D312" s="25">
        <v>2880.0</v>
      </c>
      <c r="E312" s="24" t="s">
        <v>92</v>
      </c>
      <c r="F312" s="24"/>
      <c r="G312" s="26">
        <v>45748.32019675926</v>
      </c>
      <c r="H312" s="26">
        <v>45747.35716435185</v>
      </c>
      <c r="I312" s="24" t="s">
        <v>40</v>
      </c>
      <c r="J312" s="24" t="s">
        <v>182</v>
      </c>
      <c r="K312" s="24" t="s">
        <v>161</v>
      </c>
      <c r="L312" s="24" t="s">
        <v>162</v>
      </c>
      <c r="M312" s="24" t="s">
        <v>44</v>
      </c>
      <c r="N312" s="24" t="s">
        <v>1171</v>
      </c>
      <c r="O312" s="24"/>
      <c r="P312" s="24"/>
      <c r="Q312" s="24"/>
      <c r="R312" s="23">
        <f>HYPERLINK("https://app.hubspot.com/contacts/8748051/record/0-2/10228278794", 10228278794)</f>
        <v>10228278794</v>
      </c>
      <c r="S312" s="24" t="s">
        <v>1172</v>
      </c>
      <c r="T312" s="28" t="s">
        <v>1173</v>
      </c>
      <c r="U312" s="24">
        <v>3.4564763E7</v>
      </c>
      <c r="V312" s="35">
        <v>46030.0</v>
      </c>
      <c r="W312" s="25">
        <v>81180.0</v>
      </c>
      <c r="X312" s="29">
        <v>274.0</v>
      </c>
      <c r="Y312" s="29">
        <v>49.0</v>
      </c>
      <c r="Z312" s="30"/>
      <c r="AA312" s="30"/>
      <c r="AB312" s="31"/>
      <c r="AC312" s="31"/>
      <c r="AD312" s="30"/>
      <c r="AE312" s="31"/>
      <c r="AF312" s="30"/>
      <c r="AG312" s="27" t="str">
        <f t="shared" si="1"/>
        <v>Upsell</v>
      </c>
      <c r="AH312" s="27" t="str">
        <f t="shared" si="5"/>
        <v>Churn</v>
      </c>
      <c r="AI312" s="27" t="str">
        <f t="shared" si="6"/>
        <v>201-500</v>
      </c>
      <c r="AJ312" s="27" t="str">
        <f t="shared" si="7"/>
        <v>21-50</v>
      </c>
    </row>
    <row r="313" ht="15.75" customHeight="1">
      <c r="A313" s="23">
        <f>HYPERLINK("https://app.hubspot.com/contacts/8748051/record/0-3/35306277454", 35306277454)</f>
        <v>35306277454</v>
      </c>
      <c r="B313" s="24" t="s">
        <v>1174</v>
      </c>
      <c r="C313" s="24" t="s">
        <v>50</v>
      </c>
      <c r="D313" s="25">
        <v>1000.0</v>
      </c>
      <c r="E313" s="24" t="s">
        <v>73</v>
      </c>
      <c r="F313" s="24"/>
      <c r="G313" s="26">
        <v>45747.69305555556</v>
      </c>
      <c r="H313" s="26">
        <v>45927.693020833336</v>
      </c>
      <c r="I313" s="24" t="s">
        <v>40</v>
      </c>
      <c r="J313" s="24" t="s">
        <v>41</v>
      </c>
      <c r="K313" s="24" t="s">
        <v>42</v>
      </c>
      <c r="L313" s="24" t="s">
        <v>43</v>
      </c>
      <c r="M313" s="24" t="s">
        <v>44</v>
      </c>
      <c r="N313" s="24"/>
      <c r="O313" s="24"/>
      <c r="P313" s="24" t="s">
        <v>75</v>
      </c>
      <c r="Q313" s="24"/>
      <c r="R313" s="23">
        <f>HYPERLINK("https://app.hubspot.com/contacts/8748051/record/0-2/31520606976", 31520606976)</f>
        <v>31520606976</v>
      </c>
      <c r="S313" s="24" t="s">
        <v>1175</v>
      </c>
      <c r="T313" s="28" t="s">
        <v>1176</v>
      </c>
      <c r="U313" s="24" t="s">
        <v>47</v>
      </c>
      <c r="V313" s="24"/>
      <c r="W313" s="25"/>
      <c r="X313" s="29">
        <v>8.0</v>
      </c>
      <c r="Y313" s="29">
        <v>2.0</v>
      </c>
      <c r="Z313" s="30"/>
      <c r="AA313" s="30"/>
      <c r="AB313" s="31"/>
      <c r="AC313" s="30"/>
      <c r="AD313" s="30"/>
      <c r="AE313" s="30"/>
      <c r="AF313" s="30"/>
      <c r="AG313" s="27" t="str">
        <f t="shared" si="1"/>
        <v>New Logo</v>
      </c>
      <c r="AH313" s="27" t="str">
        <f t="shared" si="5"/>
        <v>Lead</v>
      </c>
      <c r="AI313" s="27" t="str">
        <f t="shared" si="6"/>
        <v>0-200</v>
      </c>
      <c r="AJ313" s="27" t="str">
        <f t="shared" si="7"/>
        <v>0-20</v>
      </c>
    </row>
    <row r="314" ht="15.75" customHeight="1">
      <c r="A314" s="23">
        <f>HYPERLINK("https://app.hubspot.com/contacts/8748051/record/0-3/35306115919", 35306115919)</f>
        <v>35306115919</v>
      </c>
      <c r="B314" s="24" t="s">
        <v>1177</v>
      </c>
      <c r="C314" s="24" t="s">
        <v>50</v>
      </c>
      <c r="D314" s="25">
        <v>40000.0</v>
      </c>
      <c r="E314" s="24" t="s">
        <v>127</v>
      </c>
      <c r="F314" s="24" t="s">
        <v>52</v>
      </c>
      <c r="G314" s="26">
        <v>45747.64556712963</v>
      </c>
      <c r="H314" s="26">
        <v>46022.38045138889</v>
      </c>
      <c r="I314" s="24" t="s">
        <v>40</v>
      </c>
      <c r="J314" s="24" t="s">
        <v>53</v>
      </c>
      <c r="K314" s="24" t="s">
        <v>42</v>
      </c>
      <c r="L314" s="24" t="s">
        <v>43</v>
      </c>
      <c r="M314" s="24" t="s">
        <v>44</v>
      </c>
      <c r="N314" s="24"/>
      <c r="O314" s="27"/>
      <c r="P314" s="24"/>
      <c r="Q314" s="24" t="s">
        <v>238</v>
      </c>
      <c r="R314" s="23">
        <f>HYPERLINK("https://app.hubspot.com/contacts/8748051/record/0-2/9173815374", 9173815374)</f>
        <v>9173815374</v>
      </c>
      <c r="S314" s="24" t="s">
        <v>1178</v>
      </c>
      <c r="T314" s="28" t="s">
        <v>1179</v>
      </c>
      <c r="U314" s="24" t="s">
        <v>47</v>
      </c>
      <c r="V314" s="24"/>
      <c r="W314" s="25"/>
      <c r="X314" s="29">
        <v>1040.0</v>
      </c>
      <c r="Y314" s="29">
        <v>149.0</v>
      </c>
      <c r="Z314" s="30" t="s">
        <v>64</v>
      </c>
      <c r="AA314" s="30"/>
      <c r="AB314" s="31"/>
      <c r="AC314" s="31"/>
      <c r="AD314" s="30"/>
      <c r="AE314" s="30"/>
      <c r="AF314" s="30"/>
      <c r="AG314" s="27" t="str">
        <f t="shared" si="1"/>
        <v>New Logo</v>
      </c>
      <c r="AH314" s="27" t="str">
        <f t="shared" si="5"/>
        <v>Lead</v>
      </c>
      <c r="AI314" s="27" t="str">
        <f t="shared" si="6"/>
        <v>1001-5000</v>
      </c>
      <c r="AJ314" s="27" t="str">
        <f t="shared" si="7"/>
        <v>101-500</v>
      </c>
    </row>
    <row r="315" ht="15.75" customHeight="1">
      <c r="A315" s="23">
        <f>HYPERLINK("https://app.hubspot.com/contacts/8748051/record/0-3/35183588375", 35183588375)</f>
        <v>35183588375</v>
      </c>
      <c r="B315" s="24" t="s">
        <v>1180</v>
      </c>
      <c r="C315" s="24" t="s">
        <v>50</v>
      </c>
      <c r="D315" s="25">
        <v>500.0</v>
      </c>
      <c r="E315" s="24" t="s">
        <v>127</v>
      </c>
      <c r="F315" s="24" t="s">
        <v>52</v>
      </c>
      <c r="G315" s="26">
        <v>45744.549675925926</v>
      </c>
      <c r="H315" s="26">
        <v>45924.54965277778</v>
      </c>
      <c r="I315" s="24" t="s">
        <v>40</v>
      </c>
      <c r="J315" s="24" t="s">
        <v>41</v>
      </c>
      <c r="K315" s="24" t="s">
        <v>42</v>
      </c>
      <c r="L315" s="24" t="s">
        <v>43</v>
      </c>
      <c r="M315" s="24" t="s">
        <v>44</v>
      </c>
      <c r="N315" s="24"/>
      <c r="O315" s="24"/>
      <c r="P315" s="24"/>
      <c r="Q315" s="24" t="s">
        <v>144</v>
      </c>
      <c r="R315" s="23">
        <f>HYPERLINK("https://app.hubspot.com/contacts/8748051/record/0-2/31465293335", 31465293335)</f>
        <v>31465293335</v>
      </c>
      <c r="S315" s="24" t="s">
        <v>1181</v>
      </c>
      <c r="T315" s="28" t="s">
        <v>1182</v>
      </c>
      <c r="U315" s="24" t="s">
        <v>47</v>
      </c>
      <c r="V315" s="24"/>
      <c r="W315" s="25"/>
      <c r="X315" s="29">
        <v>87.0</v>
      </c>
      <c r="Y315" s="29">
        <v>1.0</v>
      </c>
      <c r="Z315" s="30"/>
      <c r="AA315" s="30"/>
      <c r="AB315" s="31"/>
      <c r="AC315" s="30"/>
      <c r="AD315" s="30"/>
      <c r="AE315" s="30"/>
      <c r="AF315" s="30"/>
      <c r="AG315" s="27" t="str">
        <f t="shared" si="1"/>
        <v>New Logo</v>
      </c>
      <c r="AH315" s="27" t="str">
        <f t="shared" si="5"/>
        <v>Lead</v>
      </c>
      <c r="AI315" s="27" t="str">
        <f t="shared" si="6"/>
        <v>0-200</v>
      </c>
      <c r="AJ315" s="27" t="str">
        <f t="shared" si="7"/>
        <v>0-20</v>
      </c>
    </row>
    <row r="316" ht="15.75" customHeight="1">
      <c r="A316" s="23">
        <f>HYPERLINK("https://app.hubspot.com/contacts/8748051/record/0-3/35125218838", 35125218838)</f>
        <v>35125218838</v>
      </c>
      <c r="B316" s="24" t="s">
        <v>1183</v>
      </c>
      <c r="C316" s="24" t="s">
        <v>148</v>
      </c>
      <c r="D316" s="25">
        <v>15000.0</v>
      </c>
      <c r="E316" s="24" t="s">
        <v>127</v>
      </c>
      <c r="F316" s="24" t="s">
        <v>52</v>
      </c>
      <c r="G316" s="26">
        <v>45743.36203703703</v>
      </c>
      <c r="H316" s="26">
        <v>45807.43895833333</v>
      </c>
      <c r="I316" s="24" t="s">
        <v>40</v>
      </c>
      <c r="J316" s="24" t="s">
        <v>41</v>
      </c>
      <c r="K316" s="24" t="s">
        <v>42</v>
      </c>
      <c r="L316" s="24" t="s">
        <v>43</v>
      </c>
      <c r="M316" s="24" t="s">
        <v>74</v>
      </c>
      <c r="N316" s="24"/>
      <c r="O316" s="24"/>
      <c r="P316" s="24"/>
      <c r="Q316" s="24" t="s">
        <v>144</v>
      </c>
      <c r="R316" s="23">
        <f>HYPERLINK("https://app.hubspot.com/contacts/8748051/record/0-2/31169940651", 31169940651)</f>
        <v>31169940651</v>
      </c>
      <c r="S316" s="28" t="s">
        <v>1184</v>
      </c>
      <c r="T316" s="28" t="s">
        <v>1185</v>
      </c>
      <c r="U316" s="24" t="s">
        <v>47</v>
      </c>
      <c r="V316" s="24"/>
      <c r="W316" s="25"/>
      <c r="X316" s="29">
        <v>45.0</v>
      </c>
      <c r="Y316" s="29">
        <v>2.0</v>
      </c>
      <c r="Z316" s="30"/>
      <c r="AA316" s="30"/>
      <c r="AB316" s="30"/>
      <c r="AC316" s="31"/>
      <c r="AD316" s="30"/>
      <c r="AE316" s="30"/>
      <c r="AF316" s="30"/>
      <c r="AG316" s="27" t="str">
        <f t="shared" si="1"/>
        <v>New Logo</v>
      </c>
      <c r="AH316" s="27" t="str">
        <f t="shared" si="5"/>
        <v>Lead</v>
      </c>
      <c r="AI316" s="27" t="str">
        <f t="shared" si="6"/>
        <v>0-200</v>
      </c>
      <c r="AJ316" s="27" t="str">
        <f t="shared" si="7"/>
        <v>0-20</v>
      </c>
    </row>
    <row r="317" ht="15.75" customHeight="1">
      <c r="A317" s="23">
        <f>HYPERLINK("https://app.hubspot.com/contacts/8748051/record/0-3/35043841054", 35043841054)</f>
        <v>35043841054</v>
      </c>
      <c r="B317" s="24" t="s">
        <v>1186</v>
      </c>
      <c r="C317" s="24" t="s">
        <v>148</v>
      </c>
      <c r="D317" s="25">
        <v>28000.0</v>
      </c>
      <c r="E317" s="24" t="s">
        <v>127</v>
      </c>
      <c r="F317" s="24" t="s">
        <v>52</v>
      </c>
      <c r="G317" s="26">
        <v>45741.36734953704</v>
      </c>
      <c r="H317" s="26">
        <v>45980.39059027778</v>
      </c>
      <c r="I317" s="24" t="s">
        <v>40</v>
      </c>
      <c r="J317" s="24" t="s">
        <v>41</v>
      </c>
      <c r="K317" s="24" t="s">
        <v>1187</v>
      </c>
      <c r="L317" s="24" t="s">
        <v>560</v>
      </c>
      <c r="M317" s="24" t="s">
        <v>44</v>
      </c>
      <c r="N317" s="24"/>
      <c r="O317" s="24"/>
      <c r="P317" s="24"/>
      <c r="Q317" s="24" t="s">
        <v>197</v>
      </c>
      <c r="R317" s="23">
        <f>HYPERLINK("https://app.hubspot.com/contacts/8748051/record/0-2/8923210761", 8923210761)</f>
        <v>8923210761</v>
      </c>
      <c r="S317" s="24" t="s">
        <v>1188</v>
      </c>
      <c r="T317" s="28" t="s">
        <v>1189</v>
      </c>
      <c r="U317" s="24" t="s">
        <v>47</v>
      </c>
      <c r="V317" s="24"/>
      <c r="W317" s="25"/>
      <c r="X317" s="29">
        <v>466.0</v>
      </c>
      <c r="Y317" s="29">
        <v>26.0</v>
      </c>
      <c r="Z317" s="30" t="s">
        <v>71</v>
      </c>
      <c r="AA317" s="30"/>
      <c r="AB317" s="31"/>
      <c r="AC317" s="31"/>
      <c r="AD317" s="30"/>
      <c r="AE317" s="31"/>
      <c r="AF317" s="30"/>
      <c r="AG317" s="27" t="str">
        <f t="shared" si="1"/>
        <v>New Logo</v>
      </c>
      <c r="AH317" s="27" t="str">
        <f t="shared" si="5"/>
        <v>Lead</v>
      </c>
      <c r="AI317" s="27" t="str">
        <f t="shared" si="6"/>
        <v>201-500</v>
      </c>
      <c r="AJ317" s="27" t="str">
        <f t="shared" si="7"/>
        <v>21-50</v>
      </c>
    </row>
    <row r="318" ht="15.75" customHeight="1">
      <c r="A318" s="23">
        <f>HYPERLINK("https://app.hubspot.com/contacts/8748051/record/0-3/35047493152", 35047493152)</f>
        <v>35047493152</v>
      </c>
      <c r="B318" s="24" t="s">
        <v>1190</v>
      </c>
      <c r="C318" s="24" t="s">
        <v>148</v>
      </c>
      <c r="D318" s="25">
        <v>6000.0</v>
      </c>
      <c r="E318" s="24" t="s">
        <v>92</v>
      </c>
      <c r="F318" s="24" t="s">
        <v>52</v>
      </c>
      <c r="G318" s="26">
        <v>45741.36604166667</v>
      </c>
      <c r="H318" s="26">
        <v>45747.0</v>
      </c>
      <c r="I318" s="24" t="s">
        <v>40</v>
      </c>
      <c r="J318" s="24" t="s">
        <v>182</v>
      </c>
      <c r="K318" s="24" t="s">
        <v>161</v>
      </c>
      <c r="L318" s="24" t="s">
        <v>162</v>
      </c>
      <c r="M318" s="24" t="s">
        <v>102</v>
      </c>
      <c r="N318" s="24" t="s">
        <v>1191</v>
      </c>
      <c r="O318" s="27"/>
      <c r="P318" s="24"/>
      <c r="Q318" s="24"/>
      <c r="R318" s="23">
        <f>HYPERLINK("https://app.hubspot.com/contacts/8748051/record/0-2/9556278024", 9556278024)</f>
        <v>9556278024</v>
      </c>
      <c r="S318" s="24" t="s">
        <v>1192</v>
      </c>
      <c r="T318" s="28" t="s">
        <v>1193</v>
      </c>
      <c r="U318" s="24" t="s">
        <v>96</v>
      </c>
      <c r="V318" s="24"/>
      <c r="W318" s="25">
        <v>12000.0</v>
      </c>
      <c r="X318" s="29">
        <v>321.0</v>
      </c>
      <c r="Y318" s="29">
        <v>31.0</v>
      </c>
      <c r="Z318" s="30"/>
      <c r="AA318" s="30" t="s">
        <v>220</v>
      </c>
      <c r="AB318" s="30"/>
      <c r="AC318" s="31"/>
      <c r="AD318" s="30" t="s">
        <v>1194</v>
      </c>
      <c r="AE318" s="30"/>
      <c r="AF318" s="30" t="s">
        <v>169</v>
      </c>
      <c r="AG318" s="27" t="str">
        <f t="shared" si="1"/>
        <v>Upsell</v>
      </c>
      <c r="AH318" s="27" t="str">
        <f t="shared" si="5"/>
        <v>Customer</v>
      </c>
      <c r="AI318" s="27" t="str">
        <f t="shared" si="6"/>
        <v>201-500</v>
      </c>
      <c r="AJ318" s="27" t="str">
        <f t="shared" si="7"/>
        <v>21-50</v>
      </c>
    </row>
    <row r="319" ht="15.75" customHeight="1">
      <c r="A319" s="23">
        <f>HYPERLINK("https://app.hubspot.com/contacts/8748051/record/0-3/35019058736", 35019058736)</f>
        <v>35019058736</v>
      </c>
      <c r="B319" s="24" t="s">
        <v>1195</v>
      </c>
      <c r="C319" s="24" t="s">
        <v>148</v>
      </c>
      <c r="D319" s="25">
        <v>99696.0</v>
      </c>
      <c r="E319" s="24" t="s">
        <v>92</v>
      </c>
      <c r="F319" s="24" t="s">
        <v>52</v>
      </c>
      <c r="G319" s="26">
        <v>45740.60212962963</v>
      </c>
      <c r="H319" s="26">
        <v>45860.479733796295</v>
      </c>
      <c r="I319" s="24" t="s">
        <v>40</v>
      </c>
      <c r="J319" s="24" t="s">
        <v>53</v>
      </c>
      <c r="K319" s="24" t="s">
        <v>42</v>
      </c>
      <c r="L319" s="24" t="s">
        <v>43</v>
      </c>
      <c r="M319" s="24" t="s">
        <v>44</v>
      </c>
      <c r="N319" s="24" t="s">
        <v>1196</v>
      </c>
      <c r="O319" s="27"/>
      <c r="P319" s="24"/>
      <c r="Q319" s="24"/>
      <c r="R319" s="23">
        <f>HYPERLINK("https://app.hubspot.com/contacts/8748051/record/0-2/36938590759", 36938590759)</f>
        <v>36938590759</v>
      </c>
      <c r="S319" s="24" t="s">
        <v>1197</v>
      </c>
      <c r="T319" s="28" t="s">
        <v>1198</v>
      </c>
      <c r="U319" s="24" t="s">
        <v>96</v>
      </c>
      <c r="V319" s="24"/>
      <c r="W319" s="25">
        <v>99696.0</v>
      </c>
      <c r="X319" s="29">
        <v>723.0</v>
      </c>
      <c r="Y319" s="29">
        <v>60.0</v>
      </c>
      <c r="Z319" s="30"/>
      <c r="AA319" s="30" t="s">
        <v>220</v>
      </c>
      <c r="AB319" s="31"/>
      <c r="AC319" s="30"/>
      <c r="AD319" s="30" t="s">
        <v>1199</v>
      </c>
      <c r="AE319" s="30"/>
      <c r="AF319" s="30" t="s">
        <v>169</v>
      </c>
      <c r="AG319" s="27" t="str">
        <f t="shared" si="1"/>
        <v>New Logo</v>
      </c>
      <c r="AH319" s="27" t="str">
        <f t="shared" si="5"/>
        <v>Customer</v>
      </c>
      <c r="AI319" s="27" t="str">
        <f t="shared" si="6"/>
        <v>501-1000</v>
      </c>
      <c r="AJ319" s="27" t="str">
        <f t="shared" si="7"/>
        <v>51-100</v>
      </c>
    </row>
    <row r="320" ht="15.75" customHeight="1">
      <c r="A320" s="23">
        <f>HYPERLINK("https://app.hubspot.com/contacts/8748051/record/0-3/35032570806", 35032570806)</f>
        <v>35032570806</v>
      </c>
      <c r="B320" s="24" t="s">
        <v>1200</v>
      </c>
      <c r="C320" s="24" t="s">
        <v>50</v>
      </c>
      <c r="D320" s="25">
        <v>25000.0</v>
      </c>
      <c r="E320" s="24" t="s">
        <v>127</v>
      </c>
      <c r="F320" s="24" t="s">
        <v>52</v>
      </c>
      <c r="G320" s="26">
        <v>45740.588541666664</v>
      </c>
      <c r="H320" s="26">
        <v>45783.730671296296</v>
      </c>
      <c r="I320" s="24" t="s">
        <v>40</v>
      </c>
      <c r="J320" s="24" t="s">
        <v>41</v>
      </c>
      <c r="K320" s="24" t="s">
        <v>60</v>
      </c>
      <c r="L320" s="24" t="s">
        <v>183</v>
      </c>
      <c r="M320" s="24" t="s">
        <v>44</v>
      </c>
      <c r="N320" s="24"/>
      <c r="O320" s="27"/>
      <c r="P320" s="24"/>
      <c r="Q320" s="24" t="s">
        <v>503</v>
      </c>
      <c r="R320" s="23">
        <f>HYPERLINK("https://app.hubspot.com/contacts/8748051/record/0-2/31375782207", 31375782207)</f>
        <v>31375782207</v>
      </c>
      <c r="S320" s="24" t="s">
        <v>1201</v>
      </c>
      <c r="T320" s="28" t="s">
        <v>1202</v>
      </c>
      <c r="U320" s="24" t="s">
        <v>47</v>
      </c>
      <c r="V320" s="24"/>
      <c r="W320" s="25"/>
      <c r="X320" s="29">
        <v>286.0</v>
      </c>
      <c r="Y320" s="29"/>
      <c r="Z320" s="30"/>
      <c r="AA320" s="30"/>
      <c r="AB320" s="31"/>
      <c r="AC320" s="30"/>
      <c r="AD320" s="30"/>
      <c r="AE320" s="30"/>
      <c r="AF320" s="30"/>
      <c r="AG320" s="27" t="str">
        <f t="shared" si="1"/>
        <v>New Logo</v>
      </c>
      <c r="AH320" s="27" t="str">
        <f t="shared" si="5"/>
        <v>Lead</v>
      </c>
      <c r="AI320" s="27" t="str">
        <f t="shared" si="6"/>
        <v>201-500</v>
      </c>
      <c r="AJ320" s="27" t="str">
        <f t="shared" si="7"/>
        <v>0-20</v>
      </c>
    </row>
    <row r="321" ht="15.75" customHeight="1">
      <c r="A321" s="23">
        <f>HYPERLINK("https://app.hubspot.com/contacts/8748051/record/0-3/35028911729", 35028911729)</f>
        <v>35028911729</v>
      </c>
      <c r="B321" s="24" t="s">
        <v>1203</v>
      </c>
      <c r="C321" s="24" t="s">
        <v>148</v>
      </c>
      <c r="D321" s="25">
        <v>7335.0</v>
      </c>
      <c r="E321" s="24" t="s">
        <v>92</v>
      </c>
      <c r="F321" s="24" t="s">
        <v>52</v>
      </c>
      <c r="G321" s="26">
        <v>45740.45309027778</v>
      </c>
      <c r="H321" s="26">
        <v>45744.335914351854</v>
      </c>
      <c r="I321" s="24" t="s">
        <v>40</v>
      </c>
      <c r="J321" s="24" t="s">
        <v>182</v>
      </c>
      <c r="K321" s="24" t="s">
        <v>42</v>
      </c>
      <c r="L321" s="24" t="s">
        <v>162</v>
      </c>
      <c r="M321" s="24" t="s">
        <v>44</v>
      </c>
      <c r="N321" s="24" t="s">
        <v>1204</v>
      </c>
      <c r="O321" s="27"/>
      <c r="P321" s="24"/>
      <c r="Q321" s="24"/>
      <c r="R321" s="23">
        <f>HYPERLINK("https://app.hubspot.com/contacts/8748051/record/0-2/8601300377", 8601300377)</f>
        <v>8601300377</v>
      </c>
      <c r="S321" s="24" t="s">
        <v>1205</v>
      </c>
      <c r="T321" s="28" t="s">
        <v>1206</v>
      </c>
      <c r="U321" s="24" t="s">
        <v>96</v>
      </c>
      <c r="V321" s="24"/>
      <c r="W321" s="25">
        <v>32151.0</v>
      </c>
      <c r="X321" s="29">
        <v>136.0</v>
      </c>
      <c r="Y321" s="29">
        <v>27.0</v>
      </c>
      <c r="Z321" s="30"/>
      <c r="AA321" s="30" t="s">
        <v>220</v>
      </c>
      <c r="AB321" s="30"/>
      <c r="AC321" s="30"/>
      <c r="AD321" s="30" t="s">
        <v>462</v>
      </c>
      <c r="AE321" s="30" t="s">
        <v>1207</v>
      </c>
      <c r="AF321" s="30" t="s">
        <v>169</v>
      </c>
      <c r="AG321" s="27" t="str">
        <f t="shared" si="1"/>
        <v>Upsell</v>
      </c>
      <c r="AH321" s="27" t="str">
        <f t="shared" si="5"/>
        <v>Customer</v>
      </c>
      <c r="AI321" s="27" t="str">
        <f t="shared" si="6"/>
        <v>0-200</v>
      </c>
      <c r="AJ321" s="27" t="str">
        <f t="shared" si="7"/>
        <v>21-50</v>
      </c>
    </row>
    <row r="322" ht="15.75" customHeight="1">
      <c r="A322" s="23">
        <f>HYPERLINK("https://app.hubspot.com/contacts/8748051/record/0-3/35020030644", 35020030644)</f>
        <v>35020030644</v>
      </c>
      <c r="B322" s="24" t="s">
        <v>1208</v>
      </c>
      <c r="C322" s="24" t="s">
        <v>159</v>
      </c>
      <c r="D322" s="25">
        <v>-4140.0</v>
      </c>
      <c r="E322" s="24" t="s">
        <v>92</v>
      </c>
      <c r="F322" s="24"/>
      <c r="G322" s="26">
        <v>45740.3094212963</v>
      </c>
      <c r="H322" s="26">
        <v>45740.31081018518</v>
      </c>
      <c r="I322" s="24" t="s">
        <v>40</v>
      </c>
      <c r="J322" s="24" t="s">
        <v>160</v>
      </c>
      <c r="K322" s="24" t="s">
        <v>161</v>
      </c>
      <c r="L322" s="24" t="s">
        <v>162</v>
      </c>
      <c r="M322" s="24" t="s">
        <v>102</v>
      </c>
      <c r="N322" s="24" t="s">
        <v>1209</v>
      </c>
      <c r="O322" s="24"/>
      <c r="P322" s="24"/>
      <c r="Q322" s="24"/>
      <c r="R322" s="23">
        <f>HYPERLINK("https://app.hubspot.com/contacts/8748051/record/0-2/8557519787", 8557519787)</f>
        <v>8557519787</v>
      </c>
      <c r="S322" s="24" t="s">
        <v>1210</v>
      </c>
      <c r="T322" s="28" t="s">
        <v>1211</v>
      </c>
      <c r="U322" s="24" t="s">
        <v>96</v>
      </c>
      <c r="V322" s="24"/>
      <c r="W322" s="25">
        <v>16560.0</v>
      </c>
      <c r="X322" s="29">
        <v>563.0</v>
      </c>
      <c r="Y322" s="29">
        <v>72.0</v>
      </c>
      <c r="Z322" s="30"/>
      <c r="AA322" s="30" t="s">
        <v>220</v>
      </c>
      <c r="AB322" s="30"/>
      <c r="AC322" s="30" t="s">
        <v>268</v>
      </c>
      <c r="AD322" s="30" t="s">
        <v>1160</v>
      </c>
      <c r="AE322" s="30" t="s">
        <v>1212</v>
      </c>
      <c r="AF322" s="30" t="s">
        <v>554</v>
      </c>
      <c r="AG322" s="27" t="str">
        <f t="shared" si="1"/>
        <v>Downsell</v>
      </c>
      <c r="AH322" s="27" t="str">
        <f t="shared" si="5"/>
        <v>Customer</v>
      </c>
      <c r="AI322" s="27" t="str">
        <f t="shared" si="6"/>
        <v>501-1000</v>
      </c>
      <c r="AJ322" s="27" t="str">
        <f t="shared" si="7"/>
        <v>51-100</v>
      </c>
    </row>
    <row r="323" ht="15.75" customHeight="1">
      <c r="A323" s="23">
        <f>HYPERLINK("https://app.hubspot.com/contacts/8748051/record/0-3/34988305307", 34988305307)</f>
        <v>34988305307</v>
      </c>
      <c r="B323" s="24" t="s">
        <v>1213</v>
      </c>
      <c r="C323" s="24" t="s">
        <v>1009</v>
      </c>
      <c r="D323" s="25">
        <v>0.0</v>
      </c>
      <c r="E323" s="24" t="s">
        <v>73</v>
      </c>
      <c r="F323" s="24"/>
      <c r="G323" s="26">
        <v>45739.75908564815</v>
      </c>
      <c r="H323" s="26">
        <v>45919.75907407407</v>
      </c>
      <c r="I323" s="24" t="s">
        <v>40</v>
      </c>
      <c r="J323" s="24" t="s">
        <v>41</v>
      </c>
      <c r="K323" s="24" t="s">
        <v>42</v>
      </c>
      <c r="L323" s="24" t="s">
        <v>43</v>
      </c>
      <c r="M323" s="24" t="s">
        <v>74</v>
      </c>
      <c r="N323" s="24"/>
      <c r="O323" s="24"/>
      <c r="P323" s="24" t="s">
        <v>234</v>
      </c>
      <c r="Q323" s="24"/>
      <c r="R323" s="23">
        <f>HYPERLINK("https://app.hubspot.com/contacts/8748051/record/0-2/31321704722", 31321704722)</f>
        <v>31321704722</v>
      </c>
      <c r="S323" s="24" t="s">
        <v>1214</v>
      </c>
      <c r="T323" s="28" t="s">
        <v>1215</v>
      </c>
      <c r="U323" s="24" t="s">
        <v>47</v>
      </c>
      <c r="V323" s="24"/>
      <c r="W323" s="25"/>
      <c r="X323" s="29">
        <v>41.0</v>
      </c>
      <c r="Y323" s="29">
        <v>0.0</v>
      </c>
      <c r="Z323" s="30"/>
      <c r="AA323" s="30"/>
      <c r="AB323" s="30"/>
      <c r="AC323" s="31"/>
      <c r="AD323" s="30"/>
      <c r="AE323" s="30"/>
      <c r="AF323" s="30"/>
      <c r="AG323" s="27" t="str">
        <f t="shared" si="1"/>
        <v>New Logo</v>
      </c>
      <c r="AH323" s="27" t="str">
        <f t="shared" si="5"/>
        <v>Lead</v>
      </c>
      <c r="AI323" s="27" t="str">
        <f t="shared" si="6"/>
        <v>0-200</v>
      </c>
      <c r="AJ323" s="27" t="str">
        <f t="shared" si="7"/>
        <v>0-20</v>
      </c>
    </row>
    <row r="324" ht="15.75" customHeight="1">
      <c r="A324" s="23">
        <f>HYPERLINK("https://app.hubspot.com/contacts/8748051/record/0-3/34894570153", 34894570153)</f>
        <v>34894570153</v>
      </c>
      <c r="B324" s="24" t="s">
        <v>1216</v>
      </c>
      <c r="C324" s="24" t="s">
        <v>1009</v>
      </c>
      <c r="D324" s="25">
        <v>500.0</v>
      </c>
      <c r="E324" s="24" t="s">
        <v>73</v>
      </c>
      <c r="F324" s="24"/>
      <c r="G324" s="26">
        <v>45736.635659722226</v>
      </c>
      <c r="H324" s="26">
        <v>45916.63563657407</v>
      </c>
      <c r="I324" s="24" t="s">
        <v>40</v>
      </c>
      <c r="J324" s="24" t="s">
        <v>41</v>
      </c>
      <c r="K324" s="24" t="s">
        <v>42</v>
      </c>
      <c r="L324" s="24" t="s">
        <v>43</v>
      </c>
      <c r="M324" s="24"/>
      <c r="N324" s="24"/>
      <c r="O324" s="27"/>
      <c r="P324" s="24" t="s">
        <v>75</v>
      </c>
      <c r="Q324" s="24"/>
      <c r="R324" s="23">
        <f>HYPERLINK("https://app.hubspot.com/contacts/8748051/record/0-2/31093414731", 31093414731)</f>
        <v>31093414731</v>
      </c>
      <c r="S324" s="24" t="s">
        <v>1217</v>
      </c>
      <c r="T324" s="28" t="s">
        <v>1218</v>
      </c>
      <c r="U324" s="24" t="s">
        <v>47</v>
      </c>
      <c r="V324" s="24"/>
      <c r="W324" s="25"/>
      <c r="X324" s="29">
        <v>15.0</v>
      </c>
      <c r="Y324" s="29">
        <v>1.0</v>
      </c>
      <c r="Z324" s="30"/>
      <c r="AA324" s="30"/>
      <c r="AB324" s="30"/>
      <c r="AC324" s="30"/>
      <c r="AD324" s="30"/>
      <c r="AE324" s="30"/>
      <c r="AF324" s="30"/>
      <c r="AG324" s="27" t="str">
        <f t="shared" si="1"/>
        <v>New Logo</v>
      </c>
      <c r="AH324" s="27" t="str">
        <f t="shared" si="5"/>
        <v>Lead</v>
      </c>
      <c r="AI324" s="27" t="str">
        <f t="shared" si="6"/>
        <v>0-200</v>
      </c>
      <c r="AJ324" s="27" t="str">
        <f t="shared" si="7"/>
        <v>0-20</v>
      </c>
    </row>
    <row r="325" ht="15.75" customHeight="1">
      <c r="A325" s="23">
        <f>HYPERLINK("https://app.hubspot.com/contacts/8748051/record/0-3/34811992634", 34811992634)</f>
        <v>34811992634</v>
      </c>
      <c r="B325" s="24" t="s">
        <v>1219</v>
      </c>
      <c r="C325" s="24" t="s">
        <v>148</v>
      </c>
      <c r="D325" s="25">
        <v>1200.0</v>
      </c>
      <c r="E325" s="24" t="s">
        <v>92</v>
      </c>
      <c r="F325" s="24" t="s">
        <v>52</v>
      </c>
      <c r="G325" s="26">
        <v>45735.495034722226</v>
      </c>
      <c r="H325" s="26">
        <v>45748.94678240741</v>
      </c>
      <c r="I325" s="24" t="s">
        <v>40</v>
      </c>
      <c r="J325" s="24" t="s">
        <v>182</v>
      </c>
      <c r="K325" s="24" t="s">
        <v>161</v>
      </c>
      <c r="L325" s="24" t="s">
        <v>162</v>
      </c>
      <c r="M325" s="24" t="s">
        <v>44</v>
      </c>
      <c r="N325" s="24" t="s">
        <v>1220</v>
      </c>
      <c r="O325" s="27"/>
      <c r="P325" s="24"/>
      <c r="Q325" s="24"/>
      <c r="R325" s="23">
        <f>HYPERLINK("https://app.hubspot.com/contacts/8748051/record/0-2/18382656883", 18382656883)</f>
        <v>18382656883</v>
      </c>
      <c r="S325" s="24" t="s">
        <v>304</v>
      </c>
      <c r="T325" s="28" t="s">
        <v>305</v>
      </c>
      <c r="U325" s="24" t="s">
        <v>96</v>
      </c>
      <c r="V325" s="24"/>
      <c r="W325" s="25">
        <v>27480.0</v>
      </c>
      <c r="X325" s="29">
        <v>210.0</v>
      </c>
      <c r="Y325" s="29">
        <v>16.0</v>
      </c>
      <c r="Z325" s="30"/>
      <c r="AA325" s="30" t="s">
        <v>207</v>
      </c>
      <c r="AB325" s="30" t="s">
        <v>194</v>
      </c>
      <c r="AC325" s="30"/>
      <c r="AD325" s="30" t="s">
        <v>306</v>
      </c>
      <c r="AE325" s="30" t="s">
        <v>307</v>
      </c>
      <c r="AF325" s="30" t="s">
        <v>169</v>
      </c>
      <c r="AG325" s="27" t="str">
        <f t="shared" si="1"/>
        <v>Upsell</v>
      </c>
      <c r="AH325" s="27" t="str">
        <f t="shared" si="5"/>
        <v>Customer</v>
      </c>
      <c r="AI325" s="27" t="str">
        <f t="shared" si="6"/>
        <v>201-500</v>
      </c>
      <c r="AJ325" s="27" t="str">
        <f t="shared" si="7"/>
        <v>0-20</v>
      </c>
    </row>
    <row r="326" ht="15.75" customHeight="1">
      <c r="A326" s="23">
        <f>HYPERLINK("https://app.hubspot.com/contacts/8748051/record/0-3/34812250138", 34812250138)</f>
        <v>34812250138</v>
      </c>
      <c r="B326" s="24" t="s">
        <v>1221</v>
      </c>
      <c r="C326" s="24" t="s">
        <v>148</v>
      </c>
      <c r="D326" s="25">
        <v>40500.0</v>
      </c>
      <c r="E326" s="24" t="s">
        <v>73</v>
      </c>
      <c r="F326" s="24"/>
      <c r="G326" s="26">
        <v>45735.42215277778</v>
      </c>
      <c r="H326" s="26">
        <v>45895.0</v>
      </c>
      <c r="I326" s="24" t="s">
        <v>40</v>
      </c>
      <c r="J326" s="24" t="s">
        <v>53</v>
      </c>
      <c r="K326" s="24" t="s">
        <v>253</v>
      </c>
      <c r="L326" s="24" t="s">
        <v>178</v>
      </c>
      <c r="M326" s="24" t="s">
        <v>44</v>
      </c>
      <c r="N326" s="24"/>
      <c r="O326" s="24"/>
      <c r="P326" s="24" t="s">
        <v>213</v>
      </c>
      <c r="Q326" s="24"/>
      <c r="R326" s="23">
        <f>HYPERLINK("https://app.hubspot.com/contacts/8748051/record/0-2/19177041309", 19177041309)</f>
        <v>19177041309</v>
      </c>
      <c r="S326" s="24" t="s">
        <v>1222</v>
      </c>
      <c r="T326" s="28" t="s">
        <v>1223</v>
      </c>
      <c r="U326" s="24" t="s">
        <v>47</v>
      </c>
      <c r="V326" s="24"/>
      <c r="W326" s="25"/>
      <c r="X326" s="29">
        <v>866.0</v>
      </c>
      <c r="Y326" s="29">
        <v>113.0</v>
      </c>
      <c r="Z326" s="30" t="s">
        <v>56</v>
      </c>
      <c r="AA326" s="30"/>
      <c r="AB326" s="31"/>
      <c r="AC326" s="30"/>
      <c r="AD326" s="30"/>
      <c r="AE326" s="30"/>
      <c r="AF326" s="30"/>
      <c r="AG326" s="27" t="str">
        <f t="shared" si="1"/>
        <v>New Logo</v>
      </c>
      <c r="AH326" s="27" t="str">
        <f t="shared" si="5"/>
        <v>Lead</v>
      </c>
      <c r="AI326" s="27" t="str">
        <f t="shared" si="6"/>
        <v>501-1000</v>
      </c>
      <c r="AJ326" s="27" t="str">
        <f t="shared" si="7"/>
        <v>101-500</v>
      </c>
    </row>
    <row r="327" ht="15.75" customHeight="1">
      <c r="A327" s="23">
        <f>HYPERLINK("https://app.hubspot.com/contacts/8748051/record/0-3/34778900532", 34778900532)</f>
        <v>34778900532</v>
      </c>
      <c r="B327" s="24" t="s">
        <v>1224</v>
      </c>
      <c r="C327" s="24" t="s">
        <v>38</v>
      </c>
      <c r="D327" s="25">
        <v>25000.0</v>
      </c>
      <c r="E327" s="24" t="s">
        <v>127</v>
      </c>
      <c r="F327" s="24" t="s">
        <v>52</v>
      </c>
      <c r="G327" s="26">
        <v>45734.4665625</v>
      </c>
      <c r="H327" s="26">
        <v>45838.0</v>
      </c>
      <c r="I327" s="24" t="s">
        <v>40</v>
      </c>
      <c r="J327" s="24" t="s">
        <v>41</v>
      </c>
      <c r="K327" s="24" t="s">
        <v>42</v>
      </c>
      <c r="L327" s="24" t="s">
        <v>43</v>
      </c>
      <c r="M327" s="24" t="s">
        <v>44</v>
      </c>
      <c r="N327" s="24"/>
      <c r="O327" s="24"/>
      <c r="P327" s="24"/>
      <c r="Q327" s="24" t="s">
        <v>128</v>
      </c>
      <c r="R327" s="23">
        <f>HYPERLINK("https://app.hubspot.com/contacts/8748051/record/0-2/8644546840", 8644546840)</f>
        <v>8644546840</v>
      </c>
      <c r="S327" s="24" t="s">
        <v>1225</v>
      </c>
      <c r="T327" s="28" t="s">
        <v>1226</v>
      </c>
      <c r="U327" s="24" t="s">
        <v>47</v>
      </c>
      <c r="V327" s="24"/>
      <c r="W327" s="25"/>
      <c r="X327" s="29">
        <v>274.0</v>
      </c>
      <c r="Y327" s="29">
        <v>61.0</v>
      </c>
      <c r="Z327" s="30" t="s">
        <v>71</v>
      </c>
      <c r="AA327" s="30"/>
      <c r="AB327" s="30"/>
      <c r="AC327" s="30"/>
      <c r="AD327" s="30"/>
      <c r="AE327" s="30"/>
      <c r="AF327" s="30"/>
      <c r="AG327" s="27" t="str">
        <f t="shared" si="1"/>
        <v>New Logo</v>
      </c>
      <c r="AH327" s="27" t="str">
        <f t="shared" si="5"/>
        <v>Lead</v>
      </c>
      <c r="AI327" s="27" t="str">
        <f t="shared" si="6"/>
        <v>201-500</v>
      </c>
      <c r="AJ327" s="27" t="str">
        <f t="shared" si="7"/>
        <v>51-100</v>
      </c>
    </row>
    <row r="328" ht="15.75" customHeight="1">
      <c r="A328" s="23">
        <f>HYPERLINK("https://app.hubspot.com/contacts/8748051/record/0-3/34765050970", 34765050970)</f>
        <v>34765050970</v>
      </c>
      <c r="B328" s="24" t="s">
        <v>1227</v>
      </c>
      <c r="C328" s="24" t="s">
        <v>1228</v>
      </c>
      <c r="D328" s="25">
        <v>2249.0</v>
      </c>
      <c r="E328" s="24" t="s">
        <v>92</v>
      </c>
      <c r="F328" s="24"/>
      <c r="G328" s="26">
        <v>45734.40939814815</v>
      </c>
      <c r="H328" s="26">
        <v>45734.409525462965</v>
      </c>
      <c r="I328" s="24" t="s">
        <v>40</v>
      </c>
      <c r="J328" s="24" t="s">
        <v>182</v>
      </c>
      <c r="K328" s="24" t="s">
        <v>161</v>
      </c>
      <c r="L328" s="24" t="s">
        <v>162</v>
      </c>
      <c r="M328" s="24" t="s">
        <v>102</v>
      </c>
      <c r="N328" s="24" t="s">
        <v>182</v>
      </c>
      <c r="O328" s="24"/>
      <c r="P328" s="24"/>
      <c r="Q328" s="24"/>
      <c r="R328" s="23">
        <f>HYPERLINK("https://app.hubspot.com/contacts/8748051/record/0-2/10517320259", 10517320259)</f>
        <v>10517320259</v>
      </c>
      <c r="S328" s="24" t="s">
        <v>1229</v>
      </c>
      <c r="T328" s="28" t="s">
        <v>1230</v>
      </c>
      <c r="U328" s="24" t="s">
        <v>96</v>
      </c>
      <c r="V328" s="24"/>
      <c r="W328" s="25">
        <v>8045.0</v>
      </c>
      <c r="X328" s="29">
        <v>283.0</v>
      </c>
      <c r="Y328" s="29">
        <v>49.0</v>
      </c>
      <c r="Z328" s="30"/>
      <c r="AA328" s="30" t="s">
        <v>193</v>
      </c>
      <c r="AB328" s="31"/>
      <c r="AC328" s="30" t="s">
        <v>208</v>
      </c>
      <c r="AD328" s="30" t="s">
        <v>1231</v>
      </c>
      <c r="AE328" s="30" t="s">
        <v>1232</v>
      </c>
      <c r="AF328" s="30" t="s">
        <v>169</v>
      </c>
      <c r="AG328" s="27" t="str">
        <f t="shared" si="1"/>
        <v>Upsell</v>
      </c>
      <c r="AH328" s="27" t="str">
        <f t="shared" si="5"/>
        <v>Customer</v>
      </c>
      <c r="AI328" s="27" t="str">
        <f t="shared" si="6"/>
        <v>201-500</v>
      </c>
      <c r="AJ328" s="27" t="str">
        <f t="shared" si="7"/>
        <v>21-50</v>
      </c>
    </row>
    <row r="329" ht="15.75" customHeight="1">
      <c r="A329" s="23">
        <f>HYPERLINK("https://app.hubspot.com/contacts/8748051/record/0-3/34651532886", 34651532886)</f>
        <v>34651532886</v>
      </c>
      <c r="B329" s="24" t="s">
        <v>1233</v>
      </c>
      <c r="C329" s="24" t="s">
        <v>50</v>
      </c>
      <c r="D329" s="25">
        <v>75000.0</v>
      </c>
      <c r="E329" s="24" t="s">
        <v>127</v>
      </c>
      <c r="F329" s="24" t="s">
        <v>52</v>
      </c>
      <c r="G329" s="26">
        <v>45730.58320601852</v>
      </c>
      <c r="H329" s="26">
        <v>46022.51206018519</v>
      </c>
      <c r="I329" s="24" t="s">
        <v>40</v>
      </c>
      <c r="J329" s="24" t="s">
        <v>41</v>
      </c>
      <c r="K329" s="24" t="s">
        <v>60</v>
      </c>
      <c r="L329" s="24" t="s">
        <v>61</v>
      </c>
      <c r="M329" s="24" t="s">
        <v>44</v>
      </c>
      <c r="N329" s="24"/>
      <c r="O329" s="24"/>
      <c r="P329" s="24"/>
      <c r="Q329" s="24" t="s">
        <v>374</v>
      </c>
      <c r="R329" s="23">
        <f>HYPERLINK("https://app.hubspot.com/contacts/8748051/record/0-2/8054026622", 8054026622)</f>
        <v>8054026622</v>
      </c>
      <c r="S329" s="24" t="s">
        <v>1234</v>
      </c>
      <c r="T329" s="28" t="s">
        <v>1235</v>
      </c>
      <c r="U329" s="24" t="s">
        <v>47</v>
      </c>
      <c r="V329" s="24"/>
      <c r="W329" s="25"/>
      <c r="X329" s="29">
        <v>769.0</v>
      </c>
      <c r="Y329" s="29">
        <v>186.0</v>
      </c>
      <c r="Z329" s="30" t="s">
        <v>81</v>
      </c>
      <c r="AA329" s="30"/>
      <c r="AB329" s="30"/>
      <c r="AC329" s="30"/>
      <c r="AD329" s="30"/>
      <c r="AE329" s="30"/>
      <c r="AF329" s="30"/>
      <c r="AG329" s="27" t="str">
        <f t="shared" si="1"/>
        <v>New Logo</v>
      </c>
      <c r="AH329" s="27" t="str">
        <f t="shared" si="5"/>
        <v>Lead</v>
      </c>
      <c r="AI329" s="27" t="str">
        <f t="shared" si="6"/>
        <v>501-1000</v>
      </c>
      <c r="AJ329" s="27" t="str">
        <f t="shared" si="7"/>
        <v>101-500</v>
      </c>
    </row>
    <row r="330" ht="15.75" customHeight="1">
      <c r="A330" s="23">
        <f>HYPERLINK("https://app.hubspot.com/contacts/8748051/record/0-3/34603512158", 34603512158)</f>
        <v>34603512158</v>
      </c>
      <c r="B330" s="24" t="s">
        <v>1236</v>
      </c>
      <c r="C330" s="24" t="s">
        <v>50</v>
      </c>
      <c r="D330" s="25">
        <v>50000.0</v>
      </c>
      <c r="E330" s="24" t="s">
        <v>127</v>
      </c>
      <c r="F330" s="24" t="s">
        <v>52</v>
      </c>
      <c r="G330" s="26">
        <v>45728.74256944445</v>
      </c>
      <c r="H330" s="26">
        <v>45930.74182870371</v>
      </c>
      <c r="I330" s="24" t="s">
        <v>40</v>
      </c>
      <c r="J330" s="24" t="s">
        <v>53</v>
      </c>
      <c r="K330" s="24" t="s">
        <v>42</v>
      </c>
      <c r="L330" s="24" t="s">
        <v>43</v>
      </c>
      <c r="M330" s="24" t="s">
        <v>44</v>
      </c>
      <c r="N330" s="24"/>
      <c r="O330" s="27"/>
      <c r="P330" s="24"/>
      <c r="Q330" s="24" t="s">
        <v>197</v>
      </c>
      <c r="R330" s="23">
        <f>HYPERLINK("https://app.hubspot.com/contacts/8748051/record/0-2/8867142733", 8867142733)</f>
        <v>8867142733</v>
      </c>
      <c r="S330" s="24" t="s">
        <v>657</v>
      </c>
      <c r="T330" s="28" t="s">
        <v>658</v>
      </c>
      <c r="U330" s="24" t="s">
        <v>47</v>
      </c>
      <c r="V330" s="24"/>
      <c r="W330" s="25"/>
      <c r="X330" s="29">
        <v>8750.0</v>
      </c>
      <c r="Y330" s="29">
        <v>1438.0</v>
      </c>
      <c r="Z330" s="30" t="s">
        <v>659</v>
      </c>
      <c r="AA330" s="30"/>
      <c r="AB330" s="30"/>
      <c r="AC330" s="30"/>
      <c r="AD330" s="30"/>
      <c r="AE330" s="31"/>
      <c r="AF330" s="30"/>
      <c r="AG330" s="27" t="str">
        <f t="shared" si="1"/>
        <v>New Logo</v>
      </c>
      <c r="AH330" s="27" t="str">
        <f t="shared" si="5"/>
        <v>Lead</v>
      </c>
      <c r="AI330" s="27" t="str">
        <f t="shared" si="6"/>
        <v>5000-10000</v>
      </c>
      <c r="AJ330" s="27" t="str">
        <f t="shared" si="7"/>
        <v>500+</v>
      </c>
    </row>
    <row r="331" ht="15.75" customHeight="1">
      <c r="A331" s="23">
        <f>HYPERLINK("https://app.hubspot.com/contacts/8748051/record/0-3/34575678733", 34575678733)</f>
        <v>34575678733</v>
      </c>
      <c r="B331" s="24" t="s">
        <v>1237</v>
      </c>
      <c r="C331" s="24" t="s">
        <v>50</v>
      </c>
      <c r="D331" s="25">
        <v>50000.0</v>
      </c>
      <c r="E331" s="24" t="s">
        <v>92</v>
      </c>
      <c r="F331" s="24" t="s">
        <v>52</v>
      </c>
      <c r="G331" s="26">
        <v>45728.51913194444</v>
      </c>
      <c r="H331" s="26">
        <v>45754.5690625</v>
      </c>
      <c r="I331" s="24" t="s">
        <v>40</v>
      </c>
      <c r="J331" s="24" t="s">
        <v>41</v>
      </c>
      <c r="K331" s="24" t="s">
        <v>1104</v>
      </c>
      <c r="L331" s="24" t="s">
        <v>560</v>
      </c>
      <c r="M331" s="24" t="s">
        <v>44</v>
      </c>
      <c r="N331" s="24" t="s">
        <v>1238</v>
      </c>
      <c r="O331" s="24"/>
      <c r="P331" s="24"/>
      <c r="Q331" s="24"/>
      <c r="R331" s="23">
        <f>HYPERLINK("https://app.hubspot.com/contacts/8748051/record/0-2/10198095893", 10198095893)</f>
        <v>10198095893</v>
      </c>
      <c r="S331" s="24" t="s">
        <v>1239</v>
      </c>
      <c r="T331" s="28" t="s">
        <v>1240</v>
      </c>
      <c r="U331" s="24" t="s">
        <v>96</v>
      </c>
      <c r="V331" s="24"/>
      <c r="W331" s="25">
        <v>50000.0</v>
      </c>
      <c r="X331" s="29">
        <v>302.0</v>
      </c>
      <c r="Y331" s="29">
        <v>40.0</v>
      </c>
      <c r="Z331" s="30"/>
      <c r="AA331" s="30" t="s">
        <v>97</v>
      </c>
      <c r="AB331" s="30" t="s">
        <v>207</v>
      </c>
      <c r="AC331" s="30" t="s">
        <v>268</v>
      </c>
      <c r="AD331" s="30" t="s">
        <v>1241</v>
      </c>
      <c r="AE331" s="30"/>
      <c r="AF331" s="30" t="s">
        <v>396</v>
      </c>
      <c r="AG331" s="27" t="str">
        <f t="shared" si="1"/>
        <v>New Logo</v>
      </c>
      <c r="AH331" s="27" t="str">
        <f t="shared" si="5"/>
        <v>Customer</v>
      </c>
      <c r="AI331" s="27" t="str">
        <f t="shared" si="6"/>
        <v>201-500</v>
      </c>
      <c r="AJ331" s="27" t="str">
        <f t="shared" si="7"/>
        <v>21-50</v>
      </c>
    </row>
    <row r="332" ht="15.75" customHeight="1">
      <c r="A332" s="23">
        <f>HYPERLINK("https://app.hubspot.com/contacts/8748051/record/0-3/34480837013", 34480837013)</f>
        <v>34480837013</v>
      </c>
      <c r="B332" s="24" t="s">
        <v>1242</v>
      </c>
      <c r="C332" s="24" t="s">
        <v>50</v>
      </c>
      <c r="D332" s="25">
        <v>45000.0</v>
      </c>
      <c r="E332" s="24" t="s">
        <v>127</v>
      </c>
      <c r="F332" s="24" t="s">
        <v>52</v>
      </c>
      <c r="G332" s="26">
        <v>45726.496828703705</v>
      </c>
      <c r="H332" s="26">
        <v>46022.76974537037</v>
      </c>
      <c r="I332" s="24" t="s">
        <v>40</v>
      </c>
      <c r="J332" s="24" t="s">
        <v>41</v>
      </c>
      <c r="K332" s="24" t="s">
        <v>42</v>
      </c>
      <c r="L332" s="24" t="s">
        <v>43</v>
      </c>
      <c r="M332" s="24" t="s">
        <v>74</v>
      </c>
      <c r="N332" s="27"/>
      <c r="O332" s="24"/>
      <c r="P332" s="24"/>
      <c r="Q332" s="24" t="s">
        <v>238</v>
      </c>
      <c r="R332" s="23">
        <f>HYPERLINK("https://app.hubspot.com/contacts/8748051/record/0-2/35059245747", 35059245747)</f>
        <v>35059245747</v>
      </c>
      <c r="S332" s="24" t="s">
        <v>324</v>
      </c>
      <c r="T332" s="28" t="s">
        <v>325</v>
      </c>
      <c r="U332" s="24" t="s">
        <v>47</v>
      </c>
      <c r="V332" s="24"/>
      <c r="W332" s="32"/>
      <c r="X332" s="29">
        <v>241.0</v>
      </c>
      <c r="Y332" s="29">
        <v>47.0</v>
      </c>
      <c r="Z332" s="30" t="s">
        <v>108</v>
      </c>
      <c r="AA332" s="31"/>
      <c r="AB332" s="31"/>
      <c r="AC332" s="31"/>
      <c r="AD332" s="31"/>
      <c r="AE332" s="31"/>
      <c r="AF332" s="31"/>
      <c r="AG332" s="27" t="str">
        <f t="shared" si="1"/>
        <v>New Logo</v>
      </c>
      <c r="AH332" s="27" t="str">
        <f t="shared" si="5"/>
        <v>Lead</v>
      </c>
      <c r="AI332" s="27" t="str">
        <f t="shared" si="6"/>
        <v>201-500</v>
      </c>
      <c r="AJ332" s="27" t="str">
        <f t="shared" si="7"/>
        <v>21-50</v>
      </c>
    </row>
    <row r="333" ht="15.75" customHeight="1">
      <c r="A333" s="23">
        <f>HYPERLINK("https://app.hubspot.com/contacts/8748051/record/0-3/34356310073", 34356310073)</f>
        <v>34356310073</v>
      </c>
      <c r="B333" s="24" t="s">
        <v>1243</v>
      </c>
      <c r="C333" s="24" t="s">
        <v>1009</v>
      </c>
      <c r="D333" s="25">
        <v>25000.0</v>
      </c>
      <c r="E333" s="24" t="s">
        <v>127</v>
      </c>
      <c r="F333" s="24" t="s">
        <v>52</v>
      </c>
      <c r="G333" s="26">
        <v>45723.56929398148</v>
      </c>
      <c r="H333" s="26">
        <v>45894.39409722222</v>
      </c>
      <c r="I333" s="24" t="s">
        <v>40</v>
      </c>
      <c r="J333" s="24" t="s">
        <v>41</v>
      </c>
      <c r="K333" s="24" t="s">
        <v>42</v>
      </c>
      <c r="L333" s="24" t="s">
        <v>43</v>
      </c>
      <c r="M333" s="24" t="s">
        <v>102</v>
      </c>
      <c r="N333" s="27"/>
      <c r="O333" s="24"/>
      <c r="P333" s="24"/>
      <c r="Q333" s="24" t="s">
        <v>374</v>
      </c>
      <c r="R333" s="23">
        <f>HYPERLINK("https://app.hubspot.com/contacts/8748051/record/0-2/8816517268", 8816517268)</f>
        <v>8816517268</v>
      </c>
      <c r="S333" s="24" t="s">
        <v>1244</v>
      </c>
      <c r="T333" s="28" t="s">
        <v>1245</v>
      </c>
      <c r="U333" s="24" t="s">
        <v>47</v>
      </c>
      <c r="V333" s="24"/>
      <c r="W333" s="25"/>
      <c r="X333" s="29">
        <v>608.0</v>
      </c>
      <c r="Y333" s="29">
        <v>100.0</v>
      </c>
      <c r="Z333" s="30" t="s">
        <v>1246</v>
      </c>
      <c r="AA333" s="30"/>
      <c r="AB333" s="30"/>
      <c r="AC333" s="30"/>
      <c r="AD333" s="30"/>
      <c r="AE333" s="30"/>
      <c r="AF333" s="30"/>
      <c r="AG333" s="27" t="str">
        <f t="shared" si="1"/>
        <v>New Logo</v>
      </c>
      <c r="AH333" s="27" t="str">
        <f t="shared" si="5"/>
        <v>Lead</v>
      </c>
      <c r="AI333" s="27" t="str">
        <f t="shared" si="6"/>
        <v>501-1000</v>
      </c>
      <c r="AJ333" s="27" t="str">
        <f t="shared" si="7"/>
        <v>51-100</v>
      </c>
    </row>
    <row r="334" ht="15.75" customHeight="1">
      <c r="A334" s="23">
        <f>HYPERLINK("https://app.hubspot.com/contacts/8748051/record/0-3/34356268180", 34356268180)</f>
        <v>34356268180</v>
      </c>
      <c r="B334" s="24" t="s">
        <v>1247</v>
      </c>
      <c r="C334" s="24" t="s">
        <v>1009</v>
      </c>
      <c r="D334" s="25">
        <v>10000.0</v>
      </c>
      <c r="E334" s="24" t="s">
        <v>127</v>
      </c>
      <c r="F334" s="24" t="s">
        <v>52</v>
      </c>
      <c r="G334" s="26">
        <v>45723.56864583334</v>
      </c>
      <c r="H334" s="26">
        <v>45799.22219907407</v>
      </c>
      <c r="I334" s="24" t="s">
        <v>40</v>
      </c>
      <c r="J334" s="24" t="s">
        <v>41</v>
      </c>
      <c r="K334" s="24" t="s">
        <v>42</v>
      </c>
      <c r="L334" s="24" t="s">
        <v>43</v>
      </c>
      <c r="M334" s="24" t="s">
        <v>102</v>
      </c>
      <c r="N334" s="24"/>
      <c r="O334" s="24"/>
      <c r="P334" s="24"/>
      <c r="Q334" s="24" t="s">
        <v>144</v>
      </c>
      <c r="R334" s="23">
        <f>HYPERLINK("https://app.hubspot.com/contacts/8748051/record/0-2/7755953967", 7755953967)</f>
        <v>7755953967</v>
      </c>
      <c r="S334" s="24" t="s">
        <v>1248</v>
      </c>
      <c r="T334" s="28" t="s">
        <v>1249</v>
      </c>
      <c r="U334" s="24" t="s">
        <v>47</v>
      </c>
      <c r="V334" s="24"/>
      <c r="W334" s="25"/>
      <c r="X334" s="29">
        <v>407.0</v>
      </c>
      <c r="Y334" s="29">
        <v>51.0</v>
      </c>
      <c r="Z334" s="30"/>
      <c r="AA334" s="30"/>
      <c r="AB334" s="30"/>
      <c r="AC334" s="30"/>
      <c r="AD334" s="30"/>
      <c r="AE334" s="30"/>
      <c r="AF334" s="30"/>
      <c r="AG334" s="27" t="str">
        <f t="shared" si="1"/>
        <v>New Logo</v>
      </c>
      <c r="AH334" s="27" t="str">
        <f t="shared" si="5"/>
        <v>Lead</v>
      </c>
      <c r="AI334" s="27" t="str">
        <f t="shared" si="6"/>
        <v>201-500</v>
      </c>
      <c r="AJ334" s="27" t="str">
        <f t="shared" si="7"/>
        <v>51-100</v>
      </c>
    </row>
    <row r="335" ht="15.75" customHeight="1">
      <c r="A335" s="23">
        <f>HYPERLINK("https://app.hubspot.com/contacts/8748051/record/0-3/34357358374", 34357358374)</f>
        <v>34357358374</v>
      </c>
      <c r="B335" s="24" t="s">
        <v>1250</v>
      </c>
      <c r="C335" s="24" t="s">
        <v>50</v>
      </c>
      <c r="D335" s="25">
        <v>25000.0</v>
      </c>
      <c r="E335" s="24" t="s">
        <v>127</v>
      </c>
      <c r="F335" s="24" t="s">
        <v>52</v>
      </c>
      <c r="G335" s="26">
        <v>45723.56795138889</v>
      </c>
      <c r="H335" s="26">
        <v>45930.52863425926</v>
      </c>
      <c r="I335" s="24" t="s">
        <v>40</v>
      </c>
      <c r="J335" s="24" t="s">
        <v>41</v>
      </c>
      <c r="K335" s="24" t="s">
        <v>42</v>
      </c>
      <c r="L335" s="24" t="s">
        <v>43</v>
      </c>
      <c r="M335" s="24" t="s">
        <v>44</v>
      </c>
      <c r="N335" s="24"/>
      <c r="O335" s="24"/>
      <c r="P335" s="24"/>
      <c r="Q335" s="24" t="s">
        <v>128</v>
      </c>
      <c r="R335" s="23">
        <f>HYPERLINK("https://app.hubspot.com/contacts/8748051/record/0-2/30760423032", 30760423032)</f>
        <v>30760423032</v>
      </c>
      <c r="S335" s="24" t="s">
        <v>1251</v>
      </c>
      <c r="T335" s="28" t="s">
        <v>1252</v>
      </c>
      <c r="U335" s="24" t="s">
        <v>47</v>
      </c>
      <c r="V335" s="24"/>
      <c r="W335" s="25"/>
      <c r="X335" s="29">
        <v>85.0</v>
      </c>
      <c r="Y335" s="29">
        <v>23.0</v>
      </c>
      <c r="Z335" s="30" t="s">
        <v>108</v>
      </c>
      <c r="AA335" s="30"/>
      <c r="AB335" s="31"/>
      <c r="AC335" s="31"/>
      <c r="AD335" s="30"/>
      <c r="AE335" s="30"/>
      <c r="AF335" s="30"/>
      <c r="AG335" s="27" t="str">
        <f t="shared" si="1"/>
        <v>New Logo</v>
      </c>
      <c r="AH335" s="27" t="str">
        <f t="shared" si="5"/>
        <v>Lead</v>
      </c>
      <c r="AI335" s="27" t="str">
        <f t="shared" si="6"/>
        <v>0-200</v>
      </c>
      <c r="AJ335" s="27" t="str">
        <f t="shared" si="7"/>
        <v>21-50</v>
      </c>
    </row>
    <row r="336" ht="15.75" customHeight="1">
      <c r="A336" s="23">
        <f>HYPERLINK("https://app.hubspot.com/contacts/8748051/record/0-3/34203264029", 34203264029)</f>
        <v>34203264029</v>
      </c>
      <c r="B336" s="24" t="s">
        <v>1253</v>
      </c>
      <c r="C336" s="24" t="s">
        <v>1009</v>
      </c>
      <c r="D336" s="25">
        <v>15000.0</v>
      </c>
      <c r="E336" s="24" t="s">
        <v>149</v>
      </c>
      <c r="F336" s="24" t="s">
        <v>52</v>
      </c>
      <c r="G336" s="26">
        <v>45719.68505787037</v>
      </c>
      <c r="H336" s="26">
        <v>45746.43371527778</v>
      </c>
      <c r="I336" s="24" t="s">
        <v>40</v>
      </c>
      <c r="J336" s="24" t="s">
        <v>53</v>
      </c>
      <c r="K336" s="24" t="s">
        <v>42</v>
      </c>
      <c r="L336" s="24" t="s">
        <v>449</v>
      </c>
      <c r="M336" s="24" t="s">
        <v>44</v>
      </c>
      <c r="N336" s="24"/>
      <c r="O336" s="24" t="s">
        <v>1254</v>
      </c>
      <c r="P336" s="24"/>
      <c r="Q336" s="24"/>
      <c r="R336" s="23">
        <f>HYPERLINK("https://app.hubspot.com/contacts/8748051/record/0-2/17745948284", 17745948284)</f>
        <v>17745948284</v>
      </c>
      <c r="S336" s="24" t="s">
        <v>1255</v>
      </c>
      <c r="T336" s="28" t="s">
        <v>1256</v>
      </c>
      <c r="U336" s="24" t="s">
        <v>47</v>
      </c>
      <c r="V336" s="24"/>
      <c r="W336" s="25"/>
      <c r="X336" s="29">
        <v>507.0</v>
      </c>
      <c r="Y336" s="29">
        <v>73.0</v>
      </c>
      <c r="Z336" s="30" t="s">
        <v>64</v>
      </c>
      <c r="AA336" s="30"/>
      <c r="AB336" s="31"/>
      <c r="AC336" s="30"/>
      <c r="AD336" s="30"/>
      <c r="AE336" s="30"/>
      <c r="AF336" s="30"/>
      <c r="AG336" s="27" t="str">
        <f t="shared" si="1"/>
        <v>New Logo</v>
      </c>
      <c r="AH336" s="27" t="str">
        <f t="shared" si="5"/>
        <v>Lead</v>
      </c>
      <c r="AI336" s="27" t="str">
        <f t="shared" si="6"/>
        <v>501-1000</v>
      </c>
      <c r="AJ336" s="27" t="str">
        <f t="shared" si="7"/>
        <v>51-100</v>
      </c>
    </row>
    <row r="337" ht="15.75" customHeight="1">
      <c r="A337" s="23">
        <f>HYPERLINK("https://app.hubspot.com/contacts/8748051/record/0-3/34056460396", 34056460396)</f>
        <v>34056460396</v>
      </c>
      <c r="B337" s="24" t="s">
        <v>1257</v>
      </c>
      <c r="C337" s="24" t="s">
        <v>1009</v>
      </c>
      <c r="D337" s="25">
        <v>0.0</v>
      </c>
      <c r="E337" s="24" t="s">
        <v>73</v>
      </c>
      <c r="F337" s="24"/>
      <c r="G337" s="26">
        <v>45716.32068287037</v>
      </c>
      <c r="H337" s="26">
        <v>45896.32067129629</v>
      </c>
      <c r="I337" s="24" t="s">
        <v>40</v>
      </c>
      <c r="J337" s="24" t="s">
        <v>41</v>
      </c>
      <c r="K337" s="24" t="s">
        <v>42</v>
      </c>
      <c r="L337" s="24" t="s">
        <v>43</v>
      </c>
      <c r="M337" s="24" t="s">
        <v>44</v>
      </c>
      <c r="N337" s="27"/>
      <c r="O337" s="24"/>
      <c r="P337" s="24" t="s">
        <v>234</v>
      </c>
      <c r="Q337" s="24"/>
      <c r="R337" s="23">
        <f>HYPERLINK("https://app.hubspot.com/contacts/8748051/record/0-2/30493775465", 30493775465)</f>
        <v>30493775465</v>
      </c>
      <c r="S337" s="24" t="s">
        <v>1258</v>
      </c>
      <c r="T337" s="28" t="s">
        <v>1259</v>
      </c>
      <c r="U337" s="24" t="s">
        <v>47</v>
      </c>
      <c r="V337" s="24"/>
      <c r="W337" s="25"/>
      <c r="X337" s="29">
        <v>30.0</v>
      </c>
      <c r="Y337" s="29">
        <v>0.0</v>
      </c>
      <c r="Z337" s="30"/>
      <c r="AA337" s="30"/>
      <c r="AB337" s="30"/>
      <c r="AC337" s="31"/>
      <c r="AD337" s="30"/>
      <c r="AE337" s="30"/>
      <c r="AF337" s="30"/>
      <c r="AG337" s="27" t="str">
        <f t="shared" si="1"/>
        <v>New Logo</v>
      </c>
      <c r="AH337" s="27" t="str">
        <f t="shared" si="5"/>
        <v>Lead</v>
      </c>
      <c r="AI337" s="27" t="str">
        <f t="shared" si="6"/>
        <v>0-200</v>
      </c>
      <c r="AJ337" s="27" t="str">
        <f t="shared" si="7"/>
        <v>0-20</v>
      </c>
    </row>
    <row r="338" ht="15.75" customHeight="1">
      <c r="A338" s="23">
        <f>HYPERLINK("https://app.hubspot.com/contacts/8748051/record/0-3/33987701082", 33987701082)</f>
        <v>33987701082</v>
      </c>
      <c r="B338" s="24" t="s">
        <v>1260</v>
      </c>
      <c r="C338" s="24" t="s">
        <v>50</v>
      </c>
      <c r="D338" s="25">
        <v>57500.0</v>
      </c>
      <c r="E338" s="24" t="s">
        <v>149</v>
      </c>
      <c r="F338" s="24" t="s">
        <v>52</v>
      </c>
      <c r="G338" s="26">
        <v>45714.466527777775</v>
      </c>
      <c r="H338" s="26">
        <v>45769.77454861111</v>
      </c>
      <c r="I338" s="24" t="s">
        <v>40</v>
      </c>
      <c r="J338" s="24" t="s">
        <v>53</v>
      </c>
      <c r="K338" s="24" t="s">
        <v>42</v>
      </c>
      <c r="L338" s="24" t="s">
        <v>43</v>
      </c>
      <c r="M338" s="24" t="s">
        <v>44</v>
      </c>
      <c r="N338" s="24"/>
      <c r="O338" s="24" t="s">
        <v>1261</v>
      </c>
      <c r="P338" s="24"/>
      <c r="Q338" s="24"/>
      <c r="R338" s="23">
        <f>HYPERLINK("https://app.hubspot.com/contacts/8748051/record/0-2/8923232919", 8923232919)</f>
        <v>8923232919</v>
      </c>
      <c r="S338" s="24" t="s">
        <v>1262</v>
      </c>
      <c r="T338" s="28" t="s">
        <v>1263</v>
      </c>
      <c r="U338" s="24" t="s">
        <v>47</v>
      </c>
      <c r="V338" s="24"/>
      <c r="W338" s="25"/>
      <c r="X338" s="29">
        <v>900.0</v>
      </c>
      <c r="Y338" s="29">
        <v>162.0</v>
      </c>
      <c r="Z338" s="30" t="s">
        <v>456</v>
      </c>
      <c r="AA338" s="30"/>
      <c r="AB338" s="31"/>
      <c r="AC338" s="30"/>
      <c r="AD338" s="30"/>
      <c r="AE338" s="30"/>
      <c r="AF338" s="30"/>
      <c r="AG338" s="27" t="str">
        <f t="shared" si="1"/>
        <v>New Logo</v>
      </c>
      <c r="AH338" s="27" t="str">
        <f t="shared" si="5"/>
        <v>Lead</v>
      </c>
      <c r="AI338" s="27" t="str">
        <f t="shared" si="6"/>
        <v>501-1000</v>
      </c>
      <c r="AJ338" s="27" t="str">
        <f t="shared" si="7"/>
        <v>101-500</v>
      </c>
    </row>
    <row r="339" ht="15.75" customHeight="1">
      <c r="A339" s="23">
        <f>HYPERLINK("https://app.hubspot.com/contacts/8748051/record/0-3/33928031105", 33928031105)</f>
        <v>33928031105</v>
      </c>
      <c r="B339" s="24" t="s">
        <v>1264</v>
      </c>
      <c r="C339" s="24" t="s">
        <v>50</v>
      </c>
      <c r="D339" s="25">
        <v>20000.0</v>
      </c>
      <c r="E339" s="24" t="s">
        <v>127</v>
      </c>
      <c r="F339" s="24" t="s">
        <v>52</v>
      </c>
      <c r="G339" s="26">
        <v>45713.52773148148</v>
      </c>
      <c r="H339" s="26">
        <v>45838.642858796295</v>
      </c>
      <c r="I339" s="24" t="s">
        <v>40</v>
      </c>
      <c r="J339" s="24" t="s">
        <v>41</v>
      </c>
      <c r="K339" s="24" t="s">
        <v>42</v>
      </c>
      <c r="L339" s="24" t="s">
        <v>43</v>
      </c>
      <c r="M339" s="24" t="s">
        <v>44</v>
      </c>
      <c r="N339" s="27"/>
      <c r="O339" s="27"/>
      <c r="P339" s="24"/>
      <c r="Q339" s="24" t="s">
        <v>144</v>
      </c>
      <c r="R339" s="23">
        <f>HYPERLINK("https://app.hubspot.com/contacts/8748051/record/0-2/31415333632", 31415333632)</f>
        <v>31415333632</v>
      </c>
      <c r="S339" s="24" t="s">
        <v>1265</v>
      </c>
      <c r="T339" s="28" t="s">
        <v>1266</v>
      </c>
      <c r="U339" s="24" t="s">
        <v>47</v>
      </c>
      <c r="V339" s="24"/>
      <c r="W339" s="25"/>
      <c r="X339" s="29">
        <v>74.0</v>
      </c>
      <c r="Y339" s="29">
        <v>9.0</v>
      </c>
      <c r="Z339" s="30"/>
      <c r="AA339" s="30"/>
      <c r="AB339" s="30"/>
      <c r="AC339" s="30"/>
      <c r="AD339" s="30"/>
      <c r="AE339" s="30"/>
      <c r="AF339" s="30"/>
      <c r="AG339" s="27" t="str">
        <f t="shared" si="1"/>
        <v>New Logo</v>
      </c>
      <c r="AH339" s="27" t="str">
        <f t="shared" si="5"/>
        <v>Lead</v>
      </c>
      <c r="AI339" s="27" t="str">
        <f t="shared" si="6"/>
        <v>0-200</v>
      </c>
      <c r="AJ339" s="27" t="str">
        <f t="shared" si="7"/>
        <v>0-20</v>
      </c>
    </row>
    <row r="340" ht="15.75" customHeight="1">
      <c r="A340" s="23">
        <f>HYPERLINK("https://app.hubspot.com/contacts/8748051/record/0-3/33901191969", 33901191969)</f>
        <v>33901191969</v>
      </c>
      <c r="B340" s="24" t="s">
        <v>1267</v>
      </c>
      <c r="C340" s="24" t="s">
        <v>38</v>
      </c>
      <c r="D340" s="25">
        <v>50000.0</v>
      </c>
      <c r="E340" s="24" t="s">
        <v>127</v>
      </c>
      <c r="F340" s="24" t="s">
        <v>52</v>
      </c>
      <c r="G340" s="26">
        <v>45712.63744212963</v>
      </c>
      <c r="H340" s="26">
        <v>46107.31420138889</v>
      </c>
      <c r="I340" s="24" t="s">
        <v>40</v>
      </c>
      <c r="J340" s="24" t="s">
        <v>53</v>
      </c>
      <c r="K340" s="24" t="s">
        <v>42</v>
      </c>
      <c r="L340" s="24" t="s">
        <v>43</v>
      </c>
      <c r="M340" s="24" t="s">
        <v>44</v>
      </c>
      <c r="N340" s="24"/>
      <c r="O340" s="24"/>
      <c r="P340" s="24"/>
      <c r="Q340" s="24" t="s">
        <v>144</v>
      </c>
      <c r="R340" s="23">
        <f>HYPERLINK("https://app.hubspot.com/contacts/8748051/record/0-2/29996857005", 29996857005)</f>
        <v>29996857005</v>
      </c>
      <c r="S340" s="24" t="s">
        <v>1268</v>
      </c>
      <c r="T340" s="28" t="s">
        <v>1269</v>
      </c>
      <c r="U340" s="24" t="s">
        <v>47</v>
      </c>
      <c r="V340" s="24"/>
      <c r="W340" s="25"/>
      <c r="X340" s="29">
        <v>3596.0</v>
      </c>
      <c r="Y340" s="29">
        <v>156.0</v>
      </c>
      <c r="Z340" s="30" t="s">
        <v>597</v>
      </c>
      <c r="AA340" s="30"/>
      <c r="AB340" s="30"/>
      <c r="AC340" s="31"/>
      <c r="AD340" s="30"/>
      <c r="AE340" s="30"/>
      <c r="AF340" s="30"/>
      <c r="AG340" s="27" t="str">
        <f t="shared" si="1"/>
        <v>New Logo</v>
      </c>
      <c r="AH340" s="27" t="str">
        <f t="shared" si="5"/>
        <v>Lead</v>
      </c>
      <c r="AI340" s="27" t="str">
        <f t="shared" si="6"/>
        <v>1001-5000</v>
      </c>
      <c r="AJ340" s="27" t="str">
        <f t="shared" si="7"/>
        <v>101-500</v>
      </c>
    </row>
    <row r="341" ht="15.75" customHeight="1">
      <c r="A341" s="23">
        <f>HYPERLINK("https://app.hubspot.com/contacts/8748051/record/0-3/33896691775", 33896691775)</f>
        <v>33896691775</v>
      </c>
      <c r="B341" s="24" t="s">
        <v>1270</v>
      </c>
      <c r="C341" s="24" t="s">
        <v>38</v>
      </c>
      <c r="D341" s="25">
        <v>11000.0</v>
      </c>
      <c r="E341" s="24" t="s">
        <v>73</v>
      </c>
      <c r="F341" s="24"/>
      <c r="G341" s="26">
        <v>45712.563206018516</v>
      </c>
      <c r="H341" s="26">
        <v>45892.56314814815</v>
      </c>
      <c r="I341" s="24" t="s">
        <v>40</v>
      </c>
      <c r="J341" s="24" t="s">
        <v>41</v>
      </c>
      <c r="K341" s="24" t="s">
        <v>42</v>
      </c>
      <c r="L341" s="24" t="s">
        <v>43</v>
      </c>
      <c r="M341" s="24" t="s">
        <v>44</v>
      </c>
      <c r="N341" s="24"/>
      <c r="O341" s="27"/>
      <c r="P341" s="24" t="s">
        <v>213</v>
      </c>
      <c r="Q341" s="24"/>
      <c r="R341" s="23">
        <f>HYPERLINK("https://app.hubspot.com/contacts/8748051/record/0-2/18382738048", 18382738048)</f>
        <v>18382738048</v>
      </c>
      <c r="S341" s="24" t="s">
        <v>1271</v>
      </c>
      <c r="T341" s="28" t="s">
        <v>1272</v>
      </c>
      <c r="U341" s="24" t="s">
        <v>47</v>
      </c>
      <c r="V341" s="24"/>
      <c r="W341" s="25"/>
      <c r="X341" s="29">
        <v>349.0</v>
      </c>
      <c r="Y341" s="29">
        <v>25.0</v>
      </c>
      <c r="Z341" s="30" t="s">
        <v>108</v>
      </c>
      <c r="AA341" s="30"/>
      <c r="AB341" s="31"/>
      <c r="AC341" s="30"/>
      <c r="AD341" s="30"/>
      <c r="AE341" s="30"/>
      <c r="AF341" s="30"/>
      <c r="AG341" s="27" t="str">
        <f t="shared" si="1"/>
        <v>New Logo</v>
      </c>
      <c r="AH341" s="27" t="str">
        <f t="shared" si="5"/>
        <v>Lead</v>
      </c>
      <c r="AI341" s="27" t="str">
        <f t="shared" si="6"/>
        <v>201-500</v>
      </c>
      <c r="AJ341" s="27" t="str">
        <f t="shared" si="7"/>
        <v>21-50</v>
      </c>
    </row>
    <row r="342" ht="15.75" customHeight="1">
      <c r="A342" s="23">
        <f>HYPERLINK("https://app.hubspot.com/contacts/8748051/record/0-3/33841659748", 33841659748)</f>
        <v>33841659748</v>
      </c>
      <c r="B342" s="24" t="s">
        <v>1273</v>
      </c>
      <c r="C342" s="24" t="s">
        <v>50</v>
      </c>
      <c r="D342" s="25">
        <v>10000.0</v>
      </c>
      <c r="E342" s="24" t="s">
        <v>127</v>
      </c>
      <c r="F342" s="24"/>
      <c r="G342" s="26">
        <v>45709.67251157408</v>
      </c>
      <c r="H342" s="26">
        <v>45890.71262731482</v>
      </c>
      <c r="I342" s="24" t="s">
        <v>40</v>
      </c>
      <c r="J342" s="24" t="s">
        <v>41</v>
      </c>
      <c r="K342" s="24" t="s">
        <v>60</v>
      </c>
      <c r="L342" s="24" t="s">
        <v>449</v>
      </c>
      <c r="M342" s="24" t="s">
        <v>44</v>
      </c>
      <c r="N342" s="27"/>
      <c r="O342" s="24"/>
      <c r="P342" s="24"/>
      <c r="Q342" s="24" t="s">
        <v>246</v>
      </c>
      <c r="R342" s="23">
        <f>HYPERLINK("https://app.hubspot.com/contacts/8748051/record/0-2/19176609119", 19176609119)</f>
        <v>19176609119</v>
      </c>
      <c r="S342" s="24" t="s">
        <v>1274</v>
      </c>
      <c r="T342" s="28" t="s">
        <v>1275</v>
      </c>
      <c r="U342" s="24" t="s">
        <v>47</v>
      </c>
      <c r="V342" s="24"/>
      <c r="W342" s="32"/>
      <c r="X342" s="29">
        <v>91.0</v>
      </c>
      <c r="Y342" s="29">
        <v>8.0</v>
      </c>
      <c r="Z342" s="30"/>
      <c r="AA342" s="31"/>
      <c r="AB342" s="31"/>
      <c r="AC342" s="31"/>
      <c r="AD342" s="31"/>
      <c r="AE342" s="31"/>
      <c r="AF342" s="31"/>
      <c r="AG342" s="27" t="str">
        <f t="shared" si="1"/>
        <v>New Logo</v>
      </c>
      <c r="AH342" s="27" t="str">
        <f t="shared" si="5"/>
        <v>Lead</v>
      </c>
      <c r="AI342" s="27" t="str">
        <f t="shared" si="6"/>
        <v>0-200</v>
      </c>
      <c r="AJ342" s="27" t="str">
        <f t="shared" si="7"/>
        <v>0-20</v>
      </c>
    </row>
    <row r="343" ht="15.75" customHeight="1">
      <c r="A343" s="23">
        <f>HYPERLINK("https://app.hubspot.com/contacts/8748051/record/0-3/33821373109", 33821373109)</f>
        <v>33821373109</v>
      </c>
      <c r="B343" s="24" t="s">
        <v>1276</v>
      </c>
      <c r="C343" s="24" t="s">
        <v>38</v>
      </c>
      <c r="D343" s="25">
        <v>11000.0</v>
      </c>
      <c r="E343" s="24" t="s">
        <v>73</v>
      </c>
      <c r="F343" s="24"/>
      <c r="G343" s="26">
        <v>45709.60717592593</v>
      </c>
      <c r="H343" s="26">
        <v>45889.607152777775</v>
      </c>
      <c r="I343" s="24" t="s">
        <v>40</v>
      </c>
      <c r="J343" s="24" t="s">
        <v>41</v>
      </c>
      <c r="K343" s="24" t="s">
        <v>42</v>
      </c>
      <c r="L343" s="24" t="s">
        <v>43</v>
      </c>
      <c r="M343" s="24" t="s">
        <v>44</v>
      </c>
      <c r="N343" s="24"/>
      <c r="O343" s="24"/>
      <c r="P343" s="24" t="s">
        <v>75</v>
      </c>
      <c r="Q343" s="24"/>
      <c r="R343" s="23">
        <f>HYPERLINK("https://app.hubspot.com/contacts/8748051/record/0-2/8396005127", 8396005127)</f>
        <v>8396005127</v>
      </c>
      <c r="S343" s="24" t="s">
        <v>602</v>
      </c>
      <c r="T343" s="28" t="s">
        <v>603</v>
      </c>
      <c r="U343" s="24" t="s">
        <v>47</v>
      </c>
      <c r="V343" s="24"/>
      <c r="W343" s="25"/>
      <c r="X343" s="29">
        <v>126.0</v>
      </c>
      <c r="Y343" s="29">
        <v>19.0</v>
      </c>
      <c r="Z343" s="30"/>
      <c r="AA343" s="30"/>
      <c r="AB343" s="31"/>
      <c r="AC343" s="30"/>
      <c r="AD343" s="30"/>
      <c r="AE343" s="30"/>
      <c r="AF343" s="30"/>
      <c r="AG343" s="27" t="str">
        <f t="shared" si="1"/>
        <v>New Logo</v>
      </c>
      <c r="AH343" s="27" t="str">
        <f t="shared" si="5"/>
        <v>Lead</v>
      </c>
      <c r="AI343" s="27" t="str">
        <f t="shared" si="6"/>
        <v>0-200</v>
      </c>
      <c r="AJ343" s="27" t="str">
        <f t="shared" si="7"/>
        <v>0-20</v>
      </c>
    </row>
    <row r="344" ht="15.75" customHeight="1">
      <c r="A344" s="23">
        <f>HYPERLINK("https://app.hubspot.com/contacts/8748051/record/0-3/33780957847", 33780957847)</f>
        <v>33780957847</v>
      </c>
      <c r="B344" s="24" t="s">
        <v>1277</v>
      </c>
      <c r="C344" s="24" t="s">
        <v>1009</v>
      </c>
      <c r="D344" s="25">
        <v>1500.0</v>
      </c>
      <c r="E344" s="24" t="s">
        <v>73</v>
      </c>
      <c r="F344" s="24"/>
      <c r="G344" s="26">
        <v>45708.58269675926</v>
      </c>
      <c r="H344" s="26">
        <v>45888.58268518518</v>
      </c>
      <c r="I344" s="24" t="s">
        <v>40</v>
      </c>
      <c r="J344" s="24" t="s">
        <v>41</v>
      </c>
      <c r="K344" s="24" t="s">
        <v>42</v>
      </c>
      <c r="L344" s="24" t="s">
        <v>43</v>
      </c>
      <c r="M344" s="24" t="s">
        <v>102</v>
      </c>
      <c r="N344" s="24"/>
      <c r="O344" s="27"/>
      <c r="P344" s="24" t="s">
        <v>234</v>
      </c>
      <c r="Q344" s="24"/>
      <c r="R344" s="23">
        <f>HYPERLINK("https://app.hubspot.com/contacts/8748051/record/0-2/30256444746", 30256444746)</f>
        <v>30256444746</v>
      </c>
      <c r="S344" s="24" t="s">
        <v>1278</v>
      </c>
      <c r="T344" s="28" t="s">
        <v>1279</v>
      </c>
      <c r="U344" s="24" t="s">
        <v>47</v>
      </c>
      <c r="V344" s="24"/>
      <c r="W344" s="25"/>
      <c r="X344" s="29">
        <v>41.0</v>
      </c>
      <c r="Y344" s="29">
        <v>3.0</v>
      </c>
      <c r="Z344" s="30"/>
      <c r="AA344" s="30"/>
      <c r="AB344" s="31"/>
      <c r="AC344" s="30"/>
      <c r="AD344" s="30"/>
      <c r="AE344" s="30"/>
      <c r="AF344" s="30"/>
      <c r="AG344" s="27" t="str">
        <f t="shared" si="1"/>
        <v>New Logo</v>
      </c>
      <c r="AH344" s="27" t="str">
        <f t="shared" si="5"/>
        <v>Lead</v>
      </c>
      <c r="AI344" s="27" t="str">
        <f t="shared" si="6"/>
        <v>0-200</v>
      </c>
      <c r="AJ344" s="27" t="str">
        <f t="shared" si="7"/>
        <v>0-20</v>
      </c>
    </row>
    <row r="345" ht="15.75" customHeight="1">
      <c r="A345" s="23">
        <f>HYPERLINK("https://app.hubspot.com/contacts/8748051/record/0-3/33463528074", 33463528074)</f>
        <v>33463528074</v>
      </c>
      <c r="B345" s="24" t="s">
        <v>1280</v>
      </c>
      <c r="C345" s="24" t="s">
        <v>148</v>
      </c>
      <c r="D345" s="25">
        <v>20500.0</v>
      </c>
      <c r="E345" s="24" t="s">
        <v>92</v>
      </c>
      <c r="F345" s="24" t="s">
        <v>52</v>
      </c>
      <c r="G345" s="26">
        <v>45701.94534722222</v>
      </c>
      <c r="H345" s="26">
        <v>45747.357627314814</v>
      </c>
      <c r="I345" s="24" t="s">
        <v>40</v>
      </c>
      <c r="J345" s="24" t="s">
        <v>41</v>
      </c>
      <c r="K345" s="24" t="s">
        <v>42</v>
      </c>
      <c r="L345" s="24" t="s">
        <v>43</v>
      </c>
      <c r="M345" s="24" t="s">
        <v>44</v>
      </c>
      <c r="N345" s="24" t="s">
        <v>1281</v>
      </c>
      <c r="O345" s="27"/>
      <c r="P345" s="24"/>
      <c r="Q345" s="24"/>
      <c r="R345" s="23">
        <f>HYPERLINK("https://app.hubspot.com/contacts/8748051/record/0-2/29950293363", 29950293363)</f>
        <v>29950293363</v>
      </c>
      <c r="S345" s="24" t="s">
        <v>1282</v>
      </c>
      <c r="T345" s="28" t="s">
        <v>1283</v>
      </c>
      <c r="U345" s="24" t="s">
        <v>96</v>
      </c>
      <c r="V345" s="24"/>
      <c r="W345" s="25">
        <v>20500.0</v>
      </c>
      <c r="X345" s="29">
        <v>120.0</v>
      </c>
      <c r="Y345" s="29">
        <v>13.0</v>
      </c>
      <c r="Z345" s="30"/>
      <c r="AA345" s="30" t="s">
        <v>97</v>
      </c>
      <c r="AB345" s="31"/>
      <c r="AC345" s="30" t="s">
        <v>461</v>
      </c>
      <c r="AD345" s="30" t="s">
        <v>231</v>
      </c>
      <c r="AE345" s="30" t="s">
        <v>1284</v>
      </c>
      <c r="AF345" s="30" t="s">
        <v>188</v>
      </c>
      <c r="AG345" s="27" t="str">
        <f t="shared" si="1"/>
        <v>New Logo</v>
      </c>
      <c r="AH345" s="27" t="str">
        <f t="shared" si="5"/>
        <v>Customer</v>
      </c>
      <c r="AI345" s="27" t="str">
        <f t="shared" si="6"/>
        <v>0-200</v>
      </c>
      <c r="AJ345" s="27" t="str">
        <f t="shared" si="7"/>
        <v>0-20</v>
      </c>
    </row>
    <row r="346" ht="15.75" customHeight="1">
      <c r="A346" s="23">
        <f>HYPERLINK("https://app.hubspot.com/contacts/8748051/record/0-3/33451142788", 33451142788)</f>
        <v>33451142788</v>
      </c>
      <c r="B346" s="24" t="s">
        <v>1285</v>
      </c>
      <c r="C346" s="24" t="s">
        <v>38</v>
      </c>
      <c r="D346" s="25">
        <v>100000.0</v>
      </c>
      <c r="E346" s="24" t="s">
        <v>73</v>
      </c>
      <c r="F346" s="24"/>
      <c r="G346" s="26">
        <v>45701.53113425926</v>
      </c>
      <c r="H346" s="26">
        <v>45881.53111111111</v>
      </c>
      <c r="I346" s="24" t="s">
        <v>40</v>
      </c>
      <c r="J346" s="24" t="s">
        <v>53</v>
      </c>
      <c r="K346" s="24" t="s">
        <v>60</v>
      </c>
      <c r="L346" s="24" t="s">
        <v>61</v>
      </c>
      <c r="M346" s="24" t="s">
        <v>44</v>
      </c>
      <c r="N346" s="24"/>
      <c r="O346" s="24"/>
      <c r="P346" s="24" t="s">
        <v>122</v>
      </c>
      <c r="Q346" s="24"/>
      <c r="R346" s="23">
        <f>HYPERLINK("https://app.hubspot.com/contacts/8748051/record/0-2/9173350301", 9173350301)</f>
        <v>9173350301</v>
      </c>
      <c r="S346" s="24" t="s">
        <v>1286</v>
      </c>
      <c r="T346" s="28" t="s">
        <v>1287</v>
      </c>
      <c r="U346" s="24" t="s">
        <v>47</v>
      </c>
      <c r="V346" s="24"/>
      <c r="W346" s="25"/>
      <c r="X346" s="29">
        <v>1065.0</v>
      </c>
      <c r="Y346" s="29">
        <v>93.0</v>
      </c>
      <c r="Z346" s="30" t="s">
        <v>108</v>
      </c>
      <c r="AA346" s="30"/>
      <c r="AB346" s="31"/>
      <c r="AC346" s="31"/>
      <c r="AD346" s="30"/>
      <c r="AE346" s="30"/>
      <c r="AF346" s="30"/>
      <c r="AG346" s="27" t="str">
        <f t="shared" si="1"/>
        <v>New Logo</v>
      </c>
      <c r="AH346" s="27" t="str">
        <f t="shared" si="5"/>
        <v>Lead</v>
      </c>
      <c r="AI346" s="27" t="str">
        <f t="shared" si="6"/>
        <v>1001-5000</v>
      </c>
      <c r="AJ346" s="27" t="str">
        <f t="shared" si="7"/>
        <v>51-100</v>
      </c>
    </row>
    <row r="347" ht="15.75" customHeight="1">
      <c r="A347" s="23">
        <f>HYPERLINK("https://app.hubspot.com/contacts/8748051/record/0-3/33359115101", 33359115101)</f>
        <v>33359115101</v>
      </c>
      <c r="B347" s="24" t="s">
        <v>1288</v>
      </c>
      <c r="C347" s="24" t="s">
        <v>148</v>
      </c>
      <c r="D347" s="25">
        <v>4160.0</v>
      </c>
      <c r="E347" s="24" t="s">
        <v>92</v>
      </c>
      <c r="F347" s="24"/>
      <c r="G347" s="26">
        <v>45699.73758101852</v>
      </c>
      <c r="H347" s="26">
        <v>45699.73762731482</v>
      </c>
      <c r="I347" s="24" t="s">
        <v>40</v>
      </c>
      <c r="J347" s="24" t="s">
        <v>182</v>
      </c>
      <c r="K347" s="24" t="s">
        <v>161</v>
      </c>
      <c r="L347" s="24" t="s">
        <v>162</v>
      </c>
      <c r="M347" s="24" t="s">
        <v>44</v>
      </c>
      <c r="N347" s="24" t="s">
        <v>1289</v>
      </c>
      <c r="O347" s="24"/>
      <c r="P347" s="24"/>
      <c r="Q347" s="24"/>
      <c r="R347" s="23">
        <f>HYPERLINK("https://app.hubspot.com/contacts/8748051/record/0-2/10013265046", 10013265046)</f>
        <v>10013265046</v>
      </c>
      <c r="S347" s="24" t="s">
        <v>471</v>
      </c>
      <c r="T347" s="28" t="s">
        <v>472</v>
      </c>
      <c r="U347" s="24" t="s">
        <v>96</v>
      </c>
      <c r="V347" s="24"/>
      <c r="W347" s="25">
        <v>40000.0</v>
      </c>
      <c r="X347" s="29">
        <v>588.0</v>
      </c>
      <c r="Y347" s="29">
        <v>142.0</v>
      </c>
      <c r="Z347" s="30"/>
      <c r="AA347" s="30" t="s">
        <v>220</v>
      </c>
      <c r="AB347" s="31"/>
      <c r="AC347" s="31"/>
      <c r="AD347" s="30" t="s">
        <v>473</v>
      </c>
      <c r="AE347" s="30" t="s">
        <v>474</v>
      </c>
      <c r="AF347" s="30" t="s">
        <v>169</v>
      </c>
      <c r="AG347" s="27" t="str">
        <f t="shared" si="1"/>
        <v>Upsell</v>
      </c>
      <c r="AH347" s="27" t="str">
        <f t="shared" si="5"/>
        <v>Customer</v>
      </c>
      <c r="AI347" s="27" t="str">
        <f t="shared" si="6"/>
        <v>501-1000</v>
      </c>
      <c r="AJ347" s="27" t="str">
        <f t="shared" si="7"/>
        <v>101-500</v>
      </c>
    </row>
    <row r="348" ht="15.75" customHeight="1">
      <c r="A348" s="23">
        <f>HYPERLINK("https://app.hubspot.com/contacts/8748051/record/0-3/33278885182", 33278885182)</f>
        <v>33278885182</v>
      </c>
      <c r="B348" s="24" t="s">
        <v>1290</v>
      </c>
      <c r="C348" s="24" t="s">
        <v>50</v>
      </c>
      <c r="D348" s="25">
        <v>50000.0</v>
      </c>
      <c r="E348" s="24" t="s">
        <v>73</v>
      </c>
      <c r="F348" s="24"/>
      <c r="G348" s="26">
        <v>45698.52605324074</v>
      </c>
      <c r="H348" s="26">
        <v>45879.0</v>
      </c>
      <c r="I348" s="24" t="s">
        <v>40</v>
      </c>
      <c r="J348" s="24" t="s">
        <v>41</v>
      </c>
      <c r="K348" s="24" t="s">
        <v>60</v>
      </c>
      <c r="L348" s="24" t="s">
        <v>183</v>
      </c>
      <c r="M348" s="24" t="s">
        <v>44</v>
      </c>
      <c r="N348" s="24"/>
      <c r="O348" s="24"/>
      <c r="P348" s="24" t="s">
        <v>122</v>
      </c>
      <c r="Q348" s="24"/>
      <c r="R348" s="23">
        <f>HYPERLINK("https://app.hubspot.com/contacts/8748051/record/0-2/7961026681", 7961026681)</f>
        <v>7961026681</v>
      </c>
      <c r="S348" s="24" t="s">
        <v>1291</v>
      </c>
      <c r="T348" s="28" t="s">
        <v>1292</v>
      </c>
      <c r="U348" s="24" t="s">
        <v>47</v>
      </c>
      <c r="V348" s="24"/>
      <c r="W348" s="25"/>
      <c r="X348" s="29">
        <v>810.0</v>
      </c>
      <c r="Y348" s="29">
        <v>182.0</v>
      </c>
      <c r="Z348" s="30" t="s">
        <v>81</v>
      </c>
      <c r="AA348" s="30"/>
      <c r="AB348" s="31"/>
      <c r="AC348" s="31"/>
      <c r="AD348" s="30"/>
      <c r="AE348" s="31"/>
      <c r="AF348" s="30"/>
      <c r="AG348" s="27" t="str">
        <f t="shared" si="1"/>
        <v>New Logo</v>
      </c>
      <c r="AH348" s="27" t="str">
        <f t="shared" si="5"/>
        <v>Lead</v>
      </c>
      <c r="AI348" s="27" t="str">
        <f t="shared" si="6"/>
        <v>501-1000</v>
      </c>
      <c r="AJ348" s="27" t="str">
        <f t="shared" si="7"/>
        <v>101-500</v>
      </c>
    </row>
    <row r="349" ht="15.75" customHeight="1">
      <c r="A349" s="23">
        <f>HYPERLINK("https://app.hubspot.com/contacts/8748051/record/0-3/33269703723", 33269703723)</f>
        <v>33269703723</v>
      </c>
      <c r="B349" s="24" t="s">
        <v>1293</v>
      </c>
      <c r="C349" s="24" t="s">
        <v>50</v>
      </c>
      <c r="D349" s="25">
        <v>10000.0</v>
      </c>
      <c r="E349" s="24" t="s">
        <v>149</v>
      </c>
      <c r="F349" s="24" t="s">
        <v>52</v>
      </c>
      <c r="G349" s="26">
        <v>45698.4287962963</v>
      </c>
      <c r="H349" s="26">
        <v>45878.84670138889</v>
      </c>
      <c r="I349" s="24" t="s">
        <v>40</v>
      </c>
      <c r="J349" s="24" t="s">
        <v>41</v>
      </c>
      <c r="K349" s="24" t="s">
        <v>42</v>
      </c>
      <c r="L349" s="24" t="s">
        <v>43</v>
      </c>
      <c r="M349" s="24" t="s">
        <v>44</v>
      </c>
      <c r="N349" s="24"/>
      <c r="O349" s="24" t="s">
        <v>1294</v>
      </c>
      <c r="P349" s="24"/>
      <c r="Q349" s="24"/>
      <c r="R349" s="23">
        <f>HYPERLINK("https://app.hubspot.com/contacts/8748051/record/0-2/7823678361", 7823678361)</f>
        <v>7823678361</v>
      </c>
      <c r="S349" s="24" t="s">
        <v>1295</v>
      </c>
      <c r="T349" s="28" t="s">
        <v>1296</v>
      </c>
      <c r="U349" s="24" t="s">
        <v>47</v>
      </c>
      <c r="V349" s="24"/>
      <c r="W349" s="25"/>
      <c r="X349" s="29">
        <v>621.0</v>
      </c>
      <c r="Y349" s="29">
        <v>127.0</v>
      </c>
      <c r="Z349" s="30" t="s">
        <v>71</v>
      </c>
      <c r="AA349" s="30"/>
      <c r="AB349" s="30"/>
      <c r="AC349" s="30"/>
      <c r="AD349" s="30"/>
      <c r="AE349" s="30"/>
      <c r="AF349" s="30"/>
      <c r="AG349" s="27" t="str">
        <f t="shared" si="1"/>
        <v>New Logo</v>
      </c>
      <c r="AH349" s="27" t="str">
        <f t="shared" si="5"/>
        <v>Lead</v>
      </c>
      <c r="AI349" s="27" t="str">
        <f t="shared" si="6"/>
        <v>501-1000</v>
      </c>
      <c r="AJ349" s="27" t="str">
        <f t="shared" si="7"/>
        <v>101-500</v>
      </c>
    </row>
    <row r="350" ht="15.75" customHeight="1">
      <c r="A350" s="23">
        <f>HYPERLINK("https://app.hubspot.com/contacts/8748051/record/0-3/33268460088", 33268460088)</f>
        <v>33268460088</v>
      </c>
      <c r="B350" s="24" t="s">
        <v>1297</v>
      </c>
      <c r="C350" s="24" t="s">
        <v>1009</v>
      </c>
      <c r="D350" s="25">
        <v>2500.0</v>
      </c>
      <c r="E350" s="24" t="s">
        <v>73</v>
      </c>
      <c r="F350" s="24"/>
      <c r="G350" s="26">
        <v>45698.36241898148</v>
      </c>
      <c r="H350" s="26">
        <v>45878.36240740741</v>
      </c>
      <c r="I350" s="24" t="s">
        <v>40</v>
      </c>
      <c r="J350" s="24" t="s">
        <v>41</v>
      </c>
      <c r="K350" s="24"/>
      <c r="L350" s="24" t="s">
        <v>449</v>
      </c>
      <c r="M350" s="24" t="s">
        <v>44</v>
      </c>
      <c r="N350" s="24"/>
      <c r="O350" s="27"/>
      <c r="P350" s="24" t="s">
        <v>75</v>
      </c>
      <c r="Q350" s="24"/>
      <c r="R350" s="23">
        <f>HYPERLINK("https://app.hubspot.com/contacts/8748051/record/0-2/29748501653", 29748501653)</f>
        <v>29748501653</v>
      </c>
      <c r="S350" s="24" t="s">
        <v>1298</v>
      </c>
      <c r="T350" s="28" t="s">
        <v>1299</v>
      </c>
      <c r="U350" s="24" t="s">
        <v>47</v>
      </c>
      <c r="V350" s="24"/>
      <c r="W350" s="25"/>
      <c r="X350" s="29">
        <v>76.0</v>
      </c>
      <c r="Y350" s="29">
        <v>5.0</v>
      </c>
      <c r="Z350" s="30"/>
      <c r="AA350" s="30"/>
      <c r="AB350" s="31"/>
      <c r="AC350" s="30"/>
      <c r="AD350" s="30"/>
      <c r="AE350" s="30"/>
      <c r="AF350" s="30"/>
      <c r="AG350" s="27" t="str">
        <f t="shared" si="1"/>
        <v>New Logo</v>
      </c>
      <c r="AH350" s="27" t="str">
        <f t="shared" si="5"/>
        <v>Lead</v>
      </c>
      <c r="AI350" s="27" t="str">
        <f t="shared" si="6"/>
        <v>0-200</v>
      </c>
      <c r="AJ350" s="27" t="str">
        <f t="shared" si="7"/>
        <v>0-20</v>
      </c>
    </row>
    <row r="351" ht="15.75" customHeight="1">
      <c r="A351" s="23">
        <f>HYPERLINK("https://app.hubspot.com/contacts/8748051/record/0-3/33169400227", 33169400227)</f>
        <v>33169400227</v>
      </c>
      <c r="B351" s="24" t="s">
        <v>1300</v>
      </c>
      <c r="C351" s="24" t="s">
        <v>50</v>
      </c>
      <c r="D351" s="25">
        <v>10000.0</v>
      </c>
      <c r="E351" s="24" t="s">
        <v>127</v>
      </c>
      <c r="F351" s="24"/>
      <c r="G351" s="26">
        <v>45695.426840277774</v>
      </c>
      <c r="H351" s="26">
        <v>45875.426828703705</v>
      </c>
      <c r="I351" s="24" t="s">
        <v>40</v>
      </c>
      <c r="J351" s="24" t="s">
        <v>41</v>
      </c>
      <c r="K351" s="24" t="s">
        <v>42</v>
      </c>
      <c r="L351" s="24" t="s">
        <v>43</v>
      </c>
      <c r="M351" s="24" t="s">
        <v>44</v>
      </c>
      <c r="N351" s="24"/>
      <c r="O351" s="24"/>
      <c r="P351" s="24"/>
      <c r="Q351" s="24" t="s">
        <v>401</v>
      </c>
      <c r="R351" s="23">
        <f>HYPERLINK("https://app.hubspot.com/contacts/8748051/record/0-2/10198128792", 10198128792)</f>
        <v>10198128792</v>
      </c>
      <c r="S351" s="24" t="s">
        <v>1301</v>
      </c>
      <c r="T351" s="28" t="s">
        <v>1302</v>
      </c>
      <c r="U351" s="24" t="s">
        <v>47</v>
      </c>
      <c r="V351" s="24"/>
      <c r="W351" s="25"/>
      <c r="X351" s="29">
        <v>1461.0</v>
      </c>
      <c r="Y351" s="29">
        <v>338.0</v>
      </c>
      <c r="Z351" s="30" t="s">
        <v>546</v>
      </c>
      <c r="AA351" s="30"/>
      <c r="AB351" s="30"/>
      <c r="AC351" s="31"/>
      <c r="AD351" s="30"/>
      <c r="AE351" s="30"/>
      <c r="AF351" s="30"/>
      <c r="AG351" s="27" t="str">
        <f t="shared" si="1"/>
        <v>New Logo</v>
      </c>
      <c r="AH351" s="27" t="str">
        <f t="shared" si="5"/>
        <v>Lead</v>
      </c>
      <c r="AI351" s="27" t="str">
        <f t="shared" si="6"/>
        <v>1001-5000</v>
      </c>
      <c r="AJ351" s="27" t="str">
        <f t="shared" si="7"/>
        <v>101-500</v>
      </c>
    </row>
    <row r="352" ht="15.75" customHeight="1">
      <c r="A352" s="23">
        <f>HYPERLINK("https://app.hubspot.com/contacts/8748051/record/0-3/38310302480", 38310302480)</f>
        <v>38310302480</v>
      </c>
      <c r="B352" s="24" t="s">
        <v>1303</v>
      </c>
      <c r="C352" s="24" t="s">
        <v>148</v>
      </c>
      <c r="D352" s="25">
        <v>15000.0</v>
      </c>
      <c r="E352" s="24" t="s">
        <v>127</v>
      </c>
      <c r="F352" s="24" t="s">
        <v>52</v>
      </c>
      <c r="G352" s="26">
        <v>45693.669375</v>
      </c>
      <c r="H352" s="26">
        <v>45953.33903935185</v>
      </c>
      <c r="I352" s="24" t="s">
        <v>40</v>
      </c>
      <c r="J352" s="24" t="s">
        <v>41</v>
      </c>
      <c r="K352" s="24" t="s">
        <v>42</v>
      </c>
      <c r="L352" s="24" t="s">
        <v>43</v>
      </c>
      <c r="M352" s="24" t="s">
        <v>74</v>
      </c>
      <c r="N352" s="27"/>
      <c r="O352" s="24"/>
      <c r="P352" s="24" t="s">
        <v>234</v>
      </c>
      <c r="Q352" s="24" t="s">
        <v>503</v>
      </c>
      <c r="R352" s="23">
        <f>HYPERLINK("https://app.hubspot.com/contacts/8748051/record/0-2/29645372728", 29645372728)</f>
        <v>29645372728</v>
      </c>
      <c r="S352" s="24" t="s">
        <v>1304</v>
      </c>
      <c r="T352" s="28" t="s">
        <v>1305</v>
      </c>
      <c r="U352" s="24" t="s">
        <v>47</v>
      </c>
      <c r="V352" s="24"/>
      <c r="W352" s="25"/>
      <c r="X352" s="29">
        <v>259.0</v>
      </c>
      <c r="Y352" s="29">
        <v>35.0</v>
      </c>
      <c r="Z352" s="30"/>
      <c r="AA352" s="30"/>
      <c r="AB352" s="31"/>
      <c r="AC352" s="30"/>
      <c r="AD352" s="30"/>
      <c r="AE352" s="30"/>
      <c r="AF352" s="30"/>
      <c r="AG352" s="27" t="str">
        <f t="shared" si="1"/>
        <v>New Logo</v>
      </c>
      <c r="AH352" s="27" t="str">
        <f t="shared" si="5"/>
        <v>Lead</v>
      </c>
      <c r="AI352" s="27" t="str">
        <f t="shared" si="6"/>
        <v>201-500</v>
      </c>
      <c r="AJ352" s="27" t="str">
        <f t="shared" si="7"/>
        <v>21-50</v>
      </c>
    </row>
    <row r="353" ht="15.75" customHeight="1">
      <c r="A353" s="23">
        <f>HYPERLINK("https://app.hubspot.com/contacts/8748051/record/0-3/33122383288", 33122383288)</f>
        <v>33122383288</v>
      </c>
      <c r="B353" s="24" t="s">
        <v>1306</v>
      </c>
      <c r="C353" s="24" t="s">
        <v>50</v>
      </c>
      <c r="D353" s="25">
        <v>6000.0</v>
      </c>
      <c r="E353" s="24" t="s">
        <v>73</v>
      </c>
      <c r="F353" s="24"/>
      <c r="G353" s="26">
        <v>45693.476689814815</v>
      </c>
      <c r="H353" s="26">
        <v>45930.492638888885</v>
      </c>
      <c r="I353" s="24" t="s">
        <v>40</v>
      </c>
      <c r="J353" s="24" t="s">
        <v>41</v>
      </c>
      <c r="K353" s="24" t="s">
        <v>42</v>
      </c>
      <c r="L353" s="24" t="s">
        <v>43</v>
      </c>
      <c r="M353" s="24" t="s">
        <v>44</v>
      </c>
      <c r="N353" s="27"/>
      <c r="O353" s="24"/>
      <c r="P353" s="24" t="s">
        <v>122</v>
      </c>
      <c r="Q353" s="24" t="s">
        <v>128</v>
      </c>
      <c r="R353" s="23">
        <f>HYPERLINK("https://app.hubspot.com/contacts/8748051/record/0-2/29633882961", 29633882961)</f>
        <v>29633882961</v>
      </c>
      <c r="S353" s="24" t="s">
        <v>1307</v>
      </c>
      <c r="T353" s="28" t="s">
        <v>1308</v>
      </c>
      <c r="U353" s="24" t="s">
        <v>47</v>
      </c>
      <c r="V353" s="24"/>
      <c r="W353" s="25"/>
      <c r="X353" s="29">
        <v>181.0</v>
      </c>
      <c r="Y353" s="29">
        <v>12.0</v>
      </c>
      <c r="Z353" s="30"/>
      <c r="AA353" s="30"/>
      <c r="AB353" s="30"/>
      <c r="AC353" s="31"/>
      <c r="AD353" s="30"/>
      <c r="AE353" s="30"/>
      <c r="AF353" s="30"/>
      <c r="AG353" s="27" t="str">
        <f t="shared" si="1"/>
        <v>New Logo</v>
      </c>
      <c r="AH353" s="27" t="str">
        <f t="shared" si="5"/>
        <v>Lead</v>
      </c>
      <c r="AI353" s="27" t="str">
        <f t="shared" si="6"/>
        <v>0-200</v>
      </c>
      <c r="AJ353" s="27" t="str">
        <f t="shared" si="7"/>
        <v>0-20</v>
      </c>
    </row>
    <row r="354" ht="15.75" customHeight="1">
      <c r="A354" s="23">
        <f>HYPERLINK("https://app.hubspot.com/contacts/8748051/record/0-3/32952248417", 32952248417)</f>
        <v>32952248417</v>
      </c>
      <c r="B354" s="24" t="s">
        <v>1309</v>
      </c>
      <c r="C354" s="24" t="s">
        <v>50</v>
      </c>
      <c r="D354" s="25">
        <v>10000.0</v>
      </c>
      <c r="E354" s="24" t="s">
        <v>127</v>
      </c>
      <c r="F354" s="24" t="s">
        <v>52</v>
      </c>
      <c r="G354" s="26">
        <v>45691.52923611111</v>
      </c>
      <c r="H354" s="26">
        <v>45838.83614583333</v>
      </c>
      <c r="I354" s="24" t="s">
        <v>40</v>
      </c>
      <c r="J354" s="24" t="s">
        <v>41</v>
      </c>
      <c r="K354" s="24" t="s">
        <v>42</v>
      </c>
      <c r="L354" s="24" t="s">
        <v>43</v>
      </c>
      <c r="M354" s="24" t="s">
        <v>44</v>
      </c>
      <c r="N354" s="24"/>
      <c r="O354" s="24"/>
      <c r="P354" s="24"/>
      <c r="Q354" s="24" t="s">
        <v>1310</v>
      </c>
      <c r="R354" s="23">
        <f>HYPERLINK("https://app.hubspot.com/contacts/8748051/record/0-2/29475679086", 29475679086)</f>
        <v>29475679086</v>
      </c>
      <c r="S354" s="24" t="s">
        <v>1311</v>
      </c>
      <c r="T354" s="28" t="s">
        <v>1312</v>
      </c>
      <c r="U354" s="24" t="s">
        <v>47</v>
      </c>
      <c r="V354" s="24"/>
      <c r="W354" s="25"/>
      <c r="X354" s="29">
        <v>38.0</v>
      </c>
      <c r="Y354" s="29">
        <v>20.0</v>
      </c>
      <c r="Z354" s="30"/>
      <c r="AA354" s="30"/>
      <c r="AB354" s="30"/>
      <c r="AC354" s="31"/>
      <c r="AD354" s="30"/>
      <c r="AE354" s="30"/>
      <c r="AF354" s="30"/>
      <c r="AG354" s="27" t="str">
        <f t="shared" si="1"/>
        <v>New Logo</v>
      </c>
      <c r="AH354" s="27" t="str">
        <f t="shared" si="5"/>
        <v>Lead</v>
      </c>
      <c r="AI354" s="27" t="str">
        <f t="shared" si="6"/>
        <v>0-200</v>
      </c>
      <c r="AJ354" s="27" t="str">
        <f t="shared" si="7"/>
        <v>0-20</v>
      </c>
    </row>
    <row r="355" ht="15.75" customHeight="1">
      <c r="A355" s="23">
        <f>HYPERLINK("https://app.hubspot.com/contacts/8748051/record/0-3/32823792266", 32823792266)</f>
        <v>32823792266</v>
      </c>
      <c r="B355" s="24" t="s">
        <v>1313</v>
      </c>
      <c r="C355" s="24" t="s">
        <v>148</v>
      </c>
      <c r="D355" s="25">
        <v>25000.0</v>
      </c>
      <c r="E355" s="24" t="s">
        <v>149</v>
      </c>
      <c r="F355" s="24" t="s">
        <v>52</v>
      </c>
      <c r="G355" s="26">
        <v>45688.67024305555</v>
      </c>
      <c r="H355" s="26">
        <v>45733.139016203706</v>
      </c>
      <c r="I355" s="24" t="s">
        <v>40</v>
      </c>
      <c r="J355" s="24" t="s">
        <v>41</v>
      </c>
      <c r="K355" s="24" t="s">
        <v>42</v>
      </c>
      <c r="L355" s="24" t="s">
        <v>43</v>
      </c>
      <c r="M355" s="24" t="s">
        <v>44</v>
      </c>
      <c r="N355" s="24"/>
      <c r="O355" s="24" t="s">
        <v>1314</v>
      </c>
      <c r="P355" s="24"/>
      <c r="Q355" s="24"/>
      <c r="R355" s="23">
        <f>HYPERLINK("https://app.hubspot.com/contacts/8748051/record/0-2/7700474462", 7700474462)</f>
        <v>7700474462</v>
      </c>
      <c r="S355" s="24" t="s">
        <v>1315</v>
      </c>
      <c r="T355" s="28" t="s">
        <v>1316</v>
      </c>
      <c r="U355" s="24" t="s">
        <v>47</v>
      </c>
      <c r="V355" s="24"/>
      <c r="W355" s="25"/>
      <c r="X355" s="29">
        <v>460.0</v>
      </c>
      <c r="Y355" s="29">
        <v>19.0</v>
      </c>
      <c r="Z355" s="30" t="s">
        <v>64</v>
      </c>
      <c r="AA355" s="30"/>
      <c r="AB355" s="31"/>
      <c r="AC355" s="30"/>
      <c r="AD355" s="30"/>
      <c r="AE355" s="30"/>
      <c r="AF355" s="30"/>
      <c r="AG355" s="27" t="str">
        <f t="shared" si="1"/>
        <v>New Logo</v>
      </c>
      <c r="AH355" s="27" t="str">
        <f t="shared" si="5"/>
        <v>Lead</v>
      </c>
      <c r="AI355" s="27" t="str">
        <f t="shared" si="6"/>
        <v>201-500</v>
      </c>
      <c r="AJ355" s="27" t="str">
        <f t="shared" si="7"/>
        <v>0-20</v>
      </c>
    </row>
    <row r="356" ht="15.75" customHeight="1">
      <c r="A356" s="23">
        <f>HYPERLINK("https://app.hubspot.com/contacts/8748051/record/0-3/32747013650", 32747013650)</f>
        <v>32747013650</v>
      </c>
      <c r="B356" s="24" t="s">
        <v>1317</v>
      </c>
      <c r="C356" s="24" t="s">
        <v>50</v>
      </c>
      <c r="D356" s="25">
        <v>63000.0</v>
      </c>
      <c r="E356" s="24" t="s">
        <v>73</v>
      </c>
      <c r="F356" s="24"/>
      <c r="G356" s="26">
        <v>45687.35824074074</v>
      </c>
      <c r="H356" s="26">
        <v>45867.35822916667</v>
      </c>
      <c r="I356" s="24" t="s">
        <v>40</v>
      </c>
      <c r="J356" s="24" t="s">
        <v>53</v>
      </c>
      <c r="K356" s="24" t="s">
        <v>42</v>
      </c>
      <c r="L356" s="24" t="s">
        <v>43</v>
      </c>
      <c r="M356" s="24" t="s">
        <v>44</v>
      </c>
      <c r="N356" s="24"/>
      <c r="O356" s="27"/>
      <c r="P356" s="24" t="s">
        <v>75</v>
      </c>
      <c r="Q356" s="24"/>
      <c r="R356" s="23">
        <f>HYPERLINK("https://app.hubspot.com/contacts/8748051/record/0-2/7291516720", 7291516720)</f>
        <v>7291516720</v>
      </c>
      <c r="S356" s="24" t="s">
        <v>1318</v>
      </c>
      <c r="T356" s="28" t="s">
        <v>1319</v>
      </c>
      <c r="U356" s="24" t="s">
        <v>47</v>
      </c>
      <c r="V356" s="24"/>
      <c r="W356" s="25"/>
      <c r="X356" s="29">
        <v>662.0</v>
      </c>
      <c r="Y356" s="29">
        <v>132.0</v>
      </c>
      <c r="Z356" s="30" t="s">
        <v>56</v>
      </c>
      <c r="AA356" s="30"/>
      <c r="AB356" s="30"/>
      <c r="AC356" s="31"/>
      <c r="AD356" s="30"/>
      <c r="AE356" s="30"/>
      <c r="AF356" s="30"/>
      <c r="AG356" s="27" t="str">
        <f t="shared" si="1"/>
        <v>New Logo</v>
      </c>
      <c r="AH356" s="27" t="str">
        <f t="shared" si="5"/>
        <v>Lead</v>
      </c>
      <c r="AI356" s="27" t="str">
        <f t="shared" si="6"/>
        <v>501-1000</v>
      </c>
      <c r="AJ356" s="27" t="str">
        <f t="shared" si="7"/>
        <v>101-500</v>
      </c>
    </row>
    <row r="357" ht="15.75" customHeight="1">
      <c r="A357" s="23">
        <f>HYPERLINK("https://app.hubspot.com/contacts/8748051/record/0-3/32748891700", 32748891700)</f>
        <v>32748891700</v>
      </c>
      <c r="B357" s="24" t="s">
        <v>1320</v>
      </c>
      <c r="C357" s="24" t="s">
        <v>1009</v>
      </c>
      <c r="D357" s="25">
        <v>15000.0</v>
      </c>
      <c r="E357" s="24" t="s">
        <v>127</v>
      </c>
      <c r="F357" s="24" t="s">
        <v>52</v>
      </c>
      <c r="G357" s="26">
        <v>45686.772372685184</v>
      </c>
      <c r="H357" s="26">
        <v>45723.387395833335</v>
      </c>
      <c r="I357" s="24" t="s">
        <v>40</v>
      </c>
      <c r="J357" s="24" t="s">
        <v>41</v>
      </c>
      <c r="K357" s="24" t="s">
        <v>42</v>
      </c>
      <c r="L357" s="24" t="s">
        <v>43</v>
      </c>
      <c r="M357" s="24" t="s">
        <v>102</v>
      </c>
      <c r="N357" s="24"/>
      <c r="O357" s="24"/>
      <c r="P357" s="24"/>
      <c r="Q357" s="24" t="s">
        <v>503</v>
      </c>
      <c r="R357" s="23">
        <f>HYPERLINK("https://app.hubspot.com/contacts/8748051/record/0-2/19176760746", 19176760746)</f>
        <v>19176760746</v>
      </c>
      <c r="S357" s="24" t="s">
        <v>1321</v>
      </c>
      <c r="T357" s="28" t="s">
        <v>1322</v>
      </c>
      <c r="U357" s="24" t="s">
        <v>47</v>
      </c>
      <c r="V357" s="24"/>
      <c r="W357" s="25"/>
      <c r="X357" s="29">
        <v>154.0</v>
      </c>
      <c r="Y357" s="29">
        <v>48.0</v>
      </c>
      <c r="Z357" s="30"/>
      <c r="AA357" s="30"/>
      <c r="AB357" s="30"/>
      <c r="AC357" s="30"/>
      <c r="AD357" s="30"/>
      <c r="AE357" s="30"/>
      <c r="AF357" s="30"/>
      <c r="AG357" s="27" t="str">
        <f t="shared" si="1"/>
        <v>New Logo</v>
      </c>
      <c r="AH357" s="27" t="str">
        <f t="shared" si="5"/>
        <v>Lead</v>
      </c>
      <c r="AI357" s="27" t="str">
        <f t="shared" si="6"/>
        <v>0-200</v>
      </c>
      <c r="AJ357" s="27" t="str">
        <f t="shared" si="7"/>
        <v>21-50</v>
      </c>
    </row>
    <row r="358" ht="15.75" customHeight="1">
      <c r="A358" s="23">
        <f>HYPERLINK("https://app.hubspot.com/contacts/8748051/record/0-3/32659467397", 32659467397)</f>
        <v>32659467397</v>
      </c>
      <c r="B358" s="24" t="s">
        <v>1323</v>
      </c>
      <c r="C358" s="24" t="s">
        <v>1009</v>
      </c>
      <c r="D358" s="25">
        <v>100000.0</v>
      </c>
      <c r="E358" s="24" t="s">
        <v>73</v>
      </c>
      <c r="F358" s="24"/>
      <c r="G358" s="26">
        <v>45685.341678240744</v>
      </c>
      <c r="H358" s="26">
        <v>45865.34164351852</v>
      </c>
      <c r="I358" s="24" t="s">
        <v>40</v>
      </c>
      <c r="J358" s="24" t="s">
        <v>53</v>
      </c>
      <c r="K358" s="24" t="s">
        <v>42</v>
      </c>
      <c r="L358" s="24" t="s">
        <v>43</v>
      </c>
      <c r="M358" s="24" t="s">
        <v>74</v>
      </c>
      <c r="N358" s="24"/>
      <c r="O358" s="24"/>
      <c r="P358" s="24" t="s">
        <v>75</v>
      </c>
      <c r="Q358" s="24"/>
      <c r="R358" s="23">
        <f>HYPERLINK("https://app.hubspot.com/contacts/8748051/record/0-2/9238277157", 9238277157)</f>
        <v>9238277157</v>
      </c>
      <c r="S358" s="24" t="s">
        <v>1324</v>
      </c>
      <c r="T358" s="28" t="s">
        <v>1325</v>
      </c>
      <c r="U358" s="24" t="s">
        <v>47</v>
      </c>
      <c r="V358" s="24"/>
      <c r="W358" s="25"/>
      <c r="X358" s="29">
        <v>4084.0</v>
      </c>
      <c r="Y358" s="29">
        <v>803.0</v>
      </c>
      <c r="Z358" s="30"/>
      <c r="AA358" s="30"/>
      <c r="AB358" s="30"/>
      <c r="AC358" s="30"/>
      <c r="AD358" s="30"/>
      <c r="AE358" s="30"/>
      <c r="AF358" s="30"/>
      <c r="AG358" s="27" t="str">
        <f t="shared" si="1"/>
        <v>New Logo</v>
      </c>
      <c r="AH358" s="27" t="str">
        <f t="shared" si="5"/>
        <v>Lead</v>
      </c>
      <c r="AI358" s="27" t="str">
        <f t="shared" si="6"/>
        <v>1001-5000</v>
      </c>
      <c r="AJ358" s="27" t="str">
        <f t="shared" si="7"/>
        <v>500+</v>
      </c>
    </row>
    <row r="359" ht="15.75" customHeight="1">
      <c r="A359" s="23">
        <f>HYPERLINK("https://app.hubspot.com/contacts/8748051/record/0-3/32369567636", 32369567636)</f>
        <v>32369567636</v>
      </c>
      <c r="B359" s="24" t="s">
        <v>1326</v>
      </c>
      <c r="C359" s="24" t="s">
        <v>148</v>
      </c>
      <c r="D359" s="25">
        <v>15000.0</v>
      </c>
      <c r="E359" s="24" t="s">
        <v>127</v>
      </c>
      <c r="F359" s="24"/>
      <c r="G359" s="26">
        <v>45680.62868055556</v>
      </c>
      <c r="H359" s="26">
        <v>45930.381875</v>
      </c>
      <c r="I359" s="24" t="s">
        <v>40</v>
      </c>
      <c r="J359" s="24" t="s">
        <v>182</v>
      </c>
      <c r="K359" s="24" t="s">
        <v>161</v>
      </c>
      <c r="L359" s="24" t="s">
        <v>715</v>
      </c>
      <c r="M359" s="24" t="s">
        <v>44</v>
      </c>
      <c r="N359" s="24"/>
      <c r="O359" s="24"/>
      <c r="P359" s="24"/>
      <c r="Q359" s="24" t="s">
        <v>144</v>
      </c>
      <c r="R359" s="23">
        <f>HYPERLINK("https://app.hubspot.com/contacts/8748051/record/0-2/15119716451", 15119716451)</f>
        <v>15119716451</v>
      </c>
      <c r="S359" s="24" t="s">
        <v>205</v>
      </c>
      <c r="T359" s="28" t="s">
        <v>206</v>
      </c>
      <c r="U359" s="24">
        <v>3.4564763E7</v>
      </c>
      <c r="V359" s="24"/>
      <c r="W359" s="25">
        <v>28960.0</v>
      </c>
      <c r="X359" s="29">
        <v>406.0</v>
      </c>
      <c r="Y359" s="29">
        <v>112.0</v>
      </c>
      <c r="Z359" s="30"/>
      <c r="AA359" s="30" t="s">
        <v>207</v>
      </c>
      <c r="AB359" s="30"/>
      <c r="AC359" s="30" t="s">
        <v>208</v>
      </c>
      <c r="AD359" s="30" t="s">
        <v>209</v>
      </c>
      <c r="AE359" s="30" t="s">
        <v>210</v>
      </c>
      <c r="AF359" s="30" t="s">
        <v>211</v>
      </c>
      <c r="AG359" s="27" t="str">
        <f t="shared" si="1"/>
        <v>Upsell</v>
      </c>
      <c r="AH359" s="27" t="str">
        <f t="shared" si="5"/>
        <v>Churn</v>
      </c>
      <c r="AI359" s="27" t="str">
        <f t="shared" si="6"/>
        <v>201-500</v>
      </c>
      <c r="AJ359" s="27" t="str">
        <f t="shared" si="7"/>
        <v>101-500</v>
      </c>
    </row>
    <row r="360" ht="15.75" customHeight="1">
      <c r="A360" s="23">
        <f>HYPERLINK("https://app.hubspot.com/contacts/8748051/record/0-3/32369567488", 32369567488)</f>
        <v>32369567488</v>
      </c>
      <c r="B360" s="24" t="s">
        <v>1327</v>
      </c>
      <c r="C360" s="24" t="s">
        <v>148</v>
      </c>
      <c r="D360" s="25">
        <v>10000.0</v>
      </c>
      <c r="E360" s="24" t="s">
        <v>73</v>
      </c>
      <c r="F360" s="24"/>
      <c r="G360" s="26">
        <v>45680.62783564815</v>
      </c>
      <c r="H360" s="26">
        <v>45930.38150462963</v>
      </c>
      <c r="I360" s="24" t="s">
        <v>40</v>
      </c>
      <c r="J360" s="24" t="s">
        <v>182</v>
      </c>
      <c r="K360" s="24" t="s">
        <v>161</v>
      </c>
      <c r="L360" s="24" t="s">
        <v>715</v>
      </c>
      <c r="M360" s="24" t="s">
        <v>44</v>
      </c>
      <c r="N360" s="24"/>
      <c r="O360" s="24"/>
      <c r="P360" s="24" t="s">
        <v>234</v>
      </c>
      <c r="Q360" s="24"/>
      <c r="R360" s="23">
        <f>HYPERLINK("https://app.hubspot.com/contacts/8748051/record/0-2/7716034905", 7716034905)</f>
        <v>7716034905</v>
      </c>
      <c r="S360" s="24" t="s">
        <v>1328</v>
      </c>
      <c r="T360" s="28" t="s">
        <v>1329</v>
      </c>
      <c r="U360" s="24" t="s">
        <v>96</v>
      </c>
      <c r="V360" s="24"/>
      <c r="W360" s="25">
        <v>72520.0</v>
      </c>
      <c r="X360" s="29">
        <v>1525.0</v>
      </c>
      <c r="Y360" s="29">
        <v>150.0</v>
      </c>
      <c r="Z360" s="30"/>
      <c r="AA360" s="30" t="s">
        <v>207</v>
      </c>
      <c r="AB360" s="30" t="s">
        <v>97</v>
      </c>
      <c r="AC360" s="30"/>
      <c r="AD360" s="30" t="s">
        <v>1330</v>
      </c>
      <c r="AE360" s="30" t="s">
        <v>1331</v>
      </c>
      <c r="AF360" s="30" t="s">
        <v>396</v>
      </c>
      <c r="AG360" s="27" t="str">
        <f t="shared" si="1"/>
        <v>Upsell</v>
      </c>
      <c r="AH360" s="27" t="str">
        <f t="shared" si="5"/>
        <v>Customer</v>
      </c>
      <c r="AI360" s="27" t="str">
        <f t="shared" si="6"/>
        <v>1001-5000</v>
      </c>
      <c r="AJ360" s="27" t="str">
        <f t="shared" si="7"/>
        <v>101-500</v>
      </c>
    </row>
    <row r="361" ht="15.75" customHeight="1">
      <c r="A361" s="23">
        <f>HYPERLINK("https://app.hubspot.com/contacts/8748051/record/0-3/32323634346", 32323634346)</f>
        <v>32323634346</v>
      </c>
      <c r="B361" s="24" t="s">
        <v>1332</v>
      </c>
      <c r="C361" s="24" t="s">
        <v>148</v>
      </c>
      <c r="D361" s="25">
        <v>100000.0</v>
      </c>
      <c r="E361" s="24" t="s">
        <v>149</v>
      </c>
      <c r="F361" s="24" t="s">
        <v>52</v>
      </c>
      <c r="G361" s="26">
        <v>45679.4087037037</v>
      </c>
      <c r="H361" s="26">
        <v>45831.65047453704</v>
      </c>
      <c r="I361" s="24" t="s">
        <v>40</v>
      </c>
      <c r="J361" s="24" t="s">
        <v>53</v>
      </c>
      <c r="K361" s="24" t="s">
        <v>42</v>
      </c>
      <c r="L361" s="24" t="s">
        <v>43</v>
      </c>
      <c r="M361" s="24" t="s">
        <v>74</v>
      </c>
      <c r="N361" s="24"/>
      <c r="O361" s="24" t="s">
        <v>1333</v>
      </c>
      <c r="P361" s="24"/>
      <c r="Q361" s="24"/>
      <c r="R361" s="23">
        <f>HYPERLINK("https://app.hubspot.com/contacts/8748051/record/0-2/9427315969", 9427315969)</f>
        <v>9427315969</v>
      </c>
      <c r="S361" s="24" t="s">
        <v>1334</v>
      </c>
      <c r="T361" s="28" t="s">
        <v>1335</v>
      </c>
      <c r="U361" s="24" t="s">
        <v>47</v>
      </c>
      <c r="V361" s="24"/>
      <c r="W361" s="25"/>
      <c r="X361" s="29">
        <v>1601.0</v>
      </c>
      <c r="Y361" s="29">
        <v>393.0</v>
      </c>
      <c r="Z361" s="30" t="s">
        <v>81</v>
      </c>
      <c r="AA361" s="30"/>
      <c r="AB361" s="30"/>
      <c r="AC361" s="30"/>
      <c r="AD361" s="30"/>
      <c r="AE361" s="30"/>
      <c r="AF361" s="30"/>
      <c r="AG361" s="27" t="str">
        <f t="shared" si="1"/>
        <v>New Logo</v>
      </c>
      <c r="AH361" s="27" t="str">
        <f t="shared" si="5"/>
        <v>Lead</v>
      </c>
      <c r="AI361" s="27" t="str">
        <f t="shared" si="6"/>
        <v>1001-5000</v>
      </c>
      <c r="AJ361" s="27" t="str">
        <f t="shared" si="7"/>
        <v>101-500</v>
      </c>
    </row>
    <row r="362" ht="15.75" customHeight="1">
      <c r="A362" s="23">
        <f>HYPERLINK("https://app.hubspot.com/contacts/8748051/record/0-3/32323634178", 32323634178)</f>
        <v>32323634178</v>
      </c>
      <c r="B362" s="24" t="s">
        <v>1336</v>
      </c>
      <c r="C362" s="24" t="s">
        <v>50</v>
      </c>
      <c r="D362" s="25">
        <v>15000.0</v>
      </c>
      <c r="E362" s="24" t="s">
        <v>73</v>
      </c>
      <c r="F362" s="24"/>
      <c r="G362" s="26">
        <v>45679.40795138889</v>
      </c>
      <c r="H362" s="26">
        <v>45860.44907407407</v>
      </c>
      <c r="I362" s="24" t="s">
        <v>40</v>
      </c>
      <c r="J362" s="24" t="s">
        <v>53</v>
      </c>
      <c r="K362" s="24" t="s">
        <v>60</v>
      </c>
      <c r="L362" s="24" t="s">
        <v>178</v>
      </c>
      <c r="M362" s="24" t="s">
        <v>44</v>
      </c>
      <c r="N362" s="24"/>
      <c r="O362" s="24"/>
      <c r="P362" s="24" t="s">
        <v>122</v>
      </c>
      <c r="Q362" s="24"/>
      <c r="R362" s="23">
        <f>HYPERLINK("https://app.hubspot.com/contacts/8748051/record/0-2/8724276354", 8724276354)</f>
        <v>8724276354</v>
      </c>
      <c r="S362" s="24" t="s">
        <v>1337</v>
      </c>
      <c r="T362" s="28" t="s">
        <v>1338</v>
      </c>
      <c r="U362" s="24" t="s">
        <v>47</v>
      </c>
      <c r="V362" s="24"/>
      <c r="W362" s="25"/>
      <c r="X362" s="29">
        <v>1516.0</v>
      </c>
      <c r="Y362" s="29">
        <v>202.0</v>
      </c>
      <c r="Z362" s="30" t="s">
        <v>56</v>
      </c>
      <c r="AA362" s="30"/>
      <c r="AB362" s="30"/>
      <c r="AC362" s="30"/>
      <c r="AD362" s="30"/>
      <c r="AE362" s="30"/>
      <c r="AF362" s="30"/>
      <c r="AG362" s="27" t="str">
        <f t="shared" si="1"/>
        <v>New Logo</v>
      </c>
      <c r="AH362" s="27" t="str">
        <f t="shared" si="5"/>
        <v>Lead</v>
      </c>
      <c r="AI362" s="27" t="str">
        <f t="shared" si="6"/>
        <v>1001-5000</v>
      </c>
      <c r="AJ362" s="27" t="str">
        <f t="shared" si="7"/>
        <v>101-500</v>
      </c>
    </row>
    <row r="363" ht="15.75" customHeight="1">
      <c r="A363" s="23">
        <f>HYPERLINK("https://app.hubspot.com/contacts/8748051/record/0-3/32146446082", 32146446082)</f>
        <v>32146446082</v>
      </c>
      <c r="B363" s="24" t="s">
        <v>1339</v>
      </c>
      <c r="C363" s="24" t="s">
        <v>148</v>
      </c>
      <c r="D363" s="25">
        <v>100000.0</v>
      </c>
      <c r="E363" s="24" t="s">
        <v>127</v>
      </c>
      <c r="F363" s="24" t="s">
        <v>52</v>
      </c>
      <c r="G363" s="26">
        <v>45674.89965277778</v>
      </c>
      <c r="H363" s="26">
        <v>45755.92328703704</v>
      </c>
      <c r="I363" s="24" t="s">
        <v>40</v>
      </c>
      <c r="J363" s="24" t="s">
        <v>53</v>
      </c>
      <c r="K363" s="24" t="s">
        <v>42</v>
      </c>
      <c r="L363" s="24" t="s">
        <v>43</v>
      </c>
      <c r="M363" s="24" t="s">
        <v>44</v>
      </c>
      <c r="N363" s="24" t="s">
        <v>1340</v>
      </c>
      <c r="O363" s="27"/>
      <c r="P363" s="24"/>
      <c r="Q363" s="24" t="s">
        <v>503</v>
      </c>
      <c r="R363" s="23">
        <f>HYPERLINK("https://app.hubspot.com/contacts/8748051/record/0-2/28715405232", 28715405232)</f>
        <v>28715405232</v>
      </c>
      <c r="S363" s="24" t="s">
        <v>498</v>
      </c>
      <c r="T363" s="28" t="s">
        <v>499</v>
      </c>
      <c r="U363" s="24" t="s">
        <v>96</v>
      </c>
      <c r="V363" s="24"/>
      <c r="W363" s="25">
        <v>25000.0</v>
      </c>
      <c r="X363" s="29">
        <v>1511.0</v>
      </c>
      <c r="Y363" s="29">
        <v>477.0</v>
      </c>
      <c r="Z363" s="30"/>
      <c r="AA363" s="30" t="s">
        <v>207</v>
      </c>
      <c r="AB363" s="30" t="s">
        <v>166</v>
      </c>
      <c r="AC363" s="30"/>
      <c r="AD363" s="30" t="s">
        <v>500</v>
      </c>
      <c r="AE363" s="30" t="s">
        <v>501</v>
      </c>
      <c r="AF363" s="30" t="s">
        <v>211</v>
      </c>
      <c r="AG363" s="27" t="str">
        <f t="shared" si="1"/>
        <v>New Logo</v>
      </c>
      <c r="AH363" s="27" t="str">
        <f t="shared" si="5"/>
        <v>Customer</v>
      </c>
      <c r="AI363" s="27" t="str">
        <f t="shared" si="6"/>
        <v>1001-5000</v>
      </c>
      <c r="AJ363" s="27" t="str">
        <f t="shared" si="7"/>
        <v>101-500</v>
      </c>
    </row>
    <row r="364" ht="15.75" customHeight="1">
      <c r="A364" s="23">
        <f>HYPERLINK("https://app.hubspot.com/contacts/8748051/record/0-3/32136338459", 32136338459)</f>
        <v>32136338459</v>
      </c>
      <c r="B364" s="24" t="s">
        <v>1341</v>
      </c>
      <c r="C364" s="24" t="s">
        <v>148</v>
      </c>
      <c r="D364" s="25">
        <v>25000.0</v>
      </c>
      <c r="E364" s="24" t="s">
        <v>92</v>
      </c>
      <c r="F364" s="24" t="s">
        <v>52</v>
      </c>
      <c r="G364" s="26">
        <v>45674.083506944444</v>
      </c>
      <c r="H364" s="26">
        <v>45714.396678240744</v>
      </c>
      <c r="I364" s="24" t="s">
        <v>40</v>
      </c>
      <c r="J364" s="24" t="s">
        <v>41</v>
      </c>
      <c r="K364" s="24" t="s">
        <v>60</v>
      </c>
      <c r="L364" s="24" t="s">
        <v>183</v>
      </c>
      <c r="M364" s="24" t="s">
        <v>44</v>
      </c>
      <c r="N364" s="24" t="s">
        <v>1342</v>
      </c>
      <c r="O364" s="24"/>
      <c r="P364" s="24"/>
      <c r="Q364" s="24"/>
      <c r="R364" s="23">
        <f>HYPERLINK("https://app.hubspot.com/contacts/8748051/record/0-2/28688518980", 28688518980)</f>
        <v>28688518980</v>
      </c>
      <c r="S364" s="24" t="s">
        <v>229</v>
      </c>
      <c r="T364" s="28" t="s">
        <v>230</v>
      </c>
      <c r="U364" s="24" t="s">
        <v>96</v>
      </c>
      <c r="V364" s="24"/>
      <c r="W364" s="25">
        <v>25000.0</v>
      </c>
      <c r="X364" s="29">
        <v>108.0</v>
      </c>
      <c r="Y364" s="29">
        <v>13.0</v>
      </c>
      <c r="Z364" s="30"/>
      <c r="AA364" s="30" t="s">
        <v>97</v>
      </c>
      <c r="AB364" s="31"/>
      <c r="AC364" s="30" t="s">
        <v>208</v>
      </c>
      <c r="AD364" s="30" t="s">
        <v>231</v>
      </c>
      <c r="AE364" s="30" t="s">
        <v>232</v>
      </c>
      <c r="AF364" s="30" t="s">
        <v>211</v>
      </c>
      <c r="AG364" s="27" t="str">
        <f t="shared" si="1"/>
        <v>New Logo</v>
      </c>
      <c r="AH364" s="27" t="str">
        <f t="shared" si="5"/>
        <v>Customer</v>
      </c>
      <c r="AI364" s="27" t="str">
        <f t="shared" si="6"/>
        <v>0-200</v>
      </c>
      <c r="AJ364" s="27" t="str">
        <f t="shared" si="7"/>
        <v>0-20</v>
      </c>
    </row>
    <row r="365" ht="15.75" customHeight="1">
      <c r="A365" s="23">
        <f>HYPERLINK("https://app.hubspot.com/contacts/8748051/record/0-3/32039439992", 32039439992)</f>
        <v>32039439992</v>
      </c>
      <c r="B365" s="24" t="s">
        <v>1343</v>
      </c>
      <c r="C365" s="24" t="s">
        <v>50</v>
      </c>
      <c r="D365" s="25">
        <v>1000.0</v>
      </c>
      <c r="E365" s="24" t="s">
        <v>73</v>
      </c>
      <c r="F365" s="24"/>
      <c r="G365" s="26">
        <v>45672.4152662037</v>
      </c>
      <c r="H365" s="26">
        <v>45852.41525462963</v>
      </c>
      <c r="I365" s="24" t="s">
        <v>40</v>
      </c>
      <c r="J365" s="24" t="s">
        <v>41</v>
      </c>
      <c r="K365" s="24" t="s">
        <v>42</v>
      </c>
      <c r="L365" s="24" t="s">
        <v>43</v>
      </c>
      <c r="M365" s="24" t="s">
        <v>44</v>
      </c>
      <c r="N365" s="24"/>
      <c r="O365" s="24"/>
      <c r="P365" s="24" t="s">
        <v>234</v>
      </c>
      <c r="Q365" s="24"/>
      <c r="R365" s="23">
        <f>HYPERLINK("https://app.hubspot.com/contacts/8748051/record/0-2/26389784166", 26389784166)</f>
        <v>26389784166</v>
      </c>
      <c r="S365" s="24" t="s">
        <v>1344</v>
      </c>
      <c r="T365" s="28" t="s">
        <v>1345</v>
      </c>
      <c r="U365" s="24" t="s">
        <v>47</v>
      </c>
      <c r="V365" s="24"/>
      <c r="W365" s="25"/>
      <c r="X365" s="29">
        <v>16.0</v>
      </c>
      <c r="Y365" s="29">
        <v>2.0</v>
      </c>
      <c r="Z365" s="30"/>
      <c r="AA365" s="30"/>
      <c r="AB365" s="30"/>
      <c r="AC365" s="30"/>
      <c r="AD365" s="30"/>
      <c r="AE365" s="30"/>
      <c r="AF365" s="30"/>
      <c r="AG365" s="27" t="str">
        <f t="shared" si="1"/>
        <v>New Logo</v>
      </c>
      <c r="AH365" s="27" t="str">
        <f t="shared" si="5"/>
        <v>Lead</v>
      </c>
      <c r="AI365" s="27" t="str">
        <f t="shared" si="6"/>
        <v>0-200</v>
      </c>
      <c r="AJ365" s="27" t="str">
        <f t="shared" si="7"/>
        <v>0-20</v>
      </c>
    </row>
    <row r="366" ht="15.75" customHeight="1">
      <c r="A366" s="23">
        <f>HYPERLINK("https://app.hubspot.com/contacts/8748051/record/0-3/31813940542", 31813940542)</f>
        <v>31813940542</v>
      </c>
      <c r="B366" s="24" t="s">
        <v>1346</v>
      </c>
      <c r="C366" s="24" t="s">
        <v>38</v>
      </c>
      <c r="D366" s="25">
        <v>26500.0</v>
      </c>
      <c r="E366" s="24" t="s">
        <v>73</v>
      </c>
      <c r="F366" s="24"/>
      <c r="G366" s="26">
        <v>45667.551354166666</v>
      </c>
      <c r="H366" s="26">
        <v>45847.0</v>
      </c>
      <c r="I366" s="24" t="s">
        <v>40</v>
      </c>
      <c r="J366" s="24" t="s">
        <v>41</v>
      </c>
      <c r="K366" s="24" t="s">
        <v>60</v>
      </c>
      <c r="L366" s="24" t="s">
        <v>61</v>
      </c>
      <c r="M366" s="24" t="s">
        <v>44</v>
      </c>
      <c r="N366" s="24"/>
      <c r="O366" s="27"/>
      <c r="P366" s="24" t="s">
        <v>234</v>
      </c>
      <c r="Q366" s="24"/>
      <c r="R366" s="23">
        <f>HYPERLINK("https://app.hubspot.com/contacts/8748051/record/0-2/19177080437", 19177080437)</f>
        <v>19177080437</v>
      </c>
      <c r="S366" s="24" t="s">
        <v>1347</v>
      </c>
      <c r="T366" s="28" t="s">
        <v>1348</v>
      </c>
      <c r="U366" s="24" t="s">
        <v>47</v>
      </c>
      <c r="V366" s="24"/>
      <c r="W366" s="25"/>
      <c r="X366" s="29">
        <v>471.0</v>
      </c>
      <c r="Y366" s="29">
        <v>82.0</v>
      </c>
      <c r="Z366" s="30" t="s">
        <v>108</v>
      </c>
      <c r="AA366" s="30"/>
      <c r="AB366" s="31"/>
      <c r="AC366" s="30"/>
      <c r="AD366" s="30"/>
      <c r="AE366" s="30"/>
      <c r="AF366" s="30"/>
      <c r="AG366" s="27" t="str">
        <f t="shared" si="1"/>
        <v>New Logo</v>
      </c>
      <c r="AH366" s="27" t="str">
        <f t="shared" si="5"/>
        <v>Lead</v>
      </c>
      <c r="AI366" s="27" t="str">
        <f t="shared" si="6"/>
        <v>201-500</v>
      </c>
      <c r="AJ366" s="27" t="str">
        <f t="shared" si="7"/>
        <v>51-100</v>
      </c>
    </row>
    <row r="367" ht="15.75" customHeight="1">
      <c r="A367" s="23">
        <f>HYPERLINK("https://app.hubspot.com/contacts/8748051/record/0-3/31791647307", 31791647307)</f>
        <v>31791647307</v>
      </c>
      <c r="B367" s="24" t="s">
        <v>1349</v>
      </c>
      <c r="C367" s="24" t="s">
        <v>148</v>
      </c>
      <c r="D367" s="25">
        <v>70000.0</v>
      </c>
      <c r="E367" s="24" t="s">
        <v>92</v>
      </c>
      <c r="F367" s="24" t="s">
        <v>52</v>
      </c>
      <c r="G367" s="26">
        <v>45667.49104166667</v>
      </c>
      <c r="H367" s="26">
        <v>45726.78587962963</v>
      </c>
      <c r="I367" s="24" t="s">
        <v>40</v>
      </c>
      <c r="J367" s="24" t="s">
        <v>41</v>
      </c>
      <c r="K367" s="24" t="s">
        <v>60</v>
      </c>
      <c r="L367" s="24" t="s">
        <v>178</v>
      </c>
      <c r="M367" s="24" t="s">
        <v>44</v>
      </c>
      <c r="N367" s="24" t="s">
        <v>1350</v>
      </c>
      <c r="O367" s="24"/>
      <c r="P367" s="24"/>
      <c r="Q367" s="27"/>
      <c r="R367" s="23">
        <f>HYPERLINK("https://app.hubspot.com/contacts/8748051/record/0-2/15869602939", 15869602939)</f>
        <v>15869602939</v>
      </c>
      <c r="S367" s="24" t="s">
        <v>1351</v>
      </c>
      <c r="T367" s="28" t="s">
        <v>1352</v>
      </c>
      <c r="U367" s="24" t="s">
        <v>96</v>
      </c>
      <c r="V367" s="24"/>
      <c r="W367" s="25">
        <v>70000.0</v>
      </c>
      <c r="X367" s="29">
        <v>453.0</v>
      </c>
      <c r="Y367" s="29">
        <v>89.0</v>
      </c>
      <c r="Z367" s="30"/>
      <c r="AA367" s="30" t="s">
        <v>207</v>
      </c>
      <c r="AB367" s="30"/>
      <c r="AC367" s="30" t="s">
        <v>268</v>
      </c>
      <c r="AD367" s="30" t="s">
        <v>1353</v>
      </c>
      <c r="AE367" s="30" t="s">
        <v>1354</v>
      </c>
      <c r="AF367" s="30" t="s">
        <v>554</v>
      </c>
      <c r="AG367" s="27" t="str">
        <f t="shared" si="1"/>
        <v>New Logo</v>
      </c>
      <c r="AH367" s="27" t="str">
        <f t="shared" si="5"/>
        <v>Customer</v>
      </c>
      <c r="AI367" s="27" t="str">
        <f t="shared" si="6"/>
        <v>201-500</v>
      </c>
      <c r="AJ367" s="27" t="str">
        <f t="shared" si="7"/>
        <v>51-100</v>
      </c>
    </row>
    <row r="368" ht="15.75" customHeight="1">
      <c r="A368" s="23">
        <f>HYPERLINK("https://app.hubspot.com/contacts/8748051/record/0-3/31575517542", 31575517542)</f>
        <v>31575517542</v>
      </c>
      <c r="B368" s="24" t="s">
        <v>1355</v>
      </c>
      <c r="C368" s="24" t="s">
        <v>1009</v>
      </c>
      <c r="D368" s="25">
        <v>500.0</v>
      </c>
      <c r="E368" s="24" t="s">
        <v>73</v>
      </c>
      <c r="F368" s="24"/>
      <c r="G368" s="26">
        <v>45663.27276620371</v>
      </c>
      <c r="H368" s="26">
        <v>45753.27275462963</v>
      </c>
      <c r="I368" s="24" t="s">
        <v>40</v>
      </c>
      <c r="J368" s="24" t="s">
        <v>41</v>
      </c>
      <c r="K368" s="24" t="s">
        <v>42</v>
      </c>
      <c r="L368" s="24" t="s">
        <v>43</v>
      </c>
      <c r="M368" s="24" t="s">
        <v>102</v>
      </c>
      <c r="N368" s="24"/>
      <c r="O368" s="24"/>
      <c r="P368" s="24" t="s">
        <v>75</v>
      </c>
      <c r="Q368" s="24"/>
      <c r="R368" s="23">
        <f>HYPERLINK("https://app.hubspot.com/contacts/8748051/record/0-2/28152532135", 28152532135)</f>
        <v>28152532135</v>
      </c>
      <c r="S368" s="24" t="s">
        <v>1356</v>
      </c>
      <c r="T368" s="24" t="s">
        <v>1357</v>
      </c>
      <c r="U368" s="24" t="s">
        <v>47</v>
      </c>
      <c r="V368" s="24"/>
      <c r="W368" s="25"/>
      <c r="X368" s="29">
        <v>23.0</v>
      </c>
      <c r="Y368" s="29">
        <v>1.0</v>
      </c>
      <c r="Z368" s="30"/>
      <c r="AA368" s="30"/>
      <c r="AB368" s="30"/>
      <c r="AC368" s="30"/>
      <c r="AD368" s="30"/>
      <c r="AE368" s="30"/>
      <c r="AF368" s="30"/>
      <c r="AG368" s="27" t="str">
        <f t="shared" si="1"/>
        <v>New Logo</v>
      </c>
      <c r="AH368" s="27" t="str">
        <f t="shared" si="5"/>
        <v>Lead</v>
      </c>
      <c r="AI368" s="27" t="str">
        <f t="shared" si="6"/>
        <v>0-200</v>
      </c>
      <c r="AJ368" s="27" t="str">
        <f t="shared" si="7"/>
        <v>0-20</v>
      </c>
    </row>
    <row r="369" ht="15.75" customHeight="1">
      <c r="A369" s="23">
        <f>HYPERLINK("https://app.hubspot.com/contacts/8748051/record/0-3/31422825903", 31422825903)</f>
        <v>31422825903</v>
      </c>
      <c r="B369" s="24" t="s">
        <v>1358</v>
      </c>
      <c r="C369" s="24" t="s">
        <v>1009</v>
      </c>
      <c r="D369" s="25">
        <v>72500.0</v>
      </c>
      <c r="E369" s="24" t="s">
        <v>73</v>
      </c>
      <c r="F369" s="24" t="s">
        <v>52</v>
      </c>
      <c r="G369" s="26">
        <v>45660.49454861111</v>
      </c>
      <c r="H369" s="26">
        <v>45869.270520833335</v>
      </c>
      <c r="I369" s="24" t="s">
        <v>40</v>
      </c>
      <c r="J369" s="24" t="s">
        <v>53</v>
      </c>
      <c r="K369" s="24" t="s">
        <v>1359</v>
      </c>
      <c r="L369" s="24" t="s">
        <v>178</v>
      </c>
      <c r="M369" s="24" t="s">
        <v>102</v>
      </c>
      <c r="N369" s="27"/>
      <c r="O369" s="24"/>
      <c r="P369" s="24" t="s">
        <v>234</v>
      </c>
      <c r="Q369" s="24"/>
      <c r="R369" s="23">
        <f>HYPERLINK("https://app.hubspot.com/contacts/8748051/record/0-2/6266336884", 6266336884)</f>
        <v>6266336884</v>
      </c>
      <c r="S369" s="24" t="s">
        <v>1360</v>
      </c>
      <c r="T369" s="28" t="s">
        <v>1361</v>
      </c>
      <c r="U369" s="24" t="s">
        <v>47</v>
      </c>
      <c r="V369" s="24"/>
      <c r="W369" s="25"/>
      <c r="X369" s="29">
        <v>1182.0</v>
      </c>
      <c r="Y369" s="29">
        <v>143.0</v>
      </c>
      <c r="Z369" s="30" t="s">
        <v>108</v>
      </c>
      <c r="AA369" s="30"/>
      <c r="AB369" s="31"/>
      <c r="AC369" s="31"/>
      <c r="AD369" s="30"/>
      <c r="AE369" s="31"/>
      <c r="AF369" s="30"/>
      <c r="AG369" s="27" t="str">
        <f t="shared" si="1"/>
        <v>New Logo</v>
      </c>
      <c r="AH369" s="27" t="str">
        <f t="shared" si="5"/>
        <v>Lead</v>
      </c>
      <c r="AI369" s="27" t="str">
        <f t="shared" si="6"/>
        <v>1001-5000</v>
      </c>
      <c r="AJ369" s="27" t="str">
        <f t="shared" si="7"/>
        <v>101-500</v>
      </c>
    </row>
    <row r="370" ht="15.75" customHeight="1">
      <c r="A370" s="23">
        <f>HYPERLINK("https://app.hubspot.com/contacts/8748051/record/0-3/31312600139", 31312600139)</f>
        <v>31312600139</v>
      </c>
      <c r="B370" s="24" t="s">
        <v>1362</v>
      </c>
      <c r="C370" s="24" t="s">
        <v>1009</v>
      </c>
      <c r="D370" s="25">
        <v>500.0</v>
      </c>
      <c r="E370" s="24" t="s">
        <v>73</v>
      </c>
      <c r="F370" s="24"/>
      <c r="G370" s="26">
        <v>45659.40079861111</v>
      </c>
      <c r="H370" s="26">
        <v>45749.40078703704</v>
      </c>
      <c r="I370" s="24" t="s">
        <v>40</v>
      </c>
      <c r="J370" s="24" t="s">
        <v>41</v>
      </c>
      <c r="K370" s="24" t="s">
        <v>42</v>
      </c>
      <c r="L370" s="24" t="s">
        <v>43</v>
      </c>
      <c r="M370" s="24" t="s">
        <v>44</v>
      </c>
      <c r="N370" s="27"/>
      <c r="O370" s="24"/>
      <c r="P370" s="24" t="s">
        <v>234</v>
      </c>
      <c r="Q370" s="24"/>
      <c r="R370" s="23">
        <f>HYPERLINK("https://app.hubspot.com/contacts/8748051/record/0-2/27898083762", 27898083762)</f>
        <v>27898083762</v>
      </c>
      <c r="S370" s="24" t="s">
        <v>1363</v>
      </c>
      <c r="T370" s="28" t="s">
        <v>1364</v>
      </c>
      <c r="U370" s="24" t="s">
        <v>47</v>
      </c>
      <c r="V370" s="24"/>
      <c r="W370" s="25"/>
      <c r="X370" s="29">
        <v>4.0</v>
      </c>
      <c r="Y370" s="29">
        <v>1.0</v>
      </c>
      <c r="Z370" s="30"/>
      <c r="AA370" s="30"/>
      <c r="AB370" s="30"/>
      <c r="AC370" s="30"/>
      <c r="AD370" s="30"/>
      <c r="AE370" s="30"/>
      <c r="AF370" s="30"/>
      <c r="AG370" s="27" t="str">
        <f t="shared" si="1"/>
        <v>New Logo</v>
      </c>
      <c r="AH370" s="27" t="str">
        <f t="shared" si="5"/>
        <v>Lead</v>
      </c>
      <c r="AI370" s="27" t="str">
        <f t="shared" si="6"/>
        <v>0-200</v>
      </c>
      <c r="AJ370" s="27" t="str">
        <f t="shared" si="7"/>
        <v>0-20</v>
      </c>
    </row>
    <row r="371" ht="15.75" customHeight="1">
      <c r="A371" s="23">
        <f>HYPERLINK("https://app.hubspot.com/contacts/8748051/record/0-3/31267233305", 31267233305)</f>
        <v>31267233305</v>
      </c>
      <c r="B371" s="24" t="s">
        <v>1365</v>
      </c>
      <c r="C371" s="24" t="s">
        <v>1009</v>
      </c>
      <c r="D371" s="25">
        <v>15000.0</v>
      </c>
      <c r="E371" s="24" t="s">
        <v>149</v>
      </c>
      <c r="F371" s="24" t="s">
        <v>52</v>
      </c>
      <c r="G371" s="26">
        <v>45659.14959490741</v>
      </c>
      <c r="H371" s="26">
        <v>45688.53763888889</v>
      </c>
      <c r="I371" s="24" t="s">
        <v>40</v>
      </c>
      <c r="J371" s="24" t="s">
        <v>41</v>
      </c>
      <c r="K371" s="24" t="s">
        <v>42</v>
      </c>
      <c r="L371" s="24" t="s">
        <v>43</v>
      </c>
      <c r="M371" s="24" t="s">
        <v>74</v>
      </c>
      <c r="N371" s="24"/>
      <c r="O371" s="24" t="s">
        <v>1366</v>
      </c>
      <c r="P371" s="24"/>
      <c r="Q371" s="24"/>
      <c r="R371" s="23">
        <f>HYPERLINK("https://app.hubspot.com/contacts/8748051/record/0-2/8142790700", 8142790700)</f>
        <v>8142790700</v>
      </c>
      <c r="S371" s="24" t="s">
        <v>1367</v>
      </c>
      <c r="T371" s="28" t="s">
        <v>1368</v>
      </c>
      <c r="U371" s="24" t="s">
        <v>47</v>
      </c>
      <c r="V371" s="24"/>
      <c r="W371" s="25"/>
      <c r="X371" s="29">
        <v>167.0</v>
      </c>
      <c r="Y371" s="29">
        <v>29.0</v>
      </c>
      <c r="Z371" s="30"/>
      <c r="AA371" s="30"/>
      <c r="AB371" s="30"/>
      <c r="AC371" s="30"/>
      <c r="AD371" s="30"/>
      <c r="AE371" s="30"/>
      <c r="AF371" s="30"/>
      <c r="AG371" s="27" t="str">
        <f t="shared" si="1"/>
        <v>New Logo</v>
      </c>
      <c r="AH371" s="27" t="str">
        <f t="shared" si="5"/>
        <v>Lead</v>
      </c>
      <c r="AI371" s="27" t="str">
        <f t="shared" si="6"/>
        <v>0-200</v>
      </c>
      <c r="AJ371" s="27" t="str">
        <f t="shared" si="7"/>
        <v>21-50</v>
      </c>
    </row>
    <row r="372" ht="15.75" customHeight="1">
      <c r="A372" s="23">
        <f>HYPERLINK("https://app.hubspot.com/contacts/8748051/record/0-3/43995998260", 43995998260)</f>
        <v>43995998260</v>
      </c>
      <c r="B372" s="24" t="s">
        <v>1369</v>
      </c>
      <c r="C372" s="24" t="s">
        <v>159</v>
      </c>
      <c r="D372" s="25">
        <v>1167.0</v>
      </c>
      <c r="E372" s="24" t="s">
        <v>92</v>
      </c>
      <c r="F372" s="24"/>
      <c r="G372" s="26">
        <v>45658.14996527778</v>
      </c>
      <c r="H372" s="26">
        <v>45658.149988425925</v>
      </c>
      <c r="I372" s="24" t="s">
        <v>40</v>
      </c>
      <c r="J372" s="24" t="s">
        <v>182</v>
      </c>
      <c r="K372" s="24" t="s">
        <v>161</v>
      </c>
      <c r="L372" s="24" t="s">
        <v>162</v>
      </c>
      <c r="M372" s="24" t="s">
        <v>44</v>
      </c>
      <c r="N372" s="24"/>
      <c r="O372" s="24"/>
      <c r="P372" s="27"/>
      <c r="Q372" s="24"/>
      <c r="R372" s="23">
        <f>HYPERLINK("https://app.hubspot.com/contacts/8748051/record/0-2/16734679839", 16734679839)</f>
        <v>16734679839</v>
      </c>
      <c r="S372" s="24" t="s">
        <v>466</v>
      </c>
      <c r="T372" s="28" t="s">
        <v>467</v>
      </c>
      <c r="U372" s="24" t="s">
        <v>96</v>
      </c>
      <c r="V372" s="24"/>
      <c r="W372" s="25">
        <v>29912.0</v>
      </c>
      <c r="X372" s="29">
        <v>280.0</v>
      </c>
      <c r="Y372" s="29">
        <v>15.0</v>
      </c>
      <c r="Z372" s="30"/>
      <c r="AA372" s="30" t="s">
        <v>349</v>
      </c>
      <c r="AB372" s="30" t="s">
        <v>207</v>
      </c>
      <c r="AC372" s="30" t="s">
        <v>208</v>
      </c>
      <c r="AD372" s="30" t="s">
        <v>462</v>
      </c>
      <c r="AE372" s="30" t="s">
        <v>468</v>
      </c>
      <c r="AF372" s="30" t="s">
        <v>169</v>
      </c>
      <c r="AG372" s="27" t="str">
        <f t="shared" si="1"/>
        <v>Upsell</v>
      </c>
      <c r="AH372" s="27" t="str">
        <f t="shared" si="5"/>
        <v>Customer</v>
      </c>
      <c r="AI372" s="27" t="str">
        <f t="shared" si="6"/>
        <v>201-500</v>
      </c>
      <c r="AJ372" s="27" t="str">
        <f t="shared" si="7"/>
        <v>0-20</v>
      </c>
    </row>
    <row r="373" ht="15.75" customHeight="1">
      <c r="A373" s="23">
        <f>HYPERLINK("https://app.hubspot.com/contacts/8748051/record/0-3/31244349587", 31244349587)</f>
        <v>31244349587</v>
      </c>
      <c r="B373" s="24" t="s">
        <v>1370</v>
      </c>
      <c r="C373" s="24" t="s">
        <v>50</v>
      </c>
      <c r="D373" s="25">
        <v>98490.0</v>
      </c>
      <c r="E373" s="24" t="s">
        <v>92</v>
      </c>
      <c r="F373" s="24" t="s">
        <v>52</v>
      </c>
      <c r="G373" s="26">
        <v>45657.46230324074</v>
      </c>
      <c r="H373" s="26">
        <v>45780.44943287037</v>
      </c>
      <c r="I373" s="24" t="s">
        <v>40</v>
      </c>
      <c r="J373" s="24" t="s">
        <v>41</v>
      </c>
      <c r="K373" s="24" t="s">
        <v>42</v>
      </c>
      <c r="L373" s="24" t="s">
        <v>43</v>
      </c>
      <c r="M373" s="24" t="s">
        <v>44</v>
      </c>
      <c r="N373" s="24" t="s">
        <v>1371</v>
      </c>
      <c r="O373" s="27"/>
      <c r="P373" s="24"/>
      <c r="Q373" s="24"/>
      <c r="R373" s="23">
        <f>HYPERLINK("https://app.hubspot.com/contacts/8748051/record/0-2/7589031515", 7589031515)</f>
        <v>7589031515</v>
      </c>
      <c r="S373" s="24" t="s">
        <v>1372</v>
      </c>
      <c r="T373" s="28" t="s">
        <v>1373</v>
      </c>
      <c r="U373" s="24">
        <v>3.4564763E7</v>
      </c>
      <c r="V373" s="35">
        <v>45938.0</v>
      </c>
      <c r="W373" s="25">
        <v>98490.0</v>
      </c>
      <c r="X373" s="29">
        <v>475.0</v>
      </c>
      <c r="Y373" s="29">
        <v>74.0</v>
      </c>
      <c r="Z373" s="30"/>
      <c r="AA373" s="30" t="s">
        <v>207</v>
      </c>
      <c r="AB373" s="30"/>
      <c r="AC373" s="30"/>
      <c r="AD373" s="30" t="s">
        <v>1374</v>
      </c>
      <c r="AE373" s="30"/>
      <c r="AF373" s="30" t="s">
        <v>169</v>
      </c>
      <c r="AG373" s="27" t="str">
        <f t="shared" si="1"/>
        <v>New Logo</v>
      </c>
      <c r="AH373" s="27" t="str">
        <f t="shared" si="5"/>
        <v>Churn</v>
      </c>
      <c r="AI373" s="27" t="str">
        <f t="shared" si="6"/>
        <v>201-500</v>
      </c>
      <c r="AJ373" s="27" t="str">
        <f t="shared" si="7"/>
        <v>51-100</v>
      </c>
    </row>
    <row r="374" ht="15.75" customHeight="1">
      <c r="A374" s="23">
        <f>HYPERLINK("https://app.hubspot.com/contacts/8748051/record/0-3/31232285004", 31232285004)</f>
        <v>31232285004</v>
      </c>
      <c r="B374" s="24" t="s">
        <v>1375</v>
      </c>
      <c r="C374" s="24" t="s">
        <v>1228</v>
      </c>
      <c r="D374" s="25">
        <v>4000.0</v>
      </c>
      <c r="E374" s="24" t="s">
        <v>92</v>
      </c>
      <c r="F374" s="24"/>
      <c r="G374" s="26">
        <v>45657.433020833334</v>
      </c>
      <c r="H374" s="26">
        <v>45657.43357638889</v>
      </c>
      <c r="I374" s="24" t="s">
        <v>40</v>
      </c>
      <c r="J374" s="24" t="s">
        <v>41</v>
      </c>
      <c r="K374" s="24" t="s">
        <v>60</v>
      </c>
      <c r="L374" s="24" t="s">
        <v>183</v>
      </c>
      <c r="M374" s="24" t="s">
        <v>102</v>
      </c>
      <c r="N374" s="24" t="s">
        <v>1376</v>
      </c>
      <c r="O374" s="24"/>
      <c r="P374" s="24"/>
      <c r="Q374" s="24"/>
      <c r="R374" s="23">
        <f>HYPERLINK("https://app.hubspot.com/contacts/8748051/record/0-2/9132283033", 9132283033)</f>
        <v>9132283033</v>
      </c>
      <c r="S374" s="24" t="s">
        <v>225</v>
      </c>
      <c r="T374" s="28" t="s">
        <v>226</v>
      </c>
      <c r="U374" s="24" t="s">
        <v>96</v>
      </c>
      <c r="V374" s="24"/>
      <c r="W374" s="25">
        <v>7998.0</v>
      </c>
      <c r="X374" s="29">
        <v>1573.0</v>
      </c>
      <c r="Y374" s="29">
        <v>43.0</v>
      </c>
      <c r="Z374" s="30"/>
      <c r="AA374" s="30" t="s">
        <v>220</v>
      </c>
      <c r="AB374" s="31"/>
      <c r="AC374" s="31"/>
      <c r="AD374" s="30" t="s">
        <v>221</v>
      </c>
      <c r="AE374" s="30" t="s">
        <v>227</v>
      </c>
      <c r="AF374" s="30" t="s">
        <v>169</v>
      </c>
      <c r="AG374" s="27" t="str">
        <f t="shared" si="1"/>
        <v>New Logo</v>
      </c>
      <c r="AH374" s="27" t="str">
        <f t="shared" si="5"/>
        <v>Customer</v>
      </c>
      <c r="AI374" s="27" t="str">
        <f t="shared" si="6"/>
        <v>1001-5000</v>
      </c>
      <c r="AJ374" s="27" t="str">
        <f t="shared" si="7"/>
        <v>21-50</v>
      </c>
    </row>
    <row r="375" ht="15.75" customHeight="1">
      <c r="A375" s="23">
        <f>HYPERLINK("https://app.hubspot.com/contacts/8748051/record/0-3/31177528202", 31177528202)</f>
        <v>31177528202</v>
      </c>
      <c r="B375" s="24" t="s">
        <v>1377</v>
      </c>
      <c r="C375" s="24" t="s">
        <v>148</v>
      </c>
      <c r="D375" s="25">
        <v>500.0</v>
      </c>
      <c r="E375" s="24" t="s">
        <v>127</v>
      </c>
      <c r="F375" s="24"/>
      <c r="G375" s="26">
        <v>45655.97503472222</v>
      </c>
      <c r="H375" s="26">
        <v>45745.975023148145</v>
      </c>
      <c r="I375" s="24" t="s">
        <v>40</v>
      </c>
      <c r="J375" s="24" t="s">
        <v>41</v>
      </c>
      <c r="K375" s="24" t="s">
        <v>42</v>
      </c>
      <c r="L375" s="24" t="s">
        <v>43</v>
      </c>
      <c r="M375" s="24" t="s">
        <v>44</v>
      </c>
      <c r="N375" s="27"/>
      <c r="O375" s="27"/>
      <c r="P375" s="24"/>
      <c r="Q375" s="24" t="s">
        <v>144</v>
      </c>
      <c r="R375" s="23">
        <f>HYPERLINK("https://app.hubspot.com/contacts/8748051/record/0-2/27390856822", 27390856822)</f>
        <v>27390856822</v>
      </c>
      <c r="S375" s="24" t="s">
        <v>1378</v>
      </c>
      <c r="T375" s="28" t="s">
        <v>1379</v>
      </c>
      <c r="U375" s="24" t="s">
        <v>47</v>
      </c>
      <c r="V375" s="24"/>
      <c r="W375" s="32"/>
      <c r="X375" s="29">
        <v>1.0</v>
      </c>
      <c r="Y375" s="29">
        <v>1.0</v>
      </c>
      <c r="Z375" s="30"/>
      <c r="AA375" s="31"/>
      <c r="AB375" s="31"/>
      <c r="AC375" s="31"/>
      <c r="AD375" s="31"/>
      <c r="AE375" s="31"/>
      <c r="AF375" s="31"/>
      <c r="AG375" s="27" t="str">
        <f t="shared" si="1"/>
        <v>New Logo</v>
      </c>
      <c r="AH375" s="27" t="str">
        <f t="shared" si="5"/>
        <v>Lead</v>
      </c>
      <c r="AI375" s="27" t="str">
        <f t="shared" si="6"/>
        <v>0-200</v>
      </c>
      <c r="AJ375" s="27" t="str">
        <f t="shared" si="7"/>
        <v>0-20</v>
      </c>
    </row>
    <row r="376" ht="15.75" customHeight="1">
      <c r="A376" s="23">
        <f>HYPERLINK("https://app.hubspot.com/contacts/8748051/record/0-3/31050406231", 31050406231)</f>
        <v>31050406231</v>
      </c>
      <c r="B376" s="24" t="s">
        <v>1224</v>
      </c>
      <c r="C376" s="24" t="s">
        <v>38</v>
      </c>
      <c r="D376" s="25">
        <v>27000.0</v>
      </c>
      <c r="E376" s="24" t="s">
        <v>73</v>
      </c>
      <c r="F376" s="24"/>
      <c r="G376" s="26">
        <v>45652.59229166667</v>
      </c>
      <c r="H376" s="26">
        <v>45742.59228009259</v>
      </c>
      <c r="I376" s="24" t="s">
        <v>40</v>
      </c>
      <c r="J376" s="24" t="s">
        <v>41</v>
      </c>
      <c r="K376" s="24" t="s">
        <v>42</v>
      </c>
      <c r="L376" s="24" t="s">
        <v>43</v>
      </c>
      <c r="M376" s="24" t="s">
        <v>44</v>
      </c>
      <c r="N376" s="24"/>
      <c r="O376" s="27"/>
      <c r="P376" s="24" t="s">
        <v>234</v>
      </c>
      <c r="Q376" s="24"/>
      <c r="R376" s="23">
        <f>HYPERLINK("https://app.hubspot.com/contacts/8748051/record/0-2/8644546840", 8644546840)</f>
        <v>8644546840</v>
      </c>
      <c r="S376" s="24" t="s">
        <v>1225</v>
      </c>
      <c r="T376" s="28" t="s">
        <v>1226</v>
      </c>
      <c r="U376" s="24" t="s">
        <v>47</v>
      </c>
      <c r="V376" s="24"/>
      <c r="W376" s="25"/>
      <c r="X376" s="29">
        <v>274.0</v>
      </c>
      <c r="Y376" s="29">
        <v>61.0</v>
      </c>
      <c r="Z376" s="30" t="s">
        <v>71</v>
      </c>
      <c r="AA376" s="30"/>
      <c r="AB376" s="31"/>
      <c r="AC376" s="31"/>
      <c r="AD376" s="30"/>
      <c r="AE376" s="30"/>
      <c r="AF376" s="30"/>
      <c r="AG376" s="27" t="str">
        <f t="shared" si="1"/>
        <v>New Logo</v>
      </c>
      <c r="AH376" s="27" t="str">
        <f t="shared" si="5"/>
        <v>Lead</v>
      </c>
      <c r="AI376" s="27" t="str">
        <f t="shared" si="6"/>
        <v>201-500</v>
      </c>
      <c r="AJ376" s="27" t="str">
        <f t="shared" si="7"/>
        <v>51-100</v>
      </c>
    </row>
    <row r="377" ht="15.75" customHeight="1">
      <c r="A377" s="23">
        <f>HYPERLINK("https://app.hubspot.com/contacts/8748051/record/0-3/30842266738", 30842266738)</f>
        <v>30842266738</v>
      </c>
      <c r="B377" s="24" t="s">
        <v>1380</v>
      </c>
      <c r="C377" s="24" t="s">
        <v>1009</v>
      </c>
      <c r="D377" s="25">
        <v>10000.0</v>
      </c>
      <c r="E377" s="24" t="s">
        <v>73</v>
      </c>
      <c r="F377" s="24"/>
      <c r="G377" s="26">
        <v>45646.519224537034</v>
      </c>
      <c r="H377" s="26">
        <v>45736.519212962965</v>
      </c>
      <c r="I377" s="24" t="s">
        <v>40</v>
      </c>
      <c r="J377" s="24" t="s">
        <v>41</v>
      </c>
      <c r="K377" s="24" t="s">
        <v>42</v>
      </c>
      <c r="L377" s="24" t="s">
        <v>43</v>
      </c>
      <c r="M377" s="24" t="s">
        <v>44</v>
      </c>
      <c r="N377" s="24"/>
      <c r="O377" s="27"/>
      <c r="P377" s="24" t="s">
        <v>234</v>
      </c>
      <c r="Q377" s="24"/>
      <c r="R377" s="23">
        <f>HYPERLINK("https://app.hubspot.com/contacts/8748051/record/0-2/9238290097", 9238290097)</f>
        <v>9238290097</v>
      </c>
      <c r="S377" s="24" t="s">
        <v>1381</v>
      </c>
      <c r="T377" s="28" t="s">
        <v>1382</v>
      </c>
      <c r="U377" s="24" t="s">
        <v>47</v>
      </c>
      <c r="V377" s="24"/>
      <c r="W377" s="25"/>
      <c r="X377" s="29">
        <v>180.0</v>
      </c>
      <c r="Y377" s="29">
        <v>21.0</v>
      </c>
      <c r="Z377" s="30"/>
      <c r="AA377" s="30"/>
      <c r="AB377" s="30"/>
      <c r="AC377" s="30"/>
      <c r="AD377" s="30"/>
      <c r="AE377" s="31"/>
      <c r="AF377" s="30"/>
      <c r="AG377" s="27" t="str">
        <f t="shared" si="1"/>
        <v>New Logo</v>
      </c>
      <c r="AH377" s="27" t="str">
        <f t="shared" si="5"/>
        <v>Lead</v>
      </c>
      <c r="AI377" s="27" t="str">
        <f t="shared" si="6"/>
        <v>0-200</v>
      </c>
      <c r="AJ377" s="27" t="str">
        <f t="shared" si="7"/>
        <v>21-50</v>
      </c>
    </row>
    <row r="378" ht="15.75" customHeight="1">
      <c r="A378" s="23">
        <f>HYPERLINK("https://app.hubspot.com/contacts/8748051/record/0-3/31009230392", 31009230392)</f>
        <v>31009230392</v>
      </c>
      <c r="B378" s="24" t="s">
        <v>1383</v>
      </c>
      <c r="C378" s="24" t="s">
        <v>50</v>
      </c>
      <c r="D378" s="25">
        <v>35000.0</v>
      </c>
      <c r="E378" s="24" t="s">
        <v>127</v>
      </c>
      <c r="F378" s="24" t="s">
        <v>52</v>
      </c>
      <c r="G378" s="26">
        <v>45646.51849537037</v>
      </c>
      <c r="H378" s="26">
        <v>45838.40613425926</v>
      </c>
      <c r="I378" s="24" t="s">
        <v>40</v>
      </c>
      <c r="J378" s="24" t="s">
        <v>41</v>
      </c>
      <c r="K378" s="24" t="s">
        <v>42</v>
      </c>
      <c r="L378" s="24" t="s">
        <v>43</v>
      </c>
      <c r="M378" s="24" t="s">
        <v>44</v>
      </c>
      <c r="N378" s="24"/>
      <c r="O378" s="24"/>
      <c r="P378" s="24"/>
      <c r="Q378" s="24" t="s">
        <v>128</v>
      </c>
      <c r="R378" s="23">
        <f>HYPERLINK("https://app.hubspot.com/contacts/8748051/record/0-2/30002652076", 30002652076)</f>
        <v>30002652076</v>
      </c>
      <c r="S378" s="24" t="s">
        <v>1384</v>
      </c>
      <c r="T378" s="28" t="s">
        <v>1385</v>
      </c>
      <c r="U378" s="24" t="s">
        <v>47</v>
      </c>
      <c r="V378" s="24"/>
      <c r="W378" s="25"/>
      <c r="X378" s="29">
        <v>135.0</v>
      </c>
      <c r="Y378" s="29">
        <v>38.0</v>
      </c>
      <c r="Z378" s="30"/>
      <c r="AA378" s="30"/>
      <c r="AB378" s="30"/>
      <c r="AC378" s="31"/>
      <c r="AD378" s="30"/>
      <c r="AE378" s="30"/>
      <c r="AF378" s="30"/>
      <c r="AG378" s="27" t="str">
        <f t="shared" si="1"/>
        <v>New Logo</v>
      </c>
      <c r="AH378" s="27" t="str">
        <f t="shared" si="5"/>
        <v>Lead</v>
      </c>
      <c r="AI378" s="27" t="str">
        <f t="shared" si="6"/>
        <v>0-200</v>
      </c>
      <c r="AJ378" s="27" t="str">
        <f t="shared" si="7"/>
        <v>21-50</v>
      </c>
    </row>
    <row r="379" ht="15.75" customHeight="1">
      <c r="A379" s="23">
        <f>HYPERLINK("https://app.hubspot.com/contacts/8748051/record/0-3/30846906224", 30846906224)</f>
        <v>30846906224</v>
      </c>
      <c r="B379" s="24" t="s">
        <v>1386</v>
      </c>
      <c r="C379" s="24" t="s">
        <v>1009</v>
      </c>
      <c r="D379" s="25">
        <v>15000.0</v>
      </c>
      <c r="E379" s="24" t="s">
        <v>127</v>
      </c>
      <c r="F379" s="24"/>
      <c r="G379" s="26">
        <v>45646.518009259256</v>
      </c>
      <c r="H379" s="26">
        <v>45838.34292824074</v>
      </c>
      <c r="I379" s="24" t="s">
        <v>40</v>
      </c>
      <c r="J379" s="24" t="s">
        <v>41</v>
      </c>
      <c r="K379" s="24" t="s">
        <v>42</v>
      </c>
      <c r="L379" s="24" t="s">
        <v>43</v>
      </c>
      <c r="M379" s="24" t="s">
        <v>102</v>
      </c>
      <c r="N379" s="27"/>
      <c r="O379" s="24"/>
      <c r="P379" s="24"/>
      <c r="Q379" s="24" t="s">
        <v>144</v>
      </c>
      <c r="R379" s="23">
        <f>HYPERLINK("https://app.hubspot.com/contacts/8748051/record/0-2/19176332210", 19176332210)</f>
        <v>19176332210</v>
      </c>
      <c r="S379" s="24" t="s">
        <v>1387</v>
      </c>
      <c r="T379" s="28" t="s">
        <v>1388</v>
      </c>
      <c r="U379" s="24" t="s">
        <v>47</v>
      </c>
      <c r="V379" s="24"/>
      <c r="W379" s="32"/>
      <c r="X379" s="29">
        <v>532.0</v>
      </c>
      <c r="Y379" s="29">
        <v>62.0</v>
      </c>
      <c r="Z379" s="30" t="s">
        <v>108</v>
      </c>
      <c r="AA379" s="31"/>
      <c r="AB379" s="31"/>
      <c r="AC379" s="31"/>
      <c r="AD379" s="31"/>
      <c r="AE379" s="31"/>
      <c r="AF379" s="31"/>
      <c r="AG379" s="27" t="str">
        <f t="shared" si="1"/>
        <v>New Logo</v>
      </c>
      <c r="AH379" s="27" t="str">
        <f t="shared" si="5"/>
        <v>Lead</v>
      </c>
      <c r="AI379" s="27" t="str">
        <f t="shared" si="6"/>
        <v>501-1000</v>
      </c>
      <c r="AJ379" s="27" t="str">
        <f t="shared" si="7"/>
        <v>51-100</v>
      </c>
    </row>
    <row r="380" ht="15.75" customHeight="1">
      <c r="A380" s="23">
        <f>HYPERLINK("https://app.hubspot.com/contacts/8748051/record/0-3/30748658958", 30748658958)</f>
        <v>30748658958</v>
      </c>
      <c r="B380" s="24" t="s">
        <v>1389</v>
      </c>
      <c r="C380" s="24" t="s">
        <v>38</v>
      </c>
      <c r="D380" s="25">
        <v>23500.0</v>
      </c>
      <c r="E380" s="24" t="s">
        <v>127</v>
      </c>
      <c r="F380" s="24"/>
      <c r="G380" s="26">
        <v>45644.668703703705</v>
      </c>
      <c r="H380" s="26">
        <v>45826.709710648145</v>
      </c>
      <c r="I380" s="24" t="s">
        <v>40</v>
      </c>
      <c r="J380" s="24" t="s">
        <v>41</v>
      </c>
      <c r="K380" s="24" t="s">
        <v>60</v>
      </c>
      <c r="L380" s="24" t="s">
        <v>178</v>
      </c>
      <c r="M380" s="24" t="s">
        <v>44</v>
      </c>
      <c r="N380" s="24"/>
      <c r="O380" s="24"/>
      <c r="P380" s="24"/>
      <c r="Q380" s="24" t="s">
        <v>503</v>
      </c>
      <c r="R380" s="23">
        <f>HYPERLINK("https://app.hubspot.com/contacts/8748051/record/0-2/15267965767", 15267965767)</f>
        <v>15267965767</v>
      </c>
      <c r="S380" s="24" t="s">
        <v>1390</v>
      </c>
      <c r="T380" s="28" t="s">
        <v>1391</v>
      </c>
      <c r="U380" s="24" t="s">
        <v>47</v>
      </c>
      <c r="V380" s="24"/>
      <c r="W380" s="25"/>
      <c r="X380" s="29">
        <v>615.0</v>
      </c>
      <c r="Y380" s="29">
        <v>75.0</v>
      </c>
      <c r="Z380" s="30" t="s">
        <v>108</v>
      </c>
      <c r="AA380" s="30"/>
      <c r="AB380" s="31"/>
      <c r="AC380" s="31"/>
      <c r="AD380" s="30"/>
      <c r="AE380" s="31"/>
      <c r="AF380" s="30"/>
      <c r="AG380" s="27" t="str">
        <f t="shared" si="1"/>
        <v>New Logo</v>
      </c>
      <c r="AH380" s="27" t="str">
        <f t="shared" si="5"/>
        <v>Lead</v>
      </c>
      <c r="AI380" s="27" t="str">
        <f t="shared" si="6"/>
        <v>501-1000</v>
      </c>
      <c r="AJ380" s="27" t="str">
        <f t="shared" si="7"/>
        <v>51-100</v>
      </c>
    </row>
    <row r="381" ht="15.75" customHeight="1">
      <c r="A381" s="23">
        <f>HYPERLINK("https://app.hubspot.com/contacts/8748051/record/0-3/30737333406", 30737333406)</f>
        <v>30737333406</v>
      </c>
      <c r="B381" s="24" t="s">
        <v>1392</v>
      </c>
      <c r="C381" s="24" t="s">
        <v>148</v>
      </c>
      <c r="D381" s="25">
        <v>117000.0</v>
      </c>
      <c r="E381" s="24" t="s">
        <v>149</v>
      </c>
      <c r="F381" s="24" t="s">
        <v>52</v>
      </c>
      <c r="G381" s="26">
        <v>45644.44079861111</v>
      </c>
      <c r="H381" s="26">
        <v>45812.39534722222</v>
      </c>
      <c r="I381" s="24" t="s">
        <v>40</v>
      </c>
      <c r="J381" s="24" t="s">
        <v>41</v>
      </c>
      <c r="K381" s="24" t="s">
        <v>42</v>
      </c>
      <c r="L381" s="24" t="s">
        <v>43</v>
      </c>
      <c r="M381" s="24" t="s">
        <v>44</v>
      </c>
      <c r="N381" s="27"/>
      <c r="O381" s="24" t="s">
        <v>1393</v>
      </c>
      <c r="P381" s="24"/>
      <c r="Q381" s="24"/>
      <c r="R381" s="23">
        <f>HYPERLINK("https://app.hubspot.com/contacts/8748051/record/0-2/27308474633", 27308474633)</f>
        <v>27308474633</v>
      </c>
      <c r="S381" s="24" t="s">
        <v>1394</v>
      </c>
      <c r="T381" s="28" t="s">
        <v>1395</v>
      </c>
      <c r="U381" s="24" t="s">
        <v>47</v>
      </c>
      <c r="V381" s="24"/>
      <c r="W381" s="25"/>
      <c r="X381" s="29">
        <v>321.0</v>
      </c>
      <c r="Y381" s="29">
        <v>76.0</v>
      </c>
      <c r="Z381" s="30"/>
      <c r="AA381" s="30"/>
      <c r="AB381" s="31"/>
      <c r="AC381" s="31"/>
      <c r="AD381" s="30"/>
      <c r="AE381" s="30"/>
      <c r="AF381" s="30"/>
      <c r="AG381" s="27" t="str">
        <f t="shared" si="1"/>
        <v>New Logo</v>
      </c>
      <c r="AH381" s="27" t="str">
        <f t="shared" si="5"/>
        <v>Lead</v>
      </c>
      <c r="AI381" s="27" t="str">
        <f t="shared" si="6"/>
        <v>201-500</v>
      </c>
      <c r="AJ381" s="27" t="str">
        <f t="shared" si="7"/>
        <v>51-100</v>
      </c>
    </row>
    <row r="382" ht="15.75" customHeight="1">
      <c r="A382" s="23">
        <f>HYPERLINK("https://app.hubspot.com/contacts/8748051/record/0-3/30237056164", 30237056164)</f>
        <v>30237056164</v>
      </c>
      <c r="B382" s="24" t="s">
        <v>1396</v>
      </c>
      <c r="C382" s="24" t="s">
        <v>38</v>
      </c>
      <c r="D382" s="25">
        <v>15000.0</v>
      </c>
      <c r="E382" s="24" t="s">
        <v>73</v>
      </c>
      <c r="F382" s="24"/>
      <c r="G382" s="26">
        <v>45638.62358796296</v>
      </c>
      <c r="H382" s="26">
        <v>45838.851631944446</v>
      </c>
      <c r="I382" s="24" t="s">
        <v>40</v>
      </c>
      <c r="J382" s="24" t="s">
        <v>41</v>
      </c>
      <c r="K382" s="24" t="s">
        <v>161</v>
      </c>
      <c r="L382" s="24" t="s">
        <v>162</v>
      </c>
      <c r="M382" s="24" t="s">
        <v>44</v>
      </c>
      <c r="N382" s="24"/>
      <c r="O382" s="24"/>
      <c r="P382" s="24" t="s">
        <v>122</v>
      </c>
      <c r="Q382" s="24"/>
      <c r="R382" s="23">
        <f>HYPERLINK("https://app.hubspot.com/contacts/8748051/record/0-2/8290026424", 8290026424)</f>
        <v>8290026424</v>
      </c>
      <c r="S382" s="24" t="s">
        <v>1397</v>
      </c>
      <c r="T382" s="28" t="s">
        <v>1398</v>
      </c>
      <c r="U382" s="24" t="s">
        <v>47</v>
      </c>
      <c r="V382" s="24"/>
      <c r="W382" s="25"/>
      <c r="X382" s="29">
        <v>291.0</v>
      </c>
      <c r="Y382" s="29">
        <v>50.0</v>
      </c>
      <c r="Z382" s="30"/>
      <c r="AA382" s="30"/>
      <c r="AB382" s="31"/>
      <c r="AC382" s="31"/>
      <c r="AD382" s="30"/>
      <c r="AE382" s="31"/>
      <c r="AF382" s="30"/>
      <c r="AG382" s="27" t="str">
        <f t="shared" si="1"/>
        <v>New Logo</v>
      </c>
      <c r="AH382" s="27" t="str">
        <f t="shared" si="5"/>
        <v>Lead</v>
      </c>
      <c r="AI382" s="27" t="str">
        <f t="shared" si="6"/>
        <v>201-500</v>
      </c>
      <c r="AJ382" s="27" t="str">
        <f t="shared" si="7"/>
        <v>21-50</v>
      </c>
    </row>
    <row r="383" ht="15.75" customHeight="1">
      <c r="A383" s="23">
        <f>HYPERLINK("https://app.hubspot.com/contacts/8748051/record/0-3/30232636537", 30232636537)</f>
        <v>30232636537</v>
      </c>
      <c r="B383" s="24" t="s">
        <v>1399</v>
      </c>
      <c r="C383" s="24" t="s">
        <v>38</v>
      </c>
      <c r="D383" s="25">
        <v>12000.0</v>
      </c>
      <c r="E383" s="24" t="s">
        <v>127</v>
      </c>
      <c r="F383" s="24" t="s">
        <v>52</v>
      </c>
      <c r="G383" s="26">
        <v>45638.55635416666</v>
      </c>
      <c r="H383" s="26">
        <v>45838.85212962963</v>
      </c>
      <c r="I383" s="24" t="s">
        <v>40</v>
      </c>
      <c r="J383" s="24" t="s">
        <v>41</v>
      </c>
      <c r="K383" s="24" t="s">
        <v>42</v>
      </c>
      <c r="L383" s="24" t="s">
        <v>43</v>
      </c>
      <c r="M383" s="24" t="s">
        <v>44</v>
      </c>
      <c r="N383" s="24"/>
      <c r="O383" s="24"/>
      <c r="P383" s="24"/>
      <c r="Q383" s="24" t="s">
        <v>128</v>
      </c>
      <c r="R383" s="23">
        <f>HYPERLINK("https://app.hubspot.com/contacts/8748051/record/0-2/26975866210", 26975866210)</f>
        <v>26975866210</v>
      </c>
      <c r="S383" s="24" t="s">
        <v>1400</v>
      </c>
      <c r="T383" s="28" t="s">
        <v>1401</v>
      </c>
      <c r="U383" s="24" t="s">
        <v>47</v>
      </c>
      <c r="V383" s="24"/>
      <c r="W383" s="25"/>
      <c r="X383" s="29">
        <v>76.0</v>
      </c>
      <c r="Y383" s="29">
        <v>13.0</v>
      </c>
      <c r="Z383" s="30"/>
      <c r="AA383" s="30"/>
      <c r="AB383" s="30"/>
      <c r="AC383" s="30"/>
      <c r="AD383" s="30"/>
      <c r="AE383" s="30"/>
      <c r="AF383" s="30"/>
      <c r="AG383" s="27" t="str">
        <f t="shared" si="1"/>
        <v>New Logo</v>
      </c>
      <c r="AH383" s="27" t="str">
        <f t="shared" si="5"/>
        <v>Lead</v>
      </c>
      <c r="AI383" s="27" t="str">
        <f t="shared" si="6"/>
        <v>0-200</v>
      </c>
      <c r="AJ383" s="27" t="str">
        <f t="shared" si="7"/>
        <v>0-20</v>
      </c>
    </row>
    <row r="384" ht="15.75" customHeight="1">
      <c r="A384" s="23">
        <f>HYPERLINK("https://app.hubspot.com/contacts/8748051/record/0-3/30081364780", 30081364780)</f>
        <v>30081364780</v>
      </c>
      <c r="B384" s="24" t="s">
        <v>1402</v>
      </c>
      <c r="C384" s="24" t="s">
        <v>1009</v>
      </c>
      <c r="D384" s="25">
        <v>100000.0</v>
      </c>
      <c r="E384" s="24" t="s">
        <v>127</v>
      </c>
      <c r="F384" s="24" t="s">
        <v>52</v>
      </c>
      <c r="G384" s="26">
        <v>45635.629895833335</v>
      </c>
      <c r="H384" s="26">
        <v>45817.6525</v>
      </c>
      <c r="I384" s="24" t="s">
        <v>40</v>
      </c>
      <c r="J384" s="24" t="s">
        <v>41</v>
      </c>
      <c r="K384" s="24" t="s">
        <v>42</v>
      </c>
      <c r="L384" s="24" t="s">
        <v>43</v>
      </c>
      <c r="M384" s="24" t="s">
        <v>44</v>
      </c>
      <c r="N384" s="27"/>
      <c r="O384" s="24"/>
      <c r="P384" s="24"/>
      <c r="Q384" s="24" t="s">
        <v>503</v>
      </c>
      <c r="R384" s="23">
        <f>HYPERLINK("https://app.hubspot.com/contacts/8748051/record/0-2/26681052168", 26681052168)</f>
        <v>26681052168</v>
      </c>
      <c r="S384" s="24" t="s">
        <v>1403</v>
      </c>
      <c r="T384" s="28" t="s">
        <v>1404</v>
      </c>
      <c r="U384" s="24" t="s">
        <v>47</v>
      </c>
      <c r="V384" s="24"/>
      <c r="W384" s="25"/>
      <c r="X384" s="29">
        <v>5297.0</v>
      </c>
      <c r="Y384" s="29">
        <v>961.0</v>
      </c>
      <c r="Z384" s="30"/>
      <c r="AA384" s="30"/>
      <c r="AB384" s="31"/>
      <c r="AC384" s="31"/>
      <c r="AD384" s="30"/>
      <c r="AE384" s="30"/>
      <c r="AF384" s="30"/>
      <c r="AG384" s="27" t="str">
        <f t="shared" si="1"/>
        <v>New Logo</v>
      </c>
      <c r="AH384" s="27" t="str">
        <f t="shared" si="5"/>
        <v>Lead</v>
      </c>
      <c r="AI384" s="27" t="str">
        <f t="shared" si="6"/>
        <v>5000-10000</v>
      </c>
      <c r="AJ384" s="27" t="str">
        <f t="shared" si="7"/>
        <v>500+</v>
      </c>
    </row>
    <row r="385" ht="15.75" customHeight="1">
      <c r="A385" s="23">
        <f>HYPERLINK("https://app.hubspot.com/contacts/8748051/record/0-3/43991920163", 43991920163)</f>
        <v>43991920163</v>
      </c>
      <c r="B385" s="24" t="s">
        <v>1405</v>
      </c>
      <c r="C385" s="24" t="s">
        <v>159</v>
      </c>
      <c r="D385" s="25">
        <v>872.0</v>
      </c>
      <c r="E385" s="24" t="s">
        <v>92</v>
      </c>
      <c r="F385" s="24"/>
      <c r="G385" s="26">
        <v>45635.618784722225</v>
      </c>
      <c r="H385" s="26">
        <v>45635.618796296294</v>
      </c>
      <c r="I385" s="24" t="s">
        <v>40</v>
      </c>
      <c r="J385" s="24" t="s">
        <v>182</v>
      </c>
      <c r="K385" s="24" t="s">
        <v>161</v>
      </c>
      <c r="L385" s="24" t="s">
        <v>162</v>
      </c>
      <c r="M385" s="24"/>
      <c r="N385" s="24"/>
      <c r="O385" s="24"/>
      <c r="P385" s="24"/>
      <c r="Q385" s="24"/>
      <c r="R385" s="23">
        <f>HYPERLINK("https://app.hubspot.com/contacts/8748051/record/0-2/21926460338", 21926460338)</f>
        <v>21926460338</v>
      </c>
      <c r="S385" s="24" t="s">
        <v>218</v>
      </c>
      <c r="T385" s="28" t="s">
        <v>219</v>
      </c>
      <c r="U385" s="24" t="s">
        <v>96</v>
      </c>
      <c r="V385" s="24"/>
      <c r="W385" s="25">
        <v>12368.0</v>
      </c>
      <c r="X385" s="29">
        <v>134.0</v>
      </c>
      <c r="Y385" s="29">
        <v>16.0</v>
      </c>
      <c r="Z385" s="30"/>
      <c r="AA385" s="30" t="s">
        <v>220</v>
      </c>
      <c r="AB385" s="31"/>
      <c r="AC385" s="31"/>
      <c r="AD385" s="30" t="s">
        <v>221</v>
      </c>
      <c r="AE385" s="30" t="s">
        <v>222</v>
      </c>
      <c r="AF385" s="30" t="s">
        <v>169</v>
      </c>
      <c r="AG385" s="27" t="str">
        <f t="shared" si="1"/>
        <v>Upsell</v>
      </c>
      <c r="AH385" s="27" t="str">
        <f t="shared" si="5"/>
        <v>Customer</v>
      </c>
      <c r="AI385" s="27" t="str">
        <f t="shared" si="6"/>
        <v>0-200</v>
      </c>
      <c r="AJ385" s="27" t="str">
        <f t="shared" si="7"/>
        <v>0-20</v>
      </c>
    </row>
    <row r="386" ht="15.75" customHeight="1">
      <c r="A386" s="23">
        <f>HYPERLINK("https://app.hubspot.com/contacts/8748051/record/0-3/29538983809", 29538983809)</f>
        <v>29538983809</v>
      </c>
      <c r="B386" s="24" t="s">
        <v>1406</v>
      </c>
      <c r="C386" s="24" t="s">
        <v>1009</v>
      </c>
      <c r="D386" s="25">
        <v>200000.0</v>
      </c>
      <c r="E386" s="24" t="s">
        <v>127</v>
      </c>
      <c r="F386" s="24" t="s">
        <v>52</v>
      </c>
      <c r="G386" s="26">
        <v>45621.28369212963</v>
      </c>
      <c r="H386" s="26">
        <v>45777.32508101852</v>
      </c>
      <c r="I386" s="24" t="s">
        <v>40</v>
      </c>
      <c r="J386" s="24" t="s">
        <v>53</v>
      </c>
      <c r="K386" s="24" t="s">
        <v>42</v>
      </c>
      <c r="L386" s="24" t="s">
        <v>43</v>
      </c>
      <c r="M386" s="24" t="s">
        <v>74</v>
      </c>
      <c r="N386" s="24"/>
      <c r="O386" s="27"/>
      <c r="P386" s="24"/>
      <c r="Q386" s="24" t="s">
        <v>144</v>
      </c>
      <c r="R386" s="23">
        <f>HYPERLINK("https://app.hubspot.com/contacts/8748051/record/0-2/7736681624", 7736681624)</f>
        <v>7736681624</v>
      </c>
      <c r="S386" s="24" t="s">
        <v>1407</v>
      </c>
      <c r="T386" s="28" t="s">
        <v>1408</v>
      </c>
      <c r="U386" s="24" t="s">
        <v>47</v>
      </c>
      <c r="V386" s="24"/>
      <c r="W386" s="25"/>
      <c r="X386" s="29">
        <v>865.0</v>
      </c>
      <c r="Y386" s="29">
        <v>128.0</v>
      </c>
      <c r="Z386" s="30" t="s">
        <v>546</v>
      </c>
      <c r="AA386" s="30"/>
      <c r="AB386" s="30"/>
      <c r="AC386" s="31"/>
      <c r="AD386" s="30"/>
      <c r="AE386" s="31"/>
      <c r="AF386" s="30"/>
      <c r="AG386" s="27" t="str">
        <f t="shared" si="1"/>
        <v>New Logo</v>
      </c>
      <c r="AH386" s="27" t="str">
        <f t="shared" si="5"/>
        <v>Lead</v>
      </c>
      <c r="AI386" s="27" t="str">
        <f t="shared" si="6"/>
        <v>501-1000</v>
      </c>
      <c r="AJ386" s="27" t="str">
        <f t="shared" si="7"/>
        <v>101-500</v>
      </c>
    </row>
    <row r="387" ht="15.75" customHeight="1">
      <c r="A387" s="23">
        <f>HYPERLINK("https://app.hubspot.com/contacts/8748051/record/0-3/29538983465", 29538983465)</f>
        <v>29538983465</v>
      </c>
      <c r="B387" s="24" t="s">
        <v>1409</v>
      </c>
      <c r="C387" s="24" t="s">
        <v>148</v>
      </c>
      <c r="D387" s="25">
        <v>48000.0</v>
      </c>
      <c r="E387" s="24" t="s">
        <v>92</v>
      </c>
      <c r="F387" s="24" t="s">
        <v>52</v>
      </c>
      <c r="G387" s="26">
        <v>45621.28089120371</v>
      </c>
      <c r="H387" s="26">
        <v>45911.461180555554</v>
      </c>
      <c r="I387" s="24" t="s">
        <v>40</v>
      </c>
      <c r="J387" s="24" t="s">
        <v>41</v>
      </c>
      <c r="K387" s="24" t="s">
        <v>1359</v>
      </c>
      <c r="L387" s="24" t="s">
        <v>594</v>
      </c>
      <c r="M387" s="24" t="s">
        <v>74</v>
      </c>
      <c r="N387" s="24" t="s">
        <v>1410</v>
      </c>
      <c r="O387" s="24"/>
      <c r="P387" s="24"/>
      <c r="Q387" s="24"/>
      <c r="R387" s="23">
        <f>HYPERLINK("https://app.hubspot.com/contacts/8748051/record/0-2/16065697118", 16065697118)</f>
        <v>16065697118</v>
      </c>
      <c r="S387" s="24" t="s">
        <v>1411</v>
      </c>
      <c r="T387" s="28" t="s">
        <v>1412</v>
      </c>
      <c r="U387" s="24" t="s">
        <v>96</v>
      </c>
      <c r="V387" s="24"/>
      <c r="W387" s="25">
        <v>48000.0</v>
      </c>
      <c r="X387" s="29">
        <v>421.0</v>
      </c>
      <c r="Y387" s="29">
        <v>64.0</v>
      </c>
      <c r="Z387" s="30"/>
      <c r="AA387" s="30" t="s">
        <v>349</v>
      </c>
      <c r="AB387" s="31"/>
      <c r="AC387" s="31"/>
      <c r="AD387" s="30" t="s">
        <v>1413</v>
      </c>
      <c r="AE387" s="31"/>
      <c r="AF387" s="30" t="s">
        <v>848</v>
      </c>
      <c r="AG387" s="27" t="str">
        <f t="shared" si="1"/>
        <v>New Logo</v>
      </c>
      <c r="AH387" s="27" t="str">
        <f t="shared" si="5"/>
        <v>Customer</v>
      </c>
      <c r="AI387" s="27" t="str">
        <f t="shared" si="6"/>
        <v>201-500</v>
      </c>
      <c r="AJ387" s="27" t="str">
        <f t="shared" si="7"/>
        <v>51-100</v>
      </c>
    </row>
    <row r="388" ht="15.75" customHeight="1">
      <c r="A388" s="23">
        <f>HYPERLINK("https://app.hubspot.com/contacts/8748051/record/0-3/29430556787", 29430556787)</f>
        <v>29430556787</v>
      </c>
      <c r="B388" s="24" t="s">
        <v>1414</v>
      </c>
      <c r="C388" s="24" t="s">
        <v>50</v>
      </c>
      <c r="D388" s="25">
        <v>30000.0</v>
      </c>
      <c r="E388" s="24" t="s">
        <v>127</v>
      </c>
      <c r="F388" s="24" t="s">
        <v>52</v>
      </c>
      <c r="G388" s="26">
        <v>45617.455300925925</v>
      </c>
      <c r="H388" s="26">
        <v>46112.73605324074</v>
      </c>
      <c r="I388" s="24" t="s">
        <v>40</v>
      </c>
      <c r="J388" s="24" t="s">
        <v>41</v>
      </c>
      <c r="K388" s="24" t="s">
        <v>42</v>
      </c>
      <c r="L388" s="24" t="s">
        <v>43</v>
      </c>
      <c r="M388" s="24" t="s">
        <v>44</v>
      </c>
      <c r="N388" s="24"/>
      <c r="O388" s="24"/>
      <c r="P388" s="24"/>
      <c r="Q388" s="24" t="s">
        <v>503</v>
      </c>
      <c r="R388" s="23">
        <f>HYPERLINK("https://app.hubspot.com/contacts/8748051/record/0-2/7902503572", 7902503572)</f>
        <v>7902503572</v>
      </c>
      <c r="S388" s="24" t="s">
        <v>1415</v>
      </c>
      <c r="T388" s="28" t="s">
        <v>1416</v>
      </c>
      <c r="U388" s="24" t="s">
        <v>47</v>
      </c>
      <c r="V388" s="24"/>
      <c r="W388" s="25"/>
      <c r="X388" s="29">
        <v>289.0</v>
      </c>
      <c r="Y388" s="29">
        <v>23.0</v>
      </c>
      <c r="Z388" s="30"/>
      <c r="AA388" s="30"/>
      <c r="AB388" s="30"/>
      <c r="AC388" s="31"/>
      <c r="AD388" s="30"/>
      <c r="AE388" s="30"/>
      <c r="AF388" s="30"/>
      <c r="AG388" s="27" t="str">
        <f t="shared" si="1"/>
        <v>New Logo</v>
      </c>
      <c r="AH388" s="27" t="str">
        <f t="shared" si="5"/>
        <v>Lead</v>
      </c>
      <c r="AI388" s="27" t="str">
        <f t="shared" si="6"/>
        <v>201-500</v>
      </c>
      <c r="AJ388" s="27" t="str">
        <f t="shared" si="7"/>
        <v>21-50</v>
      </c>
    </row>
    <row r="389" ht="15.75" customHeight="1">
      <c r="A389" s="23">
        <f>HYPERLINK("https://app.hubspot.com/contacts/8748051/record/0-3/29238133398", 29238133398)</f>
        <v>29238133398</v>
      </c>
      <c r="B389" s="24" t="s">
        <v>1417</v>
      </c>
      <c r="C389" s="24" t="s">
        <v>50</v>
      </c>
      <c r="D389" s="25">
        <v>100000.0</v>
      </c>
      <c r="E389" s="24" t="s">
        <v>73</v>
      </c>
      <c r="F389" s="24"/>
      <c r="G389" s="26">
        <v>45614.257731481484</v>
      </c>
      <c r="H389" s="26">
        <v>45869.34417824074</v>
      </c>
      <c r="I389" s="24" t="s">
        <v>40</v>
      </c>
      <c r="J389" s="24" t="s">
        <v>41</v>
      </c>
      <c r="K389" s="24" t="s">
        <v>60</v>
      </c>
      <c r="L389" s="24" t="s">
        <v>178</v>
      </c>
      <c r="M389" s="24" t="s">
        <v>44</v>
      </c>
      <c r="N389" s="24"/>
      <c r="O389" s="24"/>
      <c r="P389" s="24" t="s">
        <v>213</v>
      </c>
      <c r="Q389" s="24"/>
      <c r="R389" s="23">
        <f>HYPERLINK("https://app.hubspot.com/contacts/8748051/record/0-2/15759773545", 15759773545)</f>
        <v>15759773545</v>
      </c>
      <c r="S389" s="24" t="s">
        <v>1418</v>
      </c>
      <c r="T389" s="28" t="s">
        <v>1419</v>
      </c>
      <c r="U389" s="24" t="s">
        <v>47</v>
      </c>
      <c r="V389" s="24"/>
      <c r="W389" s="25"/>
      <c r="X389" s="29">
        <v>9547.0</v>
      </c>
      <c r="Y389" s="29">
        <v>2291.0</v>
      </c>
      <c r="Z389" s="30" t="s">
        <v>1420</v>
      </c>
      <c r="AA389" s="30"/>
      <c r="AB389" s="31"/>
      <c r="AC389" s="31"/>
      <c r="AD389" s="30"/>
      <c r="AE389" s="30"/>
      <c r="AF389" s="30"/>
      <c r="AG389" s="27" t="str">
        <f t="shared" si="1"/>
        <v>New Logo</v>
      </c>
      <c r="AH389" s="27" t="str">
        <f t="shared" si="5"/>
        <v>Lead</v>
      </c>
      <c r="AI389" s="27" t="str">
        <f t="shared" si="6"/>
        <v>5000-10000</v>
      </c>
      <c r="AJ389" s="27" t="str">
        <f t="shared" si="7"/>
        <v>500+</v>
      </c>
    </row>
    <row r="390" ht="15.75" customHeight="1">
      <c r="A390" s="23">
        <f>HYPERLINK("https://app.hubspot.com/contacts/8748051/record/0-3/29076873138", 29076873138)</f>
        <v>29076873138</v>
      </c>
      <c r="B390" s="24" t="s">
        <v>1421</v>
      </c>
      <c r="C390" s="24" t="s">
        <v>50</v>
      </c>
      <c r="D390" s="25">
        <v>6500.0</v>
      </c>
      <c r="E390" s="24" t="s">
        <v>149</v>
      </c>
      <c r="F390" s="24"/>
      <c r="G390" s="26">
        <v>45609.72452546296</v>
      </c>
      <c r="H390" s="26">
        <v>45636.52125</v>
      </c>
      <c r="I390" s="24" t="s">
        <v>40</v>
      </c>
      <c r="J390" s="24" t="s">
        <v>41</v>
      </c>
      <c r="K390" s="24" t="s">
        <v>42</v>
      </c>
      <c r="L390" s="24" t="s">
        <v>43</v>
      </c>
      <c r="M390" s="24" t="s">
        <v>44</v>
      </c>
      <c r="N390" s="24"/>
      <c r="O390" s="24" t="s">
        <v>1422</v>
      </c>
      <c r="P390" s="24"/>
      <c r="Q390" s="24"/>
      <c r="R390" s="23">
        <f>HYPERLINK("https://app.hubspot.com/contacts/8748051/record/0-2/25806579484", 25806579484)</f>
        <v>25806579484</v>
      </c>
      <c r="S390" s="28" t="s">
        <v>1423</v>
      </c>
      <c r="T390" s="28" t="s">
        <v>1424</v>
      </c>
      <c r="U390" s="24" t="s">
        <v>47</v>
      </c>
      <c r="V390" s="24"/>
      <c r="W390" s="25"/>
      <c r="X390" s="29">
        <v>72.0</v>
      </c>
      <c r="Y390" s="29">
        <v>13.0</v>
      </c>
      <c r="Z390" s="30"/>
      <c r="AA390" s="30"/>
      <c r="AB390" s="31"/>
      <c r="AC390" s="31"/>
      <c r="AD390" s="30"/>
      <c r="AE390" s="30"/>
      <c r="AF390" s="30"/>
      <c r="AG390" s="27" t="str">
        <f t="shared" si="1"/>
        <v>New Logo</v>
      </c>
      <c r="AH390" s="27" t="str">
        <f t="shared" si="5"/>
        <v>Lead</v>
      </c>
      <c r="AI390" s="27" t="str">
        <f t="shared" si="6"/>
        <v>0-200</v>
      </c>
      <c r="AJ390" s="27" t="str">
        <f t="shared" si="7"/>
        <v>0-20</v>
      </c>
    </row>
    <row r="391" ht="15.75" customHeight="1">
      <c r="A391" s="23">
        <f>HYPERLINK("https://app.hubspot.com/contacts/8748051/record/0-3/29052533616", 29052533616)</f>
        <v>29052533616</v>
      </c>
      <c r="B391" s="24" t="s">
        <v>1425</v>
      </c>
      <c r="C391" s="24" t="s">
        <v>50</v>
      </c>
      <c r="D391" s="25">
        <v>62000.0</v>
      </c>
      <c r="E391" s="24" t="s">
        <v>73</v>
      </c>
      <c r="F391" s="24"/>
      <c r="G391" s="26">
        <v>45609.24107638889</v>
      </c>
      <c r="H391" s="26">
        <v>45790.28229166667</v>
      </c>
      <c r="I391" s="24" t="s">
        <v>40</v>
      </c>
      <c r="J391" s="24" t="s">
        <v>53</v>
      </c>
      <c r="K391" s="24" t="s">
        <v>60</v>
      </c>
      <c r="L391" s="24" t="s">
        <v>178</v>
      </c>
      <c r="M391" s="24" t="s">
        <v>44</v>
      </c>
      <c r="N391" s="24"/>
      <c r="O391" s="24"/>
      <c r="P391" s="24" t="s">
        <v>234</v>
      </c>
      <c r="Q391" s="24"/>
      <c r="R391" s="23">
        <f>HYPERLINK("https://app.hubspot.com/contacts/8748051/record/0-2/16065608240", 16065608240)</f>
        <v>16065608240</v>
      </c>
      <c r="S391" s="24" t="s">
        <v>1426</v>
      </c>
      <c r="T391" s="28" t="s">
        <v>1427</v>
      </c>
      <c r="U391" s="24" t="s">
        <v>47</v>
      </c>
      <c r="V391" s="24"/>
      <c r="W391" s="25"/>
      <c r="X391" s="29">
        <v>1467.0</v>
      </c>
      <c r="Y391" s="29">
        <v>130.0</v>
      </c>
      <c r="Z391" s="30" t="s">
        <v>108</v>
      </c>
      <c r="AA391" s="30"/>
      <c r="AB391" s="30"/>
      <c r="AC391" s="30"/>
      <c r="AD391" s="30"/>
      <c r="AE391" s="31"/>
      <c r="AF391" s="30"/>
      <c r="AG391" s="27" t="str">
        <f t="shared" si="1"/>
        <v>New Logo</v>
      </c>
      <c r="AH391" s="27" t="str">
        <f t="shared" si="5"/>
        <v>Lead</v>
      </c>
      <c r="AI391" s="27" t="str">
        <f t="shared" si="6"/>
        <v>1001-5000</v>
      </c>
      <c r="AJ391" s="27" t="str">
        <f t="shared" si="7"/>
        <v>101-500</v>
      </c>
    </row>
    <row r="392" ht="15.75" customHeight="1">
      <c r="A392" s="23">
        <f>HYPERLINK("https://app.hubspot.com/contacts/8748051/record/0-3/28937055552", 28937055552)</f>
        <v>28937055552</v>
      </c>
      <c r="B392" s="24" t="s">
        <v>1428</v>
      </c>
      <c r="C392" s="24" t="s">
        <v>148</v>
      </c>
      <c r="D392" s="25">
        <v>25000.0</v>
      </c>
      <c r="E392" s="24" t="s">
        <v>149</v>
      </c>
      <c r="F392" s="24" t="s">
        <v>52</v>
      </c>
      <c r="G392" s="26">
        <v>45607.32482638889</v>
      </c>
      <c r="H392" s="26">
        <v>45812.3959837963</v>
      </c>
      <c r="I392" s="24" t="s">
        <v>40</v>
      </c>
      <c r="J392" s="24" t="s">
        <v>53</v>
      </c>
      <c r="K392" s="24" t="s">
        <v>42</v>
      </c>
      <c r="L392" s="24" t="s">
        <v>43</v>
      </c>
      <c r="M392" s="24" t="s">
        <v>44</v>
      </c>
      <c r="N392" s="24"/>
      <c r="O392" s="24" t="s">
        <v>1429</v>
      </c>
      <c r="P392" s="24"/>
      <c r="Q392" s="24"/>
      <c r="R392" s="23">
        <f>HYPERLINK("https://app.hubspot.com/contacts/8748051/record/0-2/7589543573", 7589543573)</f>
        <v>7589543573</v>
      </c>
      <c r="S392" s="24" t="s">
        <v>1430</v>
      </c>
      <c r="T392" s="28" t="s">
        <v>1431</v>
      </c>
      <c r="U392" s="24" t="s">
        <v>47</v>
      </c>
      <c r="V392" s="24"/>
      <c r="W392" s="25"/>
      <c r="X392" s="29">
        <v>211.0</v>
      </c>
      <c r="Y392" s="29">
        <v>45.0</v>
      </c>
      <c r="Z392" s="30" t="s">
        <v>71</v>
      </c>
      <c r="AA392" s="30"/>
      <c r="AB392" s="30"/>
      <c r="AC392" s="31"/>
      <c r="AD392" s="30"/>
      <c r="AE392" s="30"/>
      <c r="AF392" s="30"/>
      <c r="AG392" s="27" t="str">
        <f t="shared" si="1"/>
        <v>New Logo</v>
      </c>
      <c r="AH392" s="27" t="str">
        <f t="shared" si="5"/>
        <v>Lead</v>
      </c>
      <c r="AI392" s="27" t="str">
        <f t="shared" si="6"/>
        <v>201-500</v>
      </c>
      <c r="AJ392" s="27" t="str">
        <f t="shared" si="7"/>
        <v>21-50</v>
      </c>
    </row>
    <row r="393" ht="15.75" customHeight="1">
      <c r="A393" s="23">
        <f>HYPERLINK("https://app.hubspot.com/contacts/8748051/record/0-3/28887370633", 28887370633)</f>
        <v>28887370633</v>
      </c>
      <c r="B393" s="24" t="s">
        <v>1432</v>
      </c>
      <c r="C393" s="24" t="s">
        <v>38</v>
      </c>
      <c r="D393" s="25">
        <v>25000.0</v>
      </c>
      <c r="E393" s="24" t="s">
        <v>127</v>
      </c>
      <c r="F393" s="24" t="s">
        <v>52</v>
      </c>
      <c r="G393" s="26">
        <v>45607.093460648146</v>
      </c>
      <c r="H393" s="26">
        <v>45930.0</v>
      </c>
      <c r="I393" s="24" t="s">
        <v>40</v>
      </c>
      <c r="J393" s="24" t="s">
        <v>53</v>
      </c>
      <c r="K393" s="24" t="s">
        <v>42</v>
      </c>
      <c r="L393" s="24" t="s">
        <v>43</v>
      </c>
      <c r="M393" s="24" t="s">
        <v>44</v>
      </c>
      <c r="N393" s="24"/>
      <c r="O393" s="27"/>
      <c r="P393" s="24"/>
      <c r="Q393" s="24" t="s">
        <v>128</v>
      </c>
      <c r="R393" s="23">
        <f>HYPERLINK("https://app.hubspot.com/contacts/8748051/record/0-2/7893085080", 7893085080)</f>
        <v>7893085080</v>
      </c>
      <c r="S393" s="24" t="s">
        <v>1433</v>
      </c>
      <c r="T393" s="28" t="s">
        <v>1434</v>
      </c>
      <c r="U393" s="24" t="s">
        <v>47</v>
      </c>
      <c r="V393" s="24"/>
      <c r="W393" s="25"/>
      <c r="X393" s="29">
        <v>211.0</v>
      </c>
      <c r="Y393" s="29">
        <v>24.0</v>
      </c>
      <c r="Z393" s="30"/>
      <c r="AA393" s="30"/>
      <c r="AB393" s="30"/>
      <c r="AC393" s="30"/>
      <c r="AD393" s="30"/>
      <c r="AE393" s="30"/>
      <c r="AF393" s="30"/>
      <c r="AG393" s="27" t="str">
        <f t="shared" si="1"/>
        <v>New Logo</v>
      </c>
      <c r="AH393" s="27" t="str">
        <f t="shared" si="5"/>
        <v>Lead</v>
      </c>
      <c r="AI393" s="27" t="str">
        <f t="shared" si="6"/>
        <v>201-500</v>
      </c>
      <c r="AJ393" s="27" t="str">
        <f t="shared" si="7"/>
        <v>21-50</v>
      </c>
    </row>
    <row r="394" ht="15.75" customHeight="1">
      <c r="A394" s="23">
        <f>HYPERLINK("https://app.hubspot.com/contacts/8748051/record/0-3/28783885400", 28783885400)</f>
        <v>28783885400</v>
      </c>
      <c r="B394" s="24" t="s">
        <v>1435</v>
      </c>
      <c r="C394" s="24" t="s">
        <v>50</v>
      </c>
      <c r="D394" s="25">
        <v>40500.0</v>
      </c>
      <c r="E394" s="24" t="s">
        <v>127</v>
      </c>
      <c r="F394" s="24"/>
      <c r="G394" s="26">
        <v>45602.46773148148</v>
      </c>
      <c r="H394" s="26">
        <v>45930.492800925924</v>
      </c>
      <c r="I394" s="24" t="s">
        <v>40</v>
      </c>
      <c r="J394" s="24" t="s">
        <v>53</v>
      </c>
      <c r="K394" s="24" t="s">
        <v>60</v>
      </c>
      <c r="L394" s="24" t="s">
        <v>178</v>
      </c>
      <c r="M394" s="24" t="s">
        <v>44</v>
      </c>
      <c r="N394" s="24"/>
      <c r="O394" s="24"/>
      <c r="P394" s="24"/>
      <c r="Q394" s="24" t="s">
        <v>128</v>
      </c>
      <c r="R394" s="23">
        <f>HYPERLINK("https://app.hubspot.com/contacts/8748051/record/0-2/18002958357", 18002958357)</f>
        <v>18002958357</v>
      </c>
      <c r="S394" s="24" t="s">
        <v>1436</v>
      </c>
      <c r="T394" s="28" t="s">
        <v>1437</v>
      </c>
      <c r="U394" s="24" t="s">
        <v>47</v>
      </c>
      <c r="V394" s="24"/>
      <c r="W394" s="25"/>
      <c r="X394" s="29">
        <v>2373.0</v>
      </c>
      <c r="Y394" s="29">
        <v>139.0</v>
      </c>
      <c r="Z394" s="30" t="s">
        <v>56</v>
      </c>
      <c r="AA394" s="30"/>
      <c r="AB394" s="30"/>
      <c r="AC394" s="31"/>
      <c r="AD394" s="30"/>
      <c r="AE394" s="30"/>
      <c r="AF394" s="30"/>
      <c r="AG394" s="27" t="str">
        <f t="shared" si="1"/>
        <v>New Logo</v>
      </c>
      <c r="AH394" s="27" t="str">
        <f t="shared" si="5"/>
        <v>Lead</v>
      </c>
      <c r="AI394" s="27" t="str">
        <f t="shared" si="6"/>
        <v>1001-5000</v>
      </c>
      <c r="AJ394" s="27" t="str">
        <f t="shared" si="7"/>
        <v>101-500</v>
      </c>
    </row>
    <row r="395" ht="15.75" customHeight="1">
      <c r="A395" s="23">
        <f>HYPERLINK("https://app.hubspot.com/contacts/8748051/record/0-3/28713160476", 28713160476)</f>
        <v>28713160476</v>
      </c>
      <c r="B395" s="24" t="s">
        <v>1438</v>
      </c>
      <c r="C395" s="24" t="s">
        <v>148</v>
      </c>
      <c r="D395" s="25">
        <v>23244.0</v>
      </c>
      <c r="E395" s="24" t="s">
        <v>92</v>
      </c>
      <c r="F395" s="24" t="s">
        <v>52</v>
      </c>
      <c r="G395" s="26">
        <v>45600.61954861111</v>
      </c>
      <c r="H395" s="26">
        <v>45649.632835648146</v>
      </c>
      <c r="I395" s="24" t="s">
        <v>40</v>
      </c>
      <c r="J395" s="24" t="s">
        <v>41</v>
      </c>
      <c r="K395" s="24" t="s">
        <v>42</v>
      </c>
      <c r="L395" s="24" t="s">
        <v>43</v>
      </c>
      <c r="M395" s="24" t="s">
        <v>44</v>
      </c>
      <c r="N395" s="24" t="s">
        <v>1439</v>
      </c>
      <c r="O395" s="27"/>
      <c r="P395" s="24"/>
      <c r="Q395" s="27"/>
      <c r="R395" s="23">
        <f>HYPERLINK("https://app.hubspot.com/contacts/8748051/record/0-2/7945231785", 7945231785)</f>
        <v>7945231785</v>
      </c>
      <c r="S395" s="24" t="s">
        <v>1440</v>
      </c>
      <c r="T395" s="28" t="s">
        <v>1441</v>
      </c>
      <c r="U395" s="24" t="s">
        <v>96</v>
      </c>
      <c r="V395" s="24"/>
      <c r="W395" s="25">
        <v>23244.0</v>
      </c>
      <c r="X395" s="29">
        <v>125.0</v>
      </c>
      <c r="Y395" s="29">
        <v>12.0</v>
      </c>
      <c r="Z395" s="30"/>
      <c r="AA395" s="30" t="s">
        <v>97</v>
      </c>
      <c r="AB395" s="30" t="s">
        <v>207</v>
      </c>
      <c r="AC395" s="31"/>
      <c r="AD395" s="30" t="s">
        <v>510</v>
      </c>
      <c r="AE395" s="30"/>
      <c r="AF395" s="30" t="s">
        <v>169</v>
      </c>
      <c r="AG395" s="27" t="str">
        <f t="shared" si="1"/>
        <v>New Logo</v>
      </c>
      <c r="AH395" s="27" t="str">
        <f t="shared" si="5"/>
        <v>Customer</v>
      </c>
      <c r="AI395" s="27" t="str">
        <f t="shared" si="6"/>
        <v>0-200</v>
      </c>
      <c r="AJ395" s="27" t="str">
        <f t="shared" si="7"/>
        <v>0-20</v>
      </c>
    </row>
    <row r="396" ht="15.75" customHeight="1">
      <c r="A396" s="23">
        <f>HYPERLINK("https://app.hubspot.com/contacts/8748051/record/0-3/28529985366", 28529985366)</f>
        <v>28529985366</v>
      </c>
      <c r="B396" s="24" t="s">
        <v>1442</v>
      </c>
      <c r="C396" s="24" t="s">
        <v>50</v>
      </c>
      <c r="D396" s="25">
        <v>96500.0</v>
      </c>
      <c r="E396" s="24" t="s">
        <v>73</v>
      </c>
      <c r="F396" s="24"/>
      <c r="G396" s="26">
        <v>45595.42728009259</v>
      </c>
      <c r="H396" s="26">
        <v>45777.42680555556</v>
      </c>
      <c r="I396" s="24" t="s">
        <v>40</v>
      </c>
      <c r="J396" s="24" t="s">
        <v>53</v>
      </c>
      <c r="K396" s="24" t="s">
        <v>60</v>
      </c>
      <c r="L396" s="24" t="s">
        <v>178</v>
      </c>
      <c r="M396" s="24" t="s">
        <v>44</v>
      </c>
      <c r="N396" s="24"/>
      <c r="O396" s="24"/>
      <c r="P396" s="24" t="s">
        <v>122</v>
      </c>
      <c r="Q396" s="24"/>
      <c r="R396" s="23">
        <f>HYPERLINK("https://app.hubspot.com/contacts/8748051/record/0-2/8724276354", 8724276354)</f>
        <v>8724276354</v>
      </c>
      <c r="S396" s="24" t="s">
        <v>1337</v>
      </c>
      <c r="T396" s="28" t="s">
        <v>1338</v>
      </c>
      <c r="U396" s="24" t="s">
        <v>47</v>
      </c>
      <c r="V396" s="24"/>
      <c r="W396" s="25"/>
      <c r="X396" s="29">
        <v>1516.0</v>
      </c>
      <c r="Y396" s="29">
        <v>202.0</v>
      </c>
      <c r="Z396" s="30" t="s">
        <v>56</v>
      </c>
      <c r="AA396" s="30"/>
      <c r="AB396" s="31"/>
      <c r="AC396" s="31"/>
      <c r="AD396" s="30"/>
      <c r="AE396" s="30"/>
      <c r="AF396" s="30"/>
      <c r="AG396" s="27" t="str">
        <f t="shared" si="1"/>
        <v>New Logo</v>
      </c>
      <c r="AH396" s="27" t="str">
        <f t="shared" si="5"/>
        <v>Lead</v>
      </c>
      <c r="AI396" s="27" t="str">
        <f t="shared" si="6"/>
        <v>1001-5000</v>
      </c>
      <c r="AJ396" s="27" t="str">
        <f t="shared" si="7"/>
        <v>101-500</v>
      </c>
    </row>
    <row r="397" ht="15.75" customHeight="1">
      <c r="A397" s="23">
        <f>HYPERLINK("https://app.hubspot.com/contacts/8748051/record/0-3/28468857859", 28468857859)</f>
        <v>28468857859</v>
      </c>
      <c r="B397" s="24" t="s">
        <v>1443</v>
      </c>
      <c r="C397" s="24" t="s">
        <v>148</v>
      </c>
      <c r="D397" s="25">
        <v>24816.0</v>
      </c>
      <c r="E397" s="24" t="s">
        <v>92</v>
      </c>
      <c r="F397" s="24" t="s">
        <v>52</v>
      </c>
      <c r="G397" s="26">
        <v>45594.67229166667</v>
      </c>
      <c r="H397" s="26">
        <v>45657.508622685185</v>
      </c>
      <c r="I397" s="24" t="s">
        <v>40</v>
      </c>
      <c r="J397" s="24" t="s">
        <v>41</v>
      </c>
      <c r="K397" s="24" t="s">
        <v>42</v>
      </c>
      <c r="L397" s="24" t="s">
        <v>43</v>
      </c>
      <c r="M397" s="24" t="s">
        <v>44</v>
      </c>
      <c r="N397" s="24" t="s">
        <v>1444</v>
      </c>
      <c r="O397" s="24"/>
      <c r="P397" s="24"/>
      <c r="Q397" s="24"/>
      <c r="R397" s="23">
        <f>HYPERLINK("https://app.hubspot.com/contacts/8748051/record/0-2/8601300377", 8601300377)</f>
        <v>8601300377</v>
      </c>
      <c r="S397" s="24" t="s">
        <v>1205</v>
      </c>
      <c r="T397" s="28" t="s">
        <v>1206</v>
      </c>
      <c r="U397" s="24" t="s">
        <v>96</v>
      </c>
      <c r="V397" s="24"/>
      <c r="W397" s="25">
        <v>32151.0</v>
      </c>
      <c r="X397" s="29">
        <v>136.0</v>
      </c>
      <c r="Y397" s="29">
        <v>27.0</v>
      </c>
      <c r="Z397" s="30"/>
      <c r="AA397" s="30" t="s">
        <v>220</v>
      </c>
      <c r="AB397" s="30"/>
      <c r="AC397" s="30"/>
      <c r="AD397" s="30" t="s">
        <v>462</v>
      </c>
      <c r="AE397" s="30" t="s">
        <v>1207</v>
      </c>
      <c r="AF397" s="30" t="s">
        <v>169</v>
      </c>
      <c r="AG397" s="27" t="str">
        <f t="shared" si="1"/>
        <v>New Logo</v>
      </c>
      <c r="AH397" s="27" t="str">
        <f t="shared" si="5"/>
        <v>Customer</v>
      </c>
      <c r="AI397" s="27" t="str">
        <f t="shared" si="6"/>
        <v>0-200</v>
      </c>
      <c r="AJ397" s="27" t="str">
        <f t="shared" si="7"/>
        <v>21-50</v>
      </c>
    </row>
    <row r="398" ht="15.75" customHeight="1">
      <c r="A398" s="23">
        <f>HYPERLINK("https://app.hubspot.com/contacts/8748051/record/0-3/28468856854", 28468856854)</f>
        <v>28468856854</v>
      </c>
      <c r="B398" s="24" t="s">
        <v>1445</v>
      </c>
      <c r="C398" s="24" t="s">
        <v>148</v>
      </c>
      <c r="D398" s="25">
        <v>22000.0</v>
      </c>
      <c r="E398" s="24" t="s">
        <v>127</v>
      </c>
      <c r="F398" s="24"/>
      <c r="G398" s="26">
        <v>45594.66789351852</v>
      </c>
      <c r="H398" s="26">
        <v>45776.66724537037</v>
      </c>
      <c r="I398" s="24" t="s">
        <v>40</v>
      </c>
      <c r="J398" s="24" t="s">
        <v>41</v>
      </c>
      <c r="K398" s="24" t="s">
        <v>60</v>
      </c>
      <c r="L398" s="24" t="s">
        <v>178</v>
      </c>
      <c r="M398" s="24" t="s">
        <v>44</v>
      </c>
      <c r="N398" s="24"/>
      <c r="O398" s="24"/>
      <c r="P398" s="24"/>
      <c r="Q398" s="24" t="s">
        <v>128</v>
      </c>
      <c r="R398" s="23">
        <f>HYPERLINK("https://app.hubspot.com/contacts/8748051/record/0-2/8929875056", 8929875056)</f>
        <v>8929875056</v>
      </c>
      <c r="S398" s="24" t="s">
        <v>1446</v>
      </c>
      <c r="T398" s="28" t="s">
        <v>1447</v>
      </c>
      <c r="U398" s="24" t="s">
        <v>47</v>
      </c>
      <c r="V398" s="24"/>
      <c r="W398" s="25"/>
      <c r="X398" s="29">
        <v>156.0</v>
      </c>
      <c r="Y398" s="29">
        <v>53.0</v>
      </c>
      <c r="Z398" s="30" t="s">
        <v>71</v>
      </c>
      <c r="AA398" s="30"/>
      <c r="AB398" s="30"/>
      <c r="AC398" s="30"/>
      <c r="AD398" s="30"/>
      <c r="AE398" s="30"/>
      <c r="AF398" s="30"/>
      <c r="AG398" s="27" t="str">
        <f t="shared" si="1"/>
        <v>New Logo</v>
      </c>
      <c r="AH398" s="27" t="str">
        <f t="shared" si="5"/>
        <v>Lead</v>
      </c>
      <c r="AI398" s="27" t="str">
        <f t="shared" si="6"/>
        <v>0-200</v>
      </c>
      <c r="AJ398" s="27" t="str">
        <f t="shared" si="7"/>
        <v>51-100</v>
      </c>
    </row>
    <row r="399" ht="15.75" customHeight="1">
      <c r="A399" s="23">
        <f>HYPERLINK("https://app.hubspot.com/contacts/8748051/record/0-3/28455181999", 28455181999)</f>
        <v>28455181999</v>
      </c>
      <c r="B399" s="24" t="s">
        <v>1448</v>
      </c>
      <c r="C399" s="24" t="s">
        <v>148</v>
      </c>
      <c r="D399" s="25">
        <v>3000.0</v>
      </c>
      <c r="E399" s="24" t="s">
        <v>92</v>
      </c>
      <c r="F399" s="24" t="s">
        <v>52</v>
      </c>
      <c r="G399" s="26">
        <v>45594.3278125</v>
      </c>
      <c r="H399" s="26">
        <v>45595.21581018518</v>
      </c>
      <c r="I399" s="24" t="s">
        <v>40</v>
      </c>
      <c r="J399" s="24" t="s">
        <v>182</v>
      </c>
      <c r="K399" s="24" t="s">
        <v>42</v>
      </c>
      <c r="L399" s="24" t="s">
        <v>449</v>
      </c>
      <c r="M399" s="24" t="s">
        <v>44</v>
      </c>
      <c r="N399" s="24" t="s">
        <v>1449</v>
      </c>
      <c r="O399" s="27"/>
      <c r="P399" s="24"/>
      <c r="Q399" s="24"/>
      <c r="R399" s="23">
        <f>HYPERLINK("https://app.hubspot.com/contacts/8748051/record/0-2/4761860926", 4761860926)</f>
        <v>4761860926</v>
      </c>
      <c r="S399" s="24" t="s">
        <v>1450</v>
      </c>
      <c r="T399" s="28" t="s">
        <v>1451</v>
      </c>
      <c r="U399" s="24" t="s">
        <v>96</v>
      </c>
      <c r="V399" s="24"/>
      <c r="W399" s="25">
        <v>17400.0</v>
      </c>
      <c r="X399" s="29">
        <v>1173.0</v>
      </c>
      <c r="Y399" s="29">
        <v>62.0</v>
      </c>
      <c r="Z399" s="30"/>
      <c r="AA399" s="30" t="s">
        <v>220</v>
      </c>
      <c r="AB399" s="30"/>
      <c r="AC399" s="30"/>
      <c r="AD399" s="30" t="s">
        <v>1452</v>
      </c>
      <c r="AE399" s="30" t="s">
        <v>1453</v>
      </c>
      <c r="AF399" s="30" t="s">
        <v>169</v>
      </c>
      <c r="AG399" s="27" t="str">
        <f t="shared" si="1"/>
        <v>Upsell</v>
      </c>
      <c r="AH399" s="27" t="str">
        <f t="shared" si="5"/>
        <v>Customer</v>
      </c>
      <c r="AI399" s="27" t="str">
        <f t="shared" si="6"/>
        <v>1001-5000</v>
      </c>
      <c r="AJ399" s="27" t="str">
        <f t="shared" si="7"/>
        <v>51-100</v>
      </c>
    </row>
    <row r="400" ht="15.75" customHeight="1">
      <c r="A400" s="23">
        <f>HYPERLINK("https://app.hubspot.com/contacts/8748051/record/0-3/28376225033", 28376225033)</f>
        <v>28376225033</v>
      </c>
      <c r="B400" s="24" t="s">
        <v>1454</v>
      </c>
      <c r="C400" s="24" t="s">
        <v>1228</v>
      </c>
      <c r="D400" s="25">
        <v>51000.0</v>
      </c>
      <c r="E400" s="24" t="s">
        <v>92</v>
      </c>
      <c r="F400" s="24" t="s">
        <v>52</v>
      </c>
      <c r="G400" s="26">
        <v>45592.80636574074</v>
      </c>
      <c r="H400" s="26">
        <v>45657.38599537037</v>
      </c>
      <c r="I400" s="24" t="s">
        <v>40</v>
      </c>
      <c r="J400" s="24" t="s">
        <v>41</v>
      </c>
      <c r="K400" s="24" t="s">
        <v>60</v>
      </c>
      <c r="L400" s="24" t="s">
        <v>449</v>
      </c>
      <c r="M400" s="24" t="s">
        <v>44</v>
      </c>
      <c r="N400" s="24" t="s">
        <v>1455</v>
      </c>
      <c r="O400" s="24"/>
      <c r="P400" s="24"/>
      <c r="Q400" s="24"/>
      <c r="R400" s="23">
        <f>HYPERLINK("https://app.hubspot.com/contacts/8748051/record/0-2/19176648024", 19176648024)</f>
        <v>19176648024</v>
      </c>
      <c r="S400" s="24" t="s">
        <v>1456</v>
      </c>
      <c r="T400" s="28" t="s">
        <v>1457</v>
      </c>
      <c r="U400" s="24" t="s">
        <v>96</v>
      </c>
      <c r="V400" s="24"/>
      <c r="W400" s="25">
        <v>51000.0</v>
      </c>
      <c r="X400" s="29">
        <v>233.0</v>
      </c>
      <c r="Y400" s="29">
        <v>47.0</v>
      </c>
      <c r="Z400" s="30"/>
      <c r="AA400" s="30" t="s">
        <v>97</v>
      </c>
      <c r="AB400" s="30" t="s">
        <v>207</v>
      </c>
      <c r="AC400" s="30" t="s">
        <v>208</v>
      </c>
      <c r="AD400" s="30" t="s">
        <v>1458</v>
      </c>
      <c r="AE400" s="30"/>
      <c r="AF400" s="30" t="s">
        <v>169</v>
      </c>
      <c r="AG400" s="27" t="str">
        <f t="shared" si="1"/>
        <v>New Logo</v>
      </c>
      <c r="AH400" s="27" t="str">
        <f t="shared" si="5"/>
        <v>Customer</v>
      </c>
      <c r="AI400" s="27" t="str">
        <f t="shared" si="6"/>
        <v>201-500</v>
      </c>
      <c r="AJ400" s="27" t="str">
        <f t="shared" si="7"/>
        <v>21-50</v>
      </c>
    </row>
    <row r="401" ht="15.75" customHeight="1">
      <c r="A401" s="23">
        <f>HYPERLINK("https://app.hubspot.com/contacts/8748051/record/0-3/28348018291", 28348018291)</f>
        <v>28348018291</v>
      </c>
      <c r="B401" s="24" t="s">
        <v>1459</v>
      </c>
      <c r="C401" s="24" t="s">
        <v>50</v>
      </c>
      <c r="D401" s="25">
        <v>47400.0</v>
      </c>
      <c r="E401" s="24" t="s">
        <v>92</v>
      </c>
      <c r="F401" s="24" t="s">
        <v>52</v>
      </c>
      <c r="G401" s="26">
        <v>45589.969293981485</v>
      </c>
      <c r="H401" s="26">
        <v>45742.69427083333</v>
      </c>
      <c r="I401" s="24" t="s">
        <v>40</v>
      </c>
      <c r="J401" s="24" t="s">
        <v>41</v>
      </c>
      <c r="K401" s="24" t="s">
        <v>161</v>
      </c>
      <c r="L401" s="24" t="s">
        <v>715</v>
      </c>
      <c r="M401" s="24" t="s">
        <v>44</v>
      </c>
      <c r="N401" s="24" t="s">
        <v>1460</v>
      </c>
      <c r="O401" s="24"/>
      <c r="P401" s="24"/>
      <c r="Q401" s="24"/>
      <c r="R401" s="23">
        <f>HYPERLINK("https://app.hubspot.com/contacts/8748051/record/0-2/7863723650", 7863723650)</f>
        <v>7863723650</v>
      </c>
      <c r="S401" s="24" t="s">
        <v>875</v>
      </c>
      <c r="T401" s="28" t="s">
        <v>876</v>
      </c>
      <c r="U401" s="24" t="s">
        <v>96</v>
      </c>
      <c r="V401" s="24"/>
      <c r="W401" s="25">
        <v>65400.0</v>
      </c>
      <c r="X401" s="29">
        <v>650.0</v>
      </c>
      <c r="Y401" s="29">
        <v>135.0</v>
      </c>
      <c r="Z401" s="30"/>
      <c r="AA401" s="30" t="s">
        <v>97</v>
      </c>
      <c r="AB401" s="30" t="s">
        <v>207</v>
      </c>
      <c r="AC401" s="31"/>
      <c r="AD401" s="30" t="s">
        <v>877</v>
      </c>
      <c r="AE401" s="30" t="s">
        <v>878</v>
      </c>
      <c r="AF401" s="30" t="s">
        <v>169</v>
      </c>
      <c r="AG401" s="27" t="str">
        <f t="shared" si="1"/>
        <v>New Logo</v>
      </c>
      <c r="AH401" s="27" t="str">
        <f t="shared" si="5"/>
        <v>Customer</v>
      </c>
      <c r="AI401" s="27" t="str">
        <f t="shared" si="6"/>
        <v>501-1000</v>
      </c>
      <c r="AJ401" s="27" t="str">
        <f t="shared" si="7"/>
        <v>101-500</v>
      </c>
    </row>
    <row r="402" ht="15.75" customHeight="1">
      <c r="A402" s="23">
        <f>HYPERLINK("https://app.hubspot.com/contacts/8748051/record/0-3/23161767805", 23161767805)</f>
        <v>23161767805</v>
      </c>
      <c r="B402" s="24" t="s">
        <v>1461</v>
      </c>
      <c r="C402" s="24" t="s">
        <v>38</v>
      </c>
      <c r="D402" s="25">
        <v>28500.0</v>
      </c>
      <c r="E402" s="24" t="s">
        <v>73</v>
      </c>
      <c r="F402" s="24"/>
      <c r="G402" s="26">
        <v>45576.53197916667</v>
      </c>
      <c r="H402" s="26">
        <v>45758.53123842592</v>
      </c>
      <c r="I402" s="24" t="s">
        <v>40</v>
      </c>
      <c r="J402" s="24" t="s">
        <v>41</v>
      </c>
      <c r="K402" s="24" t="s">
        <v>60</v>
      </c>
      <c r="L402" s="24" t="s">
        <v>178</v>
      </c>
      <c r="M402" s="24" t="s">
        <v>44</v>
      </c>
      <c r="N402" s="24"/>
      <c r="O402" s="24"/>
      <c r="P402" s="24"/>
      <c r="Q402" s="24"/>
      <c r="R402" s="23">
        <f>HYPERLINK("https://app.hubspot.com/contacts/8748051/record/0-2/19176647953", 19176647953)</f>
        <v>19176647953</v>
      </c>
      <c r="S402" s="24" t="s">
        <v>1462</v>
      </c>
      <c r="T402" s="28" t="s">
        <v>1463</v>
      </c>
      <c r="U402" s="24" t="s">
        <v>47</v>
      </c>
      <c r="V402" s="24"/>
      <c r="W402" s="25"/>
      <c r="X402" s="29">
        <v>190.0</v>
      </c>
      <c r="Y402" s="29">
        <v>63.0</v>
      </c>
      <c r="Z402" s="30" t="s">
        <v>71</v>
      </c>
      <c r="AA402" s="30"/>
      <c r="AB402" s="30"/>
      <c r="AC402" s="31"/>
      <c r="AD402" s="30"/>
      <c r="AE402" s="30"/>
      <c r="AF402" s="30"/>
      <c r="AG402" s="27" t="str">
        <f t="shared" si="1"/>
        <v>New Logo</v>
      </c>
      <c r="AH402" s="27" t="str">
        <f t="shared" si="5"/>
        <v>Lead</v>
      </c>
      <c r="AI402" s="27" t="str">
        <f t="shared" si="6"/>
        <v>0-200</v>
      </c>
      <c r="AJ402" s="27" t="str">
        <f t="shared" si="7"/>
        <v>51-100</v>
      </c>
    </row>
    <row r="403" ht="15.75" customHeight="1">
      <c r="A403" s="23">
        <f>HYPERLINK("https://app.hubspot.com/contacts/8748051/record/0-3/23152995192", 23152995192)</f>
        <v>23152995192</v>
      </c>
      <c r="B403" s="24" t="s">
        <v>1464</v>
      </c>
      <c r="C403" s="24" t="s">
        <v>50</v>
      </c>
      <c r="D403" s="25">
        <v>40000.0</v>
      </c>
      <c r="E403" s="24" t="s">
        <v>127</v>
      </c>
      <c r="F403" s="24" t="s">
        <v>52</v>
      </c>
      <c r="G403" s="26">
        <v>45576.361550925925</v>
      </c>
      <c r="H403" s="26">
        <v>45659.14740740741</v>
      </c>
      <c r="I403" s="24" t="s">
        <v>40</v>
      </c>
      <c r="J403" s="24" t="s">
        <v>41</v>
      </c>
      <c r="K403" s="24" t="s">
        <v>1187</v>
      </c>
      <c r="L403" s="24" t="s">
        <v>560</v>
      </c>
      <c r="M403" s="24" t="s">
        <v>74</v>
      </c>
      <c r="N403" s="24"/>
      <c r="O403" s="24" t="s">
        <v>1465</v>
      </c>
      <c r="P403" s="24"/>
      <c r="Q403" s="24" t="s">
        <v>128</v>
      </c>
      <c r="R403" s="23">
        <f>HYPERLINK("https://app.hubspot.com/contacts/8748051/record/0-2/9284099377", 9284099377)</f>
        <v>9284099377</v>
      </c>
      <c r="S403" s="24" t="s">
        <v>956</v>
      </c>
      <c r="T403" s="28" t="s">
        <v>957</v>
      </c>
      <c r="U403" s="24" t="s">
        <v>47</v>
      </c>
      <c r="V403" s="24"/>
      <c r="W403" s="25"/>
      <c r="X403" s="29">
        <v>1509.0</v>
      </c>
      <c r="Y403" s="29">
        <v>198.0</v>
      </c>
      <c r="Z403" s="30" t="s">
        <v>56</v>
      </c>
      <c r="AA403" s="30"/>
      <c r="AB403" s="31"/>
      <c r="AC403" s="31"/>
      <c r="AD403" s="30"/>
      <c r="AE403" s="30"/>
      <c r="AF403" s="30"/>
      <c r="AG403" s="27" t="str">
        <f t="shared" si="1"/>
        <v>New Logo</v>
      </c>
      <c r="AH403" s="27" t="str">
        <f t="shared" si="5"/>
        <v>Lead</v>
      </c>
      <c r="AI403" s="27" t="str">
        <f t="shared" si="6"/>
        <v>1001-5000</v>
      </c>
      <c r="AJ403" s="27" t="str">
        <f t="shared" si="7"/>
        <v>101-500</v>
      </c>
    </row>
    <row r="404" ht="15.75" customHeight="1">
      <c r="A404" s="23">
        <f>HYPERLINK("https://app.hubspot.com/contacts/8748051/record/0-3/44000384344", 44000384344)</f>
        <v>44000384344</v>
      </c>
      <c r="B404" s="24" t="s">
        <v>1466</v>
      </c>
      <c r="C404" s="24" t="s">
        <v>159</v>
      </c>
      <c r="D404" s="25">
        <v>-5600.0</v>
      </c>
      <c r="E404" s="24" t="s">
        <v>92</v>
      </c>
      <c r="F404" s="24"/>
      <c r="G404" s="26">
        <v>45575.66027777778</v>
      </c>
      <c r="H404" s="26">
        <v>45575.66028935185</v>
      </c>
      <c r="I404" s="24" t="s">
        <v>40</v>
      </c>
      <c r="J404" s="24" t="s">
        <v>160</v>
      </c>
      <c r="K404" s="24" t="s">
        <v>161</v>
      </c>
      <c r="L404" s="24" t="s">
        <v>162</v>
      </c>
      <c r="M404" s="24" t="s">
        <v>102</v>
      </c>
      <c r="N404" s="24"/>
      <c r="O404" s="27"/>
      <c r="P404" s="24"/>
      <c r="Q404" s="24"/>
      <c r="R404" s="23">
        <f>HYPERLINK("https://app.hubspot.com/contacts/8748051/record/0-2/8323876145", 8323876145)</f>
        <v>8323876145</v>
      </c>
      <c r="S404" s="24" t="s">
        <v>392</v>
      </c>
      <c r="T404" s="28" t="s">
        <v>393</v>
      </c>
      <c r="U404" s="24" t="s">
        <v>96</v>
      </c>
      <c r="V404" s="24"/>
      <c r="W404" s="25">
        <v>14000.0</v>
      </c>
      <c r="X404" s="29">
        <v>469.0</v>
      </c>
      <c r="Y404" s="29">
        <v>42.0</v>
      </c>
      <c r="Z404" s="30"/>
      <c r="AA404" s="30" t="s">
        <v>220</v>
      </c>
      <c r="AB404" s="30"/>
      <c r="AC404" s="30"/>
      <c r="AD404" s="30" t="s">
        <v>394</v>
      </c>
      <c r="AE404" s="30" t="s">
        <v>395</v>
      </c>
      <c r="AF404" s="30" t="s">
        <v>396</v>
      </c>
      <c r="AG404" s="27" t="str">
        <f t="shared" si="1"/>
        <v>Downsell</v>
      </c>
      <c r="AH404" s="27" t="str">
        <f t="shared" si="5"/>
        <v>Customer</v>
      </c>
      <c r="AI404" s="27" t="str">
        <f t="shared" si="6"/>
        <v>201-500</v>
      </c>
      <c r="AJ404" s="27" t="str">
        <f t="shared" si="7"/>
        <v>21-50</v>
      </c>
    </row>
    <row r="405" ht="15.75" customHeight="1">
      <c r="A405" s="23">
        <f>HYPERLINK("https://app.hubspot.com/contacts/8748051/record/0-3/22993440157", 22993440157)</f>
        <v>22993440157</v>
      </c>
      <c r="B405" s="24" t="s">
        <v>1467</v>
      </c>
      <c r="C405" s="24" t="s">
        <v>159</v>
      </c>
      <c r="D405" s="25">
        <v>19040.0</v>
      </c>
      <c r="E405" s="24" t="s">
        <v>92</v>
      </c>
      <c r="F405" s="24"/>
      <c r="G405" s="26">
        <v>45572.21346064815</v>
      </c>
      <c r="H405" s="26">
        <v>45572.92539351852</v>
      </c>
      <c r="I405" s="24" t="s">
        <v>40</v>
      </c>
      <c r="J405" s="24" t="s">
        <v>182</v>
      </c>
      <c r="K405" s="24" t="s">
        <v>42</v>
      </c>
      <c r="L405" s="24" t="s">
        <v>449</v>
      </c>
      <c r="M405" s="24" t="s">
        <v>44</v>
      </c>
      <c r="N405" s="24" t="s">
        <v>1468</v>
      </c>
      <c r="O405" s="24"/>
      <c r="P405" s="24"/>
      <c r="Q405" s="24"/>
      <c r="R405" s="23">
        <f>HYPERLINK("https://app.hubspot.com/contacts/8748051/record/0-2/7480085895", 7480085895)</f>
        <v>7480085895</v>
      </c>
      <c r="S405" s="24" t="s">
        <v>711</v>
      </c>
      <c r="T405" s="28" t="s">
        <v>712</v>
      </c>
      <c r="U405" s="24" t="s">
        <v>96</v>
      </c>
      <c r="V405" s="24"/>
      <c r="W405" s="25">
        <v>40000.0</v>
      </c>
      <c r="X405" s="29">
        <v>535.0</v>
      </c>
      <c r="Y405" s="29">
        <v>184.0</v>
      </c>
      <c r="Z405" s="30"/>
      <c r="AA405" s="30" t="s">
        <v>207</v>
      </c>
      <c r="AB405" s="30"/>
      <c r="AC405" s="30"/>
      <c r="AD405" s="30" t="s">
        <v>713</v>
      </c>
      <c r="AE405" s="30"/>
      <c r="AF405" s="30" t="s">
        <v>529</v>
      </c>
      <c r="AG405" s="27" t="str">
        <f t="shared" si="1"/>
        <v>Upsell</v>
      </c>
      <c r="AH405" s="27" t="str">
        <f t="shared" si="5"/>
        <v>Customer</v>
      </c>
      <c r="AI405" s="27" t="str">
        <f t="shared" si="6"/>
        <v>501-1000</v>
      </c>
      <c r="AJ405" s="27" t="str">
        <f t="shared" si="7"/>
        <v>101-500</v>
      </c>
    </row>
    <row r="406" ht="15.75" customHeight="1">
      <c r="A406" s="23">
        <f>HYPERLINK("https://app.hubspot.com/contacts/8748051/record/0-3/22993178000", 22993178000)</f>
        <v>22993178000</v>
      </c>
      <c r="B406" s="24" t="s">
        <v>1469</v>
      </c>
      <c r="C406" s="24" t="s">
        <v>159</v>
      </c>
      <c r="D406" s="25">
        <v>4320.0</v>
      </c>
      <c r="E406" s="24" t="s">
        <v>92</v>
      </c>
      <c r="F406" s="24"/>
      <c r="G406" s="26">
        <v>45572.1919212963</v>
      </c>
      <c r="H406" s="26">
        <v>45566.8796875</v>
      </c>
      <c r="I406" s="24" t="s">
        <v>40</v>
      </c>
      <c r="J406" s="24" t="s">
        <v>182</v>
      </c>
      <c r="K406" s="24" t="s">
        <v>42</v>
      </c>
      <c r="L406" s="24" t="s">
        <v>449</v>
      </c>
      <c r="M406" s="24" t="s">
        <v>44</v>
      </c>
      <c r="N406" s="24" t="s">
        <v>1470</v>
      </c>
      <c r="O406" s="24"/>
      <c r="P406" s="24"/>
      <c r="Q406" s="24"/>
      <c r="R406" s="23">
        <f>HYPERLINK("https://app.hubspot.com/contacts/8748051/record/0-2/16734679839", 16734679839)</f>
        <v>16734679839</v>
      </c>
      <c r="S406" s="24" t="s">
        <v>466</v>
      </c>
      <c r="T406" s="28" t="s">
        <v>467</v>
      </c>
      <c r="U406" s="24" t="s">
        <v>96</v>
      </c>
      <c r="V406" s="24"/>
      <c r="W406" s="25">
        <v>29912.0</v>
      </c>
      <c r="X406" s="29">
        <v>280.0</v>
      </c>
      <c r="Y406" s="29">
        <v>15.0</v>
      </c>
      <c r="Z406" s="30"/>
      <c r="AA406" s="30" t="s">
        <v>349</v>
      </c>
      <c r="AB406" s="30" t="s">
        <v>207</v>
      </c>
      <c r="AC406" s="30" t="s">
        <v>208</v>
      </c>
      <c r="AD406" s="30" t="s">
        <v>462</v>
      </c>
      <c r="AE406" s="30" t="s">
        <v>468</v>
      </c>
      <c r="AF406" s="30" t="s">
        <v>169</v>
      </c>
      <c r="AG406" s="27" t="str">
        <f t="shared" si="1"/>
        <v>Upsell</v>
      </c>
      <c r="AH406" s="27" t="str">
        <f t="shared" si="5"/>
        <v>Customer</v>
      </c>
      <c r="AI406" s="27" t="str">
        <f t="shared" si="6"/>
        <v>201-500</v>
      </c>
      <c r="AJ406" s="27" t="str">
        <f t="shared" si="7"/>
        <v>0-20</v>
      </c>
    </row>
    <row r="407" ht="15.75" customHeight="1">
      <c r="A407" s="23">
        <f>HYPERLINK("https://app.hubspot.com/contacts/8748051/record/0-3/22956973094", 22956973094)</f>
        <v>22956973094</v>
      </c>
      <c r="B407" s="24" t="s">
        <v>1471</v>
      </c>
      <c r="C407" s="24" t="s">
        <v>1228</v>
      </c>
      <c r="D407" s="25">
        <v>25000.0</v>
      </c>
      <c r="E407" s="24" t="s">
        <v>149</v>
      </c>
      <c r="F407" s="24" t="s">
        <v>52</v>
      </c>
      <c r="G407" s="26">
        <v>45572.11717592592</v>
      </c>
      <c r="H407" s="26">
        <v>45733.150775462964</v>
      </c>
      <c r="I407" s="24" t="s">
        <v>40</v>
      </c>
      <c r="J407" s="24" t="s">
        <v>182</v>
      </c>
      <c r="K407" s="24" t="s">
        <v>60</v>
      </c>
      <c r="L407" s="24" t="s">
        <v>183</v>
      </c>
      <c r="M407" s="24" t="s">
        <v>102</v>
      </c>
      <c r="N407" s="24"/>
      <c r="O407" s="24" t="s">
        <v>1472</v>
      </c>
      <c r="P407" s="24"/>
      <c r="Q407" s="24"/>
      <c r="R407" s="23">
        <f>HYPERLINK("https://app.hubspot.com/contacts/8748051/record/0-2/8513131656", 8513131656)</f>
        <v>8513131656</v>
      </c>
      <c r="S407" s="24" t="s">
        <v>857</v>
      </c>
      <c r="T407" s="28" t="s">
        <v>858</v>
      </c>
      <c r="U407" s="24" t="s">
        <v>96</v>
      </c>
      <c r="V407" s="24"/>
      <c r="W407" s="25">
        <v>25500.0</v>
      </c>
      <c r="X407" s="29">
        <v>1321.0</v>
      </c>
      <c r="Y407" s="29">
        <v>159.0</v>
      </c>
      <c r="Z407" s="30"/>
      <c r="AA407" s="30" t="s">
        <v>193</v>
      </c>
      <c r="AB407" s="30" t="s">
        <v>194</v>
      </c>
      <c r="AC407" s="30"/>
      <c r="AD407" s="30" t="s">
        <v>859</v>
      </c>
      <c r="AE407" s="31"/>
      <c r="AF407" s="30" t="s">
        <v>169</v>
      </c>
      <c r="AG407" s="27" t="str">
        <f t="shared" si="1"/>
        <v>Upsell</v>
      </c>
      <c r="AH407" s="27" t="str">
        <f t="shared" si="5"/>
        <v>Customer</v>
      </c>
      <c r="AI407" s="27" t="str">
        <f t="shared" si="6"/>
        <v>1001-5000</v>
      </c>
      <c r="AJ407" s="27" t="str">
        <f t="shared" si="7"/>
        <v>101-500</v>
      </c>
    </row>
    <row r="408" ht="15.75" customHeight="1">
      <c r="A408" s="23">
        <f>HYPERLINK("https://app.hubspot.com/contacts/8748051/record/0-3/33145621135", 33145621135)</f>
        <v>33145621135</v>
      </c>
      <c r="B408" s="24" t="s">
        <v>1473</v>
      </c>
      <c r="C408" s="24" t="s">
        <v>38</v>
      </c>
      <c r="D408" s="25">
        <v>20000.0</v>
      </c>
      <c r="E408" s="24" t="s">
        <v>73</v>
      </c>
      <c r="F408" s="24"/>
      <c r="G408" s="26">
        <v>45568.19136574074</v>
      </c>
      <c r="H408" s="26">
        <v>45750.1908912037</v>
      </c>
      <c r="I408" s="24" t="s">
        <v>40</v>
      </c>
      <c r="J408" s="24" t="s">
        <v>41</v>
      </c>
      <c r="K408" s="24" t="s">
        <v>60</v>
      </c>
      <c r="L408" s="24" t="s">
        <v>178</v>
      </c>
      <c r="M408" s="24" t="s">
        <v>44</v>
      </c>
      <c r="N408" s="24"/>
      <c r="O408" s="24"/>
      <c r="P408" s="24"/>
      <c r="Q408" s="24"/>
      <c r="R408" s="23">
        <f>HYPERLINK("https://app.hubspot.com/contacts/8748051/record/0-2/19177312942", 19177312942)</f>
        <v>19177312942</v>
      </c>
      <c r="S408" s="24" t="s">
        <v>1474</v>
      </c>
      <c r="T408" s="28" t="s">
        <v>1475</v>
      </c>
      <c r="U408" s="24" t="s">
        <v>47</v>
      </c>
      <c r="V408" s="24"/>
      <c r="W408" s="25"/>
      <c r="X408" s="29">
        <v>296.0</v>
      </c>
      <c r="Y408" s="29">
        <v>52.0</v>
      </c>
      <c r="Z408" s="30" t="s">
        <v>56</v>
      </c>
      <c r="AA408" s="30"/>
      <c r="AB408" s="31"/>
      <c r="AC408" s="31"/>
      <c r="AD408" s="30"/>
      <c r="AE408" s="31"/>
      <c r="AF408" s="30"/>
      <c r="AG408" s="27" t="str">
        <f t="shared" si="1"/>
        <v>New Logo</v>
      </c>
      <c r="AH408" s="27" t="str">
        <f t="shared" si="5"/>
        <v>Lead</v>
      </c>
      <c r="AI408" s="27" t="str">
        <f t="shared" si="6"/>
        <v>201-500</v>
      </c>
      <c r="AJ408" s="27" t="str">
        <f t="shared" si="7"/>
        <v>51-100</v>
      </c>
    </row>
    <row r="409" ht="15.75" customHeight="1">
      <c r="A409" s="23">
        <f>HYPERLINK("https://app.hubspot.com/contacts/8748051/record/0-3/22884374875", 22884374875)</f>
        <v>22884374875</v>
      </c>
      <c r="B409" s="24" t="s">
        <v>1476</v>
      </c>
      <c r="C409" s="24" t="s">
        <v>38</v>
      </c>
      <c r="D409" s="25">
        <v>100000.0</v>
      </c>
      <c r="E409" s="24" t="s">
        <v>73</v>
      </c>
      <c r="F409" s="24"/>
      <c r="G409" s="26">
        <v>45568.05578703704</v>
      </c>
      <c r="H409" s="26">
        <v>45750.05484953704</v>
      </c>
      <c r="I409" s="24" t="s">
        <v>40</v>
      </c>
      <c r="J409" s="24" t="s">
        <v>41</v>
      </c>
      <c r="K409" s="24" t="s">
        <v>60</v>
      </c>
      <c r="L409" s="24" t="s">
        <v>178</v>
      </c>
      <c r="M409" s="24" t="s">
        <v>44</v>
      </c>
      <c r="N409" s="24"/>
      <c r="O409" s="27"/>
      <c r="P409" s="24" t="s">
        <v>75</v>
      </c>
      <c r="Q409" s="24"/>
      <c r="R409" s="23">
        <f>HYPERLINK("https://app.hubspot.com/contacts/8748051/record/0-2/7700389762", 7700389762)</f>
        <v>7700389762</v>
      </c>
      <c r="S409" s="24" t="s">
        <v>1477</v>
      </c>
      <c r="T409" s="28" t="s">
        <v>1478</v>
      </c>
      <c r="U409" s="24" t="s">
        <v>47</v>
      </c>
      <c r="V409" s="24"/>
      <c r="W409" s="25"/>
      <c r="X409" s="29">
        <v>1231.0</v>
      </c>
      <c r="Y409" s="29">
        <v>438.0</v>
      </c>
      <c r="Z409" s="30"/>
      <c r="AA409" s="30"/>
      <c r="AB409" s="30"/>
      <c r="AC409" s="31"/>
      <c r="AD409" s="30"/>
      <c r="AE409" s="30"/>
      <c r="AF409" s="30"/>
      <c r="AG409" s="27" t="str">
        <f t="shared" si="1"/>
        <v>New Logo</v>
      </c>
      <c r="AH409" s="27" t="str">
        <f t="shared" si="5"/>
        <v>Lead</v>
      </c>
      <c r="AI409" s="27" t="str">
        <f t="shared" si="6"/>
        <v>1001-5000</v>
      </c>
      <c r="AJ409" s="27" t="str">
        <f t="shared" si="7"/>
        <v>101-500</v>
      </c>
    </row>
    <row r="410" ht="15.75" customHeight="1">
      <c r="A410" s="23">
        <f>HYPERLINK("https://app.hubspot.com/contacts/8748051/record/0-3/22888888079", 22888888079)</f>
        <v>22888888079</v>
      </c>
      <c r="B410" s="24" t="s">
        <v>1479</v>
      </c>
      <c r="C410" s="24" t="s">
        <v>148</v>
      </c>
      <c r="D410" s="25">
        <v>3550.0</v>
      </c>
      <c r="E410" s="24" t="s">
        <v>92</v>
      </c>
      <c r="F410" s="24" t="s">
        <v>52</v>
      </c>
      <c r="G410" s="26">
        <v>45567.91775462963</v>
      </c>
      <c r="H410" s="26">
        <v>45746.33630787037</v>
      </c>
      <c r="I410" s="24" t="s">
        <v>40</v>
      </c>
      <c r="J410" s="24" t="s">
        <v>182</v>
      </c>
      <c r="K410" s="24" t="s">
        <v>42</v>
      </c>
      <c r="L410" s="24" t="s">
        <v>162</v>
      </c>
      <c r="M410" s="24" t="s">
        <v>44</v>
      </c>
      <c r="N410" s="24" t="s">
        <v>1480</v>
      </c>
      <c r="O410" s="24"/>
      <c r="P410" s="24"/>
      <c r="Q410" s="24"/>
      <c r="R410" s="23">
        <f>HYPERLINK("https://app.hubspot.com/contacts/8748051/record/0-2/7398526599", 7398526599)</f>
        <v>7398526599</v>
      </c>
      <c r="S410" s="24" t="s">
        <v>1481</v>
      </c>
      <c r="T410" s="28" t="s">
        <v>1482</v>
      </c>
      <c r="U410" s="24" t="s">
        <v>96</v>
      </c>
      <c r="V410" s="24"/>
      <c r="W410" s="25">
        <v>28750.0</v>
      </c>
      <c r="X410" s="29">
        <v>467.0</v>
      </c>
      <c r="Y410" s="29">
        <v>50.0</v>
      </c>
      <c r="Z410" s="30"/>
      <c r="AA410" s="30" t="s">
        <v>207</v>
      </c>
      <c r="AB410" s="30"/>
      <c r="AC410" s="31"/>
      <c r="AD410" s="30" t="s">
        <v>1483</v>
      </c>
      <c r="AE410" s="30"/>
      <c r="AF410" s="30" t="s">
        <v>554</v>
      </c>
      <c r="AG410" s="27" t="str">
        <f t="shared" si="1"/>
        <v>Upsell</v>
      </c>
      <c r="AH410" s="27" t="str">
        <f t="shared" si="5"/>
        <v>Customer</v>
      </c>
      <c r="AI410" s="27" t="str">
        <f t="shared" si="6"/>
        <v>201-500</v>
      </c>
      <c r="AJ410" s="27" t="str">
        <f t="shared" si="7"/>
        <v>21-50</v>
      </c>
    </row>
    <row r="411" ht="15.75" customHeight="1">
      <c r="A411" s="23">
        <f>HYPERLINK("https://app.hubspot.com/contacts/8748051/record/0-3/22888887937", 22888887937)</f>
        <v>22888887937</v>
      </c>
      <c r="B411" s="24" t="s">
        <v>1484</v>
      </c>
      <c r="C411" s="24" t="s">
        <v>148</v>
      </c>
      <c r="D411" s="25">
        <v>9480.0</v>
      </c>
      <c r="E411" s="24" t="s">
        <v>92</v>
      </c>
      <c r="F411" s="24" t="s">
        <v>52</v>
      </c>
      <c r="G411" s="26">
        <v>45567.915972222225</v>
      </c>
      <c r="H411" s="26">
        <v>45747.35778935185</v>
      </c>
      <c r="I411" s="24" t="s">
        <v>40</v>
      </c>
      <c r="J411" s="24" t="s">
        <v>182</v>
      </c>
      <c r="K411" s="24" t="s">
        <v>60</v>
      </c>
      <c r="L411" s="24" t="s">
        <v>162</v>
      </c>
      <c r="M411" s="24" t="s">
        <v>44</v>
      </c>
      <c r="N411" s="24" t="s">
        <v>1485</v>
      </c>
      <c r="O411" s="24"/>
      <c r="P411" s="27"/>
      <c r="Q411" s="24"/>
      <c r="R411" s="23">
        <f>HYPERLINK("https://app.hubspot.com/contacts/8748051/record/0-2/8016919815", 8016919815)</f>
        <v>8016919815</v>
      </c>
      <c r="S411" s="24" t="s">
        <v>276</v>
      </c>
      <c r="T411" s="28" t="s">
        <v>277</v>
      </c>
      <c r="U411" s="24">
        <v>3.4564763E7</v>
      </c>
      <c r="V411" s="35">
        <v>46112.0</v>
      </c>
      <c r="W411" s="25">
        <v>27480.0</v>
      </c>
      <c r="X411" s="29">
        <v>301.0</v>
      </c>
      <c r="Y411" s="29">
        <v>26.0</v>
      </c>
      <c r="Z411" s="30"/>
      <c r="AA411" s="30" t="s">
        <v>97</v>
      </c>
      <c r="AB411" s="30" t="s">
        <v>207</v>
      </c>
      <c r="AC411" s="31"/>
      <c r="AD411" s="30" t="s">
        <v>278</v>
      </c>
      <c r="AE411" s="30" t="s">
        <v>279</v>
      </c>
      <c r="AF411" s="30" t="s">
        <v>211</v>
      </c>
      <c r="AG411" s="27" t="str">
        <f t="shared" si="1"/>
        <v>Upsell</v>
      </c>
      <c r="AH411" s="27" t="str">
        <f t="shared" si="5"/>
        <v>Churn</v>
      </c>
      <c r="AI411" s="27" t="str">
        <f t="shared" si="6"/>
        <v>201-500</v>
      </c>
      <c r="AJ411" s="27" t="str">
        <f t="shared" si="7"/>
        <v>21-50</v>
      </c>
    </row>
    <row r="412" ht="15.75" customHeight="1">
      <c r="A412" s="23">
        <f>HYPERLINK("https://app.hubspot.com/contacts/8748051/record/0-3/22568893263", 22568893263)</f>
        <v>22568893263</v>
      </c>
      <c r="B412" s="24" t="s">
        <v>1486</v>
      </c>
      <c r="C412" s="24" t="s">
        <v>38</v>
      </c>
      <c r="D412" s="25">
        <v>16000.0</v>
      </c>
      <c r="E412" s="24" t="s">
        <v>73</v>
      </c>
      <c r="F412" s="24"/>
      <c r="G412" s="26">
        <v>45559.141377314816</v>
      </c>
      <c r="H412" s="26">
        <v>45740.14079861111</v>
      </c>
      <c r="I412" s="24" t="s">
        <v>40</v>
      </c>
      <c r="J412" s="24" t="s">
        <v>41</v>
      </c>
      <c r="K412" s="24" t="s">
        <v>60</v>
      </c>
      <c r="L412" s="24" t="s">
        <v>178</v>
      </c>
      <c r="M412" s="24"/>
      <c r="N412" s="24"/>
      <c r="O412" s="27"/>
      <c r="P412" s="24" t="s">
        <v>75</v>
      </c>
      <c r="Q412" s="24"/>
      <c r="R412" s="23">
        <f>HYPERLINK("https://app.hubspot.com/contacts/8748051/record/0-2/7894656355", 7894656355)</f>
        <v>7894656355</v>
      </c>
      <c r="S412" s="24" t="s">
        <v>1487</v>
      </c>
      <c r="T412" s="28" t="s">
        <v>1488</v>
      </c>
      <c r="U412" s="24" t="s">
        <v>47</v>
      </c>
      <c r="V412" s="24"/>
      <c r="W412" s="25"/>
      <c r="X412" s="29">
        <v>592.0</v>
      </c>
      <c r="Y412" s="29">
        <v>44.0</v>
      </c>
      <c r="Z412" s="30" t="s">
        <v>108</v>
      </c>
      <c r="AA412" s="30"/>
      <c r="AB412" s="31"/>
      <c r="AC412" s="30"/>
      <c r="AD412" s="30"/>
      <c r="AE412" s="31"/>
      <c r="AF412" s="30"/>
      <c r="AG412" s="27" t="str">
        <f t="shared" si="1"/>
        <v>New Logo</v>
      </c>
      <c r="AH412" s="27" t="str">
        <f t="shared" si="5"/>
        <v>Lead</v>
      </c>
      <c r="AI412" s="27" t="str">
        <f t="shared" si="6"/>
        <v>501-1000</v>
      </c>
      <c r="AJ412" s="27" t="str">
        <f t="shared" si="7"/>
        <v>21-50</v>
      </c>
    </row>
    <row r="413" ht="15.75" customHeight="1">
      <c r="A413" s="23">
        <f>HYPERLINK("https://app.hubspot.com/contacts/8748051/record/0-3/22540893203", 22540893203)</f>
        <v>22540893203</v>
      </c>
      <c r="B413" s="24" t="s">
        <v>1489</v>
      </c>
      <c r="C413" s="24" t="s">
        <v>1009</v>
      </c>
      <c r="D413" s="25">
        <v>86000.0</v>
      </c>
      <c r="E413" s="24" t="s">
        <v>73</v>
      </c>
      <c r="F413" s="24"/>
      <c r="G413" s="26">
        <v>45558.353530092594</v>
      </c>
      <c r="H413" s="26">
        <v>45739.35296296296</v>
      </c>
      <c r="I413" s="24" t="s">
        <v>40</v>
      </c>
      <c r="J413" s="24" t="s">
        <v>41</v>
      </c>
      <c r="K413" s="24" t="s">
        <v>60</v>
      </c>
      <c r="L413" s="24" t="s">
        <v>178</v>
      </c>
      <c r="M413" s="24" t="s">
        <v>44</v>
      </c>
      <c r="N413" s="27"/>
      <c r="O413" s="24"/>
      <c r="P413" s="24" t="s">
        <v>213</v>
      </c>
      <c r="Q413" s="24"/>
      <c r="R413" s="23">
        <f>HYPERLINK("https://app.hubspot.com/contacts/8748051/record/0-2/10078714228", 10078714228)</f>
        <v>10078714228</v>
      </c>
      <c r="S413" s="24" t="s">
        <v>1490</v>
      </c>
      <c r="T413" s="28" t="s">
        <v>1491</v>
      </c>
      <c r="U413" s="24" t="s">
        <v>47</v>
      </c>
      <c r="V413" s="24"/>
      <c r="W413" s="32"/>
      <c r="X413" s="29">
        <v>977.0</v>
      </c>
      <c r="Y413" s="29">
        <v>194.0</v>
      </c>
      <c r="Z413" s="30" t="s">
        <v>108</v>
      </c>
      <c r="AA413" s="31"/>
      <c r="AB413" s="31"/>
      <c r="AC413" s="31"/>
      <c r="AD413" s="31"/>
      <c r="AE413" s="31"/>
      <c r="AF413" s="31"/>
      <c r="AG413" s="27" t="str">
        <f t="shared" si="1"/>
        <v>New Logo</v>
      </c>
      <c r="AH413" s="27" t="str">
        <f t="shared" si="5"/>
        <v>Lead</v>
      </c>
      <c r="AI413" s="27" t="str">
        <f t="shared" si="6"/>
        <v>501-1000</v>
      </c>
      <c r="AJ413" s="27" t="str">
        <f t="shared" si="7"/>
        <v>101-500</v>
      </c>
    </row>
    <row r="414" ht="15.75" customHeight="1">
      <c r="A414" s="23">
        <f>HYPERLINK("https://app.hubspot.com/contacts/8748051/record/0-3/22400649381", 22400649381)</f>
        <v>22400649381</v>
      </c>
      <c r="B414" s="24" t="s">
        <v>1492</v>
      </c>
      <c r="C414" s="24" t="s">
        <v>50</v>
      </c>
      <c r="D414" s="25">
        <v>30000.0</v>
      </c>
      <c r="E414" s="24" t="s">
        <v>73</v>
      </c>
      <c r="F414" s="24"/>
      <c r="G414" s="26">
        <v>45554.04628472222</v>
      </c>
      <c r="H414" s="26">
        <v>45735.04556712963</v>
      </c>
      <c r="I414" s="24" t="s">
        <v>40</v>
      </c>
      <c r="J414" s="24" t="s">
        <v>53</v>
      </c>
      <c r="K414" s="24" t="s">
        <v>60</v>
      </c>
      <c r="L414" s="24" t="s">
        <v>178</v>
      </c>
      <c r="M414" s="24" t="s">
        <v>74</v>
      </c>
      <c r="N414" s="27"/>
      <c r="O414" s="27"/>
      <c r="P414" s="24" t="s">
        <v>234</v>
      </c>
      <c r="Q414" s="24"/>
      <c r="R414" s="23">
        <f>HYPERLINK("https://app.hubspot.com/contacts/8748051/record/0-2/8347260766", 8347260766)</f>
        <v>8347260766</v>
      </c>
      <c r="S414" s="24" t="s">
        <v>1493</v>
      </c>
      <c r="T414" s="28" t="s">
        <v>1494</v>
      </c>
      <c r="U414" s="24" t="s">
        <v>47</v>
      </c>
      <c r="V414" s="24"/>
      <c r="W414" s="32"/>
      <c r="X414" s="29">
        <v>223.0</v>
      </c>
      <c r="Y414" s="29">
        <v>73.0</v>
      </c>
      <c r="Z414" s="30" t="s">
        <v>71</v>
      </c>
      <c r="AA414" s="31"/>
      <c r="AB414" s="31"/>
      <c r="AC414" s="31"/>
      <c r="AD414" s="31"/>
      <c r="AE414" s="31"/>
      <c r="AF414" s="31"/>
      <c r="AG414" s="27" t="str">
        <f t="shared" si="1"/>
        <v>New Logo</v>
      </c>
      <c r="AH414" s="27" t="str">
        <f t="shared" si="5"/>
        <v>Lead</v>
      </c>
      <c r="AI414" s="27" t="str">
        <f t="shared" si="6"/>
        <v>201-500</v>
      </c>
      <c r="AJ414" s="27" t="str">
        <f t="shared" si="7"/>
        <v>51-100</v>
      </c>
    </row>
    <row r="415" ht="15.75" customHeight="1">
      <c r="A415" s="23">
        <f>HYPERLINK("https://app.hubspot.com/contacts/8748051/record/0-3/22328831522", 22328831522)</f>
        <v>22328831522</v>
      </c>
      <c r="B415" s="24" t="s">
        <v>1495</v>
      </c>
      <c r="C415" s="24" t="s">
        <v>50</v>
      </c>
      <c r="D415" s="25">
        <v>25000.0</v>
      </c>
      <c r="E415" s="24" t="s">
        <v>127</v>
      </c>
      <c r="F415" s="24"/>
      <c r="G415" s="26">
        <v>45551.594305555554</v>
      </c>
      <c r="H415" s="26">
        <v>45732.59357638889</v>
      </c>
      <c r="I415" s="24" t="s">
        <v>40</v>
      </c>
      <c r="J415" s="24" t="s">
        <v>41</v>
      </c>
      <c r="K415" s="24" t="s">
        <v>42</v>
      </c>
      <c r="L415" s="24" t="s">
        <v>43</v>
      </c>
      <c r="M415" s="24" t="s">
        <v>44</v>
      </c>
      <c r="N415" s="27"/>
      <c r="O415" s="24"/>
      <c r="P415" s="24"/>
      <c r="Q415" s="24" t="s">
        <v>128</v>
      </c>
      <c r="R415" s="23">
        <f>HYPERLINK("https://app.hubspot.com/contacts/8748051/record/0-2/9238240308", 9238240308)</f>
        <v>9238240308</v>
      </c>
      <c r="S415" s="24" t="s">
        <v>1496</v>
      </c>
      <c r="T415" s="28" t="s">
        <v>1497</v>
      </c>
      <c r="U415" s="24" t="s">
        <v>47</v>
      </c>
      <c r="V415" s="24"/>
      <c r="W415" s="32"/>
      <c r="X415" s="29">
        <v>259.0</v>
      </c>
      <c r="Y415" s="29">
        <v>65.0</v>
      </c>
      <c r="Z415" s="30" t="s">
        <v>108</v>
      </c>
      <c r="AA415" s="31"/>
      <c r="AB415" s="31"/>
      <c r="AC415" s="31"/>
      <c r="AD415" s="31"/>
      <c r="AE415" s="31"/>
      <c r="AF415" s="31"/>
      <c r="AG415" s="27" t="str">
        <f t="shared" si="1"/>
        <v>New Logo</v>
      </c>
      <c r="AH415" s="27" t="str">
        <f t="shared" si="5"/>
        <v>Lead</v>
      </c>
      <c r="AI415" s="27" t="str">
        <f t="shared" si="6"/>
        <v>201-500</v>
      </c>
      <c r="AJ415" s="27" t="str">
        <f t="shared" si="7"/>
        <v>51-100</v>
      </c>
    </row>
    <row r="416" ht="15.75" customHeight="1">
      <c r="A416" s="23">
        <f>HYPERLINK("https://app.hubspot.com/contacts/8748051/record/0-3/22107298572", 22107298572)</f>
        <v>22107298572</v>
      </c>
      <c r="B416" s="24" t="s">
        <v>1498</v>
      </c>
      <c r="C416" s="24" t="s">
        <v>50</v>
      </c>
      <c r="D416" s="25">
        <v>20000.0</v>
      </c>
      <c r="E416" s="24" t="s">
        <v>73</v>
      </c>
      <c r="F416" s="24" t="s">
        <v>52</v>
      </c>
      <c r="G416" s="26">
        <v>45545.329039351855</v>
      </c>
      <c r="H416" s="26">
        <v>45726.32829861111</v>
      </c>
      <c r="I416" s="24" t="s">
        <v>40</v>
      </c>
      <c r="J416" s="24" t="s">
        <v>41</v>
      </c>
      <c r="K416" s="24" t="s">
        <v>42</v>
      </c>
      <c r="L416" s="24" t="s">
        <v>162</v>
      </c>
      <c r="M416" s="24" t="s">
        <v>102</v>
      </c>
      <c r="N416" s="27"/>
      <c r="O416" s="24"/>
      <c r="P416" s="24" t="s">
        <v>75</v>
      </c>
      <c r="Q416" s="24" t="s">
        <v>128</v>
      </c>
      <c r="R416" s="23">
        <f>HYPERLINK("https://app.hubspot.com/contacts/8748051/record/0-2/22876434468", 22876434468)</f>
        <v>22876434468</v>
      </c>
      <c r="S416" s="24" t="s">
        <v>1499</v>
      </c>
      <c r="T416" s="28" t="s">
        <v>1500</v>
      </c>
      <c r="U416" s="24" t="s">
        <v>47</v>
      </c>
      <c r="V416" s="24"/>
      <c r="W416" s="32"/>
      <c r="X416" s="29">
        <v>180.0</v>
      </c>
      <c r="Y416" s="29">
        <v>18.0</v>
      </c>
      <c r="Z416" s="30" t="s">
        <v>108</v>
      </c>
      <c r="AA416" s="31"/>
      <c r="AB416" s="31"/>
      <c r="AC416" s="31"/>
      <c r="AD416" s="31"/>
      <c r="AE416" s="31"/>
      <c r="AF416" s="31"/>
      <c r="AG416" s="27" t="str">
        <f t="shared" si="1"/>
        <v>New Logo</v>
      </c>
      <c r="AH416" s="27" t="str">
        <f t="shared" si="5"/>
        <v>Lead</v>
      </c>
      <c r="AI416" s="27" t="str">
        <f t="shared" si="6"/>
        <v>0-200</v>
      </c>
      <c r="AJ416" s="27" t="str">
        <f t="shared" si="7"/>
        <v>0-20</v>
      </c>
    </row>
    <row r="417" ht="15.75" customHeight="1">
      <c r="A417" s="23">
        <f>HYPERLINK("https://app.hubspot.com/contacts/8748051/record/0-3/22087993731", 22087993731)</f>
        <v>22087993731</v>
      </c>
      <c r="B417" s="24" t="s">
        <v>1501</v>
      </c>
      <c r="C417" s="24" t="s">
        <v>50</v>
      </c>
      <c r="D417" s="25">
        <v>25000.0</v>
      </c>
      <c r="E417" s="24" t="s">
        <v>149</v>
      </c>
      <c r="F417" s="24" t="s">
        <v>52</v>
      </c>
      <c r="G417" s="26">
        <v>45544.571180555555</v>
      </c>
      <c r="H417" s="26">
        <v>45692.53457175926</v>
      </c>
      <c r="I417" s="24" t="s">
        <v>40</v>
      </c>
      <c r="J417" s="24" t="s">
        <v>41</v>
      </c>
      <c r="K417" s="24" t="s">
        <v>42</v>
      </c>
      <c r="L417" s="24" t="s">
        <v>43</v>
      </c>
      <c r="M417" s="24" t="s">
        <v>44</v>
      </c>
      <c r="N417" s="27"/>
      <c r="O417" s="24" t="s">
        <v>1502</v>
      </c>
      <c r="P417" s="24"/>
      <c r="Q417" s="24"/>
      <c r="R417" s="23">
        <f>HYPERLINK("https://app.hubspot.com/contacts/8748051/record/0-2/8051981464", 8051981464)</f>
        <v>8051981464</v>
      </c>
      <c r="S417" s="24" t="s">
        <v>1503</v>
      </c>
      <c r="T417" s="28" t="s">
        <v>1504</v>
      </c>
      <c r="U417" s="24" t="s">
        <v>47</v>
      </c>
      <c r="V417" s="24"/>
      <c r="W417" s="32"/>
      <c r="X417" s="29">
        <v>923.0</v>
      </c>
      <c r="Y417" s="29">
        <v>79.0</v>
      </c>
      <c r="Z417" s="30" t="s">
        <v>108</v>
      </c>
      <c r="AA417" s="31"/>
      <c r="AB417" s="31"/>
      <c r="AC417" s="31"/>
      <c r="AD417" s="31"/>
      <c r="AE417" s="31"/>
      <c r="AF417" s="31"/>
      <c r="AG417" s="27" t="str">
        <f t="shared" si="1"/>
        <v>New Logo</v>
      </c>
      <c r="AH417" s="27" t="str">
        <f t="shared" si="5"/>
        <v>Lead</v>
      </c>
      <c r="AI417" s="27" t="str">
        <f t="shared" si="6"/>
        <v>501-1000</v>
      </c>
      <c r="AJ417" s="27" t="str">
        <f t="shared" si="7"/>
        <v>51-100</v>
      </c>
    </row>
    <row r="418" ht="15.75" customHeight="1">
      <c r="A418" s="23">
        <f>HYPERLINK("https://app.hubspot.com/contacts/8748051/record/0-3/21930764698", 21930764698)</f>
        <v>21930764698</v>
      </c>
      <c r="B418" s="24" t="s">
        <v>1505</v>
      </c>
      <c r="C418" s="24" t="s">
        <v>1009</v>
      </c>
      <c r="D418" s="25">
        <v>3000.0</v>
      </c>
      <c r="E418" s="24" t="s">
        <v>73</v>
      </c>
      <c r="F418" s="24"/>
      <c r="G418" s="26">
        <v>45539.40109953703</v>
      </c>
      <c r="H418" s="26">
        <v>45720.35869212963</v>
      </c>
      <c r="I418" s="24" t="s">
        <v>40</v>
      </c>
      <c r="J418" s="24" t="s">
        <v>41</v>
      </c>
      <c r="K418" s="24" t="s">
        <v>42</v>
      </c>
      <c r="L418" s="24" t="s">
        <v>43</v>
      </c>
      <c r="M418" s="24" t="s">
        <v>44</v>
      </c>
      <c r="N418" s="27"/>
      <c r="O418" s="24"/>
      <c r="P418" s="24" t="s">
        <v>234</v>
      </c>
      <c r="Q418" s="24"/>
      <c r="R418" s="23">
        <f>HYPERLINK("https://app.hubspot.com/contacts/8748051/record/0-2/22740307127", 22740307127)</f>
        <v>22740307127</v>
      </c>
      <c r="S418" s="24" t="s">
        <v>1506</v>
      </c>
      <c r="T418" s="28" t="s">
        <v>1507</v>
      </c>
      <c r="U418" s="24" t="s">
        <v>47</v>
      </c>
      <c r="V418" s="24"/>
      <c r="W418" s="32"/>
      <c r="X418" s="29">
        <v>45.0</v>
      </c>
      <c r="Y418" s="29">
        <v>6.0</v>
      </c>
      <c r="Z418" s="30"/>
      <c r="AA418" s="31"/>
      <c r="AB418" s="31"/>
      <c r="AC418" s="31"/>
      <c r="AD418" s="31"/>
      <c r="AE418" s="31"/>
      <c r="AF418" s="31"/>
      <c r="AG418" s="27" t="str">
        <f t="shared" si="1"/>
        <v>New Logo</v>
      </c>
      <c r="AH418" s="27" t="str">
        <f t="shared" si="5"/>
        <v>Lead</v>
      </c>
      <c r="AI418" s="27" t="str">
        <f t="shared" si="6"/>
        <v>0-200</v>
      </c>
      <c r="AJ418" s="27" t="str">
        <f t="shared" si="7"/>
        <v>0-20</v>
      </c>
    </row>
    <row r="419" ht="15.75" customHeight="1">
      <c r="A419" s="23">
        <f>HYPERLINK("https://app.hubspot.com/contacts/8748051/record/0-3/21923430176", 21923430176)</f>
        <v>21923430176</v>
      </c>
      <c r="B419" s="24" t="s">
        <v>1508</v>
      </c>
      <c r="C419" s="24" t="s">
        <v>38</v>
      </c>
      <c r="D419" s="25">
        <v>22500.0</v>
      </c>
      <c r="E419" s="24" t="s">
        <v>127</v>
      </c>
      <c r="F419" s="24" t="s">
        <v>52</v>
      </c>
      <c r="G419" s="26">
        <v>45539.112280092595</v>
      </c>
      <c r="H419" s="26">
        <v>45720.06997685185</v>
      </c>
      <c r="I419" s="24" t="s">
        <v>40</v>
      </c>
      <c r="J419" s="24" t="s">
        <v>41</v>
      </c>
      <c r="K419" s="24" t="s">
        <v>42</v>
      </c>
      <c r="L419" s="24" t="s">
        <v>43</v>
      </c>
      <c r="M419" s="24" t="s">
        <v>74</v>
      </c>
      <c r="N419" s="24"/>
      <c r="O419" s="24"/>
      <c r="P419" s="24"/>
      <c r="Q419" s="24" t="s">
        <v>144</v>
      </c>
      <c r="R419" s="23">
        <f>HYPERLINK("https://app.hubspot.com/contacts/8748051/record/0-2/8872992577", 8872992577)</f>
        <v>8872992577</v>
      </c>
      <c r="S419" s="24" t="s">
        <v>1509</v>
      </c>
      <c r="T419" s="28" t="s">
        <v>1510</v>
      </c>
      <c r="U419" s="24" t="s">
        <v>47</v>
      </c>
      <c r="V419" s="24"/>
      <c r="W419" s="25"/>
      <c r="X419" s="29">
        <v>528.0</v>
      </c>
      <c r="Y419" s="29">
        <v>47.0</v>
      </c>
      <c r="Z419" s="30"/>
      <c r="AA419" s="30"/>
      <c r="AB419" s="31"/>
      <c r="AC419" s="31"/>
      <c r="AD419" s="30"/>
      <c r="AE419" s="30"/>
      <c r="AF419" s="30"/>
      <c r="AG419" s="27" t="str">
        <f t="shared" si="1"/>
        <v>New Logo</v>
      </c>
      <c r="AH419" s="27" t="str">
        <f t="shared" si="5"/>
        <v>Lead</v>
      </c>
      <c r="AI419" s="27" t="str">
        <f t="shared" si="6"/>
        <v>501-1000</v>
      </c>
      <c r="AJ419" s="27" t="str">
        <f t="shared" si="7"/>
        <v>21-50</v>
      </c>
    </row>
    <row r="420" ht="15.75" customHeight="1">
      <c r="A420" s="23">
        <f>HYPERLINK("https://app.hubspot.com/contacts/8748051/record/0-3/21885759058", 21885759058)</f>
        <v>21885759058</v>
      </c>
      <c r="B420" s="24" t="s">
        <v>1511</v>
      </c>
      <c r="C420" s="24" t="s">
        <v>1009</v>
      </c>
      <c r="D420" s="25">
        <v>190000.0</v>
      </c>
      <c r="E420" s="24" t="s">
        <v>127</v>
      </c>
      <c r="F420" s="24" t="s">
        <v>52</v>
      </c>
      <c r="G420" s="26">
        <v>45538.154814814814</v>
      </c>
      <c r="H420" s="26">
        <v>45659.14766203704</v>
      </c>
      <c r="I420" s="24" t="s">
        <v>40</v>
      </c>
      <c r="J420" s="24" t="s">
        <v>53</v>
      </c>
      <c r="K420" s="24" t="s">
        <v>42</v>
      </c>
      <c r="L420" s="24" t="s">
        <v>43</v>
      </c>
      <c r="M420" s="24" t="s">
        <v>74</v>
      </c>
      <c r="N420" s="27"/>
      <c r="O420" s="24" t="s">
        <v>1465</v>
      </c>
      <c r="P420" s="24"/>
      <c r="Q420" s="24" t="s">
        <v>128</v>
      </c>
      <c r="R420" s="23">
        <f>HYPERLINK("https://app.hubspot.com/contacts/8748051/record/0-2/9238340021", 9238340021)</f>
        <v>9238340021</v>
      </c>
      <c r="S420" s="28" t="s">
        <v>1512</v>
      </c>
      <c r="T420" s="28" t="s">
        <v>1513</v>
      </c>
      <c r="U420" s="24" t="s">
        <v>47</v>
      </c>
      <c r="V420" s="24"/>
      <c r="W420" s="32"/>
      <c r="X420" s="29">
        <v>2251.0</v>
      </c>
      <c r="Y420" s="29">
        <v>316.0</v>
      </c>
      <c r="Z420" s="30" t="s">
        <v>372</v>
      </c>
      <c r="AA420" s="31"/>
      <c r="AB420" s="31"/>
      <c r="AC420" s="31"/>
      <c r="AD420" s="31"/>
      <c r="AE420" s="31"/>
      <c r="AF420" s="31"/>
      <c r="AG420" s="27" t="str">
        <f t="shared" si="1"/>
        <v>New Logo</v>
      </c>
      <c r="AH420" s="27" t="str">
        <f t="shared" si="5"/>
        <v>Lead</v>
      </c>
      <c r="AI420" s="27" t="str">
        <f t="shared" si="6"/>
        <v>1001-5000</v>
      </c>
      <c r="AJ420" s="27" t="str">
        <f t="shared" si="7"/>
        <v>101-500</v>
      </c>
    </row>
    <row r="421" ht="15.75" customHeight="1">
      <c r="A421" s="23">
        <f>HYPERLINK("https://app.hubspot.com/contacts/8748051/record/0-3/21883397208", 21883397208)</f>
        <v>21883397208</v>
      </c>
      <c r="B421" s="24" t="s">
        <v>1514</v>
      </c>
      <c r="C421" s="24" t="s">
        <v>38</v>
      </c>
      <c r="D421" s="25">
        <v>65500.0</v>
      </c>
      <c r="E421" s="24" t="s">
        <v>73</v>
      </c>
      <c r="F421" s="24"/>
      <c r="G421" s="26">
        <v>45538.096400462964</v>
      </c>
      <c r="H421" s="26">
        <v>45719.05384259259</v>
      </c>
      <c r="I421" s="24" t="s">
        <v>40</v>
      </c>
      <c r="J421" s="24" t="s">
        <v>41</v>
      </c>
      <c r="K421" s="24" t="s">
        <v>60</v>
      </c>
      <c r="L421" s="24" t="s">
        <v>178</v>
      </c>
      <c r="M421" s="24" t="s">
        <v>74</v>
      </c>
      <c r="N421" s="24"/>
      <c r="O421" s="27"/>
      <c r="P421" s="24" t="s">
        <v>75</v>
      </c>
      <c r="Q421" s="24"/>
      <c r="R421" s="23">
        <f>HYPERLINK("https://app.hubspot.com/contacts/8748051/record/0-2/7822864173", 7822864173)</f>
        <v>7822864173</v>
      </c>
      <c r="S421" s="24" t="s">
        <v>1515</v>
      </c>
      <c r="T421" s="28" t="s">
        <v>1516</v>
      </c>
      <c r="U421" s="24" t="s">
        <v>47</v>
      </c>
      <c r="V421" s="24"/>
      <c r="W421" s="25"/>
      <c r="X421" s="29">
        <v>813.0</v>
      </c>
      <c r="Y421" s="29">
        <v>145.0</v>
      </c>
      <c r="Z421" s="30" t="s">
        <v>56</v>
      </c>
      <c r="AA421" s="30"/>
      <c r="AB421" s="30"/>
      <c r="AC421" s="31"/>
      <c r="AD421" s="30"/>
      <c r="AE421" s="30"/>
      <c r="AF421" s="30"/>
      <c r="AG421" s="27" t="str">
        <f t="shared" si="1"/>
        <v>New Logo</v>
      </c>
      <c r="AH421" s="27" t="str">
        <f t="shared" si="5"/>
        <v>Lead</v>
      </c>
      <c r="AI421" s="27" t="str">
        <f t="shared" si="6"/>
        <v>501-1000</v>
      </c>
      <c r="AJ421" s="27" t="str">
        <f t="shared" si="7"/>
        <v>101-500</v>
      </c>
    </row>
    <row r="422" ht="15.75" customHeight="1">
      <c r="A422" s="23">
        <f>HYPERLINK("https://app.hubspot.com/contacts/8748051/record/0-3/21719639574", 21719639574)</f>
        <v>21719639574</v>
      </c>
      <c r="B422" s="24" t="s">
        <v>1517</v>
      </c>
      <c r="C422" s="24" t="s">
        <v>38</v>
      </c>
      <c r="D422" s="25">
        <v>60000.0</v>
      </c>
      <c r="E422" s="24" t="s">
        <v>578</v>
      </c>
      <c r="F422" s="24" t="s">
        <v>52</v>
      </c>
      <c r="G422" s="26">
        <v>45530.47287037037</v>
      </c>
      <c r="H422" s="26">
        <v>45896.640810185185</v>
      </c>
      <c r="I422" s="24" t="s">
        <v>40</v>
      </c>
      <c r="J422" s="24" t="s">
        <v>53</v>
      </c>
      <c r="K422" s="24" t="s">
        <v>60</v>
      </c>
      <c r="L422" s="24" t="s">
        <v>183</v>
      </c>
      <c r="M422" s="24" t="s">
        <v>74</v>
      </c>
      <c r="N422" s="24"/>
      <c r="O422" s="24"/>
      <c r="P422" s="27"/>
      <c r="Q422" s="24"/>
      <c r="R422" s="23">
        <f>HYPERLINK("https://app.hubspot.com/contacts/8748051/record/0-2/9238339652", 9238339652)</f>
        <v>9238339652</v>
      </c>
      <c r="S422" s="24" t="s">
        <v>1518</v>
      </c>
      <c r="T422" s="28" t="s">
        <v>1519</v>
      </c>
      <c r="U422" s="24" t="s">
        <v>47</v>
      </c>
      <c r="V422" s="24"/>
      <c r="W422" s="25"/>
      <c r="X422" s="29">
        <v>2300.0</v>
      </c>
      <c r="Y422" s="29">
        <v>363.0</v>
      </c>
      <c r="Z422" s="30" t="s">
        <v>1520</v>
      </c>
      <c r="AA422" s="30"/>
      <c r="AB422" s="31"/>
      <c r="AC422" s="30"/>
      <c r="AD422" s="30"/>
      <c r="AE422" s="31"/>
      <c r="AF422" s="30"/>
      <c r="AG422" s="27" t="str">
        <f t="shared" si="1"/>
        <v>New Logo</v>
      </c>
      <c r="AH422" s="27" t="str">
        <f t="shared" si="5"/>
        <v>Lead</v>
      </c>
      <c r="AI422" s="27" t="str">
        <f t="shared" si="6"/>
        <v>1001-5000</v>
      </c>
      <c r="AJ422" s="27" t="str">
        <f t="shared" si="7"/>
        <v>101-500</v>
      </c>
    </row>
    <row r="423" ht="15.75" customHeight="1">
      <c r="A423" s="23">
        <f>HYPERLINK("https://app.hubspot.com/contacts/8748051/record/0-3/21610246772", 21610246772)</f>
        <v>21610246772</v>
      </c>
      <c r="B423" s="24" t="s">
        <v>1521</v>
      </c>
      <c r="C423" s="24" t="s">
        <v>1009</v>
      </c>
      <c r="D423" s="25">
        <v>25000.0</v>
      </c>
      <c r="E423" s="24" t="s">
        <v>127</v>
      </c>
      <c r="F423" s="24"/>
      <c r="G423" s="26">
        <v>45525.445231481484</v>
      </c>
      <c r="H423" s="26">
        <v>45838.410092592596</v>
      </c>
      <c r="I423" s="24" t="s">
        <v>40</v>
      </c>
      <c r="J423" s="24" t="s">
        <v>41</v>
      </c>
      <c r="K423" s="24" t="s">
        <v>60</v>
      </c>
      <c r="L423" s="24" t="s">
        <v>178</v>
      </c>
      <c r="M423" s="24" t="s">
        <v>44</v>
      </c>
      <c r="N423" s="24"/>
      <c r="O423" s="27"/>
      <c r="P423" s="24"/>
      <c r="Q423" s="24" t="s">
        <v>128</v>
      </c>
      <c r="R423" s="23">
        <f>HYPERLINK("https://app.hubspot.com/contacts/8748051/record/0-2/8142427002", 8142427002)</f>
        <v>8142427002</v>
      </c>
      <c r="S423" s="24" t="s">
        <v>1522</v>
      </c>
      <c r="T423" s="28" t="s">
        <v>1523</v>
      </c>
      <c r="U423" s="24" t="s">
        <v>47</v>
      </c>
      <c r="V423" s="24"/>
      <c r="W423" s="25"/>
      <c r="X423" s="29">
        <v>405.0</v>
      </c>
      <c r="Y423" s="29">
        <v>69.0</v>
      </c>
      <c r="Z423" s="30" t="s">
        <v>64</v>
      </c>
      <c r="AA423" s="30"/>
      <c r="AB423" s="30"/>
      <c r="AC423" s="31"/>
      <c r="AD423" s="30"/>
      <c r="AE423" s="30"/>
      <c r="AF423" s="30"/>
      <c r="AG423" s="27" t="str">
        <f t="shared" si="1"/>
        <v>New Logo</v>
      </c>
      <c r="AH423" s="27" t="str">
        <f t="shared" si="5"/>
        <v>Lead</v>
      </c>
      <c r="AI423" s="27" t="str">
        <f t="shared" si="6"/>
        <v>201-500</v>
      </c>
      <c r="AJ423" s="27" t="str">
        <f t="shared" si="7"/>
        <v>51-100</v>
      </c>
    </row>
    <row r="424" ht="15.75" customHeight="1">
      <c r="A424" s="23">
        <f>HYPERLINK("https://app.hubspot.com/contacts/8748051/record/0-3/21513448375", 21513448375)</f>
        <v>21513448375</v>
      </c>
      <c r="B424" s="24" t="s">
        <v>1524</v>
      </c>
      <c r="C424" s="24" t="s">
        <v>1009</v>
      </c>
      <c r="D424" s="25">
        <v>32000.0</v>
      </c>
      <c r="E424" s="24" t="s">
        <v>127</v>
      </c>
      <c r="F424" s="24" t="s">
        <v>52</v>
      </c>
      <c r="G424" s="26">
        <v>45519.55574074074</v>
      </c>
      <c r="H424" s="26">
        <v>45930.42868055555</v>
      </c>
      <c r="I424" s="24" t="s">
        <v>40</v>
      </c>
      <c r="J424" s="24" t="s">
        <v>41</v>
      </c>
      <c r="K424" s="24" t="s">
        <v>60</v>
      </c>
      <c r="L424" s="24" t="s">
        <v>183</v>
      </c>
      <c r="M424" s="24" t="s">
        <v>44</v>
      </c>
      <c r="N424" s="24"/>
      <c r="O424" s="27"/>
      <c r="P424" s="24"/>
      <c r="Q424" s="24" t="s">
        <v>568</v>
      </c>
      <c r="R424" s="23">
        <f>HYPERLINK("https://app.hubspot.com/contacts/8748051/record/0-2/22428892599", 22428892599)</f>
        <v>22428892599</v>
      </c>
      <c r="S424" s="24" t="s">
        <v>1525</v>
      </c>
      <c r="T424" s="28" t="s">
        <v>1526</v>
      </c>
      <c r="U424" s="24" t="s">
        <v>47</v>
      </c>
      <c r="V424" s="24"/>
      <c r="W424" s="25"/>
      <c r="X424" s="29">
        <v>155.0</v>
      </c>
      <c r="Y424" s="29">
        <v>24.0</v>
      </c>
      <c r="Z424" s="30"/>
      <c r="AA424" s="31"/>
      <c r="AB424" s="31"/>
      <c r="AC424" s="31"/>
      <c r="AD424" s="31"/>
      <c r="AE424" s="31"/>
      <c r="AF424" s="31"/>
      <c r="AG424" s="27" t="str">
        <f t="shared" si="1"/>
        <v>New Logo</v>
      </c>
      <c r="AH424" s="27" t="str">
        <f t="shared" si="5"/>
        <v>Lead</v>
      </c>
      <c r="AI424" s="27" t="str">
        <f t="shared" si="6"/>
        <v>0-200</v>
      </c>
      <c r="AJ424" s="27" t="str">
        <f t="shared" si="7"/>
        <v>21-50</v>
      </c>
    </row>
    <row r="425" ht="15.75" customHeight="1">
      <c r="A425" s="23">
        <f>HYPERLINK("https://app.hubspot.com/contacts/8748051/record/0-3/21376931417", 21376931417)</f>
        <v>21376931417</v>
      </c>
      <c r="B425" s="24" t="s">
        <v>1527</v>
      </c>
      <c r="C425" s="24" t="s">
        <v>1009</v>
      </c>
      <c r="D425" s="25">
        <v>100000.0</v>
      </c>
      <c r="E425" s="24" t="s">
        <v>73</v>
      </c>
      <c r="F425" s="24" t="s">
        <v>52</v>
      </c>
      <c r="G425" s="26">
        <v>45518.160092592596</v>
      </c>
      <c r="H425" s="26">
        <v>45897.23596064815</v>
      </c>
      <c r="I425" s="24" t="s">
        <v>40</v>
      </c>
      <c r="J425" s="24" t="s">
        <v>53</v>
      </c>
      <c r="K425" s="24" t="s">
        <v>60</v>
      </c>
      <c r="L425" s="24" t="s">
        <v>178</v>
      </c>
      <c r="M425" s="24" t="s">
        <v>74</v>
      </c>
      <c r="N425" s="24"/>
      <c r="O425" s="27"/>
      <c r="P425" s="24" t="s">
        <v>122</v>
      </c>
      <c r="Q425" s="24"/>
      <c r="R425" s="23">
        <f>HYPERLINK("https://app.hubspot.com/contacts/8748051/record/0-2/19176224866", 19176224866)</f>
        <v>19176224866</v>
      </c>
      <c r="S425" s="24" t="s">
        <v>1528</v>
      </c>
      <c r="T425" s="28" t="s">
        <v>1529</v>
      </c>
      <c r="U425" s="24" t="s">
        <v>47</v>
      </c>
      <c r="V425" s="24"/>
      <c r="W425" s="25"/>
      <c r="X425" s="29">
        <v>7593.0</v>
      </c>
      <c r="Y425" s="29">
        <v>305.0</v>
      </c>
      <c r="Z425" s="30" t="s">
        <v>108</v>
      </c>
      <c r="AA425" s="30"/>
      <c r="AB425" s="31"/>
      <c r="AC425" s="31"/>
      <c r="AD425" s="30"/>
      <c r="AE425" s="30"/>
      <c r="AF425" s="30"/>
      <c r="AG425" s="27" t="str">
        <f t="shared" si="1"/>
        <v>New Logo</v>
      </c>
      <c r="AH425" s="27" t="str">
        <f t="shared" si="5"/>
        <v>Lead</v>
      </c>
      <c r="AI425" s="27" t="str">
        <f t="shared" si="6"/>
        <v>5000-10000</v>
      </c>
      <c r="AJ425" s="27" t="str">
        <f t="shared" si="7"/>
        <v>101-500</v>
      </c>
    </row>
    <row r="426" ht="15.75" customHeight="1">
      <c r="A426" s="23">
        <f>HYPERLINK("https://app.hubspot.com/contacts/8748051/record/0-3/21320662952", 21320662952)</f>
        <v>21320662952</v>
      </c>
      <c r="B426" s="24" t="s">
        <v>1530</v>
      </c>
      <c r="C426" s="24" t="s">
        <v>38</v>
      </c>
      <c r="D426" s="25">
        <v>100000.0</v>
      </c>
      <c r="E426" s="24" t="s">
        <v>73</v>
      </c>
      <c r="F426" s="24"/>
      <c r="G426" s="26">
        <v>45517.1841087963</v>
      </c>
      <c r="H426" s="26">
        <v>45701.14179398148</v>
      </c>
      <c r="I426" s="24" t="s">
        <v>40</v>
      </c>
      <c r="J426" s="24" t="s">
        <v>53</v>
      </c>
      <c r="K426" s="24" t="s">
        <v>60</v>
      </c>
      <c r="L426" s="24" t="s">
        <v>178</v>
      </c>
      <c r="M426" s="24" t="s">
        <v>74</v>
      </c>
      <c r="N426" s="24"/>
      <c r="O426" s="27"/>
      <c r="P426" s="24"/>
      <c r="Q426" s="24"/>
      <c r="R426" s="23">
        <f>HYPERLINK("https://app.hubspot.com/contacts/8748051/record/0-2/30038830182", 30038830182)</f>
        <v>30038830182</v>
      </c>
      <c r="S426" s="24" t="s">
        <v>1531</v>
      </c>
      <c r="T426" s="28" t="s">
        <v>1532</v>
      </c>
      <c r="U426" s="24" t="s">
        <v>47</v>
      </c>
      <c r="V426" s="24"/>
      <c r="W426" s="25"/>
      <c r="X426" s="29">
        <v>3194.0</v>
      </c>
      <c r="Y426" s="29">
        <v>810.0</v>
      </c>
      <c r="Z426" s="30" t="s">
        <v>795</v>
      </c>
      <c r="AA426" s="30"/>
      <c r="AB426" s="31"/>
      <c r="AC426" s="31"/>
      <c r="AD426" s="30"/>
      <c r="AE426" s="30"/>
      <c r="AF426" s="30"/>
      <c r="AG426" s="27" t="str">
        <f t="shared" si="1"/>
        <v>New Logo</v>
      </c>
      <c r="AH426" s="27" t="str">
        <f t="shared" si="5"/>
        <v>Lead</v>
      </c>
      <c r="AI426" s="27" t="str">
        <f t="shared" si="6"/>
        <v>1001-5000</v>
      </c>
      <c r="AJ426" s="27" t="str">
        <f t="shared" si="7"/>
        <v>500+</v>
      </c>
    </row>
    <row r="427" ht="15.75" customHeight="1">
      <c r="A427" s="23">
        <f>HYPERLINK("https://app.hubspot.com/contacts/8748051/record/0-3/21320074868", 21320074868)</f>
        <v>21320074868</v>
      </c>
      <c r="B427" s="24" t="s">
        <v>1533</v>
      </c>
      <c r="C427" s="24" t="s">
        <v>1009</v>
      </c>
      <c r="D427" s="25">
        <v>25000.0</v>
      </c>
      <c r="E427" s="24" t="s">
        <v>127</v>
      </c>
      <c r="F427" s="24" t="s">
        <v>52</v>
      </c>
      <c r="G427" s="26">
        <v>45517.12747685185</v>
      </c>
      <c r="H427" s="26">
        <v>45838.166550925926</v>
      </c>
      <c r="I427" s="24" t="s">
        <v>40</v>
      </c>
      <c r="J427" s="24" t="s">
        <v>53</v>
      </c>
      <c r="K427" s="24" t="s">
        <v>60</v>
      </c>
      <c r="L427" s="24" t="s">
        <v>178</v>
      </c>
      <c r="M427" s="24" t="s">
        <v>102</v>
      </c>
      <c r="N427" s="24"/>
      <c r="O427" s="27"/>
      <c r="P427" s="24"/>
      <c r="Q427" s="24" t="s">
        <v>144</v>
      </c>
      <c r="R427" s="23">
        <f>HYPERLINK("https://app.hubspot.com/contacts/8748051/record/0-2/6262678542", 6262678542)</f>
        <v>6262678542</v>
      </c>
      <c r="S427" s="24" t="s">
        <v>1534</v>
      </c>
      <c r="T427" s="28" t="s">
        <v>1535</v>
      </c>
      <c r="U427" s="24" t="s">
        <v>47</v>
      </c>
      <c r="V427" s="24"/>
      <c r="W427" s="25"/>
      <c r="X427" s="29">
        <v>9891.0</v>
      </c>
      <c r="Y427" s="29">
        <v>606.0</v>
      </c>
      <c r="Z427" s="30"/>
      <c r="AA427" s="30"/>
      <c r="AB427" s="31"/>
      <c r="AC427" s="31"/>
      <c r="AD427" s="30"/>
      <c r="AE427" s="30"/>
      <c r="AF427" s="30"/>
      <c r="AG427" s="27" t="str">
        <f t="shared" si="1"/>
        <v>New Logo</v>
      </c>
      <c r="AH427" s="27" t="str">
        <f t="shared" si="5"/>
        <v>Lead</v>
      </c>
      <c r="AI427" s="27" t="str">
        <f t="shared" si="6"/>
        <v>5000-10000</v>
      </c>
      <c r="AJ427" s="27" t="str">
        <f t="shared" si="7"/>
        <v>500+</v>
      </c>
    </row>
    <row r="428" ht="15.75" customHeight="1">
      <c r="A428" s="23">
        <f>HYPERLINK("https://app.hubspot.com/contacts/8748051/record/0-3/21188021669", 21188021669)</f>
        <v>21188021669</v>
      </c>
      <c r="B428" s="24" t="s">
        <v>1536</v>
      </c>
      <c r="C428" s="24" t="s">
        <v>1228</v>
      </c>
      <c r="D428" s="25">
        <v>21000.0</v>
      </c>
      <c r="E428" s="24" t="s">
        <v>92</v>
      </c>
      <c r="F428" s="24" t="s">
        <v>52</v>
      </c>
      <c r="G428" s="26">
        <v>45510.21648148148</v>
      </c>
      <c r="H428" s="26">
        <v>45601.33327546297</v>
      </c>
      <c r="I428" s="24" t="s">
        <v>40</v>
      </c>
      <c r="J428" s="24" t="s">
        <v>41</v>
      </c>
      <c r="K428" s="24" t="s">
        <v>42</v>
      </c>
      <c r="L428" s="24" t="s">
        <v>43</v>
      </c>
      <c r="M428" s="24" t="s">
        <v>102</v>
      </c>
      <c r="N428" s="24" t="s">
        <v>1537</v>
      </c>
      <c r="O428" s="27"/>
      <c r="P428" s="24"/>
      <c r="Q428" s="24"/>
      <c r="R428" s="23">
        <f>HYPERLINK("https://app.hubspot.com/contacts/8748051/record/0-2/8741219622", 8741219622)</f>
        <v>8741219622</v>
      </c>
      <c r="S428" s="24" t="s">
        <v>310</v>
      </c>
      <c r="T428" s="28" t="s">
        <v>311</v>
      </c>
      <c r="U428" s="24" t="s">
        <v>96</v>
      </c>
      <c r="V428" s="24"/>
      <c r="W428" s="25">
        <v>23500.0</v>
      </c>
      <c r="X428" s="29">
        <v>262.0</v>
      </c>
      <c r="Y428" s="29">
        <v>34.0</v>
      </c>
      <c r="Z428" s="30"/>
      <c r="AA428" s="30" t="s">
        <v>220</v>
      </c>
      <c r="AB428" s="30"/>
      <c r="AC428" s="31"/>
      <c r="AD428" s="30" t="s">
        <v>312</v>
      </c>
      <c r="AE428" s="30" t="s">
        <v>313</v>
      </c>
      <c r="AF428" s="30" t="s">
        <v>188</v>
      </c>
      <c r="AG428" s="27" t="str">
        <f t="shared" si="1"/>
        <v>New Logo</v>
      </c>
      <c r="AH428" s="27" t="str">
        <f t="shared" si="5"/>
        <v>Customer</v>
      </c>
      <c r="AI428" s="27" t="str">
        <f t="shared" si="6"/>
        <v>201-500</v>
      </c>
      <c r="AJ428" s="27" t="str">
        <f t="shared" si="7"/>
        <v>21-50</v>
      </c>
    </row>
    <row r="429" ht="15.75" customHeight="1">
      <c r="A429" s="23">
        <f>HYPERLINK("https://app.hubspot.com/contacts/8748051/record/0-3/21114190631", 21114190631)</f>
        <v>21114190631</v>
      </c>
      <c r="B429" s="24" t="s">
        <v>1538</v>
      </c>
      <c r="C429" s="24" t="s">
        <v>50</v>
      </c>
      <c r="D429" s="25">
        <v>22000.0</v>
      </c>
      <c r="E429" s="24" t="s">
        <v>127</v>
      </c>
      <c r="F429" s="24" t="s">
        <v>52</v>
      </c>
      <c r="G429" s="26">
        <v>45505.45753472222</v>
      </c>
      <c r="H429" s="26">
        <v>45838.40740740741</v>
      </c>
      <c r="I429" s="24" t="s">
        <v>40</v>
      </c>
      <c r="J429" s="24" t="s">
        <v>53</v>
      </c>
      <c r="K429" s="24" t="s">
        <v>60</v>
      </c>
      <c r="L429" s="24" t="s">
        <v>183</v>
      </c>
      <c r="M429" s="24" t="s">
        <v>44</v>
      </c>
      <c r="N429" s="27"/>
      <c r="O429" s="27"/>
      <c r="P429" s="24"/>
      <c r="Q429" s="24" t="s">
        <v>128</v>
      </c>
      <c r="R429" s="23">
        <f>HYPERLINK("https://app.hubspot.com/contacts/8748051/record/0-2/6815283286", 6815283286)</f>
        <v>6815283286</v>
      </c>
      <c r="S429" s="24" t="s">
        <v>1539</v>
      </c>
      <c r="T429" s="28" t="s">
        <v>1540</v>
      </c>
      <c r="U429" s="24" t="s">
        <v>47</v>
      </c>
      <c r="V429" s="24"/>
      <c r="W429" s="25"/>
      <c r="X429" s="29">
        <v>256.0</v>
      </c>
      <c r="Y429" s="29">
        <v>45.0</v>
      </c>
      <c r="Z429" s="30" t="s">
        <v>1541</v>
      </c>
      <c r="AA429" s="30"/>
      <c r="AB429" s="30"/>
      <c r="AC429" s="31"/>
      <c r="AD429" s="30"/>
      <c r="AE429" s="31"/>
      <c r="AF429" s="30"/>
      <c r="AG429" s="27" t="str">
        <f t="shared" si="1"/>
        <v>New Logo</v>
      </c>
      <c r="AH429" s="27" t="str">
        <f t="shared" si="5"/>
        <v>Lead</v>
      </c>
      <c r="AI429" s="27" t="str">
        <f t="shared" si="6"/>
        <v>201-500</v>
      </c>
      <c r="AJ429" s="27" t="str">
        <f t="shared" si="7"/>
        <v>21-50</v>
      </c>
    </row>
    <row r="430" ht="15.75" customHeight="1">
      <c r="A430" s="23">
        <f>HYPERLINK("https://app.hubspot.com/contacts/8748051/record/0-3/43983454997", 43983454997)</f>
        <v>43983454997</v>
      </c>
      <c r="B430" s="24" t="s">
        <v>1542</v>
      </c>
      <c r="C430" s="24" t="s">
        <v>159</v>
      </c>
      <c r="D430" s="25">
        <v>9060.0</v>
      </c>
      <c r="E430" s="24" t="s">
        <v>92</v>
      </c>
      <c r="F430" s="24"/>
      <c r="G430" s="26">
        <v>45497.659780092596</v>
      </c>
      <c r="H430" s="26">
        <v>45497.659791666665</v>
      </c>
      <c r="I430" s="24" t="s">
        <v>40</v>
      </c>
      <c r="J430" s="24" t="s">
        <v>182</v>
      </c>
      <c r="K430" s="24" t="s">
        <v>161</v>
      </c>
      <c r="L430" s="24" t="s">
        <v>162</v>
      </c>
      <c r="M430" s="24" t="s">
        <v>44</v>
      </c>
      <c r="N430" s="24"/>
      <c r="O430" s="27"/>
      <c r="P430" s="24"/>
      <c r="Q430" s="24"/>
      <c r="R430" s="23">
        <f>HYPERLINK("https://app.hubspot.com/contacts/8748051/record/0-2/8340612199", 8340612199)</f>
        <v>8340612199</v>
      </c>
      <c r="S430" s="24" t="s">
        <v>1543</v>
      </c>
      <c r="T430" s="28" t="s">
        <v>1544</v>
      </c>
      <c r="U430" s="24" t="s">
        <v>96</v>
      </c>
      <c r="V430" s="24"/>
      <c r="W430" s="25">
        <v>16560.0</v>
      </c>
      <c r="X430" s="29">
        <v>129.0</v>
      </c>
      <c r="Y430" s="29">
        <v>15.0</v>
      </c>
      <c r="Z430" s="30"/>
      <c r="AA430" s="30" t="s">
        <v>194</v>
      </c>
      <c r="AB430" s="30" t="s">
        <v>349</v>
      </c>
      <c r="AC430" s="31"/>
      <c r="AD430" s="30" t="s">
        <v>1545</v>
      </c>
      <c r="AE430" s="30"/>
      <c r="AF430" s="30" t="s">
        <v>169</v>
      </c>
      <c r="AG430" s="27" t="str">
        <f t="shared" si="1"/>
        <v>Upsell</v>
      </c>
      <c r="AH430" s="27" t="str">
        <f t="shared" si="5"/>
        <v>Customer</v>
      </c>
      <c r="AI430" s="27" t="str">
        <f t="shared" si="6"/>
        <v>0-200</v>
      </c>
      <c r="AJ430" s="27" t="str">
        <f t="shared" si="7"/>
        <v>0-20</v>
      </c>
    </row>
    <row r="431" ht="15.75" customHeight="1">
      <c r="A431" s="23">
        <f>HYPERLINK("https://app.hubspot.com/contacts/8748051/record/0-3/20902616950", 20902616950)</f>
        <v>20902616950</v>
      </c>
      <c r="B431" s="24" t="s">
        <v>1546</v>
      </c>
      <c r="C431" s="24" t="s">
        <v>38</v>
      </c>
      <c r="D431" s="25">
        <v>19200.0</v>
      </c>
      <c r="E431" s="24" t="s">
        <v>73</v>
      </c>
      <c r="F431" s="24"/>
      <c r="G431" s="26">
        <v>45495.39304398148</v>
      </c>
      <c r="H431" s="26">
        <v>45679.391122685185</v>
      </c>
      <c r="I431" s="24" t="s">
        <v>40</v>
      </c>
      <c r="J431" s="24" t="s">
        <v>41</v>
      </c>
      <c r="K431" s="24" t="s">
        <v>1187</v>
      </c>
      <c r="L431" s="24" t="s">
        <v>560</v>
      </c>
      <c r="M431" s="24" t="s">
        <v>44</v>
      </c>
      <c r="N431" s="24"/>
      <c r="O431" s="27"/>
      <c r="P431" s="24"/>
      <c r="Q431" s="24"/>
      <c r="R431" s="23">
        <f>HYPERLINK("https://app.hubspot.com/contacts/8748051/record/0-2/7984212237", 7984212237)</f>
        <v>7984212237</v>
      </c>
      <c r="S431" s="24" t="s">
        <v>1547</v>
      </c>
      <c r="T431" s="28" t="s">
        <v>1548</v>
      </c>
      <c r="U431" s="24" t="s">
        <v>47</v>
      </c>
      <c r="V431" s="24"/>
      <c r="W431" s="25"/>
      <c r="X431" s="29">
        <v>524.0</v>
      </c>
      <c r="Y431" s="29">
        <v>61.0</v>
      </c>
      <c r="Z431" s="30" t="s">
        <v>108</v>
      </c>
      <c r="AA431" s="30"/>
      <c r="AB431" s="31"/>
      <c r="AC431" s="31"/>
      <c r="AD431" s="30"/>
      <c r="AE431" s="30"/>
      <c r="AF431" s="30"/>
      <c r="AG431" s="27" t="str">
        <f t="shared" si="1"/>
        <v>New Logo</v>
      </c>
      <c r="AH431" s="27" t="str">
        <f t="shared" si="5"/>
        <v>Lead</v>
      </c>
      <c r="AI431" s="27" t="str">
        <f t="shared" si="6"/>
        <v>501-1000</v>
      </c>
      <c r="AJ431" s="27" t="str">
        <f t="shared" si="7"/>
        <v>51-100</v>
      </c>
    </row>
    <row r="432" ht="15.75" customHeight="1">
      <c r="A432" s="23">
        <f>HYPERLINK("https://app.hubspot.com/contacts/8748051/record/0-3/20829052298", 20829052298)</f>
        <v>20829052298</v>
      </c>
      <c r="B432" s="24" t="s">
        <v>1549</v>
      </c>
      <c r="C432" s="24" t="s">
        <v>1228</v>
      </c>
      <c r="D432" s="25">
        <v>8500.0</v>
      </c>
      <c r="E432" s="24" t="s">
        <v>92</v>
      </c>
      <c r="F432" s="24" t="s">
        <v>52</v>
      </c>
      <c r="G432" s="26">
        <v>45491.04329861111</v>
      </c>
      <c r="H432" s="26">
        <v>45628.43445601852</v>
      </c>
      <c r="I432" s="24" t="s">
        <v>40</v>
      </c>
      <c r="J432" s="24" t="s">
        <v>41</v>
      </c>
      <c r="K432" s="24" t="s">
        <v>42</v>
      </c>
      <c r="L432" s="24" t="s">
        <v>43</v>
      </c>
      <c r="M432" s="24" t="s">
        <v>74</v>
      </c>
      <c r="N432" s="24" t="s">
        <v>1550</v>
      </c>
      <c r="O432" s="24"/>
      <c r="P432" s="24"/>
      <c r="Q432" s="24"/>
      <c r="R432" s="23">
        <f>HYPERLINK("https://app.hubspot.com/contacts/8748051/record/0-2/21926460338", 21926460338)</f>
        <v>21926460338</v>
      </c>
      <c r="S432" s="24" t="s">
        <v>218</v>
      </c>
      <c r="T432" s="28" t="s">
        <v>219</v>
      </c>
      <c r="U432" s="24" t="s">
        <v>96</v>
      </c>
      <c r="V432" s="24"/>
      <c r="W432" s="25">
        <v>12368.0</v>
      </c>
      <c r="X432" s="29">
        <v>134.0</v>
      </c>
      <c r="Y432" s="29">
        <v>16.0</v>
      </c>
      <c r="Z432" s="30"/>
      <c r="AA432" s="30" t="s">
        <v>220</v>
      </c>
      <c r="AB432" s="31"/>
      <c r="AC432" s="31"/>
      <c r="AD432" s="30" t="s">
        <v>221</v>
      </c>
      <c r="AE432" s="30" t="s">
        <v>222</v>
      </c>
      <c r="AF432" s="30" t="s">
        <v>169</v>
      </c>
      <c r="AG432" s="27" t="str">
        <f t="shared" si="1"/>
        <v>New Logo</v>
      </c>
      <c r="AH432" s="27" t="str">
        <f t="shared" si="5"/>
        <v>Customer</v>
      </c>
      <c r="AI432" s="27" t="str">
        <f t="shared" si="6"/>
        <v>0-200</v>
      </c>
      <c r="AJ432" s="27" t="str">
        <f t="shared" si="7"/>
        <v>0-20</v>
      </c>
    </row>
    <row r="433" ht="15.75" customHeight="1">
      <c r="A433" s="23">
        <f>HYPERLINK("https://app.hubspot.com/contacts/8748051/record/0-3/20638198658", 20638198658)</f>
        <v>20638198658</v>
      </c>
      <c r="B433" s="24" t="s">
        <v>1551</v>
      </c>
      <c r="C433" s="24" t="s">
        <v>148</v>
      </c>
      <c r="D433" s="25">
        <v>0.0</v>
      </c>
      <c r="E433" s="24" t="s">
        <v>92</v>
      </c>
      <c r="F433" s="24"/>
      <c r="G433" s="26">
        <v>45482.687060185184</v>
      </c>
      <c r="H433" s="26">
        <v>45489.36719907408</v>
      </c>
      <c r="I433" s="24" t="s">
        <v>40</v>
      </c>
      <c r="J433" s="24" t="s">
        <v>41</v>
      </c>
      <c r="K433" s="24" t="s">
        <v>60</v>
      </c>
      <c r="L433" s="24" t="s">
        <v>183</v>
      </c>
      <c r="M433" s="24" t="s">
        <v>44</v>
      </c>
      <c r="N433" s="24" t="s">
        <v>1552</v>
      </c>
      <c r="O433" s="24"/>
      <c r="P433" s="27"/>
      <c r="Q433" s="24"/>
      <c r="R433" s="23">
        <f>HYPERLINK("https://app.hubspot.com/contacts/8748051/record/0-2/21824549432", 21824549432)</f>
        <v>21824549432</v>
      </c>
      <c r="S433" s="24" t="s">
        <v>1553</v>
      </c>
      <c r="T433" s="28" t="s">
        <v>1554</v>
      </c>
      <c r="U433" s="24">
        <v>3.4564763E7</v>
      </c>
      <c r="V433" s="35">
        <v>45852.0</v>
      </c>
      <c r="W433" s="25">
        <v>0.0</v>
      </c>
      <c r="X433" s="29">
        <v>10.0</v>
      </c>
      <c r="Y433" s="29">
        <v>1.0</v>
      </c>
      <c r="Z433" s="30"/>
      <c r="AA433" s="30"/>
      <c r="AB433" s="30"/>
      <c r="AC433" s="31"/>
      <c r="AD433" s="30"/>
      <c r="AE433" s="30"/>
      <c r="AF433" s="30"/>
      <c r="AG433" s="27" t="str">
        <f t="shared" si="1"/>
        <v>New Logo</v>
      </c>
      <c r="AH433" s="27" t="str">
        <f t="shared" si="5"/>
        <v>Churn</v>
      </c>
      <c r="AI433" s="27" t="str">
        <f t="shared" si="6"/>
        <v>0-200</v>
      </c>
      <c r="AJ433" s="27" t="str">
        <f t="shared" si="7"/>
        <v>0-20</v>
      </c>
    </row>
    <row r="434" ht="15.75" customHeight="1">
      <c r="A434" s="23">
        <f>HYPERLINK("https://app.hubspot.com/contacts/8748051/record/0-3/20614218619", 20614218619)</f>
        <v>20614218619</v>
      </c>
      <c r="B434" s="24" t="s">
        <v>1555</v>
      </c>
      <c r="C434" s="24" t="s">
        <v>148</v>
      </c>
      <c r="D434" s="25">
        <v>240.0</v>
      </c>
      <c r="E434" s="24" t="s">
        <v>73</v>
      </c>
      <c r="F434" s="24"/>
      <c r="G434" s="26">
        <v>45481.60733796296</v>
      </c>
      <c r="H434" s="26">
        <v>45665.565405092595</v>
      </c>
      <c r="I434" s="24" t="s">
        <v>40</v>
      </c>
      <c r="J434" s="24" t="s">
        <v>41</v>
      </c>
      <c r="K434" s="24" t="s">
        <v>42</v>
      </c>
      <c r="L434" s="24" t="s">
        <v>43</v>
      </c>
      <c r="M434" s="24" t="s">
        <v>44</v>
      </c>
      <c r="N434" s="27"/>
      <c r="O434" s="24"/>
      <c r="P434" s="24"/>
      <c r="Q434" s="24"/>
      <c r="R434" s="23">
        <f>HYPERLINK("https://app.hubspot.com/contacts/8748051/record/0-2/21708541544", 21708541544)</f>
        <v>21708541544</v>
      </c>
      <c r="S434" s="24" t="s">
        <v>1556</v>
      </c>
      <c r="T434" s="28" t="s">
        <v>1557</v>
      </c>
      <c r="U434" s="24" t="s">
        <v>47</v>
      </c>
      <c r="V434" s="24"/>
      <c r="W434" s="32"/>
      <c r="X434" s="29">
        <v>34.0</v>
      </c>
      <c r="Y434" s="29">
        <v>1.0</v>
      </c>
      <c r="Z434" s="30"/>
      <c r="AA434" s="31"/>
      <c r="AB434" s="31"/>
      <c r="AC434" s="31"/>
      <c r="AD434" s="31"/>
      <c r="AE434" s="31"/>
      <c r="AF434" s="31"/>
      <c r="AG434" s="27" t="str">
        <f t="shared" si="1"/>
        <v>New Logo</v>
      </c>
      <c r="AH434" s="27" t="str">
        <f t="shared" si="5"/>
        <v>Lead</v>
      </c>
      <c r="AI434" s="27" t="str">
        <f t="shared" si="6"/>
        <v>0-200</v>
      </c>
      <c r="AJ434" s="27" t="str">
        <f t="shared" si="7"/>
        <v>0-20</v>
      </c>
    </row>
    <row r="435" ht="15.75" customHeight="1">
      <c r="A435" s="23">
        <f>HYPERLINK("https://app.hubspot.com/contacts/8748051/record/0-3/20614218499", 20614218499)</f>
        <v>20614218499</v>
      </c>
      <c r="B435" s="24" t="s">
        <v>1558</v>
      </c>
      <c r="C435" s="24" t="s">
        <v>1009</v>
      </c>
      <c r="D435" s="25">
        <v>7920.0</v>
      </c>
      <c r="E435" s="24" t="s">
        <v>73</v>
      </c>
      <c r="F435" s="27"/>
      <c r="G435" s="26">
        <v>45481.60666666667</v>
      </c>
      <c r="H435" s="26">
        <v>45665.56475694444</v>
      </c>
      <c r="I435" s="24" t="s">
        <v>40</v>
      </c>
      <c r="J435" s="24" t="s">
        <v>41</v>
      </c>
      <c r="K435" s="24" t="s">
        <v>559</v>
      </c>
      <c r="L435" s="24" t="s">
        <v>560</v>
      </c>
      <c r="M435" s="24" t="s">
        <v>44</v>
      </c>
      <c r="N435" s="27"/>
      <c r="O435" s="27"/>
      <c r="P435" s="24" t="s">
        <v>122</v>
      </c>
      <c r="Q435" s="27"/>
      <c r="R435" s="23">
        <f>HYPERLINK("https://app.hubspot.com/contacts/8748051/record/0-2/7831515192", 7831515192)</f>
        <v>7831515192</v>
      </c>
      <c r="S435" s="24" t="s">
        <v>1559</v>
      </c>
      <c r="T435" s="28" t="s">
        <v>1560</v>
      </c>
      <c r="U435" s="24" t="s">
        <v>47</v>
      </c>
      <c r="V435" s="24"/>
      <c r="W435" s="32"/>
      <c r="X435" s="29">
        <v>200.0</v>
      </c>
      <c r="Y435" s="29">
        <v>56.0</v>
      </c>
      <c r="Z435" s="30" t="s">
        <v>71</v>
      </c>
      <c r="AA435" s="31"/>
      <c r="AB435" s="31"/>
      <c r="AC435" s="31"/>
      <c r="AD435" s="31"/>
      <c r="AE435" s="31"/>
      <c r="AF435" s="31"/>
      <c r="AG435" s="27" t="str">
        <f t="shared" si="1"/>
        <v>New Logo</v>
      </c>
      <c r="AH435" s="27" t="str">
        <f t="shared" si="5"/>
        <v>Lead</v>
      </c>
      <c r="AI435" s="27" t="str">
        <f t="shared" si="6"/>
        <v>0-200</v>
      </c>
      <c r="AJ435" s="27" t="str">
        <f t="shared" si="7"/>
        <v>51-100</v>
      </c>
    </row>
    <row r="436" ht="15.75" customHeight="1">
      <c r="A436" s="23">
        <f>HYPERLINK("https://app.hubspot.com/contacts/8748051/record/0-3/20608745328", 20608745328)</f>
        <v>20608745328</v>
      </c>
      <c r="B436" s="24" t="s">
        <v>1561</v>
      </c>
      <c r="C436" s="24" t="s">
        <v>1009</v>
      </c>
      <c r="D436" s="25">
        <v>23760.0</v>
      </c>
      <c r="E436" s="24" t="s">
        <v>73</v>
      </c>
      <c r="F436" s="24"/>
      <c r="G436" s="26">
        <v>45481.43167824074</v>
      </c>
      <c r="H436" s="26">
        <v>45665.3896875</v>
      </c>
      <c r="I436" s="24" t="s">
        <v>40</v>
      </c>
      <c r="J436" s="24" t="s">
        <v>41</v>
      </c>
      <c r="K436" s="24" t="s">
        <v>559</v>
      </c>
      <c r="L436" s="24" t="s">
        <v>560</v>
      </c>
      <c r="M436" s="24" t="s">
        <v>44</v>
      </c>
      <c r="N436" s="24"/>
      <c r="O436" s="27"/>
      <c r="P436" s="24"/>
      <c r="Q436" s="24"/>
      <c r="R436" s="23">
        <f>HYPERLINK("https://app.hubspot.com/contacts/8748051/record/0-2/19176601210", 19176601210)</f>
        <v>19176601210</v>
      </c>
      <c r="S436" s="24" t="s">
        <v>1562</v>
      </c>
      <c r="T436" s="28" t="s">
        <v>1563</v>
      </c>
      <c r="U436" s="24" t="s">
        <v>47</v>
      </c>
      <c r="V436" s="24"/>
      <c r="W436" s="25"/>
      <c r="X436" s="29">
        <v>1051.0</v>
      </c>
      <c r="Y436" s="29">
        <v>88.0</v>
      </c>
      <c r="Z436" s="30" t="s">
        <v>108</v>
      </c>
      <c r="AA436" s="30"/>
      <c r="AB436" s="31"/>
      <c r="AC436" s="30"/>
      <c r="AD436" s="30"/>
      <c r="AE436" s="31"/>
      <c r="AF436" s="30"/>
      <c r="AG436" s="27" t="str">
        <f t="shared" si="1"/>
        <v>New Logo</v>
      </c>
      <c r="AH436" s="27" t="str">
        <f t="shared" si="5"/>
        <v>Lead</v>
      </c>
      <c r="AI436" s="27" t="str">
        <f t="shared" si="6"/>
        <v>1001-5000</v>
      </c>
      <c r="AJ436" s="27" t="str">
        <f t="shared" si="7"/>
        <v>51-100</v>
      </c>
    </row>
    <row r="437" ht="15.75" customHeight="1">
      <c r="A437" s="23">
        <f>HYPERLINK("https://app.hubspot.com/contacts/8748051/record/0-3/20604661097", 20604661097)</f>
        <v>20604661097</v>
      </c>
      <c r="B437" s="24" t="s">
        <v>1564</v>
      </c>
      <c r="C437" s="24" t="s">
        <v>1009</v>
      </c>
      <c r="D437" s="25">
        <v>25000.0</v>
      </c>
      <c r="E437" s="24" t="s">
        <v>73</v>
      </c>
      <c r="F437" s="24"/>
      <c r="G437" s="26">
        <v>45481.32408564815</v>
      </c>
      <c r="H437" s="26">
        <v>45596.32376157407</v>
      </c>
      <c r="I437" s="24" t="s">
        <v>40</v>
      </c>
      <c r="J437" s="24" t="s">
        <v>41</v>
      </c>
      <c r="K437" s="24" t="s">
        <v>42</v>
      </c>
      <c r="L437" s="24" t="s">
        <v>43</v>
      </c>
      <c r="M437" s="24" t="s">
        <v>74</v>
      </c>
      <c r="N437" s="24"/>
      <c r="O437" s="27"/>
      <c r="P437" s="24" t="s">
        <v>75</v>
      </c>
      <c r="Q437" s="24"/>
      <c r="R437" s="23">
        <f>HYPERLINK("https://app.hubspot.com/contacts/8748051/record/0-2/21741925895", 21741925895)</f>
        <v>21741925895</v>
      </c>
      <c r="S437" s="24" t="s">
        <v>1565</v>
      </c>
      <c r="T437" s="28" t="s">
        <v>1566</v>
      </c>
      <c r="U437" s="24" t="s">
        <v>47</v>
      </c>
      <c r="V437" s="24"/>
      <c r="W437" s="25"/>
      <c r="X437" s="29">
        <v>81.0</v>
      </c>
      <c r="Y437" s="29">
        <v>10.0</v>
      </c>
      <c r="Z437" s="30"/>
      <c r="AA437" s="30"/>
      <c r="AB437" s="31"/>
      <c r="AC437" s="31"/>
      <c r="AD437" s="30"/>
      <c r="AE437" s="31"/>
      <c r="AF437" s="30"/>
      <c r="AG437" s="27" t="str">
        <f t="shared" si="1"/>
        <v>New Logo</v>
      </c>
      <c r="AH437" s="27" t="str">
        <f t="shared" si="5"/>
        <v>Lead</v>
      </c>
      <c r="AI437" s="27" t="str">
        <f t="shared" si="6"/>
        <v>0-200</v>
      </c>
      <c r="AJ437" s="27" t="str">
        <f t="shared" si="7"/>
        <v>0-20</v>
      </c>
    </row>
    <row r="438" ht="15.75" customHeight="1">
      <c r="A438" s="23">
        <f>HYPERLINK("https://app.hubspot.com/contacts/8748051/record/0-3/20487492353", 20487492353)</f>
        <v>20487492353</v>
      </c>
      <c r="B438" s="24" t="s">
        <v>1567</v>
      </c>
      <c r="C438" s="24" t="s">
        <v>1009</v>
      </c>
      <c r="D438" s="25">
        <v>30480.0</v>
      </c>
      <c r="E438" s="24" t="s">
        <v>127</v>
      </c>
      <c r="F438" s="24" t="s">
        <v>52</v>
      </c>
      <c r="G438" s="26">
        <v>45475.578252314815</v>
      </c>
      <c r="H438" s="26">
        <v>45659.53640046297</v>
      </c>
      <c r="I438" s="24" t="s">
        <v>40</v>
      </c>
      <c r="J438" s="24" t="s">
        <v>41</v>
      </c>
      <c r="K438" s="24" t="s">
        <v>559</v>
      </c>
      <c r="L438" s="24" t="s">
        <v>560</v>
      </c>
      <c r="M438" s="24" t="s">
        <v>44</v>
      </c>
      <c r="N438" s="24"/>
      <c r="O438" s="24"/>
      <c r="P438" s="24"/>
      <c r="Q438" s="24" t="s">
        <v>1568</v>
      </c>
      <c r="R438" s="23">
        <f>HYPERLINK("https://app.hubspot.com/contacts/8748051/record/0-2/19176601204", 19176601204)</f>
        <v>19176601204</v>
      </c>
      <c r="S438" s="24" t="s">
        <v>1569</v>
      </c>
      <c r="T438" s="28" t="s">
        <v>1570</v>
      </c>
      <c r="U438" s="24" t="s">
        <v>47</v>
      </c>
      <c r="V438" s="24"/>
      <c r="W438" s="25"/>
      <c r="X438" s="29">
        <v>689.0</v>
      </c>
      <c r="Y438" s="29">
        <v>156.0</v>
      </c>
      <c r="Z438" s="30" t="s">
        <v>56</v>
      </c>
      <c r="AA438" s="30"/>
      <c r="AB438" s="31"/>
      <c r="AC438" s="30"/>
      <c r="AD438" s="30"/>
      <c r="AE438" s="31"/>
      <c r="AF438" s="30"/>
      <c r="AG438" s="27" t="str">
        <f t="shared" si="1"/>
        <v>New Logo</v>
      </c>
      <c r="AH438" s="27" t="str">
        <f t="shared" si="5"/>
        <v>Lead</v>
      </c>
      <c r="AI438" s="27" t="str">
        <f t="shared" si="6"/>
        <v>501-1000</v>
      </c>
      <c r="AJ438" s="27" t="str">
        <f t="shared" si="7"/>
        <v>101-500</v>
      </c>
    </row>
    <row r="439" ht="15.75" customHeight="1">
      <c r="A439" s="23">
        <f>HYPERLINK("https://app.hubspot.com/contacts/8748051/record/0-3/20484752740", 20484752740)</f>
        <v>20484752740</v>
      </c>
      <c r="B439" s="24" t="s">
        <v>1571</v>
      </c>
      <c r="C439" s="24" t="s">
        <v>50</v>
      </c>
      <c r="D439" s="25">
        <v>25200.0</v>
      </c>
      <c r="E439" s="24" t="s">
        <v>73</v>
      </c>
      <c r="F439" s="24" t="s">
        <v>52</v>
      </c>
      <c r="G439" s="26">
        <v>45475.43533564815</v>
      </c>
      <c r="H439" s="26">
        <v>45838.67729166667</v>
      </c>
      <c r="I439" s="24" t="s">
        <v>40</v>
      </c>
      <c r="J439" s="24" t="s">
        <v>41</v>
      </c>
      <c r="K439" s="24" t="s">
        <v>559</v>
      </c>
      <c r="L439" s="24" t="s">
        <v>560</v>
      </c>
      <c r="M439" s="24" t="s">
        <v>44</v>
      </c>
      <c r="N439" s="27"/>
      <c r="O439" s="24"/>
      <c r="P439" s="24" t="s">
        <v>75</v>
      </c>
      <c r="Q439" s="24"/>
      <c r="R439" s="23">
        <f>HYPERLINK("https://app.hubspot.com/contacts/8748051/record/0-2/19176688712", 19176688712)</f>
        <v>19176688712</v>
      </c>
      <c r="S439" s="24" t="s">
        <v>1572</v>
      </c>
      <c r="T439" s="28" t="s">
        <v>1573</v>
      </c>
      <c r="U439" s="24" t="s">
        <v>47</v>
      </c>
      <c r="V439" s="24"/>
      <c r="W439" s="32"/>
      <c r="X439" s="29">
        <v>187.0</v>
      </c>
      <c r="Y439" s="29">
        <v>114.0</v>
      </c>
      <c r="Z439" s="30" t="s">
        <v>108</v>
      </c>
      <c r="AA439" s="31"/>
      <c r="AB439" s="31"/>
      <c r="AC439" s="31"/>
      <c r="AD439" s="31"/>
      <c r="AE439" s="31"/>
      <c r="AF439" s="31"/>
      <c r="AG439" s="27" t="str">
        <f t="shared" si="1"/>
        <v>New Logo</v>
      </c>
      <c r="AH439" s="27" t="str">
        <f t="shared" si="5"/>
        <v>Lead</v>
      </c>
      <c r="AI439" s="27" t="str">
        <f t="shared" si="6"/>
        <v>0-200</v>
      </c>
      <c r="AJ439" s="27" t="str">
        <f t="shared" si="7"/>
        <v>101-500</v>
      </c>
    </row>
    <row r="440" ht="15.75" customHeight="1">
      <c r="A440" s="23">
        <f>HYPERLINK("https://app.hubspot.com/contacts/8748051/record/0-3/20470019409", 20470019409)</f>
        <v>20470019409</v>
      </c>
      <c r="B440" s="24" t="s">
        <v>1574</v>
      </c>
      <c r="C440" s="24" t="s">
        <v>148</v>
      </c>
      <c r="D440" s="25">
        <v>5040.0</v>
      </c>
      <c r="E440" s="24" t="s">
        <v>73</v>
      </c>
      <c r="F440" s="24"/>
      <c r="G440" s="26">
        <v>45474.75126157407</v>
      </c>
      <c r="H440" s="26">
        <v>45658.709386574075</v>
      </c>
      <c r="I440" s="24" t="s">
        <v>40</v>
      </c>
      <c r="J440" s="24" t="s">
        <v>41</v>
      </c>
      <c r="K440" s="24" t="s">
        <v>42</v>
      </c>
      <c r="L440" s="24" t="s">
        <v>43</v>
      </c>
      <c r="M440" s="24" t="s">
        <v>44</v>
      </c>
      <c r="N440" s="24"/>
      <c r="O440" s="24"/>
      <c r="P440" s="24" t="s">
        <v>234</v>
      </c>
      <c r="Q440" s="24"/>
      <c r="R440" s="23">
        <f>HYPERLINK("https://app.hubspot.com/contacts/8748051/record/0-2/7646130300", 7646130300)</f>
        <v>7646130300</v>
      </c>
      <c r="S440" s="24" t="s">
        <v>1575</v>
      </c>
      <c r="T440" s="28" t="s">
        <v>1576</v>
      </c>
      <c r="U440" s="24" t="s">
        <v>47</v>
      </c>
      <c r="V440" s="24"/>
      <c r="W440" s="25"/>
      <c r="X440" s="29">
        <v>295.0</v>
      </c>
      <c r="Y440" s="29">
        <v>38.0</v>
      </c>
      <c r="Z440" s="30"/>
      <c r="AA440" s="30"/>
      <c r="AB440" s="31"/>
      <c r="AC440" s="30"/>
      <c r="AD440" s="30"/>
      <c r="AE440" s="30"/>
      <c r="AF440" s="30"/>
      <c r="AG440" s="27" t="str">
        <f t="shared" si="1"/>
        <v>New Logo</v>
      </c>
      <c r="AH440" s="27" t="str">
        <f t="shared" si="5"/>
        <v>Lead</v>
      </c>
      <c r="AI440" s="27" t="str">
        <f t="shared" si="6"/>
        <v>201-500</v>
      </c>
      <c r="AJ440" s="27" t="str">
        <f t="shared" si="7"/>
        <v>21-50</v>
      </c>
    </row>
    <row r="441" ht="15.75" customHeight="1">
      <c r="A441" s="23">
        <f>HYPERLINK("https://app.hubspot.com/contacts/8748051/record/0-3/20470019342", 20470019342)</f>
        <v>20470019342</v>
      </c>
      <c r="B441" s="24" t="s">
        <v>1577</v>
      </c>
      <c r="C441" s="24" t="s">
        <v>1009</v>
      </c>
      <c r="D441" s="25">
        <v>54480.0</v>
      </c>
      <c r="E441" s="24" t="s">
        <v>127</v>
      </c>
      <c r="F441" s="24" t="s">
        <v>52</v>
      </c>
      <c r="G441" s="26">
        <v>45474.750555555554</v>
      </c>
      <c r="H441" s="26">
        <v>45838.49841435185</v>
      </c>
      <c r="I441" s="24" t="s">
        <v>40</v>
      </c>
      <c r="J441" s="24" t="s">
        <v>53</v>
      </c>
      <c r="K441" s="24" t="s">
        <v>1187</v>
      </c>
      <c r="L441" s="24" t="s">
        <v>560</v>
      </c>
      <c r="M441" s="24" t="s">
        <v>44</v>
      </c>
      <c r="N441" s="24"/>
      <c r="O441" s="27"/>
      <c r="P441" s="24"/>
      <c r="Q441" s="24" t="s">
        <v>128</v>
      </c>
      <c r="R441" s="23">
        <f>HYPERLINK("https://app.hubspot.com/contacts/8748051/record/0-2/8724516529", 8724516529)</f>
        <v>8724516529</v>
      </c>
      <c r="S441" s="24" t="s">
        <v>1578</v>
      </c>
      <c r="T441" s="28" t="s">
        <v>1579</v>
      </c>
      <c r="U441" s="24" t="s">
        <v>47</v>
      </c>
      <c r="V441" s="24"/>
      <c r="W441" s="25"/>
      <c r="X441" s="29">
        <v>1331.0</v>
      </c>
      <c r="Y441" s="29">
        <v>238.0</v>
      </c>
      <c r="Z441" s="30" t="s">
        <v>56</v>
      </c>
      <c r="AA441" s="30"/>
      <c r="AB441" s="31"/>
      <c r="AC441" s="30"/>
      <c r="AD441" s="30"/>
      <c r="AE441" s="30"/>
      <c r="AF441" s="30"/>
      <c r="AG441" s="27" t="str">
        <f t="shared" si="1"/>
        <v>New Logo</v>
      </c>
      <c r="AH441" s="27" t="str">
        <f t="shared" si="5"/>
        <v>Lead</v>
      </c>
      <c r="AI441" s="27" t="str">
        <f t="shared" si="6"/>
        <v>1001-5000</v>
      </c>
      <c r="AJ441" s="27" t="str">
        <f t="shared" si="7"/>
        <v>101-500</v>
      </c>
    </row>
    <row r="442" ht="15.75" customHeight="1">
      <c r="A442" s="23">
        <f>HYPERLINK("https://app.hubspot.com/contacts/8748051/record/0-3/20468757578", 20468757578)</f>
        <v>20468757578</v>
      </c>
      <c r="B442" s="24" t="s">
        <v>1580</v>
      </c>
      <c r="C442" s="24" t="s">
        <v>38</v>
      </c>
      <c r="D442" s="25">
        <v>12480.0</v>
      </c>
      <c r="E442" s="24" t="s">
        <v>73</v>
      </c>
      <c r="F442" s="27"/>
      <c r="G442" s="26">
        <v>45474.75</v>
      </c>
      <c r="H442" s="26">
        <v>45658.70805555556</v>
      </c>
      <c r="I442" s="24" t="s">
        <v>40</v>
      </c>
      <c r="J442" s="24" t="s">
        <v>41</v>
      </c>
      <c r="K442" s="24" t="s">
        <v>161</v>
      </c>
      <c r="L442" s="24" t="s">
        <v>715</v>
      </c>
      <c r="M442" s="24" t="s">
        <v>44</v>
      </c>
      <c r="N442" s="27"/>
      <c r="O442" s="27"/>
      <c r="P442" s="24"/>
      <c r="Q442" s="27"/>
      <c r="R442" s="23">
        <f>HYPERLINK("https://app.hubspot.com/contacts/8748051/record/0-2/8290026424", 8290026424)</f>
        <v>8290026424</v>
      </c>
      <c r="S442" s="24" t="s">
        <v>1397</v>
      </c>
      <c r="T442" s="28" t="s">
        <v>1398</v>
      </c>
      <c r="U442" s="24" t="s">
        <v>47</v>
      </c>
      <c r="V442" s="24"/>
      <c r="W442" s="32"/>
      <c r="X442" s="29">
        <v>291.0</v>
      </c>
      <c r="Y442" s="29">
        <v>50.0</v>
      </c>
      <c r="Z442" s="30"/>
      <c r="AA442" s="31"/>
      <c r="AB442" s="31"/>
      <c r="AC442" s="31"/>
      <c r="AD442" s="31"/>
      <c r="AE442" s="31"/>
      <c r="AF442" s="31"/>
      <c r="AG442" s="27" t="str">
        <f t="shared" si="1"/>
        <v>New Logo</v>
      </c>
      <c r="AH442" s="27" t="str">
        <f t="shared" si="5"/>
        <v>Lead</v>
      </c>
      <c r="AI442" s="27" t="str">
        <f t="shared" si="6"/>
        <v>201-500</v>
      </c>
      <c r="AJ442" s="27" t="str">
        <f t="shared" si="7"/>
        <v>21-50</v>
      </c>
    </row>
    <row r="443" ht="15.75" customHeight="1">
      <c r="A443" s="23">
        <f>HYPERLINK("https://app.hubspot.com/contacts/8748051/record/0-3/20464474693", 20464474693)</f>
        <v>20464474693</v>
      </c>
      <c r="B443" s="24" t="s">
        <v>1581</v>
      </c>
      <c r="C443" s="24" t="s">
        <v>50</v>
      </c>
      <c r="D443" s="25">
        <v>11040.0</v>
      </c>
      <c r="E443" s="24" t="s">
        <v>73</v>
      </c>
      <c r="F443" s="24"/>
      <c r="G443" s="26">
        <v>45474.547800925924</v>
      </c>
      <c r="H443" s="26">
        <v>45658.50591435185</v>
      </c>
      <c r="I443" s="24" t="s">
        <v>40</v>
      </c>
      <c r="J443" s="24" t="s">
        <v>41</v>
      </c>
      <c r="K443" s="24" t="s">
        <v>1187</v>
      </c>
      <c r="L443" s="24" t="s">
        <v>560</v>
      </c>
      <c r="M443" s="24" t="s">
        <v>44</v>
      </c>
      <c r="N443" s="24"/>
      <c r="O443" s="27"/>
      <c r="P443" s="24" t="s">
        <v>213</v>
      </c>
      <c r="Q443" s="24"/>
      <c r="R443" s="23">
        <f>HYPERLINK("https://app.hubspot.com/contacts/8748051/record/0-2/9177829664", 9177829664)</f>
        <v>9177829664</v>
      </c>
      <c r="S443" s="24" t="s">
        <v>1582</v>
      </c>
      <c r="T443" s="28" t="s">
        <v>1583</v>
      </c>
      <c r="U443" s="24" t="s">
        <v>47</v>
      </c>
      <c r="V443" s="24"/>
      <c r="W443" s="25"/>
      <c r="X443" s="29">
        <v>1253.0</v>
      </c>
      <c r="Y443" s="29">
        <v>59.0</v>
      </c>
      <c r="Z443" s="30"/>
      <c r="AA443" s="30"/>
      <c r="AB443" s="31"/>
      <c r="AC443" s="30"/>
      <c r="AD443" s="30"/>
      <c r="AE443" s="31"/>
      <c r="AF443" s="30"/>
      <c r="AG443" s="27" t="str">
        <f t="shared" si="1"/>
        <v>New Logo</v>
      </c>
      <c r="AH443" s="27" t="str">
        <f t="shared" si="5"/>
        <v>Lead</v>
      </c>
      <c r="AI443" s="27" t="str">
        <f t="shared" si="6"/>
        <v>1001-5000</v>
      </c>
      <c r="AJ443" s="27" t="str">
        <f t="shared" si="7"/>
        <v>51-100</v>
      </c>
    </row>
    <row r="444" ht="15.75" customHeight="1">
      <c r="A444" s="23">
        <f>HYPERLINK("https://app.hubspot.com/contacts/8748051/record/0-3/20464248171", 20464248171)</f>
        <v>20464248171</v>
      </c>
      <c r="B444" s="24" t="s">
        <v>1584</v>
      </c>
      <c r="C444" s="24" t="s">
        <v>1009</v>
      </c>
      <c r="D444" s="25">
        <v>24720.0</v>
      </c>
      <c r="E444" s="24" t="s">
        <v>73</v>
      </c>
      <c r="F444" s="24"/>
      <c r="G444" s="26">
        <v>45474.53565972222</v>
      </c>
      <c r="H444" s="26">
        <v>45658.49375</v>
      </c>
      <c r="I444" s="24" t="s">
        <v>40</v>
      </c>
      <c r="J444" s="24" t="s">
        <v>41</v>
      </c>
      <c r="K444" s="24" t="s">
        <v>559</v>
      </c>
      <c r="L444" s="24" t="s">
        <v>560</v>
      </c>
      <c r="M444" s="24" t="s">
        <v>44</v>
      </c>
      <c r="N444" s="24"/>
      <c r="O444" s="27"/>
      <c r="P444" s="24"/>
      <c r="Q444" s="27"/>
      <c r="R444" s="23">
        <f>HYPERLINK("https://app.hubspot.com/contacts/8748051/record/0-2/8142475653", 8142475653)</f>
        <v>8142475653</v>
      </c>
      <c r="S444" s="24" t="s">
        <v>1585</v>
      </c>
      <c r="T444" s="28" t="s">
        <v>1586</v>
      </c>
      <c r="U444" s="24" t="s">
        <v>47</v>
      </c>
      <c r="V444" s="24"/>
      <c r="W444" s="25"/>
      <c r="X444" s="29">
        <v>964.0</v>
      </c>
      <c r="Y444" s="29">
        <v>117.0</v>
      </c>
      <c r="Z444" s="30"/>
      <c r="AA444" s="30"/>
      <c r="AB444" s="31"/>
      <c r="AC444" s="30"/>
      <c r="AD444" s="30"/>
      <c r="AE444" s="31"/>
      <c r="AF444" s="30"/>
      <c r="AG444" s="27" t="str">
        <f t="shared" si="1"/>
        <v>New Logo</v>
      </c>
      <c r="AH444" s="27" t="str">
        <f t="shared" si="5"/>
        <v>Lead</v>
      </c>
      <c r="AI444" s="27" t="str">
        <f t="shared" si="6"/>
        <v>501-1000</v>
      </c>
      <c r="AJ444" s="27" t="str">
        <f t="shared" si="7"/>
        <v>101-500</v>
      </c>
    </row>
    <row r="445" ht="15.75" customHeight="1">
      <c r="A445" s="23">
        <f>HYPERLINK("https://app.hubspot.com/contacts/8748051/record/0-3/20461954884", 20461954884)</f>
        <v>20461954884</v>
      </c>
      <c r="B445" s="24" t="s">
        <v>1587</v>
      </c>
      <c r="C445" s="24" t="s">
        <v>1228</v>
      </c>
      <c r="D445" s="25">
        <v>4050.0</v>
      </c>
      <c r="E445" s="24" t="s">
        <v>92</v>
      </c>
      <c r="F445" s="24" t="s">
        <v>52</v>
      </c>
      <c r="G445" s="26">
        <v>45474.39494212963</v>
      </c>
      <c r="H445" s="26">
        <v>45498.545277777775</v>
      </c>
      <c r="I445" s="24" t="s">
        <v>40</v>
      </c>
      <c r="J445" s="24" t="s">
        <v>41</v>
      </c>
      <c r="K445" s="24" t="s">
        <v>42</v>
      </c>
      <c r="L445" s="24" t="s">
        <v>43</v>
      </c>
      <c r="M445" s="24" t="s">
        <v>102</v>
      </c>
      <c r="N445" s="24" t="s">
        <v>1588</v>
      </c>
      <c r="O445" s="24"/>
      <c r="P445" s="24"/>
      <c r="Q445" s="27"/>
      <c r="R445" s="23">
        <f>HYPERLINK("https://app.hubspot.com/contacts/8748051/record/0-2/8946917146", 8946917146)</f>
        <v>8946917146</v>
      </c>
      <c r="S445" s="24" t="s">
        <v>1589</v>
      </c>
      <c r="T445" s="28" t="s">
        <v>1590</v>
      </c>
      <c r="U445" s="24" t="s">
        <v>96</v>
      </c>
      <c r="V445" s="24"/>
      <c r="W445" s="25">
        <v>4050.0</v>
      </c>
      <c r="X445" s="29">
        <v>379.0</v>
      </c>
      <c r="Y445" s="29">
        <v>28.0</v>
      </c>
      <c r="Z445" s="30"/>
      <c r="AA445" s="30" t="s">
        <v>193</v>
      </c>
      <c r="AB445" s="31"/>
      <c r="AC445" s="30" t="s">
        <v>208</v>
      </c>
      <c r="AD445" s="30" t="s">
        <v>866</v>
      </c>
      <c r="AE445" s="31"/>
      <c r="AF445" s="30" t="s">
        <v>169</v>
      </c>
      <c r="AG445" s="27" t="str">
        <f t="shared" si="1"/>
        <v>New Logo</v>
      </c>
      <c r="AH445" s="27" t="str">
        <f t="shared" si="5"/>
        <v>Customer</v>
      </c>
      <c r="AI445" s="27" t="str">
        <f t="shared" si="6"/>
        <v>201-500</v>
      </c>
      <c r="AJ445" s="27" t="str">
        <f t="shared" si="7"/>
        <v>21-50</v>
      </c>
    </row>
    <row r="446" ht="15.75" customHeight="1">
      <c r="A446" s="23">
        <f>HYPERLINK("https://app.hubspot.com/contacts/8748051/record/0-3/20356153766", 20356153766)</f>
        <v>20356153766</v>
      </c>
      <c r="B446" s="24" t="s">
        <v>1591</v>
      </c>
      <c r="C446" s="24" t="s">
        <v>50</v>
      </c>
      <c r="D446" s="25">
        <v>56880.0</v>
      </c>
      <c r="E446" s="24" t="s">
        <v>73</v>
      </c>
      <c r="F446" s="24"/>
      <c r="G446" s="26">
        <v>45469.56270833333</v>
      </c>
      <c r="H446" s="26">
        <v>45652.52074074074</v>
      </c>
      <c r="I446" s="24" t="s">
        <v>40</v>
      </c>
      <c r="J446" s="24" t="s">
        <v>53</v>
      </c>
      <c r="K446" s="24" t="s">
        <v>1187</v>
      </c>
      <c r="L446" s="24" t="s">
        <v>560</v>
      </c>
      <c r="M446" s="24" t="s">
        <v>44</v>
      </c>
      <c r="N446" s="24"/>
      <c r="O446" s="24"/>
      <c r="P446" s="24"/>
      <c r="Q446" s="24"/>
      <c r="R446" s="23">
        <f>HYPERLINK("https://app.hubspot.com/contacts/8748051/record/0-2/32009387295", 32009387295)</f>
        <v>32009387295</v>
      </c>
      <c r="S446" s="24" t="s">
        <v>1592</v>
      </c>
      <c r="T446" s="28" t="s">
        <v>1593</v>
      </c>
      <c r="U446" s="24" t="s">
        <v>47</v>
      </c>
      <c r="V446" s="24"/>
      <c r="W446" s="25"/>
      <c r="X446" s="29">
        <v>1731.0</v>
      </c>
      <c r="Y446" s="29">
        <v>286.0</v>
      </c>
      <c r="Z446" s="30" t="s">
        <v>125</v>
      </c>
      <c r="AA446" s="30"/>
      <c r="AB446" s="31"/>
      <c r="AC446" s="30"/>
      <c r="AD446" s="30"/>
      <c r="AE446" s="30"/>
      <c r="AF446" s="30"/>
      <c r="AG446" s="27" t="str">
        <f t="shared" si="1"/>
        <v>New Logo</v>
      </c>
      <c r="AH446" s="27" t="str">
        <f t="shared" si="5"/>
        <v>Lead</v>
      </c>
      <c r="AI446" s="27" t="str">
        <f t="shared" si="6"/>
        <v>1001-5000</v>
      </c>
      <c r="AJ446" s="27" t="str">
        <f t="shared" si="7"/>
        <v>101-500</v>
      </c>
    </row>
    <row r="447" ht="15.75" customHeight="1">
      <c r="A447" s="23">
        <f>HYPERLINK("https://app.hubspot.com/contacts/8748051/record/0-3/20356153684", 20356153684)</f>
        <v>20356153684</v>
      </c>
      <c r="B447" s="24" t="s">
        <v>1594</v>
      </c>
      <c r="C447" s="24" t="s">
        <v>50</v>
      </c>
      <c r="D447" s="25">
        <v>3120.0</v>
      </c>
      <c r="E447" s="24" t="s">
        <v>127</v>
      </c>
      <c r="F447" s="24" t="s">
        <v>52</v>
      </c>
      <c r="G447" s="26">
        <v>45469.561875</v>
      </c>
      <c r="H447" s="26">
        <v>45652.516539351855</v>
      </c>
      <c r="I447" s="24" t="s">
        <v>40</v>
      </c>
      <c r="J447" s="24" t="s">
        <v>41</v>
      </c>
      <c r="K447" s="24" t="s">
        <v>559</v>
      </c>
      <c r="L447" s="24" t="s">
        <v>560</v>
      </c>
      <c r="M447" s="24" t="s">
        <v>44</v>
      </c>
      <c r="N447" s="27"/>
      <c r="O447" s="27"/>
      <c r="P447" s="24"/>
      <c r="Q447" s="24"/>
      <c r="R447" s="23">
        <f>HYPERLINK("https://app.hubspot.com/contacts/8748051/record/0-2/19176644614", 19176644614)</f>
        <v>19176644614</v>
      </c>
      <c r="S447" s="24" t="s">
        <v>1595</v>
      </c>
      <c r="T447" s="28" t="s">
        <v>1596</v>
      </c>
      <c r="U447" s="24" t="s">
        <v>47</v>
      </c>
      <c r="V447" s="24"/>
      <c r="W447" s="32"/>
      <c r="X447" s="29">
        <v>208.0</v>
      </c>
      <c r="Y447" s="29">
        <v>26.0</v>
      </c>
      <c r="Z447" s="30"/>
      <c r="AA447" s="31"/>
      <c r="AB447" s="31"/>
      <c r="AC447" s="31"/>
      <c r="AD447" s="31"/>
      <c r="AE447" s="31"/>
      <c r="AF447" s="31"/>
      <c r="AG447" s="27" t="str">
        <f t="shared" si="1"/>
        <v>New Logo</v>
      </c>
      <c r="AH447" s="27" t="str">
        <f t="shared" si="5"/>
        <v>Lead</v>
      </c>
      <c r="AI447" s="27" t="str">
        <f t="shared" si="6"/>
        <v>201-500</v>
      </c>
      <c r="AJ447" s="27" t="str">
        <f t="shared" si="7"/>
        <v>21-50</v>
      </c>
    </row>
    <row r="448" ht="15.75" customHeight="1">
      <c r="A448" s="23">
        <f>HYPERLINK("https://app.hubspot.com/contacts/8748051/record/0-3/20351614614", 20351614614)</f>
        <v>20351614614</v>
      </c>
      <c r="B448" s="24" t="s">
        <v>1597</v>
      </c>
      <c r="C448" s="24" t="s">
        <v>38</v>
      </c>
      <c r="D448" s="25">
        <v>7920.0</v>
      </c>
      <c r="E448" s="24" t="s">
        <v>73</v>
      </c>
      <c r="F448" s="24"/>
      <c r="G448" s="26">
        <v>45469.37855324074</v>
      </c>
      <c r="H448" s="26">
        <v>45652.33599537037</v>
      </c>
      <c r="I448" s="24" t="s">
        <v>40</v>
      </c>
      <c r="J448" s="24" t="s">
        <v>41</v>
      </c>
      <c r="K448" s="24" t="s">
        <v>559</v>
      </c>
      <c r="L448" s="24" t="s">
        <v>560</v>
      </c>
      <c r="M448" s="24" t="s">
        <v>44</v>
      </c>
      <c r="N448" s="27"/>
      <c r="O448" s="24"/>
      <c r="P448" s="24"/>
      <c r="Q448" s="27"/>
      <c r="R448" s="23">
        <f>HYPERLINK("https://app.hubspot.com/contacts/8748051/record/0-2/8142162853", 8142162853)</f>
        <v>8142162853</v>
      </c>
      <c r="S448" s="24" t="s">
        <v>1598</v>
      </c>
      <c r="T448" s="28" t="s">
        <v>1599</v>
      </c>
      <c r="U448" s="24" t="s">
        <v>47</v>
      </c>
      <c r="V448" s="24"/>
      <c r="W448" s="32"/>
      <c r="X448" s="29">
        <v>929.0</v>
      </c>
      <c r="Y448" s="29">
        <v>37.0</v>
      </c>
      <c r="Z448" s="30" t="s">
        <v>71</v>
      </c>
      <c r="AA448" s="31"/>
      <c r="AB448" s="31"/>
      <c r="AC448" s="31"/>
      <c r="AD448" s="31"/>
      <c r="AE448" s="31"/>
      <c r="AF448" s="31"/>
      <c r="AG448" s="27" t="str">
        <f t="shared" si="1"/>
        <v>New Logo</v>
      </c>
      <c r="AH448" s="27" t="str">
        <f t="shared" si="5"/>
        <v>Lead</v>
      </c>
      <c r="AI448" s="27" t="str">
        <f t="shared" si="6"/>
        <v>501-1000</v>
      </c>
      <c r="AJ448" s="27" t="str">
        <f t="shared" si="7"/>
        <v>21-50</v>
      </c>
    </row>
    <row r="449" ht="15.75" customHeight="1">
      <c r="A449" s="23">
        <f>HYPERLINK("https://app.hubspot.com/contacts/8748051/record/0-3/20322511797", 20322511797)</f>
        <v>20322511797</v>
      </c>
      <c r="B449" s="24" t="s">
        <v>1600</v>
      </c>
      <c r="C449" s="24" t="s">
        <v>1009</v>
      </c>
      <c r="D449" s="25">
        <v>3600.0</v>
      </c>
      <c r="E449" s="24" t="s">
        <v>73</v>
      </c>
      <c r="F449" s="24"/>
      <c r="G449" s="26">
        <v>45468.32613425926</v>
      </c>
      <c r="H449" s="26">
        <v>45651.28372685185</v>
      </c>
      <c r="I449" s="24" t="s">
        <v>40</v>
      </c>
      <c r="J449" s="24" t="s">
        <v>41</v>
      </c>
      <c r="K449" s="24" t="s">
        <v>559</v>
      </c>
      <c r="L449" s="24" t="s">
        <v>178</v>
      </c>
      <c r="M449" s="24"/>
      <c r="N449" s="27"/>
      <c r="O449" s="24"/>
      <c r="P449" s="24"/>
      <c r="Q449" s="27"/>
      <c r="R449" s="23">
        <f>HYPERLINK("https://app.hubspot.com/contacts/8748051/record/0-2/10368059213", 10368059213)</f>
        <v>10368059213</v>
      </c>
      <c r="S449" s="24" t="s">
        <v>1601</v>
      </c>
      <c r="T449" s="28" t="s">
        <v>1602</v>
      </c>
      <c r="U449" s="24" t="s">
        <v>47</v>
      </c>
      <c r="V449" s="24"/>
      <c r="W449" s="32"/>
      <c r="X449" s="29">
        <v>342.0</v>
      </c>
      <c r="Y449" s="29">
        <v>41.0</v>
      </c>
      <c r="Z449" s="30" t="s">
        <v>71</v>
      </c>
      <c r="AA449" s="31"/>
      <c r="AB449" s="31"/>
      <c r="AC449" s="31"/>
      <c r="AD449" s="31"/>
      <c r="AE449" s="31"/>
      <c r="AF449" s="31"/>
      <c r="AG449" s="27" t="str">
        <f t="shared" si="1"/>
        <v>New Logo</v>
      </c>
      <c r="AH449" s="27" t="str">
        <f t="shared" si="5"/>
        <v>Lead</v>
      </c>
      <c r="AI449" s="27" t="str">
        <f t="shared" si="6"/>
        <v>201-500</v>
      </c>
      <c r="AJ449" s="27" t="str">
        <f t="shared" si="7"/>
        <v>21-50</v>
      </c>
    </row>
    <row r="450" ht="15.75" customHeight="1">
      <c r="A450" s="23">
        <f>HYPERLINK("https://app.hubspot.com/contacts/8748051/record/0-3/20243443612", 20243443612)</f>
        <v>20243443612</v>
      </c>
      <c r="B450" s="24" t="s">
        <v>1603</v>
      </c>
      <c r="C450" s="24" t="s">
        <v>1009</v>
      </c>
      <c r="D450" s="25">
        <v>7920.0</v>
      </c>
      <c r="E450" s="24" t="s">
        <v>73</v>
      </c>
      <c r="F450" s="27"/>
      <c r="G450" s="26">
        <v>45464.47332175926</v>
      </c>
      <c r="H450" s="26">
        <v>45647.431296296294</v>
      </c>
      <c r="I450" s="24" t="s">
        <v>40</v>
      </c>
      <c r="J450" s="24" t="s">
        <v>41</v>
      </c>
      <c r="K450" s="24" t="s">
        <v>559</v>
      </c>
      <c r="L450" s="24" t="s">
        <v>560</v>
      </c>
      <c r="M450" s="24" t="s">
        <v>44</v>
      </c>
      <c r="N450" s="27"/>
      <c r="O450" s="27"/>
      <c r="P450" s="24" t="s">
        <v>122</v>
      </c>
      <c r="Q450" s="27"/>
      <c r="R450" s="23">
        <f>HYPERLINK("https://app.hubspot.com/contacts/8748051/record/0-2/19176594824", 19176594824)</f>
        <v>19176594824</v>
      </c>
      <c r="S450" s="24" t="s">
        <v>1604</v>
      </c>
      <c r="T450" s="28" t="s">
        <v>1605</v>
      </c>
      <c r="U450" s="24" t="s">
        <v>47</v>
      </c>
      <c r="V450" s="24"/>
      <c r="W450" s="32"/>
      <c r="X450" s="29">
        <v>239.0</v>
      </c>
      <c r="Y450" s="29">
        <v>32.0</v>
      </c>
      <c r="Z450" s="30"/>
      <c r="AA450" s="31"/>
      <c r="AB450" s="31"/>
      <c r="AC450" s="31"/>
      <c r="AD450" s="31"/>
      <c r="AE450" s="31"/>
      <c r="AF450" s="31"/>
      <c r="AG450" s="27" t="str">
        <f t="shared" si="1"/>
        <v>New Logo</v>
      </c>
      <c r="AH450" s="27" t="str">
        <f t="shared" si="5"/>
        <v>Lead</v>
      </c>
      <c r="AI450" s="27" t="str">
        <f t="shared" si="6"/>
        <v>201-500</v>
      </c>
      <c r="AJ450" s="27" t="str">
        <f t="shared" si="7"/>
        <v>21-50</v>
      </c>
    </row>
    <row r="451" ht="15.75" customHeight="1">
      <c r="A451" s="23">
        <f>HYPERLINK("https://app.hubspot.com/contacts/8748051/record/0-3/20234149999", 20234149999)</f>
        <v>20234149999</v>
      </c>
      <c r="B451" s="24" t="s">
        <v>1606</v>
      </c>
      <c r="C451" s="24" t="s">
        <v>1009</v>
      </c>
      <c r="D451" s="25">
        <v>6720.0</v>
      </c>
      <c r="E451" s="24" t="s">
        <v>73</v>
      </c>
      <c r="F451" s="24"/>
      <c r="G451" s="26">
        <v>45464.118310185186</v>
      </c>
      <c r="H451" s="26">
        <v>45647.07565972222</v>
      </c>
      <c r="I451" s="24" t="s">
        <v>40</v>
      </c>
      <c r="J451" s="24" t="s">
        <v>41</v>
      </c>
      <c r="K451" s="24" t="s">
        <v>559</v>
      </c>
      <c r="L451" s="24" t="s">
        <v>178</v>
      </c>
      <c r="M451" s="24"/>
      <c r="N451" s="24"/>
      <c r="O451" s="27"/>
      <c r="P451" s="24"/>
      <c r="Q451" s="27"/>
      <c r="R451" s="23">
        <f>HYPERLINK("https://app.hubspot.com/contacts/8748051/record/0-2/19176672165", 19176672165)</f>
        <v>19176672165</v>
      </c>
      <c r="S451" s="24" t="s">
        <v>1607</v>
      </c>
      <c r="T451" s="28" t="s">
        <v>1608</v>
      </c>
      <c r="U451" s="24" t="s">
        <v>47</v>
      </c>
      <c r="V451" s="24"/>
      <c r="W451" s="25"/>
      <c r="X451" s="29">
        <v>192.0</v>
      </c>
      <c r="Y451" s="29">
        <v>25.0</v>
      </c>
      <c r="Z451" s="30"/>
      <c r="AA451" s="30"/>
      <c r="AB451" s="31"/>
      <c r="AC451" s="31"/>
      <c r="AD451" s="30"/>
      <c r="AE451" s="31"/>
      <c r="AF451" s="30"/>
      <c r="AG451" s="27" t="str">
        <f t="shared" si="1"/>
        <v>New Logo</v>
      </c>
      <c r="AH451" s="27" t="str">
        <f t="shared" si="5"/>
        <v>Lead</v>
      </c>
      <c r="AI451" s="27" t="str">
        <f t="shared" si="6"/>
        <v>0-200</v>
      </c>
      <c r="AJ451" s="27" t="str">
        <f t="shared" si="7"/>
        <v>21-50</v>
      </c>
    </row>
    <row r="452" ht="15.75" customHeight="1">
      <c r="A452" s="23">
        <f>HYPERLINK("https://app.hubspot.com/contacts/8748051/record/0-3/20173159601", 20173159601)</f>
        <v>20173159601</v>
      </c>
      <c r="B452" s="24" t="s">
        <v>1609</v>
      </c>
      <c r="C452" s="24" t="s">
        <v>1009</v>
      </c>
      <c r="D452" s="25">
        <v>126480.0</v>
      </c>
      <c r="E452" s="24" t="s">
        <v>73</v>
      </c>
      <c r="F452" s="24"/>
      <c r="G452" s="26">
        <v>45461.55537037037</v>
      </c>
      <c r="H452" s="26">
        <v>45644.51336805556</v>
      </c>
      <c r="I452" s="24" t="s">
        <v>40</v>
      </c>
      <c r="J452" s="24" t="s">
        <v>53</v>
      </c>
      <c r="K452" s="24" t="s">
        <v>1187</v>
      </c>
      <c r="L452" s="24" t="s">
        <v>178</v>
      </c>
      <c r="M452" s="24" t="s">
        <v>44</v>
      </c>
      <c r="N452" s="27"/>
      <c r="O452" s="27"/>
      <c r="P452" s="27"/>
      <c r="Q452" s="24"/>
      <c r="R452" s="23">
        <f>HYPERLINK("https://app.hubspot.com/contacts/8748051/record/0-2/8324013689", 8324013689)</f>
        <v>8324013689</v>
      </c>
      <c r="S452" s="24" t="s">
        <v>1610</v>
      </c>
      <c r="T452" s="28" t="s">
        <v>1611</v>
      </c>
      <c r="U452" s="24" t="s">
        <v>47</v>
      </c>
      <c r="V452" s="24"/>
      <c r="W452" s="32"/>
      <c r="X452" s="29">
        <v>3246.0</v>
      </c>
      <c r="Y452" s="29">
        <v>726.0</v>
      </c>
      <c r="Z452" s="30" t="s">
        <v>1612</v>
      </c>
      <c r="AA452" s="31"/>
      <c r="AB452" s="31"/>
      <c r="AC452" s="31"/>
      <c r="AD452" s="31"/>
      <c r="AE452" s="31"/>
      <c r="AF452" s="31"/>
      <c r="AG452" s="27" t="str">
        <f t="shared" si="1"/>
        <v>New Logo</v>
      </c>
      <c r="AH452" s="27" t="str">
        <f t="shared" si="5"/>
        <v>Lead</v>
      </c>
      <c r="AI452" s="27" t="str">
        <f t="shared" si="6"/>
        <v>1001-5000</v>
      </c>
      <c r="AJ452" s="27" t="str">
        <f t="shared" si="7"/>
        <v>500+</v>
      </c>
    </row>
    <row r="453" ht="15.75" customHeight="1">
      <c r="A453" s="23">
        <f>HYPERLINK("https://app.hubspot.com/contacts/8748051/record/0-3/20170334466", 20170334466)</f>
        <v>20170334466</v>
      </c>
      <c r="B453" s="24" t="s">
        <v>1613</v>
      </c>
      <c r="C453" s="24" t="s">
        <v>38</v>
      </c>
      <c r="D453" s="25">
        <v>52800.0</v>
      </c>
      <c r="E453" s="24" t="s">
        <v>73</v>
      </c>
      <c r="F453" s="24"/>
      <c r="G453" s="26">
        <v>45461.42655092593</v>
      </c>
      <c r="H453" s="26">
        <v>45644.38454861111</v>
      </c>
      <c r="I453" s="24" t="s">
        <v>40</v>
      </c>
      <c r="J453" s="24" t="s">
        <v>53</v>
      </c>
      <c r="K453" s="24" t="s">
        <v>1187</v>
      </c>
      <c r="L453" s="24" t="s">
        <v>560</v>
      </c>
      <c r="M453" s="24" t="s">
        <v>44</v>
      </c>
      <c r="N453" s="24"/>
      <c r="O453" s="24"/>
      <c r="P453" s="24"/>
      <c r="Q453" s="27"/>
      <c r="R453" s="23">
        <f>HYPERLINK("https://app.hubspot.com/contacts/8748051/record/0-2/8332581743", 8332581743)</f>
        <v>8332581743</v>
      </c>
      <c r="S453" s="24" t="s">
        <v>1614</v>
      </c>
      <c r="T453" s="28" t="s">
        <v>1615</v>
      </c>
      <c r="U453" s="24" t="s">
        <v>47</v>
      </c>
      <c r="V453" s="24"/>
      <c r="W453" s="25"/>
      <c r="X453" s="29">
        <v>2068.0</v>
      </c>
      <c r="Y453" s="29">
        <v>262.0</v>
      </c>
      <c r="Z453" s="30" t="s">
        <v>546</v>
      </c>
      <c r="AA453" s="30"/>
      <c r="AB453" s="31"/>
      <c r="AC453" s="31"/>
      <c r="AD453" s="30"/>
      <c r="AE453" s="31"/>
      <c r="AF453" s="30"/>
      <c r="AG453" s="27" t="str">
        <f t="shared" si="1"/>
        <v>New Logo</v>
      </c>
      <c r="AH453" s="27" t="str">
        <f t="shared" si="5"/>
        <v>Lead</v>
      </c>
      <c r="AI453" s="27" t="str">
        <f t="shared" si="6"/>
        <v>1001-5000</v>
      </c>
      <c r="AJ453" s="27" t="str">
        <f t="shared" si="7"/>
        <v>101-500</v>
      </c>
    </row>
    <row r="454" ht="15.75" customHeight="1">
      <c r="A454" s="23">
        <f>HYPERLINK("https://app.hubspot.com/contacts/8748051/record/0-3/20170334263", 20170334263)</f>
        <v>20170334263</v>
      </c>
      <c r="B454" s="24" t="s">
        <v>1616</v>
      </c>
      <c r="C454" s="24" t="s">
        <v>148</v>
      </c>
      <c r="D454" s="25">
        <v>4320.0</v>
      </c>
      <c r="E454" s="24" t="s">
        <v>73</v>
      </c>
      <c r="F454" s="24"/>
      <c r="G454" s="26">
        <v>45461.42591435185</v>
      </c>
      <c r="H454" s="26">
        <v>45644.38398148148</v>
      </c>
      <c r="I454" s="24" t="s">
        <v>40</v>
      </c>
      <c r="J454" s="24" t="s">
        <v>41</v>
      </c>
      <c r="K454" s="24" t="s">
        <v>559</v>
      </c>
      <c r="L454" s="24" t="s">
        <v>560</v>
      </c>
      <c r="M454" s="24" t="s">
        <v>44</v>
      </c>
      <c r="N454" s="27"/>
      <c r="O454" s="24"/>
      <c r="P454" s="24"/>
      <c r="Q454" s="24"/>
      <c r="R454" s="23">
        <f>HYPERLINK("https://app.hubspot.com/contacts/8748051/record/0-2/19176317867", 19176317867)</f>
        <v>19176317867</v>
      </c>
      <c r="S454" s="24" t="s">
        <v>1617</v>
      </c>
      <c r="T454" s="28" t="s">
        <v>1618</v>
      </c>
      <c r="U454" s="24" t="s">
        <v>47</v>
      </c>
      <c r="V454" s="24"/>
      <c r="W454" s="32"/>
      <c r="X454" s="29">
        <v>107.0</v>
      </c>
      <c r="Y454" s="29">
        <v>17.0</v>
      </c>
      <c r="Z454" s="30"/>
      <c r="AA454" s="31"/>
      <c r="AB454" s="31"/>
      <c r="AC454" s="31"/>
      <c r="AD454" s="31"/>
      <c r="AE454" s="31"/>
      <c r="AF454" s="31"/>
      <c r="AG454" s="27" t="str">
        <f t="shared" si="1"/>
        <v>New Logo</v>
      </c>
      <c r="AH454" s="27" t="str">
        <f t="shared" si="5"/>
        <v>Lead</v>
      </c>
      <c r="AI454" s="27" t="str">
        <f t="shared" si="6"/>
        <v>0-200</v>
      </c>
      <c r="AJ454" s="27" t="str">
        <f t="shared" si="7"/>
        <v>0-20</v>
      </c>
    </row>
    <row r="455" ht="15.75" customHeight="1">
      <c r="A455" s="23">
        <f>HYPERLINK("https://app.hubspot.com/contacts/8748051/record/0-3/20143381103", 20143381103)</f>
        <v>20143381103</v>
      </c>
      <c r="B455" s="24" t="s">
        <v>1619</v>
      </c>
      <c r="C455" s="24" t="s">
        <v>1009</v>
      </c>
      <c r="D455" s="25">
        <v>30000.0</v>
      </c>
      <c r="E455" s="24" t="s">
        <v>149</v>
      </c>
      <c r="F455" s="24" t="s">
        <v>52</v>
      </c>
      <c r="G455" s="26">
        <v>45460.59002314815</v>
      </c>
      <c r="H455" s="26">
        <v>45706.4559375</v>
      </c>
      <c r="I455" s="24" t="s">
        <v>40</v>
      </c>
      <c r="J455" s="24" t="s">
        <v>41</v>
      </c>
      <c r="K455" s="24" t="s">
        <v>559</v>
      </c>
      <c r="L455" s="24" t="s">
        <v>560</v>
      </c>
      <c r="M455" s="24" t="s">
        <v>44</v>
      </c>
      <c r="N455" s="27"/>
      <c r="O455" s="24" t="s">
        <v>1620</v>
      </c>
      <c r="P455" s="24"/>
      <c r="Q455" s="24"/>
      <c r="R455" s="23">
        <f>HYPERLINK("https://app.hubspot.com/contacts/8748051/record/0-2/9173832217", 9173832217)</f>
        <v>9173832217</v>
      </c>
      <c r="S455" s="24" t="s">
        <v>1621</v>
      </c>
      <c r="T455" s="28" t="s">
        <v>1622</v>
      </c>
      <c r="U455" s="24" t="s">
        <v>47</v>
      </c>
      <c r="V455" s="24"/>
      <c r="W455" s="32"/>
      <c r="X455" s="29">
        <v>222.0</v>
      </c>
      <c r="Y455" s="29">
        <v>38.0</v>
      </c>
      <c r="Z455" s="30" t="s">
        <v>108</v>
      </c>
      <c r="AA455" s="31"/>
      <c r="AB455" s="31"/>
      <c r="AC455" s="31"/>
      <c r="AD455" s="31"/>
      <c r="AE455" s="31"/>
      <c r="AF455" s="31"/>
      <c r="AG455" s="27" t="str">
        <f t="shared" si="1"/>
        <v>New Logo</v>
      </c>
      <c r="AH455" s="27" t="str">
        <f t="shared" si="5"/>
        <v>Lead</v>
      </c>
      <c r="AI455" s="27" t="str">
        <f t="shared" si="6"/>
        <v>201-500</v>
      </c>
      <c r="AJ455" s="27" t="str">
        <f t="shared" si="7"/>
        <v>21-50</v>
      </c>
    </row>
    <row r="456" ht="15.75" customHeight="1">
      <c r="A456" s="23">
        <f>HYPERLINK("https://app.hubspot.com/contacts/8748051/record/0-3/20141360017", 20141360017)</f>
        <v>20141360017</v>
      </c>
      <c r="B456" s="24" t="s">
        <v>1623</v>
      </c>
      <c r="C456" s="24" t="s">
        <v>50</v>
      </c>
      <c r="D456" s="25">
        <v>38160.0</v>
      </c>
      <c r="E456" s="24" t="s">
        <v>73</v>
      </c>
      <c r="F456" s="24"/>
      <c r="G456" s="26">
        <v>45460.50662037037</v>
      </c>
      <c r="H456" s="26">
        <v>45643.46462962963</v>
      </c>
      <c r="I456" s="24" t="s">
        <v>40</v>
      </c>
      <c r="J456" s="24" t="s">
        <v>53</v>
      </c>
      <c r="K456" s="24" t="s">
        <v>1187</v>
      </c>
      <c r="L456" s="24" t="s">
        <v>560</v>
      </c>
      <c r="M456" s="24" t="s">
        <v>44</v>
      </c>
      <c r="N456" s="24"/>
      <c r="O456" s="24"/>
      <c r="P456" s="24" t="s">
        <v>122</v>
      </c>
      <c r="Q456" s="24"/>
      <c r="R456" s="23">
        <f>HYPERLINK("https://app.hubspot.com/contacts/8748051/record/0-2/6265997964", 6265997964)</f>
        <v>6265997964</v>
      </c>
      <c r="S456" s="24" t="s">
        <v>1624</v>
      </c>
      <c r="T456" s="28" t="s">
        <v>1625</v>
      </c>
      <c r="U456" s="24" t="s">
        <v>47</v>
      </c>
      <c r="V456" s="24"/>
      <c r="W456" s="25"/>
      <c r="X456" s="29">
        <v>1228.0</v>
      </c>
      <c r="Y456" s="29">
        <v>159.0</v>
      </c>
      <c r="Z456" s="30" t="s">
        <v>71</v>
      </c>
      <c r="AA456" s="30"/>
      <c r="AB456" s="31"/>
      <c r="AC456" s="30"/>
      <c r="AD456" s="30"/>
      <c r="AE456" s="30"/>
      <c r="AF456" s="30"/>
      <c r="AG456" s="27" t="str">
        <f t="shared" si="1"/>
        <v>New Logo</v>
      </c>
      <c r="AH456" s="27" t="str">
        <f t="shared" si="5"/>
        <v>Lead</v>
      </c>
      <c r="AI456" s="27" t="str">
        <f t="shared" si="6"/>
        <v>1001-5000</v>
      </c>
      <c r="AJ456" s="27" t="str">
        <f t="shared" si="7"/>
        <v>101-500</v>
      </c>
    </row>
    <row r="457" ht="15.75" customHeight="1">
      <c r="A457" s="23">
        <f>HYPERLINK("https://app.hubspot.com/contacts/8748051/record/0-3/20139671819", 20139671819)</f>
        <v>20139671819</v>
      </c>
      <c r="B457" s="24" t="s">
        <v>1626</v>
      </c>
      <c r="C457" s="24" t="s">
        <v>1009</v>
      </c>
      <c r="D457" s="25">
        <v>91200.0</v>
      </c>
      <c r="E457" s="24" t="s">
        <v>73</v>
      </c>
      <c r="F457" s="24"/>
      <c r="G457" s="26">
        <v>45460.459652777776</v>
      </c>
      <c r="H457" s="26">
        <v>45643.417719907404</v>
      </c>
      <c r="I457" s="24" t="s">
        <v>40</v>
      </c>
      <c r="J457" s="24" t="s">
        <v>41</v>
      </c>
      <c r="K457" s="24" t="s">
        <v>1187</v>
      </c>
      <c r="L457" s="24" t="s">
        <v>560</v>
      </c>
      <c r="M457" s="24" t="s">
        <v>44</v>
      </c>
      <c r="N457" s="27"/>
      <c r="O457" s="27"/>
      <c r="P457" s="24"/>
      <c r="Q457" s="24"/>
      <c r="R457" s="23">
        <f>HYPERLINK("https://app.hubspot.com/contacts/8748051/record/0-2/9227915892", 9227915892)</f>
        <v>9227915892</v>
      </c>
      <c r="S457" s="24" t="s">
        <v>1627</v>
      </c>
      <c r="T457" s="28" t="s">
        <v>1628</v>
      </c>
      <c r="U457" s="24" t="s">
        <v>47</v>
      </c>
      <c r="V457" s="24"/>
      <c r="W457" s="32"/>
      <c r="X457" s="29">
        <v>872.0</v>
      </c>
      <c r="Y457" s="29">
        <v>237.0</v>
      </c>
      <c r="Z457" s="30"/>
      <c r="AA457" s="31"/>
      <c r="AB457" s="31"/>
      <c r="AC457" s="31"/>
      <c r="AD457" s="31"/>
      <c r="AE457" s="31"/>
      <c r="AF457" s="31"/>
      <c r="AG457" s="27" t="str">
        <f t="shared" si="1"/>
        <v>New Logo</v>
      </c>
      <c r="AH457" s="27" t="str">
        <f t="shared" si="5"/>
        <v>Lead</v>
      </c>
      <c r="AI457" s="27" t="str">
        <f t="shared" si="6"/>
        <v>501-1000</v>
      </c>
      <c r="AJ457" s="27" t="str">
        <f t="shared" si="7"/>
        <v>101-500</v>
      </c>
    </row>
    <row r="458" ht="15.75" customHeight="1">
      <c r="A458" s="23">
        <f>HYPERLINK("https://app.hubspot.com/contacts/8748051/record/0-3/20079649321", 20079649321)</f>
        <v>20079649321</v>
      </c>
      <c r="B458" s="24" t="s">
        <v>1629</v>
      </c>
      <c r="C458" s="24" t="s">
        <v>1009</v>
      </c>
      <c r="D458" s="25">
        <v>7440.0</v>
      </c>
      <c r="E458" s="24" t="s">
        <v>73</v>
      </c>
      <c r="F458" s="24"/>
      <c r="G458" s="26">
        <v>45457.45481481482</v>
      </c>
      <c r="H458" s="26">
        <v>45640.412824074076</v>
      </c>
      <c r="I458" s="24" t="s">
        <v>40</v>
      </c>
      <c r="J458" s="24" t="s">
        <v>41</v>
      </c>
      <c r="K458" s="24" t="s">
        <v>559</v>
      </c>
      <c r="L458" s="24" t="s">
        <v>560</v>
      </c>
      <c r="M458" s="24" t="s">
        <v>44</v>
      </c>
      <c r="N458" s="24"/>
      <c r="O458" s="27"/>
      <c r="P458" s="24" t="s">
        <v>122</v>
      </c>
      <c r="Q458" s="27"/>
      <c r="R458" s="23">
        <f>HYPERLINK("https://app.hubspot.com/contacts/8748051/record/0-2/7902488946", 7902488946)</f>
        <v>7902488946</v>
      </c>
      <c r="S458" s="24" t="s">
        <v>1630</v>
      </c>
      <c r="T458" s="28" t="s">
        <v>1631</v>
      </c>
      <c r="U458" s="24" t="s">
        <v>47</v>
      </c>
      <c r="V458" s="24"/>
      <c r="W458" s="25"/>
      <c r="X458" s="29">
        <v>460.0</v>
      </c>
      <c r="Y458" s="29">
        <v>28.0</v>
      </c>
      <c r="Z458" s="30" t="s">
        <v>108</v>
      </c>
      <c r="AA458" s="30"/>
      <c r="AB458" s="31"/>
      <c r="AC458" s="31"/>
      <c r="AD458" s="30"/>
      <c r="AE458" s="31"/>
      <c r="AF458" s="30"/>
      <c r="AG458" s="27" t="str">
        <f t="shared" si="1"/>
        <v>New Logo</v>
      </c>
      <c r="AH458" s="27" t="str">
        <f t="shared" si="5"/>
        <v>Lead</v>
      </c>
      <c r="AI458" s="27" t="str">
        <f t="shared" si="6"/>
        <v>201-500</v>
      </c>
      <c r="AJ458" s="27" t="str">
        <f t="shared" si="7"/>
        <v>21-50</v>
      </c>
    </row>
    <row r="459" ht="15.75" customHeight="1">
      <c r="A459" s="23">
        <f>HYPERLINK("https://app.hubspot.com/contacts/8748051/record/0-3/20075053706", 20075053706)</f>
        <v>20075053706</v>
      </c>
      <c r="B459" s="24" t="s">
        <v>1632</v>
      </c>
      <c r="C459" s="24" t="s">
        <v>1009</v>
      </c>
      <c r="D459" s="25">
        <v>3360.0</v>
      </c>
      <c r="E459" s="24" t="s">
        <v>73</v>
      </c>
      <c r="F459" s="24"/>
      <c r="G459" s="26">
        <v>45457.183020833334</v>
      </c>
      <c r="H459" s="26">
        <v>45640.140601851854</v>
      </c>
      <c r="I459" s="24" t="s">
        <v>40</v>
      </c>
      <c r="J459" s="24" t="s">
        <v>41</v>
      </c>
      <c r="K459" s="24" t="s">
        <v>42</v>
      </c>
      <c r="L459" s="24" t="s">
        <v>43</v>
      </c>
      <c r="M459" s="24" t="s">
        <v>44</v>
      </c>
      <c r="N459" s="24"/>
      <c r="O459" s="24"/>
      <c r="P459" s="24"/>
      <c r="Q459" s="24"/>
      <c r="R459" s="23">
        <f>HYPERLINK("https://app.hubspot.com/contacts/8748051/record/0-2/9069721364", 9069721364)</f>
        <v>9069721364</v>
      </c>
      <c r="S459" s="24" t="s">
        <v>1633</v>
      </c>
      <c r="T459" s="28" t="s">
        <v>1634</v>
      </c>
      <c r="U459" s="24" t="s">
        <v>47</v>
      </c>
      <c r="V459" s="24"/>
      <c r="W459" s="25"/>
      <c r="X459" s="29">
        <v>153.0</v>
      </c>
      <c r="Y459" s="29">
        <v>13.0</v>
      </c>
      <c r="Z459" s="30"/>
      <c r="AA459" s="30"/>
      <c r="AB459" s="31"/>
      <c r="AC459" s="31"/>
      <c r="AD459" s="30"/>
      <c r="AE459" s="31"/>
      <c r="AF459" s="30"/>
      <c r="AG459" s="27" t="str">
        <f t="shared" si="1"/>
        <v>New Logo</v>
      </c>
      <c r="AH459" s="27" t="str">
        <f t="shared" si="5"/>
        <v>Lead</v>
      </c>
      <c r="AI459" s="27" t="str">
        <f t="shared" si="6"/>
        <v>0-200</v>
      </c>
      <c r="AJ459" s="27" t="str">
        <f t="shared" si="7"/>
        <v>0-20</v>
      </c>
    </row>
    <row r="460" ht="15.75" customHeight="1">
      <c r="A460" s="23">
        <f>HYPERLINK("https://app.hubspot.com/contacts/8748051/record/0-3/20030854984", 20030854984)</f>
        <v>20030854984</v>
      </c>
      <c r="B460" s="24" t="s">
        <v>1635</v>
      </c>
      <c r="C460" s="24" t="s">
        <v>148</v>
      </c>
      <c r="D460" s="25">
        <v>25200.0</v>
      </c>
      <c r="E460" s="24" t="s">
        <v>92</v>
      </c>
      <c r="F460" s="24" t="s">
        <v>52</v>
      </c>
      <c r="G460" s="26">
        <v>45455.41388888889</v>
      </c>
      <c r="H460" s="26">
        <v>45516.75090277778</v>
      </c>
      <c r="I460" s="24" t="s">
        <v>40</v>
      </c>
      <c r="J460" s="24" t="s">
        <v>41</v>
      </c>
      <c r="K460" s="24" t="s">
        <v>1187</v>
      </c>
      <c r="L460" s="24" t="s">
        <v>715</v>
      </c>
      <c r="M460" s="24" t="s">
        <v>44</v>
      </c>
      <c r="N460" s="24" t="s">
        <v>1636</v>
      </c>
      <c r="O460" s="24"/>
      <c r="P460" s="24"/>
      <c r="Q460" s="24"/>
      <c r="R460" s="23">
        <f>HYPERLINK("https://app.hubspot.com/contacts/8748051/record/0-2/7398526599", 7398526599)</f>
        <v>7398526599</v>
      </c>
      <c r="S460" s="24" t="s">
        <v>1481</v>
      </c>
      <c r="T460" s="28" t="s">
        <v>1482</v>
      </c>
      <c r="U460" s="24" t="s">
        <v>96</v>
      </c>
      <c r="V460" s="24"/>
      <c r="W460" s="25">
        <v>28750.0</v>
      </c>
      <c r="X460" s="29">
        <v>467.0</v>
      </c>
      <c r="Y460" s="29">
        <v>50.0</v>
      </c>
      <c r="Z460" s="30"/>
      <c r="AA460" s="30" t="s">
        <v>207</v>
      </c>
      <c r="AB460" s="31"/>
      <c r="AC460" s="31"/>
      <c r="AD460" s="30" t="s">
        <v>1483</v>
      </c>
      <c r="AE460" s="31"/>
      <c r="AF460" s="30" t="s">
        <v>554</v>
      </c>
      <c r="AG460" s="27" t="str">
        <f t="shared" si="1"/>
        <v>New Logo</v>
      </c>
      <c r="AH460" s="27" t="str">
        <f t="shared" si="5"/>
        <v>Customer</v>
      </c>
      <c r="AI460" s="27" t="str">
        <f t="shared" si="6"/>
        <v>201-500</v>
      </c>
      <c r="AJ460" s="27" t="str">
        <f t="shared" si="7"/>
        <v>21-50</v>
      </c>
    </row>
    <row r="461" ht="15.75" customHeight="1">
      <c r="A461" s="23">
        <f>HYPERLINK("https://app.hubspot.com/contacts/8748051/record/0-3/20029394566", 20029394566)</f>
        <v>20029394566</v>
      </c>
      <c r="B461" s="24" t="s">
        <v>1637</v>
      </c>
      <c r="C461" s="24" t="s">
        <v>148</v>
      </c>
      <c r="D461" s="25">
        <v>164400.0</v>
      </c>
      <c r="E461" s="24" t="s">
        <v>73</v>
      </c>
      <c r="F461" s="24"/>
      <c r="G461" s="26">
        <v>45455.315150462964</v>
      </c>
      <c r="H461" s="26">
        <v>45638.314722222225</v>
      </c>
      <c r="I461" s="24" t="s">
        <v>40</v>
      </c>
      <c r="J461" s="24" t="s">
        <v>53</v>
      </c>
      <c r="K461" s="24" t="s">
        <v>1187</v>
      </c>
      <c r="L461" s="24" t="s">
        <v>560</v>
      </c>
      <c r="M461" s="24" t="s">
        <v>44</v>
      </c>
      <c r="N461" s="27"/>
      <c r="O461" s="24"/>
      <c r="P461" s="24"/>
      <c r="Q461" s="24"/>
      <c r="R461" s="23">
        <f>HYPERLINK("https://app.hubspot.com/contacts/8748051/record/0-2/9238276430", 9238276430)</f>
        <v>9238276430</v>
      </c>
      <c r="S461" s="24" t="s">
        <v>1638</v>
      </c>
      <c r="T461" s="28" t="s">
        <v>1639</v>
      </c>
      <c r="U461" s="24" t="s">
        <v>47</v>
      </c>
      <c r="V461" s="24"/>
      <c r="W461" s="32"/>
      <c r="X461" s="29">
        <v>3880.0</v>
      </c>
      <c r="Y461" s="29">
        <v>730.0</v>
      </c>
      <c r="Z461" s="30" t="s">
        <v>546</v>
      </c>
      <c r="AA461" s="31"/>
      <c r="AB461" s="31"/>
      <c r="AC461" s="31"/>
      <c r="AD461" s="31"/>
      <c r="AE461" s="31"/>
      <c r="AF461" s="31"/>
      <c r="AG461" s="27" t="str">
        <f t="shared" si="1"/>
        <v>New Logo</v>
      </c>
      <c r="AH461" s="27" t="str">
        <f t="shared" si="5"/>
        <v>Lead</v>
      </c>
      <c r="AI461" s="27" t="str">
        <f t="shared" si="6"/>
        <v>1001-5000</v>
      </c>
      <c r="AJ461" s="27" t="str">
        <f t="shared" si="7"/>
        <v>500+</v>
      </c>
    </row>
    <row r="462" ht="15.75" customHeight="1">
      <c r="A462" s="23">
        <f>HYPERLINK("https://app.hubspot.com/contacts/8748051/record/0-3/20029087321", 20029087321)</f>
        <v>20029087321</v>
      </c>
      <c r="B462" s="24" t="s">
        <v>1640</v>
      </c>
      <c r="C462" s="24" t="s">
        <v>50</v>
      </c>
      <c r="D462" s="25">
        <v>57120.0</v>
      </c>
      <c r="E462" s="24" t="s">
        <v>73</v>
      </c>
      <c r="F462" s="24"/>
      <c r="G462" s="26">
        <v>45455.29417824074</v>
      </c>
      <c r="H462" s="26">
        <v>45638.29368055556</v>
      </c>
      <c r="I462" s="24" t="s">
        <v>40</v>
      </c>
      <c r="J462" s="24" t="s">
        <v>53</v>
      </c>
      <c r="K462" s="24" t="s">
        <v>559</v>
      </c>
      <c r="L462" s="24" t="s">
        <v>560</v>
      </c>
      <c r="M462" s="24" t="s">
        <v>44</v>
      </c>
      <c r="N462" s="27"/>
      <c r="O462" s="24"/>
      <c r="P462" s="24" t="s">
        <v>213</v>
      </c>
      <c r="Q462" s="24"/>
      <c r="R462" s="23">
        <f>HYPERLINK("https://app.hubspot.com/contacts/8748051/record/0-2/8791664444", 8791664444)</f>
        <v>8791664444</v>
      </c>
      <c r="S462" s="24" t="s">
        <v>1641</v>
      </c>
      <c r="T462" s="28" t="s">
        <v>1642</v>
      </c>
      <c r="U462" s="24" t="s">
        <v>47</v>
      </c>
      <c r="V462" s="24"/>
      <c r="W462" s="32"/>
      <c r="X462" s="29">
        <v>1336.0</v>
      </c>
      <c r="Y462" s="29">
        <v>246.0</v>
      </c>
      <c r="Z462" s="30" t="s">
        <v>108</v>
      </c>
      <c r="AA462" s="31"/>
      <c r="AB462" s="31"/>
      <c r="AC462" s="31"/>
      <c r="AD462" s="31"/>
      <c r="AE462" s="31"/>
      <c r="AF462" s="31"/>
      <c r="AG462" s="27" t="str">
        <f t="shared" si="1"/>
        <v>New Logo</v>
      </c>
      <c r="AH462" s="27" t="str">
        <f t="shared" si="5"/>
        <v>Lead</v>
      </c>
      <c r="AI462" s="27" t="str">
        <f t="shared" si="6"/>
        <v>1001-5000</v>
      </c>
      <c r="AJ462" s="27" t="str">
        <f t="shared" si="7"/>
        <v>101-500</v>
      </c>
    </row>
    <row r="463" ht="15.75" customHeight="1">
      <c r="A463" s="23">
        <f>HYPERLINK("https://app.hubspot.com/contacts/8748051/record/0-3/20028993888", 20028993888)</f>
        <v>20028993888</v>
      </c>
      <c r="B463" s="24" t="s">
        <v>1643</v>
      </c>
      <c r="C463" s="24" t="s">
        <v>50</v>
      </c>
      <c r="D463" s="25">
        <v>20000.0</v>
      </c>
      <c r="E463" s="24" t="s">
        <v>127</v>
      </c>
      <c r="F463" s="24" t="s">
        <v>52</v>
      </c>
      <c r="G463" s="26">
        <v>45455.29326388889</v>
      </c>
      <c r="H463" s="26">
        <v>45838.84769675926</v>
      </c>
      <c r="I463" s="24" t="s">
        <v>40</v>
      </c>
      <c r="J463" s="24" t="s">
        <v>41</v>
      </c>
      <c r="K463" s="24" t="s">
        <v>1187</v>
      </c>
      <c r="L463" s="24" t="s">
        <v>560</v>
      </c>
      <c r="M463" s="24" t="s">
        <v>44</v>
      </c>
      <c r="N463" s="27"/>
      <c r="O463" s="24"/>
      <c r="P463" s="24"/>
      <c r="Q463" s="24" t="s">
        <v>128</v>
      </c>
      <c r="R463" s="23">
        <f>HYPERLINK("https://app.hubspot.com/contacts/8748051/record/0-2/9186989080", 9186989080)</f>
        <v>9186989080</v>
      </c>
      <c r="S463" s="24" t="s">
        <v>1644</v>
      </c>
      <c r="T463" s="28" t="s">
        <v>1645</v>
      </c>
      <c r="U463" s="24" t="s">
        <v>47</v>
      </c>
      <c r="V463" s="24"/>
      <c r="W463" s="32"/>
      <c r="X463" s="29">
        <v>123.0</v>
      </c>
      <c r="Y463" s="29">
        <v>41.0</v>
      </c>
      <c r="Z463" s="30"/>
      <c r="AA463" s="31"/>
      <c r="AB463" s="31"/>
      <c r="AC463" s="31"/>
      <c r="AD463" s="31"/>
      <c r="AE463" s="31"/>
      <c r="AF463" s="31"/>
      <c r="AG463" s="27" t="str">
        <f t="shared" si="1"/>
        <v>New Logo</v>
      </c>
      <c r="AH463" s="27" t="str">
        <f t="shared" si="5"/>
        <v>Lead</v>
      </c>
      <c r="AI463" s="27" t="str">
        <f t="shared" si="6"/>
        <v>0-200</v>
      </c>
      <c r="AJ463" s="27" t="str">
        <f t="shared" si="7"/>
        <v>21-50</v>
      </c>
    </row>
    <row r="464" ht="15.75" customHeight="1">
      <c r="A464" s="23">
        <f>HYPERLINK("https://app.hubspot.com/contacts/8748051/record/0-3/19999649595", 19999649595)</f>
        <v>19999649595</v>
      </c>
      <c r="B464" s="24" t="s">
        <v>1646</v>
      </c>
      <c r="C464" s="24" t="s">
        <v>1009</v>
      </c>
      <c r="D464" s="25">
        <v>45360.0</v>
      </c>
      <c r="E464" s="24" t="s">
        <v>127</v>
      </c>
      <c r="F464" s="24" t="s">
        <v>52</v>
      </c>
      <c r="G464" s="26">
        <v>45454.05929398148</v>
      </c>
      <c r="H464" s="26">
        <v>45742.3758912037</v>
      </c>
      <c r="I464" s="24" t="s">
        <v>40</v>
      </c>
      <c r="J464" s="24" t="s">
        <v>53</v>
      </c>
      <c r="K464" s="24" t="s">
        <v>60</v>
      </c>
      <c r="L464" s="24" t="s">
        <v>178</v>
      </c>
      <c r="M464" s="24" t="s">
        <v>74</v>
      </c>
      <c r="N464" s="27"/>
      <c r="O464" s="24"/>
      <c r="P464" s="27"/>
      <c r="Q464" s="24"/>
      <c r="R464" s="23">
        <f>HYPERLINK("https://app.hubspot.com/contacts/8748051/record/0-2/19176621361", 19176621361)</f>
        <v>19176621361</v>
      </c>
      <c r="S464" s="24" t="s">
        <v>1647</v>
      </c>
      <c r="T464" s="28" t="s">
        <v>1648</v>
      </c>
      <c r="U464" s="24" t="s">
        <v>47</v>
      </c>
      <c r="V464" s="24"/>
      <c r="W464" s="32"/>
      <c r="X464" s="29">
        <v>1062.0</v>
      </c>
      <c r="Y464" s="29">
        <v>232.0</v>
      </c>
      <c r="Z464" s="30" t="s">
        <v>125</v>
      </c>
      <c r="AA464" s="31"/>
      <c r="AB464" s="31"/>
      <c r="AC464" s="31"/>
      <c r="AD464" s="31"/>
      <c r="AE464" s="31"/>
      <c r="AF464" s="31"/>
      <c r="AG464" s="27" t="str">
        <f t="shared" si="1"/>
        <v>New Logo</v>
      </c>
      <c r="AH464" s="27" t="str">
        <f t="shared" si="5"/>
        <v>Lead</v>
      </c>
      <c r="AI464" s="27" t="str">
        <f t="shared" si="6"/>
        <v>1001-5000</v>
      </c>
      <c r="AJ464" s="27" t="str">
        <f t="shared" si="7"/>
        <v>101-500</v>
      </c>
    </row>
    <row r="465" ht="15.75" customHeight="1">
      <c r="A465" s="23">
        <f>HYPERLINK("https://app.hubspot.com/contacts/8748051/record/0-3/19992876367", 19992876367)</f>
        <v>19992876367</v>
      </c>
      <c r="B465" s="24" t="s">
        <v>1649</v>
      </c>
      <c r="C465" s="24" t="s">
        <v>148</v>
      </c>
      <c r="D465" s="25">
        <v>5280.0</v>
      </c>
      <c r="E465" s="24" t="s">
        <v>73</v>
      </c>
      <c r="F465" s="24"/>
      <c r="G465" s="26">
        <v>45453.74561342593</v>
      </c>
      <c r="H465" s="26">
        <v>45636.744409722225</v>
      </c>
      <c r="I465" s="24" t="s">
        <v>40</v>
      </c>
      <c r="J465" s="24" t="s">
        <v>41</v>
      </c>
      <c r="K465" s="24" t="s">
        <v>1187</v>
      </c>
      <c r="L465" s="24" t="s">
        <v>560</v>
      </c>
      <c r="M465" s="24" t="s">
        <v>44</v>
      </c>
      <c r="N465" s="27"/>
      <c r="O465" s="24"/>
      <c r="P465" s="24"/>
      <c r="Q465" s="24"/>
      <c r="R465" s="23">
        <f>HYPERLINK("https://app.hubspot.com/contacts/8748051/record/0-2/8964769280", 8964769280)</f>
        <v>8964769280</v>
      </c>
      <c r="S465" s="24" t="s">
        <v>1650</v>
      </c>
      <c r="T465" s="28" t="s">
        <v>1651</v>
      </c>
      <c r="U465" s="24" t="s">
        <v>47</v>
      </c>
      <c r="V465" s="24"/>
      <c r="W465" s="32"/>
      <c r="X465" s="29">
        <v>262.0</v>
      </c>
      <c r="Y465" s="29">
        <v>19.0</v>
      </c>
      <c r="Z465" s="30"/>
      <c r="AA465" s="31"/>
      <c r="AB465" s="31"/>
      <c r="AC465" s="31"/>
      <c r="AD465" s="31"/>
      <c r="AE465" s="31"/>
      <c r="AF465" s="31"/>
      <c r="AG465" s="27" t="str">
        <f t="shared" si="1"/>
        <v>New Logo</v>
      </c>
      <c r="AH465" s="27" t="str">
        <f t="shared" si="5"/>
        <v>Lead</v>
      </c>
      <c r="AI465" s="27" t="str">
        <f t="shared" si="6"/>
        <v>201-500</v>
      </c>
      <c r="AJ465" s="27" t="str">
        <f t="shared" si="7"/>
        <v>0-20</v>
      </c>
    </row>
    <row r="466" ht="15.75" customHeight="1">
      <c r="A466" s="23">
        <f>HYPERLINK("https://app.hubspot.com/contacts/8748051/record/0-3/19992614737", 19992614737)</f>
        <v>19992614737</v>
      </c>
      <c r="B466" s="24" t="s">
        <v>1652</v>
      </c>
      <c r="C466" s="24" t="s">
        <v>50</v>
      </c>
      <c r="D466" s="25">
        <v>26880.0</v>
      </c>
      <c r="E466" s="24" t="s">
        <v>127</v>
      </c>
      <c r="F466" s="24" t="s">
        <v>52</v>
      </c>
      <c r="G466" s="26">
        <v>45453.74267361111</v>
      </c>
      <c r="H466" s="26">
        <v>45636.742164351854</v>
      </c>
      <c r="I466" s="24" t="s">
        <v>40</v>
      </c>
      <c r="J466" s="24" t="s">
        <v>41</v>
      </c>
      <c r="K466" s="24" t="s">
        <v>1187</v>
      </c>
      <c r="L466" s="24" t="s">
        <v>178</v>
      </c>
      <c r="M466" s="24" t="s">
        <v>44</v>
      </c>
      <c r="N466" s="27"/>
      <c r="O466" s="27"/>
      <c r="P466" s="24"/>
      <c r="Q466" s="24" t="s">
        <v>144</v>
      </c>
      <c r="R466" s="23">
        <f>HYPERLINK("https://app.hubspot.com/contacts/8748051/record/0-2/7649395999", 7649395999)</f>
        <v>7649395999</v>
      </c>
      <c r="S466" s="24" t="s">
        <v>1653</v>
      </c>
      <c r="T466" s="28" t="s">
        <v>1654</v>
      </c>
      <c r="U466" s="24" t="s">
        <v>47</v>
      </c>
      <c r="V466" s="24"/>
      <c r="W466" s="32"/>
      <c r="X466" s="29">
        <v>622.0</v>
      </c>
      <c r="Y466" s="29">
        <v>88.0</v>
      </c>
      <c r="Z466" s="30"/>
      <c r="AA466" s="31"/>
      <c r="AB466" s="31"/>
      <c r="AC466" s="31"/>
      <c r="AD466" s="31"/>
      <c r="AE466" s="31"/>
      <c r="AF466" s="31"/>
      <c r="AG466" s="27" t="str">
        <f t="shared" si="1"/>
        <v>New Logo</v>
      </c>
      <c r="AH466" s="27" t="str">
        <f t="shared" si="5"/>
        <v>Lead</v>
      </c>
      <c r="AI466" s="27" t="str">
        <f t="shared" si="6"/>
        <v>501-1000</v>
      </c>
      <c r="AJ466" s="27" t="str">
        <f t="shared" si="7"/>
        <v>51-100</v>
      </c>
    </row>
    <row r="467" ht="15.75" customHeight="1">
      <c r="A467" s="23">
        <f>HYPERLINK("https://app.hubspot.com/contacts/8748051/record/0-3/19989811457", 19989811457)</f>
        <v>19989811457</v>
      </c>
      <c r="B467" s="24" t="s">
        <v>1655</v>
      </c>
      <c r="C467" s="24" t="s">
        <v>50</v>
      </c>
      <c r="D467" s="25">
        <v>31200.0</v>
      </c>
      <c r="E467" s="24" t="s">
        <v>73</v>
      </c>
      <c r="F467" s="24"/>
      <c r="G467" s="26">
        <v>45453.59243055555</v>
      </c>
      <c r="H467" s="26">
        <v>45636.592141203706</v>
      </c>
      <c r="I467" s="24" t="s">
        <v>40</v>
      </c>
      <c r="J467" s="24" t="s">
        <v>53</v>
      </c>
      <c r="K467" s="24" t="s">
        <v>559</v>
      </c>
      <c r="L467" s="24" t="s">
        <v>560</v>
      </c>
      <c r="M467" s="24" t="s">
        <v>44</v>
      </c>
      <c r="N467" s="27"/>
      <c r="O467" s="24"/>
      <c r="P467" s="24"/>
      <c r="Q467" s="27"/>
      <c r="R467" s="23">
        <f>HYPERLINK("https://app.hubspot.com/contacts/8748051/record/0-2/7941783360", 7941783360)</f>
        <v>7941783360</v>
      </c>
      <c r="S467" s="24" t="s">
        <v>1656</v>
      </c>
      <c r="T467" s="28" t="s">
        <v>1657</v>
      </c>
      <c r="U467" s="24" t="s">
        <v>47</v>
      </c>
      <c r="V467" s="24"/>
      <c r="W467" s="32"/>
      <c r="X467" s="29">
        <v>302.0</v>
      </c>
      <c r="Y467" s="29">
        <v>116.0</v>
      </c>
      <c r="Z467" s="30" t="s">
        <v>71</v>
      </c>
      <c r="AA467" s="31"/>
      <c r="AB467" s="31"/>
      <c r="AC467" s="31"/>
      <c r="AD467" s="31"/>
      <c r="AE467" s="31"/>
      <c r="AF467" s="31"/>
      <c r="AG467" s="27" t="str">
        <f t="shared" si="1"/>
        <v>New Logo</v>
      </c>
      <c r="AH467" s="27" t="str">
        <f t="shared" si="5"/>
        <v>Lead</v>
      </c>
      <c r="AI467" s="27" t="str">
        <f t="shared" si="6"/>
        <v>201-500</v>
      </c>
      <c r="AJ467" s="27" t="str">
        <f t="shared" si="7"/>
        <v>101-500</v>
      </c>
    </row>
    <row r="468" ht="15.75" customHeight="1">
      <c r="A468" s="23">
        <f>HYPERLINK("https://app.hubspot.com/contacts/8748051/record/0-3/19983616576", 19983616576)</f>
        <v>19983616576</v>
      </c>
      <c r="B468" s="24" t="s">
        <v>593</v>
      </c>
      <c r="C468" s="24" t="s">
        <v>50</v>
      </c>
      <c r="D468" s="25">
        <v>44400.0</v>
      </c>
      <c r="E468" s="24" t="s">
        <v>73</v>
      </c>
      <c r="F468" s="24"/>
      <c r="G468" s="26">
        <v>45453.39706018518</v>
      </c>
      <c r="H468" s="26">
        <v>45636.39674768518</v>
      </c>
      <c r="I468" s="24" t="s">
        <v>40</v>
      </c>
      <c r="J468" s="24" t="s">
        <v>53</v>
      </c>
      <c r="K468" s="24" t="s">
        <v>559</v>
      </c>
      <c r="L468" s="24" t="s">
        <v>560</v>
      </c>
      <c r="M468" s="24" t="s">
        <v>44</v>
      </c>
      <c r="N468" s="27"/>
      <c r="O468" s="24"/>
      <c r="P468" s="24" t="s">
        <v>122</v>
      </c>
      <c r="Q468" s="27"/>
      <c r="R468" s="23">
        <f>HYPERLINK("https://app.hubspot.com/contacts/8748051/record/0-2/7655953081", 7655953081)</f>
        <v>7655953081</v>
      </c>
      <c r="S468" s="24" t="s">
        <v>595</v>
      </c>
      <c r="T468" s="28" t="s">
        <v>596</v>
      </c>
      <c r="U468" s="24" t="s">
        <v>47</v>
      </c>
      <c r="V468" s="24"/>
      <c r="W468" s="32"/>
      <c r="X468" s="29">
        <v>1160.0</v>
      </c>
      <c r="Y468" s="29">
        <v>187.0</v>
      </c>
      <c r="Z468" s="30" t="s">
        <v>597</v>
      </c>
      <c r="AA468" s="31"/>
      <c r="AB468" s="31"/>
      <c r="AC468" s="31"/>
      <c r="AD468" s="31"/>
      <c r="AE468" s="31"/>
      <c r="AF468" s="31"/>
      <c r="AG468" s="27" t="str">
        <f t="shared" si="1"/>
        <v>New Logo</v>
      </c>
      <c r="AH468" s="27" t="str">
        <f t="shared" si="5"/>
        <v>Lead</v>
      </c>
      <c r="AI468" s="27" t="str">
        <f t="shared" si="6"/>
        <v>1001-5000</v>
      </c>
      <c r="AJ468" s="27" t="str">
        <f t="shared" si="7"/>
        <v>101-500</v>
      </c>
    </row>
    <row r="469" ht="15.75" customHeight="1">
      <c r="A469" s="23">
        <f>HYPERLINK("https://app.hubspot.com/contacts/8748051/record/0-3/19983475725", 19983475725)</f>
        <v>19983475725</v>
      </c>
      <c r="B469" s="24" t="s">
        <v>1658</v>
      </c>
      <c r="C469" s="24" t="s">
        <v>50</v>
      </c>
      <c r="D469" s="25">
        <v>11520.0</v>
      </c>
      <c r="E469" s="24" t="s">
        <v>73</v>
      </c>
      <c r="F469" s="24"/>
      <c r="G469" s="26">
        <v>45453.37440972222</v>
      </c>
      <c r="H469" s="26">
        <v>45636.3725</v>
      </c>
      <c r="I469" s="24" t="s">
        <v>40</v>
      </c>
      <c r="J469" s="24" t="s">
        <v>41</v>
      </c>
      <c r="K469" s="24" t="s">
        <v>559</v>
      </c>
      <c r="L469" s="24" t="s">
        <v>560</v>
      </c>
      <c r="M469" s="24" t="s">
        <v>44</v>
      </c>
      <c r="N469" s="27"/>
      <c r="O469" s="24"/>
      <c r="P469" s="24"/>
      <c r="Q469" s="24"/>
      <c r="R469" s="23">
        <f>HYPERLINK("https://app.hubspot.com/contacts/8748051/record/0-2/9976415114", 9976415114)</f>
        <v>9976415114</v>
      </c>
      <c r="S469" s="24" t="s">
        <v>1659</v>
      </c>
      <c r="T469" s="28" t="s">
        <v>1660</v>
      </c>
      <c r="U469" s="24" t="s">
        <v>47</v>
      </c>
      <c r="V469" s="24"/>
      <c r="W469" s="32"/>
      <c r="X469" s="29">
        <v>1573.0</v>
      </c>
      <c r="Y469" s="29">
        <v>63.0</v>
      </c>
      <c r="Z469" s="30" t="s">
        <v>108</v>
      </c>
      <c r="AA469" s="31"/>
      <c r="AB469" s="31"/>
      <c r="AC469" s="31"/>
      <c r="AD469" s="31"/>
      <c r="AE469" s="31"/>
      <c r="AF469" s="31"/>
      <c r="AG469" s="27" t="str">
        <f t="shared" si="1"/>
        <v>New Logo</v>
      </c>
      <c r="AH469" s="27" t="str">
        <f t="shared" si="5"/>
        <v>Lead</v>
      </c>
      <c r="AI469" s="27" t="str">
        <f t="shared" si="6"/>
        <v>1001-5000</v>
      </c>
      <c r="AJ469" s="27" t="str">
        <f t="shared" si="7"/>
        <v>51-100</v>
      </c>
    </row>
    <row r="470" ht="15.75" customHeight="1">
      <c r="A470" s="23">
        <f>HYPERLINK("https://app.hubspot.com/contacts/8748051/record/0-3/19888114324", 19888114324)</f>
        <v>19888114324</v>
      </c>
      <c r="B470" s="24" t="s">
        <v>1661</v>
      </c>
      <c r="C470" s="24" t="s">
        <v>50</v>
      </c>
      <c r="D470" s="25">
        <v>7920.0</v>
      </c>
      <c r="E470" s="24" t="s">
        <v>73</v>
      </c>
      <c r="F470" s="24"/>
      <c r="G470" s="26">
        <v>45448.7684375</v>
      </c>
      <c r="H470" s="26">
        <v>45631.686898148146</v>
      </c>
      <c r="I470" s="24" t="s">
        <v>40</v>
      </c>
      <c r="J470" s="24" t="s">
        <v>41</v>
      </c>
      <c r="K470" s="24" t="s">
        <v>1187</v>
      </c>
      <c r="L470" s="24" t="s">
        <v>178</v>
      </c>
      <c r="M470" s="24" t="s">
        <v>44</v>
      </c>
      <c r="N470" s="24"/>
      <c r="O470" s="24"/>
      <c r="P470" s="24" t="s">
        <v>75</v>
      </c>
      <c r="Q470" s="24"/>
      <c r="R470" s="23">
        <f>HYPERLINK("https://app.hubspot.com/contacts/8748051/record/0-2/6816671022", 6816671022)</f>
        <v>6816671022</v>
      </c>
      <c r="S470" s="28" t="s">
        <v>1662</v>
      </c>
      <c r="T470" s="28" t="s">
        <v>1663</v>
      </c>
      <c r="U470" s="24" t="s">
        <v>47</v>
      </c>
      <c r="V470" s="24"/>
      <c r="W470" s="25"/>
      <c r="X470" s="29">
        <v>219.0</v>
      </c>
      <c r="Y470" s="29">
        <v>27.0</v>
      </c>
      <c r="Z470" s="30" t="s">
        <v>71</v>
      </c>
      <c r="AA470" s="30"/>
      <c r="AB470" s="31"/>
      <c r="AC470" s="30"/>
      <c r="AD470" s="30"/>
      <c r="AE470" s="30"/>
      <c r="AF470" s="30"/>
      <c r="AG470" s="27" t="str">
        <f t="shared" si="1"/>
        <v>New Logo</v>
      </c>
      <c r="AH470" s="27" t="str">
        <f t="shared" si="5"/>
        <v>Lead</v>
      </c>
      <c r="AI470" s="27" t="str">
        <f t="shared" si="6"/>
        <v>201-500</v>
      </c>
      <c r="AJ470" s="27" t="str">
        <f t="shared" si="7"/>
        <v>21-50</v>
      </c>
    </row>
    <row r="471" ht="15.75" customHeight="1">
      <c r="A471" s="23">
        <f>HYPERLINK("https://app.hubspot.com/contacts/8748051/record/0-3/19887432084", 19887432084)</f>
        <v>19887432084</v>
      </c>
      <c r="B471" s="24" t="s">
        <v>1664</v>
      </c>
      <c r="C471" s="24" t="s">
        <v>148</v>
      </c>
      <c r="D471" s="25">
        <v>12720.0</v>
      </c>
      <c r="E471" s="24" t="s">
        <v>149</v>
      </c>
      <c r="F471" s="24"/>
      <c r="G471" s="26">
        <v>45448.725694444445</v>
      </c>
      <c r="H471" s="26">
        <v>45509.709872685184</v>
      </c>
      <c r="I471" s="24" t="s">
        <v>40</v>
      </c>
      <c r="J471" s="24" t="s">
        <v>41</v>
      </c>
      <c r="K471" s="24" t="s">
        <v>559</v>
      </c>
      <c r="L471" s="24" t="s">
        <v>560</v>
      </c>
      <c r="M471" s="24" t="s">
        <v>44</v>
      </c>
      <c r="N471" s="27"/>
      <c r="O471" s="24" t="s">
        <v>1665</v>
      </c>
      <c r="P471" s="24"/>
      <c r="Q471" s="24"/>
      <c r="R471" s="23">
        <f>HYPERLINK("https://app.hubspot.com/contacts/8748051/record/0-2/14811280198", 14811280198)</f>
        <v>14811280198</v>
      </c>
      <c r="S471" s="24" t="s">
        <v>1666</v>
      </c>
      <c r="T471" s="28" t="s">
        <v>1667</v>
      </c>
      <c r="U471" s="24" t="s">
        <v>47</v>
      </c>
      <c r="V471" s="24"/>
      <c r="W471" s="32"/>
      <c r="X471" s="29">
        <v>176.0</v>
      </c>
      <c r="Y471" s="29">
        <v>65.0</v>
      </c>
      <c r="Z471" s="30" t="s">
        <v>56</v>
      </c>
      <c r="AA471" s="31"/>
      <c r="AB471" s="31"/>
      <c r="AC471" s="31"/>
      <c r="AD471" s="31"/>
      <c r="AE471" s="31"/>
      <c r="AF471" s="31"/>
      <c r="AG471" s="27" t="str">
        <f t="shared" si="1"/>
        <v>New Logo</v>
      </c>
      <c r="AH471" s="27" t="str">
        <f t="shared" si="5"/>
        <v>Lead</v>
      </c>
      <c r="AI471" s="27" t="str">
        <f t="shared" si="6"/>
        <v>0-200</v>
      </c>
      <c r="AJ471" s="27" t="str">
        <f t="shared" si="7"/>
        <v>51-100</v>
      </c>
    </row>
    <row r="472" ht="15.75" customHeight="1">
      <c r="A472" s="23">
        <f>HYPERLINK("https://app.hubspot.com/contacts/8748051/record/0-3/19883137361", 19883137361)</f>
        <v>19883137361</v>
      </c>
      <c r="B472" s="24" t="s">
        <v>1668</v>
      </c>
      <c r="C472" s="24" t="s">
        <v>50</v>
      </c>
      <c r="D472" s="25">
        <v>11200.0</v>
      </c>
      <c r="E472" s="24" t="s">
        <v>149</v>
      </c>
      <c r="F472" s="24" t="s">
        <v>52</v>
      </c>
      <c r="G472" s="26">
        <v>45448.58038194444</v>
      </c>
      <c r="H472" s="26">
        <v>45474.42486111111</v>
      </c>
      <c r="I472" s="24" t="s">
        <v>40</v>
      </c>
      <c r="J472" s="24" t="s">
        <v>41</v>
      </c>
      <c r="K472" s="24" t="s">
        <v>42</v>
      </c>
      <c r="L472" s="24" t="s">
        <v>43</v>
      </c>
      <c r="M472" s="24" t="s">
        <v>44</v>
      </c>
      <c r="N472" s="24"/>
      <c r="O472" s="24" t="s">
        <v>1669</v>
      </c>
      <c r="P472" s="24"/>
      <c r="Q472" s="27"/>
      <c r="R472" s="23">
        <f>HYPERLINK("https://app.hubspot.com/contacts/8748051/record/0-2/8310492554", 8310492554)</f>
        <v>8310492554</v>
      </c>
      <c r="S472" s="24" t="s">
        <v>1670</v>
      </c>
      <c r="T472" s="28" t="s">
        <v>1671</v>
      </c>
      <c r="U472" s="24" t="s">
        <v>47</v>
      </c>
      <c r="V472" s="24"/>
      <c r="W472" s="25"/>
      <c r="X472" s="29">
        <v>40.0</v>
      </c>
      <c r="Y472" s="29">
        <v>7.0</v>
      </c>
      <c r="Z472" s="30"/>
      <c r="AA472" s="30"/>
      <c r="AB472" s="31"/>
      <c r="AC472" s="30"/>
      <c r="AD472" s="30"/>
      <c r="AE472" s="30"/>
      <c r="AF472" s="30"/>
      <c r="AG472" s="27" t="str">
        <f t="shared" si="1"/>
        <v>New Logo</v>
      </c>
      <c r="AH472" s="27" t="str">
        <f t="shared" si="5"/>
        <v>Lead</v>
      </c>
      <c r="AI472" s="27" t="str">
        <f t="shared" si="6"/>
        <v>0-200</v>
      </c>
      <c r="AJ472" s="27" t="str">
        <f t="shared" si="7"/>
        <v>0-20</v>
      </c>
    </row>
    <row r="473" ht="15.75" customHeight="1">
      <c r="A473" s="23">
        <f>HYPERLINK("https://app.hubspot.com/contacts/8748051/record/0-3/19882762662", 19882762662)</f>
        <v>19882762662</v>
      </c>
      <c r="B473" s="24" t="s">
        <v>1672</v>
      </c>
      <c r="C473" s="24" t="s">
        <v>148</v>
      </c>
      <c r="D473" s="25">
        <v>17040.0</v>
      </c>
      <c r="E473" s="24" t="s">
        <v>73</v>
      </c>
      <c r="F473" s="24"/>
      <c r="G473" s="26">
        <v>45448.55304398148</v>
      </c>
      <c r="H473" s="26">
        <v>45631.51091435185</v>
      </c>
      <c r="I473" s="24" t="s">
        <v>40</v>
      </c>
      <c r="J473" s="24" t="s">
        <v>41</v>
      </c>
      <c r="K473" s="24" t="s">
        <v>1187</v>
      </c>
      <c r="L473" s="24" t="s">
        <v>560</v>
      </c>
      <c r="M473" s="24" t="s">
        <v>44</v>
      </c>
      <c r="N473" s="27"/>
      <c r="O473" s="24"/>
      <c r="P473" s="24"/>
      <c r="Q473" s="27"/>
      <c r="R473" s="23">
        <f>HYPERLINK("https://app.hubspot.com/contacts/8748051/record/0-2/8724318599", 8724318599)</f>
        <v>8724318599</v>
      </c>
      <c r="S473" s="24" t="s">
        <v>1673</v>
      </c>
      <c r="T473" s="28" t="s">
        <v>1674</v>
      </c>
      <c r="U473" s="24" t="s">
        <v>47</v>
      </c>
      <c r="V473" s="24"/>
      <c r="W473" s="25"/>
      <c r="X473" s="29">
        <v>514.0</v>
      </c>
      <c r="Y473" s="29">
        <v>91.0</v>
      </c>
      <c r="Z473" s="30"/>
      <c r="AA473" s="30"/>
      <c r="AB473" s="31"/>
      <c r="AC473" s="31"/>
      <c r="AD473" s="30"/>
      <c r="AE473" s="31"/>
      <c r="AF473" s="30"/>
      <c r="AG473" s="27" t="str">
        <f t="shared" si="1"/>
        <v>New Logo</v>
      </c>
      <c r="AH473" s="27" t="str">
        <f t="shared" si="5"/>
        <v>Lead</v>
      </c>
      <c r="AI473" s="27" t="str">
        <f t="shared" si="6"/>
        <v>501-1000</v>
      </c>
      <c r="AJ473" s="27" t="str">
        <f t="shared" si="7"/>
        <v>51-100</v>
      </c>
    </row>
    <row r="474" ht="15.75" customHeight="1">
      <c r="A474" s="23">
        <f>HYPERLINK("https://app.hubspot.com/contacts/8748051/record/0-3/19879026275", 19879026275)</f>
        <v>19879026275</v>
      </c>
      <c r="B474" s="24" t="s">
        <v>879</v>
      </c>
      <c r="C474" s="24" t="s">
        <v>1009</v>
      </c>
      <c r="D474" s="25">
        <v>11760.0</v>
      </c>
      <c r="E474" s="24" t="s">
        <v>73</v>
      </c>
      <c r="F474" s="24"/>
      <c r="G474" s="26">
        <v>45448.45358796296</v>
      </c>
      <c r="H474" s="26">
        <v>45631.41112268518</v>
      </c>
      <c r="I474" s="24" t="s">
        <v>40</v>
      </c>
      <c r="J474" s="24" t="s">
        <v>53</v>
      </c>
      <c r="K474" s="24" t="s">
        <v>1187</v>
      </c>
      <c r="L474" s="24" t="s">
        <v>178</v>
      </c>
      <c r="M474" s="24" t="s">
        <v>74</v>
      </c>
      <c r="N474" s="27"/>
      <c r="O474" s="27"/>
      <c r="P474" s="24"/>
      <c r="Q474" s="27"/>
      <c r="R474" s="23">
        <f>HYPERLINK("https://app.hubspot.com/contacts/8748051/record/0-2/18382767734", 18382767734)</f>
        <v>18382767734</v>
      </c>
      <c r="S474" s="24" t="s">
        <v>881</v>
      </c>
      <c r="T474" s="28" t="s">
        <v>882</v>
      </c>
      <c r="U474" s="24" t="s">
        <v>47</v>
      </c>
      <c r="V474" s="24"/>
      <c r="W474" s="25"/>
      <c r="X474" s="29">
        <v>2212.0</v>
      </c>
      <c r="Y474" s="29">
        <v>71.0</v>
      </c>
      <c r="Z474" s="30" t="s">
        <v>108</v>
      </c>
      <c r="AA474" s="30"/>
      <c r="AB474" s="31"/>
      <c r="AC474" s="31"/>
      <c r="AD474" s="30"/>
      <c r="AE474" s="31"/>
      <c r="AF474" s="30"/>
      <c r="AG474" s="27" t="str">
        <f t="shared" si="1"/>
        <v>New Logo</v>
      </c>
      <c r="AH474" s="27" t="str">
        <f t="shared" si="5"/>
        <v>Lead</v>
      </c>
      <c r="AI474" s="27" t="str">
        <f t="shared" si="6"/>
        <v>1001-5000</v>
      </c>
      <c r="AJ474" s="27" t="str">
        <f t="shared" si="7"/>
        <v>51-100</v>
      </c>
    </row>
    <row r="475" ht="15.75" customHeight="1">
      <c r="A475" s="23">
        <f>HYPERLINK("https://app.hubspot.com/contacts/8748051/record/0-3/19877857027", 19877857027)</f>
        <v>19877857027</v>
      </c>
      <c r="B475" s="24" t="s">
        <v>1675</v>
      </c>
      <c r="C475" s="24" t="s">
        <v>1009</v>
      </c>
      <c r="D475" s="25">
        <v>19920.0</v>
      </c>
      <c r="E475" s="24" t="s">
        <v>73</v>
      </c>
      <c r="F475" s="24"/>
      <c r="G475" s="26">
        <v>45448.45034722222</v>
      </c>
      <c r="H475" s="26">
        <v>45631.40831018519</v>
      </c>
      <c r="I475" s="24" t="s">
        <v>40</v>
      </c>
      <c r="J475" s="24" t="s">
        <v>41</v>
      </c>
      <c r="K475" s="24" t="s">
        <v>559</v>
      </c>
      <c r="L475" s="24" t="s">
        <v>560</v>
      </c>
      <c r="M475" s="24" t="s">
        <v>44</v>
      </c>
      <c r="N475" s="27"/>
      <c r="O475" s="24"/>
      <c r="P475" s="24"/>
      <c r="Q475" s="27"/>
      <c r="R475" s="23">
        <f>HYPERLINK("https://app.hubspot.com/contacts/8748051/record/0-2/8983202742", 8983202742)</f>
        <v>8983202742</v>
      </c>
      <c r="S475" s="24" t="s">
        <v>1676</v>
      </c>
      <c r="T475" s="28" t="s">
        <v>1677</v>
      </c>
      <c r="U475" s="24" t="s">
        <v>47</v>
      </c>
      <c r="V475" s="24"/>
      <c r="W475" s="32"/>
      <c r="X475" s="29">
        <v>885.0</v>
      </c>
      <c r="Y475" s="29">
        <v>100.0</v>
      </c>
      <c r="Z475" s="30" t="s">
        <v>108</v>
      </c>
      <c r="AA475" s="31"/>
      <c r="AB475" s="31"/>
      <c r="AC475" s="31"/>
      <c r="AD475" s="31"/>
      <c r="AE475" s="31"/>
      <c r="AF475" s="31"/>
      <c r="AG475" s="27" t="str">
        <f t="shared" si="1"/>
        <v>New Logo</v>
      </c>
      <c r="AH475" s="27" t="str">
        <f t="shared" si="5"/>
        <v>Lead</v>
      </c>
      <c r="AI475" s="27" t="str">
        <f t="shared" si="6"/>
        <v>501-1000</v>
      </c>
      <c r="AJ475" s="27" t="str">
        <f t="shared" si="7"/>
        <v>51-100</v>
      </c>
    </row>
    <row r="476" ht="15.75" customHeight="1">
      <c r="A476" s="23">
        <f>HYPERLINK("https://app.hubspot.com/contacts/8748051/record/0-3/19832205078", 19832205078)</f>
        <v>19832205078</v>
      </c>
      <c r="B476" s="24" t="s">
        <v>1678</v>
      </c>
      <c r="C476" s="24" t="s">
        <v>1009</v>
      </c>
      <c r="D476" s="25">
        <v>29520.0</v>
      </c>
      <c r="E476" s="24" t="s">
        <v>127</v>
      </c>
      <c r="F476" s="24" t="s">
        <v>52</v>
      </c>
      <c r="G476" s="26">
        <v>45446.716944444444</v>
      </c>
      <c r="H476" s="26">
        <v>45629.67403935185</v>
      </c>
      <c r="I476" s="24" t="s">
        <v>40</v>
      </c>
      <c r="J476" s="24" t="s">
        <v>41</v>
      </c>
      <c r="K476" s="24" t="s">
        <v>1187</v>
      </c>
      <c r="L476" s="24" t="s">
        <v>560</v>
      </c>
      <c r="M476" s="24" t="s">
        <v>44</v>
      </c>
      <c r="N476" s="27"/>
      <c r="O476" s="24"/>
      <c r="P476" s="24"/>
      <c r="Q476" s="24"/>
      <c r="R476" s="23">
        <f>HYPERLINK("https://app.hubspot.com/contacts/8748051/record/0-2/7862967926", 7862967926)</f>
        <v>7862967926</v>
      </c>
      <c r="S476" s="24" t="s">
        <v>1679</v>
      </c>
      <c r="T476" s="28" t="s">
        <v>1680</v>
      </c>
      <c r="U476" s="24" t="s">
        <v>47</v>
      </c>
      <c r="V476" s="24"/>
      <c r="W476" s="32"/>
      <c r="X476" s="29">
        <v>1055.0</v>
      </c>
      <c r="Y476" s="29">
        <v>192.0</v>
      </c>
      <c r="Z476" s="30" t="s">
        <v>81</v>
      </c>
      <c r="AA476" s="31"/>
      <c r="AB476" s="31"/>
      <c r="AC476" s="31"/>
      <c r="AD476" s="31"/>
      <c r="AE476" s="31"/>
      <c r="AF476" s="31"/>
      <c r="AG476" s="27" t="str">
        <f t="shared" si="1"/>
        <v>New Logo</v>
      </c>
      <c r="AH476" s="27" t="str">
        <f t="shared" si="5"/>
        <v>Lead</v>
      </c>
      <c r="AI476" s="27" t="str">
        <f t="shared" si="6"/>
        <v>1001-5000</v>
      </c>
      <c r="AJ476" s="27" t="str">
        <f t="shared" si="7"/>
        <v>101-500</v>
      </c>
    </row>
    <row r="477" ht="15.75" customHeight="1">
      <c r="A477" s="23">
        <f>HYPERLINK("https://app.hubspot.com/contacts/8748051/record/0-3/19730622754", 19730622754)</f>
        <v>19730622754</v>
      </c>
      <c r="B477" s="24" t="s">
        <v>1681</v>
      </c>
      <c r="C477" s="24" t="s">
        <v>50</v>
      </c>
      <c r="D477" s="25">
        <v>4560.0</v>
      </c>
      <c r="E477" s="24" t="s">
        <v>73</v>
      </c>
      <c r="F477" s="24"/>
      <c r="G477" s="26">
        <v>45442.461689814816</v>
      </c>
      <c r="H477" s="26">
        <v>45626.45993055555</v>
      </c>
      <c r="I477" s="24" t="s">
        <v>40</v>
      </c>
      <c r="J477" s="24" t="s">
        <v>41</v>
      </c>
      <c r="K477" s="24" t="s">
        <v>1187</v>
      </c>
      <c r="L477" s="24" t="s">
        <v>560</v>
      </c>
      <c r="M477" s="24" t="s">
        <v>44</v>
      </c>
      <c r="N477" s="24"/>
      <c r="O477" s="24"/>
      <c r="P477" s="24" t="s">
        <v>75</v>
      </c>
      <c r="Q477" s="24"/>
      <c r="R477" s="23">
        <f>HYPERLINK("https://app.hubspot.com/contacts/8748051/record/0-2/33838053147", 33838053147)</f>
        <v>33838053147</v>
      </c>
      <c r="S477" s="24" t="s">
        <v>1682</v>
      </c>
      <c r="T477" s="28" t="s">
        <v>1683</v>
      </c>
      <c r="U477" s="24" t="s">
        <v>47</v>
      </c>
      <c r="V477" s="24"/>
      <c r="W477" s="25"/>
      <c r="X477" s="29">
        <v>91.0</v>
      </c>
      <c r="Y477" s="29"/>
      <c r="Z477" s="30"/>
      <c r="AA477" s="30"/>
      <c r="AB477" s="31"/>
      <c r="AC477" s="30"/>
      <c r="AD477" s="30"/>
      <c r="AE477" s="30"/>
      <c r="AF477" s="30"/>
      <c r="AG477" s="27" t="str">
        <f t="shared" si="1"/>
        <v>New Logo</v>
      </c>
      <c r="AH477" s="27" t="str">
        <f t="shared" si="5"/>
        <v>Lead</v>
      </c>
      <c r="AI477" s="27" t="str">
        <f t="shared" si="6"/>
        <v>0-200</v>
      </c>
      <c r="AJ477" s="27" t="str">
        <f t="shared" si="7"/>
        <v>0-20</v>
      </c>
    </row>
    <row r="478" ht="15.75" customHeight="1">
      <c r="A478" s="23">
        <f>HYPERLINK("https://app.hubspot.com/contacts/8748051/record/0-3/19686425366", 19686425366)</f>
        <v>19686425366</v>
      </c>
      <c r="B478" s="24" t="s">
        <v>1684</v>
      </c>
      <c r="C478" s="24" t="s">
        <v>1009</v>
      </c>
      <c r="D478" s="25">
        <v>30000.0</v>
      </c>
      <c r="E478" s="24" t="s">
        <v>149</v>
      </c>
      <c r="F478" s="24" t="s">
        <v>52</v>
      </c>
      <c r="G478" s="26">
        <v>45440.781539351854</v>
      </c>
      <c r="H478" s="26">
        <v>45509.70905092593</v>
      </c>
      <c r="I478" s="24" t="s">
        <v>40</v>
      </c>
      <c r="J478" s="24" t="s">
        <v>41</v>
      </c>
      <c r="K478" s="24" t="s">
        <v>42</v>
      </c>
      <c r="L478" s="24" t="s">
        <v>43</v>
      </c>
      <c r="M478" s="24" t="s">
        <v>44</v>
      </c>
      <c r="N478" s="24"/>
      <c r="O478" s="24" t="s">
        <v>1685</v>
      </c>
      <c r="P478" s="24"/>
      <c r="Q478" s="24"/>
      <c r="R478" s="23">
        <f>HYPERLINK("https://app.hubspot.com/contacts/8748051/record/0-2/19176288828", 19176288828)</f>
        <v>19176288828</v>
      </c>
      <c r="S478" s="24" t="s">
        <v>1686</v>
      </c>
      <c r="T478" s="28" t="s">
        <v>1687</v>
      </c>
      <c r="U478" s="24" t="s">
        <v>47</v>
      </c>
      <c r="V478" s="24"/>
      <c r="W478" s="25"/>
      <c r="X478" s="29">
        <v>1227.0</v>
      </c>
      <c r="Y478" s="29">
        <v>57.0</v>
      </c>
      <c r="Z478" s="30" t="s">
        <v>64</v>
      </c>
      <c r="AA478" s="30"/>
      <c r="AB478" s="30"/>
      <c r="AC478" s="30"/>
      <c r="AD478" s="30"/>
      <c r="AE478" s="30"/>
      <c r="AF478" s="30"/>
      <c r="AG478" s="27" t="str">
        <f t="shared" si="1"/>
        <v>New Logo</v>
      </c>
      <c r="AH478" s="27" t="str">
        <f t="shared" si="5"/>
        <v>Lead</v>
      </c>
      <c r="AI478" s="27" t="str">
        <f t="shared" si="6"/>
        <v>1001-5000</v>
      </c>
      <c r="AJ478" s="27" t="str">
        <f t="shared" si="7"/>
        <v>51-100</v>
      </c>
    </row>
    <row r="479" ht="15.75" customHeight="1">
      <c r="A479" s="23">
        <f>HYPERLINK("https://app.hubspot.com/contacts/8748051/record/0-3/19648590439", 19648590439)</f>
        <v>19648590439</v>
      </c>
      <c r="B479" s="24" t="s">
        <v>1688</v>
      </c>
      <c r="C479" s="24" t="s">
        <v>148</v>
      </c>
      <c r="D479" s="25">
        <v>32500.0</v>
      </c>
      <c r="E479" s="24" t="s">
        <v>92</v>
      </c>
      <c r="F479" s="24" t="s">
        <v>52</v>
      </c>
      <c r="G479" s="26">
        <v>45439.476805555554</v>
      </c>
      <c r="H479" s="26">
        <v>45565.92564814815</v>
      </c>
      <c r="I479" s="24" t="s">
        <v>40</v>
      </c>
      <c r="J479" s="24" t="s">
        <v>41</v>
      </c>
      <c r="K479" s="24" t="s">
        <v>1187</v>
      </c>
      <c r="L479" s="24" t="s">
        <v>560</v>
      </c>
      <c r="M479" s="24" t="s">
        <v>44</v>
      </c>
      <c r="N479" s="24" t="s">
        <v>1689</v>
      </c>
      <c r="O479" s="27"/>
      <c r="P479" s="24"/>
      <c r="Q479" s="24"/>
      <c r="R479" s="23">
        <f>HYPERLINK("https://app.hubspot.com/contacts/8748051/record/0-2/9093467233", 9093467233)</f>
        <v>9093467233</v>
      </c>
      <c r="S479" s="24" t="s">
        <v>1690</v>
      </c>
      <c r="T479" s="28" t="s">
        <v>1691</v>
      </c>
      <c r="U479" s="24" t="s">
        <v>96</v>
      </c>
      <c r="V479" s="24"/>
      <c r="W479" s="25">
        <v>32500.0</v>
      </c>
      <c r="X479" s="29">
        <v>247.0</v>
      </c>
      <c r="Y479" s="29">
        <v>35.0</v>
      </c>
      <c r="Z479" s="30"/>
      <c r="AA479" s="30" t="s">
        <v>207</v>
      </c>
      <c r="AB479" s="30"/>
      <c r="AC479" s="30" t="s">
        <v>268</v>
      </c>
      <c r="AD479" s="30" t="s">
        <v>1692</v>
      </c>
      <c r="AE479" s="30" t="s">
        <v>1693</v>
      </c>
      <c r="AF479" s="30" t="s">
        <v>188</v>
      </c>
      <c r="AG479" s="27" t="str">
        <f t="shared" si="1"/>
        <v>New Logo</v>
      </c>
      <c r="AH479" s="27" t="str">
        <f t="shared" si="5"/>
        <v>Customer</v>
      </c>
      <c r="AI479" s="27" t="str">
        <f t="shared" si="6"/>
        <v>201-500</v>
      </c>
      <c r="AJ479" s="27" t="str">
        <f t="shared" si="7"/>
        <v>21-50</v>
      </c>
    </row>
    <row r="480" ht="15.75" customHeight="1">
      <c r="A480" s="23">
        <f>HYPERLINK("https://app.hubspot.com/contacts/8748051/record/0-3/19648590372", 19648590372)</f>
        <v>19648590372</v>
      </c>
      <c r="B480" s="24" t="s">
        <v>1694</v>
      </c>
      <c r="C480" s="24" t="s">
        <v>148</v>
      </c>
      <c r="D480" s="25">
        <v>40800.0</v>
      </c>
      <c r="E480" s="24" t="s">
        <v>73</v>
      </c>
      <c r="F480" s="24"/>
      <c r="G480" s="26">
        <v>45439.476168981484</v>
      </c>
      <c r="H480" s="26">
        <v>45623.47578703704</v>
      </c>
      <c r="I480" s="24" t="s">
        <v>40</v>
      </c>
      <c r="J480" s="24" t="s">
        <v>53</v>
      </c>
      <c r="K480" s="24" t="s">
        <v>559</v>
      </c>
      <c r="L480" s="24" t="s">
        <v>560</v>
      </c>
      <c r="M480" s="24" t="s">
        <v>44</v>
      </c>
      <c r="N480" s="27"/>
      <c r="O480" s="27"/>
      <c r="P480" s="24" t="s">
        <v>213</v>
      </c>
      <c r="Q480" s="24"/>
      <c r="R480" s="23">
        <f>HYPERLINK("https://app.hubspot.com/contacts/8748051/record/0-2/14809894517", 14809894517)</f>
        <v>14809894517</v>
      </c>
      <c r="S480" s="24" t="s">
        <v>1695</v>
      </c>
      <c r="T480" s="28" t="s">
        <v>1696</v>
      </c>
      <c r="U480" s="24" t="s">
        <v>47</v>
      </c>
      <c r="V480" s="24"/>
      <c r="W480" s="32"/>
      <c r="X480" s="29">
        <v>850.0</v>
      </c>
      <c r="Y480" s="29">
        <v>200.0</v>
      </c>
      <c r="Z480" s="30"/>
      <c r="AA480" s="31"/>
      <c r="AB480" s="31"/>
      <c r="AC480" s="31"/>
      <c r="AD480" s="31"/>
      <c r="AE480" s="31"/>
      <c r="AF480" s="31"/>
      <c r="AG480" s="27" t="str">
        <f t="shared" si="1"/>
        <v>New Logo</v>
      </c>
      <c r="AH480" s="27" t="str">
        <f t="shared" si="5"/>
        <v>Lead</v>
      </c>
      <c r="AI480" s="27" t="str">
        <f t="shared" si="6"/>
        <v>501-1000</v>
      </c>
      <c r="AJ480" s="27" t="str">
        <f t="shared" si="7"/>
        <v>101-500</v>
      </c>
    </row>
    <row r="481" ht="15.75" customHeight="1">
      <c r="A481" s="23">
        <f>HYPERLINK("https://app.hubspot.com/contacts/8748051/record/0-3/19648590164", 19648590164)</f>
        <v>19648590164</v>
      </c>
      <c r="B481" s="24" t="s">
        <v>1697</v>
      </c>
      <c r="C481" s="24" t="s">
        <v>50</v>
      </c>
      <c r="D481" s="25">
        <v>23280.0</v>
      </c>
      <c r="E481" s="24" t="s">
        <v>73</v>
      </c>
      <c r="F481" s="27"/>
      <c r="G481" s="26">
        <v>45439.47513888889</v>
      </c>
      <c r="H481" s="26">
        <v>45623.47483796296</v>
      </c>
      <c r="I481" s="24" t="s">
        <v>40</v>
      </c>
      <c r="J481" s="24" t="s">
        <v>41</v>
      </c>
      <c r="K481" s="24" t="s">
        <v>1187</v>
      </c>
      <c r="L481" s="24" t="s">
        <v>178</v>
      </c>
      <c r="M481" s="24" t="s">
        <v>44</v>
      </c>
      <c r="N481" s="27"/>
      <c r="O481" s="27"/>
      <c r="P481" s="24"/>
      <c r="Q481" s="27"/>
      <c r="R481" s="23">
        <f>HYPERLINK("https://app.hubspot.com/contacts/8748051/record/0-2/7686834774", 7686834774)</f>
        <v>7686834774</v>
      </c>
      <c r="S481" s="24" t="s">
        <v>1698</v>
      </c>
      <c r="T481" s="28" t="s">
        <v>1699</v>
      </c>
      <c r="U481" s="24" t="s">
        <v>47</v>
      </c>
      <c r="V481" s="24"/>
      <c r="W481" s="32"/>
      <c r="X481" s="29">
        <v>838.0</v>
      </c>
      <c r="Y481" s="29">
        <v>141.0</v>
      </c>
      <c r="Z481" s="30" t="s">
        <v>64</v>
      </c>
      <c r="AA481" s="31"/>
      <c r="AB481" s="31"/>
      <c r="AC481" s="31"/>
      <c r="AD481" s="31"/>
      <c r="AE481" s="31"/>
      <c r="AF481" s="31"/>
      <c r="AG481" s="27" t="str">
        <f t="shared" si="1"/>
        <v>New Logo</v>
      </c>
      <c r="AH481" s="27" t="str">
        <f t="shared" si="5"/>
        <v>Lead</v>
      </c>
      <c r="AI481" s="27" t="str">
        <f t="shared" si="6"/>
        <v>501-1000</v>
      </c>
      <c r="AJ481" s="27" t="str">
        <f t="shared" si="7"/>
        <v>101-500</v>
      </c>
    </row>
    <row r="482" ht="15.75" customHeight="1">
      <c r="A482" s="23">
        <f>HYPERLINK("https://app.hubspot.com/contacts/8748051/record/0-3/19648469796", 19648469796)</f>
        <v>19648469796</v>
      </c>
      <c r="B482" s="24" t="s">
        <v>1700</v>
      </c>
      <c r="C482" s="24" t="s">
        <v>50</v>
      </c>
      <c r="D482" s="25">
        <v>13680.0</v>
      </c>
      <c r="E482" s="24" t="s">
        <v>73</v>
      </c>
      <c r="F482" s="24"/>
      <c r="G482" s="26">
        <v>45439.47424768518</v>
      </c>
      <c r="H482" s="26">
        <v>45623.47394675926</v>
      </c>
      <c r="I482" s="24" t="s">
        <v>40</v>
      </c>
      <c r="J482" s="24" t="s">
        <v>41</v>
      </c>
      <c r="K482" s="24" t="s">
        <v>559</v>
      </c>
      <c r="L482" s="24" t="s">
        <v>560</v>
      </c>
      <c r="M482" s="24" t="s">
        <v>44</v>
      </c>
      <c r="N482" s="27"/>
      <c r="O482" s="27"/>
      <c r="P482" s="24"/>
      <c r="Q482" s="24"/>
      <c r="R482" s="23">
        <f>HYPERLINK("https://app.hubspot.com/contacts/8748051/record/0-2/8929794578", 8929794578)</f>
        <v>8929794578</v>
      </c>
      <c r="S482" s="24" t="s">
        <v>1701</v>
      </c>
      <c r="T482" s="28" t="s">
        <v>1702</v>
      </c>
      <c r="U482" s="24" t="s">
        <v>47</v>
      </c>
      <c r="V482" s="24"/>
      <c r="W482" s="32"/>
      <c r="X482" s="29">
        <v>311.0</v>
      </c>
      <c r="Y482" s="29">
        <v>80.0</v>
      </c>
      <c r="Z482" s="30" t="s">
        <v>108</v>
      </c>
      <c r="AA482" s="31"/>
      <c r="AB482" s="31"/>
      <c r="AC482" s="31"/>
      <c r="AD482" s="31"/>
      <c r="AE482" s="31"/>
      <c r="AF482" s="31"/>
      <c r="AG482" s="27" t="str">
        <f t="shared" si="1"/>
        <v>New Logo</v>
      </c>
      <c r="AH482" s="27" t="str">
        <f t="shared" si="5"/>
        <v>Lead</v>
      </c>
      <c r="AI482" s="27" t="str">
        <f t="shared" si="6"/>
        <v>201-500</v>
      </c>
      <c r="AJ482" s="27" t="str">
        <f t="shared" si="7"/>
        <v>51-100</v>
      </c>
    </row>
    <row r="483" ht="15.75" customHeight="1">
      <c r="A483" s="23">
        <f>HYPERLINK("https://app.hubspot.com/contacts/8748051/record/0-3/19583853592", 19583853592)</f>
        <v>19583853592</v>
      </c>
      <c r="B483" s="24" t="s">
        <v>1703</v>
      </c>
      <c r="C483" s="24" t="s">
        <v>1009</v>
      </c>
      <c r="D483" s="25">
        <v>80160.0</v>
      </c>
      <c r="E483" s="24" t="s">
        <v>73</v>
      </c>
      <c r="F483" s="24"/>
      <c r="G483" s="26">
        <v>45436.25864583333</v>
      </c>
      <c r="H483" s="26">
        <v>45620.21658564815</v>
      </c>
      <c r="I483" s="24" t="s">
        <v>40</v>
      </c>
      <c r="J483" s="24" t="s">
        <v>53</v>
      </c>
      <c r="K483" s="24" t="s">
        <v>60</v>
      </c>
      <c r="L483" s="24" t="s">
        <v>178</v>
      </c>
      <c r="M483" s="24" t="s">
        <v>102</v>
      </c>
      <c r="N483" s="24"/>
      <c r="O483" s="24"/>
      <c r="P483" s="24" t="s">
        <v>75</v>
      </c>
      <c r="Q483" s="24"/>
      <c r="R483" s="23">
        <f>HYPERLINK("https://app.hubspot.com/contacts/8748051/record/0-2/19176558447", 19176558447)</f>
        <v>19176558447</v>
      </c>
      <c r="S483" s="24" t="s">
        <v>1704</v>
      </c>
      <c r="T483" s="28" t="s">
        <v>1705</v>
      </c>
      <c r="U483" s="24" t="s">
        <v>47</v>
      </c>
      <c r="V483" s="24"/>
      <c r="W483" s="25"/>
      <c r="X483" s="29">
        <v>1247.0</v>
      </c>
      <c r="Y483" s="29">
        <v>392.0</v>
      </c>
      <c r="Z483" s="30"/>
      <c r="AA483" s="30"/>
      <c r="AB483" s="31"/>
      <c r="AC483" s="31"/>
      <c r="AD483" s="30"/>
      <c r="AE483" s="30"/>
      <c r="AF483" s="30"/>
      <c r="AG483" s="27" t="str">
        <f t="shared" si="1"/>
        <v>New Logo</v>
      </c>
      <c r="AH483" s="27" t="str">
        <f t="shared" si="5"/>
        <v>Lead</v>
      </c>
      <c r="AI483" s="27" t="str">
        <f t="shared" si="6"/>
        <v>1001-5000</v>
      </c>
      <c r="AJ483" s="27" t="str">
        <f t="shared" si="7"/>
        <v>101-500</v>
      </c>
    </row>
    <row r="484" ht="15.75" customHeight="1">
      <c r="A484" s="23">
        <f>HYPERLINK("https://app.hubspot.com/contacts/8748051/record/0-3/19563841131", 19563841131)</f>
        <v>19563841131</v>
      </c>
      <c r="B484" s="24" t="s">
        <v>1706</v>
      </c>
      <c r="C484" s="24" t="s">
        <v>1009</v>
      </c>
      <c r="D484" s="25">
        <v>3120.0</v>
      </c>
      <c r="E484" s="24" t="s">
        <v>73</v>
      </c>
      <c r="F484" s="24"/>
      <c r="G484" s="26">
        <v>45435.466782407406</v>
      </c>
      <c r="H484" s="26">
        <v>45619.46628472222</v>
      </c>
      <c r="I484" s="24" t="s">
        <v>40</v>
      </c>
      <c r="J484" s="24" t="s">
        <v>41</v>
      </c>
      <c r="K484" s="24" t="s">
        <v>559</v>
      </c>
      <c r="L484" s="24" t="s">
        <v>560</v>
      </c>
      <c r="M484" s="24" t="s">
        <v>44</v>
      </c>
      <c r="N484" s="24"/>
      <c r="O484" s="27"/>
      <c r="P484" s="24" t="s">
        <v>122</v>
      </c>
      <c r="Q484" s="24"/>
      <c r="R484" s="23">
        <f>HYPERLINK("https://app.hubspot.com/contacts/8748051/record/0-2/8990615352", 8990615352)</f>
        <v>8990615352</v>
      </c>
      <c r="S484" s="24" t="s">
        <v>1707</v>
      </c>
      <c r="T484" s="28" t="s">
        <v>1708</v>
      </c>
      <c r="U484" s="24" t="s">
        <v>47</v>
      </c>
      <c r="V484" s="24"/>
      <c r="W484" s="25"/>
      <c r="X484" s="29">
        <v>105.0</v>
      </c>
      <c r="Y484" s="29">
        <v>13.0</v>
      </c>
      <c r="Z484" s="30"/>
      <c r="AA484" s="30"/>
      <c r="AB484" s="30"/>
      <c r="AC484" s="31"/>
      <c r="AD484" s="30"/>
      <c r="AE484" s="31"/>
      <c r="AF484" s="30"/>
      <c r="AG484" s="27" t="str">
        <f t="shared" si="1"/>
        <v>New Logo</v>
      </c>
      <c r="AH484" s="27" t="str">
        <f t="shared" si="5"/>
        <v>Lead</v>
      </c>
      <c r="AI484" s="27" t="str">
        <f t="shared" si="6"/>
        <v>0-200</v>
      </c>
      <c r="AJ484" s="27" t="str">
        <f t="shared" si="7"/>
        <v>0-20</v>
      </c>
    </row>
    <row r="485" ht="15.75" customHeight="1">
      <c r="A485" s="23">
        <f>HYPERLINK("https://app.hubspot.com/contacts/8748051/record/0-3/19555520154", 19555520154)</f>
        <v>19555520154</v>
      </c>
      <c r="B485" s="24" t="s">
        <v>1709</v>
      </c>
      <c r="C485" s="24" t="s">
        <v>1009</v>
      </c>
      <c r="D485" s="25">
        <v>20000.0</v>
      </c>
      <c r="E485" s="24" t="s">
        <v>127</v>
      </c>
      <c r="F485" s="24" t="s">
        <v>52</v>
      </c>
      <c r="G485" s="26">
        <v>45435.10091435185</v>
      </c>
      <c r="H485" s="26">
        <v>45657.297638888886</v>
      </c>
      <c r="I485" s="24" t="s">
        <v>40</v>
      </c>
      <c r="J485" s="24" t="s">
        <v>41</v>
      </c>
      <c r="K485" s="24" t="s">
        <v>161</v>
      </c>
      <c r="L485" s="24" t="s">
        <v>715</v>
      </c>
      <c r="M485" s="24" t="s">
        <v>74</v>
      </c>
      <c r="N485" s="27"/>
      <c r="O485" s="24"/>
      <c r="P485" s="24"/>
      <c r="Q485" s="24" t="s">
        <v>144</v>
      </c>
      <c r="R485" s="23">
        <f>HYPERLINK("https://app.hubspot.com/contacts/8748051/record/0-2/9597010068", 9597010068)</f>
        <v>9597010068</v>
      </c>
      <c r="S485" s="28" t="s">
        <v>1710</v>
      </c>
      <c r="T485" s="28" t="s">
        <v>1711</v>
      </c>
      <c r="U485" s="24" t="s">
        <v>47</v>
      </c>
      <c r="V485" s="24"/>
      <c r="W485" s="32"/>
      <c r="X485" s="29">
        <v>542.0</v>
      </c>
      <c r="Y485" s="29">
        <v>45.0</v>
      </c>
      <c r="Z485" s="30" t="s">
        <v>108</v>
      </c>
      <c r="AA485" s="31"/>
      <c r="AB485" s="31"/>
      <c r="AC485" s="31"/>
      <c r="AD485" s="31"/>
      <c r="AE485" s="31"/>
      <c r="AF485" s="31"/>
      <c r="AG485" s="27" t="str">
        <f t="shared" si="1"/>
        <v>New Logo</v>
      </c>
      <c r="AH485" s="27" t="str">
        <f t="shared" si="5"/>
        <v>Lead</v>
      </c>
      <c r="AI485" s="27" t="str">
        <f t="shared" si="6"/>
        <v>501-1000</v>
      </c>
      <c r="AJ485" s="27" t="str">
        <f t="shared" si="7"/>
        <v>21-50</v>
      </c>
    </row>
    <row r="486" ht="15.75" customHeight="1">
      <c r="A486" s="23">
        <f>HYPERLINK("https://app.hubspot.com/contacts/8748051/record/0-3/19553200478", 19553200478)</f>
        <v>19553200478</v>
      </c>
      <c r="B486" s="24" t="s">
        <v>1712</v>
      </c>
      <c r="C486" s="24" t="s">
        <v>1009</v>
      </c>
      <c r="D486" s="25">
        <v>44640.0</v>
      </c>
      <c r="E486" s="24" t="s">
        <v>73</v>
      </c>
      <c r="F486" s="24"/>
      <c r="G486" s="26">
        <v>45434.957662037035</v>
      </c>
      <c r="H486" s="26">
        <v>45618.91553240741</v>
      </c>
      <c r="I486" s="24" t="s">
        <v>40</v>
      </c>
      <c r="J486" s="24" t="s">
        <v>41</v>
      </c>
      <c r="K486" s="24" t="s">
        <v>559</v>
      </c>
      <c r="L486" s="24" t="s">
        <v>560</v>
      </c>
      <c r="M486" s="24" t="s">
        <v>102</v>
      </c>
      <c r="N486" s="24"/>
      <c r="O486" s="27"/>
      <c r="P486" s="24"/>
      <c r="Q486" s="24"/>
      <c r="R486" s="23">
        <f>HYPERLINK("https://app.hubspot.com/contacts/8748051/record/0-2/8096886339", 8096886339)</f>
        <v>8096886339</v>
      </c>
      <c r="S486" s="28" t="s">
        <v>1713</v>
      </c>
      <c r="T486" s="28" t="s">
        <v>1714</v>
      </c>
      <c r="U486" s="24" t="s">
        <v>47</v>
      </c>
      <c r="V486" s="24"/>
      <c r="W486" s="25"/>
      <c r="X486" s="29">
        <v>1676.0</v>
      </c>
      <c r="Y486" s="29">
        <v>175.0</v>
      </c>
      <c r="Z486" s="30"/>
      <c r="AA486" s="30"/>
      <c r="AB486" s="31"/>
      <c r="AC486" s="31"/>
      <c r="AD486" s="30"/>
      <c r="AE486" s="30"/>
      <c r="AF486" s="30"/>
      <c r="AG486" s="27" t="str">
        <f t="shared" si="1"/>
        <v>New Logo</v>
      </c>
      <c r="AH486" s="27" t="str">
        <f t="shared" si="5"/>
        <v>Lead</v>
      </c>
      <c r="AI486" s="27" t="str">
        <f t="shared" si="6"/>
        <v>1001-5000</v>
      </c>
      <c r="AJ486" s="27" t="str">
        <f t="shared" si="7"/>
        <v>101-500</v>
      </c>
    </row>
    <row r="487" ht="15.75" customHeight="1">
      <c r="A487" s="23">
        <f>HYPERLINK("https://app.hubspot.com/contacts/8748051/record/0-3/19541444764", 19541444764)</f>
        <v>19541444764</v>
      </c>
      <c r="B487" s="24" t="s">
        <v>1715</v>
      </c>
      <c r="C487" s="24" t="s">
        <v>1009</v>
      </c>
      <c r="D487" s="25">
        <v>18480.0</v>
      </c>
      <c r="E487" s="24" t="s">
        <v>73</v>
      </c>
      <c r="F487" s="24"/>
      <c r="G487" s="26">
        <v>45434.45658564815</v>
      </c>
      <c r="H487" s="26">
        <v>45618.45637731482</v>
      </c>
      <c r="I487" s="24" t="s">
        <v>40</v>
      </c>
      <c r="J487" s="24" t="s">
        <v>41</v>
      </c>
      <c r="K487" s="24" t="s">
        <v>559</v>
      </c>
      <c r="L487" s="24" t="s">
        <v>560</v>
      </c>
      <c r="M487" s="24" t="s">
        <v>44</v>
      </c>
      <c r="N487" s="24"/>
      <c r="O487" s="24"/>
      <c r="P487" s="24"/>
      <c r="Q487" s="27"/>
      <c r="R487" s="23">
        <f>HYPERLINK("https://app.hubspot.com/contacts/8748051/record/0-2/19176594795", 19176594795)</f>
        <v>19176594795</v>
      </c>
      <c r="S487" s="24" t="s">
        <v>1716</v>
      </c>
      <c r="T487" s="28" t="s">
        <v>1717</v>
      </c>
      <c r="U487" s="24" t="s">
        <v>47</v>
      </c>
      <c r="V487" s="24"/>
      <c r="W487" s="25"/>
      <c r="X487" s="29">
        <v>598.0</v>
      </c>
      <c r="Y487" s="29">
        <v>72.0</v>
      </c>
      <c r="Z487" s="30" t="s">
        <v>108</v>
      </c>
      <c r="AA487" s="30"/>
      <c r="AB487" s="31"/>
      <c r="AC487" s="31"/>
      <c r="AD487" s="30"/>
      <c r="AE487" s="30"/>
      <c r="AF487" s="30"/>
      <c r="AG487" s="27" t="str">
        <f t="shared" si="1"/>
        <v>New Logo</v>
      </c>
      <c r="AH487" s="27" t="str">
        <f t="shared" si="5"/>
        <v>Lead</v>
      </c>
      <c r="AI487" s="27" t="str">
        <f t="shared" si="6"/>
        <v>501-1000</v>
      </c>
      <c r="AJ487" s="27" t="str">
        <f t="shared" si="7"/>
        <v>51-100</v>
      </c>
    </row>
    <row r="488" ht="15.75" customHeight="1">
      <c r="A488" s="23">
        <f>HYPERLINK("https://app.hubspot.com/contacts/8748051/record/0-3/19520379064", 19520379064)</f>
        <v>19520379064</v>
      </c>
      <c r="B488" s="24" t="s">
        <v>1718</v>
      </c>
      <c r="C488" s="24" t="s">
        <v>50</v>
      </c>
      <c r="D488" s="25">
        <v>50400.0</v>
      </c>
      <c r="E488" s="24" t="s">
        <v>73</v>
      </c>
      <c r="F488" s="24"/>
      <c r="G488" s="26">
        <v>45433.65510416667</v>
      </c>
      <c r="H488" s="26">
        <v>45617.6546875</v>
      </c>
      <c r="I488" s="24" t="s">
        <v>40</v>
      </c>
      <c r="J488" s="24" t="s">
        <v>53</v>
      </c>
      <c r="K488" s="24" t="s">
        <v>1187</v>
      </c>
      <c r="L488" s="24" t="s">
        <v>560</v>
      </c>
      <c r="M488" s="24" t="s">
        <v>44</v>
      </c>
      <c r="N488" s="24"/>
      <c r="O488" s="27"/>
      <c r="P488" s="24" t="s">
        <v>122</v>
      </c>
      <c r="Q488" s="27"/>
      <c r="R488" s="23">
        <f>HYPERLINK("https://app.hubspot.com/contacts/8748051/record/0-2/51621298002", 51621298002)</f>
        <v>51621298002</v>
      </c>
      <c r="S488" s="24" t="s">
        <v>1719</v>
      </c>
      <c r="T488" s="28" t="s">
        <v>1720</v>
      </c>
      <c r="U488" s="24" t="s">
        <v>47</v>
      </c>
      <c r="V488" s="24"/>
      <c r="W488" s="25"/>
      <c r="X488" s="29">
        <v>1431.0</v>
      </c>
      <c r="Y488" s="29">
        <v>441.0</v>
      </c>
      <c r="Z488" s="30" t="s">
        <v>372</v>
      </c>
      <c r="AA488" s="30"/>
      <c r="AB488" s="31"/>
      <c r="AC488" s="31"/>
      <c r="AD488" s="30"/>
      <c r="AE488" s="31"/>
      <c r="AF488" s="30"/>
      <c r="AG488" s="27" t="str">
        <f t="shared" si="1"/>
        <v>New Logo</v>
      </c>
      <c r="AH488" s="27" t="str">
        <f t="shared" si="5"/>
        <v>Lead</v>
      </c>
      <c r="AI488" s="27" t="str">
        <f t="shared" si="6"/>
        <v>1001-5000</v>
      </c>
      <c r="AJ488" s="27" t="str">
        <f t="shared" si="7"/>
        <v>101-500</v>
      </c>
    </row>
    <row r="489" ht="15.75" customHeight="1">
      <c r="A489" s="23">
        <f>HYPERLINK("https://app.hubspot.com/contacts/8748051/record/0-3/19518082666", 19518082666)</f>
        <v>19518082666</v>
      </c>
      <c r="B489" s="24" t="s">
        <v>1721</v>
      </c>
      <c r="C489" s="24" t="s">
        <v>38</v>
      </c>
      <c r="D489" s="25">
        <v>7200.0</v>
      </c>
      <c r="E489" s="24" t="s">
        <v>73</v>
      </c>
      <c r="F489" s="24"/>
      <c r="G489" s="26">
        <v>45433.58180555556</v>
      </c>
      <c r="H489" s="26">
        <v>45617.581030092595</v>
      </c>
      <c r="I489" s="24" t="s">
        <v>40</v>
      </c>
      <c r="J489" s="24" t="s">
        <v>41</v>
      </c>
      <c r="K489" s="24" t="s">
        <v>559</v>
      </c>
      <c r="L489" s="24" t="s">
        <v>560</v>
      </c>
      <c r="M489" s="24" t="s">
        <v>44</v>
      </c>
      <c r="N489" s="27"/>
      <c r="O489" s="24"/>
      <c r="P489" s="24"/>
      <c r="Q489" s="27"/>
      <c r="R489" s="23">
        <f>HYPERLINK("https://app.hubspot.com/contacts/8748051/record/0-2/7648495778", 7648495778)</f>
        <v>7648495778</v>
      </c>
      <c r="S489" s="24" t="s">
        <v>1722</v>
      </c>
      <c r="T489" s="28" t="s">
        <v>1723</v>
      </c>
      <c r="U489" s="24" t="s">
        <v>47</v>
      </c>
      <c r="V489" s="24"/>
      <c r="W489" s="25"/>
      <c r="X489" s="29">
        <v>139.0</v>
      </c>
      <c r="Y489" s="29">
        <v>24.0</v>
      </c>
      <c r="Z489" s="30" t="s">
        <v>108</v>
      </c>
      <c r="AA489" s="30"/>
      <c r="AB489" s="31"/>
      <c r="AC489" s="31"/>
      <c r="AD489" s="30"/>
      <c r="AE489" s="31"/>
      <c r="AF489" s="30"/>
      <c r="AG489" s="27" t="str">
        <f t="shared" si="1"/>
        <v>New Logo</v>
      </c>
      <c r="AH489" s="27" t="str">
        <f t="shared" si="5"/>
        <v>Lead</v>
      </c>
      <c r="AI489" s="27" t="str">
        <f t="shared" si="6"/>
        <v>0-200</v>
      </c>
      <c r="AJ489" s="27" t="str">
        <f t="shared" si="7"/>
        <v>21-50</v>
      </c>
    </row>
    <row r="490" ht="15.75" customHeight="1">
      <c r="A490" s="23">
        <f>HYPERLINK("https://app.hubspot.com/contacts/8748051/record/0-3/19516319289", 19516319289)</f>
        <v>19516319289</v>
      </c>
      <c r="B490" s="24" t="s">
        <v>1724</v>
      </c>
      <c r="C490" s="24" t="s">
        <v>38</v>
      </c>
      <c r="D490" s="25">
        <v>2880.0</v>
      </c>
      <c r="E490" s="24" t="s">
        <v>73</v>
      </c>
      <c r="F490" s="24"/>
      <c r="G490" s="26">
        <v>45433.48568287037</v>
      </c>
      <c r="H490" s="26">
        <v>45617.485243055555</v>
      </c>
      <c r="I490" s="24" t="s">
        <v>40</v>
      </c>
      <c r="J490" s="24" t="s">
        <v>41</v>
      </c>
      <c r="K490" s="24" t="s">
        <v>1187</v>
      </c>
      <c r="L490" s="24" t="s">
        <v>178</v>
      </c>
      <c r="M490" s="24" t="s">
        <v>44</v>
      </c>
      <c r="N490" s="27"/>
      <c r="O490" s="24"/>
      <c r="P490" s="24"/>
      <c r="Q490" s="24"/>
      <c r="R490" s="23">
        <f>HYPERLINK("https://app.hubspot.com/contacts/8748051/record/0-2/19176318013", 19176318013)</f>
        <v>19176318013</v>
      </c>
      <c r="S490" s="24" t="s">
        <v>1725</v>
      </c>
      <c r="T490" s="28" t="s">
        <v>1726</v>
      </c>
      <c r="U490" s="24" t="s">
        <v>47</v>
      </c>
      <c r="V490" s="24"/>
      <c r="W490" s="32"/>
      <c r="X490" s="29">
        <v>152.0</v>
      </c>
      <c r="Y490" s="29">
        <v>17.0</v>
      </c>
      <c r="Z490" s="30" t="s">
        <v>108</v>
      </c>
      <c r="AA490" s="31"/>
      <c r="AB490" s="31"/>
      <c r="AC490" s="31"/>
      <c r="AD490" s="31"/>
      <c r="AE490" s="31"/>
      <c r="AF490" s="31"/>
      <c r="AG490" s="27" t="str">
        <f t="shared" si="1"/>
        <v>New Logo</v>
      </c>
      <c r="AH490" s="27" t="str">
        <f t="shared" si="5"/>
        <v>Lead</v>
      </c>
      <c r="AI490" s="27" t="str">
        <f t="shared" si="6"/>
        <v>0-200</v>
      </c>
      <c r="AJ490" s="27" t="str">
        <f t="shared" si="7"/>
        <v>0-20</v>
      </c>
    </row>
    <row r="491" ht="15.75" customHeight="1">
      <c r="A491" s="23">
        <f>HYPERLINK("https://app.hubspot.com/contacts/8748051/record/0-3/19511918986", 19511918986)</f>
        <v>19511918986</v>
      </c>
      <c r="B491" s="24" t="s">
        <v>1727</v>
      </c>
      <c r="C491" s="24" t="s">
        <v>50</v>
      </c>
      <c r="D491" s="25">
        <v>57360.0</v>
      </c>
      <c r="E491" s="24" t="s">
        <v>73</v>
      </c>
      <c r="F491" s="24"/>
      <c r="G491" s="26">
        <v>45433.37836805556</v>
      </c>
      <c r="H491" s="26">
        <v>45617.37818287037</v>
      </c>
      <c r="I491" s="24" t="s">
        <v>40</v>
      </c>
      <c r="J491" s="24" t="s">
        <v>53</v>
      </c>
      <c r="K491" s="24" t="s">
        <v>1187</v>
      </c>
      <c r="L491" s="24" t="s">
        <v>178</v>
      </c>
      <c r="M491" s="24" t="s">
        <v>44</v>
      </c>
      <c r="N491" s="27"/>
      <c r="O491" s="24"/>
      <c r="P491" s="24"/>
      <c r="Q491" s="24"/>
      <c r="R491" s="23">
        <f>HYPERLINK("https://app.hubspot.com/contacts/8748051/record/0-2/9227944800", 9227944800)</f>
        <v>9227944800</v>
      </c>
      <c r="S491" s="24" t="s">
        <v>1728</v>
      </c>
      <c r="T491" s="28" t="s">
        <v>1729</v>
      </c>
      <c r="U491" s="24" t="s">
        <v>47</v>
      </c>
      <c r="V491" s="24"/>
      <c r="W491" s="32"/>
      <c r="X491" s="29">
        <v>1769.0</v>
      </c>
      <c r="Y491" s="29">
        <v>232.0</v>
      </c>
      <c r="Z491" s="30" t="s">
        <v>108</v>
      </c>
      <c r="AA491" s="31"/>
      <c r="AB491" s="31"/>
      <c r="AC491" s="31"/>
      <c r="AD491" s="31"/>
      <c r="AE491" s="31"/>
      <c r="AF491" s="31"/>
      <c r="AG491" s="27" t="str">
        <f t="shared" si="1"/>
        <v>New Logo</v>
      </c>
      <c r="AH491" s="27" t="str">
        <f t="shared" si="5"/>
        <v>Lead</v>
      </c>
      <c r="AI491" s="27" t="str">
        <f t="shared" si="6"/>
        <v>1001-5000</v>
      </c>
      <c r="AJ491" s="27" t="str">
        <f t="shared" si="7"/>
        <v>101-500</v>
      </c>
    </row>
    <row r="492" ht="15.75" customHeight="1">
      <c r="A492" s="23">
        <f>HYPERLINK("https://app.hubspot.com/contacts/8748051/record/0-3/19498556300", 19498556300)</f>
        <v>19498556300</v>
      </c>
      <c r="B492" s="24" t="s">
        <v>1730</v>
      </c>
      <c r="C492" s="24" t="s">
        <v>50</v>
      </c>
      <c r="D492" s="25">
        <v>40000.0</v>
      </c>
      <c r="E492" s="24" t="s">
        <v>149</v>
      </c>
      <c r="F492" s="24" t="s">
        <v>52</v>
      </c>
      <c r="G492" s="26">
        <v>45432.71570601852</v>
      </c>
      <c r="H492" s="26">
        <v>45454.45381944445</v>
      </c>
      <c r="I492" s="24" t="s">
        <v>40</v>
      </c>
      <c r="J492" s="24" t="s">
        <v>53</v>
      </c>
      <c r="K492" s="24" t="s">
        <v>42</v>
      </c>
      <c r="L492" s="24" t="s">
        <v>43</v>
      </c>
      <c r="M492" s="24" t="s">
        <v>44</v>
      </c>
      <c r="N492" s="24"/>
      <c r="O492" s="24" t="s">
        <v>1731</v>
      </c>
      <c r="P492" s="24"/>
      <c r="Q492" s="24"/>
      <c r="R492" s="23">
        <f>HYPERLINK("https://app.hubspot.com/contacts/8748051/record/0-2/7647906153", 7647906153)</f>
        <v>7647906153</v>
      </c>
      <c r="S492" s="24" t="s">
        <v>1732</v>
      </c>
      <c r="T492" s="28" t="s">
        <v>1733</v>
      </c>
      <c r="U492" s="24" t="s">
        <v>47</v>
      </c>
      <c r="V492" s="24"/>
      <c r="W492" s="25"/>
      <c r="X492" s="29">
        <v>693.0</v>
      </c>
      <c r="Y492" s="29">
        <v>62.0</v>
      </c>
      <c r="Z492" s="30" t="s">
        <v>71</v>
      </c>
      <c r="AA492" s="30"/>
      <c r="AB492" s="31"/>
      <c r="AC492" s="31"/>
      <c r="AD492" s="30"/>
      <c r="AE492" s="30"/>
      <c r="AF492" s="30"/>
      <c r="AG492" s="27" t="str">
        <f t="shared" si="1"/>
        <v>New Logo</v>
      </c>
      <c r="AH492" s="27" t="str">
        <f t="shared" si="5"/>
        <v>Lead</v>
      </c>
      <c r="AI492" s="27" t="str">
        <f t="shared" si="6"/>
        <v>501-1000</v>
      </c>
      <c r="AJ492" s="27" t="str">
        <f t="shared" si="7"/>
        <v>51-100</v>
      </c>
    </row>
    <row r="493" ht="15.75" customHeight="1">
      <c r="A493" s="23">
        <f>HYPERLINK("https://app.hubspot.com/contacts/8748051/record/0-3/19486725196", 19486725196)</f>
        <v>19486725196</v>
      </c>
      <c r="B493" s="24" t="s">
        <v>1734</v>
      </c>
      <c r="C493" s="24" t="s">
        <v>1009</v>
      </c>
      <c r="D493" s="25">
        <v>10000.0</v>
      </c>
      <c r="E493" s="24" t="s">
        <v>127</v>
      </c>
      <c r="F493" s="24" t="s">
        <v>52</v>
      </c>
      <c r="G493" s="26">
        <v>45432.12741898148</v>
      </c>
      <c r="H493" s="26">
        <v>45503.12599537037</v>
      </c>
      <c r="I493" s="24" t="s">
        <v>40</v>
      </c>
      <c r="J493" s="24" t="s">
        <v>41</v>
      </c>
      <c r="K493" s="24" t="s">
        <v>42</v>
      </c>
      <c r="L493" s="24" t="s">
        <v>43</v>
      </c>
      <c r="M493" s="24" t="s">
        <v>102</v>
      </c>
      <c r="N493" s="24"/>
      <c r="O493" s="24"/>
      <c r="P493" s="24"/>
      <c r="Q493" s="24" t="s">
        <v>197</v>
      </c>
      <c r="R493" s="23">
        <f>HYPERLINK("https://app.hubspot.com/contacts/8748051/record/0-2/20897315186", 20897315186)</f>
        <v>20897315186</v>
      </c>
      <c r="S493" s="24" t="s">
        <v>1735</v>
      </c>
      <c r="T493" s="28" t="s">
        <v>1736</v>
      </c>
      <c r="U493" s="24" t="s">
        <v>47</v>
      </c>
      <c r="V493" s="24"/>
      <c r="W493" s="25"/>
      <c r="X493" s="29">
        <v>548.0</v>
      </c>
      <c r="Y493" s="29">
        <v>18.0</v>
      </c>
      <c r="Z493" s="30"/>
      <c r="AA493" s="30"/>
      <c r="AB493" s="31"/>
      <c r="AC493" s="31"/>
      <c r="AD493" s="30"/>
      <c r="AE493" s="30"/>
      <c r="AF493" s="30"/>
      <c r="AG493" s="27" t="str">
        <f t="shared" si="1"/>
        <v>New Logo</v>
      </c>
      <c r="AH493" s="27" t="str">
        <f t="shared" si="5"/>
        <v>Lead</v>
      </c>
      <c r="AI493" s="27" t="str">
        <f t="shared" si="6"/>
        <v>501-1000</v>
      </c>
      <c r="AJ493" s="27" t="str">
        <f t="shared" si="7"/>
        <v>0-20</v>
      </c>
    </row>
    <row r="494" ht="15.75" customHeight="1">
      <c r="A494" s="23">
        <f>HYPERLINK("https://app.hubspot.com/contacts/8748051/record/0-3/19474969734", 19474969734)</f>
        <v>19474969734</v>
      </c>
      <c r="B494" s="24" t="s">
        <v>1737</v>
      </c>
      <c r="C494" s="24" t="s">
        <v>50</v>
      </c>
      <c r="D494" s="25">
        <v>10000.0</v>
      </c>
      <c r="E494" s="24" t="s">
        <v>149</v>
      </c>
      <c r="F494" s="24" t="s">
        <v>52</v>
      </c>
      <c r="G494" s="26">
        <v>45431.45416666667</v>
      </c>
      <c r="H494" s="26">
        <v>45509.30163194444</v>
      </c>
      <c r="I494" s="24" t="s">
        <v>40</v>
      </c>
      <c r="J494" s="24" t="s">
        <v>41</v>
      </c>
      <c r="K494" s="24" t="s">
        <v>42</v>
      </c>
      <c r="L494" s="24" t="s">
        <v>43</v>
      </c>
      <c r="M494" s="24" t="s">
        <v>102</v>
      </c>
      <c r="N494" s="24"/>
      <c r="O494" s="24" t="s">
        <v>1738</v>
      </c>
      <c r="P494" s="24"/>
      <c r="Q494" s="24"/>
      <c r="R494" s="23">
        <f>HYPERLINK("https://app.hubspot.com/contacts/8748051/record/0-2/18303139897", 18303139897)</f>
        <v>18303139897</v>
      </c>
      <c r="S494" s="24" t="s">
        <v>1739</v>
      </c>
      <c r="T494" s="28" t="s">
        <v>1740</v>
      </c>
      <c r="U494" s="24" t="s">
        <v>47</v>
      </c>
      <c r="V494" s="24"/>
      <c r="W494" s="25"/>
      <c r="X494" s="29">
        <v>216.0</v>
      </c>
      <c r="Y494" s="29">
        <v>26.0</v>
      </c>
      <c r="Z494" s="30" t="s">
        <v>1741</v>
      </c>
      <c r="AA494" s="30"/>
      <c r="AB494" s="30"/>
      <c r="AC494" s="31"/>
      <c r="AD494" s="30"/>
      <c r="AE494" s="31"/>
      <c r="AF494" s="30"/>
      <c r="AG494" s="27" t="str">
        <f t="shared" si="1"/>
        <v>New Logo</v>
      </c>
      <c r="AH494" s="27" t="str">
        <f t="shared" si="5"/>
        <v>Lead</v>
      </c>
      <c r="AI494" s="27" t="str">
        <f t="shared" si="6"/>
        <v>201-500</v>
      </c>
      <c r="AJ494" s="27" t="str">
        <f t="shared" si="7"/>
        <v>21-50</v>
      </c>
    </row>
    <row r="495" ht="15.75" customHeight="1">
      <c r="A495" s="23">
        <f>HYPERLINK("https://app.hubspot.com/contacts/8748051/record/0-3/19440631842", 19440631842)</f>
        <v>19440631842</v>
      </c>
      <c r="B495" s="24" t="s">
        <v>1742</v>
      </c>
      <c r="C495" s="24" t="s">
        <v>148</v>
      </c>
      <c r="D495" s="25">
        <v>2400.0</v>
      </c>
      <c r="E495" s="24" t="s">
        <v>73</v>
      </c>
      <c r="F495" s="24"/>
      <c r="G495" s="26">
        <v>45429.557916666665</v>
      </c>
      <c r="H495" s="26">
        <v>45613.55777777778</v>
      </c>
      <c r="I495" s="24" t="s">
        <v>40</v>
      </c>
      <c r="J495" s="24" t="s">
        <v>41</v>
      </c>
      <c r="K495" s="24" t="s">
        <v>559</v>
      </c>
      <c r="L495" s="24" t="s">
        <v>560</v>
      </c>
      <c r="M495" s="24"/>
      <c r="N495" s="27"/>
      <c r="O495" s="27"/>
      <c r="P495" s="24" t="s">
        <v>75</v>
      </c>
      <c r="Q495" s="24"/>
      <c r="R495" s="23">
        <f>HYPERLINK("https://app.hubspot.com/contacts/8748051/record/0-2/19176703400", 19176703400)</f>
        <v>19176703400</v>
      </c>
      <c r="S495" s="24" t="s">
        <v>1743</v>
      </c>
      <c r="T495" s="24" t="s">
        <v>1744</v>
      </c>
      <c r="U495" s="24" t="s">
        <v>47</v>
      </c>
      <c r="V495" s="24"/>
      <c r="W495" s="32"/>
      <c r="X495" s="29">
        <v>54.0</v>
      </c>
      <c r="Y495" s="29">
        <v>9.0</v>
      </c>
      <c r="Z495" s="30"/>
      <c r="AA495" s="31"/>
      <c r="AB495" s="31"/>
      <c r="AC495" s="31"/>
      <c r="AD495" s="31"/>
      <c r="AE495" s="31"/>
      <c r="AF495" s="31"/>
      <c r="AG495" s="27" t="str">
        <f t="shared" si="1"/>
        <v>New Logo</v>
      </c>
      <c r="AH495" s="27" t="str">
        <f t="shared" si="5"/>
        <v>Lead</v>
      </c>
      <c r="AI495" s="27" t="str">
        <f t="shared" si="6"/>
        <v>0-200</v>
      </c>
      <c r="AJ495" s="27" t="str">
        <f t="shared" si="7"/>
        <v>0-20</v>
      </c>
    </row>
    <row r="496" ht="15.75" customHeight="1">
      <c r="A496" s="23">
        <f>HYPERLINK("https://app.hubspot.com/contacts/8748051/record/0-3/19433554088", 19433554088)</f>
        <v>19433554088</v>
      </c>
      <c r="B496" s="24" t="s">
        <v>1745</v>
      </c>
      <c r="C496" s="24" t="s">
        <v>1009</v>
      </c>
      <c r="D496" s="25">
        <v>3120.0</v>
      </c>
      <c r="E496" s="24" t="s">
        <v>73</v>
      </c>
      <c r="F496" s="24"/>
      <c r="G496" s="26">
        <v>45429.31454861111</v>
      </c>
      <c r="H496" s="26">
        <v>45613.27241898148</v>
      </c>
      <c r="I496" s="24" t="s">
        <v>40</v>
      </c>
      <c r="J496" s="24" t="s">
        <v>41</v>
      </c>
      <c r="K496" s="24" t="s">
        <v>559</v>
      </c>
      <c r="L496" s="24" t="s">
        <v>560</v>
      </c>
      <c r="M496" s="24" t="s">
        <v>102</v>
      </c>
      <c r="N496" s="27"/>
      <c r="O496" s="24"/>
      <c r="P496" s="24" t="s">
        <v>234</v>
      </c>
      <c r="Q496" s="24"/>
      <c r="R496" s="23">
        <f>HYPERLINK("https://app.hubspot.com/contacts/8748051/record/0-2/19176224837", 19176224837)</f>
        <v>19176224837</v>
      </c>
      <c r="S496" s="24" t="s">
        <v>1746</v>
      </c>
      <c r="T496" s="28" t="s">
        <v>1747</v>
      </c>
      <c r="U496" s="24" t="s">
        <v>47</v>
      </c>
      <c r="V496" s="24"/>
      <c r="W496" s="32"/>
      <c r="X496" s="29">
        <v>53.0</v>
      </c>
      <c r="Y496" s="29">
        <v>14.0</v>
      </c>
      <c r="Z496" s="30"/>
      <c r="AA496" s="31"/>
      <c r="AB496" s="31"/>
      <c r="AC496" s="31"/>
      <c r="AD496" s="31"/>
      <c r="AE496" s="31"/>
      <c r="AF496" s="31"/>
      <c r="AG496" s="27" t="str">
        <f t="shared" si="1"/>
        <v>New Logo</v>
      </c>
      <c r="AH496" s="27" t="str">
        <f t="shared" si="5"/>
        <v>Lead</v>
      </c>
      <c r="AI496" s="27" t="str">
        <f t="shared" si="6"/>
        <v>0-200</v>
      </c>
      <c r="AJ496" s="27" t="str">
        <f t="shared" si="7"/>
        <v>0-20</v>
      </c>
    </row>
    <row r="497" ht="15.75" customHeight="1">
      <c r="A497" s="23">
        <f>HYPERLINK("https://app.hubspot.com/contacts/8748051/record/0-3/19384395654", 19384395654)</f>
        <v>19384395654</v>
      </c>
      <c r="B497" s="24" t="s">
        <v>1748</v>
      </c>
      <c r="C497" s="24" t="s">
        <v>1009</v>
      </c>
      <c r="D497" s="25">
        <v>139920.0</v>
      </c>
      <c r="E497" s="24" t="s">
        <v>73</v>
      </c>
      <c r="F497" s="24"/>
      <c r="G497" s="26">
        <v>45427.3900462963</v>
      </c>
      <c r="H497" s="26">
        <v>45611.38967592592</v>
      </c>
      <c r="I497" s="24" t="s">
        <v>40</v>
      </c>
      <c r="J497" s="24" t="s">
        <v>53</v>
      </c>
      <c r="K497" s="24" t="s">
        <v>42</v>
      </c>
      <c r="L497" s="24" t="s">
        <v>43</v>
      </c>
      <c r="M497" s="24" t="s">
        <v>44</v>
      </c>
      <c r="N497" s="27"/>
      <c r="O497" s="24"/>
      <c r="P497" s="24"/>
      <c r="Q497" s="24"/>
      <c r="R497" s="23">
        <f>HYPERLINK("https://app.hubspot.com/contacts/8748051/record/0-2/20789157299", 20789157299)</f>
        <v>20789157299</v>
      </c>
      <c r="S497" s="24" t="s">
        <v>1749</v>
      </c>
      <c r="T497" s="28" t="s">
        <v>1750</v>
      </c>
      <c r="U497" s="24" t="s">
        <v>47</v>
      </c>
      <c r="V497" s="24"/>
      <c r="W497" s="32"/>
      <c r="X497" s="29">
        <v>7296.0</v>
      </c>
      <c r="Y497" s="29">
        <v>796.0</v>
      </c>
      <c r="Z497" s="30" t="s">
        <v>108</v>
      </c>
      <c r="AA497" s="31"/>
      <c r="AB497" s="31"/>
      <c r="AC497" s="31"/>
      <c r="AD497" s="31"/>
      <c r="AE497" s="31"/>
      <c r="AF497" s="31"/>
      <c r="AG497" s="27" t="str">
        <f t="shared" si="1"/>
        <v>New Logo</v>
      </c>
      <c r="AH497" s="27" t="str">
        <f t="shared" si="5"/>
        <v>Lead</v>
      </c>
      <c r="AI497" s="27" t="str">
        <f t="shared" si="6"/>
        <v>5000-10000</v>
      </c>
      <c r="AJ497" s="27" t="str">
        <f t="shared" si="7"/>
        <v>500+</v>
      </c>
    </row>
    <row r="498" ht="15.75" customHeight="1">
      <c r="A498" s="23">
        <f>HYPERLINK("https://app.hubspot.com/contacts/8748051/record/0-3/19382542690", 19382542690)</f>
        <v>19382542690</v>
      </c>
      <c r="B498" s="24" t="s">
        <v>1751</v>
      </c>
      <c r="C498" s="24" t="s">
        <v>1009</v>
      </c>
      <c r="D498" s="25">
        <v>60000.0</v>
      </c>
      <c r="E498" s="24" t="s">
        <v>149</v>
      </c>
      <c r="F498" s="24" t="s">
        <v>52</v>
      </c>
      <c r="G498" s="26">
        <v>45427.33987268519</v>
      </c>
      <c r="H498" s="26">
        <v>45719.379594907405</v>
      </c>
      <c r="I498" s="24" t="s">
        <v>40</v>
      </c>
      <c r="J498" s="24" t="s">
        <v>41</v>
      </c>
      <c r="K498" s="24" t="s">
        <v>1187</v>
      </c>
      <c r="L498" s="24" t="s">
        <v>560</v>
      </c>
      <c r="M498" s="24" t="s">
        <v>44</v>
      </c>
      <c r="N498" s="27"/>
      <c r="O498" s="24" t="s">
        <v>1752</v>
      </c>
      <c r="P498" s="24"/>
      <c r="Q498" s="24"/>
      <c r="R498" s="23">
        <f>HYPERLINK("https://app.hubspot.com/contacts/8748051/record/0-2/19634895107", 19634895107)</f>
        <v>19634895107</v>
      </c>
      <c r="S498" s="24" t="s">
        <v>1753</v>
      </c>
      <c r="T498" s="28" t="s">
        <v>1754</v>
      </c>
      <c r="U498" s="24" t="s">
        <v>47</v>
      </c>
      <c r="V498" s="24"/>
      <c r="W498" s="32"/>
      <c r="X498" s="29">
        <v>707.0</v>
      </c>
      <c r="Y498" s="29">
        <v>115.0</v>
      </c>
      <c r="Z498" s="30" t="s">
        <v>64</v>
      </c>
      <c r="AA498" s="31"/>
      <c r="AB498" s="31"/>
      <c r="AC498" s="31"/>
      <c r="AD498" s="31"/>
      <c r="AE498" s="31"/>
      <c r="AF498" s="31"/>
      <c r="AG498" s="27" t="str">
        <f t="shared" si="1"/>
        <v>New Logo</v>
      </c>
      <c r="AH498" s="27" t="str">
        <f t="shared" si="5"/>
        <v>Lead</v>
      </c>
      <c r="AI498" s="27" t="str">
        <f t="shared" si="6"/>
        <v>501-1000</v>
      </c>
      <c r="AJ498" s="27" t="str">
        <f t="shared" si="7"/>
        <v>101-500</v>
      </c>
    </row>
    <row r="499" ht="15.75" customHeight="1">
      <c r="A499" s="23">
        <f>HYPERLINK("https://app.hubspot.com/contacts/8748051/record/0-3/19382287200", 19382287200)</f>
        <v>19382287200</v>
      </c>
      <c r="B499" s="24" t="s">
        <v>1755</v>
      </c>
      <c r="C499" s="24" t="s">
        <v>1009</v>
      </c>
      <c r="D499" s="25">
        <v>16080.0</v>
      </c>
      <c r="E499" s="24" t="s">
        <v>73</v>
      </c>
      <c r="F499" s="24"/>
      <c r="G499" s="26">
        <v>45427.33863425926</v>
      </c>
      <c r="H499" s="26">
        <v>45611.29651620371</v>
      </c>
      <c r="I499" s="24" t="s">
        <v>40</v>
      </c>
      <c r="J499" s="24" t="s">
        <v>41</v>
      </c>
      <c r="K499" s="24" t="s">
        <v>1187</v>
      </c>
      <c r="L499" s="24" t="s">
        <v>560</v>
      </c>
      <c r="M499" s="24" t="s">
        <v>44</v>
      </c>
      <c r="N499" s="27"/>
      <c r="O499" s="24"/>
      <c r="P499" s="24" t="s">
        <v>234</v>
      </c>
      <c r="Q499" s="24"/>
      <c r="R499" s="23">
        <f>HYPERLINK("https://app.hubspot.com/contacts/8748051/record/0-2/10038650925", 10038650925)</f>
        <v>10038650925</v>
      </c>
      <c r="S499" s="24" t="s">
        <v>1756</v>
      </c>
      <c r="T499" s="28" t="s">
        <v>1757</v>
      </c>
      <c r="U499" s="24" t="s">
        <v>47</v>
      </c>
      <c r="V499" s="24"/>
      <c r="W499" s="32"/>
      <c r="X499" s="29">
        <v>2774.0</v>
      </c>
      <c r="Y499" s="29">
        <v>91.0</v>
      </c>
      <c r="Z499" s="30" t="s">
        <v>64</v>
      </c>
      <c r="AA499" s="31"/>
      <c r="AB499" s="31"/>
      <c r="AC499" s="31"/>
      <c r="AD499" s="31"/>
      <c r="AE499" s="31"/>
      <c r="AF499" s="31"/>
      <c r="AG499" s="27" t="str">
        <f t="shared" si="1"/>
        <v>New Logo</v>
      </c>
      <c r="AH499" s="27" t="str">
        <f t="shared" si="5"/>
        <v>Lead</v>
      </c>
      <c r="AI499" s="27" t="str">
        <f t="shared" si="6"/>
        <v>1001-5000</v>
      </c>
      <c r="AJ499" s="27" t="str">
        <f t="shared" si="7"/>
        <v>51-100</v>
      </c>
    </row>
    <row r="500" ht="15.75" customHeight="1">
      <c r="A500" s="23">
        <f>HYPERLINK("https://app.hubspot.com/contacts/8748051/record/0-3/19379967092", 19379967092)</f>
        <v>19379967092</v>
      </c>
      <c r="B500" s="24" t="s">
        <v>1758</v>
      </c>
      <c r="C500" s="24" t="s">
        <v>1009</v>
      </c>
      <c r="D500" s="25">
        <v>18000.0</v>
      </c>
      <c r="E500" s="24" t="s">
        <v>73</v>
      </c>
      <c r="F500" s="24"/>
      <c r="G500" s="26">
        <v>45427.2277662037</v>
      </c>
      <c r="H500" s="26">
        <v>45611.18556712963</v>
      </c>
      <c r="I500" s="24" t="s">
        <v>40</v>
      </c>
      <c r="J500" s="24" t="s">
        <v>41</v>
      </c>
      <c r="K500" s="24" t="s">
        <v>60</v>
      </c>
      <c r="L500" s="24" t="s">
        <v>178</v>
      </c>
      <c r="M500" s="24" t="s">
        <v>74</v>
      </c>
      <c r="N500" s="27"/>
      <c r="O500" s="27"/>
      <c r="P500" s="24"/>
      <c r="Q500" s="24"/>
      <c r="R500" s="23">
        <f>HYPERLINK("https://app.hubspot.com/contacts/8748051/record/0-2/19176328886", 19176328886)</f>
        <v>19176328886</v>
      </c>
      <c r="S500" s="24" t="s">
        <v>1759</v>
      </c>
      <c r="T500" s="28" t="s">
        <v>1760</v>
      </c>
      <c r="U500" s="24" t="s">
        <v>47</v>
      </c>
      <c r="V500" s="24"/>
      <c r="W500" s="32"/>
      <c r="X500" s="29">
        <v>414.0</v>
      </c>
      <c r="Y500" s="29">
        <v>160.0</v>
      </c>
      <c r="Z500" s="30" t="s">
        <v>71</v>
      </c>
      <c r="AA500" s="31"/>
      <c r="AB500" s="31"/>
      <c r="AC500" s="31"/>
      <c r="AD500" s="31"/>
      <c r="AE500" s="31"/>
      <c r="AF500" s="31"/>
      <c r="AG500" s="27" t="str">
        <f t="shared" si="1"/>
        <v>New Logo</v>
      </c>
      <c r="AH500" s="27" t="str">
        <f t="shared" si="5"/>
        <v>Lead</v>
      </c>
      <c r="AI500" s="27" t="str">
        <f t="shared" si="6"/>
        <v>201-500</v>
      </c>
      <c r="AJ500" s="27" t="str">
        <f t="shared" si="7"/>
        <v>101-500</v>
      </c>
    </row>
    <row r="501" ht="15.75" customHeight="1">
      <c r="A501" s="23">
        <f>HYPERLINK("https://app.hubspot.com/contacts/8748051/record/0-3/19346662583", 19346662583)</f>
        <v>19346662583</v>
      </c>
      <c r="B501" s="24" t="s">
        <v>1761</v>
      </c>
      <c r="C501" s="24" t="s">
        <v>1009</v>
      </c>
      <c r="D501" s="25">
        <v>15360.0</v>
      </c>
      <c r="E501" s="24" t="s">
        <v>73</v>
      </c>
      <c r="F501" s="24"/>
      <c r="G501" s="26">
        <v>45426.06431712963</v>
      </c>
      <c r="H501" s="26">
        <v>45610.02193287037</v>
      </c>
      <c r="I501" s="24" t="s">
        <v>40</v>
      </c>
      <c r="J501" s="24" t="s">
        <v>41</v>
      </c>
      <c r="K501" s="24" t="s">
        <v>559</v>
      </c>
      <c r="L501" s="24" t="s">
        <v>560</v>
      </c>
      <c r="M501" s="24" t="s">
        <v>74</v>
      </c>
      <c r="N501" s="27"/>
      <c r="O501" s="27"/>
      <c r="P501" s="24"/>
      <c r="Q501" s="24"/>
      <c r="R501" s="23">
        <f>HYPERLINK("https://app.hubspot.com/contacts/8748051/record/0-2/14810315681", 14810315681)</f>
        <v>14810315681</v>
      </c>
      <c r="S501" s="24" t="s">
        <v>1762</v>
      </c>
      <c r="T501" s="28" t="s">
        <v>1763</v>
      </c>
      <c r="U501" s="24" t="s">
        <v>47</v>
      </c>
      <c r="V501" s="24"/>
      <c r="W501" s="32"/>
      <c r="X501" s="29">
        <v>685.0</v>
      </c>
      <c r="Y501" s="29">
        <v>66.0</v>
      </c>
      <c r="Z501" s="30"/>
      <c r="AA501" s="31"/>
      <c r="AB501" s="31"/>
      <c r="AC501" s="31"/>
      <c r="AD501" s="31"/>
      <c r="AE501" s="31"/>
      <c r="AF501" s="31"/>
      <c r="AG501" s="27" t="str">
        <f t="shared" si="1"/>
        <v>New Logo</v>
      </c>
      <c r="AH501" s="27" t="str">
        <f t="shared" si="5"/>
        <v>Lead</v>
      </c>
      <c r="AI501" s="27" t="str">
        <f t="shared" si="6"/>
        <v>501-1000</v>
      </c>
      <c r="AJ501" s="27" t="str">
        <f t="shared" si="7"/>
        <v>51-100</v>
      </c>
    </row>
    <row r="502" ht="15.75" customHeight="1">
      <c r="A502" s="23">
        <f>HYPERLINK("https://app.hubspot.com/contacts/8748051/record/0-3/19326424371", 19326424371)</f>
        <v>19326424371</v>
      </c>
      <c r="B502" s="24" t="s">
        <v>1764</v>
      </c>
      <c r="C502" s="24" t="s">
        <v>1009</v>
      </c>
      <c r="D502" s="25">
        <v>80000.0</v>
      </c>
      <c r="E502" s="24" t="s">
        <v>127</v>
      </c>
      <c r="F502" s="24" t="s">
        <v>52</v>
      </c>
      <c r="G502" s="26">
        <v>45425.444131944445</v>
      </c>
      <c r="H502" s="26">
        <v>45609.443564814814</v>
      </c>
      <c r="I502" s="24" t="s">
        <v>40</v>
      </c>
      <c r="J502" s="24" t="s">
        <v>53</v>
      </c>
      <c r="K502" s="24" t="s">
        <v>1187</v>
      </c>
      <c r="L502" s="24" t="s">
        <v>178</v>
      </c>
      <c r="M502" s="24" t="s">
        <v>44</v>
      </c>
      <c r="N502" s="24"/>
      <c r="O502" s="27"/>
      <c r="P502" s="24"/>
      <c r="Q502" s="24" t="s">
        <v>238</v>
      </c>
      <c r="R502" s="23">
        <f>HYPERLINK("https://app.hubspot.com/contacts/8748051/record/0-2/5851187747", 5851187747)</f>
        <v>5851187747</v>
      </c>
      <c r="S502" s="24" t="s">
        <v>1765</v>
      </c>
      <c r="T502" s="28" t="s">
        <v>1766</v>
      </c>
      <c r="U502" s="24" t="s">
        <v>47</v>
      </c>
      <c r="V502" s="24"/>
      <c r="W502" s="25"/>
      <c r="X502" s="29">
        <v>1504.0</v>
      </c>
      <c r="Y502" s="29">
        <v>587.0</v>
      </c>
      <c r="Z502" s="30" t="s">
        <v>546</v>
      </c>
      <c r="AA502" s="30"/>
      <c r="AB502" s="31"/>
      <c r="AC502" s="31"/>
      <c r="AD502" s="30"/>
      <c r="AE502" s="30"/>
      <c r="AF502" s="30"/>
      <c r="AG502" s="27" t="str">
        <f t="shared" si="1"/>
        <v>New Logo</v>
      </c>
      <c r="AH502" s="27" t="str">
        <f t="shared" si="5"/>
        <v>Lead</v>
      </c>
      <c r="AI502" s="27" t="str">
        <f t="shared" si="6"/>
        <v>1001-5000</v>
      </c>
      <c r="AJ502" s="27" t="str">
        <f t="shared" si="7"/>
        <v>500+</v>
      </c>
    </row>
    <row r="503" ht="15.75" customHeight="1">
      <c r="A503" s="23">
        <f>HYPERLINK("https://app.hubspot.com/contacts/8748051/record/0-3/19326413229", 19326413229)</f>
        <v>19326413229</v>
      </c>
      <c r="B503" s="24" t="s">
        <v>1767</v>
      </c>
      <c r="C503" s="24" t="s">
        <v>1009</v>
      </c>
      <c r="D503" s="25">
        <v>6000.0</v>
      </c>
      <c r="E503" s="24" t="s">
        <v>127</v>
      </c>
      <c r="F503" s="24" t="s">
        <v>52</v>
      </c>
      <c r="G503" s="26">
        <v>45425.44296296296</v>
      </c>
      <c r="H503" s="26">
        <v>45609.44241898148</v>
      </c>
      <c r="I503" s="24" t="s">
        <v>40</v>
      </c>
      <c r="J503" s="24" t="s">
        <v>41</v>
      </c>
      <c r="K503" s="24" t="s">
        <v>559</v>
      </c>
      <c r="L503" s="24" t="s">
        <v>560</v>
      </c>
      <c r="M503" s="24" t="s">
        <v>44</v>
      </c>
      <c r="N503" s="24"/>
      <c r="O503" s="27"/>
      <c r="P503" s="24"/>
      <c r="Q503" s="24" t="s">
        <v>1768</v>
      </c>
      <c r="R503" s="23">
        <f>HYPERLINK("https://app.hubspot.com/contacts/8748051/record/0-2/6816717199", 6816717199)</f>
        <v>6816717199</v>
      </c>
      <c r="S503" s="24" t="s">
        <v>1769</v>
      </c>
      <c r="T503" s="28" t="s">
        <v>1770</v>
      </c>
      <c r="U503" s="24" t="s">
        <v>47</v>
      </c>
      <c r="V503" s="24"/>
      <c r="W503" s="25"/>
      <c r="X503" s="29">
        <v>144.0</v>
      </c>
      <c r="Y503" s="29">
        <v>48.0</v>
      </c>
      <c r="Z503" s="30" t="s">
        <v>108</v>
      </c>
      <c r="AA503" s="30"/>
      <c r="AB503" s="31"/>
      <c r="AC503" s="31"/>
      <c r="AD503" s="30"/>
      <c r="AE503" s="31"/>
      <c r="AF503" s="30"/>
      <c r="AG503" s="27" t="str">
        <f t="shared" si="1"/>
        <v>New Logo</v>
      </c>
      <c r="AH503" s="27" t="str">
        <f t="shared" si="5"/>
        <v>Lead</v>
      </c>
      <c r="AI503" s="27" t="str">
        <f t="shared" si="6"/>
        <v>0-200</v>
      </c>
      <c r="AJ503" s="27" t="str">
        <f t="shared" si="7"/>
        <v>21-50</v>
      </c>
    </row>
    <row r="504" ht="15.75" customHeight="1">
      <c r="A504" s="23">
        <f>HYPERLINK("https://app.hubspot.com/contacts/8748051/record/0-3/19322825011", 19322825011)</f>
        <v>19322825011</v>
      </c>
      <c r="B504" s="24" t="s">
        <v>1771</v>
      </c>
      <c r="C504" s="24" t="s">
        <v>1009</v>
      </c>
      <c r="D504" s="25">
        <v>90720.0</v>
      </c>
      <c r="E504" s="24" t="s">
        <v>73</v>
      </c>
      <c r="F504" s="24"/>
      <c r="G504" s="26">
        <v>45425.35613425926</v>
      </c>
      <c r="H504" s="26">
        <v>45609.31413194445</v>
      </c>
      <c r="I504" s="24" t="s">
        <v>40</v>
      </c>
      <c r="J504" s="24" t="s">
        <v>41</v>
      </c>
      <c r="K504" s="24" t="s">
        <v>1187</v>
      </c>
      <c r="L504" s="24" t="s">
        <v>560</v>
      </c>
      <c r="M504" s="24" t="s">
        <v>74</v>
      </c>
      <c r="N504" s="24"/>
      <c r="O504" s="24"/>
      <c r="P504" s="24"/>
      <c r="Q504" s="24"/>
      <c r="R504" s="23">
        <f>HYPERLINK("https://app.hubspot.com/contacts/8748051/record/0-2/7691152294", 7691152294)</f>
        <v>7691152294</v>
      </c>
      <c r="S504" s="24" t="s">
        <v>1772</v>
      </c>
      <c r="T504" s="28" t="s">
        <v>1773</v>
      </c>
      <c r="U504" s="24" t="s">
        <v>47</v>
      </c>
      <c r="V504" s="24"/>
      <c r="W504" s="25"/>
      <c r="X504" s="29">
        <v>2717.0</v>
      </c>
      <c r="Y504" s="29">
        <v>430.0</v>
      </c>
      <c r="Z504" s="30" t="s">
        <v>795</v>
      </c>
      <c r="AA504" s="30"/>
      <c r="AB504" s="30"/>
      <c r="AC504" s="31"/>
      <c r="AD504" s="30"/>
      <c r="AE504" s="30"/>
      <c r="AF504" s="30"/>
      <c r="AG504" s="27" t="str">
        <f t="shared" si="1"/>
        <v>New Logo</v>
      </c>
      <c r="AH504" s="27" t="str">
        <f t="shared" si="5"/>
        <v>Lead</v>
      </c>
      <c r="AI504" s="27" t="str">
        <f t="shared" si="6"/>
        <v>1001-5000</v>
      </c>
      <c r="AJ504" s="27" t="str">
        <f t="shared" si="7"/>
        <v>101-500</v>
      </c>
    </row>
    <row r="505" ht="15.75" customHeight="1">
      <c r="A505" s="23">
        <f>HYPERLINK("https://app.hubspot.com/contacts/8748051/record/0-3/19249539619", 19249539619)</f>
        <v>19249539619</v>
      </c>
      <c r="B505" s="24" t="s">
        <v>1774</v>
      </c>
      <c r="C505" s="24" t="s">
        <v>38</v>
      </c>
      <c r="D505" s="25">
        <v>16800.0</v>
      </c>
      <c r="E505" s="24" t="s">
        <v>73</v>
      </c>
      <c r="F505" s="24"/>
      <c r="G505" s="26">
        <v>45421.60290509259</v>
      </c>
      <c r="H505" s="26">
        <v>45605.56081018518</v>
      </c>
      <c r="I505" s="24" t="s">
        <v>40</v>
      </c>
      <c r="J505" s="24" t="s">
        <v>41</v>
      </c>
      <c r="K505" s="24" t="s">
        <v>1187</v>
      </c>
      <c r="L505" s="24" t="s">
        <v>178</v>
      </c>
      <c r="M505" s="24" t="s">
        <v>44</v>
      </c>
      <c r="N505" s="24"/>
      <c r="O505" s="24"/>
      <c r="P505" s="24"/>
      <c r="Q505" s="27"/>
      <c r="R505" s="23">
        <f>HYPERLINK("https://app.hubspot.com/contacts/8748051/record/0-2/7894705949", 7894705949)</f>
        <v>7894705949</v>
      </c>
      <c r="S505" s="24" t="s">
        <v>1775</v>
      </c>
      <c r="T505" s="28" t="s">
        <v>1776</v>
      </c>
      <c r="U505" s="24" t="s">
        <v>47</v>
      </c>
      <c r="V505" s="24"/>
      <c r="W505" s="25"/>
      <c r="X505" s="29">
        <v>569.0</v>
      </c>
      <c r="Y505" s="29">
        <v>51.0</v>
      </c>
      <c r="Z505" s="30" t="s">
        <v>71</v>
      </c>
      <c r="AA505" s="30"/>
      <c r="AB505" s="30"/>
      <c r="AC505" s="31"/>
      <c r="AD505" s="30"/>
      <c r="AE505" s="30"/>
      <c r="AF505" s="30"/>
      <c r="AG505" s="27" t="str">
        <f t="shared" si="1"/>
        <v>New Logo</v>
      </c>
      <c r="AH505" s="27" t="str">
        <f t="shared" si="5"/>
        <v>Lead</v>
      </c>
      <c r="AI505" s="27" t="str">
        <f t="shared" si="6"/>
        <v>501-1000</v>
      </c>
      <c r="AJ505" s="27" t="str">
        <f t="shared" si="7"/>
        <v>51-100</v>
      </c>
    </row>
    <row r="506" ht="15.75" customHeight="1">
      <c r="A506" s="23">
        <f>HYPERLINK("https://app.hubspot.com/contacts/8748051/record/0-3/19249539454", 19249539454)</f>
        <v>19249539454</v>
      </c>
      <c r="B506" s="24" t="s">
        <v>1777</v>
      </c>
      <c r="C506" s="24" t="s">
        <v>50</v>
      </c>
      <c r="D506" s="25">
        <v>18000.0</v>
      </c>
      <c r="E506" s="24" t="s">
        <v>149</v>
      </c>
      <c r="F506" s="24" t="s">
        <v>52</v>
      </c>
      <c r="G506" s="26">
        <v>45421.602326388886</v>
      </c>
      <c r="H506" s="26">
        <v>45460.42606481481</v>
      </c>
      <c r="I506" s="24" t="s">
        <v>40</v>
      </c>
      <c r="J506" s="24" t="s">
        <v>41</v>
      </c>
      <c r="K506" s="24" t="s">
        <v>1187</v>
      </c>
      <c r="L506" s="24" t="s">
        <v>178</v>
      </c>
      <c r="M506" s="24" t="s">
        <v>44</v>
      </c>
      <c r="N506" s="27"/>
      <c r="O506" s="24" t="s">
        <v>1778</v>
      </c>
      <c r="P506" s="24"/>
      <c r="Q506" s="24"/>
      <c r="R506" s="23">
        <f>HYPERLINK("https://app.hubspot.com/contacts/8748051/record/0-2/7481536824", 7481536824)</f>
        <v>7481536824</v>
      </c>
      <c r="S506" s="24" t="s">
        <v>1779</v>
      </c>
      <c r="T506" s="28" t="s">
        <v>1780</v>
      </c>
      <c r="U506" s="24" t="s">
        <v>47</v>
      </c>
      <c r="V506" s="24"/>
      <c r="W506" s="32"/>
      <c r="X506" s="29">
        <v>301.0</v>
      </c>
      <c r="Y506" s="29">
        <v>51.0</v>
      </c>
      <c r="Z506" s="30" t="s">
        <v>108</v>
      </c>
      <c r="AA506" s="31"/>
      <c r="AB506" s="31"/>
      <c r="AC506" s="31"/>
      <c r="AD506" s="31"/>
      <c r="AE506" s="31"/>
      <c r="AF506" s="31"/>
      <c r="AG506" s="27" t="str">
        <f t="shared" si="1"/>
        <v>New Logo</v>
      </c>
      <c r="AH506" s="27" t="str">
        <f t="shared" si="5"/>
        <v>Lead</v>
      </c>
      <c r="AI506" s="27" t="str">
        <f t="shared" si="6"/>
        <v>201-500</v>
      </c>
      <c r="AJ506" s="27" t="str">
        <f t="shared" si="7"/>
        <v>51-100</v>
      </c>
    </row>
    <row r="507" ht="15.75" customHeight="1">
      <c r="A507" s="23">
        <f>HYPERLINK("https://app.hubspot.com/contacts/8748051/record/0-3/19231289733", 19231289733)</f>
        <v>19231289733</v>
      </c>
      <c r="B507" s="24" t="s">
        <v>1014</v>
      </c>
      <c r="C507" s="24" t="s">
        <v>1009</v>
      </c>
      <c r="D507" s="25">
        <v>6000.0</v>
      </c>
      <c r="E507" s="24" t="s">
        <v>73</v>
      </c>
      <c r="F507" s="24"/>
      <c r="G507" s="26">
        <v>45421.054027777776</v>
      </c>
      <c r="H507" s="26">
        <v>45605.01195601852</v>
      </c>
      <c r="I507" s="24" t="s">
        <v>40</v>
      </c>
      <c r="J507" s="24" t="s">
        <v>41</v>
      </c>
      <c r="K507" s="24" t="s">
        <v>60</v>
      </c>
      <c r="L507" s="24" t="s">
        <v>178</v>
      </c>
      <c r="M507" s="24" t="s">
        <v>74</v>
      </c>
      <c r="N507" s="24"/>
      <c r="O507" s="27"/>
      <c r="P507" s="24" t="s">
        <v>234</v>
      </c>
      <c r="Q507" s="24"/>
      <c r="R507" s="23">
        <f>HYPERLINK("https://app.hubspot.com/contacts/8748051/record/0-2/32765657909", 32765657909)</f>
        <v>32765657909</v>
      </c>
      <c r="S507" s="24" t="s">
        <v>1015</v>
      </c>
      <c r="T507" s="28" t="s">
        <v>1016</v>
      </c>
      <c r="U507" s="24" t="s">
        <v>47</v>
      </c>
      <c r="V507" s="24"/>
      <c r="W507" s="25"/>
      <c r="X507" s="29">
        <v>159.0</v>
      </c>
      <c r="Y507" s="29">
        <v>33.0</v>
      </c>
      <c r="Z507" s="30"/>
      <c r="AA507" s="30"/>
      <c r="AB507" s="31"/>
      <c r="AC507" s="31"/>
      <c r="AD507" s="30"/>
      <c r="AE507" s="30"/>
      <c r="AF507" s="30"/>
      <c r="AG507" s="27" t="str">
        <f t="shared" si="1"/>
        <v>New Logo</v>
      </c>
      <c r="AH507" s="27" t="str">
        <f t="shared" si="5"/>
        <v>Lead</v>
      </c>
      <c r="AI507" s="27" t="str">
        <f t="shared" si="6"/>
        <v>0-200</v>
      </c>
      <c r="AJ507" s="27" t="str">
        <f t="shared" si="7"/>
        <v>21-50</v>
      </c>
    </row>
    <row r="508" ht="15.75" customHeight="1">
      <c r="A508" s="23">
        <f>HYPERLINK("https://app.hubspot.com/contacts/8748051/record/0-3/19199427910", 19199427910)</f>
        <v>19199427910</v>
      </c>
      <c r="B508" s="24" t="s">
        <v>1781</v>
      </c>
      <c r="C508" s="24" t="s">
        <v>1009</v>
      </c>
      <c r="D508" s="25">
        <v>82080.0</v>
      </c>
      <c r="E508" s="24" t="s">
        <v>73</v>
      </c>
      <c r="F508" s="24"/>
      <c r="G508" s="26">
        <v>45419.826944444445</v>
      </c>
      <c r="H508" s="26">
        <v>45603.78461805556</v>
      </c>
      <c r="I508" s="24" t="s">
        <v>40</v>
      </c>
      <c r="J508" s="24" t="s">
        <v>41</v>
      </c>
      <c r="K508" s="24" t="s">
        <v>1187</v>
      </c>
      <c r="L508" s="24" t="s">
        <v>560</v>
      </c>
      <c r="M508" s="24" t="s">
        <v>44</v>
      </c>
      <c r="N508" s="24"/>
      <c r="O508" s="27"/>
      <c r="P508" s="24"/>
      <c r="Q508" s="24"/>
      <c r="R508" s="23">
        <f>HYPERLINK("https://app.hubspot.com/contacts/8748051/record/0-2/9137273695", 9137273695)</f>
        <v>9137273695</v>
      </c>
      <c r="S508" s="24" t="s">
        <v>1782</v>
      </c>
      <c r="T508" s="28" t="s">
        <v>1783</v>
      </c>
      <c r="U508" s="24" t="s">
        <v>47</v>
      </c>
      <c r="V508" s="24"/>
      <c r="W508" s="25"/>
      <c r="X508" s="29">
        <v>1586.0</v>
      </c>
      <c r="Y508" s="29">
        <v>360.0</v>
      </c>
      <c r="Z508" s="30" t="s">
        <v>56</v>
      </c>
      <c r="AA508" s="30"/>
      <c r="AB508" s="30"/>
      <c r="AC508" s="31"/>
      <c r="AD508" s="30"/>
      <c r="AE508" s="31"/>
      <c r="AF508" s="30"/>
      <c r="AG508" s="27" t="str">
        <f t="shared" si="1"/>
        <v>New Logo</v>
      </c>
      <c r="AH508" s="27" t="str">
        <f t="shared" si="5"/>
        <v>Lead</v>
      </c>
      <c r="AI508" s="27" t="str">
        <f t="shared" si="6"/>
        <v>1001-5000</v>
      </c>
      <c r="AJ508" s="27" t="str">
        <f t="shared" si="7"/>
        <v>101-500</v>
      </c>
    </row>
    <row r="509" ht="15.75" customHeight="1">
      <c r="A509" s="23">
        <f>HYPERLINK("https://app.hubspot.com/contacts/8748051/record/0-3/19195638288", 19195638288)</f>
        <v>19195638288</v>
      </c>
      <c r="B509" s="24" t="s">
        <v>1784</v>
      </c>
      <c r="C509" s="24" t="s">
        <v>38</v>
      </c>
      <c r="D509" s="25">
        <v>29200.0</v>
      </c>
      <c r="E509" s="24" t="s">
        <v>127</v>
      </c>
      <c r="F509" s="24" t="s">
        <v>52</v>
      </c>
      <c r="G509" s="26">
        <v>45419.74188657408</v>
      </c>
      <c r="H509" s="26">
        <v>45747.63508101852</v>
      </c>
      <c r="I509" s="24" t="s">
        <v>40</v>
      </c>
      <c r="J509" s="24" t="s">
        <v>41</v>
      </c>
      <c r="K509" s="24" t="s">
        <v>1187</v>
      </c>
      <c r="L509" s="24" t="s">
        <v>560</v>
      </c>
      <c r="M509" s="24" t="s">
        <v>44</v>
      </c>
      <c r="N509" s="24"/>
      <c r="O509" s="27"/>
      <c r="P509" s="24"/>
      <c r="Q509" s="24" t="s">
        <v>128</v>
      </c>
      <c r="R509" s="23">
        <f>HYPERLINK("https://app.hubspot.com/contacts/8748051/record/0-2/7941851257", 7941851257)</f>
        <v>7941851257</v>
      </c>
      <c r="S509" s="24" t="s">
        <v>1785</v>
      </c>
      <c r="T509" s="28" t="s">
        <v>1786</v>
      </c>
      <c r="U509" s="24" t="s">
        <v>47</v>
      </c>
      <c r="V509" s="24"/>
      <c r="W509" s="25"/>
      <c r="X509" s="29">
        <v>680.0</v>
      </c>
      <c r="Y509" s="29">
        <v>44.0</v>
      </c>
      <c r="Z509" s="30"/>
      <c r="AA509" s="30"/>
      <c r="AB509" s="31"/>
      <c r="AC509" s="31"/>
      <c r="AD509" s="30"/>
      <c r="AE509" s="30"/>
      <c r="AF509" s="30"/>
      <c r="AG509" s="27" t="str">
        <f t="shared" si="1"/>
        <v>New Logo</v>
      </c>
      <c r="AH509" s="27" t="str">
        <f t="shared" si="5"/>
        <v>Lead</v>
      </c>
      <c r="AI509" s="27" t="str">
        <f t="shared" si="6"/>
        <v>501-1000</v>
      </c>
      <c r="AJ509" s="27" t="str">
        <f t="shared" si="7"/>
        <v>21-50</v>
      </c>
    </row>
    <row r="510" ht="15.75" customHeight="1">
      <c r="A510" s="23">
        <f>HYPERLINK("https://app.hubspot.com/contacts/8748051/record/0-3/19189400089", 19189400089)</f>
        <v>19189400089</v>
      </c>
      <c r="B510" s="24" t="s">
        <v>1787</v>
      </c>
      <c r="C510" s="24" t="s">
        <v>38</v>
      </c>
      <c r="D510" s="25">
        <v>8640.0</v>
      </c>
      <c r="E510" s="24" t="s">
        <v>73</v>
      </c>
      <c r="F510" s="24"/>
      <c r="G510" s="26">
        <v>45419.45274305555</v>
      </c>
      <c r="H510" s="26">
        <v>45603.410833333335</v>
      </c>
      <c r="I510" s="24" t="s">
        <v>40</v>
      </c>
      <c r="J510" s="24" t="s">
        <v>41</v>
      </c>
      <c r="K510" s="24" t="s">
        <v>559</v>
      </c>
      <c r="L510" s="24" t="s">
        <v>560</v>
      </c>
      <c r="M510" s="24" t="s">
        <v>44</v>
      </c>
      <c r="N510" s="24"/>
      <c r="O510" s="27"/>
      <c r="P510" s="24" t="s">
        <v>213</v>
      </c>
      <c r="Q510" s="27"/>
      <c r="R510" s="23">
        <f>HYPERLINK("https://app.hubspot.com/contacts/8748051/record/0-2/16375814968", 16375814968)</f>
        <v>16375814968</v>
      </c>
      <c r="S510" s="24" t="s">
        <v>1788</v>
      </c>
      <c r="T510" s="28" t="s">
        <v>1789</v>
      </c>
      <c r="U510" s="24" t="s">
        <v>47</v>
      </c>
      <c r="V510" s="24"/>
      <c r="W510" s="25"/>
      <c r="X510" s="29">
        <v>240.0</v>
      </c>
      <c r="Y510" s="29">
        <v>43.0</v>
      </c>
      <c r="Z510" s="30"/>
      <c r="AA510" s="30"/>
      <c r="AB510" s="30"/>
      <c r="AC510" s="31"/>
      <c r="AD510" s="30"/>
      <c r="AE510" s="30"/>
      <c r="AF510" s="30"/>
      <c r="AG510" s="27" t="str">
        <f t="shared" si="1"/>
        <v>New Logo</v>
      </c>
      <c r="AH510" s="27" t="str">
        <f t="shared" si="5"/>
        <v>Lead</v>
      </c>
      <c r="AI510" s="27" t="str">
        <f t="shared" si="6"/>
        <v>201-500</v>
      </c>
      <c r="AJ510" s="27" t="str">
        <f t="shared" si="7"/>
        <v>21-50</v>
      </c>
    </row>
    <row r="511" ht="15.75" customHeight="1">
      <c r="A511" s="23">
        <f>HYPERLINK("https://app.hubspot.com/contacts/8748051/record/0-3/19156902974", 19156902974)</f>
        <v>19156902974</v>
      </c>
      <c r="B511" s="24" t="s">
        <v>1790</v>
      </c>
      <c r="C511" s="24" t="s">
        <v>1009</v>
      </c>
      <c r="D511" s="25">
        <v>45600.0</v>
      </c>
      <c r="E511" s="24" t="s">
        <v>73</v>
      </c>
      <c r="F511" s="27"/>
      <c r="G511" s="26">
        <v>45418.45959490741</v>
      </c>
      <c r="H511" s="26">
        <v>45602.416863425926</v>
      </c>
      <c r="I511" s="24" t="s">
        <v>40</v>
      </c>
      <c r="J511" s="24" t="s">
        <v>53</v>
      </c>
      <c r="K511" s="24" t="s">
        <v>1187</v>
      </c>
      <c r="L511" s="24" t="s">
        <v>560</v>
      </c>
      <c r="M511" s="24" t="s">
        <v>44</v>
      </c>
      <c r="N511" s="27"/>
      <c r="O511" s="27"/>
      <c r="P511" s="24" t="s">
        <v>122</v>
      </c>
      <c r="Q511" s="27"/>
      <c r="R511" s="23">
        <f>HYPERLINK("https://app.hubspot.com/contacts/8748051/record/0-2/18382839621", 18382839621)</f>
        <v>18382839621</v>
      </c>
      <c r="S511" s="24" t="s">
        <v>1791</v>
      </c>
      <c r="T511" s="28" t="s">
        <v>1792</v>
      </c>
      <c r="U511" s="24" t="s">
        <v>47</v>
      </c>
      <c r="V511" s="24"/>
      <c r="W511" s="25"/>
      <c r="X511" s="29">
        <v>985.0</v>
      </c>
      <c r="Y511" s="29">
        <v>233.0</v>
      </c>
      <c r="Z511" s="30" t="s">
        <v>71</v>
      </c>
      <c r="AA511" s="30"/>
      <c r="AB511" s="31"/>
      <c r="AC511" s="31"/>
      <c r="AD511" s="30"/>
      <c r="AE511" s="31"/>
      <c r="AF511" s="30"/>
      <c r="AG511" s="27" t="str">
        <f t="shared" si="1"/>
        <v>New Logo</v>
      </c>
      <c r="AH511" s="27" t="str">
        <f t="shared" si="5"/>
        <v>Lead</v>
      </c>
      <c r="AI511" s="27" t="str">
        <f t="shared" si="6"/>
        <v>501-1000</v>
      </c>
      <c r="AJ511" s="27" t="str">
        <f t="shared" si="7"/>
        <v>101-500</v>
      </c>
    </row>
    <row r="512" ht="15.75" customHeight="1">
      <c r="A512" s="23">
        <f>HYPERLINK("https://app.hubspot.com/contacts/8748051/record/0-3/19154041781", 19154041781)</f>
        <v>19154041781</v>
      </c>
      <c r="B512" s="24" t="s">
        <v>1793</v>
      </c>
      <c r="C512" s="24" t="s">
        <v>148</v>
      </c>
      <c r="D512" s="25">
        <v>10800.0</v>
      </c>
      <c r="E512" s="24" t="s">
        <v>73</v>
      </c>
      <c r="F512" s="24"/>
      <c r="G512" s="26">
        <v>45418.394733796296</v>
      </c>
      <c r="H512" s="26">
        <v>45602.39408564815</v>
      </c>
      <c r="I512" s="24" t="s">
        <v>40</v>
      </c>
      <c r="J512" s="24" t="s">
        <v>182</v>
      </c>
      <c r="K512" s="24"/>
      <c r="L512" s="24"/>
      <c r="M512" s="24" t="s">
        <v>44</v>
      </c>
      <c r="N512" s="27"/>
      <c r="O512" s="27"/>
      <c r="P512" s="24"/>
      <c r="Q512" s="24"/>
      <c r="R512" s="23">
        <f>HYPERLINK("https://app.hubspot.com/contacts/8748051/record/0-2/7737526328", 7737526328)</f>
        <v>7737526328</v>
      </c>
      <c r="S512" s="24" t="s">
        <v>840</v>
      </c>
      <c r="T512" s="28" t="s">
        <v>841</v>
      </c>
      <c r="U512" s="24" t="s">
        <v>96</v>
      </c>
      <c r="V512" s="24"/>
      <c r="W512" s="25">
        <v>3210.0</v>
      </c>
      <c r="X512" s="29">
        <v>294.0</v>
      </c>
      <c r="Y512" s="29">
        <v>46.0</v>
      </c>
      <c r="Z512" s="30"/>
      <c r="AA512" s="30" t="s">
        <v>349</v>
      </c>
      <c r="AB512" s="31"/>
      <c r="AC512" s="31"/>
      <c r="AD512" s="30" t="s">
        <v>842</v>
      </c>
      <c r="AE512" s="31"/>
      <c r="AF512" s="30" t="s">
        <v>764</v>
      </c>
      <c r="AG512" s="27" t="str">
        <f t="shared" si="1"/>
        <v>Upsell</v>
      </c>
      <c r="AH512" s="27" t="str">
        <f t="shared" si="5"/>
        <v>Customer</v>
      </c>
      <c r="AI512" s="27" t="str">
        <f t="shared" si="6"/>
        <v>201-500</v>
      </c>
      <c r="AJ512" s="27" t="str">
        <f t="shared" si="7"/>
        <v>21-50</v>
      </c>
    </row>
    <row r="513" ht="15.75" customHeight="1">
      <c r="A513" s="23">
        <f>HYPERLINK("https://app.hubspot.com/contacts/8748051/record/0-3/19148605769", 19148605769)</f>
        <v>19148605769</v>
      </c>
      <c r="B513" s="24" t="s">
        <v>1794</v>
      </c>
      <c r="C513" s="24" t="s">
        <v>148</v>
      </c>
      <c r="D513" s="25">
        <v>9840.0</v>
      </c>
      <c r="E513" s="24" t="s">
        <v>73</v>
      </c>
      <c r="F513" s="24"/>
      <c r="G513" s="26">
        <v>45418.114224537036</v>
      </c>
      <c r="H513" s="26">
        <v>45602.072164351855</v>
      </c>
      <c r="I513" s="24" t="s">
        <v>40</v>
      </c>
      <c r="J513" s="24" t="s">
        <v>41</v>
      </c>
      <c r="K513" s="24" t="s">
        <v>559</v>
      </c>
      <c r="L513" s="24" t="s">
        <v>560</v>
      </c>
      <c r="M513" s="24" t="s">
        <v>102</v>
      </c>
      <c r="N513" s="27"/>
      <c r="O513" s="24"/>
      <c r="P513" s="24" t="s">
        <v>75</v>
      </c>
      <c r="Q513" s="24"/>
      <c r="R513" s="23">
        <f>HYPERLINK("https://app.hubspot.com/contacts/8748051/record/0-2/16065697119", 16065697119)</f>
        <v>16065697119</v>
      </c>
      <c r="S513" s="24" t="s">
        <v>1795</v>
      </c>
      <c r="T513" s="28" t="s">
        <v>1796</v>
      </c>
      <c r="U513" s="24" t="s">
        <v>47</v>
      </c>
      <c r="V513" s="24"/>
      <c r="W513" s="32"/>
      <c r="X513" s="29">
        <v>2593.0</v>
      </c>
      <c r="Y513" s="29">
        <v>71.0</v>
      </c>
      <c r="Z513" s="30" t="s">
        <v>71</v>
      </c>
      <c r="AA513" s="31"/>
      <c r="AB513" s="31"/>
      <c r="AC513" s="31"/>
      <c r="AD513" s="31"/>
      <c r="AE513" s="31"/>
      <c r="AF513" s="31"/>
      <c r="AG513" s="27" t="str">
        <f t="shared" si="1"/>
        <v>New Logo</v>
      </c>
      <c r="AH513" s="27" t="str">
        <f t="shared" si="5"/>
        <v>Lead</v>
      </c>
      <c r="AI513" s="27" t="str">
        <f t="shared" si="6"/>
        <v>1001-5000</v>
      </c>
      <c r="AJ513" s="27" t="str">
        <f t="shared" si="7"/>
        <v>51-100</v>
      </c>
    </row>
    <row r="514" ht="15.75" customHeight="1">
      <c r="A514" s="23">
        <f>HYPERLINK("https://app.hubspot.com/contacts/8748051/record/0-3/19093943398", 19093943398)</f>
        <v>19093943398</v>
      </c>
      <c r="B514" s="24" t="s">
        <v>1797</v>
      </c>
      <c r="C514" s="24" t="s">
        <v>1009</v>
      </c>
      <c r="D514" s="25">
        <v>36960.0</v>
      </c>
      <c r="E514" s="24" t="s">
        <v>73</v>
      </c>
      <c r="F514" s="24"/>
      <c r="G514" s="26">
        <v>45415.50377314815</v>
      </c>
      <c r="H514" s="26">
        <v>45599.46177083333</v>
      </c>
      <c r="I514" s="24" t="s">
        <v>40</v>
      </c>
      <c r="J514" s="24" t="s">
        <v>41</v>
      </c>
      <c r="K514" s="24" t="s">
        <v>1187</v>
      </c>
      <c r="L514" s="24" t="s">
        <v>178</v>
      </c>
      <c r="M514" s="24" t="s">
        <v>44</v>
      </c>
      <c r="N514" s="24"/>
      <c r="O514" s="24"/>
      <c r="P514" s="24"/>
      <c r="Q514" s="24"/>
      <c r="R514" s="23">
        <f>HYPERLINK("https://app.hubspot.com/contacts/8748051/record/0-2/14810826675", 14810826675)</f>
        <v>14810826675</v>
      </c>
      <c r="S514" s="24" t="s">
        <v>1798</v>
      </c>
      <c r="T514" s="28" t="s">
        <v>1799</v>
      </c>
      <c r="U514" s="24" t="s">
        <v>47</v>
      </c>
      <c r="V514" s="24"/>
      <c r="W514" s="25"/>
      <c r="X514" s="29">
        <v>1410.0</v>
      </c>
      <c r="Y514" s="29">
        <v>231.0</v>
      </c>
      <c r="Z514" s="30" t="s">
        <v>71</v>
      </c>
      <c r="AA514" s="30"/>
      <c r="AB514" s="31"/>
      <c r="AC514" s="31"/>
      <c r="AD514" s="30"/>
      <c r="AE514" s="30"/>
      <c r="AF514" s="30"/>
      <c r="AG514" s="27" t="str">
        <f t="shared" si="1"/>
        <v>New Logo</v>
      </c>
      <c r="AH514" s="27" t="str">
        <f t="shared" si="5"/>
        <v>Lead</v>
      </c>
      <c r="AI514" s="27" t="str">
        <f t="shared" si="6"/>
        <v>1001-5000</v>
      </c>
      <c r="AJ514" s="27" t="str">
        <f t="shared" si="7"/>
        <v>101-500</v>
      </c>
    </row>
    <row r="515" ht="15.75" customHeight="1">
      <c r="A515" s="23">
        <f>HYPERLINK("https://app.hubspot.com/contacts/8748051/record/0-3/19093862754", 19093862754)</f>
        <v>19093862754</v>
      </c>
      <c r="B515" s="24" t="s">
        <v>1800</v>
      </c>
      <c r="C515" s="24" t="s">
        <v>1009</v>
      </c>
      <c r="D515" s="25">
        <v>6000.0</v>
      </c>
      <c r="E515" s="24" t="s">
        <v>127</v>
      </c>
      <c r="F515" s="24" t="s">
        <v>52</v>
      </c>
      <c r="G515" s="26">
        <v>45415.48299768518</v>
      </c>
      <c r="H515" s="26">
        <v>45599.44097222222</v>
      </c>
      <c r="I515" s="24" t="s">
        <v>40</v>
      </c>
      <c r="J515" s="24" t="s">
        <v>41</v>
      </c>
      <c r="K515" s="24" t="s">
        <v>1187</v>
      </c>
      <c r="L515" s="24" t="s">
        <v>178</v>
      </c>
      <c r="M515" s="24" t="s">
        <v>44</v>
      </c>
      <c r="N515" s="24"/>
      <c r="O515" s="27"/>
      <c r="P515" s="24"/>
      <c r="Q515" s="24" t="s">
        <v>374</v>
      </c>
      <c r="R515" s="23">
        <f>HYPERLINK("https://app.hubspot.com/contacts/8748051/record/0-2/8920376633", 8920376633)</f>
        <v>8920376633</v>
      </c>
      <c r="S515" s="24" t="s">
        <v>1801</v>
      </c>
      <c r="T515" s="28" t="s">
        <v>1802</v>
      </c>
      <c r="U515" s="24" t="s">
        <v>47</v>
      </c>
      <c r="V515" s="24"/>
      <c r="W515" s="25"/>
      <c r="X515" s="29">
        <v>1756.0</v>
      </c>
      <c r="Y515" s="29">
        <v>217.0</v>
      </c>
      <c r="Z515" s="30" t="s">
        <v>71</v>
      </c>
      <c r="AA515" s="30"/>
      <c r="AB515" s="30"/>
      <c r="AC515" s="31"/>
      <c r="AD515" s="30"/>
      <c r="AE515" s="30"/>
      <c r="AF515" s="30"/>
      <c r="AG515" s="27" t="str">
        <f t="shared" si="1"/>
        <v>New Logo</v>
      </c>
      <c r="AH515" s="27" t="str">
        <f t="shared" si="5"/>
        <v>Lead</v>
      </c>
      <c r="AI515" s="27" t="str">
        <f t="shared" si="6"/>
        <v>1001-5000</v>
      </c>
      <c r="AJ515" s="27" t="str">
        <f t="shared" si="7"/>
        <v>101-500</v>
      </c>
    </row>
    <row r="516" ht="15.75" customHeight="1">
      <c r="A516" s="23">
        <f>HYPERLINK("https://app.hubspot.com/contacts/8748051/record/0-3/19090051890", 19090051890)</f>
        <v>19090051890</v>
      </c>
      <c r="B516" s="24" t="s">
        <v>1803</v>
      </c>
      <c r="C516" s="24" t="s">
        <v>1228</v>
      </c>
      <c r="D516" s="25">
        <v>3120.0</v>
      </c>
      <c r="E516" s="24" t="s">
        <v>92</v>
      </c>
      <c r="F516" s="24" t="s">
        <v>52</v>
      </c>
      <c r="G516" s="26">
        <v>45415.2659375</v>
      </c>
      <c r="H516" s="26">
        <v>45530.359872685185</v>
      </c>
      <c r="I516" s="24" t="s">
        <v>40</v>
      </c>
      <c r="J516" s="24" t="s">
        <v>53</v>
      </c>
      <c r="K516" s="24" t="s">
        <v>42</v>
      </c>
      <c r="L516" s="24" t="s">
        <v>43</v>
      </c>
      <c r="M516" s="24" t="s">
        <v>102</v>
      </c>
      <c r="N516" s="24" t="s">
        <v>1804</v>
      </c>
      <c r="O516" s="27"/>
      <c r="P516" s="24"/>
      <c r="Q516" s="27"/>
      <c r="R516" s="23">
        <f>HYPERLINK("https://app.hubspot.com/contacts/8748051/record/0-2/7735473314", 7735473314)</f>
        <v>7735473314</v>
      </c>
      <c r="S516" s="24" t="s">
        <v>316</v>
      </c>
      <c r="T516" s="28" t="s">
        <v>317</v>
      </c>
      <c r="U516" s="24" t="s">
        <v>96</v>
      </c>
      <c r="V516" s="24"/>
      <c r="W516" s="25">
        <v>7920.0</v>
      </c>
      <c r="X516" s="29">
        <v>653.0</v>
      </c>
      <c r="Y516" s="29">
        <v>92.0</v>
      </c>
      <c r="Z516" s="30"/>
      <c r="AA516" s="30" t="s">
        <v>193</v>
      </c>
      <c r="AB516" s="30"/>
      <c r="AC516" s="31"/>
      <c r="AD516" s="30" t="s">
        <v>318</v>
      </c>
      <c r="AE516" s="30" t="s">
        <v>319</v>
      </c>
      <c r="AF516" s="30" t="s">
        <v>169</v>
      </c>
      <c r="AG516" s="27" t="str">
        <f t="shared" si="1"/>
        <v>New Logo</v>
      </c>
      <c r="AH516" s="27" t="str">
        <f t="shared" si="5"/>
        <v>Customer</v>
      </c>
      <c r="AI516" s="27" t="str">
        <f t="shared" si="6"/>
        <v>501-1000</v>
      </c>
      <c r="AJ516" s="27" t="str">
        <f t="shared" si="7"/>
        <v>51-100</v>
      </c>
    </row>
    <row r="517" ht="15.75" customHeight="1">
      <c r="A517" s="23">
        <f>HYPERLINK("https://app.hubspot.com/contacts/8748051/record/0-3/19075241630", 19075241630)</f>
        <v>19075241630</v>
      </c>
      <c r="B517" s="24" t="s">
        <v>1805</v>
      </c>
      <c r="C517" s="24" t="s">
        <v>1806</v>
      </c>
      <c r="D517" s="25">
        <v>12500.0</v>
      </c>
      <c r="E517" s="24" t="s">
        <v>92</v>
      </c>
      <c r="F517" s="24" t="s">
        <v>52</v>
      </c>
      <c r="G517" s="26">
        <v>45414.76158564815</v>
      </c>
      <c r="H517" s="26">
        <v>45471.79305555556</v>
      </c>
      <c r="I517" s="24" t="s">
        <v>40</v>
      </c>
      <c r="J517" s="24" t="s">
        <v>41</v>
      </c>
      <c r="K517" s="24" t="s">
        <v>1187</v>
      </c>
      <c r="L517" s="24" t="s">
        <v>560</v>
      </c>
      <c r="M517" s="24" t="s">
        <v>44</v>
      </c>
      <c r="N517" s="24" t="s">
        <v>1807</v>
      </c>
      <c r="O517" s="24"/>
      <c r="P517" s="24"/>
      <c r="Q517" s="24"/>
      <c r="R517" s="23">
        <f>HYPERLINK("https://app.hubspot.com/contacts/8748051/record/0-2/6816508469", 6816508469)</f>
        <v>6816508469</v>
      </c>
      <c r="S517" s="24" t="s">
        <v>1808</v>
      </c>
      <c r="T517" s="28" t="s">
        <v>1809</v>
      </c>
      <c r="U517" s="24" t="s">
        <v>96</v>
      </c>
      <c r="V517" s="24"/>
      <c r="W517" s="25">
        <v>12500.0</v>
      </c>
      <c r="X517" s="29">
        <v>98.0</v>
      </c>
      <c r="Y517" s="29">
        <v>13.0</v>
      </c>
      <c r="Z517" s="30"/>
      <c r="AA517" s="30" t="s">
        <v>97</v>
      </c>
      <c r="AB517" s="30" t="s">
        <v>207</v>
      </c>
      <c r="AC517" s="31"/>
      <c r="AD517" s="30" t="s">
        <v>1199</v>
      </c>
      <c r="AE517" s="31"/>
      <c r="AF517" s="30" t="s">
        <v>169</v>
      </c>
      <c r="AG517" s="27" t="str">
        <f t="shared" si="1"/>
        <v>New Logo</v>
      </c>
      <c r="AH517" s="27" t="str">
        <f t="shared" si="5"/>
        <v>Customer</v>
      </c>
      <c r="AI517" s="27" t="str">
        <f t="shared" si="6"/>
        <v>0-200</v>
      </c>
      <c r="AJ517" s="27" t="str">
        <f t="shared" si="7"/>
        <v>0-20</v>
      </c>
    </row>
    <row r="518" ht="15.75" customHeight="1">
      <c r="A518" s="23">
        <f>HYPERLINK("https://app.hubspot.com/contacts/8748051/record/0-3/19063660091", 19063660091)</f>
        <v>19063660091</v>
      </c>
      <c r="B518" s="24" t="s">
        <v>1810</v>
      </c>
      <c r="C518" s="24" t="s">
        <v>1009</v>
      </c>
      <c r="D518" s="25">
        <v>4080.0</v>
      </c>
      <c r="E518" s="24" t="s">
        <v>73</v>
      </c>
      <c r="F518" s="24"/>
      <c r="G518" s="26">
        <v>45414.17055555555</v>
      </c>
      <c r="H518" s="26">
        <v>45598.16982638889</v>
      </c>
      <c r="I518" s="24" t="s">
        <v>40</v>
      </c>
      <c r="J518" s="24" t="s">
        <v>41</v>
      </c>
      <c r="K518" s="24" t="s">
        <v>559</v>
      </c>
      <c r="L518" s="24" t="s">
        <v>560</v>
      </c>
      <c r="M518" s="24"/>
      <c r="N518" s="24"/>
      <c r="O518" s="24"/>
      <c r="P518" s="24" t="s">
        <v>75</v>
      </c>
      <c r="Q518" s="27"/>
      <c r="R518" s="23">
        <f>HYPERLINK("https://app.hubspot.com/contacts/8748051/record/0-2/7716029499", 7716029499)</f>
        <v>7716029499</v>
      </c>
      <c r="S518" s="24" t="s">
        <v>1811</v>
      </c>
      <c r="T518" s="28" t="s">
        <v>1812</v>
      </c>
      <c r="U518" s="24" t="s">
        <v>47</v>
      </c>
      <c r="V518" s="24"/>
      <c r="W518" s="25"/>
      <c r="X518" s="29">
        <v>181.0</v>
      </c>
      <c r="Y518" s="29">
        <v>19.0</v>
      </c>
      <c r="Z518" s="30" t="s">
        <v>108</v>
      </c>
      <c r="AA518" s="30"/>
      <c r="AB518" s="31"/>
      <c r="AC518" s="31"/>
      <c r="AD518" s="30"/>
      <c r="AE518" s="30"/>
      <c r="AF518" s="30"/>
      <c r="AG518" s="27" t="str">
        <f t="shared" si="1"/>
        <v>New Logo</v>
      </c>
      <c r="AH518" s="27" t="str">
        <f t="shared" si="5"/>
        <v>Lead</v>
      </c>
      <c r="AI518" s="27" t="str">
        <f t="shared" si="6"/>
        <v>0-200</v>
      </c>
      <c r="AJ518" s="27" t="str">
        <f t="shared" si="7"/>
        <v>0-20</v>
      </c>
    </row>
    <row r="519" ht="15.75" customHeight="1">
      <c r="A519" s="23">
        <f>HYPERLINK("https://app.hubspot.com/contacts/8748051/record/0-3/19061162282", 19061162282)</f>
        <v>19061162282</v>
      </c>
      <c r="B519" s="24" t="s">
        <v>951</v>
      </c>
      <c r="C519" s="24" t="s">
        <v>38</v>
      </c>
      <c r="D519" s="25">
        <v>129360.0</v>
      </c>
      <c r="E519" s="24" t="s">
        <v>73</v>
      </c>
      <c r="F519" s="24"/>
      <c r="G519" s="26">
        <v>45414.092453703706</v>
      </c>
      <c r="H519" s="26">
        <v>45598.09201388889</v>
      </c>
      <c r="I519" s="24" t="s">
        <v>40</v>
      </c>
      <c r="J519" s="24" t="s">
        <v>41</v>
      </c>
      <c r="K519" s="24" t="s">
        <v>60</v>
      </c>
      <c r="L519" s="24" t="s">
        <v>178</v>
      </c>
      <c r="M519" s="24" t="s">
        <v>74</v>
      </c>
      <c r="N519" s="24"/>
      <c r="O519" s="24"/>
      <c r="P519" s="24"/>
      <c r="Q519" s="24"/>
      <c r="R519" s="23">
        <f>HYPERLINK("https://app.hubspot.com/contacts/8748051/record/0-2/8142764962", 8142764962)</f>
        <v>8142764962</v>
      </c>
      <c r="S519" s="24" t="s">
        <v>952</v>
      </c>
      <c r="T519" s="28" t="s">
        <v>953</v>
      </c>
      <c r="U519" s="24" t="s">
        <v>47</v>
      </c>
      <c r="V519" s="24"/>
      <c r="W519" s="25"/>
      <c r="X519" s="29">
        <v>4351.0</v>
      </c>
      <c r="Y519" s="29">
        <v>550.0</v>
      </c>
      <c r="Z519" s="30" t="s">
        <v>56</v>
      </c>
      <c r="AA519" s="30"/>
      <c r="AB519" s="30"/>
      <c r="AC519" s="31"/>
      <c r="AD519" s="30"/>
      <c r="AE519" s="31"/>
      <c r="AF519" s="30"/>
      <c r="AG519" s="27" t="str">
        <f t="shared" si="1"/>
        <v>New Logo</v>
      </c>
      <c r="AH519" s="27" t="str">
        <f t="shared" si="5"/>
        <v>Lead</v>
      </c>
      <c r="AI519" s="27" t="str">
        <f t="shared" si="6"/>
        <v>1001-5000</v>
      </c>
      <c r="AJ519" s="27" t="str">
        <f t="shared" si="7"/>
        <v>500+</v>
      </c>
    </row>
    <row r="520" ht="15.75" customHeight="1">
      <c r="A520" s="23">
        <f>HYPERLINK("https://app.hubspot.com/contacts/8748051/record/0-3/18984527650", 18984527650)</f>
        <v>18984527650</v>
      </c>
      <c r="B520" s="24" t="s">
        <v>1813</v>
      </c>
      <c r="C520" s="24" t="s">
        <v>50</v>
      </c>
      <c r="D520" s="25">
        <v>70080.0</v>
      </c>
      <c r="E520" s="24" t="s">
        <v>73</v>
      </c>
      <c r="F520" s="24"/>
      <c r="G520" s="26">
        <v>45411.746145833335</v>
      </c>
      <c r="H520" s="26">
        <v>45594.745474537034</v>
      </c>
      <c r="I520" s="24" t="s">
        <v>40</v>
      </c>
      <c r="J520" s="24" t="s">
        <v>41</v>
      </c>
      <c r="K520" s="24" t="s">
        <v>1187</v>
      </c>
      <c r="L520" s="24" t="s">
        <v>560</v>
      </c>
      <c r="M520" s="24" t="s">
        <v>44</v>
      </c>
      <c r="N520" s="24"/>
      <c r="O520" s="27"/>
      <c r="P520" s="24" t="s">
        <v>122</v>
      </c>
      <c r="Q520" s="24"/>
      <c r="R520" s="23">
        <f>HYPERLINK("https://app.hubspot.com/contacts/8748051/record/0-2/9406234408", 9406234408)</f>
        <v>9406234408</v>
      </c>
      <c r="S520" s="24" t="s">
        <v>1814</v>
      </c>
      <c r="T520" s="28" t="s">
        <v>1815</v>
      </c>
      <c r="U520" s="24" t="s">
        <v>47</v>
      </c>
      <c r="V520" s="24"/>
      <c r="W520" s="25"/>
      <c r="X520" s="29">
        <v>3457.0</v>
      </c>
      <c r="Y520" s="29">
        <v>344.0</v>
      </c>
      <c r="Z520" s="30" t="s">
        <v>372</v>
      </c>
      <c r="AA520" s="30"/>
      <c r="AB520" s="30"/>
      <c r="AC520" s="31"/>
      <c r="AD520" s="30"/>
      <c r="AE520" s="30"/>
      <c r="AF520" s="30"/>
      <c r="AG520" s="27" t="str">
        <f t="shared" si="1"/>
        <v>New Logo</v>
      </c>
      <c r="AH520" s="27" t="str">
        <f t="shared" si="5"/>
        <v>Lead</v>
      </c>
      <c r="AI520" s="27" t="str">
        <f t="shared" si="6"/>
        <v>1001-5000</v>
      </c>
      <c r="AJ520" s="27" t="str">
        <f t="shared" si="7"/>
        <v>101-500</v>
      </c>
    </row>
    <row r="521" ht="15.75" customHeight="1">
      <c r="A521" s="23">
        <f>HYPERLINK("https://app.hubspot.com/contacts/8748051/record/0-3/18979099451", 18979099451)</f>
        <v>18979099451</v>
      </c>
      <c r="B521" s="24" t="s">
        <v>1816</v>
      </c>
      <c r="C521" s="24" t="s">
        <v>38</v>
      </c>
      <c r="D521" s="25">
        <v>2400.0</v>
      </c>
      <c r="E521" s="24" t="s">
        <v>73</v>
      </c>
      <c r="F521" s="27"/>
      <c r="G521" s="26">
        <v>45411.58777777778</v>
      </c>
      <c r="H521" s="26">
        <v>45594.58663194445</v>
      </c>
      <c r="I521" s="24" t="s">
        <v>40</v>
      </c>
      <c r="J521" s="24" t="s">
        <v>41</v>
      </c>
      <c r="K521" s="24" t="s">
        <v>1187</v>
      </c>
      <c r="L521" s="24" t="s">
        <v>178</v>
      </c>
      <c r="M521" s="24" t="s">
        <v>44</v>
      </c>
      <c r="N521" s="27"/>
      <c r="O521" s="27"/>
      <c r="P521" s="24" t="s">
        <v>122</v>
      </c>
      <c r="Q521" s="27"/>
      <c r="R521" s="23">
        <f>HYPERLINK("https://app.hubspot.com/contacts/8748051/record/0-2/18382834036", 18382834036)</f>
        <v>18382834036</v>
      </c>
      <c r="S521" s="24" t="s">
        <v>1817</v>
      </c>
      <c r="T521" s="28" t="s">
        <v>1818</v>
      </c>
      <c r="U521" s="24" t="s">
        <v>47</v>
      </c>
      <c r="V521" s="24"/>
      <c r="W521" s="32"/>
      <c r="X521" s="29">
        <v>102.0</v>
      </c>
      <c r="Y521" s="29">
        <v>11.0</v>
      </c>
      <c r="Z521" s="30"/>
      <c r="AA521" s="31"/>
      <c r="AB521" s="31"/>
      <c r="AC521" s="31"/>
      <c r="AD521" s="31"/>
      <c r="AE521" s="31"/>
      <c r="AF521" s="31"/>
      <c r="AG521" s="27" t="str">
        <f t="shared" si="1"/>
        <v>New Logo</v>
      </c>
      <c r="AH521" s="27" t="str">
        <f t="shared" si="5"/>
        <v>Lead</v>
      </c>
      <c r="AI521" s="27" t="str">
        <f t="shared" si="6"/>
        <v>0-200</v>
      </c>
      <c r="AJ521" s="27" t="str">
        <f t="shared" si="7"/>
        <v>0-20</v>
      </c>
    </row>
    <row r="522" ht="15.75" customHeight="1">
      <c r="A522" s="23">
        <f>HYPERLINK("https://app.hubspot.com/contacts/8748051/record/0-3/18970382396", 18970382396)</f>
        <v>18970382396</v>
      </c>
      <c r="B522" s="24" t="s">
        <v>1819</v>
      </c>
      <c r="C522" s="24" t="s">
        <v>1009</v>
      </c>
      <c r="D522" s="25">
        <v>50000.0</v>
      </c>
      <c r="E522" s="24" t="s">
        <v>73</v>
      </c>
      <c r="F522" s="24"/>
      <c r="G522" s="26">
        <v>45411.1812037037</v>
      </c>
      <c r="H522" s="26">
        <v>45596.1808912037</v>
      </c>
      <c r="I522" s="24" t="s">
        <v>40</v>
      </c>
      <c r="J522" s="24" t="s">
        <v>41</v>
      </c>
      <c r="K522" s="24" t="s">
        <v>42</v>
      </c>
      <c r="L522" s="24" t="s">
        <v>43</v>
      </c>
      <c r="M522" s="24" t="s">
        <v>102</v>
      </c>
      <c r="N522" s="27"/>
      <c r="O522" s="27"/>
      <c r="P522" s="24" t="s">
        <v>75</v>
      </c>
      <c r="Q522" s="24"/>
      <c r="R522" s="23">
        <f>HYPERLINK("https://app.hubspot.com/contacts/8748051/record/0-2/13452522550", 13452522550)</f>
        <v>13452522550</v>
      </c>
      <c r="S522" s="24" t="s">
        <v>1820</v>
      </c>
      <c r="T522" s="28" t="s">
        <v>1821</v>
      </c>
      <c r="U522" s="24" t="s">
        <v>47</v>
      </c>
      <c r="V522" s="24"/>
      <c r="W522" s="32"/>
      <c r="X522" s="29">
        <v>241.0</v>
      </c>
      <c r="Y522" s="29">
        <v>53.0</v>
      </c>
      <c r="Z522" s="30"/>
      <c r="AA522" s="31"/>
      <c r="AB522" s="31"/>
      <c r="AC522" s="31"/>
      <c r="AD522" s="31"/>
      <c r="AE522" s="31"/>
      <c r="AF522" s="31"/>
      <c r="AG522" s="27" t="str">
        <f t="shared" si="1"/>
        <v>New Logo</v>
      </c>
      <c r="AH522" s="27" t="str">
        <f t="shared" si="5"/>
        <v>Lead</v>
      </c>
      <c r="AI522" s="27" t="str">
        <f t="shared" si="6"/>
        <v>201-500</v>
      </c>
      <c r="AJ522" s="27" t="str">
        <f t="shared" si="7"/>
        <v>51-100</v>
      </c>
    </row>
    <row r="523" ht="15.75" customHeight="1">
      <c r="A523" s="23">
        <f>HYPERLINK("https://app.hubspot.com/contacts/8748051/record/0-3/18967322425", 18967322425)</f>
        <v>18967322425</v>
      </c>
      <c r="B523" s="24" t="s">
        <v>1822</v>
      </c>
      <c r="C523" s="24" t="s">
        <v>1009</v>
      </c>
      <c r="D523" s="25">
        <v>7920.0</v>
      </c>
      <c r="E523" s="24" t="s">
        <v>73</v>
      </c>
      <c r="F523" s="24"/>
      <c r="G523" s="26">
        <v>45411.0034375</v>
      </c>
      <c r="H523" s="26">
        <v>45594.00299768519</v>
      </c>
      <c r="I523" s="24" t="s">
        <v>40</v>
      </c>
      <c r="J523" s="24" t="s">
        <v>41</v>
      </c>
      <c r="K523" s="24" t="s">
        <v>559</v>
      </c>
      <c r="L523" s="24" t="s">
        <v>560</v>
      </c>
      <c r="M523" s="24" t="s">
        <v>102</v>
      </c>
      <c r="N523" s="24"/>
      <c r="O523" s="24"/>
      <c r="P523" s="24"/>
      <c r="Q523" s="27"/>
      <c r="R523" s="23">
        <f>HYPERLINK("https://app.hubspot.com/contacts/8748051/record/0-2/16066097808", 16066097808)</f>
        <v>16066097808</v>
      </c>
      <c r="S523" s="24" t="s">
        <v>1823</v>
      </c>
      <c r="T523" s="24" t="s">
        <v>1824</v>
      </c>
      <c r="U523" s="24" t="s">
        <v>47</v>
      </c>
      <c r="V523" s="24"/>
      <c r="W523" s="25"/>
      <c r="X523" s="29">
        <v>252.0</v>
      </c>
      <c r="Y523" s="29">
        <v>35.0</v>
      </c>
      <c r="Z523" s="30"/>
      <c r="AA523" s="30"/>
      <c r="AB523" s="31"/>
      <c r="AC523" s="31"/>
      <c r="AD523" s="30"/>
      <c r="AE523" s="30"/>
      <c r="AF523" s="30"/>
      <c r="AG523" s="27" t="str">
        <f t="shared" si="1"/>
        <v>New Logo</v>
      </c>
      <c r="AH523" s="27" t="str">
        <f t="shared" si="5"/>
        <v>Lead</v>
      </c>
      <c r="AI523" s="27" t="str">
        <f t="shared" si="6"/>
        <v>201-500</v>
      </c>
      <c r="AJ523" s="27" t="str">
        <f t="shared" si="7"/>
        <v>21-50</v>
      </c>
    </row>
    <row r="524" ht="15.75" customHeight="1">
      <c r="A524" s="23">
        <f>HYPERLINK("https://app.hubspot.com/contacts/8748051/record/0-3/18967221561", 18967221561)</f>
        <v>18967221561</v>
      </c>
      <c r="B524" s="24" t="s">
        <v>1825</v>
      </c>
      <c r="C524" s="24" t="s">
        <v>1009</v>
      </c>
      <c r="D524" s="25">
        <v>8880.0</v>
      </c>
      <c r="E524" s="24" t="s">
        <v>73</v>
      </c>
      <c r="F524" s="24"/>
      <c r="G524" s="26">
        <v>45411.00082175926</v>
      </c>
      <c r="H524" s="26">
        <v>45594.0002662037</v>
      </c>
      <c r="I524" s="24" t="s">
        <v>40</v>
      </c>
      <c r="J524" s="24" t="s">
        <v>41</v>
      </c>
      <c r="K524" s="24" t="s">
        <v>559</v>
      </c>
      <c r="L524" s="24" t="s">
        <v>560</v>
      </c>
      <c r="M524" s="24"/>
      <c r="N524" s="24"/>
      <c r="O524" s="27"/>
      <c r="P524" s="24" t="s">
        <v>122</v>
      </c>
      <c r="Q524" s="24"/>
      <c r="R524" s="23">
        <f>HYPERLINK("https://app.hubspot.com/contacts/8748051/record/0-2/16065522216", 16065522216)</f>
        <v>16065522216</v>
      </c>
      <c r="S524" s="24" t="s">
        <v>1826</v>
      </c>
      <c r="T524" s="28" t="s">
        <v>1827</v>
      </c>
      <c r="U524" s="24" t="s">
        <v>47</v>
      </c>
      <c r="V524" s="24"/>
      <c r="W524" s="25"/>
      <c r="X524" s="29">
        <v>324.0</v>
      </c>
      <c r="Y524" s="29">
        <v>53.0</v>
      </c>
      <c r="Z524" s="30" t="s">
        <v>108</v>
      </c>
      <c r="AA524" s="30"/>
      <c r="AB524" s="30"/>
      <c r="AC524" s="31"/>
      <c r="AD524" s="30"/>
      <c r="AE524" s="30"/>
      <c r="AF524" s="30"/>
      <c r="AG524" s="27" t="str">
        <f t="shared" si="1"/>
        <v>New Logo</v>
      </c>
      <c r="AH524" s="27" t="str">
        <f t="shared" si="5"/>
        <v>Lead</v>
      </c>
      <c r="AI524" s="27" t="str">
        <f t="shared" si="6"/>
        <v>201-500</v>
      </c>
      <c r="AJ524" s="27" t="str">
        <f t="shared" si="7"/>
        <v>51-100</v>
      </c>
    </row>
    <row r="525" ht="15.75" customHeight="1">
      <c r="A525" s="23">
        <f>HYPERLINK("https://app.hubspot.com/contacts/8748051/record/0-3/18899800123", 18899800123)</f>
        <v>18899800123</v>
      </c>
      <c r="B525" s="24" t="s">
        <v>1828</v>
      </c>
      <c r="C525" s="24" t="s">
        <v>1228</v>
      </c>
      <c r="D525" s="25">
        <v>5400.0</v>
      </c>
      <c r="E525" s="24" t="s">
        <v>92</v>
      </c>
      <c r="F525" s="24" t="s">
        <v>52</v>
      </c>
      <c r="G525" s="26">
        <v>45407.56851851852</v>
      </c>
      <c r="H525" s="26">
        <v>45572.115266203706</v>
      </c>
      <c r="I525" s="24" t="s">
        <v>40</v>
      </c>
      <c r="J525" s="24" t="s">
        <v>41</v>
      </c>
      <c r="K525" s="24" t="s">
        <v>60</v>
      </c>
      <c r="L525" s="24" t="s">
        <v>178</v>
      </c>
      <c r="M525" s="24" t="s">
        <v>102</v>
      </c>
      <c r="N525" s="24" t="s">
        <v>1829</v>
      </c>
      <c r="O525" s="24"/>
      <c r="P525" s="27"/>
      <c r="Q525" s="24"/>
      <c r="R525" s="23">
        <f>HYPERLINK("https://app.hubspot.com/contacts/8748051/record/0-2/8831495001", 8831495001)</f>
        <v>8831495001</v>
      </c>
      <c r="S525" s="24" t="s">
        <v>1830</v>
      </c>
      <c r="T525" s="28" t="s">
        <v>1831</v>
      </c>
      <c r="U525" s="24">
        <v>3.4564763E7</v>
      </c>
      <c r="V525" s="35">
        <v>45938.0</v>
      </c>
      <c r="W525" s="25">
        <v>5400.0</v>
      </c>
      <c r="X525" s="29">
        <v>3544.0</v>
      </c>
      <c r="Y525" s="29">
        <v>342.0</v>
      </c>
      <c r="Z525" s="30"/>
      <c r="AA525" s="30" t="s">
        <v>220</v>
      </c>
      <c r="AB525" s="31"/>
      <c r="AC525" s="31"/>
      <c r="AD525" s="30" t="s">
        <v>1832</v>
      </c>
      <c r="AE525" s="30" t="s">
        <v>1833</v>
      </c>
      <c r="AF525" s="30" t="s">
        <v>211</v>
      </c>
      <c r="AG525" s="27" t="str">
        <f t="shared" si="1"/>
        <v>New Logo</v>
      </c>
      <c r="AH525" s="27" t="str">
        <f t="shared" si="5"/>
        <v>Churn</v>
      </c>
      <c r="AI525" s="27" t="str">
        <f t="shared" si="6"/>
        <v>1001-5000</v>
      </c>
      <c r="AJ525" s="27" t="str">
        <f t="shared" si="7"/>
        <v>101-500</v>
      </c>
    </row>
    <row r="526" ht="15.75" customHeight="1">
      <c r="A526" s="23">
        <f>HYPERLINK("https://app.hubspot.com/contacts/8748051/record/0-3/18895022157", 18895022157)</f>
        <v>18895022157</v>
      </c>
      <c r="B526" s="24" t="s">
        <v>1834</v>
      </c>
      <c r="C526" s="24" t="s">
        <v>1835</v>
      </c>
      <c r="D526" s="25">
        <v>17500.0</v>
      </c>
      <c r="E526" s="24" t="s">
        <v>92</v>
      </c>
      <c r="F526" s="24"/>
      <c r="G526" s="26">
        <v>45407.35533564815</v>
      </c>
      <c r="H526" s="26">
        <v>45170.354363425926</v>
      </c>
      <c r="I526" s="24" t="s">
        <v>40</v>
      </c>
      <c r="J526" s="24" t="s">
        <v>182</v>
      </c>
      <c r="K526" s="24"/>
      <c r="L526" s="24" t="s">
        <v>162</v>
      </c>
      <c r="M526" s="24" t="s">
        <v>44</v>
      </c>
      <c r="N526" s="24" t="s">
        <v>1836</v>
      </c>
      <c r="O526" s="24"/>
      <c r="P526" s="24"/>
      <c r="Q526" s="24"/>
      <c r="R526" s="23">
        <f>HYPERLINK("https://app.hubspot.com/contacts/8748051/record/0-2/6996465316", 6996465316)</f>
        <v>6996465316</v>
      </c>
      <c r="S526" s="24" t="s">
        <v>789</v>
      </c>
      <c r="T526" s="28" t="s">
        <v>790</v>
      </c>
      <c r="U526" s="24" t="s">
        <v>96</v>
      </c>
      <c r="V526" s="24"/>
      <c r="W526" s="25">
        <v>52500.0</v>
      </c>
      <c r="X526" s="29">
        <v>848.0</v>
      </c>
      <c r="Y526" s="29">
        <v>65.0</v>
      </c>
      <c r="Z526" s="30"/>
      <c r="AA526" s="30" t="s">
        <v>220</v>
      </c>
      <c r="AB526" s="30" t="s">
        <v>194</v>
      </c>
      <c r="AC526" s="31"/>
      <c r="AD526" s="30" t="s">
        <v>791</v>
      </c>
      <c r="AE526" s="31"/>
      <c r="AF526" s="30" t="s">
        <v>169</v>
      </c>
      <c r="AG526" s="27" t="str">
        <f t="shared" si="1"/>
        <v>Upsell</v>
      </c>
      <c r="AH526" s="27" t="str">
        <f t="shared" si="5"/>
        <v>Customer</v>
      </c>
      <c r="AI526" s="27" t="str">
        <f t="shared" si="6"/>
        <v>501-1000</v>
      </c>
      <c r="AJ526" s="27" t="str">
        <f t="shared" si="7"/>
        <v>51-100</v>
      </c>
    </row>
    <row r="527" ht="15.75" customHeight="1">
      <c r="A527" s="23">
        <f>HYPERLINK("https://app.hubspot.com/contacts/8748051/record/0-3/18877324962", 18877324962)</f>
        <v>18877324962</v>
      </c>
      <c r="B527" s="24" t="s">
        <v>1837</v>
      </c>
      <c r="C527" s="24" t="s">
        <v>50</v>
      </c>
      <c r="D527" s="25">
        <v>18000.0</v>
      </c>
      <c r="E527" s="24" t="s">
        <v>73</v>
      </c>
      <c r="F527" s="24" t="s">
        <v>52</v>
      </c>
      <c r="G527" s="26">
        <v>45406.6372337963</v>
      </c>
      <c r="H527" s="26">
        <v>45589.63318287037</v>
      </c>
      <c r="I527" s="24" t="s">
        <v>40</v>
      </c>
      <c r="J527" s="24" t="s">
        <v>41</v>
      </c>
      <c r="K527" s="24" t="s">
        <v>1187</v>
      </c>
      <c r="L527" s="24" t="s">
        <v>560</v>
      </c>
      <c r="M527" s="24" t="s">
        <v>44</v>
      </c>
      <c r="N527" s="27"/>
      <c r="O527" s="24"/>
      <c r="P527" s="24" t="s">
        <v>234</v>
      </c>
      <c r="Q527" s="24"/>
      <c r="R527" s="23">
        <f>HYPERLINK("https://app.hubspot.com/contacts/8748051/record/0-2/7242660753", 7242660753)</f>
        <v>7242660753</v>
      </c>
      <c r="S527" s="24" t="s">
        <v>1838</v>
      </c>
      <c r="T527" s="28" t="s">
        <v>1839</v>
      </c>
      <c r="U527" s="24" t="s">
        <v>47</v>
      </c>
      <c r="V527" s="24"/>
      <c r="W527" s="32"/>
      <c r="X527" s="29">
        <v>311.0</v>
      </c>
      <c r="Y527" s="29">
        <v>50.0</v>
      </c>
      <c r="Z527" s="30" t="s">
        <v>71</v>
      </c>
      <c r="AA527" s="31"/>
      <c r="AB527" s="31"/>
      <c r="AC527" s="31"/>
      <c r="AD527" s="31"/>
      <c r="AE527" s="31"/>
      <c r="AF527" s="31"/>
      <c r="AG527" s="27" t="str">
        <f t="shared" si="1"/>
        <v>New Logo</v>
      </c>
      <c r="AH527" s="27" t="str">
        <f t="shared" si="5"/>
        <v>Lead</v>
      </c>
      <c r="AI527" s="27" t="str">
        <f t="shared" si="6"/>
        <v>201-500</v>
      </c>
      <c r="AJ527" s="27" t="str">
        <f t="shared" si="7"/>
        <v>21-50</v>
      </c>
    </row>
    <row r="528" ht="15.75" customHeight="1">
      <c r="A528" s="23">
        <f>HYPERLINK("https://app.hubspot.com/contacts/8748051/record/0-3/18874796404", 18874796404)</f>
        <v>18874796404</v>
      </c>
      <c r="B528" s="24" t="s">
        <v>1840</v>
      </c>
      <c r="C528" s="24" t="s">
        <v>50</v>
      </c>
      <c r="D528" s="25">
        <v>5280.0</v>
      </c>
      <c r="E528" s="24" t="s">
        <v>73</v>
      </c>
      <c r="F528" s="24"/>
      <c r="G528" s="26">
        <v>45406.59761574074</v>
      </c>
      <c r="H528" s="26">
        <v>45589.596817129626</v>
      </c>
      <c r="I528" s="24" t="s">
        <v>40</v>
      </c>
      <c r="J528" s="24" t="s">
        <v>41</v>
      </c>
      <c r="K528" s="24" t="s">
        <v>1187</v>
      </c>
      <c r="L528" s="24" t="s">
        <v>560</v>
      </c>
      <c r="M528" s="24" t="s">
        <v>44</v>
      </c>
      <c r="N528" s="27"/>
      <c r="O528" s="27"/>
      <c r="P528" s="24"/>
      <c r="Q528" s="24"/>
      <c r="R528" s="23">
        <f>HYPERLINK("https://app.hubspot.com/contacts/8748051/record/0-2/19176639378", 19176639378)</f>
        <v>19176639378</v>
      </c>
      <c r="S528" s="24" t="s">
        <v>1841</v>
      </c>
      <c r="T528" s="28" t="s">
        <v>1842</v>
      </c>
      <c r="U528" s="24" t="s">
        <v>47</v>
      </c>
      <c r="V528" s="24"/>
      <c r="W528" s="32"/>
      <c r="X528" s="29">
        <v>116.0</v>
      </c>
      <c r="Y528" s="29">
        <v>15.0</v>
      </c>
      <c r="Z528" s="30"/>
      <c r="AA528" s="31"/>
      <c r="AB528" s="31"/>
      <c r="AC528" s="31"/>
      <c r="AD528" s="31"/>
      <c r="AE528" s="31"/>
      <c r="AF528" s="31"/>
      <c r="AG528" s="27" t="str">
        <f t="shared" si="1"/>
        <v>New Logo</v>
      </c>
      <c r="AH528" s="27" t="str">
        <f t="shared" si="5"/>
        <v>Lead</v>
      </c>
      <c r="AI528" s="27" t="str">
        <f t="shared" si="6"/>
        <v>0-200</v>
      </c>
      <c r="AJ528" s="27" t="str">
        <f t="shared" si="7"/>
        <v>0-20</v>
      </c>
    </row>
    <row r="529" ht="15.75" customHeight="1">
      <c r="A529" s="23">
        <f>HYPERLINK("https://app.hubspot.com/contacts/8748051/record/0-3/18820879654", 18820879654)</f>
        <v>18820879654</v>
      </c>
      <c r="B529" s="24" t="s">
        <v>1843</v>
      </c>
      <c r="C529" s="24" t="s">
        <v>38</v>
      </c>
      <c r="D529" s="25">
        <v>21600.0</v>
      </c>
      <c r="E529" s="24" t="s">
        <v>127</v>
      </c>
      <c r="F529" s="24" t="s">
        <v>52</v>
      </c>
      <c r="G529" s="26">
        <v>45404.40045138889</v>
      </c>
      <c r="H529" s="26">
        <v>45657.546689814815</v>
      </c>
      <c r="I529" s="24" t="s">
        <v>40</v>
      </c>
      <c r="J529" s="24" t="s">
        <v>53</v>
      </c>
      <c r="K529" s="24" t="s">
        <v>1187</v>
      </c>
      <c r="L529" s="24" t="s">
        <v>560</v>
      </c>
      <c r="M529" s="24" t="s">
        <v>44</v>
      </c>
      <c r="N529" s="27"/>
      <c r="O529" s="24"/>
      <c r="P529" s="24"/>
      <c r="Q529" s="24" t="s">
        <v>128</v>
      </c>
      <c r="R529" s="23">
        <f>HYPERLINK("https://app.hubspot.com/contacts/8748051/record/0-2/7673856018", 7673856018)</f>
        <v>7673856018</v>
      </c>
      <c r="S529" s="24" t="s">
        <v>1844</v>
      </c>
      <c r="T529" s="28" t="s">
        <v>1845</v>
      </c>
      <c r="U529" s="24" t="s">
        <v>47</v>
      </c>
      <c r="V529" s="24"/>
      <c r="W529" s="32"/>
      <c r="X529" s="29">
        <v>641.0</v>
      </c>
      <c r="Y529" s="29">
        <v>179.0</v>
      </c>
      <c r="Z529" s="30" t="s">
        <v>56</v>
      </c>
      <c r="AA529" s="31"/>
      <c r="AB529" s="31"/>
      <c r="AC529" s="31"/>
      <c r="AD529" s="31"/>
      <c r="AE529" s="31"/>
      <c r="AF529" s="31"/>
      <c r="AG529" s="27" t="str">
        <f t="shared" si="1"/>
        <v>New Logo</v>
      </c>
      <c r="AH529" s="27" t="str">
        <f t="shared" si="5"/>
        <v>Lead</v>
      </c>
      <c r="AI529" s="27" t="str">
        <f t="shared" si="6"/>
        <v>501-1000</v>
      </c>
      <c r="AJ529" s="27" t="str">
        <f t="shared" si="7"/>
        <v>101-500</v>
      </c>
    </row>
    <row r="530" ht="15.75" customHeight="1">
      <c r="A530" s="23">
        <f>HYPERLINK("https://app.hubspot.com/contacts/8748051/record/0-3/18815495849", 18815495849)</f>
        <v>18815495849</v>
      </c>
      <c r="B530" s="24" t="s">
        <v>1846</v>
      </c>
      <c r="C530" s="24" t="s">
        <v>1009</v>
      </c>
      <c r="D530" s="25">
        <v>5760.0</v>
      </c>
      <c r="E530" s="24" t="s">
        <v>73</v>
      </c>
      <c r="F530" s="24"/>
      <c r="G530" s="26">
        <v>45404.039664351854</v>
      </c>
      <c r="H530" s="26">
        <v>45587.039247685185</v>
      </c>
      <c r="I530" s="24" t="s">
        <v>40</v>
      </c>
      <c r="J530" s="24" t="s">
        <v>41</v>
      </c>
      <c r="K530" s="24" t="s">
        <v>559</v>
      </c>
      <c r="L530" s="24" t="s">
        <v>560</v>
      </c>
      <c r="M530" s="24" t="s">
        <v>44</v>
      </c>
      <c r="N530" s="27"/>
      <c r="O530" s="27"/>
      <c r="P530" s="24" t="s">
        <v>213</v>
      </c>
      <c r="Q530" s="24"/>
      <c r="R530" s="23">
        <f>HYPERLINK("https://app.hubspot.com/contacts/8748051/record/0-2/6936374888", 6936374888)</f>
        <v>6936374888</v>
      </c>
      <c r="S530" s="24" t="s">
        <v>1847</v>
      </c>
      <c r="T530" s="28" t="s">
        <v>1848</v>
      </c>
      <c r="U530" s="24" t="s">
        <v>47</v>
      </c>
      <c r="V530" s="24"/>
      <c r="W530" s="32"/>
      <c r="X530" s="29">
        <v>224.0</v>
      </c>
      <c r="Y530" s="29">
        <v>51.0</v>
      </c>
      <c r="Z530" s="30" t="s">
        <v>108</v>
      </c>
      <c r="AA530" s="31"/>
      <c r="AB530" s="31"/>
      <c r="AC530" s="31"/>
      <c r="AD530" s="31"/>
      <c r="AE530" s="31"/>
      <c r="AF530" s="31"/>
      <c r="AG530" s="27" t="str">
        <f t="shared" si="1"/>
        <v>New Logo</v>
      </c>
      <c r="AH530" s="27" t="str">
        <f t="shared" si="5"/>
        <v>Lead</v>
      </c>
      <c r="AI530" s="27" t="str">
        <f t="shared" si="6"/>
        <v>201-500</v>
      </c>
      <c r="AJ530" s="27" t="str">
        <f t="shared" si="7"/>
        <v>51-100</v>
      </c>
    </row>
    <row r="531" ht="15.75" customHeight="1">
      <c r="A531" s="23">
        <f>HYPERLINK("https://app.hubspot.com/contacts/8748051/record/0-3/18730838812", 18730838812)</f>
        <v>18730838812</v>
      </c>
      <c r="B531" s="24" t="s">
        <v>1849</v>
      </c>
      <c r="C531" s="24" t="s">
        <v>1009</v>
      </c>
      <c r="D531" s="25">
        <v>4560.0</v>
      </c>
      <c r="E531" s="24" t="s">
        <v>127</v>
      </c>
      <c r="F531" s="24" t="s">
        <v>52</v>
      </c>
      <c r="G531" s="26">
        <v>45400.43866898148</v>
      </c>
      <c r="H531" s="26">
        <v>45583.43827546296</v>
      </c>
      <c r="I531" s="24" t="s">
        <v>40</v>
      </c>
      <c r="J531" s="24" t="s">
        <v>41</v>
      </c>
      <c r="K531" s="24" t="s">
        <v>42</v>
      </c>
      <c r="L531" s="24" t="s">
        <v>43</v>
      </c>
      <c r="M531" s="24" t="s">
        <v>44</v>
      </c>
      <c r="N531" s="27"/>
      <c r="O531" s="27"/>
      <c r="P531" s="24"/>
      <c r="Q531" s="24" t="s">
        <v>144</v>
      </c>
      <c r="R531" s="23">
        <f>HYPERLINK("https://app.hubspot.com/contacts/8748051/record/0-2/20334216210", 20334216210)</f>
        <v>20334216210</v>
      </c>
      <c r="S531" s="24" t="s">
        <v>1850</v>
      </c>
      <c r="T531" s="28" t="s">
        <v>1851</v>
      </c>
      <c r="U531" s="24" t="s">
        <v>47</v>
      </c>
      <c r="V531" s="24"/>
      <c r="W531" s="32"/>
      <c r="X531" s="29">
        <v>724.0</v>
      </c>
      <c r="Y531" s="29">
        <v>43.0</v>
      </c>
      <c r="Z531" s="30" t="s">
        <v>108</v>
      </c>
      <c r="AA531" s="31"/>
      <c r="AB531" s="31"/>
      <c r="AC531" s="31"/>
      <c r="AD531" s="31"/>
      <c r="AE531" s="31"/>
      <c r="AF531" s="31"/>
      <c r="AG531" s="27" t="str">
        <f t="shared" si="1"/>
        <v>New Logo</v>
      </c>
      <c r="AH531" s="27" t="str">
        <f t="shared" si="5"/>
        <v>Lead</v>
      </c>
      <c r="AI531" s="27" t="str">
        <f t="shared" si="6"/>
        <v>501-1000</v>
      </c>
      <c r="AJ531" s="27" t="str">
        <f t="shared" si="7"/>
        <v>21-50</v>
      </c>
    </row>
    <row r="532" ht="15.75" customHeight="1">
      <c r="A532" s="23">
        <f>HYPERLINK("https://app.hubspot.com/contacts/8748051/record/0-3/18729240990", 18729240990)</f>
        <v>18729240990</v>
      </c>
      <c r="B532" s="24" t="s">
        <v>1852</v>
      </c>
      <c r="C532" s="24" t="s">
        <v>50</v>
      </c>
      <c r="D532" s="25">
        <v>4560.0</v>
      </c>
      <c r="E532" s="24" t="s">
        <v>73</v>
      </c>
      <c r="F532" s="24"/>
      <c r="G532" s="26">
        <v>45400.37943287037</v>
      </c>
      <c r="H532" s="26">
        <v>45583.37914351852</v>
      </c>
      <c r="I532" s="24" t="s">
        <v>40</v>
      </c>
      <c r="J532" s="24" t="s">
        <v>41</v>
      </c>
      <c r="K532" s="24" t="s">
        <v>1187</v>
      </c>
      <c r="L532" s="24" t="s">
        <v>178</v>
      </c>
      <c r="M532" s="24" t="s">
        <v>44</v>
      </c>
      <c r="N532" s="27"/>
      <c r="O532" s="24"/>
      <c r="P532" s="24"/>
      <c r="Q532" s="27"/>
      <c r="R532" s="23">
        <f>HYPERLINK("https://app.hubspot.com/contacts/8748051/record/0-2/18832134671", 18832134671)</f>
        <v>18832134671</v>
      </c>
      <c r="S532" s="24" t="s">
        <v>1853</v>
      </c>
      <c r="T532" s="28" t="s">
        <v>1854</v>
      </c>
      <c r="U532" s="24" t="s">
        <v>47</v>
      </c>
      <c r="V532" s="24"/>
      <c r="W532" s="32"/>
      <c r="X532" s="29">
        <v>203.0</v>
      </c>
      <c r="Y532" s="29">
        <v>29.0</v>
      </c>
      <c r="Z532" s="30"/>
      <c r="AA532" s="31"/>
      <c r="AB532" s="31"/>
      <c r="AC532" s="31"/>
      <c r="AD532" s="31"/>
      <c r="AE532" s="31"/>
      <c r="AF532" s="31"/>
      <c r="AG532" s="27" t="str">
        <f t="shared" si="1"/>
        <v>New Logo</v>
      </c>
      <c r="AH532" s="27" t="str">
        <f t="shared" si="5"/>
        <v>Lead</v>
      </c>
      <c r="AI532" s="27" t="str">
        <f t="shared" si="6"/>
        <v>201-500</v>
      </c>
      <c r="AJ532" s="27" t="str">
        <f t="shared" si="7"/>
        <v>21-50</v>
      </c>
    </row>
    <row r="533" ht="15.75" customHeight="1">
      <c r="A533" s="23">
        <f>HYPERLINK("https://app.hubspot.com/contacts/8748051/record/0-3/18729245276", 18729245276)</f>
        <v>18729245276</v>
      </c>
      <c r="B533" s="24" t="s">
        <v>1855</v>
      </c>
      <c r="C533" s="24" t="s">
        <v>50</v>
      </c>
      <c r="D533" s="25">
        <v>14640.0</v>
      </c>
      <c r="E533" s="24" t="s">
        <v>73</v>
      </c>
      <c r="F533" s="24"/>
      <c r="G533" s="26">
        <v>45400.37872685185</v>
      </c>
      <c r="H533" s="26">
        <v>45583.37836805556</v>
      </c>
      <c r="I533" s="24" t="s">
        <v>40</v>
      </c>
      <c r="J533" s="24" t="s">
        <v>41</v>
      </c>
      <c r="K533" s="24" t="s">
        <v>1187</v>
      </c>
      <c r="L533" s="24" t="s">
        <v>560</v>
      </c>
      <c r="M533" s="24" t="s">
        <v>44</v>
      </c>
      <c r="N533" s="27"/>
      <c r="O533" s="24"/>
      <c r="P533" s="24"/>
      <c r="Q533" s="24"/>
      <c r="R533" s="23">
        <f>HYPERLINK("https://app.hubspot.com/contacts/8748051/record/0-2/8929939120", 8929939120)</f>
        <v>8929939120</v>
      </c>
      <c r="S533" s="24" t="s">
        <v>1856</v>
      </c>
      <c r="T533" s="28" t="s">
        <v>1857</v>
      </c>
      <c r="U533" s="24" t="s">
        <v>47</v>
      </c>
      <c r="V533" s="24"/>
      <c r="W533" s="32"/>
      <c r="X533" s="29">
        <v>411.0</v>
      </c>
      <c r="Y533" s="29">
        <v>31.0</v>
      </c>
      <c r="Z533" s="30" t="s">
        <v>108</v>
      </c>
      <c r="AA533" s="31"/>
      <c r="AB533" s="31"/>
      <c r="AC533" s="31"/>
      <c r="AD533" s="31"/>
      <c r="AE533" s="31"/>
      <c r="AF533" s="31"/>
      <c r="AG533" s="27" t="str">
        <f t="shared" si="1"/>
        <v>New Logo</v>
      </c>
      <c r="AH533" s="27" t="str">
        <f t="shared" si="5"/>
        <v>Lead</v>
      </c>
      <c r="AI533" s="27" t="str">
        <f t="shared" si="6"/>
        <v>201-500</v>
      </c>
      <c r="AJ533" s="27" t="str">
        <f t="shared" si="7"/>
        <v>21-50</v>
      </c>
    </row>
    <row r="534" ht="15.75" customHeight="1">
      <c r="A534" s="23">
        <f>HYPERLINK("https://app.hubspot.com/contacts/8748051/record/0-3/18729240670", 18729240670)</f>
        <v>18729240670</v>
      </c>
      <c r="B534" s="24" t="s">
        <v>1858</v>
      </c>
      <c r="C534" s="24" t="s">
        <v>148</v>
      </c>
      <c r="D534" s="25">
        <v>7440.0</v>
      </c>
      <c r="E534" s="24" t="s">
        <v>73</v>
      </c>
      <c r="F534" s="24"/>
      <c r="G534" s="26">
        <v>45400.37782407407</v>
      </c>
      <c r="H534" s="26">
        <v>45583.37732638889</v>
      </c>
      <c r="I534" s="24" t="s">
        <v>40</v>
      </c>
      <c r="J534" s="24" t="s">
        <v>41</v>
      </c>
      <c r="K534" s="24" t="s">
        <v>1187</v>
      </c>
      <c r="L534" s="24" t="s">
        <v>178</v>
      </c>
      <c r="M534" s="24" t="s">
        <v>44</v>
      </c>
      <c r="N534" s="24"/>
      <c r="O534" s="27"/>
      <c r="P534" s="24"/>
      <c r="Q534" s="24"/>
      <c r="R534" s="23">
        <f>HYPERLINK("https://app.hubspot.com/contacts/8748051/record/0-2/7786743127", 7786743127)</f>
        <v>7786743127</v>
      </c>
      <c r="S534" s="24" t="s">
        <v>1859</v>
      </c>
      <c r="T534" s="28" t="s">
        <v>1860</v>
      </c>
      <c r="U534" s="24" t="s">
        <v>47</v>
      </c>
      <c r="V534" s="24"/>
      <c r="W534" s="25"/>
      <c r="X534" s="29">
        <v>301.0</v>
      </c>
      <c r="Y534" s="29">
        <v>21.0</v>
      </c>
      <c r="Z534" s="30" t="s">
        <v>1741</v>
      </c>
      <c r="AA534" s="30"/>
      <c r="AB534" s="30"/>
      <c r="AC534" s="31"/>
      <c r="AD534" s="30"/>
      <c r="AE534" s="30"/>
      <c r="AF534" s="30"/>
      <c r="AG534" s="27" t="str">
        <f t="shared" si="1"/>
        <v>New Logo</v>
      </c>
      <c r="AH534" s="27" t="str">
        <f t="shared" si="5"/>
        <v>Lead</v>
      </c>
      <c r="AI534" s="27" t="str">
        <f t="shared" si="6"/>
        <v>201-500</v>
      </c>
      <c r="AJ534" s="27" t="str">
        <f t="shared" si="7"/>
        <v>21-50</v>
      </c>
    </row>
    <row r="535" ht="15.75" customHeight="1">
      <c r="A535" s="23">
        <f>HYPERLINK("https://app.hubspot.com/contacts/8748051/record/0-3/18721169187", 18721169187)</f>
        <v>18721169187</v>
      </c>
      <c r="B535" s="24" t="s">
        <v>1861</v>
      </c>
      <c r="C535" s="24" t="s">
        <v>50</v>
      </c>
      <c r="D535" s="25">
        <v>10000.0</v>
      </c>
      <c r="E535" s="24" t="s">
        <v>127</v>
      </c>
      <c r="F535" s="24" t="s">
        <v>52</v>
      </c>
      <c r="G535" s="26">
        <v>45400.07864583333</v>
      </c>
      <c r="H535" s="26">
        <v>45583.34005787037</v>
      </c>
      <c r="I535" s="24" t="s">
        <v>40</v>
      </c>
      <c r="J535" s="24" t="s">
        <v>41</v>
      </c>
      <c r="K535" s="24" t="s">
        <v>559</v>
      </c>
      <c r="L535" s="24" t="s">
        <v>560</v>
      </c>
      <c r="M535" s="24" t="s">
        <v>74</v>
      </c>
      <c r="N535" s="27"/>
      <c r="O535" s="27"/>
      <c r="P535" s="24"/>
      <c r="Q535" s="24" t="s">
        <v>144</v>
      </c>
      <c r="R535" s="23">
        <f>HYPERLINK("https://app.hubspot.com/contacts/8748051/record/0-2/9238284430", 9238284430)</f>
        <v>9238284430</v>
      </c>
      <c r="S535" s="24" t="s">
        <v>1862</v>
      </c>
      <c r="T535" s="28" t="s">
        <v>1863</v>
      </c>
      <c r="U535" s="24" t="s">
        <v>47</v>
      </c>
      <c r="V535" s="24"/>
      <c r="W535" s="32"/>
      <c r="X535" s="29">
        <v>131.0</v>
      </c>
      <c r="Y535" s="29">
        <v>20.0</v>
      </c>
      <c r="Z535" s="30"/>
      <c r="AA535" s="31"/>
      <c r="AB535" s="31"/>
      <c r="AC535" s="31"/>
      <c r="AD535" s="31"/>
      <c r="AE535" s="31"/>
      <c r="AF535" s="31"/>
      <c r="AG535" s="27" t="str">
        <f t="shared" si="1"/>
        <v>New Logo</v>
      </c>
      <c r="AH535" s="27" t="str">
        <f t="shared" si="5"/>
        <v>Lead</v>
      </c>
      <c r="AI535" s="27" t="str">
        <f t="shared" si="6"/>
        <v>0-200</v>
      </c>
      <c r="AJ535" s="27" t="str">
        <f t="shared" si="7"/>
        <v>0-20</v>
      </c>
    </row>
    <row r="536" ht="15.75" customHeight="1">
      <c r="A536" s="23">
        <f>HYPERLINK("https://app.hubspot.com/contacts/8748051/record/0-3/18712204348", 18712204348)</f>
        <v>18712204348</v>
      </c>
      <c r="B536" s="24" t="s">
        <v>1864</v>
      </c>
      <c r="C536" s="24" t="s">
        <v>50</v>
      </c>
      <c r="D536" s="25">
        <v>5760.0</v>
      </c>
      <c r="E536" s="24" t="s">
        <v>73</v>
      </c>
      <c r="F536" s="24"/>
      <c r="G536" s="26">
        <v>45399.71795138889</v>
      </c>
      <c r="H536" s="26">
        <v>45582.717627314814</v>
      </c>
      <c r="I536" s="24" t="s">
        <v>40</v>
      </c>
      <c r="J536" s="24" t="s">
        <v>41</v>
      </c>
      <c r="K536" s="24" t="s">
        <v>1187</v>
      </c>
      <c r="L536" s="24" t="s">
        <v>560</v>
      </c>
      <c r="M536" s="24" t="s">
        <v>44</v>
      </c>
      <c r="N536" s="24"/>
      <c r="O536" s="24"/>
      <c r="P536" s="24"/>
      <c r="Q536" s="24"/>
      <c r="R536" s="23">
        <f>HYPERLINK("https://app.hubspot.com/contacts/8748051/record/0-2/7398503445", 7398503445)</f>
        <v>7398503445</v>
      </c>
      <c r="S536" s="24" t="s">
        <v>1865</v>
      </c>
      <c r="T536" s="28" t="s">
        <v>1866</v>
      </c>
      <c r="U536" s="24" t="s">
        <v>47</v>
      </c>
      <c r="V536" s="24"/>
      <c r="W536" s="25"/>
      <c r="X536" s="29">
        <v>158.0</v>
      </c>
      <c r="Y536" s="29">
        <v>20.0</v>
      </c>
      <c r="Z536" s="30" t="s">
        <v>71</v>
      </c>
      <c r="AA536" s="30"/>
      <c r="AB536" s="30"/>
      <c r="AC536" s="30"/>
      <c r="AD536" s="30"/>
      <c r="AE536" s="30"/>
      <c r="AF536" s="30"/>
      <c r="AG536" s="27" t="str">
        <f t="shared" si="1"/>
        <v>New Logo</v>
      </c>
      <c r="AH536" s="27" t="str">
        <f t="shared" si="5"/>
        <v>Lead</v>
      </c>
      <c r="AI536" s="27" t="str">
        <f t="shared" si="6"/>
        <v>0-200</v>
      </c>
      <c r="AJ536" s="27" t="str">
        <f t="shared" si="7"/>
        <v>0-20</v>
      </c>
    </row>
    <row r="537" ht="15.75" customHeight="1">
      <c r="A537" s="23">
        <f>HYPERLINK("https://app.hubspot.com/contacts/8748051/record/0-3/18712204201", 18712204201)</f>
        <v>18712204201</v>
      </c>
      <c r="B537" s="24" t="s">
        <v>1867</v>
      </c>
      <c r="C537" s="24" t="s">
        <v>1009</v>
      </c>
      <c r="D537" s="25">
        <v>50000.0</v>
      </c>
      <c r="E537" s="24" t="s">
        <v>127</v>
      </c>
      <c r="F537" s="24" t="s">
        <v>52</v>
      </c>
      <c r="G537" s="26">
        <v>45399.71724537037</v>
      </c>
      <c r="H537" s="26">
        <v>45582.71695601852</v>
      </c>
      <c r="I537" s="24" t="s">
        <v>40</v>
      </c>
      <c r="J537" s="24" t="s">
        <v>41</v>
      </c>
      <c r="K537" s="24" t="s">
        <v>1187</v>
      </c>
      <c r="L537" s="24" t="s">
        <v>178</v>
      </c>
      <c r="M537" s="24" t="s">
        <v>44</v>
      </c>
      <c r="N537" s="27"/>
      <c r="O537" s="24"/>
      <c r="P537" s="24"/>
      <c r="Q537" s="24" t="s">
        <v>197</v>
      </c>
      <c r="R537" s="23">
        <f>HYPERLINK("https://app.hubspot.com/contacts/8748051/record/0-2/7945192759", 7945192759)</f>
        <v>7945192759</v>
      </c>
      <c r="S537" s="24" t="s">
        <v>1868</v>
      </c>
      <c r="T537" s="28" t="s">
        <v>1869</v>
      </c>
      <c r="U537" s="24" t="s">
        <v>47</v>
      </c>
      <c r="V537" s="24"/>
      <c r="W537" s="25"/>
      <c r="X537" s="29">
        <v>451.0</v>
      </c>
      <c r="Y537" s="29">
        <v>95.0</v>
      </c>
      <c r="Z537" s="30" t="s">
        <v>56</v>
      </c>
      <c r="AA537" s="30"/>
      <c r="AB537" s="31"/>
      <c r="AC537" s="30"/>
      <c r="AD537" s="30"/>
      <c r="AE537" s="31"/>
      <c r="AF537" s="30"/>
      <c r="AG537" s="27" t="str">
        <f t="shared" si="1"/>
        <v>New Logo</v>
      </c>
      <c r="AH537" s="27" t="str">
        <f t="shared" si="5"/>
        <v>Lead</v>
      </c>
      <c r="AI537" s="27" t="str">
        <f t="shared" si="6"/>
        <v>201-500</v>
      </c>
      <c r="AJ537" s="27" t="str">
        <f t="shared" si="7"/>
        <v>51-100</v>
      </c>
    </row>
    <row r="538" ht="15.75" customHeight="1">
      <c r="A538" s="23">
        <f>HYPERLINK("https://app.hubspot.com/contacts/8748051/record/0-3/18712203603", 18712203603)</f>
        <v>18712203603</v>
      </c>
      <c r="B538" s="24" t="s">
        <v>1870</v>
      </c>
      <c r="C538" s="24" t="s">
        <v>50</v>
      </c>
      <c r="D538" s="25">
        <v>62880.0</v>
      </c>
      <c r="E538" s="24" t="s">
        <v>73</v>
      </c>
      <c r="F538" s="24"/>
      <c r="G538" s="26">
        <v>45399.71368055556</v>
      </c>
      <c r="H538" s="26">
        <v>45747.47</v>
      </c>
      <c r="I538" s="24" t="s">
        <v>40</v>
      </c>
      <c r="J538" s="24" t="s">
        <v>41</v>
      </c>
      <c r="K538" s="24" t="s">
        <v>1187</v>
      </c>
      <c r="L538" s="24" t="s">
        <v>560</v>
      </c>
      <c r="M538" s="24" t="s">
        <v>44</v>
      </c>
      <c r="N538" s="27"/>
      <c r="O538" s="27"/>
      <c r="P538" s="24" t="s">
        <v>213</v>
      </c>
      <c r="Q538" s="24"/>
      <c r="R538" s="23">
        <f>HYPERLINK("https://app.hubspot.com/contacts/8748051/record/0-2/9238284404", 9238284404)</f>
        <v>9238284404</v>
      </c>
      <c r="S538" s="24" t="s">
        <v>1871</v>
      </c>
      <c r="T538" s="28" t="s">
        <v>1872</v>
      </c>
      <c r="U538" s="24" t="s">
        <v>47</v>
      </c>
      <c r="V538" s="24"/>
      <c r="W538" s="32"/>
      <c r="X538" s="29">
        <v>1554.0</v>
      </c>
      <c r="Y538" s="29">
        <v>226.0</v>
      </c>
      <c r="Z538" s="30" t="s">
        <v>56</v>
      </c>
      <c r="AA538" s="31"/>
      <c r="AB538" s="31"/>
      <c r="AC538" s="31"/>
      <c r="AD538" s="31"/>
      <c r="AE538" s="31"/>
      <c r="AF538" s="31"/>
      <c r="AG538" s="27" t="str">
        <f t="shared" si="1"/>
        <v>New Logo</v>
      </c>
      <c r="AH538" s="27" t="str">
        <f t="shared" si="5"/>
        <v>Lead</v>
      </c>
      <c r="AI538" s="27" t="str">
        <f t="shared" si="6"/>
        <v>1001-5000</v>
      </c>
      <c r="AJ538" s="27" t="str">
        <f t="shared" si="7"/>
        <v>101-500</v>
      </c>
    </row>
    <row r="539" ht="15.75" customHeight="1">
      <c r="A539" s="23">
        <f>HYPERLINK("https://app.hubspot.com/contacts/8748051/record/0-3/18712203395", 18712203395)</f>
        <v>18712203395</v>
      </c>
      <c r="B539" s="24" t="s">
        <v>765</v>
      </c>
      <c r="C539" s="24" t="s">
        <v>50</v>
      </c>
      <c r="D539" s="25">
        <v>10560.0</v>
      </c>
      <c r="E539" s="24" t="s">
        <v>73</v>
      </c>
      <c r="F539" s="24"/>
      <c r="G539" s="26">
        <v>45399.71273148148</v>
      </c>
      <c r="H539" s="26">
        <v>45582.709861111114</v>
      </c>
      <c r="I539" s="24" t="s">
        <v>40</v>
      </c>
      <c r="J539" s="24" t="s">
        <v>41</v>
      </c>
      <c r="K539" s="24" t="s">
        <v>559</v>
      </c>
      <c r="L539" s="24" t="s">
        <v>560</v>
      </c>
      <c r="M539" s="24" t="s">
        <v>44</v>
      </c>
      <c r="N539" s="27"/>
      <c r="O539" s="27"/>
      <c r="P539" s="24"/>
      <c r="Q539" s="24"/>
      <c r="R539" s="23">
        <f>HYPERLINK("https://app.hubspot.com/contacts/8748051/record/0-2/10198110024", 10198110024)</f>
        <v>10198110024</v>
      </c>
      <c r="S539" s="24" t="s">
        <v>766</v>
      </c>
      <c r="T539" s="28" t="s">
        <v>767</v>
      </c>
      <c r="U539" s="24" t="s">
        <v>47</v>
      </c>
      <c r="V539" s="24"/>
      <c r="W539" s="32"/>
      <c r="X539" s="29">
        <v>771.0</v>
      </c>
      <c r="Y539" s="29">
        <v>52.0</v>
      </c>
      <c r="Z539" s="30" t="s">
        <v>125</v>
      </c>
      <c r="AA539" s="31"/>
      <c r="AB539" s="31"/>
      <c r="AC539" s="31"/>
      <c r="AD539" s="31"/>
      <c r="AE539" s="31"/>
      <c r="AF539" s="31"/>
      <c r="AG539" s="27" t="str">
        <f t="shared" si="1"/>
        <v>New Logo</v>
      </c>
      <c r="AH539" s="27" t="str">
        <f t="shared" si="5"/>
        <v>Lead</v>
      </c>
      <c r="AI539" s="27" t="str">
        <f t="shared" si="6"/>
        <v>501-1000</v>
      </c>
      <c r="AJ539" s="27" t="str">
        <f t="shared" si="7"/>
        <v>51-100</v>
      </c>
    </row>
    <row r="540" ht="15.75" customHeight="1">
      <c r="A540" s="23">
        <f>HYPERLINK("https://app.hubspot.com/contacts/8748051/record/0-3/18710066546", 18710066546)</f>
        <v>18710066546</v>
      </c>
      <c r="B540" s="24" t="s">
        <v>1873</v>
      </c>
      <c r="C540" s="24" t="s">
        <v>50</v>
      </c>
      <c r="D540" s="25">
        <v>10080.0</v>
      </c>
      <c r="E540" s="24" t="s">
        <v>127</v>
      </c>
      <c r="F540" s="24" t="s">
        <v>52</v>
      </c>
      <c r="G540" s="26">
        <v>45399.65902777778</v>
      </c>
      <c r="H540" s="26">
        <v>45747.63613425926</v>
      </c>
      <c r="I540" s="24" t="s">
        <v>40</v>
      </c>
      <c r="J540" s="24" t="s">
        <v>53</v>
      </c>
      <c r="K540" s="24" t="s">
        <v>60</v>
      </c>
      <c r="L540" s="24" t="s">
        <v>183</v>
      </c>
      <c r="M540" s="24" t="s">
        <v>44</v>
      </c>
      <c r="N540" s="27"/>
      <c r="O540" s="27"/>
      <c r="P540" s="24"/>
      <c r="Q540" s="24" t="s">
        <v>144</v>
      </c>
      <c r="R540" s="23">
        <f>HYPERLINK("https://app.hubspot.com/contacts/8748051/record/0-2/8920383258", 8920383258)</f>
        <v>8920383258</v>
      </c>
      <c r="S540" s="24" t="s">
        <v>1874</v>
      </c>
      <c r="T540" s="28" t="s">
        <v>1875</v>
      </c>
      <c r="U540" s="24" t="s">
        <v>47</v>
      </c>
      <c r="V540" s="24"/>
      <c r="W540" s="32"/>
      <c r="X540" s="29">
        <v>173.0</v>
      </c>
      <c r="Y540" s="29">
        <v>17.0</v>
      </c>
      <c r="Z540" s="30"/>
      <c r="AA540" s="31"/>
      <c r="AB540" s="31"/>
      <c r="AC540" s="31"/>
      <c r="AD540" s="31"/>
      <c r="AE540" s="31"/>
      <c r="AF540" s="31"/>
      <c r="AG540" s="27" t="str">
        <f t="shared" si="1"/>
        <v>New Logo</v>
      </c>
      <c r="AH540" s="27" t="str">
        <f t="shared" si="5"/>
        <v>Lead</v>
      </c>
      <c r="AI540" s="27" t="str">
        <f t="shared" si="6"/>
        <v>0-200</v>
      </c>
      <c r="AJ540" s="27" t="str">
        <f t="shared" si="7"/>
        <v>0-20</v>
      </c>
    </row>
    <row r="541" ht="15.75" customHeight="1">
      <c r="A541" s="23">
        <f>HYPERLINK("https://app.hubspot.com/contacts/8748051/record/0-3/18706132882", 18706132882)</f>
        <v>18706132882</v>
      </c>
      <c r="B541" s="24" t="s">
        <v>1876</v>
      </c>
      <c r="C541" s="24" t="s">
        <v>1009</v>
      </c>
      <c r="D541" s="25">
        <v>6480.0</v>
      </c>
      <c r="E541" s="24" t="s">
        <v>73</v>
      </c>
      <c r="F541" s="24"/>
      <c r="G541" s="26">
        <v>45399.47204861111</v>
      </c>
      <c r="H541" s="26">
        <v>45582.46368055556</v>
      </c>
      <c r="I541" s="24" t="s">
        <v>40</v>
      </c>
      <c r="J541" s="24" t="s">
        <v>41</v>
      </c>
      <c r="K541" s="24" t="s">
        <v>559</v>
      </c>
      <c r="L541" s="24" t="s">
        <v>560</v>
      </c>
      <c r="M541" s="24" t="s">
        <v>44</v>
      </c>
      <c r="N541" s="24"/>
      <c r="O541" s="27"/>
      <c r="P541" s="24"/>
      <c r="Q541" s="24"/>
      <c r="R541" s="23">
        <f>HYPERLINK("https://app.hubspot.com/contacts/8748051/record/0-2/7940842543", 7940842543)</f>
        <v>7940842543</v>
      </c>
      <c r="S541" s="24" t="s">
        <v>1877</v>
      </c>
      <c r="T541" s="28" t="s">
        <v>1878</v>
      </c>
      <c r="U541" s="24" t="s">
        <v>47</v>
      </c>
      <c r="V541" s="24"/>
      <c r="W541" s="25"/>
      <c r="X541" s="29">
        <v>479.0</v>
      </c>
      <c r="Y541" s="29">
        <v>24.0</v>
      </c>
      <c r="Z541" s="30"/>
      <c r="AA541" s="30"/>
      <c r="AB541" s="30"/>
      <c r="AC541" s="31"/>
      <c r="AD541" s="30"/>
      <c r="AE541" s="30"/>
      <c r="AF541" s="30"/>
      <c r="AG541" s="27" t="str">
        <f t="shared" si="1"/>
        <v>New Logo</v>
      </c>
      <c r="AH541" s="27" t="str">
        <f t="shared" si="5"/>
        <v>Lead</v>
      </c>
      <c r="AI541" s="27" t="str">
        <f t="shared" si="6"/>
        <v>201-500</v>
      </c>
      <c r="AJ541" s="27" t="str">
        <f t="shared" si="7"/>
        <v>21-50</v>
      </c>
    </row>
    <row r="542" ht="15.75" customHeight="1">
      <c r="A542" s="23">
        <f>HYPERLINK("https://app.hubspot.com/contacts/8748051/record/0-3/18706084360", 18706084360)</f>
        <v>18706084360</v>
      </c>
      <c r="B542" s="24" t="s">
        <v>1879</v>
      </c>
      <c r="C542" s="24" t="s">
        <v>148</v>
      </c>
      <c r="D542" s="25">
        <v>3600.0</v>
      </c>
      <c r="E542" s="24" t="s">
        <v>73</v>
      </c>
      <c r="F542" s="24"/>
      <c r="G542" s="26">
        <v>45399.4615625</v>
      </c>
      <c r="H542" s="26">
        <v>45582.461226851854</v>
      </c>
      <c r="I542" s="24" t="s">
        <v>40</v>
      </c>
      <c r="J542" s="24" t="s">
        <v>41</v>
      </c>
      <c r="K542" s="24" t="s">
        <v>559</v>
      </c>
      <c r="L542" s="24" t="s">
        <v>560</v>
      </c>
      <c r="M542" s="24" t="s">
        <v>44</v>
      </c>
      <c r="N542" s="24"/>
      <c r="O542" s="24"/>
      <c r="P542" s="24" t="s">
        <v>213</v>
      </c>
      <c r="Q542" s="27"/>
      <c r="R542" s="23">
        <f>HYPERLINK("https://app.hubspot.com/contacts/8748051/record/0-2/7648304657", 7648304657)</f>
        <v>7648304657</v>
      </c>
      <c r="S542" s="24" t="s">
        <v>1880</v>
      </c>
      <c r="T542" s="28" t="s">
        <v>1881</v>
      </c>
      <c r="U542" s="24" t="s">
        <v>47</v>
      </c>
      <c r="V542" s="24"/>
      <c r="W542" s="25"/>
      <c r="X542" s="29">
        <v>106.0</v>
      </c>
      <c r="Y542" s="29">
        <v>16.0</v>
      </c>
      <c r="Z542" s="30"/>
      <c r="AA542" s="30"/>
      <c r="AB542" s="30"/>
      <c r="AC542" s="30"/>
      <c r="AD542" s="30"/>
      <c r="AE542" s="30"/>
      <c r="AF542" s="30"/>
      <c r="AG542" s="27" t="str">
        <f t="shared" si="1"/>
        <v>New Logo</v>
      </c>
      <c r="AH542" s="27" t="str">
        <f t="shared" si="5"/>
        <v>Lead</v>
      </c>
      <c r="AI542" s="27" t="str">
        <f t="shared" si="6"/>
        <v>0-200</v>
      </c>
      <c r="AJ542" s="27" t="str">
        <f t="shared" si="7"/>
        <v>0-20</v>
      </c>
    </row>
    <row r="543" ht="15.75" customHeight="1">
      <c r="A543" s="23">
        <f>HYPERLINK("https://app.hubspot.com/contacts/8748051/record/0-3/18682261332", 18682261332)</f>
        <v>18682261332</v>
      </c>
      <c r="B543" s="24" t="s">
        <v>1882</v>
      </c>
      <c r="C543" s="24" t="s">
        <v>1806</v>
      </c>
      <c r="D543" s="25">
        <v>18000.0</v>
      </c>
      <c r="E543" s="24" t="s">
        <v>92</v>
      </c>
      <c r="F543" s="24" t="s">
        <v>52</v>
      </c>
      <c r="G543" s="26">
        <v>45398.602106481485</v>
      </c>
      <c r="H543" s="26">
        <v>45472.91320601852</v>
      </c>
      <c r="I543" s="24" t="s">
        <v>40</v>
      </c>
      <c r="J543" s="24" t="s">
        <v>41</v>
      </c>
      <c r="K543" s="24" t="s">
        <v>42</v>
      </c>
      <c r="L543" s="24" t="s">
        <v>43</v>
      </c>
      <c r="M543" s="24" t="s">
        <v>44</v>
      </c>
      <c r="N543" s="24" t="s">
        <v>1883</v>
      </c>
      <c r="O543" s="24"/>
      <c r="P543" s="27"/>
      <c r="Q543" s="24"/>
      <c r="R543" s="23">
        <f>HYPERLINK("https://app.hubspot.com/contacts/8748051/record/0-2/8016919815", 8016919815)</f>
        <v>8016919815</v>
      </c>
      <c r="S543" s="24" t="s">
        <v>276</v>
      </c>
      <c r="T543" s="28" t="s">
        <v>277</v>
      </c>
      <c r="U543" s="24">
        <v>3.4564763E7</v>
      </c>
      <c r="V543" s="35">
        <v>46112.0</v>
      </c>
      <c r="W543" s="25">
        <v>27480.0</v>
      </c>
      <c r="X543" s="29">
        <v>301.0</v>
      </c>
      <c r="Y543" s="29">
        <v>26.0</v>
      </c>
      <c r="Z543" s="30"/>
      <c r="AA543" s="30" t="s">
        <v>97</v>
      </c>
      <c r="AB543" s="30" t="s">
        <v>207</v>
      </c>
      <c r="AC543" s="31"/>
      <c r="AD543" s="30" t="s">
        <v>278</v>
      </c>
      <c r="AE543" s="30" t="s">
        <v>279</v>
      </c>
      <c r="AF543" s="30" t="s">
        <v>211</v>
      </c>
      <c r="AG543" s="27" t="str">
        <f t="shared" si="1"/>
        <v>New Logo</v>
      </c>
      <c r="AH543" s="27" t="str">
        <f t="shared" si="5"/>
        <v>Churn</v>
      </c>
      <c r="AI543" s="27" t="str">
        <f t="shared" si="6"/>
        <v>201-500</v>
      </c>
      <c r="AJ543" s="27" t="str">
        <f t="shared" si="7"/>
        <v>21-50</v>
      </c>
    </row>
    <row r="544" ht="15.75" customHeight="1">
      <c r="A544" s="23">
        <f>HYPERLINK("https://app.hubspot.com/contacts/8748051/record/0-3/18680534870", 18680534870)</f>
        <v>18680534870</v>
      </c>
      <c r="B544" s="24" t="s">
        <v>1884</v>
      </c>
      <c r="C544" s="24" t="s">
        <v>1009</v>
      </c>
      <c r="D544" s="25">
        <v>15840.0</v>
      </c>
      <c r="E544" s="24" t="s">
        <v>73</v>
      </c>
      <c r="F544" s="24"/>
      <c r="G544" s="26">
        <v>45398.56849537037</v>
      </c>
      <c r="H544" s="26">
        <v>45581.56798611111</v>
      </c>
      <c r="I544" s="24" t="s">
        <v>40</v>
      </c>
      <c r="J544" s="24" t="s">
        <v>41</v>
      </c>
      <c r="K544" s="24" t="s">
        <v>559</v>
      </c>
      <c r="L544" s="24" t="s">
        <v>560</v>
      </c>
      <c r="M544" s="24" t="s">
        <v>44</v>
      </c>
      <c r="N544" s="24"/>
      <c r="O544" s="27"/>
      <c r="P544" s="24"/>
      <c r="Q544" s="27"/>
      <c r="R544" s="23">
        <f>HYPERLINK("https://app.hubspot.com/contacts/8748051/record/0-2/7514178488", 7514178488)</f>
        <v>7514178488</v>
      </c>
      <c r="S544" s="24" t="s">
        <v>1885</v>
      </c>
      <c r="T544" s="28" t="s">
        <v>1886</v>
      </c>
      <c r="U544" s="24" t="s">
        <v>47</v>
      </c>
      <c r="V544" s="24"/>
      <c r="W544" s="25"/>
      <c r="X544" s="29">
        <v>253.0</v>
      </c>
      <c r="Y544" s="29">
        <v>75.0</v>
      </c>
      <c r="Z544" s="30"/>
      <c r="AA544" s="30"/>
      <c r="AB544" s="31"/>
      <c r="AC544" s="31"/>
      <c r="AD544" s="30"/>
      <c r="AE544" s="31"/>
      <c r="AF544" s="30"/>
      <c r="AG544" s="27" t="str">
        <f t="shared" si="1"/>
        <v>New Logo</v>
      </c>
      <c r="AH544" s="27" t="str">
        <f t="shared" si="5"/>
        <v>Lead</v>
      </c>
      <c r="AI544" s="27" t="str">
        <f t="shared" si="6"/>
        <v>201-500</v>
      </c>
      <c r="AJ544" s="27" t="str">
        <f t="shared" si="7"/>
        <v>51-100</v>
      </c>
    </row>
    <row r="545" ht="15.75" customHeight="1">
      <c r="A545" s="23">
        <f>HYPERLINK("https://app.hubspot.com/contacts/8748051/record/0-3/18673492263", 18673492263)</f>
        <v>18673492263</v>
      </c>
      <c r="B545" s="24" t="s">
        <v>1887</v>
      </c>
      <c r="C545" s="24" t="s">
        <v>1009</v>
      </c>
      <c r="D545" s="25">
        <v>24720.0</v>
      </c>
      <c r="E545" s="24" t="s">
        <v>73</v>
      </c>
      <c r="F545" s="24"/>
      <c r="G545" s="26">
        <v>45398.351064814815</v>
      </c>
      <c r="H545" s="26">
        <v>45581.35042824074</v>
      </c>
      <c r="I545" s="24" t="s">
        <v>40</v>
      </c>
      <c r="J545" s="24" t="s">
        <v>41</v>
      </c>
      <c r="K545" s="24" t="s">
        <v>1187</v>
      </c>
      <c r="L545" s="24" t="s">
        <v>178</v>
      </c>
      <c r="M545" s="24" t="s">
        <v>44</v>
      </c>
      <c r="N545" s="24"/>
      <c r="O545" s="24"/>
      <c r="P545" s="24" t="s">
        <v>234</v>
      </c>
      <c r="Q545" s="24"/>
      <c r="R545" s="23">
        <f>HYPERLINK("https://app.hubspot.com/contacts/8748051/record/0-2/7655954774", 7655954774)</f>
        <v>7655954774</v>
      </c>
      <c r="S545" s="24" t="s">
        <v>1888</v>
      </c>
      <c r="T545" s="28" t="s">
        <v>1889</v>
      </c>
      <c r="U545" s="24" t="s">
        <v>47</v>
      </c>
      <c r="V545" s="24"/>
      <c r="W545" s="25"/>
      <c r="X545" s="29">
        <v>1669.0</v>
      </c>
      <c r="Y545" s="29">
        <v>143.0</v>
      </c>
      <c r="Z545" s="30" t="s">
        <v>64</v>
      </c>
      <c r="AA545" s="30"/>
      <c r="AB545" s="31"/>
      <c r="AC545" s="31"/>
      <c r="AD545" s="30"/>
      <c r="AE545" s="31"/>
      <c r="AF545" s="30"/>
      <c r="AG545" s="27" t="str">
        <f t="shared" si="1"/>
        <v>New Logo</v>
      </c>
      <c r="AH545" s="27" t="str">
        <f t="shared" si="5"/>
        <v>Lead</v>
      </c>
      <c r="AI545" s="27" t="str">
        <f t="shared" si="6"/>
        <v>1001-5000</v>
      </c>
      <c r="AJ545" s="27" t="str">
        <f t="shared" si="7"/>
        <v>101-500</v>
      </c>
    </row>
    <row r="546" ht="15.75" customHeight="1">
      <c r="A546" s="23">
        <f>HYPERLINK("https://app.hubspot.com/contacts/8748051/record/0-3/18673492017", 18673492017)</f>
        <v>18673492017</v>
      </c>
      <c r="B546" s="24" t="s">
        <v>1890</v>
      </c>
      <c r="C546" s="24" t="s">
        <v>148</v>
      </c>
      <c r="D546" s="25">
        <v>7440.0</v>
      </c>
      <c r="E546" s="24" t="s">
        <v>73</v>
      </c>
      <c r="F546" s="24"/>
      <c r="G546" s="26">
        <v>45398.34984953704</v>
      </c>
      <c r="H546" s="26">
        <v>45581.34898148148</v>
      </c>
      <c r="I546" s="24" t="s">
        <v>40</v>
      </c>
      <c r="J546" s="24" t="s">
        <v>41</v>
      </c>
      <c r="K546" s="24" t="s">
        <v>559</v>
      </c>
      <c r="L546" s="24" t="s">
        <v>560</v>
      </c>
      <c r="M546" s="24" t="s">
        <v>44</v>
      </c>
      <c r="N546" s="27"/>
      <c r="O546" s="27"/>
      <c r="P546" s="24" t="s">
        <v>213</v>
      </c>
      <c r="Q546" s="24"/>
      <c r="R546" s="23">
        <f>HYPERLINK("https://app.hubspot.com/contacts/8748051/record/0-2/8724376947", 8724376947)</f>
        <v>8724376947</v>
      </c>
      <c r="S546" s="24" t="s">
        <v>1891</v>
      </c>
      <c r="T546" s="28" t="s">
        <v>1892</v>
      </c>
      <c r="U546" s="24" t="s">
        <v>47</v>
      </c>
      <c r="V546" s="24"/>
      <c r="W546" s="32"/>
      <c r="X546" s="29">
        <v>280.0</v>
      </c>
      <c r="Y546" s="29">
        <v>41.0</v>
      </c>
      <c r="Z546" s="30" t="s">
        <v>108</v>
      </c>
      <c r="AA546" s="31"/>
      <c r="AB546" s="31"/>
      <c r="AC546" s="31"/>
      <c r="AD546" s="31"/>
      <c r="AE546" s="31"/>
      <c r="AF546" s="31"/>
      <c r="AG546" s="27" t="str">
        <f t="shared" si="1"/>
        <v>New Logo</v>
      </c>
      <c r="AH546" s="27" t="str">
        <f t="shared" si="5"/>
        <v>Lead</v>
      </c>
      <c r="AI546" s="27" t="str">
        <f t="shared" si="6"/>
        <v>201-500</v>
      </c>
      <c r="AJ546" s="27" t="str">
        <f t="shared" si="7"/>
        <v>21-50</v>
      </c>
    </row>
    <row r="547" ht="15.75" customHeight="1">
      <c r="A547" s="23">
        <f>HYPERLINK("https://app.hubspot.com/contacts/8748051/record/0-3/18658723757", 18658723757)</f>
        <v>18658723757</v>
      </c>
      <c r="B547" s="24" t="s">
        <v>1893</v>
      </c>
      <c r="C547" s="24" t="s">
        <v>1009</v>
      </c>
      <c r="D547" s="25">
        <v>11760.0</v>
      </c>
      <c r="E547" s="24" t="s">
        <v>73</v>
      </c>
      <c r="F547" s="24"/>
      <c r="G547" s="26">
        <v>45397.67259259259</v>
      </c>
      <c r="H547" s="26">
        <v>45580.67166666667</v>
      </c>
      <c r="I547" s="24" t="s">
        <v>40</v>
      </c>
      <c r="J547" s="24" t="s">
        <v>41</v>
      </c>
      <c r="K547" s="24" t="s">
        <v>1187</v>
      </c>
      <c r="L547" s="24" t="s">
        <v>560</v>
      </c>
      <c r="M547" s="24" t="s">
        <v>44</v>
      </c>
      <c r="N547" s="27"/>
      <c r="O547" s="24"/>
      <c r="P547" s="24"/>
      <c r="Q547" s="24"/>
      <c r="R547" s="23">
        <f>HYPERLINK("https://app.hubspot.com/contacts/8748051/record/0-2/32765657906", 32765657906)</f>
        <v>32765657906</v>
      </c>
      <c r="S547" s="24" t="s">
        <v>1894</v>
      </c>
      <c r="T547" s="28" t="s">
        <v>1895</v>
      </c>
      <c r="U547" s="24" t="s">
        <v>47</v>
      </c>
      <c r="V547" s="24"/>
      <c r="W547" s="32"/>
      <c r="X547" s="29">
        <v>366.0</v>
      </c>
      <c r="Y547" s="29">
        <v>51.0</v>
      </c>
      <c r="Z547" s="30" t="s">
        <v>546</v>
      </c>
      <c r="AA547" s="31"/>
      <c r="AB547" s="31"/>
      <c r="AC547" s="31"/>
      <c r="AD547" s="31"/>
      <c r="AE547" s="31"/>
      <c r="AF547" s="31"/>
      <c r="AG547" s="27" t="str">
        <f t="shared" si="1"/>
        <v>New Logo</v>
      </c>
      <c r="AH547" s="27" t="str">
        <f t="shared" si="5"/>
        <v>Lead</v>
      </c>
      <c r="AI547" s="27" t="str">
        <f t="shared" si="6"/>
        <v>201-500</v>
      </c>
      <c r="AJ547" s="27" t="str">
        <f t="shared" si="7"/>
        <v>51-100</v>
      </c>
    </row>
    <row r="548" ht="15.75" customHeight="1">
      <c r="A548" s="23">
        <f>HYPERLINK("https://app.hubspot.com/contacts/8748051/record/0-3/18657596262", 18657596262)</f>
        <v>18657596262</v>
      </c>
      <c r="B548" s="24" t="s">
        <v>1896</v>
      </c>
      <c r="C548" s="24" t="s">
        <v>50</v>
      </c>
      <c r="D548" s="25">
        <v>2880.0</v>
      </c>
      <c r="E548" s="24" t="s">
        <v>73</v>
      </c>
      <c r="F548" s="24"/>
      <c r="G548" s="26">
        <v>45397.600069444445</v>
      </c>
      <c r="H548" s="26">
        <v>45580.599699074075</v>
      </c>
      <c r="I548" s="24" t="s">
        <v>40</v>
      </c>
      <c r="J548" s="24" t="s">
        <v>41</v>
      </c>
      <c r="K548" s="24" t="s">
        <v>42</v>
      </c>
      <c r="L548" s="24" t="s">
        <v>43</v>
      </c>
      <c r="M548" s="24" t="s">
        <v>44</v>
      </c>
      <c r="N548" s="27"/>
      <c r="O548" s="27"/>
      <c r="P548" s="24" t="s">
        <v>75</v>
      </c>
      <c r="Q548" s="24"/>
      <c r="R548" s="23">
        <f>HYPERLINK("https://app.hubspot.com/contacts/8748051/record/0-2/18159786760", 18159786760)</f>
        <v>18159786760</v>
      </c>
      <c r="S548" s="24" t="s">
        <v>1897</v>
      </c>
      <c r="T548" s="28" t="s">
        <v>1898</v>
      </c>
      <c r="U548" s="24" t="s">
        <v>47</v>
      </c>
      <c r="V548" s="24"/>
      <c r="W548" s="32"/>
      <c r="X548" s="29">
        <v>92.0</v>
      </c>
      <c r="Y548" s="29">
        <v>11.0</v>
      </c>
      <c r="Z548" s="30"/>
      <c r="AA548" s="31"/>
      <c r="AB548" s="31"/>
      <c r="AC548" s="31"/>
      <c r="AD548" s="31"/>
      <c r="AE548" s="31"/>
      <c r="AF548" s="31"/>
      <c r="AG548" s="27" t="str">
        <f t="shared" si="1"/>
        <v>New Logo</v>
      </c>
      <c r="AH548" s="27" t="str">
        <f t="shared" si="5"/>
        <v>Lead</v>
      </c>
      <c r="AI548" s="27" t="str">
        <f t="shared" si="6"/>
        <v>0-200</v>
      </c>
      <c r="AJ548" s="27" t="str">
        <f t="shared" si="7"/>
        <v>0-20</v>
      </c>
    </row>
    <row r="549" ht="15.75" customHeight="1">
      <c r="A549" s="23">
        <f>HYPERLINK("https://app.hubspot.com/contacts/8748051/record/0-3/18657370719", 18657370719)</f>
        <v>18657370719</v>
      </c>
      <c r="B549" s="24" t="s">
        <v>1899</v>
      </c>
      <c r="C549" s="24" t="s">
        <v>50</v>
      </c>
      <c r="D549" s="25">
        <v>2160.0</v>
      </c>
      <c r="E549" s="24" t="s">
        <v>73</v>
      </c>
      <c r="F549" s="24"/>
      <c r="G549" s="26">
        <v>45397.57497685185</v>
      </c>
      <c r="H549" s="26">
        <v>45580.57435185185</v>
      </c>
      <c r="I549" s="24" t="s">
        <v>40</v>
      </c>
      <c r="J549" s="24" t="s">
        <v>41</v>
      </c>
      <c r="K549" s="24" t="s">
        <v>1187</v>
      </c>
      <c r="L549" s="24" t="s">
        <v>560</v>
      </c>
      <c r="M549" s="24" t="s">
        <v>44</v>
      </c>
      <c r="N549" s="27"/>
      <c r="O549" s="24"/>
      <c r="P549" s="24" t="s">
        <v>213</v>
      </c>
      <c r="Q549" s="27"/>
      <c r="R549" s="23">
        <f>HYPERLINK("https://app.hubspot.com/contacts/8748051/record/0-2/19176609119", 19176609119)</f>
        <v>19176609119</v>
      </c>
      <c r="S549" s="24" t="s">
        <v>1274</v>
      </c>
      <c r="T549" s="28" t="s">
        <v>1275</v>
      </c>
      <c r="U549" s="24" t="s">
        <v>47</v>
      </c>
      <c r="V549" s="24"/>
      <c r="W549" s="32"/>
      <c r="X549" s="29">
        <v>91.0</v>
      </c>
      <c r="Y549" s="29">
        <v>8.0</v>
      </c>
      <c r="Z549" s="30"/>
      <c r="AA549" s="31"/>
      <c r="AB549" s="31"/>
      <c r="AC549" s="31"/>
      <c r="AD549" s="31"/>
      <c r="AE549" s="31"/>
      <c r="AF549" s="31"/>
      <c r="AG549" s="27" t="str">
        <f t="shared" si="1"/>
        <v>New Logo</v>
      </c>
      <c r="AH549" s="27" t="str">
        <f t="shared" si="5"/>
        <v>Lead</v>
      </c>
      <c r="AI549" s="27" t="str">
        <f t="shared" si="6"/>
        <v>0-200</v>
      </c>
      <c r="AJ549" s="27" t="str">
        <f t="shared" si="7"/>
        <v>0-20</v>
      </c>
    </row>
    <row r="550" ht="15.75" customHeight="1">
      <c r="A550" s="23">
        <f>HYPERLINK("https://app.hubspot.com/contacts/8748051/record/0-3/18654045212", 18654045212)</f>
        <v>18654045212</v>
      </c>
      <c r="B550" s="24" t="s">
        <v>1900</v>
      </c>
      <c r="C550" s="24" t="s">
        <v>38</v>
      </c>
      <c r="D550" s="25">
        <v>24480.0</v>
      </c>
      <c r="E550" s="24" t="s">
        <v>73</v>
      </c>
      <c r="F550" s="24"/>
      <c r="G550" s="26">
        <v>45397.45243055555</v>
      </c>
      <c r="H550" s="26">
        <v>45580.40189814815</v>
      </c>
      <c r="I550" s="24" t="s">
        <v>40</v>
      </c>
      <c r="J550" s="24" t="s">
        <v>53</v>
      </c>
      <c r="K550" s="24" t="s">
        <v>1187</v>
      </c>
      <c r="L550" s="24" t="s">
        <v>178</v>
      </c>
      <c r="M550" s="24" t="s">
        <v>44</v>
      </c>
      <c r="N550" s="24"/>
      <c r="O550" s="24"/>
      <c r="P550" s="24" t="s">
        <v>122</v>
      </c>
      <c r="Q550" s="24"/>
      <c r="R550" s="23">
        <f>HYPERLINK("https://app.hubspot.com/contacts/8748051/record/0-2/8196824334", 8196824334)</f>
        <v>8196824334</v>
      </c>
      <c r="S550" s="24" t="s">
        <v>1901</v>
      </c>
      <c r="T550" s="28" t="s">
        <v>1902</v>
      </c>
      <c r="U550" s="24" t="s">
        <v>47</v>
      </c>
      <c r="V550" s="24"/>
      <c r="W550" s="25"/>
      <c r="X550" s="29">
        <v>612.0</v>
      </c>
      <c r="Y550" s="29">
        <v>100.0</v>
      </c>
      <c r="Z550" s="30" t="s">
        <v>108</v>
      </c>
      <c r="AA550" s="30"/>
      <c r="AB550" s="31"/>
      <c r="AC550" s="31"/>
      <c r="AD550" s="30"/>
      <c r="AE550" s="31"/>
      <c r="AF550" s="30"/>
      <c r="AG550" s="27" t="str">
        <f t="shared" si="1"/>
        <v>New Logo</v>
      </c>
      <c r="AH550" s="27" t="str">
        <f t="shared" si="5"/>
        <v>Lead</v>
      </c>
      <c r="AI550" s="27" t="str">
        <f t="shared" si="6"/>
        <v>501-1000</v>
      </c>
      <c r="AJ550" s="27" t="str">
        <f t="shared" si="7"/>
        <v>51-100</v>
      </c>
    </row>
    <row r="551" ht="15.75" customHeight="1">
      <c r="A551" s="23">
        <f>HYPERLINK("https://app.hubspot.com/contacts/8748051/record/0-3/18646892189", 18646892189)</f>
        <v>18646892189</v>
      </c>
      <c r="B551" s="24" t="s">
        <v>1903</v>
      </c>
      <c r="C551" s="24" t="s">
        <v>1009</v>
      </c>
      <c r="D551" s="25">
        <v>14160.0</v>
      </c>
      <c r="E551" s="24" t="s">
        <v>73</v>
      </c>
      <c r="F551" s="24"/>
      <c r="G551" s="26">
        <v>45397.03355324074</v>
      </c>
      <c r="H551" s="26">
        <v>45580.03306712963</v>
      </c>
      <c r="I551" s="24" t="s">
        <v>40</v>
      </c>
      <c r="J551" s="24" t="s">
        <v>41</v>
      </c>
      <c r="K551" s="24" t="s">
        <v>60</v>
      </c>
      <c r="L551" s="24" t="s">
        <v>178</v>
      </c>
      <c r="M551" s="24" t="s">
        <v>74</v>
      </c>
      <c r="N551" s="27"/>
      <c r="O551" s="24"/>
      <c r="P551" s="24" t="s">
        <v>234</v>
      </c>
      <c r="Q551" s="24"/>
      <c r="R551" s="23">
        <f>HYPERLINK("https://app.hubspot.com/contacts/8748051/record/0-2/13563301018", 13563301018)</f>
        <v>13563301018</v>
      </c>
      <c r="S551" s="24" t="s">
        <v>1904</v>
      </c>
      <c r="T551" s="28" t="s">
        <v>1905</v>
      </c>
      <c r="U551" s="24" t="s">
        <v>47</v>
      </c>
      <c r="V551" s="24"/>
      <c r="W551" s="32"/>
      <c r="X551" s="29">
        <v>256.0</v>
      </c>
      <c r="Y551" s="29">
        <v>36.0</v>
      </c>
      <c r="Z551" s="30" t="s">
        <v>108</v>
      </c>
      <c r="AA551" s="31"/>
      <c r="AB551" s="31"/>
      <c r="AC551" s="31"/>
      <c r="AD551" s="31"/>
      <c r="AE551" s="31"/>
      <c r="AF551" s="31"/>
      <c r="AG551" s="27" t="str">
        <f t="shared" si="1"/>
        <v>New Logo</v>
      </c>
      <c r="AH551" s="27" t="str">
        <f t="shared" si="5"/>
        <v>Lead</v>
      </c>
      <c r="AI551" s="27" t="str">
        <f t="shared" si="6"/>
        <v>201-500</v>
      </c>
      <c r="AJ551" s="27" t="str">
        <f t="shared" si="7"/>
        <v>21-50</v>
      </c>
    </row>
    <row r="552" ht="15.75" customHeight="1">
      <c r="A552" s="23">
        <f>HYPERLINK("https://app.hubspot.com/contacts/8748051/record/0-3/18607290001", 18607290001)</f>
        <v>18607290001</v>
      </c>
      <c r="B552" s="24" t="s">
        <v>1906</v>
      </c>
      <c r="C552" s="24" t="s">
        <v>148</v>
      </c>
      <c r="D552" s="25">
        <v>30000.0</v>
      </c>
      <c r="E552" s="24" t="s">
        <v>149</v>
      </c>
      <c r="F552" s="24" t="s">
        <v>52</v>
      </c>
      <c r="G552" s="26">
        <v>45394.774733796294</v>
      </c>
      <c r="H552" s="26">
        <v>45525.66511574074</v>
      </c>
      <c r="I552" s="24" t="s">
        <v>40</v>
      </c>
      <c r="J552" s="24" t="s">
        <v>41</v>
      </c>
      <c r="K552" s="24" t="s">
        <v>1187</v>
      </c>
      <c r="L552" s="24" t="s">
        <v>560</v>
      </c>
      <c r="M552" s="24" t="s">
        <v>44</v>
      </c>
      <c r="N552" s="27"/>
      <c r="O552" s="24" t="s">
        <v>1907</v>
      </c>
      <c r="P552" s="24"/>
      <c r="Q552" s="24" t="s">
        <v>503</v>
      </c>
      <c r="R552" s="23">
        <f>HYPERLINK("https://app.hubspot.com/contacts/8748051/record/0-2/8142837591", 8142837591)</f>
        <v>8142837591</v>
      </c>
      <c r="S552" s="24" t="s">
        <v>1908</v>
      </c>
      <c r="T552" s="28" t="s">
        <v>1909</v>
      </c>
      <c r="U552" s="24" t="s">
        <v>47</v>
      </c>
      <c r="V552" s="24"/>
      <c r="W552" s="25"/>
      <c r="X552" s="29">
        <v>565.0</v>
      </c>
      <c r="Y552" s="29">
        <v>58.0</v>
      </c>
      <c r="Z552" s="30" t="s">
        <v>125</v>
      </c>
      <c r="AA552" s="30"/>
      <c r="AB552" s="31"/>
      <c r="AC552" s="30"/>
      <c r="AD552" s="30"/>
      <c r="AE552" s="31"/>
      <c r="AF552" s="30"/>
      <c r="AG552" s="27" t="str">
        <f t="shared" si="1"/>
        <v>New Logo</v>
      </c>
      <c r="AH552" s="27" t="str">
        <f t="shared" si="5"/>
        <v>Lead</v>
      </c>
      <c r="AI552" s="27" t="str">
        <f t="shared" si="6"/>
        <v>501-1000</v>
      </c>
      <c r="AJ552" s="27" t="str">
        <f t="shared" si="7"/>
        <v>51-100</v>
      </c>
    </row>
    <row r="553" ht="15.75" customHeight="1">
      <c r="A553" s="23">
        <f>HYPERLINK("https://app.hubspot.com/contacts/8748051/record/0-3/18607099669", 18607099669)</f>
        <v>18607099669</v>
      </c>
      <c r="B553" s="24" t="s">
        <v>1910</v>
      </c>
      <c r="C553" s="24" t="s">
        <v>50</v>
      </c>
      <c r="D553" s="25">
        <v>3600.0</v>
      </c>
      <c r="E553" s="24" t="s">
        <v>73</v>
      </c>
      <c r="F553" s="24"/>
      <c r="G553" s="26">
        <v>45394.773206018515</v>
      </c>
      <c r="H553" s="26">
        <v>45577.77263888889</v>
      </c>
      <c r="I553" s="24" t="s">
        <v>40</v>
      </c>
      <c r="J553" s="24" t="s">
        <v>41</v>
      </c>
      <c r="K553" s="24" t="s">
        <v>559</v>
      </c>
      <c r="L553" s="24" t="s">
        <v>560</v>
      </c>
      <c r="M553" s="24" t="s">
        <v>44</v>
      </c>
      <c r="N553" s="27"/>
      <c r="O553" s="27"/>
      <c r="P553" s="24"/>
      <c r="Q553" s="24"/>
      <c r="R553" s="23">
        <f>HYPERLINK("https://app.hubspot.com/contacts/8748051/record/0-2/18159846809", 18159846809)</f>
        <v>18159846809</v>
      </c>
      <c r="S553" s="24" t="s">
        <v>1911</v>
      </c>
      <c r="T553" s="28" t="s">
        <v>1912</v>
      </c>
      <c r="U553" s="24" t="s">
        <v>47</v>
      </c>
      <c r="V553" s="24"/>
      <c r="W553" s="25"/>
      <c r="X553" s="29">
        <v>118.0</v>
      </c>
      <c r="Y553" s="29">
        <v>10.0</v>
      </c>
      <c r="Z553" s="30"/>
      <c r="AA553" s="30"/>
      <c r="AB553" s="31"/>
      <c r="AC553" s="31"/>
      <c r="AD553" s="30"/>
      <c r="AE553" s="31"/>
      <c r="AF553" s="30"/>
      <c r="AG553" s="27" t="str">
        <f t="shared" si="1"/>
        <v>New Logo</v>
      </c>
      <c r="AH553" s="27" t="str">
        <f t="shared" si="5"/>
        <v>Lead</v>
      </c>
      <c r="AI553" s="27" t="str">
        <f t="shared" si="6"/>
        <v>0-200</v>
      </c>
      <c r="AJ553" s="27" t="str">
        <f t="shared" si="7"/>
        <v>0-20</v>
      </c>
    </row>
    <row r="554" ht="15.75" customHeight="1">
      <c r="A554" s="23">
        <f>HYPERLINK("https://app.hubspot.com/contacts/8748051/record/0-3/18602959245", 18602959245)</f>
        <v>18602959245</v>
      </c>
      <c r="B554" s="24" t="s">
        <v>1913</v>
      </c>
      <c r="C554" s="24" t="s">
        <v>50</v>
      </c>
      <c r="D554" s="25">
        <v>8880.0</v>
      </c>
      <c r="E554" s="24" t="s">
        <v>73</v>
      </c>
      <c r="F554" s="24"/>
      <c r="G554" s="26">
        <v>45394.55945601852</v>
      </c>
      <c r="H554" s="26">
        <v>45577.55917824074</v>
      </c>
      <c r="I554" s="24" t="s">
        <v>40</v>
      </c>
      <c r="J554" s="24" t="s">
        <v>41</v>
      </c>
      <c r="K554" s="24" t="s">
        <v>1187</v>
      </c>
      <c r="L554" s="24" t="s">
        <v>178</v>
      </c>
      <c r="M554" s="24" t="s">
        <v>44</v>
      </c>
      <c r="N554" s="27"/>
      <c r="O554" s="24"/>
      <c r="P554" s="24"/>
      <c r="Q554" s="24"/>
      <c r="R554" s="23">
        <f>HYPERLINK("https://app.hubspot.com/contacts/8748051/record/0-2/7975237289", 7975237289)</f>
        <v>7975237289</v>
      </c>
      <c r="S554" s="24" t="s">
        <v>1914</v>
      </c>
      <c r="T554" s="28" t="s">
        <v>1915</v>
      </c>
      <c r="U554" s="24" t="s">
        <v>47</v>
      </c>
      <c r="V554" s="24"/>
      <c r="W554" s="32"/>
      <c r="X554" s="29">
        <v>309.0</v>
      </c>
      <c r="Y554" s="29">
        <v>44.0</v>
      </c>
      <c r="Z554" s="30" t="s">
        <v>71</v>
      </c>
      <c r="AA554" s="31"/>
      <c r="AB554" s="31"/>
      <c r="AC554" s="31"/>
      <c r="AD554" s="31"/>
      <c r="AE554" s="31"/>
      <c r="AF554" s="31"/>
      <c r="AG554" s="27" t="str">
        <f t="shared" si="1"/>
        <v>New Logo</v>
      </c>
      <c r="AH554" s="27" t="str">
        <f t="shared" si="5"/>
        <v>Lead</v>
      </c>
      <c r="AI554" s="27" t="str">
        <f t="shared" si="6"/>
        <v>201-500</v>
      </c>
      <c r="AJ554" s="27" t="str">
        <f t="shared" si="7"/>
        <v>21-50</v>
      </c>
    </row>
    <row r="555" ht="15.75" customHeight="1">
      <c r="A555" s="23">
        <f>HYPERLINK("https://app.hubspot.com/contacts/8748051/record/0-3/18549559868", 18549559868)</f>
        <v>18549559868</v>
      </c>
      <c r="B555" s="24" t="s">
        <v>1916</v>
      </c>
      <c r="C555" s="24" t="s">
        <v>38</v>
      </c>
      <c r="D555" s="25">
        <v>960.0</v>
      </c>
      <c r="E555" s="24" t="s">
        <v>73</v>
      </c>
      <c r="F555" s="24"/>
      <c r="G555" s="26">
        <v>45392.23370370371</v>
      </c>
      <c r="H555" s="26">
        <v>45575.233136574076</v>
      </c>
      <c r="I555" s="24" t="s">
        <v>40</v>
      </c>
      <c r="J555" s="24" t="s">
        <v>41</v>
      </c>
      <c r="K555" s="24" t="s">
        <v>60</v>
      </c>
      <c r="L555" s="24" t="s">
        <v>178</v>
      </c>
      <c r="M555" s="24" t="s">
        <v>102</v>
      </c>
      <c r="N555" s="27"/>
      <c r="O555" s="24"/>
      <c r="P555" s="24" t="s">
        <v>122</v>
      </c>
      <c r="Q555" s="27"/>
      <c r="R555" s="23">
        <f>HYPERLINK("https://app.hubspot.com/contacts/8748051/record/0-2/16376145215", 16376145215)</f>
        <v>16376145215</v>
      </c>
      <c r="S555" s="24" t="s">
        <v>1917</v>
      </c>
      <c r="T555" s="28" t="s">
        <v>1918</v>
      </c>
      <c r="U555" s="24" t="s">
        <v>47</v>
      </c>
      <c r="V555" s="24"/>
      <c r="W555" s="32"/>
      <c r="X555" s="29">
        <v>175.0</v>
      </c>
      <c r="Y555" s="29">
        <v>4.0</v>
      </c>
      <c r="Z555" s="30"/>
      <c r="AA555" s="31"/>
      <c r="AB555" s="31"/>
      <c r="AC555" s="31"/>
      <c r="AD555" s="31"/>
      <c r="AE555" s="31"/>
      <c r="AF555" s="31"/>
      <c r="AG555" s="27" t="str">
        <f t="shared" si="1"/>
        <v>New Logo</v>
      </c>
      <c r="AH555" s="27" t="str">
        <f t="shared" si="5"/>
        <v>Lead</v>
      </c>
      <c r="AI555" s="27" t="str">
        <f t="shared" si="6"/>
        <v>0-200</v>
      </c>
      <c r="AJ555" s="27" t="str">
        <f t="shared" si="7"/>
        <v>0-20</v>
      </c>
    </row>
    <row r="556" ht="15.75" customHeight="1">
      <c r="A556" s="23">
        <f>HYPERLINK("https://app.hubspot.com/contacts/8748051/record/0-3/18549100897", 18549100897)</f>
        <v>18549100897</v>
      </c>
      <c r="B556" s="24" t="s">
        <v>1919</v>
      </c>
      <c r="C556" s="24" t="s">
        <v>1009</v>
      </c>
      <c r="D556" s="25">
        <v>45000.0</v>
      </c>
      <c r="E556" s="24" t="s">
        <v>149</v>
      </c>
      <c r="F556" s="24" t="s">
        <v>52</v>
      </c>
      <c r="G556" s="26">
        <v>45392.18951388889</v>
      </c>
      <c r="H556" s="26">
        <v>45565.34903935185</v>
      </c>
      <c r="I556" s="24" t="s">
        <v>40</v>
      </c>
      <c r="J556" s="24" t="s">
        <v>53</v>
      </c>
      <c r="K556" s="24" t="s">
        <v>60</v>
      </c>
      <c r="L556" s="24" t="s">
        <v>183</v>
      </c>
      <c r="M556" s="24" t="s">
        <v>102</v>
      </c>
      <c r="N556" s="27"/>
      <c r="O556" s="24" t="s">
        <v>1920</v>
      </c>
      <c r="P556" s="24"/>
      <c r="Q556" s="24"/>
      <c r="R556" s="23">
        <f>HYPERLINK("https://app.hubspot.com/contacts/8748051/record/0-2/7786751651", 7786751651)</f>
        <v>7786751651</v>
      </c>
      <c r="S556" s="24" t="s">
        <v>1921</v>
      </c>
      <c r="T556" s="28" t="s">
        <v>1922</v>
      </c>
      <c r="U556" s="24" t="s">
        <v>47</v>
      </c>
      <c r="V556" s="24"/>
      <c r="W556" s="32"/>
      <c r="X556" s="29">
        <v>1827.0</v>
      </c>
      <c r="Y556" s="29">
        <v>378.0</v>
      </c>
      <c r="Z556" s="30" t="s">
        <v>81</v>
      </c>
      <c r="AA556" s="31"/>
      <c r="AB556" s="31"/>
      <c r="AC556" s="31"/>
      <c r="AD556" s="31"/>
      <c r="AE556" s="31"/>
      <c r="AF556" s="31"/>
      <c r="AG556" s="27" t="str">
        <f t="shared" si="1"/>
        <v>New Logo</v>
      </c>
      <c r="AH556" s="27" t="str">
        <f t="shared" si="5"/>
        <v>Lead</v>
      </c>
      <c r="AI556" s="27" t="str">
        <f t="shared" si="6"/>
        <v>1001-5000</v>
      </c>
      <c r="AJ556" s="27" t="str">
        <f t="shared" si="7"/>
        <v>101-500</v>
      </c>
    </row>
    <row r="557" ht="15.75" customHeight="1">
      <c r="A557" s="23">
        <f>HYPERLINK("https://app.hubspot.com/contacts/8748051/record/0-3/18428209003", 18428209003)</f>
        <v>18428209003</v>
      </c>
      <c r="B557" s="24" t="s">
        <v>1923</v>
      </c>
      <c r="C557" s="24" t="s">
        <v>50</v>
      </c>
      <c r="D557" s="25">
        <v>8400.0</v>
      </c>
      <c r="E557" s="24" t="s">
        <v>73</v>
      </c>
      <c r="F557" s="24"/>
      <c r="G557" s="26">
        <v>45386.48070601852</v>
      </c>
      <c r="H557" s="26">
        <v>45569.480416666665</v>
      </c>
      <c r="I557" s="24" t="s">
        <v>40</v>
      </c>
      <c r="J557" s="24" t="s">
        <v>41</v>
      </c>
      <c r="K557" s="24" t="s">
        <v>1187</v>
      </c>
      <c r="L557" s="24" t="s">
        <v>178</v>
      </c>
      <c r="M557" s="24" t="s">
        <v>44</v>
      </c>
      <c r="N557" s="27"/>
      <c r="O557" s="24"/>
      <c r="P557" s="24" t="s">
        <v>213</v>
      </c>
      <c r="Q557" s="27"/>
      <c r="R557" s="23">
        <f>HYPERLINK("https://app.hubspot.com/contacts/8748051/record/0-2/7961044904", 7961044904)</f>
        <v>7961044904</v>
      </c>
      <c r="S557" s="24" t="s">
        <v>1924</v>
      </c>
      <c r="T557" s="28" t="s">
        <v>1925</v>
      </c>
      <c r="U557" s="24" t="s">
        <v>47</v>
      </c>
      <c r="V557" s="24"/>
      <c r="W557" s="32"/>
      <c r="X557" s="29">
        <v>2710.0</v>
      </c>
      <c r="Y557" s="29">
        <v>89.0</v>
      </c>
      <c r="Z557" s="30" t="s">
        <v>81</v>
      </c>
      <c r="AA557" s="31"/>
      <c r="AB557" s="31"/>
      <c r="AC557" s="31"/>
      <c r="AD557" s="31"/>
      <c r="AE557" s="31"/>
      <c r="AF557" s="31"/>
      <c r="AG557" s="27" t="str">
        <f t="shared" si="1"/>
        <v>New Logo</v>
      </c>
      <c r="AH557" s="27" t="str">
        <f t="shared" si="5"/>
        <v>Lead</v>
      </c>
      <c r="AI557" s="27" t="str">
        <f t="shared" si="6"/>
        <v>1001-5000</v>
      </c>
      <c r="AJ557" s="27" t="str">
        <f t="shared" si="7"/>
        <v>51-100</v>
      </c>
    </row>
    <row r="558" ht="15.75" customHeight="1">
      <c r="A558" s="23">
        <f>HYPERLINK("https://app.hubspot.com/contacts/8748051/record/0-3/18428212873", 18428212873)</f>
        <v>18428212873</v>
      </c>
      <c r="B558" s="24" t="s">
        <v>1926</v>
      </c>
      <c r="C558" s="24" t="s">
        <v>38</v>
      </c>
      <c r="D558" s="25">
        <v>23280.0</v>
      </c>
      <c r="E558" s="24" t="s">
        <v>73</v>
      </c>
      <c r="F558" s="24"/>
      <c r="G558" s="26">
        <v>45386.47886574074</v>
      </c>
      <c r="H558" s="26">
        <v>45569.47675925926</v>
      </c>
      <c r="I558" s="24" t="s">
        <v>40</v>
      </c>
      <c r="J558" s="24" t="s">
        <v>41</v>
      </c>
      <c r="K558" s="24" t="s">
        <v>1187</v>
      </c>
      <c r="L558" s="24" t="s">
        <v>560</v>
      </c>
      <c r="M558" s="24" t="s">
        <v>44</v>
      </c>
      <c r="N558" s="27"/>
      <c r="O558" s="24"/>
      <c r="P558" s="24" t="s">
        <v>122</v>
      </c>
      <c r="Q558" s="27"/>
      <c r="R558" s="23">
        <f>HYPERLINK("https://app.hubspot.com/contacts/8748051/record/0-2/7648580645", 7648580645)</f>
        <v>7648580645</v>
      </c>
      <c r="S558" s="24" t="s">
        <v>1927</v>
      </c>
      <c r="T558" s="28" t="s">
        <v>1928</v>
      </c>
      <c r="U558" s="24" t="s">
        <v>47</v>
      </c>
      <c r="V558" s="24"/>
      <c r="W558" s="25"/>
      <c r="X558" s="29">
        <v>729.0</v>
      </c>
      <c r="Y558" s="29">
        <v>120.0</v>
      </c>
      <c r="Z558" s="30"/>
      <c r="AA558" s="30"/>
      <c r="AB558" s="31"/>
      <c r="AC558" s="31"/>
      <c r="AD558" s="30"/>
      <c r="AE558" s="31"/>
      <c r="AF558" s="30"/>
      <c r="AG558" s="27" t="str">
        <f t="shared" si="1"/>
        <v>New Logo</v>
      </c>
      <c r="AH558" s="27" t="str">
        <f t="shared" si="5"/>
        <v>Lead</v>
      </c>
      <c r="AI558" s="27" t="str">
        <f t="shared" si="6"/>
        <v>501-1000</v>
      </c>
      <c r="AJ558" s="27" t="str">
        <f t="shared" si="7"/>
        <v>101-500</v>
      </c>
    </row>
    <row r="559" ht="15.75" customHeight="1">
      <c r="A559" s="23">
        <f>HYPERLINK("https://app.hubspot.com/contacts/8748051/record/0-3/18415884122", 18415884122)</f>
        <v>18415884122</v>
      </c>
      <c r="B559" s="24" t="s">
        <v>1929</v>
      </c>
      <c r="C559" s="24" t="s">
        <v>1009</v>
      </c>
      <c r="D559" s="25">
        <v>1200.0</v>
      </c>
      <c r="E559" s="24" t="s">
        <v>73</v>
      </c>
      <c r="F559" s="24"/>
      <c r="G559" s="26">
        <v>45386.02659722222</v>
      </c>
      <c r="H559" s="26">
        <v>45569.026192129626</v>
      </c>
      <c r="I559" s="24" t="s">
        <v>40</v>
      </c>
      <c r="J559" s="24" t="s">
        <v>41</v>
      </c>
      <c r="K559" s="24" t="s">
        <v>559</v>
      </c>
      <c r="L559" s="24" t="s">
        <v>560</v>
      </c>
      <c r="M559" s="24"/>
      <c r="N559" s="27"/>
      <c r="O559" s="27"/>
      <c r="P559" s="24" t="s">
        <v>122</v>
      </c>
      <c r="Q559" s="24"/>
      <c r="R559" s="23">
        <f>HYPERLINK("https://app.hubspot.com/contacts/8748051/record/0-2/7776398214", 7776398214)</f>
        <v>7776398214</v>
      </c>
      <c r="S559" s="24" t="s">
        <v>1930</v>
      </c>
      <c r="T559" s="24" t="s">
        <v>1931</v>
      </c>
      <c r="U559" s="24" t="s">
        <v>47</v>
      </c>
      <c r="V559" s="24"/>
      <c r="W559" s="32"/>
      <c r="X559" s="29">
        <v>108.0</v>
      </c>
      <c r="Y559" s="29">
        <v>8.0</v>
      </c>
      <c r="Z559" s="30"/>
      <c r="AA559" s="31"/>
      <c r="AB559" s="31"/>
      <c r="AC559" s="31"/>
      <c r="AD559" s="31"/>
      <c r="AE559" s="31"/>
      <c r="AF559" s="31"/>
      <c r="AG559" s="27" t="str">
        <f t="shared" si="1"/>
        <v>New Logo</v>
      </c>
      <c r="AH559" s="27" t="str">
        <f t="shared" si="5"/>
        <v>Lead</v>
      </c>
      <c r="AI559" s="27" t="str">
        <f t="shared" si="6"/>
        <v>0-200</v>
      </c>
      <c r="AJ559" s="27" t="str">
        <f t="shared" si="7"/>
        <v>0-20</v>
      </c>
    </row>
    <row r="560" ht="15.75" customHeight="1">
      <c r="A560" s="23">
        <f>HYPERLINK("https://app.hubspot.com/contacts/8748051/record/0-3/18406594379", 18406594379)</f>
        <v>18406594379</v>
      </c>
      <c r="B560" s="24" t="s">
        <v>1932</v>
      </c>
      <c r="C560" s="24" t="s">
        <v>50</v>
      </c>
      <c r="D560" s="25">
        <v>10800.0</v>
      </c>
      <c r="E560" s="24" t="s">
        <v>73</v>
      </c>
      <c r="F560" s="24"/>
      <c r="G560" s="26">
        <v>45385.55792824074</v>
      </c>
      <c r="H560" s="26">
        <v>45568.55773148148</v>
      </c>
      <c r="I560" s="24" t="s">
        <v>40</v>
      </c>
      <c r="J560" s="24" t="s">
        <v>41</v>
      </c>
      <c r="K560" s="24" t="s">
        <v>559</v>
      </c>
      <c r="L560" s="24" t="s">
        <v>560</v>
      </c>
      <c r="M560" s="24"/>
      <c r="N560" s="24"/>
      <c r="O560" s="27"/>
      <c r="P560" s="24" t="s">
        <v>213</v>
      </c>
      <c r="Q560" s="24"/>
      <c r="R560" s="23">
        <f>HYPERLINK("https://app.hubspot.com/contacts/8748051/record/0-2/8929923999", 8929923999)</f>
        <v>8929923999</v>
      </c>
      <c r="S560" s="24" t="s">
        <v>1933</v>
      </c>
      <c r="T560" s="28" t="s">
        <v>1934</v>
      </c>
      <c r="U560" s="24" t="s">
        <v>47</v>
      </c>
      <c r="V560" s="24"/>
      <c r="W560" s="25"/>
      <c r="X560" s="29">
        <v>456.0</v>
      </c>
      <c r="Y560" s="29">
        <v>58.0</v>
      </c>
      <c r="Z560" s="30"/>
      <c r="AA560" s="30"/>
      <c r="AB560" s="31"/>
      <c r="AC560" s="31"/>
      <c r="AD560" s="30"/>
      <c r="AE560" s="31"/>
      <c r="AF560" s="30"/>
      <c r="AG560" s="27" t="str">
        <f t="shared" si="1"/>
        <v>New Logo</v>
      </c>
      <c r="AH560" s="27" t="str">
        <f t="shared" si="5"/>
        <v>Lead</v>
      </c>
      <c r="AI560" s="27" t="str">
        <f t="shared" si="6"/>
        <v>201-500</v>
      </c>
      <c r="AJ560" s="27" t="str">
        <f t="shared" si="7"/>
        <v>51-100</v>
      </c>
    </row>
    <row r="561" ht="15.75" customHeight="1">
      <c r="A561" s="23">
        <f>HYPERLINK("https://app.hubspot.com/contacts/8748051/record/0-3/18406472510", 18406472510)</f>
        <v>18406472510</v>
      </c>
      <c r="B561" s="24" t="s">
        <v>1935</v>
      </c>
      <c r="C561" s="24" t="s">
        <v>148</v>
      </c>
      <c r="D561" s="25">
        <v>12720.0</v>
      </c>
      <c r="E561" s="24" t="s">
        <v>73</v>
      </c>
      <c r="F561" s="24"/>
      <c r="G561" s="26">
        <v>45385.55604166666</v>
      </c>
      <c r="H561" s="26">
        <v>45568.5421875</v>
      </c>
      <c r="I561" s="24" t="s">
        <v>40</v>
      </c>
      <c r="J561" s="24" t="s">
        <v>41</v>
      </c>
      <c r="K561" s="24" t="s">
        <v>1187</v>
      </c>
      <c r="L561" s="24" t="s">
        <v>560</v>
      </c>
      <c r="M561" s="24" t="s">
        <v>44</v>
      </c>
      <c r="N561" s="27"/>
      <c r="O561" s="27"/>
      <c r="P561" s="24"/>
      <c r="Q561" s="24"/>
      <c r="R561" s="23">
        <f>HYPERLINK("https://app.hubspot.com/contacts/8748051/record/0-2/9596997709", 9596997709)</f>
        <v>9596997709</v>
      </c>
      <c r="S561" s="24" t="s">
        <v>1936</v>
      </c>
      <c r="T561" s="28" t="s">
        <v>1937</v>
      </c>
      <c r="U561" s="24" t="s">
        <v>47</v>
      </c>
      <c r="V561" s="24"/>
      <c r="W561" s="32"/>
      <c r="X561" s="29">
        <v>153.0</v>
      </c>
      <c r="Y561" s="29">
        <v>62.0</v>
      </c>
      <c r="Z561" s="30" t="s">
        <v>71</v>
      </c>
      <c r="AA561" s="31"/>
      <c r="AB561" s="31"/>
      <c r="AC561" s="31"/>
      <c r="AD561" s="31"/>
      <c r="AE561" s="31"/>
      <c r="AF561" s="31"/>
      <c r="AG561" s="27" t="str">
        <f t="shared" si="1"/>
        <v>New Logo</v>
      </c>
      <c r="AH561" s="27" t="str">
        <f t="shared" si="5"/>
        <v>Lead</v>
      </c>
      <c r="AI561" s="27" t="str">
        <f t="shared" si="6"/>
        <v>0-200</v>
      </c>
      <c r="AJ561" s="27" t="str">
        <f t="shared" si="7"/>
        <v>51-100</v>
      </c>
    </row>
    <row r="562" ht="15.75" customHeight="1">
      <c r="A562" s="23">
        <f>HYPERLINK("https://app.hubspot.com/contacts/8748051/record/0-3/18406481524", 18406481524)</f>
        <v>18406481524</v>
      </c>
      <c r="B562" s="24" t="s">
        <v>1938</v>
      </c>
      <c r="C562" s="24" t="s">
        <v>148</v>
      </c>
      <c r="D562" s="25">
        <v>5280.0</v>
      </c>
      <c r="E562" s="24" t="s">
        <v>73</v>
      </c>
      <c r="F562" s="24"/>
      <c r="G562" s="26">
        <v>45385.54180555556</v>
      </c>
      <c r="H562" s="26">
        <v>45568.540601851855</v>
      </c>
      <c r="I562" s="24" t="s">
        <v>40</v>
      </c>
      <c r="J562" s="24" t="s">
        <v>41</v>
      </c>
      <c r="K562" s="24" t="s">
        <v>1187</v>
      </c>
      <c r="L562" s="24" t="s">
        <v>178</v>
      </c>
      <c r="M562" s="24" t="s">
        <v>44</v>
      </c>
      <c r="N562" s="27"/>
      <c r="O562" s="24"/>
      <c r="P562" s="24" t="s">
        <v>122</v>
      </c>
      <c r="Q562" s="27"/>
      <c r="R562" s="23">
        <f>HYPERLINK("https://app.hubspot.com/contacts/8748051/record/0-2/8142338612", 8142338612)</f>
        <v>8142338612</v>
      </c>
      <c r="S562" s="24" t="s">
        <v>1939</v>
      </c>
      <c r="T562" s="28" t="s">
        <v>1940</v>
      </c>
      <c r="U562" s="24" t="s">
        <v>47</v>
      </c>
      <c r="V562" s="24"/>
      <c r="W562" s="32"/>
      <c r="X562" s="29">
        <v>223.0</v>
      </c>
      <c r="Y562" s="29">
        <v>22.0</v>
      </c>
      <c r="Z562" s="30"/>
      <c r="AA562" s="31"/>
      <c r="AB562" s="31"/>
      <c r="AC562" s="31"/>
      <c r="AD562" s="31"/>
      <c r="AE562" s="31"/>
      <c r="AF562" s="31"/>
      <c r="AG562" s="27" t="str">
        <f t="shared" si="1"/>
        <v>New Logo</v>
      </c>
      <c r="AH562" s="27" t="str">
        <f t="shared" si="5"/>
        <v>Lead</v>
      </c>
      <c r="AI562" s="27" t="str">
        <f t="shared" si="6"/>
        <v>201-500</v>
      </c>
      <c r="AJ562" s="27" t="str">
        <f t="shared" si="7"/>
        <v>21-50</v>
      </c>
    </row>
    <row r="563" ht="15.75" customHeight="1">
      <c r="A563" s="23">
        <f>HYPERLINK("https://app.hubspot.com/contacts/8748051/record/0-3/18406279072", 18406279072)</f>
        <v>18406279072</v>
      </c>
      <c r="B563" s="24" t="s">
        <v>1941</v>
      </c>
      <c r="C563" s="24" t="s">
        <v>50</v>
      </c>
      <c r="D563" s="25">
        <v>17760.0</v>
      </c>
      <c r="E563" s="24" t="s">
        <v>73</v>
      </c>
      <c r="F563" s="24"/>
      <c r="G563" s="26">
        <v>45385.53800925926</v>
      </c>
      <c r="H563" s="26">
        <v>45568.537627314814</v>
      </c>
      <c r="I563" s="24" t="s">
        <v>40</v>
      </c>
      <c r="J563" s="24" t="s">
        <v>41</v>
      </c>
      <c r="K563" s="24" t="s">
        <v>1187</v>
      </c>
      <c r="L563" s="24" t="s">
        <v>178</v>
      </c>
      <c r="M563" s="24" t="s">
        <v>44</v>
      </c>
      <c r="N563" s="27"/>
      <c r="O563" s="24"/>
      <c r="P563" s="24" t="s">
        <v>122</v>
      </c>
      <c r="Q563" s="24"/>
      <c r="R563" s="23">
        <f>HYPERLINK("https://app.hubspot.com/contacts/8748051/record/0-2/9086663713", 9086663713)</f>
        <v>9086663713</v>
      </c>
      <c r="S563" s="24" t="s">
        <v>1942</v>
      </c>
      <c r="T563" s="28" t="s">
        <v>1943</v>
      </c>
      <c r="U563" s="24" t="s">
        <v>47</v>
      </c>
      <c r="V563" s="24"/>
      <c r="W563" s="32"/>
      <c r="X563" s="29">
        <v>827.0</v>
      </c>
      <c r="Y563" s="29">
        <v>189.0</v>
      </c>
      <c r="Z563" s="30" t="s">
        <v>81</v>
      </c>
      <c r="AA563" s="31"/>
      <c r="AB563" s="31"/>
      <c r="AC563" s="31"/>
      <c r="AD563" s="31"/>
      <c r="AE563" s="31"/>
      <c r="AF563" s="31"/>
      <c r="AG563" s="27" t="str">
        <f t="shared" si="1"/>
        <v>New Logo</v>
      </c>
      <c r="AH563" s="27" t="str">
        <f t="shared" si="5"/>
        <v>Lead</v>
      </c>
      <c r="AI563" s="27" t="str">
        <f t="shared" si="6"/>
        <v>501-1000</v>
      </c>
      <c r="AJ563" s="27" t="str">
        <f t="shared" si="7"/>
        <v>101-500</v>
      </c>
    </row>
    <row r="564" ht="15.75" customHeight="1">
      <c r="A564" s="23">
        <f>HYPERLINK("https://app.hubspot.com/contacts/8748051/record/0-3/18403770891", 18403770891)</f>
        <v>18403770891</v>
      </c>
      <c r="B564" s="24" t="s">
        <v>1944</v>
      </c>
      <c r="C564" s="24" t="s">
        <v>38</v>
      </c>
      <c r="D564" s="25">
        <v>75000.0</v>
      </c>
      <c r="E564" s="24" t="s">
        <v>127</v>
      </c>
      <c r="F564" s="24" t="s">
        <v>52</v>
      </c>
      <c r="G564" s="26">
        <v>45385.469375</v>
      </c>
      <c r="H564" s="26">
        <v>45747.85159722222</v>
      </c>
      <c r="I564" s="24" t="s">
        <v>40</v>
      </c>
      <c r="J564" s="24" t="s">
        <v>41</v>
      </c>
      <c r="K564" s="24" t="s">
        <v>60</v>
      </c>
      <c r="L564" s="24" t="s">
        <v>178</v>
      </c>
      <c r="M564" s="24" t="s">
        <v>44</v>
      </c>
      <c r="N564" s="27"/>
      <c r="O564" s="24"/>
      <c r="P564" s="24"/>
      <c r="Q564" s="27"/>
      <c r="R564" s="23">
        <f>HYPERLINK("https://app.hubspot.com/contacts/8748051/record/0-2/7420318749", 7420318749)</f>
        <v>7420318749</v>
      </c>
      <c r="S564" s="24" t="s">
        <v>1945</v>
      </c>
      <c r="T564" s="28" t="s">
        <v>1946</v>
      </c>
      <c r="U564" s="24" t="s">
        <v>47</v>
      </c>
      <c r="V564" s="24"/>
      <c r="W564" s="32"/>
      <c r="X564" s="29">
        <v>1998.0</v>
      </c>
      <c r="Y564" s="29">
        <v>340.0</v>
      </c>
      <c r="Z564" s="30" t="s">
        <v>125</v>
      </c>
      <c r="AA564" s="31"/>
      <c r="AB564" s="31"/>
      <c r="AC564" s="31"/>
      <c r="AD564" s="31"/>
      <c r="AE564" s="31"/>
      <c r="AF564" s="31"/>
      <c r="AG564" s="27" t="str">
        <f t="shared" si="1"/>
        <v>New Logo</v>
      </c>
      <c r="AH564" s="27" t="str">
        <f t="shared" si="5"/>
        <v>Lead</v>
      </c>
      <c r="AI564" s="27" t="str">
        <f t="shared" si="6"/>
        <v>1001-5000</v>
      </c>
      <c r="AJ564" s="27" t="str">
        <f t="shared" si="7"/>
        <v>101-500</v>
      </c>
    </row>
    <row r="565" ht="15.75" customHeight="1">
      <c r="A565" s="23">
        <f>HYPERLINK("https://app.hubspot.com/contacts/8748051/record/0-3/18382529655", 18382529655)</f>
        <v>18382529655</v>
      </c>
      <c r="B565" s="24" t="s">
        <v>1947</v>
      </c>
      <c r="C565" s="24" t="s">
        <v>50</v>
      </c>
      <c r="D565" s="25">
        <v>10000.0</v>
      </c>
      <c r="E565" s="24" t="s">
        <v>149</v>
      </c>
      <c r="F565" s="24" t="s">
        <v>52</v>
      </c>
      <c r="G565" s="26">
        <v>45384.56715277778</v>
      </c>
      <c r="H565" s="26">
        <v>45432.00865740741</v>
      </c>
      <c r="I565" s="24" t="s">
        <v>40</v>
      </c>
      <c r="J565" s="24" t="s">
        <v>41</v>
      </c>
      <c r="K565" s="24" t="s">
        <v>1187</v>
      </c>
      <c r="L565" s="24" t="s">
        <v>178</v>
      </c>
      <c r="M565" s="24" t="s">
        <v>44</v>
      </c>
      <c r="N565" s="27"/>
      <c r="O565" s="24" t="s">
        <v>1948</v>
      </c>
      <c r="P565" s="24"/>
      <c r="Q565" s="27"/>
      <c r="R565" s="23">
        <f>HYPERLINK("https://app.hubspot.com/contacts/8748051/record/0-2/9186947975", 9186947975)</f>
        <v>9186947975</v>
      </c>
      <c r="S565" s="24" t="s">
        <v>1949</v>
      </c>
      <c r="T565" s="24" t="s">
        <v>1950</v>
      </c>
      <c r="U565" s="24" t="s">
        <v>47</v>
      </c>
      <c r="V565" s="24"/>
      <c r="W565" s="32"/>
      <c r="X565" s="29">
        <v>197.0</v>
      </c>
      <c r="Y565" s="29">
        <v>40.0</v>
      </c>
      <c r="Z565" s="30" t="s">
        <v>108</v>
      </c>
      <c r="AA565" s="31"/>
      <c r="AB565" s="31"/>
      <c r="AC565" s="31"/>
      <c r="AD565" s="31"/>
      <c r="AE565" s="31"/>
      <c r="AF565" s="31"/>
      <c r="AG565" s="27" t="str">
        <f t="shared" si="1"/>
        <v>New Logo</v>
      </c>
      <c r="AH565" s="27" t="str">
        <f t="shared" si="5"/>
        <v>Lead</v>
      </c>
      <c r="AI565" s="27" t="str">
        <f t="shared" si="6"/>
        <v>0-200</v>
      </c>
      <c r="AJ565" s="27" t="str">
        <f t="shared" si="7"/>
        <v>21-50</v>
      </c>
    </row>
    <row r="566" ht="15.75" customHeight="1">
      <c r="A566" s="23">
        <f>HYPERLINK("https://app.hubspot.com/contacts/8748051/record/0-3/18377682338", 18377682338)</f>
        <v>18377682338</v>
      </c>
      <c r="B566" s="24" t="s">
        <v>1951</v>
      </c>
      <c r="C566" s="24" t="s">
        <v>50</v>
      </c>
      <c r="D566" s="25">
        <v>4560.0</v>
      </c>
      <c r="E566" s="24" t="s">
        <v>73</v>
      </c>
      <c r="F566" s="24"/>
      <c r="G566" s="26">
        <v>45384.34662037037</v>
      </c>
      <c r="H566" s="26">
        <v>45567.34627314815</v>
      </c>
      <c r="I566" s="24" t="s">
        <v>40</v>
      </c>
      <c r="J566" s="24" t="s">
        <v>41</v>
      </c>
      <c r="K566" s="24" t="s">
        <v>559</v>
      </c>
      <c r="L566" s="24" t="s">
        <v>560</v>
      </c>
      <c r="M566" s="24" t="s">
        <v>44</v>
      </c>
      <c r="N566" s="27"/>
      <c r="O566" s="24"/>
      <c r="P566" s="24" t="s">
        <v>75</v>
      </c>
      <c r="Q566" s="24"/>
      <c r="R566" s="23">
        <f>HYPERLINK("https://app.hubspot.com/contacts/8748051/record/0-2/19176617366", 19176617366)</f>
        <v>19176617366</v>
      </c>
      <c r="S566" s="24" t="s">
        <v>1952</v>
      </c>
      <c r="T566" s="28" t="s">
        <v>1953</v>
      </c>
      <c r="U566" s="24" t="s">
        <v>47</v>
      </c>
      <c r="V566" s="24"/>
      <c r="W566" s="25"/>
      <c r="X566" s="29">
        <v>149.0</v>
      </c>
      <c r="Y566" s="29">
        <v>31.0</v>
      </c>
      <c r="Z566" s="30" t="s">
        <v>108</v>
      </c>
      <c r="AA566" s="30"/>
      <c r="AB566" s="31"/>
      <c r="AC566" s="30"/>
      <c r="AD566" s="30"/>
      <c r="AE566" s="31"/>
      <c r="AF566" s="30"/>
      <c r="AG566" s="27" t="str">
        <f t="shared" si="1"/>
        <v>New Logo</v>
      </c>
      <c r="AH566" s="27" t="str">
        <f t="shared" si="5"/>
        <v>Lead</v>
      </c>
      <c r="AI566" s="27" t="str">
        <f t="shared" si="6"/>
        <v>0-200</v>
      </c>
      <c r="AJ566" s="27" t="str">
        <f t="shared" si="7"/>
        <v>21-50</v>
      </c>
    </row>
    <row r="567" ht="15.75" customHeight="1">
      <c r="A567" s="23">
        <f>HYPERLINK("https://app.hubspot.com/contacts/8748051/record/0-3/18377681450", 18377681450)</f>
        <v>18377681450</v>
      </c>
      <c r="B567" s="24" t="s">
        <v>1954</v>
      </c>
      <c r="C567" s="24" t="s">
        <v>50</v>
      </c>
      <c r="D567" s="25">
        <v>157680.0</v>
      </c>
      <c r="E567" s="24" t="s">
        <v>73</v>
      </c>
      <c r="F567" s="27"/>
      <c r="G567" s="26">
        <v>45384.34049768518</v>
      </c>
      <c r="H567" s="26">
        <v>45567.340092592596</v>
      </c>
      <c r="I567" s="24" t="s">
        <v>40</v>
      </c>
      <c r="J567" s="24" t="s">
        <v>41</v>
      </c>
      <c r="K567" s="24" t="s">
        <v>1187</v>
      </c>
      <c r="L567" s="24" t="s">
        <v>178</v>
      </c>
      <c r="M567" s="24" t="s">
        <v>44</v>
      </c>
      <c r="N567" s="27"/>
      <c r="O567" s="27"/>
      <c r="P567" s="24" t="s">
        <v>213</v>
      </c>
      <c r="Q567" s="27"/>
      <c r="R567" s="23">
        <f>HYPERLINK("https://app.hubspot.com/contacts/8748051/record/0-2/18832172188", 18832172188)</f>
        <v>18832172188</v>
      </c>
      <c r="S567" s="24" t="s">
        <v>1955</v>
      </c>
      <c r="T567" s="28" t="s">
        <v>1956</v>
      </c>
      <c r="U567" s="24" t="s">
        <v>47</v>
      </c>
      <c r="V567" s="24"/>
      <c r="W567" s="32"/>
      <c r="X567" s="29">
        <v>9906.0</v>
      </c>
      <c r="Y567" s="29">
        <v>755.0</v>
      </c>
      <c r="Z567" s="30" t="s">
        <v>56</v>
      </c>
      <c r="AA567" s="31"/>
      <c r="AB567" s="31"/>
      <c r="AC567" s="31"/>
      <c r="AD567" s="31"/>
      <c r="AE567" s="31"/>
      <c r="AF567" s="31"/>
      <c r="AG567" s="27" t="str">
        <f t="shared" si="1"/>
        <v>New Logo</v>
      </c>
      <c r="AH567" s="27" t="str">
        <f t="shared" si="5"/>
        <v>Lead</v>
      </c>
      <c r="AI567" s="27" t="str">
        <f t="shared" si="6"/>
        <v>5000-10000</v>
      </c>
      <c r="AJ567" s="27" t="str">
        <f t="shared" si="7"/>
        <v>500+</v>
      </c>
    </row>
    <row r="568" ht="15.75" customHeight="1">
      <c r="A568" s="23">
        <f>HYPERLINK("https://app.hubspot.com/contacts/8748051/record/0-3/18377681310", 18377681310)</f>
        <v>18377681310</v>
      </c>
      <c r="B568" s="24" t="s">
        <v>1957</v>
      </c>
      <c r="C568" s="24" t="s">
        <v>1009</v>
      </c>
      <c r="D568" s="25">
        <v>12960.0</v>
      </c>
      <c r="E568" s="24" t="s">
        <v>73</v>
      </c>
      <c r="F568" s="24"/>
      <c r="G568" s="26">
        <v>45384.339733796296</v>
      </c>
      <c r="H568" s="26">
        <v>45567.33903935185</v>
      </c>
      <c r="I568" s="24" t="s">
        <v>40</v>
      </c>
      <c r="J568" s="24" t="s">
        <v>41</v>
      </c>
      <c r="K568" s="24" t="s">
        <v>1187</v>
      </c>
      <c r="L568" s="24" t="s">
        <v>178</v>
      </c>
      <c r="M568" s="24" t="s">
        <v>44</v>
      </c>
      <c r="N568" s="27"/>
      <c r="O568" s="24"/>
      <c r="P568" s="24" t="s">
        <v>75</v>
      </c>
      <c r="Q568" s="27"/>
      <c r="R568" s="23">
        <f>HYPERLINK("https://app.hubspot.com/contacts/8748051/record/0-2/8207782760", 8207782760)</f>
        <v>8207782760</v>
      </c>
      <c r="S568" s="24" t="s">
        <v>1958</v>
      </c>
      <c r="T568" s="28" t="s">
        <v>1959</v>
      </c>
      <c r="U568" s="24" t="s">
        <v>47</v>
      </c>
      <c r="V568" s="24"/>
      <c r="W568" s="25"/>
      <c r="X568" s="29">
        <v>2203.0</v>
      </c>
      <c r="Y568" s="29">
        <v>120.0</v>
      </c>
      <c r="Z568" s="30" t="s">
        <v>108</v>
      </c>
      <c r="AA568" s="30"/>
      <c r="AB568" s="31"/>
      <c r="AC568" s="30"/>
      <c r="AD568" s="30"/>
      <c r="AE568" s="31"/>
      <c r="AF568" s="30"/>
      <c r="AG568" s="27" t="str">
        <f t="shared" si="1"/>
        <v>New Logo</v>
      </c>
      <c r="AH568" s="27" t="str">
        <f t="shared" si="5"/>
        <v>Lead</v>
      </c>
      <c r="AI568" s="27" t="str">
        <f t="shared" si="6"/>
        <v>1001-5000</v>
      </c>
      <c r="AJ568" s="27" t="str">
        <f t="shared" si="7"/>
        <v>101-500</v>
      </c>
    </row>
    <row r="569" ht="15.75" customHeight="1">
      <c r="A569" s="23">
        <f>HYPERLINK("https://app.hubspot.com/contacts/8748051/record/0-3/18377681022", 18377681022)</f>
        <v>18377681022</v>
      </c>
      <c r="B569" s="24" t="s">
        <v>1960</v>
      </c>
      <c r="C569" s="24" t="s">
        <v>38</v>
      </c>
      <c r="D569" s="25">
        <v>5760.0</v>
      </c>
      <c r="E569" s="24" t="s">
        <v>73</v>
      </c>
      <c r="F569" s="24"/>
      <c r="G569" s="26">
        <v>45384.337685185186</v>
      </c>
      <c r="H569" s="26">
        <v>45567.336863425924</v>
      </c>
      <c r="I569" s="24" t="s">
        <v>40</v>
      </c>
      <c r="J569" s="24" t="s">
        <v>41</v>
      </c>
      <c r="K569" s="24" t="s">
        <v>1187</v>
      </c>
      <c r="L569" s="24" t="s">
        <v>178</v>
      </c>
      <c r="M569" s="24" t="s">
        <v>44</v>
      </c>
      <c r="N569" s="27"/>
      <c r="O569" s="27"/>
      <c r="P569" s="24" t="s">
        <v>122</v>
      </c>
      <c r="Q569" s="24"/>
      <c r="R569" s="23">
        <f>HYPERLINK("https://app.hubspot.com/contacts/8748051/record/0-2/17208326188", 17208326188)</f>
        <v>17208326188</v>
      </c>
      <c r="S569" s="24" t="s">
        <v>1961</v>
      </c>
      <c r="T569" s="28" t="s">
        <v>1962</v>
      </c>
      <c r="U569" s="24" t="s">
        <v>47</v>
      </c>
      <c r="V569" s="24"/>
      <c r="W569" s="32"/>
      <c r="X569" s="29">
        <v>234.0</v>
      </c>
      <c r="Y569" s="29">
        <v>38.0</v>
      </c>
      <c r="Z569" s="30" t="s">
        <v>71</v>
      </c>
      <c r="AA569" s="31"/>
      <c r="AB569" s="31"/>
      <c r="AC569" s="31"/>
      <c r="AD569" s="31"/>
      <c r="AE569" s="31"/>
      <c r="AF569" s="31"/>
      <c r="AG569" s="27" t="str">
        <f t="shared" si="1"/>
        <v>New Logo</v>
      </c>
      <c r="AH569" s="27" t="str">
        <f t="shared" si="5"/>
        <v>Lead</v>
      </c>
      <c r="AI569" s="27" t="str">
        <f t="shared" si="6"/>
        <v>201-500</v>
      </c>
      <c r="AJ569" s="27" t="str">
        <f t="shared" si="7"/>
        <v>21-50</v>
      </c>
    </row>
    <row r="570" ht="15.75" customHeight="1">
      <c r="A570" s="23">
        <f>HYPERLINK("https://app.hubspot.com/contacts/8748051/record/0-3/18362784067", 18362784067)</f>
        <v>18362784067</v>
      </c>
      <c r="B570" s="24" t="s">
        <v>1963</v>
      </c>
      <c r="C570" s="24" t="s">
        <v>50</v>
      </c>
      <c r="D570" s="25">
        <v>6480.0</v>
      </c>
      <c r="E570" s="24" t="s">
        <v>73</v>
      </c>
      <c r="F570" s="24"/>
      <c r="G570" s="26">
        <v>45383.67234953704</v>
      </c>
      <c r="H570" s="26">
        <v>45566.671875</v>
      </c>
      <c r="I570" s="24" t="s">
        <v>40</v>
      </c>
      <c r="J570" s="24" t="s">
        <v>41</v>
      </c>
      <c r="K570" s="24" t="s">
        <v>1187</v>
      </c>
      <c r="L570" s="24" t="s">
        <v>178</v>
      </c>
      <c r="M570" s="24" t="s">
        <v>44</v>
      </c>
      <c r="N570" s="27"/>
      <c r="O570" s="27"/>
      <c r="P570" s="24" t="s">
        <v>75</v>
      </c>
      <c r="Q570" s="24"/>
      <c r="R570" s="23">
        <f>HYPERLINK("https://app.hubspot.com/contacts/8748051/record/0-2/5851830646", 5851830646)</f>
        <v>5851830646</v>
      </c>
      <c r="S570" s="24" t="s">
        <v>1964</v>
      </c>
      <c r="T570" s="28" t="s">
        <v>1965</v>
      </c>
      <c r="U570" s="24" t="s">
        <v>47</v>
      </c>
      <c r="V570" s="24"/>
      <c r="W570" s="32"/>
      <c r="X570" s="29">
        <v>130.0</v>
      </c>
      <c r="Y570" s="29">
        <v>30.0</v>
      </c>
      <c r="Z570" s="30"/>
      <c r="AA570" s="31"/>
      <c r="AB570" s="31"/>
      <c r="AC570" s="31"/>
      <c r="AD570" s="31"/>
      <c r="AE570" s="31"/>
      <c r="AF570" s="31"/>
      <c r="AG570" s="27" t="str">
        <f t="shared" si="1"/>
        <v>New Logo</v>
      </c>
      <c r="AH570" s="27" t="str">
        <f t="shared" si="5"/>
        <v>Lead</v>
      </c>
      <c r="AI570" s="27" t="str">
        <f t="shared" si="6"/>
        <v>0-200</v>
      </c>
      <c r="AJ570" s="27" t="str">
        <f t="shared" si="7"/>
        <v>21-50</v>
      </c>
    </row>
    <row r="571" ht="15.75" customHeight="1">
      <c r="A571" s="23">
        <f>HYPERLINK("https://app.hubspot.com/contacts/8748051/record/0-3/18363319042", 18363319042)</f>
        <v>18363319042</v>
      </c>
      <c r="B571" s="24" t="s">
        <v>1966</v>
      </c>
      <c r="C571" s="24" t="s">
        <v>38</v>
      </c>
      <c r="D571" s="25">
        <v>240.0</v>
      </c>
      <c r="E571" s="24" t="s">
        <v>73</v>
      </c>
      <c r="F571" s="24"/>
      <c r="G571" s="26">
        <v>45383.611180555556</v>
      </c>
      <c r="H571" s="26">
        <v>45566.610671296294</v>
      </c>
      <c r="I571" s="24" t="s">
        <v>40</v>
      </c>
      <c r="J571" s="24" t="s">
        <v>41</v>
      </c>
      <c r="K571" s="24" t="s">
        <v>1187</v>
      </c>
      <c r="L571" s="24" t="s">
        <v>560</v>
      </c>
      <c r="M571" s="24" t="s">
        <v>44</v>
      </c>
      <c r="N571" s="27"/>
      <c r="O571" s="27"/>
      <c r="P571" s="24" t="s">
        <v>122</v>
      </c>
      <c r="Q571" s="24"/>
      <c r="R571" s="23">
        <f>HYPERLINK("https://app.hubspot.com/contacts/8748051/record/0-2/18382764727", 18382764727)</f>
        <v>18382764727</v>
      </c>
      <c r="S571" s="24" t="s">
        <v>1967</v>
      </c>
      <c r="T571" s="28" t="s">
        <v>1968</v>
      </c>
      <c r="U571" s="24" t="s">
        <v>47</v>
      </c>
      <c r="V571" s="24"/>
      <c r="W571" s="32"/>
      <c r="X571" s="29">
        <v>310.0</v>
      </c>
      <c r="Y571" s="29">
        <v>6.0</v>
      </c>
      <c r="Z571" s="30"/>
      <c r="AA571" s="31"/>
      <c r="AB571" s="31"/>
      <c r="AC571" s="31"/>
      <c r="AD571" s="31"/>
      <c r="AE571" s="31"/>
      <c r="AF571" s="31"/>
      <c r="AG571" s="27" t="str">
        <f t="shared" si="1"/>
        <v>New Logo</v>
      </c>
      <c r="AH571" s="27" t="str">
        <f t="shared" si="5"/>
        <v>Lead</v>
      </c>
      <c r="AI571" s="27" t="str">
        <f t="shared" si="6"/>
        <v>201-500</v>
      </c>
      <c r="AJ571" s="27" t="str">
        <f t="shared" si="7"/>
        <v>0-20</v>
      </c>
    </row>
    <row r="572" ht="15.75" customHeight="1">
      <c r="A572" s="23">
        <f>HYPERLINK("https://app.hubspot.com/contacts/8748051/record/0-3/18357121384", 18357121384)</f>
        <v>18357121384</v>
      </c>
      <c r="B572" s="24" t="s">
        <v>1969</v>
      </c>
      <c r="C572" s="24" t="s">
        <v>1009</v>
      </c>
      <c r="D572" s="25">
        <v>69120.0</v>
      </c>
      <c r="E572" s="24" t="s">
        <v>73</v>
      </c>
      <c r="F572" s="24"/>
      <c r="G572" s="26">
        <v>45383.31452546296</v>
      </c>
      <c r="H572" s="26">
        <v>45566.313622685186</v>
      </c>
      <c r="I572" s="24" t="s">
        <v>40</v>
      </c>
      <c r="J572" s="24" t="s">
        <v>53</v>
      </c>
      <c r="K572" s="24" t="s">
        <v>60</v>
      </c>
      <c r="L572" s="24" t="s">
        <v>178</v>
      </c>
      <c r="M572" s="24" t="s">
        <v>74</v>
      </c>
      <c r="N572" s="27"/>
      <c r="O572" s="24"/>
      <c r="P572" s="24" t="s">
        <v>234</v>
      </c>
      <c r="Q572" s="24"/>
      <c r="R572" s="23">
        <f>HYPERLINK("https://app.hubspot.com/contacts/8748051/record/0-2/8879983211", 8879983211)</f>
        <v>8879983211</v>
      </c>
      <c r="S572" s="24" t="s">
        <v>1970</v>
      </c>
      <c r="T572" s="28" t="s">
        <v>1971</v>
      </c>
      <c r="U572" s="24" t="s">
        <v>47</v>
      </c>
      <c r="V572" s="24"/>
      <c r="W572" s="32"/>
      <c r="X572" s="29">
        <v>1504.0</v>
      </c>
      <c r="Y572" s="29">
        <v>431.0</v>
      </c>
      <c r="Z572" s="30" t="s">
        <v>125</v>
      </c>
      <c r="AA572" s="31"/>
      <c r="AB572" s="31"/>
      <c r="AC572" s="31"/>
      <c r="AD572" s="31"/>
      <c r="AE572" s="31"/>
      <c r="AF572" s="31"/>
      <c r="AG572" s="27" t="str">
        <f t="shared" si="1"/>
        <v>New Logo</v>
      </c>
      <c r="AH572" s="27" t="str">
        <f t="shared" si="5"/>
        <v>Lead</v>
      </c>
      <c r="AI572" s="27" t="str">
        <f t="shared" si="6"/>
        <v>1001-5000</v>
      </c>
      <c r="AJ572" s="27" t="str">
        <f t="shared" si="7"/>
        <v>101-500</v>
      </c>
    </row>
    <row r="573" ht="15.75" customHeight="1">
      <c r="A573" s="23">
        <f>HYPERLINK("https://app.hubspot.com/contacts/8748051/record/0-3/18357121301", 18357121301)</f>
        <v>18357121301</v>
      </c>
      <c r="B573" s="24" t="s">
        <v>1972</v>
      </c>
      <c r="C573" s="24" t="s">
        <v>38</v>
      </c>
      <c r="D573" s="25">
        <v>16560.0</v>
      </c>
      <c r="E573" s="24" t="s">
        <v>73</v>
      </c>
      <c r="F573" s="24"/>
      <c r="G573" s="26">
        <v>45383.312939814816</v>
      </c>
      <c r="H573" s="26">
        <v>45566.31238425926</v>
      </c>
      <c r="I573" s="24" t="s">
        <v>40</v>
      </c>
      <c r="J573" s="24" t="s">
        <v>41</v>
      </c>
      <c r="K573" s="24" t="s">
        <v>60</v>
      </c>
      <c r="L573" s="24" t="s">
        <v>178</v>
      </c>
      <c r="M573" s="24" t="s">
        <v>74</v>
      </c>
      <c r="N573" s="27"/>
      <c r="O573" s="24"/>
      <c r="P573" s="24" t="s">
        <v>122</v>
      </c>
      <c r="Q573" s="27"/>
      <c r="R573" s="23">
        <f>HYPERLINK("https://app.hubspot.com/contacts/8748051/record/0-2/8142384926", 8142384926)</f>
        <v>8142384926</v>
      </c>
      <c r="S573" s="24" t="s">
        <v>1973</v>
      </c>
      <c r="T573" s="28" t="s">
        <v>1974</v>
      </c>
      <c r="U573" s="24" t="s">
        <v>47</v>
      </c>
      <c r="V573" s="24"/>
      <c r="W573" s="25"/>
      <c r="X573" s="29">
        <v>694.0</v>
      </c>
      <c r="Y573" s="29">
        <v>70.0</v>
      </c>
      <c r="Z573" s="30" t="s">
        <v>56</v>
      </c>
      <c r="AA573" s="30"/>
      <c r="AB573" s="31"/>
      <c r="AC573" s="30"/>
      <c r="AD573" s="30"/>
      <c r="AE573" s="31"/>
      <c r="AF573" s="30"/>
      <c r="AG573" s="27" t="str">
        <f t="shared" si="1"/>
        <v>New Logo</v>
      </c>
      <c r="AH573" s="27" t="str">
        <f t="shared" si="5"/>
        <v>Lead</v>
      </c>
      <c r="AI573" s="27" t="str">
        <f t="shared" si="6"/>
        <v>501-1000</v>
      </c>
      <c r="AJ573" s="27" t="str">
        <f t="shared" si="7"/>
        <v>51-100</v>
      </c>
    </row>
    <row r="574" ht="15.75" customHeight="1">
      <c r="A574" s="23">
        <f>HYPERLINK("https://app.hubspot.com/contacts/8748051/record/0-3/18309555983", 18309555983)</f>
        <v>18309555983</v>
      </c>
      <c r="B574" s="24" t="s">
        <v>1975</v>
      </c>
      <c r="C574" s="24" t="s">
        <v>38</v>
      </c>
      <c r="D574" s="25">
        <v>20400.0</v>
      </c>
      <c r="E574" s="24" t="s">
        <v>73</v>
      </c>
      <c r="F574" s="24"/>
      <c r="G574" s="26">
        <v>45380.49519675926</v>
      </c>
      <c r="H574" s="26">
        <v>45564.494942129626</v>
      </c>
      <c r="I574" s="24" t="s">
        <v>40</v>
      </c>
      <c r="J574" s="24" t="s">
        <v>41</v>
      </c>
      <c r="K574" s="24" t="s">
        <v>1187</v>
      </c>
      <c r="L574" s="24" t="s">
        <v>560</v>
      </c>
      <c r="M574" s="24" t="s">
        <v>44</v>
      </c>
      <c r="N574" s="24"/>
      <c r="O574" s="24"/>
      <c r="P574" s="24" t="s">
        <v>75</v>
      </c>
      <c r="Q574" s="27"/>
      <c r="R574" s="23">
        <f>HYPERLINK("https://app.hubspot.com/contacts/8748051/record/0-2/8141927813", 8141927813)</f>
        <v>8141927813</v>
      </c>
      <c r="S574" s="24" t="s">
        <v>1976</v>
      </c>
      <c r="T574" s="28" t="s">
        <v>1977</v>
      </c>
      <c r="U574" s="24" t="s">
        <v>47</v>
      </c>
      <c r="V574" s="24"/>
      <c r="W574" s="25"/>
      <c r="X574" s="29">
        <v>370.0</v>
      </c>
      <c r="Y574" s="29">
        <v>67.0</v>
      </c>
      <c r="Z574" s="30" t="s">
        <v>71</v>
      </c>
      <c r="AA574" s="30"/>
      <c r="AB574" s="31"/>
      <c r="AC574" s="30"/>
      <c r="AD574" s="30"/>
      <c r="AE574" s="31"/>
      <c r="AF574" s="30"/>
      <c r="AG574" s="27" t="str">
        <f t="shared" si="1"/>
        <v>New Logo</v>
      </c>
      <c r="AH574" s="27" t="str">
        <f t="shared" si="5"/>
        <v>Lead</v>
      </c>
      <c r="AI574" s="27" t="str">
        <f t="shared" si="6"/>
        <v>201-500</v>
      </c>
      <c r="AJ574" s="27" t="str">
        <f t="shared" si="7"/>
        <v>51-100</v>
      </c>
    </row>
    <row r="575" ht="15.75" customHeight="1">
      <c r="A575" s="23">
        <f>HYPERLINK("https://app.hubspot.com/contacts/8748051/record/0-3/18295488692", 18295488692)</f>
        <v>18295488692</v>
      </c>
      <c r="B575" s="24" t="s">
        <v>1978</v>
      </c>
      <c r="C575" s="24" t="s">
        <v>148</v>
      </c>
      <c r="D575" s="25">
        <v>26900.0</v>
      </c>
      <c r="E575" s="24" t="s">
        <v>149</v>
      </c>
      <c r="F575" s="24" t="s">
        <v>52</v>
      </c>
      <c r="G575" s="26">
        <v>45379.69824074074</v>
      </c>
      <c r="H575" s="26">
        <v>45440.31780092593</v>
      </c>
      <c r="I575" s="24" t="s">
        <v>40</v>
      </c>
      <c r="J575" s="24" t="s">
        <v>41</v>
      </c>
      <c r="K575" s="24" t="s">
        <v>1187</v>
      </c>
      <c r="L575" s="24" t="s">
        <v>560</v>
      </c>
      <c r="M575" s="24" t="s">
        <v>44</v>
      </c>
      <c r="N575" s="27"/>
      <c r="O575" s="24" t="s">
        <v>1979</v>
      </c>
      <c r="P575" s="24"/>
      <c r="Q575" s="24"/>
      <c r="R575" s="23">
        <f>HYPERLINK("https://app.hubspot.com/contacts/8748051/record/0-2/8161507100", 8161507100)</f>
        <v>8161507100</v>
      </c>
      <c r="S575" s="24" t="s">
        <v>1097</v>
      </c>
      <c r="T575" s="28" t="s">
        <v>1098</v>
      </c>
      <c r="U575" s="24" t="s">
        <v>96</v>
      </c>
      <c r="V575" s="24"/>
      <c r="W575" s="25">
        <v>46000.0</v>
      </c>
      <c r="X575" s="29">
        <v>1078.0</v>
      </c>
      <c r="Y575" s="29">
        <v>310.0</v>
      </c>
      <c r="Z575" s="30"/>
      <c r="AA575" s="30" t="s">
        <v>207</v>
      </c>
      <c r="AB575" s="31"/>
      <c r="AC575" s="30" t="s">
        <v>268</v>
      </c>
      <c r="AD575" s="30" t="s">
        <v>1099</v>
      </c>
      <c r="AE575" s="31"/>
      <c r="AF575" s="30" t="s">
        <v>554</v>
      </c>
      <c r="AG575" s="27" t="str">
        <f t="shared" si="1"/>
        <v>New Logo</v>
      </c>
      <c r="AH575" s="27" t="str">
        <f t="shared" si="5"/>
        <v>Customer</v>
      </c>
      <c r="AI575" s="27" t="str">
        <f t="shared" si="6"/>
        <v>1001-5000</v>
      </c>
      <c r="AJ575" s="27" t="str">
        <f t="shared" si="7"/>
        <v>101-500</v>
      </c>
    </row>
    <row r="576" ht="15.75" customHeight="1">
      <c r="A576" s="23">
        <f>HYPERLINK("https://app.hubspot.com/contacts/8748051/record/0-3/18266663518", 18266663518)</f>
        <v>18266663518</v>
      </c>
      <c r="B576" s="24" t="s">
        <v>1980</v>
      </c>
      <c r="C576" s="24" t="s">
        <v>50</v>
      </c>
      <c r="D576" s="25">
        <v>13920.0</v>
      </c>
      <c r="E576" s="24" t="s">
        <v>73</v>
      </c>
      <c r="F576" s="24"/>
      <c r="G576" s="26">
        <v>45378.56212962963</v>
      </c>
      <c r="H576" s="26">
        <v>45562.56144675926</v>
      </c>
      <c r="I576" s="24" t="s">
        <v>40</v>
      </c>
      <c r="J576" s="24" t="s">
        <v>41</v>
      </c>
      <c r="K576" s="24" t="s">
        <v>1187</v>
      </c>
      <c r="L576" s="24" t="s">
        <v>178</v>
      </c>
      <c r="M576" s="24" t="s">
        <v>44</v>
      </c>
      <c r="N576" s="24"/>
      <c r="O576" s="27"/>
      <c r="P576" s="24" t="s">
        <v>234</v>
      </c>
      <c r="Q576" s="24"/>
      <c r="R576" s="23">
        <f>HYPERLINK("https://app.hubspot.com/contacts/8748051/record/0-2/9174471592", 9174471592)</f>
        <v>9174471592</v>
      </c>
      <c r="S576" s="24" t="s">
        <v>1981</v>
      </c>
      <c r="T576" s="28" t="s">
        <v>1982</v>
      </c>
      <c r="U576" s="24" t="s">
        <v>47</v>
      </c>
      <c r="V576" s="24"/>
      <c r="W576" s="25"/>
      <c r="X576" s="29">
        <v>510.0</v>
      </c>
      <c r="Y576" s="29">
        <v>72.0</v>
      </c>
      <c r="Z576" s="30" t="s">
        <v>64</v>
      </c>
      <c r="AA576" s="30"/>
      <c r="AB576" s="31"/>
      <c r="AC576" s="31"/>
      <c r="AD576" s="30"/>
      <c r="AE576" s="31"/>
      <c r="AF576" s="30"/>
      <c r="AG576" s="27" t="str">
        <f t="shared" si="1"/>
        <v>New Logo</v>
      </c>
      <c r="AH576" s="27" t="str">
        <f t="shared" si="5"/>
        <v>Lead</v>
      </c>
      <c r="AI576" s="27" t="str">
        <f t="shared" si="6"/>
        <v>501-1000</v>
      </c>
      <c r="AJ576" s="27" t="str">
        <f t="shared" si="7"/>
        <v>51-100</v>
      </c>
    </row>
    <row r="577" ht="15.75" customHeight="1">
      <c r="A577" s="23">
        <f>HYPERLINK("https://app.hubspot.com/contacts/8748051/record/0-3/18265988383", 18265988383)</f>
        <v>18265988383</v>
      </c>
      <c r="B577" s="24" t="s">
        <v>1983</v>
      </c>
      <c r="C577" s="24" t="s">
        <v>38</v>
      </c>
      <c r="D577" s="25">
        <v>7440.0</v>
      </c>
      <c r="E577" s="24" t="s">
        <v>73</v>
      </c>
      <c r="F577" s="24"/>
      <c r="G577" s="26">
        <v>45378.56047453704</v>
      </c>
      <c r="H577" s="26">
        <v>45562.56008101852</v>
      </c>
      <c r="I577" s="24" t="s">
        <v>40</v>
      </c>
      <c r="J577" s="24" t="s">
        <v>41</v>
      </c>
      <c r="K577" s="24" t="s">
        <v>559</v>
      </c>
      <c r="L577" s="24" t="s">
        <v>560</v>
      </c>
      <c r="M577" s="24" t="s">
        <v>44</v>
      </c>
      <c r="N577" s="27"/>
      <c r="O577" s="27"/>
      <c r="P577" s="24" t="s">
        <v>213</v>
      </c>
      <c r="Q577" s="24"/>
      <c r="R577" s="23">
        <f>HYPERLINK("https://app.hubspot.com/contacts/8748051/record/0-2/17551055214", 17551055214)</f>
        <v>17551055214</v>
      </c>
      <c r="S577" s="24" t="s">
        <v>1984</v>
      </c>
      <c r="T577" s="28" t="s">
        <v>1985</v>
      </c>
      <c r="U577" s="24" t="s">
        <v>47</v>
      </c>
      <c r="V577" s="24"/>
      <c r="W577" s="32"/>
      <c r="X577" s="29">
        <v>206.0</v>
      </c>
      <c r="Y577" s="29">
        <v>40.0</v>
      </c>
      <c r="Z577" s="30" t="s">
        <v>108</v>
      </c>
      <c r="AA577" s="31"/>
      <c r="AB577" s="31"/>
      <c r="AC577" s="31"/>
      <c r="AD577" s="31"/>
      <c r="AE577" s="31"/>
      <c r="AF577" s="31"/>
      <c r="AG577" s="27" t="str">
        <f t="shared" si="1"/>
        <v>New Logo</v>
      </c>
      <c r="AH577" s="27" t="str">
        <f t="shared" si="5"/>
        <v>Lead</v>
      </c>
      <c r="AI577" s="27" t="str">
        <f t="shared" si="6"/>
        <v>201-500</v>
      </c>
      <c r="AJ577" s="27" t="str">
        <f t="shared" si="7"/>
        <v>21-50</v>
      </c>
    </row>
    <row r="578" ht="15.75" customHeight="1">
      <c r="A578" s="23">
        <f>HYPERLINK("https://app.hubspot.com/contacts/8748051/record/0-3/18265173382", 18265173382)</f>
        <v>18265173382</v>
      </c>
      <c r="B578" s="24" t="s">
        <v>1986</v>
      </c>
      <c r="C578" s="24" t="s">
        <v>50</v>
      </c>
      <c r="D578" s="25">
        <v>25000.0</v>
      </c>
      <c r="E578" s="24" t="s">
        <v>73</v>
      </c>
      <c r="F578" s="24"/>
      <c r="G578" s="26">
        <v>45378.48707175926</v>
      </c>
      <c r="H578" s="26">
        <v>45562.48672453704</v>
      </c>
      <c r="I578" s="24" t="s">
        <v>40</v>
      </c>
      <c r="J578" s="24" t="s">
        <v>41</v>
      </c>
      <c r="K578" s="24" t="s">
        <v>1187</v>
      </c>
      <c r="L578" s="24" t="s">
        <v>560</v>
      </c>
      <c r="M578" s="24" t="s">
        <v>44</v>
      </c>
      <c r="N578" s="27"/>
      <c r="O578" s="27"/>
      <c r="P578" s="24" t="s">
        <v>213</v>
      </c>
      <c r="Q578" s="24"/>
      <c r="R578" s="23">
        <f>HYPERLINK("https://app.hubspot.com/contacts/8748051/record/0-2/7945145246", 7945145246)</f>
        <v>7945145246</v>
      </c>
      <c r="S578" s="24" t="s">
        <v>1987</v>
      </c>
      <c r="T578" s="28" t="s">
        <v>1988</v>
      </c>
      <c r="U578" s="24" t="s">
        <v>47</v>
      </c>
      <c r="V578" s="24"/>
      <c r="W578" s="32"/>
      <c r="X578" s="29">
        <v>1123.0</v>
      </c>
      <c r="Y578" s="29">
        <v>149.0</v>
      </c>
      <c r="Z578" s="30" t="s">
        <v>125</v>
      </c>
      <c r="AA578" s="31"/>
      <c r="AB578" s="31"/>
      <c r="AC578" s="31"/>
      <c r="AD578" s="31"/>
      <c r="AE578" s="31"/>
      <c r="AF578" s="31"/>
      <c r="AG578" s="27" t="str">
        <f t="shared" si="1"/>
        <v>New Logo</v>
      </c>
      <c r="AH578" s="27" t="str">
        <f t="shared" si="5"/>
        <v>Lead</v>
      </c>
      <c r="AI578" s="27" t="str">
        <f t="shared" si="6"/>
        <v>1001-5000</v>
      </c>
      <c r="AJ578" s="27" t="str">
        <f t="shared" si="7"/>
        <v>101-500</v>
      </c>
    </row>
    <row r="579" ht="15.75" customHeight="1">
      <c r="A579" s="23">
        <f>HYPERLINK("https://app.hubspot.com/contacts/8748051/record/0-3/18265009441", 18265009441)</f>
        <v>18265009441</v>
      </c>
      <c r="B579" s="24" t="s">
        <v>1989</v>
      </c>
      <c r="C579" s="24" t="s">
        <v>50</v>
      </c>
      <c r="D579" s="25">
        <v>35000.0</v>
      </c>
      <c r="E579" s="24" t="s">
        <v>127</v>
      </c>
      <c r="F579" s="24" t="s">
        <v>52</v>
      </c>
      <c r="G579" s="26">
        <v>45378.475625</v>
      </c>
      <c r="H579" s="26">
        <v>45657.6166087963</v>
      </c>
      <c r="I579" s="24" t="s">
        <v>40</v>
      </c>
      <c r="J579" s="24" t="s">
        <v>41</v>
      </c>
      <c r="K579" s="24" t="s">
        <v>1187</v>
      </c>
      <c r="L579" s="24" t="s">
        <v>178</v>
      </c>
      <c r="M579" s="24" t="s">
        <v>44</v>
      </c>
      <c r="N579" s="27"/>
      <c r="O579" s="27"/>
      <c r="P579" s="24"/>
      <c r="Q579" s="24" t="s">
        <v>144</v>
      </c>
      <c r="R579" s="23">
        <f>HYPERLINK("https://app.hubspot.com/contacts/8748051/record/0-2/7794343183", 7794343183)</f>
        <v>7794343183</v>
      </c>
      <c r="S579" s="24" t="s">
        <v>1990</v>
      </c>
      <c r="T579" s="28" t="s">
        <v>1991</v>
      </c>
      <c r="U579" s="24" t="s">
        <v>47</v>
      </c>
      <c r="V579" s="24"/>
      <c r="W579" s="32"/>
      <c r="X579" s="29">
        <v>230.0</v>
      </c>
      <c r="Y579" s="29">
        <v>33.0</v>
      </c>
      <c r="Z579" s="30"/>
      <c r="AA579" s="31"/>
      <c r="AB579" s="31"/>
      <c r="AC579" s="31"/>
      <c r="AD579" s="31"/>
      <c r="AE579" s="31"/>
      <c r="AF579" s="31"/>
      <c r="AG579" s="27" t="str">
        <f t="shared" si="1"/>
        <v>New Logo</v>
      </c>
      <c r="AH579" s="27" t="str">
        <f t="shared" si="5"/>
        <v>Lead</v>
      </c>
      <c r="AI579" s="27" t="str">
        <f t="shared" si="6"/>
        <v>201-500</v>
      </c>
      <c r="AJ579" s="27" t="str">
        <f t="shared" si="7"/>
        <v>21-50</v>
      </c>
    </row>
    <row r="580" ht="15.75" customHeight="1">
      <c r="A580" s="23">
        <f>HYPERLINK("https://app.hubspot.com/contacts/8748051/record/0-3/18259577383", 18259577383)</f>
        <v>18259577383</v>
      </c>
      <c r="B580" s="24" t="s">
        <v>954</v>
      </c>
      <c r="C580" s="24" t="s">
        <v>50</v>
      </c>
      <c r="D580" s="25">
        <v>36480.0</v>
      </c>
      <c r="E580" s="24" t="s">
        <v>73</v>
      </c>
      <c r="F580" s="27"/>
      <c r="G580" s="26">
        <v>45378.19616898148</v>
      </c>
      <c r="H580" s="26">
        <v>45562.19571759259</v>
      </c>
      <c r="I580" s="24" t="s">
        <v>40</v>
      </c>
      <c r="J580" s="24" t="s">
        <v>41</v>
      </c>
      <c r="K580" s="24" t="s">
        <v>1187</v>
      </c>
      <c r="L580" s="24" t="s">
        <v>560</v>
      </c>
      <c r="M580" s="24" t="s">
        <v>74</v>
      </c>
      <c r="N580" s="27"/>
      <c r="O580" s="27"/>
      <c r="P580" s="24" t="s">
        <v>213</v>
      </c>
      <c r="Q580" s="27"/>
      <c r="R580" s="23">
        <f>HYPERLINK("https://app.hubspot.com/contacts/8748051/record/0-2/9284099377", 9284099377)</f>
        <v>9284099377</v>
      </c>
      <c r="S580" s="24" t="s">
        <v>956</v>
      </c>
      <c r="T580" s="28" t="s">
        <v>957</v>
      </c>
      <c r="U580" s="24" t="s">
        <v>47</v>
      </c>
      <c r="V580" s="24"/>
      <c r="W580" s="32"/>
      <c r="X580" s="29">
        <v>1509.0</v>
      </c>
      <c r="Y580" s="29">
        <v>198.0</v>
      </c>
      <c r="Z580" s="30" t="s">
        <v>56</v>
      </c>
      <c r="AA580" s="31"/>
      <c r="AB580" s="31"/>
      <c r="AC580" s="31"/>
      <c r="AD580" s="31"/>
      <c r="AE580" s="31"/>
      <c r="AF580" s="31"/>
      <c r="AG580" s="27" t="str">
        <f t="shared" si="1"/>
        <v>New Logo</v>
      </c>
      <c r="AH580" s="27" t="str">
        <f t="shared" si="5"/>
        <v>Lead</v>
      </c>
      <c r="AI580" s="27" t="str">
        <f t="shared" si="6"/>
        <v>1001-5000</v>
      </c>
      <c r="AJ580" s="27" t="str">
        <f t="shared" si="7"/>
        <v>101-500</v>
      </c>
    </row>
    <row r="581" ht="15.75" customHeight="1">
      <c r="A581" s="23">
        <f>HYPERLINK("https://app.hubspot.com/contacts/8748051/record/0-3/18259285081", 18259285081)</f>
        <v>18259285081</v>
      </c>
      <c r="B581" s="24" t="s">
        <v>1992</v>
      </c>
      <c r="C581" s="24" t="s">
        <v>38</v>
      </c>
      <c r="D581" s="25">
        <v>9360.0</v>
      </c>
      <c r="E581" s="24" t="s">
        <v>73</v>
      </c>
      <c r="F581" s="24"/>
      <c r="G581" s="26">
        <v>45378.1721875</v>
      </c>
      <c r="H581" s="26">
        <v>45562.171851851854</v>
      </c>
      <c r="I581" s="24" t="s">
        <v>40</v>
      </c>
      <c r="J581" s="24" t="s">
        <v>41</v>
      </c>
      <c r="K581" s="24" t="s">
        <v>1187</v>
      </c>
      <c r="L581" s="24" t="s">
        <v>560</v>
      </c>
      <c r="M581" s="24"/>
      <c r="N581" s="24"/>
      <c r="O581" s="27"/>
      <c r="P581" s="24" t="s">
        <v>75</v>
      </c>
      <c r="Q581" s="27"/>
      <c r="R581" s="23">
        <f>HYPERLINK("https://app.hubspot.com/contacts/8748051/record/0-2/15241894827", 15241894827)</f>
        <v>15241894827</v>
      </c>
      <c r="S581" s="24" t="s">
        <v>1993</v>
      </c>
      <c r="T581" s="28" t="s">
        <v>1994</v>
      </c>
      <c r="U581" s="24" t="s">
        <v>47</v>
      </c>
      <c r="V581" s="24"/>
      <c r="W581" s="25"/>
      <c r="X581" s="29">
        <v>271.0</v>
      </c>
      <c r="Y581" s="29">
        <v>44.0</v>
      </c>
      <c r="Z581" s="30" t="s">
        <v>64</v>
      </c>
      <c r="AA581" s="30"/>
      <c r="AB581" s="31"/>
      <c r="AC581" s="31"/>
      <c r="AD581" s="30"/>
      <c r="AE581" s="31"/>
      <c r="AF581" s="30"/>
      <c r="AG581" s="27" t="str">
        <f t="shared" si="1"/>
        <v>New Logo</v>
      </c>
      <c r="AH581" s="27" t="str">
        <f t="shared" si="5"/>
        <v>Lead</v>
      </c>
      <c r="AI581" s="27" t="str">
        <f t="shared" si="6"/>
        <v>201-500</v>
      </c>
      <c r="AJ581" s="27" t="str">
        <f t="shared" si="7"/>
        <v>21-50</v>
      </c>
    </row>
    <row r="582" ht="15.75" customHeight="1">
      <c r="A582" s="23">
        <f>HYPERLINK("https://app.hubspot.com/contacts/8748051/record/0-3/18246193204", 18246193204)</f>
        <v>18246193204</v>
      </c>
      <c r="B582" s="24" t="s">
        <v>1995</v>
      </c>
      <c r="C582" s="24" t="s">
        <v>38</v>
      </c>
      <c r="D582" s="25">
        <v>19440.0</v>
      </c>
      <c r="E582" s="24" t="s">
        <v>73</v>
      </c>
      <c r="F582" s="24"/>
      <c r="G582" s="26">
        <v>45377.54659722222</v>
      </c>
      <c r="H582" s="26">
        <v>45561.546319444446</v>
      </c>
      <c r="I582" s="24" t="s">
        <v>40</v>
      </c>
      <c r="J582" s="24" t="s">
        <v>41</v>
      </c>
      <c r="K582" s="24" t="s">
        <v>1187</v>
      </c>
      <c r="L582" s="24" t="s">
        <v>178</v>
      </c>
      <c r="M582" s="24" t="s">
        <v>44</v>
      </c>
      <c r="N582" s="24"/>
      <c r="O582" s="27"/>
      <c r="P582" s="24" t="s">
        <v>213</v>
      </c>
      <c r="Q582" s="24"/>
      <c r="R582" s="23">
        <f>HYPERLINK("https://app.hubspot.com/contacts/8748051/record/0-2/9174364217", 9174364217)</f>
        <v>9174364217</v>
      </c>
      <c r="S582" s="24" t="s">
        <v>1996</v>
      </c>
      <c r="T582" s="28" t="s">
        <v>1997</v>
      </c>
      <c r="U582" s="24" t="s">
        <v>47</v>
      </c>
      <c r="V582" s="24"/>
      <c r="W582" s="25"/>
      <c r="X582" s="29">
        <v>496.0</v>
      </c>
      <c r="Y582" s="29">
        <v>70.0</v>
      </c>
      <c r="Z582" s="30"/>
      <c r="AA582" s="30"/>
      <c r="AB582" s="31"/>
      <c r="AC582" s="31"/>
      <c r="AD582" s="30"/>
      <c r="AE582" s="31"/>
      <c r="AF582" s="30"/>
      <c r="AG582" s="27" t="str">
        <f t="shared" si="1"/>
        <v>New Logo</v>
      </c>
      <c r="AH582" s="27" t="str">
        <f t="shared" si="5"/>
        <v>Lead</v>
      </c>
      <c r="AI582" s="27" t="str">
        <f t="shared" si="6"/>
        <v>201-500</v>
      </c>
      <c r="AJ582" s="27" t="str">
        <f t="shared" si="7"/>
        <v>51-100</v>
      </c>
    </row>
    <row r="583" ht="15.75" customHeight="1">
      <c r="A583" s="23">
        <f>HYPERLINK("https://app.hubspot.com/contacts/8748051/record/0-3/18245525816", 18245525816)</f>
        <v>18245525816</v>
      </c>
      <c r="B583" s="24" t="s">
        <v>1998</v>
      </c>
      <c r="C583" s="24" t="s">
        <v>50</v>
      </c>
      <c r="D583" s="25">
        <v>100000.0</v>
      </c>
      <c r="E583" s="24" t="s">
        <v>92</v>
      </c>
      <c r="F583" s="24" t="s">
        <v>52</v>
      </c>
      <c r="G583" s="26">
        <v>45377.51186342593</v>
      </c>
      <c r="H583" s="26">
        <v>45905.88135416667</v>
      </c>
      <c r="I583" s="24" t="s">
        <v>40</v>
      </c>
      <c r="J583" s="24" t="s">
        <v>41</v>
      </c>
      <c r="K583" s="24" t="s">
        <v>42</v>
      </c>
      <c r="L583" s="24" t="s">
        <v>43</v>
      </c>
      <c r="M583" s="24" t="s">
        <v>44</v>
      </c>
      <c r="N583" s="24" t="s">
        <v>1999</v>
      </c>
      <c r="O583" s="27"/>
      <c r="P583" s="24"/>
      <c r="Q583" s="24"/>
      <c r="R583" s="23">
        <f>HYPERLINK("https://app.hubspot.com/contacts/8748051/record/0-2/8920311154", 8920311154)</f>
        <v>8920311154</v>
      </c>
      <c r="S583" s="24" t="s">
        <v>2000</v>
      </c>
      <c r="T583" s="28" t="s">
        <v>2001</v>
      </c>
      <c r="U583" s="24" t="s">
        <v>96</v>
      </c>
      <c r="V583" s="24"/>
      <c r="W583" s="25">
        <v>100000.0</v>
      </c>
      <c r="X583" s="29">
        <v>672.0</v>
      </c>
      <c r="Y583" s="29">
        <v>228.0</v>
      </c>
      <c r="Z583" s="30" t="s">
        <v>2002</v>
      </c>
      <c r="AA583" s="30" t="s">
        <v>207</v>
      </c>
      <c r="AB583" s="31"/>
      <c r="AC583" s="31"/>
      <c r="AD583" s="30" t="s">
        <v>2003</v>
      </c>
      <c r="AE583" s="31"/>
      <c r="AF583" s="30" t="s">
        <v>169</v>
      </c>
      <c r="AG583" s="27" t="str">
        <f t="shared" si="1"/>
        <v>New Logo</v>
      </c>
      <c r="AH583" s="27" t="str">
        <f t="shared" si="5"/>
        <v>Customer</v>
      </c>
      <c r="AI583" s="27" t="str">
        <f t="shared" si="6"/>
        <v>501-1000</v>
      </c>
      <c r="AJ583" s="27" t="str">
        <f t="shared" si="7"/>
        <v>101-500</v>
      </c>
    </row>
    <row r="584" ht="15.75" customHeight="1">
      <c r="A584" s="23">
        <f>HYPERLINK("https://app.hubspot.com/contacts/8748051/record/0-3/18241838613", 18241838613)</f>
        <v>18241838613</v>
      </c>
      <c r="B584" s="24" t="s">
        <v>2004</v>
      </c>
      <c r="C584" s="24" t="s">
        <v>1009</v>
      </c>
      <c r="D584" s="25">
        <v>44400.0</v>
      </c>
      <c r="E584" s="24" t="s">
        <v>73</v>
      </c>
      <c r="F584" s="24"/>
      <c r="G584" s="26">
        <v>45377.35013888889</v>
      </c>
      <c r="H584" s="26">
        <v>45561.349641203706</v>
      </c>
      <c r="I584" s="24" t="s">
        <v>40</v>
      </c>
      <c r="J584" s="24" t="s">
        <v>41</v>
      </c>
      <c r="K584" s="24" t="s">
        <v>559</v>
      </c>
      <c r="L584" s="24" t="s">
        <v>560</v>
      </c>
      <c r="M584" s="24"/>
      <c r="N584" s="27"/>
      <c r="O584" s="27"/>
      <c r="P584" s="24" t="s">
        <v>213</v>
      </c>
      <c r="Q584" s="24"/>
      <c r="R584" s="23">
        <f>HYPERLINK("https://app.hubspot.com/contacts/8748051/record/0-2/14810961931", 14810961931)</f>
        <v>14810961931</v>
      </c>
      <c r="S584" s="24" t="s">
        <v>2005</v>
      </c>
      <c r="T584" s="28" t="s">
        <v>2006</v>
      </c>
      <c r="U584" s="24" t="s">
        <v>47</v>
      </c>
      <c r="V584" s="24"/>
      <c r="W584" s="25"/>
      <c r="X584" s="29">
        <v>2924.0</v>
      </c>
      <c r="Y584" s="29">
        <v>238.0</v>
      </c>
      <c r="Z584" s="30" t="s">
        <v>108</v>
      </c>
      <c r="AA584" s="30"/>
      <c r="AB584" s="31"/>
      <c r="AC584" s="31"/>
      <c r="AD584" s="30"/>
      <c r="AE584" s="31"/>
      <c r="AF584" s="30"/>
      <c r="AG584" s="27" t="str">
        <f t="shared" si="1"/>
        <v>New Logo</v>
      </c>
      <c r="AH584" s="27" t="str">
        <f t="shared" si="5"/>
        <v>Lead</v>
      </c>
      <c r="AI584" s="27" t="str">
        <f t="shared" si="6"/>
        <v>1001-5000</v>
      </c>
      <c r="AJ584" s="27" t="str">
        <f t="shared" si="7"/>
        <v>101-500</v>
      </c>
    </row>
    <row r="585" ht="15.75" customHeight="1">
      <c r="A585" s="23">
        <f>HYPERLINK("https://app.hubspot.com/contacts/8748051/record/0-3/18236888355", 18236888355)</f>
        <v>18236888355</v>
      </c>
      <c r="B585" s="24" t="s">
        <v>2007</v>
      </c>
      <c r="C585" s="24" t="s">
        <v>1009</v>
      </c>
      <c r="D585" s="25">
        <v>27840.0</v>
      </c>
      <c r="E585" s="24" t="s">
        <v>73</v>
      </c>
      <c r="F585" s="24"/>
      <c r="G585" s="26">
        <v>45377.06866898148</v>
      </c>
      <c r="H585" s="26">
        <v>45561.068333333336</v>
      </c>
      <c r="I585" s="24" t="s">
        <v>40</v>
      </c>
      <c r="J585" s="24" t="s">
        <v>41</v>
      </c>
      <c r="K585" s="24" t="s">
        <v>1187</v>
      </c>
      <c r="L585" s="24" t="s">
        <v>178</v>
      </c>
      <c r="M585" s="24" t="s">
        <v>74</v>
      </c>
      <c r="N585" s="27"/>
      <c r="O585" s="27"/>
      <c r="P585" s="24"/>
      <c r="Q585" s="24"/>
      <c r="R585" s="23">
        <f>HYPERLINK("https://app.hubspot.com/contacts/8748051/record/0-2/9186906963", 9186906963)</f>
        <v>9186906963</v>
      </c>
      <c r="S585" s="24" t="s">
        <v>2008</v>
      </c>
      <c r="T585" s="28" t="s">
        <v>2009</v>
      </c>
      <c r="U585" s="24" t="s">
        <v>47</v>
      </c>
      <c r="V585" s="24"/>
      <c r="W585" s="32"/>
      <c r="X585" s="29">
        <v>1487.0</v>
      </c>
      <c r="Y585" s="29">
        <v>207.0</v>
      </c>
      <c r="Z585" s="30" t="s">
        <v>81</v>
      </c>
      <c r="AA585" s="31"/>
      <c r="AB585" s="31"/>
      <c r="AC585" s="31"/>
      <c r="AD585" s="31"/>
      <c r="AE585" s="31"/>
      <c r="AF585" s="31"/>
      <c r="AG585" s="27" t="str">
        <f t="shared" si="1"/>
        <v>New Logo</v>
      </c>
      <c r="AH585" s="27" t="str">
        <f t="shared" si="5"/>
        <v>Lead</v>
      </c>
      <c r="AI585" s="27" t="str">
        <f t="shared" si="6"/>
        <v>1001-5000</v>
      </c>
      <c r="AJ585" s="27" t="str">
        <f t="shared" si="7"/>
        <v>101-500</v>
      </c>
    </row>
    <row r="586" ht="15.75" customHeight="1">
      <c r="A586" s="23">
        <f>HYPERLINK("https://app.hubspot.com/contacts/8748051/record/0-3/18236585886", 18236585886)</f>
        <v>18236585886</v>
      </c>
      <c r="B586" s="24" t="s">
        <v>2010</v>
      </c>
      <c r="C586" s="24" t="s">
        <v>1009</v>
      </c>
      <c r="D586" s="25">
        <v>20000.0</v>
      </c>
      <c r="E586" s="24" t="s">
        <v>127</v>
      </c>
      <c r="F586" s="24" t="s">
        <v>52</v>
      </c>
      <c r="G586" s="26">
        <v>45377.06581018519</v>
      </c>
      <c r="H586" s="26">
        <v>45561.065300925926</v>
      </c>
      <c r="I586" s="24" t="s">
        <v>40</v>
      </c>
      <c r="J586" s="24" t="s">
        <v>41</v>
      </c>
      <c r="K586" s="24" t="s">
        <v>60</v>
      </c>
      <c r="L586" s="24" t="s">
        <v>178</v>
      </c>
      <c r="M586" s="24" t="s">
        <v>102</v>
      </c>
      <c r="N586" s="27"/>
      <c r="O586" s="24"/>
      <c r="P586" s="24"/>
      <c r="Q586" s="24" t="s">
        <v>197</v>
      </c>
      <c r="R586" s="23">
        <f>HYPERLINK("https://app.hubspot.com/contacts/8748051/record/0-2/19176694710", 19176694710)</f>
        <v>19176694710</v>
      </c>
      <c r="S586" s="24" t="s">
        <v>2011</v>
      </c>
      <c r="T586" s="28" t="s">
        <v>2012</v>
      </c>
      <c r="U586" s="24" t="s">
        <v>47</v>
      </c>
      <c r="V586" s="24"/>
      <c r="W586" s="32"/>
      <c r="X586" s="29">
        <v>196.0</v>
      </c>
      <c r="Y586" s="29">
        <v>75.0</v>
      </c>
      <c r="Z586" s="31"/>
      <c r="AA586" s="31"/>
      <c r="AB586" s="31"/>
      <c r="AC586" s="31"/>
      <c r="AD586" s="31"/>
      <c r="AE586" s="31"/>
      <c r="AF586" s="31"/>
      <c r="AG586" s="27" t="str">
        <f t="shared" si="1"/>
        <v>New Logo</v>
      </c>
      <c r="AH586" s="27" t="str">
        <f t="shared" si="5"/>
        <v>Lead</v>
      </c>
      <c r="AI586" s="27" t="str">
        <f t="shared" si="6"/>
        <v>0-200</v>
      </c>
      <c r="AJ586" s="27" t="str">
        <f t="shared" si="7"/>
        <v>51-100</v>
      </c>
    </row>
    <row r="587" ht="15.75" customHeight="1">
      <c r="A587" s="23">
        <f>HYPERLINK("https://app.hubspot.com/contacts/8748051/record/0-3/18228130450", 18228130450)</f>
        <v>18228130450</v>
      </c>
      <c r="B587" s="24" t="s">
        <v>2013</v>
      </c>
      <c r="C587" s="24" t="s">
        <v>148</v>
      </c>
      <c r="D587" s="25">
        <v>4560.0</v>
      </c>
      <c r="E587" s="24" t="s">
        <v>73</v>
      </c>
      <c r="F587" s="24"/>
      <c r="G587" s="26">
        <v>45376.70570601852</v>
      </c>
      <c r="H587" s="26">
        <v>45560.705358796295</v>
      </c>
      <c r="I587" s="24" t="s">
        <v>40</v>
      </c>
      <c r="J587" s="24" t="s">
        <v>41</v>
      </c>
      <c r="K587" s="24" t="s">
        <v>559</v>
      </c>
      <c r="L587" s="24" t="s">
        <v>560</v>
      </c>
      <c r="M587" s="24" t="s">
        <v>44</v>
      </c>
      <c r="N587" s="27"/>
      <c r="O587" s="27"/>
      <c r="P587" s="24" t="s">
        <v>213</v>
      </c>
      <c r="Q587" s="24"/>
      <c r="R587" s="23">
        <f>HYPERLINK("https://app.hubspot.com/contacts/8748051/record/0-2/19176733003", 19176733003)</f>
        <v>19176733003</v>
      </c>
      <c r="S587" s="24" t="s">
        <v>2014</v>
      </c>
      <c r="T587" s="28" t="s">
        <v>2015</v>
      </c>
      <c r="U587" s="24" t="s">
        <v>47</v>
      </c>
      <c r="V587" s="24"/>
      <c r="W587" s="32"/>
      <c r="X587" s="29">
        <v>106.0</v>
      </c>
      <c r="Y587" s="29">
        <v>23.0</v>
      </c>
      <c r="Z587" s="30"/>
      <c r="AA587" s="31"/>
      <c r="AB587" s="31"/>
      <c r="AC587" s="31"/>
      <c r="AD587" s="31"/>
      <c r="AE587" s="31"/>
      <c r="AF587" s="31"/>
      <c r="AG587" s="27" t="str">
        <f t="shared" si="1"/>
        <v>New Logo</v>
      </c>
      <c r="AH587" s="27" t="str">
        <f t="shared" si="5"/>
        <v>Lead</v>
      </c>
      <c r="AI587" s="27" t="str">
        <f t="shared" si="6"/>
        <v>0-200</v>
      </c>
      <c r="AJ587" s="27" t="str">
        <f t="shared" si="7"/>
        <v>21-50</v>
      </c>
    </row>
    <row r="588" ht="15.75" customHeight="1">
      <c r="A588" s="23">
        <f>HYPERLINK("https://app.hubspot.com/contacts/8748051/record/0-3/18228130230", 18228130230)</f>
        <v>18228130230</v>
      </c>
      <c r="B588" s="24" t="s">
        <v>2016</v>
      </c>
      <c r="C588" s="24" t="s">
        <v>50</v>
      </c>
      <c r="D588" s="25">
        <v>10320.0</v>
      </c>
      <c r="E588" s="24" t="s">
        <v>73</v>
      </c>
      <c r="F588" s="24"/>
      <c r="G588" s="26">
        <v>45376.704675925925</v>
      </c>
      <c r="H588" s="26">
        <v>45560.70417824074</v>
      </c>
      <c r="I588" s="24" t="s">
        <v>40</v>
      </c>
      <c r="J588" s="24" t="s">
        <v>41</v>
      </c>
      <c r="K588" s="24" t="s">
        <v>1187</v>
      </c>
      <c r="L588" s="24" t="s">
        <v>178</v>
      </c>
      <c r="M588" s="24" t="s">
        <v>44</v>
      </c>
      <c r="N588" s="27"/>
      <c r="O588" s="24"/>
      <c r="P588" s="24" t="s">
        <v>122</v>
      </c>
      <c r="Q588" s="24"/>
      <c r="R588" s="23">
        <f>HYPERLINK("https://app.hubspot.com/contacts/8748051/record/0-2/9238316172", 9238316172)</f>
        <v>9238316172</v>
      </c>
      <c r="S588" s="24" t="s">
        <v>2017</v>
      </c>
      <c r="T588" s="28" t="s">
        <v>2018</v>
      </c>
      <c r="U588" s="24" t="s">
        <v>47</v>
      </c>
      <c r="V588" s="24"/>
      <c r="W588" s="32"/>
      <c r="X588" s="29">
        <v>260.0</v>
      </c>
      <c r="Y588" s="29">
        <v>49.0</v>
      </c>
      <c r="Z588" s="30"/>
      <c r="AA588" s="31"/>
      <c r="AB588" s="31"/>
      <c r="AC588" s="31"/>
      <c r="AD588" s="31"/>
      <c r="AE588" s="31"/>
      <c r="AF588" s="31"/>
      <c r="AG588" s="27" t="str">
        <f t="shared" si="1"/>
        <v>New Logo</v>
      </c>
      <c r="AH588" s="27" t="str">
        <f t="shared" si="5"/>
        <v>Lead</v>
      </c>
      <c r="AI588" s="27" t="str">
        <f t="shared" si="6"/>
        <v>201-500</v>
      </c>
      <c r="AJ588" s="27" t="str">
        <f t="shared" si="7"/>
        <v>21-50</v>
      </c>
    </row>
    <row r="589" ht="15.75" customHeight="1">
      <c r="A589" s="23">
        <f>HYPERLINK("https://app.hubspot.com/contacts/8748051/record/0-3/18225666131", 18225666131)</f>
        <v>18225666131</v>
      </c>
      <c r="B589" s="24" t="s">
        <v>2019</v>
      </c>
      <c r="C589" s="24" t="s">
        <v>38</v>
      </c>
      <c r="D589" s="25">
        <v>20640.0</v>
      </c>
      <c r="E589" s="24" t="s">
        <v>73</v>
      </c>
      <c r="F589" s="27"/>
      <c r="G589" s="26">
        <v>45376.61619212963</v>
      </c>
      <c r="H589" s="26">
        <v>45560.61585648148</v>
      </c>
      <c r="I589" s="24" t="s">
        <v>40</v>
      </c>
      <c r="J589" s="24" t="s">
        <v>41</v>
      </c>
      <c r="K589" s="24" t="s">
        <v>1187</v>
      </c>
      <c r="L589" s="24" t="s">
        <v>560</v>
      </c>
      <c r="M589" s="24" t="s">
        <v>44</v>
      </c>
      <c r="N589" s="27"/>
      <c r="O589" s="27"/>
      <c r="P589" s="24" t="s">
        <v>234</v>
      </c>
      <c r="Q589" s="27"/>
      <c r="R589" s="23">
        <f>HYPERLINK("https://app.hubspot.com/contacts/8748051/record/0-2/9132261741", 9132261741)</f>
        <v>9132261741</v>
      </c>
      <c r="S589" s="24" t="s">
        <v>2020</v>
      </c>
      <c r="T589" s="28" t="s">
        <v>2021</v>
      </c>
      <c r="U589" s="24" t="s">
        <v>47</v>
      </c>
      <c r="V589" s="24"/>
      <c r="W589" s="25"/>
      <c r="X589" s="29">
        <v>620.0</v>
      </c>
      <c r="Y589" s="29">
        <v>74.0</v>
      </c>
      <c r="Z589" s="30"/>
      <c r="AA589" s="30"/>
      <c r="AB589" s="31"/>
      <c r="AC589" s="31"/>
      <c r="AD589" s="30"/>
      <c r="AE589" s="31"/>
      <c r="AF589" s="30"/>
      <c r="AG589" s="27" t="str">
        <f t="shared" si="1"/>
        <v>New Logo</v>
      </c>
      <c r="AH589" s="27" t="str">
        <f t="shared" si="5"/>
        <v>Lead</v>
      </c>
      <c r="AI589" s="27" t="str">
        <f t="shared" si="6"/>
        <v>501-1000</v>
      </c>
      <c r="AJ589" s="27" t="str">
        <f t="shared" si="7"/>
        <v>51-100</v>
      </c>
    </row>
    <row r="590" ht="15.75" customHeight="1">
      <c r="A590" s="23">
        <f>HYPERLINK("https://app.hubspot.com/contacts/8748051/record/0-3/18224553580", 18224553580)</f>
        <v>18224553580</v>
      </c>
      <c r="B590" s="24" t="s">
        <v>2022</v>
      </c>
      <c r="C590" s="24" t="s">
        <v>38</v>
      </c>
      <c r="D590" s="25">
        <v>13920.0</v>
      </c>
      <c r="E590" s="24" t="s">
        <v>73</v>
      </c>
      <c r="F590" s="24"/>
      <c r="G590" s="26">
        <v>45376.581354166665</v>
      </c>
      <c r="H590" s="26">
        <v>45560.57476851852</v>
      </c>
      <c r="I590" s="24" t="s">
        <v>40</v>
      </c>
      <c r="J590" s="24" t="s">
        <v>41</v>
      </c>
      <c r="K590" s="24" t="s">
        <v>1187</v>
      </c>
      <c r="L590" s="24" t="s">
        <v>178</v>
      </c>
      <c r="M590" s="24" t="s">
        <v>44</v>
      </c>
      <c r="N590" s="27"/>
      <c r="O590" s="27"/>
      <c r="P590" s="24" t="s">
        <v>122</v>
      </c>
      <c r="Q590" s="24"/>
      <c r="R590" s="23">
        <f>HYPERLINK("https://app.hubspot.com/contacts/8748051/record/0-2/10198101026", 10198101026)</f>
        <v>10198101026</v>
      </c>
      <c r="S590" s="24" t="s">
        <v>2023</v>
      </c>
      <c r="T590" s="28" t="s">
        <v>2024</v>
      </c>
      <c r="U590" s="24" t="s">
        <v>47</v>
      </c>
      <c r="V590" s="24"/>
      <c r="W590" s="25"/>
      <c r="X590" s="29">
        <v>582.0</v>
      </c>
      <c r="Y590" s="29">
        <v>99.0</v>
      </c>
      <c r="Z590" s="30" t="s">
        <v>64</v>
      </c>
      <c r="AA590" s="30"/>
      <c r="AB590" s="31"/>
      <c r="AC590" s="31"/>
      <c r="AD590" s="30"/>
      <c r="AE590" s="31"/>
      <c r="AF590" s="30"/>
      <c r="AG590" s="27" t="str">
        <f t="shared" si="1"/>
        <v>New Logo</v>
      </c>
      <c r="AH590" s="27" t="str">
        <f t="shared" si="5"/>
        <v>Lead</v>
      </c>
      <c r="AI590" s="27" t="str">
        <f t="shared" si="6"/>
        <v>501-1000</v>
      </c>
      <c r="AJ590" s="27" t="str">
        <f t="shared" si="7"/>
        <v>51-100</v>
      </c>
    </row>
    <row r="591" ht="15.75" customHeight="1">
      <c r="A591" s="23">
        <f>HYPERLINK("https://app.hubspot.com/contacts/8748051/record/0-3/18220758645", 18220758645)</f>
        <v>18220758645</v>
      </c>
      <c r="B591" s="24" t="s">
        <v>2025</v>
      </c>
      <c r="C591" s="24" t="s">
        <v>50</v>
      </c>
      <c r="D591" s="25">
        <v>17000.0</v>
      </c>
      <c r="E591" s="24" t="s">
        <v>73</v>
      </c>
      <c r="F591" s="24"/>
      <c r="G591" s="26">
        <v>45376.39875</v>
      </c>
      <c r="H591" s="26">
        <v>45560.39822916667</v>
      </c>
      <c r="I591" s="24" t="s">
        <v>40</v>
      </c>
      <c r="J591" s="24" t="s">
        <v>41</v>
      </c>
      <c r="K591" s="24" t="s">
        <v>1187</v>
      </c>
      <c r="L591" s="24" t="s">
        <v>178</v>
      </c>
      <c r="M591" s="24" t="s">
        <v>44</v>
      </c>
      <c r="N591" s="27"/>
      <c r="O591" s="27"/>
      <c r="P591" s="24" t="s">
        <v>213</v>
      </c>
      <c r="Q591" s="24"/>
      <c r="R591" s="23">
        <f>HYPERLINK("https://app.hubspot.com/contacts/8748051/record/0-2/7589031515", 7589031515)</f>
        <v>7589031515</v>
      </c>
      <c r="S591" s="24" t="s">
        <v>1372</v>
      </c>
      <c r="T591" s="28" t="s">
        <v>1373</v>
      </c>
      <c r="U591" s="24">
        <v>3.4564763E7</v>
      </c>
      <c r="V591" s="35">
        <v>45938.0</v>
      </c>
      <c r="W591" s="25">
        <v>98490.0</v>
      </c>
      <c r="X591" s="29">
        <v>475.0</v>
      </c>
      <c r="Y591" s="29">
        <v>74.0</v>
      </c>
      <c r="Z591" s="30"/>
      <c r="AA591" s="30" t="s">
        <v>207</v>
      </c>
      <c r="AB591" s="31"/>
      <c r="AC591" s="31"/>
      <c r="AD591" s="30" t="s">
        <v>1374</v>
      </c>
      <c r="AE591" s="31"/>
      <c r="AF591" s="30" t="s">
        <v>169</v>
      </c>
      <c r="AG591" s="27" t="str">
        <f t="shared" si="1"/>
        <v>New Logo</v>
      </c>
      <c r="AH591" s="27" t="str">
        <f t="shared" si="5"/>
        <v>Churn</v>
      </c>
      <c r="AI591" s="27" t="str">
        <f t="shared" si="6"/>
        <v>201-500</v>
      </c>
      <c r="AJ591" s="27" t="str">
        <f t="shared" si="7"/>
        <v>51-100</v>
      </c>
    </row>
    <row r="592" ht="15.75" customHeight="1">
      <c r="A592" s="23">
        <f>HYPERLINK("https://app.hubspot.com/contacts/8748051/record/0-3/18219071497", 18219071497)</f>
        <v>18219071497</v>
      </c>
      <c r="B592" s="24" t="s">
        <v>2026</v>
      </c>
      <c r="C592" s="24" t="s">
        <v>50</v>
      </c>
      <c r="D592" s="25">
        <v>30000.0</v>
      </c>
      <c r="E592" s="24" t="s">
        <v>127</v>
      </c>
      <c r="F592" s="24" t="s">
        <v>52</v>
      </c>
      <c r="G592" s="26">
        <v>45376.3959837963</v>
      </c>
      <c r="H592" s="26">
        <v>45657.75340277778</v>
      </c>
      <c r="I592" s="24" t="s">
        <v>40</v>
      </c>
      <c r="J592" s="24" t="s">
        <v>41</v>
      </c>
      <c r="K592" s="24" t="s">
        <v>1187</v>
      </c>
      <c r="L592" s="24" t="s">
        <v>560</v>
      </c>
      <c r="M592" s="24" t="s">
        <v>44</v>
      </c>
      <c r="N592" s="27"/>
      <c r="O592" s="27"/>
      <c r="P592" s="24"/>
      <c r="Q592" s="24" t="s">
        <v>144</v>
      </c>
      <c r="R592" s="23">
        <f>HYPERLINK("https://app.hubspot.com/contacts/8748051/record/0-2/9793685141", 9793685141)</f>
        <v>9793685141</v>
      </c>
      <c r="S592" s="24" t="s">
        <v>2027</v>
      </c>
      <c r="T592" s="28" t="s">
        <v>2028</v>
      </c>
      <c r="U592" s="24" t="s">
        <v>47</v>
      </c>
      <c r="V592" s="24"/>
      <c r="W592" s="32"/>
      <c r="X592" s="29">
        <v>545.0</v>
      </c>
      <c r="Y592" s="29">
        <v>117.0</v>
      </c>
      <c r="Z592" s="30" t="s">
        <v>108</v>
      </c>
      <c r="AA592" s="31"/>
      <c r="AB592" s="31"/>
      <c r="AC592" s="31"/>
      <c r="AD592" s="31"/>
      <c r="AE592" s="31"/>
      <c r="AF592" s="31"/>
      <c r="AG592" s="27" t="str">
        <f t="shared" si="1"/>
        <v>New Logo</v>
      </c>
      <c r="AH592" s="27" t="str">
        <f t="shared" si="5"/>
        <v>Lead</v>
      </c>
      <c r="AI592" s="27" t="str">
        <f t="shared" si="6"/>
        <v>501-1000</v>
      </c>
      <c r="AJ592" s="27" t="str">
        <f t="shared" si="7"/>
        <v>101-500</v>
      </c>
    </row>
    <row r="593" ht="15.75" customHeight="1">
      <c r="A593" s="23">
        <f>HYPERLINK("https://app.hubspot.com/contacts/8748051/record/0-3/18220757846", 18220757846)</f>
        <v>18220757846</v>
      </c>
      <c r="B593" s="24" t="s">
        <v>2029</v>
      </c>
      <c r="C593" s="24" t="s">
        <v>1009</v>
      </c>
      <c r="D593" s="25">
        <v>2880.0</v>
      </c>
      <c r="E593" s="24" t="s">
        <v>73</v>
      </c>
      <c r="F593" s="27"/>
      <c r="G593" s="26">
        <v>45376.395474537036</v>
      </c>
      <c r="H593" s="26">
        <v>45560.39491898148</v>
      </c>
      <c r="I593" s="24" t="s">
        <v>40</v>
      </c>
      <c r="J593" s="24" t="s">
        <v>41</v>
      </c>
      <c r="K593" s="24" t="s">
        <v>1187</v>
      </c>
      <c r="L593" s="24" t="s">
        <v>178</v>
      </c>
      <c r="M593" s="24" t="s">
        <v>44</v>
      </c>
      <c r="N593" s="27"/>
      <c r="O593" s="24"/>
      <c r="P593" s="24" t="s">
        <v>75</v>
      </c>
      <c r="Q593" s="27"/>
      <c r="R593" s="23">
        <f>HYPERLINK("https://app.hubspot.com/contacts/8748051/record/0-2/6816600130", 6816600130)</f>
        <v>6816600130</v>
      </c>
      <c r="S593" s="24" t="s">
        <v>2030</v>
      </c>
      <c r="T593" s="28" t="s">
        <v>2031</v>
      </c>
      <c r="U593" s="24" t="s">
        <v>47</v>
      </c>
      <c r="V593" s="24"/>
      <c r="W593" s="32"/>
      <c r="X593" s="29">
        <v>93.0</v>
      </c>
      <c r="Y593" s="29">
        <v>15.0</v>
      </c>
      <c r="Z593" s="30"/>
      <c r="AA593" s="31"/>
      <c r="AB593" s="31"/>
      <c r="AC593" s="31"/>
      <c r="AD593" s="31"/>
      <c r="AE593" s="31"/>
      <c r="AF593" s="31"/>
      <c r="AG593" s="27" t="str">
        <f t="shared" si="1"/>
        <v>New Logo</v>
      </c>
      <c r="AH593" s="27" t="str">
        <f t="shared" si="5"/>
        <v>Lead</v>
      </c>
      <c r="AI593" s="27" t="str">
        <f t="shared" si="6"/>
        <v>0-200</v>
      </c>
      <c r="AJ593" s="27" t="str">
        <f t="shared" si="7"/>
        <v>0-20</v>
      </c>
    </row>
    <row r="594" ht="15.75" customHeight="1">
      <c r="A594" s="23">
        <f>HYPERLINK("https://app.hubspot.com/contacts/8748051/record/0-3/18219426108", 18219426108)</f>
        <v>18219426108</v>
      </c>
      <c r="B594" s="24" t="s">
        <v>2032</v>
      </c>
      <c r="C594" s="24" t="s">
        <v>1009</v>
      </c>
      <c r="D594" s="25">
        <v>140400.0</v>
      </c>
      <c r="E594" s="24" t="s">
        <v>73</v>
      </c>
      <c r="F594" s="27"/>
      <c r="G594" s="26">
        <v>45376.253483796296</v>
      </c>
      <c r="H594" s="26">
        <v>45560.253020833334</v>
      </c>
      <c r="I594" s="24" t="s">
        <v>40</v>
      </c>
      <c r="J594" s="24" t="s">
        <v>41</v>
      </c>
      <c r="K594" s="24" t="s">
        <v>1187</v>
      </c>
      <c r="L594" s="24" t="s">
        <v>178</v>
      </c>
      <c r="M594" s="24" t="s">
        <v>74</v>
      </c>
      <c r="N594" s="27"/>
      <c r="O594" s="24"/>
      <c r="P594" s="24" t="s">
        <v>213</v>
      </c>
      <c r="Q594" s="27"/>
      <c r="R594" s="23">
        <f>HYPERLINK("https://app.hubspot.com/contacts/8748051/record/0-2/10038688044", 10038688044)</f>
        <v>10038688044</v>
      </c>
      <c r="S594" s="24" t="s">
        <v>2033</v>
      </c>
      <c r="T594" s="28" t="s">
        <v>2034</v>
      </c>
      <c r="U594" s="24" t="s">
        <v>47</v>
      </c>
      <c r="V594" s="24"/>
      <c r="W594" s="32"/>
      <c r="X594" s="29">
        <v>4774.0</v>
      </c>
      <c r="Y594" s="29">
        <v>743.0</v>
      </c>
      <c r="Z594" s="30" t="s">
        <v>546</v>
      </c>
      <c r="AA594" s="31"/>
      <c r="AB594" s="31"/>
      <c r="AC594" s="31"/>
      <c r="AD594" s="31"/>
      <c r="AE594" s="31"/>
      <c r="AF594" s="31"/>
      <c r="AG594" s="27" t="str">
        <f t="shared" si="1"/>
        <v>New Logo</v>
      </c>
      <c r="AH594" s="27" t="str">
        <f t="shared" si="5"/>
        <v>Lead</v>
      </c>
      <c r="AI594" s="27" t="str">
        <f t="shared" si="6"/>
        <v>1001-5000</v>
      </c>
      <c r="AJ594" s="27" t="str">
        <f t="shared" si="7"/>
        <v>500+</v>
      </c>
    </row>
    <row r="595" ht="15.75" customHeight="1">
      <c r="A595" s="23">
        <f>HYPERLINK("https://app.hubspot.com/contacts/8748051/record/0-3/18161130936", 18161130936)</f>
        <v>18161130936</v>
      </c>
      <c r="B595" s="24" t="s">
        <v>2035</v>
      </c>
      <c r="C595" s="24" t="s">
        <v>50</v>
      </c>
      <c r="D595" s="25">
        <v>6500.0</v>
      </c>
      <c r="E595" s="24" t="s">
        <v>73</v>
      </c>
      <c r="F595" s="27"/>
      <c r="G595" s="26">
        <v>45373.00840277778</v>
      </c>
      <c r="H595" s="26">
        <v>45383.15069444444</v>
      </c>
      <c r="I595" s="24" t="s">
        <v>40</v>
      </c>
      <c r="J595" s="24" t="s">
        <v>41</v>
      </c>
      <c r="K595" s="24" t="s">
        <v>559</v>
      </c>
      <c r="L595" s="24" t="s">
        <v>560</v>
      </c>
      <c r="M595" s="24" t="s">
        <v>102</v>
      </c>
      <c r="N595" s="27"/>
      <c r="O595" s="24" t="s">
        <v>2036</v>
      </c>
      <c r="P595" s="24" t="s">
        <v>75</v>
      </c>
      <c r="Q595" s="27"/>
      <c r="R595" s="23">
        <f>HYPERLINK("https://app.hubspot.com/contacts/8748051/record/0-2/19176598385", 19176598385)</f>
        <v>19176598385</v>
      </c>
      <c r="S595" s="24" t="s">
        <v>2037</v>
      </c>
      <c r="T595" s="28" t="s">
        <v>2038</v>
      </c>
      <c r="U595" s="24" t="s">
        <v>47</v>
      </c>
      <c r="V595" s="24"/>
      <c r="W595" s="32"/>
      <c r="X595" s="29">
        <v>313.0</v>
      </c>
      <c r="Y595" s="29">
        <v>15.0</v>
      </c>
      <c r="Z595" s="30"/>
      <c r="AA595" s="31"/>
      <c r="AB595" s="31"/>
      <c r="AC595" s="31"/>
      <c r="AD595" s="31"/>
      <c r="AE595" s="31"/>
      <c r="AF595" s="31"/>
      <c r="AG595" s="27" t="str">
        <f t="shared" si="1"/>
        <v>New Logo</v>
      </c>
      <c r="AH595" s="27" t="str">
        <f t="shared" si="5"/>
        <v>Lead</v>
      </c>
      <c r="AI595" s="27" t="str">
        <f t="shared" si="6"/>
        <v>201-500</v>
      </c>
      <c r="AJ595" s="27" t="str">
        <f t="shared" si="7"/>
        <v>0-20</v>
      </c>
    </row>
    <row r="596" ht="15.75" customHeight="1">
      <c r="A596" s="23">
        <f>HYPERLINK("https://app.hubspot.com/contacts/8748051/record/0-3/18151200856", 18151200856)</f>
        <v>18151200856</v>
      </c>
      <c r="B596" s="24" t="s">
        <v>2039</v>
      </c>
      <c r="C596" s="24" t="s">
        <v>50</v>
      </c>
      <c r="D596" s="25">
        <v>17000.0</v>
      </c>
      <c r="E596" s="24" t="s">
        <v>73</v>
      </c>
      <c r="F596" s="27"/>
      <c r="G596" s="26">
        <v>45372.53980324074</v>
      </c>
      <c r="H596" s="26">
        <v>45556.53946759259</v>
      </c>
      <c r="I596" s="24" t="s">
        <v>40</v>
      </c>
      <c r="J596" s="24" t="s">
        <v>41</v>
      </c>
      <c r="K596" s="24" t="s">
        <v>1187</v>
      </c>
      <c r="L596" s="24" t="s">
        <v>178</v>
      </c>
      <c r="M596" s="24" t="s">
        <v>44</v>
      </c>
      <c r="N596" s="27"/>
      <c r="O596" s="27"/>
      <c r="P596" s="24" t="s">
        <v>213</v>
      </c>
      <c r="Q596" s="27"/>
      <c r="R596" s="23">
        <f>HYPERLINK("https://app.hubspot.com/contacts/8748051/record/0-2/7666466217", 7666466217)</f>
        <v>7666466217</v>
      </c>
      <c r="S596" s="24" t="s">
        <v>2040</v>
      </c>
      <c r="T596" s="28" t="s">
        <v>2041</v>
      </c>
      <c r="U596" s="24" t="s">
        <v>47</v>
      </c>
      <c r="V596" s="24"/>
      <c r="W596" s="25"/>
      <c r="X596" s="29">
        <v>381.0</v>
      </c>
      <c r="Y596" s="29">
        <v>80.0</v>
      </c>
      <c r="Z596" s="30" t="s">
        <v>64</v>
      </c>
      <c r="AA596" s="30"/>
      <c r="AB596" s="31"/>
      <c r="AC596" s="31"/>
      <c r="AD596" s="30"/>
      <c r="AE596" s="31"/>
      <c r="AF596" s="31"/>
      <c r="AG596" s="27" t="str">
        <f t="shared" si="1"/>
        <v>New Logo</v>
      </c>
      <c r="AH596" s="27" t="str">
        <f t="shared" si="5"/>
        <v>Lead</v>
      </c>
      <c r="AI596" s="27" t="str">
        <f t="shared" si="6"/>
        <v>201-500</v>
      </c>
      <c r="AJ596" s="27" t="str">
        <f t="shared" si="7"/>
        <v>51-100</v>
      </c>
    </row>
    <row r="597" ht="15.75" customHeight="1">
      <c r="A597" s="23">
        <f>HYPERLINK("https://app.hubspot.com/contacts/8748051/record/0-3/18151200631", 18151200631)</f>
        <v>18151200631</v>
      </c>
      <c r="B597" s="24" t="s">
        <v>2042</v>
      </c>
      <c r="C597" s="24" t="s">
        <v>50</v>
      </c>
      <c r="D597" s="25">
        <v>420480.0</v>
      </c>
      <c r="E597" s="24" t="s">
        <v>73</v>
      </c>
      <c r="F597" s="24"/>
      <c r="G597" s="26">
        <v>45372.5390162037</v>
      </c>
      <c r="H597" s="26">
        <v>45556.532638888886</v>
      </c>
      <c r="I597" s="24" t="s">
        <v>40</v>
      </c>
      <c r="J597" s="24" t="s">
        <v>41</v>
      </c>
      <c r="K597" s="24" t="s">
        <v>1187</v>
      </c>
      <c r="L597" s="24" t="s">
        <v>560</v>
      </c>
      <c r="M597" s="24" t="s">
        <v>44</v>
      </c>
      <c r="N597" s="27"/>
      <c r="O597" s="27"/>
      <c r="P597" s="24" t="s">
        <v>213</v>
      </c>
      <c r="Q597" s="24"/>
      <c r="R597" s="23">
        <f>HYPERLINK("https://app.hubspot.com/contacts/8748051/record/0-2/18252335002", 18252335002)</f>
        <v>18252335002</v>
      </c>
      <c r="S597" s="24" t="s">
        <v>2043</v>
      </c>
      <c r="T597" s="28" t="s">
        <v>2044</v>
      </c>
      <c r="U597" s="24" t="s">
        <v>47</v>
      </c>
      <c r="V597" s="24"/>
      <c r="W597" s="32"/>
      <c r="X597" s="29">
        <v>67767.0</v>
      </c>
      <c r="Y597" s="29">
        <v>3815.0</v>
      </c>
      <c r="Z597" s="30"/>
      <c r="AA597" s="31"/>
      <c r="AB597" s="31"/>
      <c r="AC597" s="31"/>
      <c r="AD597" s="31"/>
      <c r="AE597" s="31"/>
      <c r="AF597" s="31"/>
      <c r="AG597" s="27" t="str">
        <f t="shared" si="1"/>
        <v>New Logo</v>
      </c>
      <c r="AH597" s="27" t="str">
        <f t="shared" si="5"/>
        <v>Lead</v>
      </c>
      <c r="AI597" s="27" t="str">
        <f t="shared" si="6"/>
        <v>10000+</v>
      </c>
      <c r="AJ597" s="27" t="str">
        <f t="shared" si="7"/>
        <v>500+</v>
      </c>
    </row>
    <row r="598" ht="15.75" customHeight="1">
      <c r="A598" s="23">
        <f>HYPERLINK("https://app.hubspot.com/contacts/8748051/record/0-3/18137545558", 18137545558)</f>
        <v>18137545558</v>
      </c>
      <c r="B598" s="24" t="s">
        <v>2045</v>
      </c>
      <c r="C598" s="24" t="s">
        <v>1009</v>
      </c>
      <c r="D598" s="25">
        <v>6480.0</v>
      </c>
      <c r="E598" s="24" t="s">
        <v>73</v>
      </c>
      <c r="F598" s="24"/>
      <c r="G598" s="26">
        <v>45371.97420138889</v>
      </c>
      <c r="H598" s="26">
        <v>45555.9737962963</v>
      </c>
      <c r="I598" s="24" t="s">
        <v>40</v>
      </c>
      <c r="J598" s="24" t="s">
        <v>41</v>
      </c>
      <c r="K598" s="24" t="s">
        <v>559</v>
      </c>
      <c r="L598" s="24" t="s">
        <v>560</v>
      </c>
      <c r="M598" s="24" t="s">
        <v>74</v>
      </c>
      <c r="N598" s="27"/>
      <c r="O598" s="27"/>
      <c r="P598" s="24" t="s">
        <v>213</v>
      </c>
      <c r="Q598" s="24"/>
      <c r="R598" s="23">
        <f>HYPERLINK("https://app.hubspot.com/contacts/8748051/record/0-2/19176635234", 19176635234)</f>
        <v>19176635234</v>
      </c>
      <c r="S598" s="24" t="s">
        <v>2046</v>
      </c>
      <c r="T598" s="28" t="s">
        <v>2047</v>
      </c>
      <c r="U598" s="24" t="s">
        <v>47</v>
      </c>
      <c r="V598" s="24"/>
      <c r="W598" s="32"/>
      <c r="X598" s="29">
        <v>151.0</v>
      </c>
      <c r="Y598" s="29">
        <v>18.0</v>
      </c>
      <c r="Z598" s="30" t="s">
        <v>108</v>
      </c>
      <c r="AA598" s="31"/>
      <c r="AB598" s="31"/>
      <c r="AC598" s="31"/>
      <c r="AD598" s="31"/>
      <c r="AE598" s="31"/>
      <c r="AF598" s="31"/>
      <c r="AG598" s="27" t="str">
        <f t="shared" si="1"/>
        <v>New Logo</v>
      </c>
      <c r="AH598" s="27" t="str">
        <f t="shared" si="5"/>
        <v>Lead</v>
      </c>
      <c r="AI598" s="27" t="str">
        <f t="shared" si="6"/>
        <v>0-200</v>
      </c>
      <c r="AJ598" s="27" t="str">
        <f t="shared" si="7"/>
        <v>0-20</v>
      </c>
    </row>
    <row r="599" ht="15.75" customHeight="1">
      <c r="A599" s="23">
        <f>HYPERLINK("https://app.hubspot.com/contacts/8748051/record/0-3/18137545526", 18137545526)</f>
        <v>18137545526</v>
      </c>
      <c r="B599" s="24" t="s">
        <v>1406</v>
      </c>
      <c r="C599" s="24" t="s">
        <v>1009</v>
      </c>
      <c r="D599" s="25">
        <v>70000.0</v>
      </c>
      <c r="E599" s="24" t="s">
        <v>127</v>
      </c>
      <c r="F599" s="24" t="s">
        <v>52</v>
      </c>
      <c r="G599" s="26">
        <v>45371.97326388889</v>
      </c>
      <c r="H599" s="26">
        <v>45555.972905092596</v>
      </c>
      <c r="I599" s="24" t="s">
        <v>40</v>
      </c>
      <c r="J599" s="24" t="s">
        <v>53</v>
      </c>
      <c r="K599" s="24" t="s">
        <v>42</v>
      </c>
      <c r="L599" s="24" t="s">
        <v>43</v>
      </c>
      <c r="M599" s="24" t="s">
        <v>74</v>
      </c>
      <c r="N599" s="27"/>
      <c r="O599" s="27"/>
      <c r="P599" s="24"/>
      <c r="Q599" s="24" t="s">
        <v>568</v>
      </c>
      <c r="R599" s="23">
        <f>HYPERLINK("https://app.hubspot.com/contacts/8748051/record/0-2/7736681624", 7736681624)</f>
        <v>7736681624</v>
      </c>
      <c r="S599" s="24" t="s">
        <v>1407</v>
      </c>
      <c r="T599" s="28" t="s">
        <v>1408</v>
      </c>
      <c r="U599" s="24" t="s">
        <v>47</v>
      </c>
      <c r="V599" s="24"/>
      <c r="W599" s="32"/>
      <c r="X599" s="29">
        <v>865.0</v>
      </c>
      <c r="Y599" s="29">
        <v>128.0</v>
      </c>
      <c r="Z599" s="30" t="s">
        <v>546</v>
      </c>
      <c r="AA599" s="31"/>
      <c r="AB599" s="31"/>
      <c r="AC599" s="31"/>
      <c r="AD599" s="31"/>
      <c r="AE599" s="31"/>
      <c r="AF599" s="31"/>
      <c r="AG599" s="27" t="str">
        <f t="shared" si="1"/>
        <v>New Logo</v>
      </c>
      <c r="AH599" s="27" t="str">
        <f t="shared" si="5"/>
        <v>Lead</v>
      </c>
      <c r="AI599" s="27" t="str">
        <f t="shared" si="6"/>
        <v>501-1000</v>
      </c>
      <c r="AJ599" s="27" t="str">
        <f t="shared" si="7"/>
        <v>101-500</v>
      </c>
    </row>
    <row r="600" ht="15.75" customHeight="1">
      <c r="A600" s="23">
        <f>HYPERLINK("https://app.hubspot.com/contacts/8748051/record/0-3/18125984425", 18125984425)</f>
        <v>18125984425</v>
      </c>
      <c r="B600" s="24" t="s">
        <v>2048</v>
      </c>
      <c r="C600" s="24" t="s">
        <v>38</v>
      </c>
      <c r="D600" s="25">
        <v>6480.0</v>
      </c>
      <c r="E600" s="24" t="s">
        <v>73</v>
      </c>
      <c r="F600" s="24"/>
      <c r="G600" s="26">
        <v>45371.35070601852</v>
      </c>
      <c r="H600" s="26">
        <v>45555.35034722222</v>
      </c>
      <c r="I600" s="24" t="s">
        <v>40</v>
      </c>
      <c r="J600" s="24" t="s">
        <v>41</v>
      </c>
      <c r="K600" s="24" t="s">
        <v>1187</v>
      </c>
      <c r="L600" s="24" t="s">
        <v>178</v>
      </c>
      <c r="M600" s="24" t="s">
        <v>44</v>
      </c>
      <c r="N600" s="27"/>
      <c r="O600" s="27"/>
      <c r="P600" s="24" t="s">
        <v>75</v>
      </c>
      <c r="Q600" s="27"/>
      <c r="R600" s="23">
        <f>HYPERLINK("https://app.hubspot.com/contacts/8748051/record/0-2/9014031639", 9014031639)</f>
        <v>9014031639</v>
      </c>
      <c r="S600" s="24" t="s">
        <v>2049</v>
      </c>
      <c r="T600" s="28" t="s">
        <v>2050</v>
      </c>
      <c r="U600" s="24" t="s">
        <v>47</v>
      </c>
      <c r="V600" s="24"/>
      <c r="W600" s="32"/>
      <c r="X600" s="29">
        <v>93.0</v>
      </c>
      <c r="Y600" s="29">
        <v>18.0</v>
      </c>
      <c r="Z600" s="30" t="s">
        <v>64</v>
      </c>
      <c r="AA600" s="31"/>
      <c r="AB600" s="31"/>
      <c r="AC600" s="31"/>
      <c r="AD600" s="31"/>
      <c r="AE600" s="31"/>
      <c r="AF600" s="31"/>
      <c r="AG600" s="27" t="str">
        <f t="shared" si="1"/>
        <v>New Logo</v>
      </c>
      <c r="AH600" s="27" t="str">
        <f t="shared" si="5"/>
        <v>Lead</v>
      </c>
      <c r="AI600" s="27" t="str">
        <f t="shared" si="6"/>
        <v>0-200</v>
      </c>
      <c r="AJ600" s="27" t="str">
        <f t="shared" si="7"/>
        <v>0-20</v>
      </c>
    </row>
    <row r="601" ht="15.75" customHeight="1">
      <c r="A601" s="23">
        <f>HYPERLINK("https://app.hubspot.com/contacts/8748051/record/0-3/18123525024", 18123525024)</f>
        <v>18123525024</v>
      </c>
      <c r="B601" s="24" t="s">
        <v>2051</v>
      </c>
      <c r="C601" s="24" t="s">
        <v>1009</v>
      </c>
      <c r="D601" s="25">
        <v>9120.0</v>
      </c>
      <c r="E601" s="24" t="s">
        <v>73</v>
      </c>
      <c r="F601" s="24"/>
      <c r="G601" s="26">
        <v>45371.18388888889</v>
      </c>
      <c r="H601" s="26">
        <v>45555.18340277778</v>
      </c>
      <c r="I601" s="24" t="s">
        <v>40</v>
      </c>
      <c r="J601" s="24" t="s">
        <v>41</v>
      </c>
      <c r="K601" s="24" t="s">
        <v>559</v>
      </c>
      <c r="L601" s="24" t="s">
        <v>560</v>
      </c>
      <c r="M601" s="24" t="s">
        <v>74</v>
      </c>
      <c r="N601" s="27"/>
      <c r="O601" s="27"/>
      <c r="P601" s="24" t="s">
        <v>122</v>
      </c>
      <c r="Q601" s="24"/>
      <c r="R601" s="23">
        <f>HYPERLINK("https://app.hubspot.com/contacts/8748051/record/0-2/10013686893", 10013686893)</f>
        <v>10013686893</v>
      </c>
      <c r="S601" s="24" t="s">
        <v>2052</v>
      </c>
      <c r="T601" s="28" t="s">
        <v>2053</v>
      </c>
      <c r="U601" s="24" t="s">
        <v>47</v>
      </c>
      <c r="V601" s="24"/>
      <c r="W601" s="32"/>
      <c r="X601" s="29">
        <v>191.0</v>
      </c>
      <c r="Y601" s="29">
        <v>40.0</v>
      </c>
      <c r="Z601" s="30" t="s">
        <v>108</v>
      </c>
      <c r="AA601" s="31"/>
      <c r="AB601" s="31"/>
      <c r="AC601" s="31"/>
      <c r="AD601" s="31"/>
      <c r="AE601" s="31"/>
      <c r="AF601" s="31"/>
      <c r="AG601" s="27" t="str">
        <f t="shared" si="1"/>
        <v>New Logo</v>
      </c>
      <c r="AH601" s="27" t="str">
        <f t="shared" si="5"/>
        <v>Lead</v>
      </c>
      <c r="AI601" s="27" t="str">
        <f t="shared" si="6"/>
        <v>0-200</v>
      </c>
      <c r="AJ601" s="27" t="str">
        <f t="shared" si="7"/>
        <v>21-50</v>
      </c>
    </row>
    <row r="602" ht="15.75" customHeight="1">
      <c r="A602" s="23">
        <f>HYPERLINK("https://app.hubspot.com/contacts/8748051/record/0-3/18110875398", 18110875398)</f>
        <v>18110875398</v>
      </c>
      <c r="B602" s="24" t="s">
        <v>2054</v>
      </c>
      <c r="C602" s="24" t="s">
        <v>1009</v>
      </c>
      <c r="D602" s="25">
        <v>4800.0</v>
      </c>
      <c r="E602" s="24" t="s">
        <v>73</v>
      </c>
      <c r="F602" s="27"/>
      <c r="G602" s="26">
        <v>45370.48554398148</v>
      </c>
      <c r="H602" s="26">
        <v>45554.48520833333</v>
      </c>
      <c r="I602" s="24" t="s">
        <v>40</v>
      </c>
      <c r="J602" s="24" t="s">
        <v>41</v>
      </c>
      <c r="K602" s="24" t="s">
        <v>1187</v>
      </c>
      <c r="L602" s="24" t="s">
        <v>178</v>
      </c>
      <c r="M602" s="24" t="s">
        <v>44</v>
      </c>
      <c r="N602" s="27"/>
      <c r="O602" s="27"/>
      <c r="P602" s="24" t="s">
        <v>213</v>
      </c>
      <c r="Q602" s="27"/>
      <c r="R602" s="23">
        <f>HYPERLINK("https://app.hubspot.com/contacts/8748051/record/0-2/17518459778", 17518459778)</f>
        <v>17518459778</v>
      </c>
      <c r="S602" s="24" t="s">
        <v>2055</v>
      </c>
      <c r="T602" s="28" t="s">
        <v>2056</v>
      </c>
      <c r="U602" s="24" t="s">
        <v>47</v>
      </c>
      <c r="V602" s="24"/>
      <c r="W602" s="32"/>
      <c r="X602" s="29">
        <v>192.0</v>
      </c>
      <c r="Y602" s="29">
        <v>28.0</v>
      </c>
      <c r="Z602" s="30"/>
      <c r="AA602" s="31"/>
      <c r="AB602" s="31"/>
      <c r="AC602" s="31"/>
      <c r="AD602" s="31"/>
      <c r="AE602" s="31"/>
      <c r="AF602" s="31"/>
      <c r="AG602" s="27" t="str">
        <f t="shared" si="1"/>
        <v>New Logo</v>
      </c>
      <c r="AH602" s="27" t="str">
        <f t="shared" si="5"/>
        <v>Lead</v>
      </c>
      <c r="AI602" s="27" t="str">
        <f t="shared" si="6"/>
        <v>0-200</v>
      </c>
      <c r="AJ602" s="27" t="str">
        <f t="shared" si="7"/>
        <v>21-50</v>
      </c>
    </row>
    <row r="603" ht="15.75" customHeight="1">
      <c r="A603" s="23">
        <f>HYPERLINK("https://app.hubspot.com/contacts/8748051/record/0-3/18096330107", 18096330107)</f>
        <v>18096330107</v>
      </c>
      <c r="B603" s="24" t="s">
        <v>2057</v>
      </c>
      <c r="C603" s="24" t="s">
        <v>50</v>
      </c>
      <c r="D603" s="25">
        <v>48000.0</v>
      </c>
      <c r="E603" s="24" t="s">
        <v>73</v>
      </c>
      <c r="F603" s="24"/>
      <c r="G603" s="26">
        <v>45369.64195601852</v>
      </c>
      <c r="H603" s="26">
        <v>45556.64142361111</v>
      </c>
      <c r="I603" s="24" t="s">
        <v>40</v>
      </c>
      <c r="J603" s="24" t="s">
        <v>41</v>
      </c>
      <c r="K603" s="24" t="s">
        <v>1187</v>
      </c>
      <c r="L603" s="24" t="s">
        <v>178</v>
      </c>
      <c r="M603" s="24" t="s">
        <v>44</v>
      </c>
      <c r="N603" s="27"/>
      <c r="O603" s="27"/>
      <c r="P603" s="24" t="s">
        <v>213</v>
      </c>
      <c r="Q603" s="24"/>
      <c r="R603" s="23">
        <f>HYPERLINK("https://app.hubspot.com/contacts/8748051/record/0-2/9086573923", 9086573923)</f>
        <v>9086573923</v>
      </c>
      <c r="S603" s="24" t="s">
        <v>2058</v>
      </c>
      <c r="T603" s="28" t="s">
        <v>2059</v>
      </c>
      <c r="U603" s="24" t="s">
        <v>47</v>
      </c>
      <c r="V603" s="24"/>
      <c r="W603" s="32"/>
      <c r="X603" s="29">
        <v>1396.0</v>
      </c>
      <c r="Y603" s="29">
        <v>260.0</v>
      </c>
      <c r="Z603" s="30" t="s">
        <v>71</v>
      </c>
      <c r="AA603" s="31"/>
      <c r="AB603" s="31"/>
      <c r="AC603" s="31"/>
      <c r="AD603" s="31"/>
      <c r="AE603" s="31"/>
      <c r="AF603" s="31"/>
      <c r="AG603" s="27" t="str">
        <f t="shared" si="1"/>
        <v>New Logo</v>
      </c>
      <c r="AH603" s="27" t="str">
        <f t="shared" si="5"/>
        <v>Lead</v>
      </c>
      <c r="AI603" s="27" t="str">
        <f t="shared" si="6"/>
        <v>1001-5000</v>
      </c>
      <c r="AJ603" s="27" t="str">
        <f t="shared" si="7"/>
        <v>101-500</v>
      </c>
    </row>
    <row r="604" ht="15.75" customHeight="1">
      <c r="A604" s="23">
        <f>HYPERLINK("https://app.hubspot.com/contacts/8748051/record/0-3/18094274709", 18094274709)</f>
        <v>18094274709</v>
      </c>
      <c r="B604" s="24" t="s">
        <v>2060</v>
      </c>
      <c r="C604" s="24" t="s">
        <v>1009</v>
      </c>
      <c r="D604" s="25">
        <v>5520.0</v>
      </c>
      <c r="E604" s="24" t="s">
        <v>73</v>
      </c>
      <c r="F604" s="27"/>
      <c r="G604" s="26">
        <v>45369.559328703705</v>
      </c>
      <c r="H604" s="26">
        <v>45553.55899305556</v>
      </c>
      <c r="I604" s="24" t="s">
        <v>40</v>
      </c>
      <c r="J604" s="24" t="s">
        <v>41</v>
      </c>
      <c r="K604" s="24" t="s">
        <v>1187</v>
      </c>
      <c r="L604" s="24" t="s">
        <v>178</v>
      </c>
      <c r="M604" s="24" t="s">
        <v>44</v>
      </c>
      <c r="N604" s="27"/>
      <c r="O604" s="27"/>
      <c r="P604" s="24" t="s">
        <v>213</v>
      </c>
      <c r="Q604" s="27"/>
      <c r="R604" s="23">
        <f>HYPERLINK("https://app.hubspot.com/contacts/8748051/record/0-2/18831115095", 18831115095)</f>
        <v>18831115095</v>
      </c>
      <c r="S604" s="24" t="s">
        <v>2061</v>
      </c>
      <c r="T604" s="28" t="s">
        <v>2062</v>
      </c>
      <c r="U604" s="24" t="s">
        <v>47</v>
      </c>
      <c r="V604" s="24"/>
      <c r="W604" s="32"/>
      <c r="X604" s="29">
        <v>180.0</v>
      </c>
      <c r="Y604" s="29">
        <v>25.0</v>
      </c>
      <c r="Z604" s="30" t="s">
        <v>71</v>
      </c>
      <c r="AA604" s="31"/>
      <c r="AB604" s="31"/>
      <c r="AC604" s="31"/>
      <c r="AD604" s="31"/>
      <c r="AE604" s="31"/>
      <c r="AF604" s="31"/>
      <c r="AG604" s="27" t="str">
        <f t="shared" si="1"/>
        <v>New Logo</v>
      </c>
      <c r="AH604" s="27" t="str">
        <f t="shared" si="5"/>
        <v>Lead</v>
      </c>
      <c r="AI604" s="27" t="str">
        <f t="shared" si="6"/>
        <v>0-200</v>
      </c>
      <c r="AJ604" s="27" t="str">
        <f t="shared" si="7"/>
        <v>21-50</v>
      </c>
    </row>
    <row r="605" ht="15.75" customHeight="1">
      <c r="A605" s="23">
        <f>HYPERLINK("https://app.hubspot.com/contacts/8748051/record/0-3/18094274308", 18094274308)</f>
        <v>18094274308</v>
      </c>
      <c r="B605" s="24" t="s">
        <v>2063</v>
      </c>
      <c r="C605" s="24" t="s">
        <v>148</v>
      </c>
      <c r="D605" s="25">
        <v>10080.0</v>
      </c>
      <c r="E605" s="24" t="s">
        <v>73</v>
      </c>
      <c r="F605" s="24"/>
      <c r="G605" s="26">
        <v>45369.55762731482</v>
      </c>
      <c r="H605" s="26">
        <v>45553.556979166664</v>
      </c>
      <c r="I605" s="24" t="s">
        <v>40</v>
      </c>
      <c r="J605" s="24" t="s">
        <v>41</v>
      </c>
      <c r="K605" s="24" t="s">
        <v>42</v>
      </c>
      <c r="L605" s="24" t="s">
        <v>43</v>
      </c>
      <c r="M605" s="24" t="s">
        <v>44</v>
      </c>
      <c r="N605" s="27"/>
      <c r="O605" s="27"/>
      <c r="P605" s="24" t="s">
        <v>122</v>
      </c>
      <c r="Q605" s="27"/>
      <c r="R605" s="23">
        <f>HYPERLINK("https://app.hubspot.com/contacts/8748051/record/0-2/7648032795", 7648032795)</f>
        <v>7648032795</v>
      </c>
      <c r="S605" s="24" t="s">
        <v>2064</v>
      </c>
      <c r="T605" s="28" t="s">
        <v>2065</v>
      </c>
      <c r="U605" s="24" t="s">
        <v>47</v>
      </c>
      <c r="V605" s="24"/>
      <c r="W605" s="32"/>
      <c r="X605" s="29">
        <v>381.0</v>
      </c>
      <c r="Y605" s="29">
        <v>45.0</v>
      </c>
      <c r="Z605" s="30" t="s">
        <v>64</v>
      </c>
      <c r="AA605" s="31"/>
      <c r="AB605" s="31"/>
      <c r="AC605" s="31"/>
      <c r="AD605" s="31"/>
      <c r="AE605" s="31"/>
      <c r="AF605" s="31"/>
      <c r="AG605" s="27" t="str">
        <f t="shared" si="1"/>
        <v>New Logo</v>
      </c>
      <c r="AH605" s="27" t="str">
        <f t="shared" si="5"/>
        <v>Lead</v>
      </c>
      <c r="AI605" s="27" t="str">
        <f t="shared" si="6"/>
        <v>201-500</v>
      </c>
      <c r="AJ605" s="27" t="str">
        <f t="shared" si="7"/>
        <v>21-50</v>
      </c>
    </row>
    <row r="606" ht="15.75" customHeight="1">
      <c r="A606" s="23">
        <f>HYPERLINK("https://app.hubspot.com/contacts/8748051/record/0-3/18094342834", 18094342834)</f>
        <v>18094342834</v>
      </c>
      <c r="B606" s="24" t="s">
        <v>2066</v>
      </c>
      <c r="C606" s="24" t="s">
        <v>148</v>
      </c>
      <c r="D606" s="25">
        <v>10800.0</v>
      </c>
      <c r="E606" s="24" t="s">
        <v>73</v>
      </c>
      <c r="F606" s="24"/>
      <c r="G606" s="26">
        <v>45369.55637731482</v>
      </c>
      <c r="H606" s="26">
        <v>45553.555868055555</v>
      </c>
      <c r="I606" s="24" t="s">
        <v>40</v>
      </c>
      <c r="J606" s="24" t="s">
        <v>41</v>
      </c>
      <c r="K606" s="24" t="s">
        <v>559</v>
      </c>
      <c r="L606" s="24" t="s">
        <v>560</v>
      </c>
      <c r="M606" s="24" t="s">
        <v>44</v>
      </c>
      <c r="N606" s="27"/>
      <c r="O606" s="24"/>
      <c r="P606" s="24" t="s">
        <v>213</v>
      </c>
      <c r="Q606" s="24"/>
      <c r="R606" s="23">
        <f>HYPERLINK("https://app.hubspot.com/contacts/8748051/record/0-2/8920275369", 8920275369)</f>
        <v>8920275369</v>
      </c>
      <c r="S606" s="24" t="s">
        <v>2067</v>
      </c>
      <c r="T606" s="28" t="s">
        <v>2068</v>
      </c>
      <c r="U606" s="24" t="s">
        <v>47</v>
      </c>
      <c r="V606" s="24"/>
      <c r="W606" s="25"/>
      <c r="X606" s="29">
        <v>227.0</v>
      </c>
      <c r="Y606" s="29">
        <v>61.0</v>
      </c>
      <c r="Z606" s="30" t="s">
        <v>71</v>
      </c>
      <c r="AA606" s="30"/>
      <c r="AB606" s="31"/>
      <c r="AC606" s="31"/>
      <c r="AD606" s="30"/>
      <c r="AE606" s="31"/>
      <c r="AF606" s="31"/>
      <c r="AG606" s="27" t="str">
        <f t="shared" si="1"/>
        <v>New Logo</v>
      </c>
      <c r="AH606" s="27" t="str">
        <f t="shared" si="5"/>
        <v>Lead</v>
      </c>
      <c r="AI606" s="27" t="str">
        <f t="shared" si="6"/>
        <v>201-500</v>
      </c>
      <c r="AJ606" s="27" t="str">
        <f t="shared" si="7"/>
        <v>51-100</v>
      </c>
    </row>
    <row r="607" ht="15.75" customHeight="1">
      <c r="A607" s="23">
        <f>HYPERLINK("https://app.hubspot.com/contacts/8748051/record/0-3/18089950094", 18089950094)</f>
        <v>18089950094</v>
      </c>
      <c r="B607" s="24" t="s">
        <v>2069</v>
      </c>
      <c r="C607" s="24" t="s">
        <v>1009</v>
      </c>
      <c r="D607" s="25">
        <v>5000.0</v>
      </c>
      <c r="E607" s="24" t="s">
        <v>73</v>
      </c>
      <c r="F607" s="24"/>
      <c r="G607" s="26">
        <v>45369.33451388889</v>
      </c>
      <c r="H607" s="26">
        <v>45473.33427083334</v>
      </c>
      <c r="I607" s="24" t="s">
        <v>40</v>
      </c>
      <c r="J607" s="24" t="s">
        <v>41</v>
      </c>
      <c r="K607" s="24" t="s">
        <v>42</v>
      </c>
      <c r="L607" s="24" t="s">
        <v>43</v>
      </c>
      <c r="M607" s="24" t="s">
        <v>102</v>
      </c>
      <c r="N607" s="27"/>
      <c r="O607" s="24"/>
      <c r="P607" s="24" t="s">
        <v>75</v>
      </c>
      <c r="Q607" s="24"/>
      <c r="R607" s="23">
        <f>HYPERLINK("https://app.hubspot.com/contacts/8748051/record/0-2/18450809606", 18450809606)</f>
        <v>18450809606</v>
      </c>
      <c r="S607" s="24" t="s">
        <v>1123</v>
      </c>
      <c r="T607" s="28" t="s">
        <v>1124</v>
      </c>
      <c r="U607" s="24" t="s">
        <v>47</v>
      </c>
      <c r="V607" s="24"/>
      <c r="W607" s="32"/>
      <c r="X607" s="29">
        <v>260.0</v>
      </c>
      <c r="Y607" s="29">
        <v>25.0</v>
      </c>
      <c r="Z607" s="30"/>
      <c r="AA607" s="31"/>
      <c r="AB607" s="31"/>
      <c r="AC607" s="31"/>
      <c r="AD607" s="31"/>
      <c r="AE607" s="31"/>
      <c r="AF607" s="31"/>
      <c r="AG607" s="27" t="str">
        <f t="shared" si="1"/>
        <v>New Logo</v>
      </c>
      <c r="AH607" s="27" t="str">
        <f t="shared" si="5"/>
        <v>Lead</v>
      </c>
      <c r="AI607" s="27" t="str">
        <f t="shared" si="6"/>
        <v>201-500</v>
      </c>
      <c r="AJ607" s="27" t="str">
        <f t="shared" si="7"/>
        <v>21-50</v>
      </c>
    </row>
    <row r="608" ht="15.75" customHeight="1">
      <c r="A608" s="23">
        <f>HYPERLINK("https://app.hubspot.com/contacts/8748051/record/0-3/18072483249", 18072483249)</f>
        <v>18072483249</v>
      </c>
      <c r="B608" s="24" t="s">
        <v>2070</v>
      </c>
      <c r="C608" s="24" t="s">
        <v>38</v>
      </c>
      <c r="D608" s="25">
        <v>8000.0</v>
      </c>
      <c r="E608" s="24" t="s">
        <v>127</v>
      </c>
      <c r="F608" s="24" t="s">
        <v>52</v>
      </c>
      <c r="G608" s="26">
        <v>45368.04539351852</v>
      </c>
      <c r="H608" s="26">
        <v>45394.14724537037</v>
      </c>
      <c r="I608" s="24" t="s">
        <v>40</v>
      </c>
      <c r="J608" s="24" t="s">
        <v>41</v>
      </c>
      <c r="K608" s="24" t="s">
        <v>60</v>
      </c>
      <c r="L608" s="24" t="s">
        <v>183</v>
      </c>
      <c r="M608" s="24" t="s">
        <v>102</v>
      </c>
      <c r="N608" s="27"/>
      <c r="O608" s="27"/>
      <c r="P608" s="24"/>
      <c r="Q608" s="24" t="s">
        <v>197</v>
      </c>
      <c r="R608" s="23">
        <f>HYPERLINK("https://app.hubspot.com/contacts/8748051/record/0-2/9618589480", 9618589480)</f>
        <v>9618589480</v>
      </c>
      <c r="S608" s="24" t="s">
        <v>2071</v>
      </c>
      <c r="T608" s="28" t="s">
        <v>2072</v>
      </c>
      <c r="U608" s="24" t="s">
        <v>47</v>
      </c>
      <c r="V608" s="24"/>
      <c r="W608" s="32"/>
      <c r="X608" s="29">
        <v>152.0</v>
      </c>
      <c r="Y608" s="29">
        <v>21.0</v>
      </c>
      <c r="Z608" s="30"/>
      <c r="AA608" s="31"/>
      <c r="AB608" s="31"/>
      <c r="AC608" s="31"/>
      <c r="AD608" s="31"/>
      <c r="AE608" s="31"/>
      <c r="AF608" s="31"/>
      <c r="AG608" s="27" t="str">
        <f t="shared" si="1"/>
        <v>New Logo</v>
      </c>
      <c r="AH608" s="27" t="str">
        <f t="shared" si="5"/>
        <v>Lead</v>
      </c>
      <c r="AI608" s="27" t="str">
        <f t="shared" si="6"/>
        <v>0-200</v>
      </c>
      <c r="AJ608" s="27" t="str">
        <f t="shared" si="7"/>
        <v>21-50</v>
      </c>
    </row>
    <row r="609" ht="15.75" customHeight="1">
      <c r="A609" s="23">
        <f>HYPERLINK("https://app.hubspot.com/contacts/8748051/record/0-3/18054714713", 18054714713)</f>
        <v>18054714713</v>
      </c>
      <c r="B609" s="24" t="s">
        <v>2073</v>
      </c>
      <c r="C609" s="24" t="s">
        <v>50</v>
      </c>
      <c r="D609" s="25">
        <v>6960.0</v>
      </c>
      <c r="E609" s="24" t="s">
        <v>73</v>
      </c>
      <c r="F609" s="24"/>
      <c r="G609" s="26">
        <v>45366.77431712963</v>
      </c>
      <c r="H609" s="26">
        <v>45550.773680555554</v>
      </c>
      <c r="I609" s="24" t="s">
        <v>40</v>
      </c>
      <c r="J609" s="24" t="s">
        <v>41</v>
      </c>
      <c r="K609" s="24" t="s">
        <v>559</v>
      </c>
      <c r="L609" s="24" t="s">
        <v>560</v>
      </c>
      <c r="M609" s="24" t="s">
        <v>44</v>
      </c>
      <c r="N609" s="27"/>
      <c r="O609" s="27"/>
      <c r="P609" s="24" t="s">
        <v>122</v>
      </c>
      <c r="Q609" s="24"/>
      <c r="R609" s="23">
        <f>HYPERLINK("https://app.hubspot.com/contacts/8748051/record/0-2/8714365305", 8714365305)</f>
        <v>8714365305</v>
      </c>
      <c r="S609" s="24" t="s">
        <v>2074</v>
      </c>
      <c r="T609" s="28" t="s">
        <v>2075</v>
      </c>
      <c r="U609" s="24" t="s">
        <v>47</v>
      </c>
      <c r="V609" s="24"/>
      <c r="W609" s="32"/>
      <c r="X609" s="29">
        <v>219.0</v>
      </c>
      <c r="Y609" s="29">
        <v>28.0</v>
      </c>
      <c r="Z609" s="30"/>
      <c r="AA609" s="31"/>
      <c r="AB609" s="31"/>
      <c r="AC609" s="31"/>
      <c r="AD609" s="31"/>
      <c r="AE609" s="31"/>
      <c r="AF609" s="31"/>
      <c r="AG609" s="27" t="str">
        <f t="shared" si="1"/>
        <v>New Logo</v>
      </c>
      <c r="AH609" s="27" t="str">
        <f t="shared" si="5"/>
        <v>Lead</v>
      </c>
      <c r="AI609" s="27" t="str">
        <f t="shared" si="6"/>
        <v>201-500</v>
      </c>
      <c r="AJ609" s="27" t="str">
        <f t="shared" si="7"/>
        <v>21-50</v>
      </c>
    </row>
    <row r="610" ht="15.75" customHeight="1">
      <c r="A610" s="23">
        <f>HYPERLINK("https://app.hubspot.com/contacts/8748051/record/0-3/18054714652", 18054714652)</f>
        <v>18054714652</v>
      </c>
      <c r="B610" s="24" t="s">
        <v>2076</v>
      </c>
      <c r="C610" s="24" t="s">
        <v>50</v>
      </c>
      <c r="D610" s="25">
        <v>64080.0</v>
      </c>
      <c r="E610" s="24" t="s">
        <v>127</v>
      </c>
      <c r="F610" s="24" t="s">
        <v>52</v>
      </c>
      <c r="G610" s="26">
        <v>45366.77326388889</v>
      </c>
      <c r="H610" s="26">
        <v>45550.77265046296</v>
      </c>
      <c r="I610" s="24" t="s">
        <v>40</v>
      </c>
      <c r="J610" s="24" t="s">
        <v>41</v>
      </c>
      <c r="K610" s="24" t="s">
        <v>1187</v>
      </c>
      <c r="L610" s="24" t="s">
        <v>178</v>
      </c>
      <c r="M610" s="24" t="s">
        <v>44</v>
      </c>
      <c r="N610" s="27"/>
      <c r="O610" s="27"/>
      <c r="P610" s="24"/>
      <c r="Q610" s="24" t="s">
        <v>503</v>
      </c>
      <c r="R610" s="23">
        <f>HYPERLINK("https://app.hubspot.com/contacts/8748051/record/0-2/30038830164", 30038830164)</f>
        <v>30038830164</v>
      </c>
      <c r="S610" s="24" t="s">
        <v>2077</v>
      </c>
      <c r="T610" s="28" t="s">
        <v>2078</v>
      </c>
      <c r="U610" s="24" t="s">
        <v>47</v>
      </c>
      <c r="V610" s="24"/>
      <c r="W610" s="32"/>
      <c r="X610" s="29">
        <v>1989.0</v>
      </c>
      <c r="Y610" s="29">
        <v>274.0</v>
      </c>
      <c r="Z610" s="30" t="s">
        <v>546</v>
      </c>
      <c r="AA610" s="31"/>
      <c r="AB610" s="31"/>
      <c r="AC610" s="31"/>
      <c r="AD610" s="31"/>
      <c r="AE610" s="31"/>
      <c r="AF610" s="31"/>
      <c r="AG610" s="27" t="str">
        <f t="shared" si="1"/>
        <v>New Logo</v>
      </c>
      <c r="AH610" s="27" t="str">
        <f t="shared" si="5"/>
        <v>Lead</v>
      </c>
      <c r="AI610" s="27" t="str">
        <f t="shared" si="6"/>
        <v>1001-5000</v>
      </c>
      <c r="AJ610" s="27" t="str">
        <f t="shared" si="7"/>
        <v>101-500</v>
      </c>
    </row>
    <row r="611" ht="15.75" customHeight="1">
      <c r="A611" s="23">
        <f>HYPERLINK("https://app.hubspot.com/contacts/8748051/record/0-3/18055963821", 18055963821)</f>
        <v>18055963821</v>
      </c>
      <c r="B611" s="24" t="s">
        <v>2079</v>
      </c>
      <c r="C611" s="24" t="s">
        <v>38</v>
      </c>
      <c r="D611" s="25">
        <v>10560.0</v>
      </c>
      <c r="E611" s="24" t="s">
        <v>73</v>
      </c>
      <c r="F611" s="24"/>
      <c r="G611" s="26">
        <v>45366.771944444445</v>
      </c>
      <c r="H611" s="26">
        <v>45550.771574074075</v>
      </c>
      <c r="I611" s="24" t="s">
        <v>40</v>
      </c>
      <c r="J611" s="24" t="s">
        <v>41</v>
      </c>
      <c r="K611" s="24" t="s">
        <v>1187</v>
      </c>
      <c r="L611" s="24" t="s">
        <v>178</v>
      </c>
      <c r="M611" s="24" t="s">
        <v>44</v>
      </c>
      <c r="N611" s="27"/>
      <c r="O611" s="27"/>
      <c r="P611" s="24" t="s">
        <v>122</v>
      </c>
      <c r="Q611" s="24"/>
      <c r="R611" s="23">
        <f>HYPERLINK("https://app.hubspot.com/contacts/8748051/record/0-2/9913542440", 9913542440)</f>
        <v>9913542440</v>
      </c>
      <c r="S611" s="24" t="s">
        <v>1119</v>
      </c>
      <c r="T611" s="28" t="s">
        <v>1120</v>
      </c>
      <c r="U611" s="24" t="s">
        <v>47</v>
      </c>
      <c r="V611" s="24"/>
      <c r="W611" s="32"/>
      <c r="X611" s="29">
        <v>360.0</v>
      </c>
      <c r="Y611" s="29">
        <v>42.0</v>
      </c>
      <c r="Z611" s="30" t="s">
        <v>108</v>
      </c>
      <c r="AA611" s="31"/>
      <c r="AB611" s="31"/>
      <c r="AC611" s="31"/>
      <c r="AD611" s="31"/>
      <c r="AE611" s="31"/>
      <c r="AF611" s="31"/>
      <c r="AG611" s="27" t="str">
        <f t="shared" si="1"/>
        <v>New Logo</v>
      </c>
      <c r="AH611" s="27" t="str">
        <f t="shared" si="5"/>
        <v>Lead</v>
      </c>
      <c r="AI611" s="27" t="str">
        <f t="shared" si="6"/>
        <v>201-500</v>
      </c>
      <c r="AJ611" s="27" t="str">
        <f t="shared" si="7"/>
        <v>21-50</v>
      </c>
    </row>
    <row r="612" ht="15.75" customHeight="1">
      <c r="A612" s="23">
        <f>HYPERLINK("https://app.hubspot.com/contacts/8748051/record/0-3/18033529351", 18033529351)</f>
        <v>18033529351</v>
      </c>
      <c r="B612" s="24" t="s">
        <v>2080</v>
      </c>
      <c r="C612" s="24" t="s">
        <v>1009</v>
      </c>
      <c r="D612" s="25">
        <v>24000.0</v>
      </c>
      <c r="E612" s="24" t="s">
        <v>73</v>
      </c>
      <c r="F612" s="24"/>
      <c r="G612" s="26">
        <v>45365.49795138889</v>
      </c>
      <c r="H612" s="26">
        <v>45549.49753472222</v>
      </c>
      <c r="I612" s="24" t="s">
        <v>40</v>
      </c>
      <c r="J612" s="24" t="s">
        <v>41</v>
      </c>
      <c r="K612" s="24" t="s">
        <v>1187</v>
      </c>
      <c r="L612" s="24" t="s">
        <v>178</v>
      </c>
      <c r="M612" s="24" t="s">
        <v>74</v>
      </c>
      <c r="N612" s="27"/>
      <c r="O612" s="24"/>
      <c r="P612" s="24" t="s">
        <v>122</v>
      </c>
      <c r="Q612" s="24"/>
      <c r="R612" s="23">
        <f>HYPERLINK("https://app.hubspot.com/contacts/8748051/record/0-2/9186976566", 9186976566)</f>
        <v>9186976566</v>
      </c>
      <c r="S612" s="24" t="s">
        <v>2081</v>
      </c>
      <c r="T612" s="28" t="s">
        <v>2082</v>
      </c>
      <c r="U612" s="24" t="s">
        <v>47</v>
      </c>
      <c r="V612" s="24"/>
      <c r="W612" s="32"/>
      <c r="X612" s="29">
        <v>359.0</v>
      </c>
      <c r="Y612" s="29">
        <v>60.0</v>
      </c>
      <c r="Z612" s="30"/>
      <c r="AA612" s="31"/>
      <c r="AB612" s="31"/>
      <c r="AC612" s="31"/>
      <c r="AD612" s="31"/>
      <c r="AE612" s="31"/>
      <c r="AF612" s="31"/>
      <c r="AG612" s="27" t="str">
        <f t="shared" si="1"/>
        <v>New Logo</v>
      </c>
      <c r="AH612" s="27" t="str">
        <f t="shared" si="5"/>
        <v>Lead</v>
      </c>
      <c r="AI612" s="27" t="str">
        <f t="shared" si="6"/>
        <v>201-500</v>
      </c>
      <c r="AJ612" s="27" t="str">
        <f t="shared" si="7"/>
        <v>51-100</v>
      </c>
    </row>
    <row r="613" ht="15.75" customHeight="1">
      <c r="A613" s="23">
        <f>HYPERLINK("https://app.hubspot.com/contacts/8748051/record/0-3/18033529128", 18033529128)</f>
        <v>18033529128</v>
      </c>
      <c r="B613" s="24" t="s">
        <v>2083</v>
      </c>
      <c r="C613" s="24" t="s">
        <v>1009</v>
      </c>
      <c r="D613" s="25">
        <v>12960.0</v>
      </c>
      <c r="E613" s="24" t="s">
        <v>73</v>
      </c>
      <c r="F613" s="27"/>
      <c r="G613" s="26">
        <v>45365.49721064815</v>
      </c>
      <c r="H613" s="26">
        <v>45549.49489583333</v>
      </c>
      <c r="I613" s="24" t="s">
        <v>40</v>
      </c>
      <c r="J613" s="24" t="s">
        <v>41</v>
      </c>
      <c r="K613" s="24" t="s">
        <v>559</v>
      </c>
      <c r="L613" s="24" t="s">
        <v>560</v>
      </c>
      <c r="M613" s="24"/>
      <c r="N613" s="27"/>
      <c r="O613" s="27"/>
      <c r="P613" s="24" t="s">
        <v>234</v>
      </c>
      <c r="Q613" s="27"/>
      <c r="R613" s="23">
        <f>HYPERLINK("https://app.hubspot.com/contacts/8748051/record/0-2/8950349389", 8950349389)</f>
        <v>8950349389</v>
      </c>
      <c r="S613" s="24" t="s">
        <v>2084</v>
      </c>
      <c r="T613" s="28" t="s">
        <v>2085</v>
      </c>
      <c r="U613" s="24" t="s">
        <v>47</v>
      </c>
      <c r="V613" s="24"/>
      <c r="W613" s="32"/>
      <c r="X613" s="29">
        <v>315.0</v>
      </c>
      <c r="Y613" s="29">
        <v>84.0</v>
      </c>
      <c r="Z613" s="30" t="s">
        <v>108</v>
      </c>
      <c r="AA613" s="31"/>
      <c r="AB613" s="31"/>
      <c r="AC613" s="31"/>
      <c r="AD613" s="31"/>
      <c r="AE613" s="31"/>
      <c r="AF613" s="31"/>
      <c r="AG613" s="27" t="str">
        <f t="shared" si="1"/>
        <v>New Logo</v>
      </c>
      <c r="AH613" s="27" t="str">
        <f t="shared" si="5"/>
        <v>Lead</v>
      </c>
      <c r="AI613" s="27" t="str">
        <f t="shared" si="6"/>
        <v>201-500</v>
      </c>
      <c r="AJ613" s="27" t="str">
        <f t="shared" si="7"/>
        <v>51-100</v>
      </c>
    </row>
    <row r="614" ht="15.75" customHeight="1">
      <c r="A614" s="23">
        <f>HYPERLINK("https://app.hubspot.com/contacts/8748051/record/0-3/18023483559", 18023483559)</f>
        <v>18023483559</v>
      </c>
      <c r="B614" s="24" t="s">
        <v>2086</v>
      </c>
      <c r="C614" s="24" t="s">
        <v>1009</v>
      </c>
      <c r="D614" s="25">
        <v>19200.0</v>
      </c>
      <c r="E614" s="24" t="s">
        <v>73</v>
      </c>
      <c r="F614" s="24"/>
      <c r="G614" s="26">
        <v>45365.03989583333</v>
      </c>
      <c r="H614" s="26">
        <v>45549.03940972222</v>
      </c>
      <c r="I614" s="24" t="s">
        <v>40</v>
      </c>
      <c r="J614" s="24" t="s">
        <v>41</v>
      </c>
      <c r="K614" s="24" t="s">
        <v>60</v>
      </c>
      <c r="L614" s="24" t="s">
        <v>178</v>
      </c>
      <c r="M614" s="24" t="s">
        <v>74</v>
      </c>
      <c r="N614" s="27"/>
      <c r="O614" s="27"/>
      <c r="P614" s="24" t="s">
        <v>122</v>
      </c>
      <c r="Q614" s="24"/>
      <c r="R614" s="23">
        <f>HYPERLINK("https://app.hubspot.com/contacts/8748051/record/0-2/9132299348", 9132299348)</f>
        <v>9132299348</v>
      </c>
      <c r="S614" s="24" t="s">
        <v>2087</v>
      </c>
      <c r="T614" s="28" t="s">
        <v>2088</v>
      </c>
      <c r="U614" s="24" t="s">
        <v>47</v>
      </c>
      <c r="V614" s="24"/>
      <c r="W614" s="32"/>
      <c r="X614" s="29">
        <v>460.0</v>
      </c>
      <c r="Y614" s="29">
        <v>105.0</v>
      </c>
      <c r="Z614" s="30" t="s">
        <v>108</v>
      </c>
      <c r="AA614" s="31"/>
      <c r="AB614" s="31"/>
      <c r="AC614" s="31"/>
      <c r="AD614" s="31"/>
      <c r="AE614" s="31"/>
      <c r="AF614" s="31"/>
      <c r="AG614" s="27" t="str">
        <f t="shared" si="1"/>
        <v>New Logo</v>
      </c>
      <c r="AH614" s="27" t="str">
        <f t="shared" si="5"/>
        <v>Lead</v>
      </c>
      <c r="AI614" s="27" t="str">
        <f t="shared" si="6"/>
        <v>201-500</v>
      </c>
      <c r="AJ614" s="27" t="str">
        <f t="shared" si="7"/>
        <v>101-500</v>
      </c>
    </row>
    <row r="615" ht="15.75" customHeight="1">
      <c r="A615" s="23">
        <f>HYPERLINK("https://app.hubspot.com/contacts/8748051/record/0-3/18023307441", 18023307441)</f>
        <v>18023307441</v>
      </c>
      <c r="B615" s="24" t="s">
        <v>2089</v>
      </c>
      <c r="C615" s="24" t="s">
        <v>1009</v>
      </c>
      <c r="D615" s="25">
        <v>10320.0</v>
      </c>
      <c r="E615" s="24" t="s">
        <v>73</v>
      </c>
      <c r="F615" s="24"/>
      <c r="G615" s="26">
        <v>45365.034525462965</v>
      </c>
      <c r="H615" s="26">
        <v>45549.03395833333</v>
      </c>
      <c r="I615" s="24" t="s">
        <v>40</v>
      </c>
      <c r="J615" s="24" t="s">
        <v>41</v>
      </c>
      <c r="K615" s="24" t="s">
        <v>559</v>
      </c>
      <c r="L615" s="24" t="s">
        <v>560</v>
      </c>
      <c r="M615" s="24" t="s">
        <v>102</v>
      </c>
      <c r="N615" s="27"/>
      <c r="O615" s="27"/>
      <c r="P615" s="24" t="s">
        <v>75</v>
      </c>
      <c r="Q615" s="24"/>
      <c r="R615" s="23">
        <f>HYPERLINK("https://app.hubspot.com/contacts/8748051/record/0-2/19176594784", 19176594784)</f>
        <v>19176594784</v>
      </c>
      <c r="S615" s="24" t="s">
        <v>2090</v>
      </c>
      <c r="T615" s="28" t="s">
        <v>2091</v>
      </c>
      <c r="U615" s="24" t="s">
        <v>47</v>
      </c>
      <c r="V615" s="24"/>
      <c r="W615" s="32"/>
      <c r="X615" s="29">
        <v>1678.0</v>
      </c>
      <c r="Y615" s="29">
        <v>132.0</v>
      </c>
      <c r="Z615" s="30"/>
      <c r="AA615" s="31"/>
      <c r="AB615" s="31"/>
      <c r="AC615" s="31"/>
      <c r="AD615" s="31"/>
      <c r="AE615" s="31"/>
      <c r="AF615" s="31"/>
      <c r="AG615" s="27" t="str">
        <f t="shared" si="1"/>
        <v>New Logo</v>
      </c>
      <c r="AH615" s="27" t="str">
        <f t="shared" si="5"/>
        <v>Lead</v>
      </c>
      <c r="AI615" s="27" t="str">
        <f t="shared" si="6"/>
        <v>1001-5000</v>
      </c>
      <c r="AJ615" s="27" t="str">
        <f t="shared" si="7"/>
        <v>101-500</v>
      </c>
    </row>
    <row r="616" ht="15.75" customHeight="1">
      <c r="A616" s="23">
        <f>HYPERLINK("https://app.hubspot.com/contacts/8748051/record/0-3/18016475409", 18016475409)</f>
        <v>18016475409</v>
      </c>
      <c r="B616" s="24" t="s">
        <v>2092</v>
      </c>
      <c r="C616" s="24" t="s">
        <v>50</v>
      </c>
      <c r="D616" s="25">
        <v>17500.0</v>
      </c>
      <c r="E616" s="24" t="s">
        <v>73</v>
      </c>
      <c r="F616" s="24"/>
      <c r="G616" s="26">
        <v>45364.55810185185</v>
      </c>
      <c r="H616" s="26">
        <v>45473.493680555555</v>
      </c>
      <c r="I616" s="24" t="s">
        <v>40</v>
      </c>
      <c r="J616" s="24" t="s">
        <v>41</v>
      </c>
      <c r="K616" s="24" t="s">
        <v>60</v>
      </c>
      <c r="L616" s="24" t="s">
        <v>178</v>
      </c>
      <c r="M616" s="24" t="s">
        <v>44</v>
      </c>
      <c r="N616" s="27"/>
      <c r="O616" s="27"/>
      <c r="P616" s="24" t="s">
        <v>213</v>
      </c>
      <c r="Q616" s="27"/>
      <c r="R616" s="23">
        <f>HYPERLINK("https://app.hubspot.com/contacts/8748051/record/0-2/17746945174", 17746945174)</f>
        <v>17746945174</v>
      </c>
      <c r="S616" s="24" t="s">
        <v>2093</v>
      </c>
      <c r="T616" s="28" t="s">
        <v>2094</v>
      </c>
      <c r="U616" s="24" t="s">
        <v>47</v>
      </c>
      <c r="V616" s="24"/>
      <c r="W616" s="32"/>
      <c r="X616" s="29">
        <v>153.0</v>
      </c>
      <c r="Y616" s="29">
        <v>34.0</v>
      </c>
      <c r="Z616" s="30"/>
      <c r="AA616" s="31"/>
      <c r="AB616" s="31"/>
      <c r="AC616" s="31"/>
      <c r="AD616" s="31"/>
      <c r="AE616" s="31"/>
      <c r="AF616" s="31"/>
      <c r="AG616" s="27" t="str">
        <f t="shared" si="1"/>
        <v>New Logo</v>
      </c>
      <c r="AH616" s="27" t="str">
        <f t="shared" si="5"/>
        <v>Lead</v>
      </c>
      <c r="AI616" s="27" t="str">
        <f t="shared" si="6"/>
        <v>0-200</v>
      </c>
      <c r="AJ616" s="27" t="str">
        <f t="shared" si="7"/>
        <v>21-50</v>
      </c>
    </row>
    <row r="617" ht="15.75" customHeight="1">
      <c r="A617" s="23">
        <f>HYPERLINK("https://app.hubspot.com/contacts/8748051/record/0-3/18015066786", 18015066786)</f>
        <v>18015066786</v>
      </c>
      <c r="B617" s="24" t="s">
        <v>2095</v>
      </c>
      <c r="C617" s="24" t="s">
        <v>1009</v>
      </c>
      <c r="D617" s="25">
        <v>70560.0</v>
      </c>
      <c r="E617" s="24" t="s">
        <v>73</v>
      </c>
      <c r="F617" s="24"/>
      <c r="G617" s="26">
        <v>45364.494305555556</v>
      </c>
      <c r="H617" s="26">
        <v>45548.493842592594</v>
      </c>
      <c r="I617" s="24" t="s">
        <v>40</v>
      </c>
      <c r="J617" s="24" t="s">
        <v>41</v>
      </c>
      <c r="K617" s="24" t="s">
        <v>1187</v>
      </c>
      <c r="L617" s="24" t="s">
        <v>178</v>
      </c>
      <c r="M617" s="24" t="s">
        <v>74</v>
      </c>
      <c r="N617" s="27"/>
      <c r="O617" s="27"/>
      <c r="P617" s="24" t="s">
        <v>122</v>
      </c>
      <c r="Q617" s="24"/>
      <c r="R617" s="23">
        <f>HYPERLINK("https://app.hubspot.com/contacts/8748051/record/0-2/8975905460", 8975905460)</f>
        <v>8975905460</v>
      </c>
      <c r="S617" s="24" t="s">
        <v>2096</v>
      </c>
      <c r="T617" s="28" t="s">
        <v>2097</v>
      </c>
      <c r="U617" s="24" t="s">
        <v>47</v>
      </c>
      <c r="V617" s="24"/>
      <c r="W617" s="32"/>
      <c r="X617" s="29">
        <v>921.0</v>
      </c>
      <c r="Y617" s="29">
        <v>231.0</v>
      </c>
      <c r="Z617" s="30" t="s">
        <v>56</v>
      </c>
      <c r="AA617" s="31"/>
      <c r="AB617" s="31"/>
      <c r="AC617" s="31"/>
      <c r="AD617" s="31"/>
      <c r="AE617" s="31"/>
      <c r="AF617" s="31"/>
      <c r="AG617" s="27" t="str">
        <f t="shared" si="1"/>
        <v>New Logo</v>
      </c>
      <c r="AH617" s="27" t="str">
        <f t="shared" si="5"/>
        <v>Lead</v>
      </c>
      <c r="AI617" s="27" t="str">
        <f t="shared" si="6"/>
        <v>501-1000</v>
      </c>
      <c r="AJ617" s="27" t="str">
        <f t="shared" si="7"/>
        <v>101-500</v>
      </c>
    </row>
    <row r="618" ht="15.75" customHeight="1">
      <c r="A618" s="23">
        <f>HYPERLINK("https://app.hubspot.com/contacts/8748051/record/0-3/18014606995", 18014606995)</f>
        <v>18014606995</v>
      </c>
      <c r="B618" s="24" t="s">
        <v>2098</v>
      </c>
      <c r="C618" s="24" t="s">
        <v>1009</v>
      </c>
      <c r="D618" s="25">
        <v>1200.0</v>
      </c>
      <c r="E618" s="24" t="s">
        <v>73</v>
      </c>
      <c r="F618" s="27"/>
      <c r="G618" s="26">
        <v>45364.45863425926</v>
      </c>
      <c r="H618" s="26">
        <v>45548.458090277774</v>
      </c>
      <c r="I618" s="24" t="s">
        <v>40</v>
      </c>
      <c r="J618" s="24" t="s">
        <v>41</v>
      </c>
      <c r="K618" s="24" t="s">
        <v>559</v>
      </c>
      <c r="L618" s="24" t="s">
        <v>560</v>
      </c>
      <c r="M618" s="24" t="s">
        <v>74</v>
      </c>
      <c r="N618" s="27"/>
      <c r="O618" s="27"/>
      <c r="P618" s="24" t="s">
        <v>75</v>
      </c>
      <c r="Q618" s="27"/>
      <c r="R618" s="23">
        <f>HYPERLINK("https://app.hubspot.com/contacts/8748051/record/0-2/19176558462", 19176558462)</f>
        <v>19176558462</v>
      </c>
      <c r="S618" s="24" t="s">
        <v>2099</v>
      </c>
      <c r="T618" s="28" t="s">
        <v>2100</v>
      </c>
      <c r="U618" s="24" t="s">
        <v>47</v>
      </c>
      <c r="V618" s="24"/>
      <c r="W618" s="32"/>
      <c r="X618" s="29">
        <v>76.0</v>
      </c>
      <c r="Y618" s="29">
        <v>3.0</v>
      </c>
      <c r="Z618" s="30"/>
      <c r="AA618" s="31"/>
      <c r="AB618" s="31"/>
      <c r="AC618" s="31"/>
      <c r="AD618" s="31"/>
      <c r="AE618" s="31"/>
      <c r="AF618" s="31"/>
      <c r="AG618" s="27" t="str">
        <f t="shared" si="1"/>
        <v>New Logo</v>
      </c>
      <c r="AH618" s="27" t="str">
        <f t="shared" si="5"/>
        <v>Lead</v>
      </c>
      <c r="AI618" s="27" t="str">
        <f t="shared" si="6"/>
        <v>0-200</v>
      </c>
      <c r="AJ618" s="27" t="str">
        <f t="shared" si="7"/>
        <v>0-20</v>
      </c>
    </row>
    <row r="619" ht="15.75" customHeight="1">
      <c r="A619" s="23">
        <f>HYPERLINK("https://app.hubspot.com/contacts/8748051/record/0-3/18013265161", 18013265161)</f>
        <v>18013265161</v>
      </c>
      <c r="B619" s="24" t="s">
        <v>2101</v>
      </c>
      <c r="C619" s="24" t="s">
        <v>50</v>
      </c>
      <c r="D619" s="25">
        <v>19680.0</v>
      </c>
      <c r="E619" s="24" t="s">
        <v>73</v>
      </c>
      <c r="F619" s="24"/>
      <c r="G619" s="26">
        <v>45364.348761574074</v>
      </c>
      <c r="H619" s="26">
        <v>45548.347974537035</v>
      </c>
      <c r="I619" s="24" t="s">
        <v>40</v>
      </c>
      <c r="J619" s="24" t="s">
        <v>41</v>
      </c>
      <c r="K619" s="24" t="s">
        <v>1187</v>
      </c>
      <c r="L619" s="24" t="s">
        <v>178</v>
      </c>
      <c r="M619" s="24" t="s">
        <v>44</v>
      </c>
      <c r="N619" s="27"/>
      <c r="O619" s="27"/>
      <c r="P619" s="24" t="s">
        <v>213</v>
      </c>
      <c r="Q619" s="24"/>
      <c r="R619" s="23">
        <f>HYPERLINK("https://app.hubspot.com/contacts/8748051/record/0-2/6816397496", 6816397496)</f>
        <v>6816397496</v>
      </c>
      <c r="S619" s="24" t="s">
        <v>2102</v>
      </c>
      <c r="T619" s="28" t="s">
        <v>2103</v>
      </c>
      <c r="U619" s="24" t="s">
        <v>47</v>
      </c>
      <c r="V619" s="24"/>
      <c r="W619" s="32"/>
      <c r="X619" s="29">
        <v>193.0</v>
      </c>
      <c r="Y619" s="29">
        <v>70.0</v>
      </c>
      <c r="Z619" s="30"/>
      <c r="AA619" s="31"/>
      <c r="AB619" s="31"/>
      <c r="AC619" s="31"/>
      <c r="AD619" s="31"/>
      <c r="AE619" s="31"/>
      <c r="AF619" s="31"/>
      <c r="AG619" s="27" t="str">
        <f t="shared" si="1"/>
        <v>New Logo</v>
      </c>
      <c r="AH619" s="27" t="str">
        <f t="shared" si="5"/>
        <v>Lead</v>
      </c>
      <c r="AI619" s="27" t="str">
        <f t="shared" si="6"/>
        <v>0-200</v>
      </c>
      <c r="AJ619" s="27" t="str">
        <f t="shared" si="7"/>
        <v>51-100</v>
      </c>
    </row>
    <row r="620" ht="15.75" customHeight="1">
      <c r="A620" s="23">
        <f>HYPERLINK("https://app.hubspot.com/contacts/8748051/record/0-3/18013264969", 18013264969)</f>
        <v>18013264969</v>
      </c>
      <c r="B620" s="24" t="s">
        <v>2104</v>
      </c>
      <c r="C620" s="24" t="s">
        <v>148</v>
      </c>
      <c r="D620" s="25">
        <v>3840.0</v>
      </c>
      <c r="E620" s="24" t="s">
        <v>73</v>
      </c>
      <c r="F620" s="24"/>
      <c r="G620" s="26">
        <v>45364.34778935185</v>
      </c>
      <c r="H620" s="26">
        <v>45548.346400462964</v>
      </c>
      <c r="I620" s="24" t="s">
        <v>40</v>
      </c>
      <c r="J620" s="24" t="s">
        <v>41</v>
      </c>
      <c r="K620" s="24" t="s">
        <v>559</v>
      </c>
      <c r="L620" s="24" t="s">
        <v>560</v>
      </c>
      <c r="M620" s="24" t="s">
        <v>44</v>
      </c>
      <c r="N620" s="27"/>
      <c r="O620" s="27"/>
      <c r="P620" s="24" t="s">
        <v>122</v>
      </c>
      <c r="Q620" s="24"/>
      <c r="R620" s="23">
        <f>HYPERLINK("https://app.hubspot.com/contacts/8748051/record/0-2/19176228613", 19176228613)</f>
        <v>19176228613</v>
      </c>
      <c r="S620" s="24" t="s">
        <v>2105</v>
      </c>
      <c r="T620" s="28" t="s">
        <v>2106</v>
      </c>
      <c r="U620" s="24" t="s">
        <v>47</v>
      </c>
      <c r="V620" s="24"/>
      <c r="W620" s="25"/>
      <c r="X620" s="29">
        <v>96.0</v>
      </c>
      <c r="Y620" s="29">
        <v>10.0</v>
      </c>
      <c r="Z620" s="30"/>
      <c r="AA620" s="30"/>
      <c r="AB620" s="31"/>
      <c r="AC620" s="31"/>
      <c r="AD620" s="30"/>
      <c r="AE620" s="31"/>
      <c r="AF620" s="30"/>
      <c r="AG620" s="27" t="str">
        <f t="shared" si="1"/>
        <v>New Logo</v>
      </c>
      <c r="AH620" s="27" t="str">
        <f t="shared" si="5"/>
        <v>Lead</v>
      </c>
      <c r="AI620" s="27" t="str">
        <f t="shared" si="6"/>
        <v>0-200</v>
      </c>
      <c r="AJ620" s="27" t="str">
        <f t="shared" si="7"/>
        <v>0-20</v>
      </c>
    </row>
    <row r="621" ht="15.75" customHeight="1">
      <c r="A621" s="23">
        <f>HYPERLINK("https://app.hubspot.com/contacts/8748051/record/0-3/18013065228", 18013065228)</f>
        <v>18013065228</v>
      </c>
      <c r="B621" s="24" t="s">
        <v>749</v>
      </c>
      <c r="C621" s="24" t="s">
        <v>1009</v>
      </c>
      <c r="D621" s="25">
        <v>18000.0</v>
      </c>
      <c r="E621" s="24" t="s">
        <v>127</v>
      </c>
      <c r="F621" s="24" t="s">
        <v>52</v>
      </c>
      <c r="G621" s="26">
        <v>45364.324467592596</v>
      </c>
      <c r="H621" s="26">
        <v>45596.29746527778</v>
      </c>
      <c r="I621" s="24" t="s">
        <v>40</v>
      </c>
      <c r="J621" s="24" t="s">
        <v>41</v>
      </c>
      <c r="K621" s="24" t="s">
        <v>42</v>
      </c>
      <c r="L621" s="24" t="s">
        <v>43</v>
      </c>
      <c r="M621" s="24" t="s">
        <v>102</v>
      </c>
      <c r="N621" s="27"/>
      <c r="O621" s="27"/>
      <c r="P621" s="24"/>
      <c r="Q621" s="24" t="s">
        <v>503</v>
      </c>
      <c r="R621" s="23">
        <f>HYPERLINK("https://app.hubspot.com/contacts/8748051/record/0-2/9238305910", 9238305910)</f>
        <v>9238305910</v>
      </c>
      <c r="S621" s="24" t="s">
        <v>750</v>
      </c>
      <c r="T621" s="28" t="s">
        <v>751</v>
      </c>
      <c r="U621" s="24" t="s">
        <v>47</v>
      </c>
      <c r="V621" s="24"/>
      <c r="W621" s="32"/>
      <c r="X621" s="29">
        <v>544.0</v>
      </c>
      <c r="Y621" s="29">
        <v>43.0</v>
      </c>
      <c r="Z621" s="30"/>
      <c r="AA621" s="31"/>
      <c r="AB621" s="31"/>
      <c r="AC621" s="31"/>
      <c r="AD621" s="31"/>
      <c r="AE621" s="31"/>
      <c r="AF621" s="31"/>
      <c r="AG621" s="27" t="str">
        <f t="shared" si="1"/>
        <v>New Logo</v>
      </c>
      <c r="AH621" s="27" t="str">
        <f t="shared" si="5"/>
        <v>Lead</v>
      </c>
      <c r="AI621" s="27" t="str">
        <f t="shared" si="6"/>
        <v>501-1000</v>
      </c>
      <c r="AJ621" s="27" t="str">
        <f t="shared" si="7"/>
        <v>21-50</v>
      </c>
    </row>
    <row r="622" ht="15.75" customHeight="1">
      <c r="A622" s="23">
        <f>HYPERLINK("https://app.hubspot.com/contacts/8748051/record/0-3/18009921624", 18009921624)</f>
        <v>18009921624</v>
      </c>
      <c r="B622" s="24" t="s">
        <v>2107</v>
      </c>
      <c r="C622" s="24" t="s">
        <v>1009</v>
      </c>
      <c r="D622" s="25">
        <v>100000.0</v>
      </c>
      <c r="E622" s="24" t="s">
        <v>73</v>
      </c>
      <c r="F622" s="24"/>
      <c r="G622" s="26">
        <v>45364.16840277778</v>
      </c>
      <c r="H622" s="26">
        <v>45548.16746527778</v>
      </c>
      <c r="I622" s="24" t="s">
        <v>40</v>
      </c>
      <c r="J622" s="24" t="s">
        <v>41</v>
      </c>
      <c r="K622" s="24" t="s">
        <v>60</v>
      </c>
      <c r="L622" s="24" t="s">
        <v>178</v>
      </c>
      <c r="M622" s="24" t="s">
        <v>74</v>
      </c>
      <c r="N622" s="27"/>
      <c r="O622" s="24"/>
      <c r="P622" s="24" t="s">
        <v>213</v>
      </c>
      <c r="Q622" s="24"/>
      <c r="R622" s="23">
        <f>HYPERLINK("https://app.hubspot.com/contacts/8748051/record/0-2/9238358136", 9238358136)</f>
        <v>9238358136</v>
      </c>
      <c r="S622" s="24" t="s">
        <v>2108</v>
      </c>
      <c r="T622" s="28" t="s">
        <v>2109</v>
      </c>
      <c r="U622" s="24" t="s">
        <v>47</v>
      </c>
      <c r="V622" s="24"/>
      <c r="W622" s="25"/>
      <c r="X622" s="29">
        <v>3981.0</v>
      </c>
      <c r="Y622" s="29">
        <v>912.0</v>
      </c>
      <c r="Z622" s="30" t="s">
        <v>2110</v>
      </c>
      <c r="AA622" s="30"/>
      <c r="AB622" s="31"/>
      <c r="AC622" s="31"/>
      <c r="AD622" s="30"/>
      <c r="AE622" s="31"/>
      <c r="AF622" s="30"/>
      <c r="AG622" s="27" t="str">
        <f t="shared" si="1"/>
        <v>New Logo</v>
      </c>
      <c r="AH622" s="27" t="str">
        <f t="shared" si="5"/>
        <v>Lead</v>
      </c>
      <c r="AI622" s="27" t="str">
        <f t="shared" si="6"/>
        <v>1001-5000</v>
      </c>
      <c r="AJ622" s="27" t="str">
        <f t="shared" si="7"/>
        <v>500+</v>
      </c>
    </row>
    <row r="623" ht="15.75" customHeight="1">
      <c r="A623" s="23">
        <f>HYPERLINK("https://app.hubspot.com/contacts/8748051/record/0-3/18000221535", 18000221535)</f>
        <v>18000221535</v>
      </c>
      <c r="B623" s="24" t="s">
        <v>2111</v>
      </c>
      <c r="C623" s="24" t="s">
        <v>1009</v>
      </c>
      <c r="D623" s="25">
        <v>21600.0</v>
      </c>
      <c r="E623" s="24" t="s">
        <v>73</v>
      </c>
      <c r="F623" s="24"/>
      <c r="G623" s="26">
        <v>45363.51631944445</v>
      </c>
      <c r="H623" s="26">
        <v>45547.5156712963</v>
      </c>
      <c r="I623" s="24" t="s">
        <v>40</v>
      </c>
      <c r="J623" s="24" t="s">
        <v>41</v>
      </c>
      <c r="K623" s="24" t="s">
        <v>1187</v>
      </c>
      <c r="L623" s="24" t="s">
        <v>178</v>
      </c>
      <c r="M623" s="24" t="s">
        <v>44</v>
      </c>
      <c r="N623" s="27"/>
      <c r="O623" s="27"/>
      <c r="P623" s="24" t="s">
        <v>122</v>
      </c>
      <c r="Q623" s="24"/>
      <c r="R623" s="23">
        <f>HYPERLINK("https://app.hubspot.com/contacts/8748051/record/0-2/10198128784", 10198128784)</f>
        <v>10198128784</v>
      </c>
      <c r="S623" s="24" t="s">
        <v>2112</v>
      </c>
      <c r="T623" s="28" t="s">
        <v>2113</v>
      </c>
      <c r="U623" s="24" t="s">
        <v>47</v>
      </c>
      <c r="V623" s="24"/>
      <c r="W623" s="32"/>
      <c r="X623" s="29">
        <v>527.0</v>
      </c>
      <c r="Y623" s="29">
        <v>101.0</v>
      </c>
      <c r="Z623" s="30" t="s">
        <v>71</v>
      </c>
      <c r="AA623" s="31"/>
      <c r="AB623" s="31"/>
      <c r="AC623" s="31"/>
      <c r="AD623" s="31"/>
      <c r="AE623" s="31"/>
      <c r="AF623" s="31"/>
      <c r="AG623" s="27" t="str">
        <f t="shared" si="1"/>
        <v>New Logo</v>
      </c>
      <c r="AH623" s="27" t="str">
        <f t="shared" si="5"/>
        <v>Lead</v>
      </c>
      <c r="AI623" s="27" t="str">
        <f t="shared" si="6"/>
        <v>501-1000</v>
      </c>
      <c r="AJ623" s="27" t="str">
        <f t="shared" si="7"/>
        <v>101-500</v>
      </c>
    </row>
    <row r="624" ht="15.75" customHeight="1">
      <c r="A624" s="23">
        <f>HYPERLINK("https://app.hubspot.com/contacts/8748051/record/0-3/17983737638", 17983737638)</f>
        <v>17983737638</v>
      </c>
      <c r="B624" s="24" t="s">
        <v>2114</v>
      </c>
      <c r="C624" s="24" t="s">
        <v>50</v>
      </c>
      <c r="D624" s="25">
        <v>10000.0</v>
      </c>
      <c r="E624" s="24" t="s">
        <v>127</v>
      </c>
      <c r="F624" s="24" t="s">
        <v>52</v>
      </c>
      <c r="G624" s="26">
        <v>45362.73394675926</v>
      </c>
      <c r="H624" s="26">
        <v>45546.73315972222</v>
      </c>
      <c r="I624" s="24" t="s">
        <v>40</v>
      </c>
      <c r="J624" s="24" t="s">
        <v>41</v>
      </c>
      <c r="K624" s="24" t="s">
        <v>1187</v>
      </c>
      <c r="L624" s="24" t="s">
        <v>178</v>
      </c>
      <c r="M624" s="24" t="s">
        <v>44</v>
      </c>
      <c r="N624" s="27"/>
      <c r="O624" s="27"/>
      <c r="P624" s="24"/>
      <c r="Q624" s="24" t="s">
        <v>2115</v>
      </c>
      <c r="R624" s="23">
        <f>HYPERLINK("https://app.hubspot.com/contacts/8748051/record/0-2/17520934068", 17520934068)</f>
        <v>17520934068</v>
      </c>
      <c r="S624" s="24" t="s">
        <v>2116</v>
      </c>
      <c r="T624" s="28" t="s">
        <v>2117</v>
      </c>
      <c r="U624" s="24" t="s">
        <v>47</v>
      </c>
      <c r="V624" s="24"/>
      <c r="W624" s="32"/>
      <c r="X624" s="29">
        <v>569.0</v>
      </c>
      <c r="Y624" s="29">
        <v>81.0</v>
      </c>
      <c r="Z624" s="30"/>
      <c r="AA624" s="31"/>
      <c r="AB624" s="31"/>
      <c r="AC624" s="31"/>
      <c r="AD624" s="31"/>
      <c r="AE624" s="31"/>
      <c r="AF624" s="31"/>
      <c r="AG624" s="27" t="str">
        <f t="shared" si="1"/>
        <v>New Logo</v>
      </c>
      <c r="AH624" s="27" t="str">
        <f t="shared" si="5"/>
        <v>Lead</v>
      </c>
      <c r="AI624" s="27" t="str">
        <f t="shared" si="6"/>
        <v>501-1000</v>
      </c>
      <c r="AJ624" s="27" t="str">
        <f t="shared" si="7"/>
        <v>51-100</v>
      </c>
    </row>
    <row r="625" ht="15.75" customHeight="1">
      <c r="A625" s="23">
        <f>HYPERLINK("https://app.hubspot.com/contacts/8748051/record/0-3/17979318788", 17979318788)</f>
        <v>17979318788</v>
      </c>
      <c r="B625" s="24" t="s">
        <v>2118</v>
      </c>
      <c r="C625" s="24" t="s">
        <v>50</v>
      </c>
      <c r="D625" s="25">
        <v>7680.0</v>
      </c>
      <c r="E625" s="24" t="s">
        <v>73</v>
      </c>
      <c r="F625" s="24"/>
      <c r="G625" s="26">
        <v>45362.566712962966</v>
      </c>
      <c r="H625" s="26">
        <v>45546.565474537034</v>
      </c>
      <c r="I625" s="24" t="s">
        <v>40</v>
      </c>
      <c r="J625" s="24" t="s">
        <v>41</v>
      </c>
      <c r="K625" s="24" t="s">
        <v>42</v>
      </c>
      <c r="L625" s="24" t="s">
        <v>43</v>
      </c>
      <c r="M625" s="24" t="s">
        <v>44</v>
      </c>
      <c r="N625" s="27"/>
      <c r="O625" s="27"/>
      <c r="P625" s="24" t="s">
        <v>122</v>
      </c>
      <c r="Q625" s="24"/>
      <c r="R625" s="23">
        <f>HYPERLINK("https://app.hubspot.com/contacts/8748051/record/0-2/16375809954", 16375809954)</f>
        <v>16375809954</v>
      </c>
      <c r="S625" s="24" t="s">
        <v>2119</v>
      </c>
      <c r="T625" s="28" t="s">
        <v>2120</v>
      </c>
      <c r="U625" s="24" t="s">
        <v>47</v>
      </c>
      <c r="V625" s="24"/>
      <c r="W625" s="32"/>
      <c r="X625" s="29">
        <v>373.0</v>
      </c>
      <c r="Y625" s="29">
        <v>41.0</v>
      </c>
      <c r="Z625" s="30"/>
      <c r="AA625" s="31"/>
      <c r="AB625" s="31"/>
      <c r="AC625" s="31"/>
      <c r="AD625" s="31"/>
      <c r="AE625" s="31"/>
      <c r="AF625" s="31"/>
      <c r="AG625" s="27" t="str">
        <f t="shared" si="1"/>
        <v>New Logo</v>
      </c>
      <c r="AH625" s="27" t="str">
        <f t="shared" si="5"/>
        <v>Lead</v>
      </c>
      <c r="AI625" s="27" t="str">
        <f t="shared" si="6"/>
        <v>201-500</v>
      </c>
      <c r="AJ625" s="27" t="str">
        <f t="shared" si="7"/>
        <v>21-50</v>
      </c>
    </row>
    <row r="626" ht="15.75" customHeight="1">
      <c r="A626" s="23">
        <f>HYPERLINK("https://app.hubspot.com/contacts/8748051/record/0-3/17980040818", 17980040818)</f>
        <v>17980040818</v>
      </c>
      <c r="B626" s="24" t="s">
        <v>2121</v>
      </c>
      <c r="C626" s="24" t="s">
        <v>50</v>
      </c>
      <c r="D626" s="25">
        <v>18000.0</v>
      </c>
      <c r="E626" s="24" t="s">
        <v>73</v>
      </c>
      <c r="F626" s="24"/>
      <c r="G626" s="26">
        <v>45362.56471064815</v>
      </c>
      <c r="H626" s="26">
        <v>45546.56380787037</v>
      </c>
      <c r="I626" s="24" t="s">
        <v>40</v>
      </c>
      <c r="J626" s="24" t="s">
        <v>41</v>
      </c>
      <c r="K626" s="24" t="s">
        <v>1187</v>
      </c>
      <c r="L626" s="24" t="s">
        <v>178</v>
      </c>
      <c r="M626" s="24" t="s">
        <v>44</v>
      </c>
      <c r="N626" s="24"/>
      <c r="O626" s="27"/>
      <c r="P626" s="24" t="s">
        <v>213</v>
      </c>
      <c r="Q626" s="24"/>
      <c r="R626" s="23">
        <f>HYPERLINK("https://app.hubspot.com/contacts/8748051/record/0-2/7709450411", 7709450411)</f>
        <v>7709450411</v>
      </c>
      <c r="S626" s="24" t="s">
        <v>2122</v>
      </c>
      <c r="T626" s="28" t="s">
        <v>2123</v>
      </c>
      <c r="U626" s="24" t="s">
        <v>47</v>
      </c>
      <c r="V626" s="24"/>
      <c r="W626" s="25"/>
      <c r="X626" s="29">
        <v>553.0</v>
      </c>
      <c r="Y626" s="29">
        <v>102.0</v>
      </c>
      <c r="Z626" s="30" t="s">
        <v>71</v>
      </c>
      <c r="AA626" s="31"/>
      <c r="AB626" s="31"/>
      <c r="AC626" s="31"/>
      <c r="AD626" s="31"/>
      <c r="AE626" s="31"/>
      <c r="AF626" s="31"/>
      <c r="AG626" s="27" t="str">
        <f t="shared" si="1"/>
        <v>New Logo</v>
      </c>
      <c r="AH626" s="27" t="str">
        <f t="shared" si="5"/>
        <v>Lead</v>
      </c>
      <c r="AI626" s="27" t="str">
        <f t="shared" si="6"/>
        <v>501-1000</v>
      </c>
      <c r="AJ626" s="27" t="str">
        <f t="shared" si="7"/>
        <v>101-500</v>
      </c>
    </row>
    <row r="627" ht="15.75" customHeight="1">
      <c r="A627" s="23">
        <f>HYPERLINK("https://app.hubspot.com/contacts/8748051/record/0-3/17975800861", 17975800861)</f>
        <v>17975800861</v>
      </c>
      <c r="B627" s="24" t="s">
        <v>2124</v>
      </c>
      <c r="C627" s="24" t="s">
        <v>38</v>
      </c>
      <c r="D627" s="25">
        <v>67200.0</v>
      </c>
      <c r="E627" s="24" t="s">
        <v>73</v>
      </c>
      <c r="F627" s="24"/>
      <c r="G627" s="26">
        <v>45362.52123842593</v>
      </c>
      <c r="H627" s="26">
        <v>45546.52085648148</v>
      </c>
      <c r="I627" s="24" t="s">
        <v>40</v>
      </c>
      <c r="J627" s="24" t="s">
        <v>41</v>
      </c>
      <c r="K627" s="24" t="s">
        <v>1187</v>
      </c>
      <c r="L627" s="24" t="s">
        <v>560</v>
      </c>
      <c r="M627" s="24" t="s">
        <v>44</v>
      </c>
      <c r="N627" s="24"/>
      <c r="O627" s="27"/>
      <c r="P627" s="24" t="s">
        <v>213</v>
      </c>
      <c r="Q627" s="24"/>
      <c r="R627" s="23">
        <f>HYPERLINK("https://app.hubspot.com/contacts/8748051/record/0-2/9960253283", 9960253283)</f>
        <v>9960253283</v>
      </c>
      <c r="S627" s="24" t="s">
        <v>744</v>
      </c>
      <c r="T627" s="28" t="s">
        <v>745</v>
      </c>
      <c r="U627" s="24" t="s">
        <v>47</v>
      </c>
      <c r="V627" s="24"/>
      <c r="W627" s="25"/>
      <c r="X627" s="29">
        <v>1496.0</v>
      </c>
      <c r="Y627" s="29">
        <v>273.0</v>
      </c>
      <c r="Z627" s="30" t="s">
        <v>71</v>
      </c>
      <c r="AA627" s="30"/>
      <c r="AB627" s="31"/>
      <c r="AC627" s="31"/>
      <c r="AD627" s="30"/>
      <c r="AE627" s="31"/>
      <c r="AF627" s="30"/>
      <c r="AG627" s="27" t="str">
        <f t="shared" si="1"/>
        <v>New Logo</v>
      </c>
      <c r="AH627" s="27" t="str">
        <f t="shared" si="5"/>
        <v>Lead</v>
      </c>
      <c r="AI627" s="27" t="str">
        <f t="shared" si="6"/>
        <v>1001-5000</v>
      </c>
      <c r="AJ627" s="27" t="str">
        <f t="shared" si="7"/>
        <v>101-500</v>
      </c>
    </row>
    <row r="628" ht="15.75" customHeight="1">
      <c r="A628" s="23">
        <f>HYPERLINK("https://app.hubspot.com/contacts/8748051/record/0-3/17970821516", 17970821516)</f>
        <v>17970821516</v>
      </c>
      <c r="B628" s="24" t="s">
        <v>2125</v>
      </c>
      <c r="C628" s="24" t="s">
        <v>1009</v>
      </c>
      <c r="D628" s="25">
        <v>13920.0</v>
      </c>
      <c r="E628" s="24" t="s">
        <v>73</v>
      </c>
      <c r="F628" s="24"/>
      <c r="G628" s="26">
        <v>45362.27280092592</v>
      </c>
      <c r="H628" s="26">
        <v>45546.271585648145</v>
      </c>
      <c r="I628" s="24" t="s">
        <v>40</v>
      </c>
      <c r="J628" s="24" t="s">
        <v>41</v>
      </c>
      <c r="K628" s="24" t="s">
        <v>60</v>
      </c>
      <c r="L628" s="24" t="s">
        <v>178</v>
      </c>
      <c r="M628" s="24" t="s">
        <v>74</v>
      </c>
      <c r="N628" s="24"/>
      <c r="O628" s="27"/>
      <c r="P628" s="24" t="s">
        <v>122</v>
      </c>
      <c r="Q628" s="27"/>
      <c r="R628" s="23">
        <f>HYPERLINK("https://app.hubspot.com/contacts/8748051/record/0-2/32005978018", 32005978018)</f>
        <v>32005978018</v>
      </c>
      <c r="S628" s="24" t="s">
        <v>2126</v>
      </c>
      <c r="T628" s="28" t="s">
        <v>2127</v>
      </c>
      <c r="U628" s="24" t="s">
        <v>47</v>
      </c>
      <c r="V628" s="24"/>
      <c r="W628" s="25"/>
      <c r="X628" s="29">
        <v>556.0</v>
      </c>
      <c r="Y628" s="29">
        <v>103.0</v>
      </c>
      <c r="Z628" s="30" t="s">
        <v>56</v>
      </c>
      <c r="AA628" s="30"/>
      <c r="AB628" s="31"/>
      <c r="AC628" s="31"/>
      <c r="AD628" s="30"/>
      <c r="AE628" s="31"/>
      <c r="AF628" s="30"/>
      <c r="AG628" s="27" t="str">
        <f t="shared" si="1"/>
        <v>New Logo</v>
      </c>
      <c r="AH628" s="27" t="str">
        <f t="shared" si="5"/>
        <v>Lead</v>
      </c>
      <c r="AI628" s="27" t="str">
        <f t="shared" si="6"/>
        <v>501-1000</v>
      </c>
      <c r="AJ628" s="27" t="str">
        <f t="shared" si="7"/>
        <v>101-500</v>
      </c>
    </row>
    <row r="629" ht="15.75" customHeight="1">
      <c r="A629" s="23">
        <f>HYPERLINK("https://app.hubspot.com/contacts/8748051/record/0-3/17905546143", 17905546143)</f>
        <v>17905546143</v>
      </c>
      <c r="B629" s="24" t="s">
        <v>2128</v>
      </c>
      <c r="C629" s="24" t="s">
        <v>50</v>
      </c>
      <c r="D629" s="25">
        <v>11280.0</v>
      </c>
      <c r="E629" s="24" t="s">
        <v>73</v>
      </c>
      <c r="F629" s="24"/>
      <c r="G629" s="26">
        <v>45358.516388888886</v>
      </c>
      <c r="H629" s="26">
        <v>45542.557650462964</v>
      </c>
      <c r="I629" s="24" t="s">
        <v>40</v>
      </c>
      <c r="J629" s="24" t="s">
        <v>41</v>
      </c>
      <c r="K629" s="24" t="s">
        <v>1187</v>
      </c>
      <c r="L629" s="24" t="s">
        <v>178</v>
      </c>
      <c r="M629" s="24" t="s">
        <v>44</v>
      </c>
      <c r="N629" s="27"/>
      <c r="O629" s="27"/>
      <c r="P629" s="24" t="s">
        <v>122</v>
      </c>
      <c r="Q629" s="27"/>
      <c r="R629" s="23">
        <f>HYPERLINK("https://app.hubspot.com/contacts/8748051/record/0-2/9186997870", 9186997870)</f>
        <v>9186997870</v>
      </c>
      <c r="S629" s="24" t="s">
        <v>692</v>
      </c>
      <c r="T629" s="28" t="s">
        <v>693</v>
      </c>
      <c r="U629" s="24" t="s">
        <v>96</v>
      </c>
      <c r="V629" s="24"/>
      <c r="W629" s="25">
        <v>60000.0</v>
      </c>
      <c r="X629" s="29">
        <v>5630.0</v>
      </c>
      <c r="Y629" s="29">
        <v>154.0</v>
      </c>
      <c r="Z629" s="30"/>
      <c r="AA629" s="30" t="s">
        <v>207</v>
      </c>
      <c r="AB629" s="31"/>
      <c r="AC629" s="31"/>
      <c r="AD629" s="30" t="s">
        <v>312</v>
      </c>
      <c r="AE629" s="31"/>
      <c r="AF629" s="30" t="s">
        <v>529</v>
      </c>
      <c r="AG629" s="27" t="str">
        <f t="shared" si="1"/>
        <v>New Logo</v>
      </c>
      <c r="AH629" s="27" t="str">
        <f t="shared" si="5"/>
        <v>Customer</v>
      </c>
      <c r="AI629" s="27" t="str">
        <f t="shared" si="6"/>
        <v>5000-10000</v>
      </c>
      <c r="AJ629" s="27" t="str">
        <f t="shared" si="7"/>
        <v>101-500</v>
      </c>
    </row>
    <row r="630" ht="15.75" customHeight="1">
      <c r="A630" s="23">
        <f>HYPERLINK("https://app.hubspot.com/contacts/8748051/record/0-3/17887560099", 17887560099)</f>
        <v>17887560099</v>
      </c>
      <c r="B630" s="24" t="s">
        <v>2129</v>
      </c>
      <c r="C630" s="24" t="s">
        <v>38</v>
      </c>
      <c r="D630" s="25">
        <v>14640.0</v>
      </c>
      <c r="E630" s="24" t="s">
        <v>73</v>
      </c>
      <c r="F630" s="27"/>
      <c r="G630" s="26">
        <v>45357.44658564815</v>
      </c>
      <c r="H630" s="26">
        <v>45541.48747685185</v>
      </c>
      <c r="I630" s="24" t="s">
        <v>40</v>
      </c>
      <c r="J630" s="24" t="s">
        <v>41</v>
      </c>
      <c r="K630" s="24" t="s">
        <v>1187</v>
      </c>
      <c r="L630" s="24" t="s">
        <v>178</v>
      </c>
      <c r="M630" s="24" t="s">
        <v>44</v>
      </c>
      <c r="N630" s="27"/>
      <c r="O630" s="27"/>
      <c r="P630" s="24" t="s">
        <v>213</v>
      </c>
      <c r="Q630" s="27"/>
      <c r="R630" s="23">
        <f>HYPERLINK("https://app.hubspot.com/contacts/8748051/record/0-2/18382863505", 18382863505)</f>
        <v>18382863505</v>
      </c>
      <c r="S630" s="24" t="s">
        <v>2130</v>
      </c>
      <c r="T630" s="28" t="s">
        <v>2131</v>
      </c>
      <c r="U630" s="24" t="s">
        <v>47</v>
      </c>
      <c r="V630" s="24"/>
      <c r="W630" s="32"/>
      <c r="X630" s="29">
        <v>752.0</v>
      </c>
      <c r="Y630" s="29">
        <v>117.0</v>
      </c>
      <c r="Z630" s="30" t="s">
        <v>71</v>
      </c>
      <c r="AA630" s="31"/>
      <c r="AB630" s="31"/>
      <c r="AC630" s="31"/>
      <c r="AD630" s="31"/>
      <c r="AE630" s="31"/>
      <c r="AF630" s="31"/>
      <c r="AG630" s="27" t="str">
        <f t="shared" si="1"/>
        <v>New Logo</v>
      </c>
      <c r="AH630" s="27" t="str">
        <f t="shared" si="5"/>
        <v>Lead</v>
      </c>
      <c r="AI630" s="27" t="str">
        <f t="shared" si="6"/>
        <v>501-1000</v>
      </c>
      <c r="AJ630" s="27" t="str">
        <f t="shared" si="7"/>
        <v>101-500</v>
      </c>
    </row>
    <row r="631" ht="15.75" customHeight="1">
      <c r="A631" s="23">
        <f>HYPERLINK("https://app.hubspot.com/contacts/8748051/record/0-3/17886607515", 17886607515)</f>
        <v>17886607515</v>
      </c>
      <c r="B631" s="24" t="s">
        <v>2132</v>
      </c>
      <c r="C631" s="24" t="s">
        <v>1009</v>
      </c>
      <c r="D631" s="25">
        <v>5520.0</v>
      </c>
      <c r="E631" s="24" t="s">
        <v>73</v>
      </c>
      <c r="F631" s="24"/>
      <c r="G631" s="26">
        <v>45357.44556712963</v>
      </c>
      <c r="H631" s="26">
        <v>45541.48670138889</v>
      </c>
      <c r="I631" s="24" t="s">
        <v>40</v>
      </c>
      <c r="J631" s="24" t="s">
        <v>41</v>
      </c>
      <c r="K631" s="24" t="s">
        <v>1187</v>
      </c>
      <c r="L631" s="24" t="s">
        <v>178</v>
      </c>
      <c r="M631" s="24" t="s">
        <v>44</v>
      </c>
      <c r="N631" s="27"/>
      <c r="O631" s="27"/>
      <c r="P631" s="24" t="s">
        <v>75</v>
      </c>
      <c r="Q631" s="24"/>
      <c r="R631" s="23">
        <f>HYPERLINK("https://app.hubspot.com/contacts/8748051/record/0-2/19176667820", 19176667820)</f>
        <v>19176667820</v>
      </c>
      <c r="S631" s="24" t="s">
        <v>569</v>
      </c>
      <c r="T631" s="28" t="s">
        <v>570</v>
      </c>
      <c r="U631" s="24" t="s">
        <v>47</v>
      </c>
      <c r="V631" s="24"/>
      <c r="W631" s="32"/>
      <c r="X631" s="29">
        <v>174.0</v>
      </c>
      <c r="Y631" s="29">
        <v>41.0</v>
      </c>
      <c r="Z631" s="30"/>
      <c r="AA631" s="31"/>
      <c r="AB631" s="31"/>
      <c r="AC631" s="31"/>
      <c r="AD631" s="31"/>
      <c r="AE631" s="31"/>
      <c r="AF631" s="31"/>
      <c r="AG631" s="27" t="str">
        <f t="shared" si="1"/>
        <v>New Logo</v>
      </c>
      <c r="AH631" s="27" t="str">
        <f t="shared" si="5"/>
        <v>Lead</v>
      </c>
      <c r="AI631" s="27" t="str">
        <f t="shared" si="6"/>
        <v>0-200</v>
      </c>
      <c r="AJ631" s="27" t="str">
        <f t="shared" si="7"/>
        <v>21-50</v>
      </c>
    </row>
    <row r="632" ht="15.75" customHeight="1">
      <c r="A632" s="23">
        <f>HYPERLINK("https://app.hubspot.com/contacts/8748051/record/0-3/17886607384", 17886607384)</f>
        <v>17886607384</v>
      </c>
      <c r="B632" s="24" t="s">
        <v>2133</v>
      </c>
      <c r="C632" s="24" t="s">
        <v>50</v>
      </c>
      <c r="D632" s="25">
        <v>219600.0</v>
      </c>
      <c r="E632" s="24" t="s">
        <v>73</v>
      </c>
      <c r="F632" s="27"/>
      <c r="G632" s="26">
        <v>45357.44480324074</v>
      </c>
      <c r="H632" s="26">
        <v>45541.48582175926</v>
      </c>
      <c r="I632" s="24" t="s">
        <v>40</v>
      </c>
      <c r="J632" s="24" t="s">
        <v>41</v>
      </c>
      <c r="K632" s="24" t="s">
        <v>1187</v>
      </c>
      <c r="L632" s="24" t="s">
        <v>560</v>
      </c>
      <c r="M632" s="24" t="s">
        <v>44</v>
      </c>
      <c r="N632" s="24"/>
      <c r="O632" s="27"/>
      <c r="P632" s="24" t="s">
        <v>75</v>
      </c>
      <c r="Q632" s="27"/>
      <c r="R632" s="23">
        <f>HYPERLINK("https://app.hubspot.com/contacts/8748051/record/0-2/7232076364", 7232076364)</f>
        <v>7232076364</v>
      </c>
      <c r="S632" s="24" t="s">
        <v>2134</v>
      </c>
      <c r="T632" s="28" t="s">
        <v>2135</v>
      </c>
      <c r="U632" s="24" t="s">
        <v>47</v>
      </c>
      <c r="V632" s="24"/>
      <c r="W632" s="25"/>
      <c r="X632" s="29">
        <v>6151.0</v>
      </c>
      <c r="Y632" s="29">
        <v>1082.0</v>
      </c>
      <c r="Z632" s="30" t="s">
        <v>2136</v>
      </c>
      <c r="AA632" s="31"/>
      <c r="AB632" s="31"/>
      <c r="AC632" s="31"/>
      <c r="AD632" s="31"/>
      <c r="AE632" s="31"/>
      <c r="AF632" s="31"/>
      <c r="AG632" s="27" t="str">
        <f t="shared" si="1"/>
        <v>New Logo</v>
      </c>
      <c r="AH632" s="27" t="str">
        <f t="shared" si="5"/>
        <v>Lead</v>
      </c>
      <c r="AI632" s="27" t="str">
        <f t="shared" si="6"/>
        <v>5000-10000</v>
      </c>
      <c r="AJ632" s="27" t="str">
        <f t="shared" si="7"/>
        <v>500+</v>
      </c>
    </row>
    <row r="633" ht="15.75" customHeight="1">
      <c r="A633" s="23">
        <f>HYPERLINK("https://app.hubspot.com/contacts/8748051/record/0-3/17886606198", 17886606198)</f>
        <v>17886606198</v>
      </c>
      <c r="B633" s="24" t="s">
        <v>2137</v>
      </c>
      <c r="C633" s="24" t="s">
        <v>50</v>
      </c>
      <c r="D633" s="25">
        <v>13440.0</v>
      </c>
      <c r="E633" s="24" t="s">
        <v>73</v>
      </c>
      <c r="F633" s="24"/>
      <c r="G633" s="26">
        <v>45357.44090277778</v>
      </c>
      <c r="H633" s="26">
        <v>45541.482303240744</v>
      </c>
      <c r="I633" s="24" t="s">
        <v>40</v>
      </c>
      <c r="J633" s="24" t="s">
        <v>41</v>
      </c>
      <c r="K633" s="24" t="s">
        <v>1187</v>
      </c>
      <c r="L633" s="24" t="s">
        <v>178</v>
      </c>
      <c r="M633" s="24" t="s">
        <v>44</v>
      </c>
      <c r="N633" s="24"/>
      <c r="O633" s="27"/>
      <c r="P633" s="24" t="s">
        <v>122</v>
      </c>
      <c r="Q633" s="27"/>
      <c r="R633" s="23">
        <f>HYPERLINK("https://app.hubspot.com/contacts/8748051/record/0-2/7502181270", 7502181270)</f>
        <v>7502181270</v>
      </c>
      <c r="S633" s="24" t="s">
        <v>2138</v>
      </c>
      <c r="T633" s="28" t="s">
        <v>2139</v>
      </c>
      <c r="U633" s="24" t="s">
        <v>47</v>
      </c>
      <c r="V633" s="24"/>
      <c r="W633" s="25"/>
      <c r="X633" s="29">
        <v>462.0</v>
      </c>
      <c r="Y633" s="29">
        <v>49.0</v>
      </c>
      <c r="Z633" s="30"/>
      <c r="AA633" s="31"/>
      <c r="AB633" s="31"/>
      <c r="AC633" s="31"/>
      <c r="AD633" s="31"/>
      <c r="AE633" s="31"/>
      <c r="AF633" s="31"/>
      <c r="AG633" s="27" t="str">
        <f t="shared" si="1"/>
        <v>New Logo</v>
      </c>
      <c r="AH633" s="27" t="str">
        <f t="shared" si="5"/>
        <v>Lead</v>
      </c>
      <c r="AI633" s="27" t="str">
        <f t="shared" si="6"/>
        <v>201-500</v>
      </c>
      <c r="AJ633" s="27" t="str">
        <f t="shared" si="7"/>
        <v>21-50</v>
      </c>
    </row>
    <row r="634" ht="15.75" customHeight="1">
      <c r="A634" s="23">
        <f>HYPERLINK("https://app.hubspot.com/contacts/8748051/record/0-3/17877917581", 17877917581)</f>
        <v>17877917581</v>
      </c>
      <c r="B634" s="24" t="s">
        <v>2140</v>
      </c>
      <c r="C634" s="24" t="s">
        <v>1009</v>
      </c>
      <c r="D634" s="25">
        <v>10800.0</v>
      </c>
      <c r="E634" s="24" t="s">
        <v>73</v>
      </c>
      <c r="F634" s="24"/>
      <c r="G634" s="26">
        <v>45356.9637037037</v>
      </c>
      <c r="H634" s="26">
        <v>45541.00475694444</v>
      </c>
      <c r="I634" s="24" t="s">
        <v>40</v>
      </c>
      <c r="J634" s="24" t="s">
        <v>41</v>
      </c>
      <c r="K634" s="24" t="s">
        <v>60</v>
      </c>
      <c r="L634" s="24" t="s">
        <v>178</v>
      </c>
      <c r="M634" s="24" t="s">
        <v>102</v>
      </c>
      <c r="N634" s="27"/>
      <c r="O634" s="27"/>
      <c r="P634" s="24" t="s">
        <v>75</v>
      </c>
      <c r="Q634" s="27"/>
      <c r="R634" s="23">
        <f>HYPERLINK("https://app.hubspot.com/contacts/8748051/record/0-2/32005978036", 32005978036)</f>
        <v>32005978036</v>
      </c>
      <c r="S634" s="24" t="s">
        <v>2141</v>
      </c>
      <c r="T634" s="28" t="s">
        <v>2142</v>
      </c>
      <c r="U634" s="24" t="s">
        <v>47</v>
      </c>
      <c r="V634" s="24"/>
      <c r="W634" s="32"/>
      <c r="X634" s="29">
        <v>2254.0</v>
      </c>
      <c r="Y634" s="29">
        <v>58.0</v>
      </c>
      <c r="Z634" s="30"/>
      <c r="AA634" s="31"/>
      <c r="AB634" s="31"/>
      <c r="AC634" s="31"/>
      <c r="AD634" s="31"/>
      <c r="AE634" s="31"/>
      <c r="AF634" s="31"/>
      <c r="AG634" s="27" t="str">
        <f t="shared" si="1"/>
        <v>New Logo</v>
      </c>
      <c r="AH634" s="27" t="str">
        <f t="shared" si="5"/>
        <v>Lead</v>
      </c>
      <c r="AI634" s="27" t="str">
        <f t="shared" si="6"/>
        <v>1001-5000</v>
      </c>
      <c r="AJ634" s="27" t="str">
        <f t="shared" si="7"/>
        <v>51-100</v>
      </c>
    </row>
    <row r="635" ht="15.75" customHeight="1">
      <c r="A635" s="23">
        <f>HYPERLINK("https://app.hubspot.com/contacts/8748051/record/0-3/17874471476", 17874471476)</f>
        <v>17874471476</v>
      </c>
      <c r="B635" s="24" t="s">
        <v>2143</v>
      </c>
      <c r="C635" s="24" t="s">
        <v>1009</v>
      </c>
      <c r="D635" s="25">
        <v>4080.0</v>
      </c>
      <c r="E635" s="24" t="s">
        <v>73</v>
      </c>
      <c r="F635" s="24"/>
      <c r="G635" s="26">
        <v>45356.63177083333</v>
      </c>
      <c r="H635" s="26">
        <v>45540.63143518518</v>
      </c>
      <c r="I635" s="24" t="s">
        <v>40</v>
      </c>
      <c r="J635" s="24" t="s">
        <v>41</v>
      </c>
      <c r="K635" s="24"/>
      <c r="L635" s="24" t="s">
        <v>183</v>
      </c>
      <c r="M635" s="24" t="s">
        <v>44</v>
      </c>
      <c r="N635" s="27"/>
      <c r="O635" s="27"/>
      <c r="P635" s="24" t="s">
        <v>122</v>
      </c>
      <c r="Q635" s="24"/>
      <c r="R635" s="23">
        <f>HYPERLINK("https://app.hubspot.com/contacts/8748051/record/0-2/19176644633", 19176644633)</f>
        <v>19176644633</v>
      </c>
      <c r="S635" s="24" t="s">
        <v>2144</v>
      </c>
      <c r="T635" s="28" t="s">
        <v>2145</v>
      </c>
      <c r="U635" s="24" t="s">
        <v>47</v>
      </c>
      <c r="V635" s="24"/>
      <c r="W635" s="32"/>
      <c r="X635" s="29">
        <v>155.0</v>
      </c>
      <c r="Y635" s="29">
        <v>18.0</v>
      </c>
      <c r="Z635" s="30"/>
      <c r="AA635" s="31"/>
      <c r="AB635" s="31"/>
      <c r="AC635" s="31"/>
      <c r="AD635" s="31"/>
      <c r="AE635" s="31"/>
      <c r="AF635" s="31"/>
      <c r="AG635" s="27" t="str">
        <f t="shared" si="1"/>
        <v>New Logo</v>
      </c>
      <c r="AH635" s="27" t="str">
        <f t="shared" si="5"/>
        <v>Lead</v>
      </c>
      <c r="AI635" s="27" t="str">
        <f t="shared" si="6"/>
        <v>0-200</v>
      </c>
      <c r="AJ635" s="27" t="str">
        <f t="shared" si="7"/>
        <v>0-20</v>
      </c>
    </row>
    <row r="636" ht="15.75" customHeight="1">
      <c r="A636" s="23">
        <f>HYPERLINK("https://app.hubspot.com/contacts/8748051/record/0-3/17870771010", 17870771010)</f>
        <v>17870771010</v>
      </c>
      <c r="B636" s="24" t="s">
        <v>2146</v>
      </c>
      <c r="C636" s="24" t="s">
        <v>50</v>
      </c>
      <c r="D636" s="25">
        <v>35760.0</v>
      </c>
      <c r="E636" s="24" t="s">
        <v>73</v>
      </c>
      <c r="F636" s="24"/>
      <c r="G636" s="26">
        <v>45356.53086805555</v>
      </c>
      <c r="H636" s="26">
        <v>45540.45667824074</v>
      </c>
      <c r="I636" s="24" t="s">
        <v>40</v>
      </c>
      <c r="J636" s="24" t="s">
        <v>41</v>
      </c>
      <c r="K636" s="24" t="s">
        <v>1187</v>
      </c>
      <c r="L636" s="24" t="s">
        <v>560</v>
      </c>
      <c r="M636" s="24" t="s">
        <v>44</v>
      </c>
      <c r="N636" s="27"/>
      <c r="O636" s="24"/>
      <c r="P636" s="24" t="s">
        <v>213</v>
      </c>
      <c r="Q636" s="24"/>
      <c r="R636" s="23">
        <f>HYPERLINK("https://app.hubspot.com/contacts/8748051/record/0-2/9238328473", 9238328473)</f>
        <v>9238328473</v>
      </c>
      <c r="S636" s="24" t="s">
        <v>2147</v>
      </c>
      <c r="T636" s="28" t="s">
        <v>2148</v>
      </c>
      <c r="U636" s="24" t="s">
        <v>47</v>
      </c>
      <c r="V636" s="24"/>
      <c r="W636" s="32"/>
      <c r="X636" s="29">
        <v>1633.0</v>
      </c>
      <c r="Y636" s="29">
        <v>160.0</v>
      </c>
      <c r="Z636" s="30" t="s">
        <v>81</v>
      </c>
      <c r="AA636" s="31"/>
      <c r="AB636" s="31"/>
      <c r="AC636" s="31"/>
      <c r="AD636" s="31"/>
      <c r="AE636" s="31"/>
      <c r="AF636" s="31"/>
      <c r="AG636" s="27" t="str">
        <f t="shared" si="1"/>
        <v>New Logo</v>
      </c>
      <c r="AH636" s="27" t="str">
        <f t="shared" si="5"/>
        <v>Lead</v>
      </c>
      <c r="AI636" s="27" t="str">
        <f t="shared" si="6"/>
        <v>1001-5000</v>
      </c>
      <c r="AJ636" s="27" t="str">
        <f t="shared" si="7"/>
        <v>101-500</v>
      </c>
    </row>
    <row r="637" ht="15.75" customHeight="1">
      <c r="A637" s="23">
        <f>HYPERLINK("https://app.hubspot.com/contacts/8748051/record/0-3/17869011823", 17869011823)</f>
        <v>17869011823</v>
      </c>
      <c r="B637" s="24" t="s">
        <v>2149</v>
      </c>
      <c r="C637" s="24" t="s">
        <v>1009</v>
      </c>
      <c r="D637" s="25">
        <v>10560.0</v>
      </c>
      <c r="E637" s="24" t="s">
        <v>73</v>
      </c>
      <c r="F637" s="24"/>
      <c r="G637" s="26">
        <v>45356.414722222224</v>
      </c>
      <c r="H637" s="26">
        <v>45540.45591435185</v>
      </c>
      <c r="I637" s="24" t="s">
        <v>40</v>
      </c>
      <c r="J637" s="24" t="s">
        <v>41</v>
      </c>
      <c r="K637" s="24" t="s">
        <v>1187</v>
      </c>
      <c r="L637" s="24" t="s">
        <v>178</v>
      </c>
      <c r="M637" s="24" t="s">
        <v>44</v>
      </c>
      <c r="N637" s="27"/>
      <c r="O637" s="27"/>
      <c r="P637" s="24" t="s">
        <v>122</v>
      </c>
      <c r="Q637" s="27"/>
      <c r="R637" s="23">
        <f>HYPERLINK("https://app.hubspot.com/contacts/8748051/record/0-2/8142427002", 8142427002)</f>
        <v>8142427002</v>
      </c>
      <c r="S637" s="24" t="s">
        <v>1522</v>
      </c>
      <c r="T637" s="28" t="s">
        <v>1523</v>
      </c>
      <c r="U637" s="24" t="s">
        <v>47</v>
      </c>
      <c r="V637" s="24"/>
      <c r="W637" s="32"/>
      <c r="X637" s="29">
        <v>405.0</v>
      </c>
      <c r="Y637" s="29">
        <v>69.0</v>
      </c>
      <c r="Z637" s="30" t="s">
        <v>64</v>
      </c>
      <c r="AA637" s="31"/>
      <c r="AB637" s="31"/>
      <c r="AC637" s="31"/>
      <c r="AD637" s="31"/>
      <c r="AE637" s="31"/>
      <c r="AF637" s="31"/>
      <c r="AG637" s="27" t="str">
        <f t="shared" si="1"/>
        <v>New Logo</v>
      </c>
      <c r="AH637" s="27" t="str">
        <f t="shared" si="5"/>
        <v>Lead</v>
      </c>
      <c r="AI637" s="27" t="str">
        <f t="shared" si="6"/>
        <v>201-500</v>
      </c>
      <c r="AJ637" s="27" t="str">
        <f t="shared" si="7"/>
        <v>51-100</v>
      </c>
    </row>
    <row r="638" ht="15.75" customHeight="1">
      <c r="A638" s="23">
        <f>HYPERLINK("https://app.hubspot.com/contacts/8748051/record/0-3/17856208138", 17856208138)</f>
        <v>17856208138</v>
      </c>
      <c r="B638" s="24" t="s">
        <v>2150</v>
      </c>
      <c r="C638" s="24" t="s">
        <v>50</v>
      </c>
      <c r="D638" s="25">
        <v>20000.0</v>
      </c>
      <c r="E638" s="24" t="s">
        <v>127</v>
      </c>
      <c r="F638" s="24" t="s">
        <v>52</v>
      </c>
      <c r="G638" s="26">
        <v>45355.49423611111</v>
      </c>
      <c r="H638" s="26">
        <v>45596.55446759259</v>
      </c>
      <c r="I638" s="24" t="s">
        <v>40</v>
      </c>
      <c r="J638" s="24" t="s">
        <v>41</v>
      </c>
      <c r="K638" s="24" t="s">
        <v>1187</v>
      </c>
      <c r="L638" s="24" t="s">
        <v>178</v>
      </c>
      <c r="M638" s="24" t="s">
        <v>44</v>
      </c>
      <c r="N638" s="27"/>
      <c r="O638" s="24"/>
      <c r="P638" s="24"/>
      <c r="Q638" s="27"/>
      <c r="R638" s="23">
        <f>HYPERLINK("https://app.hubspot.com/contacts/8748051/record/0-2/6530174271", 6530174271)</f>
        <v>6530174271</v>
      </c>
      <c r="S638" s="24" t="s">
        <v>2151</v>
      </c>
      <c r="T638" s="28" t="s">
        <v>2152</v>
      </c>
      <c r="U638" s="24" t="s">
        <v>47</v>
      </c>
      <c r="V638" s="24"/>
      <c r="W638" s="32"/>
      <c r="X638" s="29">
        <v>343.0</v>
      </c>
      <c r="Y638" s="29">
        <v>63.0</v>
      </c>
      <c r="Z638" s="30" t="s">
        <v>108</v>
      </c>
      <c r="AA638" s="31"/>
      <c r="AB638" s="31"/>
      <c r="AC638" s="31"/>
      <c r="AD638" s="31"/>
      <c r="AE638" s="31"/>
      <c r="AF638" s="31"/>
      <c r="AG638" s="27" t="str">
        <f t="shared" si="1"/>
        <v>New Logo</v>
      </c>
      <c r="AH638" s="27" t="str">
        <f t="shared" si="5"/>
        <v>Lead</v>
      </c>
      <c r="AI638" s="27" t="str">
        <f t="shared" si="6"/>
        <v>201-500</v>
      </c>
      <c r="AJ638" s="27" t="str">
        <f t="shared" si="7"/>
        <v>51-100</v>
      </c>
    </row>
    <row r="639" ht="15.75" customHeight="1">
      <c r="A639" s="23">
        <f>HYPERLINK("https://app.hubspot.com/contacts/8748051/record/0-3/17856207466", 17856207466)</f>
        <v>17856207466</v>
      </c>
      <c r="B639" s="24" t="s">
        <v>2153</v>
      </c>
      <c r="C639" s="24" t="s">
        <v>1009</v>
      </c>
      <c r="D639" s="25">
        <v>6960.0</v>
      </c>
      <c r="E639" s="24" t="s">
        <v>73</v>
      </c>
      <c r="F639" s="24"/>
      <c r="G639" s="26">
        <v>45355.492418981485</v>
      </c>
      <c r="H639" s="26">
        <v>45539.53349537037</v>
      </c>
      <c r="I639" s="24" t="s">
        <v>40</v>
      </c>
      <c r="J639" s="24" t="s">
        <v>41</v>
      </c>
      <c r="K639" s="24" t="s">
        <v>1187</v>
      </c>
      <c r="L639" s="24" t="s">
        <v>178</v>
      </c>
      <c r="M639" s="24" t="s">
        <v>44</v>
      </c>
      <c r="N639" s="27"/>
      <c r="O639" s="27"/>
      <c r="P639" s="24" t="s">
        <v>122</v>
      </c>
      <c r="Q639" s="24"/>
      <c r="R639" s="23">
        <f>HYPERLINK("https://app.hubspot.com/contacts/8748051/record/0-2/8929767830", 8929767830)</f>
        <v>8929767830</v>
      </c>
      <c r="S639" s="24" t="s">
        <v>2154</v>
      </c>
      <c r="T639" s="28" t="s">
        <v>2155</v>
      </c>
      <c r="U639" s="24" t="s">
        <v>47</v>
      </c>
      <c r="V639" s="24"/>
      <c r="W639" s="32"/>
      <c r="X639" s="29">
        <v>280.0</v>
      </c>
      <c r="Y639" s="29">
        <v>33.0</v>
      </c>
      <c r="Z639" s="30" t="s">
        <v>108</v>
      </c>
      <c r="AA639" s="31"/>
      <c r="AB639" s="31"/>
      <c r="AC639" s="31"/>
      <c r="AD639" s="31"/>
      <c r="AE639" s="31"/>
      <c r="AF639" s="31"/>
      <c r="AG639" s="27" t="str">
        <f t="shared" si="1"/>
        <v>New Logo</v>
      </c>
      <c r="AH639" s="27" t="str">
        <f t="shared" si="5"/>
        <v>Lead</v>
      </c>
      <c r="AI639" s="27" t="str">
        <f t="shared" si="6"/>
        <v>201-500</v>
      </c>
      <c r="AJ639" s="27" t="str">
        <f t="shared" si="7"/>
        <v>21-50</v>
      </c>
    </row>
    <row r="640" ht="15.75" customHeight="1">
      <c r="A640" s="23">
        <f>HYPERLINK("https://app.hubspot.com/contacts/8748051/record/0-3/17780472456", 17780472456)</f>
        <v>17780472456</v>
      </c>
      <c r="B640" s="24" t="s">
        <v>2156</v>
      </c>
      <c r="C640" s="24" t="s">
        <v>38</v>
      </c>
      <c r="D640" s="25">
        <v>3360.0</v>
      </c>
      <c r="E640" s="24" t="s">
        <v>73</v>
      </c>
      <c r="F640" s="24"/>
      <c r="G640" s="26">
        <v>45350.80315972222</v>
      </c>
      <c r="H640" s="26">
        <v>45532.84413194445</v>
      </c>
      <c r="I640" s="24" t="s">
        <v>40</v>
      </c>
      <c r="J640" s="24" t="s">
        <v>41</v>
      </c>
      <c r="K640" s="24" t="s">
        <v>60</v>
      </c>
      <c r="L640" s="24" t="s">
        <v>178</v>
      </c>
      <c r="M640" s="24" t="s">
        <v>44</v>
      </c>
      <c r="N640" s="24"/>
      <c r="O640" s="27"/>
      <c r="P640" s="24" t="s">
        <v>213</v>
      </c>
      <c r="Q640" s="27"/>
      <c r="R640" s="23">
        <f>HYPERLINK("https://app.hubspot.com/contacts/8748051/record/0-2/17506104613", 17506104613)</f>
        <v>17506104613</v>
      </c>
      <c r="S640" s="24" t="s">
        <v>2157</v>
      </c>
      <c r="T640" s="28" t="s">
        <v>2158</v>
      </c>
      <c r="U640" s="24" t="s">
        <v>47</v>
      </c>
      <c r="V640" s="24"/>
      <c r="W640" s="25"/>
      <c r="X640" s="29">
        <v>747.0</v>
      </c>
      <c r="Y640" s="29">
        <v>17.0</v>
      </c>
      <c r="Z640" s="30"/>
      <c r="AA640" s="30"/>
      <c r="AB640" s="30"/>
      <c r="AC640" s="31"/>
      <c r="AD640" s="30"/>
      <c r="AE640" s="30"/>
      <c r="AF640" s="30"/>
      <c r="AG640" s="27" t="str">
        <f t="shared" si="1"/>
        <v>New Logo</v>
      </c>
      <c r="AH640" s="27" t="str">
        <f t="shared" si="5"/>
        <v>Lead</v>
      </c>
      <c r="AI640" s="27" t="str">
        <f t="shared" si="6"/>
        <v>501-1000</v>
      </c>
      <c r="AJ640" s="27" t="str">
        <f t="shared" si="7"/>
        <v>0-20</v>
      </c>
    </row>
    <row r="641" ht="15.75" customHeight="1">
      <c r="A641" s="23">
        <f>HYPERLINK("https://app.hubspot.com/contacts/8748051/record/0-3/17776248898", 17776248898)</f>
        <v>17776248898</v>
      </c>
      <c r="B641" s="24" t="s">
        <v>2159</v>
      </c>
      <c r="C641" s="24" t="s">
        <v>50</v>
      </c>
      <c r="D641" s="25">
        <v>8160.0</v>
      </c>
      <c r="E641" s="24" t="s">
        <v>73</v>
      </c>
      <c r="F641" s="24"/>
      <c r="G641" s="26">
        <v>45350.52704861111</v>
      </c>
      <c r="H641" s="26">
        <v>45532.5678125</v>
      </c>
      <c r="I641" s="24" t="s">
        <v>40</v>
      </c>
      <c r="J641" s="24" t="s">
        <v>41</v>
      </c>
      <c r="K641" s="24" t="s">
        <v>559</v>
      </c>
      <c r="L641" s="24" t="s">
        <v>560</v>
      </c>
      <c r="M641" s="24" t="s">
        <v>44</v>
      </c>
      <c r="N641" s="24"/>
      <c r="O641" s="27"/>
      <c r="P641" s="24" t="s">
        <v>75</v>
      </c>
      <c r="Q641" s="24"/>
      <c r="R641" s="23">
        <f>HYPERLINK("https://app.hubspot.com/contacts/8748051/record/0-2/6816683335", 6816683335)</f>
        <v>6816683335</v>
      </c>
      <c r="S641" s="24" t="s">
        <v>2160</v>
      </c>
      <c r="T641" s="28" t="s">
        <v>2161</v>
      </c>
      <c r="U641" s="24" t="s">
        <v>47</v>
      </c>
      <c r="V641" s="24"/>
      <c r="W641" s="25"/>
      <c r="X641" s="29">
        <v>356.0</v>
      </c>
      <c r="Y641" s="29">
        <v>42.0</v>
      </c>
      <c r="Z641" s="30" t="s">
        <v>71</v>
      </c>
      <c r="AA641" s="30"/>
      <c r="AB641" s="30"/>
      <c r="AC641" s="31"/>
      <c r="AD641" s="30"/>
      <c r="AE641" s="30"/>
      <c r="AF641" s="30"/>
      <c r="AG641" s="27" t="str">
        <f t="shared" si="1"/>
        <v>New Logo</v>
      </c>
      <c r="AH641" s="27" t="str">
        <f t="shared" si="5"/>
        <v>Lead</v>
      </c>
      <c r="AI641" s="27" t="str">
        <f t="shared" si="6"/>
        <v>201-500</v>
      </c>
      <c r="AJ641" s="27" t="str">
        <f t="shared" si="7"/>
        <v>21-50</v>
      </c>
    </row>
    <row r="642" ht="15.75" customHeight="1">
      <c r="A642" s="23">
        <f>HYPERLINK("https://app.hubspot.com/contacts/8748051/record/0-3/17776347709", 17776347709)</f>
        <v>17776347709</v>
      </c>
      <c r="B642" s="24" t="s">
        <v>2162</v>
      </c>
      <c r="C642" s="24" t="s">
        <v>1009</v>
      </c>
      <c r="D642" s="25">
        <v>32640.0</v>
      </c>
      <c r="E642" s="24" t="s">
        <v>73</v>
      </c>
      <c r="F642" s="27"/>
      <c r="G642" s="26">
        <v>45350.52596064815</v>
      </c>
      <c r="H642" s="26">
        <v>45532.56690972222</v>
      </c>
      <c r="I642" s="24" t="s">
        <v>40</v>
      </c>
      <c r="J642" s="24" t="s">
        <v>41</v>
      </c>
      <c r="K642" s="24" t="s">
        <v>1187</v>
      </c>
      <c r="L642" s="24" t="s">
        <v>560</v>
      </c>
      <c r="M642" s="24" t="s">
        <v>44</v>
      </c>
      <c r="N642" s="24"/>
      <c r="O642" s="27"/>
      <c r="P642" s="24" t="s">
        <v>122</v>
      </c>
      <c r="Q642" s="27"/>
      <c r="R642" s="23">
        <f>HYPERLINK("https://app.hubspot.com/contacts/8748051/record/0-2/36350850883", 36350850883)</f>
        <v>36350850883</v>
      </c>
      <c r="S642" s="24" t="s">
        <v>2163</v>
      </c>
      <c r="T642" s="28" t="s">
        <v>2164</v>
      </c>
      <c r="U642" s="24" t="s">
        <v>47</v>
      </c>
      <c r="V642" s="24"/>
      <c r="W642" s="25"/>
      <c r="X642" s="29">
        <v>1562.0</v>
      </c>
      <c r="Y642" s="29">
        <v>176.0</v>
      </c>
      <c r="Z642" s="30" t="s">
        <v>372</v>
      </c>
      <c r="AA642" s="31"/>
      <c r="AB642" s="31"/>
      <c r="AC642" s="31"/>
      <c r="AD642" s="31"/>
      <c r="AE642" s="31"/>
      <c r="AF642" s="31"/>
      <c r="AG642" s="27" t="str">
        <f t="shared" si="1"/>
        <v>New Logo</v>
      </c>
      <c r="AH642" s="27" t="str">
        <f t="shared" si="5"/>
        <v>Lead</v>
      </c>
      <c r="AI642" s="27" t="str">
        <f t="shared" si="6"/>
        <v>1001-5000</v>
      </c>
      <c r="AJ642" s="27" t="str">
        <f t="shared" si="7"/>
        <v>101-500</v>
      </c>
    </row>
    <row r="643" ht="15.75" customHeight="1">
      <c r="A643" s="23">
        <f>HYPERLINK("https://app.hubspot.com/contacts/8748051/record/0-3/17767974585", 17767974585)</f>
        <v>17767974585</v>
      </c>
      <c r="B643" s="24" t="s">
        <v>2165</v>
      </c>
      <c r="C643" s="24" t="s">
        <v>1009</v>
      </c>
      <c r="D643" s="25">
        <v>2880.0</v>
      </c>
      <c r="E643" s="24" t="s">
        <v>73</v>
      </c>
      <c r="F643" s="24"/>
      <c r="G643" s="26">
        <v>45350.18369212963</v>
      </c>
      <c r="H643" s="26">
        <v>45532.22494212963</v>
      </c>
      <c r="I643" s="24" t="s">
        <v>40</v>
      </c>
      <c r="J643" s="24" t="s">
        <v>41</v>
      </c>
      <c r="K643" s="24" t="s">
        <v>559</v>
      </c>
      <c r="L643" s="24" t="s">
        <v>560</v>
      </c>
      <c r="M643" s="24" t="s">
        <v>74</v>
      </c>
      <c r="N643" s="24"/>
      <c r="O643" s="24"/>
      <c r="P643" s="24" t="s">
        <v>213</v>
      </c>
      <c r="Q643" s="24"/>
      <c r="R643" s="23">
        <f>HYPERLINK("https://app.hubspot.com/contacts/8748051/record/0-2/16376183859", 16376183859)</f>
        <v>16376183859</v>
      </c>
      <c r="S643" s="24" t="s">
        <v>2166</v>
      </c>
      <c r="T643" s="28" t="s">
        <v>2167</v>
      </c>
      <c r="U643" s="24" t="s">
        <v>47</v>
      </c>
      <c r="V643" s="24"/>
      <c r="W643" s="25"/>
      <c r="X643" s="29">
        <v>118.0</v>
      </c>
      <c r="Y643" s="29">
        <v>17.0</v>
      </c>
      <c r="Z643" s="30"/>
      <c r="AA643" s="31"/>
      <c r="AB643" s="31"/>
      <c r="AC643" s="31"/>
      <c r="AD643" s="31"/>
      <c r="AE643" s="31"/>
      <c r="AF643" s="31"/>
      <c r="AG643" s="27" t="str">
        <f t="shared" si="1"/>
        <v>New Logo</v>
      </c>
      <c r="AH643" s="27" t="str">
        <f t="shared" si="5"/>
        <v>Lead</v>
      </c>
      <c r="AI643" s="27" t="str">
        <f t="shared" si="6"/>
        <v>0-200</v>
      </c>
      <c r="AJ643" s="27" t="str">
        <f t="shared" si="7"/>
        <v>0-20</v>
      </c>
    </row>
    <row r="644" ht="15.75" customHeight="1">
      <c r="A644" s="23">
        <f>HYPERLINK("https://app.hubspot.com/contacts/8748051/record/0-3/17767974279", 17767974279)</f>
        <v>17767974279</v>
      </c>
      <c r="B644" s="24" t="s">
        <v>2168</v>
      </c>
      <c r="C644" s="24" t="s">
        <v>1009</v>
      </c>
      <c r="D644" s="25">
        <v>21600.0</v>
      </c>
      <c r="E644" s="24" t="s">
        <v>73</v>
      </c>
      <c r="F644" s="24"/>
      <c r="G644" s="26">
        <v>45350.18111111111</v>
      </c>
      <c r="H644" s="26">
        <v>45532.2225</v>
      </c>
      <c r="I644" s="24" t="s">
        <v>40</v>
      </c>
      <c r="J644" s="24" t="s">
        <v>41</v>
      </c>
      <c r="K644" s="24" t="s">
        <v>1187</v>
      </c>
      <c r="L644" s="24" t="s">
        <v>560</v>
      </c>
      <c r="M644" s="24"/>
      <c r="N644" s="27"/>
      <c r="O644" s="24"/>
      <c r="P644" s="24" t="s">
        <v>234</v>
      </c>
      <c r="Q644" s="24"/>
      <c r="R644" s="23">
        <f>HYPERLINK("https://app.hubspot.com/contacts/8748051/record/0-2/16065681050", 16065681050)</f>
        <v>16065681050</v>
      </c>
      <c r="S644" s="24" t="s">
        <v>2169</v>
      </c>
      <c r="T644" s="28" t="s">
        <v>2170</v>
      </c>
      <c r="U644" s="24" t="s">
        <v>47</v>
      </c>
      <c r="V644" s="24"/>
      <c r="W644" s="32"/>
      <c r="X644" s="29">
        <v>760.0</v>
      </c>
      <c r="Y644" s="29">
        <v>129.0</v>
      </c>
      <c r="Z644" s="30" t="s">
        <v>108</v>
      </c>
      <c r="AA644" s="31"/>
      <c r="AB644" s="31"/>
      <c r="AC644" s="31"/>
      <c r="AD644" s="31"/>
      <c r="AE644" s="31"/>
      <c r="AF644" s="31"/>
      <c r="AG644" s="27" t="str">
        <f t="shared" si="1"/>
        <v>New Logo</v>
      </c>
      <c r="AH644" s="27" t="str">
        <f t="shared" si="5"/>
        <v>Lead</v>
      </c>
      <c r="AI644" s="27" t="str">
        <f t="shared" si="6"/>
        <v>501-1000</v>
      </c>
      <c r="AJ644" s="27" t="str">
        <f t="shared" si="7"/>
        <v>101-500</v>
      </c>
    </row>
    <row r="645" ht="15.75" customHeight="1">
      <c r="A645" s="23">
        <f>HYPERLINK("https://app.hubspot.com/contacts/8748051/record/0-3/17730863121", 17730863121)</f>
        <v>17730863121</v>
      </c>
      <c r="B645" s="24" t="s">
        <v>2171</v>
      </c>
      <c r="C645" s="24" t="s">
        <v>1009</v>
      </c>
      <c r="D645" s="25">
        <v>70000.0</v>
      </c>
      <c r="E645" s="24" t="s">
        <v>149</v>
      </c>
      <c r="F645" s="24" t="s">
        <v>52</v>
      </c>
      <c r="G645" s="26">
        <v>45348.39503472222</v>
      </c>
      <c r="H645" s="26">
        <v>45425.36835648148</v>
      </c>
      <c r="I645" s="24" t="s">
        <v>40</v>
      </c>
      <c r="J645" s="24" t="s">
        <v>53</v>
      </c>
      <c r="K645" s="24" t="s">
        <v>60</v>
      </c>
      <c r="L645" s="24" t="s">
        <v>183</v>
      </c>
      <c r="M645" s="24" t="s">
        <v>102</v>
      </c>
      <c r="N645" s="27"/>
      <c r="O645" s="24" t="s">
        <v>2172</v>
      </c>
      <c r="P645" s="24"/>
      <c r="Q645" s="27"/>
      <c r="R645" s="23">
        <f>HYPERLINK("https://app.hubspot.com/contacts/8748051/record/0-2/6266336884", 6266336884)</f>
        <v>6266336884</v>
      </c>
      <c r="S645" s="24" t="s">
        <v>1360</v>
      </c>
      <c r="T645" s="28" t="s">
        <v>1361</v>
      </c>
      <c r="U645" s="24" t="s">
        <v>47</v>
      </c>
      <c r="V645" s="24"/>
      <c r="W645" s="32"/>
      <c r="X645" s="29">
        <v>1182.0</v>
      </c>
      <c r="Y645" s="29">
        <v>143.0</v>
      </c>
      <c r="Z645" s="30" t="s">
        <v>108</v>
      </c>
      <c r="AA645" s="31"/>
      <c r="AB645" s="31"/>
      <c r="AC645" s="31"/>
      <c r="AD645" s="31"/>
      <c r="AE645" s="31"/>
      <c r="AF645" s="31"/>
      <c r="AG645" s="27" t="str">
        <f t="shared" si="1"/>
        <v>New Logo</v>
      </c>
      <c r="AH645" s="27" t="str">
        <f t="shared" si="5"/>
        <v>Lead</v>
      </c>
      <c r="AI645" s="27" t="str">
        <f t="shared" si="6"/>
        <v>1001-5000</v>
      </c>
      <c r="AJ645" s="27" t="str">
        <f t="shared" si="7"/>
        <v>101-500</v>
      </c>
    </row>
    <row r="646" ht="15.75" customHeight="1">
      <c r="A646" s="23">
        <f>HYPERLINK("https://app.hubspot.com/contacts/8748051/record/0-3/17694632028", 17694632028)</f>
        <v>17694632028</v>
      </c>
      <c r="B646" s="24" t="s">
        <v>2173</v>
      </c>
      <c r="C646" s="24" t="s">
        <v>50</v>
      </c>
      <c r="D646" s="25">
        <v>10320.0</v>
      </c>
      <c r="E646" s="24" t="s">
        <v>73</v>
      </c>
      <c r="F646" s="24"/>
      <c r="G646" s="26">
        <v>45345.67010416667</v>
      </c>
      <c r="H646" s="26">
        <v>45527.71119212963</v>
      </c>
      <c r="I646" s="24" t="s">
        <v>40</v>
      </c>
      <c r="J646" s="24" t="s">
        <v>41</v>
      </c>
      <c r="K646" s="24" t="s">
        <v>1187</v>
      </c>
      <c r="L646" s="24" t="s">
        <v>560</v>
      </c>
      <c r="M646" s="24" t="s">
        <v>44</v>
      </c>
      <c r="N646" s="24"/>
      <c r="O646" s="27"/>
      <c r="P646" s="24" t="s">
        <v>122</v>
      </c>
      <c r="Q646" s="24"/>
      <c r="R646" s="23">
        <f>HYPERLINK("https://app.hubspot.com/contacts/8748051/record/0-2/6262695047", 6262695047)</f>
        <v>6262695047</v>
      </c>
      <c r="S646" s="24" t="s">
        <v>2174</v>
      </c>
      <c r="T646" s="28" t="s">
        <v>2175</v>
      </c>
      <c r="U646" s="24" t="s">
        <v>47</v>
      </c>
      <c r="V646" s="24"/>
      <c r="W646" s="25"/>
      <c r="X646" s="29">
        <v>532.0</v>
      </c>
      <c r="Y646" s="29">
        <v>67.0</v>
      </c>
      <c r="Z646" s="30" t="s">
        <v>71</v>
      </c>
      <c r="AA646" s="30"/>
      <c r="AB646" s="30"/>
      <c r="AC646" s="31"/>
      <c r="AD646" s="30"/>
      <c r="AE646" s="30"/>
      <c r="AF646" s="30"/>
      <c r="AG646" s="27" t="str">
        <f t="shared" si="1"/>
        <v>New Logo</v>
      </c>
      <c r="AH646" s="27" t="str">
        <f t="shared" si="5"/>
        <v>Lead</v>
      </c>
      <c r="AI646" s="27" t="str">
        <f t="shared" si="6"/>
        <v>501-1000</v>
      </c>
      <c r="AJ646" s="27" t="str">
        <f t="shared" si="7"/>
        <v>51-100</v>
      </c>
    </row>
    <row r="647" ht="15.75" customHeight="1">
      <c r="A647" s="23">
        <f>HYPERLINK("https://app.hubspot.com/contacts/8748051/record/0-3/17682026421", 17682026421)</f>
        <v>17682026421</v>
      </c>
      <c r="B647" s="24" t="s">
        <v>2176</v>
      </c>
      <c r="C647" s="24" t="s">
        <v>1009</v>
      </c>
      <c r="D647" s="25">
        <v>8500.0</v>
      </c>
      <c r="E647" s="24" t="s">
        <v>73</v>
      </c>
      <c r="F647" s="24"/>
      <c r="G647" s="26">
        <v>45344.9955787037</v>
      </c>
      <c r="H647" s="26">
        <v>45527.03695601852</v>
      </c>
      <c r="I647" s="24" t="s">
        <v>40</v>
      </c>
      <c r="J647" s="24" t="s">
        <v>41</v>
      </c>
      <c r="K647" s="24" t="s">
        <v>559</v>
      </c>
      <c r="L647" s="24" t="s">
        <v>560</v>
      </c>
      <c r="M647" s="24" t="s">
        <v>74</v>
      </c>
      <c r="N647" s="27"/>
      <c r="O647" s="27"/>
      <c r="P647" s="24" t="s">
        <v>213</v>
      </c>
      <c r="Q647" s="24"/>
      <c r="R647" s="23">
        <f>HYPERLINK("https://app.hubspot.com/contacts/8748051/record/0-2/19176716086", 19176716086)</f>
        <v>19176716086</v>
      </c>
      <c r="S647" s="24" t="s">
        <v>2177</v>
      </c>
      <c r="T647" s="28" t="s">
        <v>2178</v>
      </c>
      <c r="U647" s="24" t="s">
        <v>47</v>
      </c>
      <c r="V647" s="24"/>
      <c r="W647" s="32"/>
      <c r="X647" s="29">
        <v>155.0</v>
      </c>
      <c r="Y647" s="29">
        <v>17.0</v>
      </c>
      <c r="Z647" s="30"/>
      <c r="AA647" s="31"/>
      <c r="AB647" s="31"/>
      <c r="AC647" s="31"/>
      <c r="AD647" s="31"/>
      <c r="AE647" s="31"/>
      <c r="AF647" s="31"/>
      <c r="AG647" s="27" t="str">
        <f t="shared" si="1"/>
        <v>New Logo</v>
      </c>
      <c r="AH647" s="27" t="str">
        <f t="shared" si="5"/>
        <v>Lead</v>
      </c>
      <c r="AI647" s="27" t="str">
        <f t="shared" si="6"/>
        <v>0-200</v>
      </c>
      <c r="AJ647" s="27" t="str">
        <f t="shared" si="7"/>
        <v>0-20</v>
      </c>
    </row>
    <row r="648" ht="15.75" customHeight="1">
      <c r="A648" s="23">
        <f>HYPERLINK("https://app.hubspot.com/contacts/8748051/record/0-3/17677785517", 17677785517)</f>
        <v>17677785517</v>
      </c>
      <c r="B648" s="24" t="s">
        <v>2179</v>
      </c>
      <c r="C648" s="24" t="s">
        <v>38</v>
      </c>
      <c r="D648" s="25">
        <v>26400.0</v>
      </c>
      <c r="E648" s="24" t="s">
        <v>127</v>
      </c>
      <c r="F648" s="24" t="s">
        <v>52</v>
      </c>
      <c r="G648" s="26">
        <v>45344.63743055556</v>
      </c>
      <c r="H648" s="26">
        <v>45526.67853009259</v>
      </c>
      <c r="I648" s="24" t="s">
        <v>40</v>
      </c>
      <c r="J648" s="24" t="s">
        <v>41</v>
      </c>
      <c r="K648" s="24" t="s">
        <v>1187</v>
      </c>
      <c r="L648" s="24" t="s">
        <v>560</v>
      </c>
      <c r="M648" s="24" t="s">
        <v>44</v>
      </c>
      <c r="N648" s="27"/>
      <c r="O648" s="27"/>
      <c r="P648" s="24"/>
      <c r="Q648" s="24" t="s">
        <v>144</v>
      </c>
      <c r="R648" s="23">
        <f>HYPERLINK("https://app.hubspot.com/contacts/8748051/record/0-2/6262832278", 6262832278)</f>
        <v>6262832278</v>
      </c>
      <c r="S648" s="24" t="s">
        <v>2180</v>
      </c>
      <c r="T648" s="28" t="s">
        <v>2181</v>
      </c>
      <c r="U648" s="24" t="s">
        <v>47</v>
      </c>
      <c r="V648" s="24"/>
      <c r="W648" s="32"/>
      <c r="X648" s="29">
        <v>556.0</v>
      </c>
      <c r="Y648" s="29">
        <v>82.0</v>
      </c>
      <c r="Z648" s="30"/>
      <c r="AA648" s="31"/>
      <c r="AB648" s="31"/>
      <c r="AC648" s="31"/>
      <c r="AD648" s="31"/>
      <c r="AE648" s="31"/>
      <c r="AF648" s="31"/>
      <c r="AG648" s="27" t="str">
        <f t="shared" si="1"/>
        <v>New Logo</v>
      </c>
      <c r="AH648" s="27" t="str">
        <f t="shared" si="5"/>
        <v>Lead</v>
      </c>
      <c r="AI648" s="27" t="str">
        <f t="shared" si="6"/>
        <v>501-1000</v>
      </c>
      <c r="AJ648" s="27" t="str">
        <f t="shared" si="7"/>
        <v>51-100</v>
      </c>
    </row>
    <row r="649" ht="15.75" customHeight="1">
      <c r="A649" s="23">
        <f>HYPERLINK("https://app.hubspot.com/contacts/8748051/record/0-3/17675627871", 17675627871)</f>
        <v>17675627871</v>
      </c>
      <c r="B649" s="24" t="s">
        <v>2182</v>
      </c>
      <c r="C649" s="24" t="s">
        <v>50</v>
      </c>
      <c r="D649" s="25">
        <v>46800.0</v>
      </c>
      <c r="E649" s="24" t="s">
        <v>73</v>
      </c>
      <c r="F649" s="24"/>
      <c r="G649" s="26">
        <v>45344.494791666664</v>
      </c>
      <c r="H649" s="26">
        <v>45526.53590277778</v>
      </c>
      <c r="I649" s="24" t="s">
        <v>40</v>
      </c>
      <c r="J649" s="24" t="s">
        <v>41</v>
      </c>
      <c r="K649" s="24" t="s">
        <v>1187</v>
      </c>
      <c r="L649" s="24" t="s">
        <v>560</v>
      </c>
      <c r="M649" s="24" t="s">
        <v>44</v>
      </c>
      <c r="N649" s="27"/>
      <c r="O649" s="27"/>
      <c r="P649" s="24" t="s">
        <v>213</v>
      </c>
      <c r="Q649" s="24"/>
      <c r="R649" s="23">
        <f>HYPERLINK("https://app.hubspot.com/contacts/8748051/record/0-2/9132303215", 9132303215)</f>
        <v>9132303215</v>
      </c>
      <c r="S649" s="24" t="s">
        <v>2183</v>
      </c>
      <c r="T649" s="28" t="s">
        <v>2184</v>
      </c>
      <c r="U649" s="24" t="s">
        <v>47</v>
      </c>
      <c r="V649" s="24"/>
      <c r="W649" s="32"/>
      <c r="X649" s="29">
        <v>1296.0</v>
      </c>
      <c r="Y649" s="29">
        <v>185.0</v>
      </c>
      <c r="Z649" s="30" t="s">
        <v>81</v>
      </c>
      <c r="AA649" s="31"/>
      <c r="AB649" s="31"/>
      <c r="AC649" s="31"/>
      <c r="AD649" s="31"/>
      <c r="AE649" s="31"/>
      <c r="AF649" s="31"/>
      <c r="AG649" s="27" t="str">
        <f t="shared" si="1"/>
        <v>New Logo</v>
      </c>
      <c r="AH649" s="27" t="str">
        <f t="shared" si="5"/>
        <v>Lead</v>
      </c>
      <c r="AI649" s="27" t="str">
        <f t="shared" si="6"/>
        <v>1001-5000</v>
      </c>
      <c r="AJ649" s="27" t="str">
        <f t="shared" si="7"/>
        <v>101-500</v>
      </c>
    </row>
    <row r="650" ht="15.75" customHeight="1">
      <c r="A650" s="23">
        <f>HYPERLINK("https://app.hubspot.com/contacts/8748051/record/0-3/17656398737", 17656398737)</f>
        <v>17656398737</v>
      </c>
      <c r="B650" s="24" t="s">
        <v>2185</v>
      </c>
      <c r="C650" s="24" t="s">
        <v>50</v>
      </c>
      <c r="D650" s="25">
        <v>12000.0</v>
      </c>
      <c r="E650" s="24" t="s">
        <v>127</v>
      </c>
      <c r="F650" s="24" t="s">
        <v>52</v>
      </c>
      <c r="G650" s="26">
        <v>45343.65986111111</v>
      </c>
      <c r="H650" s="26">
        <v>45525.692766203705</v>
      </c>
      <c r="I650" s="24" t="s">
        <v>40</v>
      </c>
      <c r="J650" s="24" t="s">
        <v>41</v>
      </c>
      <c r="K650" s="24" t="s">
        <v>42</v>
      </c>
      <c r="L650" s="24" t="s">
        <v>43</v>
      </c>
      <c r="M650" s="24" t="s">
        <v>44</v>
      </c>
      <c r="N650" s="27"/>
      <c r="O650" s="27"/>
      <c r="P650" s="24"/>
      <c r="Q650" s="24" t="s">
        <v>197</v>
      </c>
      <c r="R650" s="23">
        <f>HYPERLINK("https://app.hubspot.com/contacts/8748051/record/0-2/7232132629", 7232132629)</f>
        <v>7232132629</v>
      </c>
      <c r="S650" s="24" t="s">
        <v>2186</v>
      </c>
      <c r="T650" s="28" t="s">
        <v>2187</v>
      </c>
      <c r="U650" s="24" t="s">
        <v>47</v>
      </c>
      <c r="V650" s="24"/>
      <c r="W650" s="32"/>
      <c r="X650" s="29">
        <v>182.0</v>
      </c>
      <c r="Y650" s="29">
        <v>23.0</v>
      </c>
      <c r="Z650" s="30" t="s">
        <v>108</v>
      </c>
      <c r="AA650" s="31"/>
      <c r="AB650" s="31"/>
      <c r="AC650" s="31"/>
      <c r="AD650" s="31"/>
      <c r="AE650" s="31"/>
      <c r="AF650" s="31"/>
      <c r="AG650" s="27" t="str">
        <f t="shared" si="1"/>
        <v>New Logo</v>
      </c>
      <c r="AH650" s="27" t="str">
        <f t="shared" si="5"/>
        <v>Lead</v>
      </c>
      <c r="AI650" s="27" t="str">
        <f t="shared" si="6"/>
        <v>0-200</v>
      </c>
      <c r="AJ650" s="27" t="str">
        <f t="shared" si="7"/>
        <v>21-50</v>
      </c>
    </row>
    <row r="651" ht="15.75" customHeight="1">
      <c r="A651" s="23">
        <f>HYPERLINK("https://app.hubspot.com/contacts/8748051/record/0-3/17654781232", 17654781232)</f>
        <v>17654781232</v>
      </c>
      <c r="B651" s="24" t="s">
        <v>2188</v>
      </c>
      <c r="C651" s="24" t="s">
        <v>38</v>
      </c>
      <c r="D651" s="25">
        <v>14640.0</v>
      </c>
      <c r="E651" s="24" t="s">
        <v>73</v>
      </c>
      <c r="F651" s="24"/>
      <c r="G651" s="26">
        <v>45343.54314814815</v>
      </c>
      <c r="H651" s="26">
        <v>45525.584398148145</v>
      </c>
      <c r="I651" s="24" t="s">
        <v>40</v>
      </c>
      <c r="J651" s="24" t="s">
        <v>41</v>
      </c>
      <c r="K651" s="24" t="s">
        <v>1187</v>
      </c>
      <c r="L651" s="24" t="s">
        <v>560</v>
      </c>
      <c r="M651" s="24" t="s">
        <v>44</v>
      </c>
      <c r="N651" s="27"/>
      <c r="O651" s="27"/>
      <c r="P651" s="24" t="s">
        <v>234</v>
      </c>
      <c r="Q651" s="24"/>
      <c r="R651" s="23">
        <f>HYPERLINK("https://app.hubspot.com/contacts/8748051/record/0-2/9559255442", 9559255442)</f>
        <v>9559255442</v>
      </c>
      <c r="S651" s="24" t="s">
        <v>2189</v>
      </c>
      <c r="T651" s="28" t="s">
        <v>2190</v>
      </c>
      <c r="U651" s="24" t="s">
        <v>47</v>
      </c>
      <c r="V651" s="24"/>
      <c r="W651" s="32"/>
      <c r="X651" s="29">
        <v>189.0</v>
      </c>
      <c r="Y651" s="29">
        <v>60.0</v>
      </c>
      <c r="Z651" s="30"/>
      <c r="AA651" s="31"/>
      <c r="AB651" s="31"/>
      <c r="AC651" s="31"/>
      <c r="AD651" s="31"/>
      <c r="AE651" s="31"/>
      <c r="AF651" s="31"/>
      <c r="AG651" s="27" t="str">
        <f t="shared" si="1"/>
        <v>New Logo</v>
      </c>
      <c r="AH651" s="27" t="str">
        <f t="shared" si="5"/>
        <v>Lead</v>
      </c>
      <c r="AI651" s="27" t="str">
        <f t="shared" si="6"/>
        <v>0-200</v>
      </c>
      <c r="AJ651" s="27" t="str">
        <f t="shared" si="7"/>
        <v>51-100</v>
      </c>
    </row>
    <row r="652" ht="15.75" customHeight="1">
      <c r="A652" s="23">
        <f>HYPERLINK("https://app.hubspot.com/contacts/8748051/record/0-3/17636004502", 17636004502)</f>
        <v>17636004502</v>
      </c>
      <c r="B652" s="24" t="s">
        <v>2191</v>
      </c>
      <c r="C652" s="24" t="s">
        <v>50</v>
      </c>
      <c r="D652" s="25">
        <v>21600.0</v>
      </c>
      <c r="E652" s="24" t="s">
        <v>73</v>
      </c>
      <c r="F652" s="24"/>
      <c r="G652" s="26">
        <v>45342.56384259259</v>
      </c>
      <c r="H652" s="26">
        <v>45524.604780092595</v>
      </c>
      <c r="I652" s="24" t="s">
        <v>40</v>
      </c>
      <c r="J652" s="24" t="s">
        <v>41</v>
      </c>
      <c r="K652" s="24" t="s">
        <v>1187</v>
      </c>
      <c r="L652" s="24" t="s">
        <v>560</v>
      </c>
      <c r="M652" s="24" t="s">
        <v>44</v>
      </c>
      <c r="N652" s="27"/>
      <c r="O652" s="27"/>
      <c r="P652" s="24" t="s">
        <v>122</v>
      </c>
      <c r="Q652" s="24"/>
      <c r="R652" s="23">
        <f>HYPERLINK("https://app.hubspot.com/contacts/8748051/record/0-2/7700289454", 7700289454)</f>
        <v>7700289454</v>
      </c>
      <c r="S652" s="24" t="s">
        <v>2192</v>
      </c>
      <c r="T652" s="28" t="s">
        <v>2193</v>
      </c>
      <c r="U652" s="24" t="s">
        <v>47</v>
      </c>
      <c r="V652" s="24"/>
      <c r="W652" s="32"/>
      <c r="X652" s="29">
        <v>1118.0</v>
      </c>
      <c r="Y652" s="29">
        <v>190.0</v>
      </c>
      <c r="Z652" s="30" t="s">
        <v>71</v>
      </c>
      <c r="AA652" s="31"/>
      <c r="AB652" s="31"/>
      <c r="AC652" s="31"/>
      <c r="AD652" s="31"/>
      <c r="AE652" s="31"/>
      <c r="AF652" s="31"/>
      <c r="AG652" s="27" t="str">
        <f t="shared" si="1"/>
        <v>New Logo</v>
      </c>
      <c r="AH652" s="27" t="str">
        <f t="shared" si="5"/>
        <v>Lead</v>
      </c>
      <c r="AI652" s="27" t="str">
        <f t="shared" si="6"/>
        <v>1001-5000</v>
      </c>
      <c r="AJ652" s="27" t="str">
        <f t="shared" si="7"/>
        <v>101-500</v>
      </c>
    </row>
    <row r="653" ht="15.75" customHeight="1">
      <c r="A653" s="23">
        <f>HYPERLINK("https://app.hubspot.com/contacts/8748051/record/0-3/17635669026", 17635669026)</f>
        <v>17635669026</v>
      </c>
      <c r="B653" s="24" t="s">
        <v>2194</v>
      </c>
      <c r="C653" s="24" t="s">
        <v>148</v>
      </c>
      <c r="D653" s="25">
        <v>7200.0</v>
      </c>
      <c r="E653" s="24" t="s">
        <v>73</v>
      </c>
      <c r="F653" s="24"/>
      <c r="G653" s="26">
        <v>45342.550787037035</v>
      </c>
      <c r="H653" s="26">
        <v>45524.59211805555</v>
      </c>
      <c r="I653" s="24" t="s">
        <v>40</v>
      </c>
      <c r="J653" s="24" t="s">
        <v>41</v>
      </c>
      <c r="K653" s="24" t="s">
        <v>1187</v>
      </c>
      <c r="L653" s="24" t="s">
        <v>560</v>
      </c>
      <c r="M653" s="24"/>
      <c r="N653" s="24"/>
      <c r="O653" s="27"/>
      <c r="P653" s="24" t="s">
        <v>122</v>
      </c>
      <c r="Q653" s="27"/>
      <c r="R653" s="23">
        <f>HYPERLINK("https://app.hubspot.com/contacts/8748051/record/0-2/9238368537", 9238368537)</f>
        <v>9238368537</v>
      </c>
      <c r="S653" s="24" t="s">
        <v>2195</v>
      </c>
      <c r="T653" s="28" t="s">
        <v>2196</v>
      </c>
      <c r="U653" s="24" t="s">
        <v>47</v>
      </c>
      <c r="V653" s="24"/>
      <c r="W653" s="25"/>
      <c r="X653" s="29">
        <v>370.0</v>
      </c>
      <c r="Y653" s="29">
        <v>34.0</v>
      </c>
      <c r="Z653" s="30" t="s">
        <v>108</v>
      </c>
      <c r="AA653" s="30"/>
      <c r="AB653" s="31"/>
      <c r="AC653" s="31"/>
      <c r="AD653" s="30"/>
      <c r="AE653" s="30"/>
      <c r="AF653" s="30"/>
      <c r="AG653" s="27" t="str">
        <f t="shared" si="1"/>
        <v>New Logo</v>
      </c>
      <c r="AH653" s="27" t="str">
        <f t="shared" si="5"/>
        <v>Lead</v>
      </c>
      <c r="AI653" s="27" t="str">
        <f t="shared" si="6"/>
        <v>201-500</v>
      </c>
      <c r="AJ653" s="27" t="str">
        <f t="shared" si="7"/>
        <v>21-50</v>
      </c>
    </row>
    <row r="654" ht="15.75" customHeight="1">
      <c r="A654" s="23">
        <f>HYPERLINK("https://app.hubspot.com/contacts/8748051/record/0-3/17626185331", 17626185331)</f>
        <v>17626185331</v>
      </c>
      <c r="B654" s="24" t="s">
        <v>2197</v>
      </c>
      <c r="C654" s="24" t="s">
        <v>50</v>
      </c>
      <c r="D654" s="25">
        <v>25000.0</v>
      </c>
      <c r="E654" s="24" t="s">
        <v>73</v>
      </c>
      <c r="F654" s="24" t="s">
        <v>52</v>
      </c>
      <c r="G654" s="26">
        <v>45341.96729166667</v>
      </c>
      <c r="H654" s="26">
        <v>45688.26267361111</v>
      </c>
      <c r="I654" s="24" t="s">
        <v>40</v>
      </c>
      <c r="J654" s="24" t="s">
        <v>41</v>
      </c>
      <c r="K654" s="24" t="s">
        <v>60</v>
      </c>
      <c r="L654" s="24" t="s">
        <v>178</v>
      </c>
      <c r="M654" s="24" t="s">
        <v>74</v>
      </c>
      <c r="N654" s="24"/>
      <c r="O654" s="27"/>
      <c r="P654" s="24" t="s">
        <v>75</v>
      </c>
      <c r="Q654" s="27"/>
      <c r="R654" s="23">
        <f>HYPERLINK("https://app.hubspot.com/contacts/8748051/record/0-2/8002248351", 8002248351)</f>
        <v>8002248351</v>
      </c>
      <c r="S654" s="24" t="s">
        <v>2198</v>
      </c>
      <c r="T654" s="28" t="s">
        <v>2199</v>
      </c>
      <c r="U654" s="24" t="s">
        <v>47</v>
      </c>
      <c r="V654" s="24"/>
      <c r="W654" s="25"/>
      <c r="X654" s="29">
        <v>170.0</v>
      </c>
      <c r="Y654" s="29">
        <v>38.0</v>
      </c>
      <c r="Z654" s="30"/>
      <c r="AA654" s="30"/>
      <c r="AB654" s="31"/>
      <c r="AC654" s="31"/>
      <c r="AD654" s="30"/>
      <c r="AE654" s="30"/>
      <c r="AF654" s="30"/>
      <c r="AG654" s="27" t="str">
        <f t="shared" si="1"/>
        <v>New Logo</v>
      </c>
      <c r="AH654" s="27" t="str">
        <f t="shared" si="5"/>
        <v>Lead</v>
      </c>
      <c r="AI654" s="27" t="str">
        <f t="shared" si="6"/>
        <v>0-200</v>
      </c>
      <c r="AJ654" s="27" t="str">
        <f t="shared" si="7"/>
        <v>21-50</v>
      </c>
    </row>
    <row r="655" ht="15.75" customHeight="1">
      <c r="A655" s="23">
        <f>HYPERLINK("https://app.hubspot.com/contacts/8748051/record/0-3/17626185031", 17626185031)</f>
        <v>17626185031</v>
      </c>
      <c r="B655" s="24" t="s">
        <v>2200</v>
      </c>
      <c r="C655" s="24" t="s">
        <v>1009</v>
      </c>
      <c r="D655" s="25">
        <v>22560.0</v>
      </c>
      <c r="E655" s="24" t="s">
        <v>73</v>
      </c>
      <c r="F655" s="24"/>
      <c r="G655" s="26">
        <v>45341.96203703704</v>
      </c>
      <c r="H655" s="26">
        <v>45524.0028125</v>
      </c>
      <c r="I655" s="24" t="s">
        <v>40</v>
      </c>
      <c r="J655" s="24" t="s">
        <v>41</v>
      </c>
      <c r="K655" s="24" t="s">
        <v>1187</v>
      </c>
      <c r="L655" s="24" t="s">
        <v>560</v>
      </c>
      <c r="M655" s="24" t="s">
        <v>102</v>
      </c>
      <c r="N655" s="27"/>
      <c r="O655" s="27"/>
      <c r="P655" s="24" t="s">
        <v>75</v>
      </c>
      <c r="Q655" s="24"/>
      <c r="R655" s="23">
        <f>HYPERLINK("https://app.hubspot.com/contacts/8748051/record/0-2/7709596024", 7709596024)</f>
        <v>7709596024</v>
      </c>
      <c r="S655" s="24" t="s">
        <v>2201</v>
      </c>
      <c r="T655" s="28" t="s">
        <v>2202</v>
      </c>
      <c r="U655" s="24" t="s">
        <v>47</v>
      </c>
      <c r="V655" s="24"/>
      <c r="W655" s="32"/>
      <c r="X655" s="29">
        <v>1385.0</v>
      </c>
      <c r="Y655" s="29">
        <v>136.0</v>
      </c>
      <c r="Z655" s="30" t="s">
        <v>71</v>
      </c>
      <c r="AA655" s="31"/>
      <c r="AB655" s="31"/>
      <c r="AC655" s="31"/>
      <c r="AD655" s="31"/>
      <c r="AE655" s="31"/>
      <c r="AF655" s="31"/>
      <c r="AG655" s="27" t="str">
        <f t="shared" si="1"/>
        <v>New Logo</v>
      </c>
      <c r="AH655" s="27" t="str">
        <f t="shared" si="5"/>
        <v>Lead</v>
      </c>
      <c r="AI655" s="27" t="str">
        <f t="shared" si="6"/>
        <v>1001-5000</v>
      </c>
      <c r="AJ655" s="27" t="str">
        <f t="shared" si="7"/>
        <v>101-500</v>
      </c>
    </row>
    <row r="656" ht="15.75" customHeight="1">
      <c r="A656" s="23">
        <f>HYPERLINK("https://app.hubspot.com/contacts/8748051/record/0-3/17615300110", 17615300110)</f>
        <v>17615300110</v>
      </c>
      <c r="B656" s="24" t="s">
        <v>2203</v>
      </c>
      <c r="C656" s="24" t="s">
        <v>1009</v>
      </c>
      <c r="D656" s="25">
        <v>12500.0</v>
      </c>
      <c r="E656" s="24" t="s">
        <v>73</v>
      </c>
      <c r="F656" s="24"/>
      <c r="G656" s="26">
        <v>45341.099641203706</v>
      </c>
      <c r="H656" s="26">
        <v>45412.142743055556</v>
      </c>
      <c r="I656" s="24" t="s">
        <v>40</v>
      </c>
      <c r="J656" s="24" t="s">
        <v>41</v>
      </c>
      <c r="K656" s="24" t="s">
        <v>42</v>
      </c>
      <c r="L656" s="24" t="s">
        <v>43</v>
      </c>
      <c r="M656" s="24" t="s">
        <v>102</v>
      </c>
      <c r="N656" s="24"/>
      <c r="O656" s="27"/>
      <c r="P656" s="24" t="s">
        <v>213</v>
      </c>
      <c r="Q656" s="24"/>
      <c r="R656" s="23">
        <f>HYPERLINK("https://app.hubspot.com/contacts/8748051/record/0-2/11995178296", 11995178296)</f>
        <v>11995178296</v>
      </c>
      <c r="S656" s="24" t="s">
        <v>2204</v>
      </c>
      <c r="T656" s="28" t="s">
        <v>2205</v>
      </c>
      <c r="U656" s="24" t="s">
        <v>47</v>
      </c>
      <c r="V656" s="24"/>
      <c r="W656" s="25"/>
      <c r="X656" s="29">
        <v>66.0</v>
      </c>
      <c r="Y656" s="29">
        <v>28.0</v>
      </c>
      <c r="Z656" s="30"/>
      <c r="AA656" s="30"/>
      <c r="AB656" s="30"/>
      <c r="AC656" s="31"/>
      <c r="AD656" s="30"/>
      <c r="AE656" s="30"/>
      <c r="AF656" s="30"/>
      <c r="AG656" s="27" t="str">
        <f t="shared" si="1"/>
        <v>New Logo</v>
      </c>
      <c r="AH656" s="27" t="str">
        <f t="shared" si="5"/>
        <v>Lead</v>
      </c>
      <c r="AI656" s="27" t="str">
        <f t="shared" si="6"/>
        <v>0-200</v>
      </c>
      <c r="AJ656" s="27" t="str">
        <f t="shared" si="7"/>
        <v>21-50</v>
      </c>
    </row>
    <row r="657" ht="15.75" customHeight="1">
      <c r="A657" s="23">
        <f>HYPERLINK("https://app.hubspot.com/contacts/8748051/record/0-3/17615274063", 17615274063)</f>
        <v>17615274063</v>
      </c>
      <c r="B657" s="24" t="s">
        <v>2206</v>
      </c>
      <c r="C657" s="24" t="s">
        <v>1009</v>
      </c>
      <c r="D657" s="25">
        <v>100000.0</v>
      </c>
      <c r="E657" s="24" t="s">
        <v>73</v>
      </c>
      <c r="F657" s="24"/>
      <c r="G657" s="26">
        <v>45341.097592592596</v>
      </c>
      <c r="H657" s="26">
        <v>45528.13903935185</v>
      </c>
      <c r="I657" s="24" t="s">
        <v>40</v>
      </c>
      <c r="J657" s="24" t="s">
        <v>41</v>
      </c>
      <c r="K657" s="24" t="s">
        <v>42</v>
      </c>
      <c r="L657" s="24" t="s">
        <v>43</v>
      </c>
      <c r="M657" s="24" t="s">
        <v>102</v>
      </c>
      <c r="N657" s="24"/>
      <c r="O657" s="27"/>
      <c r="P657" s="24" t="s">
        <v>75</v>
      </c>
      <c r="Q657" s="24"/>
      <c r="R657" s="23">
        <f>HYPERLINK("https://app.hubspot.com/contacts/8748051/record/0-2/18975734823", 18975734823)</f>
        <v>18975734823</v>
      </c>
      <c r="S657" s="24" t="s">
        <v>2207</v>
      </c>
      <c r="T657" s="28" t="s">
        <v>2208</v>
      </c>
      <c r="U657" s="24" t="s">
        <v>47</v>
      </c>
      <c r="V657" s="24"/>
      <c r="W657" s="25"/>
      <c r="X657" s="29">
        <v>12934.0</v>
      </c>
      <c r="Y657" s="29">
        <v>659.0</v>
      </c>
      <c r="Z657" s="30"/>
      <c r="AA657" s="31"/>
      <c r="AB657" s="31"/>
      <c r="AC657" s="31"/>
      <c r="AD657" s="31"/>
      <c r="AE657" s="31"/>
      <c r="AF657" s="31"/>
      <c r="AG657" s="27" t="str">
        <f t="shared" si="1"/>
        <v>New Logo</v>
      </c>
      <c r="AH657" s="27" t="str">
        <f t="shared" si="5"/>
        <v>Lead</v>
      </c>
      <c r="AI657" s="27" t="str">
        <f t="shared" si="6"/>
        <v>10000+</v>
      </c>
      <c r="AJ657" s="27" t="str">
        <f t="shared" si="7"/>
        <v>500+</v>
      </c>
    </row>
    <row r="658" ht="15.75" customHeight="1">
      <c r="A658" s="23">
        <f>HYPERLINK("https://app.hubspot.com/contacts/8748051/record/0-3/17584737536", 17584737536)</f>
        <v>17584737536</v>
      </c>
      <c r="B658" s="24" t="s">
        <v>2209</v>
      </c>
      <c r="C658" s="24" t="s">
        <v>1009</v>
      </c>
      <c r="D658" s="25">
        <v>186720.0</v>
      </c>
      <c r="E658" s="24" t="s">
        <v>127</v>
      </c>
      <c r="F658" s="24" t="s">
        <v>52</v>
      </c>
      <c r="G658" s="26">
        <v>45338.67586805556</v>
      </c>
      <c r="H658" s="26">
        <v>45520.716990740744</v>
      </c>
      <c r="I658" s="24" t="s">
        <v>40</v>
      </c>
      <c r="J658" s="24" t="s">
        <v>41</v>
      </c>
      <c r="K658" s="24" t="s">
        <v>1187</v>
      </c>
      <c r="L658" s="24" t="s">
        <v>560</v>
      </c>
      <c r="M658" s="24" t="s">
        <v>44</v>
      </c>
      <c r="N658" s="24"/>
      <c r="O658" s="27"/>
      <c r="P658" s="24"/>
      <c r="Q658" s="24" t="s">
        <v>242</v>
      </c>
      <c r="R658" s="23">
        <f>HYPERLINK("https://app.hubspot.com/contacts/8748051/record/0-2/18382637153", 18382637153)</f>
        <v>18382637153</v>
      </c>
      <c r="S658" s="24" t="s">
        <v>2210</v>
      </c>
      <c r="T658" s="28" t="s">
        <v>2211</v>
      </c>
      <c r="U658" s="24" t="s">
        <v>47</v>
      </c>
      <c r="V658" s="24"/>
      <c r="W658" s="25"/>
      <c r="X658" s="29">
        <v>3442.0</v>
      </c>
      <c r="Y658" s="29">
        <v>881.0</v>
      </c>
      <c r="Z658" s="30"/>
      <c r="AA658" s="30"/>
      <c r="AB658" s="31"/>
      <c r="AC658" s="30"/>
      <c r="AD658" s="30"/>
      <c r="AE658" s="30"/>
      <c r="AF658" s="30"/>
      <c r="AG658" s="27" t="str">
        <f t="shared" si="1"/>
        <v>New Logo</v>
      </c>
      <c r="AH658" s="27" t="str">
        <f t="shared" si="5"/>
        <v>Lead</v>
      </c>
      <c r="AI658" s="27" t="str">
        <f t="shared" si="6"/>
        <v>1001-5000</v>
      </c>
      <c r="AJ658" s="27" t="str">
        <f t="shared" si="7"/>
        <v>500+</v>
      </c>
    </row>
    <row r="659" ht="15.75" customHeight="1">
      <c r="A659" s="23">
        <f>HYPERLINK("https://app.hubspot.com/contacts/8748051/record/0-3/17584736025", 17584736025)</f>
        <v>17584736025</v>
      </c>
      <c r="B659" s="24" t="s">
        <v>2212</v>
      </c>
      <c r="C659" s="24" t="s">
        <v>38</v>
      </c>
      <c r="D659" s="25">
        <v>30000.0</v>
      </c>
      <c r="E659" s="24" t="s">
        <v>127</v>
      </c>
      <c r="F659" s="24" t="s">
        <v>52</v>
      </c>
      <c r="G659" s="26">
        <v>45338.666030092594</v>
      </c>
      <c r="H659" s="26">
        <v>45504.54577546296</v>
      </c>
      <c r="I659" s="24" t="s">
        <v>40</v>
      </c>
      <c r="J659" s="24" t="s">
        <v>41</v>
      </c>
      <c r="K659" s="24" t="s">
        <v>1187</v>
      </c>
      <c r="L659" s="24" t="s">
        <v>560</v>
      </c>
      <c r="M659" s="24" t="s">
        <v>44</v>
      </c>
      <c r="N659" s="24"/>
      <c r="O659" s="27"/>
      <c r="P659" s="24"/>
      <c r="Q659" s="24" t="s">
        <v>401</v>
      </c>
      <c r="R659" s="23">
        <f>HYPERLINK("https://app.hubspot.com/contacts/8748051/record/0-2/7924223543", 7924223543)</f>
        <v>7924223543</v>
      </c>
      <c r="S659" s="24" t="s">
        <v>2213</v>
      </c>
      <c r="T659" s="28" t="s">
        <v>2214</v>
      </c>
      <c r="U659" s="24" t="s">
        <v>47</v>
      </c>
      <c r="V659" s="24"/>
      <c r="W659" s="25"/>
      <c r="X659" s="29">
        <v>657.0</v>
      </c>
      <c r="Y659" s="29">
        <v>71.0</v>
      </c>
      <c r="Z659" s="30" t="s">
        <v>71</v>
      </c>
      <c r="AA659" s="30"/>
      <c r="AB659" s="31"/>
      <c r="AC659" s="30"/>
      <c r="AD659" s="30"/>
      <c r="AE659" s="30"/>
      <c r="AF659" s="30"/>
      <c r="AG659" s="27" t="str">
        <f t="shared" si="1"/>
        <v>New Logo</v>
      </c>
      <c r="AH659" s="27" t="str">
        <f t="shared" si="5"/>
        <v>Lead</v>
      </c>
      <c r="AI659" s="27" t="str">
        <f t="shared" si="6"/>
        <v>501-1000</v>
      </c>
      <c r="AJ659" s="27" t="str">
        <f t="shared" si="7"/>
        <v>51-100</v>
      </c>
    </row>
    <row r="660" ht="15.75" customHeight="1">
      <c r="A660" s="23">
        <f>HYPERLINK("https://app.hubspot.com/contacts/8748051/record/0-3/17563382909", 17563382909)</f>
        <v>17563382909</v>
      </c>
      <c r="B660" s="24" t="s">
        <v>2215</v>
      </c>
      <c r="C660" s="24" t="s">
        <v>50</v>
      </c>
      <c r="D660" s="25">
        <v>11040.0</v>
      </c>
      <c r="E660" s="24" t="s">
        <v>73</v>
      </c>
      <c r="F660" s="24"/>
      <c r="G660" s="26">
        <v>45338.03090277778</v>
      </c>
      <c r="H660" s="26">
        <v>45520.07197916666</v>
      </c>
      <c r="I660" s="24" t="s">
        <v>40</v>
      </c>
      <c r="J660" s="24" t="s">
        <v>41</v>
      </c>
      <c r="K660" s="24" t="s">
        <v>60</v>
      </c>
      <c r="L660" s="24" t="s">
        <v>178</v>
      </c>
      <c r="M660" s="24" t="s">
        <v>74</v>
      </c>
      <c r="N660" s="24"/>
      <c r="O660" s="27"/>
      <c r="P660" s="24" t="s">
        <v>122</v>
      </c>
      <c r="Q660" s="27"/>
      <c r="R660" s="23">
        <f>HYPERLINK("https://app.hubspot.com/contacts/8748051/record/0-2/6816601934", 6816601934)</f>
        <v>6816601934</v>
      </c>
      <c r="S660" s="24" t="s">
        <v>2216</v>
      </c>
      <c r="T660" s="28" t="s">
        <v>2217</v>
      </c>
      <c r="U660" s="24" t="s">
        <v>47</v>
      </c>
      <c r="V660" s="24"/>
      <c r="W660" s="25"/>
      <c r="X660" s="29">
        <v>318.0</v>
      </c>
      <c r="Y660" s="29">
        <v>45.0</v>
      </c>
      <c r="Z660" s="30" t="s">
        <v>108</v>
      </c>
      <c r="AA660" s="30"/>
      <c r="AB660" s="31"/>
      <c r="AC660" s="31"/>
      <c r="AD660" s="30"/>
      <c r="AE660" s="31"/>
      <c r="AF660" s="30"/>
      <c r="AG660" s="27" t="str">
        <f t="shared" si="1"/>
        <v>New Logo</v>
      </c>
      <c r="AH660" s="27" t="str">
        <f t="shared" si="5"/>
        <v>Lead</v>
      </c>
      <c r="AI660" s="27" t="str">
        <f t="shared" si="6"/>
        <v>201-500</v>
      </c>
      <c r="AJ660" s="27" t="str">
        <f t="shared" si="7"/>
        <v>21-50</v>
      </c>
    </row>
    <row r="661" ht="15.75" customHeight="1">
      <c r="A661" s="23">
        <f>HYPERLINK("https://app.hubspot.com/contacts/8748051/record/0-3/17548561436", 17548561436)</f>
        <v>17548561436</v>
      </c>
      <c r="B661" s="24" t="s">
        <v>2218</v>
      </c>
      <c r="C661" s="24" t="s">
        <v>1009</v>
      </c>
      <c r="D661" s="25">
        <v>10000.0</v>
      </c>
      <c r="E661" s="24" t="s">
        <v>127</v>
      </c>
      <c r="F661" s="24" t="s">
        <v>52</v>
      </c>
      <c r="G661" s="26">
        <v>45337.497662037036</v>
      </c>
      <c r="H661" s="26">
        <v>45653.40447916667</v>
      </c>
      <c r="I661" s="24" t="s">
        <v>40</v>
      </c>
      <c r="J661" s="24" t="s">
        <v>41</v>
      </c>
      <c r="K661" s="24" t="s">
        <v>1187</v>
      </c>
      <c r="L661" s="24" t="s">
        <v>560</v>
      </c>
      <c r="M661" s="24" t="s">
        <v>44</v>
      </c>
      <c r="N661" s="27"/>
      <c r="O661" s="27"/>
      <c r="P661" s="24" t="s">
        <v>122</v>
      </c>
      <c r="Q661" s="24"/>
      <c r="R661" s="23">
        <f>HYPERLINK("https://app.hubspot.com/contacts/8748051/record/0-2/15869619115", 15869619115)</f>
        <v>15869619115</v>
      </c>
      <c r="S661" s="24" t="s">
        <v>2219</v>
      </c>
      <c r="T661" s="28" t="s">
        <v>2220</v>
      </c>
      <c r="U661" s="24" t="s">
        <v>47</v>
      </c>
      <c r="V661" s="24"/>
      <c r="W661" s="32"/>
      <c r="X661" s="29">
        <v>120.0</v>
      </c>
      <c r="Y661" s="29">
        <v>9.0</v>
      </c>
      <c r="Z661" s="30" t="s">
        <v>108</v>
      </c>
      <c r="AA661" s="31"/>
      <c r="AB661" s="31"/>
      <c r="AC661" s="31"/>
      <c r="AD661" s="31"/>
      <c r="AE661" s="31"/>
      <c r="AF661" s="31"/>
      <c r="AG661" s="27" t="str">
        <f t="shared" si="1"/>
        <v>New Logo</v>
      </c>
      <c r="AH661" s="27" t="str">
        <f t="shared" si="5"/>
        <v>Lead</v>
      </c>
      <c r="AI661" s="27" t="str">
        <f t="shared" si="6"/>
        <v>0-200</v>
      </c>
      <c r="AJ661" s="27" t="str">
        <f t="shared" si="7"/>
        <v>0-20</v>
      </c>
    </row>
    <row r="662" ht="15.75" customHeight="1">
      <c r="A662" s="23">
        <f>HYPERLINK("https://app.hubspot.com/contacts/8748051/record/0-3/17547714187", 17547714187)</f>
        <v>17547714187</v>
      </c>
      <c r="B662" s="24" t="s">
        <v>2221</v>
      </c>
      <c r="C662" s="24" t="s">
        <v>1009</v>
      </c>
      <c r="D662" s="25">
        <v>9360.0</v>
      </c>
      <c r="E662" s="24" t="s">
        <v>73</v>
      </c>
      <c r="F662" s="24"/>
      <c r="G662" s="26">
        <v>45337.412824074076</v>
      </c>
      <c r="H662" s="26">
        <v>45519.45425925926</v>
      </c>
      <c r="I662" s="24" t="s">
        <v>40</v>
      </c>
      <c r="J662" s="24" t="s">
        <v>41</v>
      </c>
      <c r="K662" s="24" t="s">
        <v>42</v>
      </c>
      <c r="L662" s="24" t="s">
        <v>43</v>
      </c>
      <c r="M662" s="24" t="s">
        <v>44</v>
      </c>
      <c r="N662" s="27"/>
      <c r="O662" s="27"/>
      <c r="P662" s="24" t="s">
        <v>75</v>
      </c>
      <c r="Q662" s="24"/>
      <c r="R662" s="23">
        <f>HYPERLINK("https://app.hubspot.com/contacts/8748051/record/0-2/9686640476", 9686640476)</f>
        <v>9686640476</v>
      </c>
      <c r="S662" s="24" t="s">
        <v>2222</v>
      </c>
      <c r="T662" s="28" t="s">
        <v>2223</v>
      </c>
      <c r="U662" s="24" t="s">
        <v>47</v>
      </c>
      <c r="V662" s="24"/>
      <c r="W662" s="32"/>
      <c r="X662" s="29">
        <v>902.0</v>
      </c>
      <c r="Y662" s="29">
        <v>52.0</v>
      </c>
      <c r="Z662" s="30"/>
      <c r="AA662" s="31"/>
      <c r="AB662" s="31"/>
      <c r="AC662" s="31"/>
      <c r="AD662" s="31"/>
      <c r="AE662" s="31"/>
      <c r="AF662" s="31"/>
      <c r="AG662" s="27" t="str">
        <f t="shared" si="1"/>
        <v>New Logo</v>
      </c>
      <c r="AH662" s="27" t="str">
        <f t="shared" si="5"/>
        <v>Lead</v>
      </c>
      <c r="AI662" s="27" t="str">
        <f t="shared" si="6"/>
        <v>501-1000</v>
      </c>
      <c r="AJ662" s="27" t="str">
        <f t="shared" si="7"/>
        <v>51-100</v>
      </c>
    </row>
    <row r="663" ht="15.75" customHeight="1">
      <c r="A663" s="23">
        <f>HYPERLINK("https://app.hubspot.com/contacts/8748051/record/0-3/17525735054", 17525735054)</f>
        <v>17525735054</v>
      </c>
      <c r="B663" s="24" t="s">
        <v>2224</v>
      </c>
      <c r="C663" s="24" t="s">
        <v>50</v>
      </c>
      <c r="D663" s="25">
        <v>164160.0</v>
      </c>
      <c r="E663" s="24" t="s">
        <v>73</v>
      </c>
      <c r="F663" s="24"/>
      <c r="G663" s="26">
        <v>45336.645</v>
      </c>
      <c r="H663" s="26">
        <v>45518.68568287037</v>
      </c>
      <c r="I663" s="24" t="s">
        <v>40</v>
      </c>
      <c r="J663" s="24" t="s">
        <v>41</v>
      </c>
      <c r="K663" s="24" t="s">
        <v>1187</v>
      </c>
      <c r="L663" s="24" t="s">
        <v>560</v>
      </c>
      <c r="M663" s="24" t="s">
        <v>44</v>
      </c>
      <c r="N663" s="24"/>
      <c r="O663" s="27"/>
      <c r="P663" s="24" t="s">
        <v>213</v>
      </c>
      <c r="Q663" s="24"/>
      <c r="R663" s="23">
        <f>HYPERLINK("https://app.hubspot.com/contacts/8748051/record/0-2/18832368258", 18832368258)</f>
        <v>18832368258</v>
      </c>
      <c r="S663" s="24" t="s">
        <v>2225</v>
      </c>
      <c r="T663" s="28" t="s">
        <v>2226</v>
      </c>
      <c r="U663" s="24" t="s">
        <v>47</v>
      </c>
      <c r="V663" s="24"/>
      <c r="W663" s="25"/>
      <c r="X663" s="29">
        <v>8932.0</v>
      </c>
      <c r="Y663" s="29">
        <v>815.0</v>
      </c>
      <c r="Z663" s="30" t="s">
        <v>71</v>
      </c>
      <c r="AA663" s="31"/>
      <c r="AB663" s="31"/>
      <c r="AC663" s="31"/>
      <c r="AD663" s="31"/>
      <c r="AE663" s="31"/>
      <c r="AF663" s="31"/>
      <c r="AG663" s="27" t="str">
        <f t="shared" si="1"/>
        <v>New Logo</v>
      </c>
      <c r="AH663" s="27" t="str">
        <f t="shared" si="5"/>
        <v>Lead</v>
      </c>
      <c r="AI663" s="27" t="str">
        <f t="shared" si="6"/>
        <v>5000-10000</v>
      </c>
      <c r="AJ663" s="27" t="str">
        <f t="shared" si="7"/>
        <v>500+</v>
      </c>
    </row>
    <row r="664" ht="15.75" customHeight="1">
      <c r="A664" s="23">
        <f>HYPERLINK("https://app.hubspot.com/contacts/8748051/record/0-3/17419320206", 17419320206)</f>
        <v>17419320206</v>
      </c>
      <c r="B664" s="24" t="s">
        <v>2227</v>
      </c>
      <c r="C664" s="24" t="s">
        <v>38</v>
      </c>
      <c r="D664" s="25">
        <v>46500.0</v>
      </c>
      <c r="E664" s="24" t="s">
        <v>127</v>
      </c>
      <c r="F664" s="24" t="s">
        <v>52</v>
      </c>
      <c r="G664" s="26">
        <v>45329.762650462966</v>
      </c>
      <c r="H664" s="26">
        <v>45511.761666666665</v>
      </c>
      <c r="I664" s="24" t="s">
        <v>40</v>
      </c>
      <c r="J664" s="24" t="s">
        <v>41</v>
      </c>
      <c r="K664" s="24" t="s">
        <v>42</v>
      </c>
      <c r="L664" s="24" t="s">
        <v>43</v>
      </c>
      <c r="M664" s="24" t="s">
        <v>44</v>
      </c>
      <c r="N664" s="24"/>
      <c r="O664" s="27"/>
      <c r="P664" s="24"/>
      <c r="Q664" s="24" t="s">
        <v>128</v>
      </c>
      <c r="R664" s="23">
        <f>HYPERLINK("https://app.hubspot.com/contacts/8748051/record/0-2/7648554051", 7648554051)</f>
        <v>7648554051</v>
      </c>
      <c r="S664" s="24" t="s">
        <v>2228</v>
      </c>
      <c r="T664" s="28" t="s">
        <v>2229</v>
      </c>
      <c r="U664" s="24" t="s">
        <v>47</v>
      </c>
      <c r="V664" s="24"/>
      <c r="W664" s="25"/>
      <c r="X664" s="29">
        <v>1406.0</v>
      </c>
      <c r="Y664" s="29">
        <v>140.0</v>
      </c>
      <c r="Z664" s="30" t="s">
        <v>64</v>
      </c>
      <c r="AA664" s="30"/>
      <c r="AB664" s="31"/>
      <c r="AC664" s="30"/>
      <c r="AD664" s="30"/>
      <c r="AE664" s="30"/>
      <c r="AF664" s="30"/>
      <c r="AG664" s="27" t="str">
        <f t="shared" si="1"/>
        <v>New Logo</v>
      </c>
      <c r="AH664" s="27" t="str">
        <f t="shared" si="5"/>
        <v>Lead</v>
      </c>
      <c r="AI664" s="27" t="str">
        <f t="shared" si="6"/>
        <v>1001-5000</v>
      </c>
      <c r="AJ664" s="27" t="str">
        <f t="shared" si="7"/>
        <v>101-500</v>
      </c>
    </row>
    <row r="665" ht="15.75" customHeight="1">
      <c r="A665" s="23">
        <f>HYPERLINK("https://app.hubspot.com/contacts/8748051/record/0-3/17404517388", 17404517388)</f>
        <v>17404517388</v>
      </c>
      <c r="B665" s="24" t="s">
        <v>2230</v>
      </c>
      <c r="C665" s="24" t="s">
        <v>159</v>
      </c>
      <c r="D665" s="25">
        <v>16200.0</v>
      </c>
      <c r="E665" s="24" t="s">
        <v>92</v>
      </c>
      <c r="F665" s="24"/>
      <c r="G665" s="26">
        <v>45329.12957175926</v>
      </c>
      <c r="H665" s="26">
        <v>45329.127858796295</v>
      </c>
      <c r="I665" s="24" t="s">
        <v>40</v>
      </c>
      <c r="J665" s="24" t="s">
        <v>182</v>
      </c>
      <c r="K665" s="27"/>
      <c r="L665" s="24" t="s">
        <v>162</v>
      </c>
      <c r="M665" s="24" t="s">
        <v>44</v>
      </c>
      <c r="N665" s="24" t="s">
        <v>2231</v>
      </c>
      <c r="O665" s="24"/>
      <c r="P665" s="24"/>
      <c r="Q665" s="24"/>
      <c r="R665" s="23">
        <f>HYPERLINK("https://app.hubspot.com/contacts/8748051/record/0-2/10228278794", 10228278794)</f>
        <v>10228278794</v>
      </c>
      <c r="S665" s="24" t="s">
        <v>1172</v>
      </c>
      <c r="T665" s="28" t="s">
        <v>1173</v>
      </c>
      <c r="U665" s="24">
        <v>3.4564763E7</v>
      </c>
      <c r="V665" s="35">
        <v>46030.0</v>
      </c>
      <c r="W665" s="25">
        <v>81180.0</v>
      </c>
      <c r="X665" s="29">
        <v>274.0</v>
      </c>
      <c r="Y665" s="29">
        <v>49.0</v>
      </c>
      <c r="Z665" s="30"/>
      <c r="AA665" s="30"/>
      <c r="AB665" s="31"/>
      <c r="AC665" s="31"/>
      <c r="AD665" s="30"/>
      <c r="AE665" s="30"/>
      <c r="AF665" s="30"/>
      <c r="AG665" s="27" t="str">
        <f t="shared" si="1"/>
        <v>Upsell</v>
      </c>
      <c r="AH665" s="27" t="str">
        <f t="shared" si="5"/>
        <v>Churn</v>
      </c>
      <c r="AI665" s="27" t="str">
        <f t="shared" si="6"/>
        <v>201-500</v>
      </c>
      <c r="AJ665" s="27" t="str">
        <f t="shared" si="7"/>
        <v>21-50</v>
      </c>
    </row>
    <row r="666" ht="15.75" customHeight="1">
      <c r="A666" s="23">
        <f>HYPERLINK("https://app.hubspot.com/contacts/8748051/record/0-3/17365984275", 17365984275)</f>
        <v>17365984275</v>
      </c>
      <c r="B666" s="24" t="s">
        <v>2232</v>
      </c>
      <c r="C666" s="24" t="s">
        <v>1228</v>
      </c>
      <c r="D666" s="25">
        <v>6000.0</v>
      </c>
      <c r="E666" s="24" t="s">
        <v>92</v>
      </c>
      <c r="F666" s="24" t="s">
        <v>52</v>
      </c>
      <c r="G666" s="26">
        <v>45327.27601851852</v>
      </c>
      <c r="H666" s="26">
        <v>45377.14040509259</v>
      </c>
      <c r="I666" s="24" t="s">
        <v>40</v>
      </c>
      <c r="J666" s="24" t="s">
        <v>41</v>
      </c>
      <c r="K666" s="24" t="s">
        <v>42</v>
      </c>
      <c r="L666" s="24" t="s">
        <v>43</v>
      </c>
      <c r="M666" s="24" t="s">
        <v>102</v>
      </c>
      <c r="N666" s="24" t="s">
        <v>2233</v>
      </c>
      <c r="O666" s="24"/>
      <c r="P666" s="24"/>
      <c r="Q666" s="24"/>
      <c r="R666" s="23">
        <f>HYPERLINK("https://app.hubspot.com/contacts/8748051/record/0-2/9397911942", 9397911942)</f>
        <v>9397911942</v>
      </c>
      <c r="S666" s="24" t="s">
        <v>2234</v>
      </c>
      <c r="T666" s="28" t="s">
        <v>2235</v>
      </c>
      <c r="U666" s="24">
        <v>3.4564763E7</v>
      </c>
      <c r="V666" s="35">
        <v>45767.0</v>
      </c>
      <c r="W666" s="25">
        <v>6000.0</v>
      </c>
      <c r="X666" s="29">
        <v>678.0</v>
      </c>
      <c r="Y666" s="29">
        <v>139.0</v>
      </c>
      <c r="Z666" s="30"/>
      <c r="AA666" s="31"/>
      <c r="AB666" s="31"/>
      <c r="AC666" s="31"/>
      <c r="AD666" s="31"/>
      <c r="AE666" s="31"/>
      <c r="AF666" s="31"/>
      <c r="AG666" s="27" t="str">
        <f t="shared" si="1"/>
        <v>New Logo</v>
      </c>
      <c r="AH666" s="27" t="str">
        <f t="shared" si="5"/>
        <v>Churn</v>
      </c>
      <c r="AI666" s="27" t="str">
        <f t="shared" si="6"/>
        <v>501-1000</v>
      </c>
      <c r="AJ666" s="27" t="str">
        <f t="shared" si="7"/>
        <v>101-500</v>
      </c>
    </row>
    <row r="667" ht="15.75" customHeight="1">
      <c r="A667" s="23">
        <f>HYPERLINK("https://app.hubspot.com/contacts/8748051/record/0-3/17365980934", 17365980934)</f>
        <v>17365980934</v>
      </c>
      <c r="B667" s="24" t="s">
        <v>2236</v>
      </c>
      <c r="C667" s="24" t="s">
        <v>1009</v>
      </c>
      <c r="D667" s="25">
        <v>18000.0</v>
      </c>
      <c r="E667" s="24" t="s">
        <v>73</v>
      </c>
      <c r="F667" s="24"/>
      <c r="G667" s="26">
        <v>45327.25170138889</v>
      </c>
      <c r="H667" s="26">
        <v>45509.29248842593</v>
      </c>
      <c r="I667" s="24" t="s">
        <v>40</v>
      </c>
      <c r="J667" s="24" t="s">
        <v>53</v>
      </c>
      <c r="K667" s="24" t="s">
        <v>1187</v>
      </c>
      <c r="L667" s="24" t="s">
        <v>560</v>
      </c>
      <c r="M667" s="24" t="s">
        <v>74</v>
      </c>
      <c r="N667" s="27"/>
      <c r="O667" s="27"/>
      <c r="P667" s="24" t="s">
        <v>75</v>
      </c>
      <c r="Q667" s="24"/>
      <c r="R667" s="23">
        <f>HYPERLINK("https://app.hubspot.com/contacts/8748051/record/0-2/14811314448", 14811314448)</f>
        <v>14811314448</v>
      </c>
      <c r="S667" s="24" t="s">
        <v>2237</v>
      </c>
      <c r="T667" s="28" t="s">
        <v>2238</v>
      </c>
      <c r="U667" s="24" t="s">
        <v>47</v>
      </c>
      <c r="V667" s="24"/>
      <c r="W667" s="32"/>
      <c r="X667" s="29">
        <v>273.0</v>
      </c>
      <c r="Y667" s="29">
        <v>43.0</v>
      </c>
      <c r="Z667" s="30"/>
      <c r="AA667" s="31"/>
      <c r="AB667" s="31"/>
      <c r="AC667" s="31"/>
      <c r="AD667" s="31"/>
      <c r="AE667" s="31"/>
      <c r="AF667" s="31"/>
      <c r="AG667" s="27" t="str">
        <f t="shared" si="1"/>
        <v>New Logo</v>
      </c>
      <c r="AH667" s="27" t="str">
        <f t="shared" si="5"/>
        <v>Lead</v>
      </c>
      <c r="AI667" s="27" t="str">
        <f t="shared" si="6"/>
        <v>201-500</v>
      </c>
      <c r="AJ667" s="27" t="str">
        <f t="shared" si="7"/>
        <v>21-50</v>
      </c>
    </row>
    <row r="668" ht="15.75" customHeight="1">
      <c r="A668" s="23">
        <f>HYPERLINK("https://app.hubspot.com/contacts/8748051/record/0-3/17365963443", 17365963443)</f>
        <v>17365963443</v>
      </c>
      <c r="B668" s="24" t="s">
        <v>2239</v>
      </c>
      <c r="C668" s="24" t="s">
        <v>1009</v>
      </c>
      <c r="D668" s="25">
        <v>100000.0</v>
      </c>
      <c r="E668" s="24" t="s">
        <v>73</v>
      </c>
      <c r="F668" s="24"/>
      <c r="G668" s="26">
        <v>45327.25017361111</v>
      </c>
      <c r="H668" s="26">
        <v>45509.29077546296</v>
      </c>
      <c r="I668" s="24" t="s">
        <v>40</v>
      </c>
      <c r="J668" s="24" t="s">
        <v>53</v>
      </c>
      <c r="K668" s="24" t="s">
        <v>60</v>
      </c>
      <c r="L668" s="24" t="s">
        <v>178</v>
      </c>
      <c r="M668" s="24" t="s">
        <v>74</v>
      </c>
      <c r="N668" s="27"/>
      <c r="O668" s="27"/>
      <c r="P668" s="24" t="s">
        <v>122</v>
      </c>
      <c r="Q668" s="24"/>
      <c r="R668" s="23">
        <f>HYPERLINK("https://app.hubspot.com/contacts/8748051/record/0-2/8879983211", 8879983211)</f>
        <v>8879983211</v>
      </c>
      <c r="S668" s="24" t="s">
        <v>1970</v>
      </c>
      <c r="T668" s="28" t="s">
        <v>1971</v>
      </c>
      <c r="U668" s="24" t="s">
        <v>47</v>
      </c>
      <c r="V668" s="24"/>
      <c r="W668" s="32"/>
      <c r="X668" s="29">
        <v>1504.0</v>
      </c>
      <c r="Y668" s="29">
        <v>431.0</v>
      </c>
      <c r="Z668" s="30" t="s">
        <v>125</v>
      </c>
      <c r="AA668" s="31"/>
      <c r="AB668" s="31"/>
      <c r="AC668" s="31"/>
      <c r="AD668" s="31"/>
      <c r="AE668" s="31"/>
      <c r="AF668" s="31"/>
      <c r="AG668" s="27" t="str">
        <f t="shared" si="1"/>
        <v>New Logo</v>
      </c>
      <c r="AH668" s="27" t="str">
        <f t="shared" si="5"/>
        <v>Lead</v>
      </c>
      <c r="AI668" s="27" t="str">
        <f t="shared" si="6"/>
        <v>1001-5000</v>
      </c>
      <c r="AJ668" s="27" t="str">
        <f t="shared" si="7"/>
        <v>101-500</v>
      </c>
    </row>
    <row r="669" ht="15.75" customHeight="1">
      <c r="A669" s="23">
        <f>HYPERLINK("https://app.hubspot.com/contacts/8748051/record/0-3/17365963063", 17365963063)</f>
        <v>17365963063</v>
      </c>
      <c r="B669" s="24" t="s">
        <v>2240</v>
      </c>
      <c r="C669" s="24" t="s">
        <v>1009</v>
      </c>
      <c r="D669" s="25">
        <v>6500.0</v>
      </c>
      <c r="E669" s="24" t="s">
        <v>73</v>
      </c>
      <c r="F669" s="24"/>
      <c r="G669" s="26">
        <v>45327.24725694444</v>
      </c>
      <c r="H669" s="26">
        <v>45412.2884375</v>
      </c>
      <c r="I669" s="24" t="s">
        <v>40</v>
      </c>
      <c r="J669" s="24" t="s">
        <v>41</v>
      </c>
      <c r="K669" s="24" t="s">
        <v>1187</v>
      </c>
      <c r="L669" s="24" t="s">
        <v>560</v>
      </c>
      <c r="M669" s="24" t="s">
        <v>74</v>
      </c>
      <c r="N669" s="24"/>
      <c r="O669" s="27"/>
      <c r="P669" s="24" t="s">
        <v>75</v>
      </c>
      <c r="Q669" s="24"/>
      <c r="R669" s="23">
        <f>HYPERLINK("https://app.hubspot.com/contacts/8748051/record/0-2/8933543510", 8933543510)</f>
        <v>8933543510</v>
      </c>
      <c r="S669" s="24" t="s">
        <v>2241</v>
      </c>
      <c r="T669" s="28" t="s">
        <v>2242</v>
      </c>
      <c r="U669" s="24" t="s">
        <v>47</v>
      </c>
      <c r="V669" s="24"/>
      <c r="W669" s="25"/>
      <c r="X669" s="29">
        <v>95.0</v>
      </c>
      <c r="Y669" s="29">
        <v>17.0</v>
      </c>
      <c r="Z669" s="30"/>
      <c r="AA669" s="30"/>
      <c r="AB669" s="31"/>
      <c r="AC669" s="31"/>
      <c r="AD669" s="30"/>
      <c r="AE669" s="30"/>
      <c r="AF669" s="30"/>
      <c r="AG669" s="27" t="str">
        <f t="shared" si="1"/>
        <v>New Logo</v>
      </c>
      <c r="AH669" s="27" t="str">
        <f t="shared" si="5"/>
        <v>Lead</v>
      </c>
      <c r="AI669" s="27" t="str">
        <f t="shared" si="6"/>
        <v>0-200</v>
      </c>
      <c r="AJ669" s="27" t="str">
        <f t="shared" si="7"/>
        <v>0-20</v>
      </c>
    </row>
    <row r="670" ht="15.75" customHeight="1">
      <c r="A670" s="23">
        <f>HYPERLINK("https://app.hubspot.com/contacts/8748051/record/0-3/17365830041", 17365830041)</f>
        <v>17365830041</v>
      </c>
      <c r="B670" s="24" t="s">
        <v>2243</v>
      </c>
      <c r="C670" s="24" t="s">
        <v>38</v>
      </c>
      <c r="D670" s="25">
        <v>22500.0</v>
      </c>
      <c r="E670" s="24" t="s">
        <v>73</v>
      </c>
      <c r="F670" s="24"/>
      <c r="G670" s="26">
        <v>45327.24484953703</v>
      </c>
      <c r="H670" s="26">
        <v>45443.28668981481</v>
      </c>
      <c r="I670" s="24" t="s">
        <v>40</v>
      </c>
      <c r="J670" s="24" t="s">
        <v>53</v>
      </c>
      <c r="K670" s="24" t="s">
        <v>1187</v>
      </c>
      <c r="L670" s="24" t="s">
        <v>560</v>
      </c>
      <c r="M670" s="24" t="s">
        <v>102</v>
      </c>
      <c r="N670" s="24"/>
      <c r="O670" s="24"/>
      <c r="P670" s="24" t="s">
        <v>213</v>
      </c>
      <c r="Q670" s="24"/>
      <c r="R670" s="23">
        <f>HYPERLINK("https://app.hubspot.com/contacts/8748051/record/0-2/9177958280", 9177958280)</f>
        <v>9177958280</v>
      </c>
      <c r="S670" s="24" t="s">
        <v>2244</v>
      </c>
      <c r="T670" s="28" t="s">
        <v>2245</v>
      </c>
      <c r="U670" s="24" t="s">
        <v>47</v>
      </c>
      <c r="V670" s="24"/>
      <c r="W670" s="25"/>
      <c r="X670" s="29">
        <v>1056.0</v>
      </c>
      <c r="Y670" s="29">
        <v>62.0</v>
      </c>
      <c r="Z670" s="30" t="s">
        <v>71</v>
      </c>
      <c r="AA670" s="30"/>
      <c r="AB670" s="30"/>
      <c r="AC670" s="31"/>
      <c r="AD670" s="30"/>
      <c r="AE670" s="30"/>
      <c r="AF670" s="30"/>
      <c r="AG670" s="27" t="str">
        <f t="shared" si="1"/>
        <v>New Logo</v>
      </c>
      <c r="AH670" s="27" t="str">
        <f t="shared" si="5"/>
        <v>Lead</v>
      </c>
      <c r="AI670" s="27" t="str">
        <f t="shared" si="6"/>
        <v>1001-5000</v>
      </c>
      <c r="AJ670" s="27" t="str">
        <f t="shared" si="7"/>
        <v>51-100</v>
      </c>
    </row>
    <row r="671" ht="15.75" customHeight="1">
      <c r="A671" s="23">
        <f>HYPERLINK("https://app.hubspot.com/contacts/8748051/record/0-3/17364383095", 17364383095)</f>
        <v>17364383095</v>
      </c>
      <c r="B671" s="24" t="s">
        <v>2246</v>
      </c>
      <c r="C671" s="24" t="s">
        <v>50</v>
      </c>
      <c r="D671" s="25">
        <v>202320.0</v>
      </c>
      <c r="E671" s="24" t="s">
        <v>73</v>
      </c>
      <c r="F671" s="24"/>
      <c r="G671" s="26">
        <v>45327.04900462963</v>
      </c>
      <c r="H671" s="26">
        <v>45509.09030092593</v>
      </c>
      <c r="I671" s="24" t="s">
        <v>40</v>
      </c>
      <c r="J671" s="24" t="s">
        <v>41</v>
      </c>
      <c r="K671" s="24" t="s">
        <v>1187</v>
      </c>
      <c r="L671" s="24" t="s">
        <v>560</v>
      </c>
      <c r="M671" s="24" t="s">
        <v>44</v>
      </c>
      <c r="N671" s="24"/>
      <c r="O671" s="24"/>
      <c r="P671" s="24" t="s">
        <v>122</v>
      </c>
      <c r="Q671" s="27"/>
      <c r="R671" s="23">
        <f>HYPERLINK("https://app.hubspot.com/contacts/8748051/record/0-2/9091290424", 9091290424)</f>
        <v>9091290424</v>
      </c>
      <c r="S671" s="24" t="s">
        <v>2247</v>
      </c>
      <c r="T671" s="28" t="s">
        <v>2248</v>
      </c>
      <c r="U671" s="24" t="s">
        <v>47</v>
      </c>
      <c r="V671" s="24"/>
      <c r="W671" s="25"/>
      <c r="X671" s="29">
        <v>16794.0</v>
      </c>
      <c r="Y671" s="29">
        <v>1317.0</v>
      </c>
      <c r="Z671" s="30"/>
      <c r="AA671" s="30"/>
      <c r="AB671" s="31"/>
      <c r="AC671" s="31"/>
      <c r="AD671" s="30"/>
      <c r="AE671" s="31"/>
      <c r="AF671" s="30"/>
      <c r="AG671" s="27" t="str">
        <f t="shared" si="1"/>
        <v>New Logo</v>
      </c>
      <c r="AH671" s="27" t="str">
        <f t="shared" si="5"/>
        <v>Lead</v>
      </c>
      <c r="AI671" s="27" t="str">
        <f t="shared" si="6"/>
        <v>10000+</v>
      </c>
      <c r="AJ671" s="27" t="str">
        <f t="shared" si="7"/>
        <v>500+</v>
      </c>
    </row>
    <row r="672" ht="15.75" customHeight="1">
      <c r="A672" s="23">
        <f>HYPERLINK("https://app.hubspot.com/contacts/8748051/record/0-3/17364383056", 17364383056)</f>
        <v>17364383056</v>
      </c>
      <c r="B672" s="24" t="s">
        <v>2249</v>
      </c>
      <c r="C672" s="24" t="s">
        <v>50</v>
      </c>
      <c r="D672" s="25">
        <v>11040.0</v>
      </c>
      <c r="E672" s="24" t="s">
        <v>73</v>
      </c>
      <c r="F672" s="24"/>
      <c r="G672" s="26">
        <v>45327.04837962963</v>
      </c>
      <c r="H672" s="26">
        <v>45509.08939814815</v>
      </c>
      <c r="I672" s="24" t="s">
        <v>40</v>
      </c>
      <c r="J672" s="24" t="s">
        <v>41</v>
      </c>
      <c r="K672" s="24" t="s">
        <v>1187</v>
      </c>
      <c r="L672" s="24" t="s">
        <v>560</v>
      </c>
      <c r="M672" s="24" t="s">
        <v>44</v>
      </c>
      <c r="N672" s="24"/>
      <c r="O672" s="27"/>
      <c r="P672" s="24" t="s">
        <v>122</v>
      </c>
      <c r="Q672" s="27"/>
      <c r="R672" s="23">
        <f>HYPERLINK("https://app.hubspot.com/contacts/8748051/record/0-2/9238240308", 9238240308)</f>
        <v>9238240308</v>
      </c>
      <c r="S672" s="24" t="s">
        <v>1496</v>
      </c>
      <c r="T672" s="28" t="s">
        <v>1497</v>
      </c>
      <c r="U672" s="24" t="s">
        <v>47</v>
      </c>
      <c r="V672" s="24"/>
      <c r="W672" s="25"/>
      <c r="X672" s="29">
        <v>259.0</v>
      </c>
      <c r="Y672" s="29">
        <v>65.0</v>
      </c>
      <c r="Z672" s="30" t="s">
        <v>108</v>
      </c>
      <c r="AA672" s="30"/>
      <c r="AB672" s="30"/>
      <c r="AC672" s="31"/>
      <c r="AD672" s="30"/>
      <c r="AE672" s="30"/>
      <c r="AF672" s="30"/>
      <c r="AG672" s="27" t="str">
        <f t="shared" si="1"/>
        <v>New Logo</v>
      </c>
      <c r="AH672" s="27" t="str">
        <f t="shared" si="5"/>
        <v>Lead</v>
      </c>
      <c r="AI672" s="27" t="str">
        <f t="shared" si="6"/>
        <v>201-500</v>
      </c>
      <c r="AJ672" s="27" t="str">
        <f t="shared" si="7"/>
        <v>51-100</v>
      </c>
    </row>
    <row r="673" ht="15.75" customHeight="1">
      <c r="A673" s="23">
        <f>HYPERLINK("https://app.hubspot.com/contacts/8748051/record/0-3/17364382845", 17364382845)</f>
        <v>17364382845</v>
      </c>
      <c r="B673" s="24" t="s">
        <v>2250</v>
      </c>
      <c r="C673" s="24" t="s">
        <v>50</v>
      </c>
      <c r="D673" s="25">
        <v>5040.0</v>
      </c>
      <c r="E673" s="24" t="s">
        <v>127</v>
      </c>
      <c r="F673" s="24" t="s">
        <v>52</v>
      </c>
      <c r="G673" s="26">
        <v>45327.04597222222</v>
      </c>
      <c r="H673" s="26">
        <v>45625.478055555555</v>
      </c>
      <c r="I673" s="24" t="s">
        <v>40</v>
      </c>
      <c r="J673" s="24" t="s">
        <v>41</v>
      </c>
      <c r="K673" s="24" t="s">
        <v>1187</v>
      </c>
      <c r="L673" s="24" t="s">
        <v>560</v>
      </c>
      <c r="M673" s="24" t="s">
        <v>44</v>
      </c>
      <c r="N673" s="24"/>
      <c r="O673" s="27"/>
      <c r="P673" s="24"/>
      <c r="Q673" s="24"/>
      <c r="R673" s="23">
        <f>HYPERLINK("https://app.hubspot.com/contacts/8748051/record/0-2/7503655293", 7503655293)</f>
        <v>7503655293</v>
      </c>
      <c r="S673" s="24" t="s">
        <v>2251</v>
      </c>
      <c r="T673" s="28" t="s">
        <v>2252</v>
      </c>
      <c r="U673" s="24" t="s">
        <v>47</v>
      </c>
      <c r="V673" s="24"/>
      <c r="W673" s="25"/>
      <c r="X673" s="29">
        <v>144.0</v>
      </c>
      <c r="Y673" s="29">
        <v>25.0</v>
      </c>
      <c r="Z673" s="30"/>
      <c r="AA673" s="30"/>
      <c r="AB673" s="31"/>
      <c r="AC673" s="31"/>
      <c r="AD673" s="30"/>
      <c r="AE673" s="30"/>
      <c r="AF673" s="30"/>
      <c r="AG673" s="27" t="str">
        <f t="shared" si="1"/>
        <v>New Logo</v>
      </c>
      <c r="AH673" s="27" t="str">
        <f t="shared" si="5"/>
        <v>Lead</v>
      </c>
      <c r="AI673" s="27" t="str">
        <f t="shared" si="6"/>
        <v>0-200</v>
      </c>
      <c r="AJ673" s="27" t="str">
        <f t="shared" si="7"/>
        <v>21-50</v>
      </c>
    </row>
    <row r="674" ht="15.75" customHeight="1">
      <c r="A674" s="23">
        <f>HYPERLINK("https://app.hubspot.com/contacts/8748051/record/0-3/17362837325", 17362837325)</f>
        <v>17362837325</v>
      </c>
      <c r="B674" s="24" t="s">
        <v>2253</v>
      </c>
      <c r="C674" s="24" t="s">
        <v>148</v>
      </c>
      <c r="D674" s="25">
        <v>12240.0</v>
      </c>
      <c r="E674" s="24" t="s">
        <v>73</v>
      </c>
      <c r="F674" s="24"/>
      <c r="G674" s="26">
        <v>45327.044537037036</v>
      </c>
      <c r="H674" s="26">
        <v>45509.085393518515</v>
      </c>
      <c r="I674" s="24" t="s">
        <v>40</v>
      </c>
      <c r="J674" s="24" t="s">
        <v>41</v>
      </c>
      <c r="K674" s="24" t="s">
        <v>1187</v>
      </c>
      <c r="L674" s="24" t="s">
        <v>560</v>
      </c>
      <c r="M674" s="24" t="s">
        <v>44</v>
      </c>
      <c r="N674" s="24"/>
      <c r="O674" s="27"/>
      <c r="P674" s="24" t="s">
        <v>122</v>
      </c>
      <c r="Q674" s="24"/>
      <c r="R674" s="23">
        <f>HYPERLINK("https://app.hubspot.com/contacts/8748051/record/0-2/8601297796", 8601297796)</f>
        <v>8601297796</v>
      </c>
      <c r="S674" s="24" t="s">
        <v>2254</v>
      </c>
      <c r="T674" s="28" t="s">
        <v>2255</v>
      </c>
      <c r="U674" s="24" t="s">
        <v>47</v>
      </c>
      <c r="V674" s="24"/>
      <c r="W674" s="25"/>
      <c r="X674" s="29">
        <v>301.0</v>
      </c>
      <c r="Y674" s="29">
        <v>56.0</v>
      </c>
      <c r="Z674" s="30" t="s">
        <v>108</v>
      </c>
      <c r="AA674" s="30"/>
      <c r="AB674" s="31"/>
      <c r="AC674" s="30"/>
      <c r="AD674" s="30"/>
      <c r="AE674" s="30"/>
      <c r="AF674" s="30"/>
      <c r="AG674" s="27" t="str">
        <f t="shared" si="1"/>
        <v>New Logo</v>
      </c>
      <c r="AH674" s="27" t="str">
        <f t="shared" si="5"/>
        <v>Lead</v>
      </c>
      <c r="AI674" s="27" t="str">
        <f t="shared" si="6"/>
        <v>201-500</v>
      </c>
      <c r="AJ674" s="27" t="str">
        <f t="shared" si="7"/>
        <v>51-100</v>
      </c>
    </row>
    <row r="675" ht="15.75" customHeight="1">
      <c r="A675" s="23">
        <f>HYPERLINK("https://app.hubspot.com/contacts/8748051/record/0-3/17362837135", 17362837135)</f>
        <v>17362837135</v>
      </c>
      <c r="B675" s="24" t="s">
        <v>2256</v>
      </c>
      <c r="C675" s="24" t="s">
        <v>148</v>
      </c>
      <c r="D675" s="25">
        <v>10800.0</v>
      </c>
      <c r="E675" s="24" t="s">
        <v>73</v>
      </c>
      <c r="F675" s="24"/>
      <c r="G675" s="26">
        <v>45327.04226851852</v>
      </c>
      <c r="H675" s="26">
        <v>45509.08304398148</v>
      </c>
      <c r="I675" s="24" t="s">
        <v>40</v>
      </c>
      <c r="J675" s="24" t="s">
        <v>41</v>
      </c>
      <c r="K675" s="24" t="s">
        <v>1187</v>
      </c>
      <c r="L675" s="24" t="s">
        <v>560</v>
      </c>
      <c r="M675" s="24"/>
      <c r="N675" s="24"/>
      <c r="O675" s="27"/>
      <c r="P675" s="24" t="s">
        <v>122</v>
      </c>
      <c r="Q675" s="24"/>
      <c r="R675" s="23">
        <f>HYPERLINK("https://app.hubspot.com/contacts/8748051/record/0-2/8125402385", 8125402385)</f>
        <v>8125402385</v>
      </c>
      <c r="S675" s="24" t="s">
        <v>2257</v>
      </c>
      <c r="T675" s="28" t="s">
        <v>2258</v>
      </c>
      <c r="U675" s="24" t="s">
        <v>47</v>
      </c>
      <c r="V675" s="24"/>
      <c r="W675" s="25"/>
      <c r="X675" s="29">
        <v>727.0</v>
      </c>
      <c r="Y675" s="29">
        <v>63.0</v>
      </c>
      <c r="Z675" s="30" t="s">
        <v>71</v>
      </c>
      <c r="AA675" s="30"/>
      <c r="AB675" s="31"/>
      <c r="AC675" s="31"/>
      <c r="AD675" s="30"/>
      <c r="AE675" s="31"/>
      <c r="AF675" s="30"/>
      <c r="AG675" s="27" t="str">
        <f t="shared" si="1"/>
        <v>New Logo</v>
      </c>
      <c r="AH675" s="27" t="str">
        <f t="shared" si="5"/>
        <v>Lead</v>
      </c>
      <c r="AI675" s="27" t="str">
        <f t="shared" si="6"/>
        <v>501-1000</v>
      </c>
      <c r="AJ675" s="27" t="str">
        <f t="shared" si="7"/>
        <v>51-100</v>
      </c>
    </row>
    <row r="676" ht="15.75" customHeight="1">
      <c r="A676" s="23">
        <f>HYPERLINK("https://app.hubspot.com/contacts/8748051/record/0-3/17290231458", 17290231458)</f>
        <v>17290231458</v>
      </c>
      <c r="B676" s="24" t="s">
        <v>2259</v>
      </c>
      <c r="C676" s="24" t="s">
        <v>38</v>
      </c>
      <c r="D676" s="25">
        <v>100000.0</v>
      </c>
      <c r="E676" s="24" t="s">
        <v>73</v>
      </c>
      <c r="F676" s="24"/>
      <c r="G676" s="26">
        <v>45323.151284722226</v>
      </c>
      <c r="H676" s="26">
        <v>45657.156319444446</v>
      </c>
      <c r="I676" s="24" t="s">
        <v>40</v>
      </c>
      <c r="J676" s="24" t="s">
        <v>53</v>
      </c>
      <c r="K676" s="24" t="s">
        <v>1187</v>
      </c>
      <c r="L676" s="24" t="s">
        <v>560</v>
      </c>
      <c r="M676" s="24" t="s">
        <v>74</v>
      </c>
      <c r="N676" s="27"/>
      <c r="O676" s="24"/>
      <c r="P676" s="24" t="s">
        <v>122</v>
      </c>
      <c r="Q676" s="27"/>
      <c r="R676" s="23">
        <f>HYPERLINK("https://app.hubspot.com/contacts/8748051/record/0-2/9051006220", 9051006220)</f>
        <v>9051006220</v>
      </c>
      <c r="S676" s="24" t="s">
        <v>2260</v>
      </c>
      <c r="T676" s="28" t="s">
        <v>2261</v>
      </c>
      <c r="U676" s="24" t="s">
        <v>47</v>
      </c>
      <c r="V676" s="24"/>
      <c r="W676" s="32"/>
      <c r="X676" s="29">
        <v>1284.0</v>
      </c>
      <c r="Y676" s="29">
        <v>261.0</v>
      </c>
      <c r="Z676" s="30" t="s">
        <v>71</v>
      </c>
      <c r="AA676" s="31"/>
      <c r="AB676" s="31"/>
      <c r="AC676" s="31"/>
      <c r="AD676" s="31"/>
      <c r="AE676" s="31"/>
      <c r="AF676" s="31"/>
      <c r="AG676" s="27" t="str">
        <f t="shared" si="1"/>
        <v>New Logo</v>
      </c>
      <c r="AH676" s="27" t="str">
        <f t="shared" si="5"/>
        <v>Lead</v>
      </c>
      <c r="AI676" s="27" t="str">
        <f t="shared" si="6"/>
        <v>1001-5000</v>
      </c>
      <c r="AJ676" s="27" t="str">
        <f t="shared" si="7"/>
        <v>101-500</v>
      </c>
    </row>
    <row r="677" ht="15.75" customHeight="1">
      <c r="A677" s="23">
        <f>HYPERLINK("https://app.hubspot.com/contacts/8748051/record/0-3/17272675843", 17272675843)</f>
        <v>17272675843</v>
      </c>
      <c r="B677" s="24" t="s">
        <v>2262</v>
      </c>
      <c r="C677" s="24" t="s">
        <v>38</v>
      </c>
      <c r="D677" s="25">
        <v>59000.0</v>
      </c>
      <c r="E677" s="24" t="s">
        <v>73</v>
      </c>
      <c r="F677" s="24"/>
      <c r="G677" s="26">
        <v>45322.54467592593</v>
      </c>
      <c r="H677" s="26">
        <v>45504.586018518516</v>
      </c>
      <c r="I677" s="24" t="s">
        <v>40</v>
      </c>
      <c r="J677" s="24" t="s">
        <v>41</v>
      </c>
      <c r="K677" s="24" t="s">
        <v>1187</v>
      </c>
      <c r="L677" s="24" t="s">
        <v>560</v>
      </c>
      <c r="M677" s="24" t="s">
        <v>44</v>
      </c>
      <c r="N677" s="24"/>
      <c r="O677" s="27"/>
      <c r="P677" s="24" t="s">
        <v>75</v>
      </c>
      <c r="Q677" s="24"/>
      <c r="R677" s="23">
        <f>HYPERLINK("https://app.hubspot.com/contacts/8748051/record/0-2/9092137602", 9092137602)</f>
        <v>9092137602</v>
      </c>
      <c r="S677" s="24" t="s">
        <v>2263</v>
      </c>
      <c r="T677" s="28" t="s">
        <v>2264</v>
      </c>
      <c r="U677" s="24" t="s">
        <v>47</v>
      </c>
      <c r="V677" s="24"/>
      <c r="W677" s="25"/>
      <c r="X677" s="29">
        <v>1222.0</v>
      </c>
      <c r="Y677" s="29">
        <v>105.0</v>
      </c>
      <c r="Z677" s="30" t="s">
        <v>71</v>
      </c>
      <c r="AA677" s="30"/>
      <c r="AB677" s="30"/>
      <c r="AC677" s="31"/>
      <c r="AD677" s="30"/>
      <c r="AE677" s="30"/>
      <c r="AF677" s="30"/>
      <c r="AG677" s="27" t="str">
        <f t="shared" si="1"/>
        <v>New Logo</v>
      </c>
      <c r="AH677" s="27" t="str">
        <f t="shared" si="5"/>
        <v>Lead</v>
      </c>
      <c r="AI677" s="27" t="str">
        <f t="shared" si="6"/>
        <v>1001-5000</v>
      </c>
      <c r="AJ677" s="27" t="str">
        <f t="shared" si="7"/>
        <v>101-500</v>
      </c>
    </row>
    <row r="678" ht="15.75" customHeight="1">
      <c r="A678" s="23">
        <f>HYPERLINK("https://app.hubspot.com/contacts/8748051/record/0-3/17272675512", 17272675512)</f>
        <v>17272675512</v>
      </c>
      <c r="B678" s="24" t="s">
        <v>2265</v>
      </c>
      <c r="C678" s="24" t="s">
        <v>38</v>
      </c>
      <c r="D678" s="25">
        <v>3500.0</v>
      </c>
      <c r="E678" s="24" t="s">
        <v>73</v>
      </c>
      <c r="F678" s="24"/>
      <c r="G678" s="26">
        <v>45322.54349537037</v>
      </c>
      <c r="H678" s="26">
        <v>45504.58483796296</v>
      </c>
      <c r="I678" s="24" t="s">
        <v>40</v>
      </c>
      <c r="J678" s="24" t="s">
        <v>41</v>
      </c>
      <c r="K678" s="24" t="s">
        <v>1187</v>
      </c>
      <c r="L678" s="24" t="s">
        <v>560</v>
      </c>
      <c r="M678" s="24" t="s">
        <v>44</v>
      </c>
      <c r="N678" s="24"/>
      <c r="O678" s="27"/>
      <c r="P678" s="24" t="s">
        <v>75</v>
      </c>
      <c r="Q678" s="24"/>
      <c r="R678" s="23">
        <f>HYPERLINK("https://app.hubspot.com/contacts/8748051/record/0-2/18832405921", 18832405921)</f>
        <v>18832405921</v>
      </c>
      <c r="S678" s="24" t="s">
        <v>2266</v>
      </c>
      <c r="T678" s="28" t="s">
        <v>2267</v>
      </c>
      <c r="U678" s="24" t="s">
        <v>47</v>
      </c>
      <c r="V678" s="24"/>
      <c r="W678" s="25"/>
      <c r="X678" s="29">
        <v>257.0</v>
      </c>
      <c r="Y678" s="29">
        <v>12.0</v>
      </c>
      <c r="Z678" s="30"/>
      <c r="AA678" s="30"/>
      <c r="AB678" s="30"/>
      <c r="AC678" s="31"/>
      <c r="AD678" s="30"/>
      <c r="AE678" s="30"/>
      <c r="AF678" s="30"/>
      <c r="AG678" s="27" t="str">
        <f t="shared" si="1"/>
        <v>New Logo</v>
      </c>
      <c r="AH678" s="27" t="str">
        <f t="shared" si="5"/>
        <v>Lead</v>
      </c>
      <c r="AI678" s="27" t="str">
        <f t="shared" si="6"/>
        <v>201-500</v>
      </c>
      <c r="AJ678" s="27" t="str">
        <f t="shared" si="7"/>
        <v>0-20</v>
      </c>
    </row>
    <row r="679" ht="15.75" customHeight="1">
      <c r="A679" s="23">
        <f>HYPERLINK("https://app.hubspot.com/contacts/8748051/record/0-3/17273008313", 17273008313)</f>
        <v>17273008313</v>
      </c>
      <c r="B679" s="24" t="s">
        <v>2268</v>
      </c>
      <c r="C679" s="24" t="s">
        <v>148</v>
      </c>
      <c r="D679" s="25">
        <v>72520.0</v>
      </c>
      <c r="E679" s="24" t="s">
        <v>92</v>
      </c>
      <c r="F679" s="24" t="s">
        <v>52</v>
      </c>
      <c r="G679" s="26">
        <v>45322.54252314815</v>
      </c>
      <c r="H679" s="26">
        <v>45607.917280092595</v>
      </c>
      <c r="I679" s="24" t="s">
        <v>40</v>
      </c>
      <c r="J679" s="24" t="s">
        <v>41</v>
      </c>
      <c r="K679" s="24" t="s">
        <v>1187</v>
      </c>
      <c r="L679" s="24" t="s">
        <v>560</v>
      </c>
      <c r="M679" s="24" t="s">
        <v>44</v>
      </c>
      <c r="N679" s="24" t="s">
        <v>2269</v>
      </c>
      <c r="O679" s="27"/>
      <c r="P679" s="24"/>
      <c r="Q679" s="24"/>
      <c r="R679" s="23">
        <f>HYPERLINK("https://app.hubspot.com/contacts/8748051/record/0-2/7716034905", 7716034905)</f>
        <v>7716034905</v>
      </c>
      <c r="S679" s="24" t="s">
        <v>1328</v>
      </c>
      <c r="T679" s="28" t="s">
        <v>1329</v>
      </c>
      <c r="U679" s="24" t="s">
        <v>96</v>
      </c>
      <c r="V679" s="24"/>
      <c r="W679" s="25">
        <v>72520.0</v>
      </c>
      <c r="X679" s="29">
        <v>1525.0</v>
      </c>
      <c r="Y679" s="29">
        <v>150.0</v>
      </c>
      <c r="Z679" s="30"/>
      <c r="AA679" s="30" t="s">
        <v>207</v>
      </c>
      <c r="AB679" s="30" t="s">
        <v>97</v>
      </c>
      <c r="AC679" s="31"/>
      <c r="AD679" s="30" t="s">
        <v>1330</v>
      </c>
      <c r="AE679" s="30" t="s">
        <v>1331</v>
      </c>
      <c r="AF679" s="30" t="s">
        <v>396</v>
      </c>
      <c r="AG679" s="27" t="str">
        <f t="shared" si="1"/>
        <v>New Logo</v>
      </c>
      <c r="AH679" s="27" t="str">
        <f t="shared" si="5"/>
        <v>Customer</v>
      </c>
      <c r="AI679" s="27" t="str">
        <f t="shared" si="6"/>
        <v>1001-5000</v>
      </c>
      <c r="AJ679" s="27" t="str">
        <f t="shared" si="7"/>
        <v>101-500</v>
      </c>
    </row>
    <row r="680" ht="15.75" customHeight="1">
      <c r="A680" s="23">
        <f>HYPERLINK("https://app.hubspot.com/contacts/8748051/record/0-3/17273008143", 17273008143)</f>
        <v>17273008143</v>
      </c>
      <c r="B680" s="24" t="s">
        <v>2270</v>
      </c>
      <c r="C680" s="24" t="s">
        <v>50</v>
      </c>
      <c r="D680" s="25">
        <v>100000.0</v>
      </c>
      <c r="E680" s="24" t="s">
        <v>73</v>
      </c>
      <c r="F680" s="24"/>
      <c r="G680" s="26">
        <v>45322.54148148148</v>
      </c>
      <c r="H680" s="26">
        <v>45504.582453703704</v>
      </c>
      <c r="I680" s="24" t="s">
        <v>40</v>
      </c>
      <c r="J680" s="24" t="s">
        <v>41</v>
      </c>
      <c r="K680" s="24" t="s">
        <v>1187</v>
      </c>
      <c r="L680" s="24" t="s">
        <v>560</v>
      </c>
      <c r="M680" s="24" t="s">
        <v>44</v>
      </c>
      <c r="N680" s="27"/>
      <c r="O680" s="27"/>
      <c r="P680" s="24" t="s">
        <v>122</v>
      </c>
      <c r="Q680" s="24"/>
      <c r="R680" s="23">
        <f>HYPERLINK("https://app.hubspot.com/contacts/8748051/record/0-2/9137262742", 9137262742)</f>
        <v>9137262742</v>
      </c>
      <c r="S680" s="24" t="s">
        <v>2270</v>
      </c>
      <c r="T680" s="28" t="s">
        <v>2271</v>
      </c>
      <c r="U680" s="24" t="s">
        <v>47</v>
      </c>
      <c r="V680" s="24"/>
      <c r="W680" s="32"/>
      <c r="X680" s="29">
        <v>3042.0</v>
      </c>
      <c r="Y680" s="29">
        <v>413.0</v>
      </c>
      <c r="Z680" s="30" t="s">
        <v>125</v>
      </c>
      <c r="AA680" s="31"/>
      <c r="AB680" s="31"/>
      <c r="AC680" s="31"/>
      <c r="AD680" s="31"/>
      <c r="AE680" s="31"/>
      <c r="AF680" s="31"/>
      <c r="AG680" s="27" t="str">
        <f t="shared" si="1"/>
        <v>New Logo</v>
      </c>
      <c r="AH680" s="27" t="str">
        <f t="shared" si="5"/>
        <v>Lead</v>
      </c>
      <c r="AI680" s="27" t="str">
        <f t="shared" si="6"/>
        <v>1001-5000</v>
      </c>
      <c r="AJ680" s="27" t="str">
        <f t="shared" si="7"/>
        <v>101-500</v>
      </c>
    </row>
    <row r="681" ht="15.75" customHeight="1">
      <c r="A681" s="23">
        <f>HYPERLINK("https://app.hubspot.com/contacts/8748051/record/0-3/17272674726", 17272674726)</f>
        <v>17272674726</v>
      </c>
      <c r="B681" s="24" t="s">
        <v>2272</v>
      </c>
      <c r="C681" s="24" t="s">
        <v>1009</v>
      </c>
      <c r="D681" s="25">
        <v>20500.0</v>
      </c>
      <c r="E681" s="24" t="s">
        <v>73</v>
      </c>
      <c r="F681" s="24"/>
      <c r="G681" s="26">
        <v>45322.540127314816</v>
      </c>
      <c r="H681" s="26">
        <v>45504.58130787037</v>
      </c>
      <c r="I681" s="24" t="s">
        <v>40</v>
      </c>
      <c r="J681" s="24" t="s">
        <v>41</v>
      </c>
      <c r="K681" s="24" t="s">
        <v>1187</v>
      </c>
      <c r="L681" s="24" t="s">
        <v>560</v>
      </c>
      <c r="M681" s="24" t="s">
        <v>44</v>
      </c>
      <c r="N681" s="27"/>
      <c r="O681" s="27"/>
      <c r="P681" s="24" t="s">
        <v>122</v>
      </c>
      <c r="Q681" s="24"/>
      <c r="R681" s="23">
        <f>HYPERLINK("https://app.hubspot.com/contacts/8748051/record/0-2/7721411430", 7721411430)</f>
        <v>7721411430</v>
      </c>
      <c r="S681" s="24" t="s">
        <v>2273</v>
      </c>
      <c r="T681" s="28" t="s">
        <v>2274</v>
      </c>
      <c r="U681" s="24" t="s">
        <v>47</v>
      </c>
      <c r="V681" s="24"/>
      <c r="W681" s="32"/>
      <c r="X681" s="29">
        <v>451.0</v>
      </c>
      <c r="Y681" s="29">
        <v>39.0</v>
      </c>
      <c r="Z681" s="30"/>
      <c r="AA681" s="31"/>
      <c r="AB681" s="31"/>
      <c r="AC681" s="31"/>
      <c r="AD681" s="31"/>
      <c r="AE681" s="31"/>
      <c r="AF681" s="31"/>
      <c r="AG681" s="27" t="str">
        <f t="shared" si="1"/>
        <v>New Logo</v>
      </c>
      <c r="AH681" s="27" t="str">
        <f t="shared" si="5"/>
        <v>Lead</v>
      </c>
      <c r="AI681" s="27" t="str">
        <f t="shared" si="6"/>
        <v>201-500</v>
      </c>
      <c r="AJ681" s="27" t="str">
        <f t="shared" si="7"/>
        <v>21-50</v>
      </c>
    </row>
    <row r="682" ht="15.75" customHeight="1">
      <c r="A682" s="23">
        <f>HYPERLINK("https://app.hubspot.com/contacts/8748051/record/0-3/17273007436", 17273007436)</f>
        <v>17273007436</v>
      </c>
      <c r="B682" s="24" t="s">
        <v>2275</v>
      </c>
      <c r="C682" s="24" t="s">
        <v>1009</v>
      </c>
      <c r="D682" s="25">
        <v>20500.0</v>
      </c>
      <c r="E682" s="24" t="s">
        <v>127</v>
      </c>
      <c r="F682" s="24" t="s">
        <v>52</v>
      </c>
      <c r="G682" s="26">
        <v>45322.538518518515</v>
      </c>
      <c r="H682" s="26">
        <v>45504.57950231482</v>
      </c>
      <c r="I682" s="24" t="s">
        <v>40</v>
      </c>
      <c r="J682" s="24" t="s">
        <v>41</v>
      </c>
      <c r="K682" s="24" t="s">
        <v>1187</v>
      </c>
      <c r="L682" s="24" t="s">
        <v>560</v>
      </c>
      <c r="M682" s="24" t="s">
        <v>44</v>
      </c>
      <c r="N682" s="27"/>
      <c r="O682" s="27"/>
      <c r="P682" s="24"/>
      <c r="Q682" s="24" t="s">
        <v>503</v>
      </c>
      <c r="R682" s="23">
        <f>HYPERLINK("https://app.hubspot.com/contacts/8748051/record/0-2/7514043522", 7514043522)</f>
        <v>7514043522</v>
      </c>
      <c r="S682" s="24" t="s">
        <v>2276</v>
      </c>
      <c r="T682" s="28" t="s">
        <v>2277</v>
      </c>
      <c r="U682" s="24" t="s">
        <v>47</v>
      </c>
      <c r="V682" s="24"/>
      <c r="W682" s="32"/>
      <c r="X682" s="29">
        <v>197.0</v>
      </c>
      <c r="Y682" s="29">
        <v>29.0</v>
      </c>
      <c r="Z682" s="30" t="s">
        <v>108</v>
      </c>
      <c r="AA682" s="31"/>
      <c r="AB682" s="31"/>
      <c r="AC682" s="31"/>
      <c r="AD682" s="31"/>
      <c r="AE682" s="31"/>
      <c r="AF682" s="31"/>
      <c r="AG682" s="27" t="str">
        <f t="shared" si="1"/>
        <v>New Logo</v>
      </c>
      <c r="AH682" s="27" t="str">
        <f t="shared" si="5"/>
        <v>Lead</v>
      </c>
      <c r="AI682" s="27" t="str">
        <f t="shared" si="6"/>
        <v>0-200</v>
      </c>
      <c r="AJ682" s="27" t="str">
        <f t="shared" si="7"/>
        <v>21-50</v>
      </c>
    </row>
    <row r="683" ht="15.75" customHeight="1">
      <c r="A683" s="23">
        <f>HYPERLINK("https://app.hubspot.com/contacts/8748051/record/0-3/17271324481", 17271324481)</f>
        <v>17271324481</v>
      </c>
      <c r="B683" s="24" t="s">
        <v>2278</v>
      </c>
      <c r="C683" s="24" t="s">
        <v>38</v>
      </c>
      <c r="D683" s="25">
        <v>91500.0</v>
      </c>
      <c r="E683" s="24" t="s">
        <v>73</v>
      </c>
      <c r="F683" s="24"/>
      <c r="G683" s="26">
        <v>45322.475486111114</v>
      </c>
      <c r="H683" s="26">
        <v>45380.53923611111</v>
      </c>
      <c r="I683" s="24" t="s">
        <v>40</v>
      </c>
      <c r="J683" s="24" t="s">
        <v>41</v>
      </c>
      <c r="K683" s="24"/>
      <c r="L683" s="24" t="s">
        <v>183</v>
      </c>
      <c r="M683" s="24" t="s">
        <v>44</v>
      </c>
      <c r="N683" s="24"/>
      <c r="O683" s="24"/>
      <c r="P683" s="24" t="s">
        <v>122</v>
      </c>
      <c r="Q683" s="24"/>
      <c r="R683" s="23">
        <f>HYPERLINK("https://app.hubspot.com/contacts/8748051/record/0-2/14810866220", 14810866220)</f>
        <v>14810866220</v>
      </c>
      <c r="S683" s="24" t="s">
        <v>2279</v>
      </c>
      <c r="T683" s="28" t="s">
        <v>2280</v>
      </c>
      <c r="U683" s="24" t="s">
        <v>47</v>
      </c>
      <c r="V683" s="24"/>
      <c r="W683" s="25"/>
      <c r="X683" s="29">
        <v>1317.0</v>
      </c>
      <c r="Y683" s="29">
        <v>234.0</v>
      </c>
      <c r="Z683" s="30" t="s">
        <v>108</v>
      </c>
      <c r="AA683" s="30"/>
      <c r="AB683" s="30"/>
      <c r="AC683" s="31"/>
      <c r="AD683" s="30"/>
      <c r="AE683" s="30"/>
      <c r="AF683" s="30"/>
      <c r="AG683" s="27" t="str">
        <f t="shared" si="1"/>
        <v>New Logo</v>
      </c>
      <c r="AH683" s="27" t="str">
        <f t="shared" si="5"/>
        <v>Lead</v>
      </c>
      <c r="AI683" s="27" t="str">
        <f t="shared" si="6"/>
        <v>1001-5000</v>
      </c>
      <c r="AJ683" s="27" t="str">
        <f t="shared" si="7"/>
        <v>101-500</v>
      </c>
    </row>
    <row r="684" ht="15.75" customHeight="1">
      <c r="A684" s="23">
        <f>HYPERLINK("https://app.hubspot.com/contacts/8748051/record/0-3/17244404402", 17244404402)</f>
        <v>17244404402</v>
      </c>
      <c r="B684" s="24" t="s">
        <v>2281</v>
      </c>
      <c r="C684" s="24" t="s">
        <v>148</v>
      </c>
      <c r="D684" s="25">
        <v>22000.0</v>
      </c>
      <c r="E684" s="24" t="s">
        <v>73</v>
      </c>
      <c r="F684" s="24"/>
      <c r="G684" s="26">
        <v>45321.56104166667</v>
      </c>
      <c r="H684" s="26">
        <v>45503.60115740741</v>
      </c>
      <c r="I684" s="24" t="s">
        <v>40</v>
      </c>
      <c r="J684" s="24" t="s">
        <v>41</v>
      </c>
      <c r="K684" s="24" t="s">
        <v>1187</v>
      </c>
      <c r="L684" s="24" t="s">
        <v>560</v>
      </c>
      <c r="M684" s="24" t="s">
        <v>44</v>
      </c>
      <c r="N684" s="27"/>
      <c r="O684" s="24"/>
      <c r="P684" s="24" t="s">
        <v>75</v>
      </c>
      <c r="Q684" s="24"/>
      <c r="R684" s="23">
        <f>HYPERLINK("https://app.hubspot.com/contacts/8748051/record/0-2/6266140957", 6266140957)</f>
        <v>6266140957</v>
      </c>
      <c r="S684" s="24" t="s">
        <v>2282</v>
      </c>
      <c r="T684" s="28" t="s">
        <v>2283</v>
      </c>
      <c r="U684" s="24" t="s">
        <v>47</v>
      </c>
      <c r="V684" s="24"/>
      <c r="W684" s="32"/>
      <c r="X684" s="29">
        <v>303.0</v>
      </c>
      <c r="Y684" s="29">
        <v>51.0</v>
      </c>
      <c r="Z684" s="30"/>
      <c r="AA684" s="31"/>
      <c r="AB684" s="31"/>
      <c r="AC684" s="31"/>
      <c r="AD684" s="31"/>
      <c r="AE684" s="31"/>
      <c r="AF684" s="31"/>
      <c r="AG684" s="27" t="str">
        <f t="shared" si="1"/>
        <v>New Logo</v>
      </c>
      <c r="AH684" s="27" t="str">
        <f t="shared" si="5"/>
        <v>Lead</v>
      </c>
      <c r="AI684" s="27" t="str">
        <f t="shared" si="6"/>
        <v>201-500</v>
      </c>
      <c r="AJ684" s="27" t="str">
        <f t="shared" si="7"/>
        <v>51-100</v>
      </c>
    </row>
    <row r="685" ht="15.75" customHeight="1">
      <c r="A685" s="23">
        <f>HYPERLINK("https://app.hubspot.com/contacts/8748051/record/0-3/17181931842", 17181931842)</f>
        <v>17181931842</v>
      </c>
      <c r="B685" s="24" t="s">
        <v>2284</v>
      </c>
      <c r="C685" s="24" t="s">
        <v>38</v>
      </c>
      <c r="D685" s="25">
        <v>3000.0</v>
      </c>
      <c r="E685" s="24" t="s">
        <v>73</v>
      </c>
      <c r="F685" s="24"/>
      <c r="G685" s="26">
        <v>45318.3283912037</v>
      </c>
      <c r="H685" s="26">
        <v>45500.368483796294</v>
      </c>
      <c r="I685" s="24" t="s">
        <v>40</v>
      </c>
      <c r="J685" s="24" t="s">
        <v>53</v>
      </c>
      <c r="K685" s="24" t="s">
        <v>1187</v>
      </c>
      <c r="L685" s="24" t="s">
        <v>560</v>
      </c>
      <c r="M685" s="24" t="s">
        <v>74</v>
      </c>
      <c r="N685" s="24"/>
      <c r="O685" s="24"/>
      <c r="P685" s="24" t="s">
        <v>122</v>
      </c>
      <c r="Q685" s="27"/>
      <c r="R685" s="23">
        <f>HYPERLINK("https://app.hubspot.com/contacts/8748051/record/0-2/18808860831", 18808860831)</f>
        <v>18808860831</v>
      </c>
      <c r="S685" s="24" t="s">
        <v>2285</v>
      </c>
      <c r="T685" s="28" t="s">
        <v>2286</v>
      </c>
      <c r="U685" s="24" t="s">
        <v>47</v>
      </c>
      <c r="V685" s="24"/>
      <c r="W685" s="25"/>
      <c r="X685" s="29">
        <v>110.0</v>
      </c>
      <c r="Y685" s="29">
        <v>9.0</v>
      </c>
      <c r="Z685" s="30"/>
      <c r="AA685" s="30"/>
      <c r="AB685" s="30"/>
      <c r="AC685" s="31"/>
      <c r="AD685" s="30"/>
      <c r="AE685" s="30"/>
      <c r="AF685" s="30"/>
      <c r="AG685" s="27" t="str">
        <f t="shared" si="1"/>
        <v>New Logo</v>
      </c>
      <c r="AH685" s="27" t="str">
        <f t="shared" si="5"/>
        <v>Lead</v>
      </c>
      <c r="AI685" s="27" t="str">
        <f t="shared" si="6"/>
        <v>0-200</v>
      </c>
      <c r="AJ685" s="27" t="str">
        <f t="shared" si="7"/>
        <v>0-20</v>
      </c>
    </row>
    <row r="686" ht="15.75" customHeight="1">
      <c r="A686" s="23">
        <f>HYPERLINK("https://app.hubspot.com/contacts/8748051/record/0-3/17183749773", 17183749773)</f>
        <v>17183749773</v>
      </c>
      <c r="B686" s="24" t="s">
        <v>2287</v>
      </c>
      <c r="C686" s="24" t="s">
        <v>1009</v>
      </c>
      <c r="D686" s="25">
        <v>47500.0</v>
      </c>
      <c r="E686" s="24" t="s">
        <v>73</v>
      </c>
      <c r="F686" s="24"/>
      <c r="G686" s="26">
        <v>45318.32622685185</v>
      </c>
      <c r="H686" s="26">
        <v>45500.36704861111</v>
      </c>
      <c r="I686" s="24" t="s">
        <v>40</v>
      </c>
      <c r="J686" s="24" t="s">
        <v>53</v>
      </c>
      <c r="K686" s="24" t="s">
        <v>1187</v>
      </c>
      <c r="L686" s="24" t="s">
        <v>560</v>
      </c>
      <c r="M686" s="24" t="s">
        <v>74</v>
      </c>
      <c r="N686" s="27"/>
      <c r="O686" s="24"/>
      <c r="P686" s="24" t="s">
        <v>122</v>
      </c>
      <c r="Q686" s="24"/>
      <c r="R686" s="23">
        <f>HYPERLINK("https://app.hubspot.com/contacts/8748051/record/0-2/9237584657", 9237584657)</f>
        <v>9237584657</v>
      </c>
      <c r="S686" s="24" t="s">
        <v>2288</v>
      </c>
      <c r="T686" s="28" t="s">
        <v>2289</v>
      </c>
      <c r="U686" s="24" t="s">
        <v>47</v>
      </c>
      <c r="V686" s="24"/>
      <c r="W686" s="32"/>
      <c r="X686" s="29">
        <v>558.0</v>
      </c>
      <c r="Y686" s="29">
        <v>94.0</v>
      </c>
      <c r="Z686" s="30" t="s">
        <v>108</v>
      </c>
      <c r="AA686" s="31"/>
      <c r="AB686" s="31"/>
      <c r="AC686" s="31"/>
      <c r="AD686" s="31"/>
      <c r="AE686" s="31"/>
      <c r="AF686" s="31"/>
      <c r="AG686" s="27" t="str">
        <f t="shared" si="1"/>
        <v>New Logo</v>
      </c>
      <c r="AH686" s="27" t="str">
        <f t="shared" si="5"/>
        <v>Lead</v>
      </c>
      <c r="AI686" s="27" t="str">
        <f t="shared" si="6"/>
        <v>501-1000</v>
      </c>
      <c r="AJ686" s="27" t="str">
        <f t="shared" si="7"/>
        <v>51-100</v>
      </c>
    </row>
    <row r="687" ht="15.75" customHeight="1">
      <c r="A687" s="23">
        <f>HYPERLINK("https://app.hubspot.com/contacts/8748051/record/0-3/17181670915", 17181670915)</f>
        <v>17181670915</v>
      </c>
      <c r="B687" s="24" t="s">
        <v>2290</v>
      </c>
      <c r="C687" s="24" t="s">
        <v>38</v>
      </c>
      <c r="D687" s="25">
        <v>29000.0</v>
      </c>
      <c r="E687" s="24" t="s">
        <v>73</v>
      </c>
      <c r="F687" s="24"/>
      <c r="G687" s="26">
        <v>45318.317881944444</v>
      </c>
      <c r="H687" s="26">
        <v>45500.35545138889</v>
      </c>
      <c r="I687" s="24" t="s">
        <v>40</v>
      </c>
      <c r="J687" s="24" t="s">
        <v>53</v>
      </c>
      <c r="K687" s="24" t="s">
        <v>1187</v>
      </c>
      <c r="L687" s="24" t="s">
        <v>560</v>
      </c>
      <c r="M687" s="24" t="s">
        <v>74</v>
      </c>
      <c r="N687" s="24"/>
      <c r="O687" s="27"/>
      <c r="P687" s="24" t="s">
        <v>213</v>
      </c>
      <c r="Q687" s="24"/>
      <c r="R687" s="23">
        <f>HYPERLINK("https://app.hubspot.com/contacts/8748051/record/0-2/8310486294", 8310486294)</f>
        <v>8310486294</v>
      </c>
      <c r="S687" s="24" t="s">
        <v>2291</v>
      </c>
      <c r="T687" s="28" t="s">
        <v>2292</v>
      </c>
      <c r="U687" s="24" t="s">
        <v>47</v>
      </c>
      <c r="V687" s="24"/>
      <c r="W687" s="25"/>
      <c r="X687" s="29">
        <v>394.0</v>
      </c>
      <c r="Y687" s="29">
        <v>64.0</v>
      </c>
      <c r="Z687" s="30" t="s">
        <v>2293</v>
      </c>
      <c r="AA687" s="30"/>
      <c r="AB687" s="31"/>
      <c r="AC687" s="31"/>
      <c r="AD687" s="30"/>
      <c r="AE687" s="31"/>
      <c r="AF687" s="30"/>
      <c r="AG687" s="27" t="str">
        <f t="shared" si="1"/>
        <v>New Logo</v>
      </c>
      <c r="AH687" s="27" t="str">
        <f t="shared" si="5"/>
        <v>Lead</v>
      </c>
      <c r="AI687" s="27" t="str">
        <f t="shared" si="6"/>
        <v>201-500</v>
      </c>
      <c r="AJ687" s="27" t="str">
        <f t="shared" si="7"/>
        <v>51-100</v>
      </c>
    </row>
    <row r="688" ht="15.75" customHeight="1">
      <c r="A688" s="23">
        <f>HYPERLINK("https://app.hubspot.com/contacts/8748051/record/0-3/17182254377", 17182254377)</f>
        <v>17182254377</v>
      </c>
      <c r="B688" s="24" t="s">
        <v>2294</v>
      </c>
      <c r="C688" s="24" t="s">
        <v>50</v>
      </c>
      <c r="D688" s="25">
        <v>37000.0</v>
      </c>
      <c r="E688" s="24" t="s">
        <v>127</v>
      </c>
      <c r="F688" s="24" t="s">
        <v>52</v>
      </c>
      <c r="G688" s="26">
        <v>45318.30876157407</v>
      </c>
      <c r="H688" s="26">
        <v>45443.291550925926</v>
      </c>
      <c r="I688" s="24" t="s">
        <v>40</v>
      </c>
      <c r="J688" s="24" t="s">
        <v>41</v>
      </c>
      <c r="K688" s="24" t="s">
        <v>42</v>
      </c>
      <c r="L688" s="24" t="s">
        <v>43</v>
      </c>
      <c r="M688" s="24" t="s">
        <v>102</v>
      </c>
      <c r="N688" s="24"/>
      <c r="O688" s="27"/>
      <c r="P688" s="24"/>
      <c r="Q688" s="24" t="s">
        <v>197</v>
      </c>
      <c r="R688" s="23">
        <f>HYPERLINK("https://app.hubspot.com/contacts/8748051/record/0-2/8816517268", 8816517268)</f>
        <v>8816517268</v>
      </c>
      <c r="S688" s="24" t="s">
        <v>1244</v>
      </c>
      <c r="T688" s="28" t="s">
        <v>1245</v>
      </c>
      <c r="U688" s="24" t="s">
        <v>47</v>
      </c>
      <c r="V688" s="24"/>
      <c r="W688" s="25"/>
      <c r="X688" s="29">
        <v>608.0</v>
      </c>
      <c r="Y688" s="29">
        <v>100.0</v>
      </c>
      <c r="Z688" s="30" t="s">
        <v>1246</v>
      </c>
      <c r="AA688" s="30"/>
      <c r="AB688" s="31"/>
      <c r="AC688" s="30"/>
      <c r="AD688" s="30"/>
      <c r="AE688" s="30"/>
      <c r="AF688" s="30"/>
      <c r="AG688" s="27" t="str">
        <f t="shared" si="1"/>
        <v>New Logo</v>
      </c>
      <c r="AH688" s="27" t="str">
        <f t="shared" si="5"/>
        <v>Lead</v>
      </c>
      <c r="AI688" s="27" t="str">
        <f t="shared" si="6"/>
        <v>501-1000</v>
      </c>
      <c r="AJ688" s="27" t="str">
        <f t="shared" si="7"/>
        <v>51-100</v>
      </c>
    </row>
    <row r="689" ht="15.75" customHeight="1">
      <c r="A689" s="23">
        <f>HYPERLINK("https://app.hubspot.com/contacts/8748051/record/0-3/17182254345", 17182254345)</f>
        <v>17182254345</v>
      </c>
      <c r="B689" s="24" t="s">
        <v>2295</v>
      </c>
      <c r="C689" s="24" t="s">
        <v>50</v>
      </c>
      <c r="D689" s="25">
        <v>25500.0</v>
      </c>
      <c r="E689" s="24" t="s">
        <v>73</v>
      </c>
      <c r="F689" s="24"/>
      <c r="G689" s="26">
        <v>45318.306921296295</v>
      </c>
      <c r="H689" s="26">
        <v>45657.31631944444</v>
      </c>
      <c r="I689" s="24" t="s">
        <v>40</v>
      </c>
      <c r="J689" s="24" t="s">
        <v>53</v>
      </c>
      <c r="K689" s="24" t="s">
        <v>60</v>
      </c>
      <c r="L689" s="24" t="s">
        <v>178</v>
      </c>
      <c r="M689" s="24" t="s">
        <v>102</v>
      </c>
      <c r="N689" s="24"/>
      <c r="O689" s="24"/>
      <c r="P689" s="24"/>
      <c r="Q689" s="24"/>
      <c r="R689" s="23">
        <f>HYPERLINK("https://app.hubspot.com/contacts/8748051/record/0-2/7934372530", 7934372530)</f>
        <v>7934372530</v>
      </c>
      <c r="S689" s="24" t="s">
        <v>2296</v>
      </c>
      <c r="T689" s="28" t="s">
        <v>2297</v>
      </c>
      <c r="U689" s="24" t="s">
        <v>47</v>
      </c>
      <c r="V689" s="24"/>
      <c r="W689" s="25"/>
      <c r="X689" s="29">
        <v>886.0</v>
      </c>
      <c r="Y689" s="29">
        <v>72.0</v>
      </c>
      <c r="Z689" s="30" t="s">
        <v>64</v>
      </c>
      <c r="AA689" s="30"/>
      <c r="AB689" s="30"/>
      <c r="AC689" s="31"/>
      <c r="AD689" s="30"/>
      <c r="AE689" s="30"/>
      <c r="AF689" s="30"/>
      <c r="AG689" s="27" t="str">
        <f t="shared" si="1"/>
        <v>New Logo</v>
      </c>
      <c r="AH689" s="27" t="str">
        <f t="shared" si="5"/>
        <v>Lead</v>
      </c>
      <c r="AI689" s="27" t="str">
        <f t="shared" si="6"/>
        <v>501-1000</v>
      </c>
      <c r="AJ689" s="27" t="str">
        <f t="shared" si="7"/>
        <v>51-100</v>
      </c>
    </row>
    <row r="690" ht="15.75" customHeight="1">
      <c r="A690" s="23">
        <f>HYPERLINK("https://app.hubspot.com/contacts/8748051/record/0-3/17182007659", 17182007659)</f>
        <v>17182007659</v>
      </c>
      <c r="B690" s="24" t="s">
        <v>2298</v>
      </c>
      <c r="C690" s="24" t="s">
        <v>38</v>
      </c>
      <c r="D690" s="25">
        <v>12500.0</v>
      </c>
      <c r="E690" s="24" t="s">
        <v>73</v>
      </c>
      <c r="F690" s="24"/>
      <c r="G690" s="26">
        <v>45318.28592592593</v>
      </c>
      <c r="H690" s="26">
        <v>45535.17413194444</v>
      </c>
      <c r="I690" s="24" t="s">
        <v>40</v>
      </c>
      <c r="J690" s="24" t="s">
        <v>41</v>
      </c>
      <c r="K690" s="24" t="s">
        <v>60</v>
      </c>
      <c r="L690" s="24" t="s">
        <v>178</v>
      </c>
      <c r="M690" s="24" t="s">
        <v>74</v>
      </c>
      <c r="N690" s="24"/>
      <c r="O690" s="27"/>
      <c r="P690" s="24" t="s">
        <v>122</v>
      </c>
      <c r="Q690" s="24"/>
      <c r="R690" s="23">
        <f>HYPERLINK("https://app.hubspot.com/contacts/8748051/record/0-2/14809233430", 14809233430)</f>
        <v>14809233430</v>
      </c>
      <c r="S690" s="24" t="s">
        <v>2299</v>
      </c>
      <c r="T690" s="28" t="s">
        <v>2300</v>
      </c>
      <c r="U690" s="24" t="s">
        <v>47</v>
      </c>
      <c r="V690" s="24"/>
      <c r="W690" s="25"/>
      <c r="X690" s="29">
        <v>145.0</v>
      </c>
      <c r="Y690" s="29">
        <v>21.0</v>
      </c>
      <c r="Z690" s="30" t="s">
        <v>56</v>
      </c>
      <c r="AA690" s="30"/>
      <c r="AB690" s="30"/>
      <c r="AC690" s="30"/>
      <c r="AD690" s="30"/>
      <c r="AE690" s="30"/>
      <c r="AF690" s="30"/>
      <c r="AG690" s="27" t="str">
        <f t="shared" si="1"/>
        <v>New Logo</v>
      </c>
      <c r="AH690" s="27" t="str">
        <f t="shared" si="5"/>
        <v>Lead</v>
      </c>
      <c r="AI690" s="27" t="str">
        <f t="shared" si="6"/>
        <v>0-200</v>
      </c>
      <c r="AJ690" s="27" t="str">
        <f t="shared" si="7"/>
        <v>21-50</v>
      </c>
    </row>
    <row r="691" ht="15.75" customHeight="1">
      <c r="A691" s="23">
        <f>HYPERLINK("https://app.hubspot.com/contacts/8748051/record/0-3/17181518890", 17181518890)</f>
        <v>17181518890</v>
      </c>
      <c r="B691" s="24" t="s">
        <v>2301</v>
      </c>
      <c r="C691" s="24" t="s">
        <v>1009</v>
      </c>
      <c r="D691" s="25">
        <v>100000.0</v>
      </c>
      <c r="E691" s="24" t="s">
        <v>73</v>
      </c>
      <c r="F691" s="24"/>
      <c r="G691" s="26">
        <v>45318.26498842592</v>
      </c>
      <c r="H691" s="26">
        <v>45473.30630787037</v>
      </c>
      <c r="I691" s="24" t="s">
        <v>40</v>
      </c>
      <c r="J691" s="24" t="s">
        <v>53</v>
      </c>
      <c r="K691" s="24" t="s">
        <v>1187</v>
      </c>
      <c r="L691" s="24" t="s">
        <v>560</v>
      </c>
      <c r="M691" s="24" t="s">
        <v>74</v>
      </c>
      <c r="N691" s="24"/>
      <c r="O691" s="24"/>
      <c r="P691" s="24" t="s">
        <v>213</v>
      </c>
      <c r="Q691" s="24"/>
      <c r="R691" s="23">
        <f>HYPERLINK("https://app.hubspot.com/contacts/8748051/record/0-2/9238357425", 9238357425)</f>
        <v>9238357425</v>
      </c>
      <c r="S691" s="24" t="s">
        <v>2302</v>
      </c>
      <c r="T691" s="28" t="s">
        <v>2303</v>
      </c>
      <c r="U691" s="24" t="s">
        <v>47</v>
      </c>
      <c r="V691" s="24"/>
      <c r="W691" s="25"/>
      <c r="X691" s="29">
        <v>6521.0</v>
      </c>
      <c r="Y691" s="29">
        <v>1039.0</v>
      </c>
      <c r="Z691" s="30" t="s">
        <v>372</v>
      </c>
      <c r="AA691" s="30"/>
      <c r="AB691" s="30"/>
      <c r="AC691" s="31"/>
      <c r="AD691" s="30"/>
      <c r="AE691" s="30"/>
      <c r="AF691" s="30"/>
      <c r="AG691" s="27" t="str">
        <f t="shared" si="1"/>
        <v>New Logo</v>
      </c>
      <c r="AH691" s="27" t="str">
        <f t="shared" si="5"/>
        <v>Lead</v>
      </c>
      <c r="AI691" s="27" t="str">
        <f t="shared" si="6"/>
        <v>5000-10000</v>
      </c>
      <c r="AJ691" s="27" t="str">
        <f t="shared" si="7"/>
        <v>500+</v>
      </c>
    </row>
    <row r="692" ht="15.75" customHeight="1">
      <c r="A692" s="23">
        <f>HYPERLINK("https://app.hubspot.com/contacts/8748051/record/0-3/17172389960", 17172389960)</f>
        <v>17172389960</v>
      </c>
      <c r="B692" s="24" t="s">
        <v>2304</v>
      </c>
      <c r="C692" s="24" t="s">
        <v>2305</v>
      </c>
      <c r="D692" s="25">
        <v>29500.0</v>
      </c>
      <c r="E692" s="24" t="s">
        <v>92</v>
      </c>
      <c r="F692" s="24" t="s">
        <v>52</v>
      </c>
      <c r="G692" s="26">
        <v>45317.58818287037</v>
      </c>
      <c r="H692" s="26">
        <v>45358.660208333335</v>
      </c>
      <c r="I692" s="24" t="s">
        <v>40</v>
      </c>
      <c r="J692" s="24" t="s">
        <v>53</v>
      </c>
      <c r="K692" s="24" t="s">
        <v>1187</v>
      </c>
      <c r="L692" s="24" t="s">
        <v>183</v>
      </c>
      <c r="M692" s="24" t="s">
        <v>44</v>
      </c>
      <c r="N692" s="24" t="s">
        <v>2306</v>
      </c>
      <c r="O692" s="27"/>
      <c r="P692" s="24"/>
      <c r="Q692" s="24"/>
      <c r="R692" s="23">
        <f>HYPERLINK("https://app.hubspot.com/contacts/8748051/record/0-2/6816601476", 6816601476)</f>
        <v>6816601476</v>
      </c>
      <c r="S692" s="24" t="s">
        <v>1078</v>
      </c>
      <c r="T692" s="28" t="s">
        <v>1079</v>
      </c>
      <c r="U692" s="24" t="s">
        <v>96</v>
      </c>
      <c r="V692" s="24"/>
      <c r="W692" s="25">
        <v>32450.0</v>
      </c>
      <c r="X692" s="29">
        <v>203.0</v>
      </c>
      <c r="Y692" s="29">
        <v>40.0</v>
      </c>
      <c r="Z692" s="30"/>
      <c r="AA692" s="30" t="s">
        <v>207</v>
      </c>
      <c r="AB692" s="30" t="s">
        <v>194</v>
      </c>
      <c r="AC692" s="31"/>
      <c r="AD692" s="30" t="s">
        <v>877</v>
      </c>
      <c r="AE692" s="30" t="s">
        <v>1080</v>
      </c>
      <c r="AF692" s="30" t="s">
        <v>554</v>
      </c>
      <c r="AG692" s="27" t="str">
        <f t="shared" si="1"/>
        <v>New Logo</v>
      </c>
      <c r="AH692" s="27" t="str">
        <f t="shared" si="5"/>
        <v>Customer</v>
      </c>
      <c r="AI692" s="27" t="str">
        <f t="shared" si="6"/>
        <v>201-500</v>
      </c>
      <c r="AJ692" s="27" t="str">
        <f t="shared" si="7"/>
        <v>21-50</v>
      </c>
    </row>
    <row r="693" ht="15.75" customHeight="1">
      <c r="A693" s="23">
        <f>HYPERLINK("https://app.hubspot.com/contacts/8748051/record/0-3/17157154989", 17157154989)</f>
        <v>17157154989</v>
      </c>
      <c r="B693" s="24" t="s">
        <v>2307</v>
      </c>
      <c r="C693" s="24" t="s">
        <v>1009</v>
      </c>
      <c r="D693" s="25">
        <v>18480.0</v>
      </c>
      <c r="E693" s="24" t="s">
        <v>127</v>
      </c>
      <c r="F693" s="24" t="s">
        <v>52</v>
      </c>
      <c r="G693" s="26">
        <v>45316.492951388886</v>
      </c>
      <c r="H693" s="26">
        <v>45590.63245370371</v>
      </c>
      <c r="I693" s="24" t="s">
        <v>40</v>
      </c>
      <c r="J693" s="24" t="s">
        <v>41</v>
      </c>
      <c r="K693" s="24" t="s">
        <v>1187</v>
      </c>
      <c r="L693" s="24" t="s">
        <v>560</v>
      </c>
      <c r="M693" s="24" t="s">
        <v>44</v>
      </c>
      <c r="N693" s="27"/>
      <c r="O693" s="27"/>
      <c r="P693" s="24"/>
      <c r="Q693" s="24"/>
      <c r="R693" s="23">
        <f>HYPERLINK("https://app.hubspot.com/contacts/8748051/record/0-2/7893829192", 7893829192)</f>
        <v>7893829192</v>
      </c>
      <c r="S693" s="24" t="s">
        <v>2308</v>
      </c>
      <c r="T693" s="28" t="s">
        <v>2309</v>
      </c>
      <c r="U693" s="24" t="s">
        <v>47</v>
      </c>
      <c r="V693" s="24"/>
      <c r="W693" s="32"/>
      <c r="X693" s="29">
        <v>456.0</v>
      </c>
      <c r="Y693" s="29">
        <v>79.0</v>
      </c>
      <c r="Z693" s="30" t="s">
        <v>71</v>
      </c>
      <c r="AA693" s="31"/>
      <c r="AB693" s="31"/>
      <c r="AC693" s="31"/>
      <c r="AD693" s="31"/>
      <c r="AE693" s="31"/>
      <c r="AF693" s="31"/>
      <c r="AG693" s="27" t="str">
        <f t="shared" si="1"/>
        <v>New Logo</v>
      </c>
      <c r="AH693" s="27" t="str">
        <f t="shared" si="5"/>
        <v>Lead</v>
      </c>
      <c r="AI693" s="27" t="str">
        <f t="shared" si="6"/>
        <v>201-500</v>
      </c>
      <c r="AJ693" s="27" t="str">
        <f t="shared" si="7"/>
        <v>51-100</v>
      </c>
    </row>
    <row r="694" ht="15.75" customHeight="1">
      <c r="A694" s="23">
        <f>HYPERLINK("https://app.hubspot.com/contacts/8748051/record/0-3/17156438330", 17156438330)</f>
        <v>17156438330</v>
      </c>
      <c r="B694" s="24" t="s">
        <v>2310</v>
      </c>
      <c r="C694" s="24" t="s">
        <v>50</v>
      </c>
      <c r="D694" s="25">
        <v>6500.0</v>
      </c>
      <c r="E694" s="24" t="s">
        <v>73</v>
      </c>
      <c r="F694" s="24"/>
      <c r="G694" s="26">
        <v>45316.44545138889</v>
      </c>
      <c r="H694" s="26">
        <v>45498.44511574074</v>
      </c>
      <c r="I694" s="24" t="s">
        <v>40</v>
      </c>
      <c r="J694" s="24" t="s">
        <v>41</v>
      </c>
      <c r="K694" s="24" t="s">
        <v>1187</v>
      </c>
      <c r="L694" s="24" t="s">
        <v>560</v>
      </c>
      <c r="M694" s="24" t="s">
        <v>44</v>
      </c>
      <c r="N694" s="27"/>
      <c r="O694" s="27"/>
      <c r="P694" s="24" t="s">
        <v>234</v>
      </c>
      <c r="Q694" s="24"/>
      <c r="R694" s="23">
        <f>HYPERLINK("https://app.hubspot.com/contacts/8748051/record/0-2/9238413945", 9238413945)</f>
        <v>9238413945</v>
      </c>
      <c r="S694" s="24" t="s">
        <v>2311</v>
      </c>
      <c r="T694" s="28" t="s">
        <v>2312</v>
      </c>
      <c r="U694" s="24" t="s">
        <v>47</v>
      </c>
      <c r="V694" s="24"/>
      <c r="W694" s="32"/>
      <c r="X694" s="29">
        <v>162.0</v>
      </c>
      <c r="Y694" s="29">
        <v>15.0</v>
      </c>
      <c r="Z694" s="30"/>
      <c r="AA694" s="31"/>
      <c r="AB694" s="31"/>
      <c r="AC694" s="31"/>
      <c r="AD694" s="31"/>
      <c r="AE694" s="31"/>
      <c r="AF694" s="31"/>
      <c r="AG694" s="27" t="str">
        <f t="shared" si="1"/>
        <v>New Logo</v>
      </c>
      <c r="AH694" s="27" t="str">
        <f t="shared" si="5"/>
        <v>Lead</v>
      </c>
      <c r="AI694" s="27" t="str">
        <f t="shared" si="6"/>
        <v>0-200</v>
      </c>
      <c r="AJ694" s="27" t="str">
        <f t="shared" si="7"/>
        <v>0-20</v>
      </c>
    </row>
    <row r="695" ht="15.75" customHeight="1">
      <c r="A695" s="23">
        <f>HYPERLINK("https://app.hubspot.com/contacts/8748051/record/0-3/17142319916", 17142319916)</f>
        <v>17142319916</v>
      </c>
      <c r="B695" s="24" t="s">
        <v>2313</v>
      </c>
      <c r="C695" s="24" t="s">
        <v>50</v>
      </c>
      <c r="D695" s="25">
        <v>89000.0</v>
      </c>
      <c r="E695" s="24" t="s">
        <v>73</v>
      </c>
      <c r="F695" s="24"/>
      <c r="G695" s="26">
        <v>45315.745717592596</v>
      </c>
      <c r="H695" s="26">
        <v>45497.740381944444</v>
      </c>
      <c r="I695" s="24" t="s">
        <v>40</v>
      </c>
      <c r="J695" s="24" t="s">
        <v>41</v>
      </c>
      <c r="K695" s="24" t="s">
        <v>1187</v>
      </c>
      <c r="L695" s="24" t="s">
        <v>560</v>
      </c>
      <c r="M695" s="24" t="s">
        <v>44</v>
      </c>
      <c r="N695" s="24"/>
      <c r="O695" s="27"/>
      <c r="P695" s="24" t="s">
        <v>75</v>
      </c>
      <c r="Q695" s="24"/>
      <c r="R695" s="23">
        <f>HYPERLINK("https://app.hubspot.com/contacts/8748051/record/0-2/9238284427", 9238284427)</f>
        <v>9238284427</v>
      </c>
      <c r="S695" s="24" t="s">
        <v>2314</v>
      </c>
      <c r="T695" s="28" t="s">
        <v>2315</v>
      </c>
      <c r="U695" s="24" t="s">
        <v>47</v>
      </c>
      <c r="V695" s="24"/>
      <c r="W695" s="25"/>
      <c r="X695" s="29">
        <v>435.0</v>
      </c>
      <c r="Y695" s="29">
        <v>273.0</v>
      </c>
      <c r="Z695" s="30" t="s">
        <v>108</v>
      </c>
      <c r="AA695" s="30"/>
      <c r="AB695" s="31"/>
      <c r="AC695" s="30"/>
      <c r="AD695" s="30"/>
      <c r="AE695" s="30"/>
      <c r="AF695" s="30"/>
      <c r="AG695" s="27" t="str">
        <f t="shared" si="1"/>
        <v>New Logo</v>
      </c>
      <c r="AH695" s="27" t="str">
        <f t="shared" si="5"/>
        <v>Lead</v>
      </c>
      <c r="AI695" s="27" t="str">
        <f t="shared" si="6"/>
        <v>201-500</v>
      </c>
      <c r="AJ695" s="27" t="str">
        <f t="shared" si="7"/>
        <v>101-500</v>
      </c>
    </row>
    <row r="696" ht="15.75" customHeight="1">
      <c r="A696" s="23">
        <f>HYPERLINK("https://app.hubspot.com/contacts/8748051/record/0-3/17142722654", 17142722654)</f>
        <v>17142722654</v>
      </c>
      <c r="B696" s="24" t="s">
        <v>2316</v>
      </c>
      <c r="C696" s="24" t="s">
        <v>50</v>
      </c>
      <c r="D696" s="25">
        <v>10560.0</v>
      </c>
      <c r="E696" s="24" t="s">
        <v>127</v>
      </c>
      <c r="F696" s="24" t="s">
        <v>52</v>
      </c>
      <c r="G696" s="26">
        <v>45315.724074074074</v>
      </c>
      <c r="H696" s="26">
        <v>45625.599490740744</v>
      </c>
      <c r="I696" s="24" t="s">
        <v>40</v>
      </c>
      <c r="J696" s="24" t="s">
        <v>41</v>
      </c>
      <c r="K696" s="24" t="s">
        <v>1187</v>
      </c>
      <c r="L696" s="24" t="s">
        <v>560</v>
      </c>
      <c r="M696" s="24" t="s">
        <v>44</v>
      </c>
      <c r="N696" s="24"/>
      <c r="O696" s="27"/>
      <c r="P696" s="24"/>
      <c r="Q696" s="24" t="s">
        <v>374</v>
      </c>
      <c r="R696" s="23">
        <f>HYPERLINK("https://app.hubspot.com/contacts/8748051/record/0-2/9186970750", 9186970750)</f>
        <v>9186970750</v>
      </c>
      <c r="S696" s="24" t="s">
        <v>2317</v>
      </c>
      <c r="T696" s="28" t="s">
        <v>2318</v>
      </c>
      <c r="U696" s="24" t="s">
        <v>47</v>
      </c>
      <c r="V696" s="24"/>
      <c r="W696" s="25"/>
      <c r="X696" s="29">
        <v>275.0</v>
      </c>
      <c r="Y696" s="29">
        <v>38.0</v>
      </c>
      <c r="Z696" s="30"/>
      <c r="AA696" s="30"/>
      <c r="AB696" s="30"/>
      <c r="AC696" s="30"/>
      <c r="AD696" s="30"/>
      <c r="AE696" s="30"/>
      <c r="AF696" s="30"/>
      <c r="AG696" s="27" t="str">
        <f t="shared" si="1"/>
        <v>New Logo</v>
      </c>
      <c r="AH696" s="27" t="str">
        <f t="shared" si="5"/>
        <v>Lead</v>
      </c>
      <c r="AI696" s="27" t="str">
        <f t="shared" si="6"/>
        <v>201-500</v>
      </c>
      <c r="AJ696" s="27" t="str">
        <f t="shared" si="7"/>
        <v>21-50</v>
      </c>
    </row>
    <row r="697" ht="15.75" customHeight="1">
      <c r="A697" s="23">
        <f>HYPERLINK("https://app.hubspot.com/contacts/8748051/record/0-3/17100968511", 17100968511)</f>
        <v>17100968511</v>
      </c>
      <c r="B697" s="24" t="s">
        <v>2319</v>
      </c>
      <c r="C697" s="24" t="s">
        <v>148</v>
      </c>
      <c r="D697" s="25">
        <v>29562.0</v>
      </c>
      <c r="E697" s="24" t="s">
        <v>92</v>
      </c>
      <c r="F697" s="24" t="s">
        <v>52</v>
      </c>
      <c r="G697" s="26">
        <v>45313.41743055556</v>
      </c>
      <c r="H697" s="26">
        <v>45541.50965277778</v>
      </c>
      <c r="I697" s="24" t="s">
        <v>40</v>
      </c>
      <c r="J697" s="24" t="s">
        <v>41</v>
      </c>
      <c r="K697" s="24" t="s">
        <v>42</v>
      </c>
      <c r="L697" s="24" t="s">
        <v>43</v>
      </c>
      <c r="M697" s="24" t="s">
        <v>44</v>
      </c>
      <c r="N697" s="24" t="s">
        <v>2320</v>
      </c>
      <c r="O697" s="27"/>
      <c r="P697" s="24"/>
      <c r="Q697" s="24"/>
      <c r="R697" s="23">
        <f>HYPERLINK("https://app.hubspot.com/contacts/8748051/record/0-2/15119716451", 15119716451)</f>
        <v>15119716451</v>
      </c>
      <c r="S697" s="24" t="s">
        <v>205</v>
      </c>
      <c r="T697" s="28" t="s">
        <v>206</v>
      </c>
      <c r="U697" s="24">
        <v>3.4564763E7</v>
      </c>
      <c r="V697" s="24"/>
      <c r="W697" s="25">
        <v>28960.0</v>
      </c>
      <c r="X697" s="29">
        <v>406.0</v>
      </c>
      <c r="Y697" s="29">
        <v>112.0</v>
      </c>
      <c r="Z697" s="30"/>
      <c r="AA697" s="30" t="s">
        <v>207</v>
      </c>
      <c r="AB697" s="30"/>
      <c r="AC697" s="30" t="s">
        <v>208</v>
      </c>
      <c r="AD697" s="30" t="s">
        <v>209</v>
      </c>
      <c r="AE697" s="30" t="s">
        <v>210</v>
      </c>
      <c r="AF697" s="30" t="s">
        <v>211</v>
      </c>
      <c r="AG697" s="27" t="str">
        <f t="shared" si="1"/>
        <v>New Logo</v>
      </c>
      <c r="AH697" s="27" t="str">
        <f t="shared" si="5"/>
        <v>Churn</v>
      </c>
      <c r="AI697" s="27" t="str">
        <f t="shared" si="6"/>
        <v>201-500</v>
      </c>
      <c r="AJ697" s="27" t="str">
        <f t="shared" si="7"/>
        <v>101-500</v>
      </c>
    </row>
    <row r="698" ht="15.75" customHeight="1">
      <c r="A698" s="23">
        <f>HYPERLINK("https://app.hubspot.com/contacts/8748051/record/0-3/17097007914", 17097007914)</f>
        <v>17097007914</v>
      </c>
      <c r="B698" s="24" t="s">
        <v>2321</v>
      </c>
      <c r="C698" s="24" t="s">
        <v>1228</v>
      </c>
      <c r="D698" s="25">
        <v>27500.0</v>
      </c>
      <c r="E698" s="24" t="s">
        <v>92</v>
      </c>
      <c r="F698" s="24" t="s">
        <v>52</v>
      </c>
      <c r="G698" s="26">
        <v>45313.13853009259</v>
      </c>
      <c r="H698" s="26">
        <v>45393.54377314815</v>
      </c>
      <c r="I698" s="24" t="s">
        <v>40</v>
      </c>
      <c r="J698" s="24" t="s">
        <v>41</v>
      </c>
      <c r="K698" s="24" t="s">
        <v>42</v>
      </c>
      <c r="L698" s="24" t="s">
        <v>43</v>
      </c>
      <c r="M698" s="24" t="s">
        <v>102</v>
      </c>
      <c r="N698" s="24" t="s">
        <v>2322</v>
      </c>
      <c r="O698" s="27"/>
      <c r="P698" s="24"/>
      <c r="Q698" s="24"/>
      <c r="R698" s="23">
        <f>HYPERLINK("https://app.hubspot.com/contacts/8748051/record/0-2/8950154645", 8950154645)</f>
        <v>8950154645</v>
      </c>
      <c r="S698" s="24" t="s">
        <v>191</v>
      </c>
      <c r="T698" s="28" t="s">
        <v>192</v>
      </c>
      <c r="U698" s="24" t="s">
        <v>96</v>
      </c>
      <c r="V698" s="24"/>
      <c r="W698" s="25">
        <v>79564.0</v>
      </c>
      <c r="X698" s="29">
        <v>882.0</v>
      </c>
      <c r="Y698" s="29">
        <v>60.0</v>
      </c>
      <c r="Z698" s="30"/>
      <c r="AA698" s="30" t="s">
        <v>193</v>
      </c>
      <c r="AB698" s="30" t="s">
        <v>194</v>
      </c>
      <c r="AC698" s="31"/>
      <c r="AD698" s="30" t="s">
        <v>195</v>
      </c>
      <c r="AE698" s="31"/>
      <c r="AF698" s="30" t="s">
        <v>169</v>
      </c>
      <c r="AG698" s="27" t="str">
        <f t="shared" si="1"/>
        <v>New Logo</v>
      </c>
      <c r="AH698" s="27" t="str">
        <f t="shared" si="5"/>
        <v>Customer</v>
      </c>
      <c r="AI698" s="27" t="str">
        <f t="shared" si="6"/>
        <v>501-1000</v>
      </c>
      <c r="AJ698" s="27" t="str">
        <f t="shared" si="7"/>
        <v>51-100</v>
      </c>
    </row>
    <row r="699" ht="15.75" customHeight="1">
      <c r="A699" s="23">
        <f>HYPERLINK("https://app.hubspot.com/contacts/8748051/record/0-3/17095789349", 17095789349)</f>
        <v>17095789349</v>
      </c>
      <c r="B699" s="24" t="s">
        <v>2323</v>
      </c>
      <c r="C699" s="24" t="s">
        <v>1009</v>
      </c>
      <c r="D699" s="25">
        <v>20500.0</v>
      </c>
      <c r="E699" s="24" t="s">
        <v>73</v>
      </c>
      <c r="F699" s="24" t="s">
        <v>52</v>
      </c>
      <c r="G699" s="26">
        <v>45313.13003472222</v>
      </c>
      <c r="H699" s="26">
        <v>45443.17152777778</v>
      </c>
      <c r="I699" s="24" t="s">
        <v>40</v>
      </c>
      <c r="J699" s="24" t="s">
        <v>53</v>
      </c>
      <c r="K699" s="24" t="s">
        <v>1187</v>
      </c>
      <c r="L699" s="24" t="s">
        <v>560</v>
      </c>
      <c r="M699" s="24" t="s">
        <v>74</v>
      </c>
      <c r="N699" s="27"/>
      <c r="O699" s="24"/>
      <c r="P699" s="24" t="s">
        <v>122</v>
      </c>
      <c r="Q699" s="24"/>
      <c r="R699" s="23">
        <f>HYPERLINK("https://app.hubspot.com/contacts/8748051/record/0-2/9132245851", 9132245851)</f>
        <v>9132245851</v>
      </c>
      <c r="S699" s="24" t="s">
        <v>2324</v>
      </c>
      <c r="T699" s="28" t="s">
        <v>2325</v>
      </c>
      <c r="U699" s="24" t="s">
        <v>47</v>
      </c>
      <c r="V699" s="24"/>
      <c r="W699" s="32"/>
      <c r="X699" s="29">
        <v>293.0</v>
      </c>
      <c r="Y699" s="29">
        <v>44.0</v>
      </c>
      <c r="Z699" s="30" t="s">
        <v>108</v>
      </c>
      <c r="AA699" s="31"/>
      <c r="AB699" s="31"/>
      <c r="AC699" s="31"/>
      <c r="AD699" s="31"/>
      <c r="AE699" s="31"/>
      <c r="AF699" s="31"/>
      <c r="AG699" s="27" t="str">
        <f t="shared" si="1"/>
        <v>New Logo</v>
      </c>
      <c r="AH699" s="27" t="str">
        <f t="shared" si="5"/>
        <v>Lead</v>
      </c>
      <c r="AI699" s="27" t="str">
        <f t="shared" si="6"/>
        <v>201-500</v>
      </c>
      <c r="AJ699" s="27" t="str">
        <f t="shared" si="7"/>
        <v>21-50</v>
      </c>
    </row>
    <row r="700" ht="15.75" customHeight="1">
      <c r="A700" s="23">
        <f>HYPERLINK("https://app.hubspot.com/contacts/8748051/record/0-3/17019442080", 17019442080)</f>
        <v>17019442080</v>
      </c>
      <c r="B700" s="24" t="s">
        <v>2326</v>
      </c>
      <c r="C700" s="24" t="s">
        <v>50</v>
      </c>
      <c r="D700" s="25">
        <v>6500.0</v>
      </c>
      <c r="E700" s="24" t="s">
        <v>127</v>
      </c>
      <c r="F700" s="24" t="s">
        <v>52</v>
      </c>
      <c r="G700" s="26">
        <v>45309.43614583334</v>
      </c>
      <c r="H700" s="26">
        <v>45412.44521990741</v>
      </c>
      <c r="I700" s="24" t="s">
        <v>40</v>
      </c>
      <c r="J700" s="24" t="s">
        <v>41</v>
      </c>
      <c r="K700" s="24" t="s">
        <v>1187</v>
      </c>
      <c r="L700" s="24" t="s">
        <v>560</v>
      </c>
      <c r="M700" s="24" t="s">
        <v>44</v>
      </c>
      <c r="N700" s="27"/>
      <c r="O700" s="24"/>
      <c r="P700" s="24"/>
      <c r="Q700" s="24" t="s">
        <v>128</v>
      </c>
      <c r="R700" s="23">
        <f>HYPERLINK("https://app.hubspot.com/contacts/8748051/record/0-2/7398575155", 7398575155)</f>
        <v>7398575155</v>
      </c>
      <c r="S700" s="24" t="s">
        <v>2327</v>
      </c>
      <c r="T700" s="28" t="s">
        <v>2328</v>
      </c>
      <c r="U700" s="24" t="s">
        <v>47</v>
      </c>
      <c r="V700" s="24"/>
      <c r="W700" s="32"/>
      <c r="X700" s="29">
        <v>70.0</v>
      </c>
      <c r="Y700" s="29">
        <v>7.0</v>
      </c>
      <c r="Z700" s="30"/>
      <c r="AA700" s="31"/>
      <c r="AB700" s="31"/>
      <c r="AC700" s="31"/>
      <c r="AD700" s="31"/>
      <c r="AE700" s="31"/>
      <c r="AF700" s="31"/>
      <c r="AG700" s="27" t="str">
        <f t="shared" si="1"/>
        <v>New Logo</v>
      </c>
      <c r="AH700" s="27" t="str">
        <f t="shared" si="5"/>
        <v>Lead</v>
      </c>
      <c r="AI700" s="27" t="str">
        <f t="shared" si="6"/>
        <v>0-200</v>
      </c>
      <c r="AJ700" s="27" t="str">
        <f t="shared" si="7"/>
        <v>0-20</v>
      </c>
    </row>
    <row r="701" ht="15.75" customHeight="1">
      <c r="A701" s="23">
        <f>HYPERLINK("https://app.hubspot.com/contacts/8748051/record/0-3/17021084424", 17021084424)</f>
        <v>17021084424</v>
      </c>
      <c r="B701" s="24" t="s">
        <v>2329</v>
      </c>
      <c r="C701" s="24" t="s">
        <v>50</v>
      </c>
      <c r="D701" s="25">
        <v>8000.0</v>
      </c>
      <c r="E701" s="24" t="s">
        <v>127</v>
      </c>
      <c r="F701" s="24" t="s">
        <v>52</v>
      </c>
      <c r="G701" s="26">
        <v>45309.391689814816</v>
      </c>
      <c r="H701" s="26">
        <v>45838.67679398148</v>
      </c>
      <c r="I701" s="24" t="s">
        <v>40</v>
      </c>
      <c r="J701" s="24" t="s">
        <v>41</v>
      </c>
      <c r="K701" s="24" t="s">
        <v>1187</v>
      </c>
      <c r="L701" s="24" t="s">
        <v>560</v>
      </c>
      <c r="M701" s="24" t="s">
        <v>44</v>
      </c>
      <c r="N701" s="24"/>
      <c r="O701" s="24"/>
      <c r="P701" s="24"/>
      <c r="Q701" s="24" t="s">
        <v>374</v>
      </c>
      <c r="R701" s="23">
        <f>HYPERLINK("https://app.hubspot.com/contacts/8748051/record/0-2/8941103485", 8941103485)</f>
        <v>8941103485</v>
      </c>
      <c r="S701" s="24" t="s">
        <v>2330</v>
      </c>
      <c r="T701" s="28" t="s">
        <v>2331</v>
      </c>
      <c r="U701" s="24" t="s">
        <v>47</v>
      </c>
      <c r="V701" s="24"/>
      <c r="W701" s="25"/>
      <c r="X701" s="29">
        <v>291.0</v>
      </c>
      <c r="Y701" s="29">
        <v>47.0</v>
      </c>
      <c r="Z701" s="30"/>
      <c r="AA701" s="30"/>
      <c r="AB701" s="31"/>
      <c r="AC701" s="31"/>
      <c r="AD701" s="30"/>
      <c r="AE701" s="31"/>
      <c r="AF701" s="30"/>
      <c r="AG701" s="27" t="str">
        <f t="shared" si="1"/>
        <v>New Logo</v>
      </c>
      <c r="AH701" s="27" t="str">
        <f t="shared" si="5"/>
        <v>Lead</v>
      </c>
      <c r="AI701" s="27" t="str">
        <f t="shared" si="6"/>
        <v>201-500</v>
      </c>
      <c r="AJ701" s="27" t="str">
        <f t="shared" si="7"/>
        <v>21-50</v>
      </c>
    </row>
    <row r="702" ht="15.75" customHeight="1">
      <c r="A702" s="23">
        <f>HYPERLINK("https://app.hubspot.com/contacts/8748051/record/0-3/16996544815", 16996544815)</f>
        <v>16996544815</v>
      </c>
      <c r="B702" s="24" t="s">
        <v>2332</v>
      </c>
      <c r="C702" s="24" t="s">
        <v>1009</v>
      </c>
      <c r="D702" s="25">
        <v>100000.0</v>
      </c>
      <c r="E702" s="24" t="s">
        <v>73</v>
      </c>
      <c r="F702" s="24"/>
      <c r="G702" s="26">
        <v>45308.2325</v>
      </c>
      <c r="H702" s="26">
        <v>45443.27365740741</v>
      </c>
      <c r="I702" s="24" t="s">
        <v>40</v>
      </c>
      <c r="J702" s="24" t="s">
        <v>53</v>
      </c>
      <c r="K702" s="24" t="s">
        <v>1187</v>
      </c>
      <c r="L702" s="24" t="s">
        <v>560</v>
      </c>
      <c r="M702" s="24" t="s">
        <v>74</v>
      </c>
      <c r="N702" s="24"/>
      <c r="O702" s="24"/>
      <c r="P702" s="24" t="s">
        <v>213</v>
      </c>
      <c r="Q702" s="24"/>
      <c r="R702" s="23">
        <f>HYPERLINK("https://app.hubspot.com/contacts/8748051/record/0-2/7646095542", 7646095542)</f>
        <v>7646095542</v>
      </c>
      <c r="S702" s="28" t="s">
        <v>2333</v>
      </c>
      <c r="T702" s="28" t="s">
        <v>2333</v>
      </c>
      <c r="U702" s="24" t="s">
        <v>47</v>
      </c>
      <c r="V702" s="24"/>
      <c r="W702" s="25"/>
      <c r="X702" s="29">
        <v>3710.0</v>
      </c>
      <c r="Y702" s="29">
        <v>771.0</v>
      </c>
      <c r="Z702" s="30" t="s">
        <v>2334</v>
      </c>
      <c r="AA702" s="30"/>
      <c r="AB702" s="30"/>
      <c r="AC702" s="31"/>
      <c r="AD702" s="30"/>
      <c r="AE702" s="30"/>
      <c r="AF702" s="30"/>
      <c r="AG702" s="27" t="str">
        <f t="shared" si="1"/>
        <v>New Logo</v>
      </c>
      <c r="AH702" s="27" t="str">
        <f t="shared" si="5"/>
        <v>Lead</v>
      </c>
      <c r="AI702" s="27" t="str">
        <f t="shared" si="6"/>
        <v>1001-5000</v>
      </c>
      <c r="AJ702" s="27" t="str">
        <f t="shared" si="7"/>
        <v>500+</v>
      </c>
    </row>
    <row r="703" ht="15.75" customHeight="1">
      <c r="A703" s="23">
        <f>HYPERLINK("https://app.hubspot.com/contacts/8748051/record/0-3/16975731980", 16975731980)</f>
        <v>16975731980</v>
      </c>
      <c r="B703" s="24" t="s">
        <v>2335</v>
      </c>
      <c r="C703" s="24" t="s">
        <v>148</v>
      </c>
      <c r="D703" s="25">
        <v>36000.0</v>
      </c>
      <c r="E703" s="24" t="s">
        <v>127</v>
      </c>
      <c r="F703" s="24" t="s">
        <v>52</v>
      </c>
      <c r="G703" s="26">
        <v>45307.50824074074</v>
      </c>
      <c r="H703" s="26">
        <v>45473.595868055556</v>
      </c>
      <c r="I703" s="24" t="s">
        <v>40</v>
      </c>
      <c r="J703" s="24" t="s">
        <v>41</v>
      </c>
      <c r="K703" s="24" t="s">
        <v>1187</v>
      </c>
      <c r="L703" s="24" t="s">
        <v>560</v>
      </c>
      <c r="M703" s="24" t="s">
        <v>44</v>
      </c>
      <c r="N703" s="24"/>
      <c r="O703" s="24"/>
      <c r="P703" s="24"/>
      <c r="Q703" s="24" t="s">
        <v>144</v>
      </c>
      <c r="R703" s="23">
        <f>HYPERLINK("https://app.hubspot.com/contacts/8748051/record/0-2/8929748773", 8929748773)</f>
        <v>8929748773</v>
      </c>
      <c r="S703" s="24" t="s">
        <v>2336</v>
      </c>
      <c r="T703" s="28" t="s">
        <v>2337</v>
      </c>
      <c r="U703" s="24" t="s">
        <v>47</v>
      </c>
      <c r="V703" s="24"/>
      <c r="W703" s="25"/>
      <c r="X703" s="29">
        <v>451.0</v>
      </c>
      <c r="Y703" s="29">
        <v>81.0</v>
      </c>
      <c r="Z703" s="30" t="s">
        <v>64</v>
      </c>
      <c r="AA703" s="30"/>
      <c r="AB703" s="30"/>
      <c r="AC703" s="31"/>
      <c r="AD703" s="30"/>
      <c r="AE703" s="30"/>
      <c r="AF703" s="30"/>
      <c r="AG703" s="27" t="str">
        <f t="shared" si="1"/>
        <v>New Logo</v>
      </c>
      <c r="AH703" s="27" t="str">
        <f t="shared" si="5"/>
        <v>Lead</v>
      </c>
      <c r="AI703" s="27" t="str">
        <f t="shared" si="6"/>
        <v>201-500</v>
      </c>
      <c r="AJ703" s="27" t="str">
        <f t="shared" si="7"/>
        <v>51-100</v>
      </c>
    </row>
    <row r="704" ht="15.75" customHeight="1">
      <c r="A704" s="23">
        <f>HYPERLINK("https://app.hubspot.com/contacts/8748051/record/0-3/16974250360", 16974250360)</f>
        <v>16974250360</v>
      </c>
      <c r="B704" s="24" t="s">
        <v>2338</v>
      </c>
      <c r="C704" s="24" t="s">
        <v>50</v>
      </c>
      <c r="D704" s="25">
        <v>91500.0</v>
      </c>
      <c r="E704" s="24" t="s">
        <v>73</v>
      </c>
      <c r="F704" s="24"/>
      <c r="G704" s="26">
        <v>45307.495150462964</v>
      </c>
      <c r="H704" s="26">
        <v>45412.53664351852</v>
      </c>
      <c r="I704" s="24" t="s">
        <v>40</v>
      </c>
      <c r="J704" s="24" t="s">
        <v>41</v>
      </c>
      <c r="K704" s="24" t="s">
        <v>1187</v>
      </c>
      <c r="L704" s="24" t="s">
        <v>560</v>
      </c>
      <c r="M704" s="24" t="s">
        <v>44</v>
      </c>
      <c r="N704" s="24"/>
      <c r="O704" s="24"/>
      <c r="P704" s="24" t="s">
        <v>213</v>
      </c>
      <c r="Q704" s="24"/>
      <c r="R704" s="23">
        <f>HYPERLINK("https://app.hubspot.com/contacts/8748051/record/0-2/7752315399", 7752315399)</f>
        <v>7752315399</v>
      </c>
      <c r="S704" s="24" t="s">
        <v>2339</v>
      </c>
      <c r="T704" s="28" t="s">
        <v>2340</v>
      </c>
      <c r="U704" s="24" t="s">
        <v>47</v>
      </c>
      <c r="V704" s="24"/>
      <c r="W704" s="25"/>
      <c r="X704" s="29">
        <v>1106.0</v>
      </c>
      <c r="Y704" s="29">
        <v>123.0</v>
      </c>
      <c r="Z704" s="30" t="s">
        <v>81</v>
      </c>
      <c r="AA704" s="30"/>
      <c r="AB704" s="31"/>
      <c r="AC704" s="31"/>
      <c r="AD704" s="30"/>
      <c r="AE704" s="30"/>
      <c r="AF704" s="30"/>
      <c r="AG704" s="27" t="str">
        <f t="shared" si="1"/>
        <v>New Logo</v>
      </c>
      <c r="AH704" s="27" t="str">
        <f t="shared" si="5"/>
        <v>Lead</v>
      </c>
      <c r="AI704" s="27" t="str">
        <f t="shared" si="6"/>
        <v>1001-5000</v>
      </c>
      <c r="AJ704" s="27" t="str">
        <f t="shared" si="7"/>
        <v>101-500</v>
      </c>
    </row>
    <row r="705" ht="15.75" customHeight="1">
      <c r="A705" s="23">
        <f>HYPERLINK("https://app.hubspot.com/contacts/8748051/record/0-3/16974075299", 16974075299)</f>
        <v>16974075299</v>
      </c>
      <c r="B705" s="24" t="s">
        <v>2341</v>
      </c>
      <c r="C705" s="24" t="s">
        <v>50</v>
      </c>
      <c r="D705" s="25">
        <v>100000.0</v>
      </c>
      <c r="E705" s="24" t="s">
        <v>73</v>
      </c>
      <c r="F705" s="24"/>
      <c r="G705" s="26">
        <v>45307.48270833334</v>
      </c>
      <c r="H705" s="26">
        <v>45412.524189814816</v>
      </c>
      <c r="I705" s="24" t="s">
        <v>40</v>
      </c>
      <c r="J705" s="24" t="s">
        <v>41</v>
      </c>
      <c r="K705" s="24" t="s">
        <v>1187</v>
      </c>
      <c r="L705" s="24" t="s">
        <v>560</v>
      </c>
      <c r="M705" s="24" t="s">
        <v>44</v>
      </c>
      <c r="N705" s="24"/>
      <c r="O705" s="27"/>
      <c r="P705" s="24" t="s">
        <v>122</v>
      </c>
      <c r="Q705" s="24"/>
      <c r="R705" s="23">
        <f>HYPERLINK("https://app.hubspot.com/contacts/8748051/record/0-2/8921968153", 8921968153)</f>
        <v>8921968153</v>
      </c>
      <c r="S705" s="24" t="s">
        <v>2342</v>
      </c>
      <c r="T705" s="28" t="s">
        <v>2343</v>
      </c>
      <c r="U705" s="24" t="s">
        <v>47</v>
      </c>
      <c r="V705" s="24"/>
      <c r="W705" s="25"/>
      <c r="X705" s="29">
        <v>3357.0</v>
      </c>
      <c r="Y705" s="29">
        <v>456.0</v>
      </c>
      <c r="Z705" s="30" t="s">
        <v>456</v>
      </c>
      <c r="AA705" s="30"/>
      <c r="AB705" s="30"/>
      <c r="AC705" s="31"/>
      <c r="AD705" s="30"/>
      <c r="AE705" s="30"/>
      <c r="AF705" s="30"/>
      <c r="AG705" s="27" t="str">
        <f t="shared" si="1"/>
        <v>New Logo</v>
      </c>
      <c r="AH705" s="27" t="str">
        <f t="shared" si="5"/>
        <v>Lead</v>
      </c>
      <c r="AI705" s="27" t="str">
        <f t="shared" si="6"/>
        <v>1001-5000</v>
      </c>
      <c r="AJ705" s="27" t="str">
        <f t="shared" si="7"/>
        <v>101-500</v>
      </c>
    </row>
    <row r="706" ht="15.75" customHeight="1">
      <c r="A706" s="23">
        <f>HYPERLINK("https://app.hubspot.com/contacts/8748051/record/0-3/16969602603", 16969602603)</f>
        <v>16969602603</v>
      </c>
      <c r="B706" s="24" t="s">
        <v>2344</v>
      </c>
      <c r="C706" s="24" t="s">
        <v>1009</v>
      </c>
      <c r="D706" s="25">
        <v>100000.0</v>
      </c>
      <c r="E706" s="24" t="s">
        <v>127</v>
      </c>
      <c r="F706" s="24" t="s">
        <v>52</v>
      </c>
      <c r="G706" s="26">
        <v>45307.33321759259</v>
      </c>
      <c r="H706" s="26">
        <v>45367.373252314814</v>
      </c>
      <c r="I706" s="24" t="s">
        <v>40</v>
      </c>
      <c r="J706" s="24" t="s">
        <v>41</v>
      </c>
      <c r="K706" s="24" t="s">
        <v>60</v>
      </c>
      <c r="L706" s="24" t="s">
        <v>183</v>
      </c>
      <c r="M706" s="24" t="s">
        <v>102</v>
      </c>
      <c r="N706" s="24"/>
      <c r="O706" s="27"/>
      <c r="P706" s="24" t="s">
        <v>75</v>
      </c>
      <c r="Q706" s="24" t="s">
        <v>1568</v>
      </c>
      <c r="R706" s="23">
        <f>HYPERLINK("https://app.hubspot.com/contacts/8748051/record/0-2/18695418206", 18695418206)</f>
        <v>18695418206</v>
      </c>
      <c r="S706" s="24" t="s">
        <v>2345</v>
      </c>
      <c r="T706" s="28" t="s">
        <v>2346</v>
      </c>
      <c r="U706" s="24" t="s">
        <v>47</v>
      </c>
      <c r="V706" s="24"/>
      <c r="W706" s="25"/>
      <c r="X706" s="29">
        <v>3591.0</v>
      </c>
      <c r="Y706" s="29">
        <v>351.0</v>
      </c>
      <c r="Z706" s="30"/>
      <c r="AA706" s="30"/>
      <c r="AB706" s="31"/>
      <c r="AC706" s="31"/>
      <c r="AD706" s="30"/>
      <c r="AE706" s="31"/>
      <c r="AF706" s="30"/>
      <c r="AG706" s="27" t="str">
        <f t="shared" si="1"/>
        <v>New Logo</v>
      </c>
      <c r="AH706" s="27" t="str">
        <f t="shared" si="5"/>
        <v>Lead</v>
      </c>
      <c r="AI706" s="27" t="str">
        <f t="shared" si="6"/>
        <v>1001-5000</v>
      </c>
      <c r="AJ706" s="27" t="str">
        <f t="shared" si="7"/>
        <v>101-500</v>
      </c>
    </row>
    <row r="707" ht="15.75" customHeight="1">
      <c r="A707" s="23">
        <f>HYPERLINK("https://app.hubspot.com/contacts/8748051/record/0-3/16967146657", 16967146657)</f>
        <v>16967146657</v>
      </c>
      <c r="B707" s="24" t="s">
        <v>2347</v>
      </c>
      <c r="C707" s="24" t="s">
        <v>50</v>
      </c>
      <c r="D707" s="25">
        <v>36000.0</v>
      </c>
      <c r="E707" s="24" t="s">
        <v>127</v>
      </c>
      <c r="F707" s="24" t="s">
        <v>52</v>
      </c>
      <c r="G707" s="26">
        <v>45307.19084490741</v>
      </c>
      <c r="H707" s="26">
        <v>45412.179293981484</v>
      </c>
      <c r="I707" s="24" t="s">
        <v>40</v>
      </c>
      <c r="J707" s="24" t="s">
        <v>41</v>
      </c>
      <c r="K707" s="24" t="s">
        <v>60</v>
      </c>
      <c r="L707" s="24" t="s">
        <v>178</v>
      </c>
      <c r="M707" s="24" t="s">
        <v>102</v>
      </c>
      <c r="N707" s="27"/>
      <c r="O707" s="24"/>
      <c r="P707" s="24"/>
      <c r="Q707" s="24" t="s">
        <v>128</v>
      </c>
      <c r="R707" s="23">
        <f>HYPERLINK("https://app.hubspot.com/contacts/8748051/record/0-2/8762803843", 8762803843)</f>
        <v>8762803843</v>
      </c>
      <c r="S707" s="24" t="s">
        <v>2348</v>
      </c>
      <c r="T707" s="28" t="s">
        <v>2349</v>
      </c>
      <c r="U707" s="24" t="s">
        <v>47</v>
      </c>
      <c r="V707" s="24"/>
      <c r="W707" s="32"/>
      <c r="X707" s="29">
        <v>422.0</v>
      </c>
      <c r="Y707" s="29">
        <v>74.0</v>
      </c>
      <c r="Z707" s="30"/>
      <c r="AA707" s="31"/>
      <c r="AB707" s="31"/>
      <c r="AC707" s="31"/>
      <c r="AD707" s="31"/>
      <c r="AE707" s="31"/>
      <c r="AF707" s="31"/>
      <c r="AG707" s="27" t="str">
        <f t="shared" si="1"/>
        <v>New Logo</v>
      </c>
      <c r="AH707" s="27" t="str">
        <f t="shared" si="5"/>
        <v>Lead</v>
      </c>
      <c r="AI707" s="27" t="str">
        <f t="shared" si="6"/>
        <v>201-500</v>
      </c>
      <c r="AJ707" s="27" t="str">
        <f t="shared" si="7"/>
        <v>51-100</v>
      </c>
    </row>
    <row r="708" ht="15.75" customHeight="1">
      <c r="A708" s="23">
        <f>HYPERLINK("https://app.hubspot.com/contacts/8748051/record/0-3/16909949611", 16909949611)</f>
        <v>16909949611</v>
      </c>
      <c r="B708" s="24" t="s">
        <v>2350</v>
      </c>
      <c r="C708" s="24" t="s">
        <v>50</v>
      </c>
      <c r="D708" s="25">
        <v>93500.0</v>
      </c>
      <c r="E708" s="24" t="s">
        <v>73</v>
      </c>
      <c r="F708" s="24"/>
      <c r="G708" s="26">
        <v>45303.463321759256</v>
      </c>
      <c r="H708" s="26">
        <v>45412.50480324074</v>
      </c>
      <c r="I708" s="24" t="s">
        <v>40</v>
      </c>
      <c r="J708" s="24" t="s">
        <v>41</v>
      </c>
      <c r="K708" s="24" t="s">
        <v>1187</v>
      </c>
      <c r="L708" s="24" t="s">
        <v>560</v>
      </c>
      <c r="M708" s="24" t="s">
        <v>44</v>
      </c>
      <c r="N708" s="24"/>
      <c r="O708" s="24"/>
      <c r="P708" s="24" t="s">
        <v>75</v>
      </c>
      <c r="Q708" s="27"/>
      <c r="R708" s="23">
        <f>HYPERLINK("https://app.hubspot.com/contacts/8748051/record/0-2/18354000145", 18354000145)</f>
        <v>18354000145</v>
      </c>
      <c r="S708" s="24" t="s">
        <v>707</v>
      </c>
      <c r="T708" s="28" t="s">
        <v>708</v>
      </c>
      <c r="U708" s="24" t="s">
        <v>47</v>
      </c>
      <c r="V708" s="24"/>
      <c r="W708" s="25"/>
      <c r="X708" s="29">
        <v>1345.0</v>
      </c>
      <c r="Y708" s="29">
        <v>267.0</v>
      </c>
      <c r="Z708" s="30" t="s">
        <v>64</v>
      </c>
      <c r="AA708" s="30"/>
      <c r="AB708" s="30"/>
      <c r="AC708" s="31"/>
      <c r="AD708" s="30"/>
      <c r="AE708" s="30"/>
      <c r="AF708" s="30"/>
      <c r="AG708" s="27" t="str">
        <f t="shared" si="1"/>
        <v>New Logo</v>
      </c>
      <c r="AH708" s="27" t="str">
        <f t="shared" si="5"/>
        <v>Lead</v>
      </c>
      <c r="AI708" s="27" t="str">
        <f t="shared" si="6"/>
        <v>1001-5000</v>
      </c>
      <c r="AJ708" s="27" t="str">
        <f t="shared" si="7"/>
        <v>101-500</v>
      </c>
    </row>
    <row r="709" ht="15.75" customHeight="1">
      <c r="A709" s="23">
        <f>HYPERLINK("https://app.hubspot.com/contacts/8748051/record/0-3/16896494634", 16896494634)</f>
        <v>16896494634</v>
      </c>
      <c r="B709" s="24" t="s">
        <v>2351</v>
      </c>
      <c r="C709" s="24" t="s">
        <v>50</v>
      </c>
      <c r="D709" s="25">
        <v>20000.0</v>
      </c>
      <c r="E709" s="24" t="s">
        <v>149</v>
      </c>
      <c r="F709" s="24" t="s">
        <v>52</v>
      </c>
      <c r="G709" s="26">
        <v>45302.58241898148</v>
      </c>
      <c r="H709" s="26">
        <v>45431.688738425924</v>
      </c>
      <c r="I709" s="24" t="s">
        <v>40</v>
      </c>
      <c r="J709" s="24" t="s">
        <v>41</v>
      </c>
      <c r="K709" s="24" t="s">
        <v>1187</v>
      </c>
      <c r="L709" s="24" t="s">
        <v>560</v>
      </c>
      <c r="M709" s="24" t="s">
        <v>44</v>
      </c>
      <c r="N709" s="24"/>
      <c r="O709" s="24" t="s">
        <v>2352</v>
      </c>
      <c r="P709" s="24"/>
      <c r="Q709" s="27"/>
      <c r="R709" s="23">
        <f>HYPERLINK("https://app.hubspot.com/contacts/8748051/record/0-2/16376165937", 16376165937)</f>
        <v>16376165937</v>
      </c>
      <c r="S709" s="24" t="s">
        <v>2353</v>
      </c>
      <c r="T709" s="28" t="s">
        <v>2354</v>
      </c>
      <c r="U709" s="24" t="s">
        <v>47</v>
      </c>
      <c r="V709" s="24"/>
      <c r="W709" s="25"/>
      <c r="X709" s="29">
        <v>512.0</v>
      </c>
      <c r="Y709" s="29">
        <v>85.0</v>
      </c>
      <c r="Z709" s="30" t="s">
        <v>64</v>
      </c>
      <c r="AA709" s="30"/>
      <c r="AB709" s="31"/>
      <c r="AC709" s="31"/>
      <c r="AD709" s="30"/>
      <c r="AE709" s="31"/>
      <c r="AF709" s="30"/>
      <c r="AG709" s="27" t="str">
        <f t="shared" si="1"/>
        <v>New Logo</v>
      </c>
      <c r="AH709" s="27" t="str">
        <f t="shared" si="5"/>
        <v>Lead</v>
      </c>
      <c r="AI709" s="27" t="str">
        <f t="shared" si="6"/>
        <v>501-1000</v>
      </c>
      <c r="AJ709" s="27" t="str">
        <f t="shared" si="7"/>
        <v>51-100</v>
      </c>
    </row>
    <row r="710" ht="15.75" customHeight="1">
      <c r="A710" s="23">
        <f>HYPERLINK("https://app.hubspot.com/contacts/8748051/record/0-3/16895319697", 16895319697)</f>
        <v>16895319697</v>
      </c>
      <c r="B710" s="24" t="s">
        <v>2355</v>
      </c>
      <c r="C710" s="24" t="s">
        <v>2305</v>
      </c>
      <c r="D710" s="25">
        <v>46600.0</v>
      </c>
      <c r="E710" s="24" t="s">
        <v>92</v>
      </c>
      <c r="F710" s="24" t="s">
        <v>52</v>
      </c>
      <c r="G710" s="26">
        <v>45302.494259259256</v>
      </c>
      <c r="H710" s="26">
        <v>45489.58070601852</v>
      </c>
      <c r="I710" s="24" t="s">
        <v>40</v>
      </c>
      <c r="J710" s="24" t="s">
        <v>53</v>
      </c>
      <c r="K710" s="24" t="s">
        <v>1187</v>
      </c>
      <c r="L710" s="24" t="s">
        <v>178</v>
      </c>
      <c r="M710" s="24" t="s">
        <v>44</v>
      </c>
      <c r="N710" s="24" t="s">
        <v>2356</v>
      </c>
      <c r="O710" s="27"/>
      <c r="P710" s="24"/>
      <c r="Q710" s="27"/>
      <c r="R710" s="23">
        <f>HYPERLINK("https://app.hubspot.com/contacts/8748051/record/0-2/7686762401", 7686762401)</f>
        <v>7686762401</v>
      </c>
      <c r="S710" s="24" t="s">
        <v>908</v>
      </c>
      <c r="T710" s="28" t="s">
        <v>909</v>
      </c>
      <c r="U710" s="24" t="s">
        <v>96</v>
      </c>
      <c r="V710" s="24"/>
      <c r="W710" s="25">
        <v>48465.0</v>
      </c>
      <c r="X710" s="29">
        <v>966.0</v>
      </c>
      <c r="Y710" s="29">
        <v>102.0</v>
      </c>
      <c r="Z710" s="30"/>
      <c r="AA710" s="30" t="s">
        <v>207</v>
      </c>
      <c r="AB710" s="30"/>
      <c r="AC710" s="30"/>
      <c r="AD710" s="30" t="s">
        <v>910</v>
      </c>
      <c r="AE710" s="30"/>
      <c r="AF710" s="30" t="s">
        <v>554</v>
      </c>
      <c r="AG710" s="27" t="str">
        <f t="shared" si="1"/>
        <v>New Logo</v>
      </c>
      <c r="AH710" s="27" t="str">
        <f t="shared" si="5"/>
        <v>Customer</v>
      </c>
      <c r="AI710" s="27" t="str">
        <f t="shared" si="6"/>
        <v>501-1000</v>
      </c>
      <c r="AJ710" s="27" t="str">
        <f t="shared" si="7"/>
        <v>101-500</v>
      </c>
    </row>
    <row r="711" ht="15.75" customHeight="1">
      <c r="A711" s="23">
        <f>HYPERLINK("https://app.hubspot.com/contacts/8748051/record/0-3/16883612470", 16883612470)</f>
        <v>16883612470</v>
      </c>
      <c r="B711" s="24" t="s">
        <v>2357</v>
      </c>
      <c r="C711" s="24" t="s">
        <v>50</v>
      </c>
      <c r="D711" s="25">
        <v>100000.0</v>
      </c>
      <c r="E711" s="24" t="s">
        <v>73</v>
      </c>
      <c r="F711" s="24"/>
      <c r="G711" s="26">
        <v>45301.57811342592</v>
      </c>
      <c r="H711" s="26">
        <v>45412.61954861111</v>
      </c>
      <c r="I711" s="24" t="s">
        <v>40</v>
      </c>
      <c r="J711" s="24" t="s">
        <v>53</v>
      </c>
      <c r="K711" s="24" t="s">
        <v>1187</v>
      </c>
      <c r="L711" s="24" t="s">
        <v>560</v>
      </c>
      <c r="M711" s="24" t="s">
        <v>44</v>
      </c>
      <c r="N711" s="24"/>
      <c r="O711" s="27"/>
      <c r="P711" s="24" t="s">
        <v>213</v>
      </c>
      <c r="Q711" s="24"/>
      <c r="R711" s="23">
        <f>HYPERLINK("https://app.hubspot.com/contacts/8748051/record/0-2/9793677612", 9793677612)</f>
        <v>9793677612</v>
      </c>
      <c r="S711" s="24" t="s">
        <v>2358</v>
      </c>
      <c r="T711" s="28" t="s">
        <v>2359</v>
      </c>
      <c r="U711" s="24" t="s">
        <v>47</v>
      </c>
      <c r="V711" s="24"/>
      <c r="W711" s="25"/>
      <c r="X711" s="29">
        <v>3318.0</v>
      </c>
      <c r="Y711" s="29">
        <v>562.0</v>
      </c>
      <c r="Z711" s="30" t="s">
        <v>456</v>
      </c>
      <c r="AA711" s="30"/>
      <c r="AB711" s="30"/>
      <c r="AC711" s="30"/>
      <c r="AD711" s="30"/>
      <c r="AE711" s="30"/>
      <c r="AF711" s="30"/>
      <c r="AG711" s="27" t="str">
        <f t="shared" si="1"/>
        <v>New Logo</v>
      </c>
      <c r="AH711" s="27" t="str">
        <f t="shared" si="5"/>
        <v>Lead</v>
      </c>
      <c r="AI711" s="27" t="str">
        <f t="shared" si="6"/>
        <v>1001-5000</v>
      </c>
      <c r="AJ711" s="27" t="str">
        <f t="shared" si="7"/>
        <v>500+</v>
      </c>
    </row>
    <row r="712" ht="15.75" customHeight="1">
      <c r="A712" s="23">
        <f>HYPERLINK("https://app.hubspot.com/contacts/8748051/record/0-3/16878472798", 16878472798)</f>
        <v>16878472798</v>
      </c>
      <c r="B712" s="24" t="s">
        <v>2360</v>
      </c>
      <c r="C712" s="24" t="s">
        <v>2305</v>
      </c>
      <c r="D712" s="25">
        <v>25000.0</v>
      </c>
      <c r="E712" s="24" t="s">
        <v>92</v>
      </c>
      <c r="F712" s="24" t="s">
        <v>52</v>
      </c>
      <c r="G712" s="26">
        <v>45301.30631944445</v>
      </c>
      <c r="H712" s="26">
        <v>45351.81851851852</v>
      </c>
      <c r="I712" s="24" t="s">
        <v>40</v>
      </c>
      <c r="J712" s="24" t="s">
        <v>41</v>
      </c>
      <c r="K712" s="24" t="s">
        <v>1187</v>
      </c>
      <c r="L712" s="24" t="s">
        <v>560</v>
      </c>
      <c r="M712" s="24" t="s">
        <v>44</v>
      </c>
      <c r="N712" s="24" t="s">
        <v>2361</v>
      </c>
      <c r="O712" s="27"/>
      <c r="P712" s="24"/>
      <c r="Q712" s="24"/>
      <c r="R712" s="23">
        <f>HYPERLINK("https://app.hubspot.com/contacts/8748051/record/0-2/18382656883", 18382656883)</f>
        <v>18382656883</v>
      </c>
      <c r="S712" s="24" t="s">
        <v>304</v>
      </c>
      <c r="T712" s="28" t="s">
        <v>305</v>
      </c>
      <c r="U712" s="24" t="s">
        <v>96</v>
      </c>
      <c r="V712" s="24"/>
      <c r="W712" s="25">
        <v>27480.0</v>
      </c>
      <c r="X712" s="29">
        <v>210.0</v>
      </c>
      <c r="Y712" s="29">
        <v>16.0</v>
      </c>
      <c r="Z712" s="30"/>
      <c r="AA712" s="30" t="s">
        <v>207</v>
      </c>
      <c r="AB712" s="30" t="s">
        <v>194</v>
      </c>
      <c r="AC712" s="31"/>
      <c r="AD712" s="30" t="s">
        <v>306</v>
      </c>
      <c r="AE712" s="30" t="s">
        <v>307</v>
      </c>
      <c r="AF712" s="30" t="s">
        <v>169</v>
      </c>
      <c r="AG712" s="27" t="str">
        <f t="shared" si="1"/>
        <v>New Logo</v>
      </c>
      <c r="AH712" s="27" t="str">
        <f t="shared" si="5"/>
        <v>Customer</v>
      </c>
      <c r="AI712" s="27" t="str">
        <f t="shared" si="6"/>
        <v>201-500</v>
      </c>
      <c r="AJ712" s="27" t="str">
        <f t="shared" si="7"/>
        <v>0-20</v>
      </c>
    </row>
    <row r="713" ht="15.75" customHeight="1">
      <c r="A713" s="23">
        <f>HYPERLINK("https://app.hubspot.com/contacts/8748051/record/0-3/16853343638", 16853343638)</f>
        <v>16853343638</v>
      </c>
      <c r="B713" s="24" t="s">
        <v>2362</v>
      </c>
      <c r="C713" s="24" t="s">
        <v>50</v>
      </c>
      <c r="D713" s="25">
        <v>11500.0</v>
      </c>
      <c r="E713" s="24" t="s">
        <v>73</v>
      </c>
      <c r="F713" s="24"/>
      <c r="G713" s="26">
        <v>45299.48134259259</v>
      </c>
      <c r="H713" s="26">
        <v>45471.63837962963</v>
      </c>
      <c r="I713" s="24" t="s">
        <v>40</v>
      </c>
      <c r="J713" s="24" t="s">
        <v>41</v>
      </c>
      <c r="K713" s="24" t="s">
        <v>1187</v>
      </c>
      <c r="L713" s="24" t="s">
        <v>560</v>
      </c>
      <c r="M713" s="24" t="s">
        <v>44</v>
      </c>
      <c r="N713" s="24"/>
      <c r="O713" s="24"/>
      <c r="P713" s="24" t="s">
        <v>75</v>
      </c>
      <c r="Q713" s="24"/>
      <c r="R713" s="23">
        <f>HYPERLINK("https://app.hubspot.com/contacts/8748051/record/0-2/6816443217", 6816443217)</f>
        <v>6816443217</v>
      </c>
      <c r="S713" s="24" t="s">
        <v>2363</v>
      </c>
      <c r="T713" s="28" t="s">
        <v>2364</v>
      </c>
      <c r="U713" s="24" t="s">
        <v>47</v>
      </c>
      <c r="V713" s="24"/>
      <c r="W713" s="25"/>
      <c r="X713" s="29">
        <v>116.0</v>
      </c>
      <c r="Y713" s="29">
        <v>27.0</v>
      </c>
      <c r="Z713" s="30"/>
      <c r="AA713" s="31"/>
      <c r="AB713" s="31"/>
      <c r="AC713" s="31"/>
      <c r="AD713" s="31"/>
      <c r="AE713" s="31"/>
      <c r="AF713" s="31"/>
      <c r="AG713" s="27" t="str">
        <f t="shared" si="1"/>
        <v>New Logo</v>
      </c>
      <c r="AH713" s="27" t="str">
        <f t="shared" si="5"/>
        <v>Lead</v>
      </c>
      <c r="AI713" s="27" t="str">
        <f t="shared" si="6"/>
        <v>0-200</v>
      </c>
      <c r="AJ713" s="27" t="str">
        <f t="shared" si="7"/>
        <v>21-50</v>
      </c>
    </row>
    <row r="714" ht="15.75" customHeight="1">
      <c r="A714" s="23">
        <f>HYPERLINK("https://app.hubspot.com/contacts/8748051/record/0-3/16853102238", 16853102238)</f>
        <v>16853102238</v>
      </c>
      <c r="B714" s="24" t="s">
        <v>2365</v>
      </c>
      <c r="C714" s="24" t="s">
        <v>50</v>
      </c>
      <c r="D714" s="25">
        <v>10500.0</v>
      </c>
      <c r="E714" s="24" t="s">
        <v>73</v>
      </c>
      <c r="F714" s="24"/>
      <c r="G714" s="26">
        <v>45299.45953703704</v>
      </c>
      <c r="H714" s="26">
        <v>45412.50067129629</v>
      </c>
      <c r="I714" s="24" t="s">
        <v>40</v>
      </c>
      <c r="J714" s="24" t="s">
        <v>41</v>
      </c>
      <c r="K714" s="24" t="s">
        <v>1187</v>
      </c>
      <c r="L714" s="24" t="s">
        <v>560</v>
      </c>
      <c r="M714" s="24" t="s">
        <v>44</v>
      </c>
      <c r="N714" s="27"/>
      <c r="O714" s="24"/>
      <c r="P714" s="24" t="s">
        <v>122</v>
      </c>
      <c r="Q714" s="27"/>
      <c r="R714" s="23">
        <f>HYPERLINK("https://app.hubspot.com/contacts/8748051/record/0-2/8003803471", 8003803471)</f>
        <v>8003803471</v>
      </c>
      <c r="S714" s="24" t="s">
        <v>2366</v>
      </c>
      <c r="T714" s="28" t="s">
        <v>2367</v>
      </c>
      <c r="U714" s="24" t="s">
        <v>47</v>
      </c>
      <c r="V714" s="24"/>
      <c r="W714" s="32"/>
      <c r="X714" s="29">
        <v>242.0</v>
      </c>
      <c r="Y714" s="29">
        <v>26.0</v>
      </c>
      <c r="Z714" s="30" t="s">
        <v>2368</v>
      </c>
      <c r="AA714" s="31"/>
      <c r="AB714" s="31"/>
      <c r="AC714" s="31"/>
      <c r="AD714" s="31"/>
      <c r="AE714" s="31"/>
      <c r="AF714" s="31"/>
      <c r="AG714" s="27" t="str">
        <f t="shared" si="1"/>
        <v>New Logo</v>
      </c>
      <c r="AH714" s="27" t="str">
        <f t="shared" si="5"/>
        <v>Lead</v>
      </c>
      <c r="AI714" s="27" t="str">
        <f t="shared" si="6"/>
        <v>201-500</v>
      </c>
      <c r="AJ714" s="27" t="str">
        <f t="shared" si="7"/>
        <v>21-50</v>
      </c>
    </row>
    <row r="715" ht="15.75" customHeight="1">
      <c r="A715" s="23">
        <f>HYPERLINK("https://app.hubspot.com/contacts/8748051/record/0-3/16852846504", 16852846504)</f>
        <v>16852846504</v>
      </c>
      <c r="B715" s="24" t="s">
        <v>2369</v>
      </c>
      <c r="C715" s="24" t="s">
        <v>50</v>
      </c>
      <c r="D715" s="25">
        <v>4000.0</v>
      </c>
      <c r="E715" s="24" t="s">
        <v>73</v>
      </c>
      <c r="F715" s="24"/>
      <c r="G715" s="26">
        <v>45299.42010416667</v>
      </c>
      <c r="H715" s="26">
        <v>45412.461377314816</v>
      </c>
      <c r="I715" s="24" t="s">
        <v>40</v>
      </c>
      <c r="J715" s="24" t="s">
        <v>41</v>
      </c>
      <c r="K715" s="24" t="s">
        <v>1187</v>
      </c>
      <c r="L715" s="24" t="s">
        <v>560</v>
      </c>
      <c r="M715" s="24" t="s">
        <v>44</v>
      </c>
      <c r="N715" s="24"/>
      <c r="O715" s="24"/>
      <c r="P715" s="24" t="s">
        <v>213</v>
      </c>
      <c r="Q715" s="27"/>
      <c r="R715" s="23">
        <f>HYPERLINK("https://app.hubspot.com/contacts/8748051/record/0-2/18382825985", 18382825985)</f>
        <v>18382825985</v>
      </c>
      <c r="S715" s="24" t="s">
        <v>2370</v>
      </c>
      <c r="T715" s="28" t="s">
        <v>2371</v>
      </c>
      <c r="U715" s="24" t="s">
        <v>47</v>
      </c>
      <c r="V715" s="24"/>
      <c r="W715" s="25"/>
      <c r="X715" s="29">
        <v>183.0</v>
      </c>
      <c r="Y715" s="29">
        <v>17.0</v>
      </c>
      <c r="Z715" s="30" t="s">
        <v>64</v>
      </c>
      <c r="AA715" s="30"/>
      <c r="AB715" s="31"/>
      <c r="AC715" s="31"/>
      <c r="AD715" s="30"/>
      <c r="AE715" s="31"/>
      <c r="AF715" s="30"/>
      <c r="AG715" s="27" t="str">
        <f t="shared" si="1"/>
        <v>New Logo</v>
      </c>
      <c r="AH715" s="27" t="str">
        <f t="shared" si="5"/>
        <v>Lead</v>
      </c>
      <c r="AI715" s="27" t="str">
        <f t="shared" si="6"/>
        <v>0-200</v>
      </c>
      <c r="AJ715" s="27" t="str">
        <f t="shared" si="7"/>
        <v>0-20</v>
      </c>
    </row>
    <row r="716" ht="15.75" customHeight="1">
      <c r="A716" s="23">
        <f>HYPERLINK("https://app.hubspot.com/contacts/8748051/record/0-3/16807714365", 16807714365)</f>
        <v>16807714365</v>
      </c>
      <c r="B716" s="24" t="s">
        <v>2372</v>
      </c>
      <c r="C716" s="24" t="s">
        <v>148</v>
      </c>
      <c r="D716" s="25">
        <v>38500.0</v>
      </c>
      <c r="E716" s="24" t="s">
        <v>73</v>
      </c>
      <c r="F716" s="24"/>
      <c r="G716" s="26">
        <v>45295.48645833333</v>
      </c>
      <c r="H716" s="26">
        <v>45566.45340277778</v>
      </c>
      <c r="I716" s="24" t="s">
        <v>40</v>
      </c>
      <c r="J716" s="24" t="s">
        <v>41</v>
      </c>
      <c r="K716" s="24" t="s">
        <v>1187</v>
      </c>
      <c r="L716" s="24" t="s">
        <v>560</v>
      </c>
      <c r="M716" s="24"/>
      <c r="N716" s="24"/>
      <c r="O716" s="27"/>
      <c r="P716" s="24"/>
      <c r="Q716" s="24"/>
      <c r="R716" s="23">
        <f>HYPERLINK("https://app.hubspot.com/contacts/8748051/record/0-2/8142158894", 8142158894)</f>
        <v>8142158894</v>
      </c>
      <c r="S716" s="24" t="s">
        <v>2373</v>
      </c>
      <c r="T716" s="28" t="s">
        <v>2374</v>
      </c>
      <c r="U716" s="24" t="s">
        <v>47</v>
      </c>
      <c r="V716" s="24"/>
      <c r="W716" s="25"/>
      <c r="X716" s="29">
        <v>542.0</v>
      </c>
      <c r="Y716" s="29">
        <v>98.0</v>
      </c>
      <c r="Z716" s="30" t="s">
        <v>108</v>
      </c>
      <c r="AA716" s="30"/>
      <c r="AB716" s="31"/>
      <c r="AC716" s="30"/>
      <c r="AD716" s="30"/>
      <c r="AE716" s="30"/>
      <c r="AF716" s="30"/>
      <c r="AG716" s="27" t="str">
        <f t="shared" si="1"/>
        <v>New Logo</v>
      </c>
      <c r="AH716" s="27" t="str">
        <f t="shared" si="5"/>
        <v>Lead</v>
      </c>
      <c r="AI716" s="27" t="str">
        <f t="shared" si="6"/>
        <v>501-1000</v>
      </c>
      <c r="AJ716" s="27" t="str">
        <f t="shared" si="7"/>
        <v>51-100</v>
      </c>
    </row>
    <row r="717" ht="15.75" customHeight="1">
      <c r="A717" s="23">
        <f>HYPERLINK("https://app.hubspot.com/contacts/8748051/record/0-3/16622118027", 16622118027)</f>
        <v>16622118027</v>
      </c>
      <c r="B717" s="24" t="s">
        <v>2375</v>
      </c>
      <c r="C717" s="24" t="s">
        <v>38</v>
      </c>
      <c r="D717" s="25">
        <v>64000.0</v>
      </c>
      <c r="E717" s="24" t="s">
        <v>73</v>
      </c>
      <c r="F717" s="24"/>
      <c r="G717" s="26">
        <v>45281.58541666667</v>
      </c>
      <c r="H717" s="26">
        <v>45471.64009259259</v>
      </c>
      <c r="I717" s="24" t="s">
        <v>40</v>
      </c>
      <c r="J717" s="24" t="s">
        <v>41</v>
      </c>
      <c r="K717" s="24" t="s">
        <v>1187</v>
      </c>
      <c r="L717" s="24" t="s">
        <v>560</v>
      </c>
      <c r="M717" s="24" t="s">
        <v>44</v>
      </c>
      <c r="N717" s="27"/>
      <c r="O717" s="24"/>
      <c r="P717" s="24" t="s">
        <v>75</v>
      </c>
      <c r="Q717" s="24"/>
      <c r="R717" s="23">
        <f>HYPERLINK("https://app.hubspot.com/contacts/8748051/record/0-2/7945145244", 7945145244)</f>
        <v>7945145244</v>
      </c>
      <c r="S717" s="24" t="s">
        <v>2376</v>
      </c>
      <c r="T717" s="28" t="s">
        <v>2377</v>
      </c>
      <c r="U717" s="24" t="s">
        <v>47</v>
      </c>
      <c r="V717" s="24"/>
      <c r="W717" s="32"/>
      <c r="X717" s="29">
        <v>577.0</v>
      </c>
      <c r="Y717" s="29">
        <v>115.0</v>
      </c>
      <c r="Z717" s="30" t="s">
        <v>56</v>
      </c>
      <c r="AA717" s="31"/>
      <c r="AB717" s="31"/>
      <c r="AC717" s="31"/>
      <c r="AD717" s="31"/>
      <c r="AE717" s="31"/>
      <c r="AF717" s="31"/>
      <c r="AG717" s="27" t="str">
        <f t="shared" si="1"/>
        <v>New Logo</v>
      </c>
      <c r="AH717" s="27" t="str">
        <f t="shared" si="5"/>
        <v>Lead</v>
      </c>
      <c r="AI717" s="27" t="str">
        <f t="shared" si="6"/>
        <v>501-1000</v>
      </c>
      <c r="AJ717" s="27" t="str">
        <f t="shared" si="7"/>
        <v>101-500</v>
      </c>
    </row>
    <row r="718" ht="15.75" customHeight="1">
      <c r="A718" s="23">
        <f>HYPERLINK("https://app.hubspot.com/contacts/8748051/record/0-3/16619969863", 16619969863)</f>
        <v>16619969863</v>
      </c>
      <c r="B718" s="24" t="s">
        <v>2378</v>
      </c>
      <c r="C718" s="24" t="s">
        <v>1009</v>
      </c>
      <c r="D718" s="25">
        <v>26160.0</v>
      </c>
      <c r="E718" s="24" t="s">
        <v>73</v>
      </c>
      <c r="F718" s="24"/>
      <c r="G718" s="26">
        <v>45281.45155092593</v>
      </c>
      <c r="H718" s="26">
        <v>45565.42251157408</v>
      </c>
      <c r="I718" s="24" t="s">
        <v>40</v>
      </c>
      <c r="J718" s="24" t="s">
        <v>41</v>
      </c>
      <c r="K718" s="24" t="s">
        <v>1187</v>
      </c>
      <c r="L718" s="24" t="s">
        <v>560</v>
      </c>
      <c r="M718" s="24" t="s">
        <v>44</v>
      </c>
      <c r="N718" s="24"/>
      <c r="O718" s="24"/>
      <c r="P718" s="24" t="s">
        <v>122</v>
      </c>
      <c r="Q718" s="27"/>
      <c r="R718" s="23">
        <f>HYPERLINK("https://app.hubspot.com/contacts/8748051/record/0-2/18382682273", 18382682273)</f>
        <v>18382682273</v>
      </c>
      <c r="S718" s="24" t="s">
        <v>2379</v>
      </c>
      <c r="T718" s="28" t="s">
        <v>2380</v>
      </c>
      <c r="U718" s="24" t="s">
        <v>47</v>
      </c>
      <c r="V718" s="24"/>
      <c r="W718" s="25"/>
      <c r="X718" s="29">
        <v>478.0</v>
      </c>
      <c r="Y718" s="29">
        <v>105.0</v>
      </c>
      <c r="Z718" s="30" t="s">
        <v>108</v>
      </c>
      <c r="AA718" s="30"/>
      <c r="AB718" s="30"/>
      <c r="AC718" s="31"/>
      <c r="AD718" s="30"/>
      <c r="AE718" s="30"/>
      <c r="AF718" s="30"/>
      <c r="AG718" s="27" t="str">
        <f t="shared" si="1"/>
        <v>New Logo</v>
      </c>
      <c r="AH718" s="27" t="str">
        <f t="shared" si="5"/>
        <v>Lead</v>
      </c>
      <c r="AI718" s="27" t="str">
        <f t="shared" si="6"/>
        <v>201-500</v>
      </c>
      <c r="AJ718" s="27" t="str">
        <f t="shared" si="7"/>
        <v>101-500</v>
      </c>
    </row>
    <row r="719" ht="15.75" customHeight="1">
      <c r="A719" s="23">
        <f>HYPERLINK("https://app.hubspot.com/contacts/8748051/record/0-3/16591081601", 16591081601)</f>
        <v>16591081601</v>
      </c>
      <c r="B719" s="24" t="s">
        <v>2381</v>
      </c>
      <c r="C719" s="24" t="s">
        <v>50</v>
      </c>
      <c r="D719" s="25">
        <v>100000.0</v>
      </c>
      <c r="E719" s="24" t="s">
        <v>73</v>
      </c>
      <c r="F719" s="24"/>
      <c r="G719" s="26">
        <v>45279.526238425926</v>
      </c>
      <c r="H719" s="26">
        <v>45382.52587962963</v>
      </c>
      <c r="I719" s="24" t="s">
        <v>40</v>
      </c>
      <c r="J719" s="24" t="s">
        <v>41</v>
      </c>
      <c r="K719" s="24" t="s">
        <v>1187</v>
      </c>
      <c r="L719" s="24" t="s">
        <v>560</v>
      </c>
      <c r="M719" s="24" t="s">
        <v>44</v>
      </c>
      <c r="N719" s="24"/>
      <c r="O719" s="24"/>
      <c r="P719" s="24" t="s">
        <v>213</v>
      </c>
      <c r="Q719" s="24"/>
      <c r="R719" s="23">
        <f>HYPERLINK("https://app.hubspot.com/contacts/8748051/record/0-2/7882279602", 7882279602)</f>
        <v>7882279602</v>
      </c>
      <c r="S719" s="24" t="s">
        <v>2382</v>
      </c>
      <c r="T719" s="28" t="s">
        <v>2383</v>
      </c>
      <c r="U719" s="24" t="s">
        <v>47</v>
      </c>
      <c r="V719" s="24"/>
      <c r="W719" s="25"/>
      <c r="X719" s="29">
        <v>1230.0</v>
      </c>
      <c r="Y719" s="29">
        <v>234.0</v>
      </c>
      <c r="Z719" s="30" t="s">
        <v>1107</v>
      </c>
      <c r="AA719" s="30"/>
      <c r="AB719" s="30"/>
      <c r="AC719" s="30"/>
      <c r="AD719" s="30"/>
      <c r="AE719" s="30"/>
      <c r="AF719" s="30"/>
      <c r="AG719" s="27" t="str">
        <f t="shared" si="1"/>
        <v>New Logo</v>
      </c>
      <c r="AH719" s="27" t="str">
        <f t="shared" si="5"/>
        <v>Lead</v>
      </c>
      <c r="AI719" s="27" t="str">
        <f t="shared" si="6"/>
        <v>1001-5000</v>
      </c>
      <c r="AJ719" s="27" t="str">
        <f t="shared" si="7"/>
        <v>101-500</v>
      </c>
    </row>
    <row r="720" ht="15.75" customHeight="1">
      <c r="A720" s="23">
        <f>HYPERLINK("https://app.hubspot.com/contacts/8748051/record/0-3/16583441408", 16583441408)</f>
        <v>16583441408</v>
      </c>
      <c r="B720" s="24" t="s">
        <v>2384</v>
      </c>
      <c r="C720" s="24" t="s">
        <v>1009</v>
      </c>
      <c r="D720" s="25">
        <v>100000.0</v>
      </c>
      <c r="E720" s="24" t="s">
        <v>73</v>
      </c>
      <c r="F720" s="24"/>
      <c r="G720" s="26">
        <v>45279.00844907408</v>
      </c>
      <c r="H720" s="26">
        <v>45444.008564814816</v>
      </c>
      <c r="I720" s="24" t="s">
        <v>40</v>
      </c>
      <c r="J720" s="24" t="s">
        <v>41</v>
      </c>
      <c r="K720" s="24" t="s">
        <v>1187</v>
      </c>
      <c r="L720" s="24" t="s">
        <v>560</v>
      </c>
      <c r="M720" s="24" t="s">
        <v>44</v>
      </c>
      <c r="N720" s="24"/>
      <c r="O720" s="24"/>
      <c r="P720" s="24" t="s">
        <v>122</v>
      </c>
      <c r="Q720" s="24"/>
      <c r="R720" s="23">
        <f>HYPERLINK("https://app.hubspot.com/contacts/8748051/record/0-2/14809836036", 14809836036)</f>
        <v>14809836036</v>
      </c>
      <c r="S720" s="24" t="s">
        <v>2385</v>
      </c>
      <c r="T720" s="28" t="s">
        <v>2386</v>
      </c>
      <c r="U720" s="24" t="s">
        <v>47</v>
      </c>
      <c r="V720" s="24"/>
      <c r="W720" s="25"/>
      <c r="X720" s="29">
        <v>5222.0</v>
      </c>
      <c r="Y720" s="29">
        <v>704.0</v>
      </c>
      <c r="Z720" s="30" t="s">
        <v>125</v>
      </c>
      <c r="AA720" s="30"/>
      <c r="AB720" s="30"/>
      <c r="AC720" s="30"/>
      <c r="AD720" s="30"/>
      <c r="AE720" s="30"/>
      <c r="AF720" s="30"/>
      <c r="AG720" s="27" t="str">
        <f t="shared" si="1"/>
        <v>New Logo</v>
      </c>
      <c r="AH720" s="27" t="str">
        <f t="shared" si="5"/>
        <v>Lead</v>
      </c>
      <c r="AI720" s="27" t="str">
        <f t="shared" si="6"/>
        <v>5000-10000</v>
      </c>
      <c r="AJ720" s="27" t="str">
        <f t="shared" si="7"/>
        <v>500+</v>
      </c>
    </row>
    <row r="721" ht="15.75" customHeight="1">
      <c r="A721" s="23">
        <f>HYPERLINK("https://app.hubspot.com/contacts/8748051/record/0-3/16580938278", 16580938278)</f>
        <v>16580938278</v>
      </c>
      <c r="B721" s="24" t="s">
        <v>2387</v>
      </c>
      <c r="C721" s="24" t="s">
        <v>50</v>
      </c>
      <c r="D721" s="25">
        <v>2500.0</v>
      </c>
      <c r="E721" s="24" t="s">
        <v>73</v>
      </c>
      <c r="F721" s="24"/>
      <c r="G721" s="26">
        <v>45279.00587962963</v>
      </c>
      <c r="H721" s="26">
        <v>45383.005532407406</v>
      </c>
      <c r="I721" s="24" t="s">
        <v>40</v>
      </c>
      <c r="J721" s="24" t="s">
        <v>41</v>
      </c>
      <c r="K721" s="24" t="s">
        <v>1187</v>
      </c>
      <c r="L721" s="24" t="s">
        <v>560</v>
      </c>
      <c r="M721" s="24" t="s">
        <v>44</v>
      </c>
      <c r="N721" s="24"/>
      <c r="O721" s="24"/>
      <c r="P721" s="24" t="s">
        <v>213</v>
      </c>
      <c r="Q721" s="24"/>
      <c r="R721" s="23">
        <f>HYPERLINK("https://app.hubspot.com/contacts/8748051/record/0-2/18432139818", 18432139818)</f>
        <v>18432139818</v>
      </c>
      <c r="S721" s="24" t="s">
        <v>2388</v>
      </c>
      <c r="T721" s="28" t="s">
        <v>2389</v>
      </c>
      <c r="U721" s="24" t="s">
        <v>47</v>
      </c>
      <c r="V721" s="24"/>
      <c r="W721" s="25"/>
      <c r="X721" s="29">
        <v>115.0</v>
      </c>
      <c r="Y721" s="29">
        <v>5.0</v>
      </c>
      <c r="Z721" s="30"/>
      <c r="AA721" s="30"/>
      <c r="AB721" s="31"/>
      <c r="AC721" s="31"/>
      <c r="AD721" s="30"/>
      <c r="AE721" s="31"/>
      <c r="AF721" s="30"/>
      <c r="AG721" s="27" t="str">
        <f t="shared" si="1"/>
        <v>New Logo</v>
      </c>
      <c r="AH721" s="27" t="str">
        <f t="shared" si="5"/>
        <v>Lead</v>
      </c>
      <c r="AI721" s="27" t="str">
        <f t="shared" si="6"/>
        <v>0-200</v>
      </c>
      <c r="AJ721" s="27" t="str">
        <f t="shared" si="7"/>
        <v>0-20</v>
      </c>
    </row>
    <row r="722" ht="15.75" customHeight="1">
      <c r="A722" s="23">
        <f>HYPERLINK("https://app.hubspot.com/contacts/8748051/record/0-3/16580579411", 16580579411)</f>
        <v>16580579411</v>
      </c>
      <c r="B722" s="24" t="s">
        <v>2390</v>
      </c>
      <c r="C722" s="24" t="s">
        <v>148</v>
      </c>
      <c r="D722" s="25">
        <v>40000.0</v>
      </c>
      <c r="E722" s="24" t="s">
        <v>149</v>
      </c>
      <c r="F722" s="24" t="s">
        <v>52</v>
      </c>
      <c r="G722" s="26">
        <v>45278.91662037037</v>
      </c>
      <c r="H722" s="26">
        <v>45318.24916666667</v>
      </c>
      <c r="I722" s="24" t="s">
        <v>40</v>
      </c>
      <c r="J722" s="24" t="s">
        <v>53</v>
      </c>
      <c r="K722" s="24" t="s">
        <v>60</v>
      </c>
      <c r="L722" s="24" t="s">
        <v>178</v>
      </c>
      <c r="M722" s="24" t="s">
        <v>74</v>
      </c>
      <c r="N722" s="27"/>
      <c r="O722" s="24" t="s">
        <v>2391</v>
      </c>
      <c r="P722" s="24"/>
      <c r="Q722" s="24"/>
      <c r="R722" s="23">
        <f>HYPERLINK("https://app.hubspot.com/contacts/8748051/record/0-2/7668097955", 7668097955)</f>
        <v>7668097955</v>
      </c>
      <c r="S722" s="28" t="s">
        <v>2392</v>
      </c>
      <c r="T722" s="28" t="s">
        <v>2393</v>
      </c>
      <c r="U722" s="24" t="s">
        <v>47</v>
      </c>
      <c r="V722" s="24"/>
      <c r="W722" s="32"/>
      <c r="X722" s="29">
        <v>1272.0</v>
      </c>
      <c r="Y722" s="29">
        <v>127.0</v>
      </c>
      <c r="Z722" s="30" t="s">
        <v>81</v>
      </c>
      <c r="AA722" s="31"/>
      <c r="AB722" s="31"/>
      <c r="AC722" s="31"/>
      <c r="AD722" s="31"/>
      <c r="AE722" s="31"/>
      <c r="AF722" s="31"/>
      <c r="AG722" s="27" t="str">
        <f t="shared" si="1"/>
        <v>New Logo</v>
      </c>
      <c r="AH722" s="27" t="str">
        <f t="shared" si="5"/>
        <v>Lead</v>
      </c>
      <c r="AI722" s="27" t="str">
        <f t="shared" si="6"/>
        <v>1001-5000</v>
      </c>
      <c r="AJ722" s="27" t="str">
        <f t="shared" si="7"/>
        <v>101-500</v>
      </c>
    </row>
    <row r="723" ht="15.75" customHeight="1">
      <c r="A723" s="23">
        <f>HYPERLINK("https://app.hubspot.com/contacts/8748051/record/0-3/16575647146", 16575647146)</f>
        <v>16575647146</v>
      </c>
      <c r="B723" s="24" t="s">
        <v>2394</v>
      </c>
      <c r="C723" s="24" t="s">
        <v>1009</v>
      </c>
      <c r="D723" s="25">
        <v>83000.0</v>
      </c>
      <c r="E723" s="24" t="s">
        <v>73</v>
      </c>
      <c r="F723" s="24"/>
      <c r="G723" s="26">
        <v>45278.45413194445</v>
      </c>
      <c r="H723" s="26">
        <v>45382.45134259259</v>
      </c>
      <c r="I723" s="24" t="s">
        <v>40</v>
      </c>
      <c r="J723" s="24" t="s">
        <v>41</v>
      </c>
      <c r="K723" s="24" t="s">
        <v>1187</v>
      </c>
      <c r="L723" s="24" t="s">
        <v>560</v>
      </c>
      <c r="M723" s="24" t="s">
        <v>44</v>
      </c>
      <c r="N723" s="27"/>
      <c r="O723" s="24"/>
      <c r="P723" s="24" t="s">
        <v>213</v>
      </c>
      <c r="Q723" s="27"/>
      <c r="R723" s="23">
        <f>HYPERLINK("https://app.hubspot.com/contacts/8748051/record/0-2/9083544964", 9083544964)</f>
        <v>9083544964</v>
      </c>
      <c r="S723" s="24" t="s">
        <v>1035</v>
      </c>
      <c r="T723" s="28" t="s">
        <v>1036</v>
      </c>
      <c r="U723" s="24" t="s">
        <v>47</v>
      </c>
      <c r="V723" s="24"/>
      <c r="W723" s="32"/>
      <c r="X723" s="29">
        <v>1312.0</v>
      </c>
      <c r="Y723" s="29">
        <v>202.0</v>
      </c>
      <c r="Z723" s="30" t="s">
        <v>56</v>
      </c>
      <c r="AA723" s="31"/>
      <c r="AB723" s="31"/>
      <c r="AC723" s="31"/>
      <c r="AD723" s="31"/>
      <c r="AE723" s="31"/>
      <c r="AF723" s="31"/>
      <c r="AG723" s="27" t="str">
        <f t="shared" si="1"/>
        <v>New Logo</v>
      </c>
      <c r="AH723" s="27" t="str">
        <f t="shared" si="5"/>
        <v>Lead</v>
      </c>
      <c r="AI723" s="27" t="str">
        <f t="shared" si="6"/>
        <v>1001-5000</v>
      </c>
      <c r="AJ723" s="27" t="str">
        <f t="shared" si="7"/>
        <v>101-500</v>
      </c>
    </row>
    <row r="724" ht="15.75" customHeight="1">
      <c r="A724" s="23">
        <f>HYPERLINK("https://app.hubspot.com/contacts/8748051/record/0-3/16575451293", 16575451293)</f>
        <v>16575451293</v>
      </c>
      <c r="B724" s="24" t="s">
        <v>2395</v>
      </c>
      <c r="C724" s="24" t="s">
        <v>50</v>
      </c>
      <c r="D724" s="25"/>
      <c r="E724" s="24" t="s">
        <v>149</v>
      </c>
      <c r="F724" s="24"/>
      <c r="G724" s="26">
        <v>45278.437581018516</v>
      </c>
      <c r="H724" s="26">
        <v>45327.6340162037</v>
      </c>
      <c r="I724" s="24" t="s">
        <v>40</v>
      </c>
      <c r="J724" s="24" t="s">
        <v>41</v>
      </c>
      <c r="K724" s="24" t="s">
        <v>1187</v>
      </c>
      <c r="L724" s="24" t="s">
        <v>560</v>
      </c>
      <c r="M724" s="24" t="s">
        <v>44</v>
      </c>
      <c r="N724" s="27"/>
      <c r="O724" s="24" t="s">
        <v>2396</v>
      </c>
      <c r="P724" s="24"/>
      <c r="Q724" s="24"/>
      <c r="R724" s="23">
        <f>HYPERLINK("https://app.hubspot.com/contacts/8748051/record/0-2/9238251130", 9238251130)</f>
        <v>9238251130</v>
      </c>
      <c r="S724" s="24" t="s">
        <v>2397</v>
      </c>
      <c r="T724" s="28" t="s">
        <v>2398</v>
      </c>
      <c r="U724" s="24" t="s">
        <v>47</v>
      </c>
      <c r="V724" s="24"/>
      <c r="W724" s="32"/>
      <c r="X724" s="29">
        <v>6152.0</v>
      </c>
      <c r="Y724" s="29">
        <v>387.0</v>
      </c>
      <c r="Z724" s="30" t="s">
        <v>71</v>
      </c>
      <c r="AA724" s="31"/>
      <c r="AB724" s="31"/>
      <c r="AC724" s="31"/>
      <c r="AD724" s="31"/>
      <c r="AE724" s="31"/>
      <c r="AF724" s="31"/>
      <c r="AG724" s="27" t="str">
        <f t="shared" si="1"/>
        <v>New Logo</v>
      </c>
      <c r="AH724" s="27" t="str">
        <f t="shared" si="5"/>
        <v>Lead</v>
      </c>
      <c r="AI724" s="27" t="str">
        <f t="shared" si="6"/>
        <v>5000-10000</v>
      </c>
      <c r="AJ724" s="27" t="str">
        <f t="shared" si="7"/>
        <v>101-500</v>
      </c>
    </row>
    <row r="725" ht="15.75" customHeight="1">
      <c r="A725" s="23">
        <f>HYPERLINK("https://app.hubspot.com/contacts/8748051/record/0-3/16572445771", 16572445771)</f>
        <v>16572445771</v>
      </c>
      <c r="B725" s="24" t="s">
        <v>1969</v>
      </c>
      <c r="C725" s="24" t="s">
        <v>1009</v>
      </c>
      <c r="D725" s="25">
        <v>100000.0</v>
      </c>
      <c r="E725" s="24" t="s">
        <v>73</v>
      </c>
      <c r="F725" s="24" t="s">
        <v>52</v>
      </c>
      <c r="G725" s="26">
        <v>45278.310636574075</v>
      </c>
      <c r="H725" s="26">
        <v>45657.301354166666</v>
      </c>
      <c r="I725" s="24" t="s">
        <v>40</v>
      </c>
      <c r="J725" s="24" t="s">
        <v>53</v>
      </c>
      <c r="K725" s="24" t="s">
        <v>1187</v>
      </c>
      <c r="L725" s="24" t="s">
        <v>560</v>
      </c>
      <c r="M725" s="24" t="s">
        <v>74</v>
      </c>
      <c r="N725" s="24"/>
      <c r="O725" s="24"/>
      <c r="P725" s="24" t="s">
        <v>122</v>
      </c>
      <c r="Q725" s="24"/>
      <c r="R725" s="23">
        <f>HYPERLINK("https://app.hubspot.com/contacts/8748051/record/0-2/8879983211", 8879983211)</f>
        <v>8879983211</v>
      </c>
      <c r="S725" s="24" t="s">
        <v>1970</v>
      </c>
      <c r="T725" s="28" t="s">
        <v>1971</v>
      </c>
      <c r="U725" s="24" t="s">
        <v>47</v>
      </c>
      <c r="V725" s="24"/>
      <c r="W725" s="25"/>
      <c r="X725" s="29">
        <v>1504.0</v>
      </c>
      <c r="Y725" s="29">
        <v>431.0</v>
      </c>
      <c r="Z725" s="30" t="s">
        <v>125</v>
      </c>
      <c r="AA725" s="30"/>
      <c r="AB725" s="30"/>
      <c r="AC725" s="30"/>
      <c r="AD725" s="30"/>
      <c r="AE725" s="30"/>
      <c r="AF725" s="30"/>
      <c r="AG725" s="27" t="str">
        <f t="shared" si="1"/>
        <v>New Logo</v>
      </c>
      <c r="AH725" s="27" t="str">
        <f t="shared" si="5"/>
        <v>Lead</v>
      </c>
      <c r="AI725" s="27" t="str">
        <f t="shared" si="6"/>
        <v>1001-5000</v>
      </c>
      <c r="AJ725" s="27" t="str">
        <f t="shared" si="7"/>
        <v>101-500</v>
      </c>
    </row>
    <row r="726" ht="15.75" customHeight="1">
      <c r="A726" s="23">
        <f>HYPERLINK("https://app.hubspot.com/contacts/8748051/record/0-3/16572427950", 16572427950)</f>
        <v>16572427950</v>
      </c>
      <c r="B726" s="24" t="s">
        <v>2399</v>
      </c>
      <c r="C726" s="24" t="s">
        <v>1009</v>
      </c>
      <c r="D726" s="25">
        <v>35000.0</v>
      </c>
      <c r="E726" s="24" t="s">
        <v>127</v>
      </c>
      <c r="F726" s="24" t="s">
        <v>52</v>
      </c>
      <c r="G726" s="26">
        <v>45278.30803240741</v>
      </c>
      <c r="H726" s="26">
        <v>45747.36268518519</v>
      </c>
      <c r="I726" s="24" t="s">
        <v>40</v>
      </c>
      <c r="J726" s="24" t="s">
        <v>41</v>
      </c>
      <c r="K726" s="24" t="s">
        <v>42</v>
      </c>
      <c r="L726" s="24" t="s">
        <v>560</v>
      </c>
      <c r="M726" s="24" t="s">
        <v>74</v>
      </c>
      <c r="N726" s="24"/>
      <c r="O726" s="27"/>
      <c r="P726" s="24"/>
      <c r="Q726" s="24" t="s">
        <v>144</v>
      </c>
      <c r="R726" s="23">
        <f>HYPERLINK("https://app.hubspot.com/contacts/8748051/record/0-2/6262327611", 6262327611)</f>
        <v>6262327611</v>
      </c>
      <c r="S726" s="24" t="s">
        <v>2400</v>
      </c>
      <c r="T726" s="28" t="s">
        <v>2401</v>
      </c>
      <c r="U726" s="24" t="s">
        <v>47</v>
      </c>
      <c r="V726" s="24"/>
      <c r="W726" s="25"/>
      <c r="X726" s="29">
        <v>501.0</v>
      </c>
      <c r="Y726" s="29">
        <v>92.0</v>
      </c>
      <c r="Z726" s="30" t="s">
        <v>71</v>
      </c>
      <c r="AA726" s="30"/>
      <c r="AB726" s="31"/>
      <c r="AC726" s="30"/>
      <c r="AD726" s="30"/>
      <c r="AE726" s="30"/>
      <c r="AF726" s="30"/>
      <c r="AG726" s="27" t="str">
        <f t="shared" si="1"/>
        <v>New Logo</v>
      </c>
      <c r="AH726" s="27" t="str">
        <f t="shared" si="5"/>
        <v>Lead</v>
      </c>
      <c r="AI726" s="27" t="str">
        <f t="shared" si="6"/>
        <v>501-1000</v>
      </c>
      <c r="AJ726" s="27" t="str">
        <f t="shared" si="7"/>
        <v>51-100</v>
      </c>
    </row>
    <row r="727" ht="15.75" customHeight="1">
      <c r="A727" s="23">
        <f>HYPERLINK("https://app.hubspot.com/contacts/8748051/record/0-3/16533455668", 16533455668)</f>
        <v>16533455668</v>
      </c>
      <c r="B727" s="24" t="s">
        <v>2402</v>
      </c>
      <c r="C727" s="24" t="s">
        <v>1009</v>
      </c>
      <c r="D727" s="25">
        <v>100000.0</v>
      </c>
      <c r="E727" s="24" t="s">
        <v>73</v>
      </c>
      <c r="F727" s="24"/>
      <c r="G727" s="26">
        <v>45275.639386574076</v>
      </c>
      <c r="H727" s="26">
        <v>45412.68048611111</v>
      </c>
      <c r="I727" s="24" t="s">
        <v>40</v>
      </c>
      <c r="J727" s="24" t="s">
        <v>41</v>
      </c>
      <c r="K727" s="24" t="s">
        <v>1187</v>
      </c>
      <c r="L727" s="24" t="s">
        <v>560</v>
      </c>
      <c r="M727" s="24" t="s">
        <v>44</v>
      </c>
      <c r="N727" s="27"/>
      <c r="O727" s="24"/>
      <c r="P727" s="24" t="s">
        <v>75</v>
      </c>
      <c r="Q727" s="24"/>
      <c r="R727" s="23">
        <f>HYPERLINK("https://app.hubspot.com/contacts/8748051/record/0-2/15483714669", 15483714669)</f>
        <v>15483714669</v>
      </c>
      <c r="S727" s="24" t="s">
        <v>2403</v>
      </c>
      <c r="T727" s="28" t="s">
        <v>2404</v>
      </c>
      <c r="U727" s="24" t="s">
        <v>47</v>
      </c>
      <c r="V727" s="24"/>
      <c r="W727" s="32"/>
      <c r="X727" s="29">
        <v>5041.0</v>
      </c>
      <c r="Y727" s="29">
        <v>844.0</v>
      </c>
      <c r="Z727" s="30" t="s">
        <v>1107</v>
      </c>
      <c r="AA727" s="31"/>
      <c r="AB727" s="31"/>
      <c r="AC727" s="31"/>
      <c r="AD727" s="31"/>
      <c r="AE727" s="31"/>
      <c r="AF727" s="31"/>
      <c r="AG727" s="27" t="str">
        <f t="shared" si="1"/>
        <v>New Logo</v>
      </c>
      <c r="AH727" s="27" t="str">
        <f t="shared" si="5"/>
        <v>Lead</v>
      </c>
      <c r="AI727" s="27" t="str">
        <f t="shared" si="6"/>
        <v>5000-10000</v>
      </c>
      <c r="AJ727" s="27" t="str">
        <f t="shared" si="7"/>
        <v>500+</v>
      </c>
    </row>
    <row r="728" ht="15.75" customHeight="1">
      <c r="A728" s="23">
        <f>HYPERLINK("https://app.hubspot.com/contacts/8748051/record/0-3/16527633000", 16527633000)</f>
        <v>16527633000</v>
      </c>
      <c r="B728" s="24" t="s">
        <v>2405</v>
      </c>
      <c r="C728" s="24" t="s">
        <v>50</v>
      </c>
      <c r="D728" s="25">
        <v>9600.0</v>
      </c>
      <c r="E728" s="24" t="s">
        <v>73</v>
      </c>
      <c r="F728" s="24"/>
      <c r="G728" s="26">
        <v>45275.30819444444</v>
      </c>
      <c r="H728" s="26">
        <v>45564.51457175926</v>
      </c>
      <c r="I728" s="24" t="s">
        <v>40</v>
      </c>
      <c r="J728" s="24" t="s">
        <v>41</v>
      </c>
      <c r="K728" s="24" t="s">
        <v>1187</v>
      </c>
      <c r="L728" s="24" t="s">
        <v>560</v>
      </c>
      <c r="M728" s="24" t="s">
        <v>44</v>
      </c>
      <c r="N728" s="24"/>
      <c r="O728" s="24"/>
      <c r="P728" s="24" t="s">
        <v>75</v>
      </c>
      <c r="Q728" s="24"/>
      <c r="R728" s="23">
        <f>HYPERLINK("https://app.hubspot.com/contacts/8748051/record/0-2/7945114506", 7945114506)</f>
        <v>7945114506</v>
      </c>
      <c r="S728" s="24" t="s">
        <v>2406</v>
      </c>
      <c r="T728" s="28" t="s">
        <v>2407</v>
      </c>
      <c r="U728" s="24" t="s">
        <v>47</v>
      </c>
      <c r="V728" s="24"/>
      <c r="W728" s="25"/>
      <c r="X728" s="29">
        <v>75.0</v>
      </c>
      <c r="Y728" s="29">
        <v>32.0</v>
      </c>
      <c r="Z728" s="30" t="s">
        <v>2408</v>
      </c>
      <c r="AA728" s="30"/>
      <c r="AB728" s="31"/>
      <c r="AC728" s="30"/>
      <c r="AD728" s="30"/>
      <c r="AE728" s="30"/>
      <c r="AF728" s="30"/>
      <c r="AG728" s="27" t="str">
        <f t="shared" si="1"/>
        <v>New Logo</v>
      </c>
      <c r="AH728" s="27" t="str">
        <f t="shared" si="5"/>
        <v>Lead</v>
      </c>
      <c r="AI728" s="27" t="str">
        <f t="shared" si="6"/>
        <v>0-200</v>
      </c>
      <c r="AJ728" s="27" t="str">
        <f t="shared" si="7"/>
        <v>21-50</v>
      </c>
    </row>
    <row r="729" ht="15.75" customHeight="1">
      <c r="A729" s="23">
        <f>HYPERLINK("https://app.hubspot.com/contacts/8748051/record/0-3/16508415114", 16508415114)</f>
        <v>16508415114</v>
      </c>
      <c r="B729" s="24" t="s">
        <v>2409</v>
      </c>
      <c r="C729" s="24" t="s">
        <v>50</v>
      </c>
      <c r="D729" s="25">
        <v>72500.0</v>
      </c>
      <c r="E729" s="24" t="s">
        <v>127</v>
      </c>
      <c r="F729" s="24" t="s">
        <v>52</v>
      </c>
      <c r="G729" s="26">
        <v>45274.71650462963</v>
      </c>
      <c r="H729" s="26">
        <v>45471.64289351852</v>
      </c>
      <c r="I729" s="24" t="s">
        <v>40</v>
      </c>
      <c r="J729" s="24" t="s">
        <v>41</v>
      </c>
      <c r="K729" s="24" t="s">
        <v>1187</v>
      </c>
      <c r="L729" s="24" t="s">
        <v>560</v>
      </c>
      <c r="M729" s="24" t="s">
        <v>44</v>
      </c>
      <c r="N729" s="24"/>
      <c r="O729" s="24"/>
      <c r="P729" s="24"/>
      <c r="Q729" s="24" t="s">
        <v>144</v>
      </c>
      <c r="R729" s="23">
        <f>HYPERLINK("https://app.hubspot.com/contacts/8748051/record/0-2/15939922518", 15939922518)</f>
        <v>15939922518</v>
      </c>
      <c r="S729" s="24" t="s">
        <v>2410</v>
      </c>
      <c r="T729" s="28" t="s">
        <v>2411</v>
      </c>
      <c r="U729" s="24" t="s">
        <v>47</v>
      </c>
      <c r="V729" s="24"/>
      <c r="W729" s="25"/>
      <c r="X729" s="29">
        <v>953.0</v>
      </c>
      <c r="Y729" s="29">
        <v>171.0</v>
      </c>
      <c r="Z729" s="30" t="s">
        <v>125</v>
      </c>
      <c r="AA729" s="30"/>
      <c r="AB729" s="31"/>
      <c r="AC729" s="30"/>
      <c r="AD729" s="30"/>
      <c r="AE729" s="30"/>
      <c r="AF729" s="30"/>
      <c r="AG729" s="27" t="str">
        <f t="shared" si="1"/>
        <v>New Logo</v>
      </c>
      <c r="AH729" s="27" t="str">
        <f t="shared" si="5"/>
        <v>Lead</v>
      </c>
      <c r="AI729" s="27" t="str">
        <f t="shared" si="6"/>
        <v>501-1000</v>
      </c>
      <c r="AJ729" s="27" t="str">
        <f t="shared" si="7"/>
        <v>101-500</v>
      </c>
    </row>
    <row r="730" ht="15.75" customHeight="1">
      <c r="A730" s="23">
        <f>HYPERLINK("https://app.hubspot.com/contacts/8748051/record/0-3/16508520234", 16508520234)</f>
        <v>16508520234</v>
      </c>
      <c r="B730" s="24" t="s">
        <v>2412</v>
      </c>
      <c r="C730" s="24" t="s">
        <v>50</v>
      </c>
      <c r="D730" s="25">
        <v>100000.0</v>
      </c>
      <c r="E730" s="24" t="s">
        <v>73</v>
      </c>
      <c r="F730" s="24"/>
      <c r="G730" s="26">
        <v>45274.6997337963</v>
      </c>
      <c r="H730" s="26">
        <v>45382.74116898148</v>
      </c>
      <c r="I730" s="24" t="s">
        <v>40</v>
      </c>
      <c r="J730" s="24" t="s">
        <v>41</v>
      </c>
      <c r="K730" s="24" t="s">
        <v>1187</v>
      </c>
      <c r="L730" s="24" t="s">
        <v>560</v>
      </c>
      <c r="M730" s="24" t="s">
        <v>44</v>
      </c>
      <c r="N730" s="24"/>
      <c r="O730" s="24"/>
      <c r="P730" s="24" t="s">
        <v>213</v>
      </c>
      <c r="Q730" s="24"/>
      <c r="R730" s="23">
        <f>HYPERLINK("https://app.hubspot.com/contacts/8748051/record/0-2/7514685489", 7514685489)</f>
        <v>7514685489</v>
      </c>
      <c r="S730" s="24" t="s">
        <v>2413</v>
      </c>
      <c r="T730" s="28" t="s">
        <v>2414</v>
      </c>
      <c r="U730" s="24" t="s">
        <v>47</v>
      </c>
      <c r="V730" s="24"/>
      <c r="W730" s="25"/>
      <c r="X730" s="29">
        <v>1431.0</v>
      </c>
      <c r="Y730" s="29">
        <v>339.0</v>
      </c>
      <c r="Z730" s="30" t="s">
        <v>125</v>
      </c>
      <c r="AA730" s="30"/>
      <c r="AB730" s="31"/>
      <c r="AC730" s="30"/>
      <c r="AD730" s="30"/>
      <c r="AE730" s="30"/>
      <c r="AF730" s="30"/>
      <c r="AG730" s="27" t="str">
        <f t="shared" si="1"/>
        <v>New Logo</v>
      </c>
      <c r="AH730" s="27" t="str">
        <f t="shared" si="5"/>
        <v>Lead</v>
      </c>
      <c r="AI730" s="27" t="str">
        <f t="shared" si="6"/>
        <v>1001-5000</v>
      </c>
      <c r="AJ730" s="27" t="str">
        <f t="shared" si="7"/>
        <v>101-500</v>
      </c>
    </row>
    <row r="731" ht="15.75" customHeight="1">
      <c r="A731" s="23">
        <f>HYPERLINK("https://app.hubspot.com/contacts/8748051/record/0-3/16508412252", 16508412252)</f>
        <v>16508412252</v>
      </c>
      <c r="B731" s="24" t="s">
        <v>2415</v>
      </c>
      <c r="C731" s="24" t="s">
        <v>50</v>
      </c>
      <c r="D731" s="25">
        <v>38000.0</v>
      </c>
      <c r="E731" s="24" t="s">
        <v>73</v>
      </c>
      <c r="F731" s="24"/>
      <c r="G731" s="26">
        <v>45274.69702546296</v>
      </c>
      <c r="H731" s="26">
        <v>45382.73861111111</v>
      </c>
      <c r="I731" s="24" t="s">
        <v>40</v>
      </c>
      <c r="J731" s="24" t="s">
        <v>41</v>
      </c>
      <c r="K731" s="24" t="s">
        <v>1187</v>
      </c>
      <c r="L731" s="24" t="s">
        <v>560</v>
      </c>
      <c r="M731" s="24" t="s">
        <v>44</v>
      </c>
      <c r="N731" s="24"/>
      <c r="O731" s="24"/>
      <c r="P731" s="24" t="s">
        <v>213</v>
      </c>
      <c r="Q731" s="24"/>
      <c r="R731" s="23">
        <f>HYPERLINK("https://app.hubspot.com/contacts/8748051/record/0-2/8051981464", 8051981464)</f>
        <v>8051981464</v>
      </c>
      <c r="S731" s="24" t="s">
        <v>1503</v>
      </c>
      <c r="T731" s="28" t="s">
        <v>1504</v>
      </c>
      <c r="U731" s="24" t="s">
        <v>47</v>
      </c>
      <c r="V731" s="24"/>
      <c r="W731" s="25"/>
      <c r="X731" s="29">
        <v>923.0</v>
      </c>
      <c r="Y731" s="29">
        <v>79.0</v>
      </c>
      <c r="Z731" s="30" t="s">
        <v>108</v>
      </c>
      <c r="AA731" s="30"/>
      <c r="AB731" s="31"/>
      <c r="AC731" s="31"/>
      <c r="AD731" s="30"/>
      <c r="AE731" s="31"/>
      <c r="AF731" s="30"/>
      <c r="AG731" s="27" t="str">
        <f t="shared" si="1"/>
        <v>New Logo</v>
      </c>
      <c r="AH731" s="27" t="str">
        <f t="shared" si="5"/>
        <v>Lead</v>
      </c>
      <c r="AI731" s="27" t="str">
        <f t="shared" si="6"/>
        <v>501-1000</v>
      </c>
      <c r="AJ731" s="27" t="str">
        <f t="shared" si="7"/>
        <v>51-100</v>
      </c>
    </row>
    <row r="732" ht="15.75" customHeight="1">
      <c r="A732" s="23">
        <f>HYPERLINK("https://app.hubspot.com/contacts/8748051/record/0-3/16497061404", 16497061404)</f>
        <v>16497061404</v>
      </c>
      <c r="B732" s="24" t="s">
        <v>2416</v>
      </c>
      <c r="C732" s="24" t="s">
        <v>1009</v>
      </c>
      <c r="D732" s="25">
        <v>37500.0</v>
      </c>
      <c r="E732" s="24" t="s">
        <v>73</v>
      </c>
      <c r="F732" s="24"/>
      <c r="G732" s="26">
        <v>45273.76189814815</v>
      </c>
      <c r="H732" s="26">
        <v>45382.80326388889</v>
      </c>
      <c r="I732" s="24" t="s">
        <v>40</v>
      </c>
      <c r="J732" s="24" t="s">
        <v>41</v>
      </c>
      <c r="K732" s="24" t="s">
        <v>1187</v>
      </c>
      <c r="L732" s="24" t="s">
        <v>560</v>
      </c>
      <c r="M732" s="24" t="s">
        <v>44</v>
      </c>
      <c r="N732" s="24"/>
      <c r="O732" s="24"/>
      <c r="P732" s="24" t="s">
        <v>213</v>
      </c>
      <c r="Q732" s="24"/>
      <c r="R732" s="23">
        <f>HYPERLINK("https://app.hubspot.com/contacts/8748051/record/0-2/9228058420", 9228058420)</f>
        <v>9228058420</v>
      </c>
      <c r="S732" s="24" t="s">
        <v>2417</v>
      </c>
      <c r="T732" s="28" t="s">
        <v>2418</v>
      </c>
      <c r="U732" s="24" t="s">
        <v>47</v>
      </c>
      <c r="V732" s="24"/>
      <c r="W732" s="25"/>
      <c r="X732" s="29">
        <v>422.0</v>
      </c>
      <c r="Y732" s="29">
        <v>87.0</v>
      </c>
      <c r="Z732" s="30" t="s">
        <v>108</v>
      </c>
      <c r="AA732" s="30"/>
      <c r="AB732" s="30"/>
      <c r="AC732" s="31"/>
      <c r="AD732" s="30"/>
      <c r="AE732" s="30"/>
      <c r="AF732" s="30"/>
      <c r="AG732" s="27" t="str">
        <f t="shared" si="1"/>
        <v>New Logo</v>
      </c>
      <c r="AH732" s="27" t="str">
        <f t="shared" si="5"/>
        <v>Lead</v>
      </c>
      <c r="AI732" s="27" t="str">
        <f t="shared" si="6"/>
        <v>201-500</v>
      </c>
      <c r="AJ732" s="27" t="str">
        <f t="shared" si="7"/>
        <v>51-100</v>
      </c>
    </row>
    <row r="733" ht="15.75" customHeight="1">
      <c r="A733" s="23">
        <f>HYPERLINK("https://app.hubspot.com/contacts/8748051/record/0-3/16479520279", 16479520279)</f>
        <v>16479520279</v>
      </c>
      <c r="B733" s="24" t="s">
        <v>2419</v>
      </c>
      <c r="C733" s="24" t="s">
        <v>1009</v>
      </c>
      <c r="D733" s="25">
        <v>16500.0</v>
      </c>
      <c r="E733" s="24" t="s">
        <v>73</v>
      </c>
      <c r="F733" s="24"/>
      <c r="G733" s="26">
        <v>45272.698900462965</v>
      </c>
      <c r="H733" s="26">
        <v>45382.737592592595</v>
      </c>
      <c r="I733" s="24" t="s">
        <v>40</v>
      </c>
      <c r="J733" s="24" t="s">
        <v>41</v>
      </c>
      <c r="K733" s="24" t="s">
        <v>1187</v>
      </c>
      <c r="L733" s="24" t="s">
        <v>560</v>
      </c>
      <c r="M733" s="24" t="s">
        <v>44</v>
      </c>
      <c r="N733" s="24"/>
      <c r="O733" s="24"/>
      <c r="P733" s="24" t="s">
        <v>75</v>
      </c>
      <c r="Q733" s="24"/>
      <c r="R733" s="23">
        <f>HYPERLINK("https://app.hubspot.com/contacts/8748051/record/0-2/8370344576", 8370344576)</f>
        <v>8370344576</v>
      </c>
      <c r="S733" s="24" t="s">
        <v>2420</v>
      </c>
      <c r="T733" s="28" t="s">
        <v>2421</v>
      </c>
      <c r="U733" s="24" t="s">
        <v>47</v>
      </c>
      <c r="V733" s="24"/>
      <c r="W733" s="25"/>
      <c r="X733" s="29">
        <v>312.0</v>
      </c>
      <c r="Y733" s="29">
        <v>41.0</v>
      </c>
      <c r="Z733" s="30"/>
      <c r="AA733" s="30"/>
      <c r="AB733" s="30"/>
      <c r="AC733" s="30"/>
      <c r="AD733" s="30"/>
      <c r="AE733" s="31"/>
      <c r="AF733" s="30"/>
      <c r="AG733" s="27" t="str">
        <f t="shared" si="1"/>
        <v>New Logo</v>
      </c>
      <c r="AH733" s="27" t="str">
        <f t="shared" si="5"/>
        <v>Lead</v>
      </c>
      <c r="AI733" s="27" t="str">
        <f t="shared" si="6"/>
        <v>201-500</v>
      </c>
      <c r="AJ733" s="27" t="str">
        <f t="shared" si="7"/>
        <v>21-50</v>
      </c>
    </row>
    <row r="734" ht="15.75" customHeight="1">
      <c r="A734" s="23">
        <f>HYPERLINK("https://app.hubspot.com/contacts/8748051/record/0-3/16455042417", 16455042417)</f>
        <v>16455042417</v>
      </c>
      <c r="B734" s="24" t="s">
        <v>2422</v>
      </c>
      <c r="C734" s="24" t="s">
        <v>38</v>
      </c>
      <c r="D734" s="25">
        <v>100000.0</v>
      </c>
      <c r="E734" s="24" t="s">
        <v>73</v>
      </c>
      <c r="F734" s="24"/>
      <c r="G734" s="26">
        <v>45271.609918981485</v>
      </c>
      <c r="H734" s="26">
        <v>45382.651504629626</v>
      </c>
      <c r="I734" s="24" t="s">
        <v>40</v>
      </c>
      <c r="J734" s="24" t="s">
        <v>41</v>
      </c>
      <c r="K734" s="24" t="s">
        <v>1187</v>
      </c>
      <c r="L734" s="24" t="s">
        <v>560</v>
      </c>
      <c r="M734" s="24" t="s">
        <v>44</v>
      </c>
      <c r="N734" s="24"/>
      <c r="O734" s="24"/>
      <c r="P734" s="24" t="s">
        <v>75</v>
      </c>
      <c r="Q734" s="24"/>
      <c r="R734" s="23">
        <f>HYPERLINK("https://app.hubspot.com/contacts/8748051/record/0-2/14811203588", 14811203588)</f>
        <v>14811203588</v>
      </c>
      <c r="S734" s="24" t="s">
        <v>2423</v>
      </c>
      <c r="T734" s="28" t="s">
        <v>2424</v>
      </c>
      <c r="U734" s="24" t="s">
        <v>47</v>
      </c>
      <c r="V734" s="24"/>
      <c r="W734" s="25"/>
      <c r="X734" s="29">
        <v>1218.0</v>
      </c>
      <c r="Y734" s="29">
        <v>224.0</v>
      </c>
      <c r="Z734" s="30"/>
      <c r="AA734" s="30"/>
      <c r="AB734" s="30"/>
      <c r="AC734" s="30"/>
      <c r="AD734" s="30"/>
      <c r="AE734" s="30"/>
      <c r="AF734" s="30"/>
      <c r="AG734" s="27" t="str">
        <f t="shared" si="1"/>
        <v>New Logo</v>
      </c>
      <c r="AH734" s="27" t="str">
        <f t="shared" si="5"/>
        <v>Lead</v>
      </c>
      <c r="AI734" s="27" t="str">
        <f t="shared" si="6"/>
        <v>1001-5000</v>
      </c>
      <c r="AJ734" s="27" t="str">
        <f t="shared" si="7"/>
        <v>101-500</v>
      </c>
    </row>
    <row r="735" ht="15.75" customHeight="1">
      <c r="A735" s="23">
        <f>HYPERLINK("https://app.hubspot.com/contacts/8748051/record/0-3/16453295360", 16453295360)</f>
        <v>16453295360</v>
      </c>
      <c r="B735" s="24" t="s">
        <v>2425</v>
      </c>
      <c r="C735" s="24" t="s">
        <v>50</v>
      </c>
      <c r="D735" s="25">
        <v>21500.0</v>
      </c>
      <c r="E735" s="24" t="s">
        <v>73</v>
      </c>
      <c r="F735" s="24"/>
      <c r="G735" s="26">
        <v>45271.57369212963</v>
      </c>
      <c r="H735" s="26">
        <v>45382.6150462963</v>
      </c>
      <c r="I735" s="24" t="s">
        <v>40</v>
      </c>
      <c r="J735" s="24" t="s">
        <v>41</v>
      </c>
      <c r="K735" s="24" t="s">
        <v>1187</v>
      </c>
      <c r="L735" s="24" t="s">
        <v>560</v>
      </c>
      <c r="M735" s="24" t="s">
        <v>44</v>
      </c>
      <c r="N735" s="24"/>
      <c r="O735" s="24"/>
      <c r="P735" s="24" t="s">
        <v>122</v>
      </c>
      <c r="Q735" s="24"/>
      <c r="R735" s="23">
        <f>HYPERLINK("https://app.hubspot.com/contacts/8748051/record/0-2/17252662641", 17252662641)</f>
        <v>17252662641</v>
      </c>
      <c r="S735" s="24" t="s">
        <v>2426</v>
      </c>
      <c r="T735" s="28" t="s">
        <v>2427</v>
      </c>
      <c r="U735" s="24" t="s">
        <v>47</v>
      </c>
      <c r="V735" s="24"/>
      <c r="W735" s="25"/>
      <c r="X735" s="29">
        <v>228.0</v>
      </c>
      <c r="Y735" s="29">
        <v>41.0</v>
      </c>
      <c r="Z735" s="30" t="s">
        <v>108</v>
      </c>
      <c r="AA735" s="30"/>
      <c r="AB735" s="30"/>
      <c r="AC735" s="30"/>
      <c r="AD735" s="30"/>
      <c r="AE735" s="30"/>
      <c r="AF735" s="30"/>
      <c r="AG735" s="27" t="str">
        <f t="shared" si="1"/>
        <v>New Logo</v>
      </c>
      <c r="AH735" s="27" t="str">
        <f t="shared" si="5"/>
        <v>Lead</v>
      </c>
      <c r="AI735" s="27" t="str">
        <f t="shared" si="6"/>
        <v>201-500</v>
      </c>
      <c r="AJ735" s="27" t="str">
        <f t="shared" si="7"/>
        <v>21-50</v>
      </c>
    </row>
    <row r="736" ht="15.75" customHeight="1">
      <c r="A736" s="23">
        <f>HYPERLINK("https://app.hubspot.com/contacts/8748051/record/0-3/16445568855", 16445568855)</f>
        <v>16445568855</v>
      </c>
      <c r="B736" s="24" t="s">
        <v>2428</v>
      </c>
      <c r="C736" s="24" t="s">
        <v>50</v>
      </c>
      <c r="D736" s="25">
        <v>8800.0</v>
      </c>
      <c r="E736" s="24" t="s">
        <v>127</v>
      </c>
      <c r="F736" s="24" t="s">
        <v>52</v>
      </c>
      <c r="G736" s="26">
        <v>45271.13246527778</v>
      </c>
      <c r="H736" s="26">
        <v>45382.3656712963</v>
      </c>
      <c r="I736" s="24" t="s">
        <v>40</v>
      </c>
      <c r="J736" s="24" t="s">
        <v>41</v>
      </c>
      <c r="K736" s="24" t="s">
        <v>42</v>
      </c>
      <c r="L736" s="24" t="s">
        <v>43</v>
      </c>
      <c r="M736" s="24" t="s">
        <v>102</v>
      </c>
      <c r="N736" s="24"/>
      <c r="O736" s="24"/>
      <c r="P736" s="24"/>
      <c r="Q736" s="24" t="s">
        <v>128</v>
      </c>
      <c r="R736" s="23">
        <f>HYPERLINK("https://app.hubspot.com/contacts/8748051/record/0-2/9069677845", 9069677845)</f>
        <v>9069677845</v>
      </c>
      <c r="S736" s="24" t="s">
        <v>2429</v>
      </c>
      <c r="T736" s="28" t="s">
        <v>2430</v>
      </c>
      <c r="U736" s="24" t="s">
        <v>47</v>
      </c>
      <c r="V736" s="24"/>
      <c r="W736" s="25"/>
      <c r="X736" s="29">
        <v>233.0</v>
      </c>
      <c r="Y736" s="29">
        <v>24.0</v>
      </c>
      <c r="Z736" s="30"/>
      <c r="AA736" s="30"/>
      <c r="AB736" s="31"/>
      <c r="AC736" s="31"/>
      <c r="AD736" s="30"/>
      <c r="AE736" s="30"/>
      <c r="AF736" s="30"/>
      <c r="AG736" s="27" t="str">
        <f t="shared" si="1"/>
        <v>New Logo</v>
      </c>
      <c r="AH736" s="27" t="str">
        <f t="shared" si="5"/>
        <v>Lead</v>
      </c>
      <c r="AI736" s="27" t="str">
        <f t="shared" si="6"/>
        <v>201-500</v>
      </c>
      <c r="AJ736" s="27" t="str">
        <f t="shared" si="7"/>
        <v>21-50</v>
      </c>
    </row>
    <row r="737" ht="15.75" customHeight="1">
      <c r="A737" s="23">
        <f>HYPERLINK("https://app.hubspot.com/contacts/8748051/record/0-3/16403447730", 16403447730)</f>
        <v>16403447730</v>
      </c>
      <c r="B737" s="24" t="s">
        <v>2431</v>
      </c>
      <c r="C737" s="24" t="s">
        <v>38</v>
      </c>
      <c r="D737" s="25">
        <v>100000.0</v>
      </c>
      <c r="E737" s="24" t="s">
        <v>73</v>
      </c>
      <c r="F737" s="24"/>
      <c r="G737" s="26">
        <v>45267.67737268518</v>
      </c>
      <c r="H737" s="26">
        <v>45382.71895833333</v>
      </c>
      <c r="I737" s="24" t="s">
        <v>40</v>
      </c>
      <c r="J737" s="24" t="s">
        <v>41</v>
      </c>
      <c r="K737" s="24" t="s">
        <v>1187</v>
      </c>
      <c r="L737" s="24" t="s">
        <v>560</v>
      </c>
      <c r="M737" s="24" t="s">
        <v>44</v>
      </c>
      <c r="N737" s="24"/>
      <c r="O737" s="24"/>
      <c r="P737" s="24" t="s">
        <v>75</v>
      </c>
      <c r="Q737" s="24"/>
      <c r="R737" s="23">
        <f>HYPERLINK("https://app.hubspot.com/contacts/8748051/record/0-2/8597343587", 8597343587)</f>
        <v>8597343587</v>
      </c>
      <c r="S737" s="24" t="s">
        <v>2432</v>
      </c>
      <c r="T737" s="28" t="s">
        <v>2433</v>
      </c>
      <c r="U737" s="24" t="s">
        <v>47</v>
      </c>
      <c r="V737" s="24"/>
      <c r="W737" s="25"/>
      <c r="X737" s="29">
        <v>2870.0</v>
      </c>
      <c r="Y737" s="29">
        <v>359.0</v>
      </c>
      <c r="Z737" s="30" t="s">
        <v>597</v>
      </c>
      <c r="AA737" s="30"/>
      <c r="AB737" s="31"/>
      <c r="AC737" s="31"/>
      <c r="AD737" s="30"/>
      <c r="AE737" s="31"/>
      <c r="AF737" s="30"/>
      <c r="AG737" s="27" t="str">
        <f t="shared" si="1"/>
        <v>New Logo</v>
      </c>
      <c r="AH737" s="27" t="str">
        <f t="shared" si="5"/>
        <v>Lead</v>
      </c>
      <c r="AI737" s="27" t="str">
        <f t="shared" si="6"/>
        <v>1001-5000</v>
      </c>
      <c r="AJ737" s="27" t="str">
        <f t="shared" si="7"/>
        <v>101-500</v>
      </c>
    </row>
    <row r="738" ht="15.75" customHeight="1">
      <c r="A738" s="23">
        <f>HYPERLINK("https://app.hubspot.com/contacts/8748051/record/0-3/16388480607", 16388480607)</f>
        <v>16388480607</v>
      </c>
      <c r="B738" s="24" t="s">
        <v>2434</v>
      </c>
      <c r="C738" s="24" t="s">
        <v>1009</v>
      </c>
      <c r="D738" s="25">
        <v>71500.0</v>
      </c>
      <c r="E738" s="24" t="s">
        <v>73</v>
      </c>
      <c r="F738" s="24"/>
      <c r="G738" s="26">
        <v>45266.63309027778</v>
      </c>
      <c r="H738" s="26">
        <v>45382.67386574074</v>
      </c>
      <c r="I738" s="24" t="s">
        <v>40</v>
      </c>
      <c r="J738" s="24" t="s">
        <v>41</v>
      </c>
      <c r="K738" s="24" t="s">
        <v>1187</v>
      </c>
      <c r="L738" s="24" t="s">
        <v>560</v>
      </c>
      <c r="M738" s="24" t="s">
        <v>44</v>
      </c>
      <c r="N738" s="24"/>
      <c r="O738" s="24"/>
      <c r="P738" s="24" t="s">
        <v>122</v>
      </c>
      <c r="Q738" s="24"/>
      <c r="R738" s="23">
        <f>HYPERLINK("https://app.hubspot.com/contacts/8748051/record/0-2/7673659823", 7673659823)</f>
        <v>7673659823</v>
      </c>
      <c r="S738" s="24" t="s">
        <v>2435</v>
      </c>
      <c r="T738" s="28" t="s">
        <v>2436</v>
      </c>
      <c r="U738" s="24" t="s">
        <v>47</v>
      </c>
      <c r="V738" s="24"/>
      <c r="W738" s="25"/>
      <c r="X738" s="29">
        <v>1233.0</v>
      </c>
      <c r="Y738" s="29">
        <v>155.0</v>
      </c>
      <c r="Z738" s="30" t="s">
        <v>546</v>
      </c>
      <c r="AA738" s="31"/>
      <c r="AB738" s="31"/>
      <c r="AC738" s="31"/>
      <c r="AD738" s="31"/>
      <c r="AE738" s="31"/>
      <c r="AF738" s="31"/>
      <c r="AG738" s="27" t="str">
        <f t="shared" si="1"/>
        <v>New Logo</v>
      </c>
      <c r="AH738" s="27" t="str">
        <f t="shared" si="5"/>
        <v>Lead</v>
      </c>
      <c r="AI738" s="27" t="str">
        <f t="shared" si="6"/>
        <v>1001-5000</v>
      </c>
      <c r="AJ738" s="27" t="str">
        <f t="shared" si="7"/>
        <v>101-500</v>
      </c>
    </row>
    <row r="739" ht="15.75" customHeight="1">
      <c r="A739" s="23">
        <f>HYPERLINK("https://app.hubspot.com/contacts/8748051/record/0-3/16388213329", 16388213329)</f>
        <v>16388213329</v>
      </c>
      <c r="B739" s="24" t="s">
        <v>2437</v>
      </c>
      <c r="C739" s="24" t="s">
        <v>50</v>
      </c>
      <c r="D739" s="25">
        <v>35000.0</v>
      </c>
      <c r="E739" s="24" t="s">
        <v>127</v>
      </c>
      <c r="F739" s="24" t="s">
        <v>52</v>
      </c>
      <c r="G739" s="26">
        <v>45266.62961805556</v>
      </c>
      <c r="H739" s="26">
        <v>45366.38428240741</v>
      </c>
      <c r="I739" s="24" t="s">
        <v>40</v>
      </c>
      <c r="J739" s="24" t="s">
        <v>41</v>
      </c>
      <c r="K739" s="24" t="s">
        <v>1187</v>
      </c>
      <c r="L739" s="24" t="s">
        <v>560</v>
      </c>
      <c r="M739" s="24" t="s">
        <v>44</v>
      </c>
      <c r="N739" s="24"/>
      <c r="O739" s="24"/>
      <c r="P739" s="24"/>
      <c r="Q739" s="24" t="s">
        <v>401</v>
      </c>
      <c r="R739" s="23">
        <f>HYPERLINK("https://app.hubspot.com/contacts/8748051/record/0-2/7502884737", 7502884737)</f>
        <v>7502884737</v>
      </c>
      <c r="S739" s="24" t="s">
        <v>2438</v>
      </c>
      <c r="T739" s="28" t="s">
        <v>2439</v>
      </c>
      <c r="U739" s="24" t="s">
        <v>47</v>
      </c>
      <c r="V739" s="24"/>
      <c r="W739" s="25"/>
      <c r="X739" s="29">
        <v>83.0</v>
      </c>
      <c r="Y739" s="29">
        <v>24.0</v>
      </c>
      <c r="Z739" s="30"/>
      <c r="AA739" s="30"/>
      <c r="AB739" s="30"/>
      <c r="AC739" s="30"/>
      <c r="AD739" s="30"/>
      <c r="AE739" s="30"/>
      <c r="AF739" s="30"/>
      <c r="AG739" s="27" t="str">
        <f t="shared" si="1"/>
        <v>New Logo</v>
      </c>
      <c r="AH739" s="27" t="str">
        <f t="shared" si="5"/>
        <v>Lead</v>
      </c>
      <c r="AI739" s="27" t="str">
        <f t="shared" si="6"/>
        <v>0-200</v>
      </c>
      <c r="AJ739" s="27" t="str">
        <f t="shared" si="7"/>
        <v>21-50</v>
      </c>
    </row>
    <row r="740" ht="15.75" customHeight="1">
      <c r="A740" s="23">
        <f>HYPERLINK("https://app.hubspot.com/contacts/8748051/record/0-3/16382867041", 16382867041)</f>
        <v>16382867041</v>
      </c>
      <c r="B740" s="24" t="s">
        <v>2440</v>
      </c>
      <c r="C740" s="24" t="s">
        <v>50</v>
      </c>
      <c r="D740" s="25">
        <v>10000.0</v>
      </c>
      <c r="E740" s="24" t="s">
        <v>127</v>
      </c>
      <c r="F740" s="24" t="s">
        <v>52</v>
      </c>
      <c r="G740" s="26">
        <v>45266.24084490741</v>
      </c>
      <c r="H740" s="26">
        <v>45504.41019675926</v>
      </c>
      <c r="I740" s="24" t="s">
        <v>40</v>
      </c>
      <c r="J740" s="24" t="s">
        <v>41</v>
      </c>
      <c r="K740" s="24" t="s">
        <v>42</v>
      </c>
      <c r="L740" s="24" t="s">
        <v>43</v>
      </c>
      <c r="M740" s="24" t="s">
        <v>102</v>
      </c>
      <c r="N740" s="24"/>
      <c r="O740" s="24"/>
      <c r="P740" s="24"/>
      <c r="Q740" s="24" t="s">
        <v>503</v>
      </c>
      <c r="R740" s="23">
        <f>HYPERLINK("https://app.hubspot.com/contacts/8748051/record/0-2/18303139897", 18303139897)</f>
        <v>18303139897</v>
      </c>
      <c r="S740" s="24" t="s">
        <v>1739</v>
      </c>
      <c r="T740" s="28" t="s">
        <v>1740</v>
      </c>
      <c r="U740" s="24" t="s">
        <v>47</v>
      </c>
      <c r="V740" s="24"/>
      <c r="W740" s="25"/>
      <c r="X740" s="29">
        <v>216.0</v>
      </c>
      <c r="Y740" s="29">
        <v>26.0</v>
      </c>
      <c r="Z740" s="30" t="s">
        <v>1741</v>
      </c>
      <c r="AA740" s="30"/>
      <c r="AB740" s="30"/>
      <c r="AC740" s="30"/>
      <c r="AD740" s="30"/>
      <c r="AE740" s="30"/>
      <c r="AF740" s="30"/>
      <c r="AG740" s="27" t="str">
        <f t="shared" si="1"/>
        <v>New Logo</v>
      </c>
      <c r="AH740" s="27" t="str">
        <f t="shared" si="5"/>
        <v>Lead</v>
      </c>
      <c r="AI740" s="27" t="str">
        <f t="shared" si="6"/>
        <v>201-500</v>
      </c>
      <c r="AJ740" s="27" t="str">
        <f t="shared" si="7"/>
        <v>21-50</v>
      </c>
    </row>
    <row r="741" ht="15.75" customHeight="1">
      <c r="A741" s="23">
        <f>HYPERLINK("https://app.hubspot.com/contacts/8748051/record/0-3/16358624272", 16358624272)</f>
        <v>16358624272</v>
      </c>
      <c r="B741" s="24" t="s">
        <v>2441</v>
      </c>
      <c r="C741" s="24" t="s">
        <v>159</v>
      </c>
      <c r="D741" s="25">
        <v>5400.0</v>
      </c>
      <c r="E741" s="24" t="s">
        <v>92</v>
      </c>
      <c r="F741" s="24"/>
      <c r="G741" s="26">
        <v>45264.55912037037</v>
      </c>
      <c r="H741" s="26">
        <v>45264.558275462965</v>
      </c>
      <c r="I741" s="24" t="s">
        <v>40</v>
      </c>
      <c r="J741" s="24" t="s">
        <v>182</v>
      </c>
      <c r="K741" s="24"/>
      <c r="L741" s="24" t="s">
        <v>162</v>
      </c>
      <c r="M741" s="24" t="s">
        <v>44</v>
      </c>
      <c r="N741" s="24" t="s">
        <v>2442</v>
      </c>
      <c r="O741" s="24"/>
      <c r="P741" s="27"/>
      <c r="Q741" s="24"/>
      <c r="R741" s="23">
        <f>HYPERLINK("https://app.hubspot.com/contacts/8748051/record/0-2/6262674716", 6262674716)</f>
        <v>6262674716</v>
      </c>
      <c r="S741" s="24" t="s">
        <v>2443</v>
      </c>
      <c r="T741" s="28" t="s">
        <v>2444</v>
      </c>
      <c r="U741" s="24" t="s">
        <v>96</v>
      </c>
      <c r="V741" s="24"/>
      <c r="W741" s="25">
        <v>19800.0</v>
      </c>
      <c r="X741" s="29">
        <v>391.0</v>
      </c>
      <c r="Y741" s="29">
        <v>58.0</v>
      </c>
      <c r="Z741" s="30"/>
      <c r="AA741" s="30" t="s">
        <v>97</v>
      </c>
      <c r="AB741" s="30" t="s">
        <v>207</v>
      </c>
      <c r="AC741" s="31"/>
      <c r="AD741" s="30" t="s">
        <v>2445</v>
      </c>
      <c r="AE741" s="30" t="s">
        <v>2446</v>
      </c>
      <c r="AF741" s="30" t="s">
        <v>211</v>
      </c>
      <c r="AG741" s="27" t="str">
        <f t="shared" si="1"/>
        <v>Upsell</v>
      </c>
      <c r="AH741" s="27" t="str">
        <f t="shared" si="5"/>
        <v>Customer</v>
      </c>
      <c r="AI741" s="27" t="str">
        <f t="shared" si="6"/>
        <v>201-500</v>
      </c>
      <c r="AJ741" s="27" t="str">
        <f t="shared" si="7"/>
        <v>51-100</v>
      </c>
    </row>
    <row r="742" ht="15.75" customHeight="1">
      <c r="A742" s="23">
        <f>HYPERLINK("https://app.hubspot.com/contacts/8748051/record/0-3/16159987467", 16159987467)</f>
        <v>16159987467</v>
      </c>
      <c r="B742" s="24" t="s">
        <v>2447</v>
      </c>
      <c r="C742" s="24" t="s">
        <v>148</v>
      </c>
      <c r="D742" s="25">
        <v>20000.0</v>
      </c>
      <c r="E742" s="24" t="s">
        <v>149</v>
      </c>
      <c r="F742" s="24" t="s">
        <v>52</v>
      </c>
      <c r="G742" s="26">
        <v>45251.48170138889</v>
      </c>
      <c r="H742" s="26">
        <v>45312.815300925926</v>
      </c>
      <c r="I742" s="24" t="s">
        <v>40</v>
      </c>
      <c r="J742" s="24" t="s">
        <v>41</v>
      </c>
      <c r="K742" s="24"/>
      <c r="L742" s="24" t="s">
        <v>43</v>
      </c>
      <c r="M742" s="24" t="s">
        <v>44</v>
      </c>
      <c r="N742" s="24"/>
      <c r="O742" s="24" t="s">
        <v>2448</v>
      </c>
      <c r="P742" s="24"/>
      <c r="Q742" s="24"/>
      <c r="R742" s="23">
        <f>HYPERLINK("https://app.hubspot.com/contacts/8748051/record/0-2/18112298241", 18112298241)</f>
        <v>18112298241</v>
      </c>
      <c r="S742" s="24" t="s">
        <v>2449</v>
      </c>
      <c r="T742" s="28" t="s">
        <v>2450</v>
      </c>
      <c r="U742" s="24" t="s">
        <v>47</v>
      </c>
      <c r="V742" s="24"/>
      <c r="W742" s="25"/>
      <c r="X742" s="29">
        <v>153.0</v>
      </c>
      <c r="Y742" s="29">
        <v>12.0</v>
      </c>
      <c r="Z742" s="30"/>
      <c r="AA742" s="30"/>
      <c r="AB742" s="31"/>
      <c r="AC742" s="30"/>
      <c r="AD742" s="30"/>
      <c r="AE742" s="30"/>
      <c r="AF742" s="30"/>
      <c r="AG742" s="27" t="str">
        <f t="shared" si="1"/>
        <v>New Logo</v>
      </c>
      <c r="AH742" s="27" t="str">
        <f t="shared" si="5"/>
        <v>Lead</v>
      </c>
      <c r="AI742" s="27" t="str">
        <f t="shared" si="6"/>
        <v>0-200</v>
      </c>
      <c r="AJ742" s="27" t="str">
        <f t="shared" si="7"/>
        <v>0-20</v>
      </c>
    </row>
    <row r="743" ht="15.75" customHeight="1">
      <c r="A743" s="23">
        <f>HYPERLINK("https://app.hubspot.com/contacts/8748051/record/0-3/16151420842", 16151420842)</f>
        <v>16151420842</v>
      </c>
      <c r="B743" s="24" t="s">
        <v>2451</v>
      </c>
      <c r="C743" s="24" t="s">
        <v>1228</v>
      </c>
      <c r="D743" s="25">
        <v>3600.0</v>
      </c>
      <c r="E743" s="24" t="s">
        <v>92</v>
      </c>
      <c r="F743" s="24"/>
      <c r="G743" s="26">
        <v>45251.04378472222</v>
      </c>
      <c r="H743" s="26">
        <v>45251.04288194444</v>
      </c>
      <c r="I743" s="24" t="s">
        <v>40</v>
      </c>
      <c r="J743" s="24" t="s">
        <v>182</v>
      </c>
      <c r="K743" s="24"/>
      <c r="L743" s="24"/>
      <c r="M743" s="24" t="s">
        <v>44</v>
      </c>
      <c r="N743" s="24" t="s">
        <v>2452</v>
      </c>
      <c r="O743" s="24"/>
      <c r="P743" s="24"/>
      <c r="Q743" s="24"/>
      <c r="R743" s="23">
        <f>HYPERLINK("https://app.hubspot.com/contacts/8748051/record/0-2/4761860926", 4761860926)</f>
        <v>4761860926</v>
      </c>
      <c r="S743" s="24" t="s">
        <v>1450</v>
      </c>
      <c r="T743" s="28" t="s">
        <v>1451</v>
      </c>
      <c r="U743" s="24" t="s">
        <v>96</v>
      </c>
      <c r="V743" s="24"/>
      <c r="W743" s="25">
        <v>17400.0</v>
      </c>
      <c r="X743" s="29">
        <v>1173.0</v>
      </c>
      <c r="Y743" s="29">
        <v>62.0</v>
      </c>
      <c r="Z743" s="30"/>
      <c r="AA743" s="30" t="s">
        <v>220</v>
      </c>
      <c r="AB743" s="31"/>
      <c r="AC743" s="31"/>
      <c r="AD743" s="30" t="s">
        <v>1452</v>
      </c>
      <c r="AE743" s="30" t="s">
        <v>1453</v>
      </c>
      <c r="AF743" s="30" t="s">
        <v>169</v>
      </c>
      <c r="AG743" s="27" t="str">
        <f t="shared" si="1"/>
        <v>Upsell</v>
      </c>
      <c r="AH743" s="27" t="str">
        <f t="shared" si="5"/>
        <v>Customer</v>
      </c>
      <c r="AI743" s="27" t="str">
        <f t="shared" si="6"/>
        <v>1001-5000</v>
      </c>
      <c r="AJ743" s="27" t="str">
        <f t="shared" si="7"/>
        <v>51-100</v>
      </c>
    </row>
    <row r="744" ht="15.75" customHeight="1">
      <c r="A744" s="23">
        <f>HYPERLINK("https://app.hubspot.com/contacts/8748051/record/0-3/16135998297", 16135998297)</f>
        <v>16135998297</v>
      </c>
      <c r="B744" s="24" t="s">
        <v>2453</v>
      </c>
      <c r="C744" s="24" t="s">
        <v>148</v>
      </c>
      <c r="D744" s="25">
        <v>60000.0</v>
      </c>
      <c r="E744" s="24" t="s">
        <v>92</v>
      </c>
      <c r="F744" s="24" t="s">
        <v>52</v>
      </c>
      <c r="G744" s="26">
        <v>45250.39659722222</v>
      </c>
      <c r="H744" s="26">
        <v>45495.46853009259</v>
      </c>
      <c r="I744" s="24" t="s">
        <v>40</v>
      </c>
      <c r="J744" s="24" t="s">
        <v>41</v>
      </c>
      <c r="K744" s="24" t="s">
        <v>42</v>
      </c>
      <c r="L744" s="24" t="s">
        <v>43</v>
      </c>
      <c r="M744" s="24" t="s">
        <v>44</v>
      </c>
      <c r="N744" s="24" t="s">
        <v>2454</v>
      </c>
      <c r="O744" s="24"/>
      <c r="P744" s="24"/>
      <c r="Q744" s="24"/>
      <c r="R744" s="23">
        <f>HYPERLINK("https://app.hubspot.com/contacts/8748051/record/0-2/7771788382", 7771788382)</f>
        <v>7771788382</v>
      </c>
      <c r="S744" s="24" t="s">
        <v>2455</v>
      </c>
      <c r="T744" s="28" t="s">
        <v>2456</v>
      </c>
      <c r="U744" s="24" t="s">
        <v>96</v>
      </c>
      <c r="V744" s="24"/>
      <c r="W744" s="25">
        <v>60000.0</v>
      </c>
      <c r="X744" s="29">
        <v>638.0</v>
      </c>
      <c r="Y744" s="29">
        <v>116.0</v>
      </c>
      <c r="Z744" s="30"/>
      <c r="AA744" s="30" t="s">
        <v>207</v>
      </c>
      <c r="AB744" s="31"/>
      <c r="AC744" s="30"/>
      <c r="AD744" s="30" t="s">
        <v>2457</v>
      </c>
      <c r="AE744" s="30"/>
      <c r="AF744" s="30" t="s">
        <v>169</v>
      </c>
      <c r="AG744" s="27" t="str">
        <f t="shared" si="1"/>
        <v>New Logo</v>
      </c>
      <c r="AH744" s="27" t="str">
        <f t="shared" si="5"/>
        <v>Customer</v>
      </c>
      <c r="AI744" s="27" t="str">
        <f t="shared" si="6"/>
        <v>501-1000</v>
      </c>
      <c r="AJ744" s="27" t="str">
        <f t="shared" si="7"/>
        <v>101-500</v>
      </c>
    </row>
    <row r="745" ht="15.75" customHeight="1">
      <c r="A745" s="23">
        <f>HYPERLINK("https://app.hubspot.com/contacts/8748051/record/0-3/16054393377", 16054393377)</f>
        <v>16054393377</v>
      </c>
      <c r="B745" s="24" t="s">
        <v>2458</v>
      </c>
      <c r="C745" s="24" t="s">
        <v>1009</v>
      </c>
      <c r="D745" s="25">
        <v>41500.0</v>
      </c>
      <c r="E745" s="24" t="s">
        <v>73</v>
      </c>
      <c r="F745" s="24"/>
      <c r="G745" s="26">
        <v>45244.36172453704</v>
      </c>
      <c r="H745" s="26">
        <v>45412.40319444444</v>
      </c>
      <c r="I745" s="24" t="s">
        <v>40</v>
      </c>
      <c r="J745" s="24" t="s">
        <v>41</v>
      </c>
      <c r="K745" s="24"/>
      <c r="L745" s="24"/>
      <c r="M745" s="24" t="s">
        <v>74</v>
      </c>
      <c r="N745" s="24"/>
      <c r="O745" s="24"/>
      <c r="P745" s="24" t="s">
        <v>122</v>
      </c>
      <c r="Q745" s="27"/>
      <c r="R745" s="23">
        <f>HYPERLINK("https://app.hubspot.com/contacts/8748051/record/0-2/9895983173", 9895983173)</f>
        <v>9895983173</v>
      </c>
      <c r="S745" s="24" t="s">
        <v>2459</v>
      </c>
      <c r="T745" s="28" t="s">
        <v>2460</v>
      </c>
      <c r="U745" s="24" t="s">
        <v>47</v>
      </c>
      <c r="V745" s="24"/>
      <c r="W745" s="25"/>
      <c r="X745" s="29">
        <v>445.0</v>
      </c>
      <c r="Y745" s="29">
        <v>88.0</v>
      </c>
      <c r="Z745" s="30"/>
      <c r="AA745" s="30"/>
      <c r="AB745" s="31"/>
      <c r="AC745" s="30"/>
      <c r="AD745" s="30"/>
      <c r="AE745" s="30"/>
      <c r="AF745" s="30"/>
      <c r="AG745" s="27" t="str">
        <f t="shared" si="1"/>
        <v>New Logo</v>
      </c>
      <c r="AH745" s="27" t="str">
        <f t="shared" si="5"/>
        <v>Lead</v>
      </c>
      <c r="AI745" s="27" t="str">
        <f t="shared" si="6"/>
        <v>201-500</v>
      </c>
      <c r="AJ745" s="27" t="str">
        <f t="shared" si="7"/>
        <v>51-100</v>
      </c>
    </row>
    <row r="746" ht="15.75" customHeight="1">
      <c r="A746" s="23">
        <f>HYPERLINK("https://app.hubspot.com/contacts/8748051/record/0-3/16054662244", 16054662244)</f>
        <v>16054662244</v>
      </c>
      <c r="B746" s="24" t="s">
        <v>2461</v>
      </c>
      <c r="C746" s="24" t="s">
        <v>1009</v>
      </c>
      <c r="D746" s="25">
        <v>10000.0</v>
      </c>
      <c r="E746" s="24" t="s">
        <v>73</v>
      </c>
      <c r="F746" s="24"/>
      <c r="G746" s="26">
        <v>45244.34809027778</v>
      </c>
      <c r="H746" s="26">
        <v>45657.176712962966</v>
      </c>
      <c r="I746" s="24" t="s">
        <v>40</v>
      </c>
      <c r="J746" s="24" t="s">
        <v>41</v>
      </c>
      <c r="K746" s="27"/>
      <c r="L746" s="27"/>
      <c r="M746" s="24" t="s">
        <v>74</v>
      </c>
      <c r="N746" s="24"/>
      <c r="O746" s="24"/>
      <c r="P746" s="24"/>
      <c r="Q746" s="24"/>
      <c r="R746" s="23">
        <f>HYPERLINK("https://app.hubspot.com/contacts/8748051/record/0-2/21057534580", 21057534580)</f>
        <v>21057534580</v>
      </c>
      <c r="S746" s="24" t="s">
        <v>2462</v>
      </c>
      <c r="T746" s="28" t="s">
        <v>2463</v>
      </c>
      <c r="U746" s="24" t="s">
        <v>47</v>
      </c>
      <c r="V746" s="24"/>
      <c r="W746" s="25"/>
      <c r="X746" s="29">
        <v>347.0</v>
      </c>
      <c r="Y746" s="29">
        <v>77.0</v>
      </c>
      <c r="Z746" s="30" t="s">
        <v>108</v>
      </c>
      <c r="AA746" s="31"/>
      <c r="AB746" s="31"/>
      <c r="AC746" s="31"/>
      <c r="AD746" s="31"/>
      <c r="AE746" s="31"/>
      <c r="AF746" s="31"/>
      <c r="AG746" s="27" t="str">
        <f t="shared" si="1"/>
        <v>New Logo</v>
      </c>
      <c r="AH746" s="27" t="str">
        <f t="shared" si="5"/>
        <v>Lead</v>
      </c>
      <c r="AI746" s="27" t="str">
        <f t="shared" si="6"/>
        <v>201-500</v>
      </c>
      <c r="AJ746" s="27" t="str">
        <f t="shared" si="7"/>
        <v>51-100</v>
      </c>
    </row>
    <row r="747" ht="15.75" customHeight="1">
      <c r="A747" s="23">
        <f>HYPERLINK("https://app.hubspot.com/contacts/8748051/record/0-3/16049521010", 16049521010)</f>
        <v>16049521010</v>
      </c>
      <c r="B747" s="24" t="s">
        <v>2464</v>
      </c>
      <c r="C747" s="24" t="s">
        <v>38</v>
      </c>
      <c r="D747" s="25">
        <v>100000.0</v>
      </c>
      <c r="E747" s="24" t="s">
        <v>73</v>
      </c>
      <c r="F747" s="24"/>
      <c r="G747" s="26">
        <v>45244.01081018519</v>
      </c>
      <c r="H747" s="26">
        <v>45473.05199074074</v>
      </c>
      <c r="I747" s="24" t="s">
        <v>40</v>
      </c>
      <c r="J747" s="24" t="s">
        <v>53</v>
      </c>
      <c r="K747" s="24"/>
      <c r="L747" s="24"/>
      <c r="M747" s="24" t="s">
        <v>74</v>
      </c>
      <c r="N747" s="24"/>
      <c r="O747" s="24"/>
      <c r="P747" s="24" t="s">
        <v>122</v>
      </c>
      <c r="Q747" s="24"/>
      <c r="R747" s="23">
        <f>HYPERLINK("https://app.hubspot.com/contacts/8748051/record/0-2/9427315969", 9427315969)</f>
        <v>9427315969</v>
      </c>
      <c r="S747" s="24" t="s">
        <v>1334</v>
      </c>
      <c r="T747" s="28" t="s">
        <v>1335</v>
      </c>
      <c r="U747" s="24" t="s">
        <v>47</v>
      </c>
      <c r="V747" s="24"/>
      <c r="W747" s="25"/>
      <c r="X747" s="29">
        <v>1601.0</v>
      </c>
      <c r="Y747" s="29">
        <v>393.0</v>
      </c>
      <c r="Z747" s="30" t="s">
        <v>81</v>
      </c>
      <c r="AA747" s="30"/>
      <c r="AB747" s="31"/>
      <c r="AC747" s="30"/>
      <c r="AD747" s="30"/>
      <c r="AE747" s="30"/>
      <c r="AF747" s="30"/>
      <c r="AG747" s="27" t="str">
        <f t="shared" si="1"/>
        <v>New Logo</v>
      </c>
      <c r="AH747" s="27" t="str">
        <f t="shared" si="5"/>
        <v>Lead</v>
      </c>
      <c r="AI747" s="27" t="str">
        <f t="shared" si="6"/>
        <v>1001-5000</v>
      </c>
      <c r="AJ747" s="27" t="str">
        <f t="shared" si="7"/>
        <v>101-500</v>
      </c>
    </row>
    <row r="748" ht="15.75" customHeight="1">
      <c r="A748" s="23">
        <f>HYPERLINK("https://app.hubspot.com/contacts/8748051/record/0-3/16041854889", 16041854889)</f>
        <v>16041854889</v>
      </c>
      <c r="B748" s="24" t="s">
        <v>2465</v>
      </c>
      <c r="C748" s="24" t="s">
        <v>2305</v>
      </c>
      <c r="D748" s="25">
        <v>18000.0</v>
      </c>
      <c r="E748" s="24" t="s">
        <v>92</v>
      </c>
      <c r="F748" s="24" t="s">
        <v>52</v>
      </c>
      <c r="G748" s="26">
        <v>45243.602164351854</v>
      </c>
      <c r="H748" s="26">
        <v>45275.69474537037</v>
      </c>
      <c r="I748" s="24" t="s">
        <v>40</v>
      </c>
      <c r="J748" s="24" t="s">
        <v>41</v>
      </c>
      <c r="K748" s="27"/>
      <c r="L748" s="27"/>
      <c r="M748" s="24" t="s">
        <v>44</v>
      </c>
      <c r="N748" s="24" t="s">
        <v>2466</v>
      </c>
      <c r="O748" s="24"/>
      <c r="P748" s="27"/>
      <c r="Q748" s="24"/>
      <c r="R748" s="23">
        <f>HYPERLINK("https://app.hubspot.com/contacts/8748051/record/0-2/18062059805", 18062059805)</f>
        <v>18062059805</v>
      </c>
      <c r="S748" s="24" t="s">
        <v>2467</v>
      </c>
      <c r="T748" s="28" t="s">
        <v>2468</v>
      </c>
      <c r="U748" s="24">
        <v>3.4564763E7</v>
      </c>
      <c r="V748" s="35">
        <v>45640.0</v>
      </c>
      <c r="W748" s="25">
        <v>18000.0</v>
      </c>
      <c r="X748" s="29">
        <v>169.0</v>
      </c>
      <c r="Y748" s="29">
        <v>19.0</v>
      </c>
      <c r="Z748" s="30"/>
      <c r="AA748" s="30"/>
      <c r="AB748" s="31"/>
      <c r="AC748" s="31"/>
      <c r="AD748" s="30"/>
      <c r="AE748" s="30"/>
      <c r="AF748" s="30"/>
      <c r="AG748" s="27" t="str">
        <f t="shared" si="1"/>
        <v>New Logo</v>
      </c>
      <c r="AH748" s="27" t="str">
        <f t="shared" si="5"/>
        <v>Churn</v>
      </c>
      <c r="AI748" s="27" t="str">
        <f t="shared" si="6"/>
        <v>0-200</v>
      </c>
      <c r="AJ748" s="27" t="str">
        <f t="shared" si="7"/>
        <v>0-20</v>
      </c>
    </row>
    <row r="749" ht="15.75" customHeight="1">
      <c r="A749" s="23">
        <f>HYPERLINK("https://app.hubspot.com/contacts/8748051/record/0-3/16003065679", 16003065679)</f>
        <v>16003065679</v>
      </c>
      <c r="B749" s="24" t="s">
        <v>1158</v>
      </c>
      <c r="C749" s="24" t="s">
        <v>2305</v>
      </c>
      <c r="D749" s="25">
        <v>10800.0</v>
      </c>
      <c r="E749" s="24" t="s">
        <v>92</v>
      </c>
      <c r="F749" s="24" t="s">
        <v>52</v>
      </c>
      <c r="G749" s="26">
        <v>45240.40083333333</v>
      </c>
      <c r="H749" s="26">
        <v>45303.429131944446</v>
      </c>
      <c r="I749" s="24" t="s">
        <v>40</v>
      </c>
      <c r="J749" s="24" t="s">
        <v>41</v>
      </c>
      <c r="K749" s="24" t="s">
        <v>42</v>
      </c>
      <c r="L749" s="24" t="s">
        <v>43</v>
      </c>
      <c r="M749" s="24" t="s">
        <v>44</v>
      </c>
      <c r="N749" s="24" t="s">
        <v>2469</v>
      </c>
      <c r="O749" s="24"/>
      <c r="P749" s="24"/>
      <c r="Q749" s="24"/>
      <c r="R749" s="23">
        <f>HYPERLINK("https://app.hubspot.com/contacts/8748051/record/0-2/17971689616", 17971689616)</f>
        <v>17971689616</v>
      </c>
      <c r="S749" s="24" t="s">
        <v>1158</v>
      </c>
      <c r="T749" s="28" t="s">
        <v>1159</v>
      </c>
      <c r="U749" s="24">
        <v>3.4564763E7</v>
      </c>
      <c r="V749" s="35">
        <v>46081.0</v>
      </c>
      <c r="W749" s="25">
        <v>9800.0</v>
      </c>
      <c r="X749" s="29">
        <v>84.0</v>
      </c>
      <c r="Y749" s="29">
        <v>2.0</v>
      </c>
      <c r="Z749" s="30"/>
      <c r="AA749" s="30" t="s">
        <v>97</v>
      </c>
      <c r="AB749" s="31"/>
      <c r="AC749" s="30" t="s">
        <v>268</v>
      </c>
      <c r="AD749" s="30" t="s">
        <v>1160</v>
      </c>
      <c r="AE749" s="30" t="s">
        <v>1161</v>
      </c>
      <c r="AF749" s="30" t="s">
        <v>211</v>
      </c>
      <c r="AG749" s="27" t="str">
        <f t="shared" si="1"/>
        <v>New Logo</v>
      </c>
      <c r="AH749" s="27" t="str">
        <f t="shared" si="5"/>
        <v>Churn</v>
      </c>
      <c r="AI749" s="27" t="str">
        <f t="shared" si="6"/>
        <v>0-200</v>
      </c>
      <c r="AJ749" s="27" t="str">
        <f t="shared" si="7"/>
        <v>0-20</v>
      </c>
    </row>
    <row r="750" ht="15.75" customHeight="1">
      <c r="A750" s="23">
        <f>HYPERLINK("https://app.hubspot.com/contacts/8748051/record/0-3/15959411104", 15959411104)</f>
        <v>15959411104</v>
      </c>
      <c r="B750" s="24" t="s">
        <v>2470</v>
      </c>
      <c r="C750" s="24" t="s">
        <v>50</v>
      </c>
      <c r="D750" s="25">
        <v>5000.0</v>
      </c>
      <c r="E750" s="24" t="s">
        <v>127</v>
      </c>
      <c r="F750" s="24" t="s">
        <v>52</v>
      </c>
      <c r="G750" s="26">
        <v>45237.649872685186</v>
      </c>
      <c r="H750" s="26">
        <v>45380.693715277775</v>
      </c>
      <c r="I750" s="24" t="s">
        <v>40</v>
      </c>
      <c r="J750" s="24" t="s">
        <v>53</v>
      </c>
      <c r="K750" s="24" t="s">
        <v>1187</v>
      </c>
      <c r="L750" s="24" t="s">
        <v>178</v>
      </c>
      <c r="M750" s="24" t="s">
        <v>44</v>
      </c>
      <c r="N750" s="24"/>
      <c r="O750" s="24"/>
      <c r="P750" s="24"/>
      <c r="Q750" s="24" t="s">
        <v>1568</v>
      </c>
      <c r="R750" s="23">
        <f>HYPERLINK("https://app.hubspot.com/contacts/8748051/record/0-2/17692640394", 17692640394)</f>
        <v>17692640394</v>
      </c>
      <c r="S750" s="24" t="s">
        <v>2471</v>
      </c>
      <c r="T750" s="28" t="s">
        <v>2472</v>
      </c>
      <c r="U750" s="24" t="s">
        <v>47</v>
      </c>
      <c r="V750" s="24"/>
      <c r="W750" s="25"/>
      <c r="X750" s="29">
        <v>503.0</v>
      </c>
      <c r="Y750" s="29">
        <v>49.0</v>
      </c>
      <c r="Z750" s="30" t="s">
        <v>108</v>
      </c>
      <c r="AA750" s="30"/>
      <c r="AB750" s="30"/>
      <c r="AC750" s="30"/>
      <c r="AD750" s="30"/>
      <c r="AE750" s="30"/>
      <c r="AF750" s="30"/>
      <c r="AG750" s="27" t="str">
        <f t="shared" si="1"/>
        <v>New Logo</v>
      </c>
      <c r="AH750" s="27" t="str">
        <f t="shared" si="5"/>
        <v>Lead</v>
      </c>
      <c r="AI750" s="27" t="str">
        <f t="shared" si="6"/>
        <v>501-1000</v>
      </c>
      <c r="AJ750" s="27" t="str">
        <f t="shared" si="7"/>
        <v>21-50</v>
      </c>
    </row>
    <row r="751" ht="15.75" customHeight="1">
      <c r="A751" s="23">
        <f>HYPERLINK("https://app.hubspot.com/contacts/8748051/record/0-3/15954356508", 15954356508)</f>
        <v>15954356508</v>
      </c>
      <c r="B751" s="24" t="s">
        <v>2473</v>
      </c>
      <c r="C751" s="24" t="s">
        <v>2305</v>
      </c>
      <c r="D751" s="25">
        <v>16125.0</v>
      </c>
      <c r="E751" s="24" t="s">
        <v>92</v>
      </c>
      <c r="F751" s="24" t="s">
        <v>52</v>
      </c>
      <c r="G751" s="26">
        <v>45237.38862268518</v>
      </c>
      <c r="H751" s="26">
        <v>45400.336493055554</v>
      </c>
      <c r="I751" s="24" t="s">
        <v>40</v>
      </c>
      <c r="J751" s="24" t="s">
        <v>182</v>
      </c>
      <c r="K751" s="24"/>
      <c r="L751" s="24" t="s">
        <v>162</v>
      </c>
      <c r="M751" s="24" t="s">
        <v>44</v>
      </c>
      <c r="N751" s="24" t="s">
        <v>2474</v>
      </c>
      <c r="O751" s="24"/>
      <c r="P751" s="27"/>
      <c r="Q751" s="24"/>
      <c r="R751" s="23">
        <f>HYPERLINK("https://app.hubspot.com/contacts/8748051/record/0-2/16376201758", 16376201758)</f>
        <v>16376201758</v>
      </c>
      <c r="S751" s="24" t="s">
        <v>2475</v>
      </c>
      <c r="T751" s="28" t="s">
        <v>2476</v>
      </c>
      <c r="U751" s="24">
        <v>3.4564763E7</v>
      </c>
      <c r="V751" s="35">
        <v>45838.0</v>
      </c>
      <c r="W751" s="25">
        <v>27965.0</v>
      </c>
      <c r="X751" s="29">
        <v>411.0</v>
      </c>
      <c r="Y751" s="29">
        <v>36.0</v>
      </c>
      <c r="Z751" s="30"/>
      <c r="AA751" s="30"/>
      <c r="AB751" s="31"/>
      <c r="AC751" s="31"/>
      <c r="AD751" s="30"/>
      <c r="AE751" s="31"/>
      <c r="AF751" s="30"/>
      <c r="AG751" s="27" t="str">
        <f t="shared" si="1"/>
        <v>Upsell</v>
      </c>
      <c r="AH751" s="27" t="str">
        <f t="shared" si="5"/>
        <v>Churn</v>
      </c>
      <c r="AI751" s="27" t="str">
        <f t="shared" si="6"/>
        <v>201-500</v>
      </c>
      <c r="AJ751" s="27" t="str">
        <f t="shared" si="7"/>
        <v>21-50</v>
      </c>
    </row>
    <row r="752" ht="15.75" customHeight="1">
      <c r="A752" s="23">
        <f>HYPERLINK("https://app.hubspot.com/contacts/8748051/record/0-3/15905577653", 15905577653)</f>
        <v>15905577653</v>
      </c>
      <c r="B752" s="24" t="s">
        <v>2477</v>
      </c>
      <c r="C752" s="24" t="s">
        <v>1009</v>
      </c>
      <c r="D752" s="25">
        <v>0.0</v>
      </c>
      <c r="E752" s="24" t="s">
        <v>149</v>
      </c>
      <c r="F752" s="24" t="s">
        <v>52</v>
      </c>
      <c r="G752" s="26">
        <v>45233.16149305556</v>
      </c>
      <c r="H752" s="26">
        <v>45239.117800925924</v>
      </c>
      <c r="I752" s="24" t="s">
        <v>40</v>
      </c>
      <c r="J752" s="24" t="s">
        <v>41</v>
      </c>
      <c r="K752" s="27"/>
      <c r="L752" s="24"/>
      <c r="M752" s="24" t="s">
        <v>74</v>
      </c>
      <c r="N752" s="24"/>
      <c r="O752" s="24" t="s">
        <v>2478</v>
      </c>
      <c r="P752" s="24"/>
      <c r="Q752" s="24"/>
      <c r="R752" s="23">
        <f>HYPERLINK("https://app.hubspot.com/contacts/8748051/record/0-2/10322469467", 10322469467)</f>
        <v>10322469467</v>
      </c>
      <c r="S752" s="24" t="s">
        <v>2479</v>
      </c>
      <c r="T752" s="28" t="s">
        <v>2480</v>
      </c>
      <c r="U752" s="24" t="s">
        <v>47</v>
      </c>
      <c r="V752" s="24"/>
      <c r="W752" s="25"/>
      <c r="X752" s="29">
        <v>124.0</v>
      </c>
      <c r="Y752" s="29">
        <v>25.0</v>
      </c>
      <c r="Z752" s="30" t="s">
        <v>108</v>
      </c>
      <c r="AA752" s="30"/>
      <c r="AB752" s="31"/>
      <c r="AC752" s="30"/>
      <c r="AD752" s="30"/>
      <c r="AE752" s="30"/>
      <c r="AF752" s="30"/>
      <c r="AG752" s="27" t="str">
        <f t="shared" si="1"/>
        <v>New Logo</v>
      </c>
      <c r="AH752" s="27" t="str">
        <f t="shared" si="5"/>
        <v>Lead</v>
      </c>
      <c r="AI752" s="27" t="str">
        <f t="shared" si="6"/>
        <v>0-200</v>
      </c>
      <c r="AJ752" s="27" t="str">
        <f t="shared" si="7"/>
        <v>21-50</v>
      </c>
    </row>
    <row r="753" ht="15.75" customHeight="1">
      <c r="A753" s="23">
        <f>HYPERLINK("https://app.hubspot.com/contacts/8748051/record/0-3/15845371518", 15845371518)</f>
        <v>15845371518</v>
      </c>
      <c r="B753" s="24" t="s">
        <v>2481</v>
      </c>
      <c r="C753" s="24" t="s">
        <v>1009</v>
      </c>
      <c r="D753" s="25">
        <v>15000.0</v>
      </c>
      <c r="E753" s="24" t="s">
        <v>73</v>
      </c>
      <c r="F753" s="24" t="s">
        <v>52</v>
      </c>
      <c r="G753" s="26">
        <v>45229.38153935185</v>
      </c>
      <c r="H753" s="26">
        <v>45380.70354166667</v>
      </c>
      <c r="I753" s="24" t="s">
        <v>40</v>
      </c>
      <c r="J753" s="24" t="s">
        <v>53</v>
      </c>
      <c r="K753" s="27"/>
      <c r="L753" s="27"/>
      <c r="M753" s="24" t="s">
        <v>102</v>
      </c>
      <c r="N753" s="24"/>
      <c r="O753" s="24"/>
      <c r="P753" s="24" t="s">
        <v>213</v>
      </c>
      <c r="Q753" s="24"/>
      <c r="R753" s="23">
        <f>HYPERLINK("https://app.hubspot.com/contacts/8748051/record/0-2/17769597851", 17769597851)</f>
        <v>17769597851</v>
      </c>
      <c r="S753" s="24" t="s">
        <v>2482</v>
      </c>
      <c r="T753" s="28" t="s">
        <v>2483</v>
      </c>
      <c r="U753" s="24" t="s">
        <v>47</v>
      </c>
      <c r="V753" s="24"/>
      <c r="W753" s="25"/>
      <c r="X753" s="29">
        <v>1485.0</v>
      </c>
      <c r="Y753" s="29">
        <v>87.0</v>
      </c>
      <c r="Z753" s="30"/>
      <c r="AA753" s="30"/>
      <c r="AB753" s="31"/>
      <c r="AC753" s="31"/>
      <c r="AD753" s="30"/>
      <c r="AE753" s="31"/>
      <c r="AF753" s="30"/>
      <c r="AG753" s="27" t="str">
        <f t="shared" si="1"/>
        <v>New Logo</v>
      </c>
      <c r="AH753" s="27" t="str">
        <f t="shared" si="5"/>
        <v>Lead</v>
      </c>
      <c r="AI753" s="27" t="str">
        <f t="shared" si="6"/>
        <v>1001-5000</v>
      </c>
      <c r="AJ753" s="27" t="str">
        <f t="shared" si="7"/>
        <v>51-100</v>
      </c>
    </row>
    <row r="754" ht="15.75" customHeight="1">
      <c r="A754" s="23">
        <f>HYPERLINK("https://app.hubspot.com/contacts/8748051/record/0-3/15845371239", 15845371239)</f>
        <v>15845371239</v>
      </c>
      <c r="B754" s="24" t="s">
        <v>2484</v>
      </c>
      <c r="C754" s="24" t="s">
        <v>1009</v>
      </c>
      <c r="D754" s="25">
        <v>59500.0</v>
      </c>
      <c r="E754" s="24" t="s">
        <v>73</v>
      </c>
      <c r="F754" s="24" t="s">
        <v>52</v>
      </c>
      <c r="G754" s="26">
        <v>45229.380277777775</v>
      </c>
      <c r="H754" s="26">
        <v>45351.33809027778</v>
      </c>
      <c r="I754" s="24" t="s">
        <v>40</v>
      </c>
      <c r="J754" s="24" t="s">
        <v>41</v>
      </c>
      <c r="K754" s="27"/>
      <c r="L754" s="27"/>
      <c r="M754" s="24" t="s">
        <v>102</v>
      </c>
      <c r="N754" s="27"/>
      <c r="O754" s="24"/>
      <c r="P754" s="24" t="s">
        <v>75</v>
      </c>
      <c r="Q754" s="24"/>
      <c r="R754" s="23">
        <f>HYPERLINK("https://app.hubspot.com/contacts/8748051/record/0-2/9069717254", 9069717254)</f>
        <v>9069717254</v>
      </c>
      <c r="S754" s="24" t="s">
        <v>999</v>
      </c>
      <c r="T754" s="28" t="s">
        <v>1000</v>
      </c>
      <c r="U754" s="24" t="s">
        <v>96</v>
      </c>
      <c r="V754" s="24"/>
      <c r="W754" s="25">
        <v>5040.0</v>
      </c>
      <c r="X754" s="29">
        <v>991.0</v>
      </c>
      <c r="Y754" s="29">
        <v>213.0</v>
      </c>
      <c r="Z754" s="30"/>
      <c r="AA754" s="30" t="s">
        <v>220</v>
      </c>
      <c r="AB754" s="31"/>
      <c r="AC754" s="31"/>
      <c r="AD754" s="30" t="s">
        <v>1001</v>
      </c>
      <c r="AE754" s="31"/>
      <c r="AF754" s="30" t="s">
        <v>764</v>
      </c>
      <c r="AG754" s="27" t="str">
        <f t="shared" si="1"/>
        <v>New Logo</v>
      </c>
      <c r="AH754" s="27" t="str">
        <f t="shared" si="5"/>
        <v>Customer</v>
      </c>
      <c r="AI754" s="27" t="str">
        <f t="shared" si="6"/>
        <v>501-1000</v>
      </c>
      <c r="AJ754" s="27" t="str">
        <f t="shared" si="7"/>
        <v>101-500</v>
      </c>
    </row>
    <row r="755" ht="15.75" customHeight="1">
      <c r="A755" s="23">
        <f>HYPERLINK("https://app.hubspot.com/contacts/8748051/record/0-3/15798206087", 15798206087)</f>
        <v>15798206087</v>
      </c>
      <c r="B755" s="24" t="s">
        <v>2485</v>
      </c>
      <c r="C755" s="24" t="s">
        <v>148</v>
      </c>
      <c r="D755" s="25">
        <v>2000.0</v>
      </c>
      <c r="E755" s="24" t="s">
        <v>73</v>
      </c>
      <c r="F755" s="24"/>
      <c r="G755" s="26">
        <v>45225.53215277778</v>
      </c>
      <c r="H755" s="26">
        <v>45471.563368055555</v>
      </c>
      <c r="I755" s="24" t="s">
        <v>40</v>
      </c>
      <c r="J755" s="24" t="s">
        <v>41</v>
      </c>
      <c r="K755" s="27"/>
      <c r="L755" s="27"/>
      <c r="M755" s="24" t="s">
        <v>44</v>
      </c>
      <c r="N755" s="24"/>
      <c r="O755" s="24"/>
      <c r="P755" s="24" t="s">
        <v>75</v>
      </c>
      <c r="Q755" s="27"/>
      <c r="R755" s="23">
        <f>HYPERLINK("https://app.hubspot.com/contacts/8748051/record/0-2/17801803546", 17801803546)</f>
        <v>17801803546</v>
      </c>
      <c r="S755" s="24" t="s">
        <v>2486</v>
      </c>
      <c r="T755" s="28" t="s">
        <v>2487</v>
      </c>
      <c r="U755" s="24" t="s">
        <v>47</v>
      </c>
      <c r="V755" s="24"/>
      <c r="W755" s="25"/>
      <c r="X755" s="29">
        <v>41.0</v>
      </c>
      <c r="Y755" s="29">
        <v>4.0</v>
      </c>
      <c r="Z755" s="30"/>
      <c r="AA755" s="30"/>
      <c r="AB755" s="30"/>
      <c r="AC755" s="30"/>
      <c r="AD755" s="30"/>
      <c r="AE755" s="30"/>
      <c r="AF755" s="30"/>
      <c r="AG755" s="27" t="str">
        <f t="shared" si="1"/>
        <v>New Logo</v>
      </c>
      <c r="AH755" s="27" t="str">
        <f t="shared" si="5"/>
        <v>Lead</v>
      </c>
      <c r="AI755" s="27" t="str">
        <f t="shared" si="6"/>
        <v>0-200</v>
      </c>
      <c r="AJ755" s="27" t="str">
        <f t="shared" si="7"/>
        <v>0-20</v>
      </c>
    </row>
    <row r="756" ht="15.75" customHeight="1">
      <c r="A756" s="23">
        <f>HYPERLINK("https://app.hubspot.com/contacts/8748051/record/0-3/15778099270", 15778099270)</f>
        <v>15778099270</v>
      </c>
      <c r="B756" s="24" t="s">
        <v>2488</v>
      </c>
      <c r="C756" s="24" t="s">
        <v>50</v>
      </c>
      <c r="D756" s="25">
        <v>11000.0</v>
      </c>
      <c r="E756" s="24" t="s">
        <v>73</v>
      </c>
      <c r="F756" s="24"/>
      <c r="G756" s="26">
        <v>45224.175046296295</v>
      </c>
      <c r="H756" s="26">
        <v>45565.34273148148</v>
      </c>
      <c r="I756" s="24" t="s">
        <v>40</v>
      </c>
      <c r="J756" s="24" t="s">
        <v>53</v>
      </c>
      <c r="K756" s="24"/>
      <c r="L756" s="24"/>
      <c r="M756" s="24" t="s">
        <v>74</v>
      </c>
      <c r="N756" s="24"/>
      <c r="O756" s="24"/>
      <c r="P756" s="24"/>
      <c r="Q756" s="27"/>
      <c r="R756" s="23">
        <f>HYPERLINK("https://app.hubspot.com/contacts/8748051/record/0-2/6816552040", 6816552040)</f>
        <v>6816552040</v>
      </c>
      <c r="S756" s="24" t="s">
        <v>2489</v>
      </c>
      <c r="T756" s="28" t="s">
        <v>2490</v>
      </c>
      <c r="U756" s="24" t="s">
        <v>47</v>
      </c>
      <c r="V756" s="24"/>
      <c r="W756" s="25"/>
      <c r="X756" s="29">
        <v>442.0</v>
      </c>
      <c r="Y756" s="29">
        <v>22.0</v>
      </c>
      <c r="Z756" s="30" t="s">
        <v>108</v>
      </c>
      <c r="AA756" s="30"/>
      <c r="AB756" s="30"/>
      <c r="AC756" s="30"/>
      <c r="AD756" s="30"/>
      <c r="AE756" s="30"/>
      <c r="AF756" s="30"/>
      <c r="AG756" s="27" t="str">
        <f t="shared" si="1"/>
        <v>New Logo</v>
      </c>
      <c r="AH756" s="27" t="str">
        <f t="shared" si="5"/>
        <v>Lead</v>
      </c>
      <c r="AI756" s="27" t="str">
        <f t="shared" si="6"/>
        <v>201-500</v>
      </c>
      <c r="AJ756" s="27" t="str">
        <f t="shared" si="7"/>
        <v>21-50</v>
      </c>
    </row>
    <row r="757" ht="15.75" customHeight="1">
      <c r="A757" s="23">
        <f>HYPERLINK("https://app.hubspot.com/contacts/8748051/record/0-3/15754439595", 15754439595)</f>
        <v>15754439595</v>
      </c>
      <c r="B757" s="24" t="s">
        <v>2491</v>
      </c>
      <c r="C757" s="24" t="s">
        <v>50</v>
      </c>
      <c r="D757" s="25">
        <v>20000.0</v>
      </c>
      <c r="E757" s="24" t="s">
        <v>149</v>
      </c>
      <c r="F757" s="24" t="s">
        <v>52</v>
      </c>
      <c r="G757" s="26">
        <v>45222.38471064815</v>
      </c>
      <c r="H757" s="26">
        <v>45237.39268518519</v>
      </c>
      <c r="I757" s="24" t="s">
        <v>40</v>
      </c>
      <c r="J757" s="24" t="s">
        <v>41</v>
      </c>
      <c r="K757" s="24"/>
      <c r="L757" s="24"/>
      <c r="M757" s="24" t="s">
        <v>44</v>
      </c>
      <c r="N757" s="24"/>
      <c r="O757" s="24" t="s">
        <v>2492</v>
      </c>
      <c r="P757" s="24"/>
      <c r="Q757" s="24"/>
      <c r="R757" s="23">
        <f>HYPERLINK("https://app.hubspot.com/contacts/8748051/record/0-2/9238334248", 9238334248)</f>
        <v>9238334248</v>
      </c>
      <c r="S757" s="24" t="s">
        <v>2491</v>
      </c>
      <c r="T757" s="28" t="s">
        <v>2493</v>
      </c>
      <c r="U757" s="24" t="s">
        <v>47</v>
      </c>
      <c r="V757" s="24"/>
      <c r="W757" s="25"/>
      <c r="X757" s="29">
        <v>537.0</v>
      </c>
      <c r="Y757" s="29">
        <v>57.0</v>
      </c>
      <c r="Z757" s="30" t="s">
        <v>71</v>
      </c>
      <c r="AA757" s="30"/>
      <c r="AB757" s="30"/>
      <c r="AC757" s="30"/>
      <c r="AD757" s="30"/>
      <c r="AE757" s="30"/>
      <c r="AF757" s="30"/>
      <c r="AG757" s="27" t="str">
        <f t="shared" si="1"/>
        <v>New Logo</v>
      </c>
      <c r="AH757" s="27" t="str">
        <f t="shared" si="5"/>
        <v>Lead</v>
      </c>
      <c r="AI757" s="27" t="str">
        <f t="shared" si="6"/>
        <v>501-1000</v>
      </c>
      <c r="AJ757" s="27" t="str">
        <f t="shared" si="7"/>
        <v>51-100</v>
      </c>
    </row>
    <row r="758" ht="15.75" customHeight="1">
      <c r="A758" s="23">
        <f>HYPERLINK("https://app.hubspot.com/contacts/8748051/record/0-3/15723492419", 15723492419)</f>
        <v>15723492419</v>
      </c>
      <c r="B758" s="24" t="s">
        <v>266</v>
      </c>
      <c r="C758" s="24" t="s">
        <v>2305</v>
      </c>
      <c r="D758" s="25">
        <v>27720.0</v>
      </c>
      <c r="E758" s="24" t="s">
        <v>92</v>
      </c>
      <c r="F758" s="24" t="s">
        <v>52</v>
      </c>
      <c r="G758" s="26">
        <v>45219.643483796295</v>
      </c>
      <c r="H758" s="26">
        <v>45308.35223379629</v>
      </c>
      <c r="I758" s="24" t="s">
        <v>40</v>
      </c>
      <c r="J758" s="24" t="s">
        <v>53</v>
      </c>
      <c r="K758" s="27"/>
      <c r="L758" s="24" t="s">
        <v>449</v>
      </c>
      <c r="M758" s="24" t="s">
        <v>44</v>
      </c>
      <c r="N758" s="24" t="s">
        <v>2494</v>
      </c>
      <c r="O758" s="24"/>
      <c r="P758" s="24"/>
      <c r="Q758" s="24"/>
      <c r="R758" s="23">
        <f>HYPERLINK("https://app.hubspot.com/contacts/8748051/record/0-2/7776553322", 7776553322)</f>
        <v>7776553322</v>
      </c>
      <c r="S758" s="24" t="s">
        <v>266</v>
      </c>
      <c r="T758" s="28" t="s">
        <v>267</v>
      </c>
      <c r="U758" s="24" t="s">
        <v>96</v>
      </c>
      <c r="V758" s="24"/>
      <c r="W758" s="25">
        <v>25740.0</v>
      </c>
      <c r="X758" s="29">
        <v>211.0</v>
      </c>
      <c r="Y758" s="29">
        <v>27.0</v>
      </c>
      <c r="Z758" s="30"/>
      <c r="AA758" s="30" t="s">
        <v>97</v>
      </c>
      <c r="AB758" s="30" t="s">
        <v>207</v>
      </c>
      <c r="AC758" s="30" t="s">
        <v>268</v>
      </c>
      <c r="AD758" s="30" t="s">
        <v>269</v>
      </c>
      <c r="AE758" s="30" t="s">
        <v>270</v>
      </c>
      <c r="AF758" s="30" t="s">
        <v>169</v>
      </c>
      <c r="AG758" s="27" t="str">
        <f t="shared" si="1"/>
        <v>New Logo</v>
      </c>
      <c r="AH758" s="27" t="str">
        <f t="shared" si="5"/>
        <v>Customer</v>
      </c>
      <c r="AI758" s="27" t="str">
        <f t="shared" si="6"/>
        <v>201-500</v>
      </c>
      <c r="AJ758" s="27" t="str">
        <f t="shared" si="7"/>
        <v>21-50</v>
      </c>
    </row>
    <row r="759" ht="15.75" customHeight="1">
      <c r="A759" s="23">
        <f>HYPERLINK("https://app.hubspot.com/contacts/8748051/record/0-3/15723271730", 15723271730)</f>
        <v>15723271730</v>
      </c>
      <c r="B759" s="24" t="s">
        <v>2495</v>
      </c>
      <c r="C759" s="24" t="s">
        <v>1009</v>
      </c>
      <c r="D759" s="25">
        <v>100000.0</v>
      </c>
      <c r="E759" s="24" t="s">
        <v>73</v>
      </c>
      <c r="F759" s="24"/>
      <c r="G759" s="26">
        <v>45219.60637731481</v>
      </c>
      <c r="H759" s="26">
        <v>45351.60596064815</v>
      </c>
      <c r="I759" s="24" t="s">
        <v>40</v>
      </c>
      <c r="J759" s="24" t="s">
        <v>53</v>
      </c>
      <c r="K759" s="24"/>
      <c r="L759" s="24"/>
      <c r="M759" s="24" t="s">
        <v>44</v>
      </c>
      <c r="N759" s="24"/>
      <c r="O759" s="24"/>
      <c r="P759" s="24" t="s">
        <v>122</v>
      </c>
      <c r="Q759" s="24"/>
      <c r="R759" s="23">
        <f>HYPERLINK("https://app.hubspot.com/contacts/8748051/record/0-2/9238328396", 9238328396)</f>
        <v>9238328396</v>
      </c>
      <c r="S759" s="24" t="s">
        <v>2496</v>
      </c>
      <c r="T759" s="28" t="s">
        <v>2497</v>
      </c>
      <c r="U759" s="24" t="s">
        <v>47</v>
      </c>
      <c r="V759" s="24"/>
      <c r="W759" s="25"/>
      <c r="X759" s="29">
        <v>2404.0</v>
      </c>
      <c r="Y759" s="29">
        <v>305.0</v>
      </c>
      <c r="Z759" s="30" t="s">
        <v>546</v>
      </c>
      <c r="AA759" s="30"/>
      <c r="AB759" s="31"/>
      <c r="AC759" s="30"/>
      <c r="AD759" s="30"/>
      <c r="AE759" s="30"/>
      <c r="AF759" s="30"/>
      <c r="AG759" s="27" t="str">
        <f t="shared" si="1"/>
        <v>New Logo</v>
      </c>
      <c r="AH759" s="27" t="str">
        <f t="shared" si="5"/>
        <v>Lead</v>
      </c>
      <c r="AI759" s="27" t="str">
        <f t="shared" si="6"/>
        <v>1001-5000</v>
      </c>
      <c r="AJ759" s="27" t="str">
        <f t="shared" si="7"/>
        <v>101-500</v>
      </c>
    </row>
    <row r="760" ht="15.75" customHeight="1">
      <c r="A760" s="23">
        <f>HYPERLINK("https://app.hubspot.com/contacts/8748051/record/0-3/15690632721", 15690632721)</f>
        <v>15690632721</v>
      </c>
      <c r="B760" s="24" t="s">
        <v>2498</v>
      </c>
      <c r="C760" s="24" t="s">
        <v>50</v>
      </c>
      <c r="D760" s="25">
        <v>15000.0</v>
      </c>
      <c r="E760" s="24" t="s">
        <v>127</v>
      </c>
      <c r="F760" s="24" t="s">
        <v>52</v>
      </c>
      <c r="G760" s="26">
        <v>45217.574467592596</v>
      </c>
      <c r="H760" s="26">
        <v>45504.41721064815</v>
      </c>
      <c r="I760" s="24" t="s">
        <v>40</v>
      </c>
      <c r="J760" s="24" t="s">
        <v>41</v>
      </c>
      <c r="K760" s="27"/>
      <c r="L760" s="27"/>
      <c r="M760" s="24" t="s">
        <v>44</v>
      </c>
      <c r="N760" s="24"/>
      <c r="O760" s="24"/>
      <c r="P760" s="24"/>
      <c r="Q760" s="24" t="s">
        <v>144</v>
      </c>
      <c r="R760" s="23">
        <f>HYPERLINK("https://app.hubspot.com/contacts/8748051/record/0-2/7131052804", 7131052804)</f>
        <v>7131052804</v>
      </c>
      <c r="S760" s="24" t="s">
        <v>2499</v>
      </c>
      <c r="T760" s="28" t="s">
        <v>2500</v>
      </c>
      <c r="U760" s="24" t="s">
        <v>47</v>
      </c>
      <c r="V760" s="24"/>
      <c r="W760" s="25"/>
      <c r="X760" s="29">
        <v>626.0</v>
      </c>
      <c r="Y760" s="29">
        <v>135.0</v>
      </c>
      <c r="Z760" s="30" t="s">
        <v>71</v>
      </c>
      <c r="AA760" s="30"/>
      <c r="AB760" s="31"/>
      <c r="AC760" s="30"/>
      <c r="AD760" s="30"/>
      <c r="AE760" s="30"/>
      <c r="AF760" s="30"/>
      <c r="AG760" s="27" t="str">
        <f t="shared" si="1"/>
        <v>New Logo</v>
      </c>
      <c r="AH760" s="27" t="str">
        <f t="shared" si="5"/>
        <v>Lead</v>
      </c>
      <c r="AI760" s="27" t="str">
        <f t="shared" si="6"/>
        <v>501-1000</v>
      </c>
      <c r="AJ760" s="27" t="str">
        <f t="shared" si="7"/>
        <v>101-500</v>
      </c>
    </row>
    <row r="761" ht="15.75" customHeight="1">
      <c r="A761" s="23">
        <f>HYPERLINK("https://app.hubspot.com/contacts/8748051/record/0-3/15671832458", 15671832458)</f>
        <v>15671832458</v>
      </c>
      <c r="B761" s="24" t="s">
        <v>2501</v>
      </c>
      <c r="C761" s="24" t="s">
        <v>50</v>
      </c>
      <c r="D761" s="25">
        <v>0.0</v>
      </c>
      <c r="E761" s="24" t="s">
        <v>149</v>
      </c>
      <c r="F761" s="24" t="s">
        <v>52</v>
      </c>
      <c r="G761" s="26">
        <v>45216.686574074076</v>
      </c>
      <c r="H761" s="26">
        <v>45286.70049768518</v>
      </c>
      <c r="I761" s="24" t="s">
        <v>40</v>
      </c>
      <c r="J761" s="24" t="s">
        <v>41</v>
      </c>
      <c r="K761" s="24"/>
      <c r="L761" s="24"/>
      <c r="M761" s="24" t="s">
        <v>44</v>
      </c>
      <c r="N761" s="24"/>
      <c r="O761" s="24" t="s">
        <v>2502</v>
      </c>
      <c r="P761" s="27"/>
      <c r="Q761" s="27"/>
      <c r="R761" s="23">
        <f>HYPERLINK("https://app.hubspot.com/contacts/8748051/record/0-2/7624135269", 7624135269)</f>
        <v>7624135269</v>
      </c>
      <c r="S761" s="24" t="s">
        <v>2503</v>
      </c>
      <c r="T761" s="24" t="s">
        <v>2504</v>
      </c>
      <c r="U761" s="24" t="s">
        <v>47</v>
      </c>
      <c r="V761" s="24"/>
      <c r="W761" s="25"/>
      <c r="X761" s="29">
        <v>570.0</v>
      </c>
      <c r="Y761" s="29">
        <v>61.0</v>
      </c>
      <c r="Z761" s="30"/>
      <c r="AA761" s="30"/>
      <c r="AB761" s="31"/>
      <c r="AC761" s="30"/>
      <c r="AD761" s="30"/>
      <c r="AE761" s="30"/>
      <c r="AF761" s="30"/>
      <c r="AG761" s="27" t="str">
        <f t="shared" si="1"/>
        <v>New Logo</v>
      </c>
      <c r="AH761" s="27" t="str">
        <f t="shared" si="5"/>
        <v>Lead</v>
      </c>
      <c r="AI761" s="27" t="str">
        <f t="shared" si="6"/>
        <v>501-1000</v>
      </c>
      <c r="AJ761" s="27" t="str">
        <f t="shared" si="7"/>
        <v>51-100</v>
      </c>
    </row>
    <row r="762" ht="15.75" customHeight="1">
      <c r="A762" s="23">
        <f>HYPERLINK("https://app.hubspot.com/contacts/8748051/record/0-3/15671831890", 15671831890)</f>
        <v>15671831890</v>
      </c>
      <c r="B762" s="24" t="s">
        <v>2505</v>
      </c>
      <c r="C762" s="24" t="s">
        <v>1009</v>
      </c>
      <c r="D762" s="25">
        <v>0.0</v>
      </c>
      <c r="E762" s="24" t="s">
        <v>149</v>
      </c>
      <c r="F762" s="24" t="s">
        <v>52</v>
      </c>
      <c r="G762" s="26">
        <v>45216.68375</v>
      </c>
      <c r="H762" s="26">
        <v>45301.646458333336</v>
      </c>
      <c r="I762" s="24" t="s">
        <v>40</v>
      </c>
      <c r="J762" s="24" t="s">
        <v>41</v>
      </c>
      <c r="K762" s="24"/>
      <c r="L762" s="24"/>
      <c r="M762" s="24" t="s">
        <v>44</v>
      </c>
      <c r="N762" s="24"/>
      <c r="O762" s="24" t="s">
        <v>2506</v>
      </c>
      <c r="P762" s="27"/>
      <c r="Q762" s="24"/>
      <c r="R762" s="23">
        <f>HYPERLINK("https://app.hubspot.com/contacts/8748051/record/0-2/17707036310", 17707036310)</f>
        <v>17707036310</v>
      </c>
      <c r="S762" s="24" t="s">
        <v>2507</v>
      </c>
      <c r="T762" s="28" t="s">
        <v>2508</v>
      </c>
      <c r="U762" s="24" t="s">
        <v>47</v>
      </c>
      <c r="V762" s="24"/>
      <c r="W762" s="25"/>
      <c r="X762" s="29">
        <v>35.0</v>
      </c>
      <c r="Y762" s="29">
        <v>2.0</v>
      </c>
      <c r="Z762" s="30"/>
      <c r="AA762" s="30"/>
      <c r="AB762" s="30"/>
      <c r="AC762" s="30"/>
      <c r="AD762" s="30"/>
      <c r="AE762" s="30"/>
      <c r="AF762" s="30"/>
      <c r="AG762" s="27" t="str">
        <f t="shared" si="1"/>
        <v>New Logo</v>
      </c>
      <c r="AH762" s="27" t="str">
        <f t="shared" si="5"/>
        <v>Lead</v>
      </c>
      <c r="AI762" s="27" t="str">
        <f t="shared" si="6"/>
        <v>0-200</v>
      </c>
      <c r="AJ762" s="27" t="str">
        <f t="shared" si="7"/>
        <v>0-20</v>
      </c>
    </row>
    <row r="763" ht="15.75" customHeight="1">
      <c r="A763" s="23">
        <f>HYPERLINK("https://app.hubspot.com/contacts/8748051/record/0-3/15612855611", 15612855611)</f>
        <v>15612855611</v>
      </c>
      <c r="B763" s="24" t="s">
        <v>2509</v>
      </c>
      <c r="C763" s="24" t="s">
        <v>50</v>
      </c>
      <c r="D763" s="25">
        <v>0.0</v>
      </c>
      <c r="E763" s="24" t="s">
        <v>149</v>
      </c>
      <c r="F763" s="24" t="s">
        <v>52</v>
      </c>
      <c r="G763" s="26">
        <v>45212.419953703706</v>
      </c>
      <c r="H763" s="26">
        <v>45237.412673611114</v>
      </c>
      <c r="I763" s="24" t="s">
        <v>40</v>
      </c>
      <c r="J763" s="24" t="s">
        <v>53</v>
      </c>
      <c r="K763" s="27"/>
      <c r="L763" s="27"/>
      <c r="M763" s="24" t="s">
        <v>44</v>
      </c>
      <c r="N763" s="24"/>
      <c r="O763" s="24" t="s">
        <v>2510</v>
      </c>
      <c r="P763" s="24"/>
      <c r="Q763" s="24"/>
      <c r="R763" s="23">
        <f>HYPERLINK("https://app.hubspot.com/contacts/8748051/record/0-2/7709393079", 7709393079)</f>
        <v>7709393079</v>
      </c>
      <c r="S763" s="24" t="s">
        <v>2511</v>
      </c>
      <c r="T763" s="24" t="s">
        <v>2512</v>
      </c>
      <c r="U763" s="24" t="s">
        <v>47</v>
      </c>
      <c r="V763" s="24"/>
      <c r="W763" s="25"/>
      <c r="X763" s="29">
        <v>40.0</v>
      </c>
      <c r="Y763" s="29">
        <v>2.0</v>
      </c>
      <c r="Z763" s="30"/>
      <c r="AA763" s="30"/>
      <c r="AB763" s="30"/>
      <c r="AC763" s="30"/>
      <c r="AD763" s="30"/>
      <c r="AE763" s="30"/>
      <c r="AF763" s="30"/>
      <c r="AG763" s="27" t="str">
        <f t="shared" si="1"/>
        <v>New Logo</v>
      </c>
      <c r="AH763" s="27" t="str">
        <f t="shared" si="5"/>
        <v>Lead</v>
      </c>
      <c r="AI763" s="27" t="str">
        <f t="shared" si="6"/>
        <v>0-200</v>
      </c>
      <c r="AJ763" s="27" t="str">
        <f t="shared" si="7"/>
        <v>0-20</v>
      </c>
    </row>
    <row r="764" ht="15.75" customHeight="1">
      <c r="A764" s="23">
        <f>HYPERLINK("https://app.hubspot.com/contacts/8748051/record/0-3/15608437407", 15608437407)</f>
        <v>15608437407</v>
      </c>
      <c r="B764" s="24" t="s">
        <v>2513</v>
      </c>
      <c r="C764" s="24" t="s">
        <v>1228</v>
      </c>
      <c r="D764" s="25">
        <v>3750.0</v>
      </c>
      <c r="E764" s="24" t="s">
        <v>92</v>
      </c>
      <c r="F764" s="24" t="s">
        <v>52</v>
      </c>
      <c r="G764" s="26">
        <v>45212.11864583333</v>
      </c>
      <c r="H764" s="26">
        <v>45224.334282407406</v>
      </c>
      <c r="I764" s="24" t="s">
        <v>40</v>
      </c>
      <c r="J764" s="24" t="s">
        <v>182</v>
      </c>
      <c r="K764" s="27"/>
      <c r="L764" s="27"/>
      <c r="M764" s="24" t="s">
        <v>102</v>
      </c>
      <c r="N764" s="24" t="s">
        <v>2514</v>
      </c>
      <c r="O764" s="24"/>
      <c r="P764" s="24"/>
      <c r="Q764" s="24"/>
      <c r="R764" s="23">
        <f>HYPERLINK("https://app.hubspot.com/contacts/8748051/record/0-2/9781558177", 9781558177)</f>
        <v>9781558177</v>
      </c>
      <c r="S764" s="24" t="s">
        <v>864</v>
      </c>
      <c r="T764" s="28" t="s">
        <v>865</v>
      </c>
      <c r="U764" s="24" t="s">
        <v>96</v>
      </c>
      <c r="V764" s="24"/>
      <c r="W764" s="25">
        <v>21840.0</v>
      </c>
      <c r="X764" s="29">
        <v>221.0</v>
      </c>
      <c r="Y764" s="29">
        <v>17.0</v>
      </c>
      <c r="Z764" s="30"/>
      <c r="AA764" s="30" t="s">
        <v>220</v>
      </c>
      <c r="AB764" s="30"/>
      <c r="AC764" s="30"/>
      <c r="AD764" s="30" t="s">
        <v>866</v>
      </c>
      <c r="AE764" s="30"/>
      <c r="AF764" s="30" t="s">
        <v>169</v>
      </c>
      <c r="AG764" s="27" t="str">
        <f t="shared" si="1"/>
        <v>Upsell</v>
      </c>
      <c r="AH764" s="27" t="str">
        <f t="shared" si="5"/>
        <v>Customer</v>
      </c>
      <c r="AI764" s="27" t="str">
        <f t="shared" si="6"/>
        <v>201-500</v>
      </c>
      <c r="AJ764" s="27" t="str">
        <f t="shared" si="7"/>
        <v>0-20</v>
      </c>
    </row>
    <row r="765" ht="15.75" customHeight="1">
      <c r="A765" s="23">
        <f>HYPERLINK("https://app.hubspot.com/contacts/8748051/record/0-3/15608816671", 15608816671)</f>
        <v>15608816671</v>
      </c>
      <c r="B765" s="24" t="s">
        <v>2515</v>
      </c>
      <c r="C765" s="24" t="s">
        <v>50</v>
      </c>
      <c r="D765" s="25">
        <v>100000.0</v>
      </c>
      <c r="E765" s="24" t="s">
        <v>73</v>
      </c>
      <c r="F765" s="24" t="s">
        <v>52</v>
      </c>
      <c r="G765" s="26">
        <v>45212.06769675926</v>
      </c>
      <c r="H765" s="26">
        <v>45473.22707175926</v>
      </c>
      <c r="I765" s="24" t="s">
        <v>40</v>
      </c>
      <c r="J765" s="24" t="s">
        <v>53</v>
      </c>
      <c r="K765" s="27"/>
      <c r="L765" s="27"/>
      <c r="M765" s="24" t="s">
        <v>102</v>
      </c>
      <c r="N765" s="24"/>
      <c r="O765" s="24"/>
      <c r="P765" s="24" t="s">
        <v>213</v>
      </c>
      <c r="Q765" s="24"/>
      <c r="R765" s="23">
        <f>HYPERLINK("https://app.hubspot.com/contacts/8748051/record/0-2/8929362983", 8929362983)</f>
        <v>8929362983</v>
      </c>
      <c r="S765" s="24" t="s">
        <v>2516</v>
      </c>
      <c r="T765" s="28" t="s">
        <v>2517</v>
      </c>
      <c r="U765" s="24" t="s">
        <v>47</v>
      </c>
      <c r="V765" s="24"/>
      <c r="W765" s="25"/>
      <c r="X765" s="29">
        <v>2076.0</v>
      </c>
      <c r="Y765" s="29">
        <v>225.0</v>
      </c>
      <c r="Z765" s="30"/>
      <c r="AA765" s="30"/>
      <c r="AB765" s="30"/>
      <c r="AC765" s="30"/>
      <c r="AD765" s="30"/>
      <c r="AE765" s="30"/>
      <c r="AF765" s="30"/>
      <c r="AG765" s="27" t="str">
        <f t="shared" si="1"/>
        <v>New Logo</v>
      </c>
      <c r="AH765" s="27" t="str">
        <f t="shared" si="5"/>
        <v>Lead</v>
      </c>
      <c r="AI765" s="27" t="str">
        <f t="shared" si="6"/>
        <v>1001-5000</v>
      </c>
      <c r="AJ765" s="27" t="str">
        <f t="shared" si="7"/>
        <v>101-500</v>
      </c>
    </row>
    <row r="766" ht="15.75" customHeight="1">
      <c r="A766" s="23">
        <f>HYPERLINK("https://app.hubspot.com/contacts/8748051/record/0-3/15375831562", 15375831562)</f>
        <v>15375831562</v>
      </c>
      <c r="B766" s="24" t="s">
        <v>2518</v>
      </c>
      <c r="C766" s="24" t="s">
        <v>50</v>
      </c>
      <c r="D766" s="25">
        <v>30000.0</v>
      </c>
      <c r="E766" s="24" t="s">
        <v>149</v>
      </c>
      <c r="F766" s="24" t="s">
        <v>52</v>
      </c>
      <c r="G766" s="26">
        <v>45198.582974537036</v>
      </c>
      <c r="H766" s="26">
        <v>45211.60034722222</v>
      </c>
      <c r="I766" s="24" t="s">
        <v>40</v>
      </c>
      <c r="J766" s="24" t="s">
        <v>41</v>
      </c>
      <c r="K766" s="24"/>
      <c r="L766" s="24"/>
      <c r="M766" s="24" t="s">
        <v>44</v>
      </c>
      <c r="N766" s="24"/>
      <c r="O766" s="24" t="s">
        <v>2519</v>
      </c>
      <c r="P766" s="27"/>
      <c r="Q766" s="27"/>
      <c r="R766" s="23">
        <f>HYPERLINK("https://app.hubspot.com/contacts/8748051/record/0-2/7666466217", 7666466217)</f>
        <v>7666466217</v>
      </c>
      <c r="S766" s="24" t="s">
        <v>2040</v>
      </c>
      <c r="T766" s="28" t="s">
        <v>2041</v>
      </c>
      <c r="U766" s="24" t="s">
        <v>47</v>
      </c>
      <c r="V766" s="24"/>
      <c r="W766" s="25"/>
      <c r="X766" s="29">
        <v>381.0</v>
      </c>
      <c r="Y766" s="29">
        <v>80.0</v>
      </c>
      <c r="Z766" s="30" t="s">
        <v>64</v>
      </c>
      <c r="AA766" s="30"/>
      <c r="AB766" s="30"/>
      <c r="AC766" s="30"/>
      <c r="AD766" s="30"/>
      <c r="AE766" s="30"/>
      <c r="AF766" s="30"/>
      <c r="AG766" s="27" t="str">
        <f t="shared" si="1"/>
        <v>New Logo</v>
      </c>
      <c r="AH766" s="27" t="str">
        <f t="shared" si="5"/>
        <v>Lead</v>
      </c>
      <c r="AI766" s="27" t="str">
        <f t="shared" si="6"/>
        <v>201-500</v>
      </c>
      <c r="AJ766" s="27" t="str">
        <f t="shared" si="7"/>
        <v>51-100</v>
      </c>
    </row>
    <row r="767" ht="15.75" customHeight="1">
      <c r="A767" s="23">
        <f>HYPERLINK("https://app.hubspot.com/contacts/8748051/record/0-3/15318294862", 15318294862)</f>
        <v>15318294862</v>
      </c>
      <c r="B767" s="24" t="s">
        <v>2520</v>
      </c>
      <c r="C767" s="24" t="s">
        <v>1228</v>
      </c>
      <c r="D767" s="25">
        <v>5796.0</v>
      </c>
      <c r="E767" s="24" t="s">
        <v>92</v>
      </c>
      <c r="F767" s="24" t="s">
        <v>52</v>
      </c>
      <c r="G767" s="26">
        <v>45194.713796296295</v>
      </c>
      <c r="H767" s="26">
        <v>45258.99505787037</v>
      </c>
      <c r="I767" s="24" t="s">
        <v>40</v>
      </c>
      <c r="J767" s="24" t="s">
        <v>41</v>
      </c>
      <c r="K767" s="24"/>
      <c r="L767" s="24"/>
      <c r="M767" s="24" t="s">
        <v>102</v>
      </c>
      <c r="N767" s="24" t="s">
        <v>2521</v>
      </c>
      <c r="O767" s="24"/>
      <c r="P767" s="27"/>
      <c r="Q767" s="24"/>
      <c r="R767" s="23">
        <f>HYPERLINK("https://app.hubspot.com/contacts/8748051/record/0-2/10517320259", 10517320259)</f>
        <v>10517320259</v>
      </c>
      <c r="S767" s="24" t="s">
        <v>1229</v>
      </c>
      <c r="T767" s="28" t="s">
        <v>1230</v>
      </c>
      <c r="U767" s="24" t="s">
        <v>96</v>
      </c>
      <c r="V767" s="24"/>
      <c r="W767" s="25">
        <v>8045.0</v>
      </c>
      <c r="X767" s="29">
        <v>283.0</v>
      </c>
      <c r="Y767" s="29">
        <v>49.0</v>
      </c>
      <c r="Z767" s="30"/>
      <c r="AA767" s="30" t="s">
        <v>193</v>
      </c>
      <c r="AB767" s="31"/>
      <c r="AC767" s="30" t="s">
        <v>208</v>
      </c>
      <c r="AD767" s="30" t="s">
        <v>1231</v>
      </c>
      <c r="AE767" s="30" t="s">
        <v>1232</v>
      </c>
      <c r="AF767" s="30" t="s">
        <v>169</v>
      </c>
      <c r="AG767" s="27" t="str">
        <f t="shared" si="1"/>
        <v>New Logo</v>
      </c>
      <c r="AH767" s="27" t="str">
        <f t="shared" si="5"/>
        <v>Customer</v>
      </c>
      <c r="AI767" s="27" t="str">
        <f t="shared" si="6"/>
        <v>201-500</v>
      </c>
      <c r="AJ767" s="27" t="str">
        <f t="shared" si="7"/>
        <v>21-50</v>
      </c>
    </row>
    <row r="768" ht="15.75" customHeight="1">
      <c r="A768" s="23">
        <f>HYPERLINK("https://app.hubspot.com/contacts/8748051/record/0-3/15317964317", 15317964317)</f>
        <v>15317964317</v>
      </c>
      <c r="B768" s="24" t="s">
        <v>2522</v>
      </c>
      <c r="C768" s="24" t="s">
        <v>2305</v>
      </c>
      <c r="D768" s="25">
        <v>6500.0</v>
      </c>
      <c r="E768" s="24" t="s">
        <v>92</v>
      </c>
      <c r="F768" s="24" t="s">
        <v>52</v>
      </c>
      <c r="G768" s="26">
        <v>45194.708645833336</v>
      </c>
      <c r="H768" s="26">
        <v>45294.43791666667</v>
      </c>
      <c r="I768" s="24" t="s">
        <v>40</v>
      </c>
      <c r="J768" s="24" t="s">
        <v>41</v>
      </c>
      <c r="K768" s="24" t="s">
        <v>42</v>
      </c>
      <c r="L768" s="24" t="s">
        <v>43</v>
      </c>
      <c r="M768" s="24" t="s">
        <v>44</v>
      </c>
      <c r="N768" s="24" t="s">
        <v>2523</v>
      </c>
      <c r="O768" s="24"/>
      <c r="P768" s="27"/>
      <c r="Q768" s="24"/>
      <c r="R768" s="23">
        <f>HYPERLINK("https://app.hubspot.com/contacts/8748051/record/0-2/17267716867", 17267716867)</f>
        <v>17267716867</v>
      </c>
      <c r="S768" s="24" t="s">
        <v>459</v>
      </c>
      <c r="T768" s="28" t="s">
        <v>460</v>
      </c>
      <c r="U768" s="24" t="s">
        <v>96</v>
      </c>
      <c r="V768" s="24"/>
      <c r="W768" s="25">
        <v>3960.0</v>
      </c>
      <c r="X768" s="29">
        <v>349.0</v>
      </c>
      <c r="Y768" s="29">
        <v>21.0</v>
      </c>
      <c r="Z768" s="30"/>
      <c r="AA768" s="30" t="s">
        <v>207</v>
      </c>
      <c r="AB768" s="31"/>
      <c r="AC768" s="30" t="s">
        <v>461</v>
      </c>
      <c r="AD768" s="30" t="s">
        <v>462</v>
      </c>
      <c r="AE768" s="30" t="s">
        <v>463</v>
      </c>
      <c r="AF768" s="30" t="s">
        <v>211</v>
      </c>
      <c r="AG768" s="27" t="str">
        <f t="shared" si="1"/>
        <v>New Logo</v>
      </c>
      <c r="AH768" s="27" t="str">
        <f t="shared" si="5"/>
        <v>Customer</v>
      </c>
      <c r="AI768" s="27" t="str">
        <f t="shared" si="6"/>
        <v>201-500</v>
      </c>
      <c r="AJ768" s="27" t="str">
        <f t="shared" si="7"/>
        <v>21-50</v>
      </c>
    </row>
    <row r="769" ht="15.75" customHeight="1">
      <c r="A769" s="23">
        <f>HYPERLINK("https://app.hubspot.com/contacts/8748051/record/0-3/15315646550", 15315646550)</f>
        <v>15315646550</v>
      </c>
      <c r="B769" s="24" t="s">
        <v>2524</v>
      </c>
      <c r="C769" s="24" t="s">
        <v>50</v>
      </c>
      <c r="D769" s="25">
        <v>40000.0</v>
      </c>
      <c r="E769" s="24" t="s">
        <v>127</v>
      </c>
      <c r="F769" s="24" t="s">
        <v>52</v>
      </c>
      <c r="G769" s="26">
        <v>45194.546805555554</v>
      </c>
      <c r="H769" s="26">
        <v>45351.41306712963</v>
      </c>
      <c r="I769" s="24" t="s">
        <v>40</v>
      </c>
      <c r="J769" s="24" t="s">
        <v>53</v>
      </c>
      <c r="K769" s="27"/>
      <c r="L769" s="27"/>
      <c r="M769" s="24" t="s">
        <v>44</v>
      </c>
      <c r="N769" s="24"/>
      <c r="O769" s="24"/>
      <c r="P769" s="24"/>
      <c r="Q769" s="24" t="s">
        <v>238</v>
      </c>
      <c r="R769" s="23">
        <f>HYPERLINK("https://app.hubspot.com/contacts/8748051/record/0-2/9240658489", 9240658489)</f>
        <v>9240658489</v>
      </c>
      <c r="S769" s="24" t="s">
        <v>2525</v>
      </c>
      <c r="T769" s="28" t="s">
        <v>2526</v>
      </c>
      <c r="U769" s="24" t="s">
        <v>47</v>
      </c>
      <c r="V769" s="24"/>
      <c r="W769" s="25"/>
      <c r="X769" s="29">
        <v>7181.0</v>
      </c>
      <c r="Y769" s="29">
        <v>1340.0</v>
      </c>
      <c r="Z769" s="30" t="s">
        <v>56</v>
      </c>
      <c r="AA769" s="30"/>
      <c r="AB769" s="31"/>
      <c r="AC769" s="31"/>
      <c r="AD769" s="30"/>
      <c r="AE769" s="30"/>
      <c r="AF769" s="30"/>
      <c r="AG769" s="27" t="str">
        <f t="shared" si="1"/>
        <v>New Logo</v>
      </c>
      <c r="AH769" s="27" t="str">
        <f t="shared" si="5"/>
        <v>Lead</v>
      </c>
      <c r="AI769" s="27" t="str">
        <f t="shared" si="6"/>
        <v>5000-10000</v>
      </c>
      <c r="AJ769" s="27" t="str">
        <f t="shared" si="7"/>
        <v>500+</v>
      </c>
    </row>
    <row r="770" ht="15.75" customHeight="1">
      <c r="A770" s="23">
        <f>HYPERLINK("https://app.hubspot.com/contacts/8748051/record/0-3/15315412542", 15315412542)</f>
        <v>15315412542</v>
      </c>
      <c r="B770" s="24" t="s">
        <v>2527</v>
      </c>
      <c r="C770" s="24" t="s">
        <v>50</v>
      </c>
      <c r="D770" s="25">
        <v>50000.0</v>
      </c>
      <c r="E770" s="24" t="s">
        <v>149</v>
      </c>
      <c r="F770" s="24" t="s">
        <v>52</v>
      </c>
      <c r="G770" s="26">
        <v>45194.5434837963</v>
      </c>
      <c r="H770" s="26">
        <v>45288.580358796295</v>
      </c>
      <c r="I770" s="24" t="s">
        <v>40</v>
      </c>
      <c r="J770" s="24" t="s">
        <v>53</v>
      </c>
      <c r="K770" s="27"/>
      <c r="L770" s="27"/>
      <c r="M770" s="24" t="s">
        <v>44</v>
      </c>
      <c r="N770" s="24"/>
      <c r="O770" s="24" t="s">
        <v>2528</v>
      </c>
      <c r="P770" s="24"/>
      <c r="Q770" s="24"/>
      <c r="R770" s="23">
        <f>HYPERLINK("https://app.hubspot.com/contacts/8748051/record/0-2/35705026207", 35705026207)</f>
        <v>35705026207</v>
      </c>
      <c r="S770" s="24" t="s">
        <v>2529</v>
      </c>
      <c r="T770" s="28" t="s">
        <v>2530</v>
      </c>
      <c r="U770" s="24" t="s">
        <v>47</v>
      </c>
      <c r="V770" s="24"/>
      <c r="W770" s="25"/>
      <c r="X770" s="29">
        <v>6087.0</v>
      </c>
      <c r="Y770" s="29">
        <v>1241.0</v>
      </c>
      <c r="Z770" s="30" t="s">
        <v>2531</v>
      </c>
      <c r="AA770" s="30"/>
      <c r="AB770" s="30"/>
      <c r="AC770" s="30"/>
      <c r="AD770" s="30"/>
      <c r="AE770" s="31"/>
      <c r="AF770" s="30"/>
      <c r="AG770" s="27" t="str">
        <f t="shared" si="1"/>
        <v>New Logo</v>
      </c>
      <c r="AH770" s="27" t="str">
        <f t="shared" si="5"/>
        <v>Lead</v>
      </c>
      <c r="AI770" s="27" t="str">
        <f t="shared" si="6"/>
        <v>5000-10000</v>
      </c>
      <c r="AJ770" s="27" t="str">
        <f t="shared" si="7"/>
        <v>500+</v>
      </c>
    </row>
    <row r="771" ht="15.75" customHeight="1">
      <c r="A771" s="23">
        <f>HYPERLINK("https://app.hubspot.com/contacts/8748051/record/0-3/15172350993", 15172350993)</f>
        <v>15172350993</v>
      </c>
      <c r="B771" s="24" t="s">
        <v>2532</v>
      </c>
      <c r="C771" s="24" t="s">
        <v>2305</v>
      </c>
      <c r="D771" s="25">
        <v>2000.0</v>
      </c>
      <c r="E771" s="24" t="s">
        <v>92</v>
      </c>
      <c r="F771" s="24" t="s">
        <v>52</v>
      </c>
      <c r="G771" s="26">
        <v>45184.63940972222</v>
      </c>
      <c r="H771" s="26">
        <v>45210.666979166665</v>
      </c>
      <c r="I771" s="24" t="s">
        <v>40</v>
      </c>
      <c r="J771" s="24" t="s">
        <v>182</v>
      </c>
      <c r="K771" s="24"/>
      <c r="L771" s="24"/>
      <c r="M771" s="24" t="s">
        <v>44</v>
      </c>
      <c r="N771" s="24" t="s">
        <v>2533</v>
      </c>
      <c r="O771" s="27"/>
      <c r="P771" s="24"/>
      <c r="Q771" s="27"/>
      <c r="R771" s="23">
        <f>HYPERLINK("https://app.hubspot.com/contacts/8748051/record/0-2/16376201758", 16376201758)</f>
        <v>16376201758</v>
      </c>
      <c r="S771" s="24" t="s">
        <v>2475</v>
      </c>
      <c r="T771" s="28" t="s">
        <v>2476</v>
      </c>
      <c r="U771" s="24">
        <v>3.4564763E7</v>
      </c>
      <c r="V771" s="35">
        <v>45838.0</v>
      </c>
      <c r="W771" s="25">
        <v>27965.0</v>
      </c>
      <c r="X771" s="29">
        <v>411.0</v>
      </c>
      <c r="Y771" s="29">
        <v>36.0</v>
      </c>
      <c r="Z771" s="30"/>
      <c r="AA771" s="31"/>
      <c r="AB771" s="31"/>
      <c r="AC771" s="31"/>
      <c r="AD771" s="31"/>
      <c r="AE771" s="31"/>
      <c r="AF771" s="31"/>
      <c r="AG771" s="27" t="str">
        <f t="shared" si="1"/>
        <v>Upsell</v>
      </c>
      <c r="AH771" s="27" t="str">
        <f t="shared" si="5"/>
        <v>Churn</v>
      </c>
      <c r="AI771" s="27" t="str">
        <f t="shared" si="6"/>
        <v>201-500</v>
      </c>
      <c r="AJ771" s="27" t="str">
        <f t="shared" si="7"/>
        <v>21-50</v>
      </c>
    </row>
    <row r="772" ht="15.75" customHeight="1">
      <c r="A772" s="23">
        <f>HYPERLINK("https://app.hubspot.com/contacts/8748051/record/0-3/15111722054", 15111722054)</f>
        <v>15111722054</v>
      </c>
      <c r="B772" s="24" t="s">
        <v>2534</v>
      </c>
      <c r="C772" s="24" t="s">
        <v>2305</v>
      </c>
      <c r="D772" s="25">
        <v>4000.0</v>
      </c>
      <c r="E772" s="24" t="s">
        <v>92</v>
      </c>
      <c r="F772" s="24" t="s">
        <v>52</v>
      </c>
      <c r="G772" s="26">
        <v>45180.603530092594</v>
      </c>
      <c r="H772" s="26">
        <v>45196.82435185185</v>
      </c>
      <c r="I772" s="24" t="s">
        <v>40</v>
      </c>
      <c r="J772" s="24" t="s">
        <v>41</v>
      </c>
      <c r="K772" s="24"/>
      <c r="L772" s="24"/>
      <c r="M772" s="24" t="s">
        <v>44</v>
      </c>
      <c r="N772" s="24" t="s">
        <v>2535</v>
      </c>
      <c r="O772" s="24"/>
      <c r="P772" s="27"/>
      <c r="Q772" s="24"/>
      <c r="R772" s="23">
        <f>HYPERLINK("https://app.hubspot.com/contacts/8748051/record/0-2/17208502141", 17208502141)</f>
        <v>17208502141</v>
      </c>
      <c r="S772" s="24" t="s">
        <v>2534</v>
      </c>
      <c r="T772" s="28" t="s">
        <v>2536</v>
      </c>
      <c r="U772" s="24" t="s">
        <v>96</v>
      </c>
      <c r="V772" s="24"/>
      <c r="W772" s="25">
        <v>4000.0</v>
      </c>
      <c r="X772" s="29">
        <v>25.0</v>
      </c>
      <c r="Y772" s="29">
        <v>3.0</v>
      </c>
      <c r="Z772" s="30"/>
      <c r="AA772" s="30" t="s">
        <v>97</v>
      </c>
      <c r="AB772" s="30" t="s">
        <v>207</v>
      </c>
      <c r="AC772" s="30" t="s">
        <v>268</v>
      </c>
      <c r="AD772" s="30" t="s">
        <v>2537</v>
      </c>
      <c r="AE772" s="30"/>
      <c r="AF772" s="30" t="s">
        <v>211</v>
      </c>
      <c r="AG772" s="27" t="str">
        <f t="shared" si="1"/>
        <v>New Logo</v>
      </c>
      <c r="AH772" s="27" t="str">
        <f t="shared" si="5"/>
        <v>Customer</v>
      </c>
      <c r="AI772" s="27" t="str">
        <f t="shared" si="6"/>
        <v>0-200</v>
      </c>
      <c r="AJ772" s="27" t="str">
        <f t="shared" si="7"/>
        <v>0-20</v>
      </c>
    </row>
    <row r="773" ht="15.75" customHeight="1">
      <c r="A773" s="23">
        <f>HYPERLINK("https://app.hubspot.com/contacts/8748051/record/0-3/15054004557", 15054004557)</f>
        <v>15054004557</v>
      </c>
      <c r="B773" s="24" t="s">
        <v>2538</v>
      </c>
      <c r="C773" s="24" t="s">
        <v>2305</v>
      </c>
      <c r="D773" s="25">
        <v>6000.0</v>
      </c>
      <c r="E773" s="24" t="s">
        <v>92</v>
      </c>
      <c r="F773" s="24" t="s">
        <v>52</v>
      </c>
      <c r="G773" s="26">
        <v>45176.36447916667</v>
      </c>
      <c r="H773" s="26">
        <v>45218.58603009259</v>
      </c>
      <c r="I773" s="24" t="s">
        <v>40</v>
      </c>
      <c r="J773" s="24" t="s">
        <v>41</v>
      </c>
      <c r="K773" s="27"/>
      <c r="L773" s="27"/>
      <c r="M773" s="24" t="s">
        <v>44</v>
      </c>
      <c r="N773" s="24" t="s">
        <v>2539</v>
      </c>
      <c r="O773" s="24"/>
      <c r="P773" s="27"/>
      <c r="Q773" s="24"/>
      <c r="R773" s="23">
        <f>HYPERLINK("https://app.hubspot.com/contacts/8748051/record/0-2/10627221527", 10627221527)</f>
        <v>10627221527</v>
      </c>
      <c r="S773" s="24" t="s">
        <v>2540</v>
      </c>
      <c r="T773" s="28" t="s">
        <v>2541</v>
      </c>
      <c r="U773" s="24" t="s">
        <v>96</v>
      </c>
      <c r="V773" s="24"/>
      <c r="W773" s="25">
        <v>6000.0</v>
      </c>
      <c r="X773" s="29">
        <v>68.0</v>
      </c>
      <c r="Y773" s="29">
        <v>6.0</v>
      </c>
      <c r="Z773" s="30"/>
      <c r="AA773" s="30" t="s">
        <v>97</v>
      </c>
      <c r="AB773" s="30" t="s">
        <v>207</v>
      </c>
      <c r="AC773" s="30" t="s">
        <v>268</v>
      </c>
      <c r="AD773" s="30" t="s">
        <v>2542</v>
      </c>
      <c r="AE773" s="30" t="s">
        <v>2543</v>
      </c>
      <c r="AF773" s="30" t="s">
        <v>396</v>
      </c>
      <c r="AG773" s="27" t="str">
        <f t="shared" si="1"/>
        <v>New Logo</v>
      </c>
      <c r="AH773" s="27" t="str">
        <f t="shared" si="5"/>
        <v>Customer</v>
      </c>
      <c r="AI773" s="27" t="str">
        <f t="shared" si="6"/>
        <v>0-200</v>
      </c>
      <c r="AJ773" s="27" t="str">
        <f t="shared" si="7"/>
        <v>0-20</v>
      </c>
    </row>
    <row r="774" ht="15.75" customHeight="1">
      <c r="A774" s="23">
        <f>HYPERLINK("https://app.hubspot.com/contacts/8748051/record/0-3/15052406331", 15052406331)</f>
        <v>15052406331</v>
      </c>
      <c r="B774" s="24" t="s">
        <v>2544</v>
      </c>
      <c r="C774" s="24" t="s">
        <v>50</v>
      </c>
      <c r="D774" s="25">
        <v>60000.0</v>
      </c>
      <c r="E774" s="24" t="s">
        <v>127</v>
      </c>
      <c r="F774" s="24" t="s">
        <v>52</v>
      </c>
      <c r="G774" s="26">
        <v>45176.36331018519</v>
      </c>
      <c r="H774" s="26">
        <v>45380.33540509259</v>
      </c>
      <c r="I774" s="24" t="s">
        <v>40</v>
      </c>
      <c r="J774" s="24" t="s">
        <v>53</v>
      </c>
      <c r="K774" s="27"/>
      <c r="L774" s="27"/>
      <c r="M774" s="24" t="s">
        <v>44</v>
      </c>
      <c r="N774" s="24"/>
      <c r="O774" s="24"/>
      <c r="P774" s="27"/>
      <c r="Q774" s="24" t="s">
        <v>238</v>
      </c>
      <c r="R774" s="23">
        <f>HYPERLINK("https://app.hubspot.com/contacts/8748051/record/0-2/8142399857", 8142399857)</f>
        <v>8142399857</v>
      </c>
      <c r="S774" s="24" t="s">
        <v>2545</v>
      </c>
      <c r="T774" s="28" t="s">
        <v>2546</v>
      </c>
      <c r="U774" s="24" t="s">
        <v>47</v>
      </c>
      <c r="V774" s="24"/>
      <c r="W774" s="25"/>
      <c r="X774" s="29">
        <v>1638.0</v>
      </c>
      <c r="Y774" s="29">
        <v>260.0</v>
      </c>
      <c r="Z774" s="30" t="s">
        <v>71</v>
      </c>
      <c r="AA774" s="30"/>
      <c r="AB774" s="31"/>
      <c r="AC774" s="31"/>
      <c r="AD774" s="30"/>
      <c r="AE774" s="30"/>
      <c r="AF774" s="30"/>
      <c r="AG774" s="27" t="str">
        <f t="shared" si="1"/>
        <v>New Logo</v>
      </c>
      <c r="AH774" s="27" t="str">
        <f t="shared" si="5"/>
        <v>Lead</v>
      </c>
      <c r="AI774" s="27" t="str">
        <f t="shared" si="6"/>
        <v>1001-5000</v>
      </c>
      <c r="AJ774" s="27" t="str">
        <f t="shared" si="7"/>
        <v>101-500</v>
      </c>
    </row>
    <row r="775" ht="15.75" customHeight="1">
      <c r="A775" s="23">
        <f>HYPERLINK("https://app.hubspot.com/contacts/8748051/record/0-3/15052406089", 15052406089)</f>
        <v>15052406089</v>
      </c>
      <c r="B775" s="24" t="s">
        <v>2547</v>
      </c>
      <c r="C775" s="24" t="s">
        <v>50</v>
      </c>
      <c r="D775" s="25"/>
      <c r="E775" s="24" t="s">
        <v>149</v>
      </c>
      <c r="F775" s="24"/>
      <c r="G775" s="26">
        <v>45176.361805555556</v>
      </c>
      <c r="H775" s="26">
        <v>45196.7396875</v>
      </c>
      <c r="I775" s="24" t="s">
        <v>40</v>
      </c>
      <c r="J775" s="24" t="s">
        <v>41</v>
      </c>
      <c r="K775" s="27"/>
      <c r="L775" s="27"/>
      <c r="M775" s="24" t="s">
        <v>44</v>
      </c>
      <c r="N775" s="24"/>
      <c r="O775" s="24" t="s">
        <v>2548</v>
      </c>
      <c r="P775" s="27"/>
      <c r="Q775" s="24"/>
      <c r="R775" s="23">
        <f>HYPERLINK("https://app.hubspot.com/contacts/8748051/record/0-2/17230827179", 17230827179)</f>
        <v>17230827179</v>
      </c>
      <c r="S775" s="24" t="s">
        <v>2549</v>
      </c>
      <c r="T775" s="28" t="s">
        <v>2550</v>
      </c>
      <c r="U775" s="24" t="s">
        <v>47</v>
      </c>
      <c r="V775" s="24"/>
      <c r="W775" s="25"/>
      <c r="X775" s="29">
        <v>2052.0</v>
      </c>
      <c r="Y775" s="29">
        <v>134.0</v>
      </c>
      <c r="Z775" s="30"/>
      <c r="AA775" s="31"/>
      <c r="AB775" s="31"/>
      <c r="AC775" s="31"/>
      <c r="AD775" s="31"/>
      <c r="AE775" s="31"/>
      <c r="AF775" s="31"/>
      <c r="AG775" s="27" t="str">
        <f t="shared" si="1"/>
        <v>New Logo</v>
      </c>
      <c r="AH775" s="27" t="str">
        <f t="shared" si="5"/>
        <v>Lead</v>
      </c>
      <c r="AI775" s="27" t="str">
        <f t="shared" si="6"/>
        <v>1001-5000</v>
      </c>
      <c r="AJ775" s="27" t="str">
        <f t="shared" si="7"/>
        <v>101-500</v>
      </c>
    </row>
    <row r="776" ht="15.75" customHeight="1">
      <c r="A776" s="23">
        <f>HYPERLINK("https://app.hubspot.com/contacts/8748051/record/0-3/15052277257", 15052277257)</f>
        <v>15052277257</v>
      </c>
      <c r="B776" s="24" t="s">
        <v>2551</v>
      </c>
      <c r="C776" s="24" t="s">
        <v>38</v>
      </c>
      <c r="D776" s="25">
        <v>4000.0</v>
      </c>
      <c r="E776" s="24" t="s">
        <v>127</v>
      </c>
      <c r="F776" s="24" t="s">
        <v>52</v>
      </c>
      <c r="G776" s="26">
        <v>45176.3605787037</v>
      </c>
      <c r="H776" s="26">
        <v>45464.54597222222</v>
      </c>
      <c r="I776" s="24" t="s">
        <v>40</v>
      </c>
      <c r="J776" s="24" t="s">
        <v>41</v>
      </c>
      <c r="K776" s="27"/>
      <c r="L776" s="27"/>
      <c r="M776" s="24" t="s">
        <v>44</v>
      </c>
      <c r="N776" s="24"/>
      <c r="O776" s="24"/>
      <c r="P776" s="24"/>
      <c r="Q776" s="24" t="s">
        <v>2552</v>
      </c>
      <c r="R776" s="23">
        <f>HYPERLINK("https://app.hubspot.com/contacts/8748051/record/0-2/8724282115", 8724282115)</f>
        <v>8724282115</v>
      </c>
      <c r="S776" s="24" t="s">
        <v>2553</v>
      </c>
      <c r="T776" s="28" t="s">
        <v>2554</v>
      </c>
      <c r="U776" s="24" t="s">
        <v>47</v>
      </c>
      <c r="V776" s="24"/>
      <c r="W776" s="25"/>
      <c r="X776" s="29">
        <v>79.0</v>
      </c>
      <c r="Y776" s="29">
        <v>0.0</v>
      </c>
      <c r="Z776" s="30"/>
      <c r="AA776" s="30"/>
      <c r="AB776" s="31"/>
      <c r="AC776" s="31"/>
      <c r="AD776" s="30"/>
      <c r="AE776" s="30"/>
      <c r="AF776" s="30"/>
      <c r="AG776" s="27" t="str">
        <f t="shared" si="1"/>
        <v>New Logo</v>
      </c>
      <c r="AH776" s="27" t="str">
        <f t="shared" si="5"/>
        <v>Lead</v>
      </c>
      <c r="AI776" s="27" t="str">
        <f t="shared" si="6"/>
        <v>0-200</v>
      </c>
      <c r="AJ776" s="27" t="str">
        <f t="shared" si="7"/>
        <v>0-20</v>
      </c>
    </row>
    <row r="777" ht="15.75" customHeight="1">
      <c r="A777" s="23">
        <f>HYPERLINK("https://app.hubspot.com/contacts/8748051/record/0-3/15052276821", 15052276821)</f>
        <v>15052276821</v>
      </c>
      <c r="B777" s="24" t="s">
        <v>2555</v>
      </c>
      <c r="C777" s="24" t="s">
        <v>1009</v>
      </c>
      <c r="D777" s="25">
        <v>10000.0</v>
      </c>
      <c r="E777" s="24" t="s">
        <v>127</v>
      </c>
      <c r="F777" s="24" t="s">
        <v>52</v>
      </c>
      <c r="G777" s="26">
        <v>45176.35822916667</v>
      </c>
      <c r="H777" s="26">
        <v>45412.55221064815</v>
      </c>
      <c r="I777" s="24" t="s">
        <v>40</v>
      </c>
      <c r="J777" s="24" t="s">
        <v>41</v>
      </c>
      <c r="K777" s="24"/>
      <c r="L777" s="24"/>
      <c r="M777" s="24" t="s">
        <v>44</v>
      </c>
      <c r="N777" s="24"/>
      <c r="O777" s="24"/>
      <c r="P777" s="24"/>
      <c r="Q777" s="24" t="s">
        <v>1568</v>
      </c>
      <c r="R777" s="23">
        <f>HYPERLINK("https://app.hubspot.com/contacts/8748051/record/0-2/7655826979", 7655826979)</f>
        <v>7655826979</v>
      </c>
      <c r="S777" s="24" t="s">
        <v>2556</v>
      </c>
      <c r="T777" s="28" t="s">
        <v>2557</v>
      </c>
      <c r="U777" s="24" t="s">
        <v>47</v>
      </c>
      <c r="V777" s="24"/>
      <c r="W777" s="25"/>
      <c r="X777" s="29">
        <v>353.0</v>
      </c>
      <c r="Y777" s="29">
        <v>58.0</v>
      </c>
      <c r="Z777" s="30" t="s">
        <v>2558</v>
      </c>
      <c r="AA777" s="30"/>
      <c r="AB777" s="31"/>
      <c r="AC777" s="31"/>
      <c r="AD777" s="30"/>
      <c r="AE777" s="30"/>
      <c r="AF777" s="30"/>
      <c r="AG777" s="27" t="str">
        <f t="shared" si="1"/>
        <v>New Logo</v>
      </c>
      <c r="AH777" s="27" t="str">
        <f t="shared" si="5"/>
        <v>Lead</v>
      </c>
      <c r="AI777" s="27" t="str">
        <f t="shared" si="6"/>
        <v>201-500</v>
      </c>
      <c r="AJ777" s="27" t="str">
        <f t="shared" si="7"/>
        <v>51-100</v>
      </c>
    </row>
    <row r="778" ht="15.75" customHeight="1">
      <c r="A778" s="23">
        <f>HYPERLINK("https://app.hubspot.com/contacts/8748051/record/0-3/14998091546", 14998091546)</f>
        <v>14998091546</v>
      </c>
      <c r="B778" s="24" t="s">
        <v>2559</v>
      </c>
      <c r="C778" s="24" t="s">
        <v>38</v>
      </c>
      <c r="D778" s="25">
        <v>10000.0</v>
      </c>
      <c r="E778" s="24" t="s">
        <v>73</v>
      </c>
      <c r="F778" s="24"/>
      <c r="G778" s="26">
        <v>45174.55474537037</v>
      </c>
      <c r="H778" s="26">
        <v>45290.368784722225</v>
      </c>
      <c r="I778" s="24" t="s">
        <v>40</v>
      </c>
      <c r="J778" s="24" t="s">
        <v>41</v>
      </c>
      <c r="K778" s="27"/>
      <c r="L778" s="27"/>
      <c r="M778" s="24" t="s">
        <v>44</v>
      </c>
      <c r="N778" s="24"/>
      <c r="O778" s="24"/>
      <c r="P778" s="24" t="s">
        <v>213</v>
      </c>
      <c r="Q778" s="24"/>
      <c r="R778" s="23">
        <f>HYPERLINK("https://app.hubspot.com/contacts/8748051/record/0-2/17208326188", 17208326188)</f>
        <v>17208326188</v>
      </c>
      <c r="S778" s="24" t="s">
        <v>1961</v>
      </c>
      <c r="T778" s="28" t="s">
        <v>1962</v>
      </c>
      <c r="U778" s="24" t="s">
        <v>47</v>
      </c>
      <c r="V778" s="24"/>
      <c r="W778" s="25"/>
      <c r="X778" s="29">
        <v>234.0</v>
      </c>
      <c r="Y778" s="29">
        <v>38.0</v>
      </c>
      <c r="Z778" s="30" t="s">
        <v>71</v>
      </c>
      <c r="AA778" s="31"/>
      <c r="AB778" s="31"/>
      <c r="AC778" s="31"/>
      <c r="AD778" s="31"/>
      <c r="AE778" s="31"/>
      <c r="AF778" s="31"/>
      <c r="AG778" s="27" t="str">
        <f t="shared" si="1"/>
        <v>New Logo</v>
      </c>
      <c r="AH778" s="27" t="str">
        <f t="shared" si="5"/>
        <v>Lead</v>
      </c>
      <c r="AI778" s="27" t="str">
        <f t="shared" si="6"/>
        <v>201-500</v>
      </c>
      <c r="AJ778" s="27" t="str">
        <f t="shared" si="7"/>
        <v>21-50</v>
      </c>
    </row>
    <row r="779" ht="15.75" customHeight="1">
      <c r="A779" s="23">
        <f>HYPERLINK("https://app.hubspot.com/contacts/8748051/record/0-3/14996712333", 14996712333)</f>
        <v>14996712333</v>
      </c>
      <c r="B779" s="24" t="s">
        <v>2560</v>
      </c>
      <c r="C779" s="24" t="s">
        <v>50</v>
      </c>
      <c r="D779" s="25">
        <v>20000.0</v>
      </c>
      <c r="E779" s="24" t="s">
        <v>149</v>
      </c>
      <c r="F779" s="24" t="s">
        <v>52</v>
      </c>
      <c r="G779" s="26">
        <v>45174.46172453704</v>
      </c>
      <c r="H779" s="26">
        <v>45307.58416666667</v>
      </c>
      <c r="I779" s="24" t="s">
        <v>40</v>
      </c>
      <c r="J779" s="24" t="s">
        <v>53</v>
      </c>
      <c r="K779" s="27"/>
      <c r="L779" s="27"/>
      <c r="M779" s="24" t="s">
        <v>44</v>
      </c>
      <c r="N779" s="24"/>
      <c r="O779" s="24" t="s">
        <v>2561</v>
      </c>
      <c r="P779" s="24"/>
      <c r="Q779" s="24"/>
      <c r="R779" s="23">
        <f>HYPERLINK("https://app.hubspot.com/contacts/8748051/record/0-2/4796109238", 4796109238)</f>
        <v>4796109238</v>
      </c>
      <c r="S779" s="24" t="s">
        <v>2562</v>
      </c>
      <c r="T779" s="28" t="s">
        <v>2563</v>
      </c>
      <c r="U779" s="24" t="s">
        <v>47</v>
      </c>
      <c r="V779" s="24"/>
      <c r="W779" s="25"/>
      <c r="X779" s="29">
        <v>1098.0</v>
      </c>
      <c r="Y779" s="29">
        <v>92.0</v>
      </c>
      <c r="Z779" s="30" t="s">
        <v>64</v>
      </c>
      <c r="AA779" s="30"/>
      <c r="AB779" s="30"/>
      <c r="AC779" s="30"/>
      <c r="AD779" s="30"/>
      <c r="AE779" s="30"/>
      <c r="AF779" s="30"/>
      <c r="AG779" s="27" t="str">
        <f t="shared" si="1"/>
        <v>New Logo</v>
      </c>
      <c r="AH779" s="27" t="str">
        <f t="shared" si="5"/>
        <v>Lead</v>
      </c>
      <c r="AI779" s="27" t="str">
        <f t="shared" si="6"/>
        <v>1001-5000</v>
      </c>
      <c r="AJ779" s="27" t="str">
        <f t="shared" si="7"/>
        <v>51-100</v>
      </c>
    </row>
    <row r="780" ht="15.75" customHeight="1">
      <c r="A780" s="23">
        <f>HYPERLINK("https://app.hubspot.com/contacts/8748051/record/0-3/14781929348", 14781929348)</f>
        <v>14781929348</v>
      </c>
      <c r="B780" s="24" t="s">
        <v>2564</v>
      </c>
      <c r="C780" s="24" t="s">
        <v>50</v>
      </c>
      <c r="D780" s="25">
        <v>20000.0</v>
      </c>
      <c r="E780" s="24" t="s">
        <v>127</v>
      </c>
      <c r="F780" s="24" t="s">
        <v>52</v>
      </c>
      <c r="G780" s="26">
        <v>45160.4597337963</v>
      </c>
      <c r="H780" s="26">
        <v>45259.791666666664</v>
      </c>
      <c r="I780" s="24" t="s">
        <v>40</v>
      </c>
      <c r="J780" s="24" t="s">
        <v>41</v>
      </c>
      <c r="K780" s="27"/>
      <c r="L780" s="27"/>
      <c r="M780" s="24" t="s">
        <v>44</v>
      </c>
      <c r="N780" s="24"/>
      <c r="O780" s="24"/>
      <c r="P780" s="24"/>
      <c r="Q780" s="24" t="s">
        <v>1768</v>
      </c>
      <c r="R780" s="23">
        <f>HYPERLINK("https://app.hubspot.com/contacts/8748051/record/0-2/7668545338", 7668545338)</f>
        <v>7668545338</v>
      </c>
      <c r="S780" s="24" t="s">
        <v>2564</v>
      </c>
      <c r="T780" s="28" t="s">
        <v>2565</v>
      </c>
      <c r="U780" s="24" t="s">
        <v>47</v>
      </c>
      <c r="V780" s="24"/>
      <c r="W780" s="25"/>
      <c r="X780" s="29">
        <v>565.0</v>
      </c>
      <c r="Y780" s="29">
        <v>46.0</v>
      </c>
      <c r="Z780" s="30" t="s">
        <v>71</v>
      </c>
      <c r="AA780" s="31"/>
      <c r="AB780" s="31"/>
      <c r="AC780" s="31"/>
      <c r="AD780" s="31"/>
      <c r="AE780" s="31"/>
      <c r="AF780" s="31"/>
      <c r="AG780" s="27" t="str">
        <f t="shared" si="1"/>
        <v>New Logo</v>
      </c>
      <c r="AH780" s="27" t="str">
        <f t="shared" si="5"/>
        <v>Lead</v>
      </c>
      <c r="AI780" s="27" t="str">
        <f t="shared" si="6"/>
        <v>501-1000</v>
      </c>
      <c r="AJ780" s="27" t="str">
        <f t="shared" si="7"/>
        <v>21-50</v>
      </c>
    </row>
    <row r="781" ht="15.75" customHeight="1">
      <c r="A781" s="23">
        <f>HYPERLINK("https://app.hubspot.com/contacts/8748051/record/0-3/14761904493", 14761904493)</f>
        <v>14761904493</v>
      </c>
      <c r="B781" s="24" t="s">
        <v>2566</v>
      </c>
      <c r="C781" s="24" t="s">
        <v>148</v>
      </c>
      <c r="D781" s="25">
        <v>50000.0</v>
      </c>
      <c r="E781" s="24" t="s">
        <v>149</v>
      </c>
      <c r="F781" s="24"/>
      <c r="G781" s="26">
        <v>45159.68052083333</v>
      </c>
      <c r="H781" s="26">
        <v>45222.39824074074</v>
      </c>
      <c r="I781" s="24" t="s">
        <v>40</v>
      </c>
      <c r="J781" s="24" t="s">
        <v>41</v>
      </c>
      <c r="K781" s="27"/>
      <c r="L781" s="24"/>
      <c r="M781" s="24" t="s">
        <v>44</v>
      </c>
      <c r="N781" s="24"/>
      <c r="O781" s="24" t="s">
        <v>2567</v>
      </c>
      <c r="P781" s="24"/>
      <c r="Q781" s="24"/>
      <c r="R781" s="23">
        <f>HYPERLINK("https://app.hubspot.com/contacts/8748051/record/0-2/17026206243", 17026206243)</f>
        <v>17026206243</v>
      </c>
      <c r="S781" s="24" t="s">
        <v>2568</v>
      </c>
      <c r="T781" s="28" t="s">
        <v>2569</v>
      </c>
      <c r="U781" s="24" t="s">
        <v>47</v>
      </c>
      <c r="V781" s="24"/>
      <c r="W781" s="25"/>
      <c r="X781" s="29">
        <v>1303.0</v>
      </c>
      <c r="Y781" s="29">
        <v>547.0</v>
      </c>
      <c r="Z781" s="30"/>
      <c r="AA781" s="30"/>
      <c r="AB781" s="30"/>
      <c r="AC781" s="30"/>
      <c r="AD781" s="30"/>
      <c r="AE781" s="30"/>
      <c r="AF781" s="30"/>
      <c r="AG781" s="27" t="str">
        <f t="shared" si="1"/>
        <v>New Logo</v>
      </c>
      <c r="AH781" s="27" t="str">
        <f t="shared" si="5"/>
        <v>Lead</v>
      </c>
      <c r="AI781" s="27" t="str">
        <f t="shared" si="6"/>
        <v>1001-5000</v>
      </c>
      <c r="AJ781" s="27" t="str">
        <f t="shared" si="7"/>
        <v>500+</v>
      </c>
    </row>
    <row r="782" ht="15.75" customHeight="1">
      <c r="A782" s="23">
        <f>HYPERLINK("https://app.hubspot.com/contacts/8748051/record/0-3/14757689212", 14757689212)</f>
        <v>14757689212</v>
      </c>
      <c r="B782" s="24" t="s">
        <v>2570</v>
      </c>
      <c r="C782" s="24" t="s">
        <v>1009</v>
      </c>
      <c r="D782" s="25">
        <v>5000.0</v>
      </c>
      <c r="E782" s="24" t="s">
        <v>127</v>
      </c>
      <c r="F782" s="24" t="s">
        <v>52</v>
      </c>
      <c r="G782" s="26">
        <v>45159.39771990741</v>
      </c>
      <c r="H782" s="26">
        <v>45412.384884259256</v>
      </c>
      <c r="I782" s="24" t="s">
        <v>40</v>
      </c>
      <c r="J782" s="24" t="s">
        <v>41</v>
      </c>
      <c r="K782" s="27"/>
      <c r="L782" s="27"/>
      <c r="M782" s="24" t="s">
        <v>74</v>
      </c>
      <c r="N782" s="24"/>
      <c r="O782" s="24"/>
      <c r="P782" s="27"/>
      <c r="Q782" s="24" t="s">
        <v>144</v>
      </c>
      <c r="R782" s="23">
        <f>HYPERLINK("https://app.hubspot.com/contacts/8748051/record/0-2/16978525470", 16978525470)</f>
        <v>16978525470</v>
      </c>
      <c r="S782" s="24" t="s">
        <v>2571</v>
      </c>
      <c r="T782" s="28" t="s">
        <v>2572</v>
      </c>
      <c r="U782" s="24" t="s">
        <v>47</v>
      </c>
      <c r="V782" s="24"/>
      <c r="W782" s="25"/>
      <c r="X782" s="29">
        <v>49.0</v>
      </c>
      <c r="Y782" s="29">
        <v>1.0</v>
      </c>
      <c r="Z782" s="30"/>
      <c r="AA782" s="30"/>
      <c r="AB782" s="31"/>
      <c r="AC782" s="31"/>
      <c r="AD782" s="30"/>
      <c r="AE782" s="30"/>
      <c r="AF782" s="30"/>
      <c r="AG782" s="27" t="str">
        <f t="shared" si="1"/>
        <v>New Logo</v>
      </c>
      <c r="AH782" s="27" t="str">
        <f t="shared" si="5"/>
        <v>Lead</v>
      </c>
      <c r="AI782" s="27" t="str">
        <f t="shared" si="6"/>
        <v>0-200</v>
      </c>
      <c r="AJ782" s="27" t="str">
        <f t="shared" si="7"/>
        <v>0-20</v>
      </c>
    </row>
    <row r="783" ht="15.75" customHeight="1">
      <c r="A783" s="23">
        <f>HYPERLINK("https://app.hubspot.com/contacts/8748051/record/0-3/14544764794", 14544764794)</f>
        <v>14544764794</v>
      </c>
      <c r="B783" s="24" t="s">
        <v>2573</v>
      </c>
      <c r="C783" s="24" t="s">
        <v>50</v>
      </c>
      <c r="D783" s="25">
        <v>200000.0</v>
      </c>
      <c r="E783" s="24" t="s">
        <v>149</v>
      </c>
      <c r="F783" s="24" t="s">
        <v>52</v>
      </c>
      <c r="G783" s="26">
        <v>45147.571076388886</v>
      </c>
      <c r="H783" s="26">
        <v>45238.32943287037</v>
      </c>
      <c r="I783" s="24" t="s">
        <v>40</v>
      </c>
      <c r="J783" s="24" t="s">
        <v>53</v>
      </c>
      <c r="K783" s="27"/>
      <c r="L783" s="24"/>
      <c r="M783" s="24" t="s">
        <v>74</v>
      </c>
      <c r="N783" s="24"/>
      <c r="O783" s="24" t="s">
        <v>2574</v>
      </c>
      <c r="P783" s="24"/>
      <c r="Q783" s="24"/>
      <c r="R783" s="23">
        <f>HYPERLINK("https://app.hubspot.com/contacts/8748051/record/0-2/9137337000", 9137337000)</f>
        <v>9137337000</v>
      </c>
      <c r="S783" s="24" t="s">
        <v>2575</v>
      </c>
      <c r="T783" s="28" t="s">
        <v>2576</v>
      </c>
      <c r="U783" s="24" t="s">
        <v>47</v>
      </c>
      <c r="V783" s="24"/>
      <c r="W783" s="25"/>
      <c r="X783" s="29">
        <v>1496.0</v>
      </c>
      <c r="Y783" s="29">
        <v>290.0</v>
      </c>
      <c r="Z783" s="30" t="s">
        <v>125</v>
      </c>
      <c r="AA783" s="30"/>
      <c r="AB783" s="31"/>
      <c r="AC783" s="30"/>
      <c r="AD783" s="30"/>
      <c r="AE783" s="30"/>
      <c r="AF783" s="30"/>
      <c r="AG783" s="27" t="str">
        <f t="shared" si="1"/>
        <v>New Logo</v>
      </c>
      <c r="AH783" s="27" t="str">
        <f t="shared" si="5"/>
        <v>Lead</v>
      </c>
      <c r="AI783" s="27" t="str">
        <f t="shared" si="6"/>
        <v>1001-5000</v>
      </c>
      <c r="AJ783" s="27" t="str">
        <f t="shared" si="7"/>
        <v>101-500</v>
      </c>
    </row>
    <row r="784" ht="15.75" customHeight="1">
      <c r="A784" s="23">
        <f>HYPERLINK("https://app.hubspot.com/contacts/8748051/record/0-3/14529004386", 14529004386)</f>
        <v>14529004386</v>
      </c>
      <c r="B784" s="24" t="s">
        <v>2577</v>
      </c>
      <c r="C784" s="24" t="s">
        <v>2305</v>
      </c>
      <c r="D784" s="25">
        <v>4800.0</v>
      </c>
      <c r="E784" s="24" t="s">
        <v>92</v>
      </c>
      <c r="F784" s="24" t="s">
        <v>52</v>
      </c>
      <c r="G784" s="26">
        <v>45146.426620370374</v>
      </c>
      <c r="H784" s="26">
        <v>45149.54145833333</v>
      </c>
      <c r="I784" s="24" t="s">
        <v>40</v>
      </c>
      <c r="J784" s="24" t="s">
        <v>182</v>
      </c>
      <c r="K784" s="27"/>
      <c r="L784" s="24"/>
      <c r="M784" s="24" t="s">
        <v>44</v>
      </c>
      <c r="N784" s="24" t="s">
        <v>2578</v>
      </c>
      <c r="O784" s="24"/>
      <c r="P784" s="24"/>
      <c r="Q784" s="24"/>
      <c r="R784" s="23">
        <f>HYPERLINK("https://app.hubspot.com/contacts/8748051/record/0-2/16376201758", 16376201758)</f>
        <v>16376201758</v>
      </c>
      <c r="S784" s="24" t="s">
        <v>2475</v>
      </c>
      <c r="T784" s="28" t="s">
        <v>2476</v>
      </c>
      <c r="U784" s="24">
        <v>3.4564763E7</v>
      </c>
      <c r="V784" s="35">
        <v>45838.0</v>
      </c>
      <c r="W784" s="25">
        <v>27965.0</v>
      </c>
      <c r="X784" s="29">
        <v>411.0</v>
      </c>
      <c r="Y784" s="29">
        <v>36.0</v>
      </c>
      <c r="Z784" s="30"/>
      <c r="AA784" s="30"/>
      <c r="AB784" s="30"/>
      <c r="AC784" s="30"/>
      <c r="AD784" s="30"/>
      <c r="AE784" s="30"/>
      <c r="AF784" s="30"/>
      <c r="AG784" s="27" t="str">
        <f t="shared" si="1"/>
        <v>Upsell</v>
      </c>
      <c r="AH784" s="27" t="str">
        <f t="shared" si="5"/>
        <v>Churn</v>
      </c>
      <c r="AI784" s="27" t="str">
        <f t="shared" si="6"/>
        <v>201-500</v>
      </c>
      <c r="AJ784" s="27" t="str">
        <f t="shared" si="7"/>
        <v>21-50</v>
      </c>
    </row>
    <row r="785" ht="15.75" customHeight="1">
      <c r="A785" s="23">
        <f>HYPERLINK("https://app.hubspot.com/contacts/8748051/record/0-3/14517452321", 14517452321)</f>
        <v>14517452321</v>
      </c>
      <c r="B785" s="24" t="s">
        <v>2579</v>
      </c>
      <c r="C785" s="24" t="s">
        <v>38</v>
      </c>
      <c r="D785" s="25">
        <v>50000.0</v>
      </c>
      <c r="E785" s="24" t="s">
        <v>127</v>
      </c>
      <c r="F785" s="24" t="s">
        <v>52</v>
      </c>
      <c r="G785" s="26">
        <v>45145.45091435185</v>
      </c>
      <c r="H785" s="26">
        <v>45562.39722222222</v>
      </c>
      <c r="I785" s="24" t="s">
        <v>40</v>
      </c>
      <c r="J785" s="24" t="s">
        <v>53</v>
      </c>
      <c r="K785" s="27"/>
      <c r="L785" s="27"/>
      <c r="M785" s="24" t="s">
        <v>44</v>
      </c>
      <c r="N785" s="27"/>
      <c r="O785" s="24"/>
      <c r="P785" s="24"/>
      <c r="Q785" s="24" t="s">
        <v>128</v>
      </c>
      <c r="R785" s="23">
        <f>HYPERLINK("https://app.hubspot.com/contacts/8748051/record/0-2/7648310571", 7648310571)</f>
        <v>7648310571</v>
      </c>
      <c r="S785" s="24" t="s">
        <v>2580</v>
      </c>
      <c r="T785" s="28" t="s">
        <v>2581</v>
      </c>
      <c r="U785" s="24" t="s">
        <v>47</v>
      </c>
      <c r="V785" s="24"/>
      <c r="W785" s="32"/>
      <c r="X785" s="29">
        <v>268.0</v>
      </c>
      <c r="Y785" s="29">
        <v>30.0</v>
      </c>
      <c r="Z785" s="30" t="s">
        <v>71</v>
      </c>
      <c r="AA785" s="31"/>
      <c r="AB785" s="31"/>
      <c r="AC785" s="31"/>
      <c r="AD785" s="31"/>
      <c r="AE785" s="31"/>
      <c r="AF785" s="31"/>
      <c r="AG785" s="27" t="str">
        <f t="shared" si="1"/>
        <v>New Logo</v>
      </c>
      <c r="AH785" s="27" t="str">
        <f t="shared" si="5"/>
        <v>Lead</v>
      </c>
      <c r="AI785" s="27" t="str">
        <f t="shared" si="6"/>
        <v>201-500</v>
      </c>
      <c r="AJ785" s="27" t="str">
        <f t="shared" si="7"/>
        <v>21-50</v>
      </c>
    </row>
    <row r="786" ht="15.75" customHeight="1">
      <c r="A786" s="23">
        <f>HYPERLINK("https://app.hubspot.com/contacts/8748051/record/0-3/14516232633", 14516232633)</f>
        <v>14516232633</v>
      </c>
      <c r="B786" s="24" t="s">
        <v>2582</v>
      </c>
      <c r="C786" s="24" t="s">
        <v>1009</v>
      </c>
      <c r="D786" s="25">
        <v>10000.0</v>
      </c>
      <c r="E786" s="24" t="s">
        <v>73</v>
      </c>
      <c r="F786" s="24"/>
      <c r="G786" s="26">
        <v>45145.37462962963</v>
      </c>
      <c r="H786" s="26">
        <v>45205.37326388889</v>
      </c>
      <c r="I786" s="24" t="s">
        <v>40</v>
      </c>
      <c r="J786" s="24" t="s">
        <v>41</v>
      </c>
      <c r="K786" s="24"/>
      <c r="L786" s="24"/>
      <c r="M786" s="24" t="s">
        <v>44</v>
      </c>
      <c r="N786" s="24"/>
      <c r="O786" s="24"/>
      <c r="P786" s="24" t="s">
        <v>75</v>
      </c>
      <c r="Q786" s="24"/>
      <c r="R786" s="23">
        <f>HYPERLINK("https://app.hubspot.com/contacts/8748051/record/0-2/9177938991", 9177938991)</f>
        <v>9177938991</v>
      </c>
      <c r="S786" s="24" t="s">
        <v>2582</v>
      </c>
      <c r="T786" s="28" t="s">
        <v>2583</v>
      </c>
      <c r="U786" s="24" t="s">
        <v>47</v>
      </c>
      <c r="V786" s="24"/>
      <c r="W786" s="25"/>
      <c r="X786" s="29">
        <v>526.0</v>
      </c>
      <c r="Y786" s="29">
        <v>119.0</v>
      </c>
      <c r="Z786" s="30" t="s">
        <v>81</v>
      </c>
      <c r="AA786" s="30"/>
      <c r="AB786" s="30"/>
      <c r="AC786" s="30"/>
      <c r="AD786" s="30"/>
      <c r="AE786" s="30"/>
      <c r="AF786" s="30"/>
      <c r="AG786" s="27" t="str">
        <f t="shared" si="1"/>
        <v>New Logo</v>
      </c>
      <c r="AH786" s="27" t="str">
        <f t="shared" si="5"/>
        <v>Lead</v>
      </c>
      <c r="AI786" s="27" t="str">
        <f t="shared" si="6"/>
        <v>501-1000</v>
      </c>
      <c r="AJ786" s="27" t="str">
        <f t="shared" si="7"/>
        <v>101-500</v>
      </c>
    </row>
    <row r="787" ht="15.75" customHeight="1">
      <c r="A787" s="23">
        <f>HYPERLINK("https://app.hubspot.com/contacts/8748051/record/0-3/14515880232", 14515880232)</f>
        <v>14515880232</v>
      </c>
      <c r="B787" s="24" t="s">
        <v>2584</v>
      </c>
      <c r="C787" s="24" t="s">
        <v>38</v>
      </c>
      <c r="D787" s="25">
        <v>10000.0</v>
      </c>
      <c r="E787" s="24" t="s">
        <v>127</v>
      </c>
      <c r="F787" s="24" t="s">
        <v>52</v>
      </c>
      <c r="G787" s="26">
        <v>45145.35755787037</v>
      </c>
      <c r="H787" s="26">
        <v>45351.39538194444</v>
      </c>
      <c r="I787" s="24" t="s">
        <v>40</v>
      </c>
      <c r="J787" s="24" t="s">
        <v>41</v>
      </c>
      <c r="K787" s="24"/>
      <c r="L787" s="24"/>
      <c r="M787" s="24" t="s">
        <v>44</v>
      </c>
      <c r="N787" s="24"/>
      <c r="O787" s="24"/>
      <c r="P787" s="27"/>
      <c r="Q787" s="24" t="s">
        <v>374</v>
      </c>
      <c r="R787" s="23">
        <f>HYPERLINK("https://app.hubspot.com/contacts/8748051/record/0-2/16868060087", 16868060087)</f>
        <v>16868060087</v>
      </c>
      <c r="S787" s="24" t="s">
        <v>2585</v>
      </c>
      <c r="T787" s="28" t="s">
        <v>2586</v>
      </c>
      <c r="U787" s="24" t="s">
        <v>47</v>
      </c>
      <c r="V787" s="24"/>
      <c r="W787" s="25"/>
      <c r="X787" s="29">
        <v>176.0</v>
      </c>
      <c r="Y787" s="29">
        <v>15.0</v>
      </c>
      <c r="Z787" s="30"/>
      <c r="AA787" s="30"/>
      <c r="AB787" s="30"/>
      <c r="AC787" s="30"/>
      <c r="AD787" s="30"/>
      <c r="AE787" s="30"/>
      <c r="AF787" s="30"/>
      <c r="AG787" s="27" t="str">
        <f t="shared" si="1"/>
        <v>New Logo</v>
      </c>
      <c r="AH787" s="27" t="str">
        <f t="shared" si="5"/>
        <v>Lead</v>
      </c>
      <c r="AI787" s="27" t="str">
        <f t="shared" si="6"/>
        <v>0-200</v>
      </c>
      <c r="AJ787" s="27" t="str">
        <f t="shared" si="7"/>
        <v>0-20</v>
      </c>
    </row>
    <row r="788" ht="15.75" customHeight="1">
      <c r="A788" s="23">
        <f>HYPERLINK("https://app.hubspot.com/contacts/8748051/record/0-3/14515842907", 14515842907)</f>
        <v>14515842907</v>
      </c>
      <c r="B788" s="24" t="s">
        <v>2587</v>
      </c>
      <c r="C788" s="24" t="s">
        <v>2305</v>
      </c>
      <c r="D788" s="25">
        <v>13125.0</v>
      </c>
      <c r="E788" s="24" t="s">
        <v>92</v>
      </c>
      <c r="F788" s="24" t="s">
        <v>52</v>
      </c>
      <c r="G788" s="26">
        <v>45145.349270833336</v>
      </c>
      <c r="H788" s="26">
        <v>45197.40083333333</v>
      </c>
      <c r="I788" s="24" t="s">
        <v>40</v>
      </c>
      <c r="J788" s="24" t="s">
        <v>41</v>
      </c>
      <c r="K788" s="24"/>
      <c r="L788" s="24"/>
      <c r="M788" s="24" t="s">
        <v>44</v>
      </c>
      <c r="N788" s="24" t="s">
        <v>2588</v>
      </c>
      <c r="O788" s="24"/>
      <c r="P788" s="27"/>
      <c r="Q788" s="24"/>
      <c r="R788" s="23">
        <f>HYPERLINK("https://app.hubspot.com/contacts/8748051/record/0-2/16734679839", 16734679839)</f>
        <v>16734679839</v>
      </c>
      <c r="S788" s="24" t="s">
        <v>466</v>
      </c>
      <c r="T788" s="28" t="s">
        <v>467</v>
      </c>
      <c r="U788" s="24" t="s">
        <v>96</v>
      </c>
      <c r="V788" s="24"/>
      <c r="W788" s="25">
        <v>29912.0</v>
      </c>
      <c r="X788" s="29">
        <v>280.0</v>
      </c>
      <c r="Y788" s="29">
        <v>15.0</v>
      </c>
      <c r="Z788" s="30"/>
      <c r="AA788" s="30" t="s">
        <v>349</v>
      </c>
      <c r="AB788" s="30" t="s">
        <v>207</v>
      </c>
      <c r="AC788" s="30" t="s">
        <v>208</v>
      </c>
      <c r="AD788" s="30" t="s">
        <v>462</v>
      </c>
      <c r="AE788" s="30" t="s">
        <v>468</v>
      </c>
      <c r="AF788" s="30" t="s">
        <v>169</v>
      </c>
      <c r="AG788" s="27" t="str">
        <f t="shared" si="1"/>
        <v>New Logo</v>
      </c>
      <c r="AH788" s="27" t="str">
        <f t="shared" si="5"/>
        <v>Customer</v>
      </c>
      <c r="AI788" s="27" t="str">
        <f t="shared" si="6"/>
        <v>201-500</v>
      </c>
      <c r="AJ788" s="27" t="str">
        <f t="shared" si="7"/>
        <v>0-20</v>
      </c>
    </row>
    <row r="789" ht="15.75" customHeight="1">
      <c r="A789" s="23">
        <f>HYPERLINK("https://app.hubspot.com/contacts/8748051/record/0-3/14444380956", 14444380956)</f>
        <v>14444380956</v>
      </c>
      <c r="B789" s="24" t="s">
        <v>2589</v>
      </c>
      <c r="C789" s="24" t="s">
        <v>159</v>
      </c>
      <c r="D789" s="25">
        <v>1500.0</v>
      </c>
      <c r="E789" s="24" t="s">
        <v>92</v>
      </c>
      <c r="F789" s="24"/>
      <c r="G789" s="26">
        <v>45141.03943287037</v>
      </c>
      <c r="H789" s="26">
        <v>45122.03700231481</v>
      </c>
      <c r="I789" s="24" t="s">
        <v>40</v>
      </c>
      <c r="J789" s="24" t="s">
        <v>182</v>
      </c>
      <c r="K789" s="27"/>
      <c r="L789" s="24"/>
      <c r="M789" s="24" t="s">
        <v>102</v>
      </c>
      <c r="N789" s="24" t="s">
        <v>2590</v>
      </c>
      <c r="O789" s="24"/>
      <c r="P789" s="27"/>
      <c r="Q789" s="24"/>
      <c r="R789" s="23">
        <f>HYPERLINK("https://app.hubspot.com/contacts/8748051/record/0-2/8616793166", 8616793166)</f>
        <v>8616793166</v>
      </c>
      <c r="S789" s="24" t="s">
        <v>2591</v>
      </c>
      <c r="T789" s="28" t="s">
        <v>2592</v>
      </c>
      <c r="U789" s="24">
        <v>3.4564763E7</v>
      </c>
      <c r="V789" s="35">
        <v>45483.0</v>
      </c>
      <c r="W789" s="25">
        <v>24000.0</v>
      </c>
      <c r="X789" s="29">
        <v>124.0</v>
      </c>
      <c r="Y789" s="29">
        <v>15.0</v>
      </c>
      <c r="Z789" s="30"/>
      <c r="AA789" s="30"/>
      <c r="AB789" s="31"/>
      <c r="AC789" s="30"/>
      <c r="AD789" s="30"/>
      <c r="AE789" s="30"/>
      <c r="AF789" s="30"/>
      <c r="AG789" s="27" t="str">
        <f t="shared" si="1"/>
        <v>Upsell</v>
      </c>
      <c r="AH789" s="27" t="str">
        <f t="shared" si="5"/>
        <v>Churn</v>
      </c>
      <c r="AI789" s="27" t="str">
        <f t="shared" si="6"/>
        <v>0-200</v>
      </c>
      <c r="AJ789" s="27" t="str">
        <f t="shared" si="7"/>
        <v>0-20</v>
      </c>
    </row>
    <row r="790" ht="15.75" customHeight="1">
      <c r="A790" s="23">
        <f>HYPERLINK("https://app.hubspot.com/contacts/8748051/record/0-3/14307401474", 14307401474)</f>
        <v>14307401474</v>
      </c>
      <c r="B790" s="24" t="s">
        <v>2593</v>
      </c>
      <c r="C790" s="24" t="s">
        <v>1228</v>
      </c>
      <c r="D790" s="25">
        <v>17730.0</v>
      </c>
      <c r="E790" s="24" t="s">
        <v>92</v>
      </c>
      <c r="F790" s="24" t="s">
        <v>52</v>
      </c>
      <c r="G790" s="26">
        <v>45132.10444444444</v>
      </c>
      <c r="H790" s="26">
        <v>45288.33582175926</v>
      </c>
      <c r="I790" s="24" t="s">
        <v>40</v>
      </c>
      <c r="J790" s="24" t="s">
        <v>41</v>
      </c>
      <c r="K790" s="24"/>
      <c r="L790" s="24" t="s">
        <v>183</v>
      </c>
      <c r="M790" s="24" t="s">
        <v>102</v>
      </c>
      <c r="N790" s="24" t="s">
        <v>2594</v>
      </c>
      <c r="O790" s="24"/>
      <c r="P790" s="24"/>
      <c r="Q790" s="24"/>
      <c r="R790" s="23">
        <f>HYPERLINK("https://app.hubspot.com/contacts/8748051/record/0-2/8741221026", 8741221026)</f>
        <v>8741221026</v>
      </c>
      <c r="S790" s="24" t="s">
        <v>2595</v>
      </c>
      <c r="T790" s="28" t="s">
        <v>2596</v>
      </c>
      <c r="U790" s="24">
        <v>3.4564763E7</v>
      </c>
      <c r="V790" s="35">
        <v>46004.0</v>
      </c>
      <c r="W790" s="25">
        <v>17730.0</v>
      </c>
      <c r="X790" s="29">
        <v>1046.0</v>
      </c>
      <c r="Y790" s="29">
        <v>140.0</v>
      </c>
      <c r="Z790" s="30"/>
      <c r="AA790" s="30" t="s">
        <v>166</v>
      </c>
      <c r="AB790" s="30"/>
      <c r="AC790" s="30" t="s">
        <v>268</v>
      </c>
      <c r="AD790" s="30" t="s">
        <v>2597</v>
      </c>
      <c r="AE790" s="30" t="s">
        <v>2598</v>
      </c>
      <c r="AF790" s="30" t="s">
        <v>211</v>
      </c>
      <c r="AG790" s="27" t="str">
        <f t="shared" si="1"/>
        <v>New Logo</v>
      </c>
      <c r="AH790" s="27" t="str">
        <f t="shared" si="5"/>
        <v>Churn</v>
      </c>
      <c r="AI790" s="27" t="str">
        <f t="shared" si="6"/>
        <v>1001-5000</v>
      </c>
      <c r="AJ790" s="27" t="str">
        <f t="shared" si="7"/>
        <v>101-500</v>
      </c>
    </row>
    <row r="791" ht="15.75" customHeight="1">
      <c r="A791" s="23">
        <f>HYPERLINK("https://app.hubspot.com/contacts/8748051/record/0-3/14251916700", 14251916700)</f>
        <v>14251916700</v>
      </c>
      <c r="B791" s="24" t="s">
        <v>2599</v>
      </c>
      <c r="C791" s="24" t="s">
        <v>2305</v>
      </c>
      <c r="D791" s="25">
        <v>5040.0</v>
      </c>
      <c r="E791" s="24" t="s">
        <v>92</v>
      </c>
      <c r="F791" s="24" t="s">
        <v>52</v>
      </c>
      <c r="G791" s="26">
        <v>45127.56725694444</v>
      </c>
      <c r="H791" s="26">
        <v>45138.66439814815</v>
      </c>
      <c r="I791" s="24" t="s">
        <v>40</v>
      </c>
      <c r="J791" s="24" t="s">
        <v>41</v>
      </c>
      <c r="K791" s="27"/>
      <c r="L791" s="27"/>
      <c r="M791" s="24" t="s">
        <v>44</v>
      </c>
      <c r="N791" s="24" t="s">
        <v>2600</v>
      </c>
      <c r="O791" s="27"/>
      <c r="P791" s="24"/>
      <c r="Q791" s="24"/>
      <c r="R791" s="23">
        <f>HYPERLINK("https://app.hubspot.com/contacts/8748051/record/0-2/16376201758", 16376201758)</f>
        <v>16376201758</v>
      </c>
      <c r="S791" s="24" t="s">
        <v>2475</v>
      </c>
      <c r="T791" s="28" t="s">
        <v>2476</v>
      </c>
      <c r="U791" s="24">
        <v>3.4564763E7</v>
      </c>
      <c r="V791" s="35">
        <v>45838.0</v>
      </c>
      <c r="W791" s="25">
        <v>27965.0</v>
      </c>
      <c r="X791" s="29">
        <v>411.0</v>
      </c>
      <c r="Y791" s="29">
        <v>36.0</v>
      </c>
      <c r="Z791" s="30"/>
      <c r="AA791" s="30"/>
      <c r="AB791" s="31"/>
      <c r="AC791" s="31"/>
      <c r="AD791" s="30"/>
      <c r="AE791" s="30"/>
      <c r="AF791" s="30"/>
      <c r="AG791" s="27" t="str">
        <f t="shared" si="1"/>
        <v>New Logo</v>
      </c>
      <c r="AH791" s="27" t="str">
        <f t="shared" si="5"/>
        <v>Churn</v>
      </c>
      <c r="AI791" s="27" t="str">
        <f t="shared" si="6"/>
        <v>201-500</v>
      </c>
      <c r="AJ791" s="27" t="str">
        <f t="shared" si="7"/>
        <v>21-50</v>
      </c>
    </row>
    <row r="792" ht="15.75" customHeight="1">
      <c r="A792" s="23">
        <f>HYPERLINK("https://app.hubspot.com/contacts/8748051/record/0-3/14063920218", 14063920218)</f>
        <v>14063920218</v>
      </c>
      <c r="B792" s="24" t="s">
        <v>2601</v>
      </c>
      <c r="C792" s="24" t="s">
        <v>50</v>
      </c>
      <c r="D792" s="25">
        <v>100000.0</v>
      </c>
      <c r="E792" s="24" t="s">
        <v>73</v>
      </c>
      <c r="F792" s="24"/>
      <c r="G792" s="26">
        <v>45118.65894675926</v>
      </c>
      <c r="H792" s="26">
        <v>45289.65820601852</v>
      </c>
      <c r="I792" s="24" t="s">
        <v>40</v>
      </c>
      <c r="J792" s="24" t="s">
        <v>41</v>
      </c>
      <c r="K792" s="27"/>
      <c r="L792" s="27"/>
      <c r="M792" s="24" t="s">
        <v>44</v>
      </c>
      <c r="N792" s="24"/>
      <c r="O792" s="24"/>
      <c r="P792" s="24" t="s">
        <v>213</v>
      </c>
      <c r="Q792" s="24"/>
      <c r="R792" s="23">
        <f>HYPERLINK("https://app.hubspot.com/contacts/8748051/record/0-2/7781791666", 7781791666)</f>
        <v>7781791666</v>
      </c>
      <c r="S792" s="28" t="s">
        <v>2602</v>
      </c>
      <c r="T792" s="28" t="s">
        <v>2602</v>
      </c>
      <c r="U792" s="24" t="s">
        <v>47</v>
      </c>
      <c r="V792" s="24"/>
      <c r="W792" s="25"/>
      <c r="X792" s="29">
        <v>3363.0</v>
      </c>
      <c r="Y792" s="29">
        <v>436.0</v>
      </c>
      <c r="Z792" s="30" t="s">
        <v>372</v>
      </c>
      <c r="AA792" s="30"/>
      <c r="AB792" s="31"/>
      <c r="AC792" s="31"/>
      <c r="AD792" s="30"/>
      <c r="AE792" s="30"/>
      <c r="AF792" s="30"/>
      <c r="AG792" s="27" t="str">
        <f t="shared" si="1"/>
        <v>New Logo</v>
      </c>
      <c r="AH792" s="27" t="str">
        <f t="shared" si="5"/>
        <v>Lead</v>
      </c>
      <c r="AI792" s="27" t="str">
        <f t="shared" si="6"/>
        <v>1001-5000</v>
      </c>
      <c r="AJ792" s="27" t="str">
        <f t="shared" si="7"/>
        <v>101-500</v>
      </c>
    </row>
    <row r="793" ht="15.75" customHeight="1">
      <c r="A793" s="23">
        <f>HYPERLINK("https://app.hubspot.com/contacts/8748051/record/0-3/13982376552", 13982376552)</f>
        <v>13982376552</v>
      </c>
      <c r="B793" s="24" t="s">
        <v>2603</v>
      </c>
      <c r="C793" s="24" t="s">
        <v>38</v>
      </c>
      <c r="D793" s="25">
        <v>30000.0</v>
      </c>
      <c r="E793" s="24" t="s">
        <v>73</v>
      </c>
      <c r="F793" s="24"/>
      <c r="G793" s="26">
        <v>45112.626493055555</v>
      </c>
      <c r="H793" s="26">
        <v>45261.624756944446</v>
      </c>
      <c r="I793" s="24" t="s">
        <v>40</v>
      </c>
      <c r="J793" s="24" t="s">
        <v>41</v>
      </c>
      <c r="K793" s="24"/>
      <c r="L793" s="24"/>
      <c r="M793" s="24" t="s">
        <v>44</v>
      </c>
      <c r="N793" s="24"/>
      <c r="O793" s="24"/>
      <c r="P793" s="24" t="s">
        <v>122</v>
      </c>
      <c r="Q793" s="24"/>
      <c r="R793" s="23">
        <f>HYPERLINK("https://app.hubspot.com/contacts/8748051/record/0-2/14811052928", 14811052928)</f>
        <v>14811052928</v>
      </c>
      <c r="S793" s="24" t="s">
        <v>2604</v>
      </c>
      <c r="T793" s="28" t="s">
        <v>2605</v>
      </c>
      <c r="U793" s="24" t="s">
        <v>47</v>
      </c>
      <c r="V793" s="24"/>
      <c r="W793" s="25"/>
      <c r="X793" s="29">
        <v>1969.0</v>
      </c>
      <c r="Y793" s="29">
        <v>157.0</v>
      </c>
      <c r="Z793" s="30"/>
      <c r="AA793" s="30"/>
      <c r="AB793" s="30"/>
      <c r="AC793" s="30"/>
      <c r="AD793" s="30"/>
      <c r="AE793" s="30"/>
      <c r="AF793" s="30"/>
      <c r="AG793" s="27" t="str">
        <f t="shared" si="1"/>
        <v>New Logo</v>
      </c>
      <c r="AH793" s="27" t="str">
        <f t="shared" si="5"/>
        <v>Lead</v>
      </c>
      <c r="AI793" s="27" t="str">
        <f t="shared" si="6"/>
        <v>1001-5000</v>
      </c>
      <c r="AJ793" s="27" t="str">
        <f t="shared" si="7"/>
        <v>101-500</v>
      </c>
    </row>
    <row r="794" ht="15.75" customHeight="1">
      <c r="A794" s="23">
        <f>HYPERLINK("https://app.hubspot.com/contacts/8748051/record/0-3/13885015156", 13885015156)</f>
        <v>13885015156</v>
      </c>
      <c r="B794" s="24" t="s">
        <v>2606</v>
      </c>
      <c r="C794" s="24" t="s">
        <v>148</v>
      </c>
      <c r="D794" s="25">
        <v>30000.0</v>
      </c>
      <c r="E794" s="24" t="s">
        <v>149</v>
      </c>
      <c r="F794" s="24" t="s">
        <v>52</v>
      </c>
      <c r="G794" s="26">
        <v>45104.47423611111</v>
      </c>
      <c r="H794" s="26">
        <v>45176.348275462966</v>
      </c>
      <c r="I794" s="24" t="s">
        <v>40</v>
      </c>
      <c r="J794" s="24" t="s">
        <v>41</v>
      </c>
      <c r="K794" s="24"/>
      <c r="L794" s="24"/>
      <c r="M794" s="24" t="s">
        <v>74</v>
      </c>
      <c r="N794" s="24"/>
      <c r="O794" s="24" t="s">
        <v>2607</v>
      </c>
      <c r="P794" s="27"/>
      <c r="Q794" s="24"/>
      <c r="R794" s="23">
        <f>HYPERLINK("https://app.hubspot.com/contacts/8748051/record/0-2/9132230811", 9132230811)</f>
        <v>9132230811</v>
      </c>
      <c r="S794" s="24" t="s">
        <v>2608</v>
      </c>
      <c r="T794" s="28" t="s">
        <v>2609</v>
      </c>
      <c r="U794" s="24" t="s">
        <v>47</v>
      </c>
      <c r="V794" s="24"/>
      <c r="W794" s="25"/>
      <c r="X794" s="29">
        <v>515.0</v>
      </c>
      <c r="Y794" s="29">
        <v>70.0</v>
      </c>
      <c r="Z794" s="30" t="s">
        <v>108</v>
      </c>
      <c r="AA794" s="30"/>
      <c r="AB794" s="30"/>
      <c r="AC794" s="30"/>
      <c r="AD794" s="30"/>
      <c r="AE794" s="30"/>
      <c r="AF794" s="30"/>
      <c r="AG794" s="27" t="str">
        <f t="shared" si="1"/>
        <v>New Logo</v>
      </c>
      <c r="AH794" s="27" t="str">
        <f t="shared" si="5"/>
        <v>Lead</v>
      </c>
      <c r="AI794" s="27" t="str">
        <f t="shared" si="6"/>
        <v>501-1000</v>
      </c>
      <c r="AJ794" s="27" t="str">
        <f t="shared" si="7"/>
        <v>51-100</v>
      </c>
    </row>
    <row r="795" ht="15.75" customHeight="1">
      <c r="A795" s="23">
        <f>HYPERLINK("https://app.hubspot.com/contacts/8748051/record/0-3/13714325510", 13714325510)</f>
        <v>13714325510</v>
      </c>
      <c r="B795" s="24" t="s">
        <v>2610</v>
      </c>
      <c r="C795" s="24" t="s">
        <v>148</v>
      </c>
      <c r="D795" s="25">
        <v>20000.0</v>
      </c>
      <c r="E795" s="24" t="s">
        <v>92</v>
      </c>
      <c r="F795" s="24" t="s">
        <v>52</v>
      </c>
      <c r="G795" s="26">
        <v>45091.76572916667</v>
      </c>
      <c r="H795" s="26">
        <v>45596.73302083334</v>
      </c>
      <c r="I795" s="24" t="s">
        <v>40</v>
      </c>
      <c r="J795" s="24" t="s">
        <v>41</v>
      </c>
      <c r="K795" s="24" t="s">
        <v>60</v>
      </c>
      <c r="L795" s="24" t="s">
        <v>183</v>
      </c>
      <c r="M795" s="24" t="s">
        <v>44</v>
      </c>
      <c r="N795" s="24" t="s">
        <v>2611</v>
      </c>
      <c r="O795" s="24"/>
      <c r="P795" s="27"/>
      <c r="Q795" s="24"/>
      <c r="R795" s="23">
        <f>HYPERLINK("https://app.hubspot.com/contacts/8748051/record/0-2/15823033951", 15823033951)</f>
        <v>15823033951</v>
      </c>
      <c r="S795" s="24" t="s">
        <v>582</v>
      </c>
      <c r="T795" s="28" t="s">
        <v>583</v>
      </c>
      <c r="U795" s="24" t="s">
        <v>96</v>
      </c>
      <c r="V795" s="24"/>
      <c r="W795" s="25">
        <v>20500.0</v>
      </c>
      <c r="X795" s="29">
        <v>175.0</v>
      </c>
      <c r="Y795" s="29">
        <v>27.0</v>
      </c>
      <c r="Z795" s="30"/>
      <c r="AA795" s="30" t="s">
        <v>97</v>
      </c>
      <c r="AB795" s="30" t="s">
        <v>207</v>
      </c>
      <c r="AC795" s="30" t="s">
        <v>461</v>
      </c>
      <c r="AD795" s="30" t="s">
        <v>584</v>
      </c>
      <c r="AE795" s="30" t="s">
        <v>585</v>
      </c>
      <c r="AF795" s="30" t="s">
        <v>586</v>
      </c>
      <c r="AG795" s="27" t="str">
        <f t="shared" si="1"/>
        <v>New Logo</v>
      </c>
      <c r="AH795" s="27" t="str">
        <f t="shared" si="5"/>
        <v>Customer</v>
      </c>
      <c r="AI795" s="27" t="str">
        <f t="shared" si="6"/>
        <v>0-200</v>
      </c>
      <c r="AJ795" s="27" t="str">
        <f t="shared" si="7"/>
        <v>21-50</v>
      </c>
    </row>
    <row r="796" ht="15.75" customHeight="1">
      <c r="A796" s="23">
        <f>HYPERLINK("https://app.hubspot.com/contacts/8748051/record/0-3/13685793899", 13685793899)</f>
        <v>13685793899</v>
      </c>
      <c r="B796" s="24" t="s">
        <v>1375</v>
      </c>
      <c r="C796" s="24" t="s">
        <v>1228</v>
      </c>
      <c r="D796" s="25">
        <v>15000.0</v>
      </c>
      <c r="E796" s="24" t="s">
        <v>127</v>
      </c>
      <c r="F796" s="24" t="s">
        <v>52</v>
      </c>
      <c r="G796" s="26">
        <v>45090.085694444446</v>
      </c>
      <c r="H796" s="26">
        <v>45322.34017361111</v>
      </c>
      <c r="I796" s="24" t="s">
        <v>40</v>
      </c>
      <c r="J796" s="24" t="s">
        <v>41</v>
      </c>
      <c r="K796" s="27"/>
      <c r="L796" s="27"/>
      <c r="M796" s="24" t="s">
        <v>102</v>
      </c>
      <c r="N796" s="24"/>
      <c r="O796" s="24"/>
      <c r="P796" s="24"/>
      <c r="Q796" s="24" t="s">
        <v>197</v>
      </c>
      <c r="R796" s="23">
        <f>HYPERLINK("https://app.hubspot.com/contacts/8748051/record/0-2/9132283033", 9132283033)</f>
        <v>9132283033</v>
      </c>
      <c r="S796" s="24" t="s">
        <v>225</v>
      </c>
      <c r="T796" s="28" t="s">
        <v>226</v>
      </c>
      <c r="U796" s="24" t="s">
        <v>96</v>
      </c>
      <c r="V796" s="24"/>
      <c r="W796" s="25">
        <v>7998.0</v>
      </c>
      <c r="X796" s="29">
        <v>1573.0</v>
      </c>
      <c r="Y796" s="29">
        <v>43.0</v>
      </c>
      <c r="Z796" s="30"/>
      <c r="AA796" s="30" t="s">
        <v>220</v>
      </c>
      <c r="AB796" s="31"/>
      <c r="AC796" s="31"/>
      <c r="AD796" s="30" t="s">
        <v>221</v>
      </c>
      <c r="AE796" s="30" t="s">
        <v>227</v>
      </c>
      <c r="AF796" s="30" t="s">
        <v>169</v>
      </c>
      <c r="AG796" s="27" t="str">
        <f t="shared" si="1"/>
        <v>New Logo</v>
      </c>
      <c r="AH796" s="27" t="str">
        <f t="shared" si="5"/>
        <v>Customer</v>
      </c>
      <c r="AI796" s="27" t="str">
        <f t="shared" si="6"/>
        <v>1001-5000</v>
      </c>
      <c r="AJ796" s="27" t="str">
        <f t="shared" si="7"/>
        <v>21-50</v>
      </c>
    </row>
    <row r="797" ht="15.75" customHeight="1">
      <c r="A797" s="23">
        <f>HYPERLINK("https://app.hubspot.com/contacts/8748051/record/0-3/13445670982", 13445670982)</f>
        <v>13445670982</v>
      </c>
      <c r="B797" s="24" t="s">
        <v>2612</v>
      </c>
      <c r="C797" s="24" t="s">
        <v>1009</v>
      </c>
      <c r="D797" s="25">
        <v>82500.0</v>
      </c>
      <c r="E797" s="24" t="s">
        <v>127</v>
      </c>
      <c r="F797" s="24" t="s">
        <v>52</v>
      </c>
      <c r="G797" s="26">
        <v>45071.48939814815</v>
      </c>
      <c r="H797" s="26">
        <v>45504.425520833334</v>
      </c>
      <c r="I797" s="24" t="s">
        <v>40</v>
      </c>
      <c r="J797" s="24" t="s">
        <v>41</v>
      </c>
      <c r="K797" s="24"/>
      <c r="L797" s="24"/>
      <c r="M797" s="24" t="s">
        <v>44</v>
      </c>
      <c r="N797" s="24"/>
      <c r="O797" s="24"/>
      <c r="P797" s="24"/>
      <c r="Q797" s="24" t="s">
        <v>144</v>
      </c>
      <c r="R797" s="23">
        <f>HYPERLINK("https://app.hubspot.com/contacts/8748051/record/0-2/9183858956", 9183858956)</f>
        <v>9183858956</v>
      </c>
      <c r="S797" s="24" t="s">
        <v>2613</v>
      </c>
      <c r="T797" s="28" t="s">
        <v>2614</v>
      </c>
      <c r="U797" s="24" t="s">
        <v>47</v>
      </c>
      <c r="V797" s="24"/>
      <c r="W797" s="25"/>
      <c r="X797" s="29">
        <v>4262.0</v>
      </c>
      <c r="Y797" s="29">
        <v>182.0</v>
      </c>
      <c r="Z797" s="30" t="s">
        <v>2615</v>
      </c>
      <c r="AA797" s="30"/>
      <c r="AB797" s="31"/>
      <c r="AC797" s="31"/>
      <c r="AD797" s="30"/>
      <c r="AE797" s="31"/>
      <c r="AF797" s="30"/>
      <c r="AG797" s="27" t="str">
        <f t="shared" si="1"/>
        <v>New Logo</v>
      </c>
      <c r="AH797" s="27" t="str">
        <f t="shared" si="5"/>
        <v>Lead</v>
      </c>
      <c r="AI797" s="27" t="str">
        <f t="shared" si="6"/>
        <v>1001-5000</v>
      </c>
      <c r="AJ797" s="27" t="str">
        <f t="shared" si="7"/>
        <v>101-500</v>
      </c>
    </row>
    <row r="798" ht="15.75" customHeight="1">
      <c r="A798" s="23">
        <f>HYPERLINK("https://app.hubspot.com/contacts/8748051/record/0-3/13366231134", 13366231134)</f>
        <v>13366231134</v>
      </c>
      <c r="B798" s="24" t="s">
        <v>2616</v>
      </c>
      <c r="C798" s="24" t="s">
        <v>1009</v>
      </c>
      <c r="D798" s="25">
        <v>17280.0</v>
      </c>
      <c r="E798" s="24" t="s">
        <v>149</v>
      </c>
      <c r="F798" s="24" t="s">
        <v>52</v>
      </c>
      <c r="G798" s="26">
        <v>45063.38290509259</v>
      </c>
      <c r="H798" s="26">
        <v>45222.40180555556</v>
      </c>
      <c r="I798" s="24" t="s">
        <v>40</v>
      </c>
      <c r="J798" s="24" t="s">
        <v>41</v>
      </c>
      <c r="K798" s="24"/>
      <c r="L798" s="24"/>
      <c r="M798" s="24" t="s">
        <v>44</v>
      </c>
      <c r="N798" s="24"/>
      <c r="O798" s="24" t="s">
        <v>2617</v>
      </c>
      <c r="P798" s="27"/>
      <c r="Q798" s="24"/>
      <c r="R798" s="23">
        <f>HYPERLINK("https://app.hubspot.com/contacts/8748051/record/0-2/15345840543", 15345840543)</f>
        <v>15345840543</v>
      </c>
      <c r="S798" s="24" t="s">
        <v>2618</v>
      </c>
      <c r="T798" s="28" t="s">
        <v>2619</v>
      </c>
      <c r="U798" s="24" t="s">
        <v>47</v>
      </c>
      <c r="V798" s="24"/>
      <c r="W798" s="25"/>
      <c r="X798" s="29">
        <v>47.0</v>
      </c>
      <c r="Y798" s="29">
        <v>8.0</v>
      </c>
      <c r="Z798" s="30"/>
      <c r="AA798" s="30"/>
      <c r="AB798" s="31"/>
      <c r="AC798" s="31"/>
      <c r="AD798" s="30"/>
      <c r="AE798" s="30"/>
      <c r="AF798" s="30"/>
      <c r="AG798" s="27" t="str">
        <f t="shared" si="1"/>
        <v>New Logo</v>
      </c>
      <c r="AH798" s="27" t="str">
        <f t="shared" si="5"/>
        <v>Lead</v>
      </c>
      <c r="AI798" s="27" t="str">
        <f t="shared" si="6"/>
        <v>0-200</v>
      </c>
      <c r="AJ798" s="27" t="str">
        <f t="shared" si="7"/>
        <v>0-20</v>
      </c>
    </row>
    <row r="799" ht="15.75" customHeight="1">
      <c r="A799" s="23">
        <f>HYPERLINK("https://app.hubspot.com/contacts/8748051/record/0-3/13240819320", 13240819320)</f>
        <v>13240819320</v>
      </c>
      <c r="B799" s="24" t="s">
        <v>2620</v>
      </c>
      <c r="C799" s="24" t="s">
        <v>1009</v>
      </c>
      <c r="D799" s="25">
        <v>15000.0</v>
      </c>
      <c r="E799" s="24" t="s">
        <v>149</v>
      </c>
      <c r="F799" s="24" t="s">
        <v>52</v>
      </c>
      <c r="G799" s="26">
        <v>45051.306493055556</v>
      </c>
      <c r="H799" s="26">
        <v>45120.103483796294</v>
      </c>
      <c r="I799" s="24" t="s">
        <v>40</v>
      </c>
      <c r="J799" s="24" t="s">
        <v>53</v>
      </c>
      <c r="K799" s="27"/>
      <c r="L799" s="27"/>
      <c r="M799" s="24" t="s">
        <v>74</v>
      </c>
      <c r="N799" s="27"/>
      <c r="O799" s="24" t="s">
        <v>1465</v>
      </c>
      <c r="P799" s="27"/>
      <c r="Q799" s="24"/>
      <c r="R799" s="23">
        <f>HYPERLINK("https://app.hubspot.com/contacts/8748051/record/0-2/10198123849", 10198123849)</f>
        <v>10198123849</v>
      </c>
      <c r="S799" s="24" t="s">
        <v>2621</v>
      </c>
      <c r="T799" s="28" t="s">
        <v>2622</v>
      </c>
      <c r="U799" s="24" t="s">
        <v>47</v>
      </c>
      <c r="V799" s="24"/>
      <c r="W799" s="32"/>
      <c r="X799" s="29">
        <v>305.0</v>
      </c>
      <c r="Y799" s="29">
        <v>74.0</v>
      </c>
      <c r="Z799" s="30"/>
      <c r="AA799" s="31"/>
      <c r="AB799" s="31"/>
      <c r="AC799" s="31"/>
      <c r="AD799" s="31"/>
      <c r="AE799" s="31"/>
      <c r="AF799" s="31"/>
      <c r="AG799" s="27" t="str">
        <f t="shared" si="1"/>
        <v>New Logo</v>
      </c>
      <c r="AH799" s="27" t="str">
        <f t="shared" si="5"/>
        <v>Lead</v>
      </c>
      <c r="AI799" s="27" t="str">
        <f t="shared" si="6"/>
        <v>201-500</v>
      </c>
      <c r="AJ799" s="27" t="str">
        <f t="shared" si="7"/>
        <v>51-100</v>
      </c>
    </row>
    <row r="800" ht="15.75" customHeight="1">
      <c r="A800" s="23">
        <f>HYPERLINK("https://app.hubspot.com/contacts/8748051/record/0-3/13240413296", 13240413296)</f>
        <v>13240413296</v>
      </c>
      <c r="B800" s="24" t="s">
        <v>2623</v>
      </c>
      <c r="C800" s="24" t="s">
        <v>148</v>
      </c>
      <c r="D800" s="25">
        <v>9000.0</v>
      </c>
      <c r="E800" s="24" t="s">
        <v>149</v>
      </c>
      <c r="F800" s="24" t="s">
        <v>52</v>
      </c>
      <c r="G800" s="26">
        <v>45051.305081018516</v>
      </c>
      <c r="H800" s="26">
        <v>45120.10391203704</v>
      </c>
      <c r="I800" s="24" t="s">
        <v>40</v>
      </c>
      <c r="J800" s="24" t="s">
        <v>53</v>
      </c>
      <c r="K800" s="27"/>
      <c r="L800" s="27"/>
      <c r="M800" s="24" t="s">
        <v>102</v>
      </c>
      <c r="N800" s="24"/>
      <c r="O800" s="24" t="s">
        <v>2624</v>
      </c>
      <c r="P800" s="27"/>
      <c r="Q800" s="24"/>
      <c r="R800" s="23">
        <f>HYPERLINK("https://app.hubspot.com/contacts/8748051/record/0-2/7946436488", 7946436488)</f>
        <v>7946436488</v>
      </c>
      <c r="S800" s="24" t="s">
        <v>2625</v>
      </c>
      <c r="T800" s="28" t="s">
        <v>2626</v>
      </c>
      <c r="U800" s="24" t="s">
        <v>47</v>
      </c>
      <c r="V800" s="24"/>
      <c r="W800" s="25"/>
      <c r="X800" s="29">
        <v>226.0</v>
      </c>
      <c r="Y800" s="29">
        <v>25.0</v>
      </c>
      <c r="Z800" s="30"/>
      <c r="AA800" s="30"/>
      <c r="AB800" s="31"/>
      <c r="AC800" s="31"/>
      <c r="AD800" s="30"/>
      <c r="AE800" s="30"/>
      <c r="AF800" s="30"/>
      <c r="AG800" s="27" t="str">
        <f t="shared" si="1"/>
        <v>New Logo</v>
      </c>
      <c r="AH800" s="27" t="str">
        <f t="shared" si="5"/>
        <v>Lead</v>
      </c>
      <c r="AI800" s="27" t="str">
        <f t="shared" si="6"/>
        <v>201-500</v>
      </c>
      <c r="AJ800" s="27" t="str">
        <f t="shared" si="7"/>
        <v>21-50</v>
      </c>
    </row>
    <row r="801" ht="15.75" customHeight="1">
      <c r="A801" s="23">
        <f>HYPERLINK("https://app.hubspot.com/contacts/8748051/record/0-3/13169390936", 13169390936)</f>
        <v>13169390936</v>
      </c>
      <c r="B801" s="24" t="s">
        <v>2627</v>
      </c>
      <c r="C801" s="24" t="s">
        <v>1009</v>
      </c>
      <c r="D801" s="25">
        <v>9000.0</v>
      </c>
      <c r="E801" s="24" t="s">
        <v>127</v>
      </c>
      <c r="F801" s="24"/>
      <c r="G801" s="26">
        <v>45044.2784375</v>
      </c>
      <c r="H801" s="26">
        <v>45230.277962962966</v>
      </c>
      <c r="I801" s="24" t="s">
        <v>40</v>
      </c>
      <c r="J801" s="24" t="s">
        <v>41</v>
      </c>
      <c r="K801" s="24"/>
      <c r="L801" s="24"/>
      <c r="M801" s="24" t="s">
        <v>74</v>
      </c>
      <c r="N801" s="24"/>
      <c r="O801" s="24"/>
      <c r="P801" s="27"/>
      <c r="Q801" s="24" t="s">
        <v>144</v>
      </c>
      <c r="R801" s="23">
        <f>HYPERLINK("https://app.hubspot.com/contacts/8748051/record/0-2/14981052460", 14981052460)</f>
        <v>14981052460</v>
      </c>
      <c r="S801" s="24" t="s">
        <v>2628</v>
      </c>
      <c r="T801" s="28" t="s">
        <v>2629</v>
      </c>
      <c r="U801" s="24" t="s">
        <v>47</v>
      </c>
      <c r="V801" s="24"/>
      <c r="W801" s="25"/>
      <c r="X801" s="29">
        <v>108.0</v>
      </c>
      <c r="Y801" s="29">
        <v>12.0</v>
      </c>
      <c r="Z801" s="30"/>
      <c r="AA801" s="30"/>
      <c r="AB801" s="30"/>
      <c r="AC801" s="31"/>
      <c r="AD801" s="30"/>
      <c r="AE801" s="31"/>
      <c r="AF801" s="30"/>
      <c r="AG801" s="27" t="str">
        <f t="shared" si="1"/>
        <v>New Logo</v>
      </c>
      <c r="AH801" s="27" t="str">
        <f t="shared" si="5"/>
        <v>Lead</v>
      </c>
      <c r="AI801" s="27" t="str">
        <f t="shared" si="6"/>
        <v>0-200</v>
      </c>
      <c r="AJ801" s="27" t="str">
        <f t="shared" si="7"/>
        <v>0-20</v>
      </c>
    </row>
    <row r="802" ht="15.75" customHeight="1">
      <c r="A802" s="23">
        <f>HYPERLINK("https://app.hubspot.com/contacts/8748051/record/0-3/13133630903", 13133630903)</f>
        <v>13133630903</v>
      </c>
      <c r="B802" s="24" t="s">
        <v>2630</v>
      </c>
      <c r="C802" s="24" t="s">
        <v>159</v>
      </c>
      <c r="D802" s="25">
        <v>4500.0</v>
      </c>
      <c r="E802" s="24" t="s">
        <v>92</v>
      </c>
      <c r="F802" s="24"/>
      <c r="G802" s="26">
        <v>45041.29372685185</v>
      </c>
      <c r="H802" s="26">
        <v>45032.56796296296</v>
      </c>
      <c r="I802" s="24" t="s">
        <v>40</v>
      </c>
      <c r="J802" s="24" t="s">
        <v>182</v>
      </c>
      <c r="K802" s="27"/>
      <c r="L802" s="27"/>
      <c r="M802" s="24" t="s">
        <v>44</v>
      </c>
      <c r="N802" s="24" t="s">
        <v>2631</v>
      </c>
      <c r="O802" s="24"/>
      <c r="P802" s="24"/>
      <c r="Q802" s="24"/>
      <c r="R802" s="23">
        <f>HYPERLINK("https://app.hubspot.com/contacts/8748051/record/0-2/6968305783", 6968305783)</f>
        <v>6968305783</v>
      </c>
      <c r="S802" s="24" t="s">
        <v>2632</v>
      </c>
      <c r="T802" s="28" t="s">
        <v>2633</v>
      </c>
      <c r="U802" s="24">
        <v>3.4564763E7</v>
      </c>
      <c r="V802" s="35">
        <v>45030.0</v>
      </c>
      <c r="W802" s="25">
        <v>12000.0</v>
      </c>
      <c r="X802" s="29">
        <v>312.0</v>
      </c>
      <c r="Y802" s="29">
        <v>26.0</v>
      </c>
      <c r="Z802" s="30"/>
      <c r="AA802" s="31"/>
      <c r="AB802" s="31"/>
      <c r="AC802" s="31"/>
      <c r="AD802" s="31"/>
      <c r="AE802" s="31"/>
      <c r="AF802" s="31"/>
      <c r="AG802" s="27" t="str">
        <f t="shared" si="1"/>
        <v>Upsell</v>
      </c>
      <c r="AH802" s="27" t="str">
        <f t="shared" si="5"/>
        <v>Churn</v>
      </c>
      <c r="AI802" s="27" t="str">
        <f t="shared" si="6"/>
        <v>201-500</v>
      </c>
      <c r="AJ802" s="27" t="str">
        <f t="shared" si="7"/>
        <v>21-50</v>
      </c>
    </row>
    <row r="803" ht="15.75" customHeight="1">
      <c r="A803" s="23">
        <f>HYPERLINK("https://app.hubspot.com/contacts/8748051/record/0-3/13069403672", 13069403672)</f>
        <v>13069403672</v>
      </c>
      <c r="B803" s="24" t="s">
        <v>2634</v>
      </c>
      <c r="C803" s="24" t="s">
        <v>38</v>
      </c>
      <c r="D803" s="25">
        <v>30000.0</v>
      </c>
      <c r="E803" s="24" t="s">
        <v>127</v>
      </c>
      <c r="F803" s="24" t="s">
        <v>52</v>
      </c>
      <c r="G803" s="26">
        <v>45036.332824074074</v>
      </c>
      <c r="H803" s="26">
        <v>45504.002175925925</v>
      </c>
      <c r="I803" s="24" t="s">
        <v>40</v>
      </c>
      <c r="J803" s="24" t="s">
        <v>41</v>
      </c>
      <c r="K803" s="24"/>
      <c r="L803" s="24"/>
      <c r="M803" s="24" t="s">
        <v>44</v>
      </c>
      <c r="N803" s="24"/>
      <c r="O803" s="24"/>
      <c r="P803" s="24"/>
      <c r="Q803" s="24" t="s">
        <v>374</v>
      </c>
      <c r="R803" s="23">
        <f>HYPERLINK("https://app.hubspot.com/contacts/8748051/record/0-2/9092869730", 9092869730)</f>
        <v>9092869730</v>
      </c>
      <c r="S803" s="24" t="s">
        <v>2635</v>
      </c>
      <c r="T803" s="28" t="s">
        <v>2636</v>
      </c>
      <c r="U803" s="24" t="s">
        <v>47</v>
      </c>
      <c r="V803" s="24"/>
      <c r="W803" s="25"/>
      <c r="X803" s="29">
        <v>1141.0</v>
      </c>
      <c r="Y803" s="29">
        <v>304.0</v>
      </c>
      <c r="Z803" s="30" t="s">
        <v>108</v>
      </c>
      <c r="AA803" s="30"/>
      <c r="AB803" s="30"/>
      <c r="AC803" s="31"/>
      <c r="AD803" s="30"/>
      <c r="AE803" s="31"/>
      <c r="AF803" s="30"/>
      <c r="AG803" s="27" t="str">
        <f t="shared" si="1"/>
        <v>New Logo</v>
      </c>
      <c r="AH803" s="27" t="str">
        <f t="shared" si="5"/>
        <v>Lead</v>
      </c>
      <c r="AI803" s="27" t="str">
        <f t="shared" si="6"/>
        <v>1001-5000</v>
      </c>
      <c r="AJ803" s="27" t="str">
        <f t="shared" si="7"/>
        <v>101-500</v>
      </c>
    </row>
    <row r="804" ht="15.75" customHeight="1">
      <c r="A804" s="23">
        <f>HYPERLINK("https://app.hubspot.com/contacts/8748051/record/0-3/12970621556", 12970621556)</f>
        <v>12970621556</v>
      </c>
      <c r="B804" s="24" t="s">
        <v>2637</v>
      </c>
      <c r="C804" s="24" t="s">
        <v>1228</v>
      </c>
      <c r="D804" s="25">
        <v>13500.0</v>
      </c>
      <c r="E804" s="24" t="s">
        <v>92</v>
      </c>
      <c r="F804" s="24" t="s">
        <v>52</v>
      </c>
      <c r="G804" s="26">
        <v>45029.41174768518</v>
      </c>
      <c r="H804" s="26">
        <v>45138.34447916667</v>
      </c>
      <c r="I804" s="24" t="s">
        <v>40</v>
      </c>
      <c r="J804" s="24" t="s">
        <v>41</v>
      </c>
      <c r="K804" s="27"/>
      <c r="L804" s="27"/>
      <c r="M804" s="24" t="s">
        <v>102</v>
      </c>
      <c r="N804" s="24" t="s">
        <v>2638</v>
      </c>
      <c r="O804" s="24"/>
      <c r="P804" s="24"/>
      <c r="Q804" s="24"/>
      <c r="R804" s="23">
        <f>HYPERLINK("https://app.hubspot.com/contacts/8748051/record/0-2/9781558177", 9781558177)</f>
        <v>9781558177</v>
      </c>
      <c r="S804" s="24" t="s">
        <v>864</v>
      </c>
      <c r="T804" s="28" t="s">
        <v>865</v>
      </c>
      <c r="U804" s="24" t="s">
        <v>96</v>
      </c>
      <c r="V804" s="24"/>
      <c r="W804" s="25">
        <v>21840.0</v>
      </c>
      <c r="X804" s="29">
        <v>221.0</v>
      </c>
      <c r="Y804" s="29">
        <v>17.0</v>
      </c>
      <c r="Z804" s="30"/>
      <c r="AA804" s="30" t="s">
        <v>220</v>
      </c>
      <c r="AB804" s="30"/>
      <c r="AC804" s="31"/>
      <c r="AD804" s="30" t="s">
        <v>866</v>
      </c>
      <c r="AE804" s="30"/>
      <c r="AF804" s="30" t="s">
        <v>169</v>
      </c>
      <c r="AG804" s="27" t="str">
        <f t="shared" si="1"/>
        <v>New Logo</v>
      </c>
      <c r="AH804" s="27" t="str">
        <f t="shared" si="5"/>
        <v>Customer</v>
      </c>
      <c r="AI804" s="27" t="str">
        <f t="shared" si="6"/>
        <v>201-500</v>
      </c>
      <c r="AJ804" s="27" t="str">
        <f t="shared" si="7"/>
        <v>0-20</v>
      </c>
    </row>
    <row r="805" ht="15.75" customHeight="1">
      <c r="A805" s="23">
        <f>HYPERLINK("https://app.hubspot.com/contacts/8748051/record/0-3/12970621013", 12970621013)</f>
        <v>12970621013</v>
      </c>
      <c r="B805" s="24" t="s">
        <v>2639</v>
      </c>
      <c r="C805" s="24" t="s">
        <v>1228</v>
      </c>
      <c r="D805" s="25">
        <v>6500.0</v>
      </c>
      <c r="E805" s="24" t="s">
        <v>92</v>
      </c>
      <c r="F805" s="24" t="s">
        <v>52</v>
      </c>
      <c r="G805" s="26">
        <v>45029.40939814815</v>
      </c>
      <c r="H805" s="26">
        <v>45058.439363425925</v>
      </c>
      <c r="I805" s="24" t="s">
        <v>40</v>
      </c>
      <c r="J805" s="24" t="s">
        <v>41</v>
      </c>
      <c r="K805" s="27"/>
      <c r="L805" s="27"/>
      <c r="M805" s="24" t="s">
        <v>102</v>
      </c>
      <c r="N805" s="24" t="s">
        <v>2640</v>
      </c>
      <c r="O805" s="24"/>
      <c r="P805" s="27"/>
      <c r="Q805" s="24"/>
      <c r="R805" s="23">
        <f>HYPERLINK("https://app.hubspot.com/contacts/8748051/record/0-2/15326901028", 15326901028)</f>
        <v>15326901028</v>
      </c>
      <c r="S805" s="24" t="s">
        <v>2641</v>
      </c>
      <c r="T805" s="28" t="s">
        <v>2642</v>
      </c>
      <c r="U805" s="24" t="s">
        <v>96</v>
      </c>
      <c r="V805" s="24"/>
      <c r="W805" s="25">
        <v>6500.0</v>
      </c>
      <c r="X805" s="29">
        <v>461.0</v>
      </c>
      <c r="Y805" s="29">
        <v>16.0</v>
      </c>
      <c r="Z805" s="30"/>
      <c r="AA805" s="30" t="s">
        <v>193</v>
      </c>
      <c r="AB805" s="30"/>
      <c r="AC805" s="31"/>
      <c r="AD805" s="30" t="s">
        <v>2643</v>
      </c>
      <c r="AE805" s="30"/>
      <c r="AF805" s="30" t="s">
        <v>169</v>
      </c>
      <c r="AG805" s="27" t="str">
        <f t="shared" si="1"/>
        <v>New Logo</v>
      </c>
      <c r="AH805" s="27" t="str">
        <f t="shared" si="5"/>
        <v>Customer</v>
      </c>
      <c r="AI805" s="27" t="str">
        <f t="shared" si="6"/>
        <v>201-500</v>
      </c>
      <c r="AJ805" s="27" t="str">
        <f t="shared" si="7"/>
        <v>0-20</v>
      </c>
    </row>
    <row r="806" ht="15.75" customHeight="1">
      <c r="A806" s="23">
        <f>HYPERLINK("https://app.hubspot.com/contacts/8748051/record/0-3/12951906110", 12951906110)</f>
        <v>12951906110</v>
      </c>
      <c r="B806" s="24" t="s">
        <v>2644</v>
      </c>
      <c r="C806" s="24" t="s">
        <v>38</v>
      </c>
      <c r="D806" s="25">
        <v>30000.0</v>
      </c>
      <c r="E806" s="24" t="s">
        <v>127</v>
      </c>
      <c r="F806" s="24" t="s">
        <v>52</v>
      </c>
      <c r="G806" s="26">
        <v>45028.46462962963</v>
      </c>
      <c r="H806" s="26">
        <v>45380.419907407406</v>
      </c>
      <c r="I806" s="24" t="s">
        <v>40</v>
      </c>
      <c r="J806" s="24" t="s">
        <v>41</v>
      </c>
      <c r="K806" s="27"/>
      <c r="L806" s="27"/>
      <c r="M806" s="24" t="s">
        <v>44</v>
      </c>
      <c r="N806" s="24"/>
      <c r="O806" s="24"/>
      <c r="P806" s="27"/>
      <c r="Q806" s="24" t="s">
        <v>144</v>
      </c>
      <c r="R806" s="23">
        <f>HYPERLINK("https://app.hubspot.com/contacts/8748051/record/0-2/9406244429", 9406244429)</f>
        <v>9406244429</v>
      </c>
      <c r="S806" s="24" t="s">
        <v>2645</v>
      </c>
      <c r="T806" s="28" t="s">
        <v>2646</v>
      </c>
      <c r="U806" s="24" t="s">
        <v>47</v>
      </c>
      <c r="V806" s="24"/>
      <c r="W806" s="25"/>
      <c r="X806" s="29">
        <v>4242.0</v>
      </c>
      <c r="Y806" s="29">
        <v>494.0</v>
      </c>
      <c r="Z806" s="30" t="s">
        <v>56</v>
      </c>
      <c r="AA806" s="30"/>
      <c r="AB806" s="31"/>
      <c r="AC806" s="31"/>
      <c r="AD806" s="30"/>
      <c r="AE806" s="30"/>
      <c r="AF806" s="30"/>
      <c r="AG806" s="27" t="str">
        <f t="shared" si="1"/>
        <v>New Logo</v>
      </c>
      <c r="AH806" s="27" t="str">
        <f t="shared" si="5"/>
        <v>Lead</v>
      </c>
      <c r="AI806" s="27" t="str">
        <f t="shared" si="6"/>
        <v>1001-5000</v>
      </c>
      <c r="AJ806" s="27" t="str">
        <f t="shared" si="7"/>
        <v>101-500</v>
      </c>
    </row>
    <row r="807" ht="15.75" customHeight="1">
      <c r="A807" s="23">
        <f>HYPERLINK("https://app.hubspot.com/contacts/8748051/record/0-3/12786386002", 12786386002)</f>
        <v>12786386002</v>
      </c>
      <c r="B807" s="24" t="s">
        <v>2647</v>
      </c>
      <c r="C807" s="24" t="s">
        <v>159</v>
      </c>
      <c r="D807" s="25">
        <v>4380.0</v>
      </c>
      <c r="E807" s="24" t="s">
        <v>92</v>
      </c>
      <c r="F807" s="24" t="s">
        <v>52</v>
      </c>
      <c r="G807" s="26">
        <v>45016.185740740744</v>
      </c>
      <c r="H807" s="26">
        <v>45022.233715277776</v>
      </c>
      <c r="I807" s="24" t="s">
        <v>40</v>
      </c>
      <c r="J807" s="24" t="s">
        <v>182</v>
      </c>
      <c r="K807" s="24"/>
      <c r="L807" s="24"/>
      <c r="M807" s="24" t="s">
        <v>102</v>
      </c>
      <c r="N807" s="24" t="s">
        <v>2648</v>
      </c>
      <c r="O807" s="24"/>
      <c r="P807" s="24"/>
      <c r="Q807" s="24"/>
      <c r="R807" s="23">
        <f>HYPERLINK("https://app.hubspot.com/contacts/8748051/record/0-2/9668863759", 9668863759)</f>
        <v>9668863759</v>
      </c>
      <c r="S807" s="24" t="s">
        <v>2649</v>
      </c>
      <c r="T807" s="28" t="s">
        <v>2650</v>
      </c>
      <c r="U807" s="24">
        <v>3.4564763E7</v>
      </c>
      <c r="V807" s="35">
        <v>46095.0</v>
      </c>
      <c r="W807" s="25">
        <v>11880.0</v>
      </c>
      <c r="X807" s="29">
        <v>435.0</v>
      </c>
      <c r="Y807" s="29">
        <v>41.0</v>
      </c>
      <c r="Z807" s="30"/>
      <c r="AA807" s="30" t="s">
        <v>193</v>
      </c>
      <c r="AB807" s="31"/>
      <c r="AC807" s="31"/>
      <c r="AD807" s="30" t="s">
        <v>2651</v>
      </c>
      <c r="AE807" s="30" t="s">
        <v>2652</v>
      </c>
      <c r="AF807" s="30" t="s">
        <v>396</v>
      </c>
      <c r="AG807" s="27" t="str">
        <f t="shared" si="1"/>
        <v>Upsell</v>
      </c>
      <c r="AH807" s="27" t="str">
        <f t="shared" si="5"/>
        <v>Churn</v>
      </c>
      <c r="AI807" s="27" t="str">
        <f t="shared" si="6"/>
        <v>201-500</v>
      </c>
      <c r="AJ807" s="27" t="str">
        <f t="shared" si="7"/>
        <v>21-50</v>
      </c>
    </row>
    <row r="808" ht="15.75" customHeight="1">
      <c r="A808" s="23">
        <f>HYPERLINK("https://app.hubspot.com/contacts/8748051/record/0-3/12781363073", 12781363073)</f>
        <v>12781363073</v>
      </c>
      <c r="B808" s="24" t="s">
        <v>2653</v>
      </c>
      <c r="C808" s="24" t="s">
        <v>50</v>
      </c>
      <c r="D808" s="25">
        <v>30000.0</v>
      </c>
      <c r="E808" s="24" t="s">
        <v>149</v>
      </c>
      <c r="F808" s="24"/>
      <c r="G808" s="26">
        <v>45015.672268518516</v>
      </c>
      <c r="H808" s="26">
        <v>45090.64929398148</v>
      </c>
      <c r="I808" s="24" t="s">
        <v>40</v>
      </c>
      <c r="J808" s="24" t="s">
        <v>53</v>
      </c>
      <c r="K808" s="24"/>
      <c r="L808" s="24"/>
      <c r="M808" s="24" t="s">
        <v>44</v>
      </c>
      <c r="N808" s="24"/>
      <c r="O808" s="24" t="s">
        <v>2654</v>
      </c>
      <c r="P808" s="27"/>
      <c r="Q808" s="24"/>
      <c r="R808" s="23">
        <f>HYPERLINK("https://app.hubspot.com/contacts/8748051/record/0-2/9174404187", 9174404187)</f>
        <v>9174404187</v>
      </c>
      <c r="S808" s="24" t="s">
        <v>2655</v>
      </c>
      <c r="T808" s="28" t="s">
        <v>2656</v>
      </c>
      <c r="U808" s="24" t="s">
        <v>47</v>
      </c>
      <c r="V808" s="24"/>
      <c r="W808" s="25"/>
      <c r="X808" s="29">
        <v>849.0</v>
      </c>
      <c r="Y808" s="29">
        <v>112.0</v>
      </c>
      <c r="Z808" s="30" t="s">
        <v>56</v>
      </c>
      <c r="AA808" s="30"/>
      <c r="AB808" s="30"/>
      <c r="AC808" s="31"/>
      <c r="AD808" s="30"/>
      <c r="AE808" s="30"/>
      <c r="AF808" s="30"/>
      <c r="AG808" s="27" t="str">
        <f t="shared" si="1"/>
        <v>New Logo</v>
      </c>
      <c r="AH808" s="27" t="str">
        <f t="shared" si="5"/>
        <v>Lead</v>
      </c>
      <c r="AI808" s="27" t="str">
        <f t="shared" si="6"/>
        <v>501-1000</v>
      </c>
      <c r="AJ808" s="27" t="str">
        <f t="shared" si="7"/>
        <v>101-500</v>
      </c>
    </row>
    <row r="809" ht="15.75" customHeight="1">
      <c r="A809" s="23">
        <f>HYPERLINK("https://app.hubspot.com/contacts/8748051/record/0-3/12776931937", 12776931937)</f>
        <v>12776931937</v>
      </c>
      <c r="B809" s="24" t="s">
        <v>2657</v>
      </c>
      <c r="C809" s="24" t="s">
        <v>148</v>
      </c>
      <c r="D809" s="25">
        <v>50000.0</v>
      </c>
      <c r="E809" s="24" t="s">
        <v>149</v>
      </c>
      <c r="F809" s="24"/>
      <c r="G809" s="26">
        <v>45015.44667824074</v>
      </c>
      <c r="H809" s="26">
        <v>45091.45537037037</v>
      </c>
      <c r="I809" s="24" t="s">
        <v>40</v>
      </c>
      <c r="J809" s="24" t="s">
        <v>53</v>
      </c>
      <c r="K809" s="24"/>
      <c r="L809" s="24"/>
      <c r="M809" s="24" t="s">
        <v>44</v>
      </c>
      <c r="N809" s="24"/>
      <c r="O809" s="24" t="s">
        <v>2658</v>
      </c>
      <c r="P809" s="24"/>
      <c r="Q809" s="24"/>
      <c r="R809" s="23">
        <f>HYPERLINK("https://app.hubspot.com/contacts/8748051/record/0-2/9186911040", 9186911040)</f>
        <v>9186911040</v>
      </c>
      <c r="S809" s="24" t="s">
        <v>2659</v>
      </c>
      <c r="T809" s="28" t="s">
        <v>2660</v>
      </c>
      <c r="U809" s="24" t="s">
        <v>47</v>
      </c>
      <c r="V809" s="24"/>
      <c r="W809" s="25"/>
      <c r="X809" s="29">
        <v>1686.0</v>
      </c>
      <c r="Y809" s="29">
        <v>415.0</v>
      </c>
      <c r="Z809" s="30" t="s">
        <v>456</v>
      </c>
      <c r="AA809" s="30"/>
      <c r="AB809" s="30"/>
      <c r="AC809" s="31"/>
      <c r="AD809" s="30"/>
      <c r="AE809" s="31"/>
      <c r="AF809" s="30"/>
      <c r="AG809" s="27" t="str">
        <f t="shared" si="1"/>
        <v>New Logo</v>
      </c>
      <c r="AH809" s="27" t="str">
        <f t="shared" si="5"/>
        <v>Lead</v>
      </c>
      <c r="AI809" s="27" t="str">
        <f t="shared" si="6"/>
        <v>1001-5000</v>
      </c>
      <c r="AJ809" s="27" t="str">
        <f t="shared" si="7"/>
        <v>101-500</v>
      </c>
    </row>
    <row r="810" ht="15.75" customHeight="1">
      <c r="A810" s="23">
        <f>HYPERLINK("https://app.hubspot.com/contacts/8748051/record/0-3/12610512902", 12610512902)</f>
        <v>12610512902</v>
      </c>
      <c r="B810" s="24" t="s">
        <v>2661</v>
      </c>
      <c r="C810" s="24" t="s">
        <v>1228</v>
      </c>
      <c r="D810" s="25">
        <v>43200.0</v>
      </c>
      <c r="E810" s="24" t="s">
        <v>92</v>
      </c>
      <c r="F810" s="24" t="s">
        <v>52</v>
      </c>
      <c r="G810" s="26">
        <v>45004.152337962965</v>
      </c>
      <c r="H810" s="26">
        <v>45503.195023148146</v>
      </c>
      <c r="I810" s="24" t="s">
        <v>40</v>
      </c>
      <c r="J810" s="24" t="s">
        <v>53</v>
      </c>
      <c r="K810" s="24" t="s">
        <v>42</v>
      </c>
      <c r="L810" s="24" t="s">
        <v>43</v>
      </c>
      <c r="M810" s="24" t="s">
        <v>102</v>
      </c>
      <c r="N810" s="24" t="s">
        <v>2662</v>
      </c>
      <c r="O810" s="24"/>
      <c r="P810" s="24"/>
      <c r="Q810" s="24"/>
      <c r="R810" s="23">
        <f>HYPERLINK("https://app.hubspot.com/contacts/8748051/record/0-2/8513131656", 8513131656)</f>
        <v>8513131656</v>
      </c>
      <c r="S810" s="24" t="s">
        <v>857</v>
      </c>
      <c r="T810" s="28" t="s">
        <v>858</v>
      </c>
      <c r="U810" s="24" t="s">
        <v>96</v>
      </c>
      <c r="V810" s="24"/>
      <c r="W810" s="25">
        <v>25500.0</v>
      </c>
      <c r="X810" s="29">
        <v>1321.0</v>
      </c>
      <c r="Y810" s="29">
        <v>159.0</v>
      </c>
      <c r="Z810" s="30"/>
      <c r="AA810" s="30" t="s">
        <v>193</v>
      </c>
      <c r="AB810" s="30" t="s">
        <v>194</v>
      </c>
      <c r="AC810" s="31"/>
      <c r="AD810" s="30" t="s">
        <v>859</v>
      </c>
      <c r="AE810" s="30"/>
      <c r="AF810" s="30" t="s">
        <v>169</v>
      </c>
      <c r="AG810" s="27" t="str">
        <f t="shared" si="1"/>
        <v>New Logo</v>
      </c>
      <c r="AH810" s="27" t="str">
        <f t="shared" si="5"/>
        <v>Customer</v>
      </c>
      <c r="AI810" s="27" t="str">
        <f t="shared" si="6"/>
        <v>1001-5000</v>
      </c>
      <c r="AJ810" s="27" t="str">
        <f t="shared" si="7"/>
        <v>101-500</v>
      </c>
    </row>
    <row r="811" ht="15.75" customHeight="1">
      <c r="A811" s="23">
        <f>HYPERLINK("https://app.hubspot.com/contacts/8748051/record/0-3/12432786074", 12432786074)</f>
        <v>12432786074</v>
      </c>
      <c r="B811" s="24" t="s">
        <v>2663</v>
      </c>
      <c r="C811" s="24" t="s">
        <v>148</v>
      </c>
      <c r="D811" s="25">
        <v>10000.0</v>
      </c>
      <c r="E811" s="24" t="s">
        <v>149</v>
      </c>
      <c r="F811" s="24" t="s">
        <v>52</v>
      </c>
      <c r="G811" s="26">
        <v>44992.44020833333</v>
      </c>
      <c r="H811" s="26">
        <v>45091.44590277778</v>
      </c>
      <c r="I811" s="24" t="s">
        <v>40</v>
      </c>
      <c r="J811" s="24" t="s">
        <v>41</v>
      </c>
      <c r="K811" s="27"/>
      <c r="L811" s="27"/>
      <c r="M811" s="24" t="s">
        <v>44</v>
      </c>
      <c r="N811" s="24"/>
      <c r="O811" s="24" t="s">
        <v>2664</v>
      </c>
      <c r="P811" s="27"/>
      <c r="Q811" s="24"/>
      <c r="R811" s="23">
        <f>HYPERLINK("https://app.hubspot.com/contacts/8748051/record/0-2/14939852455", 14939852455)</f>
        <v>14939852455</v>
      </c>
      <c r="S811" s="24" t="s">
        <v>2665</v>
      </c>
      <c r="T811" s="28" t="s">
        <v>2666</v>
      </c>
      <c r="U811" s="24" t="s">
        <v>47</v>
      </c>
      <c r="V811" s="24"/>
      <c r="W811" s="25"/>
      <c r="X811" s="29">
        <v>66.0</v>
      </c>
      <c r="Y811" s="29">
        <v>9.0</v>
      </c>
      <c r="Z811" s="30"/>
      <c r="AA811" s="30"/>
      <c r="AB811" s="31"/>
      <c r="AC811" s="31"/>
      <c r="AD811" s="30"/>
      <c r="AE811" s="31"/>
      <c r="AF811" s="30"/>
      <c r="AG811" s="27" t="str">
        <f t="shared" si="1"/>
        <v>New Logo</v>
      </c>
      <c r="AH811" s="27" t="str">
        <f t="shared" si="5"/>
        <v>Lead</v>
      </c>
      <c r="AI811" s="27" t="str">
        <f t="shared" si="6"/>
        <v>0-200</v>
      </c>
      <c r="AJ811" s="27" t="str">
        <f t="shared" si="7"/>
        <v>0-20</v>
      </c>
    </row>
    <row r="812" ht="15.75" customHeight="1">
      <c r="A812" s="23">
        <f>HYPERLINK("https://app.hubspot.com/contacts/8748051/record/0-3/12423375895", 12423375895)</f>
        <v>12423375895</v>
      </c>
      <c r="B812" s="24" t="s">
        <v>2667</v>
      </c>
      <c r="C812" s="24" t="s">
        <v>50</v>
      </c>
      <c r="D812" s="25">
        <v>30000.0</v>
      </c>
      <c r="E812" s="24" t="s">
        <v>149</v>
      </c>
      <c r="F812" s="24"/>
      <c r="G812" s="26">
        <v>44991.60888888889</v>
      </c>
      <c r="H812" s="26">
        <v>45063.383993055555</v>
      </c>
      <c r="I812" s="24" t="s">
        <v>40</v>
      </c>
      <c r="J812" s="24" t="s">
        <v>53</v>
      </c>
      <c r="K812" s="27"/>
      <c r="L812" s="27"/>
      <c r="M812" s="24" t="s">
        <v>44</v>
      </c>
      <c r="N812" s="27"/>
      <c r="O812" s="24" t="s">
        <v>2668</v>
      </c>
      <c r="P812" s="24"/>
      <c r="Q812" s="24"/>
      <c r="R812" s="23">
        <f>HYPERLINK("https://app.hubspot.com/contacts/8748051/record/0-2/7687434062", 7687434062)</f>
        <v>7687434062</v>
      </c>
      <c r="S812" s="24" t="s">
        <v>2669</v>
      </c>
      <c r="T812" s="28" t="s">
        <v>2670</v>
      </c>
      <c r="U812" s="24" t="s">
        <v>47</v>
      </c>
      <c r="V812" s="24"/>
      <c r="W812" s="32"/>
      <c r="X812" s="29">
        <v>593.0</v>
      </c>
      <c r="Y812" s="29">
        <v>176.0</v>
      </c>
      <c r="Z812" s="30" t="s">
        <v>81</v>
      </c>
      <c r="AA812" s="31"/>
      <c r="AB812" s="31"/>
      <c r="AC812" s="31"/>
      <c r="AD812" s="31"/>
      <c r="AE812" s="31"/>
      <c r="AF812" s="31"/>
      <c r="AG812" s="27" t="str">
        <f t="shared" si="1"/>
        <v>New Logo</v>
      </c>
      <c r="AH812" s="27" t="str">
        <f t="shared" si="5"/>
        <v>Lead</v>
      </c>
      <c r="AI812" s="27" t="str">
        <f t="shared" si="6"/>
        <v>501-1000</v>
      </c>
      <c r="AJ812" s="27" t="str">
        <f t="shared" si="7"/>
        <v>101-500</v>
      </c>
    </row>
    <row r="813" ht="15.75" customHeight="1">
      <c r="A813" s="23">
        <f>HYPERLINK("https://app.hubspot.com/contacts/8748051/record/0-3/12415411596", 12415411596)</f>
        <v>12415411596</v>
      </c>
      <c r="B813" s="24" t="s">
        <v>2671</v>
      </c>
      <c r="C813" s="24" t="s">
        <v>1009</v>
      </c>
      <c r="D813" s="25">
        <v>23500.0</v>
      </c>
      <c r="E813" s="24" t="s">
        <v>127</v>
      </c>
      <c r="F813" s="24" t="s">
        <v>52</v>
      </c>
      <c r="G813" s="26">
        <v>44991.02868055556</v>
      </c>
      <c r="H813" s="26">
        <v>45657.06494212963</v>
      </c>
      <c r="I813" s="24" t="s">
        <v>40</v>
      </c>
      <c r="J813" s="24" t="s">
        <v>41</v>
      </c>
      <c r="K813" s="24"/>
      <c r="L813" s="24"/>
      <c r="M813" s="24" t="s">
        <v>74</v>
      </c>
      <c r="N813" s="24"/>
      <c r="O813" s="24" t="s">
        <v>2672</v>
      </c>
      <c r="P813" s="27"/>
      <c r="Q813" s="24" t="s">
        <v>503</v>
      </c>
      <c r="R813" s="23">
        <f>HYPERLINK("https://app.hubspot.com/contacts/8748051/record/0-2/10910026910", 10910026910)</f>
        <v>10910026910</v>
      </c>
      <c r="S813" s="24" t="s">
        <v>1126</v>
      </c>
      <c r="T813" s="28" t="s">
        <v>1127</v>
      </c>
      <c r="U813" s="24" t="s">
        <v>47</v>
      </c>
      <c r="V813" s="24"/>
      <c r="W813" s="25"/>
      <c r="X813" s="29">
        <v>256.0</v>
      </c>
      <c r="Y813" s="29">
        <v>59.0</v>
      </c>
      <c r="Z813" s="30" t="s">
        <v>108</v>
      </c>
      <c r="AA813" s="30"/>
      <c r="AB813" s="31"/>
      <c r="AC813" s="31"/>
      <c r="AD813" s="30"/>
      <c r="AE813" s="30"/>
      <c r="AF813" s="30"/>
      <c r="AG813" s="27" t="str">
        <f t="shared" si="1"/>
        <v>New Logo</v>
      </c>
      <c r="AH813" s="27" t="str">
        <f t="shared" si="5"/>
        <v>Lead</v>
      </c>
      <c r="AI813" s="27" t="str">
        <f t="shared" si="6"/>
        <v>201-500</v>
      </c>
      <c r="AJ813" s="27" t="str">
        <f t="shared" si="7"/>
        <v>51-100</v>
      </c>
    </row>
    <row r="814" ht="15.75" customHeight="1">
      <c r="A814" s="23">
        <f>HYPERLINK("https://app.hubspot.com/contacts/8748051/record/0-3/12352797203", 12352797203)</f>
        <v>12352797203</v>
      </c>
      <c r="B814" s="24" t="s">
        <v>2673</v>
      </c>
      <c r="C814" s="24" t="s">
        <v>148</v>
      </c>
      <c r="D814" s="25">
        <v>30000.0</v>
      </c>
      <c r="E814" s="24" t="s">
        <v>149</v>
      </c>
      <c r="F814" s="24" t="s">
        <v>52</v>
      </c>
      <c r="G814" s="26">
        <v>44986.40042824074</v>
      </c>
      <c r="H814" s="26">
        <v>45336.46891203704</v>
      </c>
      <c r="I814" s="24" t="s">
        <v>40</v>
      </c>
      <c r="J814" s="24" t="s">
        <v>41</v>
      </c>
      <c r="K814" s="27"/>
      <c r="L814" s="24"/>
      <c r="M814" s="24" t="s">
        <v>44</v>
      </c>
      <c r="N814" s="24"/>
      <c r="O814" s="24" t="s">
        <v>2674</v>
      </c>
      <c r="P814" s="27"/>
      <c r="Q814" s="24"/>
      <c r="R814" s="23">
        <f>HYPERLINK("https://app.hubspot.com/contacts/8748051/record/0-2/8920279324", 8920279324)</f>
        <v>8920279324</v>
      </c>
      <c r="S814" s="24" t="s">
        <v>2675</v>
      </c>
      <c r="T814" s="28" t="s">
        <v>2676</v>
      </c>
      <c r="U814" s="24" t="s">
        <v>47</v>
      </c>
      <c r="V814" s="24"/>
      <c r="W814" s="25"/>
      <c r="X814" s="29">
        <v>624.0</v>
      </c>
      <c r="Y814" s="29">
        <v>58.0</v>
      </c>
      <c r="Z814" s="30" t="s">
        <v>108</v>
      </c>
      <c r="AA814" s="30"/>
      <c r="AB814" s="31"/>
      <c r="AC814" s="31"/>
      <c r="AD814" s="30"/>
      <c r="AE814" s="30"/>
      <c r="AF814" s="30"/>
      <c r="AG814" s="27" t="str">
        <f t="shared" si="1"/>
        <v>New Logo</v>
      </c>
      <c r="AH814" s="27" t="str">
        <f t="shared" si="5"/>
        <v>Lead</v>
      </c>
      <c r="AI814" s="27" t="str">
        <f t="shared" si="6"/>
        <v>501-1000</v>
      </c>
      <c r="AJ814" s="27" t="str">
        <f t="shared" si="7"/>
        <v>51-100</v>
      </c>
    </row>
    <row r="815" ht="15.75" customHeight="1">
      <c r="A815" s="23">
        <f>HYPERLINK("https://app.hubspot.com/contacts/8748051/record/0-3/12314663575", 12314663575)</f>
        <v>12314663575</v>
      </c>
      <c r="B815" s="24" t="s">
        <v>2677</v>
      </c>
      <c r="C815" s="24" t="s">
        <v>1228</v>
      </c>
      <c r="D815" s="25">
        <v>21600.0</v>
      </c>
      <c r="E815" s="24" t="s">
        <v>92</v>
      </c>
      <c r="F815" s="24" t="s">
        <v>52</v>
      </c>
      <c r="G815" s="26">
        <v>44984.00320601852</v>
      </c>
      <c r="H815" s="26">
        <v>45187.057708333334</v>
      </c>
      <c r="I815" s="24" t="s">
        <v>40</v>
      </c>
      <c r="J815" s="24" t="s">
        <v>41</v>
      </c>
      <c r="K815" s="27"/>
      <c r="L815" s="27"/>
      <c r="M815" s="24" t="s">
        <v>102</v>
      </c>
      <c r="N815" s="24" t="s">
        <v>2678</v>
      </c>
      <c r="O815" s="24"/>
      <c r="P815" s="27"/>
      <c r="Q815" s="24"/>
      <c r="R815" s="23">
        <f>HYPERLINK("https://app.hubspot.com/contacts/8748051/record/0-2/8323876145", 8323876145)</f>
        <v>8323876145</v>
      </c>
      <c r="S815" s="24" t="s">
        <v>392</v>
      </c>
      <c r="T815" s="28" t="s">
        <v>393</v>
      </c>
      <c r="U815" s="24" t="s">
        <v>96</v>
      </c>
      <c r="V815" s="24"/>
      <c r="W815" s="25">
        <v>14000.0</v>
      </c>
      <c r="X815" s="29">
        <v>469.0</v>
      </c>
      <c r="Y815" s="29">
        <v>42.0</v>
      </c>
      <c r="Z815" s="30"/>
      <c r="AA815" s="30" t="s">
        <v>220</v>
      </c>
      <c r="AB815" s="31"/>
      <c r="AC815" s="31"/>
      <c r="AD815" s="30" t="s">
        <v>394</v>
      </c>
      <c r="AE815" s="30" t="s">
        <v>395</v>
      </c>
      <c r="AF815" s="30" t="s">
        <v>396</v>
      </c>
      <c r="AG815" s="27" t="str">
        <f t="shared" si="1"/>
        <v>New Logo</v>
      </c>
      <c r="AH815" s="27" t="str">
        <f t="shared" si="5"/>
        <v>Customer</v>
      </c>
      <c r="AI815" s="27" t="str">
        <f t="shared" si="6"/>
        <v>201-500</v>
      </c>
      <c r="AJ815" s="27" t="str">
        <f t="shared" si="7"/>
        <v>21-50</v>
      </c>
    </row>
    <row r="816" ht="15.75" customHeight="1">
      <c r="A816" s="23">
        <f>HYPERLINK("https://app.hubspot.com/contacts/8748051/record/0-3/12278130487", 12278130487)</f>
        <v>12278130487</v>
      </c>
      <c r="B816" s="24" t="s">
        <v>2679</v>
      </c>
      <c r="C816" s="24" t="s">
        <v>50</v>
      </c>
      <c r="D816" s="25">
        <v>60000.0</v>
      </c>
      <c r="E816" s="24" t="s">
        <v>127</v>
      </c>
      <c r="F816" s="24"/>
      <c r="G816" s="26">
        <v>44980.38637731481</v>
      </c>
      <c r="H816" s="26">
        <v>45046.38532407407</v>
      </c>
      <c r="I816" s="24" t="s">
        <v>40</v>
      </c>
      <c r="J816" s="24" t="s">
        <v>53</v>
      </c>
      <c r="K816" s="27"/>
      <c r="L816" s="27"/>
      <c r="M816" s="24" t="s">
        <v>44</v>
      </c>
      <c r="N816" s="24"/>
      <c r="O816" s="24"/>
      <c r="P816" s="27"/>
      <c r="Q816" s="24" t="s">
        <v>128</v>
      </c>
      <c r="R816" s="23">
        <f>HYPERLINK("https://app.hubspot.com/contacts/8748051/record/0-2/14132642436", 14132642436)</f>
        <v>14132642436</v>
      </c>
      <c r="S816" s="28" t="s">
        <v>2680</v>
      </c>
      <c r="T816" s="28" t="s">
        <v>2680</v>
      </c>
      <c r="U816" s="24" t="s">
        <v>47</v>
      </c>
      <c r="V816" s="24"/>
      <c r="W816" s="25"/>
      <c r="X816" s="29">
        <v>3314.0</v>
      </c>
      <c r="Y816" s="29">
        <v>318.0</v>
      </c>
      <c r="Z816" s="30"/>
      <c r="AA816" s="31"/>
      <c r="AB816" s="31"/>
      <c r="AC816" s="31"/>
      <c r="AD816" s="31"/>
      <c r="AE816" s="31"/>
      <c r="AF816" s="31"/>
      <c r="AG816" s="27" t="str">
        <f t="shared" si="1"/>
        <v>New Logo</v>
      </c>
      <c r="AH816" s="27" t="str">
        <f t="shared" si="5"/>
        <v>Lead</v>
      </c>
      <c r="AI816" s="27" t="str">
        <f t="shared" si="6"/>
        <v>1001-5000</v>
      </c>
      <c r="AJ816" s="27" t="str">
        <f t="shared" si="7"/>
        <v>101-500</v>
      </c>
    </row>
    <row r="817" ht="15.75" customHeight="1">
      <c r="A817" s="23">
        <f>HYPERLINK("https://app.hubspot.com/contacts/8748051/record/0-3/13146718594", 13146718594)</f>
        <v>13146718594</v>
      </c>
      <c r="B817" s="24" t="s">
        <v>2681</v>
      </c>
      <c r="C817" s="24" t="s">
        <v>1228</v>
      </c>
      <c r="D817" s="25">
        <v>3528.0</v>
      </c>
      <c r="E817" s="24" t="s">
        <v>92</v>
      </c>
      <c r="F817" s="24" t="s">
        <v>52</v>
      </c>
      <c r="G817" s="26">
        <v>44971.12300925926</v>
      </c>
      <c r="H817" s="26">
        <v>45042.50096064815</v>
      </c>
      <c r="I817" s="24" t="s">
        <v>40</v>
      </c>
      <c r="J817" s="24" t="s">
        <v>41</v>
      </c>
      <c r="K817" s="24"/>
      <c r="L817" s="24"/>
      <c r="M817" s="24" t="s">
        <v>74</v>
      </c>
      <c r="N817" s="24" t="s">
        <v>2682</v>
      </c>
      <c r="O817" s="27"/>
      <c r="P817" s="24"/>
      <c r="Q817" s="27"/>
      <c r="R817" s="23">
        <f>HYPERLINK("https://app.hubspot.com/contacts/8748051/record/0-2/11995817103", 11995817103)</f>
        <v>11995817103</v>
      </c>
      <c r="S817" s="24" t="s">
        <v>2683</v>
      </c>
      <c r="T817" s="24" t="s">
        <v>2684</v>
      </c>
      <c r="U817" s="24">
        <v>3.4564763E7</v>
      </c>
      <c r="V817" s="35">
        <v>45408.0</v>
      </c>
      <c r="W817" s="25">
        <v>3528.0</v>
      </c>
      <c r="X817" s="29">
        <v>62.0</v>
      </c>
      <c r="Y817" s="29">
        <v>1.0</v>
      </c>
      <c r="Z817" s="30"/>
      <c r="AA817" s="30"/>
      <c r="AB817" s="30"/>
      <c r="AC817" s="31"/>
      <c r="AD817" s="30"/>
      <c r="AE817" s="30"/>
      <c r="AF817" s="30"/>
      <c r="AG817" s="27" t="str">
        <f t="shared" si="1"/>
        <v>New Logo</v>
      </c>
      <c r="AH817" s="27" t="str">
        <f t="shared" si="5"/>
        <v>Churn</v>
      </c>
      <c r="AI817" s="27" t="str">
        <f t="shared" si="6"/>
        <v>0-200</v>
      </c>
      <c r="AJ817" s="27" t="str">
        <f t="shared" si="7"/>
        <v>0-20</v>
      </c>
    </row>
    <row r="818" ht="15.75" customHeight="1">
      <c r="A818" s="23">
        <f>HYPERLINK("https://app.hubspot.com/contacts/8748051/record/0-3/12090447128", 12090447128)</f>
        <v>12090447128</v>
      </c>
      <c r="B818" s="24" t="s">
        <v>2685</v>
      </c>
      <c r="C818" s="24" t="s">
        <v>50</v>
      </c>
      <c r="D818" s="25">
        <v>15000.0</v>
      </c>
      <c r="E818" s="24" t="s">
        <v>149</v>
      </c>
      <c r="F818" s="24" t="s">
        <v>52</v>
      </c>
      <c r="G818" s="26">
        <v>44966.61039351852</v>
      </c>
      <c r="H818" s="26">
        <v>45090.64857638889</v>
      </c>
      <c r="I818" s="24" t="s">
        <v>40</v>
      </c>
      <c r="J818" s="24" t="s">
        <v>41</v>
      </c>
      <c r="K818" s="27"/>
      <c r="L818" s="27"/>
      <c r="M818" s="24" t="s">
        <v>44</v>
      </c>
      <c r="N818" s="24"/>
      <c r="O818" s="24" t="s">
        <v>2686</v>
      </c>
      <c r="P818" s="24"/>
      <c r="Q818" s="24"/>
      <c r="R818" s="23">
        <f>HYPERLINK("https://app.hubspot.com/contacts/8748051/record/0-2/9685485496", 9685485496)</f>
        <v>9685485496</v>
      </c>
      <c r="S818" s="24" t="s">
        <v>2687</v>
      </c>
      <c r="T818" s="28" t="s">
        <v>2688</v>
      </c>
      <c r="U818" s="24" t="s">
        <v>47</v>
      </c>
      <c r="V818" s="24"/>
      <c r="W818" s="25"/>
      <c r="X818" s="29">
        <v>2294.0</v>
      </c>
      <c r="Y818" s="29">
        <v>417.0</v>
      </c>
      <c r="Z818" s="30" t="s">
        <v>456</v>
      </c>
      <c r="AA818" s="30"/>
      <c r="AB818" s="31"/>
      <c r="AC818" s="31"/>
      <c r="AD818" s="30"/>
      <c r="AE818" s="30"/>
      <c r="AF818" s="30"/>
      <c r="AG818" s="27" t="str">
        <f t="shared" si="1"/>
        <v>New Logo</v>
      </c>
      <c r="AH818" s="27" t="str">
        <f t="shared" si="5"/>
        <v>Lead</v>
      </c>
      <c r="AI818" s="27" t="str">
        <f t="shared" si="6"/>
        <v>1001-5000</v>
      </c>
      <c r="AJ818" s="27" t="str">
        <f t="shared" si="7"/>
        <v>101-500</v>
      </c>
    </row>
    <row r="819" ht="15.75" customHeight="1">
      <c r="A819" s="23">
        <f>HYPERLINK("https://app.hubspot.com/contacts/8748051/record/0-3/12083258192", 12083258192)</f>
        <v>12083258192</v>
      </c>
      <c r="B819" s="24" t="s">
        <v>2689</v>
      </c>
      <c r="C819" s="24" t="s">
        <v>148</v>
      </c>
      <c r="D819" s="25">
        <v>15000.0</v>
      </c>
      <c r="E819" s="24" t="s">
        <v>73</v>
      </c>
      <c r="F819" s="24" t="s">
        <v>52</v>
      </c>
      <c r="G819" s="26">
        <v>44966.24392361111</v>
      </c>
      <c r="H819" s="26">
        <v>45046.029386574075</v>
      </c>
      <c r="I819" s="24" t="s">
        <v>40</v>
      </c>
      <c r="J819" s="24" t="s">
        <v>53</v>
      </c>
      <c r="K819" s="27"/>
      <c r="L819" s="27"/>
      <c r="M819" s="24" t="s">
        <v>102</v>
      </c>
      <c r="N819" s="24"/>
      <c r="O819" s="24"/>
      <c r="P819" s="24" t="s">
        <v>122</v>
      </c>
      <c r="Q819" s="24"/>
      <c r="R819" s="23">
        <f>HYPERLINK("https://app.hubspot.com/contacts/8748051/record/0-2/30002651979", 30002651979)</f>
        <v>30002651979</v>
      </c>
      <c r="S819" s="24" t="s">
        <v>2690</v>
      </c>
      <c r="T819" s="28" t="s">
        <v>2691</v>
      </c>
      <c r="U819" s="24" t="s">
        <v>47</v>
      </c>
      <c r="V819" s="24"/>
      <c r="W819" s="25"/>
      <c r="X819" s="29">
        <v>1103.0</v>
      </c>
      <c r="Y819" s="29">
        <v>190.0</v>
      </c>
      <c r="Z819" s="30" t="s">
        <v>81</v>
      </c>
      <c r="AA819" s="31"/>
      <c r="AB819" s="31"/>
      <c r="AC819" s="31"/>
      <c r="AD819" s="31"/>
      <c r="AE819" s="31"/>
      <c r="AF819" s="31"/>
      <c r="AG819" s="27" t="str">
        <f t="shared" si="1"/>
        <v>New Logo</v>
      </c>
      <c r="AH819" s="27" t="str">
        <f t="shared" si="5"/>
        <v>Lead</v>
      </c>
      <c r="AI819" s="27" t="str">
        <f t="shared" si="6"/>
        <v>1001-5000</v>
      </c>
      <c r="AJ819" s="27" t="str">
        <f t="shared" si="7"/>
        <v>101-500</v>
      </c>
    </row>
    <row r="820" ht="15.75" customHeight="1">
      <c r="A820" s="23">
        <f>HYPERLINK("https://app.hubspot.com/contacts/8748051/record/0-3/12037674622", 12037674622)</f>
        <v>12037674622</v>
      </c>
      <c r="B820" s="24" t="s">
        <v>2692</v>
      </c>
      <c r="C820" s="24" t="s">
        <v>148</v>
      </c>
      <c r="D820" s="25">
        <v>25000.0</v>
      </c>
      <c r="E820" s="24" t="s">
        <v>127</v>
      </c>
      <c r="F820" s="24" t="s">
        <v>52</v>
      </c>
      <c r="G820" s="26">
        <v>44963.468136574076</v>
      </c>
      <c r="H820" s="26">
        <v>45016.46695601852</v>
      </c>
      <c r="I820" s="24" t="s">
        <v>40</v>
      </c>
      <c r="J820" s="24" t="s">
        <v>41</v>
      </c>
      <c r="K820" s="27"/>
      <c r="L820" s="27"/>
      <c r="M820" s="24" t="s">
        <v>44</v>
      </c>
      <c r="N820" s="24"/>
      <c r="O820" s="24"/>
      <c r="P820" s="27"/>
      <c r="Q820" s="24" t="s">
        <v>2552</v>
      </c>
      <c r="R820" s="23">
        <f>HYPERLINK("https://app.hubspot.com/contacts/8748051/record/0-2/10131985065", 10131985065)</f>
        <v>10131985065</v>
      </c>
      <c r="S820" s="24" t="s">
        <v>2693</v>
      </c>
      <c r="T820" s="28" t="s">
        <v>2694</v>
      </c>
      <c r="U820" s="24" t="s">
        <v>47</v>
      </c>
      <c r="V820" s="24"/>
      <c r="W820" s="25"/>
      <c r="X820" s="29">
        <v>314.0</v>
      </c>
      <c r="Y820" s="29">
        <v>67.0</v>
      </c>
      <c r="Z820" s="30" t="s">
        <v>64</v>
      </c>
      <c r="AA820" s="30"/>
      <c r="AB820" s="30"/>
      <c r="AC820" s="31"/>
      <c r="AD820" s="30"/>
      <c r="AE820" s="30"/>
      <c r="AF820" s="30"/>
      <c r="AG820" s="27" t="str">
        <f t="shared" si="1"/>
        <v>New Logo</v>
      </c>
      <c r="AH820" s="27" t="str">
        <f t="shared" si="5"/>
        <v>Lead</v>
      </c>
      <c r="AI820" s="27" t="str">
        <f t="shared" si="6"/>
        <v>201-500</v>
      </c>
      <c r="AJ820" s="27" t="str">
        <f t="shared" si="7"/>
        <v>51-100</v>
      </c>
    </row>
    <row r="821" ht="15.75" customHeight="1">
      <c r="A821" s="23">
        <f>HYPERLINK("https://app.hubspot.com/contacts/8748051/record/0-3/12003069527", 12003069527)</f>
        <v>12003069527</v>
      </c>
      <c r="B821" s="24" t="s">
        <v>2695</v>
      </c>
      <c r="C821" s="24" t="s">
        <v>50</v>
      </c>
      <c r="D821" s="25">
        <v>50000.0</v>
      </c>
      <c r="E821" s="24" t="s">
        <v>149</v>
      </c>
      <c r="F821" s="24"/>
      <c r="G821" s="26">
        <v>44960.41511574074</v>
      </c>
      <c r="H821" s="26">
        <v>45027.329884259256</v>
      </c>
      <c r="I821" s="24" t="s">
        <v>40</v>
      </c>
      <c r="J821" s="24" t="s">
        <v>41</v>
      </c>
      <c r="K821" s="27"/>
      <c r="L821" s="27"/>
      <c r="M821" s="24" t="s">
        <v>44</v>
      </c>
      <c r="N821" s="27"/>
      <c r="O821" s="24" t="s">
        <v>2696</v>
      </c>
      <c r="P821" s="27"/>
      <c r="Q821" s="24"/>
      <c r="R821" s="23">
        <f>HYPERLINK("https://app.hubspot.com/contacts/8748051/record/0-2/9748720698", 9748720698)</f>
        <v>9748720698</v>
      </c>
      <c r="S821" s="24" t="s">
        <v>2697</v>
      </c>
      <c r="T821" s="28" t="s">
        <v>2698</v>
      </c>
      <c r="U821" s="24" t="s">
        <v>47</v>
      </c>
      <c r="V821" s="24"/>
      <c r="W821" s="32"/>
      <c r="X821" s="29">
        <v>2952.0</v>
      </c>
      <c r="Y821" s="29">
        <v>602.0</v>
      </c>
      <c r="Z821" s="30" t="s">
        <v>2110</v>
      </c>
      <c r="AA821" s="31"/>
      <c r="AB821" s="31"/>
      <c r="AC821" s="31"/>
      <c r="AD821" s="31"/>
      <c r="AE821" s="31"/>
      <c r="AF821" s="31"/>
      <c r="AG821" s="27" t="str">
        <f t="shared" si="1"/>
        <v>New Logo</v>
      </c>
      <c r="AH821" s="27" t="str">
        <f t="shared" si="5"/>
        <v>Lead</v>
      </c>
      <c r="AI821" s="27" t="str">
        <f t="shared" si="6"/>
        <v>1001-5000</v>
      </c>
      <c r="AJ821" s="27" t="str">
        <f t="shared" si="7"/>
        <v>500+</v>
      </c>
    </row>
    <row r="822" ht="15.75" customHeight="1">
      <c r="A822" s="23">
        <f>HYPERLINK("https://app.hubspot.com/contacts/8748051/record/0-3/11691165567", 11691165567)</f>
        <v>11691165567</v>
      </c>
      <c r="B822" s="24" t="s">
        <v>2699</v>
      </c>
      <c r="C822" s="24" t="s">
        <v>1009</v>
      </c>
      <c r="D822" s="25">
        <v>15000.0</v>
      </c>
      <c r="E822" s="24" t="s">
        <v>127</v>
      </c>
      <c r="F822" s="24" t="s">
        <v>52</v>
      </c>
      <c r="G822" s="26">
        <v>44939.62699074074</v>
      </c>
      <c r="H822" s="26">
        <v>44957.62513888889</v>
      </c>
      <c r="I822" s="24" t="s">
        <v>40</v>
      </c>
      <c r="J822" s="24" t="s">
        <v>41</v>
      </c>
      <c r="K822" s="27"/>
      <c r="L822" s="27"/>
      <c r="M822" s="24" t="s">
        <v>44</v>
      </c>
      <c r="N822" s="24"/>
      <c r="O822" s="27"/>
      <c r="P822" s="27"/>
      <c r="Q822" s="24" t="s">
        <v>144</v>
      </c>
      <c r="R822" s="23">
        <f>HYPERLINK("https://app.hubspot.com/contacts/8748051/record/0-2/10735700844", 10735700844)</f>
        <v>10735700844</v>
      </c>
      <c r="S822" s="24" t="s">
        <v>2700</v>
      </c>
      <c r="T822" s="28" t="s">
        <v>2701</v>
      </c>
      <c r="U822" s="24" t="s">
        <v>47</v>
      </c>
      <c r="V822" s="24"/>
      <c r="W822" s="25"/>
      <c r="X822" s="29">
        <v>109.0</v>
      </c>
      <c r="Y822" s="29">
        <v>35.0</v>
      </c>
      <c r="Z822" s="30"/>
      <c r="AA822" s="31"/>
      <c r="AB822" s="31"/>
      <c r="AC822" s="31"/>
      <c r="AD822" s="31"/>
      <c r="AE822" s="31"/>
      <c r="AF822" s="31"/>
      <c r="AG822" s="27" t="str">
        <f t="shared" si="1"/>
        <v>New Logo</v>
      </c>
      <c r="AH822" s="27" t="str">
        <f t="shared" si="5"/>
        <v>Lead</v>
      </c>
      <c r="AI822" s="27" t="str">
        <f t="shared" si="6"/>
        <v>0-200</v>
      </c>
      <c r="AJ822" s="27" t="str">
        <f t="shared" si="7"/>
        <v>21-50</v>
      </c>
    </row>
    <row r="823" ht="15.75" customHeight="1">
      <c r="A823" s="23">
        <f>HYPERLINK("https://app.hubspot.com/contacts/8748051/record/0-3/11691162667", 11691162667)</f>
        <v>11691162667</v>
      </c>
      <c r="B823" s="24" t="s">
        <v>2702</v>
      </c>
      <c r="C823" s="24" t="s">
        <v>38</v>
      </c>
      <c r="D823" s="25">
        <v>20000.0</v>
      </c>
      <c r="E823" s="24" t="s">
        <v>127</v>
      </c>
      <c r="F823" s="24"/>
      <c r="G823" s="26">
        <v>44939.61015046296</v>
      </c>
      <c r="H823" s="26">
        <v>45077.60978009259</v>
      </c>
      <c r="I823" s="24" t="s">
        <v>40</v>
      </c>
      <c r="J823" s="24" t="s">
        <v>53</v>
      </c>
      <c r="K823" s="27"/>
      <c r="L823" s="27"/>
      <c r="M823" s="24" t="s">
        <v>44</v>
      </c>
      <c r="N823" s="24"/>
      <c r="O823" s="24"/>
      <c r="P823" s="27"/>
      <c r="Q823" s="24" t="s">
        <v>144</v>
      </c>
      <c r="R823" s="23">
        <f>HYPERLINK("https://app.hubspot.com/contacts/8748051/record/0-2/8196824334", 8196824334)</f>
        <v>8196824334</v>
      </c>
      <c r="S823" s="24" t="s">
        <v>1901</v>
      </c>
      <c r="T823" s="28" t="s">
        <v>1902</v>
      </c>
      <c r="U823" s="24" t="s">
        <v>47</v>
      </c>
      <c r="V823" s="24"/>
      <c r="W823" s="25"/>
      <c r="X823" s="29">
        <v>612.0</v>
      </c>
      <c r="Y823" s="29">
        <v>100.0</v>
      </c>
      <c r="Z823" s="30" t="s">
        <v>108</v>
      </c>
      <c r="AA823" s="30"/>
      <c r="AB823" s="31"/>
      <c r="AC823" s="31"/>
      <c r="AD823" s="30"/>
      <c r="AE823" s="30"/>
      <c r="AF823" s="30"/>
      <c r="AG823" s="27" t="str">
        <f t="shared" si="1"/>
        <v>New Logo</v>
      </c>
      <c r="AH823" s="27" t="str">
        <f t="shared" si="5"/>
        <v>Lead</v>
      </c>
      <c r="AI823" s="27" t="str">
        <f t="shared" si="6"/>
        <v>501-1000</v>
      </c>
      <c r="AJ823" s="27" t="str">
        <f t="shared" si="7"/>
        <v>51-100</v>
      </c>
    </row>
    <row r="824" ht="15.75" customHeight="1">
      <c r="A824" s="23">
        <f>HYPERLINK("https://app.hubspot.com/contacts/8748051/record/0-3/11593605293", 11593605293)</f>
        <v>11593605293</v>
      </c>
      <c r="B824" s="24" t="s">
        <v>2703</v>
      </c>
      <c r="C824" s="24" t="s">
        <v>50</v>
      </c>
      <c r="D824" s="25">
        <v>50000.0</v>
      </c>
      <c r="E824" s="24" t="s">
        <v>127</v>
      </c>
      <c r="F824" s="24"/>
      <c r="G824" s="26">
        <v>44931.53202546296</v>
      </c>
      <c r="H824" s="26">
        <v>45046.531539351854</v>
      </c>
      <c r="I824" s="24" t="s">
        <v>40</v>
      </c>
      <c r="J824" s="24" t="s">
        <v>53</v>
      </c>
      <c r="K824" s="27"/>
      <c r="L824" s="24"/>
      <c r="M824" s="24" t="s">
        <v>44</v>
      </c>
      <c r="N824" s="24"/>
      <c r="O824" s="24"/>
      <c r="P824" s="27"/>
      <c r="Q824" s="24" t="s">
        <v>144</v>
      </c>
      <c r="R824" s="23">
        <f>HYPERLINK("https://app.hubspot.com/contacts/8748051/record/0-2/9093323081", 9093323081)</f>
        <v>9093323081</v>
      </c>
      <c r="S824" s="24" t="s">
        <v>2704</v>
      </c>
      <c r="T824" s="28" t="s">
        <v>2705</v>
      </c>
      <c r="U824" s="24" t="s">
        <v>47</v>
      </c>
      <c r="V824" s="24"/>
      <c r="W824" s="25"/>
      <c r="X824" s="29">
        <v>985.0</v>
      </c>
      <c r="Y824" s="29">
        <v>240.0</v>
      </c>
      <c r="Z824" s="30" t="s">
        <v>71</v>
      </c>
      <c r="AA824" s="30"/>
      <c r="AB824" s="31"/>
      <c r="AC824" s="31"/>
      <c r="AD824" s="30"/>
      <c r="AE824" s="30"/>
      <c r="AF824" s="30"/>
      <c r="AG824" s="27" t="str">
        <f t="shared" si="1"/>
        <v>New Logo</v>
      </c>
      <c r="AH824" s="27" t="str">
        <f t="shared" si="5"/>
        <v>Lead</v>
      </c>
      <c r="AI824" s="27" t="str">
        <f t="shared" si="6"/>
        <v>501-1000</v>
      </c>
      <c r="AJ824" s="27" t="str">
        <f t="shared" si="7"/>
        <v>101-500</v>
      </c>
    </row>
    <row r="825" ht="15.75" customHeight="1">
      <c r="A825" s="23">
        <f>HYPERLINK("https://app.hubspot.com/contacts/8748051/record/0-3/11493057653", 11493057653)</f>
        <v>11493057653</v>
      </c>
      <c r="B825" s="24" t="s">
        <v>2706</v>
      </c>
      <c r="C825" s="24" t="s">
        <v>50</v>
      </c>
      <c r="D825" s="25">
        <v>40000.0</v>
      </c>
      <c r="E825" s="24" t="s">
        <v>149</v>
      </c>
      <c r="F825" s="24" t="s">
        <v>52</v>
      </c>
      <c r="G825" s="26">
        <v>44922.68953703704</v>
      </c>
      <c r="H825" s="26">
        <v>44966.46571759259</v>
      </c>
      <c r="I825" s="24" t="s">
        <v>40</v>
      </c>
      <c r="J825" s="24" t="s">
        <v>53</v>
      </c>
      <c r="K825" s="27"/>
      <c r="L825" s="27"/>
      <c r="M825" s="24" t="s">
        <v>44</v>
      </c>
      <c r="N825" s="24"/>
      <c r="O825" s="24" t="s">
        <v>2707</v>
      </c>
      <c r="P825" s="27"/>
      <c r="Q825" s="24"/>
      <c r="R825" s="23">
        <f>HYPERLINK("https://app.hubspot.com/contacts/8748051/record/0-2/8929926200", 8929926200)</f>
        <v>8929926200</v>
      </c>
      <c r="S825" s="24" t="s">
        <v>2708</v>
      </c>
      <c r="T825" s="28" t="s">
        <v>2709</v>
      </c>
      <c r="U825" s="24" t="s">
        <v>47</v>
      </c>
      <c r="V825" s="24"/>
      <c r="W825" s="25"/>
      <c r="X825" s="29">
        <v>320.0</v>
      </c>
      <c r="Y825" s="29">
        <v>40.0</v>
      </c>
      <c r="Z825" s="30"/>
      <c r="AA825" s="30"/>
      <c r="AB825" s="31"/>
      <c r="AC825" s="31"/>
      <c r="AD825" s="30"/>
      <c r="AE825" s="30"/>
      <c r="AF825" s="30"/>
      <c r="AG825" s="27" t="str">
        <f t="shared" si="1"/>
        <v>New Logo</v>
      </c>
      <c r="AH825" s="27" t="str">
        <f t="shared" si="5"/>
        <v>Lead</v>
      </c>
      <c r="AI825" s="27" t="str">
        <f t="shared" si="6"/>
        <v>201-500</v>
      </c>
      <c r="AJ825" s="27" t="str">
        <f t="shared" si="7"/>
        <v>21-50</v>
      </c>
    </row>
    <row r="826" ht="15.75" customHeight="1">
      <c r="A826" s="23">
        <f>HYPERLINK("https://app.hubspot.com/contacts/8748051/record/0-3/11318701656", 11318701656)</f>
        <v>11318701656</v>
      </c>
      <c r="B826" s="24" t="s">
        <v>2710</v>
      </c>
      <c r="C826" s="24" t="s">
        <v>2305</v>
      </c>
      <c r="D826" s="25">
        <v>62100.0</v>
      </c>
      <c r="E826" s="24" t="s">
        <v>92</v>
      </c>
      <c r="F826" s="24" t="s">
        <v>52</v>
      </c>
      <c r="G826" s="26">
        <v>44907.434699074074</v>
      </c>
      <c r="H826" s="26">
        <v>44937.37253472222</v>
      </c>
      <c r="I826" s="24" t="s">
        <v>40</v>
      </c>
      <c r="J826" s="24" t="s">
        <v>53</v>
      </c>
      <c r="K826" s="27"/>
      <c r="L826" s="24"/>
      <c r="M826" s="24" t="s">
        <v>44</v>
      </c>
      <c r="N826" s="24" t="s">
        <v>2711</v>
      </c>
      <c r="O826" s="24"/>
      <c r="P826" s="24"/>
      <c r="Q826" s="24"/>
      <c r="R826" s="23">
        <f>HYPERLINK("https://app.hubspot.com/contacts/8748051/record/0-2/10228278794", 10228278794)</f>
        <v>10228278794</v>
      </c>
      <c r="S826" s="24" t="s">
        <v>1172</v>
      </c>
      <c r="T826" s="28" t="s">
        <v>1173</v>
      </c>
      <c r="U826" s="24">
        <v>3.4564763E7</v>
      </c>
      <c r="V826" s="35">
        <v>46030.0</v>
      </c>
      <c r="W826" s="25">
        <v>81180.0</v>
      </c>
      <c r="X826" s="29">
        <v>274.0</v>
      </c>
      <c r="Y826" s="29">
        <v>49.0</v>
      </c>
      <c r="Z826" s="30"/>
      <c r="AA826" s="30"/>
      <c r="AB826" s="31"/>
      <c r="AC826" s="30"/>
      <c r="AD826" s="30"/>
      <c r="AE826" s="30"/>
      <c r="AF826" s="30"/>
      <c r="AG826" s="27" t="str">
        <f t="shared" si="1"/>
        <v>New Logo</v>
      </c>
      <c r="AH826" s="27" t="str">
        <f t="shared" si="5"/>
        <v>Churn</v>
      </c>
      <c r="AI826" s="27" t="str">
        <f t="shared" si="6"/>
        <v>201-500</v>
      </c>
      <c r="AJ826" s="27" t="str">
        <f t="shared" si="7"/>
        <v>21-50</v>
      </c>
    </row>
    <row r="827" ht="15.75" customHeight="1">
      <c r="A827" s="23">
        <f>HYPERLINK("https://app.hubspot.com/contacts/8748051/record/0-3/11318663327", 11318663327)</f>
        <v>11318663327</v>
      </c>
      <c r="B827" s="24" t="s">
        <v>2712</v>
      </c>
      <c r="C827" s="24" t="s">
        <v>1009</v>
      </c>
      <c r="D827" s="25">
        <v>8000.0</v>
      </c>
      <c r="E827" s="24" t="s">
        <v>127</v>
      </c>
      <c r="F827" s="24" t="s">
        <v>52</v>
      </c>
      <c r="G827" s="26">
        <v>44907.42244212963</v>
      </c>
      <c r="H827" s="26">
        <v>45230.412407407406</v>
      </c>
      <c r="I827" s="24" t="s">
        <v>40</v>
      </c>
      <c r="J827" s="24" t="s">
        <v>41</v>
      </c>
      <c r="K827" s="24"/>
      <c r="L827" s="24"/>
      <c r="M827" s="24" t="s">
        <v>74</v>
      </c>
      <c r="N827" s="24"/>
      <c r="O827" s="24"/>
      <c r="P827" s="27"/>
      <c r="Q827" s="24" t="s">
        <v>772</v>
      </c>
      <c r="R827" s="23">
        <f>HYPERLINK("https://app.hubspot.com/contacts/8748051/record/0-2/9238333748", 9238333748)</f>
        <v>9238333748</v>
      </c>
      <c r="S827" s="24" t="s">
        <v>2713</v>
      </c>
      <c r="T827" s="28" t="s">
        <v>2714</v>
      </c>
      <c r="U827" s="24" t="s">
        <v>47</v>
      </c>
      <c r="V827" s="24"/>
      <c r="W827" s="25"/>
      <c r="X827" s="29">
        <v>119.0</v>
      </c>
      <c r="Y827" s="29">
        <v>17.0</v>
      </c>
      <c r="Z827" s="30"/>
      <c r="AA827" s="30"/>
      <c r="AB827" s="31"/>
      <c r="AC827" s="31"/>
      <c r="AD827" s="30"/>
      <c r="AE827" s="31"/>
      <c r="AF827" s="30"/>
      <c r="AG827" s="27" t="str">
        <f t="shared" si="1"/>
        <v>New Logo</v>
      </c>
      <c r="AH827" s="27" t="str">
        <f t="shared" si="5"/>
        <v>Lead</v>
      </c>
      <c r="AI827" s="27" t="str">
        <f t="shared" si="6"/>
        <v>0-200</v>
      </c>
      <c r="AJ827" s="27" t="str">
        <f t="shared" si="7"/>
        <v>0-20</v>
      </c>
    </row>
    <row r="828" ht="15.75" customHeight="1">
      <c r="A828" s="23">
        <f>HYPERLINK("https://app.hubspot.com/contacts/8748051/record/0-3/11282170026", 11282170026)</f>
        <v>11282170026</v>
      </c>
      <c r="B828" s="24" t="s">
        <v>2715</v>
      </c>
      <c r="C828" s="24" t="s">
        <v>1009</v>
      </c>
      <c r="D828" s="25">
        <v>45000.0</v>
      </c>
      <c r="E828" s="24" t="s">
        <v>127</v>
      </c>
      <c r="F828" s="24" t="s">
        <v>52</v>
      </c>
      <c r="G828" s="26">
        <v>44904.12777777778</v>
      </c>
      <c r="H828" s="26">
        <v>45016.168541666666</v>
      </c>
      <c r="I828" s="24" t="s">
        <v>40</v>
      </c>
      <c r="J828" s="24" t="s">
        <v>53</v>
      </c>
      <c r="K828" s="27"/>
      <c r="L828" s="27"/>
      <c r="M828" s="24" t="s">
        <v>102</v>
      </c>
      <c r="N828" s="27"/>
      <c r="O828" s="24"/>
      <c r="P828" s="24"/>
      <c r="Q828" s="24" t="s">
        <v>144</v>
      </c>
      <c r="R828" s="23">
        <f>HYPERLINK("https://app.hubspot.com/contacts/8748051/record/0-2/7786751651", 7786751651)</f>
        <v>7786751651</v>
      </c>
      <c r="S828" s="24" t="s">
        <v>1921</v>
      </c>
      <c r="T828" s="28" t="s">
        <v>1922</v>
      </c>
      <c r="U828" s="24" t="s">
        <v>47</v>
      </c>
      <c r="V828" s="24"/>
      <c r="W828" s="32"/>
      <c r="X828" s="29">
        <v>1827.0</v>
      </c>
      <c r="Y828" s="29">
        <v>378.0</v>
      </c>
      <c r="Z828" s="30" t="s">
        <v>81</v>
      </c>
      <c r="AA828" s="31"/>
      <c r="AB828" s="31"/>
      <c r="AC828" s="31"/>
      <c r="AD828" s="31"/>
      <c r="AE828" s="31"/>
      <c r="AF828" s="31"/>
      <c r="AG828" s="27" t="str">
        <f t="shared" si="1"/>
        <v>New Logo</v>
      </c>
      <c r="AH828" s="27" t="str">
        <f t="shared" si="5"/>
        <v>Lead</v>
      </c>
      <c r="AI828" s="27" t="str">
        <f t="shared" si="6"/>
        <v>1001-5000</v>
      </c>
      <c r="AJ828" s="27" t="str">
        <f t="shared" si="7"/>
        <v>101-500</v>
      </c>
    </row>
    <row r="829" ht="15.75" customHeight="1">
      <c r="A829" s="23">
        <f>HYPERLINK("https://app.hubspot.com/contacts/8748051/record/0-3/11277545078", 11277545078)</f>
        <v>11277545078</v>
      </c>
      <c r="B829" s="24" t="s">
        <v>2716</v>
      </c>
      <c r="C829" s="24" t="s">
        <v>1009</v>
      </c>
      <c r="D829" s="25">
        <v>9000.0</v>
      </c>
      <c r="E829" s="24" t="s">
        <v>127</v>
      </c>
      <c r="F829" s="24" t="s">
        <v>52</v>
      </c>
      <c r="G829" s="26">
        <v>44904.00570601852</v>
      </c>
      <c r="H829" s="26">
        <v>45016.023993055554</v>
      </c>
      <c r="I829" s="24" t="s">
        <v>40</v>
      </c>
      <c r="J829" s="24" t="s">
        <v>53</v>
      </c>
      <c r="K829" s="24"/>
      <c r="L829" s="24"/>
      <c r="M829" s="24" t="s">
        <v>74</v>
      </c>
      <c r="N829" s="24"/>
      <c r="O829" s="24"/>
      <c r="P829" s="27"/>
      <c r="Q829" s="24" t="s">
        <v>144</v>
      </c>
      <c r="R829" s="23">
        <f>HYPERLINK("https://app.hubspot.com/contacts/8748051/record/0-2/10266662914", 10266662914)</f>
        <v>10266662914</v>
      </c>
      <c r="S829" s="24" t="s">
        <v>2717</v>
      </c>
      <c r="T829" s="28" t="s">
        <v>2718</v>
      </c>
      <c r="U829" s="24" t="s">
        <v>47</v>
      </c>
      <c r="V829" s="24"/>
      <c r="W829" s="25"/>
      <c r="X829" s="29">
        <v>139.0</v>
      </c>
      <c r="Y829" s="29">
        <v>3.0</v>
      </c>
      <c r="Z829" s="30"/>
      <c r="AA829" s="30"/>
      <c r="AB829" s="31"/>
      <c r="AC829" s="31"/>
      <c r="AD829" s="30"/>
      <c r="AE829" s="31"/>
      <c r="AF829" s="30"/>
      <c r="AG829" s="27" t="str">
        <f t="shared" si="1"/>
        <v>New Logo</v>
      </c>
      <c r="AH829" s="27" t="str">
        <f t="shared" si="5"/>
        <v>Lead</v>
      </c>
      <c r="AI829" s="27" t="str">
        <f t="shared" si="6"/>
        <v>0-200</v>
      </c>
      <c r="AJ829" s="27" t="str">
        <f t="shared" si="7"/>
        <v>0-20</v>
      </c>
    </row>
    <row r="830" ht="15.75" customHeight="1">
      <c r="A830" s="23">
        <f>HYPERLINK("https://app.hubspot.com/contacts/8748051/record/0-3/11277650784", 11277650784)</f>
        <v>11277650784</v>
      </c>
      <c r="B830" s="24" t="s">
        <v>2719</v>
      </c>
      <c r="C830" s="24" t="s">
        <v>50</v>
      </c>
      <c r="D830" s="25">
        <v>15000.0</v>
      </c>
      <c r="E830" s="24" t="s">
        <v>127</v>
      </c>
      <c r="F830" s="24" t="s">
        <v>52</v>
      </c>
      <c r="G830" s="26">
        <v>44904.00403935185</v>
      </c>
      <c r="H830" s="26">
        <v>45291.45725694444</v>
      </c>
      <c r="I830" s="24" t="s">
        <v>40</v>
      </c>
      <c r="J830" s="24" t="s">
        <v>53</v>
      </c>
      <c r="K830" s="27"/>
      <c r="L830" s="27"/>
      <c r="M830" s="24" t="s">
        <v>102</v>
      </c>
      <c r="N830" s="24"/>
      <c r="O830" s="24"/>
      <c r="P830" s="27"/>
      <c r="Q830" s="24" t="s">
        <v>128</v>
      </c>
      <c r="R830" s="23">
        <f>HYPERLINK("https://app.hubspot.com/contacts/8748051/record/0-2/10242262171", 10242262171)</f>
        <v>10242262171</v>
      </c>
      <c r="S830" s="24" t="s">
        <v>2720</v>
      </c>
      <c r="T830" s="28" t="s">
        <v>2721</v>
      </c>
      <c r="U830" s="24" t="s">
        <v>47</v>
      </c>
      <c r="V830" s="24"/>
      <c r="W830" s="25"/>
      <c r="X830" s="29">
        <v>4481.0</v>
      </c>
      <c r="Y830" s="29">
        <v>119.0</v>
      </c>
      <c r="Z830" s="30"/>
      <c r="AA830" s="30"/>
      <c r="AB830" s="31"/>
      <c r="AC830" s="31"/>
      <c r="AD830" s="30"/>
      <c r="AE830" s="30"/>
      <c r="AF830" s="30"/>
      <c r="AG830" s="27" t="str">
        <f t="shared" si="1"/>
        <v>New Logo</v>
      </c>
      <c r="AH830" s="27" t="str">
        <f t="shared" si="5"/>
        <v>Lead</v>
      </c>
      <c r="AI830" s="27" t="str">
        <f t="shared" si="6"/>
        <v>1001-5000</v>
      </c>
      <c r="AJ830" s="27" t="str">
        <f t="shared" si="7"/>
        <v>101-500</v>
      </c>
    </row>
    <row r="831" ht="15.75" customHeight="1">
      <c r="A831" s="23">
        <f>HYPERLINK("https://app.hubspot.com/contacts/8748051/record/0-3/11126269023", 11126269023)</f>
        <v>11126269023</v>
      </c>
      <c r="B831" s="24" t="s">
        <v>2722</v>
      </c>
      <c r="C831" s="24" t="s">
        <v>2305</v>
      </c>
      <c r="D831" s="25">
        <v>60000.0</v>
      </c>
      <c r="E831" s="24" t="s">
        <v>92</v>
      </c>
      <c r="F831" s="24" t="s">
        <v>52</v>
      </c>
      <c r="G831" s="26">
        <v>44893.383043981485</v>
      </c>
      <c r="H831" s="26">
        <v>45134.51627314815</v>
      </c>
      <c r="I831" s="24" t="s">
        <v>40</v>
      </c>
      <c r="J831" s="24" t="s">
        <v>53</v>
      </c>
      <c r="K831" s="24"/>
      <c r="L831" s="24"/>
      <c r="M831" s="24" t="s">
        <v>44</v>
      </c>
      <c r="N831" s="24" t="s">
        <v>2723</v>
      </c>
      <c r="O831" s="27"/>
      <c r="P831" s="24"/>
      <c r="Q831" s="24"/>
      <c r="R831" s="23">
        <f>HYPERLINK("https://app.hubspot.com/contacts/8748051/record/0-2/8865410631", 8865410631)</f>
        <v>8865410631</v>
      </c>
      <c r="S831" s="24" t="s">
        <v>2724</v>
      </c>
      <c r="T831" s="28" t="s">
        <v>2725</v>
      </c>
      <c r="U831" s="24">
        <v>3.4564763E7</v>
      </c>
      <c r="V831" s="35">
        <v>45499.0</v>
      </c>
      <c r="W831" s="25">
        <v>60000.0</v>
      </c>
      <c r="X831" s="29">
        <v>314.0</v>
      </c>
      <c r="Y831" s="29">
        <v>19.0</v>
      </c>
      <c r="Z831" s="30"/>
      <c r="AA831" s="30"/>
      <c r="AB831" s="31"/>
      <c r="AC831" s="30"/>
      <c r="AD831" s="30"/>
      <c r="AE831" s="30"/>
      <c r="AF831" s="30"/>
      <c r="AG831" s="27" t="str">
        <f t="shared" si="1"/>
        <v>New Logo</v>
      </c>
      <c r="AH831" s="27" t="str">
        <f t="shared" si="5"/>
        <v>Churn</v>
      </c>
      <c r="AI831" s="27" t="str">
        <f t="shared" si="6"/>
        <v>201-500</v>
      </c>
      <c r="AJ831" s="27" t="str">
        <f t="shared" si="7"/>
        <v>0-20</v>
      </c>
    </row>
    <row r="832" ht="15.75" customHeight="1">
      <c r="A832" s="23">
        <f>HYPERLINK("https://app.hubspot.com/contacts/8748051/record/0-3/11126268723", 11126268723)</f>
        <v>11126268723</v>
      </c>
      <c r="B832" s="24" t="s">
        <v>2726</v>
      </c>
      <c r="C832" s="24" t="s">
        <v>148</v>
      </c>
      <c r="D832" s="25">
        <v>10000.0</v>
      </c>
      <c r="E832" s="24" t="s">
        <v>149</v>
      </c>
      <c r="F832" s="24"/>
      <c r="G832" s="26">
        <v>44893.38167824074</v>
      </c>
      <c r="H832" s="26">
        <v>45145.369791666664</v>
      </c>
      <c r="I832" s="24" t="s">
        <v>40</v>
      </c>
      <c r="J832" s="24" t="s">
        <v>41</v>
      </c>
      <c r="K832" s="27"/>
      <c r="L832" s="27"/>
      <c r="M832" s="24" t="s">
        <v>44</v>
      </c>
      <c r="N832" s="24"/>
      <c r="O832" s="24" t="s">
        <v>2727</v>
      </c>
      <c r="P832" s="27"/>
      <c r="Q832" s="24"/>
      <c r="R832" s="23">
        <f>HYPERLINK("https://app.hubspot.com/contacts/8748051/record/0-2/8138011789", 8138011789)</f>
        <v>8138011789</v>
      </c>
      <c r="S832" s="24" t="s">
        <v>2728</v>
      </c>
      <c r="T832" s="28" t="s">
        <v>2729</v>
      </c>
      <c r="U832" s="24" t="s">
        <v>47</v>
      </c>
      <c r="V832" s="24"/>
      <c r="W832" s="25"/>
      <c r="X832" s="29">
        <v>118.0</v>
      </c>
      <c r="Y832" s="29">
        <v>15.0</v>
      </c>
      <c r="Z832" s="30"/>
      <c r="AA832" s="30"/>
      <c r="AB832" s="31"/>
      <c r="AC832" s="31"/>
      <c r="AD832" s="30"/>
      <c r="AE832" s="30"/>
      <c r="AF832" s="30"/>
      <c r="AG832" s="27" t="str">
        <f t="shared" si="1"/>
        <v>New Logo</v>
      </c>
      <c r="AH832" s="27" t="str">
        <f t="shared" si="5"/>
        <v>Lead</v>
      </c>
      <c r="AI832" s="27" t="str">
        <f t="shared" si="6"/>
        <v>0-200</v>
      </c>
      <c r="AJ832" s="27" t="str">
        <f t="shared" si="7"/>
        <v>0-20</v>
      </c>
    </row>
    <row r="833" ht="15.75" customHeight="1">
      <c r="A833" s="23">
        <f>HYPERLINK("https://app.hubspot.com/contacts/8748051/record/0-3/13265319806", 13265319806)</f>
        <v>13265319806</v>
      </c>
      <c r="B833" s="24" t="s">
        <v>2730</v>
      </c>
      <c r="C833" s="24" t="s">
        <v>2305</v>
      </c>
      <c r="D833" s="25">
        <v>19000.0</v>
      </c>
      <c r="E833" s="24" t="s">
        <v>92</v>
      </c>
      <c r="F833" s="24" t="s">
        <v>52</v>
      </c>
      <c r="G833" s="26">
        <v>44886.68201388889</v>
      </c>
      <c r="H833" s="26">
        <v>44918.328668981485</v>
      </c>
      <c r="I833" s="24" t="s">
        <v>40</v>
      </c>
      <c r="J833" s="24" t="s">
        <v>41</v>
      </c>
      <c r="K833" s="27"/>
      <c r="L833" s="27"/>
      <c r="M833" s="24" t="s">
        <v>44</v>
      </c>
      <c r="N833" s="24" t="s">
        <v>2731</v>
      </c>
      <c r="O833" s="24"/>
      <c r="P833" s="24"/>
      <c r="Q833" s="24"/>
      <c r="R833" s="23">
        <f>HYPERLINK("https://app.hubspot.com/contacts/8748051/record/0-2/10013265046", 10013265046)</f>
        <v>10013265046</v>
      </c>
      <c r="S833" s="24" t="s">
        <v>471</v>
      </c>
      <c r="T833" s="28" t="s">
        <v>472</v>
      </c>
      <c r="U833" s="24" t="s">
        <v>96</v>
      </c>
      <c r="V833" s="24"/>
      <c r="W833" s="25">
        <v>40000.0</v>
      </c>
      <c r="X833" s="29">
        <v>588.0</v>
      </c>
      <c r="Y833" s="29">
        <v>142.0</v>
      </c>
      <c r="Z833" s="30"/>
      <c r="AA833" s="30" t="s">
        <v>220</v>
      </c>
      <c r="AB833" s="31"/>
      <c r="AC833" s="31"/>
      <c r="AD833" s="30" t="s">
        <v>473</v>
      </c>
      <c r="AE833" s="30" t="s">
        <v>474</v>
      </c>
      <c r="AF833" s="30" t="s">
        <v>169</v>
      </c>
      <c r="AG833" s="27" t="str">
        <f t="shared" si="1"/>
        <v>New Logo</v>
      </c>
      <c r="AH833" s="27" t="str">
        <f t="shared" si="5"/>
        <v>Customer</v>
      </c>
      <c r="AI833" s="27" t="str">
        <f t="shared" si="6"/>
        <v>501-1000</v>
      </c>
      <c r="AJ833" s="27" t="str">
        <f t="shared" si="7"/>
        <v>101-500</v>
      </c>
    </row>
    <row r="834" ht="15.75" customHeight="1">
      <c r="A834" s="23">
        <f>HYPERLINK("https://app.hubspot.com/contacts/8748051/record/0-3/11032121970", 11032121970)</f>
        <v>11032121970</v>
      </c>
      <c r="B834" s="24" t="s">
        <v>2732</v>
      </c>
      <c r="C834" s="24" t="s">
        <v>2305</v>
      </c>
      <c r="D834" s="25">
        <v>25000.0</v>
      </c>
      <c r="E834" s="24" t="s">
        <v>92</v>
      </c>
      <c r="F834" s="24" t="s">
        <v>52</v>
      </c>
      <c r="G834" s="26">
        <v>44886.67989583333</v>
      </c>
      <c r="H834" s="26">
        <v>45198.43188657407</v>
      </c>
      <c r="I834" s="24" t="s">
        <v>40</v>
      </c>
      <c r="J834" s="24" t="s">
        <v>41</v>
      </c>
      <c r="K834" s="24"/>
      <c r="L834" s="24"/>
      <c r="M834" s="24" t="s">
        <v>44</v>
      </c>
      <c r="N834" s="24" t="s">
        <v>2733</v>
      </c>
      <c r="O834" s="24"/>
      <c r="P834" s="24"/>
      <c r="Q834" s="24"/>
      <c r="R834" s="23">
        <f>HYPERLINK("https://app.hubspot.com/contacts/8748051/record/0-2/7480085895", 7480085895)</f>
        <v>7480085895</v>
      </c>
      <c r="S834" s="24" t="s">
        <v>711</v>
      </c>
      <c r="T834" s="28" t="s">
        <v>712</v>
      </c>
      <c r="U834" s="24" t="s">
        <v>96</v>
      </c>
      <c r="V834" s="24"/>
      <c r="W834" s="25">
        <v>40000.0</v>
      </c>
      <c r="X834" s="29">
        <v>535.0</v>
      </c>
      <c r="Y834" s="29">
        <v>184.0</v>
      </c>
      <c r="Z834" s="30"/>
      <c r="AA834" s="30" t="s">
        <v>207</v>
      </c>
      <c r="AB834" s="30"/>
      <c r="AC834" s="31"/>
      <c r="AD834" s="30" t="s">
        <v>713</v>
      </c>
      <c r="AE834" s="30"/>
      <c r="AF834" s="30" t="s">
        <v>529</v>
      </c>
      <c r="AG834" s="27" t="str">
        <f t="shared" si="1"/>
        <v>New Logo</v>
      </c>
      <c r="AH834" s="27" t="str">
        <f t="shared" si="5"/>
        <v>Customer</v>
      </c>
      <c r="AI834" s="27" t="str">
        <f t="shared" si="6"/>
        <v>501-1000</v>
      </c>
      <c r="AJ834" s="27" t="str">
        <f t="shared" si="7"/>
        <v>101-500</v>
      </c>
    </row>
    <row r="835" ht="15.75" customHeight="1">
      <c r="A835" s="23">
        <f>HYPERLINK("https://app.hubspot.com/contacts/8748051/record/0-3/10925152141", 10925152141)</f>
        <v>10925152141</v>
      </c>
      <c r="B835" s="24" t="s">
        <v>2734</v>
      </c>
      <c r="C835" s="24" t="s">
        <v>38</v>
      </c>
      <c r="D835" s="25">
        <v>8000.0</v>
      </c>
      <c r="E835" s="24" t="s">
        <v>73</v>
      </c>
      <c r="F835" s="24" t="s">
        <v>52</v>
      </c>
      <c r="G835" s="26">
        <v>44879.022986111115</v>
      </c>
      <c r="H835" s="26">
        <v>45077.49974537037</v>
      </c>
      <c r="I835" s="24" t="s">
        <v>40</v>
      </c>
      <c r="J835" s="24" t="s">
        <v>41</v>
      </c>
      <c r="K835" s="24"/>
      <c r="L835" s="24"/>
      <c r="M835" s="24" t="s">
        <v>102</v>
      </c>
      <c r="N835" s="24"/>
      <c r="O835" s="24"/>
      <c r="P835" s="24" t="s">
        <v>213</v>
      </c>
      <c r="Q835" s="24"/>
      <c r="R835" s="23">
        <f>HYPERLINK("https://app.hubspot.com/contacts/8748051/record/0-2/32721374641", 32721374641)</f>
        <v>32721374641</v>
      </c>
      <c r="S835" s="24" t="s">
        <v>2735</v>
      </c>
      <c r="T835" s="28" t="s">
        <v>2736</v>
      </c>
      <c r="U835" s="24" t="s">
        <v>47</v>
      </c>
      <c r="V835" s="24"/>
      <c r="W835" s="25"/>
      <c r="X835" s="29">
        <v>269.0</v>
      </c>
      <c r="Y835" s="29">
        <v>22.0</v>
      </c>
      <c r="Z835" s="30"/>
      <c r="AA835" s="30"/>
      <c r="AB835" s="31"/>
      <c r="AC835" s="31"/>
      <c r="AD835" s="30"/>
      <c r="AE835" s="31"/>
      <c r="AF835" s="30"/>
      <c r="AG835" s="27" t="str">
        <f t="shared" si="1"/>
        <v>New Logo</v>
      </c>
      <c r="AH835" s="27" t="str">
        <f t="shared" si="5"/>
        <v>Lead</v>
      </c>
      <c r="AI835" s="27" t="str">
        <f t="shared" si="6"/>
        <v>201-500</v>
      </c>
      <c r="AJ835" s="27" t="str">
        <f t="shared" si="7"/>
        <v>21-50</v>
      </c>
    </row>
    <row r="836" ht="15.75" customHeight="1">
      <c r="A836" s="23">
        <f>HYPERLINK("https://app.hubspot.com/contacts/8748051/record/0-3/10925140224", 10925140224)</f>
        <v>10925140224</v>
      </c>
      <c r="B836" s="24" t="s">
        <v>2737</v>
      </c>
      <c r="C836" s="24" t="s">
        <v>1228</v>
      </c>
      <c r="D836" s="25">
        <v>95040.0</v>
      </c>
      <c r="E836" s="24" t="s">
        <v>92</v>
      </c>
      <c r="F836" s="24" t="s">
        <v>52</v>
      </c>
      <c r="G836" s="26">
        <v>44879.02122685185</v>
      </c>
      <c r="H836" s="26">
        <v>45516.486122685186</v>
      </c>
      <c r="I836" s="24" t="s">
        <v>40</v>
      </c>
      <c r="J836" s="24" t="s">
        <v>53</v>
      </c>
      <c r="K836" s="24" t="s">
        <v>60</v>
      </c>
      <c r="L836" s="24" t="s">
        <v>449</v>
      </c>
      <c r="M836" s="24" t="s">
        <v>102</v>
      </c>
      <c r="N836" s="24" t="s">
        <v>2738</v>
      </c>
      <c r="O836" s="24"/>
      <c r="P836" s="27"/>
      <c r="Q836" s="24"/>
      <c r="R836" s="23">
        <f>HYPERLINK("https://app.hubspot.com/contacts/8748051/record/0-2/8724369215", 8724369215)</f>
        <v>8724369215</v>
      </c>
      <c r="S836" s="24" t="s">
        <v>2739</v>
      </c>
      <c r="T836" s="28" t="s">
        <v>2740</v>
      </c>
      <c r="U836" s="24" t="s">
        <v>96</v>
      </c>
      <c r="V836" s="24"/>
      <c r="W836" s="25">
        <v>95040.0</v>
      </c>
      <c r="X836" s="29">
        <v>4522.0</v>
      </c>
      <c r="Y836" s="29">
        <v>203.0</v>
      </c>
      <c r="Z836" s="30"/>
      <c r="AA836" s="30" t="s">
        <v>166</v>
      </c>
      <c r="AB836" s="30"/>
      <c r="AC836" s="31"/>
      <c r="AD836" s="30" t="s">
        <v>2741</v>
      </c>
      <c r="AE836" s="30"/>
      <c r="AF836" s="30" t="s">
        <v>169</v>
      </c>
      <c r="AG836" s="27" t="str">
        <f t="shared" si="1"/>
        <v>New Logo</v>
      </c>
      <c r="AH836" s="27" t="str">
        <f t="shared" si="5"/>
        <v>Customer</v>
      </c>
      <c r="AI836" s="27" t="str">
        <f t="shared" si="6"/>
        <v>1001-5000</v>
      </c>
      <c r="AJ836" s="27" t="str">
        <f t="shared" si="7"/>
        <v>101-500</v>
      </c>
    </row>
    <row r="837" ht="15.75" customHeight="1">
      <c r="A837" s="23">
        <f>HYPERLINK("https://app.hubspot.com/contacts/8748051/record/0-3/10750772853", 10750772853)</f>
        <v>10750772853</v>
      </c>
      <c r="B837" s="24" t="s">
        <v>2742</v>
      </c>
      <c r="C837" s="24" t="s">
        <v>1009</v>
      </c>
      <c r="D837" s="25">
        <v>25000.0</v>
      </c>
      <c r="E837" s="24" t="s">
        <v>127</v>
      </c>
      <c r="F837" s="24" t="s">
        <v>52</v>
      </c>
      <c r="G837" s="26">
        <v>44865.302708333336</v>
      </c>
      <c r="H837" s="26">
        <v>45291.495671296296</v>
      </c>
      <c r="I837" s="24" t="s">
        <v>40</v>
      </c>
      <c r="J837" s="24" t="s">
        <v>53</v>
      </c>
      <c r="K837" s="27"/>
      <c r="L837" s="27"/>
      <c r="M837" s="24" t="s">
        <v>102</v>
      </c>
      <c r="N837" s="24"/>
      <c r="O837" s="24"/>
      <c r="P837" s="27"/>
      <c r="Q837" s="24" t="s">
        <v>128</v>
      </c>
      <c r="R837" s="23">
        <f>HYPERLINK("https://app.hubspot.com/contacts/8748051/record/0-2/9673925377", 9673925377)</f>
        <v>9673925377</v>
      </c>
      <c r="S837" s="24" t="s">
        <v>2743</v>
      </c>
      <c r="T837" s="28" t="s">
        <v>2744</v>
      </c>
      <c r="U837" s="24" t="s">
        <v>47</v>
      </c>
      <c r="V837" s="24"/>
      <c r="W837" s="25"/>
      <c r="X837" s="29">
        <v>3728.0</v>
      </c>
      <c r="Y837" s="29">
        <v>58.0</v>
      </c>
      <c r="Z837" s="30"/>
      <c r="AA837" s="31"/>
      <c r="AB837" s="31"/>
      <c r="AC837" s="31"/>
      <c r="AD837" s="31"/>
      <c r="AE837" s="31"/>
      <c r="AF837" s="31"/>
      <c r="AG837" s="27" t="str">
        <f t="shared" si="1"/>
        <v>New Logo</v>
      </c>
      <c r="AH837" s="27" t="str">
        <f t="shared" si="5"/>
        <v>Lead</v>
      </c>
      <c r="AI837" s="27" t="str">
        <f t="shared" si="6"/>
        <v>1001-5000</v>
      </c>
      <c r="AJ837" s="27" t="str">
        <f t="shared" si="7"/>
        <v>51-100</v>
      </c>
    </row>
    <row r="838" ht="15.75" customHeight="1">
      <c r="A838" s="23">
        <f>HYPERLINK("https://app.hubspot.com/contacts/8748051/record/0-3/10722357548", 10722357548)</f>
        <v>10722357548</v>
      </c>
      <c r="B838" s="24" t="s">
        <v>2745</v>
      </c>
      <c r="C838" s="24" t="s">
        <v>1009</v>
      </c>
      <c r="D838" s="25">
        <v>35000.0</v>
      </c>
      <c r="E838" s="24" t="s">
        <v>149</v>
      </c>
      <c r="F838" s="24" t="s">
        <v>52</v>
      </c>
      <c r="G838" s="26">
        <v>44862.50032407408</v>
      </c>
      <c r="H838" s="26">
        <v>45393.462789351855</v>
      </c>
      <c r="I838" s="24" t="s">
        <v>40</v>
      </c>
      <c r="J838" s="24" t="s">
        <v>41</v>
      </c>
      <c r="K838" s="27"/>
      <c r="L838" s="24"/>
      <c r="M838" s="24" t="s">
        <v>44</v>
      </c>
      <c r="N838" s="24"/>
      <c r="O838" s="24" t="s">
        <v>2746</v>
      </c>
      <c r="P838" s="27"/>
      <c r="Q838" s="24"/>
      <c r="R838" s="23">
        <f>HYPERLINK("https://app.hubspot.com/contacts/8748051/record/0-2/8929886638", 8929886638)</f>
        <v>8929886638</v>
      </c>
      <c r="S838" s="24" t="s">
        <v>2747</v>
      </c>
      <c r="T838" s="28" t="s">
        <v>2748</v>
      </c>
      <c r="U838" s="24" t="s">
        <v>47</v>
      </c>
      <c r="V838" s="24"/>
      <c r="W838" s="25"/>
      <c r="X838" s="29">
        <v>466.0</v>
      </c>
      <c r="Y838" s="29">
        <v>192.0</v>
      </c>
      <c r="Z838" s="30" t="s">
        <v>108</v>
      </c>
      <c r="AA838" s="30"/>
      <c r="AB838" s="31"/>
      <c r="AC838" s="31"/>
      <c r="AD838" s="30"/>
      <c r="AE838" s="31"/>
      <c r="AF838" s="30"/>
      <c r="AG838" s="27" t="str">
        <f t="shared" si="1"/>
        <v>New Logo</v>
      </c>
      <c r="AH838" s="27" t="str">
        <f t="shared" si="5"/>
        <v>Lead</v>
      </c>
      <c r="AI838" s="27" t="str">
        <f t="shared" si="6"/>
        <v>201-500</v>
      </c>
      <c r="AJ838" s="27" t="str">
        <f t="shared" si="7"/>
        <v>101-500</v>
      </c>
    </row>
    <row r="839" ht="15.75" customHeight="1">
      <c r="A839" s="23">
        <f>HYPERLINK("https://app.hubspot.com/contacts/8748051/record/0-3/10681963337", 10681963337)</f>
        <v>10681963337</v>
      </c>
      <c r="B839" s="24" t="s">
        <v>2749</v>
      </c>
      <c r="C839" s="24" t="s">
        <v>1009</v>
      </c>
      <c r="D839" s="25">
        <v>7900.0</v>
      </c>
      <c r="E839" s="24" t="s">
        <v>149</v>
      </c>
      <c r="F839" s="24" t="s">
        <v>52</v>
      </c>
      <c r="G839" s="26">
        <v>44859.07148148148</v>
      </c>
      <c r="H839" s="26">
        <v>44865.31239583333</v>
      </c>
      <c r="I839" s="24" t="s">
        <v>40</v>
      </c>
      <c r="J839" s="24" t="s">
        <v>41</v>
      </c>
      <c r="K839" s="27"/>
      <c r="L839" s="27"/>
      <c r="M839" s="24" t="s">
        <v>74</v>
      </c>
      <c r="N839" s="27"/>
      <c r="O839" s="24" t="s">
        <v>2750</v>
      </c>
      <c r="P839" s="27"/>
      <c r="Q839" s="24"/>
      <c r="R839" s="23">
        <f>HYPERLINK("https://app.hubspot.com/contacts/8748051/record/0-2/8918859942", 8918859942)</f>
        <v>8918859942</v>
      </c>
      <c r="S839" s="24" t="s">
        <v>2751</v>
      </c>
      <c r="T839" s="28" t="s">
        <v>2752</v>
      </c>
      <c r="U839" s="24" t="s">
        <v>47</v>
      </c>
      <c r="V839" s="24"/>
      <c r="W839" s="32"/>
      <c r="X839" s="29">
        <v>47.0</v>
      </c>
      <c r="Y839" s="29">
        <v>9.0</v>
      </c>
      <c r="Z839" s="30"/>
      <c r="AA839" s="31"/>
      <c r="AB839" s="31"/>
      <c r="AC839" s="31"/>
      <c r="AD839" s="31"/>
      <c r="AE839" s="31"/>
      <c r="AF839" s="31"/>
      <c r="AG839" s="27" t="str">
        <f t="shared" si="1"/>
        <v>New Logo</v>
      </c>
      <c r="AH839" s="27" t="str">
        <f t="shared" si="5"/>
        <v>Lead</v>
      </c>
      <c r="AI839" s="27" t="str">
        <f t="shared" si="6"/>
        <v>0-200</v>
      </c>
      <c r="AJ839" s="27" t="str">
        <f t="shared" si="7"/>
        <v>0-20</v>
      </c>
    </row>
    <row r="840" ht="15.75" customHeight="1">
      <c r="A840" s="23">
        <f>HYPERLINK("https://app.hubspot.com/contacts/8748051/record/0-3/10561785483", 10561785483)</f>
        <v>10561785483</v>
      </c>
      <c r="B840" s="24" t="s">
        <v>2753</v>
      </c>
      <c r="C840" s="24" t="s">
        <v>50</v>
      </c>
      <c r="D840" s="25">
        <v>10000.0</v>
      </c>
      <c r="E840" s="24" t="s">
        <v>149</v>
      </c>
      <c r="F840" s="24" t="s">
        <v>52</v>
      </c>
      <c r="G840" s="26">
        <v>44848.332974537036</v>
      </c>
      <c r="H840" s="26">
        <v>45093.52453703704</v>
      </c>
      <c r="I840" s="24" t="s">
        <v>40</v>
      </c>
      <c r="J840" s="24" t="s">
        <v>41</v>
      </c>
      <c r="K840" s="24"/>
      <c r="L840" s="24"/>
      <c r="M840" s="24" t="s">
        <v>44</v>
      </c>
      <c r="N840" s="24"/>
      <c r="O840" s="24" t="s">
        <v>2754</v>
      </c>
      <c r="P840" s="24"/>
      <c r="Q840" s="24"/>
      <c r="R840" s="23">
        <f>HYPERLINK("https://app.hubspot.com/contacts/8748051/record/0-2/7933757566", 7933757566)</f>
        <v>7933757566</v>
      </c>
      <c r="S840" s="24" t="s">
        <v>2755</v>
      </c>
      <c r="T840" s="28" t="s">
        <v>2756</v>
      </c>
      <c r="U840" s="24" t="s">
        <v>47</v>
      </c>
      <c r="V840" s="24"/>
      <c r="W840" s="25"/>
      <c r="X840" s="29">
        <v>72.0</v>
      </c>
      <c r="Y840" s="29">
        <v>6.0</v>
      </c>
      <c r="Z840" s="30"/>
      <c r="AA840" s="30"/>
      <c r="AB840" s="31"/>
      <c r="AC840" s="31"/>
      <c r="AD840" s="30"/>
      <c r="AE840" s="30"/>
      <c r="AF840" s="30"/>
      <c r="AG840" s="27" t="str">
        <f t="shared" si="1"/>
        <v>New Logo</v>
      </c>
      <c r="AH840" s="27" t="str">
        <f t="shared" si="5"/>
        <v>Lead</v>
      </c>
      <c r="AI840" s="27" t="str">
        <f t="shared" si="6"/>
        <v>0-200</v>
      </c>
      <c r="AJ840" s="27" t="str">
        <f t="shared" si="7"/>
        <v>0-20</v>
      </c>
    </row>
    <row r="841" ht="15.75" customHeight="1">
      <c r="A841" s="23">
        <f>HYPERLINK("https://app.hubspot.com/contacts/8748051/record/0-3/10516583528", 10516583528)</f>
        <v>10516583528</v>
      </c>
      <c r="B841" s="24" t="s">
        <v>2757</v>
      </c>
      <c r="C841" s="24" t="s">
        <v>148</v>
      </c>
      <c r="D841" s="25">
        <v>30000.0</v>
      </c>
      <c r="E841" s="24" t="s">
        <v>149</v>
      </c>
      <c r="F841" s="24"/>
      <c r="G841" s="26">
        <v>44844.588854166665</v>
      </c>
      <c r="H841" s="26">
        <v>44862.34173611111</v>
      </c>
      <c r="I841" s="24" t="s">
        <v>40</v>
      </c>
      <c r="J841" s="24" t="s">
        <v>53</v>
      </c>
      <c r="K841" s="27"/>
      <c r="L841" s="27"/>
      <c r="M841" s="24" t="s">
        <v>44</v>
      </c>
      <c r="N841" s="24"/>
      <c r="O841" s="24" t="s">
        <v>2758</v>
      </c>
      <c r="P841" s="24"/>
      <c r="Q841" s="24"/>
      <c r="R841" s="23">
        <f>HYPERLINK("https://app.hubspot.com/contacts/8748051/record/0-2/7668657557", 7668657557)</f>
        <v>7668657557</v>
      </c>
      <c r="S841" s="24" t="s">
        <v>2759</v>
      </c>
      <c r="T841" s="28" t="s">
        <v>2760</v>
      </c>
      <c r="U841" s="24" t="s">
        <v>47</v>
      </c>
      <c r="V841" s="24"/>
      <c r="W841" s="25"/>
      <c r="X841" s="29">
        <v>923.0</v>
      </c>
      <c r="Y841" s="29">
        <v>210.0</v>
      </c>
      <c r="Z841" s="30" t="s">
        <v>546</v>
      </c>
      <c r="AA841" s="30"/>
      <c r="AB841" s="30"/>
      <c r="AC841" s="31"/>
      <c r="AD841" s="30"/>
      <c r="AE841" s="30"/>
      <c r="AF841" s="30"/>
      <c r="AG841" s="27" t="str">
        <f t="shared" si="1"/>
        <v>New Logo</v>
      </c>
      <c r="AH841" s="27" t="str">
        <f t="shared" si="5"/>
        <v>Lead</v>
      </c>
      <c r="AI841" s="27" t="str">
        <f t="shared" si="6"/>
        <v>501-1000</v>
      </c>
      <c r="AJ841" s="27" t="str">
        <f t="shared" si="7"/>
        <v>101-500</v>
      </c>
    </row>
    <row r="842" ht="15.75" customHeight="1">
      <c r="A842" s="23">
        <f>HYPERLINK("https://app.hubspot.com/contacts/8748051/record/0-3/10486140833", 10486140833)</f>
        <v>10486140833</v>
      </c>
      <c r="B842" s="24" t="s">
        <v>2761</v>
      </c>
      <c r="C842" s="24" t="s">
        <v>1009</v>
      </c>
      <c r="D842" s="25">
        <v>100000.0</v>
      </c>
      <c r="E842" s="24" t="s">
        <v>73</v>
      </c>
      <c r="F842" s="24"/>
      <c r="G842" s="26">
        <v>44841.390393518515</v>
      </c>
      <c r="H842" s="26">
        <v>45138.433541666665</v>
      </c>
      <c r="I842" s="24" t="s">
        <v>40</v>
      </c>
      <c r="J842" s="24" t="s">
        <v>41</v>
      </c>
      <c r="K842" s="27"/>
      <c r="L842" s="27"/>
      <c r="M842" s="24" t="s">
        <v>44</v>
      </c>
      <c r="N842" s="24"/>
      <c r="O842" s="27"/>
      <c r="P842" s="24" t="s">
        <v>122</v>
      </c>
      <c r="Q842" s="24"/>
      <c r="R842" s="23">
        <f>HYPERLINK("https://app.hubspot.com/contacts/8748051/record/0-2/9596187524", 9596187524)</f>
        <v>9596187524</v>
      </c>
      <c r="S842" s="24" t="s">
        <v>2762</v>
      </c>
      <c r="T842" s="28" t="s">
        <v>2763</v>
      </c>
      <c r="U842" s="24" t="s">
        <v>47</v>
      </c>
      <c r="V842" s="24"/>
      <c r="W842" s="25"/>
      <c r="X842" s="29">
        <v>3738.0</v>
      </c>
      <c r="Y842" s="29">
        <v>555.0</v>
      </c>
      <c r="Z842" s="30" t="s">
        <v>125</v>
      </c>
      <c r="AA842" s="30"/>
      <c r="AB842" s="30"/>
      <c r="AC842" s="31"/>
      <c r="AD842" s="30"/>
      <c r="AE842" s="30"/>
      <c r="AF842" s="30"/>
      <c r="AG842" s="27" t="str">
        <f t="shared" si="1"/>
        <v>New Logo</v>
      </c>
      <c r="AH842" s="27" t="str">
        <f t="shared" si="5"/>
        <v>Lead</v>
      </c>
      <c r="AI842" s="27" t="str">
        <f t="shared" si="6"/>
        <v>1001-5000</v>
      </c>
      <c r="AJ842" s="27" t="str">
        <f t="shared" si="7"/>
        <v>500+</v>
      </c>
    </row>
    <row r="843" ht="15.75" customHeight="1">
      <c r="A843" s="23">
        <f>HYPERLINK("https://app.hubspot.com/contacts/8748051/record/0-3/10477206113", 10477206113)</f>
        <v>10477206113</v>
      </c>
      <c r="B843" s="24" t="s">
        <v>2764</v>
      </c>
      <c r="C843" s="24" t="s">
        <v>2305</v>
      </c>
      <c r="D843" s="25">
        <v>14400.0</v>
      </c>
      <c r="E843" s="24" t="s">
        <v>92</v>
      </c>
      <c r="F843" s="24" t="s">
        <v>52</v>
      </c>
      <c r="G843" s="26">
        <v>44840.569814814815</v>
      </c>
      <c r="H843" s="26">
        <v>44904.318391203706</v>
      </c>
      <c r="I843" s="24" t="s">
        <v>40</v>
      </c>
      <c r="J843" s="24" t="s">
        <v>41</v>
      </c>
      <c r="K843" s="27"/>
      <c r="L843" s="27"/>
      <c r="M843" s="24" t="s">
        <v>44</v>
      </c>
      <c r="N843" s="24" t="s">
        <v>2765</v>
      </c>
      <c r="O843" s="24"/>
      <c r="P843" s="24"/>
      <c r="Q843" s="24"/>
      <c r="R843" s="23">
        <f>HYPERLINK("https://app.hubspot.com/contacts/8748051/record/0-2/6262674716", 6262674716)</f>
        <v>6262674716</v>
      </c>
      <c r="S843" s="24" t="s">
        <v>2443</v>
      </c>
      <c r="T843" s="28" t="s">
        <v>2444</v>
      </c>
      <c r="U843" s="24" t="s">
        <v>96</v>
      </c>
      <c r="V843" s="24"/>
      <c r="W843" s="25">
        <v>19800.0</v>
      </c>
      <c r="X843" s="29">
        <v>391.0</v>
      </c>
      <c r="Y843" s="29">
        <v>58.0</v>
      </c>
      <c r="Z843" s="30"/>
      <c r="AA843" s="30" t="s">
        <v>97</v>
      </c>
      <c r="AB843" s="30" t="s">
        <v>207</v>
      </c>
      <c r="AC843" s="31"/>
      <c r="AD843" s="30" t="s">
        <v>2445</v>
      </c>
      <c r="AE843" s="30" t="s">
        <v>2446</v>
      </c>
      <c r="AF843" s="30" t="s">
        <v>211</v>
      </c>
      <c r="AG843" s="27" t="str">
        <f t="shared" si="1"/>
        <v>New Logo</v>
      </c>
      <c r="AH843" s="27" t="str">
        <f t="shared" si="5"/>
        <v>Customer</v>
      </c>
      <c r="AI843" s="27" t="str">
        <f t="shared" si="6"/>
        <v>201-500</v>
      </c>
      <c r="AJ843" s="27" t="str">
        <f t="shared" si="7"/>
        <v>51-100</v>
      </c>
    </row>
    <row r="844" ht="15.75" customHeight="1">
      <c r="A844" s="23">
        <f>HYPERLINK("https://app.hubspot.com/contacts/8748051/record/0-3/10355101347", 10355101347)</f>
        <v>10355101347</v>
      </c>
      <c r="B844" s="24" t="s">
        <v>2766</v>
      </c>
      <c r="C844" s="24" t="s">
        <v>1009</v>
      </c>
      <c r="D844" s="25">
        <v>15000.0</v>
      </c>
      <c r="E844" s="24" t="s">
        <v>127</v>
      </c>
      <c r="F844" s="24"/>
      <c r="G844" s="26">
        <v>44833.35423611111</v>
      </c>
      <c r="H844" s="26">
        <v>45016.35334490741</v>
      </c>
      <c r="I844" s="24" t="s">
        <v>40</v>
      </c>
      <c r="J844" s="24" t="s">
        <v>41</v>
      </c>
      <c r="K844" s="27"/>
      <c r="L844" s="27"/>
      <c r="M844" s="24" t="s">
        <v>44</v>
      </c>
      <c r="N844" s="24"/>
      <c r="O844" s="24"/>
      <c r="P844" s="24"/>
      <c r="Q844" s="24" t="s">
        <v>503</v>
      </c>
      <c r="R844" s="23">
        <f>HYPERLINK("https://app.hubspot.com/contacts/8748051/record/0-2/8088324138", 8088324138)</f>
        <v>8088324138</v>
      </c>
      <c r="S844" s="24" t="s">
        <v>2767</v>
      </c>
      <c r="T844" s="28" t="s">
        <v>2768</v>
      </c>
      <c r="U844" s="24" t="s">
        <v>47</v>
      </c>
      <c r="V844" s="24"/>
      <c r="W844" s="25"/>
      <c r="X844" s="29">
        <v>135.0</v>
      </c>
      <c r="Y844" s="29">
        <v>28.0</v>
      </c>
      <c r="Z844" s="30" t="s">
        <v>108</v>
      </c>
      <c r="AA844" s="30"/>
      <c r="AB844" s="31"/>
      <c r="AC844" s="30"/>
      <c r="AD844" s="30"/>
      <c r="AE844" s="30"/>
      <c r="AF844" s="30"/>
      <c r="AG844" s="27" t="str">
        <f t="shared" si="1"/>
        <v>New Logo</v>
      </c>
      <c r="AH844" s="27" t="str">
        <f t="shared" si="5"/>
        <v>Lead</v>
      </c>
      <c r="AI844" s="27" t="str">
        <f t="shared" si="6"/>
        <v>0-200</v>
      </c>
      <c r="AJ844" s="27" t="str">
        <f t="shared" si="7"/>
        <v>21-50</v>
      </c>
    </row>
    <row r="845" ht="15.75" customHeight="1">
      <c r="A845" s="23">
        <f>HYPERLINK("https://app.hubspot.com/contacts/8748051/record/0-3/10355100942", 10355100942)</f>
        <v>10355100942</v>
      </c>
      <c r="B845" s="24" t="s">
        <v>2769</v>
      </c>
      <c r="C845" s="24" t="s">
        <v>50</v>
      </c>
      <c r="D845" s="25">
        <v>15000.0</v>
      </c>
      <c r="E845" s="24" t="s">
        <v>127</v>
      </c>
      <c r="F845" s="24" t="s">
        <v>52</v>
      </c>
      <c r="G845" s="26">
        <v>44833.35039351852</v>
      </c>
      <c r="H845" s="26">
        <v>44896.37483796296</v>
      </c>
      <c r="I845" s="24" t="s">
        <v>40</v>
      </c>
      <c r="J845" s="24" t="s">
        <v>41</v>
      </c>
      <c r="K845" s="27"/>
      <c r="L845" s="24"/>
      <c r="M845" s="24" t="s">
        <v>44</v>
      </c>
      <c r="N845" s="24"/>
      <c r="O845" s="24"/>
      <c r="P845" s="27"/>
      <c r="Q845" s="24" t="s">
        <v>128</v>
      </c>
      <c r="R845" s="23">
        <f>HYPERLINK("https://app.hubspot.com/contacts/8748051/record/0-2/7649366028", 7649366028)</f>
        <v>7649366028</v>
      </c>
      <c r="S845" s="24" t="s">
        <v>86</v>
      </c>
      <c r="T845" s="28" t="s">
        <v>87</v>
      </c>
      <c r="U845" s="24" t="s">
        <v>47</v>
      </c>
      <c r="V845" s="24"/>
      <c r="W845" s="25"/>
      <c r="X845" s="29">
        <v>413.0</v>
      </c>
      <c r="Y845" s="29">
        <v>45.0</v>
      </c>
      <c r="Z845" s="30" t="s">
        <v>71</v>
      </c>
      <c r="AA845" s="30"/>
      <c r="AB845" s="31"/>
      <c r="AC845" s="30"/>
      <c r="AD845" s="30"/>
      <c r="AE845" s="30"/>
      <c r="AF845" s="30"/>
      <c r="AG845" s="27" t="str">
        <f t="shared" si="1"/>
        <v>New Logo</v>
      </c>
      <c r="AH845" s="27" t="str">
        <f t="shared" si="5"/>
        <v>Lead</v>
      </c>
      <c r="AI845" s="27" t="str">
        <f t="shared" si="6"/>
        <v>201-500</v>
      </c>
      <c r="AJ845" s="27" t="str">
        <f t="shared" si="7"/>
        <v>21-50</v>
      </c>
    </row>
    <row r="846" ht="15.75" customHeight="1">
      <c r="A846" s="23">
        <f>HYPERLINK("https://app.hubspot.com/contacts/8748051/record/0-3/10323909810", 10323909810)</f>
        <v>10323909810</v>
      </c>
      <c r="B846" s="24" t="s">
        <v>2770</v>
      </c>
      <c r="C846" s="24" t="s">
        <v>38</v>
      </c>
      <c r="D846" s="25">
        <v>21000.0</v>
      </c>
      <c r="E846" s="24" t="s">
        <v>127</v>
      </c>
      <c r="F846" s="24" t="s">
        <v>52</v>
      </c>
      <c r="G846" s="26">
        <v>44831.12079861111</v>
      </c>
      <c r="H846" s="26">
        <v>45351.06081018518</v>
      </c>
      <c r="I846" s="24" t="s">
        <v>40</v>
      </c>
      <c r="J846" s="24" t="s">
        <v>53</v>
      </c>
      <c r="K846" s="27"/>
      <c r="L846" s="24"/>
      <c r="M846" s="24" t="s">
        <v>102</v>
      </c>
      <c r="N846" s="24"/>
      <c r="O846" s="24" t="s">
        <v>2771</v>
      </c>
      <c r="P846" s="27"/>
      <c r="Q846" s="24" t="s">
        <v>144</v>
      </c>
      <c r="R846" s="23">
        <f>HYPERLINK("https://app.hubspot.com/contacts/8748051/record/0-2/8448459081", 8448459081)</f>
        <v>8448459081</v>
      </c>
      <c r="S846" s="24" t="s">
        <v>370</v>
      </c>
      <c r="T846" s="28" t="s">
        <v>371</v>
      </c>
      <c r="U846" s="24" t="s">
        <v>47</v>
      </c>
      <c r="V846" s="24"/>
      <c r="W846" s="25"/>
      <c r="X846" s="29">
        <v>1160.0</v>
      </c>
      <c r="Y846" s="29">
        <v>188.0</v>
      </c>
      <c r="Z846" s="30" t="s">
        <v>372</v>
      </c>
      <c r="AA846" s="30"/>
      <c r="AB846" s="31"/>
      <c r="AC846" s="31"/>
      <c r="AD846" s="30"/>
      <c r="AE846" s="31"/>
      <c r="AF846" s="30"/>
      <c r="AG846" s="27" t="str">
        <f t="shared" si="1"/>
        <v>New Logo</v>
      </c>
      <c r="AH846" s="27" t="str">
        <f t="shared" si="5"/>
        <v>Lead</v>
      </c>
      <c r="AI846" s="27" t="str">
        <f t="shared" si="6"/>
        <v>1001-5000</v>
      </c>
      <c r="AJ846" s="27" t="str">
        <f t="shared" si="7"/>
        <v>101-500</v>
      </c>
    </row>
    <row r="847" ht="15.75" customHeight="1">
      <c r="A847" s="23">
        <f>HYPERLINK("https://app.hubspot.com/contacts/8748051/record/0-3/10284876203", 10284876203)</f>
        <v>10284876203</v>
      </c>
      <c r="B847" s="24" t="s">
        <v>2772</v>
      </c>
      <c r="C847" s="24" t="s">
        <v>1228</v>
      </c>
      <c r="D847" s="25">
        <v>6000.0</v>
      </c>
      <c r="E847" s="24" t="s">
        <v>92</v>
      </c>
      <c r="F847" s="24" t="s">
        <v>52</v>
      </c>
      <c r="G847" s="26">
        <v>44827.19553240741</v>
      </c>
      <c r="H847" s="26">
        <v>45258.36460648148</v>
      </c>
      <c r="I847" s="24" t="s">
        <v>40</v>
      </c>
      <c r="J847" s="24" t="s">
        <v>41</v>
      </c>
      <c r="K847" s="27"/>
      <c r="L847" s="24" t="s">
        <v>183</v>
      </c>
      <c r="M847" s="24" t="s">
        <v>102</v>
      </c>
      <c r="N847" s="24" t="s">
        <v>2773</v>
      </c>
      <c r="O847" s="24"/>
      <c r="P847" s="27"/>
      <c r="Q847" s="24"/>
      <c r="R847" s="23">
        <f>HYPERLINK("https://app.hubspot.com/contacts/8748051/record/0-2/9556278024", 9556278024)</f>
        <v>9556278024</v>
      </c>
      <c r="S847" s="24" t="s">
        <v>1192</v>
      </c>
      <c r="T847" s="28" t="s">
        <v>1193</v>
      </c>
      <c r="U847" s="24" t="s">
        <v>96</v>
      </c>
      <c r="V847" s="24"/>
      <c r="W847" s="25">
        <v>12000.0</v>
      </c>
      <c r="X847" s="29">
        <v>321.0</v>
      </c>
      <c r="Y847" s="29">
        <v>31.0</v>
      </c>
      <c r="Z847" s="30"/>
      <c r="AA847" s="30" t="s">
        <v>220</v>
      </c>
      <c r="AB847" s="31"/>
      <c r="AC847" s="31"/>
      <c r="AD847" s="30" t="s">
        <v>1194</v>
      </c>
      <c r="AE847" s="30"/>
      <c r="AF847" s="30" t="s">
        <v>169</v>
      </c>
      <c r="AG847" s="27" t="str">
        <f t="shared" si="1"/>
        <v>New Logo</v>
      </c>
      <c r="AH847" s="27" t="str">
        <f t="shared" si="5"/>
        <v>Customer</v>
      </c>
      <c r="AI847" s="27" t="str">
        <f t="shared" si="6"/>
        <v>201-500</v>
      </c>
      <c r="AJ847" s="27" t="str">
        <f t="shared" si="7"/>
        <v>21-50</v>
      </c>
    </row>
    <row r="848" ht="15.75" customHeight="1">
      <c r="A848" s="23">
        <f>HYPERLINK("https://app.hubspot.com/contacts/8748051/record/0-3/10104322709", 10104322709)</f>
        <v>10104322709</v>
      </c>
      <c r="B848" s="24" t="s">
        <v>2774</v>
      </c>
      <c r="C848" s="24" t="s">
        <v>148</v>
      </c>
      <c r="D848" s="25"/>
      <c r="E848" s="24" t="s">
        <v>149</v>
      </c>
      <c r="F848" s="24" t="s">
        <v>52</v>
      </c>
      <c r="G848" s="26">
        <v>44811.71072916667</v>
      </c>
      <c r="H848" s="26">
        <v>44862.34300925926</v>
      </c>
      <c r="I848" s="24" t="s">
        <v>40</v>
      </c>
      <c r="J848" s="24" t="s">
        <v>41</v>
      </c>
      <c r="K848" s="27"/>
      <c r="L848" s="27"/>
      <c r="M848" s="24" t="s">
        <v>44</v>
      </c>
      <c r="N848" s="27"/>
      <c r="O848" s="24" t="s">
        <v>2775</v>
      </c>
      <c r="P848" s="27"/>
      <c r="Q848" s="24"/>
      <c r="R848" s="23">
        <f>HYPERLINK("https://app.hubspot.com/contacts/8748051/record/0-2/9173801365", 9173801365)</f>
        <v>9173801365</v>
      </c>
      <c r="S848" s="24" t="s">
        <v>2776</v>
      </c>
      <c r="T848" s="28" t="s">
        <v>2777</v>
      </c>
      <c r="U848" s="24" t="s">
        <v>47</v>
      </c>
      <c r="V848" s="24"/>
      <c r="W848" s="32"/>
      <c r="X848" s="29">
        <v>1527.0</v>
      </c>
      <c r="Y848" s="29">
        <v>177.0</v>
      </c>
      <c r="Z848" s="30" t="s">
        <v>64</v>
      </c>
      <c r="AA848" s="31"/>
      <c r="AB848" s="31"/>
      <c r="AC848" s="31"/>
      <c r="AD848" s="31"/>
      <c r="AE848" s="31"/>
      <c r="AF848" s="31"/>
      <c r="AG848" s="27" t="str">
        <f t="shared" si="1"/>
        <v>New Logo</v>
      </c>
      <c r="AH848" s="27" t="str">
        <f t="shared" si="5"/>
        <v>Lead</v>
      </c>
      <c r="AI848" s="27" t="str">
        <f t="shared" si="6"/>
        <v>1001-5000</v>
      </c>
      <c r="AJ848" s="27" t="str">
        <f t="shared" si="7"/>
        <v>101-500</v>
      </c>
    </row>
    <row r="849" ht="15.75" customHeight="1">
      <c r="A849" s="23">
        <f>HYPERLINK("https://app.hubspot.com/contacts/8748051/record/0-3/9993740065", 9993740065)</f>
        <v>9993740065</v>
      </c>
      <c r="B849" s="24" t="s">
        <v>2778</v>
      </c>
      <c r="C849" s="24" t="s">
        <v>50</v>
      </c>
      <c r="D849" s="25">
        <v>15000.0</v>
      </c>
      <c r="E849" s="24" t="s">
        <v>127</v>
      </c>
      <c r="F849" s="24" t="s">
        <v>52</v>
      </c>
      <c r="G849" s="26">
        <v>44803.70993055555</v>
      </c>
      <c r="H849" s="26">
        <v>45376.43366898148</v>
      </c>
      <c r="I849" s="24" t="s">
        <v>40</v>
      </c>
      <c r="J849" s="24" t="s">
        <v>41</v>
      </c>
      <c r="K849" s="27"/>
      <c r="L849" s="27"/>
      <c r="M849" s="24" t="s">
        <v>44</v>
      </c>
      <c r="N849" s="24"/>
      <c r="O849" s="24"/>
      <c r="P849" s="24"/>
      <c r="Q849" s="24" t="s">
        <v>503</v>
      </c>
      <c r="R849" s="23">
        <f>HYPERLINK("https://app.hubspot.com/contacts/8748051/record/0-2/7648061975", 7648061975)</f>
        <v>7648061975</v>
      </c>
      <c r="S849" s="24" t="s">
        <v>2779</v>
      </c>
      <c r="T849" s="28" t="s">
        <v>2780</v>
      </c>
      <c r="U849" s="24" t="s">
        <v>47</v>
      </c>
      <c r="V849" s="24"/>
      <c r="W849" s="25"/>
      <c r="X849" s="29">
        <v>1585.0</v>
      </c>
      <c r="Y849" s="29">
        <v>426.0</v>
      </c>
      <c r="Z849" s="30" t="s">
        <v>1107</v>
      </c>
      <c r="AA849" s="30"/>
      <c r="AB849" s="31"/>
      <c r="AC849" s="31"/>
      <c r="AD849" s="30"/>
      <c r="AE849" s="30"/>
      <c r="AF849" s="30"/>
      <c r="AG849" s="27" t="str">
        <f t="shared" si="1"/>
        <v>New Logo</v>
      </c>
      <c r="AH849" s="27" t="str">
        <f t="shared" si="5"/>
        <v>Lead</v>
      </c>
      <c r="AI849" s="27" t="str">
        <f t="shared" si="6"/>
        <v>1001-5000</v>
      </c>
      <c r="AJ849" s="27" t="str">
        <f t="shared" si="7"/>
        <v>101-500</v>
      </c>
    </row>
    <row r="850" ht="15.75" customHeight="1">
      <c r="A850" s="23">
        <f>HYPERLINK("https://app.hubspot.com/contacts/8748051/record/0-3/9993513755", 9993513755)</f>
        <v>9993513755</v>
      </c>
      <c r="B850" s="24" t="s">
        <v>2781</v>
      </c>
      <c r="C850" s="24" t="s">
        <v>50</v>
      </c>
      <c r="D850" s="25">
        <v>10000.0</v>
      </c>
      <c r="E850" s="24" t="s">
        <v>149</v>
      </c>
      <c r="F850" s="24" t="s">
        <v>52</v>
      </c>
      <c r="G850" s="26">
        <v>44803.697696759256</v>
      </c>
      <c r="H850" s="26">
        <v>45093.52421296296</v>
      </c>
      <c r="I850" s="24" t="s">
        <v>40</v>
      </c>
      <c r="J850" s="24" t="s">
        <v>53</v>
      </c>
      <c r="K850" s="24"/>
      <c r="L850" s="24"/>
      <c r="M850" s="24" t="s">
        <v>44</v>
      </c>
      <c r="N850" s="24"/>
      <c r="O850" s="24" t="s">
        <v>2782</v>
      </c>
      <c r="P850" s="24"/>
      <c r="Q850" s="24"/>
      <c r="R850" s="23">
        <f>HYPERLINK("https://app.hubspot.com/contacts/8748051/record/0-2/5851007907", 5851007907)</f>
        <v>5851007907</v>
      </c>
      <c r="S850" s="24" t="s">
        <v>2783</v>
      </c>
      <c r="T850" s="28" t="s">
        <v>2784</v>
      </c>
      <c r="U850" s="24" t="s">
        <v>47</v>
      </c>
      <c r="V850" s="24"/>
      <c r="W850" s="25"/>
      <c r="X850" s="29">
        <v>964.0</v>
      </c>
      <c r="Y850" s="29">
        <v>195.0</v>
      </c>
      <c r="Z850" s="30" t="s">
        <v>456</v>
      </c>
      <c r="AA850" s="30"/>
      <c r="AB850" s="31"/>
      <c r="AC850" s="30"/>
      <c r="AD850" s="30"/>
      <c r="AE850" s="30"/>
      <c r="AF850" s="30"/>
      <c r="AG850" s="27" t="str">
        <f t="shared" si="1"/>
        <v>New Logo</v>
      </c>
      <c r="AH850" s="27" t="str">
        <f t="shared" si="5"/>
        <v>Lead</v>
      </c>
      <c r="AI850" s="27" t="str">
        <f t="shared" si="6"/>
        <v>501-1000</v>
      </c>
      <c r="AJ850" s="27" t="str">
        <f t="shared" si="7"/>
        <v>101-500</v>
      </c>
    </row>
    <row r="851" ht="15.75" customHeight="1">
      <c r="A851" s="23">
        <f>HYPERLINK("https://app.hubspot.com/contacts/8748051/record/0-3/9870374452", 9870374452)</f>
        <v>9870374452</v>
      </c>
      <c r="B851" s="24" t="s">
        <v>2785</v>
      </c>
      <c r="C851" s="24" t="s">
        <v>38</v>
      </c>
      <c r="D851" s="25">
        <v>10000.0</v>
      </c>
      <c r="E851" s="24" t="s">
        <v>127</v>
      </c>
      <c r="F851" s="24"/>
      <c r="G851" s="26">
        <v>44792.409537037034</v>
      </c>
      <c r="H851" s="26">
        <v>44926.46818287037</v>
      </c>
      <c r="I851" s="24" t="s">
        <v>40</v>
      </c>
      <c r="J851" s="24" t="s">
        <v>41</v>
      </c>
      <c r="K851" s="27"/>
      <c r="L851" s="24"/>
      <c r="M851" s="24" t="s">
        <v>44</v>
      </c>
      <c r="N851" s="24"/>
      <c r="O851" s="24"/>
      <c r="P851" s="24"/>
      <c r="Q851" s="24" t="s">
        <v>374</v>
      </c>
      <c r="R851" s="23">
        <f>HYPERLINK("https://app.hubspot.com/contacts/8748051/record/0-2/7776755848", 7776755848)</f>
        <v>7776755848</v>
      </c>
      <c r="S851" s="24" t="s">
        <v>2786</v>
      </c>
      <c r="T851" s="28" t="s">
        <v>2787</v>
      </c>
      <c r="U851" s="24" t="s">
        <v>47</v>
      </c>
      <c r="V851" s="24"/>
      <c r="W851" s="25"/>
      <c r="X851" s="29">
        <v>863.0</v>
      </c>
      <c r="Y851" s="29">
        <v>188.0</v>
      </c>
      <c r="Z851" s="30" t="s">
        <v>372</v>
      </c>
      <c r="AA851" s="31"/>
      <c r="AB851" s="31"/>
      <c r="AC851" s="31"/>
      <c r="AD851" s="31"/>
      <c r="AE851" s="31"/>
      <c r="AF851" s="31"/>
      <c r="AG851" s="27" t="str">
        <f t="shared" si="1"/>
        <v>New Logo</v>
      </c>
      <c r="AH851" s="27" t="str">
        <f t="shared" si="5"/>
        <v>Lead</v>
      </c>
      <c r="AI851" s="27" t="str">
        <f t="shared" si="6"/>
        <v>501-1000</v>
      </c>
      <c r="AJ851" s="27" t="str">
        <f t="shared" si="7"/>
        <v>101-500</v>
      </c>
    </row>
    <row r="852" ht="15.75" customHeight="1">
      <c r="A852" s="23">
        <f>HYPERLINK("https://app.hubspot.com/contacts/8748051/record/0-3/9848992125", 9848992125)</f>
        <v>9848992125</v>
      </c>
      <c r="B852" s="24" t="s">
        <v>2788</v>
      </c>
      <c r="C852" s="24" t="s">
        <v>50</v>
      </c>
      <c r="D852" s="25">
        <v>10000.0</v>
      </c>
      <c r="E852" s="24" t="s">
        <v>127</v>
      </c>
      <c r="F852" s="24"/>
      <c r="G852" s="26">
        <v>44790.527453703704</v>
      </c>
      <c r="H852" s="26">
        <v>44865.52700231481</v>
      </c>
      <c r="I852" s="24" t="s">
        <v>40</v>
      </c>
      <c r="J852" s="24" t="s">
        <v>41</v>
      </c>
      <c r="K852" s="27"/>
      <c r="L852" s="24"/>
      <c r="M852" s="24" t="s">
        <v>44</v>
      </c>
      <c r="N852" s="24"/>
      <c r="O852" s="24"/>
      <c r="P852" s="27"/>
      <c r="Q852" s="24" t="s">
        <v>144</v>
      </c>
      <c r="R852" s="23">
        <f>HYPERLINK("https://app.hubspot.com/contacts/8748051/record/0-2/6816536166", 6816536166)</f>
        <v>6816536166</v>
      </c>
      <c r="S852" s="24" t="s">
        <v>2789</v>
      </c>
      <c r="T852" s="28" t="s">
        <v>2790</v>
      </c>
      <c r="U852" s="24" t="s">
        <v>47</v>
      </c>
      <c r="V852" s="24"/>
      <c r="W852" s="25"/>
      <c r="X852" s="29">
        <v>221.0</v>
      </c>
      <c r="Y852" s="29">
        <v>12.0</v>
      </c>
      <c r="Z852" s="30"/>
      <c r="AA852" s="31"/>
      <c r="AB852" s="31"/>
      <c r="AC852" s="31"/>
      <c r="AD852" s="31"/>
      <c r="AE852" s="31"/>
      <c r="AF852" s="31"/>
      <c r="AG852" s="27" t="str">
        <f t="shared" si="1"/>
        <v>New Logo</v>
      </c>
      <c r="AH852" s="27" t="str">
        <f t="shared" si="5"/>
        <v>Lead</v>
      </c>
      <c r="AI852" s="27" t="str">
        <f t="shared" si="6"/>
        <v>201-500</v>
      </c>
      <c r="AJ852" s="27" t="str">
        <f t="shared" si="7"/>
        <v>0-20</v>
      </c>
    </row>
    <row r="853" ht="15.75" customHeight="1">
      <c r="A853" s="23">
        <f>HYPERLINK("https://app.hubspot.com/contacts/8748051/record/0-3/9836898461", 9836898461)</f>
        <v>9836898461</v>
      </c>
      <c r="B853" s="24" t="s">
        <v>2791</v>
      </c>
      <c r="C853" s="24" t="s">
        <v>1009</v>
      </c>
      <c r="D853" s="25">
        <v>4000.0</v>
      </c>
      <c r="E853" s="24" t="s">
        <v>127</v>
      </c>
      <c r="F853" s="24"/>
      <c r="G853" s="26">
        <v>44789.721597222226</v>
      </c>
      <c r="H853" s="26">
        <v>45016.37619212963</v>
      </c>
      <c r="I853" s="24" t="s">
        <v>40</v>
      </c>
      <c r="J853" s="24" t="s">
        <v>41</v>
      </c>
      <c r="K853" s="27"/>
      <c r="L853" s="27"/>
      <c r="M853" s="24" t="s">
        <v>44</v>
      </c>
      <c r="N853" s="24"/>
      <c r="O853" s="24"/>
      <c r="P853" s="27"/>
      <c r="Q853" s="24" t="s">
        <v>144</v>
      </c>
      <c r="R853" s="23">
        <f>HYPERLINK("https://app.hubspot.com/contacts/8748051/record/0-2/8922942776", 8922942776)</f>
        <v>8922942776</v>
      </c>
      <c r="S853" s="24" t="s">
        <v>2792</v>
      </c>
      <c r="T853" s="28" t="s">
        <v>2793</v>
      </c>
      <c r="U853" s="24" t="s">
        <v>47</v>
      </c>
      <c r="V853" s="24"/>
      <c r="W853" s="25"/>
      <c r="X853" s="29">
        <v>177.0</v>
      </c>
      <c r="Y853" s="29">
        <v>42.0</v>
      </c>
      <c r="Z853" s="30"/>
      <c r="AA853" s="31"/>
      <c r="AB853" s="31"/>
      <c r="AC853" s="31"/>
      <c r="AD853" s="31"/>
      <c r="AE853" s="31"/>
      <c r="AF853" s="31"/>
      <c r="AG853" s="27" t="str">
        <f t="shared" si="1"/>
        <v>New Logo</v>
      </c>
      <c r="AH853" s="27" t="str">
        <f t="shared" si="5"/>
        <v>Lead</v>
      </c>
      <c r="AI853" s="27" t="str">
        <f t="shared" si="6"/>
        <v>0-200</v>
      </c>
      <c r="AJ853" s="27" t="str">
        <f t="shared" si="7"/>
        <v>21-50</v>
      </c>
    </row>
    <row r="854" ht="15.75" customHeight="1">
      <c r="A854" s="23">
        <f>HYPERLINK("https://app.hubspot.com/contacts/8748051/record/0-3/9789652540", 9789652540)</f>
        <v>9789652540</v>
      </c>
      <c r="B854" s="24" t="s">
        <v>2794</v>
      </c>
      <c r="C854" s="24" t="s">
        <v>148</v>
      </c>
      <c r="D854" s="25">
        <v>10000.0</v>
      </c>
      <c r="E854" s="24" t="s">
        <v>149</v>
      </c>
      <c r="F854" s="24" t="s">
        <v>52</v>
      </c>
      <c r="G854" s="26">
        <v>44784.33181712963</v>
      </c>
      <c r="H854" s="26">
        <v>45093.416238425925</v>
      </c>
      <c r="I854" s="24" t="s">
        <v>40</v>
      </c>
      <c r="J854" s="24" t="s">
        <v>41</v>
      </c>
      <c r="K854" s="27"/>
      <c r="L854" s="27"/>
      <c r="M854" s="24" t="s">
        <v>44</v>
      </c>
      <c r="N854" s="24"/>
      <c r="O854" s="24" t="s">
        <v>2795</v>
      </c>
      <c r="P854" s="27"/>
      <c r="Q854" s="24"/>
      <c r="R854" s="23">
        <f>HYPERLINK("https://app.hubspot.com/contacts/8748051/record/0-2/9276865083", 9276865083)</f>
        <v>9276865083</v>
      </c>
      <c r="S854" s="24" t="s">
        <v>2796</v>
      </c>
      <c r="T854" s="28" t="s">
        <v>2797</v>
      </c>
      <c r="U854" s="24" t="s">
        <v>47</v>
      </c>
      <c r="V854" s="24"/>
      <c r="W854" s="25"/>
      <c r="X854" s="29">
        <v>19.0</v>
      </c>
      <c r="Y854" s="29">
        <v>3.0</v>
      </c>
      <c r="Z854" s="30"/>
      <c r="AA854" s="30"/>
      <c r="AB854" s="31"/>
      <c r="AC854" s="31"/>
      <c r="AD854" s="30"/>
      <c r="AE854" s="30"/>
      <c r="AF854" s="30"/>
      <c r="AG854" s="27" t="str">
        <f t="shared" si="1"/>
        <v>New Logo</v>
      </c>
      <c r="AH854" s="27" t="str">
        <f t="shared" si="5"/>
        <v>Lead</v>
      </c>
      <c r="AI854" s="27" t="str">
        <f t="shared" si="6"/>
        <v>0-200</v>
      </c>
      <c r="AJ854" s="27" t="str">
        <f t="shared" si="7"/>
        <v>0-20</v>
      </c>
    </row>
    <row r="855" ht="15.75" customHeight="1">
      <c r="A855" s="23">
        <f>HYPERLINK("https://app.hubspot.com/contacts/8748051/record/0-3/9772203419", 9772203419)</f>
        <v>9772203419</v>
      </c>
      <c r="B855" s="24" t="s">
        <v>2798</v>
      </c>
      <c r="C855" s="24" t="s">
        <v>50</v>
      </c>
      <c r="D855" s="25">
        <v>20000.0</v>
      </c>
      <c r="E855" s="24" t="s">
        <v>578</v>
      </c>
      <c r="F855" s="24"/>
      <c r="G855" s="26">
        <v>44782.75114583333</v>
      </c>
      <c r="H855" s="26">
        <v>44895.750543981485</v>
      </c>
      <c r="I855" s="24" t="s">
        <v>40</v>
      </c>
      <c r="J855" s="24" t="s">
        <v>41</v>
      </c>
      <c r="K855" s="24"/>
      <c r="L855" s="24"/>
      <c r="M855" s="24" t="s">
        <v>44</v>
      </c>
      <c r="N855" s="24"/>
      <c r="O855" s="27"/>
      <c r="P855" s="27"/>
      <c r="Q855" s="24"/>
      <c r="R855" s="23">
        <f>HYPERLINK("https://app.hubspot.com/contacts/8748051/record/0-2/8724489606", 8724489606)</f>
        <v>8724489606</v>
      </c>
      <c r="S855" s="24" t="s">
        <v>2799</v>
      </c>
      <c r="T855" s="28" t="s">
        <v>2800</v>
      </c>
      <c r="U855" s="24" t="s">
        <v>47</v>
      </c>
      <c r="V855" s="24"/>
      <c r="W855" s="25"/>
      <c r="X855" s="29">
        <v>246.0</v>
      </c>
      <c r="Y855" s="29">
        <v>49.0</v>
      </c>
      <c r="Z855" s="30"/>
      <c r="AA855" s="30"/>
      <c r="AB855" s="31"/>
      <c r="AC855" s="31"/>
      <c r="AD855" s="30"/>
      <c r="AE855" s="30"/>
      <c r="AF855" s="30"/>
      <c r="AG855" s="27" t="str">
        <f t="shared" si="1"/>
        <v>New Logo</v>
      </c>
      <c r="AH855" s="27" t="str">
        <f t="shared" si="5"/>
        <v>Lead</v>
      </c>
      <c r="AI855" s="27" t="str">
        <f t="shared" si="6"/>
        <v>201-500</v>
      </c>
      <c r="AJ855" s="27" t="str">
        <f t="shared" si="7"/>
        <v>21-50</v>
      </c>
    </row>
    <row r="856" ht="15.75" customHeight="1">
      <c r="A856" s="23">
        <f>HYPERLINK("https://app.hubspot.com/contacts/8748051/record/0-3/9752646991", 9752646991)</f>
        <v>9752646991</v>
      </c>
      <c r="B856" s="24" t="s">
        <v>2801</v>
      </c>
      <c r="C856" s="24" t="s">
        <v>1228</v>
      </c>
      <c r="D856" s="25">
        <v>31500.0</v>
      </c>
      <c r="E856" s="24" t="s">
        <v>92</v>
      </c>
      <c r="F856" s="24" t="s">
        <v>52</v>
      </c>
      <c r="G856" s="26">
        <v>44781.03773148148</v>
      </c>
      <c r="H856" s="26">
        <v>44862.4428125</v>
      </c>
      <c r="I856" s="24" t="s">
        <v>40</v>
      </c>
      <c r="J856" s="24" t="s">
        <v>53</v>
      </c>
      <c r="K856" s="24"/>
      <c r="L856" s="24"/>
      <c r="M856" s="24" t="s">
        <v>102</v>
      </c>
      <c r="N856" s="24" t="s">
        <v>2802</v>
      </c>
      <c r="O856" s="24"/>
      <c r="P856" s="24"/>
      <c r="Q856" s="24"/>
      <c r="R856" s="23">
        <f>HYPERLINK("https://app.hubspot.com/contacts/8748051/record/0-2/7763642695", 7763642695)</f>
        <v>7763642695</v>
      </c>
      <c r="S856" s="24" t="s">
        <v>164</v>
      </c>
      <c r="T856" s="28" t="s">
        <v>165</v>
      </c>
      <c r="U856" s="24" t="s">
        <v>96</v>
      </c>
      <c r="V856" s="24"/>
      <c r="W856" s="25">
        <v>28130.0</v>
      </c>
      <c r="X856" s="29">
        <v>1195.0</v>
      </c>
      <c r="Y856" s="29">
        <v>176.0</v>
      </c>
      <c r="Z856" s="30"/>
      <c r="AA856" s="30" t="s">
        <v>166</v>
      </c>
      <c r="AB856" s="31"/>
      <c r="AC856" s="31"/>
      <c r="AD856" s="30" t="s">
        <v>167</v>
      </c>
      <c r="AE856" s="30" t="s">
        <v>168</v>
      </c>
      <c r="AF856" s="30" t="s">
        <v>169</v>
      </c>
      <c r="AG856" s="27" t="str">
        <f t="shared" si="1"/>
        <v>New Logo</v>
      </c>
      <c r="AH856" s="27" t="str">
        <f t="shared" si="5"/>
        <v>Customer</v>
      </c>
      <c r="AI856" s="27" t="str">
        <f t="shared" si="6"/>
        <v>1001-5000</v>
      </c>
      <c r="AJ856" s="27" t="str">
        <f t="shared" si="7"/>
        <v>101-500</v>
      </c>
    </row>
    <row r="857" ht="15.75" customHeight="1">
      <c r="A857" s="23">
        <f>HYPERLINK("https://app.hubspot.com/contacts/8748051/record/0-3/9698586481", 9698586481)</f>
        <v>9698586481</v>
      </c>
      <c r="B857" s="24" t="s">
        <v>2803</v>
      </c>
      <c r="C857" s="24" t="s">
        <v>50</v>
      </c>
      <c r="D857" s="25">
        <v>10000.0</v>
      </c>
      <c r="E857" s="24" t="s">
        <v>127</v>
      </c>
      <c r="F857" s="24"/>
      <c r="G857" s="26">
        <v>44777.35114583333</v>
      </c>
      <c r="H857" s="26">
        <v>44957.35071759259</v>
      </c>
      <c r="I857" s="24" t="s">
        <v>40</v>
      </c>
      <c r="J857" s="24" t="s">
        <v>41</v>
      </c>
      <c r="K857" s="27"/>
      <c r="L857" s="24"/>
      <c r="M857" s="24" t="s">
        <v>44</v>
      </c>
      <c r="N857" s="24"/>
      <c r="O857" s="24"/>
      <c r="P857" s="27"/>
      <c r="Q857" s="24" t="s">
        <v>144</v>
      </c>
      <c r="R857" s="23">
        <f>HYPERLINK("https://app.hubspot.com/contacts/8748051/record/0-2/5851189553", 5851189553)</f>
        <v>5851189553</v>
      </c>
      <c r="S857" s="24" t="s">
        <v>2804</v>
      </c>
      <c r="T857" s="28" t="s">
        <v>2805</v>
      </c>
      <c r="U857" s="24" t="s">
        <v>47</v>
      </c>
      <c r="V857" s="24"/>
      <c r="W857" s="25"/>
      <c r="X857" s="29">
        <v>905.0</v>
      </c>
      <c r="Y857" s="29">
        <v>145.0</v>
      </c>
      <c r="Z857" s="30" t="s">
        <v>56</v>
      </c>
      <c r="AA857" s="31"/>
      <c r="AB857" s="31"/>
      <c r="AC857" s="31"/>
      <c r="AD857" s="31"/>
      <c r="AE857" s="31"/>
      <c r="AF857" s="31"/>
      <c r="AG857" s="27" t="str">
        <f t="shared" si="1"/>
        <v>New Logo</v>
      </c>
      <c r="AH857" s="27" t="str">
        <f t="shared" si="5"/>
        <v>Lead</v>
      </c>
      <c r="AI857" s="27" t="str">
        <f t="shared" si="6"/>
        <v>501-1000</v>
      </c>
      <c r="AJ857" s="27" t="str">
        <f t="shared" si="7"/>
        <v>101-500</v>
      </c>
    </row>
    <row r="858" ht="15.75" customHeight="1">
      <c r="A858" s="23">
        <f>HYPERLINK("https://app.hubspot.com/contacts/8748051/record/0-3/9698585716", 9698585716)</f>
        <v>9698585716</v>
      </c>
      <c r="B858" s="24" t="s">
        <v>2806</v>
      </c>
      <c r="C858" s="24" t="s">
        <v>2305</v>
      </c>
      <c r="D858" s="25">
        <v>14700.0</v>
      </c>
      <c r="E858" s="24" t="s">
        <v>92</v>
      </c>
      <c r="F858" s="24" t="s">
        <v>52</v>
      </c>
      <c r="G858" s="26">
        <v>44777.34469907408</v>
      </c>
      <c r="H858" s="26">
        <v>44896.68732638889</v>
      </c>
      <c r="I858" s="24" t="s">
        <v>40</v>
      </c>
      <c r="J858" s="24" t="s">
        <v>41</v>
      </c>
      <c r="K858" s="24"/>
      <c r="L858" s="24"/>
      <c r="M858" s="24" t="s">
        <v>44</v>
      </c>
      <c r="N858" s="24" t="s">
        <v>2807</v>
      </c>
      <c r="O858" s="27"/>
      <c r="P858" s="24"/>
      <c r="Q858" s="24"/>
      <c r="R858" s="23">
        <f>HYPERLINK("https://app.hubspot.com/contacts/8748051/record/0-2/9241527874", 9241527874)</f>
        <v>9241527874</v>
      </c>
      <c r="S858" s="24" t="s">
        <v>2808</v>
      </c>
      <c r="T858" s="28" t="s">
        <v>2809</v>
      </c>
      <c r="U858" s="24">
        <v>3.4564763E7</v>
      </c>
      <c r="V858" s="35">
        <v>45264.0</v>
      </c>
      <c r="W858" s="25">
        <v>14700.0</v>
      </c>
      <c r="X858" s="29">
        <v>1373.0</v>
      </c>
      <c r="Y858" s="29">
        <v>95.0</v>
      </c>
      <c r="Z858" s="30"/>
      <c r="AA858" s="30"/>
      <c r="AB858" s="31"/>
      <c r="AC858" s="31"/>
      <c r="AD858" s="30"/>
      <c r="AE858" s="31"/>
      <c r="AF858" s="30"/>
      <c r="AG858" s="27" t="str">
        <f t="shared" si="1"/>
        <v>New Logo</v>
      </c>
      <c r="AH858" s="27" t="str">
        <f t="shared" si="5"/>
        <v>Churn</v>
      </c>
      <c r="AI858" s="27" t="str">
        <f t="shared" si="6"/>
        <v>1001-5000</v>
      </c>
      <c r="AJ858" s="27" t="str">
        <f t="shared" si="7"/>
        <v>51-100</v>
      </c>
    </row>
    <row r="859" ht="15.75" customHeight="1">
      <c r="A859" s="23">
        <f>HYPERLINK("https://app.hubspot.com/contacts/8748051/record/0-3/9604311724", 9604311724)</f>
        <v>9604311724</v>
      </c>
      <c r="B859" s="24" t="s">
        <v>2810</v>
      </c>
      <c r="C859" s="24" t="s">
        <v>50</v>
      </c>
      <c r="D859" s="25">
        <v>10000.0</v>
      </c>
      <c r="E859" s="24" t="s">
        <v>149</v>
      </c>
      <c r="F859" s="24"/>
      <c r="G859" s="26">
        <v>44768.672326388885</v>
      </c>
      <c r="H859" s="26">
        <v>45397.391168981485</v>
      </c>
      <c r="I859" s="24" t="s">
        <v>40</v>
      </c>
      <c r="J859" s="24" t="s">
        <v>41</v>
      </c>
      <c r="K859" s="27"/>
      <c r="L859" s="27"/>
      <c r="M859" s="24" t="s">
        <v>44</v>
      </c>
      <c r="N859" s="24"/>
      <c r="O859" s="24" t="s">
        <v>2811</v>
      </c>
      <c r="P859" s="24"/>
      <c r="Q859" s="24"/>
      <c r="R859" s="23">
        <f>HYPERLINK("https://app.hubspot.com/contacts/8748051/record/0-2/7945114506", 7945114506)</f>
        <v>7945114506</v>
      </c>
      <c r="S859" s="24" t="s">
        <v>2406</v>
      </c>
      <c r="T859" s="28" t="s">
        <v>2407</v>
      </c>
      <c r="U859" s="24" t="s">
        <v>47</v>
      </c>
      <c r="V859" s="24"/>
      <c r="W859" s="25"/>
      <c r="X859" s="29">
        <v>75.0</v>
      </c>
      <c r="Y859" s="29">
        <v>32.0</v>
      </c>
      <c r="Z859" s="30" t="s">
        <v>2408</v>
      </c>
      <c r="AA859" s="31"/>
      <c r="AB859" s="31"/>
      <c r="AC859" s="31"/>
      <c r="AD859" s="31"/>
      <c r="AE859" s="31"/>
      <c r="AF859" s="31"/>
      <c r="AG859" s="27" t="str">
        <f t="shared" si="1"/>
        <v>New Logo</v>
      </c>
      <c r="AH859" s="27" t="str">
        <f t="shared" si="5"/>
        <v>Lead</v>
      </c>
      <c r="AI859" s="27" t="str">
        <f t="shared" si="6"/>
        <v>0-200</v>
      </c>
      <c r="AJ859" s="27" t="str">
        <f t="shared" si="7"/>
        <v>21-50</v>
      </c>
    </row>
    <row r="860" ht="15.75" customHeight="1">
      <c r="A860" s="23">
        <f>HYPERLINK("https://app.hubspot.com/contacts/8748051/record/0-3/9600481898", 9600481898)</f>
        <v>9600481898</v>
      </c>
      <c r="B860" s="24" t="s">
        <v>2812</v>
      </c>
      <c r="C860" s="24" t="s">
        <v>50</v>
      </c>
      <c r="D860" s="25">
        <v>20000.0</v>
      </c>
      <c r="E860" s="24" t="s">
        <v>127</v>
      </c>
      <c r="F860" s="24"/>
      <c r="G860" s="26">
        <v>44768.392430555556</v>
      </c>
      <c r="H860" s="26">
        <v>44895.392060185186</v>
      </c>
      <c r="I860" s="24" t="s">
        <v>40</v>
      </c>
      <c r="J860" s="24" t="s">
        <v>41</v>
      </c>
      <c r="K860" s="27"/>
      <c r="L860" s="27"/>
      <c r="M860" s="24" t="s">
        <v>44</v>
      </c>
      <c r="N860" s="24"/>
      <c r="O860" s="24"/>
      <c r="P860" s="27"/>
      <c r="Q860" s="24" t="s">
        <v>128</v>
      </c>
      <c r="R860" s="23">
        <f>HYPERLINK("https://app.hubspot.com/contacts/8748051/record/0-2/9069676582", 9069676582)</f>
        <v>9069676582</v>
      </c>
      <c r="S860" s="24" t="s">
        <v>2813</v>
      </c>
      <c r="T860" s="28" t="s">
        <v>2814</v>
      </c>
      <c r="U860" s="24" t="s">
        <v>47</v>
      </c>
      <c r="V860" s="24"/>
      <c r="W860" s="25"/>
      <c r="X860" s="29">
        <v>796.0</v>
      </c>
      <c r="Y860" s="29">
        <v>67.0</v>
      </c>
      <c r="Z860" s="30" t="s">
        <v>108</v>
      </c>
      <c r="AA860" s="30"/>
      <c r="AB860" s="31"/>
      <c r="AC860" s="30"/>
      <c r="AD860" s="30"/>
      <c r="AE860" s="30"/>
      <c r="AF860" s="30"/>
      <c r="AG860" s="27" t="str">
        <f t="shared" si="1"/>
        <v>New Logo</v>
      </c>
      <c r="AH860" s="27" t="str">
        <f t="shared" si="5"/>
        <v>Lead</v>
      </c>
      <c r="AI860" s="27" t="str">
        <f t="shared" si="6"/>
        <v>501-1000</v>
      </c>
      <c r="AJ860" s="27" t="str">
        <f t="shared" si="7"/>
        <v>51-100</v>
      </c>
    </row>
    <row r="861" ht="15.75" customHeight="1">
      <c r="A861" s="23">
        <f>HYPERLINK("https://app.hubspot.com/contacts/8748051/record/0-3/9564084288", 9564084288)</f>
        <v>9564084288</v>
      </c>
      <c r="B861" s="24" t="s">
        <v>2815</v>
      </c>
      <c r="C861" s="24" t="s">
        <v>148</v>
      </c>
      <c r="D861" s="25">
        <v>10000.0</v>
      </c>
      <c r="E861" s="24" t="s">
        <v>127</v>
      </c>
      <c r="F861" s="24" t="s">
        <v>52</v>
      </c>
      <c r="G861" s="26">
        <v>44764.347719907404</v>
      </c>
      <c r="H861" s="26">
        <v>44834.347349537034</v>
      </c>
      <c r="I861" s="24" t="s">
        <v>40</v>
      </c>
      <c r="J861" s="24" t="s">
        <v>41</v>
      </c>
      <c r="K861" s="24"/>
      <c r="L861" s="24"/>
      <c r="M861" s="24" t="s">
        <v>44</v>
      </c>
      <c r="N861" s="24"/>
      <c r="O861" s="24"/>
      <c r="P861" s="27"/>
      <c r="Q861" s="24" t="s">
        <v>128</v>
      </c>
      <c r="R861" s="23">
        <f>HYPERLINK("https://app.hubspot.com/contacts/8748051/record/0-2/9112371739", 9112371739)</f>
        <v>9112371739</v>
      </c>
      <c r="S861" s="24" t="s">
        <v>2816</v>
      </c>
      <c r="T861" s="28" t="s">
        <v>2817</v>
      </c>
      <c r="U861" s="24" t="s">
        <v>47</v>
      </c>
      <c r="V861" s="24"/>
      <c r="W861" s="25"/>
      <c r="X861" s="29">
        <v>2219.0</v>
      </c>
      <c r="Y861" s="29">
        <v>179.0</v>
      </c>
      <c r="Z861" s="30" t="s">
        <v>108</v>
      </c>
      <c r="AA861" s="30"/>
      <c r="AB861" s="31"/>
      <c r="AC861" s="31"/>
      <c r="AD861" s="30"/>
      <c r="AE861" s="30"/>
      <c r="AF861" s="30"/>
      <c r="AG861" s="27" t="str">
        <f t="shared" si="1"/>
        <v>New Logo</v>
      </c>
      <c r="AH861" s="27" t="str">
        <f t="shared" si="5"/>
        <v>Lead</v>
      </c>
      <c r="AI861" s="27" t="str">
        <f t="shared" si="6"/>
        <v>1001-5000</v>
      </c>
      <c r="AJ861" s="27" t="str">
        <f t="shared" si="7"/>
        <v>101-500</v>
      </c>
    </row>
    <row r="862" ht="15.75" customHeight="1">
      <c r="A862" s="23">
        <f>HYPERLINK("https://app.hubspot.com/contacts/8748051/record/0-3/9563948660", 9563948660)</f>
        <v>9563948660</v>
      </c>
      <c r="B862" s="24" t="s">
        <v>2818</v>
      </c>
      <c r="C862" s="24" t="s">
        <v>148</v>
      </c>
      <c r="D862" s="25">
        <v>1000.0</v>
      </c>
      <c r="E862" s="24" t="s">
        <v>127</v>
      </c>
      <c r="F862" s="24" t="s">
        <v>52</v>
      </c>
      <c r="G862" s="26">
        <v>44764.33013888889</v>
      </c>
      <c r="H862" s="26">
        <v>44896.40537037037</v>
      </c>
      <c r="I862" s="24" t="s">
        <v>40</v>
      </c>
      <c r="J862" s="24" t="s">
        <v>41</v>
      </c>
      <c r="K862" s="27"/>
      <c r="L862" s="27"/>
      <c r="M862" s="24" t="s">
        <v>44</v>
      </c>
      <c r="N862" s="24"/>
      <c r="O862" s="24"/>
      <c r="P862" s="27"/>
      <c r="Q862" s="24" t="s">
        <v>197</v>
      </c>
      <c r="R862" s="23">
        <f>HYPERLINK("https://app.hubspot.com/contacts/8748051/record/0-2/9199031126", 9199031126)</f>
        <v>9199031126</v>
      </c>
      <c r="S862" s="24" t="s">
        <v>2819</v>
      </c>
      <c r="T862" s="28" t="s">
        <v>2820</v>
      </c>
      <c r="U862" s="24" t="s">
        <v>47</v>
      </c>
      <c r="V862" s="24"/>
      <c r="W862" s="25"/>
      <c r="X862" s="29">
        <v>0.0</v>
      </c>
      <c r="Y862" s="29">
        <v>0.0</v>
      </c>
      <c r="Z862" s="30"/>
      <c r="AA862" s="30"/>
      <c r="AB862" s="31"/>
      <c r="AC862" s="31"/>
      <c r="AD862" s="30"/>
      <c r="AE862" s="30"/>
      <c r="AF862" s="30"/>
      <c r="AG862" s="27" t="str">
        <f t="shared" si="1"/>
        <v>New Logo</v>
      </c>
      <c r="AH862" s="27" t="str">
        <f t="shared" si="5"/>
        <v>Lead</v>
      </c>
      <c r="AI862" s="27" t="str">
        <f t="shared" si="6"/>
        <v>0-200</v>
      </c>
      <c r="AJ862" s="27" t="str">
        <f t="shared" si="7"/>
        <v>0-20</v>
      </c>
    </row>
    <row r="863" ht="15.75" customHeight="1">
      <c r="A863" s="23">
        <f>HYPERLINK("https://app.hubspot.com/contacts/8748051/record/0-3/9563771392", 9563771392)</f>
        <v>9563771392</v>
      </c>
      <c r="B863" s="24" t="s">
        <v>2821</v>
      </c>
      <c r="C863" s="24" t="s">
        <v>1228</v>
      </c>
      <c r="D863" s="25">
        <v>10000.0</v>
      </c>
      <c r="E863" s="24" t="s">
        <v>127</v>
      </c>
      <c r="F863" s="24" t="s">
        <v>52</v>
      </c>
      <c r="G863" s="26">
        <v>44764.31429398148</v>
      </c>
      <c r="H863" s="26">
        <v>45046.50203703704</v>
      </c>
      <c r="I863" s="24" t="s">
        <v>40</v>
      </c>
      <c r="J863" s="24" t="s">
        <v>53</v>
      </c>
      <c r="K863" s="27"/>
      <c r="L863" s="27"/>
      <c r="M863" s="24" t="s">
        <v>102</v>
      </c>
      <c r="N863" s="24"/>
      <c r="O863" s="24" t="s">
        <v>2822</v>
      </c>
      <c r="P863" s="27"/>
      <c r="Q863" s="24" t="s">
        <v>197</v>
      </c>
      <c r="R863" s="23">
        <f>HYPERLINK("https://app.hubspot.com/contacts/8748051/record/0-2/7735473314", 7735473314)</f>
        <v>7735473314</v>
      </c>
      <c r="S863" s="24" t="s">
        <v>316</v>
      </c>
      <c r="T863" s="28" t="s">
        <v>317</v>
      </c>
      <c r="U863" s="24" t="s">
        <v>96</v>
      </c>
      <c r="V863" s="24"/>
      <c r="W863" s="25">
        <v>7920.0</v>
      </c>
      <c r="X863" s="29">
        <v>653.0</v>
      </c>
      <c r="Y863" s="29">
        <v>92.0</v>
      </c>
      <c r="Z863" s="30"/>
      <c r="AA863" s="30" t="s">
        <v>193</v>
      </c>
      <c r="AB863" s="31"/>
      <c r="AC863" s="31"/>
      <c r="AD863" s="30" t="s">
        <v>318</v>
      </c>
      <c r="AE863" s="30" t="s">
        <v>319</v>
      </c>
      <c r="AF863" s="30" t="s">
        <v>169</v>
      </c>
      <c r="AG863" s="27" t="str">
        <f t="shared" si="1"/>
        <v>New Logo</v>
      </c>
      <c r="AH863" s="27" t="str">
        <f t="shared" si="5"/>
        <v>Customer</v>
      </c>
      <c r="AI863" s="27" t="str">
        <f t="shared" si="6"/>
        <v>501-1000</v>
      </c>
      <c r="AJ863" s="27" t="str">
        <f t="shared" si="7"/>
        <v>51-100</v>
      </c>
    </row>
    <row r="864" ht="15.75" customHeight="1">
      <c r="A864" s="23">
        <f>HYPERLINK("https://app.hubspot.com/contacts/8748051/record/0-3/9500191316", 9500191316)</f>
        <v>9500191316</v>
      </c>
      <c r="B864" s="24" t="s">
        <v>2823</v>
      </c>
      <c r="C864" s="24" t="s">
        <v>1228</v>
      </c>
      <c r="D864" s="25">
        <v>8000.0</v>
      </c>
      <c r="E864" s="24" t="s">
        <v>92</v>
      </c>
      <c r="F864" s="24" t="s">
        <v>52</v>
      </c>
      <c r="G864" s="26">
        <v>44757.16119212963</v>
      </c>
      <c r="H864" s="26">
        <v>44854.298854166664</v>
      </c>
      <c r="I864" s="24" t="s">
        <v>40</v>
      </c>
      <c r="J864" s="24" t="s">
        <v>41</v>
      </c>
      <c r="K864" s="27"/>
      <c r="L864" s="27"/>
      <c r="M864" s="24" t="s">
        <v>102</v>
      </c>
      <c r="N864" s="24" t="s">
        <v>2824</v>
      </c>
      <c r="O864" s="24"/>
      <c r="P864" s="24"/>
      <c r="Q864" s="24"/>
      <c r="R864" s="23">
        <f>HYPERLINK("https://app.hubspot.com/contacts/8748051/record/0-2/9069677835", 9069677835)</f>
        <v>9069677835</v>
      </c>
      <c r="S864" s="24" t="s">
        <v>2825</v>
      </c>
      <c r="T864" s="28" t="s">
        <v>2826</v>
      </c>
      <c r="U864" s="24">
        <v>3.4564763E7</v>
      </c>
      <c r="V864" s="35">
        <v>45230.0</v>
      </c>
      <c r="W864" s="25">
        <v>8000.0</v>
      </c>
      <c r="X864" s="29">
        <v>72.0</v>
      </c>
      <c r="Y864" s="29">
        <v>15.0</v>
      </c>
      <c r="Z864" s="30"/>
      <c r="AA864" s="30"/>
      <c r="AB864" s="31"/>
      <c r="AC864" s="31"/>
      <c r="AD864" s="30"/>
      <c r="AE864" s="30"/>
      <c r="AF864" s="30"/>
      <c r="AG864" s="27" t="str">
        <f t="shared" si="1"/>
        <v>New Logo</v>
      </c>
      <c r="AH864" s="27" t="str">
        <f t="shared" si="5"/>
        <v>Churn</v>
      </c>
      <c r="AI864" s="27" t="str">
        <f t="shared" si="6"/>
        <v>0-200</v>
      </c>
      <c r="AJ864" s="27" t="str">
        <f t="shared" si="7"/>
        <v>0-20</v>
      </c>
    </row>
    <row r="865" ht="15.75" customHeight="1">
      <c r="A865" s="23">
        <f>HYPERLINK("https://app.hubspot.com/contacts/8748051/record/0-3/9492530510", 9492530510)</f>
        <v>9492530510</v>
      </c>
      <c r="B865" s="24" t="s">
        <v>2827</v>
      </c>
      <c r="C865" s="24" t="s">
        <v>1009</v>
      </c>
      <c r="D865" s="25">
        <v>12000.0</v>
      </c>
      <c r="E865" s="24" t="s">
        <v>127</v>
      </c>
      <c r="F865" s="24" t="s">
        <v>52</v>
      </c>
      <c r="G865" s="26">
        <v>44756.336226851854</v>
      </c>
      <c r="H865" s="26">
        <v>45016.099016203705</v>
      </c>
      <c r="I865" s="24" t="s">
        <v>40</v>
      </c>
      <c r="J865" s="24" t="s">
        <v>41</v>
      </c>
      <c r="K865" s="27"/>
      <c r="L865" s="27"/>
      <c r="M865" s="24" t="s">
        <v>102</v>
      </c>
      <c r="N865" s="27"/>
      <c r="O865" s="24"/>
      <c r="P865" s="27"/>
      <c r="Q865" s="24" t="s">
        <v>197</v>
      </c>
      <c r="R865" s="23">
        <f>HYPERLINK("https://app.hubspot.com/contacts/8748051/record/0-2/9102544233", 9102544233)</f>
        <v>9102544233</v>
      </c>
      <c r="S865" s="24" t="s">
        <v>2828</v>
      </c>
      <c r="T865" s="28" t="s">
        <v>2829</v>
      </c>
      <c r="U865" s="24" t="s">
        <v>47</v>
      </c>
      <c r="V865" s="24"/>
      <c r="W865" s="32"/>
      <c r="X865" s="29">
        <v>112.0</v>
      </c>
      <c r="Y865" s="29">
        <v>16.0</v>
      </c>
      <c r="Z865" s="30"/>
      <c r="AA865" s="31"/>
      <c r="AB865" s="31"/>
      <c r="AC865" s="31"/>
      <c r="AD865" s="31"/>
      <c r="AE865" s="31"/>
      <c r="AF865" s="31"/>
      <c r="AG865" s="27" t="str">
        <f t="shared" si="1"/>
        <v>New Logo</v>
      </c>
      <c r="AH865" s="27" t="str">
        <f t="shared" si="5"/>
        <v>Lead</v>
      </c>
      <c r="AI865" s="27" t="str">
        <f t="shared" si="6"/>
        <v>0-200</v>
      </c>
      <c r="AJ865" s="27" t="str">
        <f t="shared" si="7"/>
        <v>0-20</v>
      </c>
    </row>
    <row r="866" ht="15.75" customHeight="1">
      <c r="A866" s="23">
        <f>HYPERLINK("https://app.hubspot.com/contacts/8748051/record/0-3/9491980806", 9491980806)</f>
        <v>9491980806</v>
      </c>
      <c r="B866" s="24" t="s">
        <v>2200</v>
      </c>
      <c r="C866" s="24" t="s">
        <v>1009</v>
      </c>
      <c r="D866" s="25">
        <v>43000.0</v>
      </c>
      <c r="E866" s="24" t="s">
        <v>149</v>
      </c>
      <c r="F866" s="24" t="s">
        <v>52</v>
      </c>
      <c r="G866" s="26">
        <v>44756.245300925926</v>
      </c>
      <c r="H866" s="26">
        <v>44775.19868055556</v>
      </c>
      <c r="I866" s="24" t="s">
        <v>40</v>
      </c>
      <c r="J866" s="24" t="s">
        <v>41</v>
      </c>
      <c r="K866" s="24"/>
      <c r="L866" s="24"/>
      <c r="M866" s="24" t="s">
        <v>102</v>
      </c>
      <c r="N866" s="24"/>
      <c r="O866" s="24" t="s">
        <v>2830</v>
      </c>
      <c r="P866" s="24"/>
      <c r="Q866" s="24"/>
      <c r="R866" s="23">
        <f>HYPERLINK("https://app.hubspot.com/contacts/8748051/record/0-2/7709596024", 7709596024)</f>
        <v>7709596024</v>
      </c>
      <c r="S866" s="24" t="s">
        <v>2201</v>
      </c>
      <c r="T866" s="28" t="s">
        <v>2202</v>
      </c>
      <c r="U866" s="24" t="s">
        <v>47</v>
      </c>
      <c r="V866" s="24"/>
      <c r="W866" s="25"/>
      <c r="X866" s="29">
        <v>1385.0</v>
      </c>
      <c r="Y866" s="29">
        <v>136.0</v>
      </c>
      <c r="Z866" s="30" t="s">
        <v>71</v>
      </c>
      <c r="AA866" s="30"/>
      <c r="AB866" s="31"/>
      <c r="AC866" s="31"/>
      <c r="AD866" s="30"/>
      <c r="AE866" s="31"/>
      <c r="AF866" s="30"/>
      <c r="AG866" s="27" t="str">
        <f t="shared" si="1"/>
        <v>New Logo</v>
      </c>
      <c r="AH866" s="27" t="str">
        <f t="shared" si="5"/>
        <v>Lead</v>
      </c>
      <c r="AI866" s="27" t="str">
        <f t="shared" si="6"/>
        <v>1001-5000</v>
      </c>
      <c r="AJ866" s="27" t="str">
        <f t="shared" si="7"/>
        <v>101-500</v>
      </c>
    </row>
    <row r="867" ht="15.75" customHeight="1">
      <c r="A867" s="23">
        <f>HYPERLINK("https://app.hubspot.com/contacts/8748051/record/0-3/13265977096", 13265977096)</f>
        <v>13265977096</v>
      </c>
      <c r="B867" s="24" t="s">
        <v>2831</v>
      </c>
      <c r="C867" s="24" t="s">
        <v>1009</v>
      </c>
      <c r="D867" s="25">
        <v>18000.0</v>
      </c>
      <c r="E867" s="24" t="s">
        <v>127</v>
      </c>
      <c r="F867" s="24" t="s">
        <v>52</v>
      </c>
      <c r="G867" s="26">
        <v>44756.03060185185</v>
      </c>
      <c r="H867" s="26">
        <v>45016.308854166666</v>
      </c>
      <c r="I867" s="24" t="s">
        <v>40</v>
      </c>
      <c r="J867" s="24" t="s">
        <v>41</v>
      </c>
      <c r="K867" s="27"/>
      <c r="L867" s="24"/>
      <c r="M867" s="24" t="s">
        <v>102</v>
      </c>
      <c r="N867" s="24"/>
      <c r="O867" s="24"/>
      <c r="P867" s="27"/>
      <c r="Q867" s="24" t="s">
        <v>144</v>
      </c>
      <c r="R867" s="23">
        <f>HYPERLINK("https://app.hubspot.com/contacts/8748051/record/0-2/8954257817", 8954257817)</f>
        <v>8954257817</v>
      </c>
      <c r="S867" s="24" t="s">
        <v>2832</v>
      </c>
      <c r="T867" s="28" t="s">
        <v>2833</v>
      </c>
      <c r="U867" s="24" t="s">
        <v>47</v>
      </c>
      <c r="V867" s="24"/>
      <c r="W867" s="25"/>
      <c r="X867" s="29">
        <v>508.0</v>
      </c>
      <c r="Y867" s="29">
        <v>9.0</v>
      </c>
      <c r="Z867" s="30"/>
      <c r="AA867" s="30"/>
      <c r="AB867" s="31"/>
      <c r="AC867" s="31"/>
      <c r="AD867" s="30"/>
      <c r="AE867" s="31"/>
      <c r="AF867" s="30"/>
      <c r="AG867" s="27" t="str">
        <f t="shared" si="1"/>
        <v>New Logo</v>
      </c>
      <c r="AH867" s="27" t="str">
        <f t="shared" si="5"/>
        <v>Lead</v>
      </c>
      <c r="AI867" s="27" t="str">
        <f t="shared" si="6"/>
        <v>501-1000</v>
      </c>
      <c r="AJ867" s="27" t="str">
        <f t="shared" si="7"/>
        <v>0-20</v>
      </c>
    </row>
    <row r="868" ht="15.75" customHeight="1">
      <c r="A868" s="23">
        <f>HYPERLINK("https://app.hubspot.com/contacts/8748051/record/0-3/9465234347", 9465234347)</f>
        <v>9465234347</v>
      </c>
      <c r="B868" s="24" t="s">
        <v>2834</v>
      </c>
      <c r="C868" s="24" t="s">
        <v>1009</v>
      </c>
      <c r="D868" s="25">
        <v>18000.0</v>
      </c>
      <c r="E868" s="24" t="s">
        <v>149</v>
      </c>
      <c r="F868" s="24" t="s">
        <v>52</v>
      </c>
      <c r="G868" s="26">
        <v>44754.05266203704</v>
      </c>
      <c r="H868" s="26">
        <v>44789.078414351854</v>
      </c>
      <c r="I868" s="24" t="s">
        <v>40</v>
      </c>
      <c r="J868" s="24" t="s">
        <v>41</v>
      </c>
      <c r="K868" s="27"/>
      <c r="L868" s="27"/>
      <c r="M868" s="24" t="s">
        <v>102</v>
      </c>
      <c r="N868" s="24"/>
      <c r="O868" s="24" t="s">
        <v>2835</v>
      </c>
      <c r="P868" s="27"/>
      <c r="Q868" s="24"/>
      <c r="R868" s="23">
        <f>HYPERLINK("https://app.hubspot.com/contacts/8748051/record/0-2/8762802616", 8762802616)</f>
        <v>8762802616</v>
      </c>
      <c r="S868" s="24" t="s">
        <v>2836</v>
      </c>
      <c r="T868" s="28" t="s">
        <v>2837</v>
      </c>
      <c r="U868" s="24" t="s">
        <v>47</v>
      </c>
      <c r="V868" s="24"/>
      <c r="W868" s="25"/>
      <c r="X868" s="29">
        <v>511.0</v>
      </c>
      <c r="Y868" s="29">
        <v>105.0</v>
      </c>
      <c r="Z868" s="30"/>
      <c r="AA868" s="31"/>
      <c r="AB868" s="31"/>
      <c r="AC868" s="31"/>
      <c r="AD868" s="31"/>
      <c r="AE868" s="31"/>
      <c r="AF868" s="31"/>
      <c r="AG868" s="27" t="str">
        <f t="shared" si="1"/>
        <v>New Logo</v>
      </c>
      <c r="AH868" s="27" t="str">
        <f t="shared" si="5"/>
        <v>Lead</v>
      </c>
      <c r="AI868" s="27" t="str">
        <f t="shared" si="6"/>
        <v>501-1000</v>
      </c>
      <c r="AJ868" s="27" t="str">
        <f t="shared" si="7"/>
        <v>101-500</v>
      </c>
    </row>
    <row r="869" ht="15.75" customHeight="1">
      <c r="A869" s="23">
        <f>HYPERLINK("https://app.hubspot.com/contacts/8748051/record/0-3/9352799377", 9352799377)</f>
        <v>9352799377</v>
      </c>
      <c r="B869" s="24" t="s">
        <v>2838</v>
      </c>
      <c r="C869" s="24" t="s">
        <v>50</v>
      </c>
      <c r="D869" s="25">
        <v>30000.0</v>
      </c>
      <c r="E869" s="24" t="s">
        <v>149</v>
      </c>
      <c r="F869" s="24" t="s">
        <v>52</v>
      </c>
      <c r="G869" s="26">
        <v>44742.35517361111</v>
      </c>
      <c r="H869" s="26">
        <v>44938.576840277776</v>
      </c>
      <c r="I869" s="24" t="s">
        <v>40</v>
      </c>
      <c r="J869" s="24" t="s">
        <v>41</v>
      </c>
      <c r="K869" s="27"/>
      <c r="L869" s="27"/>
      <c r="M869" s="24" t="s">
        <v>44</v>
      </c>
      <c r="N869" s="24"/>
      <c r="O869" s="24" t="s">
        <v>2839</v>
      </c>
      <c r="P869" s="27"/>
      <c r="Q869" s="24"/>
      <c r="R869" s="23">
        <f>HYPERLINK("https://app.hubspot.com/contacts/8748051/record/0-2/7514685489", 7514685489)</f>
        <v>7514685489</v>
      </c>
      <c r="S869" s="24" t="s">
        <v>2413</v>
      </c>
      <c r="T869" s="28" t="s">
        <v>2414</v>
      </c>
      <c r="U869" s="24" t="s">
        <v>47</v>
      </c>
      <c r="V869" s="24"/>
      <c r="W869" s="25"/>
      <c r="X869" s="29">
        <v>1431.0</v>
      </c>
      <c r="Y869" s="29">
        <v>339.0</v>
      </c>
      <c r="Z869" s="30" t="s">
        <v>125</v>
      </c>
      <c r="AA869" s="31"/>
      <c r="AB869" s="31"/>
      <c r="AC869" s="31"/>
      <c r="AD869" s="31"/>
      <c r="AE869" s="31"/>
      <c r="AF869" s="31"/>
      <c r="AG869" s="27" t="str">
        <f t="shared" si="1"/>
        <v>New Logo</v>
      </c>
      <c r="AH869" s="27" t="str">
        <f t="shared" si="5"/>
        <v>Lead</v>
      </c>
      <c r="AI869" s="27" t="str">
        <f t="shared" si="6"/>
        <v>1001-5000</v>
      </c>
      <c r="AJ869" s="27" t="str">
        <f t="shared" si="7"/>
        <v>101-500</v>
      </c>
    </row>
    <row r="870" ht="15.75" customHeight="1">
      <c r="A870" s="23">
        <f>HYPERLINK("https://app.hubspot.com/contacts/8748051/record/0-3/9317549940", 9317549940)</f>
        <v>9317549940</v>
      </c>
      <c r="B870" s="24" t="s">
        <v>2840</v>
      </c>
      <c r="C870" s="24" t="s">
        <v>50</v>
      </c>
      <c r="D870" s="25">
        <v>10000.0</v>
      </c>
      <c r="E870" s="24" t="s">
        <v>127</v>
      </c>
      <c r="F870" s="24"/>
      <c r="G870" s="26">
        <v>44739.36682870371</v>
      </c>
      <c r="H870" s="26">
        <v>44834.36616898148</v>
      </c>
      <c r="I870" s="24" t="s">
        <v>40</v>
      </c>
      <c r="J870" s="24" t="s">
        <v>41</v>
      </c>
      <c r="K870" s="27"/>
      <c r="L870" s="27"/>
      <c r="M870" s="24" t="s">
        <v>44</v>
      </c>
      <c r="N870" s="24"/>
      <c r="O870" s="24"/>
      <c r="P870" s="27"/>
      <c r="Q870" s="24" t="s">
        <v>144</v>
      </c>
      <c r="R870" s="23">
        <f>HYPERLINK("https://app.hubspot.com/contacts/8748051/record/0-2/30038830176", 30038830176)</f>
        <v>30038830176</v>
      </c>
      <c r="S870" s="24" t="s">
        <v>2841</v>
      </c>
      <c r="T870" s="28" t="s">
        <v>2842</v>
      </c>
      <c r="U870" s="24" t="s">
        <v>47</v>
      </c>
      <c r="V870" s="24"/>
      <c r="W870" s="25"/>
      <c r="X870" s="29">
        <v>1597.0</v>
      </c>
      <c r="Y870" s="29">
        <v>301.0</v>
      </c>
      <c r="Z870" s="30" t="s">
        <v>125</v>
      </c>
      <c r="AA870" s="30"/>
      <c r="AB870" s="31"/>
      <c r="AC870" s="31"/>
      <c r="AD870" s="30"/>
      <c r="AE870" s="31"/>
      <c r="AF870" s="30"/>
      <c r="AG870" s="27" t="str">
        <f t="shared" si="1"/>
        <v>New Logo</v>
      </c>
      <c r="AH870" s="27" t="str">
        <f t="shared" si="5"/>
        <v>Lead</v>
      </c>
      <c r="AI870" s="27" t="str">
        <f t="shared" si="6"/>
        <v>1001-5000</v>
      </c>
      <c r="AJ870" s="27" t="str">
        <f t="shared" si="7"/>
        <v>101-500</v>
      </c>
    </row>
    <row r="871" ht="15.75" customHeight="1">
      <c r="A871" s="23">
        <f>HYPERLINK("https://app.hubspot.com/contacts/8748051/record/0-3/9317549428", 9317549428)</f>
        <v>9317549428</v>
      </c>
      <c r="B871" s="24" t="s">
        <v>2843</v>
      </c>
      <c r="C871" s="24" t="s">
        <v>148</v>
      </c>
      <c r="D871" s="25">
        <v>10000.0</v>
      </c>
      <c r="E871" s="24" t="s">
        <v>127</v>
      </c>
      <c r="F871" s="24" t="s">
        <v>52</v>
      </c>
      <c r="G871" s="26">
        <v>44739.36399305556</v>
      </c>
      <c r="H871" s="26">
        <v>44926.409583333334</v>
      </c>
      <c r="I871" s="24" t="s">
        <v>40</v>
      </c>
      <c r="J871" s="24" t="s">
        <v>41</v>
      </c>
      <c r="K871" s="24"/>
      <c r="L871" s="24"/>
      <c r="M871" s="24" t="s">
        <v>44</v>
      </c>
      <c r="N871" s="24"/>
      <c r="O871" s="24"/>
      <c r="P871" s="27"/>
      <c r="Q871" s="24" t="s">
        <v>128</v>
      </c>
      <c r="R871" s="23">
        <f>HYPERLINK("https://app.hubspot.com/contacts/8748051/record/0-2/8142148194", 8142148194)</f>
        <v>8142148194</v>
      </c>
      <c r="S871" s="24" t="s">
        <v>2844</v>
      </c>
      <c r="T871" s="28" t="s">
        <v>2845</v>
      </c>
      <c r="U871" s="24" t="s">
        <v>47</v>
      </c>
      <c r="V871" s="24"/>
      <c r="W871" s="25"/>
      <c r="X871" s="29">
        <v>600.0</v>
      </c>
      <c r="Y871" s="29">
        <v>30.0</v>
      </c>
      <c r="Z871" s="30" t="s">
        <v>56</v>
      </c>
      <c r="AA871" s="30"/>
      <c r="AB871" s="31"/>
      <c r="AC871" s="31"/>
      <c r="AD871" s="30"/>
      <c r="AE871" s="31"/>
      <c r="AF871" s="30"/>
      <c r="AG871" s="27" t="str">
        <f t="shared" si="1"/>
        <v>New Logo</v>
      </c>
      <c r="AH871" s="27" t="str">
        <f t="shared" si="5"/>
        <v>Lead</v>
      </c>
      <c r="AI871" s="27" t="str">
        <f t="shared" si="6"/>
        <v>501-1000</v>
      </c>
      <c r="AJ871" s="27" t="str">
        <f t="shared" si="7"/>
        <v>21-50</v>
      </c>
    </row>
    <row r="872" ht="15.75" customHeight="1">
      <c r="A872" s="23">
        <f>HYPERLINK("https://app.hubspot.com/contacts/8748051/record/0-3/9252558724", 9252558724)</f>
        <v>9252558724</v>
      </c>
      <c r="B872" s="24" t="s">
        <v>2846</v>
      </c>
      <c r="C872" s="24" t="s">
        <v>148</v>
      </c>
      <c r="D872" s="25">
        <v>20000.0</v>
      </c>
      <c r="E872" s="24" t="s">
        <v>149</v>
      </c>
      <c r="F872" s="24" t="s">
        <v>52</v>
      </c>
      <c r="G872" s="26">
        <v>44732.40894675926</v>
      </c>
      <c r="H872" s="26">
        <v>44755.38041666667</v>
      </c>
      <c r="I872" s="24" t="s">
        <v>40</v>
      </c>
      <c r="J872" s="24" t="s">
        <v>41</v>
      </c>
      <c r="K872" s="24"/>
      <c r="L872" s="24"/>
      <c r="M872" s="24" t="s">
        <v>44</v>
      </c>
      <c r="N872" s="24"/>
      <c r="O872" s="24" t="s">
        <v>2847</v>
      </c>
      <c r="P872" s="27"/>
      <c r="Q872" s="24"/>
      <c r="R872" s="23">
        <f>HYPERLINK("https://app.hubspot.com/contacts/8748051/record/0-2/17208462762", 17208462762)</f>
        <v>17208462762</v>
      </c>
      <c r="S872" s="24" t="s">
        <v>2848</v>
      </c>
      <c r="T872" s="24" t="s">
        <v>2849</v>
      </c>
      <c r="U872" s="24" t="s">
        <v>47</v>
      </c>
      <c r="V872" s="24"/>
      <c r="W872" s="25"/>
      <c r="X872" s="29">
        <v>361.0</v>
      </c>
      <c r="Y872" s="29">
        <v>31.0</v>
      </c>
      <c r="Z872" s="30"/>
      <c r="AA872" s="30"/>
      <c r="AB872" s="31"/>
      <c r="AC872" s="31"/>
      <c r="AD872" s="30"/>
      <c r="AE872" s="31"/>
      <c r="AF872" s="30"/>
      <c r="AG872" s="27" t="str">
        <f t="shared" si="1"/>
        <v>New Logo</v>
      </c>
      <c r="AH872" s="27" t="str">
        <f t="shared" si="5"/>
        <v>Lead</v>
      </c>
      <c r="AI872" s="27" t="str">
        <f t="shared" si="6"/>
        <v>201-500</v>
      </c>
      <c r="AJ872" s="27" t="str">
        <f t="shared" si="7"/>
        <v>21-50</v>
      </c>
    </row>
    <row r="873" ht="15.75" customHeight="1">
      <c r="A873" s="23">
        <f>HYPERLINK("https://app.hubspot.com/contacts/8748051/record/0-3/9216908208", 9216908208)</f>
        <v>9216908208</v>
      </c>
      <c r="B873" s="24" t="s">
        <v>2850</v>
      </c>
      <c r="C873" s="24" t="s">
        <v>50</v>
      </c>
      <c r="D873" s="25">
        <v>10000.0</v>
      </c>
      <c r="E873" s="24" t="s">
        <v>127</v>
      </c>
      <c r="F873" s="24"/>
      <c r="G873" s="26">
        <v>44729.374606481484</v>
      </c>
      <c r="H873" s="26">
        <v>44862.35203703704</v>
      </c>
      <c r="I873" s="24" t="s">
        <v>40</v>
      </c>
      <c r="J873" s="24" t="s">
        <v>41</v>
      </c>
      <c r="K873" s="24" t="s">
        <v>60</v>
      </c>
      <c r="L873" s="24" t="s">
        <v>178</v>
      </c>
      <c r="M873" s="24" t="s">
        <v>44</v>
      </c>
      <c r="N873" s="24"/>
      <c r="O873" s="24"/>
      <c r="P873" s="24"/>
      <c r="Q873" s="24" t="s">
        <v>128</v>
      </c>
      <c r="R873" s="23">
        <f>HYPERLINK("https://app.hubspot.com/contacts/8748051/record/0-2/7231790886", 7231790886)</f>
        <v>7231790886</v>
      </c>
      <c r="S873" s="24" t="s">
        <v>2851</v>
      </c>
      <c r="T873" s="28" t="s">
        <v>2852</v>
      </c>
      <c r="U873" s="24" t="s">
        <v>47</v>
      </c>
      <c r="V873" s="24"/>
      <c r="W873" s="25"/>
      <c r="X873" s="29">
        <v>288.0</v>
      </c>
      <c r="Y873" s="29">
        <v>18.0</v>
      </c>
      <c r="Z873" s="30" t="s">
        <v>108</v>
      </c>
      <c r="AA873" s="31"/>
      <c r="AB873" s="31"/>
      <c r="AC873" s="31"/>
      <c r="AD873" s="31"/>
      <c r="AE873" s="31"/>
      <c r="AF873" s="31"/>
      <c r="AG873" s="27" t="str">
        <f t="shared" si="1"/>
        <v>New Logo</v>
      </c>
      <c r="AH873" s="27" t="str">
        <f t="shared" si="5"/>
        <v>Lead</v>
      </c>
      <c r="AI873" s="27" t="str">
        <f t="shared" si="6"/>
        <v>201-500</v>
      </c>
      <c r="AJ873" s="27" t="str">
        <f t="shared" si="7"/>
        <v>0-20</v>
      </c>
    </row>
    <row r="874" ht="15.75" customHeight="1">
      <c r="A874" s="23">
        <f>HYPERLINK("https://app.hubspot.com/contacts/8748051/record/0-3/9216797471", 9216797471)</f>
        <v>9216797471</v>
      </c>
      <c r="B874" s="24" t="s">
        <v>2853</v>
      </c>
      <c r="C874" s="24" t="s">
        <v>50</v>
      </c>
      <c r="D874" s="25">
        <v>10000.0</v>
      </c>
      <c r="E874" s="24" t="s">
        <v>127</v>
      </c>
      <c r="F874" s="24"/>
      <c r="G874" s="26">
        <v>44729.36243055556</v>
      </c>
      <c r="H874" s="26">
        <v>45044.43240740741</v>
      </c>
      <c r="I874" s="24" t="s">
        <v>40</v>
      </c>
      <c r="J874" s="24" t="s">
        <v>41</v>
      </c>
      <c r="K874" s="27"/>
      <c r="L874" s="27"/>
      <c r="M874" s="24" t="s">
        <v>44</v>
      </c>
      <c r="N874" s="24"/>
      <c r="O874" s="24"/>
      <c r="P874" s="27"/>
      <c r="Q874" s="24" t="s">
        <v>128</v>
      </c>
      <c r="R874" s="23">
        <f>HYPERLINK("https://app.hubspot.com/contacts/8748051/record/0-2/8512837194", 8512837194)</f>
        <v>8512837194</v>
      </c>
      <c r="S874" s="24" t="s">
        <v>2854</v>
      </c>
      <c r="T874" s="28" t="s">
        <v>2855</v>
      </c>
      <c r="U874" s="24" t="s">
        <v>47</v>
      </c>
      <c r="V874" s="24"/>
      <c r="W874" s="25"/>
      <c r="X874" s="29">
        <v>1561.0</v>
      </c>
      <c r="Y874" s="29">
        <v>78.0</v>
      </c>
      <c r="Z874" s="30"/>
      <c r="AA874" s="30"/>
      <c r="AB874" s="31"/>
      <c r="AC874" s="30"/>
      <c r="AD874" s="30"/>
      <c r="AE874" s="30"/>
      <c r="AF874" s="30"/>
      <c r="AG874" s="27" t="str">
        <f t="shared" si="1"/>
        <v>New Logo</v>
      </c>
      <c r="AH874" s="27" t="str">
        <f t="shared" si="5"/>
        <v>Lead</v>
      </c>
      <c r="AI874" s="27" t="str">
        <f t="shared" si="6"/>
        <v>1001-5000</v>
      </c>
      <c r="AJ874" s="27" t="str">
        <f t="shared" si="7"/>
        <v>51-100</v>
      </c>
    </row>
    <row r="875" ht="15.75" customHeight="1">
      <c r="A875" s="23">
        <f>HYPERLINK("https://app.hubspot.com/contacts/8748051/record/0-3/9175640955", 9175640955)</f>
        <v>9175640955</v>
      </c>
      <c r="B875" s="24" t="s">
        <v>2856</v>
      </c>
      <c r="C875" s="24" t="s">
        <v>1228</v>
      </c>
      <c r="D875" s="25">
        <v>11040.0</v>
      </c>
      <c r="E875" s="24" t="s">
        <v>92</v>
      </c>
      <c r="F875" s="24" t="s">
        <v>52</v>
      </c>
      <c r="G875" s="26">
        <v>44725.51950231481</v>
      </c>
      <c r="H875" s="26">
        <v>44753.1040162037</v>
      </c>
      <c r="I875" s="24" t="s">
        <v>40</v>
      </c>
      <c r="J875" s="24" t="s">
        <v>41</v>
      </c>
      <c r="K875" s="24"/>
      <c r="L875" s="24"/>
      <c r="M875" s="24" t="s">
        <v>102</v>
      </c>
      <c r="N875" s="24" t="s">
        <v>2857</v>
      </c>
      <c r="O875" s="27"/>
      <c r="P875" s="24"/>
      <c r="Q875" s="24"/>
      <c r="R875" s="23">
        <f>HYPERLINK("https://app.hubspot.com/contacts/8748051/record/0-2/8088324111", 8088324111)</f>
        <v>8088324111</v>
      </c>
      <c r="S875" s="24" t="s">
        <v>2858</v>
      </c>
      <c r="T875" s="28" t="s">
        <v>2859</v>
      </c>
      <c r="U875" s="24">
        <v>3.4564763E7</v>
      </c>
      <c r="V875" s="35">
        <v>45484.0</v>
      </c>
      <c r="W875" s="25">
        <v>11040.0</v>
      </c>
      <c r="X875" s="29">
        <v>409.0</v>
      </c>
      <c r="Y875" s="29">
        <v>35.0</v>
      </c>
      <c r="Z875" s="30"/>
      <c r="AA875" s="30"/>
      <c r="AB875" s="30"/>
      <c r="AC875" s="30"/>
      <c r="AD875" s="30"/>
      <c r="AE875" s="30"/>
      <c r="AF875" s="30"/>
      <c r="AG875" s="27" t="str">
        <f t="shared" si="1"/>
        <v>New Logo</v>
      </c>
      <c r="AH875" s="27" t="str">
        <f t="shared" si="5"/>
        <v>Churn</v>
      </c>
      <c r="AI875" s="27" t="str">
        <f t="shared" si="6"/>
        <v>201-500</v>
      </c>
      <c r="AJ875" s="27" t="str">
        <f t="shared" si="7"/>
        <v>21-50</v>
      </c>
    </row>
    <row r="876" ht="15.75" customHeight="1">
      <c r="A876" s="23">
        <f>HYPERLINK("https://app.hubspot.com/contacts/8748051/record/0-3/9154174210", 9154174210)</f>
        <v>9154174210</v>
      </c>
      <c r="B876" s="24" t="s">
        <v>2860</v>
      </c>
      <c r="C876" s="24" t="s">
        <v>50</v>
      </c>
      <c r="D876" s="25">
        <v>10500.0</v>
      </c>
      <c r="E876" s="24" t="s">
        <v>127</v>
      </c>
      <c r="F876" s="24" t="s">
        <v>52</v>
      </c>
      <c r="G876" s="26">
        <v>44722.45475694445</v>
      </c>
      <c r="H876" s="26">
        <v>44895.335381944446</v>
      </c>
      <c r="I876" s="24" t="s">
        <v>40</v>
      </c>
      <c r="J876" s="24" t="s">
        <v>41</v>
      </c>
      <c r="K876" s="27"/>
      <c r="L876" s="27"/>
      <c r="M876" s="24" t="s">
        <v>44</v>
      </c>
      <c r="N876" s="24"/>
      <c r="O876" s="24"/>
      <c r="P876" s="27"/>
      <c r="Q876" s="24" t="s">
        <v>128</v>
      </c>
      <c r="R876" s="23">
        <f>HYPERLINK("https://app.hubspot.com/contacts/8748051/record/0-2/7668475050", 7668475050)</f>
        <v>7668475050</v>
      </c>
      <c r="S876" s="24" t="s">
        <v>2861</v>
      </c>
      <c r="T876" s="28" t="s">
        <v>2862</v>
      </c>
      <c r="U876" s="24" t="s">
        <v>47</v>
      </c>
      <c r="V876" s="24"/>
      <c r="W876" s="25"/>
      <c r="X876" s="29">
        <v>253.0</v>
      </c>
      <c r="Y876" s="29">
        <v>32.0</v>
      </c>
      <c r="Z876" s="30" t="s">
        <v>108</v>
      </c>
      <c r="AA876" s="30"/>
      <c r="AB876" s="31"/>
      <c r="AC876" s="30"/>
      <c r="AD876" s="30"/>
      <c r="AE876" s="30"/>
      <c r="AF876" s="30"/>
      <c r="AG876" s="27" t="str">
        <f t="shared" si="1"/>
        <v>New Logo</v>
      </c>
      <c r="AH876" s="27" t="str">
        <f t="shared" si="5"/>
        <v>Lead</v>
      </c>
      <c r="AI876" s="27" t="str">
        <f t="shared" si="6"/>
        <v>201-500</v>
      </c>
      <c r="AJ876" s="27" t="str">
        <f t="shared" si="7"/>
        <v>21-50</v>
      </c>
    </row>
    <row r="877" ht="15.75" customHeight="1">
      <c r="A877" s="23">
        <f>HYPERLINK("https://app.hubspot.com/contacts/8748051/record/0-3/9110428302", 9110428302)</f>
        <v>9110428302</v>
      </c>
      <c r="B877" s="24" t="s">
        <v>2863</v>
      </c>
      <c r="C877" s="24" t="s">
        <v>1009</v>
      </c>
      <c r="D877" s="25">
        <v>15000.0</v>
      </c>
      <c r="E877" s="24" t="s">
        <v>127</v>
      </c>
      <c r="F877" s="24" t="s">
        <v>52</v>
      </c>
      <c r="G877" s="26">
        <v>44718.23318287037</v>
      </c>
      <c r="H877" s="26">
        <v>45230.53818287037</v>
      </c>
      <c r="I877" s="24" t="s">
        <v>40</v>
      </c>
      <c r="J877" s="24" t="s">
        <v>41</v>
      </c>
      <c r="K877" s="27"/>
      <c r="L877" s="27"/>
      <c r="M877" s="24" t="s">
        <v>102</v>
      </c>
      <c r="N877" s="27"/>
      <c r="O877" s="24" t="s">
        <v>2864</v>
      </c>
      <c r="P877" s="27"/>
      <c r="Q877" s="24" t="s">
        <v>144</v>
      </c>
      <c r="R877" s="23">
        <f>HYPERLINK("https://app.hubspot.com/contacts/8748051/record/0-2/8817052744", 8817052744)</f>
        <v>8817052744</v>
      </c>
      <c r="S877" s="24" t="s">
        <v>2865</v>
      </c>
      <c r="T877" s="28" t="s">
        <v>2866</v>
      </c>
      <c r="U877" s="24" t="s">
        <v>47</v>
      </c>
      <c r="V877" s="24"/>
      <c r="W877" s="32"/>
      <c r="X877" s="29">
        <v>297.0</v>
      </c>
      <c r="Y877" s="29">
        <v>20.0</v>
      </c>
      <c r="Z877" s="30"/>
      <c r="AA877" s="31"/>
      <c r="AB877" s="31"/>
      <c r="AC877" s="31"/>
      <c r="AD877" s="31"/>
      <c r="AE877" s="31"/>
      <c r="AF877" s="31"/>
      <c r="AG877" s="27" t="str">
        <f t="shared" si="1"/>
        <v>New Logo</v>
      </c>
      <c r="AH877" s="27" t="str">
        <f t="shared" si="5"/>
        <v>Lead</v>
      </c>
      <c r="AI877" s="27" t="str">
        <f t="shared" si="6"/>
        <v>201-500</v>
      </c>
      <c r="AJ877" s="27" t="str">
        <f t="shared" si="7"/>
        <v>0-20</v>
      </c>
    </row>
    <row r="878" ht="15.75" customHeight="1">
      <c r="A878" s="23">
        <f>HYPERLINK("https://app.hubspot.com/contacts/8748051/record/0-3/9079701175", 9079701175)</f>
        <v>9079701175</v>
      </c>
      <c r="B878" s="24" t="s">
        <v>2867</v>
      </c>
      <c r="C878" s="24" t="s">
        <v>50</v>
      </c>
      <c r="D878" s="25">
        <v>10000.0</v>
      </c>
      <c r="E878" s="24" t="s">
        <v>127</v>
      </c>
      <c r="F878" s="24" t="s">
        <v>52</v>
      </c>
      <c r="G878" s="26">
        <v>44714.33678240741</v>
      </c>
      <c r="H878" s="26">
        <v>45016.43363425926</v>
      </c>
      <c r="I878" s="24" t="s">
        <v>40</v>
      </c>
      <c r="J878" s="24" t="s">
        <v>41</v>
      </c>
      <c r="K878" s="27"/>
      <c r="L878" s="27"/>
      <c r="M878" s="24" t="s">
        <v>44</v>
      </c>
      <c r="N878" s="27"/>
      <c r="O878" s="24"/>
      <c r="P878" s="27"/>
      <c r="Q878" s="24" t="s">
        <v>144</v>
      </c>
      <c r="R878" s="23">
        <f>HYPERLINK("https://app.hubspot.com/contacts/8748051/record/0-2/7131052804", 7131052804)</f>
        <v>7131052804</v>
      </c>
      <c r="S878" s="24" t="s">
        <v>2499</v>
      </c>
      <c r="T878" s="28" t="s">
        <v>2500</v>
      </c>
      <c r="U878" s="24" t="s">
        <v>47</v>
      </c>
      <c r="V878" s="24"/>
      <c r="W878" s="32"/>
      <c r="X878" s="29">
        <v>626.0</v>
      </c>
      <c r="Y878" s="29">
        <v>135.0</v>
      </c>
      <c r="Z878" s="30" t="s">
        <v>71</v>
      </c>
      <c r="AA878" s="31"/>
      <c r="AB878" s="31"/>
      <c r="AC878" s="31"/>
      <c r="AD878" s="31"/>
      <c r="AE878" s="31"/>
      <c r="AF878" s="31"/>
      <c r="AG878" s="27" t="str">
        <f t="shared" si="1"/>
        <v>New Logo</v>
      </c>
      <c r="AH878" s="27" t="str">
        <f t="shared" si="5"/>
        <v>Lead</v>
      </c>
      <c r="AI878" s="27" t="str">
        <f t="shared" si="6"/>
        <v>501-1000</v>
      </c>
      <c r="AJ878" s="27" t="str">
        <f t="shared" si="7"/>
        <v>101-500</v>
      </c>
    </row>
    <row r="879" ht="15.75" customHeight="1">
      <c r="A879" s="23">
        <f>HYPERLINK("https://app.hubspot.com/contacts/8748051/record/0-3/9055002536", 9055002536)</f>
        <v>9055002536</v>
      </c>
      <c r="B879" s="24" t="s">
        <v>2868</v>
      </c>
      <c r="C879" s="24" t="s">
        <v>1009</v>
      </c>
      <c r="D879" s="25">
        <v>1500.0</v>
      </c>
      <c r="E879" s="24" t="s">
        <v>127</v>
      </c>
      <c r="F879" s="24"/>
      <c r="G879" s="26">
        <v>44712.29418981481</v>
      </c>
      <c r="H879" s="26">
        <v>44865.22592592592</v>
      </c>
      <c r="I879" s="24" t="s">
        <v>40</v>
      </c>
      <c r="J879" s="24" t="s">
        <v>41</v>
      </c>
      <c r="K879" s="27"/>
      <c r="L879" s="27"/>
      <c r="M879" s="24" t="s">
        <v>102</v>
      </c>
      <c r="N879" s="24"/>
      <c r="O879" s="24"/>
      <c r="P879" s="27"/>
      <c r="Q879" s="24" t="s">
        <v>128</v>
      </c>
      <c r="R879" s="23">
        <f>HYPERLINK("https://app.hubspot.com/contacts/8748051/record/0-2/7231779621", 7231779621)</f>
        <v>7231779621</v>
      </c>
      <c r="S879" s="24" t="s">
        <v>2869</v>
      </c>
      <c r="T879" s="28" t="s">
        <v>2870</v>
      </c>
      <c r="U879" s="24" t="s">
        <v>47</v>
      </c>
      <c r="V879" s="24"/>
      <c r="W879" s="25"/>
      <c r="X879" s="29">
        <v>68.0</v>
      </c>
      <c r="Y879" s="29">
        <v>3.0</v>
      </c>
      <c r="Z879" s="30"/>
      <c r="AA879" s="31"/>
      <c r="AB879" s="31"/>
      <c r="AC879" s="31"/>
      <c r="AD879" s="31"/>
      <c r="AE879" s="31"/>
      <c r="AF879" s="31"/>
      <c r="AG879" s="27" t="str">
        <f t="shared" si="1"/>
        <v>New Logo</v>
      </c>
      <c r="AH879" s="27" t="str">
        <f t="shared" si="5"/>
        <v>Lead</v>
      </c>
      <c r="AI879" s="27" t="str">
        <f t="shared" si="6"/>
        <v>0-200</v>
      </c>
      <c r="AJ879" s="27" t="str">
        <f t="shared" si="7"/>
        <v>0-20</v>
      </c>
    </row>
    <row r="880" ht="15.75" customHeight="1">
      <c r="A880" s="23">
        <f>HYPERLINK("https://app.hubspot.com/contacts/8748051/record/0-3/9018076471", 9018076471)</f>
        <v>9018076471</v>
      </c>
      <c r="B880" s="24" t="s">
        <v>2871</v>
      </c>
      <c r="C880" s="24" t="s">
        <v>50</v>
      </c>
      <c r="D880" s="25">
        <v>20000.0</v>
      </c>
      <c r="E880" s="24" t="s">
        <v>127</v>
      </c>
      <c r="F880" s="24" t="s">
        <v>52</v>
      </c>
      <c r="G880" s="26">
        <v>44707.601493055554</v>
      </c>
      <c r="H880" s="26">
        <v>44804.600798611114</v>
      </c>
      <c r="I880" s="24" t="s">
        <v>40</v>
      </c>
      <c r="J880" s="24" t="s">
        <v>41</v>
      </c>
      <c r="K880" s="27"/>
      <c r="L880" s="27"/>
      <c r="M880" s="24" t="s">
        <v>44</v>
      </c>
      <c r="N880" s="27"/>
      <c r="O880" s="24"/>
      <c r="P880" s="24"/>
      <c r="Q880" s="24" t="s">
        <v>128</v>
      </c>
      <c r="R880" s="23">
        <f>HYPERLINK("https://app.hubspot.com/contacts/8748051/record/0-2/8142344025", 8142344025)</f>
        <v>8142344025</v>
      </c>
      <c r="S880" s="24" t="s">
        <v>2872</v>
      </c>
      <c r="T880" s="28" t="s">
        <v>2873</v>
      </c>
      <c r="U880" s="24" t="s">
        <v>47</v>
      </c>
      <c r="V880" s="24"/>
      <c r="W880" s="32"/>
      <c r="X880" s="29">
        <v>779.0</v>
      </c>
      <c r="Y880" s="29">
        <v>146.0</v>
      </c>
      <c r="Z880" s="30" t="s">
        <v>546</v>
      </c>
      <c r="AA880" s="31"/>
      <c r="AB880" s="31"/>
      <c r="AC880" s="31"/>
      <c r="AD880" s="31"/>
      <c r="AE880" s="31"/>
      <c r="AF880" s="31"/>
      <c r="AG880" s="27" t="str">
        <f t="shared" si="1"/>
        <v>New Logo</v>
      </c>
      <c r="AH880" s="27" t="str">
        <f t="shared" si="5"/>
        <v>Lead</v>
      </c>
      <c r="AI880" s="27" t="str">
        <f t="shared" si="6"/>
        <v>501-1000</v>
      </c>
      <c r="AJ880" s="27" t="str">
        <f t="shared" si="7"/>
        <v>101-500</v>
      </c>
    </row>
    <row r="881" ht="15.75" customHeight="1">
      <c r="A881" s="23">
        <f>HYPERLINK("https://app.hubspot.com/contacts/8748051/record/0-3/8938873429", 8938873429)</f>
        <v>8938873429</v>
      </c>
      <c r="B881" s="24" t="s">
        <v>2874</v>
      </c>
      <c r="C881" s="24" t="s">
        <v>1009</v>
      </c>
      <c r="D881" s="25">
        <v>4000.0</v>
      </c>
      <c r="E881" s="24" t="s">
        <v>127</v>
      </c>
      <c r="F881" s="24"/>
      <c r="G881" s="26">
        <v>44698.69996527778</v>
      </c>
      <c r="H881" s="26">
        <v>44895.4106712963</v>
      </c>
      <c r="I881" s="24" t="s">
        <v>40</v>
      </c>
      <c r="J881" s="24" t="s">
        <v>41</v>
      </c>
      <c r="K881" s="27"/>
      <c r="L881" s="24"/>
      <c r="M881" s="24" t="s">
        <v>44</v>
      </c>
      <c r="N881" s="24"/>
      <c r="O881" s="24"/>
      <c r="P881" s="24"/>
      <c r="Q881" s="24" t="s">
        <v>128</v>
      </c>
      <c r="R881" s="23">
        <f>HYPERLINK("https://app.hubspot.com/contacts/8748051/record/0-2/7266212204", 7266212204)</f>
        <v>7266212204</v>
      </c>
      <c r="S881" s="24" t="s">
        <v>2875</v>
      </c>
      <c r="T881" s="28" t="s">
        <v>2876</v>
      </c>
      <c r="U881" s="24" t="s">
        <v>47</v>
      </c>
      <c r="V881" s="24"/>
      <c r="W881" s="25"/>
      <c r="X881" s="29">
        <v>100.0</v>
      </c>
      <c r="Y881" s="29">
        <v>8.0</v>
      </c>
      <c r="Z881" s="30"/>
      <c r="AA881" s="30"/>
      <c r="AB881" s="31"/>
      <c r="AC881" s="30"/>
      <c r="AD881" s="30"/>
      <c r="AE881" s="30"/>
      <c r="AF881" s="30"/>
      <c r="AG881" s="27" t="str">
        <f t="shared" si="1"/>
        <v>New Logo</v>
      </c>
      <c r="AH881" s="27" t="str">
        <f t="shared" si="5"/>
        <v>Lead</v>
      </c>
      <c r="AI881" s="27" t="str">
        <f t="shared" si="6"/>
        <v>0-200</v>
      </c>
      <c r="AJ881" s="27" t="str">
        <f t="shared" si="7"/>
        <v>0-20</v>
      </c>
    </row>
    <row r="882" ht="15.75" customHeight="1">
      <c r="A882" s="23">
        <f>HYPERLINK("https://app.hubspot.com/contacts/8748051/record/0-3/8926954531", 8926954531)</f>
        <v>8926954531</v>
      </c>
      <c r="B882" s="24" t="s">
        <v>2877</v>
      </c>
      <c r="C882" s="24" t="s">
        <v>38</v>
      </c>
      <c r="D882" s="25">
        <v>21500.0</v>
      </c>
      <c r="E882" s="24" t="s">
        <v>73</v>
      </c>
      <c r="F882" s="24" t="s">
        <v>52</v>
      </c>
      <c r="G882" s="26">
        <v>44697.56209490741</v>
      </c>
      <c r="H882" s="26">
        <v>45282.35472222222</v>
      </c>
      <c r="I882" s="24" t="s">
        <v>40</v>
      </c>
      <c r="J882" s="24" t="s">
        <v>41</v>
      </c>
      <c r="K882" s="27"/>
      <c r="L882" s="27"/>
      <c r="M882" s="24" t="s">
        <v>44</v>
      </c>
      <c r="N882" s="24"/>
      <c r="O882" s="24"/>
      <c r="P882" s="24" t="s">
        <v>122</v>
      </c>
      <c r="Q882" s="24"/>
      <c r="R882" s="23">
        <f>HYPERLINK("https://app.hubspot.com/contacts/8748051/record/0-2/8142425750", 8142425750)</f>
        <v>8142425750</v>
      </c>
      <c r="S882" s="28" t="s">
        <v>2878</v>
      </c>
      <c r="T882" s="28" t="s">
        <v>2879</v>
      </c>
      <c r="U882" s="24" t="s">
        <v>47</v>
      </c>
      <c r="V882" s="24"/>
      <c r="W882" s="25"/>
      <c r="X882" s="29">
        <v>1630.0</v>
      </c>
      <c r="Y882" s="29">
        <v>49.0</v>
      </c>
      <c r="Z882" s="30"/>
      <c r="AA882" s="30"/>
      <c r="AB882" s="31"/>
      <c r="AC882" s="30"/>
      <c r="AD882" s="30"/>
      <c r="AE882" s="30"/>
      <c r="AF882" s="30"/>
      <c r="AG882" s="27" t="str">
        <f t="shared" si="1"/>
        <v>New Logo</v>
      </c>
      <c r="AH882" s="27" t="str">
        <f t="shared" si="5"/>
        <v>Lead</v>
      </c>
      <c r="AI882" s="27" t="str">
        <f t="shared" si="6"/>
        <v>1001-5000</v>
      </c>
      <c r="AJ882" s="27" t="str">
        <f t="shared" si="7"/>
        <v>21-50</v>
      </c>
    </row>
    <row r="883" ht="15.75" customHeight="1">
      <c r="A883" s="23">
        <f>HYPERLINK("https://app.hubspot.com/contacts/8748051/record/0-3/8911452847", 8911452847)</f>
        <v>8911452847</v>
      </c>
      <c r="B883" s="24" t="s">
        <v>2880</v>
      </c>
      <c r="C883" s="24" t="s">
        <v>1228</v>
      </c>
      <c r="D883" s="25">
        <v>20700.0</v>
      </c>
      <c r="E883" s="24" t="s">
        <v>92</v>
      </c>
      <c r="F883" s="24" t="s">
        <v>52</v>
      </c>
      <c r="G883" s="26">
        <v>44695.45181712963</v>
      </c>
      <c r="H883" s="26">
        <v>44949.29667824074</v>
      </c>
      <c r="I883" s="24" t="s">
        <v>40</v>
      </c>
      <c r="J883" s="24" t="s">
        <v>41</v>
      </c>
      <c r="K883" s="27"/>
      <c r="L883" s="24"/>
      <c r="M883" s="24" t="s">
        <v>102</v>
      </c>
      <c r="N883" s="24" t="s">
        <v>2881</v>
      </c>
      <c r="O883" s="24" t="s">
        <v>2882</v>
      </c>
      <c r="P883" s="27"/>
      <c r="Q883" s="24"/>
      <c r="R883" s="23">
        <f>HYPERLINK("https://app.hubspot.com/contacts/8748051/record/0-2/8557519787", 8557519787)</f>
        <v>8557519787</v>
      </c>
      <c r="S883" s="24" t="s">
        <v>1210</v>
      </c>
      <c r="T883" s="28" t="s">
        <v>1211</v>
      </c>
      <c r="U883" s="24" t="s">
        <v>96</v>
      </c>
      <c r="V883" s="24"/>
      <c r="W883" s="25">
        <v>16560.0</v>
      </c>
      <c r="X883" s="29">
        <v>563.0</v>
      </c>
      <c r="Y883" s="29">
        <v>72.0</v>
      </c>
      <c r="Z883" s="30"/>
      <c r="AA883" s="30" t="s">
        <v>220</v>
      </c>
      <c r="AB883" s="31"/>
      <c r="AC883" s="30" t="s">
        <v>268</v>
      </c>
      <c r="AD883" s="30" t="s">
        <v>1160</v>
      </c>
      <c r="AE883" s="30" t="s">
        <v>1212</v>
      </c>
      <c r="AF883" s="30" t="s">
        <v>554</v>
      </c>
      <c r="AG883" s="27" t="str">
        <f t="shared" si="1"/>
        <v>New Logo</v>
      </c>
      <c r="AH883" s="27" t="str">
        <f t="shared" si="5"/>
        <v>Customer</v>
      </c>
      <c r="AI883" s="27" t="str">
        <f t="shared" si="6"/>
        <v>501-1000</v>
      </c>
      <c r="AJ883" s="27" t="str">
        <f t="shared" si="7"/>
        <v>51-100</v>
      </c>
    </row>
    <row r="884" ht="15.75" customHeight="1">
      <c r="A884" s="23">
        <f>HYPERLINK("https://app.hubspot.com/contacts/8748051/record/0-3/8911452825", 8911452825)</f>
        <v>8911452825</v>
      </c>
      <c r="B884" s="24" t="s">
        <v>2883</v>
      </c>
      <c r="C884" s="24" t="s">
        <v>1009</v>
      </c>
      <c r="D884" s="25"/>
      <c r="E884" s="24" t="s">
        <v>149</v>
      </c>
      <c r="F884" s="24"/>
      <c r="G884" s="26">
        <v>44695.448171296295</v>
      </c>
      <c r="H884" s="26">
        <v>44865.309745370374</v>
      </c>
      <c r="I884" s="24" t="s">
        <v>40</v>
      </c>
      <c r="J884" s="24" t="s">
        <v>41</v>
      </c>
      <c r="K884" s="27"/>
      <c r="L884" s="27"/>
      <c r="M884" s="24" t="s">
        <v>102</v>
      </c>
      <c r="N884" s="24"/>
      <c r="O884" s="24" t="s">
        <v>2884</v>
      </c>
      <c r="P884" s="27"/>
      <c r="Q884" s="24"/>
      <c r="R884" s="23">
        <f>HYPERLINK("https://app.hubspot.com/contacts/8748051/record/0-2/8549506158", 8549506158)</f>
        <v>8549506158</v>
      </c>
      <c r="S884" s="24" t="s">
        <v>2885</v>
      </c>
      <c r="T884" s="28" t="s">
        <v>2886</v>
      </c>
      <c r="U884" s="24" t="s">
        <v>47</v>
      </c>
      <c r="V884" s="24"/>
      <c r="W884" s="25"/>
      <c r="X884" s="29">
        <v>1108.0</v>
      </c>
      <c r="Y884" s="29">
        <v>44.0</v>
      </c>
      <c r="Z884" s="30"/>
      <c r="AA884" s="31"/>
      <c r="AB884" s="31"/>
      <c r="AC884" s="31"/>
      <c r="AD884" s="31"/>
      <c r="AE884" s="31"/>
      <c r="AF884" s="31"/>
      <c r="AG884" s="27" t="str">
        <f t="shared" si="1"/>
        <v>New Logo</v>
      </c>
      <c r="AH884" s="27" t="str">
        <f t="shared" si="5"/>
        <v>Lead</v>
      </c>
      <c r="AI884" s="27" t="str">
        <f t="shared" si="6"/>
        <v>1001-5000</v>
      </c>
      <c r="AJ884" s="27" t="str">
        <f t="shared" si="7"/>
        <v>21-50</v>
      </c>
    </row>
    <row r="885" ht="15.75" customHeight="1">
      <c r="A885" s="23">
        <f>HYPERLINK("https://app.hubspot.com/contacts/8748051/record/0-3/8911615338", 8911615338)</f>
        <v>8911615338</v>
      </c>
      <c r="B885" s="24" t="s">
        <v>2887</v>
      </c>
      <c r="C885" s="24" t="s">
        <v>1009</v>
      </c>
      <c r="D885" s="25"/>
      <c r="E885" s="24" t="s">
        <v>149</v>
      </c>
      <c r="F885" s="24" t="s">
        <v>52</v>
      </c>
      <c r="G885" s="26">
        <v>44695.44363425926</v>
      </c>
      <c r="H885" s="26">
        <v>44750.485868055555</v>
      </c>
      <c r="I885" s="24" t="s">
        <v>40</v>
      </c>
      <c r="J885" s="24" t="s">
        <v>41</v>
      </c>
      <c r="K885" s="24"/>
      <c r="L885" s="24"/>
      <c r="M885" s="24" t="s">
        <v>102</v>
      </c>
      <c r="N885" s="24"/>
      <c r="O885" s="24" t="s">
        <v>2888</v>
      </c>
      <c r="P885" s="27"/>
      <c r="Q885" s="24"/>
      <c r="R885" s="23">
        <f>HYPERLINK("https://app.hubspot.com/contacts/8748051/record/0-2/26369838987", 26369838987)</f>
        <v>26369838987</v>
      </c>
      <c r="S885" s="24" t="s">
        <v>2889</v>
      </c>
      <c r="T885" s="28" t="s">
        <v>2890</v>
      </c>
      <c r="U885" s="24" t="s">
        <v>47</v>
      </c>
      <c r="V885" s="24"/>
      <c r="W885" s="25"/>
      <c r="X885" s="29">
        <v>120.0</v>
      </c>
      <c r="Y885" s="29">
        <v>25.0</v>
      </c>
      <c r="Z885" s="30"/>
      <c r="AA885" s="30"/>
      <c r="AB885" s="30"/>
      <c r="AC885" s="31"/>
      <c r="AD885" s="30"/>
      <c r="AE885" s="31"/>
      <c r="AF885" s="30"/>
      <c r="AG885" s="27" t="str">
        <f t="shared" si="1"/>
        <v>New Logo</v>
      </c>
      <c r="AH885" s="27" t="str">
        <f t="shared" si="5"/>
        <v>Lead</v>
      </c>
      <c r="AI885" s="27" t="str">
        <f t="shared" si="6"/>
        <v>0-200</v>
      </c>
      <c r="AJ885" s="27" t="str">
        <f t="shared" si="7"/>
        <v>21-50</v>
      </c>
    </row>
    <row r="886" ht="15.75" customHeight="1">
      <c r="A886" s="23">
        <f>HYPERLINK("https://app.hubspot.com/contacts/8748051/record/0-3/8908158255", 8908158255)</f>
        <v>8908158255</v>
      </c>
      <c r="B886" s="24" t="s">
        <v>2891</v>
      </c>
      <c r="C886" s="24" t="s">
        <v>50</v>
      </c>
      <c r="D886" s="25">
        <v>20000.0</v>
      </c>
      <c r="E886" s="24" t="s">
        <v>127</v>
      </c>
      <c r="F886" s="24" t="s">
        <v>52</v>
      </c>
      <c r="G886" s="26">
        <v>44694.907326388886</v>
      </c>
      <c r="H886" s="26">
        <v>44865.35498842593</v>
      </c>
      <c r="I886" s="24" t="s">
        <v>40</v>
      </c>
      <c r="J886" s="24" t="s">
        <v>41</v>
      </c>
      <c r="K886" s="27"/>
      <c r="L886" s="27"/>
      <c r="M886" s="24" t="s">
        <v>44</v>
      </c>
      <c r="N886" s="24"/>
      <c r="O886" s="24"/>
      <c r="P886" s="27"/>
      <c r="Q886" s="24" t="s">
        <v>128</v>
      </c>
      <c r="R886" s="23">
        <f>HYPERLINK("https://app.hubspot.com/contacts/8748051/record/0-2/5851034012", 5851034012)</f>
        <v>5851034012</v>
      </c>
      <c r="S886" s="24" t="s">
        <v>2892</v>
      </c>
      <c r="T886" s="28" t="s">
        <v>2893</v>
      </c>
      <c r="U886" s="24" t="s">
        <v>47</v>
      </c>
      <c r="V886" s="24"/>
      <c r="W886" s="25"/>
      <c r="X886" s="29">
        <v>558.0</v>
      </c>
      <c r="Y886" s="29">
        <v>65.0</v>
      </c>
      <c r="Z886" s="30" t="s">
        <v>64</v>
      </c>
      <c r="AA886" s="30"/>
      <c r="AB886" s="31"/>
      <c r="AC886" s="31"/>
      <c r="AD886" s="30"/>
      <c r="AE886" s="31"/>
      <c r="AF886" s="30"/>
      <c r="AG886" s="27" t="str">
        <f t="shared" si="1"/>
        <v>New Logo</v>
      </c>
      <c r="AH886" s="27" t="str">
        <f t="shared" si="5"/>
        <v>Lead</v>
      </c>
      <c r="AI886" s="27" t="str">
        <f t="shared" si="6"/>
        <v>501-1000</v>
      </c>
      <c r="AJ886" s="27" t="str">
        <f t="shared" si="7"/>
        <v>51-100</v>
      </c>
    </row>
    <row r="887" ht="15.75" customHeight="1">
      <c r="A887" s="23">
        <f>HYPERLINK("https://app.hubspot.com/contacts/8748051/record/0-3/8893183525", 8893183525)</f>
        <v>8893183525</v>
      </c>
      <c r="B887" s="24" t="s">
        <v>2894</v>
      </c>
      <c r="C887" s="24" t="s">
        <v>50</v>
      </c>
      <c r="D887" s="25">
        <v>10000.0</v>
      </c>
      <c r="E887" s="24" t="s">
        <v>127</v>
      </c>
      <c r="F887" s="24"/>
      <c r="G887" s="26">
        <v>44693.56453703704</v>
      </c>
      <c r="H887" s="26">
        <v>44895.52064814815</v>
      </c>
      <c r="I887" s="24" t="s">
        <v>40</v>
      </c>
      <c r="J887" s="24" t="s">
        <v>41</v>
      </c>
      <c r="K887" s="24"/>
      <c r="L887" s="24"/>
      <c r="M887" s="24" t="s">
        <v>44</v>
      </c>
      <c r="N887" s="24"/>
      <c r="O887" s="24"/>
      <c r="P887" s="24"/>
      <c r="Q887" s="24" t="s">
        <v>503</v>
      </c>
      <c r="R887" s="23">
        <f>HYPERLINK("https://app.hubspot.com/contacts/8748051/record/0-2/8207710619", 8207710619)</f>
        <v>8207710619</v>
      </c>
      <c r="S887" s="24" t="s">
        <v>2895</v>
      </c>
      <c r="T887" s="28" t="s">
        <v>2896</v>
      </c>
      <c r="U887" s="24" t="s">
        <v>47</v>
      </c>
      <c r="V887" s="24"/>
      <c r="W887" s="25"/>
      <c r="X887" s="29">
        <v>180.0</v>
      </c>
      <c r="Y887" s="29">
        <v>13.0</v>
      </c>
      <c r="Z887" s="30"/>
      <c r="AA887" s="30"/>
      <c r="AB887" s="30"/>
      <c r="AC887" s="31"/>
      <c r="AD887" s="30"/>
      <c r="AE887" s="31"/>
      <c r="AF887" s="30"/>
      <c r="AG887" s="27" t="str">
        <f t="shared" si="1"/>
        <v>New Logo</v>
      </c>
      <c r="AH887" s="27" t="str">
        <f t="shared" si="5"/>
        <v>Lead</v>
      </c>
      <c r="AI887" s="27" t="str">
        <f t="shared" si="6"/>
        <v>0-200</v>
      </c>
      <c r="AJ887" s="27" t="str">
        <f t="shared" si="7"/>
        <v>0-20</v>
      </c>
    </row>
    <row r="888" ht="15.75" customHeight="1">
      <c r="A888" s="23">
        <f>HYPERLINK("https://app.hubspot.com/contacts/8748051/record/0-3/8856079459", 8856079459)</f>
        <v>8856079459</v>
      </c>
      <c r="B888" s="24" t="s">
        <v>614</v>
      </c>
      <c r="C888" s="24" t="s">
        <v>1009</v>
      </c>
      <c r="D888" s="25">
        <v>13000.0</v>
      </c>
      <c r="E888" s="24" t="s">
        <v>127</v>
      </c>
      <c r="F888" s="24" t="s">
        <v>52</v>
      </c>
      <c r="G888" s="26">
        <v>44690.42387731482</v>
      </c>
      <c r="H888" s="26">
        <v>45138.05954861111</v>
      </c>
      <c r="I888" s="24" t="s">
        <v>40</v>
      </c>
      <c r="J888" s="24" t="s">
        <v>41</v>
      </c>
      <c r="K888" s="24"/>
      <c r="L888" s="24"/>
      <c r="M888" s="24" t="s">
        <v>102</v>
      </c>
      <c r="N888" s="24"/>
      <c r="O888" s="24"/>
      <c r="P888" s="24"/>
      <c r="Q888" s="24" t="s">
        <v>144</v>
      </c>
      <c r="R888" s="23">
        <f>HYPERLINK("https://app.hubspot.com/contacts/8748051/record/0-2/8630538410", 8630538410)</f>
        <v>8630538410</v>
      </c>
      <c r="S888" s="24" t="s">
        <v>615</v>
      </c>
      <c r="T888" s="28" t="s">
        <v>616</v>
      </c>
      <c r="U888" s="24" t="s">
        <v>47</v>
      </c>
      <c r="V888" s="24"/>
      <c r="W888" s="25"/>
      <c r="X888" s="29">
        <v>531.0</v>
      </c>
      <c r="Y888" s="29">
        <v>65.0</v>
      </c>
      <c r="Z888" s="30" t="s">
        <v>617</v>
      </c>
      <c r="AA888" s="31"/>
      <c r="AB888" s="31"/>
      <c r="AC888" s="31"/>
      <c r="AD888" s="31"/>
      <c r="AE888" s="31"/>
      <c r="AF888" s="31"/>
      <c r="AG888" s="27" t="str">
        <f t="shared" si="1"/>
        <v>New Logo</v>
      </c>
      <c r="AH888" s="27" t="str">
        <f t="shared" si="5"/>
        <v>Lead</v>
      </c>
      <c r="AI888" s="27" t="str">
        <f t="shared" si="6"/>
        <v>501-1000</v>
      </c>
      <c r="AJ888" s="27" t="str">
        <f t="shared" si="7"/>
        <v>51-100</v>
      </c>
    </row>
    <row r="889" ht="15.75" customHeight="1">
      <c r="A889" s="23">
        <f>HYPERLINK("https://app.hubspot.com/contacts/8748051/record/0-3/8825726608", 8825726608)</f>
        <v>8825726608</v>
      </c>
      <c r="B889" s="24" t="s">
        <v>2897</v>
      </c>
      <c r="C889" s="24" t="s">
        <v>1009</v>
      </c>
      <c r="D889" s="25">
        <v>9000.0</v>
      </c>
      <c r="E889" s="24" t="s">
        <v>73</v>
      </c>
      <c r="F889" s="24" t="s">
        <v>52</v>
      </c>
      <c r="G889" s="26">
        <v>44687.31039351852</v>
      </c>
      <c r="H889" s="26">
        <v>45016.3094212963</v>
      </c>
      <c r="I889" s="24" t="s">
        <v>40</v>
      </c>
      <c r="J889" s="24" t="s">
        <v>41</v>
      </c>
      <c r="K889" s="27"/>
      <c r="L889" s="24"/>
      <c r="M889" s="24" t="s">
        <v>102</v>
      </c>
      <c r="N889" s="27"/>
      <c r="O889" s="24"/>
      <c r="P889" s="24" t="s">
        <v>75</v>
      </c>
      <c r="Q889" s="24"/>
      <c r="R889" s="23">
        <f>HYPERLINK("https://app.hubspot.com/contacts/8748051/record/0-2/8549469861", 8549469861)</f>
        <v>8549469861</v>
      </c>
      <c r="S889" s="24" t="s">
        <v>2898</v>
      </c>
      <c r="T889" s="28" t="s">
        <v>2899</v>
      </c>
      <c r="U889" s="24" t="s">
        <v>47</v>
      </c>
      <c r="V889" s="24"/>
      <c r="W889" s="32"/>
      <c r="X889" s="29">
        <v>188.0</v>
      </c>
      <c r="Y889" s="29">
        <v>12.0</v>
      </c>
      <c r="Z889" s="30"/>
      <c r="AA889" s="31"/>
      <c r="AB889" s="31"/>
      <c r="AC889" s="31"/>
      <c r="AD889" s="31"/>
      <c r="AE889" s="31"/>
      <c r="AF889" s="31"/>
      <c r="AG889" s="27" t="str">
        <f t="shared" si="1"/>
        <v>New Logo</v>
      </c>
      <c r="AH889" s="27" t="str">
        <f t="shared" si="5"/>
        <v>Lead</v>
      </c>
      <c r="AI889" s="27" t="str">
        <f t="shared" si="6"/>
        <v>0-200</v>
      </c>
      <c r="AJ889" s="27" t="str">
        <f t="shared" si="7"/>
        <v>0-20</v>
      </c>
    </row>
    <row r="890" ht="15.75" customHeight="1">
      <c r="A890" s="23">
        <f>HYPERLINK("https://app.hubspot.com/contacts/8748051/record/0-3/8825740640", 8825740640)</f>
        <v>8825740640</v>
      </c>
      <c r="B890" s="24" t="s">
        <v>2900</v>
      </c>
      <c r="C890" s="24" t="s">
        <v>148</v>
      </c>
      <c r="D890" s="25">
        <v>21000.0</v>
      </c>
      <c r="E890" s="24" t="s">
        <v>149</v>
      </c>
      <c r="F890" s="24" t="s">
        <v>52</v>
      </c>
      <c r="G890" s="26">
        <v>44687.309386574074</v>
      </c>
      <c r="H890" s="26">
        <v>45474.33908564815</v>
      </c>
      <c r="I890" s="24" t="s">
        <v>40</v>
      </c>
      <c r="J890" s="24" t="s">
        <v>41</v>
      </c>
      <c r="K890" s="27"/>
      <c r="L890" s="24" t="s">
        <v>183</v>
      </c>
      <c r="M890" s="24" t="s">
        <v>102</v>
      </c>
      <c r="N890" s="24"/>
      <c r="O890" s="24" t="s">
        <v>2901</v>
      </c>
      <c r="P890" s="27"/>
      <c r="Q890" s="24"/>
      <c r="R890" s="23">
        <f>HYPERLINK("https://app.hubspot.com/contacts/8748051/record/0-2/8587394835", 8587394835)</f>
        <v>8587394835</v>
      </c>
      <c r="S890" s="24" t="s">
        <v>2902</v>
      </c>
      <c r="T890" s="28" t="s">
        <v>2903</v>
      </c>
      <c r="U890" s="24" t="s">
        <v>47</v>
      </c>
      <c r="V890" s="24"/>
      <c r="W890" s="25"/>
      <c r="X890" s="29">
        <v>1261.0</v>
      </c>
      <c r="Y890" s="29">
        <v>105.0</v>
      </c>
      <c r="Z890" s="30" t="s">
        <v>64</v>
      </c>
      <c r="AA890" s="31"/>
      <c r="AB890" s="31"/>
      <c r="AC890" s="31"/>
      <c r="AD890" s="31"/>
      <c r="AE890" s="31"/>
      <c r="AF890" s="31"/>
      <c r="AG890" s="27" t="str">
        <f t="shared" si="1"/>
        <v>New Logo</v>
      </c>
      <c r="AH890" s="27" t="str">
        <f t="shared" si="5"/>
        <v>Lead</v>
      </c>
      <c r="AI890" s="27" t="str">
        <f t="shared" si="6"/>
        <v>1001-5000</v>
      </c>
      <c r="AJ890" s="27" t="str">
        <f t="shared" si="7"/>
        <v>101-500</v>
      </c>
    </row>
    <row r="891" ht="15.75" customHeight="1">
      <c r="A891" s="23">
        <f>HYPERLINK("https://app.hubspot.com/contacts/8748051/record/0-3/8825170095", 8825170095)</f>
        <v>8825170095</v>
      </c>
      <c r="B891" s="24" t="s">
        <v>2904</v>
      </c>
      <c r="C891" s="24" t="s">
        <v>1009</v>
      </c>
      <c r="D891" s="25">
        <v>12000.0</v>
      </c>
      <c r="E891" s="24" t="s">
        <v>127</v>
      </c>
      <c r="F891" s="24" t="s">
        <v>52</v>
      </c>
      <c r="G891" s="26">
        <v>44687.308275462965</v>
      </c>
      <c r="H891" s="26">
        <v>45183.03640046297</v>
      </c>
      <c r="I891" s="24" t="s">
        <v>40</v>
      </c>
      <c r="J891" s="24" t="s">
        <v>41</v>
      </c>
      <c r="K891" s="27"/>
      <c r="L891" s="27"/>
      <c r="M891" s="24" t="s">
        <v>102</v>
      </c>
      <c r="N891" s="24"/>
      <c r="O891" s="24"/>
      <c r="P891" s="27"/>
      <c r="Q891" s="24" t="s">
        <v>197</v>
      </c>
      <c r="R891" s="23">
        <f>HYPERLINK("https://app.hubspot.com/contacts/8748051/record/0-2/8324054933", 8324054933)</f>
        <v>8324054933</v>
      </c>
      <c r="S891" s="24" t="s">
        <v>2905</v>
      </c>
      <c r="T891" s="28" t="s">
        <v>2906</v>
      </c>
      <c r="U891" s="24" t="s">
        <v>47</v>
      </c>
      <c r="V891" s="24"/>
      <c r="W891" s="25"/>
      <c r="X891" s="29">
        <v>289.0</v>
      </c>
      <c r="Y891" s="29">
        <v>33.0</v>
      </c>
      <c r="Z891" s="30" t="s">
        <v>2907</v>
      </c>
      <c r="AA891" s="31"/>
      <c r="AB891" s="31"/>
      <c r="AC891" s="31"/>
      <c r="AD891" s="31"/>
      <c r="AE891" s="31"/>
      <c r="AF891" s="31"/>
      <c r="AG891" s="27" t="str">
        <f t="shared" si="1"/>
        <v>New Logo</v>
      </c>
      <c r="AH891" s="27" t="str">
        <f t="shared" si="5"/>
        <v>Lead</v>
      </c>
      <c r="AI891" s="27" t="str">
        <f t="shared" si="6"/>
        <v>201-500</v>
      </c>
      <c r="AJ891" s="27" t="str">
        <f t="shared" si="7"/>
        <v>21-50</v>
      </c>
    </row>
    <row r="892" ht="15.75" customHeight="1">
      <c r="A892" s="23">
        <f>HYPERLINK("https://app.hubspot.com/contacts/8748051/record/0-3/8825725727", 8825725727)</f>
        <v>8825725727</v>
      </c>
      <c r="B892" s="24" t="s">
        <v>2908</v>
      </c>
      <c r="C892" s="24" t="s">
        <v>1228</v>
      </c>
      <c r="D892" s="25">
        <v>22500.0</v>
      </c>
      <c r="E892" s="24" t="s">
        <v>92</v>
      </c>
      <c r="F892" s="24" t="s">
        <v>52</v>
      </c>
      <c r="G892" s="26">
        <v>44687.307708333334</v>
      </c>
      <c r="H892" s="26">
        <v>44749.28417824074</v>
      </c>
      <c r="I892" s="24" t="s">
        <v>40</v>
      </c>
      <c r="J892" s="24" t="s">
        <v>41</v>
      </c>
      <c r="K892" s="24"/>
      <c r="L892" s="24"/>
      <c r="M892" s="24" t="s">
        <v>102</v>
      </c>
      <c r="N892" s="24" t="s">
        <v>2909</v>
      </c>
      <c r="O892" s="24"/>
      <c r="P892" s="27"/>
      <c r="Q892" s="24"/>
      <c r="R892" s="23">
        <f>HYPERLINK("https://app.hubspot.com/contacts/8748051/record/0-2/8616793166", 8616793166)</f>
        <v>8616793166</v>
      </c>
      <c r="S892" s="24" t="s">
        <v>2591</v>
      </c>
      <c r="T892" s="28" t="s">
        <v>2592</v>
      </c>
      <c r="U892" s="24">
        <v>3.4564763E7</v>
      </c>
      <c r="V892" s="35">
        <v>45483.0</v>
      </c>
      <c r="W892" s="25">
        <v>24000.0</v>
      </c>
      <c r="X892" s="29">
        <v>124.0</v>
      </c>
      <c r="Y892" s="29">
        <v>15.0</v>
      </c>
      <c r="Z892" s="30"/>
      <c r="AA892" s="30"/>
      <c r="AB892" s="30"/>
      <c r="AC892" s="31"/>
      <c r="AD892" s="30"/>
      <c r="AE892" s="31"/>
      <c r="AF892" s="30"/>
      <c r="AG892" s="27" t="str">
        <f t="shared" si="1"/>
        <v>New Logo</v>
      </c>
      <c r="AH892" s="27" t="str">
        <f t="shared" si="5"/>
        <v>Churn</v>
      </c>
      <c r="AI892" s="27" t="str">
        <f t="shared" si="6"/>
        <v>0-200</v>
      </c>
      <c r="AJ892" s="27" t="str">
        <f t="shared" si="7"/>
        <v>0-20</v>
      </c>
    </row>
    <row r="893" ht="15.75" customHeight="1">
      <c r="A893" s="23">
        <f>HYPERLINK("https://app.hubspot.com/contacts/8748051/record/0-3/8824245518", 8824245518)</f>
        <v>8824245518</v>
      </c>
      <c r="B893" s="24" t="s">
        <v>2910</v>
      </c>
      <c r="C893" s="24" t="s">
        <v>159</v>
      </c>
      <c r="D893" s="25">
        <v>2000.0</v>
      </c>
      <c r="E893" s="24" t="s">
        <v>92</v>
      </c>
      <c r="F893" s="24" t="s">
        <v>52</v>
      </c>
      <c r="G893" s="26">
        <v>44687.10291666666</v>
      </c>
      <c r="H893" s="26">
        <v>44704.06359953704</v>
      </c>
      <c r="I893" s="24" t="s">
        <v>40</v>
      </c>
      <c r="J893" s="24" t="s">
        <v>41</v>
      </c>
      <c r="K893" s="24"/>
      <c r="L893" s="24"/>
      <c r="M893" s="24"/>
      <c r="N893" s="24" t="s">
        <v>2911</v>
      </c>
      <c r="O893" s="27"/>
      <c r="P893" s="27"/>
      <c r="Q893" s="24"/>
      <c r="R893" s="23">
        <f>HYPERLINK("https://app.hubspot.com/contacts/8748051/record/0-2/8613535884", 8613535884)</f>
        <v>8613535884</v>
      </c>
      <c r="S893" s="24" t="s">
        <v>2912</v>
      </c>
      <c r="T893" s="28" t="s">
        <v>2913</v>
      </c>
      <c r="U893" s="24">
        <v>3.4564763E7</v>
      </c>
      <c r="V893" s="35">
        <v>45075.0</v>
      </c>
      <c r="W893" s="25">
        <v>2000.0</v>
      </c>
      <c r="X893" s="29">
        <v>57.0</v>
      </c>
      <c r="Y893" s="29">
        <v>1.0</v>
      </c>
      <c r="Z893" s="30"/>
      <c r="AA893" s="30"/>
      <c r="AB893" s="30"/>
      <c r="AC893" s="30"/>
      <c r="AD893" s="30"/>
      <c r="AE893" s="30"/>
      <c r="AF893" s="30"/>
      <c r="AG893" s="27" t="str">
        <f t="shared" si="1"/>
        <v>New Logo</v>
      </c>
      <c r="AH893" s="27" t="str">
        <f t="shared" si="5"/>
        <v>Churn</v>
      </c>
      <c r="AI893" s="27" t="str">
        <f t="shared" si="6"/>
        <v>0-200</v>
      </c>
      <c r="AJ893" s="27" t="str">
        <f t="shared" si="7"/>
        <v>0-20</v>
      </c>
    </row>
    <row r="894" ht="15.75" customHeight="1">
      <c r="A894" s="23">
        <f>HYPERLINK("https://app.hubspot.com/contacts/8748051/record/0-3/8818919818", 8818919818)</f>
        <v>8818919818</v>
      </c>
      <c r="B894" s="24" t="s">
        <v>2914</v>
      </c>
      <c r="C894" s="24" t="s">
        <v>2305</v>
      </c>
      <c r="D894" s="25">
        <v>7500.0</v>
      </c>
      <c r="E894" s="24" t="s">
        <v>92</v>
      </c>
      <c r="F894" s="24" t="s">
        <v>52</v>
      </c>
      <c r="G894" s="26">
        <v>44686.58150462963</v>
      </c>
      <c r="H894" s="26">
        <v>44768.63905092593</v>
      </c>
      <c r="I894" s="24" t="s">
        <v>40</v>
      </c>
      <c r="J894" s="24" t="s">
        <v>41</v>
      </c>
      <c r="K894" s="24" t="s">
        <v>60</v>
      </c>
      <c r="L894" s="24" t="s">
        <v>178</v>
      </c>
      <c r="M894" s="24" t="s">
        <v>44</v>
      </c>
      <c r="N894" s="24" t="s">
        <v>2915</v>
      </c>
      <c r="O894" s="24"/>
      <c r="P894" s="27"/>
      <c r="Q894" s="24"/>
      <c r="R894" s="23">
        <f>HYPERLINK("https://app.hubspot.com/contacts/8748051/record/0-2/8340612199", 8340612199)</f>
        <v>8340612199</v>
      </c>
      <c r="S894" s="24" t="s">
        <v>1543</v>
      </c>
      <c r="T894" s="28" t="s">
        <v>1544</v>
      </c>
      <c r="U894" s="24" t="s">
        <v>96</v>
      </c>
      <c r="V894" s="24"/>
      <c r="W894" s="25">
        <v>16560.0</v>
      </c>
      <c r="X894" s="29">
        <v>129.0</v>
      </c>
      <c r="Y894" s="29">
        <v>15.0</v>
      </c>
      <c r="Z894" s="30"/>
      <c r="AA894" s="30" t="s">
        <v>194</v>
      </c>
      <c r="AB894" s="30" t="s">
        <v>349</v>
      </c>
      <c r="AC894" s="31"/>
      <c r="AD894" s="30" t="s">
        <v>1545</v>
      </c>
      <c r="AE894" s="30"/>
      <c r="AF894" s="30" t="s">
        <v>169</v>
      </c>
      <c r="AG894" s="27" t="str">
        <f t="shared" si="1"/>
        <v>New Logo</v>
      </c>
      <c r="AH894" s="27" t="str">
        <f t="shared" si="5"/>
        <v>Customer</v>
      </c>
      <c r="AI894" s="27" t="str">
        <f t="shared" si="6"/>
        <v>0-200</v>
      </c>
      <c r="AJ894" s="27" t="str">
        <f t="shared" si="7"/>
        <v>0-20</v>
      </c>
    </row>
    <row r="895" ht="15.75" customHeight="1">
      <c r="A895" s="23">
        <f>HYPERLINK("https://app.hubspot.com/contacts/8748051/record/0-3/13265319712", 13265319712)</f>
        <v>13265319712</v>
      </c>
      <c r="B895" s="24" t="s">
        <v>2916</v>
      </c>
      <c r="C895" s="24" t="s">
        <v>50</v>
      </c>
      <c r="D895" s="25">
        <v>30000.0</v>
      </c>
      <c r="E895" s="24" t="s">
        <v>149</v>
      </c>
      <c r="F895" s="24" t="s">
        <v>52</v>
      </c>
      <c r="G895" s="26">
        <v>44685.492581018516</v>
      </c>
      <c r="H895" s="26">
        <v>44781.656180555554</v>
      </c>
      <c r="I895" s="24" t="s">
        <v>40</v>
      </c>
      <c r="J895" s="24" t="s">
        <v>53</v>
      </c>
      <c r="K895" s="27"/>
      <c r="L895" s="27"/>
      <c r="M895" s="24" t="s">
        <v>44</v>
      </c>
      <c r="N895" s="24"/>
      <c r="O895" s="24" t="s">
        <v>2917</v>
      </c>
      <c r="P895" s="27"/>
      <c r="Q895" s="24"/>
      <c r="R895" s="23">
        <f>HYPERLINK("https://app.hubspot.com/contacts/8748051/record/0-2/7666426408", 7666426408)</f>
        <v>7666426408</v>
      </c>
      <c r="S895" s="24" t="s">
        <v>2918</v>
      </c>
      <c r="T895" s="28" t="s">
        <v>2919</v>
      </c>
      <c r="U895" s="24" t="s">
        <v>47</v>
      </c>
      <c r="V895" s="24"/>
      <c r="W895" s="25"/>
      <c r="X895" s="29">
        <v>855.0</v>
      </c>
      <c r="Y895" s="29">
        <v>141.0</v>
      </c>
      <c r="Z895" s="30" t="s">
        <v>108</v>
      </c>
      <c r="AA895" s="31"/>
      <c r="AB895" s="31"/>
      <c r="AC895" s="31"/>
      <c r="AD895" s="31"/>
      <c r="AE895" s="31"/>
      <c r="AF895" s="31"/>
      <c r="AG895" s="27" t="str">
        <f t="shared" si="1"/>
        <v>New Logo</v>
      </c>
      <c r="AH895" s="27" t="str">
        <f t="shared" si="5"/>
        <v>Lead</v>
      </c>
      <c r="AI895" s="27" t="str">
        <f t="shared" si="6"/>
        <v>501-1000</v>
      </c>
      <c r="AJ895" s="27" t="str">
        <f t="shared" si="7"/>
        <v>101-500</v>
      </c>
    </row>
    <row r="896" ht="15.75" customHeight="1">
      <c r="A896" s="23">
        <f>HYPERLINK("https://app.hubspot.com/contacts/8748051/record/0-3/8808028719", 8808028719)</f>
        <v>8808028719</v>
      </c>
      <c r="B896" s="24" t="s">
        <v>2920</v>
      </c>
      <c r="C896" s="24" t="s">
        <v>1009</v>
      </c>
      <c r="D896" s="25">
        <v>30000.0</v>
      </c>
      <c r="E896" s="24" t="s">
        <v>149</v>
      </c>
      <c r="F896" s="24" t="s">
        <v>52</v>
      </c>
      <c r="G896" s="26">
        <v>44685.49097222222</v>
      </c>
      <c r="H896" s="26">
        <v>44687.40440972222</v>
      </c>
      <c r="I896" s="24" t="s">
        <v>40</v>
      </c>
      <c r="J896" s="24" t="s">
        <v>53</v>
      </c>
      <c r="K896" s="27"/>
      <c r="L896" s="27"/>
      <c r="M896" s="24" t="s">
        <v>44</v>
      </c>
      <c r="N896" s="24"/>
      <c r="O896" s="24" t="s">
        <v>2921</v>
      </c>
      <c r="P896" s="27"/>
      <c r="Q896" s="24"/>
      <c r="R896" s="23">
        <f>HYPERLINK("https://app.hubspot.com/contacts/8748051/record/0-2/7638761139", 7638761139)</f>
        <v>7638761139</v>
      </c>
      <c r="S896" s="28" t="s">
        <v>2922</v>
      </c>
      <c r="T896" s="28" t="s">
        <v>2923</v>
      </c>
      <c r="U896" s="24" t="s">
        <v>47</v>
      </c>
      <c r="V896" s="24"/>
      <c r="W896" s="25"/>
      <c r="X896" s="29">
        <v>1050.0</v>
      </c>
      <c r="Y896" s="29">
        <v>286.0</v>
      </c>
      <c r="Z896" s="30" t="s">
        <v>372</v>
      </c>
      <c r="AA896" s="30"/>
      <c r="AB896" s="30"/>
      <c r="AC896" s="31"/>
      <c r="AD896" s="30"/>
      <c r="AE896" s="31"/>
      <c r="AF896" s="30"/>
      <c r="AG896" s="27" t="str">
        <f t="shared" si="1"/>
        <v>New Logo</v>
      </c>
      <c r="AH896" s="27" t="str">
        <f t="shared" si="5"/>
        <v>Lead</v>
      </c>
      <c r="AI896" s="27" t="str">
        <f t="shared" si="6"/>
        <v>1001-5000</v>
      </c>
      <c r="AJ896" s="27" t="str">
        <f t="shared" si="7"/>
        <v>101-500</v>
      </c>
    </row>
    <row r="897" ht="15.75" customHeight="1">
      <c r="A897" s="23">
        <f>HYPERLINK("https://app.hubspot.com/contacts/8748051/record/0-3/8735218023", 8735218023)</f>
        <v>8735218023</v>
      </c>
      <c r="B897" s="24" t="s">
        <v>2924</v>
      </c>
      <c r="C897" s="24" t="s">
        <v>148</v>
      </c>
      <c r="D897" s="25"/>
      <c r="E897" s="24" t="s">
        <v>149</v>
      </c>
      <c r="F897" s="24" t="s">
        <v>52</v>
      </c>
      <c r="G897" s="26">
        <v>44678.36386574074</v>
      </c>
      <c r="H897" s="26">
        <v>44707.555185185185</v>
      </c>
      <c r="I897" s="24" t="s">
        <v>40</v>
      </c>
      <c r="J897" s="24" t="s">
        <v>41</v>
      </c>
      <c r="K897" s="27"/>
      <c r="L897" s="27"/>
      <c r="M897" s="24" t="s">
        <v>44</v>
      </c>
      <c r="N897" s="27"/>
      <c r="O897" s="24" t="s">
        <v>2925</v>
      </c>
      <c r="P897" s="27"/>
      <c r="Q897" s="24"/>
      <c r="R897" s="23">
        <f>HYPERLINK("https://app.hubspot.com/contacts/8748051/record/0-2/8125402385", 8125402385)</f>
        <v>8125402385</v>
      </c>
      <c r="S897" s="24" t="s">
        <v>2257</v>
      </c>
      <c r="T897" s="28" t="s">
        <v>2258</v>
      </c>
      <c r="U897" s="24" t="s">
        <v>47</v>
      </c>
      <c r="V897" s="24"/>
      <c r="W897" s="32"/>
      <c r="X897" s="29">
        <v>727.0</v>
      </c>
      <c r="Y897" s="29">
        <v>63.0</v>
      </c>
      <c r="Z897" s="30" t="s">
        <v>71</v>
      </c>
      <c r="AA897" s="31"/>
      <c r="AB897" s="31"/>
      <c r="AC897" s="31"/>
      <c r="AD897" s="31"/>
      <c r="AE897" s="31"/>
      <c r="AF897" s="31"/>
      <c r="AG897" s="27" t="str">
        <f t="shared" si="1"/>
        <v>New Logo</v>
      </c>
      <c r="AH897" s="27" t="str">
        <f t="shared" si="5"/>
        <v>Lead</v>
      </c>
      <c r="AI897" s="27" t="str">
        <f t="shared" si="6"/>
        <v>501-1000</v>
      </c>
      <c r="AJ897" s="27" t="str">
        <f t="shared" si="7"/>
        <v>51-100</v>
      </c>
    </row>
    <row r="898" ht="15.75" customHeight="1">
      <c r="A898" s="23">
        <f>HYPERLINK("https://app.hubspot.com/contacts/8748051/record/0-3/8721263655", 8721263655)</f>
        <v>8721263655</v>
      </c>
      <c r="B898" s="24" t="s">
        <v>2926</v>
      </c>
      <c r="C898" s="24" t="s">
        <v>50</v>
      </c>
      <c r="D898" s="25">
        <v>20000.0</v>
      </c>
      <c r="E898" s="24" t="s">
        <v>149</v>
      </c>
      <c r="F898" s="24" t="s">
        <v>52</v>
      </c>
      <c r="G898" s="26">
        <v>44677.47078703704</v>
      </c>
      <c r="H898" s="26">
        <v>44777.3356712963</v>
      </c>
      <c r="I898" s="24" t="s">
        <v>40</v>
      </c>
      <c r="J898" s="24" t="s">
        <v>41</v>
      </c>
      <c r="K898" s="27"/>
      <c r="L898" s="27"/>
      <c r="M898" s="24" t="s">
        <v>44</v>
      </c>
      <c r="N898" s="24"/>
      <c r="O898" s="24" t="s">
        <v>2927</v>
      </c>
      <c r="P898" s="27"/>
      <c r="Q898" s="24"/>
      <c r="R898" s="23">
        <f>HYPERLINK("https://app.hubspot.com/contacts/8748051/record/0-2/7822059172", 7822059172)</f>
        <v>7822059172</v>
      </c>
      <c r="S898" s="24" t="s">
        <v>2928</v>
      </c>
      <c r="T898" s="28" t="s">
        <v>2929</v>
      </c>
      <c r="U898" s="24" t="s">
        <v>47</v>
      </c>
      <c r="V898" s="24"/>
      <c r="W898" s="25"/>
      <c r="X898" s="29">
        <v>132.0</v>
      </c>
      <c r="Y898" s="29">
        <v>14.0</v>
      </c>
      <c r="Z898" s="30"/>
      <c r="AA898" s="30"/>
      <c r="AB898" s="30"/>
      <c r="AC898" s="31"/>
      <c r="AD898" s="30"/>
      <c r="AE898" s="31"/>
      <c r="AF898" s="30"/>
      <c r="AG898" s="27" t="str">
        <f t="shared" si="1"/>
        <v>New Logo</v>
      </c>
      <c r="AH898" s="27" t="str">
        <f t="shared" si="5"/>
        <v>Lead</v>
      </c>
      <c r="AI898" s="27" t="str">
        <f t="shared" si="6"/>
        <v>0-200</v>
      </c>
      <c r="AJ898" s="27" t="str">
        <f t="shared" si="7"/>
        <v>0-20</v>
      </c>
    </row>
    <row r="899" ht="15.75" customHeight="1">
      <c r="A899" s="23">
        <f>HYPERLINK("https://app.hubspot.com/contacts/8748051/record/0-3/8663035812", 8663035812)</f>
        <v>8663035812</v>
      </c>
      <c r="B899" s="24" t="s">
        <v>2930</v>
      </c>
      <c r="C899" s="24" t="s">
        <v>148</v>
      </c>
      <c r="D899" s="25"/>
      <c r="E899" s="24" t="s">
        <v>149</v>
      </c>
      <c r="F899" s="24"/>
      <c r="G899" s="26">
        <v>44671.17412037037</v>
      </c>
      <c r="H899" s="26">
        <v>44742.17420138889</v>
      </c>
      <c r="I899" s="24" t="s">
        <v>40</v>
      </c>
      <c r="J899" s="24" t="s">
        <v>53</v>
      </c>
      <c r="K899" s="27"/>
      <c r="L899" s="27"/>
      <c r="M899" s="24" t="s">
        <v>44</v>
      </c>
      <c r="N899" s="24"/>
      <c r="O899" s="24"/>
      <c r="P899" s="27"/>
      <c r="Q899" s="24"/>
      <c r="R899" s="23">
        <f>HYPERLINK("https://app.hubspot.com/contacts/8748051/record/0-2/7946436488", 7946436488)</f>
        <v>7946436488</v>
      </c>
      <c r="S899" s="24" t="s">
        <v>2625</v>
      </c>
      <c r="T899" s="28" t="s">
        <v>2626</v>
      </c>
      <c r="U899" s="24" t="s">
        <v>47</v>
      </c>
      <c r="V899" s="24"/>
      <c r="W899" s="25"/>
      <c r="X899" s="29">
        <v>226.0</v>
      </c>
      <c r="Y899" s="29">
        <v>25.0</v>
      </c>
      <c r="Z899" s="30"/>
      <c r="AA899" s="30"/>
      <c r="AB899" s="31"/>
      <c r="AC899" s="31"/>
      <c r="AD899" s="30"/>
      <c r="AE899" s="30"/>
      <c r="AF899" s="30"/>
      <c r="AG899" s="27" t="str">
        <f t="shared" si="1"/>
        <v>New Logo</v>
      </c>
      <c r="AH899" s="27" t="str">
        <f t="shared" si="5"/>
        <v>Lead</v>
      </c>
      <c r="AI899" s="27" t="str">
        <f t="shared" si="6"/>
        <v>201-500</v>
      </c>
      <c r="AJ899" s="27" t="str">
        <f t="shared" si="7"/>
        <v>21-50</v>
      </c>
    </row>
    <row r="900" ht="15.75" customHeight="1">
      <c r="A900" s="23">
        <f>HYPERLINK("https://app.hubspot.com/contacts/8748051/record/0-3/8658524342", 8658524342)</f>
        <v>8658524342</v>
      </c>
      <c r="B900" s="24" t="s">
        <v>2931</v>
      </c>
      <c r="C900" s="24" t="s">
        <v>148</v>
      </c>
      <c r="D900" s="25"/>
      <c r="E900" s="24" t="s">
        <v>149</v>
      </c>
      <c r="F900" s="24"/>
      <c r="G900" s="26">
        <v>44670.62630787037</v>
      </c>
      <c r="H900" s="26">
        <v>44907.386724537035</v>
      </c>
      <c r="I900" s="24" t="s">
        <v>40</v>
      </c>
      <c r="J900" s="24" t="s">
        <v>41</v>
      </c>
      <c r="K900" s="27"/>
      <c r="L900" s="27"/>
      <c r="M900" s="24" t="s">
        <v>44</v>
      </c>
      <c r="N900" s="24"/>
      <c r="O900" s="24" t="s">
        <v>2932</v>
      </c>
      <c r="P900" s="27"/>
      <c r="Q900" s="24"/>
      <c r="R900" s="23">
        <f>HYPERLINK("https://app.hubspot.com/contacts/8748051/record/0-2/7658100915", 7658100915)</f>
        <v>7658100915</v>
      </c>
      <c r="S900" s="24" t="s">
        <v>2933</v>
      </c>
      <c r="T900" s="28" t="s">
        <v>2934</v>
      </c>
      <c r="U900" s="24" t="s">
        <v>47</v>
      </c>
      <c r="V900" s="24"/>
      <c r="W900" s="25"/>
      <c r="X900" s="29">
        <v>84.0</v>
      </c>
      <c r="Y900" s="29">
        <v>19.0</v>
      </c>
      <c r="Z900" s="30"/>
      <c r="AA900" s="30"/>
      <c r="AB900" s="30"/>
      <c r="AC900" s="31"/>
      <c r="AD900" s="30"/>
      <c r="AE900" s="31"/>
      <c r="AF900" s="30"/>
      <c r="AG900" s="27" t="str">
        <f t="shared" si="1"/>
        <v>New Logo</v>
      </c>
      <c r="AH900" s="27" t="str">
        <f t="shared" si="5"/>
        <v>Lead</v>
      </c>
      <c r="AI900" s="27" t="str">
        <f t="shared" si="6"/>
        <v>0-200</v>
      </c>
      <c r="AJ900" s="27" t="str">
        <f t="shared" si="7"/>
        <v>0-20</v>
      </c>
    </row>
    <row r="901" ht="15.75" customHeight="1">
      <c r="A901" s="23">
        <f>HYPERLINK("https://app.hubspot.com/contacts/8748051/record/0-3/8644294692", 8644294692)</f>
        <v>8644294692</v>
      </c>
      <c r="B901" s="24" t="s">
        <v>2935</v>
      </c>
      <c r="C901" s="24" t="s">
        <v>148</v>
      </c>
      <c r="D901" s="25"/>
      <c r="E901" s="24" t="s">
        <v>149</v>
      </c>
      <c r="F901" s="24"/>
      <c r="G901" s="26">
        <v>44669.18246527778</v>
      </c>
      <c r="H901" s="26">
        <v>44865.31136574074</v>
      </c>
      <c r="I901" s="24" t="s">
        <v>40</v>
      </c>
      <c r="J901" s="24" t="s">
        <v>41</v>
      </c>
      <c r="K901" s="27"/>
      <c r="L901" s="27"/>
      <c r="M901" s="24" t="s">
        <v>44</v>
      </c>
      <c r="N901" s="24"/>
      <c r="O901" s="24" t="s">
        <v>2936</v>
      </c>
      <c r="P901" s="27"/>
      <c r="Q901" s="24"/>
      <c r="R901" s="23">
        <f>HYPERLINK("https://app.hubspot.com/contacts/8748051/record/0-2/8479912490", 8479912490)</f>
        <v>8479912490</v>
      </c>
      <c r="S901" s="24" t="s">
        <v>2937</v>
      </c>
      <c r="T901" s="28" t="s">
        <v>2938</v>
      </c>
      <c r="U901" s="24" t="s">
        <v>47</v>
      </c>
      <c r="V901" s="24"/>
      <c r="W901" s="25"/>
      <c r="X901" s="29">
        <v>386.0</v>
      </c>
      <c r="Y901" s="29">
        <v>60.0</v>
      </c>
      <c r="Z901" s="30"/>
      <c r="AA901" s="30"/>
      <c r="AB901" s="31"/>
      <c r="AC901" s="31"/>
      <c r="AD901" s="30"/>
      <c r="AE901" s="31"/>
      <c r="AF901" s="30"/>
      <c r="AG901" s="27" t="str">
        <f t="shared" si="1"/>
        <v>New Logo</v>
      </c>
      <c r="AH901" s="27" t="str">
        <f t="shared" si="5"/>
        <v>Lead</v>
      </c>
      <c r="AI901" s="27" t="str">
        <f t="shared" si="6"/>
        <v>201-500</v>
      </c>
      <c r="AJ901" s="27" t="str">
        <f t="shared" si="7"/>
        <v>51-100</v>
      </c>
    </row>
    <row r="902" ht="15.75" customHeight="1">
      <c r="A902" s="23">
        <f>HYPERLINK("https://app.hubspot.com/contacts/8748051/record/0-3/8625461567", 8625461567)</f>
        <v>8625461567</v>
      </c>
      <c r="B902" s="24" t="s">
        <v>2939</v>
      </c>
      <c r="C902" s="24" t="s">
        <v>159</v>
      </c>
      <c r="D902" s="25">
        <v>3500.0</v>
      </c>
      <c r="E902" s="24" t="s">
        <v>92</v>
      </c>
      <c r="F902" s="24" t="s">
        <v>52</v>
      </c>
      <c r="G902" s="26">
        <v>44666.26137731481</v>
      </c>
      <c r="H902" s="26">
        <v>44676.40641203704</v>
      </c>
      <c r="I902" s="24" t="s">
        <v>40</v>
      </c>
      <c r="J902" s="24" t="s">
        <v>41</v>
      </c>
      <c r="K902" s="27"/>
      <c r="L902" s="27"/>
      <c r="M902" s="24" t="s">
        <v>102</v>
      </c>
      <c r="N902" s="24" t="s">
        <v>2940</v>
      </c>
      <c r="O902" s="24"/>
      <c r="P902" s="27"/>
      <c r="Q902" s="24"/>
      <c r="R902" s="23">
        <f>HYPERLINK("https://app.hubspot.com/contacts/8748051/record/0-2/8125624904", 8125624904)</f>
        <v>8125624904</v>
      </c>
      <c r="S902" s="24" t="s">
        <v>2941</v>
      </c>
      <c r="T902" s="28" t="s">
        <v>2942</v>
      </c>
      <c r="U902" s="24">
        <v>3.4564763E7</v>
      </c>
      <c r="V902" s="35">
        <v>44820.0</v>
      </c>
      <c r="W902" s="25">
        <v>3500.0</v>
      </c>
      <c r="X902" s="29">
        <v>98.0</v>
      </c>
      <c r="Y902" s="29">
        <v>7.0</v>
      </c>
      <c r="Z902" s="30"/>
      <c r="AA902" s="30"/>
      <c r="AB902" s="30"/>
      <c r="AC902" s="31"/>
      <c r="AD902" s="30"/>
      <c r="AE902" s="31"/>
      <c r="AF902" s="30"/>
      <c r="AG902" s="27" t="str">
        <f t="shared" si="1"/>
        <v>New Logo</v>
      </c>
      <c r="AH902" s="27" t="str">
        <f t="shared" si="5"/>
        <v>Churn</v>
      </c>
      <c r="AI902" s="27" t="str">
        <f t="shared" si="6"/>
        <v>0-200</v>
      </c>
      <c r="AJ902" s="27" t="str">
        <f t="shared" si="7"/>
        <v>0-20</v>
      </c>
    </row>
    <row r="903" ht="15.75" customHeight="1">
      <c r="A903" s="23">
        <f>HYPERLINK("https://app.hubspot.com/contacts/8748051/record/0-3/8595142934", 8595142934)</f>
        <v>8595142934</v>
      </c>
      <c r="B903" s="24" t="s">
        <v>2943</v>
      </c>
      <c r="C903" s="24" t="s">
        <v>148</v>
      </c>
      <c r="D903" s="25">
        <v>5000.0</v>
      </c>
      <c r="E903" s="24" t="s">
        <v>149</v>
      </c>
      <c r="F903" s="24" t="s">
        <v>52</v>
      </c>
      <c r="G903" s="26">
        <v>44663.44353009259</v>
      </c>
      <c r="H903" s="26">
        <v>44719.35322916666</v>
      </c>
      <c r="I903" s="24" t="s">
        <v>40</v>
      </c>
      <c r="J903" s="24" t="s">
        <v>41</v>
      </c>
      <c r="K903" s="24"/>
      <c r="L903" s="24"/>
      <c r="M903" s="24" t="s">
        <v>44</v>
      </c>
      <c r="N903" s="24"/>
      <c r="O903" s="24" t="s">
        <v>2944</v>
      </c>
      <c r="P903" s="27"/>
      <c r="Q903" s="24"/>
      <c r="R903" s="23">
        <f>HYPERLINK("https://app.hubspot.com/contacts/8748051/record/0-2/7624051054", 7624051054)</f>
        <v>7624051054</v>
      </c>
      <c r="S903" s="24" t="s">
        <v>2945</v>
      </c>
      <c r="T903" s="28" t="s">
        <v>2946</v>
      </c>
      <c r="U903" s="24" t="s">
        <v>47</v>
      </c>
      <c r="V903" s="24"/>
      <c r="W903" s="25"/>
      <c r="X903" s="29">
        <v>479.0</v>
      </c>
      <c r="Y903" s="29">
        <v>95.0</v>
      </c>
      <c r="Z903" s="30"/>
      <c r="AA903" s="30"/>
      <c r="AB903" s="30"/>
      <c r="AC903" s="31"/>
      <c r="AD903" s="30"/>
      <c r="AE903" s="31"/>
      <c r="AF903" s="30"/>
      <c r="AG903" s="27" t="str">
        <f t="shared" si="1"/>
        <v>New Logo</v>
      </c>
      <c r="AH903" s="27" t="str">
        <f t="shared" si="5"/>
        <v>Lead</v>
      </c>
      <c r="AI903" s="27" t="str">
        <f t="shared" si="6"/>
        <v>201-500</v>
      </c>
      <c r="AJ903" s="27" t="str">
        <f t="shared" si="7"/>
        <v>51-100</v>
      </c>
    </row>
    <row r="904" ht="15.75" customHeight="1">
      <c r="A904" s="23">
        <f>HYPERLINK("https://app.hubspot.com/contacts/8748051/record/0-3/8579889302", 8579889302)</f>
        <v>8579889302</v>
      </c>
      <c r="B904" s="24" t="s">
        <v>2947</v>
      </c>
      <c r="C904" s="24" t="s">
        <v>1009</v>
      </c>
      <c r="D904" s="25">
        <v>18000.0</v>
      </c>
      <c r="E904" s="24" t="s">
        <v>127</v>
      </c>
      <c r="F904" s="24" t="s">
        <v>52</v>
      </c>
      <c r="G904" s="26">
        <v>44662.357766203706</v>
      </c>
      <c r="H904" s="26">
        <v>44681.357766203706</v>
      </c>
      <c r="I904" s="24" t="s">
        <v>40</v>
      </c>
      <c r="J904" s="24" t="s">
        <v>41</v>
      </c>
      <c r="K904" s="27"/>
      <c r="L904" s="27"/>
      <c r="M904" s="24" t="s">
        <v>44</v>
      </c>
      <c r="N904" s="24"/>
      <c r="O904" s="24"/>
      <c r="P904" s="27"/>
      <c r="Q904" s="24" t="s">
        <v>197</v>
      </c>
      <c r="R904" s="23">
        <f>HYPERLINK("https://app.hubspot.com/contacts/8748051/record/0-2/7983577462", 7983577462)</f>
        <v>7983577462</v>
      </c>
      <c r="S904" s="24" t="s">
        <v>2948</v>
      </c>
      <c r="T904" s="28" t="s">
        <v>2949</v>
      </c>
      <c r="U904" s="24" t="s">
        <v>47</v>
      </c>
      <c r="V904" s="24"/>
      <c r="W904" s="25"/>
      <c r="X904" s="29">
        <v>48.0</v>
      </c>
      <c r="Y904" s="29">
        <v>13.0</v>
      </c>
      <c r="Z904" s="30"/>
      <c r="AA904" s="30"/>
      <c r="AB904" s="30"/>
      <c r="AC904" s="31"/>
      <c r="AD904" s="30"/>
      <c r="AE904" s="31"/>
      <c r="AF904" s="30"/>
      <c r="AG904" s="27" t="str">
        <f t="shared" si="1"/>
        <v>New Logo</v>
      </c>
      <c r="AH904" s="27" t="str">
        <f t="shared" si="5"/>
        <v>Lead</v>
      </c>
      <c r="AI904" s="27" t="str">
        <f t="shared" si="6"/>
        <v>0-200</v>
      </c>
      <c r="AJ904" s="27" t="str">
        <f t="shared" si="7"/>
        <v>0-20</v>
      </c>
    </row>
    <row r="905" ht="15.75" customHeight="1">
      <c r="A905" s="23">
        <f>HYPERLINK("https://app.hubspot.com/contacts/8748051/record/0-3/8402415267", 8402415267)</f>
        <v>8402415267</v>
      </c>
      <c r="B905" s="24" t="s">
        <v>2950</v>
      </c>
      <c r="C905" s="24" t="s">
        <v>2305</v>
      </c>
      <c r="D905" s="25">
        <v>30000.0</v>
      </c>
      <c r="E905" s="24" t="s">
        <v>92</v>
      </c>
      <c r="F905" s="24" t="s">
        <v>52</v>
      </c>
      <c r="G905" s="26">
        <v>44650.41300925926</v>
      </c>
      <c r="H905" s="26">
        <v>44760.43556712963</v>
      </c>
      <c r="I905" s="24" t="s">
        <v>40</v>
      </c>
      <c r="J905" s="24" t="s">
        <v>53</v>
      </c>
      <c r="K905" s="27"/>
      <c r="L905" s="27"/>
      <c r="M905" s="24" t="s">
        <v>102</v>
      </c>
      <c r="N905" s="24" t="s">
        <v>2951</v>
      </c>
      <c r="O905" s="24"/>
      <c r="P905" s="27"/>
      <c r="Q905" s="24"/>
      <c r="R905" s="23">
        <f>HYPERLINK("https://app.hubspot.com/contacts/8748051/record/0-2/6996465316", 6996465316)</f>
        <v>6996465316</v>
      </c>
      <c r="S905" s="24" t="s">
        <v>789</v>
      </c>
      <c r="T905" s="28" t="s">
        <v>790</v>
      </c>
      <c r="U905" s="24" t="s">
        <v>96</v>
      </c>
      <c r="V905" s="24"/>
      <c r="W905" s="25">
        <v>52500.0</v>
      </c>
      <c r="X905" s="29">
        <v>848.0</v>
      </c>
      <c r="Y905" s="29">
        <v>65.0</v>
      </c>
      <c r="Z905" s="30"/>
      <c r="AA905" s="30" t="s">
        <v>220</v>
      </c>
      <c r="AB905" s="30" t="s">
        <v>194</v>
      </c>
      <c r="AC905" s="31"/>
      <c r="AD905" s="30" t="s">
        <v>791</v>
      </c>
      <c r="AE905" s="31"/>
      <c r="AF905" s="30" t="s">
        <v>169</v>
      </c>
      <c r="AG905" s="27" t="str">
        <f t="shared" si="1"/>
        <v>New Logo</v>
      </c>
      <c r="AH905" s="27" t="str">
        <f t="shared" si="5"/>
        <v>Customer</v>
      </c>
      <c r="AI905" s="27" t="str">
        <f t="shared" si="6"/>
        <v>501-1000</v>
      </c>
      <c r="AJ905" s="27" t="str">
        <f t="shared" si="7"/>
        <v>51-100</v>
      </c>
    </row>
    <row r="906" ht="15.75" customHeight="1">
      <c r="A906" s="23">
        <f>HYPERLINK("https://app.hubspot.com/contacts/8748051/record/0-3/8402343013", 8402343013)</f>
        <v>8402343013</v>
      </c>
      <c r="B906" s="24" t="s">
        <v>2952</v>
      </c>
      <c r="C906" s="24" t="s">
        <v>50</v>
      </c>
      <c r="D906" s="25">
        <v>10000.0</v>
      </c>
      <c r="E906" s="24" t="s">
        <v>127</v>
      </c>
      <c r="F906" s="24" t="s">
        <v>52</v>
      </c>
      <c r="G906" s="26">
        <v>44650.37803240741</v>
      </c>
      <c r="H906" s="26">
        <v>44804.599652777775</v>
      </c>
      <c r="I906" s="24" t="s">
        <v>40</v>
      </c>
      <c r="J906" s="24" t="s">
        <v>41</v>
      </c>
      <c r="K906" s="27"/>
      <c r="L906" s="27"/>
      <c r="M906" s="24" t="s">
        <v>44</v>
      </c>
      <c r="N906" s="24"/>
      <c r="O906" s="24"/>
      <c r="P906" s="27"/>
      <c r="Q906" s="24" t="s">
        <v>503</v>
      </c>
      <c r="R906" s="23">
        <f>HYPERLINK("https://app.hubspot.com/contacts/8748051/record/0-2/8231931505", 8231931505)</f>
        <v>8231931505</v>
      </c>
      <c r="S906" s="24" t="s">
        <v>2953</v>
      </c>
      <c r="T906" s="28" t="s">
        <v>2954</v>
      </c>
      <c r="U906" s="24" t="s">
        <v>47</v>
      </c>
      <c r="V906" s="24"/>
      <c r="W906" s="25"/>
      <c r="X906" s="29">
        <v>2040.0</v>
      </c>
      <c r="Y906" s="29">
        <v>279.0</v>
      </c>
      <c r="Z906" s="30" t="s">
        <v>64</v>
      </c>
      <c r="AA906" s="31"/>
      <c r="AB906" s="31"/>
      <c r="AC906" s="31"/>
      <c r="AD906" s="31"/>
      <c r="AE906" s="31"/>
      <c r="AF906" s="31"/>
      <c r="AG906" s="27" t="str">
        <f t="shared" si="1"/>
        <v>New Logo</v>
      </c>
      <c r="AH906" s="27" t="str">
        <f t="shared" si="5"/>
        <v>Lead</v>
      </c>
      <c r="AI906" s="27" t="str">
        <f t="shared" si="6"/>
        <v>1001-5000</v>
      </c>
      <c r="AJ906" s="27" t="str">
        <f t="shared" si="7"/>
        <v>101-500</v>
      </c>
    </row>
    <row r="907" ht="15.75" customHeight="1">
      <c r="A907" s="23">
        <f>HYPERLINK("https://app.hubspot.com/contacts/8748051/record/0-3/8352519960", 8352519960)</f>
        <v>8352519960</v>
      </c>
      <c r="B907" s="24" t="s">
        <v>2955</v>
      </c>
      <c r="C907" s="24" t="s">
        <v>1835</v>
      </c>
      <c r="D907" s="25">
        <v>7500.0</v>
      </c>
      <c r="E907" s="24" t="s">
        <v>92</v>
      </c>
      <c r="F907" s="24" t="s">
        <v>52</v>
      </c>
      <c r="G907" s="26">
        <v>44645.28854166667</v>
      </c>
      <c r="H907" s="26">
        <v>44692.12144675926</v>
      </c>
      <c r="I907" s="24" t="s">
        <v>40</v>
      </c>
      <c r="J907" s="24" t="s">
        <v>41</v>
      </c>
      <c r="K907" s="27"/>
      <c r="L907" s="27"/>
      <c r="M907" s="24" t="s">
        <v>102</v>
      </c>
      <c r="N907" s="24" t="s">
        <v>2956</v>
      </c>
      <c r="O907" s="24"/>
      <c r="P907" s="27"/>
      <c r="Q907" s="24"/>
      <c r="R907" s="23">
        <f>HYPERLINK("https://app.hubspot.com/contacts/8748051/record/0-2/6968305783", 6968305783)</f>
        <v>6968305783</v>
      </c>
      <c r="S907" s="24" t="s">
        <v>2632</v>
      </c>
      <c r="T907" s="28" t="s">
        <v>2633</v>
      </c>
      <c r="U907" s="24">
        <v>3.4564763E7</v>
      </c>
      <c r="V907" s="35">
        <v>45030.0</v>
      </c>
      <c r="W907" s="25">
        <v>12000.0</v>
      </c>
      <c r="X907" s="29">
        <v>312.0</v>
      </c>
      <c r="Y907" s="29">
        <v>26.0</v>
      </c>
      <c r="Z907" s="30"/>
      <c r="AA907" s="30"/>
      <c r="AB907" s="31"/>
      <c r="AC907" s="31"/>
      <c r="AD907" s="30"/>
      <c r="AE907" s="30"/>
      <c r="AF907" s="30"/>
      <c r="AG907" s="27" t="str">
        <f t="shared" si="1"/>
        <v>New Logo</v>
      </c>
      <c r="AH907" s="27" t="str">
        <f t="shared" si="5"/>
        <v>Churn</v>
      </c>
      <c r="AI907" s="27" t="str">
        <f t="shared" si="6"/>
        <v>201-500</v>
      </c>
      <c r="AJ907" s="27" t="str">
        <f t="shared" si="7"/>
        <v>21-50</v>
      </c>
    </row>
    <row r="908" ht="15.75" customHeight="1">
      <c r="A908" s="23">
        <f>HYPERLINK("https://app.hubspot.com/contacts/8748051/record/0-3/8250169972", 8250169972)</f>
        <v>8250169972</v>
      </c>
      <c r="B908" s="24" t="s">
        <v>2957</v>
      </c>
      <c r="C908" s="24" t="s">
        <v>1009</v>
      </c>
      <c r="D908" s="25">
        <v>10000.0</v>
      </c>
      <c r="E908" s="24" t="s">
        <v>127</v>
      </c>
      <c r="F908" s="24" t="s">
        <v>52</v>
      </c>
      <c r="G908" s="26">
        <v>44637.5424537037</v>
      </c>
      <c r="H908" s="26">
        <v>44712.542592592596</v>
      </c>
      <c r="I908" s="24" t="s">
        <v>40</v>
      </c>
      <c r="J908" s="24" t="s">
        <v>41</v>
      </c>
      <c r="K908" s="27"/>
      <c r="L908" s="27"/>
      <c r="M908" s="24" t="s">
        <v>44</v>
      </c>
      <c r="N908" s="27"/>
      <c r="O908" s="24"/>
      <c r="P908" s="27"/>
      <c r="Q908" s="24" t="s">
        <v>144</v>
      </c>
      <c r="R908" s="23">
        <f>HYPERLINK("https://app.hubspot.com/contacts/8748051/record/0-2/8033128541", 8033128541)</f>
        <v>8033128541</v>
      </c>
      <c r="S908" s="24" t="s">
        <v>2958</v>
      </c>
      <c r="T908" s="28" t="s">
        <v>2959</v>
      </c>
      <c r="U908" s="24" t="s">
        <v>47</v>
      </c>
      <c r="V908" s="24"/>
      <c r="W908" s="25"/>
      <c r="X908" s="29">
        <v>265.0</v>
      </c>
      <c r="Y908" s="29">
        <v>38.0</v>
      </c>
      <c r="Z908" s="30"/>
      <c r="AA908" s="30"/>
      <c r="AB908" s="30"/>
      <c r="AC908" s="31"/>
      <c r="AD908" s="30"/>
      <c r="AE908" s="31"/>
      <c r="AF908" s="30"/>
      <c r="AG908" s="27" t="str">
        <f t="shared" si="1"/>
        <v>New Logo</v>
      </c>
      <c r="AH908" s="27" t="str">
        <f t="shared" si="5"/>
        <v>Lead</v>
      </c>
      <c r="AI908" s="27" t="str">
        <f t="shared" si="6"/>
        <v>201-500</v>
      </c>
      <c r="AJ908" s="27" t="str">
        <f t="shared" si="7"/>
        <v>21-50</v>
      </c>
    </row>
    <row r="909" ht="15.75" customHeight="1">
      <c r="A909" s="23">
        <f>HYPERLINK("https://app.hubspot.com/contacts/8748051/record/0-3/8215842219", 8215842219)</f>
        <v>8215842219</v>
      </c>
      <c r="B909" s="24" t="s">
        <v>2960</v>
      </c>
      <c r="C909" s="24" t="s">
        <v>1228</v>
      </c>
      <c r="D909" s="25">
        <v>79500.0</v>
      </c>
      <c r="E909" s="24" t="s">
        <v>127</v>
      </c>
      <c r="F909" s="24"/>
      <c r="G909" s="26">
        <v>44634.2030787037</v>
      </c>
      <c r="H909" s="26">
        <v>45016.30983796297</v>
      </c>
      <c r="I909" s="24" t="s">
        <v>40</v>
      </c>
      <c r="J909" s="24" t="s">
        <v>41</v>
      </c>
      <c r="K909" s="27"/>
      <c r="L909" s="27"/>
      <c r="M909" s="24" t="s">
        <v>102</v>
      </c>
      <c r="N909" s="24"/>
      <c r="O909" s="24"/>
      <c r="P909" s="27"/>
      <c r="Q909" s="24" t="s">
        <v>144</v>
      </c>
      <c r="R909" s="23">
        <f>HYPERLINK("https://app.hubspot.com/contacts/8748051/record/0-2/8513131656", 8513131656)</f>
        <v>8513131656</v>
      </c>
      <c r="S909" s="24" t="s">
        <v>857</v>
      </c>
      <c r="T909" s="28" t="s">
        <v>858</v>
      </c>
      <c r="U909" s="24" t="s">
        <v>96</v>
      </c>
      <c r="V909" s="24"/>
      <c r="W909" s="25">
        <v>25500.0</v>
      </c>
      <c r="X909" s="29">
        <v>1321.0</v>
      </c>
      <c r="Y909" s="29">
        <v>159.0</v>
      </c>
      <c r="Z909" s="30"/>
      <c r="AA909" s="30" t="s">
        <v>193</v>
      </c>
      <c r="AB909" s="30" t="s">
        <v>194</v>
      </c>
      <c r="AC909" s="31"/>
      <c r="AD909" s="30" t="s">
        <v>859</v>
      </c>
      <c r="AE909" s="30"/>
      <c r="AF909" s="30" t="s">
        <v>169</v>
      </c>
      <c r="AG909" s="27" t="str">
        <f t="shared" si="1"/>
        <v>New Logo</v>
      </c>
      <c r="AH909" s="27" t="str">
        <f t="shared" si="5"/>
        <v>Customer</v>
      </c>
      <c r="AI909" s="27" t="str">
        <f t="shared" si="6"/>
        <v>1001-5000</v>
      </c>
      <c r="AJ909" s="27" t="str">
        <f t="shared" si="7"/>
        <v>101-500</v>
      </c>
    </row>
    <row r="910" ht="15.75" customHeight="1">
      <c r="A910" s="23">
        <f>HYPERLINK("https://app.hubspot.com/contacts/8748051/record/0-3/8189781140", 8189781140)</f>
        <v>8189781140</v>
      </c>
      <c r="B910" s="24" t="s">
        <v>2961</v>
      </c>
      <c r="C910" s="24" t="s">
        <v>50</v>
      </c>
      <c r="D910" s="25"/>
      <c r="E910" s="24" t="s">
        <v>149</v>
      </c>
      <c r="F910" s="24"/>
      <c r="G910" s="26">
        <v>44630.72652777778</v>
      </c>
      <c r="H910" s="26">
        <v>44692.65366898148</v>
      </c>
      <c r="I910" s="24" t="s">
        <v>40</v>
      </c>
      <c r="J910" s="24" t="s">
        <v>41</v>
      </c>
      <c r="K910" s="27"/>
      <c r="L910" s="27"/>
      <c r="M910" s="24" t="s">
        <v>44</v>
      </c>
      <c r="N910" s="27"/>
      <c r="O910" s="24" t="s">
        <v>2962</v>
      </c>
      <c r="P910" s="27"/>
      <c r="Q910" s="24"/>
      <c r="R910" s="23">
        <f>HYPERLINK("https://app.hubspot.com/contacts/8748051/record/0-2/8016984454", 8016984454)</f>
        <v>8016984454</v>
      </c>
      <c r="S910" s="24" t="s">
        <v>2963</v>
      </c>
      <c r="T910" s="28" t="s">
        <v>2964</v>
      </c>
      <c r="U910" s="24" t="s">
        <v>47</v>
      </c>
      <c r="V910" s="24"/>
      <c r="W910" s="32"/>
      <c r="X910" s="29">
        <v>50.0</v>
      </c>
      <c r="Y910" s="29">
        <v>4.0</v>
      </c>
      <c r="Z910" s="30"/>
      <c r="AA910" s="31"/>
      <c r="AB910" s="31"/>
      <c r="AC910" s="31"/>
      <c r="AD910" s="31"/>
      <c r="AE910" s="31"/>
      <c r="AF910" s="31"/>
      <c r="AG910" s="27" t="str">
        <f t="shared" si="1"/>
        <v>New Logo</v>
      </c>
      <c r="AH910" s="27" t="str">
        <f t="shared" si="5"/>
        <v>Lead</v>
      </c>
      <c r="AI910" s="27" t="str">
        <f t="shared" si="6"/>
        <v>0-200</v>
      </c>
      <c r="AJ910" s="27" t="str">
        <f t="shared" si="7"/>
        <v>0-20</v>
      </c>
    </row>
    <row r="911" ht="15.75" customHeight="1">
      <c r="A911" s="23">
        <f>HYPERLINK("https://app.hubspot.com/contacts/8748051/record/0-3/8189808282", 8189808282)</f>
        <v>8189808282</v>
      </c>
      <c r="B911" s="24" t="s">
        <v>2965</v>
      </c>
      <c r="C911" s="24" t="s">
        <v>38</v>
      </c>
      <c r="D911" s="25">
        <v>28500.0</v>
      </c>
      <c r="E911" s="24" t="s">
        <v>578</v>
      </c>
      <c r="F911" s="24"/>
      <c r="G911" s="26">
        <v>44630.7231712963</v>
      </c>
      <c r="H911" s="26">
        <v>44834.72336805556</v>
      </c>
      <c r="I911" s="24" t="s">
        <v>40</v>
      </c>
      <c r="J911" s="24" t="s">
        <v>41</v>
      </c>
      <c r="K911" s="27"/>
      <c r="L911" s="27"/>
      <c r="M911" s="24" t="s">
        <v>44</v>
      </c>
      <c r="N911" s="24"/>
      <c r="O911" s="24"/>
      <c r="P911" s="27"/>
      <c r="Q911" s="24"/>
      <c r="R911" s="23">
        <f>HYPERLINK("https://app.hubspot.com/contacts/8748051/record/0-2/8087960190", 8087960190)</f>
        <v>8087960190</v>
      </c>
      <c r="S911" s="24" t="s">
        <v>2966</v>
      </c>
      <c r="T911" s="28" t="s">
        <v>2967</v>
      </c>
      <c r="U911" s="24" t="s">
        <v>47</v>
      </c>
      <c r="V911" s="24"/>
      <c r="W911" s="25"/>
      <c r="X911" s="29">
        <v>565.0</v>
      </c>
      <c r="Y911" s="29">
        <v>93.0</v>
      </c>
      <c r="Z911" s="30" t="s">
        <v>108</v>
      </c>
      <c r="AA911" s="31"/>
      <c r="AB911" s="31"/>
      <c r="AC911" s="31"/>
      <c r="AD911" s="31"/>
      <c r="AE911" s="31"/>
      <c r="AF911" s="31"/>
      <c r="AG911" s="27" t="str">
        <f t="shared" si="1"/>
        <v>New Logo</v>
      </c>
      <c r="AH911" s="27" t="str">
        <f t="shared" si="5"/>
        <v>Lead</v>
      </c>
      <c r="AI911" s="27" t="str">
        <f t="shared" si="6"/>
        <v>501-1000</v>
      </c>
      <c r="AJ911" s="27" t="str">
        <f t="shared" si="7"/>
        <v>51-100</v>
      </c>
    </row>
    <row r="912" ht="15.75" customHeight="1">
      <c r="A912" s="23">
        <f>HYPERLINK("https://app.hubspot.com/contacts/8748051/record/0-3/8184032035", 8184032035)</f>
        <v>8184032035</v>
      </c>
      <c r="B912" s="24" t="s">
        <v>2968</v>
      </c>
      <c r="C912" s="24" t="s">
        <v>148</v>
      </c>
      <c r="D912" s="25"/>
      <c r="E912" s="24" t="s">
        <v>149</v>
      </c>
      <c r="F912" s="24"/>
      <c r="G912" s="26">
        <v>44630.31306712963</v>
      </c>
      <c r="H912" s="26">
        <v>44865.31104166667</v>
      </c>
      <c r="I912" s="24" t="s">
        <v>40</v>
      </c>
      <c r="J912" s="24" t="s">
        <v>41</v>
      </c>
      <c r="K912" s="27"/>
      <c r="L912" s="27"/>
      <c r="M912" s="24" t="s">
        <v>74</v>
      </c>
      <c r="N912" s="27"/>
      <c r="O912" s="24" t="s">
        <v>2969</v>
      </c>
      <c r="P912" s="27"/>
      <c r="Q912" s="24"/>
      <c r="R912" s="23">
        <f>HYPERLINK("https://app.hubspot.com/contacts/8748051/record/0-2/8140219698", 8140219698)</f>
        <v>8140219698</v>
      </c>
      <c r="S912" s="24" t="s">
        <v>2968</v>
      </c>
      <c r="T912" s="28" t="s">
        <v>2970</v>
      </c>
      <c r="U912" s="24" t="s">
        <v>47</v>
      </c>
      <c r="V912" s="24"/>
      <c r="W912" s="32"/>
      <c r="X912" s="29">
        <v>1565.0</v>
      </c>
      <c r="Y912" s="29">
        <v>157.0</v>
      </c>
      <c r="Z912" s="30" t="s">
        <v>2971</v>
      </c>
      <c r="AA912" s="31"/>
      <c r="AB912" s="31"/>
      <c r="AC912" s="31"/>
      <c r="AD912" s="31"/>
      <c r="AE912" s="31"/>
      <c r="AF912" s="31"/>
      <c r="AG912" s="27" t="str">
        <f t="shared" si="1"/>
        <v>New Logo</v>
      </c>
      <c r="AH912" s="27" t="str">
        <f t="shared" si="5"/>
        <v>Lead</v>
      </c>
      <c r="AI912" s="27" t="str">
        <f t="shared" si="6"/>
        <v>1001-5000</v>
      </c>
      <c r="AJ912" s="27" t="str">
        <f t="shared" si="7"/>
        <v>101-500</v>
      </c>
    </row>
    <row r="913" ht="15.75" customHeight="1">
      <c r="A913" s="23">
        <f>HYPERLINK("https://app.hubspot.com/contacts/8748051/record/0-3/8169143869", 8169143869)</f>
        <v>8169143869</v>
      </c>
      <c r="B913" s="24" t="s">
        <v>2972</v>
      </c>
      <c r="C913" s="24" t="s">
        <v>50</v>
      </c>
      <c r="D913" s="25">
        <v>10000.0</v>
      </c>
      <c r="E913" s="24" t="s">
        <v>149</v>
      </c>
      <c r="F913" s="24"/>
      <c r="G913" s="26">
        <v>44628.707916666666</v>
      </c>
      <c r="H913" s="26">
        <v>45093.52357638889</v>
      </c>
      <c r="I913" s="24" t="s">
        <v>40</v>
      </c>
      <c r="J913" s="24" t="s">
        <v>53</v>
      </c>
      <c r="K913" s="27"/>
      <c r="L913" s="27"/>
      <c r="M913" s="24" t="s">
        <v>44</v>
      </c>
      <c r="N913" s="27"/>
      <c r="O913" s="24" t="s">
        <v>2973</v>
      </c>
      <c r="P913" s="27"/>
      <c r="Q913" s="24"/>
      <c r="R913" s="23">
        <f>HYPERLINK("https://app.hubspot.com/contacts/8748051/record/0-2/6815283286", 6815283286)</f>
        <v>6815283286</v>
      </c>
      <c r="S913" s="24" t="s">
        <v>1539</v>
      </c>
      <c r="T913" s="28" t="s">
        <v>1540</v>
      </c>
      <c r="U913" s="24" t="s">
        <v>47</v>
      </c>
      <c r="V913" s="24"/>
      <c r="W913" s="32"/>
      <c r="X913" s="29">
        <v>256.0</v>
      </c>
      <c r="Y913" s="29">
        <v>45.0</v>
      </c>
      <c r="Z913" s="30" t="s">
        <v>1541</v>
      </c>
      <c r="AA913" s="31"/>
      <c r="AB913" s="31"/>
      <c r="AC913" s="31"/>
      <c r="AD913" s="31"/>
      <c r="AE913" s="31"/>
      <c r="AF913" s="31"/>
      <c r="AG913" s="27" t="str">
        <f t="shared" si="1"/>
        <v>New Logo</v>
      </c>
      <c r="AH913" s="27" t="str">
        <f t="shared" si="5"/>
        <v>Lead</v>
      </c>
      <c r="AI913" s="27" t="str">
        <f t="shared" si="6"/>
        <v>201-500</v>
      </c>
      <c r="AJ913" s="27" t="str">
        <f t="shared" si="7"/>
        <v>21-50</v>
      </c>
    </row>
    <row r="914" ht="15.75" customHeight="1">
      <c r="A914" s="23">
        <f>HYPERLINK("https://app.hubspot.com/contacts/8748051/record/0-3/8165748399", 8165748399)</f>
        <v>8165748399</v>
      </c>
      <c r="B914" s="24" t="s">
        <v>2974</v>
      </c>
      <c r="C914" s="24" t="s">
        <v>1009</v>
      </c>
      <c r="D914" s="25">
        <v>10000.0</v>
      </c>
      <c r="E914" s="24" t="s">
        <v>127</v>
      </c>
      <c r="F914" s="24" t="s">
        <v>52</v>
      </c>
      <c r="G914" s="26">
        <v>44628.361805555556</v>
      </c>
      <c r="H914" s="26">
        <v>44834.60061342592</v>
      </c>
      <c r="I914" s="24" t="s">
        <v>40</v>
      </c>
      <c r="J914" s="24" t="s">
        <v>41</v>
      </c>
      <c r="K914" s="27"/>
      <c r="L914" s="27"/>
      <c r="M914" s="24" t="s">
        <v>44</v>
      </c>
      <c r="N914" s="27"/>
      <c r="O914" s="24"/>
      <c r="P914" s="27"/>
      <c r="Q914" s="24" t="s">
        <v>144</v>
      </c>
      <c r="R914" s="23">
        <f>HYPERLINK("https://app.hubspot.com/contacts/8748051/record/0-2/8052267831", 8052267831)</f>
        <v>8052267831</v>
      </c>
      <c r="S914" s="24" t="s">
        <v>2975</v>
      </c>
      <c r="T914" s="28" t="s">
        <v>2976</v>
      </c>
      <c r="U914" s="24" t="s">
        <v>47</v>
      </c>
      <c r="V914" s="24"/>
      <c r="W914" s="32"/>
      <c r="X914" s="29">
        <v>549.0</v>
      </c>
      <c r="Y914" s="29">
        <v>93.0</v>
      </c>
      <c r="Z914" s="30"/>
      <c r="AA914" s="31"/>
      <c r="AB914" s="31"/>
      <c r="AC914" s="31"/>
      <c r="AD914" s="31"/>
      <c r="AE914" s="31"/>
      <c r="AF914" s="31"/>
      <c r="AG914" s="27" t="str">
        <f t="shared" si="1"/>
        <v>New Logo</v>
      </c>
      <c r="AH914" s="27" t="str">
        <f t="shared" si="5"/>
        <v>Lead</v>
      </c>
      <c r="AI914" s="27" t="str">
        <f t="shared" si="6"/>
        <v>501-1000</v>
      </c>
      <c r="AJ914" s="27" t="str">
        <f t="shared" si="7"/>
        <v>51-100</v>
      </c>
    </row>
    <row r="915" ht="15.75" customHeight="1">
      <c r="A915" s="23">
        <f>HYPERLINK("https://app.hubspot.com/contacts/8748051/record/0-3/8165917035", 8165917035)</f>
        <v>8165917035</v>
      </c>
      <c r="B915" s="24" t="s">
        <v>2977</v>
      </c>
      <c r="C915" s="24" t="s">
        <v>50</v>
      </c>
      <c r="D915" s="25">
        <v>7500.0</v>
      </c>
      <c r="E915" s="24" t="s">
        <v>127</v>
      </c>
      <c r="F915" s="24" t="s">
        <v>52</v>
      </c>
      <c r="G915" s="26">
        <v>44628.36115740741</v>
      </c>
      <c r="H915" s="26">
        <v>44804.598761574074</v>
      </c>
      <c r="I915" s="24" t="s">
        <v>40</v>
      </c>
      <c r="J915" s="24" t="s">
        <v>41</v>
      </c>
      <c r="K915" s="27"/>
      <c r="L915" s="27"/>
      <c r="M915" s="24" t="s">
        <v>44</v>
      </c>
      <c r="N915" s="27"/>
      <c r="O915" s="27"/>
      <c r="P915" s="27"/>
      <c r="Q915" s="24" t="s">
        <v>401</v>
      </c>
      <c r="R915" s="23">
        <f>HYPERLINK("https://app.hubspot.com/contacts/8748051/record/0-2/7624021374", 7624021374)</f>
        <v>7624021374</v>
      </c>
      <c r="S915" s="24" t="s">
        <v>2978</v>
      </c>
      <c r="T915" s="28" t="s">
        <v>2979</v>
      </c>
      <c r="U915" s="24" t="s">
        <v>47</v>
      </c>
      <c r="V915" s="24"/>
      <c r="W915" s="32"/>
      <c r="X915" s="29">
        <v>380.0</v>
      </c>
      <c r="Y915" s="29">
        <v>62.0</v>
      </c>
      <c r="Z915" s="30" t="s">
        <v>56</v>
      </c>
      <c r="AA915" s="31"/>
      <c r="AB915" s="31"/>
      <c r="AC915" s="31"/>
      <c r="AD915" s="31"/>
      <c r="AE915" s="31"/>
      <c r="AF915" s="31"/>
      <c r="AG915" s="27" t="str">
        <f t="shared" si="1"/>
        <v>New Logo</v>
      </c>
      <c r="AH915" s="27" t="str">
        <f t="shared" si="5"/>
        <v>Lead</v>
      </c>
      <c r="AI915" s="27" t="str">
        <f t="shared" si="6"/>
        <v>201-500</v>
      </c>
      <c r="AJ915" s="27" t="str">
        <f t="shared" si="7"/>
        <v>51-100</v>
      </c>
    </row>
    <row r="916" ht="15.75" customHeight="1">
      <c r="A916" s="23">
        <f>HYPERLINK("https://app.hubspot.com/contacts/8748051/record/0-3/8165744990", 8165744990)</f>
        <v>8165744990</v>
      </c>
      <c r="B916" s="24" t="s">
        <v>2980</v>
      </c>
      <c r="C916" s="24" t="s">
        <v>38</v>
      </c>
      <c r="D916" s="25">
        <v>10000.0</v>
      </c>
      <c r="E916" s="24" t="s">
        <v>127</v>
      </c>
      <c r="F916" s="24"/>
      <c r="G916" s="26">
        <v>44628.35853009259</v>
      </c>
      <c r="H916" s="26">
        <v>44712.35865740741</v>
      </c>
      <c r="I916" s="24" t="s">
        <v>40</v>
      </c>
      <c r="J916" s="24" t="s">
        <v>41</v>
      </c>
      <c r="K916" s="27"/>
      <c r="L916" s="27"/>
      <c r="M916" s="24" t="s">
        <v>44</v>
      </c>
      <c r="N916" s="27"/>
      <c r="O916" s="27"/>
      <c r="P916" s="27"/>
      <c r="Q916" s="24" t="s">
        <v>2981</v>
      </c>
      <c r="R916" s="23">
        <f>HYPERLINK("https://app.hubspot.com/contacts/8748051/record/0-2/6265997730", 6265997730)</f>
        <v>6265997730</v>
      </c>
      <c r="S916" s="24" t="s">
        <v>2982</v>
      </c>
      <c r="T916" s="28" t="s">
        <v>2983</v>
      </c>
      <c r="U916" s="24" t="s">
        <v>47</v>
      </c>
      <c r="V916" s="24"/>
      <c r="W916" s="32"/>
      <c r="X916" s="29">
        <v>504.0</v>
      </c>
      <c r="Y916" s="29">
        <v>26.0</v>
      </c>
      <c r="Z916" s="30" t="s">
        <v>108</v>
      </c>
      <c r="AA916" s="31"/>
      <c r="AB916" s="31"/>
      <c r="AC916" s="31"/>
      <c r="AD916" s="31"/>
      <c r="AE916" s="31"/>
      <c r="AF916" s="31"/>
      <c r="AG916" s="27" t="str">
        <f t="shared" si="1"/>
        <v>New Logo</v>
      </c>
      <c r="AH916" s="27" t="str">
        <f t="shared" si="5"/>
        <v>Lead</v>
      </c>
      <c r="AI916" s="27" t="str">
        <f t="shared" si="6"/>
        <v>501-1000</v>
      </c>
      <c r="AJ916" s="27" t="str">
        <f t="shared" si="7"/>
        <v>21-50</v>
      </c>
    </row>
    <row r="917" ht="15.75" customHeight="1">
      <c r="A917" s="23">
        <f>HYPERLINK("https://app.hubspot.com/contacts/8748051/record/0-3/8123155475", 8123155475)</f>
        <v>8123155475</v>
      </c>
      <c r="B917" s="24" t="s">
        <v>1114</v>
      </c>
      <c r="C917" s="24" t="s">
        <v>1009</v>
      </c>
      <c r="D917" s="25">
        <v>10000.0</v>
      </c>
      <c r="E917" s="24" t="s">
        <v>127</v>
      </c>
      <c r="F917" s="24" t="s">
        <v>52</v>
      </c>
      <c r="G917" s="26">
        <v>44624.384780092594</v>
      </c>
      <c r="H917" s="26">
        <v>44742.38489583333</v>
      </c>
      <c r="I917" s="24" t="s">
        <v>40</v>
      </c>
      <c r="J917" s="24" t="s">
        <v>41</v>
      </c>
      <c r="K917" s="24"/>
      <c r="L917" s="24"/>
      <c r="M917" s="24" t="s">
        <v>44</v>
      </c>
      <c r="N917" s="24"/>
      <c r="O917" s="24"/>
      <c r="P917" s="27"/>
      <c r="Q917" s="24" t="s">
        <v>401</v>
      </c>
      <c r="R917" s="23">
        <f>HYPERLINK("https://app.hubspot.com/contacts/8748051/record/0-2/7983431442", 7983431442)</f>
        <v>7983431442</v>
      </c>
      <c r="S917" s="24" t="s">
        <v>1115</v>
      </c>
      <c r="T917" s="28" t="s">
        <v>1116</v>
      </c>
      <c r="U917" s="24" t="s">
        <v>47</v>
      </c>
      <c r="V917" s="24"/>
      <c r="W917" s="25"/>
      <c r="X917" s="29">
        <v>183.0</v>
      </c>
      <c r="Y917" s="29">
        <v>35.0</v>
      </c>
      <c r="Z917" s="30" t="s">
        <v>108</v>
      </c>
      <c r="AA917" s="30"/>
      <c r="AB917" s="31"/>
      <c r="AC917" s="31"/>
      <c r="AD917" s="30"/>
      <c r="AE917" s="31"/>
      <c r="AF917" s="30"/>
      <c r="AG917" s="27" t="str">
        <f t="shared" si="1"/>
        <v>New Logo</v>
      </c>
      <c r="AH917" s="27" t="str">
        <f t="shared" si="5"/>
        <v>Lead</v>
      </c>
      <c r="AI917" s="27" t="str">
        <f t="shared" si="6"/>
        <v>0-200</v>
      </c>
      <c r="AJ917" s="27" t="str">
        <f t="shared" si="7"/>
        <v>21-50</v>
      </c>
    </row>
    <row r="918" ht="15.75" customHeight="1">
      <c r="A918" s="23">
        <f>HYPERLINK("https://app.hubspot.com/contacts/8748051/record/0-3/8122950785", 8122950785)</f>
        <v>8122950785</v>
      </c>
      <c r="B918" s="24" t="s">
        <v>2984</v>
      </c>
      <c r="C918" s="24" t="s">
        <v>50</v>
      </c>
      <c r="D918" s="25">
        <v>5000.0</v>
      </c>
      <c r="E918" s="24" t="s">
        <v>127</v>
      </c>
      <c r="F918" s="24"/>
      <c r="G918" s="26">
        <v>44624.37856481481</v>
      </c>
      <c r="H918" s="26">
        <v>44742.37868055556</v>
      </c>
      <c r="I918" s="24" t="s">
        <v>40</v>
      </c>
      <c r="J918" s="24" t="s">
        <v>41</v>
      </c>
      <c r="K918" s="27"/>
      <c r="L918" s="27"/>
      <c r="M918" s="24" t="s">
        <v>44</v>
      </c>
      <c r="N918" s="27"/>
      <c r="O918" s="24"/>
      <c r="P918" s="27"/>
      <c r="Q918" s="24" t="s">
        <v>197</v>
      </c>
      <c r="R918" s="23">
        <f>HYPERLINK("https://app.hubspot.com/contacts/8748051/record/0-2/7915849144", 7915849144)</f>
        <v>7915849144</v>
      </c>
      <c r="S918" s="24" t="s">
        <v>2985</v>
      </c>
      <c r="T918" s="28" t="s">
        <v>2986</v>
      </c>
      <c r="U918" s="24" t="s">
        <v>47</v>
      </c>
      <c r="V918" s="24"/>
      <c r="W918" s="32"/>
      <c r="X918" s="29">
        <v>290.0</v>
      </c>
      <c r="Y918" s="29">
        <v>21.0</v>
      </c>
      <c r="Z918" s="30"/>
      <c r="AA918" s="31"/>
      <c r="AB918" s="31"/>
      <c r="AC918" s="31"/>
      <c r="AD918" s="31"/>
      <c r="AE918" s="31"/>
      <c r="AF918" s="31"/>
      <c r="AG918" s="27" t="str">
        <f t="shared" si="1"/>
        <v>New Logo</v>
      </c>
      <c r="AH918" s="27" t="str">
        <f t="shared" si="5"/>
        <v>Lead</v>
      </c>
      <c r="AI918" s="27" t="str">
        <f t="shared" si="6"/>
        <v>201-500</v>
      </c>
      <c r="AJ918" s="27" t="str">
        <f t="shared" si="7"/>
        <v>21-50</v>
      </c>
    </row>
    <row r="919" ht="15.75" customHeight="1">
      <c r="A919" s="23">
        <f>HYPERLINK("https://app.hubspot.com/contacts/8748051/record/0-3/8093002100", 8093002100)</f>
        <v>8093002100</v>
      </c>
      <c r="B919" s="24" t="s">
        <v>2987</v>
      </c>
      <c r="C919" s="24" t="s">
        <v>50</v>
      </c>
      <c r="D919" s="25">
        <v>20000.0</v>
      </c>
      <c r="E919" s="24" t="s">
        <v>149</v>
      </c>
      <c r="F919" s="24" t="s">
        <v>52</v>
      </c>
      <c r="G919" s="26">
        <v>44621.35372685185</v>
      </c>
      <c r="H919" s="26">
        <v>45110.41045138889</v>
      </c>
      <c r="I919" s="24" t="s">
        <v>40</v>
      </c>
      <c r="J919" s="24" t="s">
        <v>53</v>
      </c>
      <c r="K919" s="24"/>
      <c r="L919" s="24"/>
      <c r="M919" s="24" t="s">
        <v>44</v>
      </c>
      <c r="N919" s="24"/>
      <c r="O919" s="24" t="s">
        <v>2988</v>
      </c>
      <c r="P919" s="27"/>
      <c r="Q919" s="24"/>
      <c r="R919" s="23">
        <f>HYPERLINK("https://app.hubspot.com/contacts/8748051/record/0-2/5851235881", 5851235881)</f>
        <v>5851235881</v>
      </c>
      <c r="S919" s="24" t="s">
        <v>2989</v>
      </c>
      <c r="T919" s="28" t="s">
        <v>2990</v>
      </c>
      <c r="U919" s="24" t="s">
        <v>47</v>
      </c>
      <c r="V919" s="24"/>
      <c r="W919" s="25"/>
      <c r="X919" s="29">
        <v>1489.0</v>
      </c>
      <c r="Y919" s="29">
        <v>264.0</v>
      </c>
      <c r="Z919" s="30" t="s">
        <v>597</v>
      </c>
      <c r="AA919" s="31"/>
      <c r="AB919" s="31"/>
      <c r="AC919" s="31"/>
      <c r="AD919" s="31"/>
      <c r="AE919" s="31"/>
      <c r="AF919" s="31"/>
      <c r="AG919" s="27" t="str">
        <f t="shared" si="1"/>
        <v>New Logo</v>
      </c>
      <c r="AH919" s="27" t="str">
        <f t="shared" si="5"/>
        <v>Lead</v>
      </c>
      <c r="AI919" s="27" t="str">
        <f t="shared" si="6"/>
        <v>1001-5000</v>
      </c>
      <c r="AJ919" s="27" t="str">
        <f t="shared" si="7"/>
        <v>101-500</v>
      </c>
    </row>
    <row r="920" ht="15.75" customHeight="1">
      <c r="A920" s="23">
        <f>HYPERLINK("https://app.hubspot.com/contacts/8748051/record/0-3/8092791193", 8092791193)</f>
        <v>8092791193</v>
      </c>
      <c r="B920" s="24" t="s">
        <v>2991</v>
      </c>
      <c r="C920" s="24" t="s">
        <v>148</v>
      </c>
      <c r="D920" s="25">
        <v>10000.0</v>
      </c>
      <c r="E920" s="24" t="s">
        <v>149</v>
      </c>
      <c r="F920" s="24" t="s">
        <v>52</v>
      </c>
      <c r="G920" s="26">
        <v>44621.35292824074</v>
      </c>
      <c r="H920" s="26">
        <v>44629.38773148148</v>
      </c>
      <c r="I920" s="24" t="s">
        <v>40</v>
      </c>
      <c r="J920" s="24" t="s">
        <v>41</v>
      </c>
      <c r="K920" s="27"/>
      <c r="L920" s="27"/>
      <c r="M920" s="24" t="s">
        <v>44</v>
      </c>
      <c r="N920" s="27"/>
      <c r="O920" s="24" t="s">
        <v>2992</v>
      </c>
      <c r="P920" s="27"/>
      <c r="Q920" s="24"/>
      <c r="R920" s="23">
        <f>HYPERLINK("https://app.hubspot.com/contacts/8748051/record/0-2/30038830165", 30038830165)</f>
        <v>30038830165</v>
      </c>
      <c r="S920" s="24" t="s">
        <v>2993</v>
      </c>
      <c r="T920" s="28" t="s">
        <v>2994</v>
      </c>
      <c r="U920" s="24" t="s">
        <v>47</v>
      </c>
      <c r="V920" s="24"/>
      <c r="W920" s="32"/>
      <c r="X920" s="29">
        <v>264.0</v>
      </c>
      <c r="Y920" s="29">
        <v>54.0</v>
      </c>
      <c r="Z920" s="30" t="s">
        <v>108</v>
      </c>
      <c r="AA920" s="31"/>
      <c r="AB920" s="31"/>
      <c r="AC920" s="31"/>
      <c r="AD920" s="31"/>
      <c r="AE920" s="31"/>
      <c r="AF920" s="31"/>
      <c r="AG920" s="27" t="str">
        <f t="shared" si="1"/>
        <v>New Logo</v>
      </c>
      <c r="AH920" s="27" t="str">
        <f t="shared" si="5"/>
        <v>Lead</v>
      </c>
      <c r="AI920" s="27" t="str">
        <f t="shared" si="6"/>
        <v>201-500</v>
      </c>
      <c r="AJ920" s="27" t="str">
        <f t="shared" si="7"/>
        <v>51-100</v>
      </c>
    </row>
    <row r="921" ht="15.75" customHeight="1">
      <c r="A921" s="23">
        <f>HYPERLINK("https://app.hubspot.com/contacts/8748051/record/0-3/8092605104", 8092605104)</f>
        <v>8092605104</v>
      </c>
      <c r="B921" s="24" t="s">
        <v>2995</v>
      </c>
      <c r="C921" s="24" t="s">
        <v>50</v>
      </c>
      <c r="D921" s="25">
        <v>10000.0</v>
      </c>
      <c r="E921" s="24" t="s">
        <v>127</v>
      </c>
      <c r="F921" s="24"/>
      <c r="G921" s="26">
        <v>44621.3374537037</v>
      </c>
      <c r="H921" s="26">
        <v>44742.33761574074</v>
      </c>
      <c r="I921" s="24" t="s">
        <v>40</v>
      </c>
      <c r="J921" s="24" t="s">
        <v>41</v>
      </c>
      <c r="K921" s="27"/>
      <c r="L921" s="27"/>
      <c r="M921" s="24" t="s">
        <v>44</v>
      </c>
      <c r="N921" s="24"/>
      <c r="O921" s="24"/>
      <c r="P921" s="27"/>
      <c r="Q921" s="24" t="s">
        <v>197</v>
      </c>
      <c r="R921" s="23">
        <f>HYPERLINK("https://app.hubspot.com/contacts/8748051/record/0-2/7655806045", 7655806045)</f>
        <v>7655806045</v>
      </c>
      <c r="S921" s="24" t="s">
        <v>2996</v>
      </c>
      <c r="T921" s="28" t="s">
        <v>2997</v>
      </c>
      <c r="U921" s="24" t="s">
        <v>47</v>
      </c>
      <c r="V921" s="24"/>
      <c r="W921" s="25"/>
      <c r="X921" s="29">
        <v>1213.0</v>
      </c>
      <c r="Y921" s="29">
        <v>81.0</v>
      </c>
      <c r="Z921" s="30" t="s">
        <v>108</v>
      </c>
      <c r="AA921" s="31"/>
      <c r="AB921" s="31"/>
      <c r="AC921" s="31"/>
      <c r="AD921" s="31"/>
      <c r="AE921" s="31"/>
      <c r="AF921" s="31"/>
      <c r="AG921" s="27" t="str">
        <f t="shared" si="1"/>
        <v>New Logo</v>
      </c>
      <c r="AH921" s="27" t="str">
        <f t="shared" si="5"/>
        <v>Lead</v>
      </c>
      <c r="AI921" s="27" t="str">
        <f t="shared" si="6"/>
        <v>1001-5000</v>
      </c>
      <c r="AJ921" s="27" t="str">
        <f t="shared" si="7"/>
        <v>51-100</v>
      </c>
    </row>
    <row r="922" ht="15.75" customHeight="1">
      <c r="A922" s="23">
        <f>HYPERLINK("https://app.hubspot.com/contacts/8748051/record/0-3/8088245613", 8088245613)</f>
        <v>8088245613</v>
      </c>
      <c r="B922" s="24" t="s">
        <v>2998</v>
      </c>
      <c r="C922" s="24" t="s">
        <v>38</v>
      </c>
      <c r="D922" s="25">
        <v>10000.0</v>
      </c>
      <c r="E922" s="24" t="s">
        <v>127</v>
      </c>
      <c r="F922" s="24" t="s">
        <v>52</v>
      </c>
      <c r="G922" s="26">
        <v>44621.335648148146</v>
      </c>
      <c r="H922" s="26">
        <v>44834.579780092594</v>
      </c>
      <c r="I922" s="24" t="s">
        <v>40</v>
      </c>
      <c r="J922" s="24" t="s">
        <v>41</v>
      </c>
      <c r="K922" s="27"/>
      <c r="L922" s="27"/>
      <c r="M922" s="24" t="s">
        <v>44</v>
      </c>
      <c r="N922" s="27"/>
      <c r="O922" s="24"/>
      <c r="P922" s="27"/>
      <c r="Q922" s="24" t="s">
        <v>238</v>
      </c>
      <c r="R922" s="23">
        <f>HYPERLINK("https://app.hubspot.com/contacts/8748051/record/0-2/7624051053", 7624051053)</f>
        <v>7624051053</v>
      </c>
      <c r="S922" s="24" t="s">
        <v>2999</v>
      </c>
      <c r="T922" s="28" t="s">
        <v>3000</v>
      </c>
      <c r="U922" s="24" t="s">
        <v>47</v>
      </c>
      <c r="V922" s="24"/>
      <c r="W922" s="32"/>
      <c r="X922" s="29">
        <v>279.0</v>
      </c>
      <c r="Y922" s="29">
        <v>45.0</v>
      </c>
      <c r="Z922" s="30"/>
      <c r="AA922" s="31"/>
      <c r="AB922" s="31"/>
      <c r="AC922" s="31"/>
      <c r="AD922" s="31"/>
      <c r="AE922" s="31"/>
      <c r="AF922" s="31"/>
      <c r="AG922" s="27" t="str">
        <f t="shared" si="1"/>
        <v>New Logo</v>
      </c>
      <c r="AH922" s="27" t="str">
        <f t="shared" si="5"/>
        <v>Lead</v>
      </c>
      <c r="AI922" s="27" t="str">
        <f t="shared" si="6"/>
        <v>201-500</v>
      </c>
      <c r="AJ922" s="27" t="str">
        <f t="shared" si="7"/>
        <v>21-50</v>
      </c>
    </row>
    <row r="923" ht="15.75" customHeight="1">
      <c r="A923" s="23">
        <f>HYPERLINK("https://app.hubspot.com/contacts/8748051/record/0-3/8024041783", 8024041783)</f>
        <v>8024041783</v>
      </c>
      <c r="B923" s="24" t="s">
        <v>3001</v>
      </c>
      <c r="C923" s="24" t="s">
        <v>1009</v>
      </c>
      <c r="D923" s="25">
        <v>10000.0</v>
      </c>
      <c r="E923" s="24" t="s">
        <v>127</v>
      </c>
      <c r="F923" s="24"/>
      <c r="G923" s="26">
        <v>44617.41173611111</v>
      </c>
      <c r="H923" s="26">
        <v>44834.411678240744</v>
      </c>
      <c r="I923" s="24" t="s">
        <v>40</v>
      </c>
      <c r="J923" s="24" t="s">
        <v>41</v>
      </c>
      <c r="K923" s="27"/>
      <c r="L923" s="27"/>
      <c r="M923" s="24" t="s">
        <v>44</v>
      </c>
      <c r="N923" s="24"/>
      <c r="O923" s="24"/>
      <c r="P923" s="27"/>
      <c r="Q923" s="24" t="s">
        <v>128</v>
      </c>
      <c r="R923" s="23">
        <f>HYPERLINK("https://app.hubspot.com/contacts/8748051/record/0-2/7668408714", 7668408714)</f>
        <v>7668408714</v>
      </c>
      <c r="S923" s="24" t="s">
        <v>3002</v>
      </c>
      <c r="T923" s="28" t="s">
        <v>3003</v>
      </c>
      <c r="U923" s="24" t="s">
        <v>47</v>
      </c>
      <c r="V923" s="24"/>
      <c r="W923" s="25"/>
      <c r="X923" s="29">
        <v>330.0</v>
      </c>
      <c r="Y923" s="29">
        <v>44.0</v>
      </c>
      <c r="Z923" s="30" t="s">
        <v>71</v>
      </c>
      <c r="AA923" s="30"/>
      <c r="AB923" s="31"/>
      <c r="AC923" s="31"/>
      <c r="AD923" s="30"/>
      <c r="AE923" s="30"/>
      <c r="AF923" s="30"/>
      <c r="AG923" s="27" t="str">
        <f t="shared" si="1"/>
        <v>New Logo</v>
      </c>
      <c r="AH923" s="27" t="str">
        <f t="shared" si="5"/>
        <v>Lead</v>
      </c>
      <c r="AI923" s="27" t="str">
        <f t="shared" si="6"/>
        <v>201-500</v>
      </c>
      <c r="AJ923" s="27" t="str">
        <f t="shared" si="7"/>
        <v>21-50</v>
      </c>
    </row>
    <row r="924" ht="15.75" customHeight="1">
      <c r="A924" s="23">
        <f>HYPERLINK("https://app.hubspot.com/contacts/8748051/record/0-3/8024041240", 8024041240)</f>
        <v>8024041240</v>
      </c>
      <c r="B924" s="24" t="s">
        <v>3004</v>
      </c>
      <c r="C924" s="24" t="s">
        <v>50</v>
      </c>
      <c r="D924" s="25">
        <v>10000.0</v>
      </c>
      <c r="E924" s="24" t="s">
        <v>149</v>
      </c>
      <c r="F924" s="24"/>
      <c r="G924" s="26">
        <v>44617.40980324074</v>
      </c>
      <c r="H924" s="26">
        <v>44620.40960648148</v>
      </c>
      <c r="I924" s="24" t="s">
        <v>40</v>
      </c>
      <c r="J924" s="24" t="s">
        <v>41</v>
      </c>
      <c r="K924" s="24"/>
      <c r="L924" s="24"/>
      <c r="M924" s="24" t="s">
        <v>44</v>
      </c>
      <c r="N924" s="24"/>
      <c r="O924" s="24"/>
      <c r="P924" s="24"/>
      <c r="Q924" s="24"/>
      <c r="R924" s="23">
        <f>HYPERLINK("https://app.hubspot.com/contacts/8748051/record/0-2/7895305112", 7895305112)</f>
        <v>7895305112</v>
      </c>
      <c r="S924" s="24" t="s">
        <v>3005</v>
      </c>
      <c r="T924" s="28" t="s">
        <v>3006</v>
      </c>
      <c r="U924" s="24" t="s">
        <v>47</v>
      </c>
      <c r="V924" s="24"/>
      <c r="W924" s="25"/>
      <c r="X924" s="29">
        <v>14.0</v>
      </c>
      <c r="Y924" s="29">
        <v>1.0</v>
      </c>
      <c r="Z924" s="30"/>
      <c r="AA924" s="31"/>
      <c r="AB924" s="31"/>
      <c r="AC924" s="31"/>
      <c r="AD924" s="31"/>
      <c r="AE924" s="31"/>
      <c r="AF924" s="31"/>
      <c r="AG924" s="27" t="str">
        <f t="shared" si="1"/>
        <v>New Logo</v>
      </c>
      <c r="AH924" s="27" t="str">
        <f t="shared" si="5"/>
        <v>Lead</v>
      </c>
      <c r="AI924" s="27" t="str">
        <f t="shared" si="6"/>
        <v>0-200</v>
      </c>
      <c r="AJ924" s="27" t="str">
        <f t="shared" si="7"/>
        <v>0-20</v>
      </c>
    </row>
    <row r="925" ht="15.75" customHeight="1">
      <c r="A925" s="23">
        <f>HYPERLINK("https://app.hubspot.com/contacts/8748051/record/0-3/8024016818", 8024016818)</f>
        <v>8024016818</v>
      </c>
      <c r="B925" s="24" t="s">
        <v>3007</v>
      </c>
      <c r="C925" s="24" t="s">
        <v>148</v>
      </c>
      <c r="D925" s="25">
        <v>10000.0</v>
      </c>
      <c r="E925" s="24" t="s">
        <v>149</v>
      </c>
      <c r="F925" s="24"/>
      <c r="G925" s="26">
        <v>44617.40875</v>
      </c>
      <c r="H925" s="26"/>
      <c r="I925" s="24" t="s">
        <v>40</v>
      </c>
      <c r="J925" s="24" t="s">
        <v>41</v>
      </c>
      <c r="K925" s="24"/>
      <c r="L925" s="24"/>
      <c r="M925" s="24" t="s">
        <v>44</v>
      </c>
      <c r="N925" s="24"/>
      <c r="O925" s="24"/>
      <c r="P925" s="24"/>
      <c r="Q925" s="24"/>
      <c r="R925" s="23">
        <f>HYPERLINK("https://app.hubspot.com/contacts/8748051/record/0-2/7891009350", 7891009350)</f>
        <v>7891009350</v>
      </c>
      <c r="S925" s="24" t="s">
        <v>3008</v>
      </c>
      <c r="T925" s="28" t="s">
        <v>3009</v>
      </c>
      <c r="U925" s="24" t="s">
        <v>47</v>
      </c>
      <c r="V925" s="24"/>
      <c r="W925" s="25"/>
      <c r="X925" s="29">
        <v>13.0</v>
      </c>
      <c r="Y925" s="29">
        <v>2.0</v>
      </c>
      <c r="Z925" s="30"/>
      <c r="AA925" s="30"/>
      <c r="AB925" s="31"/>
      <c r="AC925" s="31"/>
      <c r="AD925" s="30"/>
      <c r="AE925" s="30"/>
      <c r="AF925" s="30"/>
      <c r="AG925" s="27" t="str">
        <f t="shared" si="1"/>
        <v>New Logo</v>
      </c>
      <c r="AH925" s="27" t="str">
        <f t="shared" si="5"/>
        <v>Lead</v>
      </c>
      <c r="AI925" s="27" t="str">
        <f t="shared" si="6"/>
        <v>0-200</v>
      </c>
      <c r="AJ925" s="27" t="str">
        <f t="shared" si="7"/>
        <v>0-20</v>
      </c>
    </row>
    <row r="926" ht="15.75" customHeight="1">
      <c r="A926" s="23">
        <f>HYPERLINK("https://app.hubspot.com/contacts/8748051/record/0-3/8023783343", 8023783343)</f>
        <v>8023783343</v>
      </c>
      <c r="B926" s="24" t="s">
        <v>3010</v>
      </c>
      <c r="C926" s="24" t="s">
        <v>2305</v>
      </c>
      <c r="D926" s="25">
        <v>3500.0</v>
      </c>
      <c r="E926" s="24" t="s">
        <v>92</v>
      </c>
      <c r="F926" s="24" t="s">
        <v>52</v>
      </c>
      <c r="G926" s="26">
        <v>44617.4041087963</v>
      </c>
      <c r="H926" s="26">
        <v>44683.63489583333</v>
      </c>
      <c r="I926" s="24" t="s">
        <v>40</v>
      </c>
      <c r="J926" s="24" t="s">
        <v>41</v>
      </c>
      <c r="K926" s="24" t="s">
        <v>60</v>
      </c>
      <c r="L926" s="24" t="s">
        <v>178</v>
      </c>
      <c r="M926" s="24"/>
      <c r="N926" s="24" t="s">
        <v>3011</v>
      </c>
      <c r="O926" s="24"/>
      <c r="P926" s="27"/>
      <c r="Q926" s="24"/>
      <c r="R926" s="23">
        <f>HYPERLINK("https://app.hubspot.com/contacts/8748051/record/0-2/30555009103", 30555009103)</f>
        <v>30555009103</v>
      </c>
      <c r="S926" s="28" t="s">
        <v>3012</v>
      </c>
      <c r="T926" s="28" t="s">
        <v>3013</v>
      </c>
      <c r="U926" s="24">
        <v>3.4564763E7</v>
      </c>
      <c r="V926" s="35">
        <v>45747.0</v>
      </c>
      <c r="W926" s="25">
        <v>3500.0</v>
      </c>
      <c r="X926" s="29">
        <v>125.0</v>
      </c>
      <c r="Y926" s="29">
        <v>16.0</v>
      </c>
      <c r="Z926" s="30"/>
      <c r="AA926" s="30"/>
      <c r="AB926" s="31"/>
      <c r="AC926" s="31"/>
      <c r="AD926" s="30"/>
      <c r="AE926" s="30"/>
      <c r="AF926" s="30"/>
      <c r="AG926" s="27" t="str">
        <f t="shared" si="1"/>
        <v>New Logo</v>
      </c>
      <c r="AH926" s="27" t="str">
        <f t="shared" si="5"/>
        <v>Churn</v>
      </c>
      <c r="AI926" s="27" t="str">
        <f t="shared" si="6"/>
        <v>0-200</v>
      </c>
      <c r="AJ926" s="27" t="str">
        <f t="shared" si="7"/>
        <v>0-20</v>
      </c>
    </row>
    <row r="927" ht="15.75" customHeight="1">
      <c r="A927" s="23">
        <f>HYPERLINK("https://app.hubspot.com/contacts/8748051/record/0-3/8024110227", 8024110227)</f>
        <v>8024110227</v>
      </c>
      <c r="B927" s="24" t="s">
        <v>3014</v>
      </c>
      <c r="C927" s="24" t="s">
        <v>148</v>
      </c>
      <c r="D927" s="25">
        <v>20000.0</v>
      </c>
      <c r="E927" s="24" t="s">
        <v>127</v>
      </c>
      <c r="F927" s="24" t="s">
        <v>52</v>
      </c>
      <c r="G927" s="26">
        <v>44617.401458333334</v>
      </c>
      <c r="H927" s="26">
        <v>45107.397835648146</v>
      </c>
      <c r="I927" s="24" t="s">
        <v>40</v>
      </c>
      <c r="J927" s="24" t="s">
        <v>41</v>
      </c>
      <c r="K927" s="27"/>
      <c r="L927" s="27"/>
      <c r="M927" s="24"/>
      <c r="N927" s="27"/>
      <c r="O927" s="24"/>
      <c r="P927" s="27"/>
      <c r="Q927" s="24" t="s">
        <v>568</v>
      </c>
      <c r="R927" s="23">
        <f>HYPERLINK("https://app.hubspot.com/contacts/8748051/record/0-2/7904545450", 7904545450)</f>
        <v>7904545450</v>
      </c>
      <c r="S927" s="24" t="s">
        <v>3015</v>
      </c>
      <c r="T927" s="28" t="s">
        <v>3016</v>
      </c>
      <c r="U927" s="24" t="s">
        <v>47</v>
      </c>
      <c r="V927" s="24"/>
      <c r="W927" s="25"/>
      <c r="X927" s="29">
        <v>319.0</v>
      </c>
      <c r="Y927" s="29">
        <v>36.0</v>
      </c>
      <c r="Z927" s="30" t="s">
        <v>108</v>
      </c>
      <c r="AA927" s="30"/>
      <c r="AB927" s="31"/>
      <c r="AC927" s="31"/>
      <c r="AD927" s="30"/>
      <c r="AE927" s="31"/>
      <c r="AF927" s="30"/>
      <c r="AG927" s="27" t="str">
        <f t="shared" si="1"/>
        <v>New Logo</v>
      </c>
      <c r="AH927" s="27" t="str">
        <f t="shared" si="5"/>
        <v>Lead</v>
      </c>
      <c r="AI927" s="27" t="str">
        <f t="shared" si="6"/>
        <v>201-500</v>
      </c>
      <c r="AJ927" s="27" t="str">
        <f t="shared" si="7"/>
        <v>21-50</v>
      </c>
    </row>
    <row r="928" ht="15.75" customHeight="1">
      <c r="A928" s="23">
        <f>HYPERLINK("https://app.hubspot.com/contacts/8748051/record/0-3/7865359153", 7865359153)</f>
        <v>7865359153</v>
      </c>
      <c r="B928" s="24" t="s">
        <v>3017</v>
      </c>
      <c r="C928" s="24" t="s">
        <v>148</v>
      </c>
      <c r="D928" s="25">
        <v>10000.0</v>
      </c>
      <c r="E928" s="24" t="s">
        <v>127</v>
      </c>
      <c r="F928" s="24"/>
      <c r="G928" s="26">
        <v>44601.470671296294</v>
      </c>
      <c r="H928" s="26">
        <v>44773.47075231482</v>
      </c>
      <c r="I928" s="24" t="s">
        <v>40</v>
      </c>
      <c r="J928" s="24" t="s">
        <v>41</v>
      </c>
      <c r="K928" s="27"/>
      <c r="L928" s="27"/>
      <c r="M928" s="24"/>
      <c r="N928" s="27"/>
      <c r="O928" s="24"/>
      <c r="P928" s="27"/>
      <c r="Q928" s="24" t="s">
        <v>144</v>
      </c>
      <c r="R928" s="23">
        <f>HYPERLINK("https://app.hubspot.com/contacts/8748051/record/0-2/5851830957", 5851830957)</f>
        <v>5851830957</v>
      </c>
      <c r="S928" s="24" t="s">
        <v>3018</v>
      </c>
      <c r="T928" s="28" t="s">
        <v>3019</v>
      </c>
      <c r="U928" s="24" t="s">
        <v>47</v>
      </c>
      <c r="V928" s="24"/>
      <c r="W928" s="32"/>
      <c r="X928" s="29">
        <v>166.0</v>
      </c>
      <c r="Y928" s="29">
        <v>33.0</v>
      </c>
      <c r="Z928" s="30" t="s">
        <v>108</v>
      </c>
      <c r="AA928" s="31"/>
      <c r="AB928" s="31"/>
      <c r="AC928" s="31"/>
      <c r="AD928" s="31"/>
      <c r="AE928" s="31"/>
      <c r="AF928" s="31"/>
      <c r="AG928" s="27" t="str">
        <f t="shared" si="1"/>
        <v>New Logo</v>
      </c>
      <c r="AH928" s="27" t="str">
        <f t="shared" si="5"/>
        <v>Lead</v>
      </c>
      <c r="AI928" s="27" t="str">
        <f t="shared" si="6"/>
        <v>0-200</v>
      </c>
      <c r="AJ928" s="27" t="str">
        <f t="shared" si="7"/>
        <v>21-50</v>
      </c>
    </row>
    <row r="929" ht="15.75" customHeight="1">
      <c r="A929" s="23">
        <f>HYPERLINK("https://app.hubspot.com/contacts/8748051/record/0-3/7864438568", 7864438568)</f>
        <v>7864438568</v>
      </c>
      <c r="B929" s="24" t="s">
        <v>3020</v>
      </c>
      <c r="C929" s="24" t="s">
        <v>50</v>
      </c>
      <c r="D929" s="25">
        <v>10000.0</v>
      </c>
      <c r="E929" s="24" t="s">
        <v>127</v>
      </c>
      <c r="F929" s="24"/>
      <c r="G929" s="26">
        <v>44601.43568287037</v>
      </c>
      <c r="H929" s="26">
        <v>44834.624548611115</v>
      </c>
      <c r="I929" s="24" t="s">
        <v>40</v>
      </c>
      <c r="J929" s="24" t="s">
        <v>41</v>
      </c>
      <c r="K929" s="27"/>
      <c r="L929" s="27"/>
      <c r="M929" s="24" t="s">
        <v>44</v>
      </c>
      <c r="N929" s="27"/>
      <c r="O929" s="24"/>
      <c r="P929" s="27"/>
      <c r="Q929" s="24" t="s">
        <v>128</v>
      </c>
      <c r="R929" s="23">
        <f>HYPERLINK("https://app.hubspot.com/contacts/8748051/record/0-2/7679164328", 7679164328)</f>
        <v>7679164328</v>
      </c>
      <c r="S929" s="24" t="s">
        <v>3021</v>
      </c>
      <c r="T929" s="28" t="s">
        <v>3022</v>
      </c>
      <c r="U929" s="24" t="s">
        <v>47</v>
      </c>
      <c r="V929" s="24"/>
      <c r="W929" s="32"/>
      <c r="X929" s="29">
        <v>573.0</v>
      </c>
      <c r="Y929" s="29">
        <v>171.0</v>
      </c>
      <c r="Z929" s="30" t="s">
        <v>71</v>
      </c>
      <c r="AA929" s="31"/>
      <c r="AB929" s="31"/>
      <c r="AC929" s="31"/>
      <c r="AD929" s="31"/>
      <c r="AE929" s="31"/>
      <c r="AF929" s="31"/>
      <c r="AG929" s="27" t="str">
        <f t="shared" si="1"/>
        <v>New Logo</v>
      </c>
      <c r="AH929" s="27" t="str">
        <f t="shared" si="5"/>
        <v>Lead</v>
      </c>
      <c r="AI929" s="27" t="str">
        <f t="shared" si="6"/>
        <v>501-1000</v>
      </c>
      <c r="AJ929" s="27" t="str">
        <f t="shared" si="7"/>
        <v>101-500</v>
      </c>
    </row>
    <row r="930" ht="15.75" customHeight="1">
      <c r="A930" s="23">
        <f>HYPERLINK("https://app.hubspot.com/contacts/8748051/record/0-3/7864463995", 7864463995)</f>
        <v>7864463995</v>
      </c>
      <c r="B930" s="24" t="s">
        <v>3023</v>
      </c>
      <c r="C930" s="24" t="s">
        <v>38</v>
      </c>
      <c r="D930" s="25">
        <v>10000.0</v>
      </c>
      <c r="E930" s="24" t="s">
        <v>127</v>
      </c>
      <c r="F930" s="24"/>
      <c r="G930" s="26">
        <v>44601.42633101852</v>
      </c>
      <c r="H930" s="26">
        <v>44742.426469907405</v>
      </c>
      <c r="I930" s="24" t="s">
        <v>40</v>
      </c>
      <c r="J930" s="24" t="s">
        <v>41</v>
      </c>
      <c r="K930" s="27"/>
      <c r="L930" s="27"/>
      <c r="M930" s="24" t="s">
        <v>44</v>
      </c>
      <c r="N930" s="24"/>
      <c r="O930" s="24"/>
      <c r="P930" s="24"/>
      <c r="Q930" s="24" t="s">
        <v>197</v>
      </c>
      <c r="R930" s="23">
        <f>HYPERLINK("https://app.hubspot.com/contacts/8748051/record/0-2/7864113947", 7864113947)</f>
        <v>7864113947</v>
      </c>
      <c r="S930" s="24" t="s">
        <v>3024</v>
      </c>
      <c r="T930" s="28" t="s">
        <v>3025</v>
      </c>
      <c r="U930" s="24" t="s">
        <v>47</v>
      </c>
      <c r="V930" s="24"/>
      <c r="W930" s="25"/>
      <c r="X930" s="29">
        <v>14.0</v>
      </c>
      <c r="Y930" s="29">
        <v>1.0</v>
      </c>
      <c r="Z930" s="30"/>
      <c r="AA930" s="30"/>
      <c r="AB930" s="31"/>
      <c r="AC930" s="31"/>
      <c r="AD930" s="30"/>
      <c r="AE930" s="30"/>
      <c r="AF930" s="30"/>
      <c r="AG930" s="27" t="str">
        <f t="shared" si="1"/>
        <v>New Logo</v>
      </c>
      <c r="AH930" s="27" t="str">
        <f t="shared" si="5"/>
        <v>Lead</v>
      </c>
      <c r="AI930" s="27" t="str">
        <f t="shared" si="6"/>
        <v>0-200</v>
      </c>
      <c r="AJ930" s="27" t="str">
        <f t="shared" si="7"/>
        <v>0-20</v>
      </c>
    </row>
    <row r="931" ht="15.75" customHeight="1">
      <c r="A931" s="23">
        <f>HYPERLINK("https://app.hubspot.com/contacts/8748051/record/0-3/7843901545", 7843901545)</f>
        <v>7843901545</v>
      </c>
      <c r="B931" s="24" t="s">
        <v>3026</v>
      </c>
      <c r="C931" s="24" t="s">
        <v>50</v>
      </c>
      <c r="D931" s="25">
        <v>30000.0</v>
      </c>
      <c r="E931" s="24" t="s">
        <v>127</v>
      </c>
      <c r="F931" s="24" t="s">
        <v>52</v>
      </c>
      <c r="G931" s="26">
        <v>44599.32511574074</v>
      </c>
      <c r="H931" s="26">
        <v>45291.039664351854</v>
      </c>
      <c r="I931" s="24" t="s">
        <v>40</v>
      </c>
      <c r="J931" s="24" t="s">
        <v>41</v>
      </c>
      <c r="K931" s="27"/>
      <c r="L931" s="27"/>
      <c r="M931" s="24" t="s">
        <v>102</v>
      </c>
      <c r="N931" s="24"/>
      <c r="O931" s="24"/>
      <c r="P931" s="27"/>
      <c r="Q931" s="24" t="s">
        <v>144</v>
      </c>
      <c r="R931" s="23">
        <f>HYPERLINK("https://app.hubspot.com/contacts/8748051/record/0-2/7755953967", 7755953967)</f>
        <v>7755953967</v>
      </c>
      <c r="S931" s="24" t="s">
        <v>1248</v>
      </c>
      <c r="T931" s="28" t="s">
        <v>1249</v>
      </c>
      <c r="U931" s="24" t="s">
        <v>47</v>
      </c>
      <c r="V931" s="24"/>
      <c r="W931" s="25"/>
      <c r="X931" s="29">
        <v>407.0</v>
      </c>
      <c r="Y931" s="29">
        <v>51.0</v>
      </c>
      <c r="Z931" s="30"/>
      <c r="AA931" s="30"/>
      <c r="AB931" s="31"/>
      <c r="AC931" s="31"/>
      <c r="AD931" s="30"/>
      <c r="AE931" s="30"/>
      <c r="AF931" s="30"/>
      <c r="AG931" s="27" t="str">
        <f t="shared" si="1"/>
        <v>New Logo</v>
      </c>
      <c r="AH931" s="27" t="str">
        <f t="shared" si="5"/>
        <v>Lead</v>
      </c>
      <c r="AI931" s="27" t="str">
        <f t="shared" si="6"/>
        <v>201-500</v>
      </c>
      <c r="AJ931" s="27" t="str">
        <f t="shared" si="7"/>
        <v>51-100</v>
      </c>
    </row>
    <row r="932" ht="15.75" customHeight="1">
      <c r="A932" s="23">
        <f>HYPERLINK("https://app.hubspot.com/contacts/8748051/record/0-3/7783376958", 7783376958)</f>
        <v>7783376958</v>
      </c>
      <c r="B932" s="24" t="s">
        <v>3027</v>
      </c>
      <c r="C932" s="24" t="s">
        <v>1835</v>
      </c>
      <c r="D932" s="25">
        <v>7500.0</v>
      </c>
      <c r="E932" s="24" t="s">
        <v>92</v>
      </c>
      <c r="F932" s="24" t="s">
        <v>52</v>
      </c>
      <c r="G932" s="26">
        <v>44593.125613425924</v>
      </c>
      <c r="H932" s="26">
        <v>44635.111134259256</v>
      </c>
      <c r="I932" s="24" t="s">
        <v>40</v>
      </c>
      <c r="J932" s="24" t="s">
        <v>41</v>
      </c>
      <c r="K932" s="24"/>
      <c r="L932" s="24"/>
      <c r="M932" s="24" t="s">
        <v>102</v>
      </c>
      <c r="N932" s="24" t="s">
        <v>3028</v>
      </c>
      <c r="O932" s="24"/>
      <c r="P932" s="24"/>
      <c r="Q932" s="27"/>
      <c r="R932" s="23">
        <f>HYPERLINK("https://app.hubspot.com/contacts/8748051/record/0-2/9668863759", 9668863759)</f>
        <v>9668863759</v>
      </c>
      <c r="S932" s="24" t="s">
        <v>2649</v>
      </c>
      <c r="T932" s="28" t="s">
        <v>2650</v>
      </c>
      <c r="U932" s="24">
        <v>3.4564763E7</v>
      </c>
      <c r="V932" s="35">
        <v>46095.0</v>
      </c>
      <c r="W932" s="25">
        <v>11880.0</v>
      </c>
      <c r="X932" s="29">
        <v>435.0</v>
      </c>
      <c r="Y932" s="29">
        <v>41.0</v>
      </c>
      <c r="Z932" s="30"/>
      <c r="AA932" s="30" t="s">
        <v>193</v>
      </c>
      <c r="AB932" s="30"/>
      <c r="AC932" s="31"/>
      <c r="AD932" s="30" t="s">
        <v>2651</v>
      </c>
      <c r="AE932" s="30" t="s">
        <v>2652</v>
      </c>
      <c r="AF932" s="30" t="s">
        <v>396</v>
      </c>
      <c r="AG932" s="27" t="str">
        <f t="shared" si="1"/>
        <v>New Logo</v>
      </c>
      <c r="AH932" s="27" t="str">
        <f t="shared" si="5"/>
        <v>Churn</v>
      </c>
      <c r="AI932" s="27" t="str">
        <f t="shared" si="6"/>
        <v>201-500</v>
      </c>
      <c r="AJ932" s="27" t="str">
        <f t="shared" si="7"/>
        <v>21-50</v>
      </c>
    </row>
    <row r="933" ht="15.75" customHeight="1">
      <c r="A933" s="23">
        <f>HYPERLINK("https://app.hubspot.com/contacts/8748051/record/0-3/7774924090", 7774924090)</f>
        <v>7774924090</v>
      </c>
      <c r="B933" s="24" t="s">
        <v>3029</v>
      </c>
      <c r="C933" s="24" t="s">
        <v>50</v>
      </c>
      <c r="D933" s="25">
        <v>10000.0</v>
      </c>
      <c r="E933" s="24" t="s">
        <v>127</v>
      </c>
      <c r="F933" s="24"/>
      <c r="G933" s="26">
        <v>44592.449016203704</v>
      </c>
      <c r="H933" s="26">
        <v>44712.44913194444</v>
      </c>
      <c r="I933" s="24" t="s">
        <v>40</v>
      </c>
      <c r="J933" s="24" t="s">
        <v>41</v>
      </c>
      <c r="K933" s="27"/>
      <c r="L933" s="27"/>
      <c r="M933" s="24" t="s">
        <v>44</v>
      </c>
      <c r="N933" s="24"/>
      <c r="O933" s="24"/>
      <c r="P933" s="27"/>
      <c r="Q933" s="24" t="s">
        <v>401</v>
      </c>
      <c r="R933" s="23">
        <f>HYPERLINK("https://app.hubspot.com/contacts/8748051/record/0-2/6816461158", 6816461158)</f>
        <v>6816461158</v>
      </c>
      <c r="S933" s="24" t="s">
        <v>3030</v>
      </c>
      <c r="T933" s="28" t="s">
        <v>3031</v>
      </c>
      <c r="U933" s="24" t="s">
        <v>47</v>
      </c>
      <c r="V933" s="24"/>
      <c r="W933" s="25"/>
      <c r="X933" s="29">
        <v>259.0</v>
      </c>
      <c r="Y933" s="29">
        <v>27.0</v>
      </c>
      <c r="Z933" s="30"/>
      <c r="AA933" s="30"/>
      <c r="AB933" s="31"/>
      <c r="AC933" s="31"/>
      <c r="AD933" s="30"/>
      <c r="AE933" s="31"/>
      <c r="AF933" s="30"/>
      <c r="AG933" s="27" t="str">
        <f t="shared" si="1"/>
        <v>New Logo</v>
      </c>
      <c r="AH933" s="27" t="str">
        <f t="shared" si="5"/>
        <v>Lead</v>
      </c>
      <c r="AI933" s="27" t="str">
        <f t="shared" si="6"/>
        <v>201-500</v>
      </c>
      <c r="AJ933" s="27" t="str">
        <f t="shared" si="7"/>
        <v>21-50</v>
      </c>
    </row>
    <row r="934" ht="15.75" customHeight="1">
      <c r="A934" s="23">
        <f>HYPERLINK("https://app.hubspot.com/contacts/8748051/record/0-3/7753818436", 7753818436)</f>
        <v>7753818436</v>
      </c>
      <c r="B934" s="24" t="s">
        <v>3032</v>
      </c>
      <c r="C934" s="24" t="s">
        <v>38</v>
      </c>
      <c r="D934" s="25">
        <v>10000.0</v>
      </c>
      <c r="E934" s="24" t="s">
        <v>127</v>
      </c>
      <c r="F934" s="24"/>
      <c r="G934" s="26">
        <v>44589.567766203705</v>
      </c>
      <c r="H934" s="26">
        <v>44742.5678587963</v>
      </c>
      <c r="I934" s="24" t="s">
        <v>40</v>
      </c>
      <c r="J934" s="24" t="s">
        <v>41</v>
      </c>
      <c r="K934" s="27"/>
      <c r="L934" s="27"/>
      <c r="M934" s="24" t="s">
        <v>102</v>
      </c>
      <c r="N934" s="27"/>
      <c r="O934" s="24"/>
      <c r="P934" s="27"/>
      <c r="Q934" s="24" t="s">
        <v>197</v>
      </c>
      <c r="R934" s="23">
        <f>HYPERLINK("https://app.hubspot.com/contacts/8748051/record/0-2/7736651330", 7736651330)</f>
        <v>7736651330</v>
      </c>
      <c r="S934" s="24" t="s">
        <v>3033</v>
      </c>
      <c r="T934" s="28" t="s">
        <v>3034</v>
      </c>
      <c r="U934" s="24" t="s">
        <v>47</v>
      </c>
      <c r="V934" s="24"/>
      <c r="W934" s="32"/>
      <c r="X934" s="29">
        <v>577.0</v>
      </c>
      <c r="Y934" s="29">
        <v>95.0</v>
      </c>
      <c r="Z934" s="30" t="s">
        <v>56</v>
      </c>
      <c r="AA934" s="31"/>
      <c r="AB934" s="31"/>
      <c r="AC934" s="31"/>
      <c r="AD934" s="31"/>
      <c r="AE934" s="31"/>
      <c r="AF934" s="31"/>
      <c r="AG934" s="27" t="str">
        <f t="shared" si="1"/>
        <v>New Logo</v>
      </c>
      <c r="AH934" s="27" t="str">
        <f t="shared" si="5"/>
        <v>Lead</v>
      </c>
      <c r="AI934" s="27" t="str">
        <f t="shared" si="6"/>
        <v>501-1000</v>
      </c>
      <c r="AJ934" s="27" t="str">
        <f t="shared" si="7"/>
        <v>51-100</v>
      </c>
    </row>
    <row r="935" ht="15.75" customHeight="1">
      <c r="A935" s="23">
        <f>HYPERLINK("https://app.hubspot.com/contacts/8748051/record/0-3/7753736023", 7753736023)</f>
        <v>7753736023</v>
      </c>
      <c r="B935" s="24" t="s">
        <v>3035</v>
      </c>
      <c r="C935" s="24" t="s">
        <v>50</v>
      </c>
      <c r="D935" s="25">
        <v>10000.0</v>
      </c>
      <c r="E935" s="24" t="s">
        <v>127</v>
      </c>
      <c r="F935" s="24" t="s">
        <v>52</v>
      </c>
      <c r="G935" s="26">
        <v>44589.566412037035</v>
      </c>
      <c r="H935" s="26">
        <v>45016.51453703704</v>
      </c>
      <c r="I935" s="24" t="s">
        <v>40</v>
      </c>
      <c r="J935" s="24" t="s">
        <v>41</v>
      </c>
      <c r="K935" s="27"/>
      <c r="L935" s="27"/>
      <c r="M935" s="24" t="s">
        <v>44</v>
      </c>
      <c r="N935" s="24"/>
      <c r="O935" s="24"/>
      <c r="P935" s="27"/>
      <c r="Q935" s="24" t="s">
        <v>197</v>
      </c>
      <c r="R935" s="23">
        <f>HYPERLINK("https://app.hubspot.com/contacts/8748051/record/0-2/7231779621", 7231779621)</f>
        <v>7231779621</v>
      </c>
      <c r="S935" s="24" t="s">
        <v>2869</v>
      </c>
      <c r="T935" s="28" t="s">
        <v>2870</v>
      </c>
      <c r="U935" s="24" t="s">
        <v>47</v>
      </c>
      <c r="V935" s="24"/>
      <c r="W935" s="25"/>
      <c r="X935" s="29">
        <v>68.0</v>
      </c>
      <c r="Y935" s="29">
        <v>3.0</v>
      </c>
      <c r="Z935" s="30"/>
      <c r="AA935" s="31"/>
      <c r="AB935" s="31"/>
      <c r="AC935" s="31"/>
      <c r="AD935" s="31"/>
      <c r="AE935" s="31"/>
      <c r="AF935" s="31"/>
      <c r="AG935" s="27" t="str">
        <f t="shared" si="1"/>
        <v>New Logo</v>
      </c>
      <c r="AH935" s="27" t="str">
        <f t="shared" si="5"/>
        <v>Lead</v>
      </c>
      <c r="AI935" s="27" t="str">
        <f t="shared" si="6"/>
        <v>0-200</v>
      </c>
      <c r="AJ935" s="27" t="str">
        <f t="shared" si="7"/>
        <v>0-20</v>
      </c>
    </row>
    <row r="936" ht="15.75" customHeight="1">
      <c r="A936" s="23">
        <f>HYPERLINK("https://app.hubspot.com/contacts/8748051/record/0-3/7753743532", 7753743532)</f>
        <v>7753743532</v>
      </c>
      <c r="B936" s="24" t="s">
        <v>3036</v>
      </c>
      <c r="C936" s="24" t="s">
        <v>50</v>
      </c>
      <c r="D936" s="25">
        <v>10000.0</v>
      </c>
      <c r="E936" s="24" t="s">
        <v>127</v>
      </c>
      <c r="F936" s="24"/>
      <c r="G936" s="26">
        <v>44589.56321759259</v>
      </c>
      <c r="H936" s="26">
        <v>44834.46822916667</v>
      </c>
      <c r="I936" s="24" t="s">
        <v>40</v>
      </c>
      <c r="J936" s="24" t="s">
        <v>41</v>
      </c>
      <c r="K936" s="27"/>
      <c r="L936" s="27"/>
      <c r="M936" s="24" t="s">
        <v>44</v>
      </c>
      <c r="N936" s="27"/>
      <c r="O936" s="27"/>
      <c r="P936" s="27"/>
      <c r="Q936" s="24" t="s">
        <v>197</v>
      </c>
      <c r="R936" s="23">
        <f>HYPERLINK("https://app.hubspot.com/contacts/8748051/record/0-2/7674377618", 7674377618)</f>
        <v>7674377618</v>
      </c>
      <c r="S936" s="28" t="s">
        <v>3037</v>
      </c>
      <c r="T936" s="28" t="s">
        <v>3038</v>
      </c>
      <c r="U936" s="24" t="s">
        <v>47</v>
      </c>
      <c r="V936" s="24"/>
      <c r="W936" s="32"/>
      <c r="X936" s="29">
        <v>35.0</v>
      </c>
      <c r="Y936" s="29">
        <v>5.0</v>
      </c>
      <c r="Z936" s="30"/>
      <c r="AA936" s="31"/>
      <c r="AB936" s="31"/>
      <c r="AC936" s="31"/>
      <c r="AD936" s="31"/>
      <c r="AE936" s="31"/>
      <c r="AF936" s="31"/>
      <c r="AG936" s="27" t="str">
        <f t="shared" si="1"/>
        <v>New Logo</v>
      </c>
      <c r="AH936" s="27" t="str">
        <f t="shared" si="5"/>
        <v>Lead</v>
      </c>
      <c r="AI936" s="27" t="str">
        <f t="shared" si="6"/>
        <v>0-200</v>
      </c>
      <c r="AJ936" s="27" t="str">
        <f t="shared" si="7"/>
        <v>0-20</v>
      </c>
    </row>
    <row r="937" ht="15.75" customHeight="1">
      <c r="A937" s="23">
        <f>HYPERLINK("https://app.hubspot.com/contacts/8748051/record/0-3/7743870835", 7743870835)</f>
        <v>7743870835</v>
      </c>
      <c r="B937" s="24" t="s">
        <v>3039</v>
      </c>
      <c r="C937" s="24" t="s">
        <v>50</v>
      </c>
      <c r="D937" s="25">
        <v>10000.0</v>
      </c>
      <c r="E937" s="24" t="s">
        <v>127</v>
      </c>
      <c r="F937" s="24"/>
      <c r="G937" s="26">
        <v>44588.513344907406</v>
      </c>
      <c r="H937" s="26">
        <v>44865.51346064815</v>
      </c>
      <c r="I937" s="24" t="s">
        <v>40</v>
      </c>
      <c r="J937" s="24" t="s">
        <v>41</v>
      </c>
      <c r="K937" s="27"/>
      <c r="L937" s="27"/>
      <c r="M937" s="24" t="s">
        <v>44</v>
      </c>
      <c r="N937" s="24"/>
      <c r="O937" s="24"/>
      <c r="P937" s="27"/>
      <c r="Q937" s="24" t="s">
        <v>128</v>
      </c>
      <c r="R937" s="23">
        <f>HYPERLINK("https://app.hubspot.com/contacts/8748051/record/0-2/7769807126", 7769807126)</f>
        <v>7769807126</v>
      </c>
      <c r="S937" s="24" t="s">
        <v>3040</v>
      </c>
      <c r="T937" s="28" t="s">
        <v>3041</v>
      </c>
      <c r="U937" s="24" t="s">
        <v>47</v>
      </c>
      <c r="V937" s="24"/>
      <c r="W937" s="25"/>
      <c r="X937" s="29">
        <v>160.0</v>
      </c>
      <c r="Y937" s="29">
        <v>46.0</v>
      </c>
      <c r="Z937" s="30" t="s">
        <v>108</v>
      </c>
      <c r="AA937" s="31"/>
      <c r="AB937" s="31"/>
      <c r="AC937" s="31"/>
      <c r="AD937" s="31"/>
      <c r="AE937" s="31"/>
      <c r="AF937" s="31"/>
      <c r="AG937" s="27" t="str">
        <f t="shared" si="1"/>
        <v>New Logo</v>
      </c>
      <c r="AH937" s="27" t="str">
        <f t="shared" si="5"/>
        <v>Lead</v>
      </c>
      <c r="AI937" s="27" t="str">
        <f t="shared" si="6"/>
        <v>0-200</v>
      </c>
      <c r="AJ937" s="27" t="str">
        <f t="shared" si="7"/>
        <v>21-50</v>
      </c>
    </row>
    <row r="938" ht="15.75" customHeight="1">
      <c r="A938" s="23">
        <f>HYPERLINK("https://app.hubspot.com/contacts/8748051/record/0-3/7743346836", 7743346836)</f>
        <v>7743346836</v>
      </c>
      <c r="B938" s="24" t="s">
        <v>3042</v>
      </c>
      <c r="C938" s="24" t="s">
        <v>1009</v>
      </c>
      <c r="D938" s="25">
        <v>15000.0</v>
      </c>
      <c r="E938" s="24" t="s">
        <v>127</v>
      </c>
      <c r="F938" s="24"/>
      <c r="G938" s="26">
        <v>44588.448159722226</v>
      </c>
      <c r="H938" s="26">
        <v>44711.44834490741</v>
      </c>
      <c r="I938" s="24" t="s">
        <v>40</v>
      </c>
      <c r="J938" s="24" t="s">
        <v>41</v>
      </c>
      <c r="K938" s="27"/>
      <c r="L938" s="27"/>
      <c r="M938" s="24" t="s">
        <v>44</v>
      </c>
      <c r="N938" s="24"/>
      <c r="O938" s="24"/>
      <c r="P938" s="27"/>
      <c r="Q938" s="24" t="s">
        <v>144</v>
      </c>
      <c r="R938" s="23">
        <f>HYPERLINK("https://app.hubspot.com/contacts/8748051/record/0-2/7489504694", 7489504694)</f>
        <v>7489504694</v>
      </c>
      <c r="S938" s="24" t="s">
        <v>3043</v>
      </c>
      <c r="T938" s="28" t="s">
        <v>3044</v>
      </c>
      <c r="U938" s="24" t="s">
        <v>47</v>
      </c>
      <c r="V938" s="24"/>
      <c r="W938" s="25"/>
      <c r="X938" s="29">
        <v>774.0</v>
      </c>
      <c r="Y938" s="29">
        <v>28.0</v>
      </c>
      <c r="Z938" s="30"/>
      <c r="AA938" s="30"/>
      <c r="AB938" s="31"/>
      <c r="AC938" s="31"/>
      <c r="AD938" s="30"/>
      <c r="AE938" s="31"/>
      <c r="AF938" s="30"/>
      <c r="AG938" s="27" t="str">
        <f t="shared" si="1"/>
        <v>New Logo</v>
      </c>
      <c r="AH938" s="27" t="str">
        <f t="shared" si="5"/>
        <v>Lead</v>
      </c>
      <c r="AI938" s="27" t="str">
        <f t="shared" si="6"/>
        <v>501-1000</v>
      </c>
      <c r="AJ938" s="27" t="str">
        <f t="shared" si="7"/>
        <v>21-50</v>
      </c>
    </row>
    <row r="939" ht="15.75" customHeight="1">
      <c r="A939" s="23">
        <f>HYPERLINK("https://app.hubspot.com/contacts/8748051/record/0-3/8023783336", 8023783336)</f>
        <v>8023783336</v>
      </c>
      <c r="B939" s="24" t="s">
        <v>3045</v>
      </c>
      <c r="C939" s="24" t="s">
        <v>38</v>
      </c>
      <c r="D939" s="25">
        <v>10000.0</v>
      </c>
      <c r="E939" s="24" t="s">
        <v>127</v>
      </c>
      <c r="F939" s="24" t="s">
        <v>52</v>
      </c>
      <c r="G939" s="26">
        <v>44587.56178240741</v>
      </c>
      <c r="H939" s="26">
        <v>44712.402233796296</v>
      </c>
      <c r="I939" s="24" t="s">
        <v>40</v>
      </c>
      <c r="J939" s="24" t="s">
        <v>41</v>
      </c>
      <c r="K939" s="27"/>
      <c r="L939" s="27"/>
      <c r="M939" s="24" t="s">
        <v>44</v>
      </c>
      <c r="N939" s="24"/>
      <c r="O939" s="24"/>
      <c r="P939" s="27"/>
      <c r="Q939" s="24" t="s">
        <v>128</v>
      </c>
      <c r="R939" s="23">
        <f>HYPERLINK("https://app.hubspot.com/contacts/8748051/record/0-2/5851190426", 5851190426)</f>
        <v>5851190426</v>
      </c>
      <c r="S939" s="24" t="s">
        <v>3045</v>
      </c>
      <c r="T939" s="28" t="s">
        <v>3046</v>
      </c>
      <c r="U939" s="24" t="s">
        <v>47</v>
      </c>
      <c r="V939" s="24"/>
      <c r="W939" s="25"/>
      <c r="X939" s="29">
        <v>49.0</v>
      </c>
      <c r="Y939" s="29">
        <v>6.0</v>
      </c>
      <c r="Z939" s="30"/>
      <c r="AA939" s="30"/>
      <c r="AB939" s="31"/>
      <c r="AC939" s="31"/>
      <c r="AD939" s="30"/>
      <c r="AE939" s="31"/>
      <c r="AF939" s="30"/>
      <c r="AG939" s="27" t="str">
        <f t="shared" si="1"/>
        <v>New Logo</v>
      </c>
      <c r="AH939" s="27" t="str">
        <f t="shared" si="5"/>
        <v>Lead</v>
      </c>
      <c r="AI939" s="27" t="str">
        <f t="shared" si="6"/>
        <v>0-200</v>
      </c>
      <c r="AJ939" s="27" t="str">
        <f t="shared" si="7"/>
        <v>0-20</v>
      </c>
    </row>
    <row r="940" ht="15.75" customHeight="1">
      <c r="A940" s="23">
        <f>HYPERLINK("https://app.hubspot.com/contacts/8748051/record/0-3/7723230853", 7723230853)</f>
        <v>7723230853</v>
      </c>
      <c r="B940" s="24" t="s">
        <v>3047</v>
      </c>
      <c r="C940" s="24" t="s">
        <v>2305</v>
      </c>
      <c r="D940" s="25">
        <v>3000.0</v>
      </c>
      <c r="E940" s="24" t="s">
        <v>92</v>
      </c>
      <c r="F940" s="24" t="s">
        <v>52</v>
      </c>
      <c r="G940" s="26">
        <v>44587.40053240741</v>
      </c>
      <c r="H940" s="26">
        <v>45142.30326388889</v>
      </c>
      <c r="I940" s="24" t="s">
        <v>40</v>
      </c>
      <c r="J940" s="24" t="s">
        <v>41</v>
      </c>
      <c r="K940" s="27"/>
      <c r="L940" s="27"/>
      <c r="M940" s="24" t="s">
        <v>44</v>
      </c>
      <c r="N940" s="24" t="s">
        <v>3048</v>
      </c>
      <c r="O940" s="24" t="s">
        <v>3049</v>
      </c>
      <c r="P940" s="24"/>
      <c r="Q940" s="24"/>
      <c r="R940" s="23">
        <f>HYPERLINK("https://app.hubspot.com/contacts/8748051/record/0-2/7737526328", 7737526328)</f>
        <v>7737526328</v>
      </c>
      <c r="S940" s="24" t="s">
        <v>840</v>
      </c>
      <c r="T940" s="28" t="s">
        <v>841</v>
      </c>
      <c r="U940" s="24" t="s">
        <v>96</v>
      </c>
      <c r="V940" s="24"/>
      <c r="W940" s="25">
        <v>3210.0</v>
      </c>
      <c r="X940" s="29">
        <v>294.0</v>
      </c>
      <c r="Y940" s="29">
        <v>46.0</v>
      </c>
      <c r="Z940" s="30"/>
      <c r="AA940" s="30" t="s">
        <v>349</v>
      </c>
      <c r="AB940" s="31"/>
      <c r="AC940" s="31"/>
      <c r="AD940" s="30" t="s">
        <v>842</v>
      </c>
      <c r="AE940" s="31"/>
      <c r="AF940" s="30" t="s">
        <v>764</v>
      </c>
      <c r="AG940" s="27" t="str">
        <f t="shared" si="1"/>
        <v>New Logo</v>
      </c>
      <c r="AH940" s="27" t="str">
        <f t="shared" si="5"/>
        <v>Customer</v>
      </c>
      <c r="AI940" s="27" t="str">
        <f t="shared" si="6"/>
        <v>201-500</v>
      </c>
      <c r="AJ940" s="27" t="str">
        <f t="shared" si="7"/>
        <v>21-50</v>
      </c>
    </row>
    <row r="941" ht="15.75" customHeight="1">
      <c r="A941" s="23">
        <f>HYPERLINK("https://app.hubspot.com/contacts/8748051/record/0-3/7697286571", 7697286571)</f>
        <v>7697286571</v>
      </c>
      <c r="B941" s="24" t="s">
        <v>3050</v>
      </c>
      <c r="C941" s="24" t="s">
        <v>148</v>
      </c>
      <c r="D941" s="25">
        <v>30000.0</v>
      </c>
      <c r="E941" s="24" t="s">
        <v>149</v>
      </c>
      <c r="F941" s="24" t="s">
        <v>52</v>
      </c>
      <c r="G941" s="26">
        <v>44586.69128472222</v>
      </c>
      <c r="H941" s="26">
        <v>44722.37306712963</v>
      </c>
      <c r="I941" s="24" t="s">
        <v>40</v>
      </c>
      <c r="J941" s="24" t="s">
        <v>53</v>
      </c>
      <c r="K941" s="27"/>
      <c r="L941" s="27"/>
      <c r="M941" s="24" t="s">
        <v>44</v>
      </c>
      <c r="N941" s="27"/>
      <c r="O941" s="24" t="s">
        <v>3051</v>
      </c>
      <c r="P941" s="27"/>
      <c r="Q941" s="24"/>
      <c r="R941" s="23">
        <f>HYPERLINK("https://app.hubspot.com/contacts/8748051/record/0-2/6262832187", 6262832187)</f>
        <v>6262832187</v>
      </c>
      <c r="S941" s="24" t="s">
        <v>3052</v>
      </c>
      <c r="T941" s="28" t="s">
        <v>3053</v>
      </c>
      <c r="U941" s="24" t="s">
        <v>47</v>
      </c>
      <c r="V941" s="24"/>
      <c r="W941" s="32"/>
      <c r="X941" s="29">
        <v>225.0</v>
      </c>
      <c r="Y941" s="29">
        <v>33.0</v>
      </c>
      <c r="Z941" s="30" t="s">
        <v>3054</v>
      </c>
      <c r="AA941" s="31"/>
      <c r="AB941" s="31"/>
      <c r="AC941" s="31"/>
      <c r="AD941" s="31"/>
      <c r="AE941" s="31"/>
      <c r="AF941" s="31"/>
      <c r="AG941" s="27" t="str">
        <f t="shared" si="1"/>
        <v>New Logo</v>
      </c>
      <c r="AH941" s="27" t="str">
        <f t="shared" si="5"/>
        <v>Lead</v>
      </c>
      <c r="AI941" s="27" t="str">
        <f t="shared" si="6"/>
        <v>201-500</v>
      </c>
      <c r="AJ941" s="27" t="str">
        <f t="shared" si="7"/>
        <v>21-50</v>
      </c>
    </row>
    <row r="942" ht="15.75" customHeight="1">
      <c r="A942" s="23">
        <f>HYPERLINK("https://app.hubspot.com/contacts/8748051/record/0-3/7695009703", 7695009703)</f>
        <v>7695009703</v>
      </c>
      <c r="B942" s="24" t="s">
        <v>3055</v>
      </c>
      <c r="C942" s="24" t="s">
        <v>38</v>
      </c>
      <c r="D942" s="25">
        <v>10000.0</v>
      </c>
      <c r="E942" s="24" t="s">
        <v>127</v>
      </c>
      <c r="F942" s="24"/>
      <c r="G942" s="26">
        <v>44586.49429398148</v>
      </c>
      <c r="H942" s="26">
        <v>44712.38182870371</v>
      </c>
      <c r="I942" s="24" t="s">
        <v>40</v>
      </c>
      <c r="J942" s="24" t="s">
        <v>41</v>
      </c>
      <c r="K942" s="27"/>
      <c r="L942" s="27"/>
      <c r="M942" s="24" t="s">
        <v>44</v>
      </c>
      <c r="N942" s="24"/>
      <c r="O942" s="24"/>
      <c r="P942" s="27"/>
      <c r="Q942" s="24" t="s">
        <v>128</v>
      </c>
      <c r="R942" s="23">
        <f>HYPERLINK("https://app.hubspot.com/contacts/8748051/record/0-2/6816615300", 6816615300)</f>
        <v>6816615300</v>
      </c>
      <c r="S942" s="24" t="s">
        <v>3056</v>
      </c>
      <c r="T942" s="28" t="s">
        <v>3057</v>
      </c>
      <c r="U942" s="24" t="s">
        <v>47</v>
      </c>
      <c r="V942" s="24"/>
      <c r="W942" s="25"/>
      <c r="X942" s="29">
        <v>344.0</v>
      </c>
      <c r="Y942" s="29">
        <v>72.0</v>
      </c>
      <c r="Z942" s="30"/>
      <c r="AA942" s="30"/>
      <c r="AB942" s="31"/>
      <c r="AC942" s="31"/>
      <c r="AD942" s="30"/>
      <c r="AE942" s="31"/>
      <c r="AF942" s="30"/>
      <c r="AG942" s="27" t="str">
        <f t="shared" si="1"/>
        <v>New Logo</v>
      </c>
      <c r="AH942" s="27" t="str">
        <f t="shared" si="5"/>
        <v>Lead</v>
      </c>
      <c r="AI942" s="27" t="str">
        <f t="shared" si="6"/>
        <v>201-500</v>
      </c>
      <c r="AJ942" s="27" t="str">
        <f t="shared" si="7"/>
        <v>51-100</v>
      </c>
    </row>
    <row r="943" ht="15.75" customHeight="1">
      <c r="A943" s="23">
        <f>HYPERLINK("https://app.hubspot.com/contacts/8748051/record/0-3/7694503948", 7694503948)</f>
        <v>7694503948</v>
      </c>
      <c r="B943" s="24" t="s">
        <v>1236</v>
      </c>
      <c r="C943" s="24" t="s">
        <v>50</v>
      </c>
      <c r="D943" s="25">
        <v>15000.0</v>
      </c>
      <c r="E943" s="24" t="s">
        <v>127</v>
      </c>
      <c r="F943" s="24"/>
      <c r="G943" s="26">
        <v>44586.43372685185</v>
      </c>
      <c r="H943" s="26">
        <v>44957.345659722225</v>
      </c>
      <c r="I943" s="24" t="s">
        <v>40</v>
      </c>
      <c r="J943" s="24" t="s">
        <v>53</v>
      </c>
      <c r="K943" s="27"/>
      <c r="L943" s="27"/>
      <c r="M943" s="24" t="s">
        <v>44</v>
      </c>
      <c r="N943" s="24"/>
      <c r="O943" s="24"/>
      <c r="P943" s="27"/>
      <c r="Q943" s="24" t="s">
        <v>144</v>
      </c>
      <c r="R943" s="23">
        <f>HYPERLINK("https://app.hubspot.com/contacts/8748051/record/0-2/8867142733", 8867142733)</f>
        <v>8867142733</v>
      </c>
      <c r="S943" s="24" t="s">
        <v>657</v>
      </c>
      <c r="T943" s="28" t="s">
        <v>658</v>
      </c>
      <c r="U943" s="24" t="s">
        <v>47</v>
      </c>
      <c r="V943" s="24"/>
      <c r="W943" s="25"/>
      <c r="X943" s="29">
        <v>8750.0</v>
      </c>
      <c r="Y943" s="29">
        <v>1438.0</v>
      </c>
      <c r="Z943" s="30" t="s">
        <v>659</v>
      </c>
      <c r="AA943" s="31"/>
      <c r="AB943" s="31"/>
      <c r="AC943" s="31"/>
      <c r="AD943" s="31"/>
      <c r="AE943" s="31"/>
      <c r="AF943" s="31"/>
      <c r="AG943" s="27" t="str">
        <f t="shared" si="1"/>
        <v>New Logo</v>
      </c>
      <c r="AH943" s="27" t="str">
        <f t="shared" si="5"/>
        <v>Lead</v>
      </c>
      <c r="AI943" s="27" t="str">
        <f t="shared" si="6"/>
        <v>5000-10000</v>
      </c>
      <c r="AJ943" s="27" t="str">
        <f t="shared" si="7"/>
        <v>500+</v>
      </c>
    </row>
    <row r="944" ht="15.75" customHeight="1">
      <c r="A944" s="23">
        <f>HYPERLINK("https://app.hubspot.com/contacts/8748051/record/0-3/7684015763", 7684015763)</f>
        <v>7684015763</v>
      </c>
      <c r="B944" s="24" t="s">
        <v>3058</v>
      </c>
      <c r="C944" s="24" t="s">
        <v>2305</v>
      </c>
      <c r="D944" s="25">
        <v>10000.0</v>
      </c>
      <c r="E944" s="24" t="s">
        <v>92</v>
      </c>
      <c r="F944" s="24" t="s">
        <v>52</v>
      </c>
      <c r="G944" s="26">
        <v>44585.39922453704</v>
      </c>
      <c r="H944" s="26">
        <v>44655.75001157408</v>
      </c>
      <c r="I944" s="24" t="s">
        <v>40</v>
      </c>
      <c r="J944" s="24" t="s">
        <v>41</v>
      </c>
      <c r="K944" s="24"/>
      <c r="L944" s="24"/>
      <c r="M944" s="24" t="s">
        <v>44</v>
      </c>
      <c r="N944" s="24" t="s">
        <v>3059</v>
      </c>
      <c r="O944" s="24"/>
      <c r="P944" s="24"/>
      <c r="Q944" s="24"/>
      <c r="R944" s="23">
        <f>HYPERLINK("https://app.hubspot.com/contacts/8748051/record/0-2/7636759347", 7636759347)</f>
        <v>7636759347</v>
      </c>
      <c r="S944" s="24" t="s">
        <v>3060</v>
      </c>
      <c r="T944" s="28" t="s">
        <v>3061</v>
      </c>
      <c r="U944" s="24">
        <v>3.4564763E7</v>
      </c>
      <c r="V944" s="35">
        <v>45026.0</v>
      </c>
      <c r="W944" s="25">
        <v>10000.0</v>
      </c>
      <c r="X944" s="29">
        <v>194.0</v>
      </c>
      <c r="Y944" s="29">
        <v>21.0</v>
      </c>
      <c r="Z944" s="30"/>
      <c r="AA944" s="30"/>
      <c r="AB944" s="30"/>
      <c r="AC944" s="31"/>
      <c r="AD944" s="30"/>
      <c r="AE944" s="30"/>
      <c r="AF944" s="30"/>
      <c r="AG944" s="27" t="str">
        <f t="shared" si="1"/>
        <v>New Logo</v>
      </c>
      <c r="AH944" s="27" t="str">
        <f t="shared" si="5"/>
        <v>Churn</v>
      </c>
      <c r="AI944" s="27" t="str">
        <f t="shared" si="6"/>
        <v>0-200</v>
      </c>
      <c r="AJ944" s="27" t="str">
        <f t="shared" si="7"/>
        <v>21-50</v>
      </c>
    </row>
    <row r="945" ht="15.75" customHeight="1">
      <c r="A945" s="23">
        <f>HYPERLINK("https://app.hubspot.com/contacts/8748051/record/0-3/7656436278", 7656436278)</f>
        <v>7656436278</v>
      </c>
      <c r="B945" s="24" t="s">
        <v>3062</v>
      </c>
      <c r="C945" s="24" t="s">
        <v>1009</v>
      </c>
      <c r="D945" s="25">
        <v>10000.0</v>
      </c>
      <c r="E945" s="24" t="s">
        <v>127</v>
      </c>
      <c r="F945" s="24" t="s">
        <v>52</v>
      </c>
      <c r="G945" s="26">
        <v>44582.43827546296</v>
      </c>
      <c r="H945" s="26">
        <v>44834.543912037036</v>
      </c>
      <c r="I945" s="24" t="s">
        <v>40</v>
      </c>
      <c r="J945" s="24" t="s">
        <v>41</v>
      </c>
      <c r="K945" s="27"/>
      <c r="L945" s="27"/>
      <c r="M945" s="24" t="s">
        <v>44</v>
      </c>
      <c r="N945" s="27"/>
      <c r="O945" s="24"/>
      <c r="P945" s="27"/>
      <c r="Q945" s="24" t="s">
        <v>197</v>
      </c>
      <c r="R945" s="23">
        <f>HYPERLINK("https://app.hubspot.com/contacts/8748051/record/0-2/7715988807", 7715988807)</f>
        <v>7715988807</v>
      </c>
      <c r="S945" s="24" t="s">
        <v>3063</v>
      </c>
      <c r="T945" s="28" t="s">
        <v>3064</v>
      </c>
      <c r="U945" s="24" t="s">
        <v>47</v>
      </c>
      <c r="V945" s="24"/>
      <c r="W945" s="32"/>
      <c r="X945" s="29">
        <v>199.0</v>
      </c>
      <c r="Y945" s="29">
        <v>45.0</v>
      </c>
      <c r="Z945" s="30"/>
      <c r="AA945" s="31"/>
      <c r="AB945" s="31"/>
      <c r="AC945" s="31"/>
      <c r="AD945" s="31"/>
      <c r="AE945" s="31"/>
      <c r="AF945" s="31"/>
      <c r="AG945" s="27" t="str">
        <f t="shared" si="1"/>
        <v>New Logo</v>
      </c>
      <c r="AH945" s="27" t="str">
        <f t="shared" si="5"/>
        <v>Lead</v>
      </c>
      <c r="AI945" s="27" t="str">
        <f t="shared" si="6"/>
        <v>0-200</v>
      </c>
      <c r="AJ945" s="27" t="str">
        <f t="shared" si="7"/>
        <v>21-50</v>
      </c>
    </row>
    <row r="946" ht="15.75" customHeight="1">
      <c r="A946" s="23">
        <f>HYPERLINK("https://app.hubspot.com/contacts/8748051/record/0-3/7656395039", 7656395039)</f>
        <v>7656395039</v>
      </c>
      <c r="B946" s="24" t="s">
        <v>453</v>
      </c>
      <c r="C946" s="24" t="s">
        <v>148</v>
      </c>
      <c r="D946" s="25">
        <v>10000.0</v>
      </c>
      <c r="E946" s="24" t="s">
        <v>127</v>
      </c>
      <c r="F946" s="24"/>
      <c r="G946" s="26">
        <v>44582.42930555555</v>
      </c>
      <c r="H946" s="26">
        <v>44816.55358796296</v>
      </c>
      <c r="I946" s="24" t="s">
        <v>40</v>
      </c>
      <c r="J946" s="24" t="s">
        <v>41</v>
      </c>
      <c r="K946" s="27"/>
      <c r="L946" s="27"/>
      <c r="M946" s="24" t="s">
        <v>44</v>
      </c>
      <c r="N946" s="27"/>
      <c r="O946" s="24"/>
      <c r="P946" s="27"/>
      <c r="Q946" s="24" t="s">
        <v>144</v>
      </c>
      <c r="R946" s="23">
        <f>HYPERLINK("https://app.hubspot.com/contacts/8748051/record/0-2/7715913391", 7715913391)</f>
        <v>7715913391</v>
      </c>
      <c r="S946" s="24" t="s">
        <v>454</v>
      </c>
      <c r="T946" s="28" t="s">
        <v>455</v>
      </c>
      <c r="U946" s="24" t="s">
        <v>47</v>
      </c>
      <c r="V946" s="24"/>
      <c r="W946" s="32"/>
      <c r="X946" s="29">
        <v>1019.0</v>
      </c>
      <c r="Y946" s="29">
        <v>183.0</v>
      </c>
      <c r="Z946" s="30" t="s">
        <v>456</v>
      </c>
      <c r="AA946" s="31"/>
      <c r="AB946" s="31"/>
      <c r="AC946" s="31"/>
      <c r="AD946" s="31"/>
      <c r="AE946" s="31"/>
      <c r="AF946" s="31"/>
      <c r="AG946" s="27" t="str">
        <f t="shared" si="1"/>
        <v>New Logo</v>
      </c>
      <c r="AH946" s="27" t="str">
        <f t="shared" si="5"/>
        <v>Lead</v>
      </c>
      <c r="AI946" s="27" t="str">
        <f t="shared" si="6"/>
        <v>1001-5000</v>
      </c>
      <c r="AJ946" s="27" t="str">
        <f t="shared" si="7"/>
        <v>101-500</v>
      </c>
    </row>
    <row r="947" ht="15.75" customHeight="1">
      <c r="A947" s="23">
        <f>HYPERLINK("https://app.hubspot.com/contacts/8748051/record/0-3/7642390660", 7642390660)</f>
        <v>7642390660</v>
      </c>
      <c r="B947" s="24" t="s">
        <v>3065</v>
      </c>
      <c r="C947" s="24" t="s">
        <v>50</v>
      </c>
      <c r="D947" s="25">
        <v>10000.0</v>
      </c>
      <c r="E947" s="24" t="s">
        <v>127</v>
      </c>
      <c r="F947" s="24"/>
      <c r="G947" s="26">
        <v>44581.47693287037</v>
      </c>
      <c r="H947" s="26">
        <v>44680.47702546296</v>
      </c>
      <c r="I947" s="24" t="s">
        <v>40</v>
      </c>
      <c r="J947" s="24" t="s">
        <v>41</v>
      </c>
      <c r="K947" s="27"/>
      <c r="L947" s="27"/>
      <c r="M947" s="24" t="s">
        <v>44</v>
      </c>
      <c r="N947" s="27"/>
      <c r="O947" s="24"/>
      <c r="P947" s="27"/>
      <c r="Q947" s="24" t="s">
        <v>144</v>
      </c>
      <c r="R947" s="23">
        <f>HYPERLINK("https://app.hubspot.com/contacts/8748051/record/0-2/7589578042", 7589578042)</f>
        <v>7589578042</v>
      </c>
      <c r="S947" s="24" t="s">
        <v>3066</v>
      </c>
      <c r="T947" s="28" t="s">
        <v>3067</v>
      </c>
      <c r="U947" s="24" t="s">
        <v>47</v>
      </c>
      <c r="V947" s="24"/>
      <c r="W947" s="32"/>
      <c r="X947" s="29">
        <v>931.0</v>
      </c>
      <c r="Y947" s="29">
        <v>213.0</v>
      </c>
      <c r="Z947" s="30" t="s">
        <v>56</v>
      </c>
      <c r="AA947" s="31"/>
      <c r="AB947" s="31"/>
      <c r="AC947" s="31"/>
      <c r="AD947" s="31"/>
      <c r="AE947" s="31"/>
      <c r="AF947" s="31"/>
      <c r="AG947" s="27" t="str">
        <f t="shared" si="1"/>
        <v>New Logo</v>
      </c>
      <c r="AH947" s="27" t="str">
        <f t="shared" si="5"/>
        <v>Lead</v>
      </c>
      <c r="AI947" s="27" t="str">
        <f t="shared" si="6"/>
        <v>501-1000</v>
      </c>
      <c r="AJ947" s="27" t="str">
        <f t="shared" si="7"/>
        <v>101-500</v>
      </c>
    </row>
    <row r="948" ht="15.75" customHeight="1">
      <c r="A948" s="23">
        <f>HYPERLINK("https://app.hubspot.com/contacts/8748051/record/0-3/7634894380", 7634894380)</f>
        <v>7634894380</v>
      </c>
      <c r="B948" s="24" t="s">
        <v>3068</v>
      </c>
      <c r="C948" s="24" t="s">
        <v>38</v>
      </c>
      <c r="D948" s="25">
        <v>10000.0</v>
      </c>
      <c r="E948" s="24" t="s">
        <v>127</v>
      </c>
      <c r="F948" s="24"/>
      <c r="G948" s="26">
        <v>44580.64412037037</v>
      </c>
      <c r="H948" s="26">
        <v>44742.420486111114</v>
      </c>
      <c r="I948" s="24" t="s">
        <v>40</v>
      </c>
      <c r="J948" s="24" t="s">
        <v>41</v>
      </c>
      <c r="K948" s="27"/>
      <c r="L948" s="27"/>
      <c r="M948" s="24" t="s">
        <v>44</v>
      </c>
      <c r="N948" s="27"/>
      <c r="O948" s="24"/>
      <c r="P948" s="27"/>
      <c r="Q948" s="24" t="s">
        <v>128</v>
      </c>
      <c r="R948" s="23">
        <f>HYPERLINK("https://app.hubspot.com/contacts/8748051/record/0-2/7702651793", 7702651793)</f>
        <v>7702651793</v>
      </c>
      <c r="S948" s="24" t="s">
        <v>3069</v>
      </c>
      <c r="T948" s="28" t="s">
        <v>3070</v>
      </c>
      <c r="U948" s="24" t="s">
        <v>47</v>
      </c>
      <c r="V948" s="24"/>
      <c r="W948" s="32"/>
      <c r="X948" s="29">
        <v>656.0</v>
      </c>
      <c r="Y948" s="29">
        <v>47.0</v>
      </c>
      <c r="Z948" s="30"/>
      <c r="AA948" s="31"/>
      <c r="AB948" s="31"/>
      <c r="AC948" s="31"/>
      <c r="AD948" s="31"/>
      <c r="AE948" s="31"/>
      <c r="AF948" s="31"/>
      <c r="AG948" s="27" t="str">
        <f t="shared" si="1"/>
        <v>New Logo</v>
      </c>
      <c r="AH948" s="27" t="str">
        <f t="shared" si="5"/>
        <v>Lead</v>
      </c>
      <c r="AI948" s="27" t="str">
        <f t="shared" si="6"/>
        <v>501-1000</v>
      </c>
      <c r="AJ948" s="27" t="str">
        <f t="shared" si="7"/>
        <v>21-50</v>
      </c>
    </row>
    <row r="949" ht="15.75" customHeight="1">
      <c r="A949" s="23">
        <f>HYPERLINK("https://app.hubspot.com/contacts/8748051/record/0-3/7610424754", 7610424754)</f>
        <v>7610424754</v>
      </c>
      <c r="B949" s="24" t="s">
        <v>3071</v>
      </c>
      <c r="C949" s="24" t="s">
        <v>148</v>
      </c>
      <c r="D949" s="25">
        <v>8000.0</v>
      </c>
      <c r="E949" s="24" t="s">
        <v>127</v>
      </c>
      <c r="F949" s="24"/>
      <c r="G949" s="26">
        <v>44579.53849537037</v>
      </c>
      <c r="H949" s="26">
        <v>44742.53855324074</v>
      </c>
      <c r="I949" s="24" t="s">
        <v>40</v>
      </c>
      <c r="J949" s="24" t="s">
        <v>41</v>
      </c>
      <c r="K949" s="27"/>
      <c r="L949" s="27"/>
      <c r="M949" s="24" t="s">
        <v>44</v>
      </c>
      <c r="N949" s="27"/>
      <c r="O949" s="24"/>
      <c r="P949" s="27"/>
      <c r="Q949" s="24" t="s">
        <v>128</v>
      </c>
      <c r="R949" s="23">
        <f>HYPERLINK("https://app.hubspot.com/contacts/8748051/record/0-2/6530075529", 6530075529)</f>
        <v>6530075529</v>
      </c>
      <c r="S949" s="24" t="s">
        <v>3072</v>
      </c>
      <c r="T949" s="28" t="s">
        <v>3073</v>
      </c>
      <c r="U949" s="24" t="s">
        <v>47</v>
      </c>
      <c r="V949" s="24"/>
      <c r="W949" s="32"/>
      <c r="X949" s="29">
        <v>399.0</v>
      </c>
      <c r="Y949" s="29">
        <v>26.0</v>
      </c>
      <c r="Z949" s="30" t="s">
        <v>71</v>
      </c>
      <c r="AA949" s="31"/>
      <c r="AB949" s="31"/>
      <c r="AC949" s="31"/>
      <c r="AD949" s="31"/>
      <c r="AE949" s="31"/>
      <c r="AF949" s="31"/>
      <c r="AG949" s="27" t="str">
        <f t="shared" si="1"/>
        <v>New Logo</v>
      </c>
      <c r="AH949" s="27" t="str">
        <f t="shared" si="5"/>
        <v>Lead</v>
      </c>
      <c r="AI949" s="27" t="str">
        <f t="shared" si="6"/>
        <v>201-500</v>
      </c>
      <c r="AJ949" s="27" t="str">
        <f t="shared" si="7"/>
        <v>21-50</v>
      </c>
    </row>
    <row r="950" ht="15.75" customHeight="1">
      <c r="A950" s="23">
        <f>HYPERLINK("https://app.hubspot.com/contacts/8748051/record/0-3/7610134072", 7610134072)</f>
        <v>7610134072</v>
      </c>
      <c r="B950" s="24" t="s">
        <v>3074</v>
      </c>
      <c r="C950" s="24" t="s">
        <v>1009</v>
      </c>
      <c r="D950" s="25"/>
      <c r="E950" s="24" t="s">
        <v>149</v>
      </c>
      <c r="F950" s="24"/>
      <c r="G950" s="26">
        <v>44579.51710648148</v>
      </c>
      <c r="H950" s="26">
        <v>44582.42701388889</v>
      </c>
      <c r="I950" s="24" t="s">
        <v>40</v>
      </c>
      <c r="J950" s="24" t="s">
        <v>41</v>
      </c>
      <c r="K950" s="27"/>
      <c r="L950" s="27"/>
      <c r="M950" s="24" t="s">
        <v>44</v>
      </c>
      <c r="N950" s="27"/>
      <c r="O950" s="24" t="s">
        <v>3075</v>
      </c>
      <c r="P950" s="27"/>
      <c r="Q950" s="24"/>
      <c r="R950" s="23">
        <f>HYPERLINK("https://app.hubspot.com/contacts/8748051/record/0-2/7648298660", 7648298660)</f>
        <v>7648298660</v>
      </c>
      <c r="S950" s="24" t="s">
        <v>3076</v>
      </c>
      <c r="T950" s="28" t="s">
        <v>3077</v>
      </c>
      <c r="U950" s="24" t="s">
        <v>47</v>
      </c>
      <c r="V950" s="24"/>
      <c r="W950" s="32"/>
      <c r="X950" s="29">
        <v>115.0</v>
      </c>
      <c r="Y950" s="29">
        <v>29.0</v>
      </c>
      <c r="Z950" s="30" t="s">
        <v>108</v>
      </c>
      <c r="AA950" s="31"/>
      <c r="AB950" s="31"/>
      <c r="AC950" s="31"/>
      <c r="AD950" s="31"/>
      <c r="AE950" s="31"/>
      <c r="AF950" s="31"/>
      <c r="AG950" s="27" t="str">
        <f t="shared" si="1"/>
        <v>New Logo</v>
      </c>
      <c r="AH950" s="27" t="str">
        <f t="shared" si="5"/>
        <v>Lead</v>
      </c>
      <c r="AI950" s="27" t="str">
        <f t="shared" si="6"/>
        <v>0-200</v>
      </c>
      <c r="AJ950" s="27" t="str">
        <f t="shared" si="7"/>
        <v>21-50</v>
      </c>
    </row>
    <row r="951" ht="15.75" customHeight="1">
      <c r="A951" s="23">
        <f>HYPERLINK("https://app.hubspot.com/contacts/8748051/record/0-3/7609786926", 7609786926)</f>
        <v>7609786926</v>
      </c>
      <c r="B951" s="24" t="s">
        <v>3078</v>
      </c>
      <c r="C951" s="24" t="s">
        <v>50</v>
      </c>
      <c r="D951" s="25">
        <v>17500.0</v>
      </c>
      <c r="E951" s="24" t="s">
        <v>127</v>
      </c>
      <c r="F951" s="24"/>
      <c r="G951" s="26">
        <v>44579.502905092595</v>
      </c>
      <c r="H951" s="26">
        <v>44712.502962962964</v>
      </c>
      <c r="I951" s="24" t="s">
        <v>40</v>
      </c>
      <c r="J951" s="24" t="s">
        <v>41</v>
      </c>
      <c r="K951" s="27"/>
      <c r="L951" s="27"/>
      <c r="M951" s="24" t="s">
        <v>44</v>
      </c>
      <c r="N951" s="24"/>
      <c r="O951" s="24"/>
      <c r="P951" s="27"/>
      <c r="Q951" s="24" t="s">
        <v>197</v>
      </c>
      <c r="R951" s="23">
        <f>HYPERLINK("https://app.hubspot.com/contacts/8748051/record/0-2/7692269129", 7692269129)</f>
        <v>7692269129</v>
      </c>
      <c r="S951" s="24" t="s">
        <v>3079</v>
      </c>
      <c r="T951" s="28" t="s">
        <v>3080</v>
      </c>
      <c r="U951" s="24" t="s">
        <v>47</v>
      </c>
      <c r="V951" s="24"/>
      <c r="W951" s="25"/>
      <c r="X951" s="29">
        <v>148.0</v>
      </c>
      <c r="Y951" s="29">
        <v>35.0</v>
      </c>
      <c r="Z951" s="30"/>
      <c r="AA951" s="31"/>
      <c r="AB951" s="31"/>
      <c r="AC951" s="31"/>
      <c r="AD951" s="31"/>
      <c r="AE951" s="31"/>
      <c r="AF951" s="31"/>
      <c r="AG951" s="27" t="str">
        <f t="shared" si="1"/>
        <v>New Logo</v>
      </c>
      <c r="AH951" s="27" t="str">
        <f t="shared" si="5"/>
        <v>Lead</v>
      </c>
      <c r="AI951" s="27" t="str">
        <f t="shared" si="6"/>
        <v>0-200</v>
      </c>
      <c r="AJ951" s="27" t="str">
        <f t="shared" si="7"/>
        <v>21-50</v>
      </c>
    </row>
    <row r="952" ht="15.75" customHeight="1">
      <c r="A952" s="23">
        <f>HYPERLINK("https://app.hubspot.com/contacts/8748051/record/0-3/7610022220", 7610022220)</f>
        <v>7610022220</v>
      </c>
      <c r="B952" s="24" t="s">
        <v>3081</v>
      </c>
      <c r="C952" s="24" t="s">
        <v>50</v>
      </c>
      <c r="D952" s="25"/>
      <c r="E952" s="24" t="s">
        <v>149</v>
      </c>
      <c r="F952" s="24"/>
      <c r="G952" s="26">
        <v>44579.498125</v>
      </c>
      <c r="H952" s="26">
        <v>44594.56967592592</v>
      </c>
      <c r="I952" s="24" t="s">
        <v>40</v>
      </c>
      <c r="J952" s="24" t="s">
        <v>41</v>
      </c>
      <c r="K952" s="27"/>
      <c r="L952" s="27"/>
      <c r="M952" s="24" t="s">
        <v>44</v>
      </c>
      <c r="N952" s="24"/>
      <c r="O952" s="24" t="s">
        <v>3082</v>
      </c>
      <c r="P952" s="27"/>
      <c r="Q952" s="24"/>
      <c r="R952" s="23">
        <f>HYPERLINK("https://app.hubspot.com/contacts/8748051/record/0-2/7692033078", 7692033078)</f>
        <v>7692033078</v>
      </c>
      <c r="S952" s="24" t="s">
        <v>3083</v>
      </c>
      <c r="T952" s="28" t="s">
        <v>3084</v>
      </c>
      <c r="U952" s="24" t="s">
        <v>47</v>
      </c>
      <c r="V952" s="24"/>
      <c r="W952" s="25"/>
      <c r="X952" s="29">
        <v>75.0</v>
      </c>
      <c r="Y952" s="29">
        <v>16.0</v>
      </c>
      <c r="Z952" s="30"/>
      <c r="AA952" s="31"/>
      <c r="AB952" s="31"/>
      <c r="AC952" s="31"/>
      <c r="AD952" s="31"/>
      <c r="AE952" s="31"/>
      <c r="AF952" s="31"/>
      <c r="AG952" s="27" t="str">
        <f t="shared" si="1"/>
        <v>New Logo</v>
      </c>
      <c r="AH952" s="27" t="str">
        <f t="shared" si="5"/>
        <v>Lead</v>
      </c>
      <c r="AI952" s="27" t="str">
        <f t="shared" si="6"/>
        <v>0-200</v>
      </c>
      <c r="AJ952" s="27" t="str">
        <f t="shared" si="7"/>
        <v>0-20</v>
      </c>
    </row>
    <row r="953" ht="15.75" customHeight="1">
      <c r="A953" s="23">
        <f>HYPERLINK("https://app.hubspot.com/contacts/8748051/record/0-3/7609887087", 7609887087)</f>
        <v>7609887087</v>
      </c>
      <c r="B953" s="24" t="s">
        <v>3085</v>
      </c>
      <c r="C953" s="24" t="s">
        <v>50</v>
      </c>
      <c r="D953" s="25">
        <v>100000.0</v>
      </c>
      <c r="E953" s="24" t="s">
        <v>127</v>
      </c>
      <c r="F953" s="24" t="s">
        <v>52</v>
      </c>
      <c r="G953" s="26">
        <v>44579.49275462963</v>
      </c>
      <c r="H953" s="26">
        <v>44865.354467592595</v>
      </c>
      <c r="I953" s="24" t="s">
        <v>40</v>
      </c>
      <c r="J953" s="24" t="s">
        <v>41</v>
      </c>
      <c r="K953" s="27"/>
      <c r="L953" s="27"/>
      <c r="M953" s="24" t="s">
        <v>44</v>
      </c>
      <c r="N953" s="24"/>
      <c r="O953" s="24"/>
      <c r="P953" s="27"/>
      <c r="Q953" s="24" t="s">
        <v>128</v>
      </c>
      <c r="R953" s="23">
        <f>HYPERLINK("https://app.hubspot.com/contacts/8748051/record/0-2/7513598797", 7513598797)</f>
        <v>7513598797</v>
      </c>
      <c r="S953" s="24" t="s">
        <v>3086</v>
      </c>
      <c r="T953" s="28" t="s">
        <v>3087</v>
      </c>
      <c r="U953" s="24" t="s">
        <v>47</v>
      </c>
      <c r="V953" s="24"/>
      <c r="W953" s="25"/>
      <c r="X953" s="29">
        <v>3945.0</v>
      </c>
      <c r="Y953" s="29">
        <v>373.0</v>
      </c>
      <c r="Z953" s="30" t="s">
        <v>81</v>
      </c>
      <c r="AA953" s="31"/>
      <c r="AB953" s="31"/>
      <c r="AC953" s="31"/>
      <c r="AD953" s="31"/>
      <c r="AE953" s="31"/>
      <c r="AF953" s="31"/>
      <c r="AG953" s="27" t="str">
        <f t="shared" si="1"/>
        <v>New Logo</v>
      </c>
      <c r="AH953" s="27" t="str">
        <f t="shared" si="5"/>
        <v>Lead</v>
      </c>
      <c r="AI953" s="27" t="str">
        <f t="shared" si="6"/>
        <v>1001-5000</v>
      </c>
      <c r="AJ953" s="27" t="str">
        <f t="shared" si="7"/>
        <v>101-500</v>
      </c>
    </row>
    <row r="954" ht="15.75" customHeight="1">
      <c r="A954" s="23">
        <f>HYPERLINK("https://app.hubspot.com/contacts/8748051/record/0-3/7609940783", 7609940783)</f>
        <v>7609940783</v>
      </c>
      <c r="B954" s="24" t="s">
        <v>3088</v>
      </c>
      <c r="C954" s="24" t="s">
        <v>50</v>
      </c>
      <c r="D954" s="25">
        <v>9000.0</v>
      </c>
      <c r="E954" s="24" t="s">
        <v>127</v>
      </c>
      <c r="F954" s="24" t="s">
        <v>52</v>
      </c>
      <c r="G954" s="26">
        <v>44579.49207175926</v>
      </c>
      <c r="H954" s="26">
        <v>44773.601956018516</v>
      </c>
      <c r="I954" s="24" t="s">
        <v>40</v>
      </c>
      <c r="J954" s="24" t="s">
        <v>41</v>
      </c>
      <c r="K954" s="27"/>
      <c r="L954" s="27"/>
      <c r="M954" s="24" t="s">
        <v>44</v>
      </c>
      <c r="N954" s="27"/>
      <c r="O954" s="24"/>
      <c r="P954" s="24"/>
      <c r="Q954" s="24" t="s">
        <v>128</v>
      </c>
      <c r="R954" s="23">
        <f>HYPERLINK("https://app.hubspot.com/contacts/8748051/record/0-2/7692213848", 7692213848)</f>
        <v>7692213848</v>
      </c>
      <c r="S954" s="24" t="s">
        <v>3089</v>
      </c>
      <c r="T954" s="28" t="s">
        <v>3090</v>
      </c>
      <c r="U954" s="24" t="s">
        <v>47</v>
      </c>
      <c r="V954" s="24"/>
      <c r="W954" s="32"/>
      <c r="X954" s="29">
        <v>100.0</v>
      </c>
      <c r="Y954" s="29">
        <v>13.0</v>
      </c>
      <c r="Z954" s="30"/>
      <c r="AA954" s="31"/>
      <c r="AB954" s="31"/>
      <c r="AC954" s="31"/>
      <c r="AD954" s="31"/>
      <c r="AE954" s="31"/>
      <c r="AF954" s="31"/>
      <c r="AG954" s="27" t="str">
        <f t="shared" si="1"/>
        <v>New Logo</v>
      </c>
      <c r="AH954" s="27" t="str">
        <f t="shared" si="5"/>
        <v>Lead</v>
      </c>
      <c r="AI954" s="27" t="str">
        <f t="shared" si="6"/>
        <v>0-200</v>
      </c>
      <c r="AJ954" s="27" t="str">
        <f t="shared" si="7"/>
        <v>0-20</v>
      </c>
    </row>
    <row r="955" ht="15.75" customHeight="1">
      <c r="A955" s="23">
        <f>HYPERLINK("https://app.hubspot.com/contacts/8748051/record/0-3/7609841844", 7609841844)</f>
        <v>7609841844</v>
      </c>
      <c r="B955" s="24" t="s">
        <v>3091</v>
      </c>
      <c r="C955" s="24" t="s">
        <v>50</v>
      </c>
      <c r="D955" s="25">
        <v>6500.0</v>
      </c>
      <c r="E955" s="24" t="s">
        <v>578</v>
      </c>
      <c r="F955" s="24"/>
      <c r="G955" s="26">
        <v>44579.488483796296</v>
      </c>
      <c r="H955" s="26">
        <v>44712.48855324074</v>
      </c>
      <c r="I955" s="24" t="s">
        <v>40</v>
      </c>
      <c r="J955" s="24" t="s">
        <v>41</v>
      </c>
      <c r="K955" s="27"/>
      <c r="L955" s="27"/>
      <c r="M955" s="24" t="s">
        <v>44</v>
      </c>
      <c r="N955" s="24"/>
      <c r="O955" s="24"/>
      <c r="P955" s="27"/>
      <c r="Q955" s="24"/>
      <c r="R955" s="23">
        <f>HYPERLINK("https://app.hubspot.com/contacts/8748051/record/0-2/6816672327", 6816672327)</f>
        <v>6816672327</v>
      </c>
      <c r="S955" s="24" t="s">
        <v>3092</v>
      </c>
      <c r="T955" s="28" t="s">
        <v>3093</v>
      </c>
      <c r="U955" s="24" t="s">
        <v>47</v>
      </c>
      <c r="V955" s="24"/>
      <c r="W955" s="25"/>
      <c r="X955" s="29">
        <v>250.0</v>
      </c>
      <c r="Y955" s="29">
        <v>15.0</v>
      </c>
      <c r="Z955" s="30"/>
      <c r="AA955" s="30"/>
      <c r="AB955" s="31"/>
      <c r="AC955" s="31"/>
      <c r="AD955" s="30"/>
      <c r="AE955" s="30"/>
      <c r="AF955" s="30"/>
      <c r="AG955" s="27" t="str">
        <f t="shared" si="1"/>
        <v>New Logo</v>
      </c>
      <c r="AH955" s="27" t="str">
        <f t="shared" si="5"/>
        <v>Lead</v>
      </c>
      <c r="AI955" s="27" t="str">
        <f t="shared" si="6"/>
        <v>201-500</v>
      </c>
      <c r="AJ955" s="27" t="str">
        <f t="shared" si="7"/>
        <v>0-20</v>
      </c>
    </row>
    <row r="956" ht="15.75" customHeight="1">
      <c r="A956" s="23">
        <f>HYPERLINK("https://app.hubspot.com/contacts/8748051/record/0-3/7609632286", 7609632286)</f>
        <v>7609632286</v>
      </c>
      <c r="B956" s="24" t="s">
        <v>3094</v>
      </c>
      <c r="C956" s="24" t="s">
        <v>38</v>
      </c>
      <c r="D956" s="25">
        <v>100000.0</v>
      </c>
      <c r="E956" s="24" t="s">
        <v>578</v>
      </c>
      <c r="F956" s="24"/>
      <c r="G956" s="26">
        <v>44579.48780092593</v>
      </c>
      <c r="H956" s="26">
        <v>44834.62472222222</v>
      </c>
      <c r="I956" s="24" t="s">
        <v>40</v>
      </c>
      <c r="J956" s="24" t="s">
        <v>53</v>
      </c>
      <c r="K956" s="27"/>
      <c r="L956" s="27"/>
      <c r="M956" s="24" t="s">
        <v>44</v>
      </c>
      <c r="N956" s="24"/>
      <c r="O956" s="24"/>
      <c r="P956" s="24"/>
      <c r="Q956" s="27"/>
      <c r="R956" s="23">
        <f>HYPERLINK("https://app.hubspot.com/contacts/8748051/record/0-2/7669028660", 7669028660)</f>
        <v>7669028660</v>
      </c>
      <c r="S956" s="24" t="s">
        <v>3095</v>
      </c>
      <c r="T956" s="28" t="s">
        <v>3096</v>
      </c>
      <c r="U956" s="24" t="s">
        <v>47</v>
      </c>
      <c r="V956" s="24"/>
      <c r="W956" s="25"/>
      <c r="X956" s="29">
        <v>3650.0</v>
      </c>
      <c r="Y956" s="29">
        <v>648.0</v>
      </c>
      <c r="Z956" s="30" t="s">
        <v>125</v>
      </c>
      <c r="AA956" s="30"/>
      <c r="AB956" s="31"/>
      <c r="AC956" s="31"/>
      <c r="AD956" s="30"/>
      <c r="AE956" s="30"/>
      <c r="AF956" s="30"/>
      <c r="AG956" s="27" t="str">
        <f t="shared" si="1"/>
        <v>New Logo</v>
      </c>
      <c r="AH956" s="27" t="str">
        <f t="shared" si="5"/>
        <v>Lead</v>
      </c>
      <c r="AI956" s="27" t="str">
        <f t="shared" si="6"/>
        <v>1001-5000</v>
      </c>
      <c r="AJ956" s="27" t="str">
        <f t="shared" si="7"/>
        <v>500+</v>
      </c>
    </row>
    <row r="957" ht="15.75" customHeight="1">
      <c r="A957" s="23">
        <f>HYPERLINK("https://app.hubspot.com/contacts/8748051/record/0-3/7493544229", 7493544229)</f>
        <v>7493544229</v>
      </c>
      <c r="B957" s="24" t="s">
        <v>3097</v>
      </c>
      <c r="C957" s="24" t="s">
        <v>1009</v>
      </c>
      <c r="D957" s="25">
        <v>15000.0</v>
      </c>
      <c r="E957" s="24" t="s">
        <v>578</v>
      </c>
      <c r="F957" s="24" t="s">
        <v>52</v>
      </c>
      <c r="G957" s="26">
        <v>44573.403391203705</v>
      </c>
      <c r="H957" s="26">
        <v>44742.47311342593</v>
      </c>
      <c r="I957" s="24" t="s">
        <v>40</v>
      </c>
      <c r="J957" s="24" t="s">
        <v>41</v>
      </c>
      <c r="K957" s="27"/>
      <c r="L957" s="27"/>
      <c r="M957" s="24" t="s">
        <v>44</v>
      </c>
      <c r="N957" s="24"/>
      <c r="O957" s="24"/>
      <c r="P957" s="24"/>
      <c r="Q957" s="27"/>
      <c r="R957" s="23">
        <f>HYPERLINK("https://app.hubspot.com/contacts/8748051/record/0-2/6816565826", 6816565826)</f>
        <v>6816565826</v>
      </c>
      <c r="S957" s="24" t="s">
        <v>3097</v>
      </c>
      <c r="T957" s="28" t="s">
        <v>3098</v>
      </c>
      <c r="U957" s="24" t="s">
        <v>47</v>
      </c>
      <c r="V957" s="24"/>
      <c r="W957" s="25"/>
      <c r="X957" s="29">
        <v>154.0</v>
      </c>
      <c r="Y957" s="29">
        <v>31.0</v>
      </c>
      <c r="Z957" s="30"/>
      <c r="AA957" s="30"/>
      <c r="AB957" s="31"/>
      <c r="AC957" s="31"/>
      <c r="AD957" s="30"/>
      <c r="AE957" s="31"/>
      <c r="AF957" s="30"/>
      <c r="AG957" s="27" t="str">
        <f t="shared" si="1"/>
        <v>New Logo</v>
      </c>
      <c r="AH957" s="27" t="str">
        <f t="shared" si="5"/>
        <v>Lead</v>
      </c>
      <c r="AI957" s="27" t="str">
        <f t="shared" si="6"/>
        <v>0-200</v>
      </c>
      <c r="AJ957" s="27" t="str">
        <f t="shared" si="7"/>
        <v>21-50</v>
      </c>
    </row>
    <row r="958" ht="15.75" customHeight="1">
      <c r="A958" s="33">
        <f>HYPERLINK("https://app.hubspot.com/contacts/8748051/record/0-3/7420947576", 7420947576)</f>
        <v>7420947576</v>
      </c>
      <c r="B958" s="24" t="s">
        <v>3099</v>
      </c>
      <c r="C958" s="24" t="s">
        <v>38</v>
      </c>
      <c r="D958" s="25">
        <v>15000.0</v>
      </c>
      <c r="E958" s="24" t="s">
        <v>578</v>
      </c>
      <c r="F958" s="24" t="s">
        <v>52</v>
      </c>
      <c r="G958" s="26">
        <v>44566.46188657408</v>
      </c>
      <c r="H958" s="26">
        <v>44834.60246527778</v>
      </c>
      <c r="I958" s="24" t="s">
        <v>40</v>
      </c>
      <c r="J958" s="24" t="s">
        <v>41</v>
      </c>
      <c r="K958" s="27"/>
      <c r="L958" s="27"/>
      <c r="M958" s="24" t="s">
        <v>44</v>
      </c>
      <c r="N958" s="24"/>
      <c r="O958" s="24"/>
      <c r="P958" s="24"/>
      <c r="Q958" s="27"/>
      <c r="R958" s="33">
        <f>HYPERLINK("https://app.hubspot.com/contacts/8748051/record/0-2/7595517443", 7595517443)</f>
        <v>7595517443</v>
      </c>
      <c r="S958" s="24" t="s">
        <v>741</v>
      </c>
      <c r="T958" s="28" t="s">
        <v>742</v>
      </c>
      <c r="U958" s="24" t="s">
        <v>47</v>
      </c>
      <c r="V958" s="24"/>
      <c r="W958" s="25"/>
      <c r="X958" s="29">
        <v>255.0</v>
      </c>
      <c r="Y958" s="29">
        <v>50.0</v>
      </c>
      <c r="Z958" s="30" t="s">
        <v>108</v>
      </c>
      <c r="AA958" s="30"/>
      <c r="AB958" s="31"/>
      <c r="AC958" s="31"/>
      <c r="AD958" s="30"/>
      <c r="AE958" s="31"/>
      <c r="AF958" s="30"/>
      <c r="AG958" s="27" t="str">
        <f t="shared" si="1"/>
        <v>New Logo</v>
      </c>
      <c r="AH958" s="27" t="str">
        <f t="shared" ref="AH958:AH990" si="8">IF(U958="customer","Customer",IF(U958=34564763,"Churn","Lead"))</f>
        <v>Lead</v>
      </c>
      <c r="AI958" s="27" t="str">
        <f t="shared" ref="AI958:AI990" si="9">IF(X958&lt;=200,"0-200",
IF(X958&lt;=500,"201-500",
IF(X958&lt;=1000,"501-1000",
IF(X958&lt;=5000,"1001-5000",
IF(X958&lt;=10000,"5000-10000","10000+")))))</f>
        <v>201-500</v>
      </c>
      <c r="AJ958" s="27" t="str">
        <f t="shared" ref="AJ958:AJ990" si="10">IF(Y958&lt;=20,"0-20",
IF(Y958&lt;=50,"21-50",
IF(Y958&lt;=100,"51-100",
IF(Y958&lt;=500,"101-500","500+"))))</f>
        <v>21-50</v>
      </c>
    </row>
    <row r="959" ht="15.75" customHeight="1">
      <c r="A959" s="33">
        <f>HYPERLINK("https://app.hubspot.com/contacts/8748051/record/0-3/7420529429", 7420529429)</f>
        <v>7420529429</v>
      </c>
      <c r="B959" s="24" t="s">
        <v>3100</v>
      </c>
      <c r="C959" s="24" t="s">
        <v>50</v>
      </c>
      <c r="D959" s="25">
        <v>10000.0</v>
      </c>
      <c r="E959" s="24" t="s">
        <v>578</v>
      </c>
      <c r="F959" s="24"/>
      <c r="G959" s="26">
        <v>44566.4600462963</v>
      </c>
      <c r="H959" s="26">
        <v>44712.46021990741</v>
      </c>
      <c r="I959" s="24" t="s">
        <v>40</v>
      </c>
      <c r="J959" s="24" t="s">
        <v>41</v>
      </c>
      <c r="K959" s="34"/>
      <c r="L959" s="34"/>
      <c r="M959" s="24" t="s">
        <v>44</v>
      </c>
      <c r="N959" s="34"/>
      <c r="O959" s="24"/>
      <c r="P959" s="34"/>
      <c r="Q959" s="34"/>
      <c r="R959" s="33">
        <f>HYPERLINK("https://app.hubspot.com/contacts/8748051/record/0-2/6816522774", 6816522774)</f>
        <v>6816522774</v>
      </c>
      <c r="S959" s="24" t="s">
        <v>3101</v>
      </c>
      <c r="T959" s="28" t="s">
        <v>3102</v>
      </c>
      <c r="U959" s="24" t="s">
        <v>47</v>
      </c>
      <c r="V959" s="24"/>
      <c r="W959" s="32"/>
      <c r="X959" s="29">
        <v>1626.0</v>
      </c>
      <c r="Y959" s="29">
        <v>177.0</v>
      </c>
      <c r="Z959" s="30" t="s">
        <v>546</v>
      </c>
      <c r="AA959" s="31"/>
      <c r="AB959" s="31"/>
      <c r="AC959" s="31"/>
      <c r="AD959" s="31"/>
      <c r="AE959" s="31"/>
      <c r="AF959" s="31"/>
      <c r="AG959" s="34" t="str">
        <f t="shared" si="1"/>
        <v>New Logo</v>
      </c>
      <c r="AH959" s="34" t="str">
        <f t="shared" si="8"/>
        <v>Lead</v>
      </c>
      <c r="AI959" s="34" t="str">
        <f t="shared" si="9"/>
        <v>1001-5000</v>
      </c>
      <c r="AJ959" s="27" t="str">
        <f t="shared" si="10"/>
        <v>101-500</v>
      </c>
    </row>
    <row r="960" ht="15.75" customHeight="1">
      <c r="A960" s="33">
        <f>HYPERLINK("https://app.hubspot.com/contacts/8748051/record/0-3/7401440768", 7401440768)</f>
        <v>7401440768</v>
      </c>
      <c r="B960" s="24" t="s">
        <v>3103</v>
      </c>
      <c r="C960" s="24" t="s">
        <v>148</v>
      </c>
      <c r="D960" s="25">
        <v>10000.0</v>
      </c>
      <c r="E960" s="24" t="s">
        <v>149</v>
      </c>
      <c r="F960" s="24" t="s">
        <v>52</v>
      </c>
      <c r="G960" s="26">
        <v>44564.394270833334</v>
      </c>
      <c r="H960" s="26">
        <v>44573.39356481482</v>
      </c>
      <c r="I960" s="24" t="s">
        <v>40</v>
      </c>
      <c r="J960" s="24" t="s">
        <v>53</v>
      </c>
      <c r="K960" s="34"/>
      <c r="L960" s="34"/>
      <c r="M960" s="24" t="s">
        <v>44</v>
      </c>
      <c r="N960" s="34"/>
      <c r="O960" s="24" t="s">
        <v>3104</v>
      </c>
      <c r="P960" s="34"/>
      <c r="Q960" s="34"/>
      <c r="R960" s="33">
        <f>HYPERLINK("https://app.hubspot.com/contacts/8748051/record/0-2/6816600138", 6816600138)</f>
        <v>6816600138</v>
      </c>
      <c r="S960" s="24" t="s">
        <v>3105</v>
      </c>
      <c r="T960" s="28" t="s">
        <v>3106</v>
      </c>
      <c r="U960" s="24" t="s">
        <v>47</v>
      </c>
      <c r="V960" s="24"/>
      <c r="W960" s="32"/>
      <c r="X960" s="29">
        <v>190.0</v>
      </c>
      <c r="Y960" s="29">
        <v>16.0</v>
      </c>
      <c r="Z960" s="30"/>
      <c r="AA960" s="31"/>
      <c r="AB960" s="31"/>
      <c r="AC960" s="31"/>
      <c r="AD960" s="31"/>
      <c r="AE960" s="31"/>
      <c r="AF960" s="31"/>
      <c r="AG960" s="34" t="str">
        <f t="shared" si="1"/>
        <v>New Logo</v>
      </c>
      <c r="AH960" s="34" t="str">
        <f t="shared" si="8"/>
        <v>Lead</v>
      </c>
      <c r="AI960" s="34" t="str">
        <f t="shared" si="9"/>
        <v>0-200</v>
      </c>
      <c r="AJ960" s="27" t="str">
        <f t="shared" si="10"/>
        <v>0-20</v>
      </c>
    </row>
    <row r="961" ht="15.75" customHeight="1">
      <c r="A961" s="33">
        <f>HYPERLINK("https://app.hubspot.com/contacts/8748051/record/0-3/7048538547", 7048538547)</f>
        <v>7048538547</v>
      </c>
      <c r="B961" s="24" t="s">
        <v>3107</v>
      </c>
      <c r="C961" s="24" t="s">
        <v>50</v>
      </c>
      <c r="D961" s="25">
        <v>15000.0</v>
      </c>
      <c r="E961" s="24" t="s">
        <v>149</v>
      </c>
      <c r="F961" s="24" t="s">
        <v>52</v>
      </c>
      <c r="G961" s="26">
        <v>44530.6244212963</v>
      </c>
      <c r="H961" s="26">
        <v>44601.50041666667</v>
      </c>
      <c r="I961" s="24" t="s">
        <v>40</v>
      </c>
      <c r="J961" s="24" t="s">
        <v>41</v>
      </c>
      <c r="K961" s="34"/>
      <c r="L961" s="34"/>
      <c r="M961" s="24" t="s">
        <v>44</v>
      </c>
      <c r="N961" s="24"/>
      <c r="O961" s="24" t="s">
        <v>3108</v>
      </c>
      <c r="P961" s="24"/>
      <c r="Q961" s="34"/>
      <c r="R961" s="33">
        <f>HYPERLINK("https://app.hubspot.com/contacts/8748051/record/0-2/7387117480", 7387117480)</f>
        <v>7387117480</v>
      </c>
      <c r="S961" s="24" t="s">
        <v>3109</v>
      </c>
      <c r="T961" s="28" t="s">
        <v>3110</v>
      </c>
      <c r="U961" s="24" t="s">
        <v>47</v>
      </c>
      <c r="V961" s="24"/>
      <c r="W961" s="25"/>
      <c r="X961" s="29">
        <v>46.0</v>
      </c>
      <c r="Y961" s="29">
        <v>6.0</v>
      </c>
      <c r="Z961" s="30"/>
      <c r="AA961" s="30"/>
      <c r="AB961" s="31"/>
      <c r="AC961" s="31"/>
      <c r="AD961" s="30"/>
      <c r="AE961" s="30"/>
      <c r="AF961" s="30"/>
      <c r="AG961" s="34" t="str">
        <f t="shared" si="1"/>
        <v>New Logo</v>
      </c>
      <c r="AH961" s="34" t="str">
        <f t="shared" si="8"/>
        <v>Lead</v>
      </c>
      <c r="AI961" s="34" t="str">
        <f t="shared" si="9"/>
        <v>0-200</v>
      </c>
      <c r="AJ961" s="27" t="str">
        <f t="shared" si="10"/>
        <v>0-20</v>
      </c>
    </row>
    <row r="962" ht="15.75" customHeight="1">
      <c r="A962" s="33">
        <f>HYPERLINK("https://app.hubspot.com/contacts/8748051/record/0-3/6994296464", 6994296464)</f>
        <v>6994296464</v>
      </c>
      <c r="B962" s="24" t="s">
        <v>3111</v>
      </c>
      <c r="C962" s="24" t="s">
        <v>50</v>
      </c>
      <c r="D962" s="25"/>
      <c r="E962" s="24" t="s">
        <v>149</v>
      </c>
      <c r="F962" s="24" t="s">
        <v>52</v>
      </c>
      <c r="G962" s="26">
        <v>44523.65099537037</v>
      </c>
      <c r="H962" s="26">
        <v>44573.39828703704</v>
      </c>
      <c r="I962" s="24" t="s">
        <v>40</v>
      </c>
      <c r="J962" s="24" t="s">
        <v>41</v>
      </c>
      <c r="K962" s="34"/>
      <c r="L962" s="34"/>
      <c r="M962" s="24" t="s">
        <v>44</v>
      </c>
      <c r="N962" s="24"/>
      <c r="O962" s="24" t="s">
        <v>3112</v>
      </c>
      <c r="P962" s="24"/>
      <c r="Q962" s="34"/>
      <c r="R962" s="33">
        <f>HYPERLINK("https://app.hubspot.com/contacts/8748051/record/0-2/7262007443", 7262007443)</f>
        <v>7262007443</v>
      </c>
      <c r="S962" s="24" t="s">
        <v>3113</v>
      </c>
      <c r="T962" s="28" t="s">
        <v>3114</v>
      </c>
      <c r="U962" s="24" t="s">
        <v>47</v>
      </c>
      <c r="V962" s="24"/>
      <c r="W962" s="25"/>
      <c r="X962" s="29">
        <v>735.0</v>
      </c>
      <c r="Y962" s="29">
        <v>252.0</v>
      </c>
      <c r="Z962" s="30"/>
      <c r="AA962" s="30"/>
      <c r="AB962" s="31"/>
      <c r="AC962" s="31"/>
      <c r="AD962" s="30"/>
      <c r="AE962" s="31"/>
      <c r="AF962" s="30"/>
      <c r="AG962" s="34" t="str">
        <f t="shared" si="1"/>
        <v>New Logo</v>
      </c>
      <c r="AH962" s="34" t="str">
        <f t="shared" si="8"/>
        <v>Lead</v>
      </c>
      <c r="AI962" s="34" t="str">
        <f t="shared" si="9"/>
        <v>501-1000</v>
      </c>
      <c r="AJ962" s="27" t="str">
        <f t="shared" si="10"/>
        <v>101-500</v>
      </c>
    </row>
    <row r="963" ht="15.75" customHeight="1">
      <c r="A963" s="33">
        <f>HYPERLINK("https://app.hubspot.com/contacts/8748051/record/0-3/6983179108", 6983179108)</f>
        <v>6983179108</v>
      </c>
      <c r="B963" s="24" t="s">
        <v>3115</v>
      </c>
      <c r="C963" s="24" t="s">
        <v>38</v>
      </c>
      <c r="D963" s="25">
        <v>10000.0</v>
      </c>
      <c r="E963" s="24" t="s">
        <v>73</v>
      </c>
      <c r="F963" s="24" t="s">
        <v>52</v>
      </c>
      <c r="G963" s="26">
        <v>44522.40586805555</v>
      </c>
      <c r="H963" s="26">
        <v>44651.44761574074</v>
      </c>
      <c r="I963" s="24" t="s">
        <v>40</v>
      </c>
      <c r="J963" s="24" t="s">
        <v>41</v>
      </c>
      <c r="K963" s="34"/>
      <c r="L963" s="34"/>
      <c r="M963" s="24" t="s">
        <v>44</v>
      </c>
      <c r="N963" s="34"/>
      <c r="O963" s="24"/>
      <c r="P963" s="24" t="s">
        <v>75</v>
      </c>
      <c r="Q963" s="34"/>
      <c r="R963" s="33">
        <f>HYPERLINK("https://app.hubspot.com/contacts/8748051/record/0-2/9618589480", 9618589480)</f>
        <v>9618589480</v>
      </c>
      <c r="S963" s="24" t="s">
        <v>2071</v>
      </c>
      <c r="T963" s="28" t="s">
        <v>2072</v>
      </c>
      <c r="U963" s="24" t="s">
        <v>47</v>
      </c>
      <c r="V963" s="24"/>
      <c r="W963" s="25"/>
      <c r="X963" s="29">
        <v>152.0</v>
      </c>
      <c r="Y963" s="29">
        <v>21.0</v>
      </c>
      <c r="Z963" s="30"/>
      <c r="AA963" s="30"/>
      <c r="AB963" s="31"/>
      <c r="AC963" s="31"/>
      <c r="AD963" s="30"/>
      <c r="AE963" s="31"/>
      <c r="AF963" s="30"/>
      <c r="AG963" s="34" t="str">
        <f t="shared" si="1"/>
        <v>New Logo</v>
      </c>
      <c r="AH963" s="34" t="str">
        <f t="shared" si="8"/>
        <v>Lead</v>
      </c>
      <c r="AI963" s="34" t="str">
        <f t="shared" si="9"/>
        <v>0-200</v>
      </c>
      <c r="AJ963" s="27" t="str">
        <f t="shared" si="10"/>
        <v>21-50</v>
      </c>
    </row>
    <row r="964" ht="15.75" customHeight="1">
      <c r="A964" s="33">
        <f>HYPERLINK("https://app.hubspot.com/contacts/8748051/record/0-3/6937912383", 6937912383)</f>
        <v>6937912383</v>
      </c>
      <c r="B964" s="24" t="s">
        <v>3116</v>
      </c>
      <c r="C964" s="24" t="s">
        <v>50</v>
      </c>
      <c r="D964" s="25"/>
      <c r="E964" s="24" t="s">
        <v>149</v>
      </c>
      <c r="F964" s="24" t="s">
        <v>52</v>
      </c>
      <c r="G964" s="26">
        <v>44516.53686342593</v>
      </c>
      <c r="H964" s="26">
        <v>44536.497245370374</v>
      </c>
      <c r="I964" s="24" t="s">
        <v>40</v>
      </c>
      <c r="J964" s="24" t="s">
        <v>41</v>
      </c>
      <c r="K964" s="34"/>
      <c r="L964" s="34"/>
      <c r="M964" s="24" t="s">
        <v>44</v>
      </c>
      <c r="N964" s="34"/>
      <c r="O964" s="24" t="s">
        <v>3117</v>
      </c>
      <c r="P964" s="34"/>
      <c r="Q964" s="34"/>
      <c r="R964" s="33">
        <f>HYPERLINK("https://app.hubspot.com/contacts/8748051/record/0-2/7261914934", 7261914934)</f>
        <v>7261914934</v>
      </c>
      <c r="S964" s="24" t="s">
        <v>3116</v>
      </c>
      <c r="T964" s="28" t="s">
        <v>3118</v>
      </c>
      <c r="U964" s="24" t="s">
        <v>47</v>
      </c>
      <c r="V964" s="24"/>
      <c r="W964" s="25"/>
      <c r="X964" s="29">
        <v>401.0</v>
      </c>
      <c r="Y964" s="29">
        <v>48.0</v>
      </c>
      <c r="Z964" s="30"/>
      <c r="AA964" s="30"/>
      <c r="AB964" s="31"/>
      <c r="AC964" s="31"/>
      <c r="AD964" s="30"/>
      <c r="AE964" s="31"/>
      <c r="AF964" s="30"/>
      <c r="AG964" s="34" t="str">
        <f t="shared" si="1"/>
        <v>New Logo</v>
      </c>
      <c r="AH964" s="34" t="str">
        <f t="shared" si="8"/>
        <v>Lead</v>
      </c>
      <c r="AI964" s="34" t="str">
        <f t="shared" si="9"/>
        <v>201-500</v>
      </c>
      <c r="AJ964" s="27" t="str">
        <f t="shared" si="10"/>
        <v>21-50</v>
      </c>
    </row>
    <row r="965" ht="15.75" customHeight="1">
      <c r="A965" s="33">
        <f>HYPERLINK("https://app.hubspot.com/contacts/8748051/record/0-3/6869123757", 6869123757)</f>
        <v>6869123757</v>
      </c>
      <c r="B965" s="24" t="s">
        <v>840</v>
      </c>
      <c r="C965" s="24" t="s">
        <v>3119</v>
      </c>
      <c r="D965" s="25"/>
      <c r="E965" s="24" t="s">
        <v>149</v>
      </c>
      <c r="F965" s="24"/>
      <c r="G965" s="26">
        <v>44508.47299768519</v>
      </c>
      <c r="H965" s="26"/>
      <c r="I965" s="24" t="s">
        <v>40</v>
      </c>
      <c r="J965" s="24" t="s">
        <v>41</v>
      </c>
      <c r="K965" s="34"/>
      <c r="L965" s="34"/>
      <c r="M965" s="24" t="s">
        <v>44</v>
      </c>
      <c r="N965" s="34"/>
      <c r="O965" s="24" t="s">
        <v>3120</v>
      </c>
      <c r="P965" s="34"/>
      <c r="Q965" s="34"/>
      <c r="R965" s="33">
        <f>HYPERLINK("https://app.hubspot.com/contacts/8748051/record/0-2/7737526328", 7737526328)</f>
        <v>7737526328</v>
      </c>
      <c r="S965" s="24" t="s">
        <v>840</v>
      </c>
      <c r="T965" s="28" t="s">
        <v>841</v>
      </c>
      <c r="U965" s="24" t="s">
        <v>96</v>
      </c>
      <c r="V965" s="24"/>
      <c r="W965" s="25">
        <v>3210.0</v>
      </c>
      <c r="X965" s="29">
        <v>294.0</v>
      </c>
      <c r="Y965" s="29">
        <v>46.0</v>
      </c>
      <c r="Z965" s="30"/>
      <c r="AA965" s="30" t="s">
        <v>349</v>
      </c>
      <c r="AB965" s="31"/>
      <c r="AC965" s="31"/>
      <c r="AD965" s="30" t="s">
        <v>842</v>
      </c>
      <c r="AE965" s="31"/>
      <c r="AF965" s="30" t="s">
        <v>764</v>
      </c>
      <c r="AG965" s="34" t="str">
        <f t="shared" si="1"/>
        <v>New Logo</v>
      </c>
      <c r="AH965" s="34" t="str">
        <f t="shared" si="8"/>
        <v>Customer</v>
      </c>
      <c r="AI965" s="34" t="str">
        <f t="shared" si="9"/>
        <v>201-500</v>
      </c>
      <c r="AJ965" s="27" t="str">
        <f t="shared" si="10"/>
        <v>21-50</v>
      </c>
    </row>
    <row r="966" ht="15.75" customHeight="1">
      <c r="A966" s="33">
        <f>HYPERLINK("https://app.hubspot.com/contacts/8748051/record/0-3/6869605445", 6869605445)</f>
        <v>6869605445</v>
      </c>
      <c r="B966" s="24" t="s">
        <v>3121</v>
      </c>
      <c r="C966" s="24" t="s">
        <v>50</v>
      </c>
      <c r="D966" s="25"/>
      <c r="E966" s="24" t="s">
        <v>149</v>
      </c>
      <c r="F966" s="24"/>
      <c r="G966" s="26">
        <v>44508.472604166665</v>
      </c>
      <c r="H966" s="26"/>
      <c r="I966" s="24" t="s">
        <v>40</v>
      </c>
      <c r="J966" s="24" t="s">
        <v>41</v>
      </c>
      <c r="K966" s="34"/>
      <c r="L966" s="34"/>
      <c r="M966" s="24" t="s">
        <v>44</v>
      </c>
      <c r="N966" s="34"/>
      <c r="O966" s="24" t="s">
        <v>3122</v>
      </c>
      <c r="P966" s="34"/>
      <c r="Q966" s="34"/>
      <c r="R966" s="33">
        <f>HYPERLINK("https://app.hubspot.com/contacts/8748051/record/0-2/6262205443", 6262205443)</f>
        <v>6262205443</v>
      </c>
      <c r="S966" s="24" t="s">
        <v>3121</v>
      </c>
      <c r="T966" s="28" t="s">
        <v>3123</v>
      </c>
      <c r="U966" s="24" t="s">
        <v>47</v>
      </c>
      <c r="V966" s="24"/>
      <c r="W966" s="32"/>
      <c r="X966" s="29">
        <v>272.0</v>
      </c>
      <c r="Y966" s="29">
        <v>38.0</v>
      </c>
      <c r="Z966" s="30"/>
      <c r="AA966" s="31"/>
      <c r="AB966" s="31"/>
      <c r="AC966" s="31"/>
      <c r="AD966" s="31"/>
      <c r="AE966" s="31"/>
      <c r="AF966" s="31"/>
      <c r="AG966" s="34" t="str">
        <f t="shared" si="1"/>
        <v>New Logo</v>
      </c>
      <c r="AH966" s="34" t="str">
        <f t="shared" si="8"/>
        <v>Lead</v>
      </c>
      <c r="AI966" s="34" t="str">
        <f t="shared" si="9"/>
        <v>201-500</v>
      </c>
      <c r="AJ966" s="27" t="str">
        <f t="shared" si="10"/>
        <v>21-50</v>
      </c>
    </row>
    <row r="967" ht="15.75" customHeight="1">
      <c r="A967" s="33">
        <f>HYPERLINK("https://app.hubspot.com/contacts/8748051/record/0-3/6869101369", 6869101369)</f>
        <v>6869101369</v>
      </c>
      <c r="B967" s="24" t="s">
        <v>3124</v>
      </c>
      <c r="C967" s="24" t="s">
        <v>50</v>
      </c>
      <c r="D967" s="25">
        <v>100000.0</v>
      </c>
      <c r="E967" s="24" t="s">
        <v>578</v>
      </c>
      <c r="F967" s="24" t="s">
        <v>52</v>
      </c>
      <c r="G967" s="26">
        <v>44508.47091435185</v>
      </c>
      <c r="H967" s="26"/>
      <c r="I967" s="24" t="s">
        <v>40</v>
      </c>
      <c r="J967" s="24" t="s">
        <v>53</v>
      </c>
      <c r="K967" s="34"/>
      <c r="L967" s="34"/>
      <c r="M967" s="24" t="s">
        <v>44</v>
      </c>
      <c r="N967" s="24"/>
      <c r="O967" s="24"/>
      <c r="P967" s="34"/>
      <c r="Q967" s="34"/>
      <c r="R967" s="33">
        <f>HYPERLINK("https://app.hubspot.com/contacts/8748051/record/0-2/7246281518", 7246281518)</f>
        <v>7246281518</v>
      </c>
      <c r="S967" s="24" t="s">
        <v>3124</v>
      </c>
      <c r="T967" s="28" t="s">
        <v>3125</v>
      </c>
      <c r="U967" s="24" t="s">
        <v>47</v>
      </c>
      <c r="V967" s="24"/>
      <c r="W967" s="25"/>
      <c r="X967" s="29">
        <v>3102.0</v>
      </c>
      <c r="Y967" s="29">
        <v>564.0</v>
      </c>
      <c r="Z967" s="30" t="s">
        <v>2615</v>
      </c>
      <c r="AA967" s="31"/>
      <c r="AB967" s="31"/>
      <c r="AC967" s="31"/>
      <c r="AD967" s="31"/>
      <c r="AE967" s="31"/>
      <c r="AF967" s="31"/>
      <c r="AG967" s="34" t="str">
        <f t="shared" si="1"/>
        <v>New Logo</v>
      </c>
      <c r="AH967" s="34" t="str">
        <f t="shared" si="8"/>
        <v>Lead</v>
      </c>
      <c r="AI967" s="34" t="str">
        <f t="shared" si="9"/>
        <v>1001-5000</v>
      </c>
      <c r="AJ967" s="27" t="str">
        <f t="shared" si="10"/>
        <v>500+</v>
      </c>
    </row>
    <row r="968" ht="15.75" customHeight="1">
      <c r="A968" s="33">
        <f>HYPERLINK("https://app.hubspot.com/contacts/8748051/record/0-3/6869518006", 6869518006)</f>
        <v>6869518006</v>
      </c>
      <c r="B968" s="24" t="s">
        <v>3126</v>
      </c>
      <c r="C968" s="24" t="s">
        <v>148</v>
      </c>
      <c r="D968" s="25"/>
      <c r="E968" s="24" t="s">
        <v>149</v>
      </c>
      <c r="F968" s="24" t="s">
        <v>52</v>
      </c>
      <c r="G968" s="26">
        <v>44508.4703125</v>
      </c>
      <c r="H968" s="26">
        <v>44553.69850694444</v>
      </c>
      <c r="I968" s="24" t="s">
        <v>40</v>
      </c>
      <c r="J968" s="24" t="s">
        <v>41</v>
      </c>
      <c r="K968" s="34"/>
      <c r="L968" s="34"/>
      <c r="M968" s="24" t="s">
        <v>44</v>
      </c>
      <c r="N968" s="24"/>
      <c r="O968" s="24" t="s">
        <v>3127</v>
      </c>
      <c r="P968" s="34"/>
      <c r="Q968" s="34"/>
      <c r="R968" s="33">
        <f>HYPERLINK("https://app.hubspot.com/contacts/8748051/record/0-2/7246281378", 7246281378)</f>
        <v>7246281378</v>
      </c>
      <c r="S968" s="24" t="s">
        <v>3126</v>
      </c>
      <c r="T968" s="28" t="s">
        <v>3128</v>
      </c>
      <c r="U968" s="24" t="s">
        <v>47</v>
      </c>
      <c r="V968" s="24"/>
      <c r="W968" s="25"/>
      <c r="X968" s="29">
        <v>253.0</v>
      </c>
      <c r="Y968" s="29">
        <v>102.0</v>
      </c>
      <c r="Z968" s="30"/>
      <c r="AA968" s="31"/>
      <c r="AB968" s="31"/>
      <c r="AC968" s="31"/>
      <c r="AD968" s="31"/>
      <c r="AE968" s="31"/>
      <c r="AF968" s="31"/>
      <c r="AG968" s="34" t="str">
        <f t="shared" si="1"/>
        <v>New Logo</v>
      </c>
      <c r="AH968" s="34" t="str">
        <f t="shared" si="8"/>
        <v>Lead</v>
      </c>
      <c r="AI968" s="34" t="str">
        <f t="shared" si="9"/>
        <v>201-500</v>
      </c>
      <c r="AJ968" s="27" t="str">
        <f t="shared" si="10"/>
        <v>101-500</v>
      </c>
    </row>
    <row r="969" ht="15.75" customHeight="1">
      <c r="A969" s="33">
        <f>HYPERLINK("https://app.hubspot.com/contacts/8748051/record/0-3/6868986001", 6868986001)</f>
        <v>6868986001</v>
      </c>
      <c r="B969" s="24" t="s">
        <v>3129</v>
      </c>
      <c r="C969" s="24" t="s">
        <v>50</v>
      </c>
      <c r="D969" s="25">
        <v>18500.0</v>
      </c>
      <c r="E969" s="24" t="s">
        <v>578</v>
      </c>
      <c r="F969" s="24"/>
      <c r="G969" s="26">
        <v>44508.46979166667</v>
      </c>
      <c r="H969" s="26">
        <v>44742.45260416667</v>
      </c>
      <c r="I969" s="24" t="s">
        <v>40</v>
      </c>
      <c r="J969" s="24" t="s">
        <v>41</v>
      </c>
      <c r="K969" s="34"/>
      <c r="L969" s="34"/>
      <c r="M969" s="24" t="s">
        <v>44</v>
      </c>
      <c r="N969" s="34"/>
      <c r="O969" s="24"/>
      <c r="P969" s="34"/>
      <c r="Q969" s="24"/>
      <c r="R969" s="33">
        <f>HYPERLINK("https://app.hubspot.com/contacts/8748051/record/0-2/6646708313", 6646708313)</f>
        <v>6646708313</v>
      </c>
      <c r="S969" s="24" t="s">
        <v>3130</v>
      </c>
      <c r="T969" s="28" t="s">
        <v>3131</v>
      </c>
      <c r="U969" s="24" t="s">
        <v>47</v>
      </c>
      <c r="V969" s="24"/>
      <c r="W969" s="32"/>
      <c r="X969" s="29">
        <v>160.0</v>
      </c>
      <c r="Y969" s="29">
        <v>37.0</v>
      </c>
      <c r="Z969" s="30" t="s">
        <v>3132</v>
      </c>
      <c r="AA969" s="31"/>
      <c r="AB969" s="31"/>
      <c r="AC969" s="31"/>
      <c r="AD969" s="31"/>
      <c r="AE969" s="31"/>
      <c r="AF969" s="31"/>
      <c r="AG969" s="34" t="str">
        <f t="shared" si="1"/>
        <v>New Logo</v>
      </c>
      <c r="AH969" s="34" t="str">
        <f t="shared" si="8"/>
        <v>Lead</v>
      </c>
      <c r="AI969" s="34" t="str">
        <f t="shared" si="9"/>
        <v>0-200</v>
      </c>
      <c r="AJ969" s="27" t="str">
        <f t="shared" si="10"/>
        <v>21-50</v>
      </c>
    </row>
    <row r="970" ht="15.75" customHeight="1">
      <c r="A970" s="33">
        <f>HYPERLINK("https://app.hubspot.com/contacts/8748051/record/0-3/6869517709", 6869517709)</f>
        <v>6869517709</v>
      </c>
      <c r="B970" s="24" t="s">
        <v>3133</v>
      </c>
      <c r="C970" s="24" t="s">
        <v>50</v>
      </c>
      <c r="D970" s="25"/>
      <c r="E970" s="24" t="s">
        <v>149</v>
      </c>
      <c r="F970" s="24"/>
      <c r="G970" s="26">
        <v>44508.468935185185</v>
      </c>
      <c r="H970" s="26">
        <v>44573.40180555556</v>
      </c>
      <c r="I970" s="24" t="s">
        <v>40</v>
      </c>
      <c r="J970" s="24" t="s">
        <v>41</v>
      </c>
      <c r="K970" s="34"/>
      <c r="L970" s="34"/>
      <c r="M970" s="24" t="s">
        <v>44</v>
      </c>
      <c r="N970" s="34"/>
      <c r="O970" s="24" t="s">
        <v>3134</v>
      </c>
      <c r="P970" s="34"/>
      <c r="Q970" s="34"/>
      <c r="R970" s="33">
        <f>HYPERLINK("https://app.hubspot.com/contacts/8748051/record/0-2/6262678383", 6262678383)</f>
        <v>6262678383</v>
      </c>
      <c r="S970" s="24" t="s">
        <v>3133</v>
      </c>
      <c r="T970" s="28" t="s">
        <v>3135</v>
      </c>
      <c r="U970" s="24" t="s">
        <v>47</v>
      </c>
      <c r="V970" s="24"/>
      <c r="W970" s="32"/>
      <c r="X970" s="29">
        <v>433.0</v>
      </c>
      <c r="Y970" s="29">
        <v>57.0</v>
      </c>
      <c r="Z970" s="30" t="s">
        <v>71</v>
      </c>
      <c r="AA970" s="31"/>
      <c r="AB970" s="31"/>
      <c r="AC970" s="31"/>
      <c r="AD970" s="31"/>
      <c r="AE970" s="31"/>
      <c r="AF970" s="31"/>
      <c r="AG970" s="34" t="str">
        <f t="shared" si="1"/>
        <v>New Logo</v>
      </c>
      <c r="AH970" s="34" t="str">
        <f t="shared" si="8"/>
        <v>Lead</v>
      </c>
      <c r="AI970" s="34" t="str">
        <f t="shared" si="9"/>
        <v>201-500</v>
      </c>
      <c r="AJ970" s="27" t="str">
        <f t="shared" si="10"/>
        <v>51-100</v>
      </c>
    </row>
    <row r="971" ht="15.75" customHeight="1">
      <c r="A971" s="33">
        <f>HYPERLINK("https://app.hubspot.com/contacts/8748051/record/0-3/6869003422", 6869003422)</f>
        <v>6869003422</v>
      </c>
      <c r="B971" s="24" t="s">
        <v>3136</v>
      </c>
      <c r="C971" s="24" t="s">
        <v>1009</v>
      </c>
      <c r="D971" s="25"/>
      <c r="E971" s="24" t="s">
        <v>149</v>
      </c>
      <c r="F971" s="24"/>
      <c r="G971" s="26">
        <v>44508.467627314814</v>
      </c>
      <c r="H971" s="26"/>
      <c r="I971" s="24" t="s">
        <v>40</v>
      </c>
      <c r="J971" s="24" t="s">
        <v>41</v>
      </c>
      <c r="K971" s="34"/>
      <c r="L971" s="34"/>
      <c r="M971" s="24" t="s">
        <v>44</v>
      </c>
      <c r="N971" s="24"/>
      <c r="O971" s="24" t="s">
        <v>3137</v>
      </c>
      <c r="P971" s="34"/>
      <c r="Q971" s="24"/>
      <c r="R971" s="33">
        <f>HYPERLINK("https://app.hubspot.com/contacts/8748051/record/0-2/6262678295", 6262678295)</f>
        <v>6262678295</v>
      </c>
      <c r="S971" s="24" t="s">
        <v>3136</v>
      </c>
      <c r="T971" s="28" t="s">
        <v>3138</v>
      </c>
      <c r="U971" s="24" t="s">
        <v>47</v>
      </c>
      <c r="V971" s="24"/>
      <c r="W971" s="25"/>
      <c r="X971" s="29">
        <v>22.0</v>
      </c>
      <c r="Y971" s="29">
        <v>1.0</v>
      </c>
      <c r="Z971" s="30"/>
      <c r="AA971" s="30"/>
      <c r="AB971" s="31"/>
      <c r="AC971" s="31"/>
      <c r="AD971" s="30"/>
      <c r="AE971" s="30"/>
      <c r="AF971" s="30"/>
      <c r="AG971" s="34" t="str">
        <f t="shared" si="1"/>
        <v>New Logo</v>
      </c>
      <c r="AH971" s="34" t="str">
        <f t="shared" si="8"/>
        <v>Lead</v>
      </c>
      <c r="AI971" s="34" t="str">
        <f t="shared" si="9"/>
        <v>0-200</v>
      </c>
      <c r="AJ971" s="27" t="str">
        <f t="shared" si="10"/>
        <v>0-20</v>
      </c>
    </row>
    <row r="972" ht="15.75" customHeight="1">
      <c r="A972" s="33">
        <f>HYPERLINK("https://app.hubspot.com/contacts/8748051/record/0-3/6869084561", 6869084561)</f>
        <v>6869084561</v>
      </c>
      <c r="B972" s="24" t="s">
        <v>3139</v>
      </c>
      <c r="C972" s="24" t="s">
        <v>1009</v>
      </c>
      <c r="D972" s="25"/>
      <c r="E972" s="24" t="s">
        <v>149</v>
      </c>
      <c r="F972" s="24"/>
      <c r="G972" s="26">
        <v>44508.46686342593</v>
      </c>
      <c r="H972" s="26"/>
      <c r="I972" s="24" t="s">
        <v>40</v>
      </c>
      <c r="J972" s="24" t="s">
        <v>41</v>
      </c>
      <c r="K972" s="34"/>
      <c r="L972" s="34"/>
      <c r="M972" s="24" t="s">
        <v>44</v>
      </c>
      <c r="N972" s="24"/>
      <c r="O972" s="24"/>
      <c r="P972" s="34"/>
      <c r="Q972" s="34"/>
      <c r="R972" s="33">
        <f>HYPERLINK("https://app.hubspot.com/contacts/8748051/record/0-2/6262326657", 6262326657)</f>
        <v>6262326657</v>
      </c>
      <c r="S972" s="24" t="s">
        <v>3140</v>
      </c>
      <c r="T972" s="28" t="s">
        <v>3141</v>
      </c>
      <c r="U972" s="24" t="s">
        <v>47</v>
      </c>
      <c r="V972" s="24"/>
      <c r="W972" s="25"/>
      <c r="X972" s="29">
        <v>30.0</v>
      </c>
      <c r="Y972" s="29">
        <v>3.0</v>
      </c>
      <c r="Z972" s="30"/>
      <c r="AA972" s="30"/>
      <c r="AB972" s="31"/>
      <c r="AC972" s="31"/>
      <c r="AD972" s="30"/>
      <c r="AE972" s="31"/>
      <c r="AF972" s="30"/>
      <c r="AG972" s="34" t="str">
        <f t="shared" si="1"/>
        <v>New Logo</v>
      </c>
      <c r="AH972" s="34" t="str">
        <f t="shared" si="8"/>
        <v>Lead</v>
      </c>
      <c r="AI972" s="34" t="str">
        <f t="shared" si="9"/>
        <v>0-200</v>
      </c>
      <c r="AJ972" s="27" t="str">
        <f t="shared" si="10"/>
        <v>0-20</v>
      </c>
    </row>
    <row r="973" ht="15.75" customHeight="1">
      <c r="A973" s="33">
        <f>HYPERLINK("https://app.hubspot.com/contacts/8748051/record/0-3/6869524381", 6869524381)</f>
        <v>6869524381</v>
      </c>
      <c r="B973" s="24" t="s">
        <v>3142</v>
      </c>
      <c r="C973" s="24" t="s">
        <v>1009</v>
      </c>
      <c r="D973" s="25">
        <v>15000.0</v>
      </c>
      <c r="E973" s="24" t="s">
        <v>149</v>
      </c>
      <c r="F973" s="24" t="s">
        <v>52</v>
      </c>
      <c r="G973" s="26">
        <v>44508.464849537035</v>
      </c>
      <c r="H973" s="26">
        <v>44739.36271990741</v>
      </c>
      <c r="I973" s="24" t="s">
        <v>40</v>
      </c>
      <c r="J973" s="24" t="s">
        <v>41</v>
      </c>
      <c r="K973" s="34"/>
      <c r="L973" s="34"/>
      <c r="M973" s="24" t="s">
        <v>44</v>
      </c>
      <c r="N973" s="34"/>
      <c r="O973" s="24" t="s">
        <v>3143</v>
      </c>
      <c r="P973" s="24"/>
      <c r="Q973" s="34"/>
      <c r="R973" s="33">
        <f>HYPERLINK("https://app.hubspot.com/contacts/8748051/record/0-2/7544209316", 7544209316)</f>
        <v>7544209316</v>
      </c>
      <c r="S973" s="24" t="s">
        <v>3144</v>
      </c>
      <c r="T973" s="28" t="s">
        <v>3145</v>
      </c>
      <c r="U973" s="24" t="s">
        <v>47</v>
      </c>
      <c r="V973" s="24"/>
      <c r="W973" s="32"/>
      <c r="X973" s="29">
        <v>100.0</v>
      </c>
      <c r="Y973" s="29">
        <v>20.0</v>
      </c>
      <c r="Z973" s="30" t="s">
        <v>108</v>
      </c>
      <c r="AA973" s="31"/>
      <c r="AB973" s="31"/>
      <c r="AC973" s="31"/>
      <c r="AD973" s="31"/>
      <c r="AE973" s="31"/>
      <c r="AF973" s="31"/>
      <c r="AG973" s="34" t="str">
        <f t="shared" si="1"/>
        <v>New Logo</v>
      </c>
      <c r="AH973" s="34" t="str">
        <f t="shared" si="8"/>
        <v>Lead</v>
      </c>
      <c r="AI973" s="34" t="str">
        <f t="shared" si="9"/>
        <v>0-200</v>
      </c>
      <c r="AJ973" s="27" t="str">
        <f t="shared" si="10"/>
        <v>0-20</v>
      </c>
    </row>
    <row r="974" ht="15.75" customHeight="1">
      <c r="A974" s="33">
        <f>HYPERLINK("https://app.hubspot.com/contacts/8748051/record/0-3/6869065638", 6869065638)</f>
        <v>6869065638</v>
      </c>
      <c r="B974" s="24" t="s">
        <v>3146</v>
      </c>
      <c r="C974" s="24" t="s">
        <v>50</v>
      </c>
      <c r="D974" s="25">
        <v>49000.0</v>
      </c>
      <c r="E974" s="24" t="s">
        <v>578</v>
      </c>
      <c r="F974" s="24" t="s">
        <v>52</v>
      </c>
      <c r="G974" s="26">
        <v>44508.464108796295</v>
      </c>
      <c r="H974" s="26">
        <v>44895.653449074074</v>
      </c>
      <c r="I974" s="24" t="s">
        <v>40</v>
      </c>
      <c r="J974" s="24" t="s">
        <v>53</v>
      </c>
      <c r="K974" s="34"/>
      <c r="L974" s="34"/>
      <c r="M974" s="24" t="s">
        <v>44</v>
      </c>
      <c r="N974" s="34"/>
      <c r="O974" s="24"/>
      <c r="P974" s="34"/>
      <c r="Q974" s="34"/>
      <c r="R974" s="33">
        <f>HYPERLINK("https://app.hubspot.com/contacts/8748051/record/0-2/5850911620", 5850911620)</f>
        <v>5850911620</v>
      </c>
      <c r="S974" s="24" t="s">
        <v>3147</v>
      </c>
      <c r="T974" s="28" t="s">
        <v>3148</v>
      </c>
      <c r="U974" s="24" t="s">
        <v>47</v>
      </c>
      <c r="V974" s="24"/>
      <c r="W974" s="32"/>
      <c r="X974" s="29">
        <v>880.0</v>
      </c>
      <c r="Y974" s="29">
        <v>109.0</v>
      </c>
      <c r="Z974" s="30" t="s">
        <v>125</v>
      </c>
      <c r="AA974" s="31"/>
      <c r="AB974" s="31"/>
      <c r="AC974" s="31"/>
      <c r="AD974" s="31"/>
      <c r="AE974" s="31"/>
      <c r="AF974" s="31"/>
      <c r="AG974" s="34" t="str">
        <f t="shared" si="1"/>
        <v>New Logo</v>
      </c>
      <c r="AH974" s="34" t="str">
        <f t="shared" si="8"/>
        <v>Lead</v>
      </c>
      <c r="AI974" s="34" t="str">
        <f t="shared" si="9"/>
        <v>501-1000</v>
      </c>
      <c r="AJ974" s="27" t="str">
        <f t="shared" si="10"/>
        <v>101-500</v>
      </c>
    </row>
    <row r="975" ht="15.75" customHeight="1">
      <c r="A975" s="33">
        <f>HYPERLINK("https://app.hubspot.com/contacts/8748051/record/0-3/6832364381", 6832364381)</f>
        <v>6832364381</v>
      </c>
      <c r="B975" s="24" t="s">
        <v>3149</v>
      </c>
      <c r="C975" s="24" t="s">
        <v>38</v>
      </c>
      <c r="D975" s="25">
        <v>10000.0</v>
      </c>
      <c r="E975" s="24" t="s">
        <v>578</v>
      </c>
      <c r="F975" s="24" t="s">
        <v>52</v>
      </c>
      <c r="G975" s="26">
        <v>44503.54424768518</v>
      </c>
      <c r="H975" s="26">
        <v>44834.5630787037</v>
      </c>
      <c r="I975" s="24" t="s">
        <v>40</v>
      </c>
      <c r="J975" s="24" t="s">
        <v>41</v>
      </c>
      <c r="K975" s="34"/>
      <c r="L975" s="34"/>
      <c r="M975" s="24" t="s">
        <v>44</v>
      </c>
      <c r="N975" s="34"/>
      <c r="O975" s="24"/>
      <c r="P975" s="34"/>
      <c r="Q975" s="34"/>
      <c r="R975" s="33">
        <f>HYPERLINK("https://app.hubspot.com/contacts/8748051/record/0-2/7220704258", 7220704258)</f>
        <v>7220704258</v>
      </c>
      <c r="S975" s="24" t="s">
        <v>3150</v>
      </c>
      <c r="T975" s="28" t="s">
        <v>3151</v>
      </c>
      <c r="U975" s="24" t="s">
        <v>47</v>
      </c>
      <c r="V975" s="24"/>
      <c r="W975" s="32"/>
      <c r="X975" s="29">
        <v>189.0</v>
      </c>
      <c r="Y975" s="29">
        <v>3.0</v>
      </c>
      <c r="Z975" s="30"/>
      <c r="AA975" s="31"/>
      <c r="AB975" s="31"/>
      <c r="AC975" s="31"/>
      <c r="AD975" s="31"/>
      <c r="AE975" s="31"/>
      <c r="AF975" s="31"/>
      <c r="AG975" s="34" t="str">
        <f t="shared" si="1"/>
        <v>New Logo</v>
      </c>
      <c r="AH975" s="34" t="str">
        <f t="shared" si="8"/>
        <v>Lead</v>
      </c>
      <c r="AI975" s="34" t="str">
        <f t="shared" si="9"/>
        <v>0-200</v>
      </c>
      <c r="AJ975" s="27" t="str">
        <f t="shared" si="10"/>
        <v>0-20</v>
      </c>
    </row>
    <row r="976" ht="15.75" customHeight="1">
      <c r="A976" s="33">
        <f>HYPERLINK("https://app.hubspot.com/contacts/8748051/record/0-3/6832483208", 6832483208)</f>
        <v>6832483208</v>
      </c>
      <c r="B976" s="24" t="s">
        <v>3152</v>
      </c>
      <c r="C976" s="24" t="s">
        <v>1009</v>
      </c>
      <c r="D976" s="25"/>
      <c r="E976" s="24" t="s">
        <v>149</v>
      </c>
      <c r="F976" s="24" t="s">
        <v>52</v>
      </c>
      <c r="G976" s="26">
        <v>44503.53780092593</v>
      </c>
      <c r="H976" s="26">
        <v>44532.651550925926</v>
      </c>
      <c r="I976" s="24" t="s">
        <v>40</v>
      </c>
      <c r="J976" s="24" t="s">
        <v>53</v>
      </c>
      <c r="K976" s="34"/>
      <c r="L976" s="34"/>
      <c r="M976" s="24" t="s">
        <v>44</v>
      </c>
      <c r="N976" s="34"/>
      <c r="O976" s="24" t="s">
        <v>3153</v>
      </c>
      <c r="P976" s="34"/>
      <c r="Q976" s="24"/>
      <c r="R976" s="33">
        <f>HYPERLINK("https://app.hubspot.com/contacts/8748051/record/0-2/7220703489", 7220703489)</f>
        <v>7220703489</v>
      </c>
      <c r="S976" s="24" t="s">
        <v>3152</v>
      </c>
      <c r="T976" s="28" t="s">
        <v>3154</v>
      </c>
      <c r="U976" s="24" t="s">
        <v>47</v>
      </c>
      <c r="V976" s="24"/>
      <c r="W976" s="32"/>
      <c r="X976" s="29">
        <v>256.0</v>
      </c>
      <c r="Y976" s="29">
        <v>60.0</v>
      </c>
      <c r="Z976" s="30"/>
      <c r="AA976" s="31"/>
      <c r="AB976" s="31"/>
      <c r="AC976" s="31"/>
      <c r="AD976" s="31"/>
      <c r="AE976" s="31"/>
      <c r="AF976" s="31"/>
      <c r="AG976" s="34" t="str">
        <f t="shared" si="1"/>
        <v>New Logo</v>
      </c>
      <c r="AH976" s="34" t="str">
        <f t="shared" si="8"/>
        <v>Lead</v>
      </c>
      <c r="AI976" s="34" t="str">
        <f t="shared" si="9"/>
        <v>201-500</v>
      </c>
      <c r="AJ976" s="27" t="str">
        <f t="shared" si="10"/>
        <v>51-100</v>
      </c>
    </row>
    <row r="977" ht="15.75" customHeight="1">
      <c r="A977" s="33">
        <f>HYPERLINK("https://app.hubspot.com/contacts/8748051/record/0-3/6755904163", 6755904163)</f>
        <v>6755904163</v>
      </c>
      <c r="B977" s="24" t="s">
        <v>3155</v>
      </c>
      <c r="C977" s="24" t="s">
        <v>50</v>
      </c>
      <c r="D977" s="25">
        <v>40000.0</v>
      </c>
      <c r="E977" s="24" t="s">
        <v>149</v>
      </c>
      <c r="F977" s="24" t="s">
        <v>52</v>
      </c>
      <c r="G977" s="26">
        <v>44495.41626157407</v>
      </c>
      <c r="H977" s="26">
        <v>44907.38964120371</v>
      </c>
      <c r="I977" s="24" t="s">
        <v>40</v>
      </c>
      <c r="J977" s="24" t="s">
        <v>53</v>
      </c>
      <c r="K977" s="34"/>
      <c r="L977" s="34"/>
      <c r="M977" s="24" t="s">
        <v>44</v>
      </c>
      <c r="N977" s="34"/>
      <c r="O977" s="24" t="s">
        <v>3156</v>
      </c>
      <c r="P977" s="34"/>
      <c r="Q977" s="24"/>
      <c r="R977" s="33">
        <f>HYPERLINK("https://app.hubspot.com/contacts/8748051/record/0-2/7172652145", 7172652145)</f>
        <v>7172652145</v>
      </c>
      <c r="S977" s="24" t="s">
        <v>3155</v>
      </c>
      <c r="T977" s="28" t="s">
        <v>3157</v>
      </c>
      <c r="U977" s="24" t="s">
        <v>47</v>
      </c>
      <c r="V977" s="24"/>
      <c r="W977" s="32"/>
      <c r="X977" s="29">
        <v>20.0</v>
      </c>
      <c r="Y977" s="29">
        <v>3.0</v>
      </c>
      <c r="Z977" s="30"/>
      <c r="AA977" s="31"/>
      <c r="AB977" s="31"/>
      <c r="AC977" s="31"/>
      <c r="AD977" s="31"/>
      <c r="AE977" s="31"/>
      <c r="AF977" s="31"/>
      <c r="AG977" s="34" t="str">
        <f t="shared" si="1"/>
        <v>New Logo</v>
      </c>
      <c r="AH977" s="34" t="str">
        <f t="shared" si="8"/>
        <v>Lead</v>
      </c>
      <c r="AI977" s="34" t="str">
        <f t="shared" si="9"/>
        <v>0-200</v>
      </c>
      <c r="AJ977" s="27" t="str">
        <f t="shared" si="10"/>
        <v>0-20</v>
      </c>
    </row>
    <row r="978" ht="15.75" customHeight="1">
      <c r="A978" s="33">
        <f>HYPERLINK("https://app.hubspot.com/contacts/8748051/record/0-3/6696779416", 6696779416)</f>
        <v>6696779416</v>
      </c>
      <c r="B978" s="24" t="s">
        <v>3158</v>
      </c>
      <c r="C978" s="24" t="s">
        <v>50</v>
      </c>
      <c r="D978" s="25">
        <v>8000.0</v>
      </c>
      <c r="E978" s="24" t="s">
        <v>127</v>
      </c>
      <c r="F978" s="24" t="s">
        <v>52</v>
      </c>
      <c r="G978" s="26">
        <v>44488.58560185185</v>
      </c>
      <c r="H978" s="26">
        <v>45138.6937962963</v>
      </c>
      <c r="I978" s="24" t="s">
        <v>40</v>
      </c>
      <c r="J978" s="24" t="s">
        <v>53</v>
      </c>
      <c r="K978" s="34"/>
      <c r="L978" s="34"/>
      <c r="M978" s="24" t="s">
        <v>44</v>
      </c>
      <c r="N978" s="34"/>
      <c r="O978" s="24"/>
      <c r="P978" s="34"/>
      <c r="Q978" s="24" t="s">
        <v>374</v>
      </c>
      <c r="R978" s="33">
        <f>HYPERLINK("https://app.hubspot.com/contacts/8748051/record/0-2/8386319462", 8386319462)</f>
        <v>8386319462</v>
      </c>
      <c r="S978" s="28" t="s">
        <v>3159</v>
      </c>
      <c r="T978" s="28" t="s">
        <v>3160</v>
      </c>
      <c r="U978" s="24" t="s">
        <v>47</v>
      </c>
      <c r="V978" s="24"/>
      <c r="W978" s="32"/>
      <c r="X978" s="29">
        <v>102.0</v>
      </c>
      <c r="Y978" s="29">
        <v>11.0</v>
      </c>
      <c r="Z978" s="30" t="s">
        <v>108</v>
      </c>
      <c r="AA978" s="31"/>
      <c r="AB978" s="31"/>
      <c r="AC978" s="31"/>
      <c r="AD978" s="31"/>
      <c r="AE978" s="31"/>
      <c r="AF978" s="31"/>
      <c r="AG978" s="34" t="str">
        <f t="shared" si="1"/>
        <v>New Logo</v>
      </c>
      <c r="AH978" s="34" t="str">
        <f t="shared" si="8"/>
        <v>Lead</v>
      </c>
      <c r="AI978" s="34" t="str">
        <f t="shared" si="9"/>
        <v>0-200</v>
      </c>
      <c r="AJ978" s="27" t="str">
        <f t="shared" si="10"/>
        <v>0-20</v>
      </c>
    </row>
    <row r="979" ht="15.75" customHeight="1">
      <c r="A979" s="33">
        <f>HYPERLINK("https://app.hubspot.com/contacts/8748051/record/0-3/6546546773", 6546546773)</f>
        <v>6546546773</v>
      </c>
      <c r="B979" s="24" t="s">
        <v>3161</v>
      </c>
      <c r="C979" s="24" t="s">
        <v>148</v>
      </c>
      <c r="D979" s="25"/>
      <c r="E979" s="24" t="s">
        <v>149</v>
      </c>
      <c r="F979" s="24"/>
      <c r="G979" s="26">
        <v>44476.12196759259</v>
      </c>
      <c r="H979" s="26">
        <v>44491.10792824074</v>
      </c>
      <c r="I979" s="24" t="s">
        <v>40</v>
      </c>
      <c r="J979" s="24" t="s">
        <v>41</v>
      </c>
      <c r="K979" s="34"/>
      <c r="L979" s="34"/>
      <c r="M979" s="24" t="s">
        <v>44</v>
      </c>
      <c r="N979" s="34"/>
      <c r="O979" s="24" t="s">
        <v>3162</v>
      </c>
      <c r="P979" s="34"/>
      <c r="Q979" s="34"/>
      <c r="R979" s="33">
        <f>HYPERLINK("https://app.hubspot.com/contacts/8748051/record/0-2/7075255110", 7075255110)</f>
        <v>7075255110</v>
      </c>
      <c r="S979" s="24" t="s">
        <v>3163</v>
      </c>
      <c r="T979" s="28" t="s">
        <v>3164</v>
      </c>
      <c r="U979" s="24" t="s">
        <v>47</v>
      </c>
      <c r="V979" s="24"/>
      <c r="W979" s="32"/>
      <c r="X979" s="29">
        <v>170.0</v>
      </c>
      <c r="Y979" s="29">
        <v>24.0</v>
      </c>
      <c r="Z979" s="30" t="s">
        <v>71</v>
      </c>
      <c r="AA979" s="31"/>
      <c r="AB979" s="31"/>
      <c r="AC979" s="31"/>
      <c r="AD979" s="31"/>
      <c r="AE979" s="31"/>
      <c r="AF979" s="31"/>
      <c r="AG979" s="34" t="str">
        <f t="shared" si="1"/>
        <v>New Logo</v>
      </c>
      <c r="AH979" s="34" t="str">
        <f t="shared" si="8"/>
        <v>Lead</v>
      </c>
      <c r="AI979" s="34" t="str">
        <f t="shared" si="9"/>
        <v>0-200</v>
      </c>
      <c r="AJ979" s="27" t="str">
        <f t="shared" si="10"/>
        <v>21-50</v>
      </c>
    </row>
    <row r="980" ht="15.75" customHeight="1">
      <c r="A980" s="33">
        <f>HYPERLINK("https://app.hubspot.com/contacts/8748051/record/0-3/6257008023", 6257008023)</f>
        <v>6257008023</v>
      </c>
      <c r="B980" s="24" t="s">
        <v>3165</v>
      </c>
      <c r="C980" s="24" t="s">
        <v>50</v>
      </c>
      <c r="D980" s="25">
        <v>32500.0</v>
      </c>
      <c r="E980" s="24" t="s">
        <v>578</v>
      </c>
      <c r="F980" s="24" t="s">
        <v>52</v>
      </c>
      <c r="G980" s="26">
        <v>44459.309537037036</v>
      </c>
      <c r="H980" s="26">
        <v>44561.2680787037</v>
      </c>
      <c r="I980" s="24" t="s">
        <v>40</v>
      </c>
      <c r="J980" s="24" t="s">
        <v>41</v>
      </c>
      <c r="K980" s="34"/>
      <c r="L980" s="34"/>
      <c r="M980" s="24" t="s">
        <v>102</v>
      </c>
      <c r="N980" s="34"/>
      <c r="O980" s="24"/>
      <c r="P980" s="34"/>
      <c r="Q980" s="34"/>
      <c r="R980" s="33">
        <f>HYPERLINK("https://app.hubspot.com/contacts/8748051/record/0-2/6960300050", 6960300050)</f>
        <v>6960300050</v>
      </c>
      <c r="S980" s="24" t="s">
        <v>3166</v>
      </c>
      <c r="T980" s="28" t="s">
        <v>3167</v>
      </c>
      <c r="U980" s="24" t="s">
        <v>47</v>
      </c>
      <c r="V980" s="24"/>
      <c r="W980" s="32"/>
      <c r="X980" s="29">
        <v>347.0</v>
      </c>
      <c r="Y980" s="29">
        <v>62.0</v>
      </c>
      <c r="Z980" s="30" t="s">
        <v>108</v>
      </c>
      <c r="AA980" s="31"/>
      <c r="AB980" s="31"/>
      <c r="AC980" s="31"/>
      <c r="AD980" s="31"/>
      <c r="AE980" s="31"/>
      <c r="AF980" s="31"/>
      <c r="AG980" s="34" t="str">
        <f t="shared" si="1"/>
        <v>New Logo</v>
      </c>
      <c r="AH980" s="34" t="str">
        <f t="shared" si="8"/>
        <v>Lead</v>
      </c>
      <c r="AI980" s="34" t="str">
        <f t="shared" si="9"/>
        <v>201-500</v>
      </c>
      <c r="AJ980" s="27" t="str">
        <f t="shared" si="10"/>
        <v>51-100</v>
      </c>
    </row>
    <row r="981" ht="15.75" customHeight="1">
      <c r="A981" s="33">
        <f>HYPERLINK("https://app.hubspot.com/contacts/8748051/record/0-3/5480590924", 5480590924)</f>
        <v>5480590924</v>
      </c>
      <c r="B981" s="24" t="s">
        <v>3168</v>
      </c>
      <c r="C981" s="24" t="s">
        <v>1009</v>
      </c>
      <c r="D981" s="25"/>
      <c r="E981" s="24" t="s">
        <v>149</v>
      </c>
      <c r="F981" s="34"/>
      <c r="G981" s="26">
        <v>44365.40101851852</v>
      </c>
      <c r="H981" s="26"/>
      <c r="I981" s="24" t="s">
        <v>40</v>
      </c>
      <c r="J981" s="24" t="s">
        <v>41</v>
      </c>
      <c r="K981" s="34"/>
      <c r="L981" s="34"/>
      <c r="M981" s="24" t="s">
        <v>44</v>
      </c>
      <c r="N981" s="24"/>
      <c r="O981" s="24" t="s">
        <v>3169</v>
      </c>
      <c r="P981" s="34"/>
      <c r="Q981" s="34"/>
      <c r="R981" s="33">
        <f>HYPERLINK("https://app.hubspot.com/contacts/8748051/record/0-2/6266336548", 6266336548)</f>
        <v>6266336548</v>
      </c>
      <c r="S981" s="24" t="s">
        <v>3168</v>
      </c>
      <c r="T981" s="28" t="s">
        <v>3170</v>
      </c>
      <c r="U981" s="24" t="s">
        <v>47</v>
      </c>
      <c r="V981" s="24"/>
      <c r="W981" s="25"/>
      <c r="X981" s="29">
        <v>47.0</v>
      </c>
      <c r="Y981" s="29">
        <v>8.0</v>
      </c>
      <c r="Z981" s="31"/>
      <c r="AA981" s="31"/>
      <c r="AB981" s="31"/>
      <c r="AC981" s="31"/>
      <c r="AD981" s="31"/>
      <c r="AE981" s="31"/>
      <c r="AF981" s="31"/>
      <c r="AG981" s="34" t="str">
        <f t="shared" si="1"/>
        <v>New Logo</v>
      </c>
      <c r="AH981" s="34" t="str">
        <f t="shared" si="8"/>
        <v>Lead</v>
      </c>
      <c r="AI981" s="34" t="str">
        <f t="shared" si="9"/>
        <v>0-200</v>
      </c>
      <c r="AJ981" s="27" t="str">
        <f t="shared" si="10"/>
        <v>0-20</v>
      </c>
    </row>
    <row r="982" ht="15.75" customHeight="1">
      <c r="A982" s="33">
        <f>HYPERLINK("https://app.hubspot.com/contacts/8748051/record/0-3/5480540424", 5480540424)</f>
        <v>5480540424</v>
      </c>
      <c r="B982" s="24" t="s">
        <v>3171</v>
      </c>
      <c r="C982" s="24" t="s">
        <v>1009</v>
      </c>
      <c r="D982" s="25"/>
      <c r="E982" s="24" t="s">
        <v>149</v>
      </c>
      <c r="F982" s="24"/>
      <c r="G982" s="26">
        <v>44365.39229166666</v>
      </c>
      <c r="H982" s="26"/>
      <c r="I982" s="24" t="s">
        <v>40</v>
      </c>
      <c r="J982" s="24" t="s">
        <v>41</v>
      </c>
      <c r="K982" s="34"/>
      <c r="L982" s="34"/>
      <c r="M982" s="24" t="s">
        <v>44</v>
      </c>
      <c r="N982" s="24"/>
      <c r="O982" s="24"/>
      <c r="P982" s="34"/>
      <c r="Q982" s="34"/>
      <c r="R982" s="33">
        <f>HYPERLINK("https://app.hubspot.com/contacts/8748051/record/0-2/5851755791", 5851755791)</f>
        <v>5851755791</v>
      </c>
      <c r="S982" s="24" t="s">
        <v>3171</v>
      </c>
      <c r="T982" s="28" t="s">
        <v>3172</v>
      </c>
      <c r="U982" s="24" t="s">
        <v>47</v>
      </c>
      <c r="V982" s="24"/>
      <c r="W982" s="25"/>
      <c r="X982" s="29">
        <v>340.0</v>
      </c>
      <c r="Y982" s="29">
        <v>31.0</v>
      </c>
      <c r="Z982" s="30"/>
      <c r="AA982" s="31"/>
      <c r="AB982" s="31"/>
      <c r="AC982" s="31"/>
      <c r="AD982" s="31"/>
      <c r="AE982" s="31"/>
      <c r="AF982" s="31"/>
      <c r="AG982" s="34" t="str">
        <f t="shared" si="1"/>
        <v>New Logo</v>
      </c>
      <c r="AH982" s="34" t="str">
        <f t="shared" si="8"/>
        <v>Lead</v>
      </c>
      <c r="AI982" s="34" t="str">
        <f t="shared" si="9"/>
        <v>201-500</v>
      </c>
      <c r="AJ982" s="27" t="str">
        <f t="shared" si="10"/>
        <v>21-50</v>
      </c>
    </row>
    <row r="983" ht="15.75" customHeight="1">
      <c r="A983" s="33">
        <f>HYPERLINK("https://app.hubspot.com/contacts/8748051/record/0-3/5480459659", 5480459659)</f>
        <v>5480459659</v>
      </c>
      <c r="B983" s="24" t="s">
        <v>3173</v>
      </c>
      <c r="C983" s="24" t="s">
        <v>1009</v>
      </c>
      <c r="D983" s="25"/>
      <c r="E983" s="24" t="s">
        <v>149</v>
      </c>
      <c r="F983" s="24"/>
      <c r="G983" s="26">
        <v>44365.38890046296</v>
      </c>
      <c r="H983" s="26"/>
      <c r="I983" s="24" t="s">
        <v>40</v>
      </c>
      <c r="J983" s="24" t="s">
        <v>41</v>
      </c>
      <c r="K983" s="34"/>
      <c r="L983" s="34"/>
      <c r="M983" s="24" t="s">
        <v>44</v>
      </c>
      <c r="N983" s="24"/>
      <c r="O983" s="24"/>
      <c r="P983" s="34"/>
      <c r="Q983" s="34"/>
      <c r="R983" s="33">
        <f>HYPERLINK("https://app.hubspot.com/contacts/8748051/record/0-2/6265997943", 6265997943)</f>
        <v>6265997943</v>
      </c>
      <c r="S983" s="24" t="s">
        <v>3173</v>
      </c>
      <c r="T983" s="28" t="s">
        <v>3174</v>
      </c>
      <c r="U983" s="24" t="s">
        <v>47</v>
      </c>
      <c r="V983" s="24"/>
      <c r="W983" s="25"/>
      <c r="X983" s="29">
        <v>146.0</v>
      </c>
      <c r="Y983" s="29">
        <v>17.0</v>
      </c>
      <c r="Z983" s="30"/>
      <c r="AA983" s="31"/>
      <c r="AB983" s="31"/>
      <c r="AC983" s="31"/>
      <c r="AD983" s="31"/>
      <c r="AE983" s="31"/>
      <c r="AF983" s="31"/>
      <c r="AG983" s="34" t="str">
        <f t="shared" si="1"/>
        <v>New Logo</v>
      </c>
      <c r="AH983" s="34" t="str">
        <f t="shared" si="8"/>
        <v>Lead</v>
      </c>
      <c r="AI983" s="34" t="str">
        <f t="shared" si="9"/>
        <v>0-200</v>
      </c>
      <c r="AJ983" s="27" t="str">
        <f t="shared" si="10"/>
        <v>0-20</v>
      </c>
    </row>
    <row r="984" ht="15.75" customHeight="1">
      <c r="A984" s="33">
        <f>HYPERLINK("https://app.hubspot.com/contacts/8748051/record/0-3/5478595504", 5478595504)</f>
        <v>5478595504</v>
      </c>
      <c r="B984" s="24" t="s">
        <v>3175</v>
      </c>
      <c r="C984" s="24" t="s">
        <v>148</v>
      </c>
      <c r="D984" s="25"/>
      <c r="E984" s="24" t="s">
        <v>149</v>
      </c>
      <c r="F984" s="24"/>
      <c r="G984" s="26">
        <v>44365.05006944444</v>
      </c>
      <c r="H984" s="26"/>
      <c r="I984" s="24" t="s">
        <v>40</v>
      </c>
      <c r="J984" s="24" t="s">
        <v>41</v>
      </c>
      <c r="K984" s="34"/>
      <c r="L984" s="34"/>
      <c r="M984" s="24" t="s">
        <v>44</v>
      </c>
      <c r="N984" s="24"/>
      <c r="O984" s="24"/>
      <c r="P984" s="34"/>
      <c r="Q984" s="34"/>
      <c r="R984" s="33">
        <f>HYPERLINK("https://app.hubspot.com/contacts/8748051/record/0-2/14810902100", 14810902100)</f>
        <v>14810902100</v>
      </c>
      <c r="S984" s="24" t="s">
        <v>3176</v>
      </c>
      <c r="T984" s="28" t="s">
        <v>3177</v>
      </c>
      <c r="U984" s="24" t="s">
        <v>47</v>
      </c>
      <c r="V984" s="24"/>
      <c r="W984" s="25"/>
      <c r="X984" s="29">
        <v>770.0</v>
      </c>
      <c r="Y984" s="29">
        <v>92.0</v>
      </c>
      <c r="Z984" s="30" t="s">
        <v>81</v>
      </c>
      <c r="AA984" s="31"/>
      <c r="AB984" s="31"/>
      <c r="AC984" s="31"/>
      <c r="AD984" s="31"/>
      <c r="AE984" s="31"/>
      <c r="AF984" s="31"/>
      <c r="AG984" s="34" t="str">
        <f t="shared" si="1"/>
        <v>New Logo</v>
      </c>
      <c r="AH984" s="34" t="str">
        <f t="shared" si="8"/>
        <v>Lead</v>
      </c>
      <c r="AI984" s="34" t="str">
        <f t="shared" si="9"/>
        <v>501-1000</v>
      </c>
      <c r="AJ984" s="27" t="str">
        <f t="shared" si="10"/>
        <v>51-100</v>
      </c>
    </row>
    <row r="985" ht="15.75" customHeight="1">
      <c r="A985" s="33">
        <f>HYPERLINK("https://app.hubspot.com/contacts/8748051/record/0-3/5478588253", 5478588253)</f>
        <v>5478588253</v>
      </c>
      <c r="B985" s="24" t="s">
        <v>3178</v>
      </c>
      <c r="C985" s="24" t="s">
        <v>50</v>
      </c>
      <c r="D985" s="25"/>
      <c r="E985" s="24" t="s">
        <v>149</v>
      </c>
      <c r="F985" s="24"/>
      <c r="G985" s="26">
        <v>44365.04153935185</v>
      </c>
      <c r="H985" s="26">
        <v>44620.37980324074</v>
      </c>
      <c r="I985" s="24" t="s">
        <v>40</v>
      </c>
      <c r="J985" s="24" t="s">
        <v>53</v>
      </c>
      <c r="K985" s="34"/>
      <c r="L985" s="34"/>
      <c r="M985" s="24" t="s">
        <v>44</v>
      </c>
      <c r="N985" s="24"/>
      <c r="O985" s="24" t="s">
        <v>3179</v>
      </c>
      <c r="P985" s="34"/>
      <c r="Q985" s="34"/>
      <c r="R985" s="33">
        <f>HYPERLINK("https://app.hubspot.com/contacts/8748051/record/0-2/6262674542", 6262674542)</f>
        <v>6262674542</v>
      </c>
      <c r="S985" s="24" t="s">
        <v>3178</v>
      </c>
      <c r="T985" s="28" t="s">
        <v>3180</v>
      </c>
      <c r="U985" s="24" t="s">
        <v>47</v>
      </c>
      <c r="V985" s="24"/>
      <c r="W985" s="25"/>
      <c r="X985" s="29">
        <v>559.0</v>
      </c>
      <c r="Y985" s="29">
        <v>105.0</v>
      </c>
      <c r="Z985" s="30" t="s">
        <v>56</v>
      </c>
      <c r="AA985" s="30"/>
      <c r="AB985" s="31"/>
      <c r="AC985" s="31"/>
      <c r="AD985" s="30"/>
      <c r="AE985" s="30"/>
      <c r="AF985" s="30"/>
      <c r="AG985" s="34" t="str">
        <f t="shared" si="1"/>
        <v>New Logo</v>
      </c>
      <c r="AH985" s="34" t="str">
        <f t="shared" si="8"/>
        <v>Lead</v>
      </c>
      <c r="AI985" s="34" t="str">
        <f t="shared" si="9"/>
        <v>501-1000</v>
      </c>
      <c r="AJ985" s="27" t="str">
        <f t="shared" si="10"/>
        <v>101-500</v>
      </c>
    </row>
    <row r="986" ht="15.75" customHeight="1">
      <c r="A986" s="33">
        <f>HYPERLINK("https://app.hubspot.com/contacts/8748051/record/0-3/5478503541", 5478503541)</f>
        <v>5478503541</v>
      </c>
      <c r="B986" s="24" t="s">
        <v>3181</v>
      </c>
      <c r="C986" s="24" t="s">
        <v>50</v>
      </c>
      <c r="D986" s="25">
        <v>26500.0</v>
      </c>
      <c r="E986" s="24" t="s">
        <v>578</v>
      </c>
      <c r="F986" s="24" t="s">
        <v>52</v>
      </c>
      <c r="G986" s="26">
        <v>44365.039664351854</v>
      </c>
      <c r="H986" s="26">
        <v>44742.45011574074</v>
      </c>
      <c r="I986" s="24" t="s">
        <v>40</v>
      </c>
      <c r="J986" s="24" t="s">
        <v>41</v>
      </c>
      <c r="K986" s="34"/>
      <c r="L986" s="34"/>
      <c r="M986" s="24" t="s">
        <v>44</v>
      </c>
      <c r="N986" s="24"/>
      <c r="O986" s="24"/>
      <c r="P986" s="34"/>
      <c r="Q986" s="34"/>
      <c r="R986" s="33">
        <f>HYPERLINK("https://app.hubspot.com/contacts/8748051/record/0-2/6262678564", 6262678564)</f>
        <v>6262678564</v>
      </c>
      <c r="S986" s="24" t="s">
        <v>3181</v>
      </c>
      <c r="T986" s="28" t="s">
        <v>3182</v>
      </c>
      <c r="U986" s="24" t="s">
        <v>47</v>
      </c>
      <c r="V986" s="24"/>
      <c r="W986" s="25"/>
      <c r="X986" s="29">
        <v>396.0</v>
      </c>
      <c r="Y986" s="29">
        <v>56.0</v>
      </c>
      <c r="Z986" s="30" t="s">
        <v>108</v>
      </c>
      <c r="AA986" s="30"/>
      <c r="AB986" s="31"/>
      <c r="AC986" s="31"/>
      <c r="AD986" s="30"/>
      <c r="AE986" s="31"/>
      <c r="AF986" s="30"/>
      <c r="AG986" s="34" t="str">
        <f t="shared" si="1"/>
        <v>New Logo</v>
      </c>
      <c r="AH986" s="34" t="str">
        <f t="shared" si="8"/>
        <v>Lead</v>
      </c>
      <c r="AI986" s="34" t="str">
        <f t="shared" si="9"/>
        <v>201-500</v>
      </c>
      <c r="AJ986" s="27" t="str">
        <f t="shared" si="10"/>
        <v>51-100</v>
      </c>
    </row>
    <row r="987" ht="15.75" customHeight="1">
      <c r="A987" s="33">
        <f>HYPERLINK("https://app.hubspot.com/contacts/8748051/record/0-3/5478502789", 5478502789)</f>
        <v>5478502789</v>
      </c>
      <c r="B987" s="28" t="s">
        <v>3183</v>
      </c>
      <c r="C987" s="24" t="s">
        <v>50</v>
      </c>
      <c r="D987" s="25">
        <v>7500.0</v>
      </c>
      <c r="E987" s="24" t="s">
        <v>149</v>
      </c>
      <c r="F987" s="24" t="s">
        <v>52</v>
      </c>
      <c r="G987" s="26">
        <v>44365.02377314815</v>
      </c>
      <c r="H987" s="26">
        <v>44547.46488425926</v>
      </c>
      <c r="I987" s="24" t="s">
        <v>40</v>
      </c>
      <c r="J987" s="24" t="s">
        <v>41</v>
      </c>
      <c r="K987" s="34"/>
      <c r="L987" s="34"/>
      <c r="M987" s="24" t="s">
        <v>44</v>
      </c>
      <c r="N987" s="24"/>
      <c r="O987" s="24" t="s">
        <v>3184</v>
      </c>
      <c r="P987" s="24"/>
      <c r="Q987" s="34"/>
      <c r="R987" s="33">
        <f>HYPERLINK("https://app.hubspot.com/contacts/8748051/record/0-2/6262678349", 6262678349)</f>
        <v>6262678349</v>
      </c>
      <c r="S987" s="28" t="s">
        <v>3183</v>
      </c>
      <c r="T987" s="28" t="s">
        <v>3185</v>
      </c>
      <c r="U987" s="24" t="s">
        <v>47</v>
      </c>
      <c r="V987" s="24"/>
      <c r="W987" s="25"/>
      <c r="X987" s="29">
        <v>691.0</v>
      </c>
      <c r="Y987" s="29">
        <v>202.0</v>
      </c>
      <c r="Z987" s="30" t="s">
        <v>546</v>
      </c>
      <c r="AA987" s="30"/>
      <c r="AB987" s="31"/>
      <c r="AC987" s="31"/>
      <c r="AD987" s="30"/>
      <c r="AE987" s="30"/>
      <c r="AF987" s="30"/>
      <c r="AG987" s="34" t="str">
        <f t="shared" si="1"/>
        <v>New Logo</v>
      </c>
      <c r="AH987" s="34" t="str">
        <f t="shared" si="8"/>
        <v>Lead</v>
      </c>
      <c r="AI987" s="34" t="str">
        <f t="shared" si="9"/>
        <v>501-1000</v>
      </c>
      <c r="AJ987" s="27" t="str">
        <f t="shared" si="10"/>
        <v>101-500</v>
      </c>
    </row>
    <row r="988" ht="15.75" customHeight="1">
      <c r="A988" s="33">
        <f>HYPERLINK("https://app.hubspot.com/contacts/8748051/record/0-3/5478594426", 5478594426)</f>
        <v>5478594426</v>
      </c>
      <c r="B988" s="24" t="s">
        <v>3186</v>
      </c>
      <c r="C988" s="24" t="s">
        <v>50</v>
      </c>
      <c r="D988" s="25">
        <v>10000.0</v>
      </c>
      <c r="E988" s="24" t="s">
        <v>578</v>
      </c>
      <c r="F988" s="24"/>
      <c r="G988" s="26">
        <v>44365.0231712963</v>
      </c>
      <c r="H988" s="26">
        <v>44712.37552083333</v>
      </c>
      <c r="I988" s="24" t="s">
        <v>40</v>
      </c>
      <c r="J988" s="24" t="s">
        <v>41</v>
      </c>
      <c r="K988" s="34"/>
      <c r="L988" s="34"/>
      <c r="M988" s="24" t="s">
        <v>44</v>
      </c>
      <c r="N988" s="24"/>
      <c r="O988" s="24" t="s">
        <v>3187</v>
      </c>
      <c r="P988" s="34"/>
      <c r="Q988" s="34"/>
      <c r="R988" s="33">
        <f>HYPERLINK("https://app.hubspot.com/contacts/8748051/record/0-2/6262674309", 6262674309)</f>
        <v>6262674309</v>
      </c>
      <c r="S988" s="24" t="s">
        <v>3186</v>
      </c>
      <c r="T988" s="28" t="s">
        <v>3188</v>
      </c>
      <c r="U988" s="24" t="s">
        <v>47</v>
      </c>
      <c r="V988" s="24"/>
      <c r="W988" s="25"/>
      <c r="X988" s="29">
        <v>181.0</v>
      </c>
      <c r="Y988" s="29">
        <v>23.0</v>
      </c>
      <c r="Z988" s="30"/>
      <c r="AA988" s="30"/>
      <c r="AB988" s="31"/>
      <c r="AC988" s="31"/>
      <c r="AD988" s="30"/>
      <c r="AE988" s="31"/>
      <c r="AF988" s="30"/>
      <c r="AG988" s="34" t="str">
        <f t="shared" si="1"/>
        <v>New Logo</v>
      </c>
      <c r="AH988" s="34" t="str">
        <f t="shared" si="8"/>
        <v>Lead</v>
      </c>
      <c r="AI988" s="34" t="str">
        <f t="shared" si="9"/>
        <v>0-200</v>
      </c>
      <c r="AJ988" s="27" t="str">
        <f t="shared" si="10"/>
        <v>21-50</v>
      </c>
    </row>
    <row r="989" ht="15.75" customHeight="1">
      <c r="A989" s="33">
        <f>HYPERLINK("https://app.hubspot.com/contacts/8748051/record/0-3/5478718029", 5478718029)</f>
        <v>5478718029</v>
      </c>
      <c r="B989" s="24" t="s">
        <v>3189</v>
      </c>
      <c r="C989" s="24" t="s">
        <v>1009</v>
      </c>
      <c r="D989" s="25">
        <v>20000.0</v>
      </c>
      <c r="E989" s="24" t="s">
        <v>149</v>
      </c>
      <c r="F989" s="24" t="s">
        <v>52</v>
      </c>
      <c r="G989" s="26">
        <v>44365.018472222226</v>
      </c>
      <c r="H989" s="26">
        <v>44564.38657407407</v>
      </c>
      <c r="I989" s="24" t="s">
        <v>40</v>
      </c>
      <c r="J989" s="24" t="s">
        <v>41</v>
      </c>
      <c r="K989" s="34"/>
      <c r="L989" s="34"/>
      <c r="M989" s="24" t="s">
        <v>44</v>
      </c>
      <c r="N989" s="24"/>
      <c r="O989" s="24" t="s">
        <v>3190</v>
      </c>
      <c r="P989" s="24"/>
      <c r="Q989" s="34"/>
      <c r="R989" s="33">
        <f>HYPERLINK("https://app.hubspot.com/contacts/8748051/record/0-2/5851188300", 5851188300)</f>
        <v>5851188300</v>
      </c>
      <c r="S989" s="24" t="s">
        <v>3189</v>
      </c>
      <c r="T989" s="28" t="s">
        <v>3191</v>
      </c>
      <c r="U989" s="24" t="s">
        <v>47</v>
      </c>
      <c r="V989" s="24"/>
      <c r="W989" s="25"/>
      <c r="X989" s="29">
        <v>539.0</v>
      </c>
      <c r="Y989" s="29">
        <v>132.0</v>
      </c>
      <c r="Z989" s="30" t="s">
        <v>3192</v>
      </c>
      <c r="AA989" s="31"/>
      <c r="AB989" s="31"/>
      <c r="AC989" s="31"/>
      <c r="AD989" s="31"/>
      <c r="AE989" s="31"/>
      <c r="AF989" s="31"/>
      <c r="AG989" s="34" t="str">
        <f t="shared" si="1"/>
        <v>New Logo</v>
      </c>
      <c r="AH989" s="34" t="str">
        <f t="shared" si="8"/>
        <v>Lead</v>
      </c>
      <c r="AI989" s="34" t="str">
        <f t="shared" si="9"/>
        <v>501-1000</v>
      </c>
      <c r="AJ989" s="27" t="str">
        <f t="shared" si="10"/>
        <v>101-500</v>
      </c>
    </row>
    <row r="990" ht="15.75" customHeight="1">
      <c r="A990" s="33">
        <f>HYPERLINK("https://app.hubspot.com/contacts/8748051/record/0-3/5478502308", 5478502308)</f>
        <v>5478502308</v>
      </c>
      <c r="B990" s="24" t="s">
        <v>3193</v>
      </c>
      <c r="C990" s="24" t="s">
        <v>3119</v>
      </c>
      <c r="D990" s="25">
        <v>5000.0</v>
      </c>
      <c r="E990" s="24" t="s">
        <v>92</v>
      </c>
      <c r="F990" s="24"/>
      <c r="G990" s="26">
        <v>44365.01736111111</v>
      </c>
      <c r="H990" s="26">
        <v>44495.389016203706</v>
      </c>
      <c r="I990" s="24" t="s">
        <v>40</v>
      </c>
      <c r="J990" s="24" t="s">
        <v>41</v>
      </c>
      <c r="K990" s="34"/>
      <c r="L990" s="34"/>
      <c r="M990" s="24" t="s">
        <v>102</v>
      </c>
      <c r="N990" s="24" t="s">
        <v>3194</v>
      </c>
      <c r="O990" s="24"/>
      <c r="P990" s="34"/>
      <c r="Q990" s="34"/>
      <c r="R990" s="33">
        <f>HYPERLINK("https://app.hubspot.com/contacts/8748051/record/0-2/5837498170", 5837498170)</f>
        <v>5837498170</v>
      </c>
      <c r="S990" s="24" t="s">
        <v>3193</v>
      </c>
      <c r="T990" s="28" t="s">
        <v>3195</v>
      </c>
      <c r="U990" s="24">
        <v>3.4564763E7</v>
      </c>
      <c r="V990" s="35">
        <v>44793.0</v>
      </c>
      <c r="W990" s="25">
        <v>5000.0</v>
      </c>
      <c r="X990" s="29">
        <v>80.0</v>
      </c>
      <c r="Y990" s="29">
        <v>5.0</v>
      </c>
      <c r="Z990" s="30"/>
      <c r="AA990" s="31"/>
      <c r="AB990" s="31"/>
      <c r="AC990" s="31"/>
      <c r="AD990" s="31"/>
      <c r="AE990" s="31"/>
      <c r="AF990" s="31"/>
      <c r="AG990" s="34" t="str">
        <f t="shared" si="1"/>
        <v>New Logo</v>
      </c>
      <c r="AH990" s="34" t="str">
        <f t="shared" si="8"/>
        <v>Churn</v>
      </c>
      <c r="AI990" s="34" t="str">
        <f t="shared" si="9"/>
        <v>0-200</v>
      </c>
      <c r="AJ990" s="27" t="str">
        <f t="shared" si="10"/>
        <v>0-20</v>
      </c>
    </row>
    <row r="991" ht="15.75" customHeight="1">
      <c r="A991" s="23">
        <f>HYPERLINK("https://app.hubspot.com/contacts/8748051/record/0-3/5478370607", 5478370607)</f>
        <v>5478370607</v>
      </c>
      <c r="B991" s="24" t="s">
        <v>3196</v>
      </c>
      <c r="C991" s="24" t="s">
        <v>3119</v>
      </c>
      <c r="D991" s="25">
        <v>7500.0</v>
      </c>
      <c r="E991" s="24" t="s">
        <v>92</v>
      </c>
      <c r="F991" s="24" t="s">
        <v>52</v>
      </c>
      <c r="G991" s="26">
        <v>44364.98743055556</v>
      </c>
      <c r="H991" s="26">
        <v>44564.38512731482</v>
      </c>
      <c r="I991" s="24" t="s">
        <v>40</v>
      </c>
      <c r="J991" s="24" t="s">
        <v>41</v>
      </c>
      <c r="K991" s="24"/>
      <c r="L991" s="24"/>
      <c r="M991" s="24" t="s">
        <v>44</v>
      </c>
      <c r="N991" s="24" t="s">
        <v>3197</v>
      </c>
      <c r="O991" s="24"/>
      <c r="P991" s="24"/>
      <c r="Q991" s="24"/>
      <c r="R991" s="23">
        <f>HYPERLINK("https://app.hubspot.com/contacts/8748051/record/0-2/6262256971", 6262256971)</f>
        <v>6262256971</v>
      </c>
      <c r="S991" s="24" t="s">
        <v>3196</v>
      </c>
      <c r="T991" s="28" t="s">
        <v>3198</v>
      </c>
      <c r="U991" s="24">
        <v>3.4564763E7</v>
      </c>
      <c r="V991" s="35">
        <v>44974.0</v>
      </c>
      <c r="W991" s="25">
        <v>7500.0</v>
      </c>
      <c r="X991" s="29">
        <v>725.0</v>
      </c>
      <c r="Y991" s="29">
        <v>17.0</v>
      </c>
      <c r="Z991" s="30"/>
      <c r="AA991" s="30"/>
      <c r="AB991" s="30"/>
      <c r="AC991" s="31"/>
      <c r="AD991" s="30"/>
      <c r="AE991" s="30"/>
      <c r="AF991" s="30"/>
      <c r="AG991" s="27" t="str">
        <f t="shared" si="1"/>
        <v>New Logo</v>
      </c>
      <c r="AH991" s="27" t="str">
        <f>IF(U991="customer","Customer",IF(U991=34564763,"Churn","Lead"))</f>
        <v>Churn</v>
      </c>
      <c r="AI991" s="27" t="str">
        <f>IF(X991&lt;=200,"0-200",
IF(X991&lt;=500,"201-500",
IF(X991&lt;=1000,"501-1000",
IF(X991&lt;=5000,"1001-5000",
IF(X991&lt;=10000,"5000-10000","10000+")))))</f>
        <v>501-1000</v>
      </c>
      <c r="AJ991" s="27" t="str">
        <f>IF(Y991&lt;=20,"0-20",
IF(Y991&lt;=50,"21-50",
IF(Y991&lt;=100,"51-100",
IF(Y991&lt;=500,"101-500","500+"))))</f>
        <v>0-20</v>
      </c>
    </row>
    <row r="992" ht="15.75" customHeight="1">
      <c r="A992" s="33">
        <f>HYPERLINK("https://app.hubspot.com/contacts/8748051/record/0-3/5478347160", 5478347160)</f>
        <v>5478347160</v>
      </c>
      <c r="B992" s="24" t="s">
        <v>3199</v>
      </c>
      <c r="C992" s="24" t="s">
        <v>50</v>
      </c>
      <c r="D992" s="25"/>
      <c r="E992" s="24" t="s">
        <v>149</v>
      </c>
      <c r="F992" s="24" t="s">
        <v>52</v>
      </c>
      <c r="G992" s="26">
        <v>44364.976631944446</v>
      </c>
      <c r="H992" s="26">
        <v>44656.40350694444</v>
      </c>
      <c r="I992" s="24" t="s">
        <v>40</v>
      </c>
      <c r="J992" s="24" t="s">
        <v>41</v>
      </c>
      <c r="K992" s="34"/>
      <c r="L992" s="34"/>
      <c r="M992" s="24" t="s">
        <v>44</v>
      </c>
      <c r="N992" s="24"/>
      <c r="O992" s="24" t="s">
        <v>3200</v>
      </c>
      <c r="P992" s="34"/>
      <c r="Q992" s="34"/>
      <c r="R992" s="33">
        <f>HYPERLINK("https://app.hubspot.com/contacts/8748051/record/0-2/5851561101", 5851561101)</f>
        <v>5851561101</v>
      </c>
      <c r="S992" s="24" t="s">
        <v>3199</v>
      </c>
      <c r="T992" s="28" t="s">
        <v>3201</v>
      </c>
      <c r="U992" s="24" t="s">
        <v>47</v>
      </c>
      <c r="V992" s="24"/>
      <c r="W992" s="25"/>
      <c r="X992" s="29">
        <v>203.0</v>
      </c>
      <c r="Y992" s="29">
        <v>24.0</v>
      </c>
      <c r="Z992" s="30" t="s">
        <v>108</v>
      </c>
      <c r="AA992" s="30"/>
      <c r="AB992" s="31"/>
      <c r="AC992" s="31"/>
      <c r="AD992" s="30"/>
      <c r="AE992" s="30"/>
      <c r="AF992" s="30"/>
      <c r="AG992" s="34" t="str">
        <f t="shared" si="1"/>
        <v>New Logo</v>
      </c>
      <c r="AH992" s="34" t="str">
        <f t="shared" ref="AH992:AH997" si="11">IF(U992="customer","Customer",IF(U992=34564763,"Churn","Lead"))</f>
        <v>Lead</v>
      </c>
      <c r="AI992" s="34" t="str">
        <f t="shared" ref="AI992:AI997" si="12">IF(X992&lt;=200,"0-200",
IF(X992&lt;=500,"201-500",
IF(X992&lt;=1000,"501-1000",
IF(X992&lt;=5000,"1001-5000",
IF(X992&lt;=10000,"5000-10000","10000+")))))</f>
        <v>201-500</v>
      </c>
      <c r="AJ992" s="27" t="str">
        <f t="shared" ref="AJ992:AJ997" si="13">IF(Y992&lt;=20,"0-20",
IF(Y992&lt;=50,"21-50",
IF(Y992&lt;=100,"51-100",
IF(Y992&lt;=500,"101-500","500+"))))</f>
        <v>21-50</v>
      </c>
    </row>
    <row r="993" ht="15.75" customHeight="1">
      <c r="A993" s="33">
        <f>HYPERLINK("https://app.hubspot.com/contacts/8748051/record/0-3/3297345826", 3297345826)</f>
        <v>3297345826</v>
      </c>
      <c r="B993" s="24" t="s">
        <v>3202</v>
      </c>
      <c r="C993" s="24" t="s">
        <v>3203</v>
      </c>
      <c r="D993" s="25"/>
      <c r="E993" s="24" t="s">
        <v>149</v>
      </c>
      <c r="F993" s="24"/>
      <c r="G993" s="26">
        <v>44137.8872337963</v>
      </c>
      <c r="H993" s="26">
        <v>44365.007048611114</v>
      </c>
      <c r="I993" s="24" t="s">
        <v>40</v>
      </c>
      <c r="J993" s="24" t="s">
        <v>41</v>
      </c>
      <c r="K993" s="34"/>
      <c r="L993" s="34"/>
      <c r="M993" s="24" t="s">
        <v>44</v>
      </c>
      <c r="N993" s="24"/>
      <c r="O993" s="24" t="s">
        <v>3204</v>
      </c>
      <c r="P993" s="34"/>
      <c r="Q993" s="34"/>
      <c r="R993" s="33">
        <f>HYPERLINK("https://app.hubspot.com/contacts/8748051/record/0-2/4761860919", 4761860919)</f>
        <v>4761860919</v>
      </c>
      <c r="S993" s="24" t="s">
        <v>3202</v>
      </c>
      <c r="T993" s="28" t="s">
        <v>3205</v>
      </c>
      <c r="U993" s="24" t="s">
        <v>47</v>
      </c>
      <c r="V993" s="24"/>
      <c r="W993" s="25"/>
      <c r="X993" s="29">
        <v>72.0</v>
      </c>
      <c r="Y993" s="29">
        <v>23.0</v>
      </c>
      <c r="Z993" s="31"/>
      <c r="AA993" s="30"/>
      <c r="AB993" s="31"/>
      <c r="AC993" s="31"/>
      <c r="AD993" s="30"/>
      <c r="AE993" s="30"/>
      <c r="AF993" s="30"/>
      <c r="AG993" s="34" t="str">
        <f t="shared" si="1"/>
        <v>New Logo</v>
      </c>
      <c r="AH993" s="34" t="str">
        <f t="shared" si="11"/>
        <v>Lead</v>
      </c>
      <c r="AI993" s="34" t="str">
        <f t="shared" si="12"/>
        <v>0-200</v>
      </c>
      <c r="AJ993" s="27" t="str">
        <f t="shared" si="13"/>
        <v>21-50</v>
      </c>
    </row>
    <row r="994" ht="15.75" customHeight="1">
      <c r="A994" s="33">
        <f>HYPERLINK("https://app.hubspot.com/contacts/8748051/record/0-3/3298053242", 3298053242)</f>
        <v>3298053242</v>
      </c>
      <c r="B994" s="24" t="s">
        <v>3206</v>
      </c>
      <c r="C994" s="24" t="s">
        <v>1228</v>
      </c>
      <c r="D994" s="25">
        <v>10800.0</v>
      </c>
      <c r="E994" s="24" t="s">
        <v>92</v>
      </c>
      <c r="F994" s="24" t="s">
        <v>52</v>
      </c>
      <c r="G994" s="26">
        <v>44137.8872337963</v>
      </c>
      <c r="H994" s="26">
        <v>44881.521145833336</v>
      </c>
      <c r="I994" s="24" t="s">
        <v>40</v>
      </c>
      <c r="J994" s="24" t="s">
        <v>41</v>
      </c>
      <c r="K994" s="34"/>
      <c r="L994" s="34"/>
      <c r="M994" s="24" t="s">
        <v>102</v>
      </c>
      <c r="N994" s="24" t="s">
        <v>3207</v>
      </c>
      <c r="O994" s="24" t="s">
        <v>3208</v>
      </c>
      <c r="P994" s="24"/>
      <c r="Q994" s="34"/>
      <c r="R994" s="33">
        <f>HYPERLINK("https://app.hubspot.com/contacts/8748051/record/0-2/4761860926", 4761860926)</f>
        <v>4761860926</v>
      </c>
      <c r="S994" s="24" t="s">
        <v>1450</v>
      </c>
      <c r="T994" s="28" t="s">
        <v>1451</v>
      </c>
      <c r="U994" s="24" t="s">
        <v>96</v>
      </c>
      <c r="V994" s="24"/>
      <c r="W994" s="25">
        <v>17400.0</v>
      </c>
      <c r="X994" s="29">
        <v>1173.0</v>
      </c>
      <c r="Y994" s="29">
        <v>62.0</v>
      </c>
      <c r="Z994" s="30"/>
      <c r="AA994" s="30" t="s">
        <v>220</v>
      </c>
      <c r="AB994" s="31"/>
      <c r="AC994" s="31"/>
      <c r="AD994" s="30" t="s">
        <v>1452</v>
      </c>
      <c r="AE994" s="30" t="s">
        <v>1453</v>
      </c>
      <c r="AF994" s="30" t="s">
        <v>169</v>
      </c>
      <c r="AG994" s="34" t="str">
        <f t="shared" si="1"/>
        <v>New Logo</v>
      </c>
      <c r="AH994" s="34" t="str">
        <f t="shared" si="11"/>
        <v>Customer</v>
      </c>
      <c r="AI994" s="34" t="str">
        <f t="shared" si="12"/>
        <v>1001-5000</v>
      </c>
      <c r="AJ994" s="27" t="str">
        <f t="shared" si="13"/>
        <v>51-100</v>
      </c>
    </row>
    <row r="995" ht="15.75" customHeight="1">
      <c r="A995" s="33">
        <f>HYPERLINK("https://app.hubspot.com/contacts/8748051/record/0-3/3298056918", 3298056918)</f>
        <v>3298056918</v>
      </c>
      <c r="B995" s="24" t="s">
        <v>968</v>
      </c>
      <c r="C995" s="24" t="s">
        <v>3203</v>
      </c>
      <c r="D995" s="25">
        <v>15000.0</v>
      </c>
      <c r="E995" s="24" t="s">
        <v>92</v>
      </c>
      <c r="F995" s="24"/>
      <c r="G995" s="26">
        <v>44137.8872337963</v>
      </c>
      <c r="H995" s="26">
        <v>44495.38884259259</v>
      </c>
      <c r="I995" s="24" t="s">
        <v>40</v>
      </c>
      <c r="J995" s="24" t="s">
        <v>41</v>
      </c>
      <c r="K995" s="34"/>
      <c r="L995" s="34"/>
      <c r="M995" s="24" t="s">
        <v>102</v>
      </c>
      <c r="N995" s="24" t="s">
        <v>3194</v>
      </c>
      <c r="O995" s="24"/>
      <c r="P995" s="24"/>
      <c r="Q995" s="34"/>
      <c r="R995" s="33">
        <f>HYPERLINK("https://app.hubspot.com/contacts/8748051/record/0-2/37512849741", 37512849741)</f>
        <v>37512849741</v>
      </c>
      <c r="S995" s="24" t="s">
        <v>968</v>
      </c>
      <c r="T995" s="28" t="s">
        <v>969</v>
      </c>
      <c r="U995" s="24" t="s">
        <v>96</v>
      </c>
      <c r="V995" s="24"/>
      <c r="W995" s="25">
        <v>17000.0</v>
      </c>
      <c r="X995" s="29">
        <v>1348.0</v>
      </c>
      <c r="Y995" s="29">
        <v>181.0</v>
      </c>
      <c r="Z995" s="30"/>
      <c r="AA995" s="30" t="s">
        <v>220</v>
      </c>
      <c r="AB995" s="31"/>
      <c r="AC995" s="31"/>
      <c r="AD995" s="30" t="s">
        <v>970</v>
      </c>
      <c r="AE995" s="31"/>
      <c r="AF995" s="30" t="s">
        <v>169</v>
      </c>
      <c r="AG995" s="34" t="str">
        <f t="shared" si="1"/>
        <v>New Logo</v>
      </c>
      <c r="AH995" s="34" t="str">
        <f t="shared" si="11"/>
        <v>Customer</v>
      </c>
      <c r="AI995" s="34" t="str">
        <f t="shared" si="12"/>
        <v>1001-5000</v>
      </c>
      <c r="AJ995" s="27" t="str">
        <f t="shared" si="13"/>
        <v>101-500</v>
      </c>
    </row>
    <row r="996" ht="15.75" customHeight="1">
      <c r="A996" s="33">
        <f>HYPERLINK("https://app.hubspot.com/contacts/8748051/record/0-3/3298067923", 3298067923)</f>
        <v>3298067923</v>
      </c>
      <c r="B996" s="24" t="s">
        <v>3209</v>
      </c>
      <c r="C996" s="24" t="s">
        <v>50</v>
      </c>
      <c r="D996" s="25">
        <v>20000.0</v>
      </c>
      <c r="E996" s="24" t="s">
        <v>73</v>
      </c>
      <c r="F996" s="24" t="s">
        <v>52</v>
      </c>
      <c r="G996" s="26">
        <v>44137.8872337963</v>
      </c>
      <c r="H996" s="26">
        <v>45230.080671296295</v>
      </c>
      <c r="I996" s="24" t="s">
        <v>40</v>
      </c>
      <c r="J996" s="24" t="s">
        <v>53</v>
      </c>
      <c r="K996" s="34"/>
      <c r="L996" s="34"/>
      <c r="M996" s="24" t="s">
        <v>102</v>
      </c>
      <c r="N996" s="34"/>
      <c r="O996" s="24" t="s">
        <v>3208</v>
      </c>
      <c r="P996" s="24" t="s">
        <v>213</v>
      </c>
      <c r="Q996" s="34"/>
      <c r="R996" s="33">
        <f>HYPERLINK("https://app.hubspot.com/contacts/8748051/record/0-2/7581027087", 7581027087)</f>
        <v>7581027087</v>
      </c>
      <c r="S996" s="28" t="s">
        <v>3210</v>
      </c>
      <c r="T996" s="28" t="s">
        <v>3211</v>
      </c>
      <c r="U996" s="24" t="s">
        <v>47</v>
      </c>
      <c r="V996" s="24"/>
      <c r="W996" s="32"/>
      <c r="X996" s="29">
        <v>896.0</v>
      </c>
      <c r="Y996" s="29">
        <v>87.0</v>
      </c>
      <c r="Z996" s="30" t="s">
        <v>108</v>
      </c>
      <c r="AA996" s="31"/>
      <c r="AB996" s="31"/>
      <c r="AC996" s="31"/>
      <c r="AD996" s="31"/>
      <c r="AE996" s="31"/>
      <c r="AF996" s="31"/>
      <c r="AG996" s="34" t="str">
        <f t="shared" si="1"/>
        <v>New Logo</v>
      </c>
      <c r="AH996" s="34" t="str">
        <f t="shared" si="11"/>
        <v>Lead</v>
      </c>
      <c r="AI996" s="34" t="str">
        <f t="shared" si="12"/>
        <v>501-1000</v>
      </c>
      <c r="AJ996" s="27" t="str">
        <f t="shared" si="13"/>
        <v>51-100</v>
      </c>
    </row>
    <row r="997" ht="15.75" customHeight="1">
      <c r="A997" s="33">
        <f>HYPERLINK("https://app.hubspot.com/contacts/8748051/record/0-3/3298080761", 3298080761)</f>
        <v>3298080761</v>
      </c>
      <c r="B997" s="24" t="s">
        <v>3212</v>
      </c>
      <c r="C997" s="24" t="s">
        <v>1228</v>
      </c>
      <c r="D997" s="32"/>
      <c r="E997" s="24" t="s">
        <v>149</v>
      </c>
      <c r="F997" s="34"/>
      <c r="G997" s="26">
        <v>44137.8872337963</v>
      </c>
      <c r="H997" s="26">
        <v>45372.47694444445</v>
      </c>
      <c r="I997" s="24" t="s">
        <v>40</v>
      </c>
      <c r="J997" s="24" t="s">
        <v>53</v>
      </c>
      <c r="K997" s="34"/>
      <c r="L997" s="34"/>
      <c r="M997" s="24" t="s">
        <v>102</v>
      </c>
      <c r="N997" s="34"/>
      <c r="O997" s="24" t="s">
        <v>3213</v>
      </c>
      <c r="P997" s="34"/>
      <c r="Q997" s="34"/>
      <c r="R997" s="33">
        <f>HYPERLINK("https://app.hubspot.com/contacts/8748051/record/0-2/4761627925", 4761627925)</f>
        <v>4761627925</v>
      </c>
      <c r="S997" s="24" t="s">
        <v>3212</v>
      </c>
      <c r="T997" s="28" t="s">
        <v>3214</v>
      </c>
      <c r="U997" s="24" t="s">
        <v>47</v>
      </c>
      <c r="V997" s="24"/>
      <c r="W997" s="32"/>
      <c r="X997" s="29">
        <v>1159.0</v>
      </c>
      <c r="Y997" s="29">
        <v>183.0</v>
      </c>
      <c r="Z997" s="30" t="s">
        <v>546</v>
      </c>
      <c r="AA997" s="31"/>
      <c r="AB997" s="31"/>
      <c r="AC997" s="31"/>
      <c r="AD997" s="31"/>
      <c r="AE997" s="31"/>
      <c r="AF997" s="31"/>
      <c r="AG997" s="34" t="str">
        <f t="shared" si="1"/>
        <v>New Logo</v>
      </c>
      <c r="AH997" s="34" t="str">
        <f t="shared" si="11"/>
        <v>Lead</v>
      </c>
      <c r="AI997" s="34" t="str">
        <f t="shared" si="12"/>
        <v>1001-5000</v>
      </c>
      <c r="AJ997" s="27" t="str">
        <f t="shared" si="13"/>
        <v>101-500</v>
      </c>
    </row>
    <row r="998" ht="15.75" customHeight="1">
      <c r="A998" s="34"/>
      <c r="B998" s="34"/>
      <c r="C998" s="34"/>
      <c r="D998" s="32"/>
      <c r="E998" s="34"/>
      <c r="F998" s="34"/>
      <c r="G998" s="36"/>
      <c r="H998" s="36"/>
      <c r="I998" s="34"/>
      <c r="J998" s="34"/>
      <c r="K998" s="34"/>
      <c r="L998" s="34"/>
      <c r="M998" s="34"/>
      <c r="N998" s="34"/>
      <c r="O998" s="34"/>
      <c r="P998" s="34"/>
      <c r="Q998" s="34"/>
      <c r="R998" s="34"/>
      <c r="S998" s="34"/>
      <c r="T998" s="34"/>
      <c r="U998" s="34"/>
      <c r="V998" s="34"/>
      <c r="W998" s="32"/>
      <c r="X998" s="37"/>
      <c r="Y998" s="37"/>
      <c r="Z998" s="31"/>
      <c r="AA998" s="31"/>
      <c r="AB998" s="31"/>
      <c r="AC998" s="31"/>
      <c r="AD998" s="31"/>
      <c r="AE998" s="31"/>
      <c r="AF998" s="31"/>
      <c r="AG998" s="34"/>
      <c r="AH998" s="34"/>
      <c r="AI998" s="34"/>
      <c r="AJ998" s="27"/>
    </row>
    <row r="999" ht="15.75" customHeight="1">
      <c r="A999" s="34"/>
      <c r="B999" s="34"/>
      <c r="C999" s="34"/>
      <c r="D999" s="32"/>
      <c r="E999" s="34"/>
      <c r="F999" s="34"/>
      <c r="G999" s="36"/>
      <c r="H999" s="36"/>
      <c r="I999" s="34"/>
      <c r="J999" s="34"/>
      <c r="K999" s="34"/>
      <c r="L999" s="34"/>
      <c r="M999" s="34"/>
      <c r="N999" s="34"/>
      <c r="O999" s="34"/>
      <c r="P999" s="34"/>
      <c r="Q999" s="34"/>
      <c r="R999" s="34"/>
      <c r="S999" s="34"/>
      <c r="T999" s="34"/>
      <c r="U999" s="34"/>
      <c r="V999" s="34"/>
      <c r="W999" s="32"/>
      <c r="X999" s="37"/>
      <c r="Y999" s="37"/>
      <c r="Z999" s="31"/>
      <c r="AA999" s="31"/>
      <c r="AB999" s="31"/>
      <c r="AC999" s="31"/>
      <c r="AD999" s="31"/>
      <c r="AE999" s="31"/>
      <c r="AF999" s="31"/>
      <c r="AG999" s="34"/>
      <c r="AH999" s="34"/>
      <c r="AI999" s="34"/>
      <c r="AJ999" s="27"/>
    </row>
    <row r="1000" ht="15.75" customHeight="1">
      <c r="A1000" s="34"/>
      <c r="B1000" s="34"/>
      <c r="C1000" s="34"/>
      <c r="D1000" s="32"/>
      <c r="E1000" s="34"/>
      <c r="F1000" s="34"/>
      <c r="G1000" s="36"/>
      <c r="H1000" s="36"/>
      <c r="I1000" s="34"/>
      <c r="J1000" s="34"/>
      <c r="K1000" s="34"/>
      <c r="L1000" s="34"/>
      <c r="M1000" s="34"/>
      <c r="N1000" s="34"/>
      <c r="O1000" s="34"/>
      <c r="P1000" s="34"/>
      <c r="Q1000" s="34"/>
      <c r="R1000" s="34"/>
      <c r="S1000" s="34"/>
      <c r="T1000" s="34"/>
      <c r="U1000" s="34"/>
      <c r="V1000" s="34"/>
      <c r="W1000" s="32"/>
      <c r="X1000" s="37"/>
      <c r="Y1000" s="37"/>
      <c r="Z1000" s="31"/>
      <c r="AA1000" s="31"/>
      <c r="AB1000" s="31"/>
      <c r="AC1000" s="31"/>
      <c r="AD1000" s="31"/>
      <c r="AE1000" s="31"/>
      <c r="AF1000" s="31"/>
      <c r="AG1000" s="34"/>
      <c r="AH1000" s="34"/>
      <c r="AI1000" s="34"/>
      <c r="AJ1000" s="27"/>
    </row>
  </sheetData>
  <hyperlinks>
    <hyperlink r:id="rId2" ref="T3"/>
    <hyperlink r:id="rId3" ref="T4"/>
    <hyperlink r:id="rId4" ref="S5"/>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T38"/>
    <hyperlink r:id="rId39" ref="T39"/>
    <hyperlink r:id="rId40" ref="S40"/>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5"/>
    <hyperlink r:id="rId57" ref="T56"/>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8"/>
    <hyperlink r:id="rId88" ref="T89"/>
    <hyperlink r:id="rId89" ref="T91"/>
    <hyperlink r:id="rId90" ref="T92"/>
    <hyperlink r:id="rId91" ref="T93"/>
    <hyperlink r:id="rId92" ref="T94"/>
    <hyperlink r:id="rId93" ref="T95"/>
    <hyperlink r:id="rId94" ref="T96"/>
    <hyperlink r:id="rId95" ref="T97"/>
    <hyperlink r:id="rId96" ref="T98"/>
    <hyperlink r:id="rId97" ref="T99"/>
    <hyperlink r:id="rId98" ref="T100"/>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6"/>
    <hyperlink r:id="rId114" ref="T117"/>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T145"/>
    <hyperlink r:id="rId142" ref="T146"/>
    <hyperlink r:id="rId143" ref="S147"/>
    <hyperlink r:id="rId144" ref="T147"/>
    <hyperlink r:id="rId145" ref="T148"/>
    <hyperlink r:id="rId146" ref="T149"/>
    <hyperlink r:id="rId147" ref="T150"/>
    <hyperlink r:id="rId148" ref="T151"/>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T234"/>
    <hyperlink r:id="rId231" ref="T235"/>
    <hyperlink r:id="rId232" ref="S236"/>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1"/>
    <hyperlink r:id="rId269" ref="T272"/>
    <hyperlink r:id="rId270" ref="T274"/>
    <hyperlink r:id="rId271" ref="T276"/>
    <hyperlink r:id="rId272" ref="T277"/>
    <hyperlink r:id="rId273" ref="T278"/>
    <hyperlink r:id="rId274" ref="T279"/>
    <hyperlink r:id="rId275" ref="T280"/>
    <hyperlink r:id="rId276" ref="S281"/>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T314"/>
    <hyperlink r:id="rId311" ref="T315"/>
    <hyperlink r:id="rId312" ref="S316"/>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6"/>
    <hyperlink r:id="rId364" ref="T367"/>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T388"/>
    <hyperlink r:id="rId385" ref="T389"/>
    <hyperlink r:id="rId386" ref="S390"/>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T418"/>
    <hyperlink r:id="rId416" ref="T419"/>
    <hyperlink r:id="rId417" ref="S420"/>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T468"/>
    <hyperlink r:id="rId467" ref="T469"/>
    <hyperlink r:id="rId468" ref="S470"/>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T483"/>
    <hyperlink r:id="rId483" ref="T484"/>
    <hyperlink r:id="rId484" ref="S485"/>
    <hyperlink r:id="rId485" ref="T485"/>
    <hyperlink r:id="rId486" ref="S486"/>
    <hyperlink r:id="rId487" ref="T486"/>
    <hyperlink r:id="rId488" ref="T487"/>
    <hyperlink r:id="rId489" ref="T488"/>
    <hyperlink r:id="rId490" ref="T489"/>
    <hyperlink r:id="rId491" ref="T490"/>
    <hyperlink r:id="rId492" ref="T491"/>
    <hyperlink r:id="rId493" ref="T492"/>
    <hyperlink r:id="rId494" ref="T493"/>
    <hyperlink r:id="rId495" ref="T494"/>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1"/>
    <hyperlink r:id="rId522" ref="T522"/>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7"/>
    <hyperlink r:id="rId557" ref="T558"/>
    <hyperlink r:id="rId558" ref="T560"/>
    <hyperlink r:id="rId559" ref="T561"/>
    <hyperlink r:id="rId560" ref="T562"/>
    <hyperlink r:id="rId561" ref="T563"/>
    <hyperlink r:id="rId562" ref="T564"/>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T700"/>
    <hyperlink r:id="rId698" ref="T701"/>
    <hyperlink r:id="rId699" ref="S702"/>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T720"/>
    <hyperlink r:id="rId719" ref="T721"/>
    <hyperlink r:id="rId720" ref="S722"/>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59"/>
    <hyperlink r:id="rId759" ref="T760"/>
    <hyperlink r:id="rId760" ref="T762"/>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T790"/>
    <hyperlink r:id="rId788" ref="T791"/>
    <hyperlink r:id="rId789" ref="S792"/>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T814"/>
    <hyperlink r:id="rId813" ref="T815"/>
    <hyperlink r:id="rId814" ref="S816"/>
    <hyperlink r:id="rId815" ref="T816"/>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0"/>
    <hyperlink r:id="rId869" ref="T871"/>
    <hyperlink r:id="rId870" ref="T873"/>
    <hyperlink r:id="rId871" ref="T874"/>
    <hyperlink r:id="rId872" ref="T875"/>
    <hyperlink r:id="rId873" ref="T876"/>
    <hyperlink r:id="rId874" ref="T877"/>
    <hyperlink r:id="rId875" ref="T878"/>
    <hyperlink r:id="rId876" ref="T879"/>
    <hyperlink r:id="rId877" ref="T880"/>
    <hyperlink r:id="rId878" ref="T881"/>
    <hyperlink r:id="rId879" ref="S882"/>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T894"/>
    <hyperlink r:id="rId893" ref="T895"/>
    <hyperlink r:id="rId894" ref="S896"/>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T924"/>
    <hyperlink r:id="rId924" ref="T925"/>
    <hyperlink r:id="rId925" ref="S926"/>
    <hyperlink r:id="rId926" ref="T926"/>
    <hyperlink r:id="rId927" ref="T927"/>
    <hyperlink r:id="rId928" ref="T928"/>
    <hyperlink r:id="rId929" ref="T929"/>
    <hyperlink r:id="rId930" ref="T930"/>
    <hyperlink r:id="rId931" ref="T931"/>
    <hyperlink r:id="rId932" ref="T932"/>
    <hyperlink r:id="rId933" ref="T933"/>
    <hyperlink r:id="rId934" ref="T934"/>
    <hyperlink r:id="rId935" ref="T935"/>
    <hyperlink r:id="rId936" ref="S936"/>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T976"/>
    <hyperlink r:id="rId978" ref="T977"/>
    <hyperlink r:id="rId979" ref="S978"/>
    <hyperlink r:id="rId980" ref="T978"/>
    <hyperlink r:id="rId981" ref="T979"/>
    <hyperlink r:id="rId982" ref="T980"/>
    <hyperlink r:id="rId983" ref="T981"/>
    <hyperlink r:id="rId984" ref="T982"/>
    <hyperlink r:id="rId985" ref="T983"/>
    <hyperlink r:id="rId986" ref="T984"/>
    <hyperlink r:id="rId987" ref="T985"/>
    <hyperlink r:id="rId988" ref="T986"/>
    <hyperlink r:id="rId989" ref="B987"/>
    <hyperlink r:id="rId990" ref="S987"/>
    <hyperlink r:id="rId991" ref="T987"/>
    <hyperlink r:id="rId992" ref="T988"/>
    <hyperlink r:id="rId993" ref="T989"/>
    <hyperlink r:id="rId994" ref="T990"/>
    <hyperlink r:id="rId995" ref="T991"/>
    <hyperlink r:id="rId996" ref="T992"/>
    <hyperlink r:id="rId997" ref="T993"/>
    <hyperlink r:id="rId998" ref="T994"/>
    <hyperlink r:id="rId999" ref="T995"/>
    <hyperlink r:id="rId1000" ref="S996"/>
    <hyperlink r:id="rId1001" ref="T996"/>
    <hyperlink r:id="rId1002" ref="T997"/>
  </hyperlinks>
  <drawing r:id="rId1003"/>
  <legacyDrawing r:id="rId10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4" width="13.13"/>
  </cols>
  <sheetData>
    <row r="1" ht="33.75" customHeight="1">
      <c r="A1" s="38" t="str">
        <f>CONCATENATE(
            "              ", "HubSpot Import", char(10),
            "              ", "",
            IFERROR(IFS(
                (now()-"2026/04/08 21:51") &lt;= 0,
                    "",
                AND((now()-"2026/04/08 21:51") * 1440 &gt;= 0, (now()-"2026/04/08 21:51") * 1440 &lt;= 5),
                    "Last updated just now",
                (now()-"2026/04/08 21:51") * 1440 &lt;= 60,
                    "Last updated "&amp;FLOOR((now()-"2026/04/08 21:51")*1440,1)&amp;" minutes ago",
                (now()-"2026/04/08 21:51") * 24 &lt;= 24,
                    "Last updated "&amp;FLOOR((now()-"2026/04/08 21:51")*24,1) &amp;
                        IF(FLOOR((now()-"2026/04/08 21:51")*24,1) &lt;= 1, " hour ago", " hours ago"),
                (now()-"2026/04/08 21:51") &lt;= 30,
                    "Last updated "&amp;FLOOR((now()-"2026/04/08 21:51"),1) &amp;
                        IF(FLOOR((now()-"2026/04/08 21:51"),1) &lt;= 1, " day ago", " days ago"),
                (now()-"2026/04/08 21:51") &gt; 30,
                    "Last updated " &amp;
                        FLOOR((now()-"2026/04/08 21:51")/7,1) &amp;
                        IF(FLOOR((now()-"2026/04/08 21:51"),1) &lt;= 1, " week ago", " weeks ago")
            ),"Last updated on 2026/04/08 21:51")
        )</f>
        <v>              HubSpot Import
              Last updated 20 minutes ago</v>
      </c>
      <c r="B1" s="38" t="s">
        <v>0</v>
      </c>
      <c r="C1" s="38" t="str">
        <f>IFERROR(IF(NOW(), _COEFF_ssop()),"")</f>
        <v/>
      </c>
      <c r="D1" s="38" t="s">
        <v>0</v>
      </c>
      <c r="E1" s="38" t="s">
        <v>0</v>
      </c>
      <c r="F1" s="38" t="s">
        <v>0</v>
      </c>
      <c r="G1" s="38" t="s">
        <v>0</v>
      </c>
      <c r="H1" s="38" t="s">
        <v>0</v>
      </c>
      <c r="I1" s="38" t="s">
        <v>0</v>
      </c>
      <c r="J1" s="38" t="s">
        <v>0</v>
      </c>
      <c r="K1" s="38" t="s">
        <v>0</v>
      </c>
      <c r="L1" s="38" t="s">
        <v>0</v>
      </c>
      <c r="M1" s="38" t="s">
        <v>0</v>
      </c>
      <c r="N1" s="38" t="s">
        <v>0</v>
      </c>
      <c r="O1" s="38" t="s">
        <v>0</v>
      </c>
      <c r="P1" s="38" t="s">
        <v>0</v>
      </c>
      <c r="Q1" s="38" t="s">
        <v>0</v>
      </c>
      <c r="R1" s="38" t="s">
        <v>0</v>
      </c>
      <c r="S1" s="38" t="s">
        <v>0</v>
      </c>
      <c r="T1" s="39"/>
      <c r="U1" s="39"/>
      <c r="V1" s="39"/>
      <c r="W1" s="39"/>
      <c r="X1" s="40"/>
    </row>
    <row r="2" ht="22.5" customHeight="1">
      <c r="A2" s="41" t="s">
        <v>3215</v>
      </c>
      <c r="B2" s="41" t="s">
        <v>3216</v>
      </c>
      <c r="C2" s="41" t="s">
        <v>3217</v>
      </c>
      <c r="D2" s="41" t="s">
        <v>3218</v>
      </c>
      <c r="E2" s="41" t="s">
        <v>20</v>
      </c>
      <c r="F2" s="41" t="s">
        <v>3219</v>
      </c>
      <c r="G2" s="41" t="s">
        <v>3220</v>
      </c>
      <c r="H2" s="41" t="s">
        <v>3221</v>
      </c>
      <c r="I2" s="41" t="s">
        <v>3222</v>
      </c>
      <c r="J2" s="41" t="s">
        <v>3223</v>
      </c>
      <c r="K2" s="41" t="s">
        <v>3224</v>
      </c>
      <c r="L2" s="41" t="s">
        <v>3225</v>
      </c>
      <c r="M2" s="41" t="s">
        <v>18</v>
      </c>
      <c r="N2" s="41" t="s">
        <v>19</v>
      </c>
      <c r="O2" s="41" t="s">
        <v>1</v>
      </c>
      <c r="P2" s="41" t="s">
        <v>2</v>
      </c>
      <c r="Q2" s="41" t="s">
        <v>5</v>
      </c>
      <c r="R2" s="41" t="s">
        <v>4</v>
      </c>
      <c r="S2" s="41" t="s">
        <v>6</v>
      </c>
      <c r="T2" s="42" t="s">
        <v>3226</v>
      </c>
      <c r="U2" s="42" t="s">
        <v>3227</v>
      </c>
      <c r="V2" s="42" t="s">
        <v>3228</v>
      </c>
      <c r="W2" s="42" t="s">
        <v>3229</v>
      </c>
      <c r="X2" s="42" t="s">
        <v>3230</v>
      </c>
    </row>
    <row r="3" ht="14.25" customHeight="1">
      <c r="A3" s="28">
        <f>HYPERLINK("https://app.hubspot.com/contacts/8748051/record/0-1/213020795739", 213020795739)</f>
        <v>213020795739</v>
      </c>
      <c r="B3" s="24" t="s">
        <v>3231</v>
      </c>
      <c r="C3" s="26">
        <v>46113.487233796295</v>
      </c>
      <c r="D3" s="26"/>
      <c r="E3" s="28" t="s">
        <v>46</v>
      </c>
      <c r="F3" s="26"/>
      <c r="G3" s="35"/>
      <c r="H3" s="35"/>
      <c r="I3" s="35"/>
      <c r="J3" s="24" t="s">
        <v>3232</v>
      </c>
      <c r="K3" s="24"/>
      <c r="L3" s="24"/>
      <c r="M3" s="28">
        <f>HYPERLINK("https://app.hubspot.com/contacts/8748051/record/0-2/6266374152", 6266374152)</f>
        <v>6266374152</v>
      </c>
      <c r="N3" s="24" t="s">
        <v>45</v>
      </c>
      <c r="O3" s="28">
        <f>HYPERLINK("https://app.hubspot.com/contacts/8748051/record/0-3/58642910638", 58642910638)</f>
        <v>58642910638</v>
      </c>
      <c r="P3" s="24" t="s">
        <v>37</v>
      </c>
      <c r="Q3" s="24" t="s">
        <v>39</v>
      </c>
      <c r="R3" s="24">
        <v>10500.0</v>
      </c>
      <c r="S3" s="24"/>
      <c r="T3" s="34" t="str">
        <f t="shared" ref="T3:V3" si="1">IF(G3&lt;&gt;"","Yes","")</f>
        <v/>
      </c>
      <c r="U3" s="34" t="str">
        <f t="shared" si="1"/>
        <v/>
      </c>
      <c r="V3" s="34" t="str">
        <f t="shared" si="1"/>
        <v/>
      </c>
      <c r="W3" s="34" t="str">
        <f t="shared" ref="W3:W1316" si="3">IF(Q3="S7a: Closed-Won / Start Onboarding","Yes","")</f>
        <v/>
      </c>
      <c r="X3" s="24" t="str">
        <f t="shared" ref="X3:X1316" si="4">IF(Q3="S7b: Closed-Lost","Yes","")</f>
        <v/>
      </c>
    </row>
    <row r="4" ht="14.25" customHeight="1">
      <c r="A4" s="28">
        <f>HYPERLINK("https://app.hubspot.com/contacts/8748051/record/0-1/1402952", 1402952)</f>
        <v>1402952</v>
      </c>
      <c r="B4" s="24" t="s">
        <v>3233</v>
      </c>
      <c r="C4" s="26">
        <v>46112.434386574074</v>
      </c>
      <c r="D4" s="26"/>
      <c r="E4" s="28" t="s">
        <v>55</v>
      </c>
      <c r="F4" s="26"/>
      <c r="G4" s="35"/>
      <c r="H4" s="35"/>
      <c r="I4" s="35"/>
      <c r="J4" s="24" t="s">
        <v>3234</v>
      </c>
      <c r="K4" s="24"/>
      <c r="L4" s="24"/>
      <c r="M4" s="28">
        <f>HYPERLINK("https://app.hubspot.com/contacts/8748051/record/0-2/9909085526", 9909085526)</f>
        <v>9909085526</v>
      </c>
      <c r="N4" s="24" t="s">
        <v>54</v>
      </c>
      <c r="O4" s="28">
        <f>HYPERLINK("https://app.hubspot.com/contacts/8748051/record/0-3/58604482148", 58604482148)</f>
        <v>58604482148</v>
      </c>
      <c r="P4" s="24" t="s">
        <v>49</v>
      </c>
      <c r="Q4" s="24" t="s">
        <v>51</v>
      </c>
      <c r="R4" s="24">
        <v>75000.0</v>
      </c>
      <c r="S4" s="24" t="b">
        <v>1</v>
      </c>
      <c r="T4" s="34" t="str">
        <f t="shared" ref="T4:V4" si="2">IF(G4&lt;&gt;"","Yes","")</f>
        <v/>
      </c>
      <c r="U4" s="34" t="str">
        <f t="shared" si="2"/>
        <v/>
      </c>
      <c r="V4" s="34" t="str">
        <f t="shared" si="2"/>
        <v/>
      </c>
      <c r="W4" s="34" t="str">
        <f t="shared" si="3"/>
        <v/>
      </c>
      <c r="X4" s="24" t="str">
        <f t="shared" si="4"/>
        <v/>
      </c>
    </row>
    <row r="5" ht="14.25" customHeight="1">
      <c r="A5" s="28">
        <f>HYPERLINK("https://app.hubspot.com/contacts/8748051/record/0-1/211727081244", 211727081244)</f>
        <v>211727081244</v>
      </c>
      <c r="B5" s="24" t="s">
        <v>3235</v>
      </c>
      <c r="C5" s="26">
        <v>46107.368113425924</v>
      </c>
      <c r="D5" s="26"/>
      <c r="E5" s="28" t="s">
        <v>58</v>
      </c>
      <c r="F5" s="24"/>
      <c r="G5" s="35"/>
      <c r="H5" s="35"/>
      <c r="I5" s="35"/>
      <c r="J5" s="24" t="s">
        <v>3236</v>
      </c>
      <c r="K5" s="24" t="s">
        <v>3237</v>
      </c>
      <c r="L5" s="34"/>
      <c r="M5" s="28">
        <f>HYPERLINK("https://app.hubspot.com/contacts/8748051/record/0-2/9069625153", 9069625153)</f>
        <v>9069625153</v>
      </c>
      <c r="N5" s="28" t="s">
        <v>58</v>
      </c>
      <c r="O5" s="28">
        <f>HYPERLINK("https://app.hubspot.com/contacts/8748051/record/0-3/58387272752", 58387272752)</f>
        <v>58387272752</v>
      </c>
      <c r="P5" s="24" t="s">
        <v>57</v>
      </c>
      <c r="Q5" s="24" t="s">
        <v>51</v>
      </c>
      <c r="R5" s="24">
        <v>7000.0</v>
      </c>
      <c r="S5" s="24" t="b">
        <v>1</v>
      </c>
      <c r="T5" s="34" t="str">
        <f t="shared" ref="T5:V5" si="5">IF(G5&lt;&gt;"","Yes","")</f>
        <v/>
      </c>
      <c r="U5" s="34" t="str">
        <f t="shared" si="5"/>
        <v/>
      </c>
      <c r="V5" s="34" t="str">
        <f t="shared" si="5"/>
        <v/>
      </c>
      <c r="W5" s="34" t="str">
        <f t="shared" si="3"/>
        <v/>
      </c>
      <c r="X5" s="24" t="str">
        <f t="shared" si="4"/>
        <v/>
      </c>
    </row>
    <row r="6" ht="14.25" customHeight="1">
      <c r="A6" s="28">
        <f>HYPERLINK("https://app.hubspot.com/contacts/8748051/record/0-1/211506844548", 211506844548)</f>
        <v>211506844548</v>
      </c>
      <c r="B6" s="24" t="s">
        <v>3238</v>
      </c>
      <c r="C6" s="26">
        <v>46106.40715277778</v>
      </c>
      <c r="D6" s="26"/>
      <c r="E6" s="28" t="s">
        <v>67</v>
      </c>
      <c r="F6" s="24"/>
      <c r="G6" s="35">
        <v>46106.0</v>
      </c>
      <c r="H6" s="35">
        <v>46107.0</v>
      </c>
      <c r="I6" s="35"/>
      <c r="J6" s="24" t="s">
        <v>3232</v>
      </c>
      <c r="K6" s="24" t="s">
        <v>3239</v>
      </c>
      <c r="L6" s="24"/>
      <c r="M6" s="28">
        <f>HYPERLINK("https://app.hubspot.com/contacts/8748051/record/0-2/53246882698", 53246882698)</f>
        <v>53246882698</v>
      </c>
      <c r="N6" s="24" t="s">
        <v>66</v>
      </c>
      <c r="O6" s="33">
        <f>HYPERLINK("https://app.hubspot.com/contacts/8748051/record/0-3/58333389614", 58333389614)</f>
        <v>58333389614</v>
      </c>
      <c r="P6" s="24" t="s">
        <v>65</v>
      </c>
      <c r="Q6" s="24" t="s">
        <v>39</v>
      </c>
      <c r="R6" s="24">
        <v>8000.0</v>
      </c>
      <c r="S6" s="24"/>
      <c r="T6" s="34" t="str">
        <f t="shared" ref="T6:V6" si="6">IF(G6&lt;&gt;"","Yes","")</f>
        <v>Yes</v>
      </c>
      <c r="U6" s="34" t="str">
        <f t="shared" si="6"/>
        <v>Yes</v>
      </c>
      <c r="V6" s="34" t="str">
        <f t="shared" si="6"/>
        <v/>
      </c>
      <c r="W6" s="34" t="str">
        <f t="shared" si="3"/>
        <v/>
      </c>
      <c r="X6" s="24" t="str">
        <f t="shared" si="4"/>
        <v/>
      </c>
    </row>
    <row r="7" ht="14.25" customHeight="1">
      <c r="A7" s="28">
        <f>HYPERLINK("https://app.hubspot.com/contacts/8748051/record/0-1/204087719447", 204087719447)</f>
        <v>204087719447</v>
      </c>
      <c r="B7" s="24" t="s">
        <v>3240</v>
      </c>
      <c r="C7" s="26">
        <v>46105.93467592593</v>
      </c>
      <c r="D7" s="26"/>
      <c r="E7" s="28" t="s">
        <v>70</v>
      </c>
      <c r="F7" s="26"/>
      <c r="G7" s="35">
        <v>46106.0</v>
      </c>
      <c r="H7" s="35">
        <v>46108.0</v>
      </c>
      <c r="I7" s="35"/>
      <c r="J7" s="24" t="s">
        <v>3241</v>
      </c>
      <c r="K7" s="24" t="s">
        <v>3242</v>
      </c>
      <c r="L7" s="24"/>
      <c r="M7" s="28">
        <f>HYPERLINK("https://app.hubspot.com/contacts/8748051/record/0-2/53211444012", 53211444012)</f>
        <v>53211444012</v>
      </c>
      <c r="N7" s="24" t="s">
        <v>69</v>
      </c>
      <c r="O7" s="33">
        <f>HYPERLINK("https://app.hubspot.com/contacts/8748051/record/0-3/58316326266", 58316326266)</f>
        <v>58316326266</v>
      </c>
      <c r="P7" s="24" t="s">
        <v>68</v>
      </c>
      <c r="Q7" s="24" t="s">
        <v>39</v>
      </c>
      <c r="R7" s="24">
        <v>80000.0</v>
      </c>
      <c r="S7" s="24"/>
      <c r="T7" s="34" t="str">
        <f t="shared" ref="T7:V7" si="7">IF(G7&lt;&gt;"","Yes","")</f>
        <v>Yes</v>
      </c>
      <c r="U7" s="34" t="str">
        <f t="shared" si="7"/>
        <v>Yes</v>
      </c>
      <c r="V7" s="34" t="str">
        <f t="shared" si="7"/>
        <v/>
      </c>
      <c r="W7" s="34" t="str">
        <f t="shared" si="3"/>
        <v/>
      </c>
      <c r="X7" s="24" t="str">
        <f t="shared" si="4"/>
        <v/>
      </c>
    </row>
    <row r="8" ht="14.25" customHeight="1">
      <c r="A8" s="28">
        <f>HYPERLINK("https://app.hubspot.com/contacts/8748051/record/0-1/210951987821", 210951987821)</f>
        <v>210951987821</v>
      </c>
      <c r="B8" s="24" t="s">
        <v>3243</v>
      </c>
      <c r="C8" s="26">
        <v>46104.32114583333</v>
      </c>
      <c r="D8" s="26"/>
      <c r="E8" s="28" t="s">
        <v>77</v>
      </c>
      <c r="F8" s="24"/>
      <c r="G8" s="35">
        <v>46104.0</v>
      </c>
      <c r="H8" s="35">
        <v>46105.0</v>
      </c>
      <c r="I8" s="35">
        <v>46105.0</v>
      </c>
      <c r="J8" s="24" t="s">
        <v>3244</v>
      </c>
      <c r="K8" s="24" t="s">
        <v>3245</v>
      </c>
      <c r="L8" s="24"/>
      <c r="M8" s="28">
        <f>HYPERLINK("https://app.hubspot.com/contacts/8748051/record/0-2/53158535438", 53158535438)</f>
        <v>53158535438</v>
      </c>
      <c r="N8" s="24" t="s">
        <v>76</v>
      </c>
      <c r="O8" s="28">
        <f>HYPERLINK("https://app.hubspot.com/contacts/8748051/record/0-3/58247153269", 58247153269)</f>
        <v>58247153269</v>
      </c>
      <c r="P8" s="24" t="s">
        <v>72</v>
      </c>
      <c r="Q8" s="24" t="s">
        <v>73</v>
      </c>
      <c r="R8" s="24">
        <v>0.0</v>
      </c>
      <c r="S8" s="24"/>
      <c r="T8" s="34" t="str">
        <f t="shared" ref="T8:V8" si="8">IF(G8&lt;&gt;"","Yes","")</f>
        <v>Yes</v>
      </c>
      <c r="U8" s="34" t="str">
        <f t="shared" si="8"/>
        <v>Yes</v>
      </c>
      <c r="V8" s="34" t="str">
        <f t="shared" si="8"/>
        <v>Yes</v>
      </c>
      <c r="W8" s="34" t="str">
        <f t="shared" si="3"/>
        <v/>
      </c>
      <c r="X8" s="24" t="str">
        <f t="shared" si="4"/>
        <v/>
      </c>
    </row>
    <row r="9" ht="14.25" customHeight="1">
      <c r="A9" s="28">
        <f>HYPERLINK("https://app.hubspot.com/contacts/8748051/record/0-1/210412067224", 210412067224)</f>
        <v>210412067224</v>
      </c>
      <c r="B9" s="24" t="s">
        <v>3246</v>
      </c>
      <c r="C9" s="26">
        <v>46101.89709490741</v>
      </c>
      <c r="D9" s="26"/>
      <c r="E9" s="28" t="s">
        <v>80</v>
      </c>
      <c r="F9" s="26"/>
      <c r="G9" s="35">
        <v>46102.0</v>
      </c>
      <c r="H9" s="35">
        <v>46111.0</v>
      </c>
      <c r="I9" s="35"/>
      <c r="J9" s="24" t="s">
        <v>3247</v>
      </c>
      <c r="K9" s="24" t="s">
        <v>3248</v>
      </c>
      <c r="L9" s="24" t="s">
        <v>3249</v>
      </c>
      <c r="M9" s="28">
        <f>HYPERLINK("https://app.hubspot.com/contacts/8748051/record/0-2/46826990727", 46826990727)</f>
        <v>46826990727</v>
      </c>
      <c r="N9" s="24" t="s">
        <v>79</v>
      </c>
      <c r="O9" s="33">
        <f>HYPERLINK("https://app.hubspot.com/contacts/8748051/record/0-3/58220787347", 58220787347)</f>
        <v>58220787347</v>
      </c>
      <c r="P9" s="24" t="s">
        <v>78</v>
      </c>
      <c r="Q9" s="24" t="s">
        <v>51</v>
      </c>
      <c r="R9" s="24">
        <v>50000.0</v>
      </c>
      <c r="S9" s="24" t="b">
        <v>1</v>
      </c>
      <c r="T9" s="34" t="str">
        <f t="shared" ref="T9:V9" si="9">IF(G9&lt;&gt;"","Yes","")</f>
        <v>Yes</v>
      </c>
      <c r="U9" s="34" t="str">
        <f t="shared" si="9"/>
        <v>Yes</v>
      </c>
      <c r="V9" s="34" t="str">
        <f t="shared" si="9"/>
        <v/>
      </c>
      <c r="W9" s="34" t="str">
        <f t="shared" si="3"/>
        <v/>
      </c>
      <c r="X9" s="24" t="str">
        <f t="shared" si="4"/>
        <v/>
      </c>
    </row>
    <row r="10" ht="14.25" customHeight="1">
      <c r="A10" s="28">
        <f>HYPERLINK("https://app.hubspot.com/contacts/8748051/record/0-1/185305730621", 185305730621)</f>
        <v>185305730621</v>
      </c>
      <c r="B10" s="24" t="s">
        <v>3250</v>
      </c>
      <c r="C10" s="26">
        <v>46101.436747685184</v>
      </c>
      <c r="D10" s="26"/>
      <c r="E10" s="28" t="s">
        <v>84</v>
      </c>
      <c r="F10" s="24"/>
      <c r="G10" s="35">
        <v>46101.0</v>
      </c>
      <c r="H10" s="35">
        <v>46105.0</v>
      </c>
      <c r="I10" s="35"/>
      <c r="J10" s="24" t="s">
        <v>3251</v>
      </c>
      <c r="K10" s="24" t="s">
        <v>3252</v>
      </c>
      <c r="L10" s="24" t="s">
        <v>3249</v>
      </c>
      <c r="M10" s="28">
        <f>HYPERLINK("https://app.hubspot.com/contacts/8748051/record/0-2/8929735180", 8929735180)</f>
        <v>8929735180</v>
      </c>
      <c r="N10" s="24" t="s">
        <v>83</v>
      </c>
      <c r="O10" s="33">
        <f>HYPERLINK("https://app.hubspot.com/contacts/8748051/record/0-3/58206471848", 58206471848)</f>
        <v>58206471848</v>
      </c>
      <c r="P10" s="24" t="s">
        <v>82</v>
      </c>
      <c r="Q10" s="24" t="s">
        <v>51</v>
      </c>
      <c r="R10" s="24">
        <v>43500.0</v>
      </c>
      <c r="S10" s="24" t="b">
        <v>1</v>
      </c>
      <c r="T10" s="34" t="str">
        <f t="shared" ref="T10:V10" si="10">IF(G10&lt;&gt;"","Yes","")</f>
        <v>Yes</v>
      </c>
      <c r="U10" s="34" t="str">
        <f t="shared" si="10"/>
        <v>Yes</v>
      </c>
      <c r="V10" s="34" t="str">
        <f t="shared" si="10"/>
        <v/>
      </c>
      <c r="W10" s="34" t="str">
        <f t="shared" si="3"/>
        <v/>
      </c>
      <c r="X10" s="24" t="str">
        <f t="shared" si="4"/>
        <v/>
      </c>
    </row>
    <row r="11" ht="14.25" customHeight="1">
      <c r="A11" s="28">
        <f>HYPERLINK("https://app.hubspot.com/contacts/8748051/record/0-1/210207842390", 210207842390)</f>
        <v>210207842390</v>
      </c>
      <c r="B11" s="24" t="s">
        <v>3253</v>
      </c>
      <c r="C11" s="26">
        <v>46099.81591435185</v>
      </c>
      <c r="D11" s="26"/>
      <c r="E11" s="28" t="s">
        <v>90</v>
      </c>
      <c r="F11" s="24"/>
      <c r="G11" s="35">
        <v>46100.0</v>
      </c>
      <c r="H11" s="35">
        <v>46101.0</v>
      </c>
      <c r="I11" s="35"/>
      <c r="J11" s="24" t="s">
        <v>3254</v>
      </c>
      <c r="K11" s="24" t="s">
        <v>3239</v>
      </c>
      <c r="L11" s="34"/>
      <c r="M11" s="28">
        <f>HYPERLINK("https://app.hubspot.com/contacts/8748051/record/0-2/53113806635", 53113806635)</f>
        <v>53113806635</v>
      </c>
      <c r="N11" s="24" t="s">
        <v>89</v>
      </c>
      <c r="O11" s="33">
        <f>HYPERLINK("https://app.hubspot.com/contacts/8748051/record/0-3/58179794196", 58179794196)</f>
        <v>58179794196</v>
      </c>
      <c r="P11" s="24" t="s">
        <v>88</v>
      </c>
      <c r="Q11" s="24" t="s">
        <v>39</v>
      </c>
      <c r="R11" s="24">
        <v>3500.0</v>
      </c>
      <c r="S11" s="24"/>
      <c r="T11" s="34" t="str">
        <f t="shared" ref="T11:V11" si="11">IF(G11&lt;&gt;"","Yes","")</f>
        <v>Yes</v>
      </c>
      <c r="U11" s="34" t="str">
        <f t="shared" si="11"/>
        <v>Yes</v>
      </c>
      <c r="V11" s="34" t="str">
        <f t="shared" si="11"/>
        <v/>
      </c>
      <c r="W11" s="34" t="str">
        <f t="shared" si="3"/>
        <v/>
      </c>
      <c r="X11" s="24" t="str">
        <f t="shared" si="4"/>
        <v/>
      </c>
    </row>
    <row r="12" ht="14.25" customHeight="1">
      <c r="A12" s="28">
        <f>HYPERLINK("https://app.hubspot.com/contacts/8748051/record/0-1/210162957684", 210162957684)</f>
        <v>210162957684</v>
      </c>
      <c r="B12" s="24" t="s">
        <v>3255</v>
      </c>
      <c r="C12" s="26">
        <v>46099.65880787037</v>
      </c>
      <c r="D12" s="26"/>
      <c r="E12" s="28" t="s">
        <v>87</v>
      </c>
      <c r="F12" s="24"/>
      <c r="G12" s="35">
        <v>46100.0</v>
      </c>
      <c r="H12" s="35">
        <v>46104.0</v>
      </c>
      <c r="I12" s="35"/>
      <c r="J12" s="24" t="s">
        <v>155</v>
      </c>
      <c r="K12" s="24" t="s">
        <v>155</v>
      </c>
      <c r="L12" s="24"/>
      <c r="M12" s="28">
        <f>HYPERLINK("https://app.hubspot.com/contacts/8748051/record/0-2/7649366028", 7649366028)</f>
        <v>7649366028</v>
      </c>
      <c r="N12" s="24" t="s">
        <v>86</v>
      </c>
      <c r="O12" s="28">
        <f>HYPERLINK("https://app.hubspot.com/contacts/8748051/record/0-3/58158334877", 58158334877)</f>
        <v>58158334877</v>
      </c>
      <c r="P12" s="24" t="s">
        <v>85</v>
      </c>
      <c r="Q12" s="24" t="s">
        <v>51</v>
      </c>
      <c r="R12" s="24">
        <v>75000.0</v>
      </c>
      <c r="S12" s="24" t="b">
        <v>1</v>
      </c>
      <c r="T12" s="34" t="str">
        <f t="shared" ref="T12:V12" si="12">IF(G12&lt;&gt;"","Yes","")</f>
        <v>Yes</v>
      </c>
      <c r="U12" s="34" t="str">
        <f t="shared" si="12"/>
        <v>Yes</v>
      </c>
      <c r="V12" s="34" t="str">
        <f t="shared" si="12"/>
        <v/>
      </c>
      <c r="W12" s="34" t="str">
        <f t="shared" si="3"/>
        <v/>
      </c>
      <c r="X12" s="24" t="str">
        <f t="shared" si="4"/>
        <v/>
      </c>
    </row>
    <row r="13" ht="14.25" customHeight="1">
      <c r="A13" s="28">
        <f>HYPERLINK("https://app.hubspot.com/contacts/8748051/record/0-1/209907510832", 209907510832)</f>
        <v>209907510832</v>
      </c>
      <c r="B13" s="24" t="s">
        <v>3256</v>
      </c>
      <c r="C13" s="26">
        <v>46098.743263888886</v>
      </c>
      <c r="D13" s="26"/>
      <c r="E13" s="28" t="s">
        <v>95</v>
      </c>
      <c r="F13" s="26"/>
      <c r="G13" s="35">
        <v>46099.0</v>
      </c>
      <c r="H13" s="35">
        <v>46101.0</v>
      </c>
      <c r="I13" s="35">
        <v>46101.0</v>
      </c>
      <c r="J13" s="24" t="s">
        <v>3257</v>
      </c>
      <c r="K13" s="24" t="s">
        <v>3242</v>
      </c>
      <c r="L13" s="24"/>
      <c r="M13" s="28">
        <f>HYPERLINK("https://app.hubspot.com/contacts/8748051/record/0-2/53016781695", 53016781695)</f>
        <v>53016781695</v>
      </c>
      <c r="N13" s="24" t="s">
        <v>94</v>
      </c>
      <c r="O13" s="33">
        <f>HYPERLINK("https://app.hubspot.com/contacts/8748051/record/0-3/58098333475", 58098333475)</f>
        <v>58098333475</v>
      </c>
      <c r="P13" s="24" t="s">
        <v>91</v>
      </c>
      <c r="Q13" s="24" t="s">
        <v>92</v>
      </c>
      <c r="R13" s="24">
        <v>28800.0</v>
      </c>
      <c r="S13" s="24" t="b">
        <v>1</v>
      </c>
      <c r="T13" s="34" t="str">
        <f t="shared" ref="T13:V13" si="13">IF(G13&lt;&gt;"","Yes","")</f>
        <v>Yes</v>
      </c>
      <c r="U13" s="34" t="str">
        <f t="shared" si="13"/>
        <v>Yes</v>
      </c>
      <c r="V13" s="34" t="str">
        <f t="shared" si="13"/>
        <v>Yes</v>
      </c>
      <c r="W13" s="34" t="str">
        <f t="shared" si="3"/>
        <v>Yes</v>
      </c>
      <c r="X13" s="24" t="str">
        <f t="shared" si="4"/>
        <v/>
      </c>
    </row>
    <row r="14" ht="14.25" customHeight="1">
      <c r="A14" s="28">
        <f>HYPERLINK("https://app.hubspot.com/contacts/8748051/record/0-1/209607309748", 209607309748)</f>
        <v>209607309748</v>
      </c>
      <c r="B14" s="24" t="s">
        <v>3258</v>
      </c>
      <c r="C14" s="26">
        <v>46097.717141203706</v>
      </c>
      <c r="D14" s="26"/>
      <c r="E14" s="28" t="s">
        <v>100</v>
      </c>
      <c r="F14" s="24"/>
      <c r="G14" s="35">
        <v>46098.0</v>
      </c>
      <c r="H14" s="35">
        <v>46112.0</v>
      </c>
      <c r="I14" s="35"/>
      <c r="J14" s="24" t="s">
        <v>3259</v>
      </c>
      <c r="K14" s="24" t="s">
        <v>155</v>
      </c>
      <c r="L14" s="24"/>
      <c r="M14" s="28">
        <f>HYPERLINK("https://app.hubspot.com/contacts/8748051/record/0-2/8929767828", 8929767828)</f>
        <v>8929767828</v>
      </c>
      <c r="N14" s="24" t="s">
        <v>99</v>
      </c>
      <c r="O14" s="28">
        <f>HYPERLINK("https://app.hubspot.com/contacts/8748051/record/0-3/58055838476", 58055838476)</f>
        <v>58055838476</v>
      </c>
      <c r="P14" s="24" t="s">
        <v>98</v>
      </c>
      <c r="Q14" s="24" t="s">
        <v>51</v>
      </c>
      <c r="R14" s="24">
        <v>50000.0</v>
      </c>
      <c r="S14" s="24" t="b">
        <v>1</v>
      </c>
      <c r="T14" s="34" t="str">
        <f t="shared" ref="T14:V14" si="14">IF(G14&lt;&gt;"","Yes","")</f>
        <v>Yes</v>
      </c>
      <c r="U14" s="34" t="str">
        <f t="shared" si="14"/>
        <v>Yes</v>
      </c>
      <c r="V14" s="34" t="str">
        <f t="shared" si="14"/>
        <v/>
      </c>
      <c r="W14" s="34" t="str">
        <f t="shared" si="3"/>
        <v/>
      </c>
      <c r="X14" s="24" t="str">
        <f t="shared" si="4"/>
        <v/>
      </c>
    </row>
    <row r="15" ht="14.25" customHeight="1">
      <c r="A15" s="28">
        <f>HYPERLINK("https://app.hubspot.com/contacts/8748051/record/0-1/209295687714", 209295687714)</f>
        <v>209295687714</v>
      </c>
      <c r="B15" s="24" t="s">
        <v>3260</v>
      </c>
      <c r="C15" s="26">
        <v>46096.110451388886</v>
      </c>
      <c r="D15" s="26"/>
      <c r="E15" s="28" t="s">
        <v>104</v>
      </c>
      <c r="F15" s="24"/>
      <c r="G15" s="35">
        <v>46096.0</v>
      </c>
      <c r="H15" s="35">
        <v>46099.0</v>
      </c>
      <c r="I15" s="35">
        <v>46099.0</v>
      </c>
      <c r="J15" s="24" t="s">
        <v>3261</v>
      </c>
      <c r="K15" s="24" t="s">
        <v>3242</v>
      </c>
      <c r="L15" s="24"/>
      <c r="M15" s="28">
        <f>HYPERLINK("https://app.hubspot.com/contacts/8748051/record/0-2/9664359229", 9664359229)</f>
        <v>9664359229</v>
      </c>
      <c r="N15" s="24" t="s">
        <v>103</v>
      </c>
      <c r="O15" s="28">
        <f>HYPERLINK("https://app.hubspot.com/contacts/8748051/record/0-3/58008942377", 58008942377)</f>
        <v>58008942377</v>
      </c>
      <c r="P15" s="24" t="s">
        <v>101</v>
      </c>
      <c r="Q15" s="24" t="s">
        <v>39</v>
      </c>
      <c r="R15" s="24">
        <v>100000.0</v>
      </c>
      <c r="S15" s="24"/>
      <c r="T15" s="34" t="str">
        <f t="shared" ref="T15:V15" si="15">IF(G15&lt;&gt;"","Yes","")</f>
        <v>Yes</v>
      </c>
      <c r="U15" s="34" t="str">
        <f t="shared" si="15"/>
        <v>Yes</v>
      </c>
      <c r="V15" s="34" t="str">
        <f t="shared" si="15"/>
        <v>Yes</v>
      </c>
      <c r="W15" s="34" t="str">
        <f t="shared" si="3"/>
        <v/>
      </c>
      <c r="X15" s="24" t="str">
        <f t="shared" si="4"/>
        <v/>
      </c>
    </row>
    <row r="16" ht="14.25" customHeight="1">
      <c r="A16" s="28">
        <f>HYPERLINK("https://app.hubspot.com/contacts/8748051/record/0-1/3450851", 3450851)</f>
        <v>3450851</v>
      </c>
      <c r="B16" s="24" t="s">
        <v>3262</v>
      </c>
      <c r="C16" s="26">
        <v>46094.534270833334</v>
      </c>
      <c r="D16" s="26"/>
      <c r="E16" s="28" t="s">
        <v>107</v>
      </c>
      <c r="F16" s="24"/>
      <c r="G16" s="35">
        <v>46094.0</v>
      </c>
      <c r="H16" s="35">
        <v>46098.0</v>
      </c>
      <c r="I16" s="35">
        <v>46098.0</v>
      </c>
      <c r="J16" s="24" t="s">
        <v>3263</v>
      </c>
      <c r="K16" s="24" t="s">
        <v>155</v>
      </c>
      <c r="L16" s="24" t="s">
        <v>3249</v>
      </c>
      <c r="M16" s="28">
        <f>HYPERLINK("https://app.hubspot.com/contacts/8748051/record/0-2/17911970466", 17911970466)</f>
        <v>17911970466</v>
      </c>
      <c r="N16" s="24" t="s">
        <v>106</v>
      </c>
      <c r="O16" s="28">
        <f>HYPERLINK("https://app.hubspot.com/contacts/8748051/record/0-3/58006091190", 58006091190)</f>
        <v>58006091190</v>
      </c>
      <c r="P16" s="24" t="s">
        <v>105</v>
      </c>
      <c r="Q16" s="24" t="s">
        <v>51</v>
      </c>
      <c r="R16" s="24">
        <v>35000.0</v>
      </c>
      <c r="S16" s="24" t="b">
        <v>1</v>
      </c>
      <c r="T16" s="34" t="str">
        <f t="shared" ref="T16:V16" si="16">IF(G16&lt;&gt;"","Yes","")</f>
        <v>Yes</v>
      </c>
      <c r="U16" s="34" t="str">
        <f t="shared" si="16"/>
        <v>Yes</v>
      </c>
      <c r="V16" s="34" t="str">
        <f t="shared" si="16"/>
        <v>Yes</v>
      </c>
      <c r="W16" s="34" t="str">
        <f t="shared" si="3"/>
        <v/>
      </c>
      <c r="X16" s="24" t="str">
        <f t="shared" si="4"/>
        <v/>
      </c>
    </row>
    <row r="17" ht="14.25" customHeight="1">
      <c r="A17" s="28">
        <f>HYPERLINK("https://app.hubspot.com/contacts/8748051/record/0-1/204087421523", 204087421523)</f>
        <v>204087421523</v>
      </c>
      <c r="B17" s="24" t="s">
        <v>3264</v>
      </c>
      <c r="C17" s="26">
        <v>46094.431805555556</v>
      </c>
      <c r="D17" s="26"/>
      <c r="E17" s="28" t="s">
        <v>111</v>
      </c>
      <c r="F17" s="26"/>
      <c r="G17" s="35">
        <v>46094.0</v>
      </c>
      <c r="H17" s="35">
        <v>46098.0</v>
      </c>
      <c r="I17" s="35">
        <v>46098.0</v>
      </c>
      <c r="J17" s="24" t="s">
        <v>3265</v>
      </c>
      <c r="K17" s="24"/>
      <c r="L17" s="24"/>
      <c r="M17" s="28">
        <f>HYPERLINK("https://app.hubspot.com/contacts/8748051/record/0-2/52944634674", 52944634674)</f>
        <v>52944634674</v>
      </c>
      <c r="N17" s="24" t="s">
        <v>110</v>
      </c>
      <c r="O17" s="28">
        <f>HYPERLINK("https://app.hubspot.com/contacts/8748051/record/0-3/57991199811", 57991199811)</f>
        <v>57991199811</v>
      </c>
      <c r="P17" s="24" t="s">
        <v>109</v>
      </c>
      <c r="Q17" s="24" t="s">
        <v>51</v>
      </c>
      <c r="R17" s="24">
        <v>100000.0</v>
      </c>
      <c r="S17" s="24" t="b">
        <v>1</v>
      </c>
      <c r="T17" s="34" t="str">
        <f t="shared" ref="T17:V17" si="17">IF(G17&lt;&gt;"","Yes","")</f>
        <v>Yes</v>
      </c>
      <c r="U17" s="34" t="str">
        <f t="shared" si="17"/>
        <v>Yes</v>
      </c>
      <c r="V17" s="34" t="str">
        <f t="shared" si="17"/>
        <v>Yes</v>
      </c>
      <c r="W17" s="34" t="str">
        <f t="shared" si="3"/>
        <v/>
      </c>
      <c r="X17" s="24" t="str">
        <f t="shared" si="4"/>
        <v/>
      </c>
    </row>
    <row r="18" ht="14.25" customHeight="1">
      <c r="A18" s="28">
        <f>HYPERLINK("https://app.hubspot.com/contacts/8748051/record/0-1/208107220661", 208107220661)</f>
        <v>208107220661</v>
      </c>
      <c r="B18" s="24" t="s">
        <v>3266</v>
      </c>
      <c r="C18" s="26">
        <v>46090.62525462963</v>
      </c>
      <c r="D18" s="26"/>
      <c r="E18" s="28" t="s">
        <v>117</v>
      </c>
      <c r="F18" s="26"/>
      <c r="G18" s="35">
        <v>46091.0</v>
      </c>
      <c r="H18" s="35">
        <v>46092.0</v>
      </c>
      <c r="I18" s="35">
        <v>46092.0</v>
      </c>
      <c r="J18" s="24" t="s">
        <v>3254</v>
      </c>
      <c r="K18" s="24" t="s">
        <v>3239</v>
      </c>
      <c r="L18" s="24"/>
      <c r="M18" s="28">
        <f>HYPERLINK("https://app.hubspot.com/contacts/8748051/record/0-2/8762296116", 8762296116)</f>
        <v>8762296116</v>
      </c>
      <c r="N18" s="24" t="s">
        <v>116</v>
      </c>
      <c r="O18" s="33">
        <f>HYPERLINK("https://app.hubspot.com/contacts/8748051/record/0-3/57833065393", 57833065393)</f>
        <v>57833065393</v>
      </c>
      <c r="P18" s="24" t="s">
        <v>115</v>
      </c>
      <c r="Q18" s="24" t="s">
        <v>51</v>
      </c>
      <c r="R18" s="24">
        <v>32500.0</v>
      </c>
      <c r="S18" s="24" t="b">
        <v>1</v>
      </c>
      <c r="T18" s="34" t="str">
        <f t="shared" ref="T18:V18" si="18">IF(G18&lt;&gt;"","Yes","")</f>
        <v>Yes</v>
      </c>
      <c r="U18" s="34" t="str">
        <f t="shared" si="18"/>
        <v>Yes</v>
      </c>
      <c r="V18" s="34" t="str">
        <f t="shared" si="18"/>
        <v>Yes</v>
      </c>
      <c r="W18" s="34" t="str">
        <f t="shared" si="3"/>
        <v/>
      </c>
      <c r="X18" s="24" t="str">
        <f t="shared" si="4"/>
        <v/>
      </c>
    </row>
    <row r="19" ht="14.25" customHeight="1">
      <c r="A19" s="28">
        <f>HYPERLINK("https://app.hubspot.com/contacts/8748051/record/0-1/206703961242", 206703961242)</f>
        <v>206703961242</v>
      </c>
      <c r="B19" s="24" t="s">
        <v>3267</v>
      </c>
      <c r="C19" s="26">
        <v>46084.389328703706</v>
      </c>
      <c r="D19" s="26"/>
      <c r="E19" s="28" t="s">
        <v>130</v>
      </c>
      <c r="F19" s="24"/>
      <c r="G19" s="35">
        <v>46084.0</v>
      </c>
      <c r="H19" s="35">
        <v>46085.0</v>
      </c>
      <c r="I19" s="35">
        <v>46085.0</v>
      </c>
      <c r="J19" s="24" t="s">
        <v>2690</v>
      </c>
      <c r="K19" s="24" t="s">
        <v>3245</v>
      </c>
      <c r="L19" s="24"/>
      <c r="M19" s="28">
        <f>HYPERLINK("https://app.hubspot.com/contacts/8748051/record/0-2/52429945224", 52429945224)</f>
        <v>52429945224</v>
      </c>
      <c r="N19" s="24" t="s">
        <v>129</v>
      </c>
      <c r="O19" s="33">
        <f>HYPERLINK("https://app.hubspot.com/contacts/8748051/record/0-3/57388475262", 57388475262)</f>
        <v>57388475262</v>
      </c>
      <c r="P19" s="24" t="s">
        <v>126</v>
      </c>
      <c r="Q19" s="24" t="s">
        <v>127</v>
      </c>
      <c r="R19" s="24">
        <v>20000.0</v>
      </c>
      <c r="S19" s="24" t="b">
        <v>1</v>
      </c>
      <c r="T19" s="34" t="str">
        <f t="shared" ref="T19:V19" si="19">IF(G19&lt;&gt;"","Yes","")</f>
        <v>Yes</v>
      </c>
      <c r="U19" s="34" t="str">
        <f t="shared" si="19"/>
        <v>Yes</v>
      </c>
      <c r="V19" s="34" t="str">
        <f t="shared" si="19"/>
        <v>Yes</v>
      </c>
      <c r="W19" s="34" t="str">
        <f t="shared" si="3"/>
        <v/>
      </c>
      <c r="X19" s="24" t="str">
        <f t="shared" si="4"/>
        <v/>
      </c>
    </row>
    <row r="20" ht="14.25" customHeight="1">
      <c r="A20" s="28">
        <f>HYPERLINK("https://app.hubspot.com/contacts/8748051/record/0-1/206671860839", 206671860839)</f>
        <v>206671860839</v>
      </c>
      <c r="B20" s="24" t="s">
        <v>3268</v>
      </c>
      <c r="C20" s="26">
        <v>46084.23619212963</v>
      </c>
      <c r="D20" s="26"/>
      <c r="E20" s="28" t="s">
        <v>133</v>
      </c>
      <c r="F20" s="24"/>
      <c r="G20" s="35">
        <v>46084.0</v>
      </c>
      <c r="H20" s="35">
        <v>46084.0</v>
      </c>
      <c r="I20" s="35">
        <v>46084.0</v>
      </c>
      <c r="J20" s="24" t="s">
        <v>3239</v>
      </c>
      <c r="K20" s="24" t="s">
        <v>3239</v>
      </c>
      <c r="L20" s="24"/>
      <c r="M20" s="28">
        <f>HYPERLINK("https://app.hubspot.com/contacts/8748051/record/0-2/52433793158", 52433793158)</f>
        <v>52433793158</v>
      </c>
      <c r="N20" s="24" t="s">
        <v>132</v>
      </c>
      <c r="O20" s="28">
        <f>HYPERLINK("https://app.hubspot.com/contacts/8748051/record/0-3/57398781292", 57398781292)</f>
        <v>57398781292</v>
      </c>
      <c r="P20" s="24" t="s">
        <v>131</v>
      </c>
      <c r="Q20" s="24" t="s">
        <v>39</v>
      </c>
      <c r="R20" s="24">
        <v>0.0</v>
      </c>
      <c r="S20" s="24"/>
      <c r="T20" s="34" t="str">
        <f t="shared" ref="T20:V20" si="20">IF(G20&lt;&gt;"","Yes","")</f>
        <v>Yes</v>
      </c>
      <c r="U20" s="34" t="str">
        <f t="shared" si="20"/>
        <v>Yes</v>
      </c>
      <c r="V20" s="34" t="str">
        <f t="shared" si="20"/>
        <v>Yes</v>
      </c>
      <c r="W20" s="34" t="str">
        <f t="shared" si="3"/>
        <v/>
      </c>
      <c r="X20" s="24" t="str">
        <f t="shared" si="4"/>
        <v/>
      </c>
    </row>
    <row r="21" ht="14.25" customHeight="1">
      <c r="A21" s="28">
        <f>HYPERLINK("https://app.hubspot.com/contacts/8748051/record/0-1/205993216093", 205993216093)</f>
        <v>205993216093</v>
      </c>
      <c r="B21" s="24" t="s">
        <v>3269</v>
      </c>
      <c r="C21" s="26">
        <v>46081.11581018518</v>
      </c>
      <c r="D21" s="26"/>
      <c r="E21" s="28" t="s">
        <v>142</v>
      </c>
      <c r="F21" s="26"/>
      <c r="G21" s="35">
        <v>46081.0</v>
      </c>
      <c r="H21" s="35">
        <v>46085.0</v>
      </c>
      <c r="I21" s="35">
        <v>46085.0</v>
      </c>
      <c r="J21" s="24" t="s">
        <v>3270</v>
      </c>
      <c r="K21" s="24" t="s">
        <v>3239</v>
      </c>
      <c r="L21" s="24"/>
      <c r="M21" s="28">
        <f>HYPERLINK("https://app.hubspot.com/contacts/8748051/record/0-2/52198138726", 52198138726)</f>
        <v>52198138726</v>
      </c>
      <c r="N21" s="24" t="s">
        <v>141</v>
      </c>
      <c r="O21" s="28">
        <f>HYPERLINK("https://app.hubspot.com/contacts/8748051/record/0-3/57219368517", 57219368517)</f>
        <v>57219368517</v>
      </c>
      <c r="P21" s="24" t="s">
        <v>140</v>
      </c>
      <c r="Q21" s="24" t="s">
        <v>39</v>
      </c>
      <c r="R21" s="24">
        <v>500.0</v>
      </c>
      <c r="S21" s="24"/>
      <c r="T21" s="34" t="str">
        <f t="shared" ref="T21:V21" si="21">IF(G21&lt;&gt;"","Yes","")</f>
        <v>Yes</v>
      </c>
      <c r="U21" s="34" t="str">
        <f t="shared" si="21"/>
        <v>Yes</v>
      </c>
      <c r="V21" s="34" t="str">
        <f t="shared" si="21"/>
        <v>Yes</v>
      </c>
      <c r="W21" s="34" t="str">
        <f t="shared" si="3"/>
        <v/>
      </c>
      <c r="X21" s="24" t="str">
        <f t="shared" si="4"/>
        <v/>
      </c>
    </row>
    <row r="22" ht="14.25" customHeight="1">
      <c r="A22" s="28">
        <f>HYPERLINK("https://app.hubspot.com/contacts/8748051/record/0-1/197826170154", 197826170154)</f>
        <v>197826170154</v>
      </c>
      <c r="B22" s="24" t="s">
        <v>3271</v>
      </c>
      <c r="C22" s="26">
        <v>46080.66068287037</v>
      </c>
      <c r="D22" s="26"/>
      <c r="E22" s="28" t="s">
        <v>146</v>
      </c>
      <c r="F22" s="24"/>
      <c r="G22" s="35">
        <v>46081.0</v>
      </c>
      <c r="H22" s="35">
        <v>46091.0</v>
      </c>
      <c r="I22" s="35">
        <v>46091.0</v>
      </c>
      <c r="J22" s="24" t="s">
        <v>3272</v>
      </c>
      <c r="K22" s="24" t="s">
        <v>155</v>
      </c>
      <c r="L22" s="24"/>
      <c r="M22" s="28">
        <f>HYPERLINK("https://app.hubspot.com/contacts/8748051/record/0-2/52248697149", 52248697149)</f>
        <v>52248697149</v>
      </c>
      <c r="N22" s="24" t="s">
        <v>145</v>
      </c>
      <c r="O22" s="33">
        <f>HYPERLINK("https://app.hubspot.com/contacts/8748051/record/0-3/57137183797", 57137183797)</f>
        <v>57137183797</v>
      </c>
      <c r="P22" s="24" t="s">
        <v>143</v>
      </c>
      <c r="Q22" s="24" t="s">
        <v>127</v>
      </c>
      <c r="R22" s="24">
        <v>3000.0</v>
      </c>
      <c r="S22" s="24"/>
      <c r="T22" s="34" t="str">
        <f t="shared" ref="T22:V22" si="22">IF(G22&lt;&gt;"","Yes","")</f>
        <v>Yes</v>
      </c>
      <c r="U22" s="34" t="str">
        <f t="shared" si="22"/>
        <v>Yes</v>
      </c>
      <c r="V22" s="34" t="str">
        <f t="shared" si="22"/>
        <v>Yes</v>
      </c>
      <c r="W22" s="34" t="str">
        <f t="shared" si="3"/>
        <v/>
      </c>
      <c r="X22" s="24" t="str">
        <f t="shared" si="4"/>
        <v/>
      </c>
    </row>
    <row r="23" ht="14.25" customHeight="1">
      <c r="A23" s="28">
        <f>HYPERLINK("https://app.hubspot.com/contacts/8748051/record/0-1/205659557961", 205659557961)</f>
        <v>205659557961</v>
      </c>
      <c r="B23" s="24" t="s">
        <v>3273</v>
      </c>
      <c r="C23" s="26">
        <v>46079.59806712963</v>
      </c>
      <c r="D23" s="26"/>
      <c r="E23" s="28" t="s">
        <v>152</v>
      </c>
      <c r="F23" s="24"/>
      <c r="G23" s="35">
        <v>46080.0</v>
      </c>
      <c r="H23" s="35">
        <v>46083.0</v>
      </c>
      <c r="I23" s="35">
        <v>46083.0</v>
      </c>
      <c r="J23" s="24" t="s">
        <v>3274</v>
      </c>
      <c r="K23" s="24" t="s">
        <v>3239</v>
      </c>
      <c r="L23" s="24"/>
      <c r="M23" s="28">
        <f>HYPERLINK("https://app.hubspot.com/contacts/8748051/record/0-2/52161971734", 52161971734)</f>
        <v>52161971734</v>
      </c>
      <c r="N23" s="24" t="s">
        <v>151</v>
      </c>
      <c r="O23" s="28">
        <f>HYPERLINK("https://app.hubspot.com/contacts/8748051/record/0-3/57114347057", 57114347057)</f>
        <v>57114347057</v>
      </c>
      <c r="P23" s="24" t="s">
        <v>147</v>
      </c>
      <c r="Q23" s="24" t="s">
        <v>149</v>
      </c>
      <c r="R23" s="24">
        <v>8500.0</v>
      </c>
      <c r="S23" s="24" t="b">
        <v>1</v>
      </c>
      <c r="T23" s="34" t="str">
        <f t="shared" ref="T23:V23" si="23">IF(G23&lt;&gt;"","Yes","")</f>
        <v>Yes</v>
      </c>
      <c r="U23" s="34" t="str">
        <f t="shared" si="23"/>
        <v>Yes</v>
      </c>
      <c r="V23" s="34" t="str">
        <f t="shared" si="23"/>
        <v>Yes</v>
      </c>
      <c r="W23" s="34" t="str">
        <f t="shared" si="3"/>
        <v/>
      </c>
      <c r="X23" s="24" t="str">
        <f t="shared" si="4"/>
        <v>Yes</v>
      </c>
    </row>
    <row r="24" ht="14.25" customHeight="1">
      <c r="A24" s="28">
        <f>HYPERLINK("https://app.hubspot.com/contacts/8748051/record/0-1/163869539214", 163869539214)</f>
        <v>163869539214</v>
      </c>
      <c r="B24" s="24" t="s">
        <v>3275</v>
      </c>
      <c r="C24" s="26">
        <v>46078.69497685185</v>
      </c>
      <c r="D24" s="26"/>
      <c r="E24" s="28" t="s">
        <v>173</v>
      </c>
      <c r="F24" s="24"/>
      <c r="G24" s="35">
        <v>46079.0</v>
      </c>
      <c r="H24" s="35">
        <v>46080.0</v>
      </c>
      <c r="I24" s="35">
        <v>46080.0</v>
      </c>
      <c r="J24" s="24" t="s">
        <v>3276</v>
      </c>
      <c r="K24" s="24" t="s">
        <v>155</v>
      </c>
      <c r="L24" s="24" t="s">
        <v>3249</v>
      </c>
      <c r="M24" s="28">
        <f>HYPERLINK("https://app.hubspot.com/contacts/8748051/record/0-2/41632615322", 41632615322)</f>
        <v>41632615322</v>
      </c>
      <c r="N24" s="24" t="s">
        <v>172</v>
      </c>
      <c r="O24" s="33">
        <f>HYPERLINK("https://app.hubspot.com/contacts/8748051/record/0-3/57049619590", 57049619590)</f>
        <v>57049619590</v>
      </c>
      <c r="P24" s="24" t="s">
        <v>170</v>
      </c>
      <c r="Q24" s="24" t="s">
        <v>149</v>
      </c>
      <c r="R24" s="24">
        <v>23000.0</v>
      </c>
      <c r="S24" s="24" t="b">
        <v>1</v>
      </c>
      <c r="T24" s="34" t="str">
        <f t="shared" ref="T24:V24" si="24">IF(G24&lt;&gt;"","Yes","")</f>
        <v>Yes</v>
      </c>
      <c r="U24" s="34" t="str">
        <f t="shared" si="24"/>
        <v>Yes</v>
      </c>
      <c r="V24" s="34" t="str">
        <f t="shared" si="24"/>
        <v>Yes</v>
      </c>
      <c r="W24" s="34" t="str">
        <f t="shared" si="3"/>
        <v/>
      </c>
      <c r="X24" s="24" t="str">
        <f t="shared" si="4"/>
        <v>Yes</v>
      </c>
    </row>
    <row r="25" ht="14.25" customHeight="1">
      <c r="A25" s="28">
        <f>HYPERLINK("https://app.hubspot.com/contacts/8748051/record/0-1/203608324409", 203608324409)</f>
        <v>203608324409</v>
      </c>
      <c r="B25" s="24" t="s">
        <v>3277</v>
      </c>
      <c r="C25" s="26">
        <v>46071.403344907405</v>
      </c>
      <c r="D25" s="26"/>
      <c r="E25" s="28" t="s">
        <v>3278</v>
      </c>
      <c r="F25" s="24" t="s">
        <v>3279</v>
      </c>
      <c r="G25" s="35"/>
      <c r="H25" s="35"/>
      <c r="I25" s="35"/>
      <c r="J25" s="24" t="s">
        <v>3280</v>
      </c>
      <c r="K25" s="24" t="s">
        <v>3245</v>
      </c>
      <c r="L25" s="34"/>
      <c r="M25" s="28">
        <f>HYPERLINK("https://app.hubspot.com/contacts/8748051/record/0-2/51547282860", 51547282860)</f>
        <v>51547282860</v>
      </c>
      <c r="N25" s="24" t="s">
        <v>3281</v>
      </c>
      <c r="O25" s="24"/>
      <c r="P25" s="24"/>
      <c r="Q25" s="24"/>
      <c r="R25" s="24"/>
      <c r="S25" s="24"/>
      <c r="T25" s="34" t="str">
        <f t="shared" ref="T25:V25" si="25">IF(G25&lt;&gt;"","Yes","")</f>
        <v/>
      </c>
      <c r="U25" s="34" t="str">
        <f t="shared" si="25"/>
        <v/>
      </c>
      <c r="V25" s="34" t="str">
        <f t="shared" si="25"/>
        <v/>
      </c>
      <c r="W25" s="34" t="str">
        <f t="shared" si="3"/>
        <v/>
      </c>
      <c r="X25" s="24" t="str">
        <f t="shared" si="4"/>
        <v/>
      </c>
    </row>
    <row r="26" ht="14.25" customHeight="1">
      <c r="A26" s="28">
        <f>HYPERLINK("https://app.hubspot.com/contacts/8748051/record/0-1/201916599337", 201916599337)</f>
        <v>201916599337</v>
      </c>
      <c r="B26" s="24" t="s">
        <v>3282</v>
      </c>
      <c r="C26" s="26">
        <v>46065.7953125</v>
      </c>
      <c r="D26" s="26"/>
      <c r="E26" s="28" t="s">
        <v>199</v>
      </c>
      <c r="F26" s="24"/>
      <c r="G26" s="35">
        <v>46066.0</v>
      </c>
      <c r="H26" s="35">
        <v>46079.0</v>
      </c>
      <c r="I26" s="35">
        <v>46079.0</v>
      </c>
      <c r="J26" s="24" t="s">
        <v>3283</v>
      </c>
      <c r="K26" s="24" t="s">
        <v>155</v>
      </c>
      <c r="L26" s="24"/>
      <c r="M26" s="28">
        <f>HYPERLINK("https://app.hubspot.com/contacts/8748051/record/0-2/51272752282", 51272752282)</f>
        <v>51272752282</v>
      </c>
      <c r="N26" s="24" t="s">
        <v>198</v>
      </c>
      <c r="O26" s="28">
        <f>HYPERLINK("https://app.hubspot.com/contacts/8748051/record/0-3/56137197580", 56137197580)</f>
        <v>56137197580</v>
      </c>
      <c r="P26" s="24" t="s">
        <v>196</v>
      </c>
      <c r="Q26" s="24" t="s">
        <v>127</v>
      </c>
      <c r="R26" s="24">
        <v>500.0</v>
      </c>
      <c r="S26" s="24"/>
      <c r="T26" s="34" t="str">
        <f t="shared" ref="T26:V26" si="26">IF(G26&lt;&gt;"","Yes","")</f>
        <v>Yes</v>
      </c>
      <c r="U26" s="34" t="str">
        <f t="shared" si="26"/>
        <v>Yes</v>
      </c>
      <c r="V26" s="34" t="str">
        <f t="shared" si="26"/>
        <v>Yes</v>
      </c>
      <c r="W26" s="34" t="str">
        <f t="shared" si="3"/>
        <v/>
      </c>
      <c r="X26" s="24" t="str">
        <f t="shared" si="4"/>
        <v/>
      </c>
    </row>
    <row r="27" ht="14.25" customHeight="1">
      <c r="A27" s="28">
        <f>HYPERLINK("https://app.hubspot.com/contacts/8748051/record/0-1/201573956360", 201573956360)</f>
        <v>201573956360</v>
      </c>
      <c r="B27" s="24" t="s">
        <v>3284</v>
      </c>
      <c r="C27" s="26">
        <v>46064.59548611111</v>
      </c>
      <c r="D27" s="26"/>
      <c r="E27" s="28" t="s">
        <v>202</v>
      </c>
      <c r="F27" s="24"/>
      <c r="G27" s="35">
        <v>46073.0</v>
      </c>
      <c r="H27" s="35">
        <v>46070.0</v>
      </c>
      <c r="I27" s="35">
        <v>46070.0</v>
      </c>
      <c r="J27" s="24" t="s">
        <v>3285</v>
      </c>
      <c r="K27" s="24" t="s">
        <v>155</v>
      </c>
      <c r="L27" s="24" t="s">
        <v>3249</v>
      </c>
      <c r="M27" s="28">
        <f>HYPERLINK("https://app.hubspot.com/contacts/8748051/record/0-2/18415173681", 18415173681)</f>
        <v>18415173681</v>
      </c>
      <c r="N27" s="24" t="s">
        <v>201</v>
      </c>
      <c r="O27" s="33">
        <f>HYPERLINK("https://app.hubspot.com/contacts/8748051/record/0-3/56125966216", 56125966216)</f>
        <v>56125966216</v>
      </c>
      <c r="P27" s="24" t="s">
        <v>200</v>
      </c>
      <c r="Q27" s="24" t="s">
        <v>51</v>
      </c>
      <c r="R27" s="24">
        <v>30000.0</v>
      </c>
      <c r="S27" s="24" t="b">
        <v>1</v>
      </c>
      <c r="T27" s="34" t="str">
        <f t="shared" ref="T27:V27" si="27">IF(G27&lt;&gt;"","Yes","")</f>
        <v>Yes</v>
      </c>
      <c r="U27" s="34" t="str">
        <f t="shared" si="27"/>
        <v>Yes</v>
      </c>
      <c r="V27" s="34" t="str">
        <f t="shared" si="27"/>
        <v>Yes</v>
      </c>
      <c r="W27" s="34" t="str">
        <f t="shared" si="3"/>
        <v/>
      </c>
      <c r="X27" s="24" t="str">
        <f t="shared" si="4"/>
        <v/>
      </c>
    </row>
    <row r="28" ht="14.25" customHeight="1">
      <c r="A28" s="28">
        <f>HYPERLINK("https://app.hubspot.com/contacts/8748051/record/0-1/200594813059", 200594813059)</f>
        <v>200594813059</v>
      </c>
      <c r="B28" s="24" t="s">
        <v>3286</v>
      </c>
      <c r="C28" s="26">
        <v>46062.33143518519</v>
      </c>
      <c r="D28" s="26"/>
      <c r="E28" s="28" t="s">
        <v>1165</v>
      </c>
      <c r="F28" s="24" t="s">
        <v>3287</v>
      </c>
      <c r="G28" s="35"/>
      <c r="H28" s="35"/>
      <c r="I28" s="35"/>
      <c r="J28" s="24" t="s">
        <v>3288</v>
      </c>
      <c r="K28" s="24" t="s">
        <v>3242</v>
      </c>
      <c r="L28" s="24"/>
      <c r="M28" s="28">
        <f>HYPERLINK("https://app.hubspot.com/contacts/8748051/record/0-2/7914190947", 7914190947)</f>
        <v>7914190947</v>
      </c>
      <c r="N28" s="24" t="s">
        <v>1164</v>
      </c>
      <c r="O28" s="24"/>
      <c r="P28" s="24"/>
      <c r="Q28" s="24"/>
      <c r="R28" s="24"/>
      <c r="S28" s="24"/>
      <c r="T28" s="34" t="str">
        <f t="shared" ref="T28:V28" si="28">IF(G28&lt;&gt;"","Yes","")</f>
        <v/>
      </c>
      <c r="U28" s="34" t="str">
        <f t="shared" si="28"/>
        <v/>
      </c>
      <c r="V28" s="34" t="str">
        <f t="shared" si="28"/>
        <v/>
      </c>
      <c r="W28" s="34" t="str">
        <f t="shared" si="3"/>
        <v/>
      </c>
      <c r="X28" s="24" t="str">
        <f t="shared" si="4"/>
        <v/>
      </c>
    </row>
    <row r="29" ht="14.25" customHeight="1">
      <c r="A29" s="28">
        <f>HYPERLINK("https://app.hubspot.com/contacts/8748051/record/0-1/200497474872", 200497474872)</f>
        <v>200497474872</v>
      </c>
      <c r="B29" s="24" t="s">
        <v>3289</v>
      </c>
      <c r="C29" s="26">
        <v>46062.16909722222</v>
      </c>
      <c r="D29" s="26"/>
      <c r="E29" s="28" t="s">
        <v>3290</v>
      </c>
      <c r="F29" s="24" t="s">
        <v>3291</v>
      </c>
      <c r="G29" s="35"/>
      <c r="H29" s="35"/>
      <c r="I29" s="35"/>
      <c r="J29" s="24" t="s">
        <v>3292</v>
      </c>
      <c r="K29" s="24" t="s">
        <v>155</v>
      </c>
      <c r="L29" s="24"/>
      <c r="M29" s="28">
        <f>HYPERLINK("https://app.hubspot.com/contacts/8748051/record/0-2/50847208248", 50847208248)</f>
        <v>50847208248</v>
      </c>
      <c r="N29" s="24" t="s">
        <v>3293</v>
      </c>
      <c r="O29" s="34"/>
      <c r="P29" s="24"/>
      <c r="Q29" s="24"/>
      <c r="R29" s="24"/>
      <c r="S29" s="24"/>
      <c r="T29" s="34" t="str">
        <f t="shared" ref="T29:V29" si="29">IF(G29&lt;&gt;"","Yes","")</f>
        <v/>
      </c>
      <c r="U29" s="34" t="str">
        <f t="shared" si="29"/>
        <v/>
      </c>
      <c r="V29" s="34" t="str">
        <f t="shared" si="29"/>
        <v/>
      </c>
      <c r="W29" s="34" t="str">
        <f t="shared" si="3"/>
        <v/>
      </c>
      <c r="X29" s="24" t="str">
        <f t="shared" si="4"/>
        <v/>
      </c>
    </row>
    <row r="30" ht="14.25" customHeight="1">
      <c r="A30" s="28">
        <f>HYPERLINK("https://app.hubspot.com/contacts/8748051/record/0-1/200119139930", 200119139930)</f>
        <v>200119139930</v>
      </c>
      <c r="B30" s="24" t="s">
        <v>3294</v>
      </c>
      <c r="C30" s="26">
        <v>46059.8419212963</v>
      </c>
      <c r="D30" s="26"/>
      <c r="E30" s="28" t="s">
        <v>3295</v>
      </c>
      <c r="F30" s="24"/>
      <c r="G30" s="35">
        <v>46060.0</v>
      </c>
      <c r="H30" s="35"/>
      <c r="I30" s="35"/>
      <c r="J30" s="24" t="s">
        <v>3296</v>
      </c>
      <c r="K30" s="24" t="s">
        <v>3239</v>
      </c>
      <c r="L30" s="24"/>
      <c r="M30" s="28">
        <f>HYPERLINK("https://app.hubspot.com/contacts/8748051/record/0-2/19176652457", 19176652457)</f>
        <v>19176652457</v>
      </c>
      <c r="N30" s="24" t="s">
        <v>3297</v>
      </c>
      <c r="O30" s="24"/>
      <c r="P30" s="24"/>
      <c r="Q30" s="24"/>
      <c r="R30" s="24"/>
      <c r="S30" s="24"/>
      <c r="T30" s="34" t="str">
        <f t="shared" ref="T30:V30" si="30">IF(G30&lt;&gt;"","Yes","")</f>
        <v>Yes</v>
      </c>
      <c r="U30" s="34" t="str">
        <f t="shared" si="30"/>
        <v/>
      </c>
      <c r="V30" s="34" t="str">
        <f t="shared" si="30"/>
        <v/>
      </c>
      <c r="W30" s="34" t="str">
        <f t="shared" si="3"/>
        <v/>
      </c>
      <c r="X30" s="24" t="str">
        <f t="shared" si="4"/>
        <v/>
      </c>
    </row>
    <row r="31" ht="14.25" customHeight="1">
      <c r="A31" s="28">
        <f>HYPERLINK("https://app.hubspot.com/contacts/8748051/record/0-1/199891897946", 199891897946)</f>
        <v>199891897946</v>
      </c>
      <c r="B31" s="24" t="s">
        <v>3298</v>
      </c>
      <c r="C31" s="26">
        <v>46058.9687962963</v>
      </c>
      <c r="D31" s="26"/>
      <c r="E31" s="28" t="s">
        <v>215</v>
      </c>
      <c r="F31" s="26"/>
      <c r="G31" s="35">
        <v>46059.0</v>
      </c>
      <c r="H31" s="35">
        <v>46064.0</v>
      </c>
      <c r="I31" s="35">
        <v>46064.0</v>
      </c>
      <c r="J31" s="24" t="s">
        <v>3299</v>
      </c>
      <c r="K31" s="24" t="s">
        <v>3239</v>
      </c>
      <c r="L31" s="24"/>
      <c r="M31" s="28">
        <f>HYPERLINK("https://app.hubspot.com/contacts/8748051/record/0-2/7646062645", 7646062645)</f>
        <v>7646062645</v>
      </c>
      <c r="N31" s="28" t="s">
        <v>214</v>
      </c>
      <c r="O31" s="28">
        <f>HYPERLINK("https://app.hubspot.com/contacts/8748051/record/0-3/55816943678", 55816943678)</f>
        <v>55816943678</v>
      </c>
      <c r="P31" s="24" t="s">
        <v>212</v>
      </c>
      <c r="Q31" s="24" t="s">
        <v>73</v>
      </c>
      <c r="R31" s="24">
        <v>25000.0</v>
      </c>
      <c r="S31" s="24"/>
      <c r="T31" s="34" t="str">
        <f t="shared" ref="T31:V31" si="31">IF(G31&lt;&gt;"","Yes","")</f>
        <v>Yes</v>
      </c>
      <c r="U31" s="34" t="str">
        <f t="shared" si="31"/>
        <v>Yes</v>
      </c>
      <c r="V31" s="34" t="str">
        <f t="shared" si="31"/>
        <v>Yes</v>
      </c>
      <c r="W31" s="34" t="str">
        <f t="shared" si="3"/>
        <v/>
      </c>
      <c r="X31" s="24" t="str">
        <f t="shared" si="4"/>
        <v/>
      </c>
    </row>
    <row r="32" ht="14.25" customHeight="1">
      <c r="A32" s="28">
        <f>HYPERLINK("https://app.hubspot.com/contacts/8748051/record/0-1/197816085633", 197816085633)</f>
        <v>197816085633</v>
      </c>
      <c r="B32" s="24" t="s">
        <v>3300</v>
      </c>
      <c r="C32" s="26">
        <v>46052.430555555555</v>
      </c>
      <c r="D32" s="26"/>
      <c r="E32" s="28" t="s">
        <v>236</v>
      </c>
      <c r="F32" s="24"/>
      <c r="G32" s="35">
        <v>46052.0</v>
      </c>
      <c r="H32" s="35">
        <v>46056.0</v>
      </c>
      <c r="I32" s="35"/>
      <c r="J32" s="24" t="s">
        <v>3301</v>
      </c>
      <c r="K32" s="24" t="s">
        <v>3242</v>
      </c>
      <c r="L32" s="24"/>
      <c r="M32" s="28">
        <f>HYPERLINK("https://app.hubspot.com/contacts/8748051/record/0-2/50242061138", 50242061138)</f>
        <v>50242061138</v>
      </c>
      <c r="N32" s="24" t="s">
        <v>235</v>
      </c>
      <c r="O32" s="33">
        <f>HYPERLINK("https://app.hubspot.com/contacts/8748051/record/0-3/55080753511", 55080753511)</f>
        <v>55080753511</v>
      </c>
      <c r="P32" s="24" t="s">
        <v>233</v>
      </c>
      <c r="Q32" s="24" t="s">
        <v>73</v>
      </c>
      <c r="R32" s="24">
        <v>500.0</v>
      </c>
      <c r="S32" s="24"/>
      <c r="T32" s="34" t="str">
        <f t="shared" ref="T32:V32" si="32">IF(G32&lt;&gt;"","Yes","")</f>
        <v>Yes</v>
      </c>
      <c r="U32" s="34" t="str">
        <f t="shared" si="32"/>
        <v>Yes</v>
      </c>
      <c r="V32" s="34" t="str">
        <f t="shared" si="32"/>
        <v/>
      </c>
      <c r="W32" s="34" t="str">
        <f t="shared" si="3"/>
        <v/>
      </c>
      <c r="X32" s="24" t="str">
        <f t="shared" si="4"/>
        <v/>
      </c>
    </row>
    <row r="33" ht="14.25" customHeight="1">
      <c r="A33" s="28">
        <f>HYPERLINK("https://app.hubspot.com/contacts/8748051/record/0-1/197822735646", 197822735646)</f>
        <v>197822735646</v>
      </c>
      <c r="B33" s="24" t="s">
        <v>3302</v>
      </c>
      <c r="C33" s="26">
        <v>46052.364849537036</v>
      </c>
      <c r="D33" s="26"/>
      <c r="E33" s="28" t="s">
        <v>3303</v>
      </c>
      <c r="F33" s="24" t="s">
        <v>3304</v>
      </c>
      <c r="G33" s="35"/>
      <c r="H33" s="35"/>
      <c r="I33" s="35"/>
      <c r="J33" s="24" t="s">
        <v>1072</v>
      </c>
      <c r="K33" s="24" t="s">
        <v>3242</v>
      </c>
      <c r="L33" s="24"/>
      <c r="M33" s="28">
        <f>HYPERLINK("https://app.hubspot.com/contacts/8748051/record/0-2/50228766477", 50228766477)</f>
        <v>50228766477</v>
      </c>
      <c r="N33" s="24" t="s">
        <v>3305</v>
      </c>
      <c r="O33" s="24"/>
      <c r="P33" s="24"/>
      <c r="Q33" s="24"/>
      <c r="R33" s="24"/>
      <c r="S33" s="24"/>
      <c r="T33" s="34" t="str">
        <f t="shared" ref="T33:V33" si="33">IF(G33&lt;&gt;"","Yes","")</f>
        <v/>
      </c>
      <c r="U33" s="34" t="str">
        <f t="shared" si="33"/>
        <v/>
      </c>
      <c r="V33" s="34" t="str">
        <f t="shared" si="33"/>
        <v/>
      </c>
      <c r="W33" s="34" t="str">
        <f t="shared" si="3"/>
        <v/>
      </c>
      <c r="X33" s="24" t="str">
        <f t="shared" si="4"/>
        <v/>
      </c>
    </row>
    <row r="34" ht="14.25" customHeight="1">
      <c r="A34" s="28">
        <f>HYPERLINK("https://app.hubspot.com/contacts/8748051/record/0-1/197728246887", 197728246887)</f>
        <v>197728246887</v>
      </c>
      <c r="B34" s="24" t="s">
        <v>3306</v>
      </c>
      <c r="C34" s="26">
        <v>46052.05677083333</v>
      </c>
      <c r="D34" s="26"/>
      <c r="E34" s="28" t="s">
        <v>3307</v>
      </c>
      <c r="F34" s="24"/>
      <c r="G34" s="35">
        <v>46052.0</v>
      </c>
      <c r="H34" s="35"/>
      <c r="I34" s="35"/>
      <c r="J34" s="24" t="s">
        <v>3308</v>
      </c>
      <c r="K34" s="24" t="s">
        <v>3239</v>
      </c>
      <c r="L34" s="24"/>
      <c r="M34" s="28">
        <f>HYPERLINK("https://app.hubspot.com/contacts/8748051/record/0-2/50230301871", 50230301871)</f>
        <v>50230301871</v>
      </c>
      <c r="N34" s="24" t="s">
        <v>3309</v>
      </c>
      <c r="O34" s="24"/>
      <c r="P34" s="24"/>
      <c r="Q34" s="24"/>
      <c r="R34" s="24"/>
      <c r="S34" s="24"/>
      <c r="T34" s="34" t="str">
        <f t="shared" ref="T34:V34" si="34">IF(G34&lt;&gt;"","Yes","")</f>
        <v>Yes</v>
      </c>
      <c r="U34" s="34" t="str">
        <f t="shared" si="34"/>
        <v/>
      </c>
      <c r="V34" s="34" t="str">
        <f t="shared" si="34"/>
        <v/>
      </c>
      <c r="W34" s="34" t="str">
        <f t="shared" si="3"/>
        <v/>
      </c>
      <c r="X34" s="24" t="str">
        <f t="shared" si="4"/>
        <v/>
      </c>
    </row>
    <row r="35" ht="14.25" customHeight="1">
      <c r="A35" s="28">
        <f>HYPERLINK("https://app.hubspot.com/contacts/8748051/record/0-1/197346398843", 197346398843)</f>
        <v>197346398843</v>
      </c>
      <c r="B35" s="24" t="s">
        <v>3310</v>
      </c>
      <c r="C35" s="26">
        <v>46050.97659722222</v>
      </c>
      <c r="D35" s="26"/>
      <c r="E35" s="28" t="s">
        <v>240</v>
      </c>
      <c r="F35" s="24"/>
      <c r="G35" s="35">
        <v>46051.0</v>
      </c>
      <c r="H35" s="35">
        <v>46057.0</v>
      </c>
      <c r="I35" s="35">
        <v>46057.0</v>
      </c>
      <c r="J35" s="24" t="s">
        <v>3236</v>
      </c>
      <c r="K35" s="24" t="s">
        <v>3237</v>
      </c>
      <c r="L35" s="24" t="s">
        <v>3249</v>
      </c>
      <c r="M35" s="28">
        <f>HYPERLINK("https://app.hubspot.com/contacts/8748051/record/0-2/9238289492", 9238289492)</f>
        <v>9238289492</v>
      </c>
      <c r="N35" s="24" t="s">
        <v>239</v>
      </c>
      <c r="O35" s="33">
        <f>HYPERLINK("https://app.hubspot.com/contacts/8748051/record/0-3/54975935143", 54975935143)</f>
        <v>54975935143</v>
      </c>
      <c r="P35" s="24" t="s">
        <v>237</v>
      </c>
      <c r="Q35" s="24" t="s">
        <v>127</v>
      </c>
      <c r="R35" s="24">
        <v>35000.0</v>
      </c>
      <c r="S35" s="24" t="b">
        <v>1</v>
      </c>
      <c r="T35" s="34" t="str">
        <f t="shared" ref="T35:V35" si="35">IF(G35&lt;&gt;"","Yes","")</f>
        <v>Yes</v>
      </c>
      <c r="U35" s="34" t="str">
        <f t="shared" si="35"/>
        <v>Yes</v>
      </c>
      <c r="V35" s="34" t="str">
        <f t="shared" si="35"/>
        <v>Yes</v>
      </c>
      <c r="W35" s="34" t="str">
        <f t="shared" si="3"/>
        <v/>
      </c>
      <c r="X35" s="24" t="str">
        <f t="shared" si="4"/>
        <v/>
      </c>
    </row>
    <row r="36" ht="14.25" customHeight="1">
      <c r="A36" s="28">
        <f>HYPERLINK("https://app.hubspot.com/contacts/8748051/record/0-1/197125418627", 197125418627)</f>
        <v>197125418627</v>
      </c>
      <c r="B36" s="24" t="s">
        <v>3311</v>
      </c>
      <c r="C36" s="26">
        <v>46050.310636574075</v>
      </c>
      <c r="D36" s="26"/>
      <c r="E36" s="28" t="s">
        <v>244</v>
      </c>
      <c r="F36" s="26"/>
      <c r="G36" s="35">
        <v>46050.0</v>
      </c>
      <c r="H36" s="35">
        <v>46055.0</v>
      </c>
      <c r="I36" s="35">
        <v>46055.0</v>
      </c>
      <c r="J36" s="24" t="s">
        <v>3296</v>
      </c>
      <c r="K36" s="24" t="s">
        <v>3239</v>
      </c>
      <c r="L36" s="24"/>
      <c r="M36" s="28">
        <f>HYPERLINK("https://app.hubspot.com/contacts/8748051/record/0-2/49960779408", 49960779408)</f>
        <v>49960779408</v>
      </c>
      <c r="N36" s="24" t="s">
        <v>243</v>
      </c>
      <c r="O36" s="33">
        <f>HYPERLINK("https://app.hubspot.com/contacts/8748051/record/0-3/54944809320", 54944809320)</f>
        <v>54944809320</v>
      </c>
      <c r="P36" s="24" t="s">
        <v>241</v>
      </c>
      <c r="Q36" s="24" t="s">
        <v>127</v>
      </c>
      <c r="R36" s="24">
        <v>15000.0</v>
      </c>
      <c r="S36" s="24" t="b">
        <v>1</v>
      </c>
      <c r="T36" s="34" t="str">
        <f t="shared" ref="T36:V36" si="36">IF(G36&lt;&gt;"","Yes","")</f>
        <v>Yes</v>
      </c>
      <c r="U36" s="34" t="str">
        <f t="shared" si="36"/>
        <v>Yes</v>
      </c>
      <c r="V36" s="34" t="str">
        <f t="shared" si="36"/>
        <v>Yes</v>
      </c>
      <c r="W36" s="34" t="str">
        <f t="shared" si="3"/>
        <v/>
      </c>
      <c r="X36" s="24" t="str">
        <f t="shared" si="4"/>
        <v/>
      </c>
    </row>
    <row r="37" ht="14.25" customHeight="1">
      <c r="A37" s="28">
        <f>HYPERLINK("https://app.hubspot.com/contacts/8748051/record/0-1/196026413414", 196026413414)</f>
        <v>196026413414</v>
      </c>
      <c r="B37" s="24" t="s">
        <v>3312</v>
      </c>
      <c r="C37" s="26">
        <v>46047.983564814815</v>
      </c>
      <c r="D37" s="26"/>
      <c r="E37" s="28" t="s">
        <v>248</v>
      </c>
      <c r="F37" s="24"/>
      <c r="G37" s="35">
        <v>46048.0</v>
      </c>
      <c r="H37" s="35">
        <v>46049.0</v>
      </c>
      <c r="I37" s="35">
        <v>46049.0</v>
      </c>
      <c r="J37" s="24" t="s">
        <v>3313</v>
      </c>
      <c r="K37" s="24" t="s">
        <v>155</v>
      </c>
      <c r="L37" s="24" t="s">
        <v>3249</v>
      </c>
      <c r="M37" s="28">
        <f>HYPERLINK("https://app.hubspot.com/contacts/8748051/record/0-2/49640665012", 49640665012)</f>
        <v>49640665012</v>
      </c>
      <c r="N37" s="24" t="s">
        <v>247</v>
      </c>
      <c r="O37" s="33">
        <f>HYPERLINK("https://app.hubspot.com/contacts/8748051/record/0-3/54545581328", 54545581328)</f>
        <v>54545581328</v>
      </c>
      <c r="P37" s="24" t="s">
        <v>245</v>
      </c>
      <c r="Q37" s="24" t="s">
        <v>127</v>
      </c>
      <c r="R37" s="24">
        <v>15000.0</v>
      </c>
      <c r="S37" s="24" t="b">
        <v>1</v>
      </c>
      <c r="T37" s="34" t="str">
        <f t="shared" ref="T37:V37" si="37">IF(G37&lt;&gt;"","Yes","")</f>
        <v>Yes</v>
      </c>
      <c r="U37" s="34" t="str">
        <f t="shared" si="37"/>
        <v>Yes</v>
      </c>
      <c r="V37" s="34" t="str">
        <f t="shared" si="37"/>
        <v>Yes</v>
      </c>
      <c r="W37" s="34" t="str">
        <f t="shared" si="3"/>
        <v/>
      </c>
      <c r="X37" s="24" t="str">
        <f t="shared" si="4"/>
        <v/>
      </c>
    </row>
    <row r="38" ht="14.25" customHeight="1">
      <c r="A38" s="28">
        <f>HYPERLINK("https://app.hubspot.com/contacts/8748051/record/0-1/195499462692", 195499462692)</f>
        <v>195499462692</v>
      </c>
      <c r="B38" s="24" t="s">
        <v>3314</v>
      </c>
      <c r="C38" s="26">
        <v>46045.356828703705</v>
      </c>
      <c r="D38" s="26"/>
      <c r="E38" s="28" t="s">
        <v>251</v>
      </c>
      <c r="F38" s="24"/>
      <c r="G38" s="35">
        <v>46045.0</v>
      </c>
      <c r="H38" s="35">
        <v>46053.0</v>
      </c>
      <c r="I38" s="35">
        <v>46053.0</v>
      </c>
      <c r="J38" s="24" t="s">
        <v>1808</v>
      </c>
      <c r="K38" s="24" t="s">
        <v>155</v>
      </c>
      <c r="L38" s="24"/>
      <c r="M38" s="28">
        <f>HYPERLINK("https://app.hubspot.com/contacts/8748051/record/0-2/49481986307", 49481986307)</f>
        <v>49481986307</v>
      </c>
      <c r="N38" s="24" t="s">
        <v>250</v>
      </c>
      <c r="O38" s="28">
        <f>HYPERLINK("https://app.hubspot.com/contacts/8748051/record/0-3/54362525809", 54362525809)</f>
        <v>54362525809</v>
      </c>
      <c r="P38" s="24" t="s">
        <v>249</v>
      </c>
      <c r="Q38" s="24" t="s">
        <v>51</v>
      </c>
      <c r="R38" s="24">
        <v>10000.0</v>
      </c>
      <c r="S38" s="24" t="b">
        <v>1</v>
      </c>
      <c r="T38" s="34" t="str">
        <f t="shared" ref="T38:V38" si="38">IF(G38&lt;&gt;"","Yes","")</f>
        <v>Yes</v>
      </c>
      <c r="U38" s="34" t="str">
        <f t="shared" si="38"/>
        <v>Yes</v>
      </c>
      <c r="V38" s="34" t="str">
        <f t="shared" si="38"/>
        <v>Yes</v>
      </c>
      <c r="W38" s="34" t="str">
        <f t="shared" si="3"/>
        <v/>
      </c>
      <c r="X38" s="24" t="str">
        <f t="shared" si="4"/>
        <v/>
      </c>
    </row>
    <row r="39" ht="14.25" customHeight="1">
      <c r="A39" s="28">
        <f>HYPERLINK("https://app.hubspot.com/contacts/8748051/record/0-1/195311706924", 195311706924)</f>
        <v>195311706924</v>
      </c>
      <c r="B39" s="24" t="s">
        <v>3315</v>
      </c>
      <c r="C39" s="26">
        <v>46044.650868055556</v>
      </c>
      <c r="D39" s="26"/>
      <c r="E39" s="28" t="s">
        <v>260</v>
      </c>
      <c r="F39" s="26"/>
      <c r="G39" s="35">
        <v>46045.0</v>
      </c>
      <c r="H39" s="35">
        <v>46060.0</v>
      </c>
      <c r="I39" s="35">
        <v>46060.0</v>
      </c>
      <c r="J39" s="24" t="s">
        <v>3316</v>
      </c>
      <c r="K39" s="24" t="s">
        <v>155</v>
      </c>
      <c r="L39" s="24"/>
      <c r="M39" s="28">
        <f>HYPERLINK("https://app.hubspot.com/contacts/8748051/record/0-2/7984321028", 7984321028)</f>
        <v>7984321028</v>
      </c>
      <c r="N39" s="24" t="s">
        <v>259</v>
      </c>
      <c r="O39" s="28">
        <f>HYPERLINK("https://app.hubspot.com/contacts/8748051/record/0-3/54341766995", 54341766995)</f>
        <v>54341766995</v>
      </c>
      <c r="P39" s="24" t="s">
        <v>257</v>
      </c>
      <c r="Q39" s="24" t="s">
        <v>92</v>
      </c>
      <c r="R39" s="24">
        <v>26000.0</v>
      </c>
      <c r="S39" s="24" t="b">
        <v>1</v>
      </c>
      <c r="T39" s="34" t="str">
        <f t="shared" ref="T39:V39" si="39">IF(G39&lt;&gt;"","Yes","")</f>
        <v>Yes</v>
      </c>
      <c r="U39" s="34" t="str">
        <f t="shared" si="39"/>
        <v>Yes</v>
      </c>
      <c r="V39" s="34" t="str">
        <f t="shared" si="39"/>
        <v>Yes</v>
      </c>
      <c r="W39" s="34" t="str">
        <f t="shared" si="3"/>
        <v>Yes</v>
      </c>
      <c r="X39" s="24" t="str">
        <f t="shared" si="4"/>
        <v/>
      </c>
    </row>
    <row r="40" ht="14.25" customHeight="1">
      <c r="A40" s="28">
        <f>HYPERLINK("https://app.hubspot.com/contacts/8748051/record/0-1/194881166643", 194881166643)</f>
        <v>194881166643</v>
      </c>
      <c r="B40" s="24" t="s">
        <v>3317</v>
      </c>
      <c r="C40" s="26">
        <v>46043.20275462963</v>
      </c>
      <c r="D40" s="26"/>
      <c r="E40" s="28" t="s">
        <v>273</v>
      </c>
      <c r="F40" s="26"/>
      <c r="G40" s="35">
        <v>46043.0</v>
      </c>
      <c r="H40" s="35">
        <v>46057.0</v>
      </c>
      <c r="I40" s="35">
        <v>46057.0</v>
      </c>
      <c r="J40" s="24" t="s">
        <v>3318</v>
      </c>
      <c r="K40" s="24" t="s">
        <v>155</v>
      </c>
      <c r="L40" s="34"/>
      <c r="M40" s="28">
        <f>HYPERLINK("https://app.hubspot.com/contacts/8748051/record/0-2/50471069085", 50471069085)</f>
        <v>50471069085</v>
      </c>
      <c r="N40" s="24" t="s">
        <v>272</v>
      </c>
      <c r="O40" s="28">
        <f>HYPERLINK("https://app.hubspot.com/contacts/8748051/record/0-3/54288161660", 54288161660)</f>
        <v>54288161660</v>
      </c>
      <c r="P40" s="24" t="s">
        <v>271</v>
      </c>
      <c r="Q40" s="24" t="s">
        <v>39</v>
      </c>
      <c r="R40" s="24">
        <v>15000.0</v>
      </c>
      <c r="S40" s="24"/>
      <c r="T40" s="34" t="str">
        <f t="shared" ref="T40:V40" si="40">IF(G40&lt;&gt;"","Yes","")</f>
        <v>Yes</v>
      </c>
      <c r="U40" s="34" t="str">
        <f t="shared" si="40"/>
        <v>Yes</v>
      </c>
      <c r="V40" s="34" t="str">
        <f t="shared" si="40"/>
        <v>Yes</v>
      </c>
      <c r="W40" s="34" t="str">
        <f t="shared" si="3"/>
        <v/>
      </c>
      <c r="X40" s="24" t="str">
        <f t="shared" si="4"/>
        <v/>
      </c>
    </row>
    <row r="41" ht="14.25" customHeight="1">
      <c r="A41" s="28">
        <f>HYPERLINK("https://app.hubspot.com/contacts/8748051/record/0-1/194889635161", 194889635161)</f>
        <v>194889635161</v>
      </c>
      <c r="B41" s="24" t="s">
        <v>3319</v>
      </c>
      <c r="C41" s="26">
        <v>46043.19646990741</v>
      </c>
      <c r="D41" s="26"/>
      <c r="E41" s="28" t="s">
        <v>3320</v>
      </c>
      <c r="F41" s="24"/>
      <c r="G41" s="35">
        <v>46043.0</v>
      </c>
      <c r="H41" s="35"/>
      <c r="I41" s="35"/>
      <c r="J41" s="24" t="s">
        <v>3321</v>
      </c>
      <c r="K41" s="24" t="s">
        <v>155</v>
      </c>
      <c r="L41" s="24"/>
      <c r="M41" s="28">
        <f>HYPERLINK("https://app.hubspot.com/contacts/8748051/record/0-2/49466527758", 49466527758)</f>
        <v>49466527758</v>
      </c>
      <c r="N41" s="24" t="s">
        <v>3322</v>
      </c>
      <c r="O41" s="34"/>
      <c r="P41" s="24"/>
      <c r="Q41" s="24"/>
      <c r="R41" s="24"/>
      <c r="S41" s="24"/>
      <c r="T41" s="34" t="str">
        <f t="shared" ref="T41:V41" si="41">IF(G41&lt;&gt;"","Yes","")</f>
        <v>Yes</v>
      </c>
      <c r="U41" s="34" t="str">
        <f t="shared" si="41"/>
        <v/>
      </c>
      <c r="V41" s="34" t="str">
        <f t="shared" si="41"/>
        <v/>
      </c>
      <c r="W41" s="34" t="str">
        <f t="shared" si="3"/>
        <v/>
      </c>
      <c r="X41" s="24" t="str">
        <f t="shared" si="4"/>
        <v/>
      </c>
    </row>
    <row r="42" ht="14.25" customHeight="1">
      <c r="A42" s="28">
        <f>HYPERLINK("https://app.hubspot.com/contacts/8748051/record/0-1/194543057822", 194543057822)</f>
        <v>194543057822</v>
      </c>
      <c r="B42" s="24" t="s">
        <v>3323</v>
      </c>
      <c r="C42" s="26">
        <v>46042.96042824074</v>
      </c>
      <c r="D42" s="26"/>
      <c r="E42" s="28" t="s">
        <v>3324</v>
      </c>
      <c r="F42" s="26"/>
      <c r="G42" s="35">
        <v>46043.0</v>
      </c>
      <c r="H42" s="35"/>
      <c r="I42" s="35"/>
      <c r="J42" s="24" t="s">
        <v>3254</v>
      </c>
      <c r="K42" s="24" t="s">
        <v>3239</v>
      </c>
      <c r="L42" s="24"/>
      <c r="M42" s="28">
        <f>HYPERLINK("https://app.hubspot.com/contacts/8748051/record/0-2/49459528067", 49459528067)</f>
        <v>49459528067</v>
      </c>
      <c r="N42" s="24" t="s">
        <v>3325</v>
      </c>
      <c r="O42" s="34"/>
      <c r="P42" s="24"/>
      <c r="Q42" s="24"/>
      <c r="R42" s="24"/>
      <c r="S42" s="24"/>
      <c r="T42" s="34" t="str">
        <f t="shared" ref="T42:V42" si="42">IF(G42&lt;&gt;"","Yes","")</f>
        <v>Yes</v>
      </c>
      <c r="U42" s="34" t="str">
        <f t="shared" si="42"/>
        <v/>
      </c>
      <c r="V42" s="34" t="str">
        <f t="shared" si="42"/>
        <v/>
      </c>
      <c r="W42" s="34" t="str">
        <f t="shared" si="3"/>
        <v/>
      </c>
      <c r="X42" s="24" t="str">
        <f t="shared" si="4"/>
        <v/>
      </c>
    </row>
    <row r="43" ht="14.25" customHeight="1">
      <c r="A43" s="28">
        <f>HYPERLINK("https://app.hubspot.com/contacts/8748051/record/0-1/194780933240", 194780933240)</f>
        <v>194780933240</v>
      </c>
      <c r="B43" s="24" t="s">
        <v>3326</v>
      </c>
      <c r="C43" s="26">
        <v>46042.786041666666</v>
      </c>
      <c r="D43" s="26"/>
      <c r="E43" s="28" t="s">
        <v>263</v>
      </c>
      <c r="F43" s="26"/>
      <c r="G43" s="35">
        <v>46043.0</v>
      </c>
      <c r="H43" s="35">
        <v>46050.0</v>
      </c>
      <c r="I43" s="35">
        <v>46050.0</v>
      </c>
      <c r="J43" s="24" t="s">
        <v>3327</v>
      </c>
      <c r="K43" s="24" t="s">
        <v>155</v>
      </c>
      <c r="L43" s="24"/>
      <c r="M43" s="28">
        <f>HYPERLINK("https://app.hubspot.com/contacts/8748051/record/0-2/49434176815", 49434176815)</f>
        <v>49434176815</v>
      </c>
      <c r="N43" s="24" t="s">
        <v>262</v>
      </c>
      <c r="O43" s="28">
        <f>HYPERLINK("https://app.hubspot.com/contacts/8748051/record/0-3/54314549078", 54314549078)</f>
        <v>54314549078</v>
      </c>
      <c r="P43" s="24" t="s">
        <v>261</v>
      </c>
      <c r="Q43" s="24" t="s">
        <v>73</v>
      </c>
      <c r="R43" s="24">
        <v>2500.0</v>
      </c>
      <c r="S43" s="24"/>
      <c r="T43" s="34" t="str">
        <f t="shared" ref="T43:V43" si="43">IF(G43&lt;&gt;"","Yes","")</f>
        <v>Yes</v>
      </c>
      <c r="U43" s="34" t="str">
        <f t="shared" si="43"/>
        <v>Yes</v>
      </c>
      <c r="V43" s="34" t="str">
        <f t="shared" si="43"/>
        <v>Yes</v>
      </c>
      <c r="W43" s="34" t="str">
        <f t="shared" si="3"/>
        <v/>
      </c>
      <c r="X43" s="24" t="str">
        <f t="shared" si="4"/>
        <v/>
      </c>
    </row>
    <row r="44" ht="14.25" customHeight="1">
      <c r="A44" s="28">
        <f>HYPERLINK("https://app.hubspot.com/contacts/8748051/record/0-1/194293405457", 194293405457)</f>
        <v>194293405457</v>
      </c>
      <c r="B44" s="24" t="s">
        <v>3328</v>
      </c>
      <c r="C44" s="26">
        <v>46041.093726851854</v>
      </c>
      <c r="D44" s="26"/>
      <c r="E44" s="28" t="s">
        <v>282</v>
      </c>
      <c r="F44" s="24"/>
      <c r="G44" s="35">
        <v>46044.0</v>
      </c>
      <c r="H44" s="35">
        <v>46044.0</v>
      </c>
      <c r="I44" s="35"/>
      <c r="J44" s="24" t="s">
        <v>3239</v>
      </c>
      <c r="K44" s="24" t="s">
        <v>3239</v>
      </c>
      <c r="L44" s="24"/>
      <c r="M44" s="28">
        <f>HYPERLINK("https://app.hubspot.com/contacts/8748051/record/0-2/49356471705", 49356471705)</f>
        <v>49356471705</v>
      </c>
      <c r="N44" s="24" t="s">
        <v>281</v>
      </c>
      <c r="O44" s="33">
        <f>HYPERLINK("https://app.hubspot.com/contacts/8748051/record/0-3/54192627052", 54192627052)</f>
        <v>54192627052</v>
      </c>
      <c r="P44" s="24" t="s">
        <v>280</v>
      </c>
      <c r="Q44" s="24" t="s">
        <v>73</v>
      </c>
      <c r="R44" s="24">
        <v>0.0</v>
      </c>
      <c r="S44" s="24"/>
      <c r="T44" s="34" t="str">
        <f t="shared" ref="T44:V44" si="44">IF(G44&lt;&gt;"","Yes","")</f>
        <v>Yes</v>
      </c>
      <c r="U44" s="34" t="str">
        <f t="shared" si="44"/>
        <v>Yes</v>
      </c>
      <c r="V44" s="34" t="str">
        <f t="shared" si="44"/>
        <v/>
      </c>
      <c r="W44" s="34" t="str">
        <f t="shared" si="3"/>
        <v/>
      </c>
      <c r="X44" s="24" t="str">
        <f t="shared" si="4"/>
        <v/>
      </c>
    </row>
    <row r="45" ht="14.25" customHeight="1">
      <c r="A45" s="28">
        <f>HYPERLINK("https://app.hubspot.com/contacts/8748051/record/0-1/193512784467", 193512784467)</f>
        <v>193512784467</v>
      </c>
      <c r="B45" s="24" t="s">
        <v>3329</v>
      </c>
      <c r="C45" s="26">
        <v>46037.7575</v>
      </c>
      <c r="D45" s="26"/>
      <c r="E45" s="28" t="s">
        <v>286</v>
      </c>
      <c r="F45" s="24"/>
      <c r="G45" s="35">
        <v>46038.0</v>
      </c>
      <c r="H45" s="35">
        <v>46052.0</v>
      </c>
      <c r="I45" s="35">
        <v>46052.0</v>
      </c>
      <c r="J45" s="24" t="s">
        <v>3254</v>
      </c>
      <c r="K45" s="24" t="s">
        <v>3239</v>
      </c>
      <c r="L45" s="24"/>
      <c r="M45" s="28">
        <f>HYPERLINK("https://app.hubspot.com/contacts/8748051/record/0-2/49119537465", 49119537465)</f>
        <v>49119537465</v>
      </c>
      <c r="N45" s="24" t="s">
        <v>285</v>
      </c>
      <c r="O45" s="28">
        <f>HYPERLINK("https://app.hubspot.com/contacts/8748051/record/0-3/54003637801", 54003637801)</f>
        <v>54003637801</v>
      </c>
      <c r="P45" s="24" t="s">
        <v>283</v>
      </c>
      <c r="Q45" s="24" t="s">
        <v>149</v>
      </c>
      <c r="R45" s="24">
        <v>15000.0</v>
      </c>
      <c r="S45" s="24" t="b">
        <v>1</v>
      </c>
      <c r="T45" s="34" t="str">
        <f t="shared" ref="T45:V45" si="45">IF(G45&lt;&gt;"","Yes","")</f>
        <v>Yes</v>
      </c>
      <c r="U45" s="34" t="str">
        <f t="shared" si="45"/>
        <v>Yes</v>
      </c>
      <c r="V45" s="34" t="str">
        <f t="shared" si="45"/>
        <v>Yes</v>
      </c>
      <c r="W45" s="34" t="str">
        <f t="shared" si="3"/>
        <v/>
      </c>
      <c r="X45" s="24" t="str">
        <f t="shared" si="4"/>
        <v>Yes</v>
      </c>
    </row>
    <row r="46" ht="14.25" customHeight="1">
      <c r="A46" s="28">
        <f>HYPERLINK("https://app.hubspot.com/contacts/8748051/record/0-1/193298029115", 193298029115)</f>
        <v>193298029115</v>
      </c>
      <c r="B46" s="24" t="s">
        <v>3330</v>
      </c>
      <c r="C46" s="26">
        <v>46037.13211805555</v>
      </c>
      <c r="D46" s="26"/>
      <c r="E46" s="24" t="s">
        <v>289</v>
      </c>
      <c r="F46" s="24"/>
      <c r="G46" s="35">
        <v>46037.0</v>
      </c>
      <c r="H46" s="35">
        <v>46038.0</v>
      </c>
      <c r="I46" s="35">
        <v>46038.0</v>
      </c>
      <c r="J46" s="24" t="s">
        <v>3331</v>
      </c>
      <c r="K46" s="24" t="s">
        <v>3252</v>
      </c>
      <c r="L46" s="24"/>
      <c r="M46" s="28">
        <f>HYPERLINK("https://app.hubspot.com/contacts/8748051/record/0-2/18598720558", 18598720558)</f>
        <v>18598720558</v>
      </c>
      <c r="N46" s="24" t="s">
        <v>288</v>
      </c>
      <c r="O46" s="28">
        <f>HYPERLINK("https://app.hubspot.com/contacts/8748051/record/0-3/53944291355", 53944291355)</f>
        <v>53944291355</v>
      </c>
      <c r="P46" s="24" t="s">
        <v>287</v>
      </c>
      <c r="Q46" s="24" t="s">
        <v>73</v>
      </c>
      <c r="R46" s="24">
        <v>12500.0</v>
      </c>
      <c r="S46" s="24"/>
      <c r="T46" s="34" t="str">
        <f t="shared" ref="T46:V46" si="46">IF(G46&lt;&gt;"","Yes","")</f>
        <v>Yes</v>
      </c>
      <c r="U46" s="34" t="str">
        <f t="shared" si="46"/>
        <v>Yes</v>
      </c>
      <c r="V46" s="34" t="str">
        <f t="shared" si="46"/>
        <v>Yes</v>
      </c>
      <c r="W46" s="34" t="str">
        <f t="shared" si="3"/>
        <v/>
      </c>
      <c r="X46" s="24" t="str">
        <f t="shared" si="4"/>
        <v/>
      </c>
    </row>
    <row r="47" ht="14.25" customHeight="1">
      <c r="A47" s="28">
        <f>HYPERLINK("https://app.hubspot.com/contacts/8748051/record/0-1/193263873353", 193263873353)</f>
        <v>193263873353</v>
      </c>
      <c r="B47" s="24" t="s">
        <v>3332</v>
      </c>
      <c r="C47" s="26">
        <v>46036.89171296296</v>
      </c>
      <c r="D47" s="26"/>
      <c r="E47" s="24" t="s">
        <v>292</v>
      </c>
      <c r="F47" s="24"/>
      <c r="G47" s="35">
        <v>46037.0</v>
      </c>
      <c r="H47" s="35">
        <v>46041.0</v>
      </c>
      <c r="I47" s="35">
        <v>46041.0</v>
      </c>
      <c r="J47" s="24" t="s">
        <v>3333</v>
      </c>
      <c r="K47" s="24" t="s">
        <v>155</v>
      </c>
      <c r="L47" s="24" t="s">
        <v>3249</v>
      </c>
      <c r="M47" s="28">
        <f>HYPERLINK("https://app.hubspot.com/contacts/8748051/record/0-2/49076433176", 49076433176)</f>
        <v>49076433176</v>
      </c>
      <c r="N47" s="24" t="s">
        <v>291</v>
      </c>
      <c r="O47" s="28">
        <f>HYPERLINK("https://app.hubspot.com/contacts/8748051/record/0-3/53864542225", 53864542225)</f>
        <v>53864542225</v>
      </c>
      <c r="P47" s="24" t="s">
        <v>290</v>
      </c>
      <c r="Q47" s="24" t="s">
        <v>127</v>
      </c>
      <c r="R47" s="24">
        <v>7500.0</v>
      </c>
      <c r="S47" s="24" t="b">
        <v>1</v>
      </c>
      <c r="T47" s="34" t="str">
        <f t="shared" ref="T47:V47" si="47">IF(G47&lt;&gt;"","Yes","")</f>
        <v>Yes</v>
      </c>
      <c r="U47" s="34" t="str">
        <f t="shared" si="47"/>
        <v>Yes</v>
      </c>
      <c r="V47" s="34" t="str">
        <f t="shared" si="47"/>
        <v>Yes</v>
      </c>
      <c r="W47" s="34" t="str">
        <f t="shared" si="3"/>
        <v/>
      </c>
      <c r="X47" s="24" t="str">
        <f t="shared" si="4"/>
        <v/>
      </c>
    </row>
    <row r="48" ht="14.25" customHeight="1">
      <c r="A48" s="28">
        <f>HYPERLINK("https://app.hubspot.com/contacts/8748051/record/0-1/193021305913", 193021305913)</f>
        <v>193021305913</v>
      </c>
      <c r="B48" s="24" t="s">
        <v>3334</v>
      </c>
      <c r="C48" s="26">
        <v>46036.38171296296</v>
      </c>
      <c r="D48" s="26"/>
      <c r="E48" s="28" t="s">
        <v>295</v>
      </c>
      <c r="F48" s="26"/>
      <c r="G48" s="35">
        <v>46036.0</v>
      </c>
      <c r="H48" s="35">
        <v>46043.0</v>
      </c>
      <c r="I48" s="35">
        <v>46043.0</v>
      </c>
      <c r="J48" s="24" t="s">
        <v>3335</v>
      </c>
      <c r="K48" s="24" t="s">
        <v>3248</v>
      </c>
      <c r="L48" s="24"/>
      <c r="M48" s="28">
        <f>HYPERLINK("https://app.hubspot.com/contacts/8748051/record/0-2/48931812153", 48931812153)</f>
        <v>48931812153</v>
      </c>
      <c r="N48" s="24" t="s">
        <v>294</v>
      </c>
      <c r="O48" s="33">
        <f>HYPERLINK("https://app.hubspot.com/contacts/8748051/record/0-3/53814466116", 53814466116)</f>
        <v>53814466116</v>
      </c>
      <c r="P48" s="24" t="s">
        <v>293</v>
      </c>
      <c r="Q48" s="24" t="s">
        <v>127</v>
      </c>
      <c r="R48" s="24">
        <v>26000.0</v>
      </c>
      <c r="S48" s="24" t="b">
        <v>1</v>
      </c>
      <c r="T48" s="34" t="str">
        <f t="shared" ref="T48:V48" si="48">IF(G48&lt;&gt;"","Yes","")</f>
        <v>Yes</v>
      </c>
      <c r="U48" s="34" t="str">
        <f t="shared" si="48"/>
        <v>Yes</v>
      </c>
      <c r="V48" s="34" t="str">
        <f t="shared" si="48"/>
        <v>Yes</v>
      </c>
      <c r="W48" s="34" t="str">
        <f t="shared" si="3"/>
        <v/>
      </c>
      <c r="X48" s="24" t="str">
        <f t="shared" si="4"/>
        <v/>
      </c>
    </row>
    <row r="49" ht="14.25" customHeight="1">
      <c r="A49" s="28">
        <f>HYPERLINK("https://app.hubspot.com/contacts/8748051/record/0-1/192840380835", 192840380835)</f>
        <v>192840380835</v>
      </c>
      <c r="B49" s="24" t="s">
        <v>3336</v>
      </c>
      <c r="C49" s="26">
        <v>46035.82564814815</v>
      </c>
      <c r="D49" s="26"/>
      <c r="E49" s="28" t="s">
        <v>298</v>
      </c>
      <c r="F49" s="24"/>
      <c r="G49" s="35">
        <v>46036.0</v>
      </c>
      <c r="H49" s="35">
        <v>46042.0</v>
      </c>
      <c r="I49" s="35"/>
      <c r="J49" s="24" t="s">
        <v>3254</v>
      </c>
      <c r="K49" s="24" t="s">
        <v>3239</v>
      </c>
      <c r="L49" s="24" t="s">
        <v>3337</v>
      </c>
      <c r="M49" s="28">
        <f>HYPERLINK("https://app.hubspot.com/contacts/8748051/record/0-2/48922792753", 48922792753)</f>
        <v>48922792753</v>
      </c>
      <c r="N49" s="24" t="s">
        <v>297</v>
      </c>
      <c r="O49" s="28">
        <f>HYPERLINK("https://app.hubspot.com/contacts/8748051/record/0-3/53811994683", 53811994683)</f>
        <v>53811994683</v>
      </c>
      <c r="P49" s="24" t="s">
        <v>296</v>
      </c>
      <c r="Q49" s="24" t="s">
        <v>73</v>
      </c>
      <c r="R49" s="24">
        <v>0.0</v>
      </c>
      <c r="S49" s="24"/>
      <c r="T49" s="34" t="str">
        <f t="shared" ref="T49:V49" si="49">IF(G49&lt;&gt;"","Yes","")</f>
        <v>Yes</v>
      </c>
      <c r="U49" s="34" t="str">
        <f t="shared" si="49"/>
        <v>Yes</v>
      </c>
      <c r="V49" s="34" t="str">
        <f t="shared" si="49"/>
        <v/>
      </c>
      <c r="W49" s="34" t="str">
        <f t="shared" si="3"/>
        <v/>
      </c>
      <c r="X49" s="24" t="str">
        <f t="shared" si="4"/>
        <v/>
      </c>
    </row>
    <row r="50" ht="14.25" customHeight="1">
      <c r="A50" s="28">
        <f>HYPERLINK("https://app.hubspot.com/contacts/8748051/record/0-1/192793188272", 192793188272)</f>
        <v>192793188272</v>
      </c>
      <c r="B50" s="24" t="s">
        <v>3338</v>
      </c>
      <c r="C50" s="26">
        <v>46035.650185185186</v>
      </c>
      <c r="D50" s="26"/>
      <c r="E50" s="28" t="s">
        <v>301</v>
      </c>
      <c r="F50" s="24"/>
      <c r="G50" s="35">
        <v>46036.0</v>
      </c>
      <c r="H50" s="35">
        <v>46042.0</v>
      </c>
      <c r="I50" s="35"/>
      <c r="J50" s="24" t="s">
        <v>3339</v>
      </c>
      <c r="K50" s="24" t="s">
        <v>155</v>
      </c>
      <c r="L50" s="24" t="s">
        <v>3249</v>
      </c>
      <c r="M50" s="28">
        <f>HYPERLINK("https://app.hubspot.com/contacts/8748051/record/0-2/48892513299", 48892513299)</f>
        <v>48892513299</v>
      </c>
      <c r="N50" s="24" t="s">
        <v>300</v>
      </c>
      <c r="O50" s="33">
        <f>HYPERLINK("https://app.hubspot.com/contacts/8748051/record/0-3/53767933957", 53767933957)</f>
        <v>53767933957</v>
      </c>
      <c r="P50" s="24" t="s">
        <v>299</v>
      </c>
      <c r="Q50" s="24" t="s">
        <v>73</v>
      </c>
      <c r="R50" s="24">
        <v>1500.0</v>
      </c>
      <c r="S50" s="24"/>
      <c r="T50" s="34" t="str">
        <f t="shared" ref="T50:V50" si="50">IF(G50&lt;&gt;"","Yes","")</f>
        <v>Yes</v>
      </c>
      <c r="U50" s="34" t="str">
        <f t="shared" si="50"/>
        <v>Yes</v>
      </c>
      <c r="V50" s="34" t="str">
        <f t="shared" si="50"/>
        <v/>
      </c>
      <c r="W50" s="34" t="str">
        <f t="shared" si="3"/>
        <v/>
      </c>
      <c r="X50" s="24" t="str">
        <f t="shared" si="4"/>
        <v/>
      </c>
    </row>
    <row r="51" ht="14.25" customHeight="1">
      <c r="A51" s="28">
        <f>HYPERLINK("https://app.hubspot.com/contacts/8748051/record/0-1/192577252218", 192577252218)</f>
        <v>192577252218</v>
      </c>
      <c r="B51" s="24" t="s">
        <v>3340</v>
      </c>
      <c r="C51" s="26">
        <v>46035.27532407407</v>
      </c>
      <c r="D51" s="26"/>
      <c r="E51" s="28" t="s">
        <v>787</v>
      </c>
      <c r="F51" s="24" t="s">
        <v>3341</v>
      </c>
      <c r="G51" s="35"/>
      <c r="H51" s="35"/>
      <c r="I51" s="35"/>
      <c r="J51" s="24" t="s">
        <v>3342</v>
      </c>
      <c r="K51" s="24" t="s">
        <v>155</v>
      </c>
      <c r="L51" s="24"/>
      <c r="M51" s="28">
        <f>HYPERLINK("https://app.hubspot.com/contacts/8748051/record/0-2/7165296547", 7165296547)</f>
        <v>7165296547</v>
      </c>
      <c r="N51" s="24" t="s">
        <v>786</v>
      </c>
      <c r="O51" s="34"/>
      <c r="P51" s="24"/>
      <c r="Q51" s="24"/>
      <c r="R51" s="24"/>
      <c r="S51" s="24"/>
      <c r="T51" s="34" t="str">
        <f t="shared" ref="T51:V51" si="51">IF(G51&lt;&gt;"","Yes","")</f>
        <v/>
      </c>
      <c r="U51" s="34" t="str">
        <f t="shared" si="51"/>
        <v/>
      </c>
      <c r="V51" s="34" t="str">
        <f t="shared" si="51"/>
        <v/>
      </c>
      <c r="W51" s="34" t="str">
        <f t="shared" si="3"/>
        <v/>
      </c>
      <c r="X51" s="24" t="str">
        <f t="shared" si="4"/>
        <v/>
      </c>
    </row>
    <row r="52" ht="14.25" customHeight="1">
      <c r="A52" s="28">
        <f>HYPERLINK("https://app.hubspot.com/contacts/8748051/record/0-1/191705249436", 191705249436)</f>
        <v>191705249436</v>
      </c>
      <c r="B52" s="24" t="s">
        <v>3343</v>
      </c>
      <c r="C52" s="26">
        <v>46031.48097222222</v>
      </c>
      <c r="D52" s="26"/>
      <c r="E52" s="28" t="s">
        <v>322</v>
      </c>
      <c r="F52" s="24"/>
      <c r="G52" s="35">
        <v>46031.0</v>
      </c>
      <c r="H52" s="35">
        <v>46042.0</v>
      </c>
      <c r="I52" s="35"/>
      <c r="J52" s="24" t="s">
        <v>3344</v>
      </c>
      <c r="K52" s="24" t="s">
        <v>155</v>
      </c>
      <c r="L52" s="24"/>
      <c r="M52" s="28">
        <f>HYPERLINK("https://app.hubspot.com/contacts/8748051/record/0-2/48717714718", 48717714718)</f>
        <v>48717714718</v>
      </c>
      <c r="N52" s="24" t="s">
        <v>321</v>
      </c>
      <c r="O52" s="33">
        <f>HYPERLINK("https://app.hubspot.com/contacts/8748051/record/0-3/53531187273", 53531187273)</f>
        <v>53531187273</v>
      </c>
      <c r="P52" s="24" t="s">
        <v>320</v>
      </c>
      <c r="Q52" s="24" t="s">
        <v>73</v>
      </c>
      <c r="R52" s="24">
        <v>2000.0</v>
      </c>
      <c r="S52" s="24"/>
      <c r="T52" s="34" t="str">
        <f t="shared" ref="T52:V52" si="52">IF(G52&lt;&gt;"","Yes","")</f>
        <v>Yes</v>
      </c>
      <c r="U52" s="34" t="str">
        <f t="shared" si="52"/>
        <v>Yes</v>
      </c>
      <c r="V52" s="34" t="str">
        <f t="shared" si="52"/>
        <v/>
      </c>
      <c r="W52" s="34" t="str">
        <f t="shared" si="3"/>
        <v/>
      </c>
      <c r="X52" s="24" t="str">
        <f t="shared" si="4"/>
        <v/>
      </c>
    </row>
    <row r="53" ht="14.25" customHeight="1">
      <c r="A53" s="28">
        <f>HYPERLINK("https://app.hubspot.com/contacts/8748051/record/0-1/191451250946", 191451250946)</f>
        <v>191451250946</v>
      </c>
      <c r="B53" s="24" t="s">
        <v>3345</v>
      </c>
      <c r="C53" s="26">
        <v>46030.55966435185</v>
      </c>
      <c r="D53" s="26"/>
      <c r="E53" s="28" t="s">
        <v>329</v>
      </c>
      <c r="F53" s="24"/>
      <c r="G53" s="35">
        <v>46030.0</v>
      </c>
      <c r="H53" s="35">
        <v>46043.0</v>
      </c>
      <c r="I53" s="35">
        <v>46043.0</v>
      </c>
      <c r="J53" s="24" t="s">
        <v>3346</v>
      </c>
      <c r="K53" s="24" t="s">
        <v>155</v>
      </c>
      <c r="L53" s="24" t="s">
        <v>3249</v>
      </c>
      <c r="M53" s="28">
        <f>HYPERLINK("https://app.hubspot.com/contacts/8748051/record/0-2/19176672265", 19176672265)</f>
        <v>19176672265</v>
      </c>
      <c r="N53" s="24" t="s">
        <v>328</v>
      </c>
      <c r="O53" s="33">
        <f>HYPERLINK("https://app.hubspot.com/contacts/8748051/record/0-3/53428932737", 53428932737)</f>
        <v>53428932737</v>
      </c>
      <c r="P53" s="24" t="s">
        <v>326</v>
      </c>
      <c r="Q53" s="24" t="s">
        <v>327</v>
      </c>
      <c r="R53" s="24">
        <v>25000.0</v>
      </c>
      <c r="S53" s="24" t="b">
        <v>1</v>
      </c>
      <c r="T53" s="34" t="str">
        <f t="shared" ref="T53:V53" si="53">IF(G53&lt;&gt;"","Yes","")</f>
        <v>Yes</v>
      </c>
      <c r="U53" s="34" t="str">
        <f t="shared" si="53"/>
        <v>Yes</v>
      </c>
      <c r="V53" s="34" t="str">
        <f t="shared" si="53"/>
        <v>Yes</v>
      </c>
      <c r="W53" s="34" t="str">
        <f t="shared" si="3"/>
        <v/>
      </c>
      <c r="X53" s="24" t="str">
        <f t="shared" si="4"/>
        <v/>
      </c>
    </row>
    <row r="54" ht="14.25" customHeight="1">
      <c r="A54" s="28">
        <f>HYPERLINK("https://app.hubspot.com/contacts/8748051/record/0-1/191377676687", 191377676687)</f>
        <v>191377676687</v>
      </c>
      <c r="B54" s="24" t="s">
        <v>3347</v>
      </c>
      <c r="C54" s="26">
        <v>46030.39980324074</v>
      </c>
      <c r="D54" s="26"/>
      <c r="E54" s="28" t="s">
        <v>332</v>
      </c>
      <c r="F54" s="26"/>
      <c r="G54" s="35">
        <v>46030.0</v>
      </c>
      <c r="H54" s="35">
        <v>46031.0</v>
      </c>
      <c r="I54" s="35">
        <v>46031.0</v>
      </c>
      <c r="J54" s="24" t="s">
        <v>3348</v>
      </c>
      <c r="K54" s="24" t="s">
        <v>3239</v>
      </c>
      <c r="L54" s="24"/>
      <c r="M54" s="28">
        <f>HYPERLINK("https://app.hubspot.com/contacts/8748051/record/0-2/38577068592", 38577068592)</f>
        <v>38577068592</v>
      </c>
      <c r="N54" s="24" t="s">
        <v>331</v>
      </c>
      <c r="O54" s="28">
        <f>HYPERLINK("https://app.hubspot.com/contacts/8748051/record/0-3/53397139783", 53397139783)</f>
        <v>53397139783</v>
      </c>
      <c r="P54" s="24" t="s">
        <v>330</v>
      </c>
      <c r="Q54" s="24" t="s">
        <v>127</v>
      </c>
      <c r="R54" s="24">
        <v>10000.0</v>
      </c>
      <c r="S54" s="24" t="b">
        <v>1</v>
      </c>
      <c r="T54" s="34" t="str">
        <f t="shared" ref="T54:V54" si="54">IF(G54&lt;&gt;"","Yes","")</f>
        <v>Yes</v>
      </c>
      <c r="U54" s="34" t="str">
        <f t="shared" si="54"/>
        <v>Yes</v>
      </c>
      <c r="V54" s="34" t="str">
        <f t="shared" si="54"/>
        <v>Yes</v>
      </c>
      <c r="W54" s="34" t="str">
        <f t="shared" si="3"/>
        <v/>
      </c>
      <c r="X54" s="24" t="str">
        <f t="shared" si="4"/>
        <v/>
      </c>
    </row>
    <row r="55" ht="14.25" customHeight="1">
      <c r="A55" s="28">
        <f>HYPERLINK("https://app.hubspot.com/contacts/8748051/record/0-1/185599812782", 185599812782)</f>
        <v>185599812782</v>
      </c>
      <c r="B55" s="24" t="s">
        <v>3349</v>
      </c>
      <c r="C55" s="26">
        <v>46029.104409722226</v>
      </c>
      <c r="D55" s="26"/>
      <c r="E55" s="28" t="s">
        <v>338</v>
      </c>
      <c r="F55" s="24"/>
      <c r="G55" s="35">
        <v>46029.0</v>
      </c>
      <c r="H55" s="35">
        <v>46037.0</v>
      </c>
      <c r="I55" s="35">
        <v>46037.0</v>
      </c>
      <c r="J55" s="24" t="s">
        <v>3350</v>
      </c>
      <c r="K55" s="24" t="s">
        <v>3239</v>
      </c>
      <c r="L55" s="24"/>
      <c r="M55" s="28">
        <f>HYPERLINK("https://app.hubspot.com/contacts/8748051/record/0-2/48582687828", 48582687828)</f>
        <v>48582687828</v>
      </c>
      <c r="N55" s="24" t="s">
        <v>337</v>
      </c>
      <c r="O55" s="33">
        <f>HYPERLINK("https://app.hubspot.com/contacts/8748051/record/0-3/53380681538", 53380681538)</f>
        <v>53380681538</v>
      </c>
      <c r="P55" s="24" t="s">
        <v>336</v>
      </c>
      <c r="Q55" s="24" t="s">
        <v>51</v>
      </c>
      <c r="R55" s="24">
        <v>6000.0</v>
      </c>
      <c r="S55" s="24" t="b">
        <v>1</v>
      </c>
      <c r="T55" s="34" t="str">
        <f t="shared" ref="T55:V55" si="55">IF(G55&lt;&gt;"","Yes","")</f>
        <v>Yes</v>
      </c>
      <c r="U55" s="34" t="str">
        <f t="shared" si="55"/>
        <v>Yes</v>
      </c>
      <c r="V55" s="34" t="str">
        <f t="shared" si="55"/>
        <v>Yes</v>
      </c>
      <c r="W55" s="34" t="str">
        <f t="shared" si="3"/>
        <v/>
      </c>
      <c r="X55" s="24" t="str">
        <f t="shared" si="4"/>
        <v/>
      </c>
    </row>
    <row r="56" ht="14.25" customHeight="1">
      <c r="A56" s="28">
        <f>HYPERLINK("https://app.hubspot.com/contacts/8748051/record/0-1/190812727714", 190812727714)</f>
        <v>190812727714</v>
      </c>
      <c r="B56" s="24" t="s">
        <v>3351</v>
      </c>
      <c r="C56" s="26">
        <v>46028.289768518516</v>
      </c>
      <c r="D56" s="26"/>
      <c r="E56" s="28" t="s">
        <v>341</v>
      </c>
      <c r="F56" s="24"/>
      <c r="G56" s="35">
        <v>46028.0</v>
      </c>
      <c r="H56" s="35">
        <v>46028.0</v>
      </c>
      <c r="I56" s="35">
        <v>46028.0</v>
      </c>
      <c r="J56" s="24" t="s">
        <v>3352</v>
      </c>
      <c r="K56" s="24" t="s">
        <v>3239</v>
      </c>
      <c r="L56" s="24"/>
      <c r="M56" s="28">
        <f t="shared" ref="M56:M57" si="57">HYPERLINK("https://app.hubspot.com/contacts/8748051/record/0-2/19176303172", 19176303172)</f>
        <v>19176303172</v>
      </c>
      <c r="N56" s="24" t="s">
        <v>340</v>
      </c>
      <c r="O56" s="28">
        <f t="shared" ref="O56:O57" si="58">HYPERLINK("https://app.hubspot.com/contacts/8748051/record/0-3/53178277456", 53178277456)</f>
        <v>53178277456</v>
      </c>
      <c r="P56" s="24" t="s">
        <v>339</v>
      </c>
      <c r="Q56" s="24" t="s">
        <v>127</v>
      </c>
      <c r="R56" s="24">
        <v>35000.0</v>
      </c>
      <c r="S56" s="24" t="b">
        <v>1</v>
      </c>
      <c r="T56" s="34" t="str">
        <f t="shared" ref="T56:V56" si="56">IF(G56&lt;&gt;"","Yes","")</f>
        <v>Yes</v>
      </c>
      <c r="U56" s="34" t="str">
        <f t="shared" si="56"/>
        <v>Yes</v>
      </c>
      <c r="V56" s="34" t="str">
        <f t="shared" si="56"/>
        <v>Yes</v>
      </c>
      <c r="W56" s="34" t="str">
        <f t="shared" si="3"/>
        <v/>
      </c>
      <c r="X56" s="24" t="str">
        <f t="shared" si="4"/>
        <v/>
      </c>
    </row>
    <row r="57" ht="14.25" customHeight="1">
      <c r="A57" s="28">
        <f>HYPERLINK("https://app.hubspot.com/contacts/8748051/record/0-1/183270738770", 183270738770)</f>
        <v>183270738770</v>
      </c>
      <c r="B57" s="24" t="s">
        <v>3353</v>
      </c>
      <c r="C57" s="26">
        <v>46028.25717592592</v>
      </c>
      <c r="D57" s="26"/>
      <c r="E57" s="28" t="s">
        <v>341</v>
      </c>
      <c r="F57" s="24"/>
      <c r="G57" s="35">
        <v>46028.0</v>
      </c>
      <c r="H57" s="35">
        <v>46034.0</v>
      </c>
      <c r="I57" s="35">
        <v>46034.0</v>
      </c>
      <c r="J57" s="24" t="s">
        <v>3354</v>
      </c>
      <c r="K57" s="24" t="s">
        <v>3239</v>
      </c>
      <c r="L57" s="24"/>
      <c r="M57" s="28">
        <f t="shared" si="57"/>
        <v>19176303172</v>
      </c>
      <c r="N57" s="24" t="s">
        <v>340</v>
      </c>
      <c r="O57" s="33">
        <f t="shared" si="58"/>
        <v>53178277456</v>
      </c>
      <c r="P57" s="24" t="s">
        <v>339</v>
      </c>
      <c r="Q57" s="24" t="s">
        <v>127</v>
      </c>
      <c r="R57" s="24">
        <v>35000.0</v>
      </c>
      <c r="S57" s="24" t="b">
        <v>1</v>
      </c>
      <c r="T57" s="34" t="str">
        <f t="shared" ref="T57:V57" si="59">IF(G57&lt;&gt;"","Yes","")</f>
        <v>Yes</v>
      </c>
      <c r="U57" s="34" t="str">
        <f t="shared" si="59"/>
        <v>Yes</v>
      </c>
      <c r="V57" s="34" t="str">
        <f t="shared" si="59"/>
        <v>Yes</v>
      </c>
      <c r="W57" s="34" t="str">
        <f t="shared" si="3"/>
        <v/>
      </c>
      <c r="X57" s="24" t="str">
        <f t="shared" si="4"/>
        <v/>
      </c>
    </row>
    <row r="58" ht="14.25" customHeight="1">
      <c r="A58" s="28">
        <f>HYPERLINK("https://app.hubspot.com/contacts/8748051/record/0-1/189156394862", 189156394862)</f>
        <v>189156394862</v>
      </c>
      <c r="B58" s="24" t="s">
        <v>3355</v>
      </c>
      <c r="C58" s="26">
        <v>46024.069814814815</v>
      </c>
      <c r="D58" s="26"/>
      <c r="E58" s="28" t="s">
        <v>3356</v>
      </c>
      <c r="F58" s="24" t="s">
        <v>3304</v>
      </c>
      <c r="G58" s="35"/>
      <c r="H58" s="35"/>
      <c r="I58" s="35"/>
      <c r="J58" s="24" t="s">
        <v>3357</v>
      </c>
      <c r="K58" s="24" t="s">
        <v>3237</v>
      </c>
      <c r="L58" s="24"/>
      <c r="M58" s="28">
        <f>HYPERLINK("https://app.hubspot.com/contacts/8748051/record/0-2/48092993678", 48092993678)</f>
        <v>48092993678</v>
      </c>
      <c r="N58" s="24"/>
      <c r="O58" s="34"/>
      <c r="P58" s="24"/>
      <c r="Q58" s="24"/>
      <c r="R58" s="24"/>
      <c r="S58" s="24"/>
      <c r="T58" s="34" t="str">
        <f t="shared" ref="T58:V58" si="60">IF(G58&lt;&gt;"","Yes","")</f>
        <v/>
      </c>
      <c r="U58" s="34" t="str">
        <f t="shared" si="60"/>
        <v/>
      </c>
      <c r="V58" s="34" t="str">
        <f t="shared" si="60"/>
        <v/>
      </c>
      <c r="W58" s="34" t="str">
        <f t="shared" si="3"/>
        <v/>
      </c>
      <c r="X58" s="24" t="str">
        <f t="shared" si="4"/>
        <v/>
      </c>
    </row>
    <row r="59" ht="14.25" customHeight="1">
      <c r="A59" s="28">
        <f>HYPERLINK("https://app.hubspot.com/contacts/8748051/record/0-1/189646743922", 189646743922)</f>
        <v>189646743922</v>
      </c>
      <c r="B59" s="24" t="s">
        <v>3358</v>
      </c>
      <c r="C59" s="26">
        <v>46023.64083333333</v>
      </c>
      <c r="D59" s="26"/>
      <c r="E59" s="28" t="s">
        <v>353</v>
      </c>
      <c r="F59" s="24"/>
      <c r="G59" s="35">
        <v>46024.0</v>
      </c>
      <c r="H59" s="35">
        <v>46027.0</v>
      </c>
      <c r="I59" s="35">
        <v>46027.0</v>
      </c>
      <c r="J59" s="24" t="s">
        <v>3359</v>
      </c>
      <c r="K59" s="24" t="s">
        <v>3360</v>
      </c>
      <c r="L59" s="24"/>
      <c r="M59" s="28">
        <f>HYPERLINK("https://app.hubspot.com/contacts/8748051/record/0-2/48108158301", 48108158301)</f>
        <v>48108158301</v>
      </c>
      <c r="N59" s="24" t="s">
        <v>352</v>
      </c>
      <c r="O59" s="28">
        <f>HYPERLINK("https://app.hubspot.com/contacts/8748051/record/0-3/53116847482", 53116847482)</f>
        <v>53116847482</v>
      </c>
      <c r="P59" s="24" t="s">
        <v>351</v>
      </c>
      <c r="Q59" s="24" t="s">
        <v>127</v>
      </c>
      <c r="R59" s="24">
        <v>0.0</v>
      </c>
      <c r="S59" s="24" t="b">
        <v>1</v>
      </c>
      <c r="T59" s="34" t="str">
        <f t="shared" ref="T59:V59" si="61">IF(G59&lt;&gt;"","Yes","")</f>
        <v>Yes</v>
      </c>
      <c r="U59" s="34" t="str">
        <f t="shared" si="61"/>
        <v>Yes</v>
      </c>
      <c r="V59" s="34" t="str">
        <f t="shared" si="61"/>
        <v>Yes</v>
      </c>
      <c r="W59" s="34" t="str">
        <f t="shared" si="3"/>
        <v/>
      </c>
      <c r="X59" s="24" t="str">
        <f t="shared" si="4"/>
        <v/>
      </c>
    </row>
    <row r="60" ht="14.25" customHeight="1">
      <c r="A60" s="28">
        <f>HYPERLINK("https://app.hubspot.com/contacts/8748051/record/0-1/176986259510", 176986259510)</f>
        <v>176986259510</v>
      </c>
      <c r="B60" s="24" t="s">
        <v>3361</v>
      </c>
      <c r="C60" s="26">
        <v>46022.24133101852</v>
      </c>
      <c r="D60" s="26"/>
      <c r="E60" s="28" t="s">
        <v>335</v>
      </c>
      <c r="F60" s="24"/>
      <c r="G60" s="35">
        <v>46022.0</v>
      </c>
      <c r="H60" s="35">
        <v>46034.0</v>
      </c>
      <c r="I60" s="35">
        <v>46034.0</v>
      </c>
      <c r="J60" s="24" t="s">
        <v>3362</v>
      </c>
      <c r="K60" s="24" t="s">
        <v>3252</v>
      </c>
      <c r="L60" s="24"/>
      <c r="M60" s="28">
        <f>HYPERLINK("https://app.hubspot.com/contacts/8748051/record/0-2/48226874505", 48226874505)</f>
        <v>48226874505</v>
      </c>
      <c r="N60" s="24" t="s">
        <v>334</v>
      </c>
      <c r="O60" s="33">
        <f>HYPERLINK("https://app.hubspot.com/contacts/8748051/record/0-3/53410978432", 53410978432)</f>
        <v>53410978432</v>
      </c>
      <c r="P60" s="24" t="s">
        <v>333</v>
      </c>
      <c r="Q60" s="24" t="s">
        <v>127</v>
      </c>
      <c r="R60" s="24">
        <v>25000.0</v>
      </c>
      <c r="S60" s="24" t="b">
        <v>1</v>
      </c>
      <c r="T60" s="34" t="str">
        <f t="shared" ref="T60:V60" si="62">IF(G60&lt;&gt;"","Yes","")</f>
        <v>Yes</v>
      </c>
      <c r="U60" s="34" t="str">
        <f t="shared" si="62"/>
        <v>Yes</v>
      </c>
      <c r="V60" s="34" t="str">
        <f t="shared" si="62"/>
        <v>Yes</v>
      </c>
      <c r="W60" s="34" t="str">
        <f t="shared" si="3"/>
        <v/>
      </c>
      <c r="X60" s="24" t="str">
        <f t="shared" si="4"/>
        <v/>
      </c>
    </row>
    <row r="61" ht="14.25" customHeight="1">
      <c r="A61" s="28">
        <f>HYPERLINK("https://app.hubspot.com/contacts/8748051/record/0-1/187925555868", 187925555868)</f>
        <v>187925555868</v>
      </c>
      <c r="B61" s="24" t="s">
        <v>3363</v>
      </c>
      <c r="C61" s="26">
        <v>46016.85775462963</v>
      </c>
      <c r="D61" s="26"/>
      <c r="E61" s="28" t="s">
        <v>3364</v>
      </c>
      <c r="F61" s="24" t="s">
        <v>3304</v>
      </c>
      <c r="G61" s="35"/>
      <c r="H61" s="35"/>
      <c r="I61" s="35"/>
      <c r="J61" s="24" t="s">
        <v>3365</v>
      </c>
      <c r="K61" s="24" t="s">
        <v>155</v>
      </c>
      <c r="L61" s="24"/>
      <c r="M61" s="28">
        <f>HYPERLINK("https://app.hubspot.com/contacts/8748051/record/0-2/47641832338", 47641832338)</f>
        <v>47641832338</v>
      </c>
      <c r="N61" s="24" t="s">
        <v>3366</v>
      </c>
      <c r="O61" s="34"/>
      <c r="P61" s="24"/>
      <c r="Q61" s="24"/>
      <c r="R61" s="24"/>
      <c r="S61" s="24"/>
      <c r="T61" s="34" t="str">
        <f t="shared" ref="T61:V61" si="63">IF(G61&lt;&gt;"","Yes","")</f>
        <v/>
      </c>
      <c r="U61" s="34" t="str">
        <f t="shared" si="63"/>
        <v/>
      </c>
      <c r="V61" s="34" t="str">
        <f t="shared" si="63"/>
        <v/>
      </c>
      <c r="W61" s="34" t="str">
        <f t="shared" si="3"/>
        <v/>
      </c>
      <c r="X61" s="24" t="str">
        <f t="shared" si="4"/>
        <v/>
      </c>
    </row>
    <row r="62" ht="14.25" customHeight="1">
      <c r="A62" s="28">
        <f>HYPERLINK("https://app.hubspot.com/contacts/8748051/record/0-1/193043895314", 193043895314)</f>
        <v>193043895314</v>
      </c>
      <c r="B62" s="24" t="s">
        <v>3367</v>
      </c>
      <c r="C62" s="26">
        <v>46014.29675925926</v>
      </c>
      <c r="D62" s="26"/>
      <c r="E62" s="28" t="s">
        <v>3368</v>
      </c>
      <c r="F62" s="24"/>
      <c r="G62" s="35">
        <v>46014.0</v>
      </c>
      <c r="H62" s="35"/>
      <c r="I62" s="35"/>
      <c r="J62" s="24" t="s">
        <v>3369</v>
      </c>
      <c r="K62" s="24" t="s">
        <v>155</v>
      </c>
      <c r="L62" s="24"/>
      <c r="M62" s="28">
        <f>HYPERLINK("https://app.hubspot.com/contacts/8748051/record/0-2/47633566089", 47633566089)</f>
        <v>47633566089</v>
      </c>
      <c r="N62" s="24" t="s">
        <v>3370</v>
      </c>
      <c r="O62" s="34"/>
      <c r="P62" s="24"/>
      <c r="Q62" s="24"/>
      <c r="R62" s="24"/>
      <c r="S62" s="24"/>
      <c r="T62" s="34" t="str">
        <f t="shared" ref="T62:V62" si="64">IF(G62&lt;&gt;"","Yes","")</f>
        <v>Yes</v>
      </c>
      <c r="U62" s="34" t="str">
        <f t="shared" si="64"/>
        <v/>
      </c>
      <c r="V62" s="34" t="str">
        <f t="shared" si="64"/>
        <v/>
      </c>
      <c r="W62" s="34" t="str">
        <f t="shared" si="3"/>
        <v/>
      </c>
      <c r="X62" s="24" t="str">
        <f t="shared" si="4"/>
        <v/>
      </c>
    </row>
    <row r="63" ht="14.25" customHeight="1">
      <c r="A63" s="28">
        <f>HYPERLINK("https://app.hubspot.com/contacts/8748051/record/0-1/186772164971", 186772164971)</f>
        <v>186772164971</v>
      </c>
      <c r="B63" s="24" t="s">
        <v>3371</v>
      </c>
      <c r="C63" s="26">
        <v>46012.50510416667</v>
      </c>
      <c r="D63" s="26"/>
      <c r="E63" s="28" t="s">
        <v>364</v>
      </c>
      <c r="F63" s="26"/>
      <c r="G63" s="35">
        <v>46012.0</v>
      </c>
      <c r="H63" s="35">
        <v>46031.0</v>
      </c>
      <c r="I63" s="35"/>
      <c r="J63" s="24" t="s">
        <v>3372</v>
      </c>
      <c r="K63" s="24" t="s">
        <v>3237</v>
      </c>
      <c r="L63" s="24"/>
      <c r="M63" s="28">
        <f>HYPERLINK("https://app.hubspot.com/contacts/8748051/record/0-2/47614471201", 47614471201)</f>
        <v>47614471201</v>
      </c>
      <c r="N63" s="24" t="s">
        <v>363</v>
      </c>
      <c r="O63" s="33">
        <f>HYPERLINK("https://app.hubspot.com/contacts/8748051/record/0-3/52375066671", 52375066671)</f>
        <v>52375066671</v>
      </c>
      <c r="P63" s="24" t="s">
        <v>362</v>
      </c>
      <c r="Q63" s="24" t="s">
        <v>73</v>
      </c>
      <c r="R63" s="24">
        <v>0.0</v>
      </c>
      <c r="S63" s="24"/>
      <c r="T63" s="34" t="str">
        <f t="shared" ref="T63:V63" si="65">IF(G63&lt;&gt;"","Yes","")</f>
        <v>Yes</v>
      </c>
      <c r="U63" s="34" t="str">
        <f t="shared" si="65"/>
        <v>Yes</v>
      </c>
      <c r="V63" s="34" t="str">
        <f t="shared" si="65"/>
        <v/>
      </c>
      <c r="W63" s="34" t="str">
        <f t="shared" si="3"/>
        <v/>
      </c>
      <c r="X63" s="24" t="str">
        <f t="shared" si="4"/>
        <v/>
      </c>
    </row>
    <row r="64" ht="14.25" customHeight="1">
      <c r="A64" s="28">
        <f>HYPERLINK("https://app.hubspot.com/contacts/8748051/record/0-1/186604082788", 186604082788)</f>
        <v>186604082788</v>
      </c>
      <c r="B64" s="24" t="s">
        <v>3373</v>
      </c>
      <c r="C64" s="26">
        <v>46011.60774305555</v>
      </c>
      <c r="D64" s="26"/>
      <c r="E64" s="28" t="s">
        <v>344</v>
      </c>
      <c r="F64" s="26"/>
      <c r="G64" s="35">
        <v>46012.0</v>
      </c>
      <c r="H64" s="35">
        <v>46028.0</v>
      </c>
      <c r="I64" s="35">
        <v>46028.0</v>
      </c>
      <c r="J64" s="24" t="s">
        <v>3296</v>
      </c>
      <c r="K64" s="24" t="s">
        <v>3239</v>
      </c>
      <c r="L64" s="24" t="s">
        <v>3374</v>
      </c>
      <c r="M64" s="28">
        <f>HYPERLINK("https://app.hubspot.com/contacts/8748051/record/0-2/47571406086", 47571406086)</f>
        <v>47571406086</v>
      </c>
      <c r="N64" s="24" t="s">
        <v>343</v>
      </c>
      <c r="O64" s="28">
        <f>HYPERLINK("https://app.hubspot.com/contacts/8748051/record/0-3/53263612979", 53263612979)</f>
        <v>53263612979</v>
      </c>
      <c r="P64" s="24" t="s">
        <v>342</v>
      </c>
      <c r="Q64" s="24" t="s">
        <v>127</v>
      </c>
      <c r="R64" s="24">
        <v>2000.0</v>
      </c>
      <c r="S64" s="24"/>
      <c r="T64" s="34" t="str">
        <f t="shared" ref="T64:V64" si="66">IF(G64&lt;&gt;"","Yes","")</f>
        <v>Yes</v>
      </c>
      <c r="U64" s="34" t="str">
        <f t="shared" si="66"/>
        <v>Yes</v>
      </c>
      <c r="V64" s="34" t="str">
        <f t="shared" si="66"/>
        <v>Yes</v>
      </c>
      <c r="W64" s="34" t="str">
        <f t="shared" si="3"/>
        <v/>
      </c>
      <c r="X64" s="24" t="str">
        <f t="shared" si="4"/>
        <v/>
      </c>
    </row>
    <row r="65" ht="14.25" customHeight="1">
      <c r="A65" s="28">
        <f>HYPERLINK("https://app.hubspot.com/contacts/8748051/record/0-1/186460971390", 186460971390)</f>
        <v>186460971390</v>
      </c>
      <c r="B65" s="24" t="s">
        <v>3375</v>
      </c>
      <c r="C65" s="26">
        <v>46010.72232638889</v>
      </c>
      <c r="D65" s="26"/>
      <c r="E65" s="28" t="s">
        <v>367</v>
      </c>
      <c r="F65" s="26"/>
      <c r="G65" s="35">
        <v>46011.0</v>
      </c>
      <c r="H65" s="35">
        <v>46013.0</v>
      </c>
      <c r="I65" s="35">
        <v>46013.0</v>
      </c>
      <c r="J65" s="24" t="s">
        <v>3254</v>
      </c>
      <c r="K65" s="24" t="s">
        <v>3239</v>
      </c>
      <c r="L65" s="24" t="s">
        <v>3376</v>
      </c>
      <c r="M65" s="28">
        <f>HYPERLINK("https://app.hubspot.com/contacts/8748051/record/0-2/47564970161", 47564970161)</f>
        <v>47564970161</v>
      </c>
      <c r="N65" s="24" t="s">
        <v>366</v>
      </c>
      <c r="O65" s="33">
        <f>HYPERLINK("https://app.hubspot.com/contacts/8748051/record/0-3/52241804103", 52241804103)</f>
        <v>52241804103</v>
      </c>
      <c r="P65" s="24" t="s">
        <v>365</v>
      </c>
      <c r="Q65" s="24" t="s">
        <v>127</v>
      </c>
      <c r="R65" s="24">
        <v>1000.0</v>
      </c>
      <c r="S65" s="24"/>
      <c r="T65" s="34" t="str">
        <f t="shared" ref="T65:V65" si="67">IF(G65&lt;&gt;"","Yes","")</f>
        <v>Yes</v>
      </c>
      <c r="U65" s="34" t="str">
        <f t="shared" si="67"/>
        <v>Yes</v>
      </c>
      <c r="V65" s="34" t="str">
        <f t="shared" si="67"/>
        <v>Yes</v>
      </c>
      <c r="W65" s="34" t="str">
        <f t="shared" si="3"/>
        <v/>
      </c>
      <c r="X65" s="24" t="str">
        <f t="shared" si="4"/>
        <v/>
      </c>
    </row>
    <row r="66" ht="14.25" customHeight="1">
      <c r="A66" s="28">
        <f>HYPERLINK("https://app.hubspot.com/contacts/8748051/record/0-1/186423208808", 186423208808)</f>
        <v>186423208808</v>
      </c>
      <c r="B66" s="24" t="s">
        <v>3377</v>
      </c>
      <c r="C66" s="26">
        <v>46010.55412037037</v>
      </c>
      <c r="D66" s="26"/>
      <c r="E66" s="28" t="s">
        <v>371</v>
      </c>
      <c r="F66" s="24"/>
      <c r="G66" s="35">
        <v>46010.0</v>
      </c>
      <c r="H66" s="35">
        <v>46013.0</v>
      </c>
      <c r="I66" s="35">
        <v>46013.0</v>
      </c>
      <c r="J66" s="24" t="s">
        <v>3378</v>
      </c>
      <c r="K66" s="24" t="s">
        <v>155</v>
      </c>
      <c r="L66" s="24"/>
      <c r="M66" s="28">
        <f>HYPERLINK("https://app.hubspot.com/contacts/8748051/record/0-2/8448459081", 8448459081)</f>
        <v>8448459081</v>
      </c>
      <c r="N66" s="24" t="s">
        <v>370</v>
      </c>
      <c r="O66" s="33">
        <f>HYPERLINK("https://app.hubspot.com/contacts/8748051/record/0-3/52243205923", 52243205923)</f>
        <v>52243205923</v>
      </c>
      <c r="P66" s="24" t="s">
        <v>368</v>
      </c>
      <c r="Q66" s="24" t="s">
        <v>149</v>
      </c>
      <c r="R66" s="24">
        <v>62000.0</v>
      </c>
      <c r="S66" s="24" t="b">
        <v>1</v>
      </c>
      <c r="T66" s="34" t="str">
        <f t="shared" ref="T66:V66" si="68">IF(G66&lt;&gt;"","Yes","")</f>
        <v>Yes</v>
      </c>
      <c r="U66" s="34" t="str">
        <f t="shared" si="68"/>
        <v>Yes</v>
      </c>
      <c r="V66" s="34" t="str">
        <f t="shared" si="68"/>
        <v>Yes</v>
      </c>
      <c r="W66" s="34" t="str">
        <f t="shared" si="3"/>
        <v/>
      </c>
      <c r="X66" s="24" t="str">
        <f t="shared" si="4"/>
        <v>Yes</v>
      </c>
    </row>
    <row r="67" ht="14.25" customHeight="1">
      <c r="A67" s="28">
        <f>HYPERLINK("https://app.hubspot.com/contacts/8748051/record/0-1/190405632082", 190405632082)</f>
        <v>190405632082</v>
      </c>
      <c r="B67" s="24" t="s">
        <v>3379</v>
      </c>
      <c r="C67" s="26">
        <v>46010.52258101852</v>
      </c>
      <c r="D67" s="26"/>
      <c r="E67" s="28" t="s">
        <v>376</v>
      </c>
      <c r="F67" s="24"/>
      <c r="G67" s="35">
        <v>46010.0</v>
      </c>
      <c r="H67" s="35">
        <v>46020.0</v>
      </c>
      <c r="I67" s="35">
        <v>46020.0</v>
      </c>
      <c r="J67" s="24" t="s">
        <v>3354</v>
      </c>
      <c r="K67" s="24" t="s">
        <v>3239</v>
      </c>
      <c r="L67" s="24"/>
      <c r="M67" s="28">
        <f>HYPERLINK("https://app.hubspot.com/contacts/8748051/record/0-2/48189021323", 48189021323)</f>
        <v>48189021323</v>
      </c>
      <c r="N67" s="24" t="s">
        <v>375</v>
      </c>
      <c r="O67" s="28">
        <f>HYPERLINK("https://app.hubspot.com/contacts/8748051/record/0-3/53233734008", 53233734008)</f>
        <v>53233734008</v>
      </c>
      <c r="P67" s="24" t="s">
        <v>373</v>
      </c>
      <c r="Q67" s="24" t="s">
        <v>127</v>
      </c>
      <c r="R67" s="24">
        <v>10000.0</v>
      </c>
      <c r="S67" s="24" t="b">
        <v>1</v>
      </c>
      <c r="T67" s="34" t="str">
        <f t="shared" ref="T67:V67" si="69">IF(G67&lt;&gt;"","Yes","")</f>
        <v>Yes</v>
      </c>
      <c r="U67" s="34" t="str">
        <f t="shared" si="69"/>
        <v>Yes</v>
      </c>
      <c r="V67" s="34" t="str">
        <f t="shared" si="69"/>
        <v>Yes</v>
      </c>
      <c r="W67" s="34" t="str">
        <f t="shared" si="3"/>
        <v/>
      </c>
      <c r="X67" s="24" t="str">
        <f t="shared" si="4"/>
        <v/>
      </c>
    </row>
    <row r="68" ht="14.25" customHeight="1">
      <c r="A68" s="28">
        <f>HYPERLINK("https://app.hubspot.com/contacts/8748051/record/0-1/186354333218", 186354333218)</f>
        <v>186354333218</v>
      </c>
      <c r="B68" s="24" t="s">
        <v>3380</v>
      </c>
      <c r="C68" s="26">
        <v>46010.480833333335</v>
      </c>
      <c r="D68" s="26"/>
      <c r="E68" s="28" t="s">
        <v>379</v>
      </c>
      <c r="F68" s="26"/>
      <c r="G68" s="35">
        <v>46010.0</v>
      </c>
      <c r="H68" s="35">
        <v>46013.0</v>
      </c>
      <c r="I68" s="35">
        <v>46013.0</v>
      </c>
      <c r="J68" s="24" t="s">
        <v>3381</v>
      </c>
      <c r="K68" s="24" t="s">
        <v>155</v>
      </c>
      <c r="L68" s="24"/>
      <c r="M68" s="28">
        <f>HYPERLINK("https://app.hubspot.com/contacts/8748051/record/0-2/17747112247", 17747112247)</f>
        <v>17747112247</v>
      </c>
      <c r="N68" s="24" t="s">
        <v>378</v>
      </c>
      <c r="O68" s="33">
        <f>HYPERLINK("https://app.hubspot.com/contacts/8748051/record/0-3/52097481373", 52097481373)</f>
        <v>52097481373</v>
      </c>
      <c r="P68" s="24" t="s">
        <v>377</v>
      </c>
      <c r="Q68" s="24" t="s">
        <v>127</v>
      </c>
      <c r="R68" s="24">
        <v>50500.0</v>
      </c>
      <c r="S68" s="24" t="b">
        <v>1</v>
      </c>
      <c r="T68" s="34" t="str">
        <f t="shared" ref="T68:V68" si="70">IF(G68&lt;&gt;"","Yes","")</f>
        <v>Yes</v>
      </c>
      <c r="U68" s="34" t="str">
        <f t="shared" si="70"/>
        <v>Yes</v>
      </c>
      <c r="V68" s="34" t="str">
        <f t="shared" si="70"/>
        <v>Yes</v>
      </c>
      <c r="W68" s="34" t="str">
        <f t="shared" si="3"/>
        <v/>
      </c>
      <c r="X68" s="24" t="str">
        <f t="shared" si="4"/>
        <v/>
      </c>
    </row>
    <row r="69" ht="14.25" customHeight="1">
      <c r="A69" s="28">
        <f>HYPERLINK("https://app.hubspot.com/contacts/8748051/record/0-1/120039431321", 120039431321)</f>
        <v>120039431321</v>
      </c>
      <c r="B69" s="24" t="s">
        <v>3382</v>
      </c>
      <c r="C69" s="26">
        <v>46009.52096064815</v>
      </c>
      <c r="D69" s="26"/>
      <c r="E69" s="28" t="s">
        <v>382</v>
      </c>
      <c r="F69" s="26"/>
      <c r="G69" s="35">
        <v>46009.0</v>
      </c>
      <c r="H69" s="35">
        <v>46015.0</v>
      </c>
      <c r="I69" s="35"/>
      <c r="J69" s="24" t="s">
        <v>3383</v>
      </c>
      <c r="K69" s="24" t="s">
        <v>3248</v>
      </c>
      <c r="L69" s="24"/>
      <c r="M69" s="28">
        <f>HYPERLINK("https://app.hubspot.com/contacts/8748051/record/0-2/33148834998", 33148834998)</f>
        <v>33148834998</v>
      </c>
      <c r="N69" s="24" t="s">
        <v>381</v>
      </c>
      <c r="O69" s="28">
        <f>HYPERLINK("https://app.hubspot.com/contacts/8748051/record/0-3/52073496170", 52073496170)</f>
        <v>52073496170</v>
      </c>
      <c r="P69" s="24" t="s">
        <v>380</v>
      </c>
      <c r="Q69" s="24" t="s">
        <v>73</v>
      </c>
      <c r="R69" s="24">
        <v>15000.0</v>
      </c>
      <c r="S69" s="24"/>
      <c r="T69" s="34" t="str">
        <f t="shared" ref="T69:V69" si="71">IF(G69&lt;&gt;"","Yes","")</f>
        <v>Yes</v>
      </c>
      <c r="U69" s="34" t="str">
        <f t="shared" si="71"/>
        <v>Yes</v>
      </c>
      <c r="V69" s="34" t="str">
        <f t="shared" si="71"/>
        <v/>
      </c>
      <c r="W69" s="34" t="str">
        <f t="shared" si="3"/>
        <v/>
      </c>
      <c r="X69" s="24" t="str">
        <f t="shared" si="4"/>
        <v/>
      </c>
    </row>
    <row r="70" ht="14.25" customHeight="1">
      <c r="A70" s="28">
        <f>HYPERLINK("https://app.hubspot.com/contacts/8748051/record/0-1/185488481564", 185488481564)</f>
        <v>185488481564</v>
      </c>
      <c r="B70" s="24" t="s">
        <v>3384</v>
      </c>
      <c r="C70" s="26">
        <v>46007.59689814815</v>
      </c>
      <c r="D70" s="26"/>
      <c r="E70" s="28" t="s">
        <v>389</v>
      </c>
      <c r="F70" s="24"/>
      <c r="G70" s="35">
        <v>46008.0</v>
      </c>
      <c r="H70" s="35">
        <v>46028.0</v>
      </c>
      <c r="I70" s="35"/>
      <c r="J70" s="24" t="s">
        <v>3385</v>
      </c>
      <c r="K70" s="24" t="s">
        <v>3239</v>
      </c>
      <c r="L70" s="24" t="s">
        <v>3376</v>
      </c>
      <c r="M70" s="28">
        <f>HYPERLINK("https://app.hubspot.com/contacts/8748051/record/0-2/47340881525", 47340881525)</f>
        <v>47340881525</v>
      </c>
      <c r="N70" s="24" t="s">
        <v>388</v>
      </c>
      <c r="O70" s="33">
        <f>HYPERLINK("https://app.hubspot.com/contacts/8748051/record/0-3/51995664283", 51995664283)</f>
        <v>51995664283</v>
      </c>
      <c r="P70" s="24" t="s">
        <v>387</v>
      </c>
      <c r="Q70" s="24" t="s">
        <v>73</v>
      </c>
      <c r="R70" s="24">
        <v>14500.0</v>
      </c>
      <c r="S70" s="24"/>
      <c r="T70" s="34" t="str">
        <f t="shared" ref="T70:V70" si="72">IF(G70&lt;&gt;"","Yes","")</f>
        <v>Yes</v>
      </c>
      <c r="U70" s="34" t="str">
        <f t="shared" si="72"/>
        <v>Yes</v>
      </c>
      <c r="V70" s="34" t="str">
        <f t="shared" si="72"/>
        <v/>
      </c>
      <c r="W70" s="34" t="str">
        <f t="shared" si="3"/>
        <v/>
      </c>
      <c r="X70" s="24" t="str">
        <f t="shared" si="4"/>
        <v/>
      </c>
    </row>
    <row r="71" ht="14.25" customHeight="1">
      <c r="A71" s="28">
        <f>HYPERLINK("https://app.hubspot.com/contacts/8748051/record/0-1/185426915198", 185426915198)</f>
        <v>185426915198</v>
      </c>
      <c r="B71" s="24" t="s">
        <v>3386</v>
      </c>
      <c r="C71" s="26">
        <v>46007.454988425925</v>
      </c>
      <c r="D71" s="26"/>
      <c r="E71" s="28" t="s">
        <v>386</v>
      </c>
      <c r="F71" s="24"/>
      <c r="G71" s="35">
        <v>46007.0</v>
      </c>
      <c r="H71" s="35">
        <v>46009.0</v>
      </c>
      <c r="I71" s="35">
        <v>46009.0</v>
      </c>
      <c r="J71" s="24" t="s">
        <v>3387</v>
      </c>
      <c r="K71" s="24" t="s">
        <v>155</v>
      </c>
      <c r="L71" s="24"/>
      <c r="M71" s="28">
        <f>HYPERLINK("https://app.hubspot.com/contacts/8748051/record/0-2/47334647695", 47334647695)</f>
        <v>47334647695</v>
      </c>
      <c r="N71" s="24" t="s">
        <v>385</v>
      </c>
      <c r="O71" s="33">
        <f>HYPERLINK("https://app.hubspot.com/contacts/8748051/record/0-3/52069893214", 52069893214)</f>
        <v>52069893214</v>
      </c>
      <c r="P71" s="24" t="s">
        <v>383</v>
      </c>
      <c r="Q71" s="24" t="s">
        <v>384</v>
      </c>
      <c r="R71" s="24">
        <v>17000.0</v>
      </c>
      <c r="S71" s="24" t="b">
        <v>1</v>
      </c>
      <c r="T71" s="34" t="str">
        <f t="shared" ref="T71:V71" si="73">IF(G71&lt;&gt;"","Yes","")</f>
        <v>Yes</v>
      </c>
      <c r="U71" s="34" t="str">
        <f t="shared" si="73"/>
        <v>Yes</v>
      </c>
      <c r="V71" s="34" t="str">
        <f t="shared" si="73"/>
        <v>Yes</v>
      </c>
      <c r="W71" s="34" t="str">
        <f t="shared" si="3"/>
        <v/>
      </c>
      <c r="X71" s="24" t="str">
        <f t="shared" si="4"/>
        <v/>
      </c>
    </row>
    <row r="72" ht="14.25" customHeight="1">
      <c r="A72" s="28">
        <f>HYPERLINK("https://app.hubspot.com/contacts/8748051/record/0-1/184985832238", 184985832238)</f>
        <v>184985832238</v>
      </c>
      <c r="B72" s="24" t="s">
        <v>3388</v>
      </c>
      <c r="C72" s="26">
        <v>46005.70747685185</v>
      </c>
      <c r="D72" s="26"/>
      <c r="E72" s="28" t="s">
        <v>3389</v>
      </c>
      <c r="F72" s="24" t="s">
        <v>3304</v>
      </c>
      <c r="G72" s="35"/>
      <c r="H72" s="35"/>
      <c r="I72" s="35"/>
      <c r="J72" s="24" t="s">
        <v>3308</v>
      </c>
      <c r="K72" s="24" t="s">
        <v>3239</v>
      </c>
      <c r="L72" s="24"/>
      <c r="M72" s="28">
        <f>HYPERLINK("https://app.hubspot.com/contacts/8748051/record/0-2/47072377720", 47072377720)</f>
        <v>47072377720</v>
      </c>
      <c r="N72" s="24"/>
      <c r="O72" s="34"/>
      <c r="P72" s="24"/>
      <c r="Q72" s="24"/>
      <c r="R72" s="24"/>
      <c r="S72" s="24"/>
      <c r="T72" s="34" t="str">
        <f t="shared" ref="T72:V72" si="74">IF(G72&lt;&gt;"","Yes","")</f>
        <v/>
      </c>
      <c r="U72" s="34" t="str">
        <f t="shared" si="74"/>
        <v/>
      </c>
      <c r="V72" s="34" t="str">
        <f t="shared" si="74"/>
        <v/>
      </c>
      <c r="W72" s="34" t="str">
        <f t="shared" si="3"/>
        <v/>
      </c>
      <c r="X72" s="24" t="str">
        <f t="shared" si="4"/>
        <v/>
      </c>
    </row>
    <row r="73" ht="14.25" customHeight="1">
      <c r="A73" s="28">
        <f>HYPERLINK("https://app.hubspot.com/contacts/8748051/record/0-1/184252165941", 184252165941)</f>
        <v>184252165941</v>
      </c>
      <c r="B73" s="24" t="s">
        <v>3390</v>
      </c>
      <c r="C73" s="26">
        <v>46002.72310185185</v>
      </c>
      <c r="D73" s="26"/>
      <c r="E73" s="28" t="s">
        <v>403</v>
      </c>
      <c r="F73" s="24"/>
      <c r="G73" s="35">
        <v>46003.0</v>
      </c>
      <c r="H73" s="35">
        <v>46004.0</v>
      </c>
      <c r="I73" s="35">
        <v>46004.0</v>
      </c>
      <c r="J73" s="24" t="s">
        <v>3354</v>
      </c>
      <c r="K73" s="24" t="s">
        <v>3239</v>
      </c>
      <c r="L73" s="24"/>
      <c r="M73" s="28">
        <f>HYPERLINK("https://app.hubspot.com/contacts/8748051/record/0-2/47058468877", 47058468877)</f>
        <v>47058468877</v>
      </c>
      <c r="N73" s="24" t="s">
        <v>402</v>
      </c>
      <c r="O73" s="33">
        <f>HYPERLINK("https://app.hubspot.com/contacts/8748051/record/0-3/51684994066", 51684994066)</f>
        <v>51684994066</v>
      </c>
      <c r="P73" s="24" t="s">
        <v>400</v>
      </c>
      <c r="Q73" s="24" t="s">
        <v>127</v>
      </c>
      <c r="R73" s="24">
        <v>15000.0</v>
      </c>
      <c r="S73" s="24" t="b">
        <v>1</v>
      </c>
      <c r="T73" s="34" t="str">
        <f t="shared" ref="T73:V73" si="75">IF(G73&lt;&gt;"","Yes","")</f>
        <v>Yes</v>
      </c>
      <c r="U73" s="34" t="str">
        <f t="shared" si="75"/>
        <v>Yes</v>
      </c>
      <c r="V73" s="34" t="str">
        <f t="shared" si="75"/>
        <v>Yes</v>
      </c>
      <c r="W73" s="34" t="str">
        <f t="shared" si="3"/>
        <v/>
      </c>
      <c r="X73" s="24" t="str">
        <f t="shared" si="4"/>
        <v/>
      </c>
    </row>
    <row r="74" ht="14.25" customHeight="1">
      <c r="A74" s="28">
        <f>HYPERLINK("https://app.hubspot.com/contacts/8748051/record/0-1/184167997206", 184167997206)</f>
        <v>184167997206</v>
      </c>
      <c r="B74" s="24" t="s">
        <v>3391</v>
      </c>
      <c r="C74" s="26">
        <v>46002.57603009259</v>
      </c>
      <c r="D74" s="26"/>
      <c r="E74" s="28" t="s">
        <v>3392</v>
      </c>
      <c r="F74" s="24"/>
      <c r="G74" s="35">
        <v>46003.0</v>
      </c>
      <c r="H74" s="35"/>
      <c r="I74" s="35"/>
      <c r="J74" s="24" t="s">
        <v>3216</v>
      </c>
      <c r="K74" s="24" t="s">
        <v>3239</v>
      </c>
      <c r="L74" s="24"/>
      <c r="M74" s="28">
        <f>HYPERLINK("https://app.hubspot.com/contacts/8748051/record/0-2/47005517116", 47005517116)</f>
        <v>47005517116</v>
      </c>
      <c r="N74" s="24" t="s">
        <v>3393</v>
      </c>
      <c r="O74" s="34"/>
      <c r="P74" s="24"/>
      <c r="Q74" s="24"/>
      <c r="R74" s="24"/>
      <c r="S74" s="24"/>
      <c r="T74" s="34" t="str">
        <f t="shared" ref="T74:V74" si="76">IF(G74&lt;&gt;"","Yes","")</f>
        <v>Yes</v>
      </c>
      <c r="U74" s="34" t="str">
        <f t="shared" si="76"/>
        <v/>
      </c>
      <c r="V74" s="34" t="str">
        <f t="shared" si="76"/>
        <v/>
      </c>
      <c r="W74" s="34" t="str">
        <f t="shared" si="3"/>
        <v/>
      </c>
      <c r="X74" s="24" t="str">
        <f t="shared" si="4"/>
        <v/>
      </c>
    </row>
    <row r="75" ht="14.25" customHeight="1">
      <c r="A75" s="28">
        <f>HYPERLINK("https://app.hubspot.com/contacts/8748051/record/0-1/190489075731", 190489075731)</f>
        <v>190489075731</v>
      </c>
      <c r="B75" s="24" t="s">
        <v>3394</v>
      </c>
      <c r="C75" s="26">
        <v>46002.35503472222</v>
      </c>
      <c r="D75" s="26"/>
      <c r="E75" s="28" t="s">
        <v>406</v>
      </c>
      <c r="F75" s="26"/>
      <c r="G75" s="35">
        <v>46002.0</v>
      </c>
      <c r="H75" s="35">
        <v>46003.0</v>
      </c>
      <c r="I75" s="35">
        <v>46003.0</v>
      </c>
      <c r="J75" s="24" t="s">
        <v>3395</v>
      </c>
      <c r="K75" s="24" t="s">
        <v>3252</v>
      </c>
      <c r="L75" s="24"/>
      <c r="M75" s="28">
        <f>HYPERLINK("https://app.hubspot.com/contacts/8748051/record/0-2/19176574816", 19176574816)</f>
        <v>19176574816</v>
      </c>
      <c r="N75" s="24" t="s">
        <v>405</v>
      </c>
      <c r="O75" s="28">
        <f>HYPERLINK("https://app.hubspot.com/contacts/8748051/record/0-3/51655318907", 51655318907)</f>
        <v>51655318907</v>
      </c>
      <c r="P75" s="24" t="s">
        <v>404</v>
      </c>
      <c r="Q75" s="24" t="s">
        <v>39</v>
      </c>
      <c r="R75" s="24">
        <v>12500.0</v>
      </c>
      <c r="S75" s="24"/>
      <c r="T75" s="34" t="str">
        <f t="shared" ref="T75:V75" si="77">IF(G75&lt;&gt;"","Yes","")</f>
        <v>Yes</v>
      </c>
      <c r="U75" s="34" t="str">
        <f t="shared" si="77"/>
        <v>Yes</v>
      </c>
      <c r="V75" s="34" t="str">
        <f t="shared" si="77"/>
        <v>Yes</v>
      </c>
      <c r="W75" s="34" t="str">
        <f t="shared" si="3"/>
        <v/>
      </c>
      <c r="X75" s="24" t="str">
        <f t="shared" si="4"/>
        <v/>
      </c>
    </row>
    <row r="76" ht="14.25" customHeight="1">
      <c r="A76" s="28">
        <f>HYPERLINK("https://app.hubspot.com/contacts/8748051/record/0-1/183811749134", 183811749134)</f>
        <v>183811749134</v>
      </c>
      <c r="B76" s="24" t="s">
        <v>3396</v>
      </c>
      <c r="C76" s="26">
        <v>46001.689097222225</v>
      </c>
      <c r="D76" s="26"/>
      <c r="E76" s="28" t="s">
        <v>409</v>
      </c>
      <c r="F76" s="24"/>
      <c r="G76" s="35">
        <v>46002.0</v>
      </c>
      <c r="H76" s="35">
        <v>46003.0</v>
      </c>
      <c r="I76" s="35"/>
      <c r="J76" s="24" t="s">
        <v>3397</v>
      </c>
      <c r="K76" s="24" t="s">
        <v>155</v>
      </c>
      <c r="L76" s="24" t="s">
        <v>3249</v>
      </c>
      <c r="M76" s="28">
        <f>HYPERLINK("https://app.hubspot.com/contacts/8748051/record/0-2/46942005066", 46942005066)</f>
        <v>46942005066</v>
      </c>
      <c r="N76" s="24" t="s">
        <v>408</v>
      </c>
      <c r="O76" s="28">
        <f>HYPERLINK("https://app.hubspot.com/contacts/8748051/record/0-3/51634328111", 51634328111)</f>
        <v>51634328111</v>
      </c>
      <c r="P76" s="24" t="s">
        <v>407</v>
      </c>
      <c r="Q76" s="24" t="s">
        <v>73</v>
      </c>
      <c r="R76" s="24">
        <v>0.0</v>
      </c>
      <c r="S76" s="24"/>
      <c r="T76" s="34" t="str">
        <f t="shared" ref="T76:V76" si="78">IF(G76&lt;&gt;"","Yes","")</f>
        <v>Yes</v>
      </c>
      <c r="U76" s="34" t="str">
        <f t="shared" si="78"/>
        <v>Yes</v>
      </c>
      <c r="V76" s="34" t="str">
        <f t="shared" si="78"/>
        <v/>
      </c>
      <c r="W76" s="34" t="str">
        <f t="shared" si="3"/>
        <v/>
      </c>
      <c r="X76" s="24" t="str">
        <f t="shared" si="4"/>
        <v/>
      </c>
    </row>
    <row r="77" ht="14.25" customHeight="1">
      <c r="A77" s="28">
        <f>HYPERLINK("https://app.hubspot.com/contacts/8748051/record/0-1/183593167705", 183593167705)</f>
        <v>183593167705</v>
      </c>
      <c r="B77" s="24" t="s">
        <v>3398</v>
      </c>
      <c r="C77" s="26">
        <v>46001.201145833336</v>
      </c>
      <c r="D77" s="26"/>
      <c r="E77" s="28" t="s">
        <v>325</v>
      </c>
      <c r="F77" s="26"/>
      <c r="G77" s="35">
        <v>46001.0</v>
      </c>
      <c r="H77" s="35">
        <v>46035.0</v>
      </c>
      <c r="I77" s="35"/>
      <c r="J77" s="24" t="s">
        <v>3263</v>
      </c>
      <c r="K77" s="24" t="s">
        <v>155</v>
      </c>
      <c r="L77" s="24"/>
      <c r="M77" s="28">
        <f>HYPERLINK("https://app.hubspot.com/contacts/8748051/record/0-2/35059245747", 35059245747)</f>
        <v>35059245747</v>
      </c>
      <c r="N77" s="24" t="s">
        <v>324</v>
      </c>
      <c r="O77" s="33">
        <f>HYPERLINK("https://app.hubspot.com/contacts/8748051/record/0-3/53451551280", 53451551280)</f>
        <v>53451551280</v>
      </c>
      <c r="P77" s="24" t="s">
        <v>323</v>
      </c>
      <c r="Q77" s="24" t="s">
        <v>73</v>
      </c>
      <c r="R77" s="24">
        <v>12500.0</v>
      </c>
      <c r="S77" s="24"/>
      <c r="T77" s="34" t="str">
        <f t="shared" ref="T77:V77" si="79">IF(G77&lt;&gt;"","Yes","")</f>
        <v>Yes</v>
      </c>
      <c r="U77" s="34" t="str">
        <f t="shared" si="79"/>
        <v>Yes</v>
      </c>
      <c r="V77" s="34" t="str">
        <f t="shared" si="79"/>
        <v/>
      </c>
      <c r="W77" s="34" t="str">
        <f t="shared" si="3"/>
        <v/>
      </c>
      <c r="X77" s="24" t="str">
        <f t="shared" si="4"/>
        <v/>
      </c>
    </row>
    <row r="78" ht="14.25" customHeight="1">
      <c r="A78" s="28">
        <f>HYPERLINK("https://app.hubspot.com/contacts/8748051/record/0-1/179198174236", 179198174236)</f>
        <v>179198174236</v>
      </c>
      <c r="B78" s="24" t="s">
        <v>3399</v>
      </c>
      <c r="C78" s="26">
        <v>46000.675358796296</v>
      </c>
      <c r="D78" s="26"/>
      <c r="E78" s="28" t="s">
        <v>415</v>
      </c>
      <c r="F78" s="26"/>
      <c r="G78" s="35">
        <v>46001.0</v>
      </c>
      <c r="H78" s="35">
        <v>46003.0</v>
      </c>
      <c r="I78" s="35">
        <v>46003.0</v>
      </c>
      <c r="J78" s="24" t="s">
        <v>3400</v>
      </c>
      <c r="K78" s="24" t="s">
        <v>3401</v>
      </c>
      <c r="L78" s="24" t="s">
        <v>3374</v>
      </c>
      <c r="M78" s="28">
        <f>HYPERLINK("https://app.hubspot.com/contacts/8748051/record/0-2/46909196430", 46909196430)</f>
        <v>46909196430</v>
      </c>
      <c r="N78" s="24" t="s">
        <v>414</v>
      </c>
      <c r="O78" s="28">
        <f>HYPERLINK("https://app.hubspot.com/contacts/8748051/record/0-3/51528548755", 51528548755)</f>
        <v>51528548755</v>
      </c>
      <c r="P78" s="24" t="s">
        <v>413</v>
      </c>
      <c r="Q78" s="24" t="s">
        <v>73</v>
      </c>
      <c r="R78" s="24">
        <v>6500.0</v>
      </c>
      <c r="S78" s="24"/>
      <c r="T78" s="34" t="str">
        <f t="shared" ref="T78:V78" si="80">IF(G78&lt;&gt;"","Yes","")</f>
        <v>Yes</v>
      </c>
      <c r="U78" s="34" t="str">
        <f t="shared" si="80"/>
        <v>Yes</v>
      </c>
      <c r="V78" s="34" t="str">
        <f t="shared" si="80"/>
        <v>Yes</v>
      </c>
      <c r="W78" s="34" t="str">
        <f t="shared" si="3"/>
        <v/>
      </c>
      <c r="X78" s="24" t="str">
        <f t="shared" si="4"/>
        <v/>
      </c>
    </row>
    <row r="79" ht="14.25" customHeight="1">
      <c r="A79" s="28">
        <f>HYPERLINK("https://app.hubspot.com/contacts/8748051/record/0-1/183441945612", 183441945612)</f>
        <v>183441945612</v>
      </c>
      <c r="B79" s="24" t="s">
        <v>3402</v>
      </c>
      <c r="C79" s="26">
        <v>46000.588217592594</v>
      </c>
      <c r="D79" s="26"/>
      <c r="E79" s="28" t="s">
        <v>418</v>
      </c>
      <c r="F79" s="26"/>
      <c r="G79" s="35">
        <v>46001.0</v>
      </c>
      <c r="H79" s="35">
        <v>46001.0</v>
      </c>
      <c r="I79" s="35">
        <v>46001.0</v>
      </c>
      <c r="J79" s="24" t="s">
        <v>3403</v>
      </c>
      <c r="K79" s="24" t="s">
        <v>155</v>
      </c>
      <c r="L79" s="24" t="s">
        <v>3249</v>
      </c>
      <c r="M79" s="28">
        <f>HYPERLINK("https://app.hubspot.com/contacts/8748051/record/0-2/46912343452", 46912343452)</f>
        <v>46912343452</v>
      </c>
      <c r="N79" s="24" t="s">
        <v>417</v>
      </c>
      <c r="O79" s="28">
        <f>HYPERLINK("https://app.hubspot.com/contacts/8748051/record/0-3/51521629606", 51521629606)</f>
        <v>51521629606</v>
      </c>
      <c r="P79" s="24" t="s">
        <v>416</v>
      </c>
      <c r="Q79" s="24" t="s">
        <v>73</v>
      </c>
      <c r="R79" s="24">
        <v>3500.0</v>
      </c>
      <c r="S79" s="24"/>
      <c r="T79" s="34" t="str">
        <f t="shared" ref="T79:V79" si="81">IF(G79&lt;&gt;"","Yes","")</f>
        <v>Yes</v>
      </c>
      <c r="U79" s="34" t="str">
        <f t="shared" si="81"/>
        <v>Yes</v>
      </c>
      <c r="V79" s="34" t="str">
        <f t="shared" si="81"/>
        <v>Yes</v>
      </c>
      <c r="W79" s="34" t="str">
        <f t="shared" si="3"/>
        <v/>
      </c>
      <c r="X79" s="24" t="str">
        <f t="shared" si="4"/>
        <v/>
      </c>
    </row>
    <row r="80" ht="14.25" customHeight="1">
      <c r="A80" s="28">
        <f>HYPERLINK("https://app.hubspot.com/contacts/8748051/record/0-1/183355117919", 183355117919)</f>
        <v>183355117919</v>
      </c>
      <c r="B80" s="24" t="s">
        <v>3404</v>
      </c>
      <c r="C80" s="26">
        <v>46000.370034722226</v>
      </c>
      <c r="D80" s="26"/>
      <c r="E80" s="28" t="s">
        <v>422</v>
      </c>
      <c r="F80" s="26"/>
      <c r="G80" s="35">
        <v>46000.0</v>
      </c>
      <c r="H80" s="35">
        <v>46004.0</v>
      </c>
      <c r="I80" s="35">
        <v>46004.0</v>
      </c>
      <c r="J80" s="24" t="s">
        <v>3254</v>
      </c>
      <c r="K80" s="24" t="s">
        <v>3239</v>
      </c>
      <c r="L80" s="24"/>
      <c r="M80" s="28">
        <f>HYPERLINK("https://app.hubspot.com/contacts/8748051/record/0-2/19177041320", 19177041320)</f>
        <v>19177041320</v>
      </c>
      <c r="N80" s="24" t="s">
        <v>421</v>
      </c>
      <c r="O80" s="33">
        <f>HYPERLINK("https://app.hubspot.com/contacts/8748051/record/0-3/51441209176", 51441209176)</f>
        <v>51441209176</v>
      </c>
      <c r="P80" s="24" t="s">
        <v>419</v>
      </c>
      <c r="Q80" s="24" t="s">
        <v>92</v>
      </c>
      <c r="R80" s="24">
        <v>20000.0</v>
      </c>
      <c r="S80" s="24" t="b">
        <v>1</v>
      </c>
      <c r="T80" s="34" t="str">
        <f t="shared" ref="T80:V80" si="82">IF(G80&lt;&gt;"","Yes","")</f>
        <v>Yes</v>
      </c>
      <c r="U80" s="34" t="str">
        <f t="shared" si="82"/>
        <v>Yes</v>
      </c>
      <c r="V80" s="34" t="str">
        <f t="shared" si="82"/>
        <v>Yes</v>
      </c>
      <c r="W80" s="34" t="str">
        <f t="shared" si="3"/>
        <v>Yes</v>
      </c>
      <c r="X80" s="24" t="str">
        <f t="shared" si="4"/>
        <v/>
      </c>
    </row>
    <row r="81" ht="14.25" customHeight="1">
      <c r="A81" s="28">
        <f>HYPERLINK("https://app.hubspot.com/contacts/8748051/record/0-1/182568845181", 182568845181)</f>
        <v>182568845181</v>
      </c>
      <c r="B81" s="24" t="s">
        <v>3405</v>
      </c>
      <c r="C81" s="26">
        <v>45996.7452662037</v>
      </c>
      <c r="D81" s="26"/>
      <c r="E81" s="28" t="s">
        <v>428</v>
      </c>
      <c r="F81" s="26"/>
      <c r="G81" s="35">
        <v>45997.0</v>
      </c>
      <c r="H81" s="35">
        <v>46001.0</v>
      </c>
      <c r="I81" s="35">
        <v>46001.0</v>
      </c>
      <c r="J81" s="24" t="s">
        <v>3385</v>
      </c>
      <c r="K81" s="24" t="s">
        <v>3239</v>
      </c>
      <c r="L81" s="24"/>
      <c r="M81" s="28">
        <f>HYPERLINK("https://app.hubspot.com/contacts/8748051/record/0-2/46777806410", 46777806410)</f>
        <v>46777806410</v>
      </c>
      <c r="N81" s="24" t="s">
        <v>427</v>
      </c>
      <c r="O81" s="28">
        <f>HYPERLINK("https://app.hubspot.com/contacts/8748051/record/0-3/51445687066", 51445687066)</f>
        <v>51445687066</v>
      </c>
      <c r="P81" s="24" t="s">
        <v>426</v>
      </c>
      <c r="Q81" s="24" t="s">
        <v>127</v>
      </c>
      <c r="R81" s="24">
        <v>5000.0</v>
      </c>
      <c r="S81" s="24" t="b">
        <v>1</v>
      </c>
      <c r="T81" s="34" t="str">
        <f t="shared" ref="T81:V81" si="83">IF(G81&lt;&gt;"","Yes","")</f>
        <v>Yes</v>
      </c>
      <c r="U81" s="34" t="str">
        <f t="shared" si="83"/>
        <v>Yes</v>
      </c>
      <c r="V81" s="34" t="str">
        <f t="shared" si="83"/>
        <v>Yes</v>
      </c>
      <c r="W81" s="34" t="str">
        <f t="shared" si="3"/>
        <v/>
      </c>
      <c r="X81" s="24" t="str">
        <f t="shared" si="4"/>
        <v/>
      </c>
    </row>
    <row r="82" ht="14.25" customHeight="1">
      <c r="A82" s="28">
        <f>HYPERLINK("https://app.hubspot.com/contacts/8748051/record/0-1/181943351079", 181943351079)</f>
        <v>181943351079</v>
      </c>
      <c r="B82" s="24" t="s">
        <v>3406</v>
      </c>
      <c r="C82" s="26">
        <v>45994.63788194444</v>
      </c>
      <c r="D82" s="26"/>
      <c r="E82" s="28" t="s">
        <v>3407</v>
      </c>
      <c r="F82" s="26"/>
      <c r="G82" s="35">
        <v>45995.0</v>
      </c>
      <c r="H82" s="35"/>
      <c r="I82" s="35"/>
      <c r="J82" s="24" t="s">
        <v>3236</v>
      </c>
      <c r="K82" s="24" t="s">
        <v>3237</v>
      </c>
      <c r="L82" s="24"/>
      <c r="M82" s="28">
        <f>HYPERLINK("https://app.hubspot.com/contacts/8748051/record/0-2/46572158989", 46572158989)</f>
        <v>46572158989</v>
      </c>
      <c r="N82" s="24" t="s">
        <v>3408</v>
      </c>
      <c r="O82" s="34"/>
      <c r="P82" s="24"/>
      <c r="Q82" s="24"/>
      <c r="R82" s="24"/>
      <c r="S82" s="24"/>
      <c r="T82" s="34" t="str">
        <f t="shared" ref="T82:V82" si="84">IF(G82&lt;&gt;"","Yes","")</f>
        <v>Yes</v>
      </c>
      <c r="U82" s="34" t="str">
        <f t="shared" si="84"/>
        <v/>
      </c>
      <c r="V82" s="34" t="str">
        <f t="shared" si="84"/>
        <v/>
      </c>
      <c r="W82" s="34" t="str">
        <f t="shared" si="3"/>
        <v/>
      </c>
      <c r="X82" s="24" t="str">
        <f t="shared" si="4"/>
        <v/>
      </c>
    </row>
    <row r="83" ht="14.25" customHeight="1">
      <c r="A83" s="28">
        <f>HYPERLINK("https://app.hubspot.com/contacts/8748051/record/0-1/181725768024", 181725768024)</f>
        <v>181725768024</v>
      </c>
      <c r="B83" s="24" t="s">
        <v>3409</v>
      </c>
      <c r="C83" s="26">
        <v>45994.52061342593</v>
      </c>
      <c r="D83" s="26"/>
      <c r="E83" s="28" t="s">
        <v>431</v>
      </c>
      <c r="F83" s="26"/>
      <c r="G83" s="35">
        <v>45994.0</v>
      </c>
      <c r="H83" s="35">
        <v>45996.0</v>
      </c>
      <c r="I83" s="35">
        <v>45996.0</v>
      </c>
      <c r="J83" s="24" t="s">
        <v>3410</v>
      </c>
      <c r="K83" s="24" t="s">
        <v>3252</v>
      </c>
      <c r="L83" s="24"/>
      <c r="M83" s="28">
        <f>HYPERLINK("https://app.hubspot.com/contacts/8748051/record/0-2/18003109253", 18003109253)</f>
        <v>18003109253</v>
      </c>
      <c r="N83" s="24" t="s">
        <v>430</v>
      </c>
      <c r="O83" s="33">
        <f>HYPERLINK("https://app.hubspot.com/contacts/8748051/record/0-3/51149486686", 51149486686)</f>
        <v>51149486686</v>
      </c>
      <c r="P83" s="24" t="s">
        <v>429</v>
      </c>
      <c r="Q83" s="24" t="s">
        <v>127</v>
      </c>
      <c r="R83" s="24">
        <v>25000.0</v>
      </c>
      <c r="S83" s="24" t="b">
        <v>1</v>
      </c>
      <c r="T83" s="34" t="str">
        <f t="shared" ref="T83:V83" si="85">IF(G83&lt;&gt;"","Yes","")</f>
        <v>Yes</v>
      </c>
      <c r="U83" s="34" t="str">
        <f t="shared" si="85"/>
        <v>Yes</v>
      </c>
      <c r="V83" s="34" t="str">
        <f t="shared" si="85"/>
        <v>Yes</v>
      </c>
      <c r="W83" s="34" t="str">
        <f t="shared" si="3"/>
        <v/>
      </c>
      <c r="X83" s="24" t="str">
        <f t="shared" si="4"/>
        <v/>
      </c>
    </row>
    <row r="84" ht="14.25" customHeight="1">
      <c r="A84" s="28">
        <f>HYPERLINK("https://app.hubspot.com/contacts/8748051/record/0-1/181492057124", 181492057124)</f>
        <v>181492057124</v>
      </c>
      <c r="B84" s="24" t="s">
        <v>3411</v>
      </c>
      <c r="C84" s="26">
        <v>45993.50879629629</v>
      </c>
      <c r="D84" s="26"/>
      <c r="E84" s="28" t="s">
        <v>434</v>
      </c>
      <c r="F84" s="24"/>
      <c r="G84" s="35">
        <v>45993.0</v>
      </c>
      <c r="H84" s="35">
        <v>45996.0</v>
      </c>
      <c r="I84" s="35">
        <v>45996.0</v>
      </c>
      <c r="J84" s="24" t="s">
        <v>3412</v>
      </c>
      <c r="K84" s="24" t="s">
        <v>3239</v>
      </c>
      <c r="L84" s="24"/>
      <c r="M84" s="28">
        <f>HYPERLINK("https://app.hubspot.com/contacts/8748051/record/0-2/46444519487", 46444519487)</f>
        <v>46444519487</v>
      </c>
      <c r="N84" s="24" t="s">
        <v>433</v>
      </c>
      <c r="O84" s="28">
        <f>HYPERLINK("https://app.hubspot.com/contacts/8748051/record/0-3/51042426447", 51042426447)</f>
        <v>51042426447</v>
      </c>
      <c r="P84" s="24" t="s">
        <v>432</v>
      </c>
      <c r="Q84" s="24" t="s">
        <v>73</v>
      </c>
      <c r="R84" s="24">
        <v>1000.0</v>
      </c>
      <c r="S84" s="24"/>
      <c r="T84" s="34" t="str">
        <f t="shared" ref="T84:V84" si="86">IF(G84&lt;&gt;"","Yes","")</f>
        <v>Yes</v>
      </c>
      <c r="U84" s="34" t="str">
        <f t="shared" si="86"/>
        <v>Yes</v>
      </c>
      <c r="V84" s="34" t="str">
        <f t="shared" si="86"/>
        <v>Yes</v>
      </c>
      <c r="W84" s="34" t="str">
        <f t="shared" si="3"/>
        <v/>
      </c>
      <c r="X84" s="24" t="str">
        <f t="shared" si="4"/>
        <v/>
      </c>
    </row>
    <row r="85" ht="14.25" customHeight="1">
      <c r="A85" s="28">
        <f>HYPERLINK("https://app.hubspot.com/contacts/8748051/record/0-1/181053741749", 181053741749)</f>
        <v>181053741749</v>
      </c>
      <c r="B85" s="24" t="s">
        <v>3413</v>
      </c>
      <c r="C85" s="26">
        <v>45992.686273148145</v>
      </c>
      <c r="D85" s="26"/>
      <c r="E85" s="28" t="s">
        <v>440</v>
      </c>
      <c r="F85" s="24"/>
      <c r="G85" s="35">
        <v>45993.0</v>
      </c>
      <c r="H85" s="35">
        <v>45996.0</v>
      </c>
      <c r="I85" s="35">
        <v>45996.0</v>
      </c>
      <c r="J85" s="24" t="s">
        <v>3254</v>
      </c>
      <c r="K85" s="24" t="s">
        <v>3239</v>
      </c>
      <c r="L85" s="24" t="s">
        <v>3376</v>
      </c>
      <c r="M85" s="28">
        <f>HYPERLINK("https://app.hubspot.com/contacts/8748051/record/0-2/43795392292", 43795392292)</f>
        <v>43795392292</v>
      </c>
      <c r="N85" s="24" t="s">
        <v>439</v>
      </c>
      <c r="O85" s="33">
        <f>HYPERLINK("https://app.hubspot.com/contacts/8748051/record/0-3/50871348566", 50871348566)</f>
        <v>50871348566</v>
      </c>
      <c r="P85" s="24" t="s">
        <v>438</v>
      </c>
      <c r="Q85" s="24" t="s">
        <v>127</v>
      </c>
      <c r="R85" s="24">
        <v>15000.0</v>
      </c>
      <c r="S85" s="24" t="b">
        <v>1</v>
      </c>
      <c r="T85" s="34" t="str">
        <f t="shared" ref="T85:V85" si="87">IF(G85&lt;&gt;"","Yes","")</f>
        <v>Yes</v>
      </c>
      <c r="U85" s="34" t="str">
        <f t="shared" si="87"/>
        <v>Yes</v>
      </c>
      <c r="V85" s="34" t="str">
        <f t="shared" si="87"/>
        <v>Yes</v>
      </c>
      <c r="W85" s="34" t="str">
        <f t="shared" si="3"/>
        <v/>
      </c>
      <c r="X85" s="24" t="str">
        <f t="shared" si="4"/>
        <v/>
      </c>
    </row>
    <row r="86" ht="14.25" customHeight="1">
      <c r="A86" s="28">
        <f>HYPERLINK("https://app.hubspot.com/contacts/8748051/record/0-1/181000572570", 181000572570)</f>
        <v>181000572570</v>
      </c>
      <c r="B86" s="24" t="s">
        <v>3414</v>
      </c>
      <c r="C86" s="26">
        <v>45992.60369212963</v>
      </c>
      <c r="D86" s="26"/>
      <c r="E86" s="28" t="s">
        <v>444</v>
      </c>
      <c r="F86" s="26"/>
      <c r="G86" s="35">
        <v>45993.0</v>
      </c>
      <c r="H86" s="35">
        <v>46003.0</v>
      </c>
      <c r="I86" s="35">
        <v>46003.0</v>
      </c>
      <c r="J86" s="24" t="s">
        <v>3415</v>
      </c>
      <c r="K86" s="24" t="s">
        <v>3239</v>
      </c>
      <c r="L86" s="24" t="s">
        <v>3249</v>
      </c>
      <c r="M86" s="28">
        <f>HYPERLINK("https://app.hubspot.com/contacts/8748051/record/0-2/46229441682", 46229441682)</f>
        <v>46229441682</v>
      </c>
      <c r="N86" s="24" t="s">
        <v>443</v>
      </c>
      <c r="O86" s="33">
        <f>HYPERLINK("https://app.hubspot.com/contacts/8748051/record/0-3/50793353798", 50793353798)</f>
        <v>50793353798</v>
      </c>
      <c r="P86" s="24" t="s">
        <v>441</v>
      </c>
      <c r="Q86" s="24" t="s">
        <v>442</v>
      </c>
      <c r="R86" s="24">
        <v>25000.0</v>
      </c>
      <c r="S86" s="24" t="b">
        <v>1</v>
      </c>
      <c r="T86" s="34" t="str">
        <f t="shared" ref="T86:V86" si="88">IF(G86&lt;&gt;"","Yes","")</f>
        <v>Yes</v>
      </c>
      <c r="U86" s="34" t="str">
        <f t="shared" si="88"/>
        <v>Yes</v>
      </c>
      <c r="V86" s="34" t="str">
        <f t="shared" si="88"/>
        <v>Yes</v>
      </c>
      <c r="W86" s="34" t="str">
        <f t="shared" si="3"/>
        <v/>
      </c>
      <c r="X86" s="24" t="str">
        <f t="shared" si="4"/>
        <v/>
      </c>
    </row>
    <row r="87" ht="14.25" customHeight="1">
      <c r="A87" s="28">
        <f>HYPERLINK("https://app.hubspot.com/contacts/8748051/record/0-1/179301771816", 179301771816)</f>
        <v>179301771816</v>
      </c>
      <c r="B87" s="24" t="s">
        <v>3416</v>
      </c>
      <c r="C87" s="26">
        <v>45986.775289351855</v>
      </c>
      <c r="D87" s="26"/>
      <c r="E87" s="24" t="s">
        <v>447</v>
      </c>
      <c r="F87" s="26"/>
      <c r="G87" s="35">
        <v>45986.0</v>
      </c>
      <c r="H87" s="35">
        <v>45987.0</v>
      </c>
      <c r="I87" s="35">
        <v>45987.0</v>
      </c>
      <c r="J87" s="24" t="s">
        <v>3236</v>
      </c>
      <c r="K87" s="24" t="s">
        <v>3237</v>
      </c>
      <c r="L87" s="24"/>
      <c r="M87" s="28">
        <f>HYPERLINK("https://app.hubspot.com/contacts/8748051/record/0-2/9460883813", 9460883813)</f>
        <v>9460883813</v>
      </c>
      <c r="N87" s="24" t="s">
        <v>446</v>
      </c>
      <c r="O87" s="28">
        <f>HYPERLINK("https://app.hubspot.com/contacts/8748051/record/0-3/50478039948", 50478039948)</f>
        <v>50478039948</v>
      </c>
      <c r="P87" s="24" t="s">
        <v>445</v>
      </c>
      <c r="Q87" s="24" t="s">
        <v>127</v>
      </c>
      <c r="R87" s="24">
        <v>36500.0</v>
      </c>
      <c r="S87" s="24" t="b">
        <v>1</v>
      </c>
      <c r="T87" s="34" t="str">
        <f t="shared" ref="T87:V87" si="89">IF(G87&lt;&gt;"","Yes","")</f>
        <v>Yes</v>
      </c>
      <c r="U87" s="34" t="str">
        <f t="shared" si="89"/>
        <v>Yes</v>
      </c>
      <c r="V87" s="34" t="str">
        <f t="shared" si="89"/>
        <v>Yes</v>
      </c>
      <c r="W87" s="34" t="str">
        <f t="shared" si="3"/>
        <v/>
      </c>
      <c r="X87" s="24" t="str">
        <f t="shared" si="4"/>
        <v/>
      </c>
    </row>
    <row r="88" ht="14.25" customHeight="1">
      <c r="A88" s="28">
        <f>HYPERLINK("https://app.hubspot.com/contacts/8748051/record/0-1/179250667047", 179250667047)</f>
        <v>179250667047</v>
      </c>
      <c r="B88" s="24" t="s">
        <v>3417</v>
      </c>
      <c r="C88" s="26">
        <v>45986.520208333335</v>
      </c>
      <c r="D88" s="26"/>
      <c r="E88" s="28" t="s">
        <v>3418</v>
      </c>
      <c r="F88" s="26"/>
      <c r="G88" s="35">
        <v>45986.0</v>
      </c>
      <c r="H88" s="35"/>
      <c r="I88" s="35"/>
      <c r="J88" s="24" t="s">
        <v>3419</v>
      </c>
      <c r="K88" s="24" t="s">
        <v>3239</v>
      </c>
      <c r="L88" s="24" t="s">
        <v>3376</v>
      </c>
      <c r="M88" s="28">
        <f>HYPERLINK("https://app.hubspot.com/contacts/8748051/record/0-2/7808973682", 7808973682)</f>
        <v>7808973682</v>
      </c>
      <c r="N88" s="24" t="s">
        <v>3420</v>
      </c>
      <c r="O88" s="34"/>
      <c r="P88" s="24"/>
      <c r="Q88" s="24"/>
      <c r="R88" s="24"/>
      <c r="S88" s="24"/>
      <c r="T88" s="34" t="str">
        <f t="shared" ref="T88:V88" si="90">IF(G88&lt;&gt;"","Yes","")</f>
        <v>Yes</v>
      </c>
      <c r="U88" s="34" t="str">
        <f t="shared" si="90"/>
        <v/>
      </c>
      <c r="V88" s="34" t="str">
        <f t="shared" si="90"/>
        <v/>
      </c>
      <c r="W88" s="34" t="str">
        <f t="shared" si="3"/>
        <v/>
      </c>
      <c r="X88" s="24" t="str">
        <f t="shared" si="4"/>
        <v/>
      </c>
    </row>
    <row r="89" ht="14.25" customHeight="1">
      <c r="A89" s="28">
        <f>HYPERLINK("https://app.hubspot.com/contacts/8748051/record/0-1/179243078009", 179243078009)</f>
        <v>179243078009</v>
      </c>
      <c r="B89" s="24" t="s">
        <v>3421</v>
      </c>
      <c r="C89" s="26">
        <v>45986.49070601852</v>
      </c>
      <c r="D89" s="26"/>
      <c r="E89" s="28" t="s">
        <v>455</v>
      </c>
      <c r="F89" s="24"/>
      <c r="G89" s="35">
        <v>45986.0</v>
      </c>
      <c r="H89" s="35">
        <v>46003.0</v>
      </c>
      <c r="I89" s="35"/>
      <c r="J89" s="24" t="s">
        <v>3422</v>
      </c>
      <c r="K89" s="24" t="s">
        <v>3237</v>
      </c>
      <c r="L89" s="24" t="s">
        <v>3249</v>
      </c>
      <c r="M89" s="28">
        <f>HYPERLINK("https://app.hubspot.com/contacts/8748051/record/0-2/7715913391", 7715913391)</f>
        <v>7715913391</v>
      </c>
      <c r="N89" s="24" t="s">
        <v>454</v>
      </c>
      <c r="O89" s="33">
        <f>HYPERLINK("https://app.hubspot.com/contacts/8748051/record/0-3/50452632124", 50452632124)</f>
        <v>50452632124</v>
      </c>
      <c r="P89" s="24" t="s">
        <v>453</v>
      </c>
      <c r="Q89" s="24" t="s">
        <v>73</v>
      </c>
      <c r="R89" s="24">
        <v>99500.0</v>
      </c>
      <c r="S89" s="24"/>
      <c r="T89" s="34" t="str">
        <f t="shared" ref="T89:V89" si="91">IF(G89&lt;&gt;"","Yes","")</f>
        <v>Yes</v>
      </c>
      <c r="U89" s="34" t="str">
        <f t="shared" si="91"/>
        <v>Yes</v>
      </c>
      <c r="V89" s="34" t="str">
        <f t="shared" si="91"/>
        <v/>
      </c>
      <c r="W89" s="34" t="str">
        <f t="shared" si="3"/>
        <v/>
      </c>
      <c r="X89" s="24" t="str">
        <f t="shared" si="4"/>
        <v/>
      </c>
    </row>
    <row r="90" ht="14.25" customHeight="1">
      <c r="A90" s="28">
        <f>HYPERLINK("https://app.hubspot.com/contacts/8748051/record/0-1/179070088759", 179070088759)</f>
        <v>179070088759</v>
      </c>
      <c r="B90" s="24" t="s">
        <v>3423</v>
      </c>
      <c r="C90" s="26">
        <v>45986.11211805556</v>
      </c>
      <c r="D90" s="26"/>
      <c r="E90" s="28" t="s">
        <v>3424</v>
      </c>
      <c r="F90" s="24" t="s">
        <v>3304</v>
      </c>
      <c r="G90" s="35"/>
      <c r="H90" s="35"/>
      <c r="I90" s="35"/>
      <c r="J90" s="24" t="s">
        <v>3425</v>
      </c>
      <c r="K90" s="24" t="s">
        <v>3239</v>
      </c>
      <c r="L90" s="24"/>
      <c r="M90" s="28">
        <f>HYPERLINK("https://app.hubspot.com/contacts/8748051/record/0-2/45818649976", 45818649976)</f>
        <v>45818649976</v>
      </c>
      <c r="N90" s="24" t="s">
        <v>3426</v>
      </c>
      <c r="O90" s="34"/>
      <c r="P90" s="24"/>
      <c r="Q90" s="24"/>
      <c r="R90" s="24"/>
      <c r="S90" s="24"/>
      <c r="T90" s="34" t="str">
        <f t="shared" ref="T90:V90" si="92">IF(G90&lt;&gt;"","Yes","")</f>
        <v/>
      </c>
      <c r="U90" s="34" t="str">
        <f t="shared" si="92"/>
        <v/>
      </c>
      <c r="V90" s="34" t="str">
        <f t="shared" si="92"/>
        <v/>
      </c>
      <c r="W90" s="34" t="str">
        <f t="shared" si="3"/>
        <v/>
      </c>
      <c r="X90" s="24" t="str">
        <f t="shared" si="4"/>
        <v/>
      </c>
    </row>
    <row r="91" ht="14.25" customHeight="1">
      <c r="A91" s="28">
        <f>HYPERLINK("https://app.hubspot.com/contacts/8748051/record/0-1/177137858619", 177137858619)</f>
        <v>177137858619</v>
      </c>
      <c r="B91" s="24" t="s">
        <v>3427</v>
      </c>
      <c r="C91" s="26">
        <v>45981.5909375</v>
      </c>
      <c r="D91" s="26"/>
      <c r="E91" s="28" t="s">
        <v>477</v>
      </c>
      <c r="F91" s="24"/>
      <c r="G91" s="35">
        <v>45982.0</v>
      </c>
      <c r="H91" s="35">
        <v>45995.0</v>
      </c>
      <c r="I91" s="35">
        <v>45995.0</v>
      </c>
      <c r="J91" s="24" t="s">
        <v>3428</v>
      </c>
      <c r="K91" s="24" t="s">
        <v>155</v>
      </c>
      <c r="L91" s="24" t="s">
        <v>3249</v>
      </c>
      <c r="M91" s="28">
        <f>HYPERLINK("https://app.hubspot.com/contacts/8748051/record/0-2/45255543475", 45255543475)</f>
        <v>45255543475</v>
      </c>
      <c r="N91" s="24" t="s">
        <v>476</v>
      </c>
      <c r="O91" s="28">
        <f>HYPERLINK("https://app.hubspot.com/contacts/8748051/record/0-3/49729053081", 49729053081)</f>
        <v>49729053081</v>
      </c>
      <c r="P91" s="24" t="s">
        <v>475</v>
      </c>
      <c r="Q91" s="24" t="s">
        <v>127</v>
      </c>
      <c r="R91" s="24">
        <v>24500.0</v>
      </c>
      <c r="S91" s="24" t="b">
        <v>1</v>
      </c>
      <c r="T91" s="34" t="str">
        <f t="shared" ref="T91:V91" si="93">IF(G91&lt;&gt;"","Yes","")</f>
        <v>Yes</v>
      </c>
      <c r="U91" s="34" t="str">
        <f t="shared" si="93"/>
        <v>Yes</v>
      </c>
      <c r="V91" s="34" t="str">
        <f t="shared" si="93"/>
        <v>Yes</v>
      </c>
      <c r="W91" s="34" t="str">
        <f t="shared" si="3"/>
        <v/>
      </c>
      <c r="X91" s="24" t="str">
        <f t="shared" si="4"/>
        <v/>
      </c>
    </row>
    <row r="92" ht="14.25" customHeight="1">
      <c r="A92" s="28">
        <f>HYPERLINK("https://app.hubspot.com/contacts/8748051/record/0-1/176512100725", 176512100725)</f>
        <v>176512100725</v>
      </c>
      <c r="B92" s="24" t="s">
        <v>3429</v>
      </c>
      <c r="C92" s="26">
        <v>45981.51741898148</v>
      </c>
      <c r="D92" s="26"/>
      <c r="E92" s="28" t="s">
        <v>480</v>
      </c>
      <c r="F92" s="26"/>
      <c r="G92" s="35">
        <v>45981.0</v>
      </c>
      <c r="H92" s="35">
        <v>45986.0</v>
      </c>
      <c r="I92" s="35">
        <v>45986.0</v>
      </c>
      <c r="J92" s="24" t="s">
        <v>3430</v>
      </c>
      <c r="K92" s="24" t="s">
        <v>3239</v>
      </c>
      <c r="L92" s="24"/>
      <c r="M92" s="28">
        <f>HYPERLINK("https://app.hubspot.com/contacts/8748051/record/0-2/15942371161", 15942371161)</f>
        <v>15942371161</v>
      </c>
      <c r="N92" s="24" t="s">
        <v>479</v>
      </c>
      <c r="O92" s="33">
        <f>HYPERLINK("https://app.hubspot.com/contacts/8748051/record/0-3/49719151166", 49719151166)</f>
        <v>49719151166</v>
      </c>
      <c r="P92" s="24" t="s">
        <v>478</v>
      </c>
      <c r="Q92" s="24" t="s">
        <v>127</v>
      </c>
      <c r="R92" s="24">
        <v>20000.0</v>
      </c>
      <c r="S92" s="24" t="b">
        <v>1</v>
      </c>
      <c r="T92" s="34" t="str">
        <f t="shared" ref="T92:V92" si="94">IF(G92&lt;&gt;"","Yes","")</f>
        <v>Yes</v>
      </c>
      <c r="U92" s="34" t="str">
        <f t="shared" si="94"/>
        <v>Yes</v>
      </c>
      <c r="V92" s="34" t="str">
        <f t="shared" si="94"/>
        <v>Yes</v>
      </c>
      <c r="W92" s="34" t="str">
        <f t="shared" si="3"/>
        <v/>
      </c>
      <c r="X92" s="24" t="str">
        <f t="shared" si="4"/>
        <v/>
      </c>
    </row>
    <row r="93" ht="14.25" customHeight="1">
      <c r="A93" s="28">
        <f>HYPERLINK("https://app.hubspot.com/contacts/8748051/record/0-1/176933337471", 176933337471)</f>
        <v>176933337471</v>
      </c>
      <c r="B93" s="24" t="s">
        <v>3431</v>
      </c>
      <c r="C93" s="26">
        <v>45981.126655092594</v>
      </c>
      <c r="D93" s="26"/>
      <c r="E93" s="28" t="s">
        <v>483</v>
      </c>
      <c r="F93" s="26"/>
      <c r="G93" s="35">
        <v>45981.0</v>
      </c>
      <c r="H93" s="35">
        <v>45986.0</v>
      </c>
      <c r="I93" s="35">
        <v>45986.0</v>
      </c>
      <c r="J93" s="24" t="s">
        <v>3432</v>
      </c>
      <c r="K93" s="24" t="s">
        <v>3401</v>
      </c>
      <c r="L93" s="24"/>
      <c r="M93" s="28">
        <f>HYPERLINK("https://app.hubspot.com/contacts/8748051/record/0-2/44999704181", 44999704181)</f>
        <v>44999704181</v>
      </c>
      <c r="N93" s="24" t="s">
        <v>482</v>
      </c>
      <c r="O93" s="33">
        <f>HYPERLINK("https://app.hubspot.com/contacts/8748051/record/0-3/49653738372", 49653738372)</f>
        <v>49653738372</v>
      </c>
      <c r="P93" s="24" t="s">
        <v>481</v>
      </c>
      <c r="Q93" s="24" t="s">
        <v>73</v>
      </c>
      <c r="R93" s="24">
        <v>0.0</v>
      </c>
      <c r="S93" s="24"/>
      <c r="T93" s="34" t="str">
        <f t="shared" ref="T93:V93" si="95">IF(G93&lt;&gt;"","Yes","")</f>
        <v>Yes</v>
      </c>
      <c r="U93" s="34" t="str">
        <f t="shared" si="95"/>
        <v>Yes</v>
      </c>
      <c r="V93" s="34" t="str">
        <f t="shared" si="95"/>
        <v>Yes</v>
      </c>
      <c r="W93" s="34" t="str">
        <f t="shared" si="3"/>
        <v/>
      </c>
      <c r="X93" s="24" t="str">
        <f t="shared" si="4"/>
        <v/>
      </c>
    </row>
    <row r="94" ht="14.25" customHeight="1">
      <c r="A94" s="28">
        <f>HYPERLINK("https://app.hubspot.com/contacts/8748051/record/0-1/171598750977", 171598750977)</f>
        <v>171598750977</v>
      </c>
      <c r="B94" s="24" t="s">
        <v>3433</v>
      </c>
      <c r="C94" s="26">
        <v>45980.794594907406</v>
      </c>
      <c r="D94" s="26"/>
      <c r="E94" s="28" t="s">
        <v>492</v>
      </c>
      <c r="F94" s="26"/>
      <c r="G94" s="35">
        <v>45981.0</v>
      </c>
      <c r="H94" s="35">
        <v>45987.0</v>
      </c>
      <c r="I94" s="35">
        <v>45987.0</v>
      </c>
      <c r="J94" s="24" t="s">
        <v>3434</v>
      </c>
      <c r="K94" s="24" t="s">
        <v>155</v>
      </c>
      <c r="L94" s="24"/>
      <c r="M94" s="28">
        <f>HYPERLINK("https://app.hubspot.com/contacts/8748051/record/0-2/45186326845", 45186326845)</f>
        <v>45186326845</v>
      </c>
      <c r="N94" s="24" t="s">
        <v>491</v>
      </c>
      <c r="O94" s="33">
        <f>HYPERLINK("https://app.hubspot.com/contacts/8748051/record/0-3/49655767943", 49655767943)</f>
        <v>49655767943</v>
      </c>
      <c r="P94" s="24" t="s">
        <v>490</v>
      </c>
      <c r="Q94" s="24" t="s">
        <v>127</v>
      </c>
      <c r="R94" s="24">
        <v>10000.0</v>
      </c>
      <c r="S94" s="24"/>
      <c r="T94" s="34" t="str">
        <f t="shared" ref="T94:V94" si="96">IF(G94&lt;&gt;"","Yes","")</f>
        <v>Yes</v>
      </c>
      <c r="U94" s="34" t="str">
        <f t="shared" si="96"/>
        <v>Yes</v>
      </c>
      <c r="V94" s="34" t="str">
        <f t="shared" si="96"/>
        <v>Yes</v>
      </c>
      <c r="W94" s="34" t="str">
        <f t="shared" si="3"/>
        <v/>
      </c>
      <c r="X94" s="24" t="str">
        <f t="shared" si="4"/>
        <v/>
      </c>
    </row>
    <row r="95" ht="14.25" customHeight="1">
      <c r="A95" s="28">
        <f>HYPERLINK("https://app.hubspot.com/contacts/8748051/record/0-1/179198482797", 179198482797)</f>
        <v>179198482797</v>
      </c>
      <c r="B95" s="24" t="s">
        <v>3435</v>
      </c>
      <c r="C95" s="26">
        <v>45980.07729166667</v>
      </c>
      <c r="D95" s="26"/>
      <c r="E95" s="28" t="s">
        <v>505</v>
      </c>
      <c r="F95" s="26"/>
      <c r="G95" s="35">
        <v>45980.0</v>
      </c>
      <c r="H95" s="35">
        <v>45987.0</v>
      </c>
      <c r="I95" s="35">
        <v>45987.0</v>
      </c>
      <c r="J95" s="24" t="s">
        <v>3436</v>
      </c>
      <c r="K95" s="24" t="s">
        <v>3239</v>
      </c>
      <c r="L95" s="24"/>
      <c r="M95" s="28">
        <f>HYPERLINK("https://app.hubspot.com/contacts/8748051/record/0-2/45062632855", 45062632855)</f>
        <v>45062632855</v>
      </c>
      <c r="N95" s="24" t="s">
        <v>504</v>
      </c>
      <c r="O95" s="33">
        <f>HYPERLINK("https://app.hubspot.com/contacts/8748051/record/0-3/49470592616", 49470592616)</f>
        <v>49470592616</v>
      </c>
      <c r="P95" s="24" t="s">
        <v>502</v>
      </c>
      <c r="Q95" s="24" t="s">
        <v>127</v>
      </c>
      <c r="R95" s="24">
        <v>7500.0</v>
      </c>
      <c r="S95" s="24" t="b">
        <v>1</v>
      </c>
      <c r="T95" s="34" t="str">
        <f t="shared" ref="T95:V95" si="97">IF(G95&lt;&gt;"","Yes","")</f>
        <v>Yes</v>
      </c>
      <c r="U95" s="34" t="str">
        <f t="shared" si="97"/>
        <v>Yes</v>
      </c>
      <c r="V95" s="34" t="str">
        <f t="shared" si="97"/>
        <v>Yes</v>
      </c>
      <c r="W95" s="34" t="str">
        <f t="shared" si="3"/>
        <v/>
      </c>
      <c r="X95" s="24" t="str">
        <f t="shared" si="4"/>
        <v/>
      </c>
    </row>
    <row r="96" ht="14.25" customHeight="1">
      <c r="A96" s="28">
        <f>HYPERLINK("https://app.hubspot.com/contacts/8748051/record/0-1/176561659920", 176561659920)</f>
        <v>176561659920</v>
      </c>
      <c r="B96" s="24" t="s">
        <v>3437</v>
      </c>
      <c r="C96" s="26">
        <v>45979.87287037037</v>
      </c>
      <c r="D96" s="26"/>
      <c r="E96" s="28" t="s">
        <v>509</v>
      </c>
      <c r="F96" s="26"/>
      <c r="G96" s="35">
        <v>45980.0</v>
      </c>
      <c r="H96" s="35">
        <v>45985.0</v>
      </c>
      <c r="I96" s="35">
        <v>45985.0</v>
      </c>
      <c r="J96" s="24" t="s">
        <v>3438</v>
      </c>
      <c r="K96" s="24" t="s">
        <v>3239</v>
      </c>
      <c r="L96" s="24"/>
      <c r="M96" s="28">
        <f>HYPERLINK("https://app.hubspot.com/contacts/8748051/record/0-2/47566489205", 47566489205)</f>
        <v>47566489205</v>
      </c>
      <c r="N96" s="24" t="s">
        <v>508</v>
      </c>
      <c r="O96" s="33">
        <f>HYPERLINK("https://app.hubspot.com/contacts/8748051/record/0-3/49599094866", 49599094866)</f>
        <v>49599094866</v>
      </c>
      <c r="P96" s="24" t="s">
        <v>506</v>
      </c>
      <c r="Q96" s="24" t="s">
        <v>92</v>
      </c>
      <c r="R96" s="24">
        <v>50760.0</v>
      </c>
      <c r="S96" s="24" t="b">
        <v>1</v>
      </c>
      <c r="T96" s="34" t="str">
        <f t="shared" ref="T96:V96" si="98">IF(G96&lt;&gt;"","Yes","")</f>
        <v>Yes</v>
      </c>
      <c r="U96" s="34" t="str">
        <f t="shared" si="98"/>
        <v>Yes</v>
      </c>
      <c r="V96" s="34" t="str">
        <f t="shared" si="98"/>
        <v>Yes</v>
      </c>
      <c r="W96" s="34" t="str">
        <f t="shared" si="3"/>
        <v>Yes</v>
      </c>
      <c r="X96" s="24" t="str">
        <f t="shared" si="4"/>
        <v/>
      </c>
    </row>
    <row r="97" ht="14.25" customHeight="1">
      <c r="A97" s="28">
        <f>HYPERLINK("https://app.hubspot.com/contacts/8748051/record/0-1/176363802442", 176363802442)</f>
        <v>176363802442</v>
      </c>
      <c r="B97" s="24" t="s">
        <v>3439</v>
      </c>
      <c r="C97" s="26">
        <v>45979.40752314815</v>
      </c>
      <c r="D97" s="26"/>
      <c r="E97" s="28" t="s">
        <v>3440</v>
      </c>
      <c r="F97" s="26"/>
      <c r="G97" s="35">
        <v>45979.0</v>
      </c>
      <c r="H97" s="35"/>
      <c r="I97" s="35"/>
      <c r="J97" s="24" t="s">
        <v>3419</v>
      </c>
      <c r="K97" s="24" t="s">
        <v>3239</v>
      </c>
      <c r="L97" s="34"/>
      <c r="M97" s="28">
        <f>HYPERLINK("https://app.hubspot.com/contacts/8748051/record/0-2/45064360289", 45064360289)</f>
        <v>45064360289</v>
      </c>
      <c r="N97" s="24" t="s">
        <v>3441</v>
      </c>
      <c r="O97" s="24"/>
      <c r="P97" s="24"/>
      <c r="Q97" s="24"/>
      <c r="R97" s="24"/>
      <c r="S97" s="24"/>
      <c r="T97" s="34" t="str">
        <f t="shared" ref="T97:V97" si="99">IF(G97&lt;&gt;"","Yes","")</f>
        <v>Yes</v>
      </c>
      <c r="U97" s="34" t="str">
        <f t="shared" si="99"/>
        <v/>
      </c>
      <c r="V97" s="34" t="str">
        <f t="shared" si="99"/>
        <v/>
      </c>
      <c r="W97" s="34" t="str">
        <f t="shared" si="3"/>
        <v/>
      </c>
      <c r="X97" s="24" t="str">
        <f t="shared" si="4"/>
        <v/>
      </c>
    </row>
    <row r="98" ht="14.25" customHeight="1">
      <c r="A98" s="28">
        <f>HYPERLINK("https://app.hubspot.com/contacts/8748051/record/0-1/176149589796", 176149589796)</f>
        <v>176149589796</v>
      </c>
      <c r="B98" s="24" t="s">
        <v>3442</v>
      </c>
      <c r="C98" s="26">
        <v>45979.10833333333</v>
      </c>
      <c r="D98" s="26"/>
      <c r="E98" s="24" t="s">
        <v>516</v>
      </c>
      <c r="F98" s="24"/>
      <c r="G98" s="35">
        <v>45979.0</v>
      </c>
      <c r="H98" s="35">
        <v>45993.0</v>
      </c>
      <c r="I98" s="35"/>
      <c r="J98" s="24" t="s">
        <v>3443</v>
      </c>
      <c r="K98" s="24" t="s">
        <v>3242</v>
      </c>
      <c r="L98" s="24"/>
      <c r="M98" s="28">
        <f>HYPERLINK("https://app.hubspot.com/contacts/8748051/record/0-2/45061800802", 45061800802)</f>
        <v>45061800802</v>
      </c>
      <c r="N98" s="24" t="s">
        <v>515</v>
      </c>
      <c r="O98" s="28">
        <f>HYPERLINK("https://app.hubspot.com/contacts/8748051/record/0-3/49464959126", 49464959126)</f>
        <v>49464959126</v>
      </c>
      <c r="P98" s="24" t="s">
        <v>514</v>
      </c>
      <c r="Q98" s="24" t="s">
        <v>73</v>
      </c>
      <c r="R98" s="24">
        <v>1500.0</v>
      </c>
      <c r="S98" s="24"/>
      <c r="T98" s="34" t="str">
        <f t="shared" ref="T98:V98" si="100">IF(G98&lt;&gt;"","Yes","")</f>
        <v>Yes</v>
      </c>
      <c r="U98" s="34" t="str">
        <f t="shared" si="100"/>
        <v>Yes</v>
      </c>
      <c r="V98" s="34" t="str">
        <f t="shared" si="100"/>
        <v/>
      </c>
      <c r="W98" s="34" t="str">
        <f t="shared" si="3"/>
        <v/>
      </c>
      <c r="X98" s="24" t="str">
        <f t="shared" si="4"/>
        <v/>
      </c>
    </row>
    <row r="99" ht="14.25" customHeight="1">
      <c r="A99" s="28">
        <f>HYPERLINK("https://app.hubspot.com/contacts/8748051/record/0-1/175864153463", 175864153463)</f>
        <v>175864153463</v>
      </c>
      <c r="B99" s="24" t="s">
        <v>3444</v>
      </c>
      <c r="C99" s="26">
        <v>45978.55626157407</v>
      </c>
      <c r="D99" s="26"/>
      <c r="E99" s="28" t="s">
        <v>570</v>
      </c>
      <c r="F99" s="26"/>
      <c r="G99" s="35">
        <v>45978.0</v>
      </c>
      <c r="H99" s="35">
        <v>45980.0</v>
      </c>
      <c r="I99" s="35">
        <v>45980.0</v>
      </c>
      <c r="J99" s="24" t="s">
        <v>3263</v>
      </c>
      <c r="K99" s="24" t="s">
        <v>155</v>
      </c>
      <c r="L99" s="24"/>
      <c r="M99" s="28">
        <f>HYPERLINK("https://app.hubspot.com/contacts/8748051/record/0-2/19176667820", 19176667820)</f>
        <v>19176667820</v>
      </c>
      <c r="N99" s="24" t="s">
        <v>569</v>
      </c>
      <c r="O99" s="33">
        <f>HYPERLINK("https://app.hubspot.com/contacts/8748051/record/0-3/48123091042", 48123091042)</f>
        <v>48123091042</v>
      </c>
      <c r="P99" s="24" t="s">
        <v>567</v>
      </c>
      <c r="Q99" s="24" t="s">
        <v>127</v>
      </c>
      <c r="R99" s="24">
        <v>10000.0</v>
      </c>
      <c r="S99" s="24" t="b">
        <v>1</v>
      </c>
      <c r="T99" s="34" t="str">
        <f t="shared" ref="T99:V99" si="101">IF(G99&lt;&gt;"","Yes","")</f>
        <v>Yes</v>
      </c>
      <c r="U99" s="34" t="str">
        <f t="shared" si="101"/>
        <v>Yes</v>
      </c>
      <c r="V99" s="34" t="str">
        <f t="shared" si="101"/>
        <v>Yes</v>
      </c>
      <c r="W99" s="34" t="str">
        <f t="shared" si="3"/>
        <v/>
      </c>
      <c r="X99" s="24" t="str">
        <f t="shared" si="4"/>
        <v/>
      </c>
    </row>
    <row r="100" ht="14.25" customHeight="1">
      <c r="A100" s="28">
        <f>HYPERLINK("https://app.hubspot.com/contacts/8748051/record/0-1/175813688135", 175813688135)</f>
        <v>175813688135</v>
      </c>
      <c r="B100" s="24" t="s">
        <v>3445</v>
      </c>
      <c r="C100" s="26">
        <v>45978.53288194445</v>
      </c>
      <c r="D100" s="26"/>
      <c r="E100" s="28" t="s">
        <v>519</v>
      </c>
      <c r="F100" s="26"/>
      <c r="G100" s="35">
        <v>45978.0</v>
      </c>
      <c r="H100" s="35">
        <v>45979.0</v>
      </c>
      <c r="I100" s="35"/>
      <c r="J100" s="24" t="s">
        <v>3365</v>
      </c>
      <c r="K100" s="24" t="s">
        <v>155</v>
      </c>
      <c r="L100" s="24" t="s">
        <v>3376</v>
      </c>
      <c r="M100" s="28">
        <f>HYPERLINK("https://app.hubspot.com/contacts/8748051/record/0-2/44826338349", 44826338349)</f>
        <v>44826338349</v>
      </c>
      <c r="N100" s="24" t="s">
        <v>518</v>
      </c>
      <c r="O100" s="33">
        <f>HYPERLINK("https://app.hubspot.com/contacts/8748051/record/0-3/49322585098", 49322585098)</f>
        <v>49322585098</v>
      </c>
      <c r="P100" s="24" t="s">
        <v>517</v>
      </c>
      <c r="Q100" s="24" t="s">
        <v>73</v>
      </c>
      <c r="R100" s="24">
        <v>0.0</v>
      </c>
      <c r="S100" s="24"/>
      <c r="T100" s="34" t="str">
        <f t="shared" ref="T100:V100" si="102">IF(G100&lt;&gt;"","Yes","")</f>
        <v>Yes</v>
      </c>
      <c r="U100" s="34" t="str">
        <f t="shared" si="102"/>
        <v>Yes</v>
      </c>
      <c r="V100" s="34" t="str">
        <f t="shared" si="102"/>
        <v/>
      </c>
      <c r="W100" s="34" t="str">
        <f t="shared" si="3"/>
        <v/>
      </c>
      <c r="X100" s="24" t="str">
        <f t="shared" si="4"/>
        <v/>
      </c>
    </row>
    <row r="101" ht="14.25" customHeight="1">
      <c r="A101" s="28">
        <f>HYPERLINK("https://app.hubspot.com/contacts/8748051/record/0-1/174459151435", 174459151435)</f>
        <v>174459151435</v>
      </c>
      <c r="B101" s="24" t="s">
        <v>3446</v>
      </c>
      <c r="C101" s="26">
        <v>45978.46436342593</v>
      </c>
      <c r="D101" s="26"/>
      <c r="E101" s="28" t="s">
        <v>523</v>
      </c>
      <c r="F101" s="24"/>
      <c r="G101" s="35">
        <v>45978.0</v>
      </c>
      <c r="H101" s="35">
        <v>45978.0</v>
      </c>
      <c r="I101" s="35">
        <v>45978.0</v>
      </c>
      <c r="J101" s="24" t="s">
        <v>3447</v>
      </c>
      <c r="K101" s="24" t="s">
        <v>3239</v>
      </c>
      <c r="L101" s="24"/>
      <c r="M101" s="28">
        <f>HYPERLINK("https://app.hubspot.com/contacts/8748051/record/0-2/9846549330", 9846549330)</f>
        <v>9846549330</v>
      </c>
      <c r="N101" s="24" t="s">
        <v>522</v>
      </c>
      <c r="O101" s="33">
        <f>HYPERLINK("https://app.hubspot.com/contacts/8748051/record/0-3/49247354988", 49247354988)</f>
        <v>49247354988</v>
      </c>
      <c r="P101" s="24" t="s">
        <v>520</v>
      </c>
      <c r="Q101" s="24" t="s">
        <v>149</v>
      </c>
      <c r="R101" s="24">
        <v>60500.0</v>
      </c>
      <c r="S101" s="24" t="b">
        <v>1</v>
      </c>
      <c r="T101" s="34" t="str">
        <f t="shared" ref="T101:V101" si="103">IF(G101&lt;&gt;"","Yes","")</f>
        <v>Yes</v>
      </c>
      <c r="U101" s="34" t="str">
        <f t="shared" si="103"/>
        <v>Yes</v>
      </c>
      <c r="V101" s="34" t="str">
        <f t="shared" si="103"/>
        <v>Yes</v>
      </c>
      <c r="W101" s="34" t="str">
        <f t="shared" si="3"/>
        <v/>
      </c>
      <c r="X101" s="24" t="str">
        <f t="shared" si="4"/>
        <v>Yes</v>
      </c>
    </row>
    <row r="102" ht="14.25" customHeight="1">
      <c r="A102" s="28">
        <f>HYPERLINK("https://app.hubspot.com/contacts/8748051/record/0-1/175580736272", 175580736272)</f>
        <v>175580736272</v>
      </c>
      <c r="B102" s="24" t="s">
        <v>3448</v>
      </c>
      <c r="C102" s="26">
        <v>45977.94157407407</v>
      </c>
      <c r="D102" s="26"/>
      <c r="E102" s="28" t="s">
        <v>513</v>
      </c>
      <c r="F102" s="26"/>
      <c r="G102" s="35">
        <v>45978.0</v>
      </c>
      <c r="H102" s="35">
        <v>45986.0</v>
      </c>
      <c r="I102" s="35">
        <v>45986.0</v>
      </c>
      <c r="J102" s="24" t="s">
        <v>155</v>
      </c>
      <c r="K102" s="24" t="s">
        <v>155</v>
      </c>
      <c r="L102" s="24"/>
      <c r="M102" s="28">
        <f>HYPERLINK("https://app.hubspot.com/contacts/8748051/record/0-2/48571644819", 48571644819)</f>
        <v>48571644819</v>
      </c>
      <c r="N102" s="24" t="s">
        <v>512</v>
      </c>
      <c r="O102" s="33">
        <f>HYPERLINK("https://app.hubspot.com/contacts/8748051/record/0-3/49604626604", 49604626604)</f>
        <v>49604626604</v>
      </c>
      <c r="P102" s="24" t="s">
        <v>511</v>
      </c>
      <c r="Q102" s="24" t="s">
        <v>442</v>
      </c>
      <c r="R102" s="24">
        <v>25000.0</v>
      </c>
      <c r="S102" s="24" t="b">
        <v>1</v>
      </c>
      <c r="T102" s="34" t="str">
        <f t="shared" ref="T102:V102" si="104">IF(G102&lt;&gt;"","Yes","")</f>
        <v>Yes</v>
      </c>
      <c r="U102" s="34" t="str">
        <f t="shared" si="104"/>
        <v>Yes</v>
      </c>
      <c r="V102" s="34" t="str">
        <f t="shared" si="104"/>
        <v>Yes</v>
      </c>
      <c r="W102" s="34" t="str">
        <f t="shared" si="3"/>
        <v/>
      </c>
      <c r="X102" s="24" t="str">
        <f t="shared" si="4"/>
        <v/>
      </c>
    </row>
    <row r="103" ht="14.25" customHeight="1">
      <c r="A103" s="28">
        <f>HYPERLINK("https://app.hubspot.com/contacts/8748051/record/0-1/174978597411", 174978597411)</f>
        <v>174978597411</v>
      </c>
      <c r="B103" s="24" t="s">
        <v>3449</v>
      </c>
      <c r="C103" s="26">
        <v>45975.22289351852</v>
      </c>
      <c r="D103" s="26"/>
      <c r="E103" s="28" t="s">
        <v>532</v>
      </c>
      <c r="F103" s="24"/>
      <c r="G103" s="35">
        <v>45975.0</v>
      </c>
      <c r="H103" s="35">
        <v>45986.0</v>
      </c>
      <c r="I103" s="35">
        <v>45986.0</v>
      </c>
      <c r="J103" s="24" t="s">
        <v>3254</v>
      </c>
      <c r="K103" s="24" t="s">
        <v>3239</v>
      </c>
      <c r="L103" s="24"/>
      <c r="M103" s="28">
        <f>HYPERLINK("https://app.hubspot.com/contacts/8748051/record/0-2/44621085270", 44621085270)</f>
        <v>44621085270</v>
      </c>
      <c r="N103" s="24" t="s">
        <v>531</v>
      </c>
      <c r="O103" s="28">
        <f>HYPERLINK("https://app.hubspot.com/contacts/8748051/record/0-3/49048169882", 49048169882)</f>
        <v>49048169882</v>
      </c>
      <c r="P103" s="24" t="s">
        <v>530</v>
      </c>
      <c r="Q103" s="24" t="s">
        <v>73</v>
      </c>
      <c r="R103" s="24">
        <v>9000.0</v>
      </c>
      <c r="S103" s="24" t="b">
        <v>1</v>
      </c>
      <c r="T103" s="34" t="str">
        <f t="shared" ref="T103:V103" si="105">IF(G103&lt;&gt;"","Yes","")</f>
        <v>Yes</v>
      </c>
      <c r="U103" s="34" t="str">
        <f t="shared" si="105"/>
        <v>Yes</v>
      </c>
      <c r="V103" s="34" t="str">
        <f t="shared" si="105"/>
        <v>Yes</v>
      </c>
      <c r="W103" s="34" t="str">
        <f t="shared" si="3"/>
        <v/>
      </c>
      <c r="X103" s="24" t="str">
        <f t="shared" si="4"/>
        <v/>
      </c>
    </row>
    <row r="104" ht="14.25" customHeight="1">
      <c r="A104" s="28">
        <f>HYPERLINK("https://app.hubspot.com/contacts/8748051/record/0-1/176194664559", 176194664559)</f>
        <v>176194664559</v>
      </c>
      <c r="B104" s="24" t="s">
        <v>3450</v>
      </c>
      <c r="C104" s="26">
        <v>45973.37847222222</v>
      </c>
      <c r="D104" s="26"/>
      <c r="E104" s="28" t="s">
        <v>486</v>
      </c>
      <c r="F104" s="24"/>
      <c r="G104" s="35">
        <v>45973.0</v>
      </c>
      <c r="H104" s="35">
        <v>45987.0</v>
      </c>
      <c r="I104" s="35">
        <v>45987.0</v>
      </c>
      <c r="J104" s="24" t="s">
        <v>3296</v>
      </c>
      <c r="K104" s="24" t="s">
        <v>3239</v>
      </c>
      <c r="L104" s="24"/>
      <c r="M104" s="28">
        <f>HYPERLINK("https://app.hubspot.com/contacts/8748051/record/0-2/44383913314", 44383913314)</f>
        <v>44383913314</v>
      </c>
      <c r="N104" s="24" t="s">
        <v>485</v>
      </c>
      <c r="O104" s="33">
        <f>HYPERLINK("https://app.hubspot.com/contacts/8748051/record/0-3/49619975860", 49619975860)</f>
        <v>49619975860</v>
      </c>
      <c r="P104" s="24" t="s">
        <v>484</v>
      </c>
      <c r="Q104" s="24" t="s">
        <v>73</v>
      </c>
      <c r="R104" s="24">
        <v>0.0</v>
      </c>
      <c r="S104" s="24"/>
      <c r="T104" s="34" t="str">
        <f t="shared" ref="T104:V104" si="106">IF(G104&lt;&gt;"","Yes","")</f>
        <v>Yes</v>
      </c>
      <c r="U104" s="34" t="str">
        <f t="shared" si="106"/>
        <v>Yes</v>
      </c>
      <c r="V104" s="34" t="str">
        <f t="shared" si="106"/>
        <v>Yes</v>
      </c>
      <c r="W104" s="34" t="str">
        <f t="shared" si="3"/>
        <v/>
      </c>
      <c r="X104" s="24" t="str">
        <f t="shared" si="4"/>
        <v/>
      </c>
    </row>
    <row r="105" ht="14.25" customHeight="1">
      <c r="A105" s="28">
        <f>HYPERLINK("https://app.hubspot.com/contacts/8748051/record/0-1/173984858444", 173984858444)</f>
        <v>173984858444</v>
      </c>
      <c r="B105" s="24" t="s">
        <v>3451</v>
      </c>
      <c r="C105" s="26">
        <v>45971.84890046297</v>
      </c>
      <c r="D105" s="26"/>
      <c r="E105" s="28" t="s">
        <v>535</v>
      </c>
      <c r="F105" s="26"/>
      <c r="G105" s="35">
        <v>45972.0</v>
      </c>
      <c r="H105" s="35">
        <v>45976.0</v>
      </c>
      <c r="I105" s="35"/>
      <c r="J105" s="24" t="s">
        <v>3452</v>
      </c>
      <c r="K105" s="24" t="s">
        <v>3237</v>
      </c>
      <c r="L105" s="24"/>
      <c r="M105" s="28">
        <f>HYPERLINK("https://app.hubspot.com/contacts/8748051/record/0-2/44398650284", 44398650284)</f>
        <v>44398650284</v>
      </c>
      <c r="N105" s="24" t="s">
        <v>534</v>
      </c>
      <c r="O105" s="28">
        <f>HYPERLINK("https://app.hubspot.com/contacts/8748051/record/0-3/48818454545", 48818454545)</f>
        <v>48818454545</v>
      </c>
      <c r="P105" s="24" t="s">
        <v>533</v>
      </c>
      <c r="Q105" s="24" t="s">
        <v>73</v>
      </c>
      <c r="R105" s="24">
        <v>0.0</v>
      </c>
      <c r="S105" s="24"/>
      <c r="T105" s="34" t="str">
        <f t="shared" ref="T105:V105" si="107">IF(G105&lt;&gt;"","Yes","")</f>
        <v>Yes</v>
      </c>
      <c r="U105" s="34" t="str">
        <f t="shared" si="107"/>
        <v>Yes</v>
      </c>
      <c r="V105" s="34" t="str">
        <f t="shared" si="107"/>
        <v/>
      </c>
      <c r="W105" s="34" t="str">
        <f t="shared" si="3"/>
        <v/>
      </c>
      <c r="X105" s="24" t="str">
        <f t="shared" si="4"/>
        <v/>
      </c>
    </row>
    <row r="106" ht="14.25" customHeight="1">
      <c r="A106" s="28">
        <f>HYPERLINK("https://app.hubspot.com/contacts/8748051/record/0-1/173969212787", 173969212787)</f>
        <v>173969212787</v>
      </c>
      <c r="B106" s="24" t="s">
        <v>3453</v>
      </c>
      <c r="C106" s="26">
        <v>45971.68002314815</v>
      </c>
      <c r="D106" s="26"/>
      <c r="E106" s="28" t="s">
        <v>538</v>
      </c>
      <c r="F106" s="26"/>
      <c r="G106" s="35">
        <v>45972.0</v>
      </c>
      <c r="H106" s="35">
        <v>45976.0</v>
      </c>
      <c r="I106" s="35">
        <v>45976.0</v>
      </c>
      <c r="J106" s="24" t="s">
        <v>3454</v>
      </c>
      <c r="K106" s="24" t="s">
        <v>3245</v>
      </c>
      <c r="L106" s="24"/>
      <c r="M106" s="28">
        <f>HYPERLINK("https://app.hubspot.com/contacts/8748051/record/0-2/44387724722", 44387724722)</f>
        <v>44387724722</v>
      </c>
      <c r="N106" s="24" t="s">
        <v>537</v>
      </c>
      <c r="O106" s="33">
        <f>HYPERLINK("https://app.hubspot.com/contacts/8748051/record/0-3/48830381419", 48830381419)</f>
        <v>48830381419</v>
      </c>
      <c r="P106" s="24" t="s">
        <v>536</v>
      </c>
      <c r="Q106" s="24" t="s">
        <v>73</v>
      </c>
      <c r="R106" s="24">
        <v>3500.0</v>
      </c>
      <c r="S106" s="24"/>
      <c r="T106" s="34" t="str">
        <f t="shared" ref="T106:V106" si="108">IF(G106&lt;&gt;"","Yes","")</f>
        <v>Yes</v>
      </c>
      <c r="U106" s="34" t="str">
        <f t="shared" si="108"/>
        <v>Yes</v>
      </c>
      <c r="V106" s="34" t="str">
        <f t="shared" si="108"/>
        <v>Yes</v>
      </c>
      <c r="W106" s="34" t="str">
        <f t="shared" si="3"/>
        <v/>
      </c>
      <c r="X106" s="24" t="str">
        <f t="shared" si="4"/>
        <v/>
      </c>
    </row>
    <row r="107" ht="14.25" customHeight="1">
      <c r="A107" s="28">
        <f>HYPERLINK("https://app.hubspot.com/contacts/8748051/record/0-1/173824200889", 173824200889)</f>
        <v>173824200889</v>
      </c>
      <c r="B107" s="24" t="s">
        <v>3455</v>
      </c>
      <c r="C107" s="26">
        <v>45971.39696759259</v>
      </c>
      <c r="D107" s="26"/>
      <c r="E107" s="28" t="s">
        <v>541</v>
      </c>
      <c r="F107" s="24"/>
      <c r="G107" s="35">
        <v>45971.0</v>
      </c>
      <c r="H107" s="35">
        <v>45974.0</v>
      </c>
      <c r="I107" s="35">
        <v>45974.0</v>
      </c>
      <c r="J107" s="24" t="s">
        <v>3456</v>
      </c>
      <c r="K107" s="24" t="s">
        <v>3239</v>
      </c>
      <c r="L107" s="24" t="s">
        <v>3249</v>
      </c>
      <c r="M107" s="28">
        <f>HYPERLINK("https://app.hubspot.com/contacts/8748051/record/0-2/8714341039", 8714341039)</f>
        <v>8714341039</v>
      </c>
      <c r="N107" s="24" t="s">
        <v>540</v>
      </c>
      <c r="O107" s="33">
        <f>HYPERLINK("https://app.hubspot.com/contacts/8748051/record/0-3/48786999816", 48786999816)</f>
        <v>48786999816</v>
      </c>
      <c r="P107" s="24" t="s">
        <v>539</v>
      </c>
      <c r="Q107" s="24" t="s">
        <v>51</v>
      </c>
      <c r="R107" s="24">
        <v>100000.0</v>
      </c>
      <c r="S107" s="24" t="b">
        <v>1</v>
      </c>
      <c r="T107" s="34" t="str">
        <f t="shared" ref="T107:V107" si="109">IF(G107&lt;&gt;"","Yes","")</f>
        <v>Yes</v>
      </c>
      <c r="U107" s="34" t="str">
        <f t="shared" si="109"/>
        <v>Yes</v>
      </c>
      <c r="V107" s="34" t="str">
        <f t="shared" si="109"/>
        <v>Yes</v>
      </c>
      <c r="W107" s="34" t="str">
        <f t="shared" si="3"/>
        <v/>
      </c>
      <c r="X107" s="24" t="str">
        <f t="shared" si="4"/>
        <v/>
      </c>
    </row>
    <row r="108" ht="14.25" customHeight="1">
      <c r="A108" s="28">
        <f>HYPERLINK("https://app.hubspot.com/contacts/8748051/record/0-1/173120413491", 173120413491)</f>
        <v>173120413491</v>
      </c>
      <c r="B108" s="24" t="s">
        <v>3457</v>
      </c>
      <c r="C108" s="26">
        <v>45969.46037037037</v>
      </c>
      <c r="D108" s="26"/>
      <c r="E108" s="28" t="s">
        <v>545</v>
      </c>
      <c r="F108" s="24"/>
      <c r="G108" s="35">
        <v>45969.0</v>
      </c>
      <c r="H108" s="35">
        <v>45975.0</v>
      </c>
      <c r="I108" s="35">
        <v>45975.0</v>
      </c>
      <c r="J108" s="24" t="s">
        <v>3458</v>
      </c>
      <c r="K108" s="24" t="s">
        <v>3242</v>
      </c>
      <c r="L108" s="24"/>
      <c r="M108" s="28">
        <f>HYPERLINK("https://app.hubspot.com/contacts/8748051/record/0-2/9354298161", 9354298161)</f>
        <v>9354298161</v>
      </c>
      <c r="N108" s="24" t="s">
        <v>544</v>
      </c>
      <c r="O108" s="28">
        <f>HYPERLINK("https://app.hubspot.com/contacts/8748051/record/0-3/48719124392", 48719124392)</f>
        <v>48719124392</v>
      </c>
      <c r="P108" s="24" t="s">
        <v>543</v>
      </c>
      <c r="Q108" s="24" t="s">
        <v>127</v>
      </c>
      <c r="R108" s="24">
        <v>100000.0</v>
      </c>
      <c r="S108" s="24" t="b">
        <v>1</v>
      </c>
      <c r="T108" s="34" t="str">
        <f t="shared" ref="T108:V108" si="110">IF(G108&lt;&gt;"","Yes","")</f>
        <v>Yes</v>
      </c>
      <c r="U108" s="34" t="str">
        <f t="shared" si="110"/>
        <v>Yes</v>
      </c>
      <c r="V108" s="34" t="str">
        <f t="shared" si="110"/>
        <v>Yes</v>
      </c>
      <c r="W108" s="34" t="str">
        <f t="shared" si="3"/>
        <v/>
      </c>
      <c r="X108" s="24" t="str">
        <f t="shared" si="4"/>
        <v/>
      </c>
    </row>
    <row r="109" ht="14.25" customHeight="1">
      <c r="A109" s="28">
        <f>HYPERLINK("https://app.hubspot.com/contacts/8748051/record/0-1/169315910296", 169315910296)</f>
        <v>169315910296</v>
      </c>
      <c r="B109" s="24" t="s">
        <v>3459</v>
      </c>
      <c r="C109" s="26">
        <v>45966.393217592595</v>
      </c>
      <c r="D109" s="26"/>
      <c r="E109" s="28" t="s">
        <v>553</v>
      </c>
      <c r="F109" s="24"/>
      <c r="G109" s="35">
        <v>45966.0</v>
      </c>
      <c r="H109" s="35">
        <v>45973.0</v>
      </c>
      <c r="I109" s="35">
        <v>45973.0</v>
      </c>
      <c r="J109" s="24" t="s">
        <v>3460</v>
      </c>
      <c r="K109" s="24" t="s">
        <v>3237</v>
      </c>
      <c r="L109" s="24" t="s">
        <v>3249</v>
      </c>
      <c r="M109" s="28">
        <f>HYPERLINK("https://app.hubspot.com/contacts/8748051/record/0-2/19176660885", 19176660885)</f>
        <v>19176660885</v>
      </c>
      <c r="N109" s="24" t="s">
        <v>552</v>
      </c>
      <c r="O109" s="33">
        <f>HYPERLINK("https://app.hubspot.com/contacts/8748051/record/0-3/48374291714", 48374291714)</f>
        <v>48374291714</v>
      </c>
      <c r="P109" s="24" t="s">
        <v>550</v>
      </c>
      <c r="Q109" s="24" t="s">
        <v>92</v>
      </c>
      <c r="R109" s="24">
        <v>10000.0</v>
      </c>
      <c r="S109" s="24" t="b">
        <v>1</v>
      </c>
      <c r="T109" s="34" t="str">
        <f t="shared" ref="T109:V109" si="111">IF(G109&lt;&gt;"","Yes","")</f>
        <v>Yes</v>
      </c>
      <c r="U109" s="34" t="str">
        <f t="shared" si="111"/>
        <v>Yes</v>
      </c>
      <c r="V109" s="34" t="str">
        <f t="shared" si="111"/>
        <v>Yes</v>
      </c>
      <c r="W109" s="34" t="str">
        <f t="shared" si="3"/>
        <v>Yes</v>
      </c>
      <c r="X109" s="24" t="str">
        <f t="shared" si="4"/>
        <v/>
      </c>
    </row>
    <row r="110" ht="14.25" customHeight="1">
      <c r="A110" s="28">
        <f>HYPERLINK("https://app.hubspot.com/contacts/8748051/record/0-1/171819315088", 171819315088)</f>
        <v>171819315088</v>
      </c>
      <c r="B110" s="24" t="s">
        <v>3461</v>
      </c>
      <c r="C110" s="26">
        <v>45965.477476851855</v>
      </c>
      <c r="D110" s="26"/>
      <c r="E110" s="28" t="s">
        <v>557</v>
      </c>
      <c r="F110" s="24"/>
      <c r="G110" s="35">
        <v>45965.0</v>
      </c>
      <c r="H110" s="35">
        <v>45972.0</v>
      </c>
      <c r="I110" s="35">
        <v>45972.0</v>
      </c>
      <c r="J110" s="24" t="s">
        <v>3462</v>
      </c>
      <c r="K110" s="24" t="s">
        <v>155</v>
      </c>
      <c r="L110" s="24"/>
      <c r="M110" s="28">
        <f>HYPERLINK("https://app.hubspot.com/contacts/8748051/record/0-2/8965285538", 8965285538)</f>
        <v>8965285538</v>
      </c>
      <c r="N110" s="24" t="s">
        <v>556</v>
      </c>
      <c r="O110" s="33">
        <f>HYPERLINK("https://app.hubspot.com/contacts/8748051/record/0-3/48176732041", 48176732041)</f>
        <v>48176732041</v>
      </c>
      <c r="P110" s="24" t="s">
        <v>555</v>
      </c>
      <c r="Q110" s="24" t="s">
        <v>127</v>
      </c>
      <c r="R110" s="24">
        <v>40000.0</v>
      </c>
      <c r="S110" s="24" t="b">
        <v>1</v>
      </c>
      <c r="T110" s="34" t="str">
        <f t="shared" ref="T110:V110" si="112">IF(G110&lt;&gt;"","Yes","")</f>
        <v>Yes</v>
      </c>
      <c r="U110" s="34" t="str">
        <f t="shared" si="112"/>
        <v>Yes</v>
      </c>
      <c r="V110" s="34" t="str">
        <f t="shared" si="112"/>
        <v>Yes</v>
      </c>
      <c r="W110" s="34" t="str">
        <f t="shared" si="3"/>
        <v/>
      </c>
      <c r="X110" s="24" t="str">
        <f t="shared" si="4"/>
        <v/>
      </c>
    </row>
    <row r="111" ht="14.25" customHeight="1">
      <c r="A111" s="28">
        <f>HYPERLINK("https://app.hubspot.com/contacts/8748051/record/0-1/171490749795", 171490749795)</f>
        <v>171490749795</v>
      </c>
      <c r="B111" s="24" t="s">
        <v>3463</v>
      </c>
      <c r="C111" s="26">
        <v>45964.44719907407</v>
      </c>
      <c r="D111" s="26"/>
      <c r="E111" s="28" t="s">
        <v>566</v>
      </c>
      <c r="F111" s="26"/>
      <c r="G111" s="35">
        <v>45964.0</v>
      </c>
      <c r="H111" s="35">
        <v>45965.0</v>
      </c>
      <c r="I111" s="35">
        <v>45965.0</v>
      </c>
      <c r="J111" s="24" t="s">
        <v>3464</v>
      </c>
      <c r="K111" s="24" t="s">
        <v>3252</v>
      </c>
      <c r="L111" s="24"/>
      <c r="M111" s="28">
        <f>HYPERLINK("https://app.hubspot.com/contacts/8748051/record/0-2/43493632080", 43493632080)</f>
        <v>43493632080</v>
      </c>
      <c r="N111" s="24" t="s">
        <v>565</v>
      </c>
      <c r="O111" s="33">
        <f>HYPERLINK("https://app.hubspot.com/contacts/8748051/record/0-3/48152079462", 48152079462)</f>
        <v>48152079462</v>
      </c>
      <c r="P111" s="24" t="s">
        <v>564</v>
      </c>
      <c r="Q111" s="24" t="s">
        <v>127</v>
      </c>
      <c r="R111" s="24">
        <v>50000.0</v>
      </c>
      <c r="S111" s="24" t="b">
        <v>1</v>
      </c>
      <c r="T111" s="34" t="str">
        <f t="shared" ref="T111:V111" si="113">IF(G111&lt;&gt;"","Yes","")</f>
        <v>Yes</v>
      </c>
      <c r="U111" s="34" t="str">
        <f t="shared" si="113"/>
        <v>Yes</v>
      </c>
      <c r="V111" s="34" t="str">
        <f t="shared" si="113"/>
        <v>Yes</v>
      </c>
      <c r="W111" s="34" t="str">
        <f t="shared" si="3"/>
        <v/>
      </c>
      <c r="X111" s="24" t="str">
        <f t="shared" si="4"/>
        <v/>
      </c>
    </row>
    <row r="112" ht="14.25" customHeight="1">
      <c r="A112" s="28">
        <f>HYPERLINK("https://app.hubspot.com/contacts/8748051/record/0-1/171269022980", 171269022980)</f>
        <v>171269022980</v>
      </c>
      <c r="B112" s="24" t="s">
        <v>3465</v>
      </c>
      <c r="C112" s="26">
        <v>45963.55353009259</v>
      </c>
      <c r="D112" s="26"/>
      <c r="E112" s="28" t="s">
        <v>573</v>
      </c>
      <c r="F112" s="24"/>
      <c r="G112" s="35">
        <v>45963.0</v>
      </c>
      <c r="H112" s="35">
        <v>45969.0</v>
      </c>
      <c r="I112" s="35"/>
      <c r="J112" s="24" t="s">
        <v>3466</v>
      </c>
      <c r="K112" s="24" t="s">
        <v>3237</v>
      </c>
      <c r="L112" s="24" t="s">
        <v>3249</v>
      </c>
      <c r="M112" s="28">
        <f>HYPERLINK("https://app.hubspot.com/contacts/8748051/record/0-2/43465112984", 43465112984)</f>
        <v>43465112984</v>
      </c>
      <c r="N112" s="24" t="s">
        <v>572</v>
      </c>
      <c r="O112" s="33">
        <f>HYPERLINK("https://app.hubspot.com/contacts/8748051/record/0-3/48149495562", 48149495562)</f>
        <v>48149495562</v>
      </c>
      <c r="P112" s="24" t="s">
        <v>571</v>
      </c>
      <c r="Q112" s="24" t="s">
        <v>73</v>
      </c>
      <c r="R112" s="24">
        <v>3000.0</v>
      </c>
      <c r="S112" s="24"/>
      <c r="T112" s="34" t="str">
        <f t="shared" ref="T112:V112" si="114">IF(G112&lt;&gt;"","Yes","")</f>
        <v>Yes</v>
      </c>
      <c r="U112" s="34" t="str">
        <f t="shared" si="114"/>
        <v>Yes</v>
      </c>
      <c r="V112" s="34" t="str">
        <f t="shared" si="114"/>
        <v/>
      </c>
      <c r="W112" s="34" t="str">
        <f t="shared" si="3"/>
        <v/>
      </c>
      <c r="X112" s="24" t="str">
        <f t="shared" si="4"/>
        <v/>
      </c>
    </row>
    <row r="113" ht="14.25" customHeight="1">
      <c r="A113" s="28">
        <f>HYPERLINK("https://app.hubspot.com/contacts/8748051/record/0-1/3468951", 3468951)</f>
        <v>3468951</v>
      </c>
      <c r="B113" s="24" t="s">
        <v>3467</v>
      </c>
      <c r="C113" s="26">
        <v>45961.83116898148</v>
      </c>
      <c r="D113" s="26"/>
      <c r="E113" s="28" t="s">
        <v>570</v>
      </c>
      <c r="F113" s="24"/>
      <c r="G113" s="35">
        <v>45962.0</v>
      </c>
      <c r="H113" s="35">
        <v>45968.0</v>
      </c>
      <c r="I113" s="35">
        <v>45968.0</v>
      </c>
      <c r="J113" s="24" t="s">
        <v>3468</v>
      </c>
      <c r="K113" s="24" t="s">
        <v>3469</v>
      </c>
      <c r="L113" s="24" t="s">
        <v>3249</v>
      </c>
      <c r="M113" s="28">
        <f>HYPERLINK("https://app.hubspot.com/contacts/8748051/record/0-2/19176667820", 19176667820)</f>
        <v>19176667820</v>
      </c>
      <c r="N113" s="24" t="s">
        <v>569</v>
      </c>
      <c r="O113" s="33">
        <f>HYPERLINK("https://app.hubspot.com/contacts/8748051/record/0-3/17886607515", 17886607515)</f>
        <v>17886607515</v>
      </c>
      <c r="P113" s="24" t="s">
        <v>2132</v>
      </c>
      <c r="Q113" s="24" t="s">
        <v>73</v>
      </c>
      <c r="R113" s="24">
        <v>5520.0</v>
      </c>
      <c r="S113" s="24"/>
      <c r="T113" s="34" t="str">
        <f t="shared" ref="T113:V113" si="115">IF(G113&lt;&gt;"","Yes","")</f>
        <v>Yes</v>
      </c>
      <c r="U113" s="34" t="str">
        <f t="shared" si="115"/>
        <v>Yes</v>
      </c>
      <c r="V113" s="34" t="str">
        <f t="shared" si="115"/>
        <v>Yes</v>
      </c>
      <c r="W113" s="34" t="str">
        <f t="shared" si="3"/>
        <v/>
      </c>
      <c r="X113" s="24" t="str">
        <f t="shared" si="4"/>
        <v/>
      </c>
    </row>
    <row r="114" ht="14.25" customHeight="1">
      <c r="A114" s="28">
        <f>HYPERLINK("https://app.hubspot.com/contacts/8748051/record/0-1/170677264536", 170677264536)</f>
        <v>170677264536</v>
      </c>
      <c r="B114" s="24" t="s">
        <v>3470</v>
      </c>
      <c r="C114" s="26">
        <v>45961.30872685185</v>
      </c>
      <c r="D114" s="26"/>
      <c r="E114" s="28" t="s">
        <v>576</v>
      </c>
      <c r="F114" s="26"/>
      <c r="G114" s="35">
        <v>45961.0</v>
      </c>
      <c r="H114" s="35">
        <v>45966.0</v>
      </c>
      <c r="I114" s="35">
        <v>45966.0</v>
      </c>
      <c r="J114" s="24" t="s">
        <v>3471</v>
      </c>
      <c r="K114" s="24" t="s">
        <v>3252</v>
      </c>
      <c r="L114" s="24"/>
      <c r="M114" s="28">
        <f>HYPERLINK("https://app.hubspot.com/contacts/8748051/record/0-2/26386786317", 26386786317)</f>
        <v>26386786317</v>
      </c>
      <c r="N114" s="24" t="s">
        <v>575</v>
      </c>
      <c r="O114" s="28">
        <f>HYPERLINK("https://app.hubspot.com/contacts/8748051/record/0-3/47839184727", 47839184727)</f>
        <v>47839184727</v>
      </c>
      <c r="P114" s="24" t="s">
        <v>574</v>
      </c>
      <c r="Q114" s="24" t="s">
        <v>127</v>
      </c>
      <c r="R114" s="24">
        <v>15000.0</v>
      </c>
      <c r="S114" s="24" t="b">
        <v>1</v>
      </c>
      <c r="T114" s="34" t="str">
        <f t="shared" ref="T114:V114" si="116">IF(G114&lt;&gt;"","Yes","")</f>
        <v>Yes</v>
      </c>
      <c r="U114" s="34" t="str">
        <f t="shared" si="116"/>
        <v>Yes</v>
      </c>
      <c r="V114" s="34" t="str">
        <f t="shared" si="116"/>
        <v>Yes</v>
      </c>
      <c r="W114" s="34" t="str">
        <f t="shared" si="3"/>
        <v/>
      </c>
      <c r="X114" s="24" t="str">
        <f t="shared" si="4"/>
        <v/>
      </c>
    </row>
    <row r="115" ht="14.25" customHeight="1">
      <c r="A115" s="28">
        <f>HYPERLINK("https://app.hubspot.com/contacts/8748051/record/0-1/170658934061", 170658934061)</f>
        <v>170658934061</v>
      </c>
      <c r="B115" s="24" t="s">
        <v>3472</v>
      </c>
      <c r="C115" s="26">
        <v>45961.150625</v>
      </c>
      <c r="D115" s="26"/>
      <c r="E115" s="28" t="s">
        <v>580</v>
      </c>
      <c r="F115" s="24"/>
      <c r="G115" s="35">
        <v>45961.0</v>
      </c>
      <c r="H115" s="35">
        <v>45962.0</v>
      </c>
      <c r="I115" s="35">
        <v>45962.0</v>
      </c>
      <c r="J115" s="24" t="s">
        <v>3254</v>
      </c>
      <c r="K115" s="24" t="s">
        <v>3239</v>
      </c>
      <c r="L115" s="34"/>
      <c r="M115" s="28">
        <f>HYPERLINK("https://app.hubspot.com/contacts/8748051/record/0-2/43369192841", 43369192841)</f>
        <v>43369192841</v>
      </c>
      <c r="N115" s="24" t="s">
        <v>579</v>
      </c>
      <c r="O115" s="33">
        <f>HYPERLINK("https://app.hubspot.com/contacts/8748051/record/0-3/47680023644", 47680023644)</f>
        <v>47680023644</v>
      </c>
      <c r="P115" s="24" t="s">
        <v>577</v>
      </c>
      <c r="Q115" s="24" t="s">
        <v>578</v>
      </c>
      <c r="R115" s="24">
        <v>3500.0</v>
      </c>
      <c r="S115" s="24"/>
      <c r="T115" s="34" t="str">
        <f t="shared" ref="T115:V115" si="117">IF(G115&lt;&gt;"","Yes","")</f>
        <v>Yes</v>
      </c>
      <c r="U115" s="34" t="str">
        <f t="shared" si="117"/>
        <v>Yes</v>
      </c>
      <c r="V115" s="34" t="str">
        <f t="shared" si="117"/>
        <v>Yes</v>
      </c>
      <c r="W115" s="34" t="str">
        <f t="shared" si="3"/>
        <v/>
      </c>
      <c r="X115" s="24" t="str">
        <f t="shared" si="4"/>
        <v/>
      </c>
    </row>
    <row r="116" ht="14.25" customHeight="1">
      <c r="A116" s="28">
        <f>HYPERLINK("https://app.hubspot.com/contacts/8748051/record/0-1/170114432624", 170114432624)</f>
        <v>170114432624</v>
      </c>
      <c r="B116" s="24" t="s">
        <v>3473</v>
      </c>
      <c r="C116" s="26">
        <v>45960.33403935185</v>
      </c>
      <c r="D116" s="26"/>
      <c r="E116" s="28" t="s">
        <v>592</v>
      </c>
      <c r="F116" s="24"/>
      <c r="G116" s="35">
        <v>45960.0</v>
      </c>
      <c r="H116" s="35">
        <v>45960.0</v>
      </c>
      <c r="I116" s="35"/>
      <c r="J116" s="24" t="s">
        <v>3239</v>
      </c>
      <c r="K116" s="24" t="s">
        <v>3239</v>
      </c>
      <c r="L116" s="24"/>
      <c r="M116" s="28">
        <f>HYPERLINK("https://app.hubspot.com/contacts/8748051/record/0-2/43254158111", 43254158111)</f>
        <v>43254158111</v>
      </c>
      <c r="N116" s="24" t="s">
        <v>591</v>
      </c>
      <c r="O116" s="33">
        <f>HYPERLINK("https://app.hubspot.com/contacts/8748051/record/0-3/47721664944", 47721664944)</f>
        <v>47721664944</v>
      </c>
      <c r="P116" s="24" t="s">
        <v>590</v>
      </c>
      <c r="Q116" s="24" t="s">
        <v>73</v>
      </c>
      <c r="R116" s="24">
        <v>3000.0</v>
      </c>
      <c r="S116" s="24"/>
      <c r="T116" s="34" t="str">
        <f t="shared" ref="T116:V116" si="118">IF(G116&lt;&gt;"","Yes","")</f>
        <v>Yes</v>
      </c>
      <c r="U116" s="34" t="str">
        <f t="shared" si="118"/>
        <v>Yes</v>
      </c>
      <c r="V116" s="34" t="str">
        <f t="shared" si="118"/>
        <v/>
      </c>
      <c r="W116" s="34" t="str">
        <f t="shared" si="3"/>
        <v/>
      </c>
      <c r="X116" s="24" t="str">
        <f t="shared" si="4"/>
        <v/>
      </c>
    </row>
    <row r="117" ht="14.25" customHeight="1">
      <c r="A117" s="28">
        <f>HYPERLINK("https://app.hubspot.com/contacts/8748051/record/0-1/166406679840", 166406679840)</f>
        <v>166406679840</v>
      </c>
      <c r="B117" s="24" t="s">
        <v>3474</v>
      </c>
      <c r="C117" s="26">
        <v>45952.81476851852</v>
      </c>
      <c r="D117" s="26"/>
      <c r="E117" s="28" t="s">
        <v>600</v>
      </c>
      <c r="F117" s="26"/>
      <c r="G117" s="35">
        <v>45953.0</v>
      </c>
      <c r="H117" s="35">
        <v>45953.0</v>
      </c>
      <c r="I117" s="35">
        <v>45953.0</v>
      </c>
      <c r="J117" s="24" t="s">
        <v>3254</v>
      </c>
      <c r="K117" s="24" t="s">
        <v>3239</v>
      </c>
      <c r="L117" s="24" t="s">
        <v>3337</v>
      </c>
      <c r="M117" s="28">
        <f>HYPERLINK("https://app.hubspot.com/contacts/8748051/record/0-2/9238301248", 9238301248)</f>
        <v>9238301248</v>
      </c>
      <c r="N117" s="24" t="s">
        <v>599</v>
      </c>
      <c r="O117" s="33">
        <f>HYPERLINK("https://app.hubspot.com/contacts/8748051/record/0-3/46752765625", 46752765625)</f>
        <v>46752765625</v>
      </c>
      <c r="P117" s="24" t="s">
        <v>598</v>
      </c>
      <c r="Q117" s="24" t="s">
        <v>127</v>
      </c>
      <c r="R117" s="24">
        <v>15000.0</v>
      </c>
      <c r="S117" s="24" t="b">
        <v>1</v>
      </c>
      <c r="T117" s="34" t="str">
        <f t="shared" ref="T117:V117" si="119">IF(G117&lt;&gt;"","Yes","")</f>
        <v>Yes</v>
      </c>
      <c r="U117" s="34" t="str">
        <f t="shared" si="119"/>
        <v>Yes</v>
      </c>
      <c r="V117" s="34" t="str">
        <f t="shared" si="119"/>
        <v>Yes</v>
      </c>
      <c r="W117" s="34" t="str">
        <f t="shared" si="3"/>
        <v/>
      </c>
      <c r="X117" s="24" t="str">
        <f t="shared" si="4"/>
        <v/>
      </c>
    </row>
    <row r="118" ht="14.25" customHeight="1">
      <c r="A118" s="28">
        <f>HYPERLINK("https://app.hubspot.com/contacts/8748051/record/0-1/166009848198", 166009848198)</f>
        <v>166009848198</v>
      </c>
      <c r="B118" s="24" t="s">
        <v>3475</v>
      </c>
      <c r="C118" s="26">
        <v>45951.59788194444</v>
      </c>
      <c r="D118" s="26"/>
      <c r="E118" s="28" t="s">
        <v>606</v>
      </c>
      <c r="F118" s="24"/>
      <c r="G118" s="35">
        <v>45951.0</v>
      </c>
      <c r="H118" s="35">
        <v>45953.0</v>
      </c>
      <c r="I118" s="35"/>
      <c r="J118" s="24" t="s">
        <v>3476</v>
      </c>
      <c r="K118" s="24" t="s">
        <v>3237</v>
      </c>
      <c r="L118" s="24"/>
      <c r="M118" s="28">
        <f>HYPERLINK("https://app.hubspot.com/contacts/8748051/record/0-2/9069602715", 9069602715)</f>
        <v>9069602715</v>
      </c>
      <c r="N118" s="24" t="s">
        <v>605</v>
      </c>
      <c r="O118" s="33">
        <f>HYPERLINK("https://app.hubspot.com/contacts/8748051/record/0-3/46659535648", 46659535648)</f>
        <v>46659535648</v>
      </c>
      <c r="P118" s="24" t="s">
        <v>604</v>
      </c>
      <c r="Q118" s="24" t="s">
        <v>73</v>
      </c>
      <c r="R118" s="24">
        <v>14500.0</v>
      </c>
      <c r="S118" s="24"/>
      <c r="T118" s="34" t="str">
        <f t="shared" ref="T118:V118" si="120">IF(G118&lt;&gt;"","Yes","")</f>
        <v>Yes</v>
      </c>
      <c r="U118" s="34" t="str">
        <f t="shared" si="120"/>
        <v>Yes</v>
      </c>
      <c r="V118" s="34" t="str">
        <f t="shared" si="120"/>
        <v/>
      </c>
      <c r="W118" s="34" t="str">
        <f t="shared" si="3"/>
        <v/>
      </c>
      <c r="X118" s="24" t="str">
        <f t="shared" si="4"/>
        <v/>
      </c>
    </row>
    <row r="119" ht="14.25" customHeight="1">
      <c r="A119" s="28">
        <f>HYPERLINK("https://app.hubspot.com/contacts/8748051/record/0-1/166017867406", 166017867406)</f>
        <v>166017867406</v>
      </c>
      <c r="B119" s="24" t="s">
        <v>3477</v>
      </c>
      <c r="C119" s="26">
        <v>45951.57585648148</v>
      </c>
      <c r="D119" s="26"/>
      <c r="E119" s="28" t="s">
        <v>610</v>
      </c>
      <c r="F119" s="24"/>
      <c r="G119" s="35">
        <v>45951.0</v>
      </c>
      <c r="H119" s="35">
        <v>45952.0</v>
      </c>
      <c r="I119" s="35">
        <v>45952.0</v>
      </c>
      <c r="J119" s="24" t="s">
        <v>2690</v>
      </c>
      <c r="K119" s="24" t="s">
        <v>3242</v>
      </c>
      <c r="L119" s="24" t="s">
        <v>3249</v>
      </c>
      <c r="M119" s="28">
        <f>HYPERLINK("https://app.hubspot.com/contacts/8748051/record/0-2/42260545864", 42260545864)</f>
        <v>42260545864</v>
      </c>
      <c r="N119" s="24" t="s">
        <v>609</v>
      </c>
      <c r="O119" s="33">
        <f>HYPERLINK("https://app.hubspot.com/contacts/8748051/record/0-3/46648765099", 46648765099)</f>
        <v>46648765099</v>
      </c>
      <c r="P119" s="24" t="s">
        <v>607</v>
      </c>
      <c r="Q119" s="24" t="s">
        <v>149</v>
      </c>
      <c r="R119" s="24">
        <v>25000.0</v>
      </c>
      <c r="S119" s="24" t="b">
        <v>1</v>
      </c>
      <c r="T119" s="34" t="str">
        <f t="shared" ref="T119:V119" si="121">IF(G119&lt;&gt;"","Yes","")</f>
        <v>Yes</v>
      </c>
      <c r="U119" s="34" t="str">
        <f t="shared" si="121"/>
        <v>Yes</v>
      </c>
      <c r="V119" s="34" t="str">
        <f t="shared" si="121"/>
        <v>Yes</v>
      </c>
      <c r="W119" s="34" t="str">
        <f t="shared" si="3"/>
        <v/>
      </c>
      <c r="X119" s="24" t="str">
        <f t="shared" si="4"/>
        <v>Yes</v>
      </c>
    </row>
    <row r="120" ht="14.25" customHeight="1">
      <c r="A120" s="28">
        <f>HYPERLINK("https://app.hubspot.com/contacts/8748051/record/0-1/339951", 339951)</f>
        <v>339951</v>
      </c>
      <c r="B120" s="24" t="s">
        <v>3478</v>
      </c>
      <c r="C120" s="26">
        <v>45947.5209837963</v>
      </c>
      <c r="D120" s="26"/>
      <c r="E120" s="28" t="s">
        <v>616</v>
      </c>
      <c r="F120" s="24"/>
      <c r="G120" s="35">
        <v>45947.0</v>
      </c>
      <c r="H120" s="35">
        <v>45954.0</v>
      </c>
      <c r="I120" s="35"/>
      <c r="J120" s="24" t="s">
        <v>3479</v>
      </c>
      <c r="K120" s="24" t="s">
        <v>155</v>
      </c>
      <c r="L120" s="24"/>
      <c r="M120" s="28">
        <f>HYPERLINK("https://app.hubspot.com/contacts/8748051/record/0-2/8630538410", 8630538410)</f>
        <v>8630538410</v>
      </c>
      <c r="N120" s="24" t="s">
        <v>615</v>
      </c>
      <c r="O120" s="33">
        <f>HYPERLINK("https://app.hubspot.com/contacts/8748051/record/0-3/46334165395", 46334165395)</f>
        <v>46334165395</v>
      </c>
      <c r="P120" s="24" t="s">
        <v>614</v>
      </c>
      <c r="Q120" s="24" t="s">
        <v>73</v>
      </c>
      <c r="R120" s="24">
        <v>35000.0</v>
      </c>
      <c r="S120" s="24"/>
      <c r="T120" s="34" t="str">
        <f t="shared" ref="T120:V120" si="122">IF(G120&lt;&gt;"","Yes","")</f>
        <v>Yes</v>
      </c>
      <c r="U120" s="34" t="str">
        <f t="shared" si="122"/>
        <v>Yes</v>
      </c>
      <c r="V120" s="34" t="str">
        <f t="shared" si="122"/>
        <v/>
      </c>
      <c r="W120" s="34" t="str">
        <f t="shared" si="3"/>
        <v/>
      </c>
      <c r="X120" s="24" t="str">
        <f t="shared" si="4"/>
        <v/>
      </c>
    </row>
    <row r="121" ht="14.25" customHeight="1">
      <c r="A121" s="28">
        <f>HYPERLINK("https://app.hubspot.com/contacts/8748051/record/0-1/163964158369", 163964158369)</f>
        <v>163964158369</v>
      </c>
      <c r="B121" s="24" t="s">
        <v>3480</v>
      </c>
      <c r="C121" s="26">
        <v>45944.71728009259</v>
      </c>
      <c r="D121" s="26"/>
      <c r="E121" s="28" t="s">
        <v>3481</v>
      </c>
      <c r="F121" s="24" t="s">
        <v>3304</v>
      </c>
      <c r="G121" s="35"/>
      <c r="H121" s="35"/>
      <c r="I121" s="35"/>
      <c r="J121" s="24" t="s">
        <v>3482</v>
      </c>
      <c r="K121" s="24"/>
      <c r="L121" s="24"/>
      <c r="M121" s="28">
        <f>HYPERLINK("https://app.hubspot.com/contacts/8748051/record/0-2/41618242430", 41618242430)</f>
        <v>41618242430</v>
      </c>
      <c r="N121" s="24"/>
      <c r="O121" s="34"/>
      <c r="P121" s="24"/>
      <c r="Q121" s="24"/>
      <c r="R121" s="24"/>
      <c r="S121" s="24"/>
      <c r="T121" s="34" t="str">
        <f t="shared" ref="T121:V121" si="123">IF(G121&lt;&gt;"","Yes","")</f>
        <v/>
      </c>
      <c r="U121" s="34" t="str">
        <f t="shared" si="123"/>
        <v/>
      </c>
      <c r="V121" s="34" t="str">
        <f t="shared" si="123"/>
        <v/>
      </c>
      <c r="W121" s="34" t="str">
        <f t="shared" si="3"/>
        <v/>
      </c>
      <c r="X121" s="24" t="str">
        <f t="shared" si="4"/>
        <v/>
      </c>
    </row>
    <row r="122" ht="14.25" customHeight="1">
      <c r="A122" s="28">
        <f>HYPERLINK("https://app.hubspot.com/contacts/8748051/record/0-1/163944007818", 163944007818)</f>
        <v>163944007818</v>
      </c>
      <c r="B122" s="24" t="s">
        <v>3483</v>
      </c>
      <c r="C122" s="26">
        <v>45944.638553240744</v>
      </c>
      <c r="D122" s="26"/>
      <c r="E122" s="28" t="s">
        <v>620</v>
      </c>
      <c r="F122" s="24"/>
      <c r="G122" s="35">
        <v>45945.0</v>
      </c>
      <c r="H122" s="35">
        <v>45946.0</v>
      </c>
      <c r="I122" s="35">
        <v>45946.0</v>
      </c>
      <c r="J122" s="24" t="s">
        <v>3484</v>
      </c>
      <c r="K122" s="24" t="s">
        <v>3239</v>
      </c>
      <c r="L122" s="24" t="s">
        <v>3337</v>
      </c>
      <c r="M122" s="28">
        <f>HYPERLINK("https://app.hubspot.com/contacts/8748051/record/0-2/41629652867", 41629652867)</f>
        <v>41629652867</v>
      </c>
      <c r="N122" s="24" t="s">
        <v>619</v>
      </c>
      <c r="O122" s="33">
        <f>HYPERLINK("https://app.hubspot.com/contacts/8748051/record/0-3/45987841872", 45987841872)</f>
        <v>45987841872</v>
      </c>
      <c r="P122" s="24" t="s">
        <v>618</v>
      </c>
      <c r="Q122" s="24" t="s">
        <v>73</v>
      </c>
      <c r="R122" s="24">
        <v>0.0</v>
      </c>
      <c r="S122" s="24"/>
      <c r="T122" s="34" t="str">
        <f t="shared" ref="T122:V122" si="124">IF(G122&lt;&gt;"","Yes","")</f>
        <v>Yes</v>
      </c>
      <c r="U122" s="34" t="str">
        <f t="shared" si="124"/>
        <v>Yes</v>
      </c>
      <c r="V122" s="34" t="str">
        <f t="shared" si="124"/>
        <v>Yes</v>
      </c>
      <c r="W122" s="34" t="str">
        <f t="shared" si="3"/>
        <v/>
      </c>
      <c r="X122" s="24" t="str">
        <f t="shared" si="4"/>
        <v/>
      </c>
    </row>
    <row r="123" ht="14.25" customHeight="1">
      <c r="A123" s="28">
        <f>HYPERLINK("https://app.hubspot.com/contacts/8748051/record/0-1/150078151291", 150078151291)</f>
        <v>150078151291</v>
      </c>
      <c r="B123" s="24" t="s">
        <v>3485</v>
      </c>
      <c r="C123" s="26">
        <v>45943.12619212963</v>
      </c>
      <c r="D123" s="26"/>
      <c r="E123" s="28" t="s">
        <v>104</v>
      </c>
      <c r="F123" s="24"/>
      <c r="G123" s="35">
        <v>45943.0</v>
      </c>
      <c r="H123" s="35">
        <v>45944.0</v>
      </c>
      <c r="I123" s="35"/>
      <c r="J123" s="24" t="s">
        <v>3486</v>
      </c>
      <c r="K123" s="24" t="s">
        <v>155</v>
      </c>
      <c r="L123" s="24"/>
      <c r="M123" s="28">
        <f>HYPERLINK("https://app.hubspot.com/contacts/8748051/record/0-2/9664359229", 9664359229)</f>
        <v>9664359229</v>
      </c>
      <c r="N123" s="24" t="s">
        <v>103</v>
      </c>
      <c r="O123" s="33">
        <f>HYPERLINK("https://app.hubspot.com/contacts/8748051/record/0-3/45764913665", 45764913665)</f>
        <v>45764913665</v>
      </c>
      <c r="P123" s="24" t="s">
        <v>624</v>
      </c>
      <c r="Q123" s="24" t="s">
        <v>73</v>
      </c>
      <c r="R123" s="24">
        <v>100000.0</v>
      </c>
      <c r="S123" s="24"/>
      <c r="T123" s="34" t="str">
        <f t="shared" ref="T123:V123" si="125">IF(G123&lt;&gt;"","Yes","")</f>
        <v>Yes</v>
      </c>
      <c r="U123" s="34" t="str">
        <f t="shared" si="125"/>
        <v>Yes</v>
      </c>
      <c r="V123" s="34" t="str">
        <f t="shared" si="125"/>
        <v/>
      </c>
      <c r="W123" s="34" t="str">
        <f t="shared" si="3"/>
        <v/>
      </c>
      <c r="X123" s="24" t="str">
        <f t="shared" si="4"/>
        <v/>
      </c>
    </row>
    <row r="124" ht="14.25" customHeight="1">
      <c r="A124" s="28">
        <f>HYPERLINK("https://app.hubspot.com/contacts/8748051/record/0-1/163020349811", 163020349811)</f>
        <v>163020349811</v>
      </c>
      <c r="B124" s="24" t="s">
        <v>3487</v>
      </c>
      <c r="C124" s="26">
        <v>45941.653275462966</v>
      </c>
      <c r="D124" s="26"/>
      <c r="E124" s="28" t="s">
        <v>3488</v>
      </c>
      <c r="F124" s="24" t="s">
        <v>3304</v>
      </c>
      <c r="G124" s="35"/>
      <c r="H124" s="35"/>
      <c r="I124" s="35"/>
      <c r="J124" s="24" t="s">
        <v>3296</v>
      </c>
      <c r="K124" s="24"/>
      <c r="L124" s="24" t="s">
        <v>3376</v>
      </c>
      <c r="M124" s="28">
        <f>HYPERLINK("https://app.hubspot.com/contacts/8748051/record/0-2/41422144047", 41422144047)</f>
        <v>41422144047</v>
      </c>
      <c r="N124" s="24" t="s">
        <v>3489</v>
      </c>
      <c r="O124" s="34"/>
      <c r="P124" s="24"/>
      <c r="Q124" s="24"/>
      <c r="R124" s="24"/>
      <c r="S124" s="24"/>
      <c r="T124" s="34" t="str">
        <f t="shared" ref="T124:V124" si="126">IF(G124&lt;&gt;"","Yes","")</f>
        <v/>
      </c>
      <c r="U124" s="34" t="str">
        <f t="shared" si="126"/>
        <v/>
      </c>
      <c r="V124" s="34" t="str">
        <f t="shared" si="126"/>
        <v/>
      </c>
      <c r="W124" s="34" t="str">
        <f t="shared" si="3"/>
        <v/>
      </c>
      <c r="X124" s="24" t="str">
        <f t="shared" si="4"/>
        <v/>
      </c>
    </row>
    <row r="125" ht="14.25" customHeight="1">
      <c r="A125" s="28">
        <f>HYPERLINK("https://app.hubspot.com/contacts/8748051/record/0-1/162845891460", 162845891460)</f>
        <v>162845891460</v>
      </c>
      <c r="B125" s="24" t="s">
        <v>3490</v>
      </c>
      <c r="C125" s="26">
        <v>45941.10623842593</v>
      </c>
      <c r="D125" s="26"/>
      <c r="E125" s="28" t="s">
        <v>623</v>
      </c>
      <c r="F125" s="24"/>
      <c r="G125" s="35">
        <v>45941.0</v>
      </c>
      <c r="H125" s="35">
        <v>45948.0</v>
      </c>
      <c r="I125" s="35">
        <v>45948.0</v>
      </c>
      <c r="J125" s="24" t="s">
        <v>3254</v>
      </c>
      <c r="K125" s="24" t="s">
        <v>3239</v>
      </c>
      <c r="L125" s="24"/>
      <c r="M125" s="28">
        <f>HYPERLINK("https://app.hubspot.com/contacts/8748051/record/0-2/39594237571", 39594237571)</f>
        <v>39594237571</v>
      </c>
      <c r="N125" s="28" t="s">
        <v>622</v>
      </c>
      <c r="O125" s="33">
        <f>HYPERLINK("https://app.hubspot.com/contacts/8748051/record/0-3/45939175996", 45939175996)</f>
        <v>45939175996</v>
      </c>
      <c r="P125" s="24" t="s">
        <v>621</v>
      </c>
      <c r="Q125" s="24" t="s">
        <v>51</v>
      </c>
      <c r="R125" s="24">
        <v>15000.0</v>
      </c>
      <c r="S125" s="24" t="b">
        <v>1</v>
      </c>
      <c r="T125" s="34" t="str">
        <f t="shared" ref="T125:V125" si="127">IF(G125&lt;&gt;"","Yes","")</f>
        <v>Yes</v>
      </c>
      <c r="U125" s="34" t="str">
        <f t="shared" si="127"/>
        <v>Yes</v>
      </c>
      <c r="V125" s="34" t="str">
        <f t="shared" si="127"/>
        <v>Yes</v>
      </c>
      <c r="W125" s="34" t="str">
        <f t="shared" si="3"/>
        <v/>
      </c>
      <c r="X125" s="24" t="str">
        <f t="shared" si="4"/>
        <v/>
      </c>
    </row>
    <row r="126" ht="14.25" customHeight="1">
      <c r="A126" s="28">
        <f>HYPERLINK("https://app.hubspot.com/contacts/8748051/record/0-1/163693711982", 163693711982)</f>
        <v>163693711982</v>
      </c>
      <c r="B126" s="24" t="s">
        <v>3491</v>
      </c>
      <c r="C126" s="26">
        <v>45939.949467592596</v>
      </c>
      <c r="D126" s="26"/>
      <c r="E126" s="28" t="s">
        <v>3492</v>
      </c>
      <c r="F126" s="24" t="s">
        <v>3304</v>
      </c>
      <c r="G126" s="35"/>
      <c r="H126" s="35"/>
      <c r="I126" s="35"/>
      <c r="J126" s="24" t="s">
        <v>3357</v>
      </c>
      <c r="K126" s="24"/>
      <c r="L126" s="24"/>
      <c r="M126" s="28">
        <f>HYPERLINK("https://app.hubspot.com/contacts/8748051/record/0-2/41301935005", 41301935005)</f>
        <v>41301935005</v>
      </c>
      <c r="N126" s="24" t="s">
        <v>3493</v>
      </c>
      <c r="O126" s="34"/>
      <c r="P126" s="24"/>
      <c r="Q126" s="24"/>
      <c r="R126" s="24"/>
      <c r="S126" s="24"/>
      <c r="T126" s="34" t="str">
        <f t="shared" ref="T126:V126" si="128">IF(G126&lt;&gt;"","Yes","")</f>
        <v/>
      </c>
      <c r="U126" s="34" t="str">
        <f t="shared" si="128"/>
        <v/>
      </c>
      <c r="V126" s="34" t="str">
        <f t="shared" si="128"/>
        <v/>
      </c>
      <c r="W126" s="34" t="str">
        <f t="shared" si="3"/>
        <v/>
      </c>
      <c r="X126" s="24" t="str">
        <f t="shared" si="4"/>
        <v/>
      </c>
    </row>
    <row r="127" ht="14.25" customHeight="1">
      <c r="A127" s="28">
        <f>HYPERLINK("https://app.hubspot.com/contacts/8748051/record/0-1/162285280147", 162285280147)</f>
        <v>162285280147</v>
      </c>
      <c r="B127" s="24" t="s">
        <v>3494</v>
      </c>
      <c r="C127" s="26">
        <v>45938.94199074074</v>
      </c>
      <c r="D127" s="26"/>
      <c r="E127" s="28" t="s">
        <v>627</v>
      </c>
      <c r="F127" s="24"/>
      <c r="G127" s="35">
        <v>45939.0</v>
      </c>
      <c r="H127" s="35">
        <v>45945.0</v>
      </c>
      <c r="I127" s="35">
        <v>45945.0</v>
      </c>
      <c r="J127" s="24" t="s">
        <v>3232</v>
      </c>
      <c r="K127" s="24" t="s">
        <v>3239</v>
      </c>
      <c r="L127" s="24" t="s">
        <v>3376</v>
      </c>
      <c r="M127" s="28">
        <f>HYPERLINK("https://app.hubspot.com/contacts/8748051/record/0-2/41190590628", 41190590628)</f>
        <v>41190590628</v>
      </c>
      <c r="N127" s="24" t="s">
        <v>626</v>
      </c>
      <c r="O127" s="28">
        <f>HYPERLINK("https://app.hubspot.com/contacts/8748051/record/0-3/45586133514", 45586133514)</f>
        <v>45586133514</v>
      </c>
      <c r="P127" s="24" t="s">
        <v>625</v>
      </c>
      <c r="Q127" s="24" t="s">
        <v>73</v>
      </c>
      <c r="R127" s="24">
        <v>19000.0</v>
      </c>
      <c r="S127" s="24"/>
      <c r="T127" s="34" t="str">
        <f t="shared" ref="T127:V127" si="129">IF(G127&lt;&gt;"","Yes","")</f>
        <v>Yes</v>
      </c>
      <c r="U127" s="34" t="str">
        <f t="shared" si="129"/>
        <v>Yes</v>
      </c>
      <c r="V127" s="34" t="str">
        <f t="shared" si="129"/>
        <v>Yes</v>
      </c>
      <c r="W127" s="34" t="str">
        <f t="shared" si="3"/>
        <v/>
      </c>
      <c r="X127" s="24" t="str">
        <f t="shared" si="4"/>
        <v/>
      </c>
    </row>
    <row r="128" ht="14.25" customHeight="1">
      <c r="A128" s="28">
        <f>HYPERLINK("https://app.hubspot.com/contacts/8748051/record/0-1/161965565328", 161965565328)</f>
        <v>161965565328</v>
      </c>
      <c r="B128" s="24" t="s">
        <v>3495</v>
      </c>
      <c r="C128" s="26">
        <v>45938.350173611114</v>
      </c>
      <c r="D128" s="26"/>
      <c r="E128" s="24" t="s">
        <v>637</v>
      </c>
      <c r="F128" s="24"/>
      <c r="G128" s="35">
        <v>45938.0</v>
      </c>
      <c r="H128" s="35">
        <v>45940.0</v>
      </c>
      <c r="I128" s="35">
        <v>45940.0</v>
      </c>
      <c r="J128" s="24" t="s">
        <v>3496</v>
      </c>
      <c r="K128" s="24" t="s">
        <v>3237</v>
      </c>
      <c r="L128" s="24"/>
      <c r="M128" s="28">
        <f>HYPERLINK("https://app.hubspot.com/contacts/8748051/record/0-2/41077974430", 41077974430)</f>
        <v>41077974430</v>
      </c>
      <c r="N128" s="24" t="s">
        <v>636</v>
      </c>
      <c r="O128" s="33">
        <f>HYPERLINK("https://app.hubspot.com/contacts/8748051/record/0-3/45442101095", 45442101095)</f>
        <v>45442101095</v>
      </c>
      <c r="P128" s="24" t="s">
        <v>635</v>
      </c>
      <c r="Q128" s="24" t="s">
        <v>127</v>
      </c>
      <c r="R128" s="24">
        <v>2000.0</v>
      </c>
      <c r="S128" s="24"/>
      <c r="T128" s="34" t="str">
        <f t="shared" ref="T128:V128" si="130">IF(G128&lt;&gt;"","Yes","")</f>
        <v>Yes</v>
      </c>
      <c r="U128" s="34" t="str">
        <f t="shared" si="130"/>
        <v>Yes</v>
      </c>
      <c r="V128" s="34" t="str">
        <f t="shared" si="130"/>
        <v>Yes</v>
      </c>
      <c r="W128" s="34" t="str">
        <f t="shared" si="3"/>
        <v/>
      </c>
      <c r="X128" s="24" t="str">
        <f t="shared" si="4"/>
        <v/>
      </c>
    </row>
    <row r="129" ht="14.25" customHeight="1">
      <c r="A129" s="28">
        <f>HYPERLINK("https://app.hubspot.com/contacts/8748051/record/0-1/161840431506", 161840431506)</f>
        <v>161840431506</v>
      </c>
      <c r="B129" s="24" t="s">
        <v>3497</v>
      </c>
      <c r="C129" s="26">
        <v>45937.843680555554</v>
      </c>
      <c r="D129" s="26"/>
      <c r="E129" s="28" t="s">
        <v>648</v>
      </c>
      <c r="F129" s="26"/>
      <c r="G129" s="35">
        <v>45938.0</v>
      </c>
      <c r="H129" s="35">
        <v>45940.0</v>
      </c>
      <c r="I129" s="35">
        <v>45940.0</v>
      </c>
      <c r="J129" s="24" t="s">
        <v>3498</v>
      </c>
      <c r="K129" s="24" t="s">
        <v>3237</v>
      </c>
      <c r="L129" s="24"/>
      <c r="M129" s="28">
        <f>HYPERLINK("https://app.hubspot.com/contacts/8748051/record/0-2/41105868191", 41105868191)</f>
        <v>41105868191</v>
      </c>
      <c r="N129" s="24" t="s">
        <v>647</v>
      </c>
      <c r="O129" s="28">
        <f>HYPERLINK("https://app.hubspot.com/contacts/8748051/record/0-3/45451928346", 45451928346)</f>
        <v>45451928346</v>
      </c>
      <c r="P129" s="24" t="s">
        <v>645</v>
      </c>
      <c r="Q129" s="24" t="s">
        <v>149</v>
      </c>
      <c r="R129" s="24">
        <v>100000.0</v>
      </c>
      <c r="S129" s="24"/>
      <c r="T129" s="34" t="str">
        <f t="shared" ref="T129:V129" si="131">IF(G129&lt;&gt;"","Yes","")</f>
        <v>Yes</v>
      </c>
      <c r="U129" s="34" t="str">
        <f t="shared" si="131"/>
        <v>Yes</v>
      </c>
      <c r="V129" s="34" t="str">
        <f t="shared" si="131"/>
        <v>Yes</v>
      </c>
      <c r="W129" s="34" t="str">
        <f t="shared" si="3"/>
        <v/>
      </c>
      <c r="X129" s="24" t="str">
        <f t="shared" si="4"/>
        <v>Yes</v>
      </c>
    </row>
    <row r="130" ht="14.25" customHeight="1">
      <c r="A130" s="28">
        <f>HYPERLINK("https://app.hubspot.com/contacts/8748051/record/0-1/161703598863", 161703598863)</f>
        <v>161703598863</v>
      </c>
      <c r="B130" s="24" t="s">
        <v>3499</v>
      </c>
      <c r="C130" s="26">
        <v>45937.47106481482</v>
      </c>
      <c r="D130" s="26"/>
      <c r="E130" s="28" t="s">
        <v>651</v>
      </c>
      <c r="F130" s="24"/>
      <c r="G130" s="35">
        <v>45937.0</v>
      </c>
      <c r="H130" s="35">
        <v>45945.0</v>
      </c>
      <c r="I130" s="35">
        <v>45945.0</v>
      </c>
      <c r="J130" s="24" t="s">
        <v>3500</v>
      </c>
      <c r="K130" s="24" t="s">
        <v>3239</v>
      </c>
      <c r="L130" s="24"/>
      <c r="M130" s="28">
        <f>HYPERLINK("https://app.hubspot.com/contacts/8748051/record/0-2/18832368254", 18832368254)</f>
        <v>18832368254</v>
      </c>
      <c r="N130" s="24" t="s">
        <v>650</v>
      </c>
      <c r="O130" s="33">
        <f>HYPERLINK("https://app.hubspot.com/contacts/8748051/record/0-3/45354363535", 45354363535)</f>
        <v>45354363535</v>
      </c>
      <c r="P130" s="24" t="s">
        <v>649</v>
      </c>
      <c r="Q130" s="24" t="s">
        <v>51</v>
      </c>
      <c r="R130" s="24">
        <v>100000.0</v>
      </c>
      <c r="S130" s="24" t="b">
        <v>1</v>
      </c>
      <c r="T130" s="34" t="str">
        <f t="shared" ref="T130:V130" si="132">IF(G130&lt;&gt;"","Yes","")</f>
        <v>Yes</v>
      </c>
      <c r="U130" s="34" t="str">
        <f t="shared" si="132"/>
        <v>Yes</v>
      </c>
      <c r="V130" s="34" t="str">
        <f t="shared" si="132"/>
        <v>Yes</v>
      </c>
      <c r="W130" s="34" t="str">
        <f t="shared" si="3"/>
        <v/>
      </c>
      <c r="X130" s="24" t="str">
        <f t="shared" si="4"/>
        <v/>
      </c>
    </row>
    <row r="131" ht="14.25" customHeight="1">
      <c r="A131" s="28">
        <f>HYPERLINK("https://app.hubspot.com/contacts/8748051/record/0-1/160708318854", 160708318854)</f>
        <v>160708318854</v>
      </c>
      <c r="B131" s="24" t="s">
        <v>3501</v>
      </c>
      <c r="C131" s="26">
        <v>45936.399976851855</v>
      </c>
      <c r="D131" s="26"/>
      <c r="E131" s="28" t="s">
        <v>655</v>
      </c>
      <c r="F131" s="26"/>
      <c r="G131" s="35">
        <v>45936.0</v>
      </c>
      <c r="H131" s="35">
        <v>45941.0</v>
      </c>
      <c r="I131" s="35">
        <v>45941.0</v>
      </c>
      <c r="J131" s="24" t="s">
        <v>3254</v>
      </c>
      <c r="K131" s="24" t="s">
        <v>3239</v>
      </c>
      <c r="L131" s="24"/>
      <c r="M131" s="28">
        <f>HYPERLINK("https://app.hubspot.com/contacts/8748051/record/0-2/40871142018", 40871142018)</f>
        <v>40871142018</v>
      </c>
      <c r="N131" s="24" t="s">
        <v>654</v>
      </c>
      <c r="O131" s="33">
        <f>HYPERLINK("https://app.hubspot.com/contacts/8748051/record/0-3/45315192745", 45315192745)</f>
        <v>45315192745</v>
      </c>
      <c r="P131" s="24" t="s">
        <v>652</v>
      </c>
      <c r="Q131" s="24" t="s">
        <v>149</v>
      </c>
      <c r="R131" s="24">
        <v>10500.0</v>
      </c>
      <c r="S131" s="24" t="b">
        <v>1</v>
      </c>
      <c r="T131" s="34" t="str">
        <f t="shared" ref="T131:V131" si="133">IF(G131&lt;&gt;"","Yes","")</f>
        <v>Yes</v>
      </c>
      <c r="U131" s="34" t="str">
        <f t="shared" si="133"/>
        <v>Yes</v>
      </c>
      <c r="V131" s="34" t="str">
        <f t="shared" si="133"/>
        <v>Yes</v>
      </c>
      <c r="W131" s="34" t="str">
        <f t="shared" si="3"/>
        <v/>
      </c>
      <c r="X131" s="24" t="str">
        <f t="shared" si="4"/>
        <v>Yes</v>
      </c>
    </row>
    <row r="132" ht="14.25" customHeight="1">
      <c r="A132" s="28">
        <f>HYPERLINK("https://app.hubspot.com/contacts/8748051/record/0-1/174631836584", 174631836584)</f>
        <v>174631836584</v>
      </c>
      <c r="B132" s="24" t="s">
        <v>3502</v>
      </c>
      <c r="C132" s="26">
        <v>45936.395833333336</v>
      </c>
      <c r="D132" s="26"/>
      <c r="E132" s="28" t="s">
        <v>658</v>
      </c>
      <c r="F132" s="24"/>
      <c r="G132" s="35">
        <v>45936.0</v>
      </c>
      <c r="H132" s="35">
        <v>45729.0</v>
      </c>
      <c r="I132" s="35">
        <v>45729.0</v>
      </c>
      <c r="J132" s="24" t="s">
        <v>3296</v>
      </c>
      <c r="K132" s="24" t="s">
        <v>3469</v>
      </c>
      <c r="L132" s="24"/>
      <c r="M132" s="28">
        <f>HYPERLINK("https://app.hubspot.com/contacts/8748051/record/0-2/8867142733", 8867142733)</f>
        <v>8867142733</v>
      </c>
      <c r="N132" s="24" t="s">
        <v>657</v>
      </c>
      <c r="O132" s="33">
        <f>HYPERLINK("https://app.hubspot.com/contacts/8748051/record/0-3/34603512158", 34603512158)</f>
        <v>34603512158</v>
      </c>
      <c r="P132" s="24" t="s">
        <v>1236</v>
      </c>
      <c r="Q132" s="24" t="s">
        <v>127</v>
      </c>
      <c r="R132" s="24">
        <v>50000.0</v>
      </c>
      <c r="S132" s="24" t="b">
        <v>1</v>
      </c>
      <c r="T132" s="34" t="str">
        <f t="shared" ref="T132:V132" si="134">IF(G132&lt;&gt;"","Yes","")</f>
        <v>Yes</v>
      </c>
      <c r="U132" s="34" t="str">
        <f t="shared" si="134"/>
        <v>Yes</v>
      </c>
      <c r="V132" s="34" t="str">
        <f t="shared" si="134"/>
        <v>Yes</v>
      </c>
      <c r="W132" s="34" t="str">
        <f t="shared" si="3"/>
        <v/>
      </c>
      <c r="X132" s="24" t="str">
        <f t="shared" si="4"/>
        <v/>
      </c>
    </row>
    <row r="133" ht="14.25" customHeight="1">
      <c r="A133" s="28">
        <f>HYPERLINK("https://app.hubspot.com/contacts/8748051/record/0-1/116460228483", 116460228483)</f>
        <v>116460228483</v>
      </c>
      <c r="B133" s="24" t="s">
        <v>3503</v>
      </c>
      <c r="C133" s="26">
        <v>45934.5625</v>
      </c>
      <c r="D133" s="26"/>
      <c r="E133" s="28" t="s">
        <v>186</v>
      </c>
      <c r="F133" s="26"/>
      <c r="G133" s="35">
        <v>45934.0</v>
      </c>
      <c r="H133" s="35">
        <v>45939.0</v>
      </c>
      <c r="I133" s="35">
        <v>45939.0</v>
      </c>
      <c r="J133" s="24" t="s">
        <v>3504</v>
      </c>
      <c r="K133" s="24" t="s">
        <v>3469</v>
      </c>
      <c r="L133" s="24"/>
      <c r="M133" s="28">
        <f>HYPERLINK("https://app.hubspot.com/contacts/8748051/record/0-2/35716472621", 35716472621)</f>
        <v>35716472621</v>
      </c>
      <c r="N133" s="24" t="s">
        <v>185</v>
      </c>
      <c r="O133" s="28">
        <f>HYPERLINK("https://app.hubspot.com/contacts/8748051/record/0-3/36124029510", 36124029510)</f>
        <v>36124029510</v>
      </c>
      <c r="P133" s="24" t="s">
        <v>1090</v>
      </c>
      <c r="Q133" s="24" t="s">
        <v>92</v>
      </c>
      <c r="R133" s="24">
        <v>80000.0</v>
      </c>
      <c r="S133" s="24" t="b">
        <v>1</v>
      </c>
      <c r="T133" s="34" t="str">
        <f t="shared" ref="T133:V133" si="135">IF(G133&lt;&gt;"","Yes","")</f>
        <v>Yes</v>
      </c>
      <c r="U133" s="34" t="str">
        <f t="shared" si="135"/>
        <v>Yes</v>
      </c>
      <c r="V133" s="34" t="str">
        <f t="shared" si="135"/>
        <v>Yes</v>
      </c>
      <c r="W133" s="34" t="str">
        <f t="shared" si="3"/>
        <v>Yes</v>
      </c>
      <c r="X133" s="24" t="str">
        <f t="shared" si="4"/>
        <v/>
      </c>
    </row>
    <row r="134" ht="14.25" customHeight="1">
      <c r="A134" s="28">
        <f>HYPERLINK("https://app.hubspot.com/contacts/8748051/record/0-1/163680354896", 163680354896)</f>
        <v>163680354896</v>
      </c>
      <c r="B134" s="24" t="s">
        <v>3505</v>
      </c>
      <c r="C134" s="26">
        <v>45932.742118055554</v>
      </c>
      <c r="D134" s="26"/>
      <c r="E134" s="28" t="s">
        <v>662</v>
      </c>
      <c r="F134" s="24"/>
      <c r="G134" s="35">
        <v>45933.0</v>
      </c>
      <c r="H134" s="35">
        <v>45937.0</v>
      </c>
      <c r="I134" s="35">
        <v>45937.0</v>
      </c>
      <c r="J134" s="24" t="s">
        <v>3506</v>
      </c>
      <c r="K134" s="24" t="s">
        <v>155</v>
      </c>
      <c r="L134" s="24" t="s">
        <v>3249</v>
      </c>
      <c r="M134" s="28">
        <f>HYPERLINK("https://app.hubspot.com/contacts/8748051/record/0-2/39723801196", 39723801196)</f>
        <v>39723801196</v>
      </c>
      <c r="N134" s="24" t="s">
        <v>661</v>
      </c>
      <c r="O134" s="33">
        <f>HYPERLINK("https://app.hubspot.com/contacts/8748051/record/0-3/45189008786", 45189008786)</f>
        <v>45189008786</v>
      </c>
      <c r="P134" s="24" t="s">
        <v>660</v>
      </c>
      <c r="Q134" s="24" t="s">
        <v>127</v>
      </c>
      <c r="R134" s="24">
        <v>10000.0</v>
      </c>
      <c r="S134" s="24" t="b">
        <v>1</v>
      </c>
      <c r="T134" s="34" t="str">
        <f t="shared" ref="T134:V134" si="136">IF(G134&lt;&gt;"","Yes","")</f>
        <v>Yes</v>
      </c>
      <c r="U134" s="34" t="str">
        <f t="shared" si="136"/>
        <v>Yes</v>
      </c>
      <c r="V134" s="34" t="str">
        <f t="shared" si="136"/>
        <v>Yes</v>
      </c>
      <c r="W134" s="34" t="str">
        <f t="shared" si="3"/>
        <v/>
      </c>
      <c r="X134" s="24" t="str">
        <f t="shared" si="4"/>
        <v/>
      </c>
    </row>
    <row r="135" ht="14.25" customHeight="1">
      <c r="A135" s="28">
        <f>HYPERLINK("https://app.hubspot.com/contacts/8748051/record/0-1/168544144690", 168544144690)</f>
        <v>168544144690</v>
      </c>
      <c r="B135" s="24" t="s">
        <v>3507</v>
      </c>
      <c r="C135" s="26">
        <v>45932.4359375</v>
      </c>
      <c r="D135" s="26"/>
      <c r="E135" s="28" t="s">
        <v>671</v>
      </c>
      <c r="F135" s="26"/>
      <c r="G135" s="35">
        <v>45932.0</v>
      </c>
      <c r="H135" s="35">
        <v>45933.0</v>
      </c>
      <c r="I135" s="35">
        <v>45933.0</v>
      </c>
      <c r="J135" s="24" t="s">
        <v>3508</v>
      </c>
      <c r="K135" s="24" t="s">
        <v>3242</v>
      </c>
      <c r="L135" s="24" t="s">
        <v>3249</v>
      </c>
      <c r="M135" s="28">
        <f>HYPERLINK("https://app.hubspot.com/contacts/8748051/record/0-2/39434406029", 39434406029)</f>
        <v>39434406029</v>
      </c>
      <c r="N135" s="24" t="s">
        <v>670</v>
      </c>
      <c r="O135" s="28">
        <f>HYPERLINK("https://app.hubspot.com/contacts/8748051/record/0-3/45102633035", 45102633035)</f>
        <v>45102633035</v>
      </c>
      <c r="P135" s="24" t="s">
        <v>668</v>
      </c>
      <c r="Q135" s="24" t="s">
        <v>149</v>
      </c>
      <c r="R135" s="24">
        <v>25000.0</v>
      </c>
      <c r="S135" s="24" t="b">
        <v>1</v>
      </c>
      <c r="T135" s="34" t="str">
        <f t="shared" ref="T135:V135" si="137">IF(G135&lt;&gt;"","Yes","")</f>
        <v>Yes</v>
      </c>
      <c r="U135" s="34" t="str">
        <f t="shared" si="137"/>
        <v>Yes</v>
      </c>
      <c r="V135" s="34" t="str">
        <f t="shared" si="137"/>
        <v>Yes</v>
      </c>
      <c r="W135" s="34" t="str">
        <f t="shared" si="3"/>
        <v/>
      </c>
      <c r="X135" s="24" t="str">
        <f t="shared" si="4"/>
        <v>Yes</v>
      </c>
    </row>
    <row r="136" ht="14.25" customHeight="1">
      <c r="A136" s="28">
        <f>HYPERLINK("https://app.hubspot.com/contacts/8748051/record/0-1/159853270061", 159853270061)</f>
        <v>159853270061</v>
      </c>
      <c r="B136" s="24" t="s">
        <v>3509</v>
      </c>
      <c r="C136" s="26">
        <v>45930.604629629626</v>
      </c>
      <c r="D136" s="26"/>
      <c r="E136" s="28" t="s">
        <v>674</v>
      </c>
      <c r="F136" s="24"/>
      <c r="G136" s="35">
        <v>45931.0</v>
      </c>
      <c r="H136" s="35">
        <v>45937.0</v>
      </c>
      <c r="I136" s="35">
        <v>45937.0</v>
      </c>
      <c r="J136" s="24" t="s">
        <v>3510</v>
      </c>
      <c r="K136" s="24" t="s">
        <v>3252</v>
      </c>
      <c r="L136" s="24" t="s">
        <v>3249</v>
      </c>
      <c r="M136" s="28">
        <f>HYPERLINK("https://app.hubspot.com/contacts/8748051/record/0-2/31946973311", 31946973311)</f>
        <v>31946973311</v>
      </c>
      <c r="N136" s="24" t="s">
        <v>673</v>
      </c>
      <c r="O136" s="33">
        <f>HYPERLINK("https://app.hubspot.com/contacts/8748051/record/0-3/44941183668", 44941183668)</f>
        <v>44941183668</v>
      </c>
      <c r="P136" s="24" t="s">
        <v>672</v>
      </c>
      <c r="Q136" s="24" t="s">
        <v>127</v>
      </c>
      <c r="R136" s="24">
        <v>35000.0</v>
      </c>
      <c r="S136" s="24" t="b">
        <v>1</v>
      </c>
      <c r="T136" s="34" t="str">
        <f t="shared" ref="T136:V136" si="138">IF(G136&lt;&gt;"","Yes","")</f>
        <v>Yes</v>
      </c>
      <c r="U136" s="34" t="str">
        <f t="shared" si="138"/>
        <v>Yes</v>
      </c>
      <c r="V136" s="34" t="str">
        <f t="shared" si="138"/>
        <v>Yes</v>
      </c>
      <c r="W136" s="34" t="str">
        <f t="shared" si="3"/>
        <v/>
      </c>
      <c r="X136" s="24" t="str">
        <f t="shared" si="4"/>
        <v/>
      </c>
    </row>
    <row r="137" ht="14.25" customHeight="1">
      <c r="A137" s="28">
        <f>HYPERLINK("https://app.hubspot.com/contacts/8748051/record/0-1/26732201820", 26732201820)</f>
        <v>26732201820</v>
      </c>
      <c r="B137" s="24" t="s">
        <v>3511</v>
      </c>
      <c r="C137" s="26">
        <v>45930.57917824074</v>
      </c>
      <c r="D137" s="26"/>
      <c r="E137" s="28" t="s">
        <v>728</v>
      </c>
      <c r="F137" s="24"/>
      <c r="G137" s="35">
        <v>45930.0</v>
      </c>
      <c r="H137" s="35">
        <v>45933.0</v>
      </c>
      <c r="I137" s="35">
        <v>45933.0</v>
      </c>
      <c r="J137" s="24" t="s">
        <v>3512</v>
      </c>
      <c r="K137" s="24" t="s">
        <v>155</v>
      </c>
      <c r="L137" s="24" t="s">
        <v>3249</v>
      </c>
      <c r="M137" s="28">
        <f>HYPERLINK("https://app.hubspot.com/contacts/8748051/record/0-2/39658829577", 39658829577)</f>
        <v>39658829577</v>
      </c>
      <c r="N137" s="24" t="s">
        <v>727</v>
      </c>
      <c r="O137" s="28">
        <f>HYPERLINK("https://app.hubspot.com/contacts/8748051/record/0-3/43942831434", 43942831434)</f>
        <v>43942831434</v>
      </c>
      <c r="P137" s="24" t="s">
        <v>726</v>
      </c>
      <c r="Q137" s="24" t="s">
        <v>127</v>
      </c>
      <c r="R137" s="24">
        <v>25000.0</v>
      </c>
      <c r="S137" s="24" t="b">
        <v>1</v>
      </c>
      <c r="T137" s="34" t="str">
        <f t="shared" ref="T137:V137" si="139">IF(G137&lt;&gt;"","Yes","")</f>
        <v>Yes</v>
      </c>
      <c r="U137" s="34" t="str">
        <f t="shared" si="139"/>
        <v>Yes</v>
      </c>
      <c r="V137" s="34" t="str">
        <f t="shared" si="139"/>
        <v>Yes</v>
      </c>
      <c r="W137" s="34" t="str">
        <f t="shared" si="3"/>
        <v/>
      </c>
      <c r="X137" s="24" t="str">
        <f t="shared" si="4"/>
        <v/>
      </c>
    </row>
    <row r="138" ht="14.25" customHeight="1">
      <c r="A138" s="28">
        <f>HYPERLINK("https://app.hubspot.com/contacts/8748051/record/0-1/159569494540", 159569494540)</f>
        <v>159569494540</v>
      </c>
      <c r="B138" s="24" t="s">
        <v>3513</v>
      </c>
      <c r="C138" s="26">
        <v>45929.701875</v>
      </c>
      <c r="D138" s="26"/>
      <c r="E138" s="28" t="s">
        <v>677</v>
      </c>
      <c r="F138" s="26"/>
      <c r="G138" s="35">
        <v>45930.0</v>
      </c>
      <c r="H138" s="35">
        <v>45945.0</v>
      </c>
      <c r="I138" s="35">
        <v>45945.0</v>
      </c>
      <c r="J138" s="24" t="s">
        <v>3514</v>
      </c>
      <c r="K138" s="24" t="s">
        <v>3239</v>
      </c>
      <c r="L138" s="24"/>
      <c r="M138" s="28">
        <f>HYPERLINK("https://app.hubspot.com/contacts/8748051/record/0-2/40573152920", 40573152920)</f>
        <v>40573152920</v>
      </c>
      <c r="N138" s="24" t="s">
        <v>676</v>
      </c>
      <c r="O138" s="33">
        <f>HYPERLINK("https://app.hubspot.com/contacts/8748051/record/0-3/45116551543", 45116551543)</f>
        <v>45116551543</v>
      </c>
      <c r="P138" s="24" t="s">
        <v>675</v>
      </c>
      <c r="Q138" s="24" t="s">
        <v>127</v>
      </c>
      <c r="R138" s="24">
        <v>6000.0</v>
      </c>
      <c r="S138" s="24" t="b">
        <v>1</v>
      </c>
      <c r="T138" s="34" t="str">
        <f t="shared" ref="T138:V138" si="140">IF(G138&lt;&gt;"","Yes","")</f>
        <v>Yes</v>
      </c>
      <c r="U138" s="34" t="str">
        <f t="shared" si="140"/>
        <v>Yes</v>
      </c>
      <c r="V138" s="34" t="str">
        <f t="shared" si="140"/>
        <v>Yes</v>
      </c>
      <c r="W138" s="34" t="str">
        <f t="shared" si="3"/>
        <v/>
      </c>
      <c r="X138" s="24" t="str">
        <f t="shared" si="4"/>
        <v/>
      </c>
    </row>
    <row r="139" ht="14.25" customHeight="1">
      <c r="A139" s="28">
        <f>HYPERLINK("https://app.hubspot.com/contacts/8748051/record/0-1/158974498660", 158974498660)</f>
        <v>158974498660</v>
      </c>
      <c r="B139" s="24" t="s">
        <v>3515</v>
      </c>
      <c r="C139" s="26">
        <v>45927.41596064815</v>
      </c>
      <c r="D139" s="26"/>
      <c r="E139" s="28" t="s">
        <v>686</v>
      </c>
      <c r="F139" s="24"/>
      <c r="G139" s="35">
        <v>45927.0</v>
      </c>
      <c r="H139" s="35">
        <v>45930.0</v>
      </c>
      <c r="I139" s="35">
        <v>45930.0</v>
      </c>
      <c r="J139" s="24" t="s">
        <v>3254</v>
      </c>
      <c r="K139" s="24" t="s">
        <v>3239</v>
      </c>
      <c r="L139" s="24" t="s">
        <v>3337</v>
      </c>
      <c r="M139" s="28">
        <f>HYPERLINK("https://app.hubspot.com/contacts/8748051/record/0-2/40360210872", 40360210872)</f>
        <v>40360210872</v>
      </c>
      <c r="N139" s="24" t="s">
        <v>685</v>
      </c>
      <c r="O139" s="33">
        <f>HYPERLINK("https://app.hubspot.com/contacts/8748051/record/0-3/44844133543", 44844133543)</f>
        <v>44844133543</v>
      </c>
      <c r="P139" s="24" t="s">
        <v>684</v>
      </c>
      <c r="Q139" s="24" t="s">
        <v>73</v>
      </c>
      <c r="R139" s="24">
        <v>0.0</v>
      </c>
      <c r="S139" s="24"/>
      <c r="T139" s="34" t="str">
        <f t="shared" ref="T139:V139" si="141">IF(G139&lt;&gt;"","Yes","")</f>
        <v>Yes</v>
      </c>
      <c r="U139" s="34" t="str">
        <f t="shared" si="141"/>
        <v>Yes</v>
      </c>
      <c r="V139" s="34" t="str">
        <f t="shared" si="141"/>
        <v>Yes</v>
      </c>
      <c r="W139" s="34" t="str">
        <f t="shared" si="3"/>
        <v/>
      </c>
      <c r="X139" s="24" t="str">
        <f t="shared" si="4"/>
        <v/>
      </c>
    </row>
    <row r="140" ht="14.25" customHeight="1">
      <c r="A140" s="28">
        <f>HYPERLINK("https://app.hubspot.com/contacts/8748051/record/0-1/163614350690", 163614350690)</f>
        <v>163614350690</v>
      </c>
      <c r="B140" s="24" t="s">
        <v>3516</v>
      </c>
      <c r="C140" s="26">
        <v>45925.536631944444</v>
      </c>
      <c r="D140" s="26"/>
      <c r="E140" s="28" t="s">
        <v>693</v>
      </c>
      <c r="F140" s="26"/>
      <c r="G140" s="35">
        <v>45925.0</v>
      </c>
      <c r="H140" s="35">
        <v>45930.0</v>
      </c>
      <c r="I140" s="35">
        <v>45930.0</v>
      </c>
      <c r="J140" s="24" t="s">
        <v>3517</v>
      </c>
      <c r="K140" s="24" t="s">
        <v>3469</v>
      </c>
      <c r="L140" s="24"/>
      <c r="M140" s="28">
        <f>HYPERLINK("https://app.hubspot.com/contacts/8748051/record/0-2/9186997870", 9186997870)</f>
        <v>9186997870</v>
      </c>
      <c r="N140" s="24" t="s">
        <v>692</v>
      </c>
      <c r="O140" s="33">
        <f>HYPERLINK("https://app.hubspot.com/contacts/8748051/record/0-3/17905546143", 17905546143)</f>
        <v>17905546143</v>
      </c>
      <c r="P140" s="24" t="s">
        <v>2128</v>
      </c>
      <c r="Q140" s="24" t="s">
        <v>73</v>
      </c>
      <c r="R140" s="24">
        <v>11280.0</v>
      </c>
      <c r="S140" s="24"/>
      <c r="T140" s="34" t="str">
        <f t="shared" ref="T140:V140" si="142">IF(G140&lt;&gt;"","Yes","")</f>
        <v>Yes</v>
      </c>
      <c r="U140" s="34" t="str">
        <f t="shared" si="142"/>
        <v>Yes</v>
      </c>
      <c r="V140" s="34" t="str">
        <f t="shared" si="142"/>
        <v>Yes</v>
      </c>
      <c r="W140" s="34" t="str">
        <f t="shared" si="3"/>
        <v/>
      </c>
      <c r="X140" s="24" t="str">
        <f t="shared" si="4"/>
        <v/>
      </c>
    </row>
    <row r="141" ht="14.25" customHeight="1">
      <c r="A141" s="28">
        <f>HYPERLINK("https://app.hubspot.com/contacts/8748051/record/0-1/145084734867", 145084734867)</f>
        <v>145084734867</v>
      </c>
      <c r="B141" s="24" t="s">
        <v>3518</v>
      </c>
      <c r="C141" s="26">
        <v>45925.420625</v>
      </c>
      <c r="D141" s="26"/>
      <c r="E141" s="28" t="s">
        <v>699</v>
      </c>
      <c r="F141" s="24"/>
      <c r="G141" s="35">
        <v>45925.0</v>
      </c>
      <c r="H141" s="35">
        <v>45932.0</v>
      </c>
      <c r="I141" s="35">
        <v>45932.0</v>
      </c>
      <c r="J141" s="24" t="s">
        <v>3519</v>
      </c>
      <c r="K141" s="24" t="s">
        <v>3242</v>
      </c>
      <c r="L141" s="24"/>
      <c r="M141" s="28">
        <f>HYPERLINK("https://app.hubspot.com/contacts/8748051/record/0-2/40210067266", 40210067266)</f>
        <v>40210067266</v>
      </c>
      <c r="N141" s="24" t="s">
        <v>698</v>
      </c>
      <c r="O141" s="33">
        <f>HYPERLINK("https://app.hubspot.com/contacts/8748051/record/0-3/44501843533", 44501843533)</f>
        <v>44501843533</v>
      </c>
      <c r="P141" s="24" t="s">
        <v>697</v>
      </c>
      <c r="Q141" s="24" t="s">
        <v>127</v>
      </c>
      <c r="R141" s="24">
        <v>0.0</v>
      </c>
      <c r="S141" s="24" t="b">
        <v>1</v>
      </c>
      <c r="T141" s="34" t="str">
        <f t="shared" ref="T141:V141" si="143">IF(G141&lt;&gt;"","Yes","")</f>
        <v>Yes</v>
      </c>
      <c r="U141" s="34" t="str">
        <f t="shared" si="143"/>
        <v>Yes</v>
      </c>
      <c r="V141" s="34" t="str">
        <f t="shared" si="143"/>
        <v>Yes</v>
      </c>
      <c r="W141" s="34" t="str">
        <f t="shared" si="3"/>
        <v/>
      </c>
      <c r="X141" s="24" t="str">
        <f t="shared" si="4"/>
        <v/>
      </c>
    </row>
    <row r="142" ht="14.25" customHeight="1">
      <c r="A142" s="28">
        <f>HYPERLINK("https://app.hubspot.com/contacts/8748051/record/0-1/158188357977", 158188357977)</f>
        <v>158188357977</v>
      </c>
      <c r="B142" s="24" t="s">
        <v>3520</v>
      </c>
      <c r="C142" s="26">
        <v>45924.57606481481</v>
      </c>
      <c r="D142" s="26"/>
      <c r="E142" s="28" t="s">
        <v>702</v>
      </c>
      <c r="F142" s="24"/>
      <c r="G142" s="35">
        <v>45924.0</v>
      </c>
      <c r="H142" s="35">
        <v>45929.0</v>
      </c>
      <c r="I142" s="35">
        <v>45929.0</v>
      </c>
      <c r="J142" s="24" t="s">
        <v>3521</v>
      </c>
      <c r="K142" s="24" t="s">
        <v>3252</v>
      </c>
      <c r="L142" s="24"/>
      <c r="M142" s="28">
        <f>HYPERLINK("https://app.hubspot.com/contacts/8748051/record/0-2/40061927186", 40061927186)</f>
        <v>40061927186</v>
      </c>
      <c r="N142" s="24" t="s">
        <v>701</v>
      </c>
      <c r="O142" s="33">
        <f>HYPERLINK("https://app.hubspot.com/contacts/8748051/record/0-3/44388175650", 44388175650)</f>
        <v>44388175650</v>
      </c>
      <c r="P142" s="24" t="s">
        <v>700</v>
      </c>
      <c r="Q142" s="24" t="s">
        <v>127</v>
      </c>
      <c r="R142" s="24">
        <v>15000.0</v>
      </c>
      <c r="S142" s="24" t="b">
        <v>1</v>
      </c>
      <c r="T142" s="34" t="str">
        <f t="shared" ref="T142:V142" si="144">IF(G142&lt;&gt;"","Yes","")</f>
        <v>Yes</v>
      </c>
      <c r="U142" s="34" t="str">
        <f t="shared" si="144"/>
        <v>Yes</v>
      </c>
      <c r="V142" s="34" t="str">
        <f t="shared" si="144"/>
        <v>Yes</v>
      </c>
      <c r="W142" s="34" t="str">
        <f t="shared" si="3"/>
        <v/>
      </c>
      <c r="X142" s="24" t="str">
        <f t="shared" si="4"/>
        <v/>
      </c>
    </row>
    <row r="143" ht="14.25" customHeight="1">
      <c r="A143" s="28">
        <f>HYPERLINK("https://app.hubspot.com/contacts/8748051/record/0-1/154520894990", 154520894990)</f>
        <v>154520894990</v>
      </c>
      <c r="B143" s="24" t="s">
        <v>3522</v>
      </c>
      <c r="C143" s="26">
        <v>45924.327685185184</v>
      </c>
      <c r="D143" s="26"/>
      <c r="E143" s="28" t="s">
        <v>705</v>
      </c>
      <c r="F143" s="24"/>
      <c r="G143" s="35">
        <v>45924.0</v>
      </c>
      <c r="H143" s="35">
        <v>45926.0</v>
      </c>
      <c r="I143" s="35">
        <v>45926.0</v>
      </c>
      <c r="J143" s="24" t="s">
        <v>3523</v>
      </c>
      <c r="K143" s="24" t="s">
        <v>3239</v>
      </c>
      <c r="L143" s="24"/>
      <c r="M143" s="28">
        <f>HYPERLINK("https://app.hubspot.com/contacts/8748051/record/0-2/40070535474", 40070535474)</f>
        <v>40070535474</v>
      </c>
      <c r="N143" s="24" t="s">
        <v>704</v>
      </c>
      <c r="O143" s="33">
        <f>HYPERLINK("https://app.hubspot.com/contacts/8748051/record/0-3/44433420045", 44433420045)</f>
        <v>44433420045</v>
      </c>
      <c r="P143" s="24" t="s">
        <v>703</v>
      </c>
      <c r="Q143" s="24" t="s">
        <v>73</v>
      </c>
      <c r="R143" s="24">
        <v>0.0</v>
      </c>
      <c r="S143" s="24"/>
      <c r="T143" s="34" t="str">
        <f t="shared" ref="T143:V143" si="145">IF(G143&lt;&gt;"","Yes","")</f>
        <v>Yes</v>
      </c>
      <c r="U143" s="34" t="str">
        <f t="shared" si="145"/>
        <v>Yes</v>
      </c>
      <c r="V143" s="34" t="str">
        <f t="shared" si="145"/>
        <v>Yes</v>
      </c>
      <c r="W143" s="34" t="str">
        <f t="shared" si="3"/>
        <v/>
      </c>
      <c r="X143" s="24" t="str">
        <f t="shared" si="4"/>
        <v/>
      </c>
    </row>
    <row r="144" ht="14.25" customHeight="1">
      <c r="A144" s="28">
        <f>HYPERLINK("https://app.hubspot.com/contacts/8748051/record/0-1/53483862660", 53483862660)</f>
        <v>53483862660</v>
      </c>
      <c r="B144" s="24" t="s">
        <v>3524</v>
      </c>
      <c r="C144" s="26">
        <v>45923.63982638889</v>
      </c>
      <c r="D144" s="26"/>
      <c r="E144" s="28" t="s">
        <v>708</v>
      </c>
      <c r="F144" s="26"/>
      <c r="G144" s="35">
        <v>45924.0</v>
      </c>
      <c r="H144" s="35">
        <v>45931.0</v>
      </c>
      <c r="I144" s="35">
        <v>45931.0</v>
      </c>
      <c r="J144" s="24" t="s">
        <v>3354</v>
      </c>
      <c r="K144" s="24" t="s">
        <v>3239</v>
      </c>
      <c r="L144" s="24"/>
      <c r="M144" s="28">
        <f>HYPERLINK("https://app.hubspot.com/contacts/8748051/record/0-2/18354000145", 18354000145)</f>
        <v>18354000145</v>
      </c>
      <c r="N144" s="24" t="s">
        <v>707</v>
      </c>
      <c r="O144" s="33">
        <f>HYPERLINK("https://app.hubspot.com/contacts/8748051/record/0-3/44390795530", 44390795530)</f>
        <v>44390795530</v>
      </c>
      <c r="P144" s="24" t="s">
        <v>706</v>
      </c>
      <c r="Q144" s="24" t="s">
        <v>127</v>
      </c>
      <c r="R144" s="24">
        <v>10000.0</v>
      </c>
      <c r="S144" s="24" t="b">
        <v>1</v>
      </c>
      <c r="T144" s="34" t="str">
        <f t="shared" ref="T144:V144" si="146">IF(G144&lt;&gt;"","Yes","")</f>
        <v>Yes</v>
      </c>
      <c r="U144" s="34" t="str">
        <f t="shared" si="146"/>
        <v>Yes</v>
      </c>
      <c r="V144" s="34" t="str">
        <f t="shared" si="146"/>
        <v>Yes</v>
      </c>
      <c r="W144" s="34" t="str">
        <f t="shared" si="3"/>
        <v/>
      </c>
      <c r="X144" s="24" t="str">
        <f t="shared" si="4"/>
        <v/>
      </c>
    </row>
    <row r="145" ht="14.25" customHeight="1">
      <c r="A145" s="28">
        <f>HYPERLINK("https://app.hubspot.com/contacts/8748051/record/0-1/156691378440", 156691378440)</f>
        <v>156691378440</v>
      </c>
      <c r="B145" s="24" t="s">
        <v>3525</v>
      </c>
      <c r="C145" s="26">
        <v>45919.46341435185</v>
      </c>
      <c r="D145" s="26"/>
      <c r="E145" s="28" t="s">
        <v>728</v>
      </c>
      <c r="F145" s="24"/>
      <c r="G145" s="35">
        <v>45919.0</v>
      </c>
      <c r="H145" s="35">
        <v>45924.0</v>
      </c>
      <c r="I145" s="35">
        <v>45924.0</v>
      </c>
      <c r="J145" s="24" t="s">
        <v>3263</v>
      </c>
      <c r="K145" s="24" t="s">
        <v>155</v>
      </c>
      <c r="L145" s="24" t="s">
        <v>3249</v>
      </c>
      <c r="M145" s="28">
        <f>HYPERLINK("https://app.hubspot.com/contacts/8748051/record/0-2/39658829577", 39658829577)</f>
        <v>39658829577</v>
      </c>
      <c r="N145" s="24" t="s">
        <v>727</v>
      </c>
      <c r="O145" s="33">
        <f>HYPERLINK("https://app.hubspot.com/contacts/8748051/record/0-3/43942831434", 43942831434)</f>
        <v>43942831434</v>
      </c>
      <c r="P145" s="24" t="s">
        <v>726</v>
      </c>
      <c r="Q145" s="24" t="s">
        <v>127</v>
      </c>
      <c r="R145" s="24">
        <v>25000.0</v>
      </c>
      <c r="S145" s="24" t="b">
        <v>1</v>
      </c>
      <c r="T145" s="34" t="str">
        <f t="shared" ref="T145:V145" si="147">IF(G145&lt;&gt;"","Yes","")</f>
        <v>Yes</v>
      </c>
      <c r="U145" s="34" t="str">
        <f t="shared" si="147"/>
        <v>Yes</v>
      </c>
      <c r="V145" s="34" t="str">
        <f t="shared" si="147"/>
        <v>Yes</v>
      </c>
      <c r="W145" s="34" t="str">
        <f t="shared" si="3"/>
        <v/>
      </c>
      <c r="X145" s="24" t="str">
        <f t="shared" si="4"/>
        <v/>
      </c>
    </row>
    <row r="146" ht="14.25" customHeight="1">
      <c r="A146" s="28">
        <f>HYPERLINK("https://app.hubspot.com/contacts/8748051/record/0-1/156613026207", 156613026207)</f>
        <v>156613026207</v>
      </c>
      <c r="B146" s="24" t="s">
        <v>3526</v>
      </c>
      <c r="C146" s="26">
        <v>45919.29950231482</v>
      </c>
      <c r="D146" s="26"/>
      <c r="E146" s="28" t="s">
        <v>731</v>
      </c>
      <c r="F146" s="24"/>
      <c r="G146" s="35">
        <v>45919.0</v>
      </c>
      <c r="H146" s="35">
        <v>45922.0</v>
      </c>
      <c r="I146" s="35">
        <v>45922.0</v>
      </c>
      <c r="J146" s="24" t="s">
        <v>3296</v>
      </c>
      <c r="K146" s="24" t="s">
        <v>3239</v>
      </c>
      <c r="L146" s="24"/>
      <c r="M146" s="28">
        <f>HYPERLINK("https://app.hubspot.com/contacts/8748051/record/0-2/39616251562", 39616251562)</f>
        <v>39616251562</v>
      </c>
      <c r="N146" s="24" t="s">
        <v>730</v>
      </c>
      <c r="O146" s="33">
        <f>HYPERLINK("https://app.hubspot.com/contacts/8748051/record/0-3/43906616068", 43906616068)</f>
        <v>43906616068</v>
      </c>
      <c r="P146" s="24" t="s">
        <v>729</v>
      </c>
      <c r="Q146" s="24" t="s">
        <v>127</v>
      </c>
      <c r="R146" s="24">
        <v>9500.0</v>
      </c>
      <c r="S146" s="24" t="b">
        <v>1</v>
      </c>
      <c r="T146" s="34" t="str">
        <f t="shared" ref="T146:V146" si="148">IF(G146&lt;&gt;"","Yes","")</f>
        <v>Yes</v>
      </c>
      <c r="U146" s="34" t="str">
        <f t="shared" si="148"/>
        <v>Yes</v>
      </c>
      <c r="V146" s="34" t="str">
        <f t="shared" si="148"/>
        <v>Yes</v>
      </c>
      <c r="W146" s="34" t="str">
        <f t="shared" si="3"/>
        <v/>
      </c>
      <c r="X146" s="24" t="str">
        <f t="shared" si="4"/>
        <v/>
      </c>
    </row>
    <row r="147" ht="14.25" customHeight="1">
      <c r="A147" s="28">
        <f>HYPERLINK("https://app.hubspot.com/contacts/8748051/record/0-1/178301", 178301)</f>
        <v>178301</v>
      </c>
      <c r="B147" s="24" t="s">
        <v>3527</v>
      </c>
      <c r="C147" s="26">
        <v>45919.26976851852</v>
      </c>
      <c r="D147" s="26"/>
      <c r="E147" s="28" t="s">
        <v>725</v>
      </c>
      <c r="F147" s="24"/>
      <c r="G147" s="35">
        <v>45919.0</v>
      </c>
      <c r="H147" s="35">
        <v>45926.0</v>
      </c>
      <c r="I147" s="35">
        <v>45926.0</v>
      </c>
      <c r="J147" s="24" t="s">
        <v>3528</v>
      </c>
      <c r="K147" s="24" t="s">
        <v>3248</v>
      </c>
      <c r="L147" s="24"/>
      <c r="M147" s="28">
        <f>HYPERLINK("https://app.hubspot.com/contacts/8748051/record/0-2/6816616587", 6816616587)</f>
        <v>6816616587</v>
      </c>
      <c r="N147" s="24" t="s">
        <v>724</v>
      </c>
      <c r="O147" s="33">
        <f>HYPERLINK("https://app.hubspot.com/contacts/8748051/record/0-3/43937008921", 43937008921)</f>
        <v>43937008921</v>
      </c>
      <c r="P147" s="24" t="s">
        <v>722</v>
      </c>
      <c r="Q147" s="24" t="s">
        <v>149</v>
      </c>
      <c r="R147" s="24">
        <v>24500.0</v>
      </c>
      <c r="S147" s="24" t="b">
        <v>1</v>
      </c>
      <c r="T147" s="34" t="str">
        <f t="shared" ref="T147:V147" si="149">IF(G147&lt;&gt;"","Yes","")</f>
        <v>Yes</v>
      </c>
      <c r="U147" s="34" t="str">
        <f t="shared" si="149"/>
        <v>Yes</v>
      </c>
      <c r="V147" s="34" t="str">
        <f t="shared" si="149"/>
        <v>Yes</v>
      </c>
      <c r="W147" s="34" t="str">
        <f t="shared" si="3"/>
        <v/>
      </c>
      <c r="X147" s="24" t="str">
        <f t="shared" si="4"/>
        <v>Yes</v>
      </c>
    </row>
    <row r="148" ht="14.25" customHeight="1">
      <c r="A148" s="28">
        <f>HYPERLINK("https://app.hubspot.com/contacts/8748051/record/0-1/156506956702", 156506956702)</f>
        <v>156506956702</v>
      </c>
      <c r="B148" s="24" t="s">
        <v>3529</v>
      </c>
      <c r="C148" s="26">
        <v>45918.81773148148</v>
      </c>
      <c r="D148" s="26"/>
      <c r="E148" s="28" t="s">
        <v>734</v>
      </c>
      <c r="F148" s="24"/>
      <c r="G148" s="35">
        <v>45919.0</v>
      </c>
      <c r="H148" s="35">
        <v>45923.0</v>
      </c>
      <c r="I148" s="35">
        <v>45923.0</v>
      </c>
      <c r="J148" s="24" t="s">
        <v>1072</v>
      </c>
      <c r="K148" s="24" t="s">
        <v>3242</v>
      </c>
      <c r="L148" s="24"/>
      <c r="M148" s="28">
        <f>HYPERLINK("https://app.hubspot.com/contacts/8748051/record/0-2/44493161811", 44493161811)</f>
        <v>44493161811</v>
      </c>
      <c r="N148" s="24" t="s">
        <v>733</v>
      </c>
      <c r="O148" s="33">
        <f>HYPERLINK("https://app.hubspot.com/contacts/8748051/record/0-3/43908394920", 43908394920)</f>
        <v>43908394920</v>
      </c>
      <c r="P148" s="24" t="s">
        <v>732</v>
      </c>
      <c r="Q148" s="24" t="s">
        <v>127</v>
      </c>
      <c r="R148" s="24">
        <v>50000.0</v>
      </c>
      <c r="S148" s="24" t="b">
        <v>1</v>
      </c>
      <c r="T148" s="34" t="str">
        <f t="shared" ref="T148:V148" si="150">IF(G148&lt;&gt;"","Yes","")</f>
        <v>Yes</v>
      </c>
      <c r="U148" s="34" t="str">
        <f t="shared" si="150"/>
        <v>Yes</v>
      </c>
      <c r="V148" s="34" t="str">
        <f t="shared" si="150"/>
        <v>Yes</v>
      </c>
      <c r="W148" s="34" t="str">
        <f t="shared" si="3"/>
        <v/>
      </c>
      <c r="X148" s="24" t="str">
        <f t="shared" si="4"/>
        <v/>
      </c>
    </row>
    <row r="149" ht="14.25" customHeight="1">
      <c r="A149" s="28">
        <f>HYPERLINK("https://app.hubspot.com/contacts/8748051/record/0-1/156331708984", 156331708984)</f>
        <v>156331708984</v>
      </c>
      <c r="B149" s="24" t="s">
        <v>3530</v>
      </c>
      <c r="C149" s="26">
        <v>45918.20515046296</v>
      </c>
      <c r="D149" s="26"/>
      <c r="E149" s="28" t="s">
        <v>738</v>
      </c>
      <c r="F149" s="24"/>
      <c r="G149" s="35">
        <v>45968.0</v>
      </c>
      <c r="H149" s="35">
        <v>45975.0</v>
      </c>
      <c r="I149" s="35">
        <v>45975.0</v>
      </c>
      <c r="J149" s="24" t="s">
        <v>3531</v>
      </c>
      <c r="K149" s="24" t="s">
        <v>155</v>
      </c>
      <c r="L149" s="24"/>
      <c r="M149" s="28">
        <f>HYPERLINK("https://app.hubspot.com/contacts/8748051/record/0-2/8816890039", 8816890039)</f>
        <v>8816890039</v>
      </c>
      <c r="N149" s="24" t="s">
        <v>737</v>
      </c>
      <c r="O149" s="33">
        <f>HYPERLINK("https://app.hubspot.com/contacts/8748051/record/0-3/43873250321", 43873250321)</f>
        <v>43873250321</v>
      </c>
      <c r="P149" s="24" t="s">
        <v>735</v>
      </c>
      <c r="Q149" s="24" t="s">
        <v>149</v>
      </c>
      <c r="R149" s="24">
        <v>50000.0</v>
      </c>
      <c r="S149" s="24" t="b">
        <v>1</v>
      </c>
      <c r="T149" s="34" t="str">
        <f t="shared" ref="T149:V149" si="151">IF(G149&lt;&gt;"","Yes","")</f>
        <v>Yes</v>
      </c>
      <c r="U149" s="34" t="str">
        <f t="shared" si="151"/>
        <v>Yes</v>
      </c>
      <c r="V149" s="34" t="str">
        <f t="shared" si="151"/>
        <v>Yes</v>
      </c>
      <c r="W149" s="34" t="str">
        <f t="shared" si="3"/>
        <v/>
      </c>
      <c r="X149" s="24" t="str">
        <f t="shared" si="4"/>
        <v>Yes</v>
      </c>
    </row>
    <row r="150" ht="14.25" customHeight="1">
      <c r="A150" s="28">
        <f>HYPERLINK("https://app.hubspot.com/contacts/8748051/record/0-1/156045796740", 156045796740)</f>
        <v>156045796740</v>
      </c>
      <c r="B150" s="24" t="s">
        <v>3532</v>
      </c>
      <c r="C150" s="26">
        <v>45917.1446875</v>
      </c>
      <c r="D150" s="26"/>
      <c r="E150" s="28" t="s">
        <v>748</v>
      </c>
      <c r="F150" s="24"/>
      <c r="G150" s="35">
        <v>45917.0</v>
      </c>
      <c r="H150" s="35">
        <v>45923.0</v>
      </c>
      <c r="I150" s="35"/>
      <c r="J150" s="24" t="s">
        <v>3533</v>
      </c>
      <c r="K150" s="24" t="s">
        <v>155</v>
      </c>
      <c r="L150" s="24"/>
      <c r="M150" s="28">
        <f>HYPERLINK("https://app.hubspot.com/contacts/8748051/record/0-2/20925995561", 20925995561)</f>
        <v>20925995561</v>
      </c>
      <c r="N150" s="24" t="s">
        <v>747</v>
      </c>
      <c r="O150" s="33">
        <f>HYPERLINK("https://app.hubspot.com/contacts/8748051/record/0-3/43853328764", 43853328764)</f>
        <v>43853328764</v>
      </c>
      <c r="P150" s="24" t="s">
        <v>746</v>
      </c>
      <c r="Q150" s="24" t="s">
        <v>73</v>
      </c>
      <c r="R150" s="24">
        <v>14000.0</v>
      </c>
      <c r="S150" s="24"/>
      <c r="T150" s="34" t="str">
        <f t="shared" ref="T150:V150" si="152">IF(G150&lt;&gt;"","Yes","")</f>
        <v>Yes</v>
      </c>
      <c r="U150" s="34" t="str">
        <f t="shared" si="152"/>
        <v>Yes</v>
      </c>
      <c r="V150" s="34" t="str">
        <f t="shared" si="152"/>
        <v/>
      </c>
      <c r="W150" s="34" t="str">
        <f t="shared" si="3"/>
        <v/>
      </c>
      <c r="X150" s="24" t="str">
        <f t="shared" si="4"/>
        <v/>
      </c>
    </row>
    <row r="151" ht="14.25" customHeight="1">
      <c r="A151" s="28">
        <f>HYPERLINK("https://app.hubspot.com/contacts/8748051/record/0-1/155444872842", 155444872842)</f>
        <v>155444872842</v>
      </c>
      <c r="B151" s="24" t="s">
        <v>3534</v>
      </c>
      <c r="C151" s="26">
        <v>45915.34508101852</v>
      </c>
      <c r="D151" s="26"/>
      <c r="E151" s="28" t="s">
        <v>3535</v>
      </c>
      <c r="F151" s="24" t="s">
        <v>3304</v>
      </c>
      <c r="G151" s="35"/>
      <c r="H151" s="35"/>
      <c r="I151" s="35"/>
      <c r="J151" s="24" t="s">
        <v>3536</v>
      </c>
      <c r="K151" s="24"/>
      <c r="L151" s="24"/>
      <c r="M151" s="28">
        <f>HYPERLINK("https://app.hubspot.com/contacts/8748051/record/0-2/39424808991", 39424808991)</f>
        <v>39424808991</v>
      </c>
      <c r="N151" s="24" t="s">
        <v>3537</v>
      </c>
      <c r="O151" s="34"/>
      <c r="P151" s="24"/>
      <c r="Q151" s="24"/>
      <c r="R151" s="24"/>
      <c r="S151" s="24"/>
      <c r="T151" s="34" t="str">
        <f t="shared" ref="T151:V151" si="153">IF(G151&lt;&gt;"","Yes","")</f>
        <v/>
      </c>
      <c r="U151" s="34" t="str">
        <f t="shared" si="153"/>
        <v/>
      </c>
      <c r="V151" s="34" t="str">
        <f t="shared" si="153"/>
        <v/>
      </c>
      <c r="W151" s="34" t="str">
        <f t="shared" si="3"/>
        <v/>
      </c>
      <c r="X151" s="24" t="str">
        <f t="shared" si="4"/>
        <v/>
      </c>
    </row>
    <row r="152" ht="14.25" customHeight="1">
      <c r="A152" s="28">
        <f>HYPERLINK("https://app.hubspot.com/contacts/8748051/record/0-1/155369192012", 155369192012)</f>
        <v>155369192012</v>
      </c>
      <c r="B152" s="24" t="s">
        <v>3538</v>
      </c>
      <c r="C152" s="26">
        <v>45915.20866898148</v>
      </c>
      <c r="D152" s="26"/>
      <c r="E152" s="28" t="s">
        <v>751</v>
      </c>
      <c r="F152" s="24"/>
      <c r="G152" s="35">
        <v>45915.0</v>
      </c>
      <c r="H152" s="35">
        <v>45929.0</v>
      </c>
      <c r="I152" s="35"/>
      <c r="J152" s="24" t="s">
        <v>3254</v>
      </c>
      <c r="K152" s="24" t="s">
        <v>3239</v>
      </c>
      <c r="L152" s="24"/>
      <c r="M152" s="28">
        <f>HYPERLINK("https://app.hubspot.com/contacts/8748051/record/0-2/9238305910", 9238305910)</f>
        <v>9238305910</v>
      </c>
      <c r="N152" s="24" t="s">
        <v>750</v>
      </c>
      <c r="O152" s="33">
        <f>HYPERLINK("https://app.hubspot.com/contacts/8748051/record/0-3/43719652211", 43719652211)</f>
        <v>43719652211</v>
      </c>
      <c r="P152" s="24" t="s">
        <v>749</v>
      </c>
      <c r="Q152" s="24" t="s">
        <v>73</v>
      </c>
      <c r="R152" s="24">
        <v>21500.0</v>
      </c>
      <c r="S152" s="24"/>
      <c r="T152" s="34" t="str">
        <f t="shared" ref="T152:V152" si="154">IF(G152&lt;&gt;"","Yes","")</f>
        <v>Yes</v>
      </c>
      <c r="U152" s="34" t="str">
        <f t="shared" si="154"/>
        <v>Yes</v>
      </c>
      <c r="V152" s="34" t="str">
        <f t="shared" si="154"/>
        <v/>
      </c>
      <c r="W152" s="34" t="str">
        <f t="shared" si="3"/>
        <v/>
      </c>
      <c r="X152" s="24" t="str">
        <f t="shared" si="4"/>
        <v/>
      </c>
    </row>
    <row r="153" ht="14.25" customHeight="1">
      <c r="A153" s="28">
        <f>HYPERLINK("https://app.hubspot.com/contacts/8748051/record/0-1/155050041688", 155050041688)</f>
        <v>155050041688</v>
      </c>
      <c r="B153" s="24" t="s">
        <v>3539</v>
      </c>
      <c r="C153" s="26">
        <v>45913.454375</v>
      </c>
      <c r="D153" s="26"/>
      <c r="E153" s="28" t="s">
        <v>3540</v>
      </c>
      <c r="F153" s="24" t="s">
        <v>3304</v>
      </c>
      <c r="G153" s="35"/>
      <c r="H153" s="35"/>
      <c r="I153" s="35"/>
      <c r="J153" s="24" t="s">
        <v>3541</v>
      </c>
      <c r="K153" s="24"/>
      <c r="L153" s="24"/>
      <c r="M153" s="28">
        <f>HYPERLINK("https://app.hubspot.com/contacts/8748051/record/0-2/39424909605", 39424909605)</f>
        <v>39424909605</v>
      </c>
      <c r="N153" s="24" t="s">
        <v>3542</v>
      </c>
      <c r="O153" s="34"/>
      <c r="P153" s="24"/>
      <c r="Q153" s="24"/>
      <c r="R153" s="24"/>
      <c r="S153" s="24"/>
      <c r="T153" s="34" t="str">
        <f t="shared" ref="T153:V153" si="155">IF(G153&lt;&gt;"","Yes","")</f>
        <v/>
      </c>
      <c r="U153" s="34" t="str">
        <f t="shared" si="155"/>
        <v/>
      </c>
      <c r="V153" s="34" t="str">
        <f t="shared" si="155"/>
        <v/>
      </c>
      <c r="W153" s="34" t="str">
        <f t="shared" si="3"/>
        <v/>
      </c>
      <c r="X153" s="24" t="str">
        <f t="shared" si="4"/>
        <v/>
      </c>
    </row>
    <row r="154" ht="14.25" customHeight="1">
      <c r="A154" s="28">
        <f>HYPERLINK("https://app.hubspot.com/contacts/8748051/record/0-1/154672233006", 154672233006)</f>
        <v>154672233006</v>
      </c>
      <c r="B154" s="24" t="s">
        <v>3543</v>
      </c>
      <c r="C154" s="26">
        <v>45911.85873842592</v>
      </c>
      <c r="D154" s="26"/>
      <c r="E154" s="28" t="s">
        <v>758</v>
      </c>
      <c r="F154" s="24"/>
      <c r="G154" s="35">
        <v>45912.0</v>
      </c>
      <c r="H154" s="35">
        <v>45917.0</v>
      </c>
      <c r="I154" s="35">
        <v>45917.0</v>
      </c>
      <c r="J154" s="24" t="s">
        <v>3544</v>
      </c>
      <c r="K154" s="24" t="s">
        <v>155</v>
      </c>
      <c r="L154" s="24"/>
      <c r="M154" s="28">
        <f>HYPERLINK("https://app.hubspot.com/contacts/8748051/record/0-2/39354506623", 39354506623)</f>
        <v>39354506623</v>
      </c>
      <c r="N154" s="24" t="s">
        <v>757</v>
      </c>
      <c r="O154" s="33">
        <f>HYPERLINK("https://app.hubspot.com/contacts/8748051/record/0-3/43640783017", 43640783017)</f>
        <v>43640783017</v>
      </c>
      <c r="P154" s="24" t="s">
        <v>755</v>
      </c>
      <c r="Q154" s="24" t="s">
        <v>92</v>
      </c>
      <c r="R154" s="24">
        <v>10000.0</v>
      </c>
      <c r="S154" s="24" t="b">
        <v>1</v>
      </c>
      <c r="T154" s="34" t="str">
        <f t="shared" ref="T154:V154" si="156">IF(G154&lt;&gt;"","Yes","")</f>
        <v>Yes</v>
      </c>
      <c r="U154" s="34" t="str">
        <f t="shared" si="156"/>
        <v>Yes</v>
      </c>
      <c r="V154" s="34" t="str">
        <f t="shared" si="156"/>
        <v>Yes</v>
      </c>
      <c r="W154" s="34" t="str">
        <f t="shared" si="3"/>
        <v>Yes</v>
      </c>
      <c r="X154" s="24" t="str">
        <f t="shared" si="4"/>
        <v/>
      </c>
    </row>
    <row r="155" ht="14.25" customHeight="1">
      <c r="A155" s="28">
        <f>HYPERLINK("https://app.hubspot.com/contacts/8748051/record/0-1/154651092054", 154651092054)</f>
        <v>154651092054</v>
      </c>
      <c r="B155" s="24" t="s">
        <v>3545</v>
      </c>
      <c r="C155" s="26">
        <v>45911.78224537037</v>
      </c>
      <c r="D155" s="26"/>
      <c r="E155" s="28" t="s">
        <v>754</v>
      </c>
      <c r="F155" s="26"/>
      <c r="G155" s="35">
        <v>45912.0</v>
      </c>
      <c r="H155" s="35">
        <v>45916.0</v>
      </c>
      <c r="I155" s="35">
        <v>45916.0</v>
      </c>
      <c r="J155" s="24" t="s">
        <v>3546</v>
      </c>
      <c r="K155" s="24" t="s">
        <v>3237</v>
      </c>
      <c r="L155" s="24"/>
      <c r="M155" s="28">
        <f>HYPERLINK("https://app.hubspot.com/contacts/8748051/record/0-2/9238323308", 9238323308)</f>
        <v>9238323308</v>
      </c>
      <c r="N155" s="24" t="s">
        <v>753</v>
      </c>
      <c r="O155" s="28">
        <f>HYPERLINK("https://app.hubspot.com/contacts/8748051/record/0-3/43653756229", 43653756229)</f>
        <v>43653756229</v>
      </c>
      <c r="P155" s="24" t="s">
        <v>752</v>
      </c>
      <c r="Q155" s="24" t="s">
        <v>127</v>
      </c>
      <c r="R155" s="24">
        <v>22000.0</v>
      </c>
      <c r="S155" s="24" t="b">
        <v>1</v>
      </c>
      <c r="T155" s="34" t="str">
        <f t="shared" ref="T155:V155" si="157">IF(G155&lt;&gt;"","Yes","")</f>
        <v>Yes</v>
      </c>
      <c r="U155" s="34" t="str">
        <f t="shared" si="157"/>
        <v>Yes</v>
      </c>
      <c r="V155" s="34" t="str">
        <f t="shared" si="157"/>
        <v>Yes</v>
      </c>
      <c r="W155" s="34" t="str">
        <f t="shared" si="3"/>
        <v/>
      </c>
      <c r="X155" s="24" t="str">
        <f t="shared" si="4"/>
        <v/>
      </c>
    </row>
    <row r="156" ht="14.25" customHeight="1">
      <c r="A156" s="28">
        <f>HYPERLINK("https://app.hubspot.com/contacts/8748051/record/0-1/158484378208", 158484378208)</f>
        <v>158484378208</v>
      </c>
      <c r="B156" s="24" t="s">
        <v>3547</v>
      </c>
      <c r="C156" s="26">
        <v>45910.553125</v>
      </c>
      <c r="D156" s="26"/>
      <c r="E156" s="28" t="s">
        <v>1419</v>
      </c>
      <c r="F156" s="24"/>
      <c r="G156" s="35">
        <v>45910.0</v>
      </c>
      <c r="H156" s="35"/>
      <c r="I156" s="35"/>
      <c r="J156" s="24" t="s">
        <v>3308</v>
      </c>
      <c r="K156" s="24" t="s">
        <v>3239</v>
      </c>
      <c r="L156" s="24" t="s">
        <v>3548</v>
      </c>
      <c r="M156" s="28">
        <f>HYPERLINK("https://app.hubspot.com/contacts/8748051/record/0-2/15759773545", 15759773545)</f>
        <v>15759773545</v>
      </c>
      <c r="N156" s="24" t="s">
        <v>1418</v>
      </c>
      <c r="O156" s="34"/>
      <c r="P156" s="24"/>
      <c r="Q156" s="24"/>
      <c r="R156" s="24"/>
      <c r="S156" s="24"/>
      <c r="T156" s="34" t="str">
        <f t="shared" ref="T156:V156" si="158">IF(G156&lt;&gt;"","Yes","")</f>
        <v>Yes</v>
      </c>
      <c r="U156" s="34" t="str">
        <f t="shared" si="158"/>
        <v/>
      </c>
      <c r="V156" s="34" t="str">
        <f t="shared" si="158"/>
        <v/>
      </c>
      <c r="W156" s="34" t="str">
        <f t="shared" si="3"/>
        <v/>
      </c>
      <c r="X156" s="24" t="str">
        <f t="shared" si="4"/>
        <v/>
      </c>
    </row>
    <row r="157" ht="14.25" customHeight="1">
      <c r="A157" s="28">
        <f>HYPERLINK("https://app.hubspot.com/contacts/8748051/record/0-1/153821714866", 153821714866)</f>
        <v>153821714866</v>
      </c>
      <c r="B157" s="24" t="s">
        <v>3549</v>
      </c>
      <c r="C157" s="26">
        <v>45908.65300925926</v>
      </c>
      <c r="D157" s="26"/>
      <c r="E157" s="28" t="s">
        <v>763</v>
      </c>
      <c r="F157" s="26"/>
      <c r="G157" s="35">
        <v>45909.0</v>
      </c>
      <c r="H157" s="35">
        <v>45913.0</v>
      </c>
      <c r="I157" s="35">
        <v>45913.0</v>
      </c>
      <c r="J157" s="24" t="s">
        <v>3550</v>
      </c>
      <c r="K157" s="24" t="s">
        <v>155</v>
      </c>
      <c r="L157" s="24" t="s">
        <v>3249</v>
      </c>
      <c r="M157" s="28">
        <f>HYPERLINK("https://app.hubspot.com/contacts/8748051/record/0-2/42295909988", 42295909988)</f>
        <v>42295909988</v>
      </c>
      <c r="N157" s="24" t="s">
        <v>762</v>
      </c>
      <c r="O157" s="28">
        <f>HYPERLINK("https://app.hubspot.com/contacts/8748051/record/0-3/43504578083", 43504578083)</f>
        <v>43504578083</v>
      </c>
      <c r="P157" s="24" t="s">
        <v>760</v>
      </c>
      <c r="Q157" s="24" t="s">
        <v>92</v>
      </c>
      <c r="R157" s="24">
        <v>17500.0</v>
      </c>
      <c r="S157" s="24" t="b">
        <v>1</v>
      </c>
      <c r="T157" s="34" t="str">
        <f t="shared" ref="T157:V157" si="159">IF(G157&lt;&gt;"","Yes","")</f>
        <v>Yes</v>
      </c>
      <c r="U157" s="34" t="str">
        <f t="shared" si="159"/>
        <v>Yes</v>
      </c>
      <c r="V157" s="34" t="str">
        <f t="shared" si="159"/>
        <v>Yes</v>
      </c>
      <c r="W157" s="34" t="str">
        <f t="shared" si="3"/>
        <v>Yes</v>
      </c>
      <c r="X157" s="24" t="str">
        <f t="shared" si="4"/>
        <v/>
      </c>
    </row>
    <row r="158" ht="14.25" customHeight="1">
      <c r="A158" s="28">
        <f>HYPERLINK("https://app.hubspot.com/contacts/8748051/record/0-1/2837103", 2837103)</f>
        <v>2837103</v>
      </c>
      <c r="B158" s="24" t="s">
        <v>3551</v>
      </c>
      <c r="C158" s="26">
        <v>45905.83975694444</v>
      </c>
      <c r="D158" s="26"/>
      <c r="E158" s="28" t="s">
        <v>767</v>
      </c>
      <c r="F158" s="24"/>
      <c r="G158" s="35">
        <v>45906.0</v>
      </c>
      <c r="H158" s="35">
        <v>45910.0</v>
      </c>
      <c r="I158" s="35">
        <v>45910.0</v>
      </c>
      <c r="J158" s="24" t="s">
        <v>3552</v>
      </c>
      <c r="K158" s="24" t="s">
        <v>155</v>
      </c>
      <c r="L158" s="24" t="s">
        <v>3553</v>
      </c>
      <c r="M158" s="28">
        <f>HYPERLINK("https://app.hubspot.com/contacts/8748051/record/0-2/10198110024", 10198110024)</f>
        <v>10198110024</v>
      </c>
      <c r="N158" s="24" t="s">
        <v>766</v>
      </c>
      <c r="O158" s="33">
        <f>HYPERLINK("https://app.hubspot.com/contacts/8748051/record/0-3/43407730434", 43407730434)</f>
        <v>43407730434</v>
      </c>
      <c r="P158" s="24" t="s">
        <v>765</v>
      </c>
      <c r="Q158" s="24" t="s">
        <v>127</v>
      </c>
      <c r="R158" s="24">
        <v>20000.0</v>
      </c>
      <c r="S158" s="24" t="b">
        <v>1</v>
      </c>
      <c r="T158" s="34" t="str">
        <f t="shared" ref="T158:V158" si="160">IF(G158&lt;&gt;"","Yes","")</f>
        <v>Yes</v>
      </c>
      <c r="U158" s="34" t="str">
        <f t="shared" si="160"/>
        <v>Yes</v>
      </c>
      <c r="V158" s="34" t="str">
        <f t="shared" si="160"/>
        <v>Yes</v>
      </c>
      <c r="W158" s="34" t="str">
        <f t="shared" si="3"/>
        <v/>
      </c>
      <c r="X158" s="24" t="str">
        <f t="shared" si="4"/>
        <v/>
      </c>
    </row>
    <row r="159" ht="14.25" customHeight="1">
      <c r="A159" s="28">
        <f>HYPERLINK("https://app.hubspot.com/contacts/8748051/record/0-1/153210789806", 153210789806)</f>
        <v>153210789806</v>
      </c>
      <c r="B159" s="24" t="s">
        <v>3554</v>
      </c>
      <c r="C159" s="26">
        <v>45905.60092592592</v>
      </c>
      <c r="D159" s="26"/>
      <c r="E159" s="28" t="s">
        <v>774</v>
      </c>
      <c r="F159" s="24"/>
      <c r="G159" s="35">
        <v>45905.0</v>
      </c>
      <c r="H159" s="35">
        <v>45909.0</v>
      </c>
      <c r="I159" s="35">
        <v>45909.0</v>
      </c>
      <c r="J159" s="24" t="s">
        <v>3555</v>
      </c>
      <c r="K159" s="24" t="s">
        <v>155</v>
      </c>
      <c r="L159" s="24"/>
      <c r="M159" s="28">
        <f>HYPERLINK("https://app.hubspot.com/contacts/8748051/record/0-2/39182619295", 39182619295)</f>
        <v>39182619295</v>
      </c>
      <c r="N159" s="24" t="s">
        <v>773</v>
      </c>
      <c r="O159" s="33">
        <f>HYPERLINK("https://app.hubspot.com/contacts/8748051/record/0-3/43418805132", 43418805132)</f>
        <v>43418805132</v>
      </c>
      <c r="P159" s="24" t="s">
        <v>771</v>
      </c>
      <c r="Q159" s="24" t="s">
        <v>127</v>
      </c>
      <c r="R159" s="24">
        <v>22500.0</v>
      </c>
      <c r="S159" s="24" t="b">
        <v>1</v>
      </c>
      <c r="T159" s="34" t="str">
        <f t="shared" ref="T159:V159" si="161">IF(G159&lt;&gt;"","Yes","")</f>
        <v>Yes</v>
      </c>
      <c r="U159" s="34" t="str">
        <f t="shared" si="161"/>
        <v>Yes</v>
      </c>
      <c r="V159" s="34" t="str">
        <f t="shared" si="161"/>
        <v>Yes</v>
      </c>
      <c r="W159" s="34" t="str">
        <f t="shared" si="3"/>
        <v/>
      </c>
      <c r="X159" s="24" t="str">
        <f t="shared" si="4"/>
        <v/>
      </c>
    </row>
    <row r="160" ht="14.25" customHeight="1">
      <c r="A160" s="28">
        <f>HYPERLINK("https://app.hubspot.com/contacts/8748051/record/0-1/152825829377", 152825829377)</f>
        <v>152825829377</v>
      </c>
      <c r="B160" s="24" t="s">
        <v>3556</v>
      </c>
      <c r="C160" s="26">
        <v>45904.17768518518</v>
      </c>
      <c r="D160" s="26"/>
      <c r="E160" s="28" t="s">
        <v>781</v>
      </c>
      <c r="F160" s="24"/>
      <c r="G160" s="35">
        <v>45904.0</v>
      </c>
      <c r="H160" s="35">
        <v>45912.0</v>
      </c>
      <c r="I160" s="35">
        <v>45912.0</v>
      </c>
      <c r="J160" s="24" t="s">
        <v>3557</v>
      </c>
      <c r="K160" s="24" t="s">
        <v>155</v>
      </c>
      <c r="L160" s="34"/>
      <c r="M160" s="28">
        <f>HYPERLINK("https://app.hubspot.com/contacts/8748051/record/0-2/19176728720", 19176728720)</f>
        <v>19176728720</v>
      </c>
      <c r="N160" s="24" t="s">
        <v>780</v>
      </c>
      <c r="O160" s="33">
        <f>HYPERLINK("https://app.hubspot.com/contacts/8748051/record/0-3/43827765270", 43827765270)</f>
        <v>43827765270</v>
      </c>
      <c r="P160" s="24" t="s">
        <v>779</v>
      </c>
      <c r="Q160" s="24" t="s">
        <v>127</v>
      </c>
      <c r="R160" s="24">
        <v>25000.0</v>
      </c>
      <c r="S160" s="24" t="b">
        <v>1</v>
      </c>
      <c r="T160" s="34" t="str">
        <f t="shared" ref="T160:V160" si="162">IF(G160&lt;&gt;"","Yes","")</f>
        <v>Yes</v>
      </c>
      <c r="U160" s="34" t="str">
        <f t="shared" si="162"/>
        <v>Yes</v>
      </c>
      <c r="V160" s="34" t="str">
        <f t="shared" si="162"/>
        <v>Yes</v>
      </c>
      <c r="W160" s="34" t="str">
        <f t="shared" si="3"/>
        <v/>
      </c>
      <c r="X160" s="24" t="str">
        <f t="shared" si="4"/>
        <v/>
      </c>
    </row>
    <row r="161" ht="14.25" customHeight="1">
      <c r="A161" s="28">
        <f>HYPERLINK("https://app.hubspot.com/contacts/8748051/record/0-1/152449620505", 152449620505)</f>
        <v>152449620505</v>
      </c>
      <c r="B161" s="24" t="s">
        <v>3558</v>
      </c>
      <c r="C161" s="26">
        <v>45902.68738425926</v>
      </c>
      <c r="D161" s="26"/>
      <c r="E161" s="28" t="s">
        <v>784</v>
      </c>
      <c r="F161" s="24"/>
      <c r="G161" s="35">
        <v>45903.0</v>
      </c>
      <c r="H161" s="35">
        <v>45903.0</v>
      </c>
      <c r="I161" s="35"/>
      <c r="J161" s="24" t="s">
        <v>3559</v>
      </c>
      <c r="K161" s="24" t="s">
        <v>3237</v>
      </c>
      <c r="L161" s="34"/>
      <c r="M161" s="28">
        <f>HYPERLINK("https://app.hubspot.com/contacts/8748051/record/0-2/9238251109", 9238251109)</f>
        <v>9238251109</v>
      </c>
      <c r="N161" s="24" t="s">
        <v>783</v>
      </c>
      <c r="O161" s="33">
        <f>HYPERLINK("https://app.hubspot.com/contacts/8748051/record/0-3/43284912510", 43284912510)</f>
        <v>43284912510</v>
      </c>
      <c r="P161" s="24" t="s">
        <v>782</v>
      </c>
      <c r="Q161" s="24" t="s">
        <v>127</v>
      </c>
      <c r="R161" s="24">
        <v>19500.0</v>
      </c>
      <c r="S161" s="24"/>
      <c r="T161" s="34" t="str">
        <f t="shared" ref="T161:V161" si="163">IF(G161&lt;&gt;"","Yes","")</f>
        <v>Yes</v>
      </c>
      <c r="U161" s="34" t="str">
        <f t="shared" si="163"/>
        <v>Yes</v>
      </c>
      <c r="V161" s="34" t="str">
        <f t="shared" si="163"/>
        <v/>
      </c>
      <c r="W161" s="34" t="str">
        <f t="shared" si="3"/>
        <v/>
      </c>
      <c r="X161" s="24" t="str">
        <f t="shared" si="4"/>
        <v/>
      </c>
    </row>
    <row r="162" ht="14.25" customHeight="1">
      <c r="A162" s="28">
        <f>HYPERLINK("https://app.hubspot.com/contacts/8748051/record/0-1/152352762116", 152352762116)</f>
        <v>152352762116</v>
      </c>
      <c r="B162" s="24" t="s">
        <v>3560</v>
      </c>
      <c r="C162" s="26">
        <v>45902.41957175926</v>
      </c>
      <c r="D162" s="26"/>
      <c r="E162" s="28" t="s">
        <v>787</v>
      </c>
      <c r="F162" s="24"/>
      <c r="G162" s="35">
        <v>45902.0</v>
      </c>
      <c r="H162" s="35">
        <v>45909.0</v>
      </c>
      <c r="I162" s="35">
        <v>45909.0</v>
      </c>
      <c r="J162" s="24" t="s">
        <v>3561</v>
      </c>
      <c r="K162" s="24" t="s">
        <v>3252</v>
      </c>
      <c r="L162" s="34"/>
      <c r="M162" s="28">
        <f>HYPERLINK("https://app.hubspot.com/contacts/8748051/record/0-2/7165296547", 7165296547)</f>
        <v>7165296547</v>
      </c>
      <c r="N162" s="24" t="s">
        <v>786</v>
      </c>
      <c r="O162" s="33">
        <f>HYPERLINK("https://app.hubspot.com/contacts/8748051/record/0-3/43270768272", 43270768272)</f>
        <v>43270768272</v>
      </c>
      <c r="P162" s="24" t="s">
        <v>785</v>
      </c>
      <c r="Q162" s="24" t="s">
        <v>327</v>
      </c>
      <c r="R162" s="24">
        <v>33000.0</v>
      </c>
      <c r="S162" s="24" t="b">
        <v>1</v>
      </c>
      <c r="T162" s="34" t="str">
        <f t="shared" ref="T162:V162" si="164">IF(G162&lt;&gt;"","Yes","")</f>
        <v>Yes</v>
      </c>
      <c r="U162" s="34" t="str">
        <f t="shared" si="164"/>
        <v>Yes</v>
      </c>
      <c r="V162" s="34" t="str">
        <f t="shared" si="164"/>
        <v>Yes</v>
      </c>
      <c r="W162" s="34" t="str">
        <f t="shared" si="3"/>
        <v/>
      </c>
      <c r="X162" s="24" t="str">
        <f t="shared" si="4"/>
        <v/>
      </c>
    </row>
    <row r="163" ht="14.25" customHeight="1">
      <c r="A163" s="28">
        <f>HYPERLINK("https://app.hubspot.com/contacts/8748051/record/0-1/152202476067", 152202476067)</f>
        <v>152202476067</v>
      </c>
      <c r="B163" s="24" t="s">
        <v>3562</v>
      </c>
      <c r="C163" s="26">
        <v>45901.79659722222</v>
      </c>
      <c r="D163" s="26"/>
      <c r="E163" s="28" t="s">
        <v>770</v>
      </c>
      <c r="F163" s="24"/>
      <c r="G163" s="35">
        <v>45902.0</v>
      </c>
      <c r="H163" s="35">
        <v>45902.0</v>
      </c>
      <c r="I163" s="35">
        <v>45902.0</v>
      </c>
      <c r="J163" s="24" t="s">
        <v>3563</v>
      </c>
      <c r="K163" s="24" t="s">
        <v>3239</v>
      </c>
      <c r="L163" s="34"/>
      <c r="M163" s="28">
        <f>HYPERLINK("https://app.hubspot.com/contacts/8748051/record/0-2/9238380169", 9238380169)</f>
        <v>9238380169</v>
      </c>
      <c r="N163" s="24" t="s">
        <v>769</v>
      </c>
      <c r="O163" s="33">
        <f>HYPERLINK("https://app.hubspot.com/contacts/8748051/record/0-3/43374235921", 43374235921)</f>
        <v>43374235921</v>
      </c>
      <c r="P163" s="24" t="s">
        <v>768</v>
      </c>
      <c r="Q163" s="24" t="s">
        <v>73</v>
      </c>
      <c r="R163" s="24">
        <v>0.0</v>
      </c>
      <c r="S163" s="24"/>
      <c r="T163" s="34" t="str">
        <f t="shared" ref="T163:V163" si="165">IF(G163&lt;&gt;"","Yes","")</f>
        <v>Yes</v>
      </c>
      <c r="U163" s="34" t="str">
        <f t="shared" si="165"/>
        <v>Yes</v>
      </c>
      <c r="V163" s="34" t="str">
        <f t="shared" si="165"/>
        <v>Yes</v>
      </c>
      <c r="W163" s="34" t="str">
        <f t="shared" si="3"/>
        <v/>
      </c>
      <c r="X163" s="24" t="str">
        <f t="shared" si="4"/>
        <v/>
      </c>
    </row>
    <row r="164" ht="14.25" customHeight="1">
      <c r="A164" s="28">
        <f>HYPERLINK("https://app.hubspot.com/contacts/8748051/record/0-1/151780847130", 151780847130)</f>
        <v>151780847130</v>
      </c>
      <c r="B164" s="24" t="s">
        <v>3564</v>
      </c>
      <c r="C164" s="26">
        <v>45900.168587962966</v>
      </c>
      <c r="D164" s="26"/>
      <c r="E164" s="28" t="s">
        <v>3565</v>
      </c>
      <c r="F164" s="24"/>
      <c r="G164" s="35">
        <v>45900.0</v>
      </c>
      <c r="H164" s="35"/>
      <c r="I164" s="35"/>
      <c r="J164" s="24" t="s">
        <v>3254</v>
      </c>
      <c r="K164" s="24" t="s">
        <v>3239</v>
      </c>
      <c r="L164" s="34"/>
      <c r="M164" s="28">
        <f>HYPERLINK("https://app.hubspot.com/contacts/8748051/record/0-2/38953881706", 38953881706)</f>
        <v>38953881706</v>
      </c>
      <c r="N164" s="24" t="s">
        <v>3566</v>
      </c>
      <c r="O164" s="34"/>
      <c r="P164" s="24"/>
      <c r="Q164" s="24"/>
      <c r="R164" s="24"/>
      <c r="S164" s="24"/>
      <c r="T164" s="34" t="str">
        <f t="shared" ref="T164:V164" si="166">IF(G164&lt;&gt;"","Yes","")</f>
        <v>Yes</v>
      </c>
      <c r="U164" s="34" t="str">
        <f t="shared" si="166"/>
        <v/>
      </c>
      <c r="V164" s="34" t="str">
        <f t="shared" si="166"/>
        <v/>
      </c>
      <c r="W164" s="34" t="str">
        <f t="shared" si="3"/>
        <v/>
      </c>
      <c r="X164" s="24" t="str">
        <f t="shared" si="4"/>
        <v/>
      </c>
    </row>
    <row r="165" ht="14.25" customHeight="1">
      <c r="A165" s="28">
        <f>HYPERLINK("https://app.hubspot.com/contacts/8748051/record/0-1/150302491267", 150302491267)</f>
        <v>150302491267</v>
      </c>
      <c r="B165" s="24" t="s">
        <v>3567</v>
      </c>
      <c r="C165" s="26">
        <v>45897.64540509259</v>
      </c>
      <c r="D165" s="26"/>
      <c r="E165" s="28" t="s">
        <v>794</v>
      </c>
      <c r="F165" s="24"/>
      <c r="G165" s="35">
        <v>45898.0</v>
      </c>
      <c r="H165" s="35">
        <v>45916.0</v>
      </c>
      <c r="I165" s="35">
        <v>45916.0</v>
      </c>
      <c r="J165" s="24" t="s">
        <v>3568</v>
      </c>
      <c r="K165" s="24" t="s">
        <v>155</v>
      </c>
      <c r="L165" s="24"/>
      <c r="M165" s="28">
        <f>HYPERLINK("https://app.hubspot.com/contacts/8748051/record/0-2/9238334353", 9238334353)</f>
        <v>9238334353</v>
      </c>
      <c r="N165" s="24" t="s">
        <v>793</v>
      </c>
      <c r="O165" s="28">
        <f>HYPERLINK("https://app.hubspot.com/contacts/8748051/record/0-3/43739681136", 43739681136)</f>
        <v>43739681136</v>
      </c>
      <c r="P165" s="24" t="s">
        <v>792</v>
      </c>
      <c r="Q165" s="24" t="s">
        <v>51</v>
      </c>
      <c r="R165" s="24">
        <v>100000.0</v>
      </c>
      <c r="S165" s="24" t="b">
        <v>1</v>
      </c>
      <c r="T165" s="34" t="str">
        <f t="shared" ref="T165:V165" si="167">IF(G165&lt;&gt;"","Yes","")</f>
        <v>Yes</v>
      </c>
      <c r="U165" s="34" t="str">
        <f t="shared" si="167"/>
        <v>Yes</v>
      </c>
      <c r="V165" s="34" t="str">
        <f t="shared" si="167"/>
        <v>Yes</v>
      </c>
      <c r="W165" s="34" t="str">
        <f t="shared" si="3"/>
        <v/>
      </c>
      <c r="X165" s="24" t="str">
        <f t="shared" si="4"/>
        <v/>
      </c>
    </row>
    <row r="166" ht="14.25" customHeight="1">
      <c r="A166" s="28">
        <f>HYPERLINK("https://app.hubspot.com/contacts/8748051/record/0-1/161382153774", 161382153774)</f>
        <v>161382153774</v>
      </c>
      <c r="B166" s="24" t="s">
        <v>3569</v>
      </c>
      <c r="C166" s="26">
        <v>45897.43111111111</v>
      </c>
      <c r="D166" s="26"/>
      <c r="E166" s="28" t="s">
        <v>3570</v>
      </c>
      <c r="F166" s="24" t="s">
        <v>3304</v>
      </c>
      <c r="G166" s="35"/>
      <c r="H166" s="35"/>
      <c r="I166" s="35"/>
      <c r="J166" s="24" t="s">
        <v>3571</v>
      </c>
      <c r="K166" s="24"/>
      <c r="L166" s="24"/>
      <c r="M166" s="28">
        <f>HYPERLINK("https://app.hubspot.com/contacts/8748051/record/0-2/38834456403", 38834456403)</f>
        <v>38834456403</v>
      </c>
      <c r="N166" s="24" t="s">
        <v>3572</v>
      </c>
      <c r="O166" s="34"/>
      <c r="P166" s="24"/>
      <c r="Q166" s="24"/>
      <c r="R166" s="24"/>
      <c r="S166" s="24"/>
      <c r="T166" s="34" t="str">
        <f t="shared" ref="T166:V166" si="168">IF(G166&lt;&gt;"","Yes","")</f>
        <v/>
      </c>
      <c r="U166" s="34" t="str">
        <f t="shared" si="168"/>
        <v/>
      </c>
      <c r="V166" s="34" t="str">
        <f t="shared" si="168"/>
        <v/>
      </c>
      <c r="W166" s="34" t="str">
        <f t="shared" si="3"/>
        <v/>
      </c>
      <c r="X166" s="24" t="str">
        <f t="shared" si="4"/>
        <v/>
      </c>
    </row>
    <row r="167" ht="14.25" customHeight="1">
      <c r="A167" s="28">
        <f>HYPERLINK("https://app.hubspot.com/contacts/8748051/record/0-1/150452158047", 150452158047)</f>
        <v>150452158047</v>
      </c>
      <c r="B167" s="24" t="s">
        <v>3573</v>
      </c>
      <c r="C167" s="26">
        <v>45895.10420138889</v>
      </c>
      <c r="D167" s="26"/>
      <c r="E167" s="28" t="s">
        <v>696</v>
      </c>
      <c r="F167" s="24"/>
      <c r="G167" s="35">
        <v>45929.0</v>
      </c>
      <c r="H167" s="35">
        <v>45912.0</v>
      </c>
      <c r="I167" s="35"/>
      <c r="J167" s="24" t="s">
        <v>3574</v>
      </c>
      <c r="K167" s="24" t="s">
        <v>155</v>
      </c>
      <c r="L167" s="24"/>
      <c r="M167" s="28">
        <f>HYPERLINK("https://app.hubspot.com/contacts/8748051/record/0-2/38710820780", 38710820780)</f>
        <v>38710820780</v>
      </c>
      <c r="N167" s="24" t="s">
        <v>695</v>
      </c>
      <c r="O167" s="33">
        <f>HYPERLINK("https://app.hubspot.com/contacts/8748051/record/0-3/44491129487", 44491129487)</f>
        <v>44491129487</v>
      </c>
      <c r="P167" s="24" t="s">
        <v>694</v>
      </c>
      <c r="Q167" s="24" t="s">
        <v>73</v>
      </c>
      <c r="R167" s="24">
        <v>4500.0</v>
      </c>
      <c r="S167" s="24"/>
      <c r="T167" s="34" t="str">
        <f t="shared" ref="T167:V167" si="169">IF(G167&lt;&gt;"","Yes","")</f>
        <v>Yes</v>
      </c>
      <c r="U167" s="34" t="str">
        <f t="shared" si="169"/>
        <v>Yes</v>
      </c>
      <c r="V167" s="34" t="str">
        <f t="shared" si="169"/>
        <v/>
      </c>
      <c r="W167" s="34" t="str">
        <f t="shared" si="3"/>
        <v/>
      </c>
      <c r="X167" s="24" t="str">
        <f t="shared" si="4"/>
        <v/>
      </c>
    </row>
    <row r="168" ht="14.25" customHeight="1">
      <c r="A168" s="28">
        <f>HYPERLINK("https://app.hubspot.com/contacts/8748051/record/0-1/150219579279", 150219579279)</f>
        <v>150219579279</v>
      </c>
      <c r="B168" s="24" t="s">
        <v>3575</v>
      </c>
      <c r="C168" s="26">
        <v>45894.409479166665</v>
      </c>
      <c r="D168" s="26"/>
      <c r="E168" s="28" t="s">
        <v>804</v>
      </c>
      <c r="F168" s="24"/>
      <c r="G168" s="35">
        <v>45894.0</v>
      </c>
      <c r="H168" s="35">
        <v>45897.0</v>
      </c>
      <c r="I168" s="35">
        <v>45897.0</v>
      </c>
      <c r="J168" s="24" t="s">
        <v>3576</v>
      </c>
      <c r="K168" s="24" t="s">
        <v>3239</v>
      </c>
      <c r="L168" s="24"/>
      <c r="M168" s="28">
        <f>HYPERLINK("https://app.hubspot.com/contacts/8748051/record/0-2/38631159351", 38631159351)</f>
        <v>38631159351</v>
      </c>
      <c r="N168" s="24" t="s">
        <v>803</v>
      </c>
      <c r="O168" s="33">
        <f>HYPERLINK("https://app.hubspot.com/contacts/8748051/record/0-3/42826036055", 42826036055)</f>
        <v>42826036055</v>
      </c>
      <c r="P168" s="24" t="s">
        <v>802</v>
      </c>
      <c r="Q168" s="24" t="s">
        <v>73</v>
      </c>
      <c r="R168" s="24">
        <v>0.0</v>
      </c>
      <c r="S168" s="24"/>
      <c r="T168" s="34" t="str">
        <f t="shared" ref="T168:V168" si="170">IF(G168&lt;&gt;"","Yes","")</f>
        <v>Yes</v>
      </c>
      <c r="U168" s="34" t="str">
        <f t="shared" si="170"/>
        <v>Yes</v>
      </c>
      <c r="V168" s="34" t="str">
        <f t="shared" si="170"/>
        <v>Yes</v>
      </c>
      <c r="W168" s="34" t="str">
        <f t="shared" si="3"/>
        <v/>
      </c>
      <c r="X168" s="24" t="str">
        <f t="shared" si="4"/>
        <v/>
      </c>
    </row>
    <row r="169" ht="14.25" customHeight="1">
      <c r="A169" s="28">
        <f>HYPERLINK("https://app.hubspot.com/contacts/8748051/record/0-1/149558915846", 149558915846)</f>
        <v>149558915846</v>
      </c>
      <c r="B169" s="24" t="s">
        <v>3577</v>
      </c>
      <c r="C169" s="26">
        <v>45894.37935185185</v>
      </c>
      <c r="D169" s="26"/>
      <c r="E169" s="28" t="s">
        <v>979</v>
      </c>
      <c r="F169" s="24"/>
      <c r="G169" s="35">
        <v>45894.0</v>
      </c>
      <c r="H169" s="35">
        <v>45897.0</v>
      </c>
      <c r="I169" s="35">
        <v>45897.0</v>
      </c>
      <c r="J169" s="24" t="s">
        <v>3578</v>
      </c>
      <c r="K169" s="24" t="s">
        <v>155</v>
      </c>
      <c r="L169" s="34"/>
      <c r="M169" s="28">
        <f>HYPERLINK("https://app.hubspot.com/contacts/8748051/record/0-2/9016989477", 9016989477)</f>
        <v>9016989477</v>
      </c>
      <c r="N169" s="24" t="s">
        <v>978</v>
      </c>
      <c r="O169" s="33">
        <f>HYPERLINK("https://app.hubspot.com/contacts/8748051/record/0-3/39019144489", 39019144489)</f>
        <v>39019144489</v>
      </c>
      <c r="P169" s="24" t="s">
        <v>977</v>
      </c>
      <c r="Q169" s="24" t="s">
        <v>127</v>
      </c>
      <c r="R169" s="24">
        <v>70000.0</v>
      </c>
      <c r="S169" s="24" t="b">
        <v>1</v>
      </c>
      <c r="T169" s="34" t="str">
        <f t="shared" ref="T169:V169" si="171">IF(G169&lt;&gt;"","Yes","")</f>
        <v>Yes</v>
      </c>
      <c r="U169" s="34" t="str">
        <f t="shared" si="171"/>
        <v>Yes</v>
      </c>
      <c r="V169" s="34" t="str">
        <f t="shared" si="171"/>
        <v>Yes</v>
      </c>
      <c r="W169" s="34" t="str">
        <f t="shared" si="3"/>
        <v/>
      </c>
      <c r="X169" s="24" t="str">
        <f t="shared" si="4"/>
        <v/>
      </c>
    </row>
    <row r="170" ht="14.25" customHeight="1">
      <c r="A170" s="28">
        <f>HYPERLINK("https://app.hubspot.com/contacts/8748051/record/0-1/149878472282", 149878472282)</f>
        <v>149878472282</v>
      </c>
      <c r="B170" s="24" t="s">
        <v>3579</v>
      </c>
      <c r="C170" s="26">
        <v>45892.66454861111</v>
      </c>
      <c r="D170" s="26"/>
      <c r="E170" s="28" t="s">
        <v>3580</v>
      </c>
      <c r="F170" s="24" t="s">
        <v>3581</v>
      </c>
      <c r="G170" s="35"/>
      <c r="H170" s="35"/>
      <c r="I170" s="35"/>
      <c r="J170" s="24" t="s">
        <v>3582</v>
      </c>
      <c r="K170" s="24"/>
      <c r="L170" s="24"/>
      <c r="M170" s="28">
        <f>HYPERLINK("https://app.hubspot.com/contacts/8748051/record/0-2/38593981865", 38593981865)</f>
        <v>38593981865</v>
      </c>
      <c r="N170" s="24" t="s">
        <v>3583</v>
      </c>
      <c r="O170" s="34"/>
      <c r="P170" s="24"/>
      <c r="Q170" s="24"/>
      <c r="R170" s="24"/>
      <c r="S170" s="24"/>
      <c r="T170" s="34" t="str">
        <f t="shared" ref="T170:V170" si="172">IF(G170&lt;&gt;"","Yes","")</f>
        <v/>
      </c>
      <c r="U170" s="34" t="str">
        <f t="shared" si="172"/>
        <v/>
      </c>
      <c r="V170" s="34" t="str">
        <f t="shared" si="172"/>
        <v/>
      </c>
      <c r="W170" s="34" t="str">
        <f t="shared" si="3"/>
        <v/>
      </c>
      <c r="X170" s="24" t="str">
        <f t="shared" si="4"/>
        <v/>
      </c>
    </row>
    <row r="171" ht="14.25" customHeight="1">
      <c r="A171" s="28">
        <f>HYPERLINK("https://app.hubspot.com/contacts/8748051/record/0-1/149316396209", 149316396209)</f>
        <v>149316396209</v>
      </c>
      <c r="B171" s="24" t="s">
        <v>3584</v>
      </c>
      <c r="C171" s="26">
        <v>45890.70214120371</v>
      </c>
      <c r="D171" s="26"/>
      <c r="E171" s="28" t="s">
        <v>807</v>
      </c>
      <c r="F171" s="24"/>
      <c r="G171" s="35">
        <v>45891.0</v>
      </c>
      <c r="H171" s="35">
        <v>45895.0</v>
      </c>
      <c r="I171" s="35">
        <v>45895.0</v>
      </c>
      <c r="J171" s="24" t="s">
        <v>3263</v>
      </c>
      <c r="K171" s="24" t="s">
        <v>155</v>
      </c>
      <c r="L171" s="24" t="s">
        <v>3249</v>
      </c>
      <c r="M171" s="28">
        <f>HYPERLINK("https://app.hubspot.com/contacts/8748051/record/0-2/38512368226", 38512368226)</f>
        <v>38512368226</v>
      </c>
      <c r="N171" s="24" t="s">
        <v>806</v>
      </c>
      <c r="O171" s="28">
        <f>HYPERLINK("https://app.hubspot.com/contacts/8748051/record/0-3/42666529807", 42666529807)</f>
        <v>42666529807</v>
      </c>
      <c r="P171" s="24" t="s">
        <v>805</v>
      </c>
      <c r="Q171" s="24" t="s">
        <v>127</v>
      </c>
      <c r="R171" s="24">
        <v>12000.0</v>
      </c>
      <c r="S171" s="24" t="b">
        <v>1</v>
      </c>
      <c r="T171" s="34" t="str">
        <f t="shared" ref="T171:V171" si="173">IF(G171&lt;&gt;"","Yes","")</f>
        <v>Yes</v>
      </c>
      <c r="U171" s="34" t="str">
        <f t="shared" si="173"/>
        <v>Yes</v>
      </c>
      <c r="V171" s="34" t="str">
        <f t="shared" si="173"/>
        <v>Yes</v>
      </c>
      <c r="W171" s="34" t="str">
        <f t="shared" si="3"/>
        <v/>
      </c>
      <c r="X171" s="24" t="str">
        <f t="shared" si="4"/>
        <v/>
      </c>
    </row>
    <row r="172" ht="14.25" customHeight="1">
      <c r="A172" s="28">
        <f>HYPERLINK("https://app.hubspot.com/contacts/8748051/record/0-1/149272793461", 149272793461)</f>
        <v>149272793461</v>
      </c>
      <c r="B172" s="24" t="s">
        <v>3585</v>
      </c>
      <c r="C172" s="26">
        <v>45890.53480324074</v>
      </c>
      <c r="D172" s="26"/>
      <c r="E172" s="28" t="s">
        <v>810</v>
      </c>
      <c r="F172" s="24"/>
      <c r="G172" s="35">
        <v>45890.0</v>
      </c>
      <c r="H172" s="35">
        <v>45891.0</v>
      </c>
      <c r="I172" s="35">
        <v>45891.0</v>
      </c>
      <c r="J172" s="24" t="s">
        <v>3586</v>
      </c>
      <c r="K172" s="24" t="s">
        <v>155</v>
      </c>
      <c r="L172" s="24" t="s">
        <v>3249</v>
      </c>
      <c r="M172" s="28">
        <f>HYPERLINK("https://app.hubspot.com/contacts/8748051/record/0-2/17692579406", 17692579406)</f>
        <v>17692579406</v>
      </c>
      <c r="N172" s="24" t="s">
        <v>809</v>
      </c>
      <c r="O172" s="28">
        <f>HYPERLINK("https://app.hubspot.com/contacts/8748051/record/0-3/42667854228", 42667854228)</f>
        <v>42667854228</v>
      </c>
      <c r="P172" s="24" t="s">
        <v>808</v>
      </c>
      <c r="Q172" s="24" t="s">
        <v>127</v>
      </c>
      <c r="R172" s="24">
        <v>25000.0</v>
      </c>
      <c r="S172" s="24" t="b">
        <v>1</v>
      </c>
      <c r="T172" s="34" t="str">
        <f t="shared" ref="T172:V172" si="174">IF(G172&lt;&gt;"","Yes","")</f>
        <v>Yes</v>
      </c>
      <c r="U172" s="34" t="str">
        <f t="shared" si="174"/>
        <v>Yes</v>
      </c>
      <c r="V172" s="34" t="str">
        <f t="shared" si="174"/>
        <v>Yes</v>
      </c>
      <c r="W172" s="34" t="str">
        <f t="shared" si="3"/>
        <v/>
      </c>
      <c r="X172" s="24" t="str">
        <f t="shared" si="4"/>
        <v/>
      </c>
    </row>
    <row r="173" ht="14.25" customHeight="1">
      <c r="A173" s="28">
        <f>HYPERLINK("https://app.hubspot.com/contacts/8748051/record/0-1/148449730447", 148449730447)</f>
        <v>148449730447</v>
      </c>
      <c r="B173" s="24" t="s">
        <v>3587</v>
      </c>
      <c r="C173" s="26">
        <v>45888.317824074074</v>
      </c>
      <c r="D173" s="26"/>
      <c r="E173" s="28" t="s">
        <v>813</v>
      </c>
      <c r="F173" s="26"/>
      <c r="G173" s="35">
        <v>45888.0</v>
      </c>
      <c r="H173" s="35">
        <v>45892.0</v>
      </c>
      <c r="I173" s="35"/>
      <c r="J173" s="24" t="s">
        <v>3588</v>
      </c>
      <c r="K173" s="24" t="s">
        <v>3239</v>
      </c>
      <c r="L173" s="24"/>
      <c r="M173" s="28">
        <f>HYPERLINK("https://app.hubspot.com/contacts/8748051/record/0-2/38273694055", 38273694055)</f>
        <v>38273694055</v>
      </c>
      <c r="N173" s="24" t="s">
        <v>812</v>
      </c>
      <c r="O173" s="33">
        <f>HYPERLINK("https://app.hubspot.com/contacts/8748051/record/0-3/42405388646", 42405388646)</f>
        <v>42405388646</v>
      </c>
      <c r="P173" s="24" t="s">
        <v>811</v>
      </c>
      <c r="Q173" s="24" t="s">
        <v>73</v>
      </c>
      <c r="R173" s="24">
        <v>0.0</v>
      </c>
      <c r="S173" s="24"/>
      <c r="T173" s="34" t="str">
        <f t="shared" ref="T173:V173" si="175">IF(G173&lt;&gt;"","Yes","")</f>
        <v>Yes</v>
      </c>
      <c r="U173" s="34" t="str">
        <f t="shared" si="175"/>
        <v>Yes</v>
      </c>
      <c r="V173" s="34" t="str">
        <f t="shared" si="175"/>
        <v/>
      </c>
      <c r="W173" s="34" t="str">
        <f t="shared" si="3"/>
        <v/>
      </c>
      <c r="X173" s="24" t="str">
        <f t="shared" si="4"/>
        <v/>
      </c>
    </row>
    <row r="174" ht="14.25" customHeight="1">
      <c r="A174" s="28">
        <f>HYPERLINK("https://app.hubspot.com/contacts/8748051/record/0-1/148384404317", 148384404317)</f>
        <v>148384404317</v>
      </c>
      <c r="B174" s="24" t="s">
        <v>3589</v>
      </c>
      <c r="C174" s="26">
        <v>45888.1646412037</v>
      </c>
      <c r="D174" s="26"/>
      <c r="E174" s="28" t="s">
        <v>816</v>
      </c>
      <c r="F174" s="24"/>
      <c r="G174" s="35">
        <v>45888.0</v>
      </c>
      <c r="H174" s="35">
        <v>45895.0</v>
      </c>
      <c r="I174" s="35">
        <v>45895.0</v>
      </c>
      <c r="J174" s="24" t="s">
        <v>3254</v>
      </c>
      <c r="K174" s="24" t="s">
        <v>3239</v>
      </c>
      <c r="L174" s="24"/>
      <c r="M174" s="28">
        <f>HYPERLINK("https://app.hubspot.com/contacts/8748051/record/0-2/38275083582", 38275083582)</f>
        <v>38275083582</v>
      </c>
      <c r="N174" s="24" t="s">
        <v>815</v>
      </c>
      <c r="O174" s="33">
        <f>HYPERLINK("https://app.hubspot.com/contacts/8748051/record/0-3/42411650572", 42411650572)</f>
        <v>42411650572</v>
      </c>
      <c r="P174" s="24" t="s">
        <v>814</v>
      </c>
      <c r="Q174" s="24" t="s">
        <v>127</v>
      </c>
      <c r="R174" s="24">
        <v>40000.0</v>
      </c>
      <c r="S174" s="24" t="b">
        <v>1</v>
      </c>
      <c r="T174" s="34" t="str">
        <f t="shared" ref="T174:V174" si="176">IF(G174&lt;&gt;"","Yes","")</f>
        <v>Yes</v>
      </c>
      <c r="U174" s="34" t="str">
        <f t="shared" si="176"/>
        <v>Yes</v>
      </c>
      <c r="V174" s="34" t="str">
        <f t="shared" si="176"/>
        <v>Yes</v>
      </c>
      <c r="W174" s="34" t="str">
        <f t="shared" si="3"/>
        <v/>
      </c>
      <c r="X174" s="24" t="str">
        <f t="shared" si="4"/>
        <v/>
      </c>
    </row>
    <row r="175" ht="14.25" customHeight="1">
      <c r="A175" s="28">
        <f>HYPERLINK("https://app.hubspot.com/contacts/8748051/record/0-1/148363160694", 148363160694)</f>
        <v>148363160694</v>
      </c>
      <c r="B175" s="24" t="s">
        <v>3590</v>
      </c>
      <c r="C175" s="26">
        <v>45888.064421296294</v>
      </c>
      <c r="D175" s="26"/>
      <c r="E175" s="28" t="s">
        <v>819</v>
      </c>
      <c r="F175" s="24"/>
      <c r="G175" s="35">
        <v>45888.0</v>
      </c>
      <c r="H175" s="35">
        <v>45895.0</v>
      </c>
      <c r="I175" s="35"/>
      <c r="J175" s="24" t="s">
        <v>3385</v>
      </c>
      <c r="K175" s="24" t="s">
        <v>3239</v>
      </c>
      <c r="L175" s="34"/>
      <c r="M175" s="28">
        <f>HYPERLINK("https://app.hubspot.com/contacts/8748051/record/0-2/19176587355", 19176587355)</f>
        <v>19176587355</v>
      </c>
      <c r="N175" s="24" t="s">
        <v>818</v>
      </c>
      <c r="O175" s="28">
        <f>HYPERLINK("https://app.hubspot.com/contacts/8748051/record/0-3/42428405315", 42428405315)</f>
        <v>42428405315</v>
      </c>
      <c r="P175" s="24" t="s">
        <v>817</v>
      </c>
      <c r="Q175" s="24" t="s">
        <v>73</v>
      </c>
      <c r="R175" s="24">
        <v>13000.0</v>
      </c>
      <c r="S175" s="24"/>
      <c r="T175" s="34" t="str">
        <f t="shared" ref="T175:V175" si="177">IF(G175&lt;&gt;"","Yes","")</f>
        <v>Yes</v>
      </c>
      <c r="U175" s="34" t="str">
        <f t="shared" si="177"/>
        <v>Yes</v>
      </c>
      <c r="V175" s="34" t="str">
        <f t="shared" si="177"/>
        <v/>
      </c>
      <c r="W175" s="34" t="str">
        <f t="shared" si="3"/>
        <v/>
      </c>
      <c r="X175" s="24" t="str">
        <f t="shared" si="4"/>
        <v/>
      </c>
    </row>
    <row r="176" ht="14.25" customHeight="1">
      <c r="A176" s="28">
        <f>HYPERLINK("https://app.hubspot.com/contacts/8748051/record/0-1/128870803350", 128870803350)</f>
        <v>128870803350</v>
      </c>
      <c r="B176" s="24" t="s">
        <v>3591</v>
      </c>
      <c r="C176" s="26">
        <v>45884.20856481481</v>
      </c>
      <c r="D176" s="26"/>
      <c r="E176" s="28" t="s">
        <v>3592</v>
      </c>
      <c r="F176" s="24" t="s">
        <v>3593</v>
      </c>
      <c r="G176" s="35"/>
      <c r="H176" s="35"/>
      <c r="I176" s="35"/>
      <c r="J176" s="24" t="s">
        <v>3594</v>
      </c>
      <c r="K176" s="24"/>
      <c r="L176" s="24"/>
      <c r="M176" s="28">
        <f>HYPERLINK("https://app.hubspot.com/contacts/8748051/record/0-2/34993090688", 34993090688)</f>
        <v>34993090688</v>
      </c>
      <c r="N176" s="28" t="s">
        <v>3592</v>
      </c>
      <c r="O176" s="34"/>
      <c r="P176" s="24"/>
      <c r="Q176" s="24"/>
      <c r="R176" s="24"/>
      <c r="S176" s="24"/>
      <c r="T176" s="34" t="str">
        <f t="shared" ref="T176:V176" si="178">IF(G176&lt;&gt;"","Yes","")</f>
        <v/>
      </c>
      <c r="U176" s="34" t="str">
        <f t="shared" si="178"/>
        <v/>
      </c>
      <c r="V176" s="34" t="str">
        <f t="shared" si="178"/>
        <v/>
      </c>
      <c r="W176" s="34" t="str">
        <f t="shared" si="3"/>
        <v/>
      </c>
      <c r="X176" s="24" t="str">
        <f t="shared" si="4"/>
        <v/>
      </c>
    </row>
    <row r="177" ht="14.25" customHeight="1">
      <c r="A177" s="28">
        <f>HYPERLINK("https://app.hubspot.com/contacts/8748051/record/0-1/146455071638", 146455071638)</f>
        <v>146455071638</v>
      </c>
      <c r="B177" s="24" t="s">
        <v>3595</v>
      </c>
      <c r="C177" s="26">
        <v>45882.3774537037</v>
      </c>
      <c r="D177" s="26"/>
      <c r="E177" s="28" t="s">
        <v>801</v>
      </c>
      <c r="F177" s="24"/>
      <c r="G177" s="35">
        <v>45882.0</v>
      </c>
      <c r="H177" s="35">
        <v>45896.0</v>
      </c>
      <c r="I177" s="35">
        <v>45896.0</v>
      </c>
      <c r="J177" s="24" t="s">
        <v>3254</v>
      </c>
      <c r="K177" s="24" t="s">
        <v>3401</v>
      </c>
      <c r="L177" s="24"/>
      <c r="M177" s="28">
        <f>HYPERLINK("https://app.hubspot.com/contacts/8748051/record/0-2/7681111402", 7681111402)</f>
        <v>7681111402</v>
      </c>
      <c r="N177" s="24" t="s">
        <v>800</v>
      </c>
      <c r="O177" s="33">
        <f>HYPERLINK("https://app.hubspot.com/contacts/8748051/record/0-3/42847856979", 42847856979)</f>
        <v>42847856979</v>
      </c>
      <c r="P177" s="24" t="s">
        <v>799</v>
      </c>
      <c r="Q177" s="24" t="s">
        <v>73</v>
      </c>
      <c r="R177" s="24">
        <v>100000.0</v>
      </c>
      <c r="S177" s="24"/>
      <c r="T177" s="34" t="str">
        <f t="shared" ref="T177:V177" si="179">IF(G177&lt;&gt;"","Yes","")</f>
        <v>Yes</v>
      </c>
      <c r="U177" s="34" t="str">
        <f t="shared" si="179"/>
        <v>Yes</v>
      </c>
      <c r="V177" s="34" t="str">
        <f t="shared" si="179"/>
        <v>Yes</v>
      </c>
      <c r="W177" s="34" t="str">
        <f t="shared" si="3"/>
        <v/>
      </c>
      <c r="X177" s="24" t="str">
        <f t="shared" si="4"/>
        <v/>
      </c>
    </row>
    <row r="178" ht="14.25" customHeight="1">
      <c r="A178" s="28">
        <f>HYPERLINK("https://app.hubspot.com/contacts/8748051/record/0-1/149276016535", 149276016535)</f>
        <v>149276016535</v>
      </c>
      <c r="B178" s="24" t="s">
        <v>3596</v>
      </c>
      <c r="C178" s="26">
        <v>45881.00855324074</v>
      </c>
      <c r="D178" s="26"/>
      <c r="E178" s="28" t="s">
        <v>825</v>
      </c>
      <c r="F178" s="24"/>
      <c r="G178" s="35">
        <v>45881.0</v>
      </c>
      <c r="H178" s="35">
        <v>45882.0</v>
      </c>
      <c r="I178" s="35">
        <v>45882.0</v>
      </c>
      <c r="J178" s="24" t="s">
        <v>3357</v>
      </c>
      <c r="K178" s="24" t="s">
        <v>3237</v>
      </c>
      <c r="L178" s="34"/>
      <c r="M178" s="28">
        <f>HYPERLINK("https://app.hubspot.com/contacts/8748051/record/0-2/37664571821", 37664571821)</f>
        <v>37664571821</v>
      </c>
      <c r="N178" s="24" t="s">
        <v>824</v>
      </c>
      <c r="O178" s="28">
        <f>HYPERLINK("https://app.hubspot.com/contacts/8748051/record/0-3/41809982898", 41809982898)</f>
        <v>41809982898</v>
      </c>
      <c r="P178" s="24" t="s">
        <v>823</v>
      </c>
      <c r="Q178" s="24" t="s">
        <v>127</v>
      </c>
      <c r="R178" s="24">
        <v>25000.0</v>
      </c>
      <c r="S178" s="24" t="b">
        <v>1</v>
      </c>
      <c r="T178" s="34" t="str">
        <f t="shared" ref="T178:V178" si="180">IF(G178&lt;&gt;"","Yes","")</f>
        <v>Yes</v>
      </c>
      <c r="U178" s="34" t="str">
        <f t="shared" si="180"/>
        <v>Yes</v>
      </c>
      <c r="V178" s="34" t="str">
        <f t="shared" si="180"/>
        <v>Yes</v>
      </c>
      <c r="W178" s="34" t="str">
        <f t="shared" si="3"/>
        <v/>
      </c>
      <c r="X178" s="24" t="str">
        <f t="shared" si="4"/>
        <v/>
      </c>
    </row>
    <row r="179" ht="14.25" customHeight="1">
      <c r="A179" s="28">
        <f>HYPERLINK("https://app.hubspot.com/contacts/8748051/record/0-1/145790618452", 145790618452)</f>
        <v>145790618452</v>
      </c>
      <c r="B179" s="24" t="s">
        <v>3597</v>
      </c>
      <c r="C179" s="26">
        <v>45880.61585648148</v>
      </c>
      <c r="D179" s="26"/>
      <c r="E179" s="28" t="s">
        <v>829</v>
      </c>
      <c r="F179" s="24"/>
      <c r="G179" s="35">
        <v>45881.0</v>
      </c>
      <c r="H179" s="35">
        <v>45882.0</v>
      </c>
      <c r="I179" s="35">
        <v>45882.0</v>
      </c>
      <c r="J179" s="24" t="s">
        <v>3383</v>
      </c>
      <c r="K179" s="24" t="s">
        <v>3248</v>
      </c>
      <c r="L179" s="34"/>
      <c r="M179" s="28">
        <f>HYPERLINK("https://app.hubspot.com/contacts/8748051/record/0-2/6816553099", 6816553099)</f>
        <v>6816553099</v>
      </c>
      <c r="N179" s="24" t="s">
        <v>828</v>
      </c>
      <c r="O179" s="33">
        <f>HYPERLINK("https://app.hubspot.com/contacts/8748051/record/0-3/41785897769", 41785897769)</f>
        <v>41785897769</v>
      </c>
      <c r="P179" s="24" t="s">
        <v>826</v>
      </c>
      <c r="Q179" s="24" t="s">
        <v>149</v>
      </c>
      <c r="R179" s="24">
        <v>15000.0</v>
      </c>
      <c r="S179" s="24" t="b">
        <v>1</v>
      </c>
      <c r="T179" s="34" t="str">
        <f t="shared" ref="T179:V179" si="181">IF(G179&lt;&gt;"","Yes","")</f>
        <v>Yes</v>
      </c>
      <c r="U179" s="34" t="str">
        <f t="shared" si="181"/>
        <v>Yes</v>
      </c>
      <c r="V179" s="34" t="str">
        <f t="shared" si="181"/>
        <v>Yes</v>
      </c>
      <c r="W179" s="34" t="str">
        <f t="shared" si="3"/>
        <v/>
      </c>
      <c r="X179" s="24" t="str">
        <f t="shared" si="4"/>
        <v>Yes</v>
      </c>
    </row>
    <row r="180" ht="14.25" customHeight="1">
      <c r="A180" s="28">
        <f>HYPERLINK("https://app.hubspot.com/contacts/8748051/record/0-1/145793650000", 145793650000)</f>
        <v>145793650000</v>
      </c>
      <c r="B180" s="24" t="s">
        <v>3598</v>
      </c>
      <c r="C180" s="26">
        <v>45880.52951388889</v>
      </c>
      <c r="D180" s="26"/>
      <c r="E180" s="28" t="s">
        <v>822</v>
      </c>
      <c r="F180" s="24"/>
      <c r="G180" s="35">
        <v>45887.0</v>
      </c>
      <c r="H180" s="35">
        <v>45889.0</v>
      </c>
      <c r="I180" s="35">
        <v>45889.0</v>
      </c>
      <c r="J180" s="24" t="s">
        <v>3500</v>
      </c>
      <c r="K180" s="24" t="s">
        <v>3239</v>
      </c>
      <c r="L180" s="34"/>
      <c r="M180" s="28">
        <f>HYPERLINK("https://app.hubspot.com/contacts/8748051/record/0-2/20185415273", 20185415273)</f>
        <v>20185415273</v>
      </c>
      <c r="N180" s="24" t="s">
        <v>821</v>
      </c>
      <c r="O180" s="33">
        <f>HYPERLINK("https://app.hubspot.com/contacts/8748051/record/0-3/42374346529", 42374346529)</f>
        <v>42374346529</v>
      </c>
      <c r="P180" s="24" t="s">
        <v>820</v>
      </c>
      <c r="Q180" s="24" t="s">
        <v>127</v>
      </c>
      <c r="R180" s="24">
        <v>5000.0</v>
      </c>
      <c r="S180" s="24" t="b">
        <v>1</v>
      </c>
      <c r="T180" s="34" t="str">
        <f t="shared" ref="T180:V180" si="182">IF(G180&lt;&gt;"","Yes","")</f>
        <v>Yes</v>
      </c>
      <c r="U180" s="34" t="str">
        <f t="shared" si="182"/>
        <v>Yes</v>
      </c>
      <c r="V180" s="34" t="str">
        <f t="shared" si="182"/>
        <v>Yes</v>
      </c>
      <c r="W180" s="34" t="str">
        <f t="shared" si="3"/>
        <v/>
      </c>
      <c r="X180" s="24" t="str">
        <f t="shared" si="4"/>
        <v/>
      </c>
    </row>
    <row r="181" ht="14.25" customHeight="1">
      <c r="A181" s="28">
        <f>HYPERLINK("https://app.hubspot.com/contacts/8748051/record/0-1/145585334180", 145585334180)</f>
        <v>145585334180</v>
      </c>
      <c r="B181" s="24" t="s">
        <v>3599</v>
      </c>
      <c r="C181" s="26">
        <v>45880.148831018516</v>
      </c>
      <c r="D181" s="26"/>
      <c r="E181" s="28" t="s">
        <v>3600</v>
      </c>
      <c r="F181" s="24" t="s">
        <v>3304</v>
      </c>
      <c r="G181" s="35"/>
      <c r="H181" s="35"/>
      <c r="I181" s="35"/>
      <c r="J181" s="24" t="s">
        <v>3601</v>
      </c>
      <c r="K181" s="24"/>
      <c r="L181" s="24"/>
      <c r="M181" s="28">
        <f>HYPERLINK("https://app.hubspot.com/contacts/8748051/record/0-2/37537793674", 37537793674)</f>
        <v>37537793674</v>
      </c>
      <c r="N181" s="24" t="s">
        <v>3602</v>
      </c>
      <c r="O181" s="34"/>
      <c r="P181" s="24"/>
      <c r="Q181" s="24"/>
      <c r="R181" s="24"/>
      <c r="S181" s="24"/>
      <c r="T181" s="34" t="str">
        <f t="shared" ref="T181:V181" si="183">IF(G181&lt;&gt;"","Yes","")</f>
        <v/>
      </c>
      <c r="U181" s="34" t="str">
        <f t="shared" si="183"/>
        <v/>
      </c>
      <c r="V181" s="34" t="str">
        <f t="shared" si="183"/>
        <v/>
      </c>
      <c r="W181" s="34" t="str">
        <f t="shared" si="3"/>
        <v/>
      </c>
      <c r="X181" s="24" t="str">
        <f t="shared" si="4"/>
        <v/>
      </c>
    </row>
    <row r="182" ht="14.25" customHeight="1">
      <c r="A182" s="28">
        <f>HYPERLINK("https://app.hubspot.com/contacts/8748051/record/0-1/145073380358", 145073380358)</f>
        <v>145073380358</v>
      </c>
      <c r="B182" s="24" t="s">
        <v>3603</v>
      </c>
      <c r="C182" s="26">
        <v>45877.45233796296</v>
      </c>
      <c r="D182" s="26"/>
      <c r="E182" s="28" t="s">
        <v>832</v>
      </c>
      <c r="F182" s="24"/>
      <c r="G182" s="35">
        <v>45877.0</v>
      </c>
      <c r="H182" s="35">
        <v>45878.0</v>
      </c>
      <c r="I182" s="35">
        <v>45878.0</v>
      </c>
      <c r="J182" s="24" t="s">
        <v>3604</v>
      </c>
      <c r="K182" s="24" t="s">
        <v>3239</v>
      </c>
      <c r="L182" s="24" t="s">
        <v>3605</v>
      </c>
      <c r="M182" s="28">
        <f>HYPERLINK("https://app.hubspot.com/contacts/8748051/record/0-2/19176719448", 19176719448)</f>
        <v>19176719448</v>
      </c>
      <c r="N182" s="24" t="s">
        <v>831</v>
      </c>
      <c r="O182" s="33">
        <f>HYPERLINK("https://app.hubspot.com/contacts/8748051/record/0-3/41578503009", 41578503009)</f>
        <v>41578503009</v>
      </c>
      <c r="P182" s="24" t="s">
        <v>830</v>
      </c>
      <c r="Q182" s="24" t="s">
        <v>127</v>
      </c>
      <c r="R182" s="24">
        <v>25000.0</v>
      </c>
      <c r="S182" s="24" t="b">
        <v>1</v>
      </c>
      <c r="T182" s="34" t="str">
        <f t="shared" ref="T182:V182" si="184">IF(G182&lt;&gt;"","Yes","")</f>
        <v>Yes</v>
      </c>
      <c r="U182" s="34" t="str">
        <f t="shared" si="184"/>
        <v>Yes</v>
      </c>
      <c r="V182" s="34" t="str">
        <f t="shared" si="184"/>
        <v>Yes</v>
      </c>
      <c r="W182" s="34" t="str">
        <f t="shared" si="3"/>
        <v/>
      </c>
      <c r="X182" s="24" t="str">
        <f t="shared" si="4"/>
        <v/>
      </c>
    </row>
    <row r="183" ht="14.25" customHeight="1">
      <c r="A183" s="28">
        <f>HYPERLINK("https://app.hubspot.com/contacts/8748051/record/0-1/144846307349", 144846307349)</f>
        <v>144846307349</v>
      </c>
      <c r="B183" s="24" t="s">
        <v>3606</v>
      </c>
      <c r="C183" s="26">
        <v>45876.475335648145</v>
      </c>
      <c r="D183" s="26"/>
      <c r="E183" s="28" t="s">
        <v>3607</v>
      </c>
      <c r="F183" s="24" t="s">
        <v>3304</v>
      </c>
      <c r="G183" s="35"/>
      <c r="H183" s="35"/>
      <c r="I183" s="35"/>
      <c r="J183" s="24" t="s">
        <v>3608</v>
      </c>
      <c r="K183" s="24"/>
      <c r="L183" s="24"/>
      <c r="M183" s="28">
        <f>HYPERLINK("https://app.hubspot.com/contacts/8748051/record/0-2/37410096268", 37410096268)</f>
        <v>37410096268</v>
      </c>
      <c r="N183" s="24" t="s">
        <v>3609</v>
      </c>
      <c r="O183" s="34"/>
      <c r="P183" s="24"/>
      <c r="Q183" s="24"/>
      <c r="R183" s="24"/>
      <c r="S183" s="24"/>
      <c r="T183" s="34" t="str">
        <f t="shared" ref="T183:V183" si="185">IF(G183&lt;&gt;"","Yes","")</f>
        <v/>
      </c>
      <c r="U183" s="34" t="str">
        <f t="shared" si="185"/>
        <v/>
      </c>
      <c r="V183" s="34" t="str">
        <f t="shared" si="185"/>
        <v/>
      </c>
      <c r="W183" s="34" t="str">
        <f t="shared" si="3"/>
        <v/>
      </c>
      <c r="X183" s="24" t="str">
        <f t="shared" si="4"/>
        <v/>
      </c>
    </row>
    <row r="184" ht="14.25" customHeight="1">
      <c r="A184" s="28">
        <f>HYPERLINK("https://app.hubspot.com/contacts/8748051/record/0-1/144543051911", 144543051911)</f>
        <v>144543051911</v>
      </c>
      <c r="B184" s="24" t="s">
        <v>3610</v>
      </c>
      <c r="C184" s="26">
        <v>45875.408900462964</v>
      </c>
      <c r="D184" s="26"/>
      <c r="E184" s="28" t="s">
        <v>3611</v>
      </c>
      <c r="F184" s="24" t="s">
        <v>3304</v>
      </c>
      <c r="G184" s="35"/>
      <c r="H184" s="35"/>
      <c r="I184" s="35"/>
      <c r="J184" s="24" t="s">
        <v>3612</v>
      </c>
      <c r="K184" s="24"/>
      <c r="L184" s="34"/>
      <c r="M184" s="28">
        <f>HYPERLINK("https://app.hubspot.com/contacts/8748051/record/0-2/37363828022", 37363828022)</f>
        <v>37363828022</v>
      </c>
      <c r="N184" s="24" t="s">
        <v>3613</v>
      </c>
      <c r="O184" s="34"/>
      <c r="P184" s="24"/>
      <c r="Q184" s="24"/>
      <c r="R184" s="24"/>
      <c r="S184" s="24"/>
      <c r="T184" s="34" t="str">
        <f t="shared" ref="T184:V184" si="186">IF(G184&lt;&gt;"","Yes","")</f>
        <v/>
      </c>
      <c r="U184" s="34" t="str">
        <f t="shared" si="186"/>
        <v/>
      </c>
      <c r="V184" s="34" t="str">
        <f t="shared" si="186"/>
        <v/>
      </c>
      <c r="W184" s="34" t="str">
        <f t="shared" si="3"/>
        <v/>
      </c>
      <c r="X184" s="24" t="str">
        <f t="shared" si="4"/>
        <v/>
      </c>
    </row>
    <row r="185" ht="14.25" customHeight="1">
      <c r="A185" s="28">
        <f>HYPERLINK("https://app.hubspot.com/contacts/8748051/record/0-1/143806445103", 143806445103)</f>
        <v>143806445103</v>
      </c>
      <c r="B185" s="24" t="s">
        <v>3614</v>
      </c>
      <c r="C185" s="26">
        <v>45873.285949074074</v>
      </c>
      <c r="D185" s="26"/>
      <c r="E185" s="24" t="s">
        <v>1357</v>
      </c>
      <c r="F185" s="24" t="s">
        <v>3304</v>
      </c>
      <c r="G185" s="35"/>
      <c r="H185" s="35"/>
      <c r="I185" s="35"/>
      <c r="J185" s="24" t="s">
        <v>3615</v>
      </c>
      <c r="K185" s="24"/>
      <c r="L185" s="34"/>
      <c r="M185" s="33">
        <f>HYPERLINK("https://app.hubspot.com/contacts/8748051/record/0-2/28152532135", 28152532135)</f>
        <v>28152532135</v>
      </c>
      <c r="N185" s="24" t="s">
        <v>1356</v>
      </c>
      <c r="O185" s="34"/>
      <c r="P185" s="24"/>
      <c r="Q185" s="24"/>
      <c r="R185" s="24"/>
      <c r="S185" s="24"/>
      <c r="T185" s="34" t="str">
        <f t="shared" ref="T185:V185" si="187">IF(G185&lt;&gt;"","Yes","")</f>
        <v/>
      </c>
      <c r="U185" s="34" t="str">
        <f t="shared" si="187"/>
        <v/>
      </c>
      <c r="V185" s="34" t="str">
        <f t="shared" si="187"/>
        <v/>
      </c>
      <c r="W185" s="34" t="str">
        <f t="shared" si="3"/>
        <v/>
      </c>
      <c r="X185" s="24" t="str">
        <f t="shared" si="4"/>
        <v/>
      </c>
    </row>
    <row r="186" ht="14.25" customHeight="1">
      <c r="A186" s="28">
        <f>HYPERLINK("https://app.hubspot.com/contacts/8748051/record/0-1/143804596336", 143804596336)</f>
        <v>143804596336</v>
      </c>
      <c r="B186" s="24" t="s">
        <v>3616</v>
      </c>
      <c r="C186" s="26">
        <v>45873.27355324074</v>
      </c>
      <c r="D186" s="26"/>
      <c r="E186" s="28" t="s">
        <v>862</v>
      </c>
      <c r="F186" s="24"/>
      <c r="G186" s="35">
        <v>45873.0</v>
      </c>
      <c r="H186" s="35">
        <v>45877.0</v>
      </c>
      <c r="I186" s="35">
        <v>45877.0</v>
      </c>
      <c r="J186" s="24" t="s">
        <v>3617</v>
      </c>
      <c r="K186" s="24" t="s">
        <v>3239</v>
      </c>
      <c r="L186" s="34"/>
      <c r="M186" s="28">
        <f>HYPERLINK("https://app.hubspot.com/contacts/8748051/record/0-2/37196899503", 37196899503)</f>
        <v>37196899503</v>
      </c>
      <c r="N186" s="24" t="s">
        <v>861</v>
      </c>
      <c r="O186" s="33">
        <f>HYPERLINK("https://app.hubspot.com/contacts/8748051/record/0-3/41323418478", 41323418478)</f>
        <v>41323418478</v>
      </c>
      <c r="P186" s="24" t="s">
        <v>860</v>
      </c>
      <c r="Q186" s="24" t="s">
        <v>127</v>
      </c>
      <c r="R186" s="24">
        <v>2500.0</v>
      </c>
      <c r="S186" s="24" t="b">
        <v>1</v>
      </c>
      <c r="T186" s="34" t="str">
        <f t="shared" ref="T186:V186" si="188">IF(G186&lt;&gt;"","Yes","")</f>
        <v>Yes</v>
      </c>
      <c r="U186" s="34" t="str">
        <f t="shared" si="188"/>
        <v>Yes</v>
      </c>
      <c r="V186" s="34" t="str">
        <f t="shared" si="188"/>
        <v>Yes</v>
      </c>
      <c r="W186" s="34" t="str">
        <f t="shared" si="3"/>
        <v/>
      </c>
      <c r="X186" s="24" t="str">
        <f t="shared" si="4"/>
        <v/>
      </c>
    </row>
    <row r="187" ht="14.25" customHeight="1">
      <c r="A187" s="28">
        <f>HYPERLINK("https://app.hubspot.com/contacts/8748051/record/0-1/143270342232", 143270342232)</f>
        <v>143270342232</v>
      </c>
      <c r="B187" s="24" t="s">
        <v>3618</v>
      </c>
      <c r="C187" s="26">
        <v>45871.06140046296</v>
      </c>
      <c r="D187" s="26"/>
      <c r="E187" s="28" t="s">
        <v>3619</v>
      </c>
      <c r="F187" s="24"/>
      <c r="G187" s="35">
        <v>45871.0</v>
      </c>
      <c r="H187" s="35"/>
      <c r="I187" s="35"/>
      <c r="J187" s="24" t="s">
        <v>3620</v>
      </c>
      <c r="K187" s="24" t="s">
        <v>3239</v>
      </c>
      <c r="L187" s="34"/>
      <c r="M187" s="28">
        <f>HYPERLINK("https://app.hubspot.com/contacts/8748051/record/0-2/26381081622", 26381081622)</f>
        <v>26381081622</v>
      </c>
      <c r="N187" s="24" t="s">
        <v>3621</v>
      </c>
      <c r="O187" s="34"/>
      <c r="P187" s="24"/>
      <c r="Q187" s="24"/>
      <c r="R187" s="24"/>
      <c r="S187" s="24"/>
      <c r="T187" s="34" t="str">
        <f t="shared" ref="T187:V187" si="189">IF(G187&lt;&gt;"","Yes","")</f>
        <v>Yes</v>
      </c>
      <c r="U187" s="34" t="str">
        <f t="shared" si="189"/>
        <v/>
      </c>
      <c r="V187" s="34" t="str">
        <f t="shared" si="189"/>
        <v/>
      </c>
      <c r="W187" s="34" t="str">
        <f t="shared" si="3"/>
        <v/>
      </c>
      <c r="X187" s="24" t="str">
        <f t="shared" si="4"/>
        <v/>
      </c>
    </row>
    <row r="188" ht="14.25" customHeight="1">
      <c r="A188" s="28">
        <f>HYPERLINK("https://app.hubspot.com/contacts/8748051/record/0-1/137294871359", 137294871359)</f>
        <v>137294871359</v>
      </c>
      <c r="B188" s="24" t="s">
        <v>3622</v>
      </c>
      <c r="C188" s="26">
        <v>45870.24633101852</v>
      </c>
      <c r="D188" s="26"/>
      <c r="E188" s="28" t="s">
        <v>3623</v>
      </c>
      <c r="F188" s="24" t="s">
        <v>3304</v>
      </c>
      <c r="G188" s="35"/>
      <c r="H188" s="35"/>
      <c r="I188" s="35"/>
      <c r="J188" s="24" t="s">
        <v>3624</v>
      </c>
      <c r="K188" s="24"/>
      <c r="L188" s="34"/>
      <c r="M188" s="28">
        <f>HYPERLINK("https://app.hubspot.com/contacts/8748051/record/0-2/37082688777", 37082688777)</f>
        <v>37082688777</v>
      </c>
      <c r="N188" s="24" t="s">
        <v>3625</v>
      </c>
      <c r="O188" s="34"/>
      <c r="P188" s="24"/>
      <c r="Q188" s="24"/>
      <c r="R188" s="24"/>
      <c r="S188" s="24"/>
      <c r="T188" s="34" t="str">
        <f t="shared" ref="T188:V188" si="190">IF(G188&lt;&gt;"","Yes","")</f>
        <v/>
      </c>
      <c r="U188" s="34" t="str">
        <f t="shared" si="190"/>
        <v/>
      </c>
      <c r="V188" s="34" t="str">
        <f t="shared" si="190"/>
        <v/>
      </c>
      <c r="W188" s="34" t="str">
        <f t="shared" si="3"/>
        <v/>
      </c>
      <c r="X188" s="24" t="str">
        <f t="shared" si="4"/>
        <v/>
      </c>
    </row>
    <row r="189" ht="14.25" customHeight="1">
      <c r="A189" s="28">
        <f>HYPERLINK("https://app.hubspot.com/contacts/8748051/record/0-1/138852431135", 138852431135)</f>
        <v>138852431135</v>
      </c>
      <c r="B189" s="24" t="s">
        <v>3626</v>
      </c>
      <c r="C189" s="26">
        <v>45868.41030092593</v>
      </c>
      <c r="D189" s="26"/>
      <c r="E189" s="28" t="s">
        <v>882</v>
      </c>
      <c r="F189" s="24"/>
      <c r="G189" s="35">
        <v>45868.0</v>
      </c>
      <c r="H189" s="35">
        <v>45874.0</v>
      </c>
      <c r="I189" s="35">
        <v>45874.0</v>
      </c>
      <c r="J189" s="24" t="s">
        <v>1072</v>
      </c>
      <c r="K189" s="24" t="s">
        <v>3242</v>
      </c>
      <c r="L189" s="34"/>
      <c r="M189" s="28">
        <f>HYPERLINK("https://app.hubspot.com/contacts/8748051/record/0-2/18382767734", 18382767734)</f>
        <v>18382767734</v>
      </c>
      <c r="N189" s="24" t="s">
        <v>881</v>
      </c>
      <c r="O189" s="33">
        <f>HYPERLINK("https://app.hubspot.com/contacts/8748051/record/0-3/41068201060", 41068201060)</f>
        <v>41068201060</v>
      </c>
      <c r="P189" s="24" t="s">
        <v>879</v>
      </c>
      <c r="Q189" s="24" t="s">
        <v>149</v>
      </c>
      <c r="R189" s="24">
        <v>30500.0</v>
      </c>
      <c r="S189" s="24" t="b">
        <v>1</v>
      </c>
      <c r="T189" s="34" t="str">
        <f t="shared" ref="T189:V189" si="191">IF(G189&lt;&gt;"","Yes","")</f>
        <v>Yes</v>
      </c>
      <c r="U189" s="34" t="str">
        <f t="shared" si="191"/>
        <v>Yes</v>
      </c>
      <c r="V189" s="34" t="str">
        <f t="shared" si="191"/>
        <v>Yes</v>
      </c>
      <c r="W189" s="34" t="str">
        <f t="shared" si="3"/>
        <v/>
      </c>
      <c r="X189" s="24" t="str">
        <f t="shared" si="4"/>
        <v>Yes</v>
      </c>
    </row>
    <row r="190" ht="14.25" customHeight="1">
      <c r="A190" s="28">
        <f>HYPERLINK("https://app.hubspot.com/contacts/8748051/record/0-1/132671057255", 132671057255)</f>
        <v>132671057255</v>
      </c>
      <c r="B190" s="24" t="s">
        <v>3627</v>
      </c>
      <c r="C190" s="26">
        <v>45868.405648148146</v>
      </c>
      <c r="D190" s="26"/>
      <c r="E190" s="28" t="s">
        <v>886</v>
      </c>
      <c r="F190" s="24"/>
      <c r="G190" s="35">
        <v>45868.0</v>
      </c>
      <c r="H190" s="35">
        <v>45889.0</v>
      </c>
      <c r="I190" s="35">
        <v>45889.0</v>
      </c>
      <c r="J190" s="24" t="s">
        <v>3628</v>
      </c>
      <c r="K190" s="24" t="s">
        <v>3360</v>
      </c>
      <c r="L190" s="34"/>
      <c r="M190" s="28">
        <f>HYPERLINK("https://app.hubspot.com/contacts/8748051/record/0-2/36960772898", 36960772898)</f>
        <v>36960772898</v>
      </c>
      <c r="N190" s="24" t="s">
        <v>885</v>
      </c>
      <c r="O190" s="33">
        <f>HYPERLINK("https://app.hubspot.com/contacts/8748051/record/0-3/41066731397", 41066731397)</f>
        <v>41066731397</v>
      </c>
      <c r="P190" s="24" t="s">
        <v>883</v>
      </c>
      <c r="Q190" s="24" t="s">
        <v>92</v>
      </c>
      <c r="R190" s="24">
        <v>20000.0</v>
      </c>
      <c r="S190" s="24" t="b">
        <v>1</v>
      </c>
      <c r="T190" s="34" t="str">
        <f t="shared" ref="T190:V190" si="192">IF(G190&lt;&gt;"","Yes","")</f>
        <v>Yes</v>
      </c>
      <c r="U190" s="34" t="str">
        <f t="shared" si="192"/>
        <v>Yes</v>
      </c>
      <c r="V190" s="34" t="str">
        <f t="shared" si="192"/>
        <v>Yes</v>
      </c>
      <c r="W190" s="34" t="str">
        <f t="shared" si="3"/>
        <v>Yes</v>
      </c>
      <c r="X190" s="24" t="str">
        <f t="shared" si="4"/>
        <v/>
      </c>
    </row>
    <row r="191" ht="14.25" customHeight="1">
      <c r="A191" s="28">
        <f>HYPERLINK("https://app.hubspot.com/contacts/8748051/record/0-1/7422263359", 7422263359)</f>
        <v>7422263359</v>
      </c>
      <c r="B191" s="24" t="s">
        <v>3629</v>
      </c>
      <c r="C191" s="26">
        <v>45868.0724537037</v>
      </c>
      <c r="D191" s="24" t="s">
        <v>3630</v>
      </c>
      <c r="E191" s="28" t="s">
        <v>869</v>
      </c>
      <c r="F191" s="26"/>
      <c r="G191" s="35">
        <v>45868.0</v>
      </c>
      <c r="H191" s="35">
        <v>45874.0</v>
      </c>
      <c r="I191" s="35">
        <v>45874.0</v>
      </c>
      <c r="J191" s="24" t="s">
        <v>3631</v>
      </c>
      <c r="K191" s="24" t="s">
        <v>3239</v>
      </c>
      <c r="L191" s="34"/>
      <c r="M191" s="28">
        <f>HYPERLINK("https://app.hubspot.com/contacts/8748051/record/0-2/19176224894", 19176224894)</f>
        <v>19176224894</v>
      </c>
      <c r="N191" s="24" t="s">
        <v>868</v>
      </c>
      <c r="O191" s="33">
        <f>HYPERLINK("https://app.hubspot.com/contacts/8748051/record/0-3/41120785998", 41120785998)</f>
        <v>41120785998</v>
      </c>
      <c r="P191" s="24" t="s">
        <v>867</v>
      </c>
      <c r="Q191" s="24" t="s">
        <v>73</v>
      </c>
      <c r="R191" s="24">
        <v>10000.0</v>
      </c>
      <c r="S191" s="24"/>
      <c r="T191" s="34" t="str">
        <f t="shared" ref="T191:V191" si="193">IF(G191&lt;&gt;"","Yes","")</f>
        <v>Yes</v>
      </c>
      <c r="U191" s="34" t="str">
        <f t="shared" si="193"/>
        <v>Yes</v>
      </c>
      <c r="V191" s="34" t="str">
        <f t="shared" si="193"/>
        <v>Yes</v>
      </c>
      <c r="W191" s="34" t="str">
        <f t="shared" si="3"/>
        <v/>
      </c>
      <c r="X191" s="24" t="str">
        <f t="shared" si="4"/>
        <v/>
      </c>
    </row>
    <row r="192" ht="14.25" customHeight="1">
      <c r="A192" s="28">
        <f>HYPERLINK("https://app.hubspot.com/contacts/8748051/record/0-1/141948134176", 141948134176)</f>
        <v>141948134176</v>
      </c>
      <c r="B192" s="24" t="s">
        <v>3632</v>
      </c>
      <c r="C192" s="26">
        <v>45867.13653935185</v>
      </c>
      <c r="D192" s="26"/>
      <c r="E192" s="28" t="s">
        <v>835</v>
      </c>
      <c r="F192" s="24"/>
      <c r="G192" s="35">
        <v>45867.0</v>
      </c>
      <c r="H192" s="35">
        <v>45881.0</v>
      </c>
      <c r="I192" s="35">
        <v>45881.0</v>
      </c>
      <c r="J192" s="24" t="s">
        <v>3633</v>
      </c>
      <c r="K192" s="24" t="s">
        <v>155</v>
      </c>
      <c r="L192" s="34"/>
      <c r="M192" s="28">
        <f>HYPERLINK("https://app.hubspot.com/contacts/8748051/record/0-2/14810422275", 14810422275)</f>
        <v>14810422275</v>
      </c>
      <c r="N192" s="24" t="s">
        <v>834</v>
      </c>
      <c r="O192" s="33">
        <f>HYPERLINK("https://app.hubspot.com/contacts/8748051/record/0-3/41576219434", 41576219434)</f>
        <v>41576219434</v>
      </c>
      <c r="P192" s="24" t="s">
        <v>833</v>
      </c>
      <c r="Q192" s="24" t="s">
        <v>73</v>
      </c>
      <c r="R192" s="24">
        <v>41000.0</v>
      </c>
      <c r="S192" s="24"/>
      <c r="T192" s="34" t="str">
        <f t="shared" ref="T192:V192" si="194">IF(G192&lt;&gt;"","Yes","")</f>
        <v>Yes</v>
      </c>
      <c r="U192" s="34" t="str">
        <f t="shared" si="194"/>
        <v>Yes</v>
      </c>
      <c r="V192" s="34" t="str">
        <f t="shared" si="194"/>
        <v>Yes</v>
      </c>
      <c r="W192" s="34" t="str">
        <f t="shared" si="3"/>
        <v/>
      </c>
      <c r="X192" s="24" t="str">
        <f t="shared" si="4"/>
        <v/>
      </c>
    </row>
    <row r="193" ht="14.25" customHeight="1">
      <c r="A193" s="28">
        <f>HYPERLINK("https://app.hubspot.com/contacts/8748051/record/0-1/141981650509", 141981650509)</f>
        <v>141981650509</v>
      </c>
      <c r="B193" s="24" t="s">
        <v>3634</v>
      </c>
      <c r="C193" s="26">
        <v>45867.08994212963</v>
      </c>
      <c r="D193" s="26"/>
      <c r="E193" s="28" t="s">
        <v>1000</v>
      </c>
      <c r="F193" s="24" t="s">
        <v>3287</v>
      </c>
      <c r="G193" s="35"/>
      <c r="H193" s="35"/>
      <c r="I193" s="35"/>
      <c r="J193" s="24" t="s">
        <v>3296</v>
      </c>
      <c r="K193" s="24"/>
      <c r="L193" s="34"/>
      <c r="M193" s="28">
        <f>HYPERLINK("https://app.hubspot.com/contacts/8748051/record/0-2/9069717254", 9069717254)</f>
        <v>9069717254</v>
      </c>
      <c r="N193" s="24" t="s">
        <v>999</v>
      </c>
      <c r="O193" s="34"/>
      <c r="P193" s="24"/>
      <c r="Q193" s="24"/>
      <c r="R193" s="24"/>
      <c r="S193" s="24"/>
      <c r="T193" s="34" t="str">
        <f t="shared" ref="T193:V193" si="195">IF(G193&lt;&gt;"","Yes","")</f>
        <v/>
      </c>
      <c r="U193" s="34" t="str">
        <f t="shared" si="195"/>
        <v/>
      </c>
      <c r="V193" s="34" t="str">
        <f t="shared" si="195"/>
        <v/>
      </c>
      <c r="W193" s="34" t="str">
        <f t="shared" si="3"/>
        <v/>
      </c>
      <c r="X193" s="24" t="str">
        <f t="shared" si="4"/>
        <v/>
      </c>
    </row>
    <row r="194" ht="14.25" customHeight="1">
      <c r="A194" s="28">
        <f>HYPERLINK("https://app.hubspot.com/contacts/8748051/record/0-1/140213655157", 140213655157)</f>
        <v>140213655157</v>
      </c>
      <c r="B194" s="24" t="s">
        <v>3635</v>
      </c>
      <c r="C194" s="26">
        <v>45862.465636574074</v>
      </c>
      <c r="D194" s="26"/>
      <c r="E194" s="28" t="s">
        <v>892</v>
      </c>
      <c r="F194" s="24"/>
      <c r="G194" s="35">
        <v>45863.0</v>
      </c>
      <c r="H194" s="35">
        <v>45863.0</v>
      </c>
      <c r="I194" s="35">
        <v>45863.0</v>
      </c>
      <c r="J194" s="24" t="s">
        <v>3301</v>
      </c>
      <c r="K194" s="24" t="s">
        <v>3242</v>
      </c>
      <c r="L194" s="34"/>
      <c r="M194" s="28">
        <f>HYPERLINK("https://app.hubspot.com/contacts/8748051/record/0-2/36689275544", 36689275544)</f>
        <v>36689275544</v>
      </c>
      <c r="N194" s="24" t="s">
        <v>891</v>
      </c>
      <c r="O194" s="33">
        <f>HYPERLINK("https://app.hubspot.com/contacts/8748051/record/0-3/40754286148", 40754286148)</f>
        <v>40754286148</v>
      </c>
      <c r="P194" s="24" t="s">
        <v>890</v>
      </c>
      <c r="Q194" s="24" t="s">
        <v>73</v>
      </c>
      <c r="R194" s="24">
        <v>0.0</v>
      </c>
      <c r="S194" s="24"/>
      <c r="T194" s="34" t="str">
        <f t="shared" ref="T194:V194" si="196">IF(G194&lt;&gt;"","Yes","")</f>
        <v>Yes</v>
      </c>
      <c r="U194" s="34" t="str">
        <f t="shared" si="196"/>
        <v>Yes</v>
      </c>
      <c r="V194" s="34" t="str">
        <f t="shared" si="196"/>
        <v>Yes</v>
      </c>
      <c r="W194" s="34" t="str">
        <f t="shared" si="3"/>
        <v/>
      </c>
      <c r="X194" s="24" t="str">
        <f t="shared" si="4"/>
        <v/>
      </c>
    </row>
    <row r="195" ht="14.25" customHeight="1">
      <c r="A195" s="28">
        <f>HYPERLINK("https://app.hubspot.com/contacts/8748051/record/0-1/140166299435", 140166299435)</f>
        <v>140166299435</v>
      </c>
      <c r="B195" s="24" t="s">
        <v>3636</v>
      </c>
      <c r="C195" s="26">
        <v>45860.16475694445</v>
      </c>
      <c r="D195" s="26"/>
      <c r="E195" s="28" t="s">
        <v>3637</v>
      </c>
      <c r="F195" s="24" t="s">
        <v>3304</v>
      </c>
      <c r="G195" s="35"/>
      <c r="H195" s="35"/>
      <c r="I195" s="35"/>
      <c r="J195" s="24" t="s">
        <v>3638</v>
      </c>
      <c r="K195" s="24"/>
      <c r="L195" s="34"/>
      <c r="M195" s="28">
        <f>HYPERLINK("https://app.hubspot.com/contacts/8748051/record/0-2/36586293575", 36586293575)</f>
        <v>36586293575</v>
      </c>
      <c r="N195" s="24" t="s">
        <v>3639</v>
      </c>
      <c r="O195" s="34"/>
      <c r="P195" s="24"/>
      <c r="Q195" s="24"/>
      <c r="R195" s="24"/>
      <c r="S195" s="24"/>
      <c r="T195" s="34" t="str">
        <f t="shared" ref="T195:V195" si="197">IF(G195&lt;&gt;"","Yes","")</f>
        <v/>
      </c>
      <c r="U195" s="34" t="str">
        <f t="shared" si="197"/>
        <v/>
      </c>
      <c r="V195" s="34" t="str">
        <f t="shared" si="197"/>
        <v/>
      </c>
      <c r="W195" s="34" t="str">
        <f t="shared" si="3"/>
        <v/>
      </c>
      <c r="X195" s="24" t="str">
        <f t="shared" si="4"/>
        <v/>
      </c>
    </row>
    <row r="196" ht="14.25" customHeight="1">
      <c r="A196" s="28">
        <f>HYPERLINK("https://app.hubspot.com/contacts/8748051/record/0-1/140062429237", 140062429237)</f>
        <v>140062429237</v>
      </c>
      <c r="B196" s="24" t="s">
        <v>3640</v>
      </c>
      <c r="C196" s="26">
        <v>45859.90351851852</v>
      </c>
      <c r="D196" s="26"/>
      <c r="E196" s="28" t="s">
        <v>899</v>
      </c>
      <c r="F196" s="24"/>
      <c r="G196" s="35">
        <v>45860.0</v>
      </c>
      <c r="H196" s="35">
        <v>45860.0</v>
      </c>
      <c r="I196" s="35">
        <v>45860.0</v>
      </c>
      <c r="J196" s="24" t="s">
        <v>3641</v>
      </c>
      <c r="K196" s="24" t="s">
        <v>3239</v>
      </c>
      <c r="L196" s="34"/>
      <c r="M196" s="28">
        <f>HYPERLINK("https://app.hubspot.com/contacts/8748051/record/0-2/36581207151", 36581207151)</f>
        <v>36581207151</v>
      </c>
      <c r="N196" s="24" t="s">
        <v>898</v>
      </c>
      <c r="O196" s="33">
        <f>HYPERLINK("https://app.hubspot.com/contacts/8748051/record/0-3/40637983819", 40637983819)</f>
        <v>40637983819</v>
      </c>
      <c r="P196" s="24" t="s">
        <v>896</v>
      </c>
      <c r="Q196" s="24" t="s">
        <v>92</v>
      </c>
      <c r="R196" s="24">
        <v>15000.0</v>
      </c>
      <c r="S196" s="24" t="b">
        <v>1</v>
      </c>
      <c r="T196" s="34" t="str">
        <f t="shared" ref="T196:V196" si="198">IF(G196&lt;&gt;"","Yes","")</f>
        <v>Yes</v>
      </c>
      <c r="U196" s="34" t="str">
        <f t="shared" si="198"/>
        <v>Yes</v>
      </c>
      <c r="V196" s="34" t="str">
        <f t="shared" si="198"/>
        <v>Yes</v>
      </c>
      <c r="W196" s="34" t="str">
        <f t="shared" si="3"/>
        <v>Yes</v>
      </c>
      <c r="X196" s="24" t="str">
        <f t="shared" si="4"/>
        <v/>
      </c>
    </row>
    <row r="197" ht="14.25" customHeight="1">
      <c r="A197" s="28">
        <f>HYPERLINK("https://app.hubspot.com/contacts/8748051/record/0-1/2399001", 2399001)</f>
        <v>2399001</v>
      </c>
      <c r="B197" s="24" t="s">
        <v>3642</v>
      </c>
      <c r="C197" s="26">
        <v>45859.66731481482</v>
      </c>
      <c r="D197" s="26"/>
      <c r="E197" s="28" t="s">
        <v>903</v>
      </c>
      <c r="F197" s="24"/>
      <c r="G197" s="35">
        <v>45860.0</v>
      </c>
      <c r="H197" s="35">
        <v>45863.0</v>
      </c>
      <c r="I197" s="35">
        <v>45863.0</v>
      </c>
      <c r="J197" s="24" t="s">
        <v>3643</v>
      </c>
      <c r="K197" s="24" t="s">
        <v>155</v>
      </c>
      <c r="L197" s="34"/>
      <c r="M197" s="28">
        <f>HYPERLINK("https://app.hubspot.com/contacts/8748051/record/0-2/15869853957", 15869853957)</f>
        <v>15869853957</v>
      </c>
      <c r="N197" s="24" t="s">
        <v>902</v>
      </c>
      <c r="O197" s="28">
        <f>HYPERLINK("https://app.hubspot.com/contacts/8748051/record/0-3/40594900741", 40594900741)</f>
        <v>40594900741</v>
      </c>
      <c r="P197" s="24" t="s">
        <v>901</v>
      </c>
      <c r="Q197" s="24" t="s">
        <v>127</v>
      </c>
      <c r="R197" s="24">
        <v>89000.0</v>
      </c>
      <c r="S197" s="24" t="b">
        <v>1</v>
      </c>
      <c r="T197" s="34" t="str">
        <f t="shared" ref="T197:V197" si="199">IF(G197&lt;&gt;"","Yes","")</f>
        <v>Yes</v>
      </c>
      <c r="U197" s="34" t="str">
        <f t="shared" si="199"/>
        <v>Yes</v>
      </c>
      <c r="V197" s="34" t="str">
        <f t="shared" si="199"/>
        <v>Yes</v>
      </c>
      <c r="W197" s="34" t="str">
        <f t="shared" si="3"/>
        <v/>
      </c>
      <c r="X197" s="24" t="str">
        <f t="shared" si="4"/>
        <v/>
      </c>
    </row>
    <row r="198" ht="14.25" customHeight="1">
      <c r="A198" s="28">
        <f>HYPERLINK("https://app.hubspot.com/contacts/8748051/record/0-1/138337716380", 138337716380)</f>
        <v>138337716380</v>
      </c>
      <c r="B198" s="24" t="s">
        <v>3644</v>
      </c>
      <c r="C198" s="26">
        <v>45856.551712962966</v>
      </c>
      <c r="D198" s="26"/>
      <c r="E198" s="28" t="s">
        <v>852</v>
      </c>
      <c r="F198" s="24"/>
      <c r="G198" s="35">
        <v>45857.0</v>
      </c>
      <c r="H198" s="35">
        <v>45877.0</v>
      </c>
      <c r="I198" s="35">
        <v>45877.0</v>
      </c>
      <c r="J198" s="24" t="s">
        <v>3645</v>
      </c>
      <c r="K198" s="24" t="s">
        <v>3245</v>
      </c>
      <c r="L198" s="34"/>
      <c r="M198" s="28">
        <f>HYPERLINK("https://app.hubspot.com/contacts/8748051/record/0-2/38806934327", 38806934327)</f>
        <v>38806934327</v>
      </c>
      <c r="N198" s="24" t="s">
        <v>851</v>
      </c>
      <c r="O198" s="33">
        <f>HYPERLINK("https://app.hubspot.com/contacts/8748051/record/0-3/41452513074", 41452513074)</f>
        <v>41452513074</v>
      </c>
      <c r="P198" s="24" t="s">
        <v>849</v>
      </c>
      <c r="Q198" s="24" t="s">
        <v>149</v>
      </c>
      <c r="R198" s="24">
        <v>100000.0</v>
      </c>
      <c r="S198" s="24" t="b">
        <v>1</v>
      </c>
      <c r="T198" s="34" t="str">
        <f t="shared" ref="T198:V198" si="200">IF(G198&lt;&gt;"","Yes","")</f>
        <v>Yes</v>
      </c>
      <c r="U198" s="34" t="str">
        <f t="shared" si="200"/>
        <v>Yes</v>
      </c>
      <c r="V198" s="34" t="str">
        <f t="shared" si="200"/>
        <v>Yes</v>
      </c>
      <c r="W198" s="34" t="str">
        <f t="shared" si="3"/>
        <v/>
      </c>
      <c r="X198" s="24" t="str">
        <f t="shared" si="4"/>
        <v>Yes</v>
      </c>
    </row>
    <row r="199" ht="14.25" customHeight="1">
      <c r="A199" s="28">
        <f>HYPERLINK("https://app.hubspot.com/contacts/8748051/record/0-1/139051109966", 139051109966)</f>
        <v>139051109966</v>
      </c>
      <c r="B199" s="24" t="s">
        <v>3646</v>
      </c>
      <c r="C199" s="26">
        <v>45856.267847222225</v>
      </c>
      <c r="D199" s="26"/>
      <c r="E199" s="28" t="s">
        <v>906</v>
      </c>
      <c r="F199" s="26"/>
      <c r="G199" s="35">
        <v>45856.0</v>
      </c>
      <c r="H199" s="35">
        <v>45866.0</v>
      </c>
      <c r="I199" s="35">
        <v>45866.0</v>
      </c>
      <c r="J199" s="24" t="s">
        <v>3647</v>
      </c>
      <c r="K199" s="24" t="s">
        <v>155</v>
      </c>
      <c r="L199" s="34"/>
      <c r="M199" s="28">
        <f>HYPERLINK("https://app.hubspot.com/contacts/8748051/record/0-2/19176582916", 19176582916)</f>
        <v>19176582916</v>
      </c>
      <c r="N199" s="24" t="s">
        <v>905</v>
      </c>
      <c r="O199" s="33">
        <f>HYPERLINK("https://app.hubspot.com/contacts/8748051/record/0-3/40561459858", 40561459858)</f>
        <v>40561459858</v>
      </c>
      <c r="P199" s="24" t="s">
        <v>904</v>
      </c>
      <c r="Q199" s="24" t="s">
        <v>127</v>
      </c>
      <c r="R199" s="24">
        <v>25000.0</v>
      </c>
      <c r="S199" s="24" t="b">
        <v>1</v>
      </c>
      <c r="T199" s="34" t="str">
        <f t="shared" ref="T199:V199" si="201">IF(G199&lt;&gt;"","Yes","")</f>
        <v>Yes</v>
      </c>
      <c r="U199" s="34" t="str">
        <f t="shared" si="201"/>
        <v>Yes</v>
      </c>
      <c r="V199" s="34" t="str">
        <f t="shared" si="201"/>
        <v>Yes</v>
      </c>
      <c r="W199" s="34" t="str">
        <f t="shared" si="3"/>
        <v/>
      </c>
      <c r="X199" s="24" t="str">
        <f t="shared" si="4"/>
        <v/>
      </c>
    </row>
    <row r="200" ht="14.25" customHeight="1">
      <c r="A200" s="28">
        <f>HYPERLINK("https://app.hubspot.com/contacts/8748051/record/0-1/138969147218", 138969147218)</f>
        <v>138969147218</v>
      </c>
      <c r="B200" s="24" t="s">
        <v>3648</v>
      </c>
      <c r="C200" s="26">
        <v>45856.020150462966</v>
      </c>
      <c r="D200" s="26"/>
      <c r="E200" s="28" t="s">
        <v>895</v>
      </c>
      <c r="F200" s="24"/>
      <c r="G200" s="35">
        <v>45856.0</v>
      </c>
      <c r="H200" s="35">
        <v>45869.0</v>
      </c>
      <c r="I200" s="35">
        <v>45869.0</v>
      </c>
      <c r="J200" s="24" t="s">
        <v>3649</v>
      </c>
      <c r="K200" s="24" t="s">
        <v>3239</v>
      </c>
      <c r="L200" s="34"/>
      <c r="M200" s="28">
        <f>HYPERLINK("https://app.hubspot.com/contacts/8748051/record/0-2/36401575587", 36401575587)</f>
        <v>36401575587</v>
      </c>
      <c r="N200" s="24" t="s">
        <v>894</v>
      </c>
      <c r="O200" s="33">
        <f>HYPERLINK("https://app.hubspot.com/contacts/8748051/record/0-3/40673451836", 40673451836)</f>
        <v>40673451836</v>
      </c>
      <c r="P200" s="24" t="s">
        <v>893</v>
      </c>
      <c r="Q200" s="24" t="s">
        <v>127</v>
      </c>
      <c r="R200" s="24">
        <v>8500.0</v>
      </c>
      <c r="S200" s="24" t="b">
        <v>1</v>
      </c>
      <c r="T200" s="34" t="str">
        <f t="shared" ref="T200:V200" si="202">IF(G200&lt;&gt;"","Yes","")</f>
        <v>Yes</v>
      </c>
      <c r="U200" s="34" t="str">
        <f t="shared" si="202"/>
        <v>Yes</v>
      </c>
      <c r="V200" s="34" t="str">
        <f t="shared" si="202"/>
        <v>Yes</v>
      </c>
      <c r="W200" s="34" t="str">
        <f t="shared" si="3"/>
        <v/>
      </c>
      <c r="X200" s="24" t="str">
        <f t="shared" si="4"/>
        <v/>
      </c>
    </row>
    <row r="201" ht="14.25" customHeight="1">
      <c r="A201" s="28">
        <f>HYPERLINK("https://app.hubspot.com/contacts/8748051/record/0-1/138065151233", 138065151233)</f>
        <v>138065151233</v>
      </c>
      <c r="B201" s="24" t="s">
        <v>3650</v>
      </c>
      <c r="C201" s="26">
        <v>45853.863541666666</v>
      </c>
      <c r="D201" s="26"/>
      <c r="E201" s="28" t="s">
        <v>3651</v>
      </c>
      <c r="F201" s="24" t="s">
        <v>3304</v>
      </c>
      <c r="G201" s="35"/>
      <c r="H201" s="35"/>
      <c r="I201" s="35"/>
      <c r="J201" s="24" t="s">
        <v>3652</v>
      </c>
      <c r="K201" s="24"/>
      <c r="L201" s="34"/>
      <c r="M201" s="28">
        <f>HYPERLINK("https://app.hubspot.com/contacts/8748051/record/0-2/36294141333", 36294141333)</f>
        <v>36294141333</v>
      </c>
      <c r="N201" s="24" t="s">
        <v>3653</v>
      </c>
      <c r="O201" s="34"/>
      <c r="P201" s="24"/>
      <c r="Q201" s="24"/>
      <c r="R201" s="24"/>
      <c r="S201" s="24"/>
      <c r="T201" s="34" t="str">
        <f t="shared" ref="T201:V201" si="203">IF(G201&lt;&gt;"","Yes","")</f>
        <v/>
      </c>
      <c r="U201" s="34" t="str">
        <f t="shared" si="203"/>
        <v/>
      </c>
      <c r="V201" s="34" t="str">
        <f t="shared" si="203"/>
        <v/>
      </c>
      <c r="W201" s="34" t="str">
        <f t="shared" si="3"/>
        <v/>
      </c>
      <c r="X201" s="24" t="str">
        <f t="shared" si="4"/>
        <v/>
      </c>
    </row>
    <row r="202" ht="14.25" customHeight="1">
      <c r="A202" s="28">
        <f>HYPERLINK("https://app.hubspot.com/contacts/8748051/record/0-1/137832029463", 137832029463)</f>
        <v>137832029463</v>
      </c>
      <c r="B202" s="24" t="s">
        <v>3654</v>
      </c>
      <c r="C202" s="26">
        <v>45853.20469907407</v>
      </c>
      <c r="D202" s="26"/>
      <c r="E202" s="28" t="s">
        <v>3655</v>
      </c>
      <c r="F202" s="24" t="s">
        <v>3304</v>
      </c>
      <c r="G202" s="35"/>
      <c r="H202" s="35"/>
      <c r="I202" s="35"/>
      <c r="J202" s="24" t="s">
        <v>3254</v>
      </c>
      <c r="K202" s="24"/>
      <c r="L202" s="34"/>
      <c r="M202" s="28">
        <f>HYPERLINK("https://app.hubspot.com/contacts/8748051/record/0-2/36264937108", 36264937108)</f>
        <v>36264937108</v>
      </c>
      <c r="N202" s="24" t="s">
        <v>3656</v>
      </c>
      <c r="O202" s="34"/>
      <c r="P202" s="24"/>
      <c r="Q202" s="24"/>
      <c r="R202" s="24"/>
      <c r="S202" s="24"/>
      <c r="T202" s="34" t="str">
        <f t="shared" ref="T202:V202" si="204">IF(G202&lt;&gt;"","Yes","")</f>
        <v/>
      </c>
      <c r="U202" s="34" t="str">
        <f t="shared" si="204"/>
        <v/>
      </c>
      <c r="V202" s="34" t="str">
        <f t="shared" si="204"/>
        <v/>
      </c>
      <c r="W202" s="34" t="str">
        <f t="shared" si="3"/>
        <v/>
      </c>
      <c r="X202" s="24" t="str">
        <f t="shared" si="4"/>
        <v/>
      </c>
    </row>
    <row r="203" ht="14.25" customHeight="1">
      <c r="A203" s="28">
        <f>HYPERLINK("https://app.hubspot.com/contacts/8748051/record/0-1/136903832489", 136903832489)</f>
        <v>136903832489</v>
      </c>
      <c r="B203" s="24" t="s">
        <v>3657</v>
      </c>
      <c r="C203" s="26">
        <v>45852.70118055555</v>
      </c>
      <c r="D203" s="26"/>
      <c r="E203" s="28" t="s">
        <v>913</v>
      </c>
      <c r="F203" s="24"/>
      <c r="G203" s="35">
        <v>45853.0</v>
      </c>
      <c r="H203" s="35">
        <v>45859.0</v>
      </c>
      <c r="I203" s="35">
        <v>45859.0</v>
      </c>
      <c r="J203" s="24" t="s">
        <v>3658</v>
      </c>
      <c r="K203" s="24" t="s">
        <v>155</v>
      </c>
      <c r="L203" s="34"/>
      <c r="M203" s="28">
        <f>HYPERLINK("https://app.hubspot.com/contacts/8748051/record/0-2/19176533838", 19176533838)</f>
        <v>19176533838</v>
      </c>
      <c r="N203" s="24" t="s">
        <v>912</v>
      </c>
      <c r="O203" s="28">
        <f>HYPERLINK("https://app.hubspot.com/contacts/8748051/record/0-3/40235751763", 40235751763)</f>
        <v>40235751763</v>
      </c>
      <c r="P203" s="24" t="s">
        <v>911</v>
      </c>
      <c r="Q203" s="24" t="s">
        <v>127</v>
      </c>
      <c r="R203" s="24">
        <v>30000.0</v>
      </c>
      <c r="S203" s="24" t="b">
        <v>1</v>
      </c>
      <c r="T203" s="34" t="str">
        <f t="shared" ref="T203:V203" si="205">IF(G203&lt;&gt;"","Yes","")</f>
        <v>Yes</v>
      </c>
      <c r="U203" s="34" t="str">
        <f t="shared" si="205"/>
        <v>Yes</v>
      </c>
      <c r="V203" s="34" t="str">
        <f t="shared" si="205"/>
        <v>Yes</v>
      </c>
      <c r="W203" s="34" t="str">
        <f t="shared" si="3"/>
        <v/>
      </c>
      <c r="X203" s="24" t="str">
        <f t="shared" si="4"/>
        <v/>
      </c>
    </row>
    <row r="204" ht="14.25" customHeight="1">
      <c r="A204" s="28">
        <f>HYPERLINK("https://app.hubspot.com/contacts/8748051/record/0-1/133681296433", 133681296433)</f>
        <v>133681296433</v>
      </c>
      <c r="B204" s="24" t="s">
        <v>3659</v>
      </c>
      <c r="C204" s="26">
        <v>45849.57842592592</v>
      </c>
      <c r="D204" s="26"/>
      <c r="E204" s="28" t="s">
        <v>919</v>
      </c>
      <c r="F204" s="24"/>
      <c r="G204" s="35">
        <v>45849.0</v>
      </c>
      <c r="H204" s="35">
        <v>45853.0</v>
      </c>
      <c r="I204" s="35"/>
      <c r="J204" s="24" t="s">
        <v>3660</v>
      </c>
      <c r="K204" s="24" t="s">
        <v>3237</v>
      </c>
      <c r="L204" s="34"/>
      <c r="M204" s="28">
        <f>HYPERLINK("https://app.hubspot.com/contacts/8748051/record/0-2/36031664519", 36031664519)</f>
        <v>36031664519</v>
      </c>
      <c r="N204" s="24" t="s">
        <v>918</v>
      </c>
      <c r="O204" s="33">
        <f>HYPERLINK("https://app.hubspot.com/contacts/8748051/record/0-3/40024962160", 40024962160)</f>
        <v>40024962160</v>
      </c>
      <c r="P204" s="24" t="s">
        <v>917</v>
      </c>
      <c r="Q204" s="24" t="s">
        <v>73</v>
      </c>
      <c r="R204" s="24">
        <v>4500.0</v>
      </c>
      <c r="S204" s="24"/>
      <c r="T204" s="34" t="str">
        <f t="shared" ref="T204:V204" si="206">IF(G204&lt;&gt;"","Yes","")</f>
        <v>Yes</v>
      </c>
      <c r="U204" s="34" t="str">
        <f t="shared" si="206"/>
        <v>Yes</v>
      </c>
      <c r="V204" s="34" t="str">
        <f t="shared" si="206"/>
        <v/>
      </c>
      <c r="W204" s="34" t="str">
        <f t="shared" si="3"/>
        <v/>
      </c>
      <c r="X204" s="24" t="str">
        <f t="shared" si="4"/>
        <v/>
      </c>
    </row>
    <row r="205" ht="14.25" customHeight="1">
      <c r="A205" s="28">
        <f>HYPERLINK("https://app.hubspot.com/contacts/8748051/record/0-1/135673301260", 135673301260)</f>
        <v>135673301260</v>
      </c>
      <c r="B205" s="24" t="s">
        <v>3661</v>
      </c>
      <c r="C205" s="26">
        <v>45847.62006944444</v>
      </c>
      <c r="D205" s="26"/>
      <c r="E205" s="28" t="s">
        <v>923</v>
      </c>
      <c r="F205" s="24"/>
      <c r="G205" s="35">
        <v>45848.0</v>
      </c>
      <c r="H205" s="35">
        <v>45849.0</v>
      </c>
      <c r="I205" s="35">
        <v>45849.0</v>
      </c>
      <c r="J205" s="24" t="s">
        <v>3662</v>
      </c>
      <c r="K205" s="24" t="s">
        <v>155</v>
      </c>
      <c r="L205" s="34"/>
      <c r="M205" s="28">
        <f>HYPERLINK("https://app.hubspot.com/contacts/8748051/record/0-2/8142455696", 8142455696)</f>
        <v>8142455696</v>
      </c>
      <c r="N205" s="24" t="s">
        <v>922</v>
      </c>
      <c r="O205" s="33">
        <f>HYPERLINK("https://app.hubspot.com/contacts/8748051/record/0-3/39921808681", 39921808681)</f>
        <v>39921808681</v>
      </c>
      <c r="P205" s="24" t="s">
        <v>920</v>
      </c>
      <c r="Q205" s="24" t="s">
        <v>92</v>
      </c>
      <c r="R205" s="24">
        <v>88000.0</v>
      </c>
      <c r="S205" s="24" t="b">
        <v>1</v>
      </c>
      <c r="T205" s="34" t="str">
        <f t="shared" ref="T205:V205" si="207">IF(G205&lt;&gt;"","Yes","")</f>
        <v>Yes</v>
      </c>
      <c r="U205" s="34" t="str">
        <f t="shared" si="207"/>
        <v>Yes</v>
      </c>
      <c r="V205" s="34" t="str">
        <f t="shared" si="207"/>
        <v>Yes</v>
      </c>
      <c r="W205" s="34" t="str">
        <f t="shared" si="3"/>
        <v>Yes</v>
      </c>
      <c r="X205" s="24" t="str">
        <f t="shared" si="4"/>
        <v/>
      </c>
    </row>
    <row r="206" ht="14.25" customHeight="1">
      <c r="A206" s="28">
        <f>HYPERLINK("https://app.hubspot.com/contacts/8748051/record/0-1/128492694371", 128492694371)</f>
        <v>128492694371</v>
      </c>
      <c r="B206" s="24" t="s">
        <v>3663</v>
      </c>
      <c r="C206" s="26">
        <v>45847.496157407404</v>
      </c>
      <c r="D206" s="26"/>
      <c r="E206" s="28" t="s">
        <v>916</v>
      </c>
      <c r="F206" s="24"/>
      <c r="G206" s="35">
        <v>45847.0</v>
      </c>
      <c r="H206" s="35">
        <v>45853.0</v>
      </c>
      <c r="I206" s="35">
        <v>45853.0</v>
      </c>
      <c r="J206" s="24" t="s">
        <v>3664</v>
      </c>
      <c r="K206" s="24" t="s">
        <v>155</v>
      </c>
      <c r="L206" s="34"/>
      <c r="M206" s="28">
        <f>HYPERLINK("https://app.hubspot.com/contacts/8748051/record/0-2/9238306695", 9238306695)</f>
        <v>9238306695</v>
      </c>
      <c r="N206" s="24" t="s">
        <v>915</v>
      </c>
      <c r="O206" s="33">
        <f>HYPERLINK("https://app.hubspot.com/contacts/8748051/record/0-3/40250836559", 40250836559)</f>
        <v>40250836559</v>
      </c>
      <c r="P206" s="24" t="s">
        <v>914</v>
      </c>
      <c r="Q206" s="24" t="s">
        <v>51</v>
      </c>
      <c r="R206" s="24">
        <v>10000.0</v>
      </c>
      <c r="S206" s="24" t="b">
        <v>1</v>
      </c>
      <c r="T206" s="34" t="str">
        <f t="shared" ref="T206:V206" si="208">IF(G206&lt;&gt;"","Yes","")</f>
        <v>Yes</v>
      </c>
      <c r="U206" s="34" t="str">
        <f t="shared" si="208"/>
        <v>Yes</v>
      </c>
      <c r="V206" s="34" t="str">
        <f t="shared" si="208"/>
        <v>Yes</v>
      </c>
      <c r="W206" s="34" t="str">
        <f t="shared" si="3"/>
        <v/>
      </c>
      <c r="X206" s="24" t="str">
        <f t="shared" si="4"/>
        <v/>
      </c>
    </row>
    <row r="207" ht="14.25" customHeight="1">
      <c r="A207" s="28">
        <f>HYPERLINK("https://app.hubspot.com/contacts/8748051/record/0-1/135885052022", 135885052022)</f>
        <v>135885052022</v>
      </c>
      <c r="B207" s="24" t="s">
        <v>3665</v>
      </c>
      <c r="C207" s="26">
        <v>45846.48107638889</v>
      </c>
      <c r="D207" s="26"/>
      <c r="E207" s="28" t="s">
        <v>927</v>
      </c>
      <c r="F207" s="24"/>
      <c r="G207" s="35">
        <v>45846.0</v>
      </c>
      <c r="H207" s="35">
        <v>45848.0</v>
      </c>
      <c r="I207" s="35">
        <v>45848.0</v>
      </c>
      <c r="J207" s="24" t="s">
        <v>3236</v>
      </c>
      <c r="K207" s="24" t="s">
        <v>3237</v>
      </c>
      <c r="L207" s="34"/>
      <c r="M207" s="28">
        <f>HYPERLINK("https://app.hubspot.com/contacts/8748051/record/0-2/35873852551", 35873852551)</f>
        <v>35873852551</v>
      </c>
      <c r="N207" s="28" t="s">
        <v>926</v>
      </c>
      <c r="O207" s="33">
        <f>HYPERLINK("https://app.hubspot.com/contacts/8748051/record/0-3/39929995149", 39929995149)</f>
        <v>39929995149</v>
      </c>
      <c r="P207" s="24" t="s">
        <v>925</v>
      </c>
      <c r="Q207" s="24" t="s">
        <v>127</v>
      </c>
      <c r="R207" s="24">
        <v>25000.0</v>
      </c>
      <c r="S207" s="24" t="b">
        <v>1</v>
      </c>
      <c r="T207" s="34" t="str">
        <f t="shared" ref="T207:V207" si="209">IF(G207&lt;&gt;"","Yes","")</f>
        <v>Yes</v>
      </c>
      <c r="U207" s="34" t="str">
        <f t="shared" si="209"/>
        <v>Yes</v>
      </c>
      <c r="V207" s="34" t="str">
        <f t="shared" si="209"/>
        <v>Yes</v>
      </c>
      <c r="W207" s="34" t="str">
        <f t="shared" si="3"/>
        <v/>
      </c>
      <c r="X207" s="24" t="str">
        <f t="shared" si="4"/>
        <v/>
      </c>
    </row>
    <row r="208" ht="14.25" customHeight="1">
      <c r="A208" s="28">
        <f>HYPERLINK("https://app.hubspot.com/contacts/8748051/record/0-1/135820408435", 135820408435)</f>
        <v>135820408435</v>
      </c>
      <c r="B208" s="24" t="s">
        <v>3666</v>
      </c>
      <c r="C208" s="26">
        <v>45846.30287037037</v>
      </c>
      <c r="D208" s="26"/>
      <c r="E208" s="28" t="s">
        <v>930</v>
      </c>
      <c r="F208" s="24"/>
      <c r="G208" s="35">
        <v>45846.0</v>
      </c>
      <c r="H208" s="35">
        <v>45846.0</v>
      </c>
      <c r="I208" s="35">
        <v>45846.0</v>
      </c>
      <c r="J208" s="24" t="s">
        <v>3254</v>
      </c>
      <c r="K208" s="24" t="s">
        <v>3239</v>
      </c>
      <c r="L208" s="34"/>
      <c r="M208" s="28">
        <f>HYPERLINK("https://app.hubspot.com/contacts/8748051/record/0-2/35852040843", 35852040843)</f>
        <v>35852040843</v>
      </c>
      <c r="N208" s="24" t="s">
        <v>929</v>
      </c>
      <c r="O208" s="33">
        <f>HYPERLINK("https://app.hubspot.com/contacts/8748051/record/0-3/39855861805", 39855861805)</f>
        <v>39855861805</v>
      </c>
      <c r="P208" s="24" t="s">
        <v>928</v>
      </c>
      <c r="Q208" s="24" t="s">
        <v>73</v>
      </c>
      <c r="R208" s="24">
        <v>7500.0</v>
      </c>
      <c r="S208" s="24"/>
      <c r="T208" s="34" t="str">
        <f t="shared" ref="T208:V208" si="210">IF(G208&lt;&gt;"","Yes","")</f>
        <v>Yes</v>
      </c>
      <c r="U208" s="34" t="str">
        <f t="shared" si="210"/>
        <v>Yes</v>
      </c>
      <c r="V208" s="34" t="str">
        <f t="shared" si="210"/>
        <v>Yes</v>
      </c>
      <c r="W208" s="34" t="str">
        <f t="shared" si="3"/>
        <v/>
      </c>
      <c r="X208" s="24" t="str">
        <f t="shared" si="4"/>
        <v/>
      </c>
    </row>
    <row r="209" ht="14.25" customHeight="1">
      <c r="A209" s="28">
        <f>HYPERLINK("https://app.hubspot.com/contacts/8748051/record/0-1/135477027195", 135477027195)</f>
        <v>135477027195</v>
      </c>
      <c r="B209" s="24" t="s">
        <v>3667</v>
      </c>
      <c r="C209" s="26">
        <v>45845.1590625</v>
      </c>
      <c r="D209" s="26"/>
      <c r="E209" s="28" t="s">
        <v>1007</v>
      </c>
      <c r="F209" s="24"/>
      <c r="G209" s="35">
        <v>45845.0</v>
      </c>
      <c r="H209" s="35">
        <v>45846.0</v>
      </c>
      <c r="I209" s="35">
        <v>45846.0</v>
      </c>
      <c r="J209" s="24" t="s">
        <v>3668</v>
      </c>
      <c r="K209" s="24" t="s">
        <v>3469</v>
      </c>
      <c r="L209" s="34"/>
      <c r="M209" s="28">
        <f>HYPERLINK("https://app.hubspot.com/contacts/8748051/record/0-2/34645141515", 34645141515)</f>
        <v>34645141515</v>
      </c>
      <c r="N209" s="24" t="s">
        <v>1006</v>
      </c>
      <c r="O209" s="33">
        <f>HYPERLINK("https://app.hubspot.com/contacts/8748051/record/0-3/38434478902", 38434478902)</f>
        <v>38434478902</v>
      </c>
      <c r="P209" s="24" t="s">
        <v>1005</v>
      </c>
      <c r="Q209" s="24" t="s">
        <v>73</v>
      </c>
      <c r="R209" s="24">
        <v>32500.0</v>
      </c>
      <c r="S209" s="24"/>
      <c r="T209" s="34" t="str">
        <f t="shared" ref="T209:V209" si="211">IF(G209&lt;&gt;"","Yes","")</f>
        <v>Yes</v>
      </c>
      <c r="U209" s="34" t="str">
        <f t="shared" si="211"/>
        <v>Yes</v>
      </c>
      <c r="V209" s="34" t="str">
        <f t="shared" si="211"/>
        <v>Yes</v>
      </c>
      <c r="W209" s="34" t="str">
        <f t="shared" si="3"/>
        <v/>
      </c>
      <c r="X209" s="24" t="str">
        <f t="shared" si="4"/>
        <v/>
      </c>
    </row>
    <row r="210" ht="14.25" customHeight="1">
      <c r="A210" s="28">
        <f>HYPERLINK("https://app.hubspot.com/contacts/8748051/record/0-1/134760977003", 134760977003)</f>
        <v>134760977003</v>
      </c>
      <c r="B210" s="24" t="s">
        <v>3669</v>
      </c>
      <c r="C210" s="26">
        <v>45842.20831018518</v>
      </c>
      <c r="D210" s="26"/>
      <c r="E210" s="28" t="s">
        <v>933</v>
      </c>
      <c r="F210" s="24"/>
      <c r="G210" s="35">
        <v>45842.0</v>
      </c>
      <c r="H210" s="35">
        <v>45847.0</v>
      </c>
      <c r="I210" s="35"/>
      <c r="J210" s="24" t="s">
        <v>3670</v>
      </c>
      <c r="K210" s="24" t="s">
        <v>3239</v>
      </c>
      <c r="L210" s="34"/>
      <c r="M210" s="28">
        <f>HYPERLINK("https://app.hubspot.com/contacts/8748051/record/0-2/35716473420", 35716473420)</f>
        <v>35716473420</v>
      </c>
      <c r="N210" s="24" t="s">
        <v>932</v>
      </c>
      <c r="O210" s="33">
        <f>HYPERLINK("https://app.hubspot.com/contacts/8748051/record/0-3/39685011320", 39685011320)</f>
        <v>39685011320</v>
      </c>
      <c r="P210" s="24" t="s">
        <v>931</v>
      </c>
      <c r="Q210" s="24" t="s">
        <v>73</v>
      </c>
      <c r="R210" s="24">
        <v>5000.0</v>
      </c>
      <c r="S210" s="24"/>
      <c r="T210" s="34" t="str">
        <f t="shared" ref="T210:V210" si="212">IF(G210&lt;&gt;"","Yes","")</f>
        <v>Yes</v>
      </c>
      <c r="U210" s="34" t="str">
        <f t="shared" si="212"/>
        <v>Yes</v>
      </c>
      <c r="V210" s="34" t="str">
        <f t="shared" si="212"/>
        <v/>
      </c>
      <c r="W210" s="34" t="str">
        <f t="shared" si="3"/>
        <v/>
      </c>
      <c r="X210" s="24" t="str">
        <f t="shared" si="4"/>
        <v/>
      </c>
    </row>
    <row r="211" ht="14.25" customHeight="1">
      <c r="A211" s="28">
        <f>HYPERLINK("https://app.hubspot.com/contacts/8748051/record/0-1/134706354073", 134706354073)</f>
        <v>134706354073</v>
      </c>
      <c r="B211" s="24" t="s">
        <v>3671</v>
      </c>
      <c r="C211" s="26">
        <v>45842.01694444445</v>
      </c>
      <c r="D211" s="26"/>
      <c r="E211" s="28" t="s">
        <v>936</v>
      </c>
      <c r="F211" s="24"/>
      <c r="G211" s="35">
        <v>45842.0</v>
      </c>
      <c r="H211" s="35">
        <v>45848.0</v>
      </c>
      <c r="I211" s="35">
        <v>45848.0</v>
      </c>
      <c r="J211" s="24" t="s">
        <v>3672</v>
      </c>
      <c r="K211" s="24" t="s">
        <v>3245</v>
      </c>
      <c r="L211" s="34"/>
      <c r="M211" s="28">
        <f>HYPERLINK("https://app.hubspot.com/contacts/8748051/record/0-2/35714288133", 35714288133)</f>
        <v>35714288133</v>
      </c>
      <c r="N211" s="24" t="s">
        <v>935</v>
      </c>
      <c r="O211" s="33">
        <f>HYPERLINK("https://app.hubspot.com/contacts/8748051/record/0-3/39680299684", 39680299684)</f>
        <v>39680299684</v>
      </c>
      <c r="P211" s="24" t="s">
        <v>934</v>
      </c>
      <c r="Q211" s="24" t="s">
        <v>127</v>
      </c>
      <c r="R211" s="24">
        <v>7500.0</v>
      </c>
      <c r="S211" s="24" t="b">
        <v>1</v>
      </c>
      <c r="T211" s="34" t="str">
        <f t="shared" ref="T211:V211" si="213">IF(G211&lt;&gt;"","Yes","")</f>
        <v>Yes</v>
      </c>
      <c r="U211" s="34" t="str">
        <f t="shared" si="213"/>
        <v>Yes</v>
      </c>
      <c r="V211" s="34" t="str">
        <f t="shared" si="213"/>
        <v>Yes</v>
      </c>
      <c r="W211" s="34" t="str">
        <f t="shared" si="3"/>
        <v/>
      </c>
      <c r="X211" s="24" t="str">
        <f t="shared" si="4"/>
        <v/>
      </c>
    </row>
    <row r="212" ht="14.25" customHeight="1">
      <c r="A212" s="28">
        <f>HYPERLINK("https://app.hubspot.com/contacts/8748051/record/0-1/134425547553", 134425547553)</f>
        <v>134425547553</v>
      </c>
      <c r="B212" s="24" t="s">
        <v>3673</v>
      </c>
      <c r="C212" s="26">
        <v>45841.254224537035</v>
      </c>
      <c r="D212" s="26"/>
      <c r="E212" s="28" t="s">
        <v>943</v>
      </c>
      <c r="F212" s="24"/>
      <c r="G212" s="35">
        <v>45841.0</v>
      </c>
      <c r="H212" s="35">
        <v>45848.0</v>
      </c>
      <c r="I212" s="35">
        <v>45882.0</v>
      </c>
      <c r="J212" s="24" t="s">
        <v>3674</v>
      </c>
      <c r="K212" s="24" t="s">
        <v>155</v>
      </c>
      <c r="L212" s="34"/>
      <c r="M212" s="28">
        <f>HYPERLINK("https://app.hubspot.com/contacts/8748051/record/0-2/35677443192", 35677443192)</f>
        <v>35677443192</v>
      </c>
      <c r="N212" s="24" t="s">
        <v>942</v>
      </c>
      <c r="O212" s="33">
        <f>HYPERLINK("https://app.hubspot.com/contacts/8748051/record/0-3/39651087419", 39651087419)</f>
        <v>39651087419</v>
      </c>
      <c r="P212" s="24" t="s">
        <v>940</v>
      </c>
      <c r="Q212" s="24" t="s">
        <v>149</v>
      </c>
      <c r="R212" s="24">
        <v>15000.0</v>
      </c>
      <c r="S212" s="24" t="b">
        <v>1</v>
      </c>
      <c r="T212" s="34" t="str">
        <f t="shared" ref="T212:V212" si="214">IF(G212&lt;&gt;"","Yes","")</f>
        <v>Yes</v>
      </c>
      <c r="U212" s="34" t="str">
        <f t="shared" si="214"/>
        <v>Yes</v>
      </c>
      <c r="V212" s="34" t="str">
        <f t="shared" si="214"/>
        <v>Yes</v>
      </c>
      <c r="W212" s="34" t="str">
        <f t="shared" si="3"/>
        <v/>
      </c>
      <c r="X212" s="24" t="str">
        <f t="shared" si="4"/>
        <v>Yes</v>
      </c>
    </row>
    <row r="213" ht="14.25" customHeight="1">
      <c r="A213" s="28">
        <f>HYPERLINK("https://app.hubspot.com/contacts/8748051/record/0-1/134320656682", 134320656682)</f>
        <v>134320656682</v>
      </c>
      <c r="B213" s="24" t="s">
        <v>3675</v>
      </c>
      <c r="C213" s="26">
        <v>45840.87045138889</v>
      </c>
      <c r="D213" s="26"/>
      <c r="E213" s="28" t="s">
        <v>939</v>
      </c>
      <c r="F213" s="24"/>
      <c r="G213" s="35">
        <v>45841.0</v>
      </c>
      <c r="H213" s="35">
        <v>45842.0</v>
      </c>
      <c r="I213" s="35"/>
      <c r="J213" s="24" t="s">
        <v>3676</v>
      </c>
      <c r="K213" s="24" t="s">
        <v>155</v>
      </c>
      <c r="L213" s="34"/>
      <c r="M213" s="28">
        <f>HYPERLINK("https://app.hubspot.com/contacts/8748051/record/0-2/35652802098", 35652802098)</f>
        <v>35652802098</v>
      </c>
      <c r="N213" s="24" t="s">
        <v>938</v>
      </c>
      <c r="O213" s="33">
        <f>HYPERLINK("https://app.hubspot.com/contacts/8748051/record/0-3/39650960754", 39650960754)</f>
        <v>39650960754</v>
      </c>
      <c r="P213" s="24" t="s">
        <v>937</v>
      </c>
      <c r="Q213" s="24" t="s">
        <v>73</v>
      </c>
      <c r="R213" s="24">
        <v>3500.0</v>
      </c>
      <c r="S213" s="24"/>
      <c r="T213" s="34" t="str">
        <f t="shared" ref="T213:V213" si="215">IF(G213&lt;&gt;"","Yes","")</f>
        <v>Yes</v>
      </c>
      <c r="U213" s="34" t="str">
        <f t="shared" si="215"/>
        <v>Yes</v>
      </c>
      <c r="V213" s="34" t="str">
        <f t="shared" si="215"/>
        <v/>
      </c>
      <c r="W213" s="34" t="str">
        <f t="shared" si="3"/>
        <v/>
      </c>
      <c r="X213" s="24" t="str">
        <f t="shared" si="4"/>
        <v/>
      </c>
    </row>
    <row r="214" ht="14.25" customHeight="1">
      <c r="A214" s="28">
        <f>HYPERLINK("https://app.hubspot.com/contacts/8748051/record/0-1/477201", 477201)</f>
        <v>477201</v>
      </c>
      <c r="B214" s="24" t="s">
        <v>3677</v>
      </c>
      <c r="C214" s="26">
        <v>45838.64917824074</v>
      </c>
      <c r="D214" s="26"/>
      <c r="E214" s="28" t="s">
        <v>947</v>
      </c>
      <c r="F214" s="24"/>
      <c r="G214" s="35">
        <v>45839.0</v>
      </c>
      <c r="H214" s="35">
        <v>45848.0</v>
      </c>
      <c r="I214" s="35">
        <v>45848.0</v>
      </c>
      <c r="J214" s="24" t="s">
        <v>3678</v>
      </c>
      <c r="K214" s="24" t="s">
        <v>3242</v>
      </c>
      <c r="L214" s="34"/>
      <c r="M214" s="28">
        <f>HYPERLINK("https://app.hubspot.com/contacts/8748051/record/0-2/8303507885", 8303507885)</f>
        <v>8303507885</v>
      </c>
      <c r="N214" s="24" t="s">
        <v>946</v>
      </c>
      <c r="O214" s="33">
        <f>HYPERLINK("https://app.hubspot.com/contacts/8748051/record/0-3/39524397206", 39524397206)</f>
        <v>39524397206</v>
      </c>
      <c r="P214" s="24" t="s">
        <v>944</v>
      </c>
      <c r="Q214" s="24" t="s">
        <v>92</v>
      </c>
      <c r="R214" s="24">
        <v>35000.0</v>
      </c>
      <c r="S214" s="24" t="b">
        <v>1</v>
      </c>
      <c r="T214" s="34" t="str">
        <f t="shared" ref="T214:V214" si="216">IF(G214&lt;&gt;"","Yes","")</f>
        <v>Yes</v>
      </c>
      <c r="U214" s="34" t="str">
        <f t="shared" si="216"/>
        <v>Yes</v>
      </c>
      <c r="V214" s="34" t="str">
        <f t="shared" si="216"/>
        <v>Yes</v>
      </c>
      <c r="W214" s="34" t="str">
        <f t="shared" si="3"/>
        <v>Yes</v>
      </c>
      <c r="X214" s="24" t="str">
        <f t="shared" si="4"/>
        <v/>
      </c>
    </row>
    <row r="215" ht="14.25" customHeight="1">
      <c r="A215" s="28">
        <f>HYPERLINK("https://app.hubspot.com/contacts/8748051/record/0-1/133503354626", 133503354626)</f>
        <v>133503354626</v>
      </c>
      <c r="B215" s="24" t="s">
        <v>3679</v>
      </c>
      <c r="C215" s="26">
        <v>45838.28605324074</v>
      </c>
      <c r="D215" s="26"/>
      <c r="E215" s="28" t="s">
        <v>950</v>
      </c>
      <c r="F215" s="24"/>
      <c r="G215" s="35">
        <v>45838.0</v>
      </c>
      <c r="H215" s="35">
        <v>45846.0</v>
      </c>
      <c r="I215" s="35"/>
      <c r="J215" s="24" t="s">
        <v>155</v>
      </c>
      <c r="K215" s="24" t="s">
        <v>155</v>
      </c>
      <c r="L215" s="34"/>
      <c r="M215" s="28">
        <f>HYPERLINK("https://app.hubspot.com/contacts/8748051/record/0-2/35502416005", 35502416005)</f>
        <v>35502416005</v>
      </c>
      <c r="N215" s="24" t="s">
        <v>949</v>
      </c>
      <c r="O215" s="33">
        <f>HYPERLINK("https://app.hubspot.com/contacts/8748051/record/0-3/39493234444", 39493234444)</f>
        <v>39493234444</v>
      </c>
      <c r="P215" s="24" t="s">
        <v>948</v>
      </c>
      <c r="Q215" s="24" t="s">
        <v>73</v>
      </c>
      <c r="R215" s="24">
        <v>7000.0</v>
      </c>
      <c r="S215" s="24"/>
      <c r="T215" s="34" t="str">
        <f t="shared" ref="T215:V215" si="217">IF(G215&lt;&gt;"","Yes","")</f>
        <v>Yes</v>
      </c>
      <c r="U215" s="34" t="str">
        <f t="shared" si="217"/>
        <v>Yes</v>
      </c>
      <c r="V215" s="34" t="str">
        <f t="shared" si="217"/>
        <v/>
      </c>
      <c r="W215" s="34" t="str">
        <f t="shared" si="3"/>
        <v/>
      </c>
      <c r="X215" s="24" t="str">
        <f t="shared" si="4"/>
        <v/>
      </c>
    </row>
    <row r="216" ht="14.25" customHeight="1">
      <c r="A216" s="28">
        <f>HYPERLINK("https://app.hubspot.com/contacts/8748051/record/0-1/132689630055", 132689630055)</f>
        <v>132689630055</v>
      </c>
      <c r="B216" s="24" t="s">
        <v>3680</v>
      </c>
      <c r="C216" s="26">
        <v>45834.695231481484</v>
      </c>
      <c r="D216" s="26"/>
      <c r="E216" s="28" t="s">
        <v>953</v>
      </c>
      <c r="F216" s="24"/>
      <c r="G216" s="35">
        <v>45835.0</v>
      </c>
      <c r="H216" s="35">
        <v>45838.0</v>
      </c>
      <c r="I216" s="35"/>
      <c r="J216" s="24" t="s">
        <v>3681</v>
      </c>
      <c r="K216" s="24" t="s">
        <v>155</v>
      </c>
      <c r="L216" s="34"/>
      <c r="M216" s="33">
        <f>HYPERLINK("https://app.hubspot.com/contacts/8748051/record/0-2/8142764962", 8142764962)</f>
        <v>8142764962</v>
      </c>
      <c r="N216" s="24" t="s">
        <v>952</v>
      </c>
      <c r="O216" s="33">
        <f>HYPERLINK("https://app.hubspot.com/contacts/8748051/record/0-3/39358096402", 39358096402)</f>
        <v>39358096402</v>
      </c>
      <c r="P216" s="24" t="s">
        <v>951</v>
      </c>
      <c r="Q216" s="24" t="s">
        <v>73</v>
      </c>
      <c r="R216" s="24">
        <v>100000.0</v>
      </c>
      <c r="S216" s="24"/>
      <c r="T216" s="34" t="str">
        <f t="shared" ref="T216:V216" si="218">IF(G216&lt;&gt;"","Yes","")</f>
        <v>Yes</v>
      </c>
      <c r="U216" s="34" t="str">
        <f t="shared" si="218"/>
        <v>Yes</v>
      </c>
      <c r="V216" s="34" t="str">
        <f t="shared" si="218"/>
        <v/>
      </c>
      <c r="W216" s="34" t="str">
        <f t="shared" si="3"/>
        <v/>
      </c>
      <c r="X216" s="24" t="str">
        <f t="shared" si="4"/>
        <v/>
      </c>
    </row>
    <row r="217" ht="14.25" customHeight="1">
      <c r="A217" s="28">
        <f>HYPERLINK("https://app.hubspot.com/contacts/8748051/record/0-1/132109195822", 132109195822)</f>
        <v>132109195822</v>
      </c>
      <c r="B217" s="24" t="s">
        <v>3682</v>
      </c>
      <c r="C217" s="26">
        <v>45832.5783912037</v>
      </c>
      <c r="D217" s="26"/>
      <c r="E217" s="28" t="s">
        <v>961</v>
      </c>
      <c r="F217" s="24"/>
      <c r="G217" s="35">
        <v>45833.0</v>
      </c>
      <c r="H217" s="35">
        <v>45834.0</v>
      </c>
      <c r="I217" s="35">
        <v>45834.0</v>
      </c>
      <c r="J217" s="24" t="s">
        <v>3683</v>
      </c>
      <c r="K217" s="24" t="s">
        <v>155</v>
      </c>
      <c r="L217" s="34"/>
      <c r="M217" s="28">
        <f>HYPERLINK("https://app.hubspot.com/contacts/8748051/record/0-2/35404479570", 35404479570)</f>
        <v>35404479570</v>
      </c>
      <c r="N217" s="24" t="s">
        <v>960</v>
      </c>
      <c r="O217" s="33">
        <f>HYPERLINK("https://app.hubspot.com/contacts/8748051/record/0-3/39253037614", 39253037614)</f>
        <v>39253037614</v>
      </c>
      <c r="P217" s="24" t="s">
        <v>958</v>
      </c>
      <c r="Q217" s="24" t="s">
        <v>92</v>
      </c>
      <c r="R217" s="24">
        <v>15000.0</v>
      </c>
      <c r="S217" s="24" t="b">
        <v>1</v>
      </c>
      <c r="T217" s="34" t="str">
        <f t="shared" ref="T217:V217" si="219">IF(G217&lt;&gt;"","Yes","")</f>
        <v>Yes</v>
      </c>
      <c r="U217" s="34" t="str">
        <f t="shared" si="219"/>
        <v>Yes</v>
      </c>
      <c r="V217" s="34" t="str">
        <f t="shared" si="219"/>
        <v>Yes</v>
      </c>
      <c r="W217" s="34" t="str">
        <f t="shared" si="3"/>
        <v>Yes</v>
      </c>
      <c r="X217" s="24" t="str">
        <f t="shared" si="4"/>
        <v/>
      </c>
    </row>
    <row r="218" ht="14.25" customHeight="1">
      <c r="A218" s="28">
        <f>HYPERLINK("https://app.hubspot.com/contacts/8748051/record/0-1/132072030477", 132072030477)</f>
        <v>132072030477</v>
      </c>
      <c r="B218" s="24" t="s">
        <v>3684</v>
      </c>
      <c r="C218" s="26">
        <v>45832.42916666667</v>
      </c>
      <c r="D218" s="26"/>
      <c r="E218" s="28" t="s">
        <v>966</v>
      </c>
      <c r="F218" s="24"/>
      <c r="G218" s="35">
        <v>45832.0</v>
      </c>
      <c r="H218" s="35">
        <v>45834.0</v>
      </c>
      <c r="I218" s="35">
        <v>45834.0</v>
      </c>
      <c r="J218" s="24" t="s">
        <v>3664</v>
      </c>
      <c r="K218" s="24" t="s">
        <v>155</v>
      </c>
      <c r="L218" s="34"/>
      <c r="M218" s="28">
        <f>HYPERLINK("https://app.hubspot.com/contacts/8748051/record/0-2/19176660880", 19176660880)</f>
        <v>19176660880</v>
      </c>
      <c r="N218" s="24" t="s">
        <v>965</v>
      </c>
      <c r="O218" s="28">
        <f>HYPERLINK("https://app.hubspot.com/contacts/8748051/record/0-3/39253601357", 39253601357)</f>
        <v>39253601357</v>
      </c>
      <c r="P218" s="24" t="s">
        <v>964</v>
      </c>
      <c r="Q218" s="24" t="s">
        <v>73</v>
      </c>
      <c r="R218" s="24">
        <v>19000.0</v>
      </c>
      <c r="S218" s="24"/>
      <c r="T218" s="34" t="str">
        <f t="shared" ref="T218:V218" si="220">IF(G218&lt;&gt;"","Yes","")</f>
        <v>Yes</v>
      </c>
      <c r="U218" s="34" t="str">
        <f t="shared" si="220"/>
        <v>Yes</v>
      </c>
      <c r="V218" s="34" t="str">
        <f t="shared" si="220"/>
        <v>Yes</v>
      </c>
      <c r="W218" s="34" t="str">
        <f t="shared" si="3"/>
        <v/>
      </c>
      <c r="X218" s="24" t="str">
        <f t="shared" si="4"/>
        <v/>
      </c>
    </row>
    <row r="219" ht="14.25" customHeight="1">
      <c r="A219" s="28">
        <f>HYPERLINK("https://app.hubspot.com/contacts/8748051/record/0-1/131414577046", 131414577046)</f>
        <v>131414577046</v>
      </c>
      <c r="B219" s="24" t="s">
        <v>3685</v>
      </c>
      <c r="C219" s="26">
        <v>45830.361875</v>
      </c>
      <c r="D219" s="26"/>
      <c r="E219" s="28" t="s">
        <v>973</v>
      </c>
      <c r="F219" s="24"/>
      <c r="G219" s="35">
        <v>45830.0</v>
      </c>
      <c r="H219" s="35">
        <v>45838.0</v>
      </c>
      <c r="I219" s="35">
        <v>45838.0</v>
      </c>
      <c r="J219" s="24" t="s">
        <v>3686</v>
      </c>
      <c r="K219" s="24" t="s">
        <v>155</v>
      </c>
      <c r="L219" s="34"/>
      <c r="M219" s="28">
        <f>HYPERLINK("https://app.hubspot.com/contacts/8748051/record/0-2/35271236145", 35271236145)</f>
        <v>35271236145</v>
      </c>
      <c r="N219" s="24" t="s">
        <v>972</v>
      </c>
      <c r="O219" s="33">
        <f>HYPERLINK("https://app.hubspot.com/contacts/8748051/record/0-3/39208575374", 39208575374)</f>
        <v>39208575374</v>
      </c>
      <c r="P219" s="24" t="s">
        <v>971</v>
      </c>
      <c r="Q219" s="24" t="s">
        <v>73</v>
      </c>
      <c r="R219" s="24">
        <v>6500.0</v>
      </c>
      <c r="S219" s="24"/>
      <c r="T219" s="34" t="str">
        <f t="shared" ref="T219:V219" si="221">IF(G219&lt;&gt;"","Yes","")</f>
        <v>Yes</v>
      </c>
      <c r="U219" s="34" t="str">
        <f t="shared" si="221"/>
        <v>Yes</v>
      </c>
      <c r="V219" s="34" t="str">
        <f t="shared" si="221"/>
        <v>Yes</v>
      </c>
      <c r="W219" s="34" t="str">
        <f t="shared" si="3"/>
        <v/>
      </c>
      <c r="X219" s="24" t="str">
        <f t="shared" si="4"/>
        <v/>
      </c>
    </row>
    <row r="220" ht="14.25" customHeight="1">
      <c r="A220" s="28">
        <f>HYPERLINK("https://app.hubspot.com/contacts/8748051/record/0-1/618352", 618352)</f>
        <v>618352</v>
      </c>
      <c r="B220" s="24" t="s">
        <v>3687</v>
      </c>
      <c r="C220" s="26">
        <v>45828.7021875</v>
      </c>
      <c r="D220" s="26"/>
      <c r="E220" s="28" t="s">
        <v>979</v>
      </c>
      <c r="F220" s="24"/>
      <c r="G220" s="35">
        <v>45829.0</v>
      </c>
      <c r="H220" s="35">
        <v>45888.0</v>
      </c>
      <c r="I220" s="35">
        <v>45888.0</v>
      </c>
      <c r="J220" s="24" t="s">
        <v>3688</v>
      </c>
      <c r="K220" s="24" t="s">
        <v>155</v>
      </c>
      <c r="L220" s="34"/>
      <c r="M220" s="28">
        <f>HYPERLINK("https://app.hubspot.com/contacts/8748051/record/0-2/9016989477", 9016989477)</f>
        <v>9016989477</v>
      </c>
      <c r="N220" s="24" t="s">
        <v>978</v>
      </c>
      <c r="O220" s="33">
        <f>HYPERLINK("https://app.hubspot.com/contacts/8748051/record/0-3/39019144489", 39019144489)</f>
        <v>39019144489</v>
      </c>
      <c r="P220" s="24" t="s">
        <v>977</v>
      </c>
      <c r="Q220" s="24" t="s">
        <v>127</v>
      </c>
      <c r="R220" s="24">
        <v>70000.0</v>
      </c>
      <c r="S220" s="24" t="b">
        <v>1</v>
      </c>
      <c r="T220" s="34" t="str">
        <f t="shared" ref="T220:V220" si="222">IF(G220&lt;&gt;"","Yes","")</f>
        <v>Yes</v>
      </c>
      <c r="U220" s="34" t="str">
        <f t="shared" si="222"/>
        <v>Yes</v>
      </c>
      <c r="V220" s="34" t="str">
        <f t="shared" si="222"/>
        <v>Yes</v>
      </c>
      <c r="W220" s="34" t="str">
        <f t="shared" si="3"/>
        <v/>
      </c>
      <c r="X220" s="24" t="str">
        <f t="shared" si="4"/>
        <v/>
      </c>
    </row>
    <row r="221" ht="14.25" customHeight="1">
      <c r="A221" s="28">
        <f>HYPERLINK("https://app.hubspot.com/contacts/8748051/record/0-1/130888616119", 130888616119)</f>
        <v>130888616119</v>
      </c>
      <c r="B221" s="24" t="s">
        <v>3689</v>
      </c>
      <c r="C221" s="26">
        <v>45828.39976851852</v>
      </c>
      <c r="D221" s="26"/>
      <c r="E221" s="28" t="s">
        <v>3690</v>
      </c>
      <c r="F221" s="24" t="s">
        <v>3304</v>
      </c>
      <c r="G221" s="35"/>
      <c r="H221" s="35"/>
      <c r="I221" s="35"/>
      <c r="J221" s="24" t="s">
        <v>3691</v>
      </c>
      <c r="K221" s="24"/>
      <c r="L221" s="34"/>
      <c r="M221" s="28">
        <f>HYPERLINK("https://app.hubspot.com/contacts/8748051/record/0-2/35252240423", 35252240423)</f>
        <v>35252240423</v>
      </c>
      <c r="N221" s="28" t="s">
        <v>3690</v>
      </c>
      <c r="O221" s="24"/>
      <c r="P221" s="24"/>
      <c r="Q221" s="24"/>
      <c r="R221" s="24"/>
      <c r="S221" s="24"/>
      <c r="T221" s="34" t="str">
        <f t="shared" ref="T221:V221" si="223">IF(G221&lt;&gt;"","Yes","")</f>
        <v/>
      </c>
      <c r="U221" s="34" t="str">
        <f t="shared" si="223"/>
        <v/>
      </c>
      <c r="V221" s="34" t="str">
        <f t="shared" si="223"/>
        <v/>
      </c>
      <c r="W221" s="34" t="str">
        <f t="shared" si="3"/>
        <v/>
      </c>
      <c r="X221" s="24" t="str">
        <f t="shared" si="4"/>
        <v/>
      </c>
    </row>
    <row r="222" ht="14.25" customHeight="1">
      <c r="A222" s="28">
        <f>HYPERLINK("https://app.hubspot.com/contacts/8748051/record/0-1/130532751929", 130532751929)</f>
        <v>130532751929</v>
      </c>
      <c r="B222" s="24" t="s">
        <v>3692</v>
      </c>
      <c r="C222" s="26">
        <v>45826.58363425926</v>
      </c>
      <c r="D222" s="26"/>
      <c r="E222" s="28" t="s">
        <v>976</v>
      </c>
      <c r="F222" s="24"/>
      <c r="G222" s="35">
        <v>45827.0</v>
      </c>
      <c r="H222" s="35">
        <v>45832.0</v>
      </c>
      <c r="I222" s="35">
        <v>45832.0</v>
      </c>
      <c r="J222" s="24" t="s">
        <v>3693</v>
      </c>
      <c r="K222" s="24" t="s">
        <v>3469</v>
      </c>
      <c r="L222" s="34"/>
      <c r="M222" s="28">
        <f>HYPERLINK("https://app.hubspot.com/contacts/8748051/record/0-2/7914547487", 7914547487)</f>
        <v>7914547487</v>
      </c>
      <c r="N222" s="24" t="s">
        <v>975</v>
      </c>
      <c r="O222" s="33">
        <f>HYPERLINK("https://app.hubspot.com/contacts/8748051/record/0-3/39016902017", 39016902017)</f>
        <v>39016902017</v>
      </c>
      <c r="P222" s="24" t="s">
        <v>974</v>
      </c>
      <c r="Q222" s="24" t="s">
        <v>127</v>
      </c>
      <c r="R222" s="24">
        <v>40500.0</v>
      </c>
      <c r="S222" s="24" t="b">
        <v>1</v>
      </c>
      <c r="T222" s="34" t="str">
        <f t="shared" ref="T222:V222" si="224">IF(G222&lt;&gt;"","Yes","")</f>
        <v>Yes</v>
      </c>
      <c r="U222" s="34" t="str">
        <f t="shared" si="224"/>
        <v>Yes</v>
      </c>
      <c r="V222" s="34" t="str">
        <f t="shared" si="224"/>
        <v>Yes</v>
      </c>
      <c r="W222" s="34" t="str">
        <f t="shared" si="3"/>
        <v/>
      </c>
      <c r="X222" s="24" t="str">
        <f t="shared" si="4"/>
        <v/>
      </c>
    </row>
    <row r="223" ht="14.25" customHeight="1">
      <c r="A223" s="28">
        <f>HYPERLINK("https://app.hubspot.com/contacts/8748051/record/0-1/128981663015", 128981663015)</f>
        <v>128981663015</v>
      </c>
      <c r="B223" s="24" t="s">
        <v>3694</v>
      </c>
      <c r="C223" s="26">
        <v>45824.111134259256</v>
      </c>
      <c r="D223" s="26"/>
      <c r="E223" s="28" t="s">
        <v>983</v>
      </c>
      <c r="F223" s="24"/>
      <c r="G223" s="35">
        <v>45824.0</v>
      </c>
      <c r="H223" s="35">
        <v>45838.0</v>
      </c>
      <c r="I223" s="35">
        <v>45838.0</v>
      </c>
      <c r="J223" s="24" t="s">
        <v>3695</v>
      </c>
      <c r="K223" s="24" t="s">
        <v>155</v>
      </c>
      <c r="L223" s="34"/>
      <c r="M223" s="28">
        <f>HYPERLINK("https://app.hubspot.com/contacts/8748051/record/0-2/35097416855", 35097416855)</f>
        <v>35097416855</v>
      </c>
      <c r="N223" s="24" t="s">
        <v>982</v>
      </c>
      <c r="O223" s="33">
        <f>HYPERLINK("https://app.hubspot.com/contacts/8748051/record/0-3/38959354216", 38959354216)</f>
        <v>38959354216</v>
      </c>
      <c r="P223" s="24" t="s">
        <v>981</v>
      </c>
      <c r="Q223" s="24" t="s">
        <v>73</v>
      </c>
      <c r="R223" s="24">
        <v>4000.0</v>
      </c>
      <c r="S223" s="24"/>
      <c r="T223" s="34" t="str">
        <f t="shared" ref="T223:V223" si="225">IF(G223&lt;&gt;"","Yes","")</f>
        <v>Yes</v>
      </c>
      <c r="U223" s="34" t="str">
        <f t="shared" si="225"/>
        <v>Yes</v>
      </c>
      <c r="V223" s="34" t="str">
        <f t="shared" si="225"/>
        <v>Yes</v>
      </c>
      <c r="W223" s="34" t="str">
        <f t="shared" si="3"/>
        <v/>
      </c>
      <c r="X223" s="24" t="str">
        <f t="shared" si="4"/>
        <v/>
      </c>
    </row>
    <row r="224" ht="14.25" customHeight="1">
      <c r="A224" s="28">
        <f>HYPERLINK("https://app.hubspot.com/contacts/8748051/record/0-1/129516484148", 129516484148)</f>
        <v>129516484148</v>
      </c>
      <c r="B224" s="24" t="s">
        <v>3696</v>
      </c>
      <c r="C224" s="26">
        <v>45823.32171296296</v>
      </c>
      <c r="D224" s="26"/>
      <c r="E224" s="28" t="s">
        <v>3697</v>
      </c>
      <c r="F224" s="24" t="s">
        <v>3304</v>
      </c>
      <c r="G224" s="35"/>
      <c r="H224" s="35"/>
      <c r="I224" s="35"/>
      <c r="J224" s="24" t="s">
        <v>3698</v>
      </c>
      <c r="K224" s="24"/>
      <c r="L224" s="34"/>
      <c r="M224" s="28">
        <f>HYPERLINK("https://app.hubspot.com/contacts/8748051/record/0-2/35085375382", 35085375382)</f>
        <v>35085375382</v>
      </c>
      <c r="N224" s="28" t="s">
        <v>3699</v>
      </c>
      <c r="O224" s="24"/>
      <c r="P224" s="24"/>
      <c r="Q224" s="24"/>
      <c r="R224" s="24"/>
      <c r="S224" s="24"/>
      <c r="T224" s="34" t="str">
        <f t="shared" ref="T224:V224" si="226">IF(G224&lt;&gt;"","Yes","")</f>
        <v/>
      </c>
      <c r="U224" s="34" t="str">
        <f t="shared" si="226"/>
        <v/>
      </c>
      <c r="V224" s="34" t="str">
        <f t="shared" si="226"/>
        <v/>
      </c>
      <c r="W224" s="34" t="str">
        <f t="shared" si="3"/>
        <v/>
      </c>
      <c r="X224" s="24" t="str">
        <f t="shared" si="4"/>
        <v/>
      </c>
    </row>
    <row r="225" ht="14.25" customHeight="1">
      <c r="A225" s="28">
        <f>HYPERLINK("https://app.hubspot.com/contacts/8748051/record/0-1/129403190292", 129403190292)</f>
        <v>129403190292</v>
      </c>
      <c r="B225" s="24" t="s">
        <v>3700</v>
      </c>
      <c r="C225" s="26">
        <v>45822.589594907404</v>
      </c>
      <c r="D225" s="26"/>
      <c r="E225" s="28" t="s">
        <v>3701</v>
      </c>
      <c r="F225" s="24" t="s">
        <v>3304</v>
      </c>
      <c r="G225" s="35"/>
      <c r="H225" s="35"/>
      <c r="I225" s="35"/>
      <c r="J225" s="24" t="s">
        <v>3702</v>
      </c>
      <c r="K225" s="24"/>
      <c r="L225" s="34"/>
      <c r="M225" s="28">
        <f>HYPERLINK("https://app.hubspot.com/contacts/8748051/record/0-2/35058105742", 35058105742)</f>
        <v>35058105742</v>
      </c>
      <c r="N225" s="24" t="s">
        <v>3703</v>
      </c>
      <c r="O225" s="24"/>
      <c r="P225" s="24"/>
      <c r="Q225" s="24"/>
      <c r="R225" s="24"/>
      <c r="S225" s="24"/>
      <c r="T225" s="34" t="str">
        <f t="shared" ref="T225:V225" si="227">IF(G225&lt;&gt;"","Yes","")</f>
        <v/>
      </c>
      <c r="U225" s="34" t="str">
        <f t="shared" si="227"/>
        <v/>
      </c>
      <c r="V225" s="34" t="str">
        <f t="shared" si="227"/>
        <v/>
      </c>
      <c r="W225" s="34" t="str">
        <f t="shared" si="3"/>
        <v/>
      </c>
      <c r="X225" s="24" t="str">
        <f t="shared" si="4"/>
        <v/>
      </c>
    </row>
    <row r="226" ht="14.25" customHeight="1">
      <c r="A226" s="28">
        <f>HYPERLINK("https://app.hubspot.com/contacts/8748051/record/0-1/129050705278", 129050705278)</f>
        <v>129050705278</v>
      </c>
      <c r="B226" s="24" t="s">
        <v>3704</v>
      </c>
      <c r="C226" s="26">
        <v>45820.69505787037</v>
      </c>
      <c r="D226" s="26"/>
      <c r="E226" s="28" t="s">
        <v>990</v>
      </c>
      <c r="F226" s="24"/>
      <c r="G226" s="35">
        <v>45821.0</v>
      </c>
      <c r="H226" s="35">
        <v>45821.0</v>
      </c>
      <c r="I226" s="35">
        <v>45821.0</v>
      </c>
      <c r="J226" s="24" t="s">
        <v>3705</v>
      </c>
      <c r="K226" s="24" t="s">
        <v>155</v>
      </c>
      <c r="L226" s="34"/>
      <c r="M226" s="28">
        <f>HYPERLINK("https://app.hubspot.com/contacts/8748051/record/0-2/35012615804", 35012615804)</f>
        <v>35012615804</v>
      </c>
      <c r="N226" s="24" t="s">
        <v>989</v>
      </c>
      <c r="O226" s="33">
        <f>HYPERLINK("https://app.hubspot.com/contacts/8748051/record/0-3/38824171154", 38824171154)</f>
        <v>38824171154</v>
      </c>
      <c r="P226" s="24" t="s">
        <v>987</v>
      </c>
      <c r="Q226" s="24" t="s">
        <v>92</v>
      </c>
      <c r="R226" s="24">
        <v>7500.0</v>
      </c>
      <c r="S226" s="24" t="b">
        <v>1</v>
      </c>
      <c r="T226" s="34" t="str">
        <f t="shared" ref="T226:V226" si="228">IF(G226&lt;&gt;"","Yes","")</f>
        <v>Yes</v>
      </c>
      <c r="U226" s="34" t="str">
        <f t="shared" si="228"/>
        <v>Yes</v>
      </c>
      <c r="V226" s="34" t="str">
        <f t="shared" si="228"/>
        <v>Yes</v>
      </c>
      <c r="W226" s="34" t="str">
        <f t="shared" si="3"/>
        <v>Yes</v>
      </c>
      <c r="X226" s="24" t="str">
        <f t="shared" si="4"/>
        <v/>
      </c>
    </row>
    <row r="227" ht="14.25" customHeight="1">
      <c r="A227" s="28">
        <f>HYPERLINK("https://app.hubspot.com/contacts/8748051/record/0-1/918551", 918551)</f>
        <v>918551</v>
      </c>
      <c r="B227" s="24" t="s">
        <v>3706</v>
      </c>
      <c r="C227" s="26">
        <v>45819.702314814815</v>
      </c>
      <c r="D227" s="26"/>
      <c r="E227" s="28" t="s">
        <v>979</v>
      </c>
      <c r="F227" s="24"/>
      <c r="G227" s="35">
        <v>45820.0</v>
      </c>
      <c r="H227" s="35">
        <v>45826.0</v>
      </c>
      <c r="I227" s="35">
        <v>45826.0</v>
      </c>
      <c r="J227" s="24" t="s">
        <v>3707</v>
      </c>
      <c r="K227" s="24" t="s">
        <v>3707</v>
      </c>
      <c r="L227" s="34"/>
      <c r="M227" s="28">
        <f>HYPERLINK("https://app.hubspot.com/contacts/8748051/record/0-2/9016989477", 9016989477)</f>
        <v>9016989477</v>
      </c>
      <c r="N227" s="24" t="s">
        <v>978</v>
      </c>
      <c r="O227" s="28">
        <f>HYPERLINK("https://app.hubspot.com/contacts/8748051/record/0-3/39019144489", 39019144489)</f>
        <v>39019144489</v>
      </c>
      <c r="P227" s="24" t="s">
        <v>977</v>
      </c>
      <c r="Q227" s="24" t="s">
        <v>127</v>
      </c>
      <c r="R227" s="24">
        <v>70000.0</v>
      </c>
      <c r="S227" s="24" t="b">
        <v>1</v>
      </c>
      <c r="T227" s="34" t="str">
        <f t="shared" ref="T227:V227" si="229">IF(G227&lt;&gt;"","Yes","")</f>
        <v>Yes</v>
      </c>
      <c r="U227" s="34" t="str">
        <f t="shared" si="229"/>
        <v>Yes</v>
      </c>
      <c r="V227" s="34" t="str">
        <f t="shared" si="229"/>
        <v>Yes</v>
      </c>
      <c r="W227" s="34" t="str">
        <f t="shared" si="3"/>
        <v/>
      </c>
      <c r="X227" s="24" t="str">
        <f t="shared" si="4"/>
        <v/>
      </c>
    </row>
    <row r="228" ht="14.25" customHeight="1">
      <c r="A228" s="28">
        <f>HYPERLINK("https://app.hubspot.com/contacts/8748051/record/0-1/128720223635", 128720223635)</f>
        <v>128720223635</v>
      </c>
      <c r="B228" s="24" t="s">
        <v>3708</v>
      </c>
      <c r="C228" s="26">
        <v>45819.586539351854</v>
      </c>
      <c r="D228" s="26"/>
      <c r="E228" s="28" t="s">
        <v>994</v>
      </c>
      <c r="F228" s="24"/>
      <c r="G228" s="35">
        <v>45819.0</v>
      </c>
      <c r="H228" s="35">
        <v>45826.0</v>
      </c>
      <c r="I228" s="35">
        <v>45826.0</v>
      </c>
      <c r="J228" s="24" t="s">
        <v>3709</v>
      </c>
      <c r="K228" s="24" t="s">
        <v>3242</v>
      </c>
      <c r="L228" s="24"/>
      <c r="M228" s="28">
        <f>HYPERLINK("https://app.hubspot.com/contacts/8748051/record/0-2/34978412171", 34978412171)</f>
        <v>34978412171</v>
      </c>
      <c r="N228" s="24" t="s">
        <v>993</v>
      </c>
      <c r="O228" s="28">
        <f>HYPERLINK("https://app.hubspot.com/contacts/8748051/record/0-3/38775189683", 38775189683)</f>
        <v>38775189683</v>
      </c>
      <c r="P228" s="24" t="s">
        <v>992</v>
      </c>
      <c r="Q228" s="24" t="s">
        <v>127</v>
      </c>
      <c r="R228" s="24">
        <v>49500.0</v>
      </c>
      <c r="S228" s="24" t="b">
        <v>1</v>
      </c>
      <c r="T228" s="34" t="str">
        <f t="shared" ref="T228:V228" si="230">IF(G228&lt;&gt;"","Yes","")</f>
        <v>Yes</v>
      </c>
      <c r="U228" s="34" t="str">
        <f t="shared" si="230"/>
        <v>Yes</v>
      </c>
      <c r="V228" s="34" t="str">
        <f t="shared" si="230"/>
        <v>Yes</v>
      </c>
      <c r="W228" s="34" t="str">
        <f t="shared" si="3"/>
        <v/>
      </c>
      <c r="X228" s="24" t="str">
        <f t="shared" si="4"/>
        <v/>
      </c>
    </row>
    <row r="229" ht="14.25" customHeight="1">
      <c r="A229" s="28">
        <f>HYPERLINK("https://app.hubspot.com/contacts/8748051/record/0-1/128651748759", 128651748759)</f>
        <v>128651748759</v>
      </c>
      <c r="B229" s="24" t="s">
        <v>3710</v>
      </c>
      <c r="C229" s="26">
        <v>45819.080034722225</v>
      </c>
      <c r="D229" s="26"/>
      <c r="E229" s="28" t="s">
        <v>3711</v>
      </c>
      <c r="F229" s="24" t="s">
        <v>3304</v>
      </c>
      <c r="G229" s="35"/>
      <c r="H229" s="35"/>
      <c r="I229" s="35"/>
      <c r="J229" s="24" t="s">
        <v>3712</v>
      </c>
      <c r="K229" s="24"/>
      <c r="L229" s="34"/>
      <c r="M229" s="28">
        <f>HYPERLINK("https://app.hubspot.com/contacts/8748051/record/0-2/9238374038", 9238374038)</f>
        <v>9238374038</v>
      </c>
      <c r="N229" s="24" t="s">
        <v>3713</v>
      </c>
      <c r="O229" s="34"/>
      <c r="P229" s="24"/>
      <c r="Q229" s="24"/>
      <c r="R229" s="24"/>
      <c r="S229" s="24"/>
      <c r="T229" s="34" t="str">
        <f t="shared" ref="T229:V229" si="231">IF(G229&lt;&gt;"","Yes","")</f>
        <v/>
      </c>
      <c r="U229" s="34" t="str">
        <f t="shared" si="231"/>
        <v/>
      </c>
      <c r="V229" s="34" t="str">
        <f t="shared" si="231"/>
        <v/>
      </c>
      <c r="W229" s="34" t="str">
        <f t="shared" si="3"/>
        <v/>
      </c>
      <c r="X229" s="24" t="str">
        <f t="shared" si="4"/>
        <v/>
      </c>
    </row>
    <row r="230" ht="14.25" customHeight="1">
      <c r="A230" s="28">
        <f>HYPERLINK("https://app.hubspot.com/contacts/8748051/record/0-1/127706756922", 127706756922)</f>
        <v>127706756922</v>
      </c>
      <c r="B230" s="24" t="s">
        <v>3714</v>
      </c>
      <c r="C230" s="26">
        <v>45814.5747337963</v>
      </c>
      <c r="D230" s="26"/>
      <c r="E230" s="28" t="s">
        <v>997</v>
      </c>
      <c r="F230" s="24"/>
      <c r="G230" s="35">
        <v>45814.0</v>
      </c>
      <c r="H230" s="35">
        <v>45828.0</v>
      </c>
      <c r="I230" s="35">
        <v>45828.0</v>
      </c>
      <c r="J230" s="24" t="s">
        <v>3715</v>
      </c>
      <c r="K230" s="24" t="s">
        <v>3248</v>
      </c>
      <c r="L230" s="24"/>
      <c r="M230" s="28">
        <f>HYPERLINK("https://app.hubspot.com/contacts/8748051/record/0-2/34789099193", 34789099193)</f>
        <v>34789099193</v>
      </c>
      <c r="N230" s="24" t="s">
        <v>996</v>
      </c>
      <c r="O230" s="33">
        <f>HYPERLINK("https://app.hubspot.com/contacts/8748051/record/0-3/38643597239", 38643597239)</f>
        <v>38643597239</v>
      </c>
      <c r="P230" s="24" t="s">
        <v>995</v>
      </c>
      <c r="Q230" s="24" t="s">
        <v>127</v>
      </c>
      <c r="R230" s="24">
        <v>7000.0</v>
      </c>
      <c r="S230" s="24" t="b">
        <v>1</v>
      </c>
      <c r="T230" s="34" t="str">
        <f t="shared" ref="T230:V230" si="232">IF(G230&lt;&gt;"","Yes","")</f>
        <v>Yes</v>
      </c>
      <c r="U230" s="34" t="str">
        <f t="shared" si="232"/>
        <v>Yes</v>
      </c>
      <c r="V230" s="34" t="str">
        <f t="shared" si="232"/>
        <v>Yes</v>
      </c>
      <c r="W230" s="34" t="str">
        <f t="shared" si="3"/>
        <v/>
      </c>
      <c r="X230" s="24" t="str">
        <f t="shared" si="4"/>
        <v/>
      </c>
    </row>
    <row r="231" ht="14.25" customHeight="1">
      <c r="A231" s="28">
        <f>HYPERLINK("https://app.hubspot.com/contacts/8748051/record/0-1/1698103", 1698103)</f>
        <v>1698103</v>
      </c>
      <c r="B231" s="24" t="s">
        <v>3716</v>
      </c>
      <c r="C231" s="26">
        <v>45813.65594907408</v>
      </c>
      <c r="D231" s="26"/>
      <c r="E231" s="28" t="s">
        <v>1004</v>
      </c>
      <c r="F231" s="24"/>
      <c r="G231" s="35">
        <v>45814.0</v>
      </c>
      <c r="H231" s="35">
        <v>45821.0</v>
      </c>
      <c r="I231" s="35">
        <v>45821.0</v>
      </c>
      <c r="J231" s="24" t="s">
        <v>1072</v>
      </c>
      <c r="K231" s="24" t="s">
        <v>3242</v>
      </c>
      <c r="L231" s="34"/>
      <c r="M231" s="28">
        <f>HYPERLINK("https://app.hubspot.com/contacts/8748051/record/0-2/16376183860", 16376183860)</f>
        <v>16376183860</v>
      </c>
      <c r="N231" s="24" t="s">
        <v>1003</v>
      </c>
      <c r="O231" s="33">
        <f>HYPERLINK("https://app.hubspot.com/contacts/8748051/record/0-3/38509006409", 38509006409)</f>
        <v>38509006409</v>
      </c>
      <c r="P231" s="24" t="s">
        <v>1002</v>
      </c>
      <c r="Q231" s="24" t="s">
        <v>127</v>
      </c>
      <c r="R231" s="24">
        <v>10000.0</v>
      </c>
      <c r="S231" s="24" t="b">
        <v>1</v>
      </c>
      <c r="T231" s="34" t="str">
        <f t="shared" ref="T231:V231" si="233">IF(G231&lt;&gt;"","Yes","")</f>
        <v>Yes</v>
      </c>
      <c r="U231" s="34" t="str">
        <f t="shared" si="233"/>
        <v>Yes</v>
      </c>
      <c r="V231" s="34" t="str">
        <f t="shared" si="233"/>
        <v>Yes</v>
      </c>
      <c r="W231" s="34" t="str">
        <f t="shared" si="3"/>
        <v/>
      </c>
      <c r="X231" s="24" t="str">
        <f t="shared" si="4"/>
        <v/>
      </c>
    </row>
    <row r="232" ht="14.25" customHeight="1">
      <c r="A232" s="28">
        <f>HYPERLINK("https://app.hubspot.com/contacts/8748051/record/0-1/127350973003", 127350973003)</f>
        <v>127350973003</v>
      </c>
      <c r="B232" s="24" t="s">
        <v>3717</v>
      </c>
      <c r="C232" s="26">
        <v>45813.172326388885</v>
      </c>
      <c r="D232" s="26"/>
      <c r="E232" s="28" t="s">
        <v>3718</v>
      </c>
      <c r="F232" s="24" t="s">
        <v>3304</v>
      </c>
      <c r="G232" s="35"/>
      <c r="H232" s="35"/>
      <c r="I232" s="35"/>
      <c r="J232" s="24" t="s">
        <v>3719</v>
      </c>
      <c r="K232" s="24"/>
      <c r="L232" s="34"/>
      <c r="M232" s="28">
        <f>HYPERLINK("https://app.hubspot.com/contacts/8748051/record/0-2/34724412990", 34724412990)</f>
        <v>34724412990</v>
      </c>
      <c r="N232" s="24" t="s">
        <v>3720</v>
      </c>
      <c r="O232" s="34"/>
      <c r="P232" s="24"/>
      <c r="Q232" s="24"/>
      <c r="R232" s="24"/>
      <c r="S232" s="24"/>
      <c r="T232" s="34" t="str">
        <f t="shared" ref="T232:V232" si="234">IF(G232&lt;&gt;"","Yes","")</f>
        <v/>
      </c>
      <c r="U232" s="34" t="str">
        <f t="shared" si="234"/>
        <v/>
      </c>
      <c r="V232" s="34" t="str">
        <f t="shared" si="234"/>
        <v/>
      </c>
      <c r="W232" s="34" t="str">
        <f t="shared" si="3"/>
        <v/>
      </c>
      <c r="X232" s="24" t="str">
        <f t="shared" si="4"/>
        <v/>
      </c>
    </row>
    <row r="233" ht="14.25" customHeight="1">
      <c r="A233" s="28">
        <f>HYPERLINK("https://app.hubspot.com/contacts/8748051/record/0-1/127068049191", 127068049191)</f>
        <v>127068049191</v>
      </c>
      <c r="B233" s="24" t="s">
        <v>3721</v>
      </c>
      <c r="C233" s="26">
        <v>45812.0715162037</v>
      </c>
      <c r="D233" s="26"/>
      <c r="E233" s="28" t="s">
        <v>1007</v>
      </c>
      <c r="F233" s="24"/>
      <c r="G233" s="35">
        <v>45812.0</v>
      </c>
      <c r="H233" s="35">
        <v>45813.0</v>
      </c>
      <c r="I233" s="35"/>
      <c r="J233" s="24" t="s">
        <v>3722</v>
      </c>
      <c r="K233" s="24" t="s">
        <v>3245</v>
      </c>
      <c r="L233" s="34"/>
      <c r="M233" s="28">
        <f>HYPERLINK("https://app.hubspot.com/contacts/8748051/record/0-2/34645141515", 34645141515)</f>
        <v>34645141515</v>
      </c>
      <c r="N233" s="24" t="s">
        <v>1006</v>
      </c>
      <c r="O233" s="28">
        <f>HYPERLINK("https://app.hubspot.com/contacts/8748051/record/0-3/38434478902", 38434478902)</f>
        <v>38434478902</v>
      </c>
      <c r="P233" s="24" t="s">
        <v>1005</v>
      </c>
      <c r="Q233" s="24" t="s">
        <v>73</v>
      </c>
      <c r="R233" s="24">
        <v>32500.0</v>
      </c>
      <c r="S233" s="34"/>
      <c r="T233" s="34" t="str">
        <f t="shared" ref="T233:V233" si="235">IF(G233&lt;&gt;"","Yes","")</f>
        <v>Yes</v>
      </c>
      <c r="U233" s="34" t="str">
        <f t="shared" si="235"/>
        <v>Yes</v>
      </c>
      <c r="V233" s="34" t="str">
        <f t="shared" si="235"/>
        <v/>
      </c>
      <c r="W233" s="34" t="str">
        <f t="shared" si="3"/>
        <v/>
      </c>
      <c r="X233" s="24" t="str">
        <f t="shared" si="4"/>
        <v/>
      </c>
    </row>
    <row r="234" ht="14.25" customHeight="1">
      <c r="A234" s="28">
        <f>HYPERLINK("https://app.hubspot.com/contacts/8748051/record/0-1/127023682346", 127023682346)</f>
        <v>127023682346</v>
      </c>
      <c r="B234" s="24" t="s">
        <v>3723</v>
      </c>
      <c r="C234" s="26">
        <v>45811.961493055554</v>
      </c>
      <c r="D234" s="26"/>
      <c r="E234" s="28" t="s">
        <v>986</v>
      </c>
      <c r="F234" s="26"/>
      <c r="G234" s="35">
        <v>45812.0</v>
      </c>
      <c r="H234" s="35">
        <v>45827.0</v>
      </c>
      <c r="I234" s="35">
        <v>45832.0</v>
      </c>
      <c r="J234" s="24" t="s">
        <v>3724</v>
      </c>
      <c r="K234" s="24" t="s">
        <v>3242</v>
      </c>
      <c r="L234" s="34"/>
      <c r="M234" s="28">
        <f>HYPERLINK("https://app.hubspot.com/contacts/8748051/record/0-2/9238401146", 9238401146)</f>
        <v>9238401146</v>
      </c>
      <c r="N234" s="24" t="s">
        <v>985</v>
      </c>
      <c r="O234" s="28">
        <f>HYPERLINK("https://app.hubspot.com/contacts/8748051/record/0-3/38846224783", 38846224783)</f>
        <v>38846224783</v>
      </c>
      <c r="P234" s="24" t="s">
        <v>984</v>
      </c>
      <c r="Q234" s="24" t="s">
        <v>127</v>
      </c>
      <c r="R234" s="24">
        <v>10000.0</v>
      </c>
      <c r="S234" s="24"/>
      <c r="T234" s="34" t="str">
        <f t="shared" ref="T234:V234" si="236">IF(G234&lt;&gt;"","Yes","")</f>
        <v>Yes</v>
      </c>
      <c r="U234" s="34" t="str">
        <f t="shared" si="236"/>
        <v>Yes</v>
      </c>
      <c r="V234" s="34" t="str">
        <f t="shared" si="236"/>
        <v>Yes</v>
      </c>
      <c r="W234" s="34" t="str">
        <f t="shared" si="3"/>
        <v/>
      </c>
      <c r="X234" s="24" t="str">
        <f t="shared" si="4"/>
        <v/>
      </c>
    </row>
    <row r="235" ht="14.25" customHeight="1">
      <c r="A235" s="28">
        <f>HYPERLINK("https://app.hubspot.com/contacts/8748051/record/0-1/126818993590", 126818993590)</f>
        <v>126818993590</v>
      </c>
      <c r="B235" s="24" t="s">
        <v>3725</v>
      </c>
      <c r="C235" s="26">
        <v>45811.382106481484</v>
      </c>
      <c r="D235" s="26"/>
      <c r="E235" s="28" t="s">
        <v>1011</v>
      </c>
      <c r="F235" s="24"/>
      <c r="G235" s="35">
        <v>45811.0</v>
      </c>
      <c r="H235" s="35">
        <v>45813.0</v>
      </c>
      <c r="I235" s="35">
        <v>45813.0</v>
      </c>
      <c r="J235" s="24" t="s">
        <v>3726</v>
      </c>
      <c r="K235" s="24" t="s">
        <v>155</v>
      </c>
      <c r="L235" s="34"/>
      <c r="M235" s="28">
        <f>HYPERLINK("https://app.hubspot.com/contacts/8748051/record/0-2/34499925019", 34499925019)</f>
        <v>34499925019</v>
      </c>
      <c r="N235" s="24" t="s">
        <v>1010</v>
      </c>
      <c r="O235" s="33">
        <f>HYPERLINK("https://app.hubspot.com/contacts/8748051/record/0-3/38348580449", 38348580449)</f>
        <v>38348580449</v>
      </c>
      <c r="P235" s="24" t="s">
        <v>1008</v>
      </c>
      <c r="Q235" s="24" t="s">
        <v>73</v>
      </c>
      <c r="R235" s="24">
        <v>5000.0</v>
      </c>
      <c r="S235" s="24"/>
      <c r="T235" s="34" t="str">
        <f t="shared" ref="T235:V235" si="237">IF(G235&lt;&gt;"","Yes","")</f>
        <v>Yes</v>
      </c>
      <c r="U235" s="34" t="str">
        <f t="shared" si="237"/>
        <v>Yes</v>
      </c>
      <c r="V235" s="34" t="str">
        <f t="shared" si="237"/>
        <v>Yes</v>
      </c>
      <c r="W235" s="34" t="str">
        <f t="shared" si="3"/>
        <v/>
      </c>
      <c r="X235" s="24" t="str">
        <f t="shared" si="4"/>
        <v/>
      </c>
    </row>
    <row r="236" ht="14.25" customHeight="1">
      <c r="A236" s="28">
        <f>HYPERLINK("https://app.hubspot.com/contacts/8748051/record/0-1/126573074040", 126573074040)</f>
        <v>126573074040</v>
      </c>
      <c r="B236" s="24" t="s">
        <v>3727</v>
      </c>
      <c r="C236" s="26">
        <v>45810.442662037036</v>
      </c>
      <c r="D236" s="26"/>
      <c r="E236" s="28" t="s">
        <v>1019</v>
      </c>
      <c r="F236" s="24"/>
      <c r="G236" s="35">
        <v>45810.0</v>
      </c>
      <c r="H236" s="35">
        <v>45811.0</v>
      </c>
      <c r="I236" s="35">
        <v>45811.0</v>
      </c>
      <c r="J236" s="24" t="s">
        <v>3447</v>
      </c>
      <c r="K236" s="24" t="s">
        <v>3239</v>
      </c>
      <c r="L236" s="24"/>
      <c r="M236" s="28">
        <f>HYPERLINK("https://app.hubspot.com/contacts/8748051/record/0-2/34500337286", 34500337286)</f>
        <v>34500337286</v>
      </c>
      <c r="N236" s="24" t="s">
        <v>1018</v>
      </c>
      <c r="O236" s="28">
        <f>HYPERLINK("https://app.hubspot.com/contacts/8748051/record/0-3/38320089488", 38320089488)</f>
        <v>38320089488</v>
      </c>
      <c r="P236" s="24" t="s">
        <v>1017</v>
      </c>
      <c r="Q236" s="24" t="s">
        <v>73</v>
      </c>
      <c r="R236" s="24">
        <v>13000.0</v>
      </c>
      <c r="S236" s="24"/>
      <c r="T236" s="34" t="str">
        <f t="shared" ref="T236:V236" si="238">IF(G236&lt;&gt;"","Yes","")</f>
        <v>Yes</v>
      </c>
      <c r="U236" s="34" t="str">
        <f t="shared" si="238"/>
        <v>Yes</v>
      </c>
      <c r="V236" s="34" t="str">
        <f t="shared" si="238"/>
        <v>Yes</v>
      </c>
      <c r="W236" s="34" t="str">
        <f t="shared" si="3"/>
        <v/>
      </c>
      <c r="X236" s="24" t="str">
        <f t="shared" si="4"/>
        <v/>
      </c>
    </row>
    <row r="237" ht="14.25" customHeight="1">
      <c r="A237" s="28">
        <f>HYPERLINK("https://app.hubspot.com/contacts/8748051/record/0-1/125944743792", 125944743792)</f>
        <v>125944743792</v>
      </c>
      <c r="B237" s="24" t="s">
        <v>3728</v>
      </c>
      <c r="C237" s="26">
        <v>45807.04620370371</v>
      </c>
      <c r="D237" s="26"/>
      <c r="E237" s="28" t="s">
        <v>1022</v>
      </c>
      <c r="F237" s="24"/>
      <c r="G237" s="35">
        <v>45807.0</v>
      </c>
      <c r="H237" s="35">
        <v>45807.0</v>
      </c>
      <c r="I237" s="35">
        <v>45807.0</v>
      </c>
      <c r="J237" s="24" t="s">
        <v>3729</v>
      </c>
      <c r="K237" s="24" t="s">
        <v>3239</v>
      </c>
      <c r="L237" s="34"/>
      <c r="M237" s="28">
        <f>HYPERLINK("https://app.hubspot.com/contacts/8748051/record/0-2/34450059282", 34450059282)</f>
        <v>34450059282</v>
      </c>
      <c r="N237" s="24" t="s">
        <v>1021</v>
      </c>
      <c r="O237" s="33">
        <f>HYPERLINK("https://app.hubspot.com/contacts/8748051/record/0-3/38231802427", 38231802427)</f>
        <v>38231802427</v>
      </c>
      <c r="P237" s="24" t="s">
        <v>1020</v>
      </c>
      <c r="Q237" s="24" t="s">
        <v>73</v>
      </c>
      <c r="R237" s="24">
        <v>500.0</v>
      </c>
      <c r="S237" s="24"/>
      <c r="T237" s="34" t="str">
        <f t="shared" ref="T237:V237" si="239">IF(G237&lt;&gt;"","Yes","")</f>
        <v>Yes</v>
      </c>
      <c r="U237" s="34" t="str">
        <f t="shared" si="239"/>
        <v>Yes</v>
      </c>
      <c r="V237" s="34" t="str">
        <f t="shared" si="239"/>
        <v>Yes</v>
      </c>
      <c r="W237" s="34" t="str">
        <f t="shared" si="3"/>
        <v/>
      </c>
      <c r="X237" s="24" t="str">
        <f t="shared" si="4"/>
        <v/>
      </c>
    </row>
    <row r="238" ht="14.25" customHeight="1">
      <c r="A238" s="28">
        <f>HYPERLINK("https://app.hubspot.com/contacts/8748051/record/0-1/123407452217", 123407452217)</f>
        <v>123407452217</v>
      </c>
      <c r="B238" s="24" t="s">
        <v>3730</v>
      </c>
      <c r="C238" s="26">
        <v>45806.69664351852</v>
      </c>
      <c r="D238" s="26"/>
      <c r="E238" s="28" t="s">
        <v>1025</v>
      </c>
      <c r="F238" s="24"/>
      <c r="G238" s="35">
        <v>45807.0</v>
      </c>
      <c r="H238" s="35">
        <v>45812.0</v>
      </c>
      <c r="I238" s="35">
        <v>45812.0</v>
      </c>
      <c r="J238" s="24" t="s">
        <v>3731</v>
      </c>
      <c r="K238" s="24" t="s">
        <v>3248</v>
      </c>
      <c r="L238" s="34"/>
      <c r="M238" s="28">
        <f>HYPERLINK("https://app.hubspot.com/contacts/8748051/record/0-2/34347985315", 34347985315)</f>
        <v>34347985315</v>
      </c>
      <c r="N238" s="24" t="s">
        <v>1024</v>
      </c>
      <c r="O238" s="28">
        <f>HYPERLINK("https://app.hubspot.com/contacts/8748051/record/0-3/38139472152", 38139472152)</f>
        <v>38139472152</v>
      </c>
      <c r="P238" s="24" t="s">
        <v>1023</v>
      </c>
      <c r="Q238" s="24" t="s">
        <v>73</v>
      </c>
      <c r="R238" s="24">
        <v>25000.0</v>
      </c>
      <c r="S238" s="24"/>
      <c r="T238" s="34" t="str">
        <f t="shared" ref="T238:V238" si="240">IF(G238&lt;&gt;"","Yes","")</f>
        <v>Yes</v>
      </c>
      <c r="U238" s="34" t="str">
        <f t="shared" si="240"/>
        <v>Yes</v>
      </c>
      <c r="V238" s="34" t="str">
        <f t="shared" si="240"/>
        <v>Yes</v>
      </c>
      <c r="W238" s="34" t="str">
        <f t="shared" si="3"/>
        <v/>
      </c>
      <c r="X238" s="24" t="str">
        <f t="shared" si="4"/>
        <v/>
      </c>
    </row>
    <row r="239" ht="14.25" customHeight="1">
      <c r="A239" s="28">
        <f>HYPERLINK("https://app.hubspot.com/contacts/8748051/record/0-1/125750042716", 125750042716)</f>
        <v>125750042716</v>
      </c>
      <c r="B239" s="24" t="s">
        <v>3732</v>
      </c>
      <c r="C239" s="26">
        <v>45806.40797453704</v>
      </c>
      <c r="D239" s="26"/>
      <c r="E239" s="28" t="s">
        <v>738</v>
      </c>
      <c r="F239" s="24"/>
      <c r="G239" s="35">
        <v>45806.0</v>
      </c>
      <c r="H239" s="35">
        <v>45814.0</v>
      </c>
      <c r="I239" s="35">
        <v>45818.0</v>
      </c>
      <c r="J239" s="24" t="s">
        <v>3733</v>
      </c>
      <c r="K239" s="24" t="s">
        <v>3239</v>
      </c>
      <c r="L239" s="34"/>
      <c r="M239" s="28">
        <f>HYPERLINK("https://app.hubspot.com/contacts/8748051/record/0-2/8816890039", 8816890039)</f>
        <v>8816890039</v>
      </c>
      <c r="N239" s="24" t="s">
        <v>737</v>
      </c>
      <c r="O239" s="33">
        <f>HYPERLINK("https://app.hubspot.com/contacts/8748051/record/0-3/38133930364", 38133930364)</f>
        <v>38133930364</v>
      </c>
      <c r="P239" s="24" t="s">
        <v>1026</v>
      </c>
      <c r="Q239" s="24" t="s">
        <v>73</v>
      </c>
      <c r="R239" s="24">
        <v>100000.0</v>
      </c>
      <c r="S239" s="24"/>
      <c r="T239" s="34" t="str">
        <f t="shared" ref="T239:V239" si="241">IF(G239&lt;&gt;"","Yes","")</f>
        <v>Yes</v>
      </c>
      <c r="U239" s="34" t="str">
        <f t="shared" si="241"/>
        <v>Yes</v>
      </c>
      <c r="V239" s="34" t="str">
        <f t="shared" si="241"/>
        <v>Yes</v>
      </c>
      <c r="W239" s="34" t="str">
        <f t="shared" si="3"/>
        <v/>
      </c>
      <c r="X239" s="24" t="str">
        <f t="shared" si="4"/>
        <v/>
      </c>
    </row>
    <row r="240" ht="14.25" customHeight="1">
      <c r="A240" s="28">
        <f>HYPERLINK("https://app.hubspot.com/contacts/8748051/record/0-1/123222325375", 123222325375)</f>
        <v>123222325375</v>
      </c>
      <c r="B240" s="24" t="s">
        <v>3734</v>
      </c>
      <c r="C240" s="26">
        <v>45800.74930555555</v>
      </c>
      <c r="D240" s="26"/>
      <c r="E240" s="28" t="s">
        <v>1030</v>
      </c>
      <c r="F240" s="24"/>
      <c r="G240" s="35">
        <v>45801.0</v>
      </c>
      <c r="H240" s="35">
        <v>45805.0</v>
      </c>
      <c r="I240" s="35">
        <v>45805.0</v>
      </c>
      <c r="J240" s="24" t="s">
        <v>3735</v>
      </c>
      <c r="K240" s="24" t="s">
        <v>3245</v>
      </c>
      <c r="L240" s="34"/>
      <c r="M240" s="28">
        <f>HYPERLINK("https://app.hubspot.com/contacts/8748051/record/0-2/19176635436", 19176635436)</f>
        <v>19176635436</v>
      </c>
      <c r="N240" s="24" t="s">
        <v>1029</v>
      </c>
      <c r="O240" s="28">
        <f>HYPERLINK("https://app.hubspot.com/contacts/8748051/record/0-3/37905622539", 37905622539)</f>
        <v>37905622539</v>
      </c>
      <c r="P240" s="24" t="s">
        <v>1027</v>
      </c>
      <c r="Q240" s="24" t="s">
        <v>149</v>
      </c>
      <c r="R240" s="24">
        <v>27000.0</v>
      </c>
      <c r="S240" s="24" t="b">
        <v>1</v>
      </c>
      <c r="T240" s="34" t="str">
        <f t="shared" ref="T240:V240" si="242">IF(G240&lt;&gt;"","Yes","")</f>
        <v>Yes</v>
      </c>
      <c r="U240" s="34" t="str">
        <f t="shared" si="242"/>
        <v>Yes</v>
      </c>
      <c r="V240" s="34" t="str">
        <f t="shared" si="242"/>
        <v>Yes</v>
      </c>
      <c r="W240" s="34" t="str">
        <f t="shared" si="3"/>
        <v/>
      </c>
      <c r="X240" s="24" t="str">
        <f t="shared" si="4"/>
        <v>Yes</v>
      </c>
    </row>
    <row r="241" ht="14.25" customHeight="1">
      <c r="A241" s="28">
        <f>HYPERLINK("https://app.hubspot.com/contacts/8748051/record/0-1/1251751", 1251751)</f>
        <v>1251751</v>
      </c>
      <c r="B241" s="24" t="s">
        <v>3736</v>
      </c>
      <c r="C241" s="26">
        <v>45797.86111111111</v>
      </c>
      <c r="D241" s="24" t="s">
        <v>3737</v>
      </c>
      <c r="E241" s="28" t="s">
        <v>1036</v>
      </c>
      <c r="F241" s="24"/>
      <c r="G241" s="35">
        <v>45798.0</v>
      </c>
      <c r="H241" s="35">
        <v>45799.0</v>
      </c>
      <c r="I241" s="35">
        <v>45799.0</v>
      </c>
      <c r="J241" s="24" t="s">
        <v>3738</v>
      </c>
      <c r="K241" s="24" t="s">
        <v>3469</v>
      </c>
      <c r="L241" s="34"/>
      <c r="M241" s="28">
        <f>HYPERLINK("https://app.hubspot.com/contacts/8748051/record/0-2/9083544964", 9083544964)</f>
        <v>9083544964</v>
      </c>
      <c r="N241" s="24" t="s">
        <v>1035</v>
      </c>
      <c r="O241" s="33">
        <f>HYPERLINK("https://app.hubspot.com/contacts/8748051/record/0-3/16575647146", 16575647146)</f>
        <v>16575647146</v>
      </c>
      <c r="P241" s="24" t="s">
        <v>2394</v>
      </c>
      <c r="Q241" s="24" t="s">
        <v>73</v>
      </c>
      <c r="R241" s="24">
        <v>83000.0</v>
      </c>
      <c r="S241" s="24"/>
      <c r="T241" s="34" t="str">
        <f t="shared" ref="T241:V241" si="243">IF(G241&lt;&gt;"","Yes","")</f>
        <v>Yes</v>
      </c>
      <c r="U241" s="34" t="str">
        <f t="shared" si="243"/>
        <v>Yes</v>
      </c>
      <c r="V241" s="34" t="str">
        <f t="shared" si="243"/>
        <v>Yes</v>
      </c>
      <c r="W241" s="34" t="str">
        <f t="shared" si="3"/>
        <v/>
      </c>
      <c r="X241" s="24" t="str">
        <f t="shared" si="4"/>
        <v/>
      </c>
    </row>
    <row r="242" ht="14.25" customHeight="1">
      <c r="A242" s="28">
        <f>HYPERLINK("https://app.hubspot.com/contacts/8748051/record/0-1/118651603309", 118651603309)</f>
        <v>118651603309</v>
      </c>
      <c r="B242" s="24" t="s">
        <v>3739</v>
      </c>
      <c r="C242" s="26">
        <v>45797.07202546296</v>
      </c>
      <c r="D242" s="26"/>
      <c r="E242" s="28" t="s">
        <v>1040</v>
      </c>
      <c r="F242" s="24"/>
      <c r="G242" s="35">
        <v>45797.0</v>
      </c>
      <c r="H242" s="35">
        <v>45799.0</v>
      </c>
      <c r="I242" s="35">
        <v>45799.0</v>
      </c>
      <c r="J242" s="24" t="s">
        <v>3523</v>
      </c>
      <c r="K242" s="24" t="s">
        <v>3239</v>
      </c>
      <c r="L242" s="34"/>
      <c r="M242" s="28">
        <f>HYPERLINK("https://app.hubspot.com/contacts/8748051/record/0-2/33682076983", 33682076983)</f>
        <v>33682076983</v>
      </c>
      <c r="N242" s="24" t="s">
        <v>1039</v>
      </c>
      <c r="O242" s="33">
        <f>HYPERLINK("https://app.hubspot.com/contacts/8748051/record/0-3/37447289907", 37447289907)</f>
        <v>37447289907</v>
      </c>
      <c r="P242" s="24" t="s">
        <v>1037</v>
      </c>
      <c r="Q242" s="24" t="s">
        <v>149</v>
      </c>
      <c r="R242" s="24">
        <v>22000.0</v>
      </c>
      <c r="S242" s="24" t="b">
        <v>1</v>
      </c>
      <c r="T242" s="34" t="str">
        <f t="shared" ref="T242:V242" si="244">IF(G242&lt;&gt;"","Yes","")</f>
        <v>Yes</v>
      </c>
      <c r="U242" s="34" t="str">
        <f t="shared" si="244"/>
        <v>Yes</v>
      </c>
      <c r="V242" s="34" t="str">
        <f t="shared" si="244"/>
        <v>Yes</v>
      </c>
      <c r="W242" s="34" t="str">
        <f t="shared" si="3"/>
        <v/>
      </c>
      <c r="X242" s="24" t="str">
        <f t="shared" si="4"/>
        <v>Yes</v>
      </c>
    </row>
    <row r="243" ht="14.25" customHeight="1">
      <c r="A243" s="28">
        <f>HYPERLINK("https://app.hubspot.com/contacts/8748051/record/0-1/122563609644", 122563609644)</f>
        <v>122563609644</v>
      </c>
      <c r="B243" s="24" t="s">
        <v>3740</v>
      </c>
      <c r="C243" s="26">
        <v>45795.422476851854</v>
      </c>
      <c r="D243" s="26"/>
      <c r="E243" s="28" t="s">
        <v>1043</v>
      </c>
      <c r="F243" s="24"/>
      <c r="G243" s="35">
        <v>45795.0</v>
      </c>
      <c r="H243" s="35">
        <v>45797.0</v>
      </c>
      <c r="I243" s="35">
        <v>45797.0</v>
      </c>
      <c r="J243" s="24" t="s">
        <v>3741</v>
      </c>
      <c r="K243" s="24" t="s">
        <v>155</v>
      </c>
      <c r="L243" s="34"/>
      <c r="M243" s="28">
        <f>HYPERLINK("https://app.hubspot.com/contacts/8748051/record/0-2/33625048942", 33625048942)</f>
        <v>33625048942</v>
      </c>
      <c r="N243" s="24" t="s">
        <v>1042</v>
      </c>
      <c r="O243" s="33">
        <f>HYPERLINK("https://app.hubspot.com/contacts/8748051/record/0-3/37432838235", 37432838235)</f>
        <v>37432838235</v>
      </c>
      <c r="P243" s="24" t="s">
        <v>1041</v>
      </c>
      <c r="Q243" s="24" t="s">
        <v>73</v>
      </c>
      <c r="R243" s="24">
        <v>0.0</v>
      </c>
      <c r="S243" s="24"/>
      <c r="T243" s="34" t="str">
        <f t="shared" ref="T243:V243" si="245">IF(G243&lt;&gt;"","Yes","")</f>
        <v>Yes</v>
      </c>
      <c r="U243" s="34" t="str">
        <f t="shared" si="245"/>
        <v>Yes</v>
      </c>
      <c r="V243" s="34" t="str">
        <f t="shared" si="245"/>
        <v>Yes</v>
      </c>
      <c r="W243" s="34" t="str">
        <f t="shared" si="3"/>
        <v/>
      </c>
      <c r="X243" s="24" t="str">
        <f t="shared" si="4"/>
        <v/>
      </c>
    </row>
    <row r="244" ht="14.25" customHeight="1">
      <c r="A244" s="28">
        <f>HYPERLINK("https://app.hubspot.com/contacts/8748051/record/0-1/122137447742", 122137447742)</f>
        <v>122137447742</v>
      </c>
      <c r="B244" s="24" t="s">
        <v>3742</v>
      </c>
      <c r="C244" s="26">
        <v>45793.26226851852</v>
      </c>
      <c r="D244" s="26"/>
      <c r="E244" s="28" t="s">
        <v>1049</v>
      </c>
      <c r="F244" s="24"/>
      <c r="G244" s="35">
        <v>45793.0</v>
      </c>
      <c r="H244" s="35">
        <v>45796.0</v>
      </c>
      <c r="I244" s="35">
        <v>45796.0</v>
      </c>
      <c r="J244" s="24" t="s">
        <v>3743</v>
      </c>
      <c r="K244" s="24" t="s">
        <v>155</v>
      </c>
      <c r="L244" s="34"/>
      <c r="M244" s="28">
        <f>HYPERLINK("https://app.hubspot.com/contacts/8748051/record/0-2/33537883760", 33537883760)</f>
        <v>33537883760</v>
      </c>
      <c r="N244" s="24" t="s">
        <v>1048</v>
      </c>
      <c r="O244" s="33">
        <f>HYPERLINK("https://app.hubspot.com/contacts/8748051/record/0-3/37313929140", 37313929140)</f>
        <v>37313929140</v>
      </c>
      <c r="P244" s="24" t="s">
        <v>1047</v>
      </c>
      <c r="Q244" s="24" t="s">
        <v>51</v>
      </c>
      <c r="R244" s="24">
        <v>10000.0</v>
      </c>
      <c r="S244" s="24" t="b">
        <v>1</v>
      </c>
      <c r="T244" s="34" t="str">
        <f t="shared" ref="T244:V244" si="246">IF(G244&lt;&gt;"","Yes","")</f>
        <v>Yes</v>
      </c>
      <c r="U244" s="34" t="str">
        <f t="shared" si="246"/>
        <v>Yes</v>
      </c>
      <c r="V244" s="34" t="str">
        <f t="shared" si="246"/>
        <v>Yes</v>
      </c>
      <c r="W244" s="34" t="str">
        <f t="shared" si="3"/>
        <v/>
      </c>
      <c r="X244" s="24" t="str">
        <f t="shared" si="4"/>
        <v/>
      </c>
    </row>
    <row r="245" ht="14.25" customHeight="1">
      <c r="A245" s="28">
        <f>HYPERLINK("https://app.hubspot.com/contacts/8748051/record/0-1/120293507943", 120293507943)</f>
        <v>120293507943</v>
      </c>
      <c r="B245" s="24" t="s">
        <v>3744</v>
      </c>
      <c r="C245" s="26">
        <v>45792.447916666664</v>
      </c>
      <c r="D245" s="26"/>
      <c r="E245" s="24" t="s">
        <v>1052</v>
      </c>
      <c r="F245" s="24"/>
      <c r="G245" s="35">
        <v>45792.0</v>
      </c>
      <c r="H245" s="35">
        <v>45793.0</v>
      </c>
      <c r="I245" s="35">
        <v>45793.0</v>
      </c>
      <c r="J245" s="24" t="s">
        <v>3745</v>
      </c>
      <c r="K245" s="24" t="s">
        <v>155</v>
      </c>
      <c r="L245" s="24"/>
      <c r="M245" s="28">
        <f>HYPERLINK("https://app.hubspot.com/contacts/8748051/record/0-2/6816568461", 6816568461)</f>
        <v>6816568461</v>
      </c>
      <c r="N245" s="24" t="s">
        <v>1051</v>
      </c>
      <c r="O245" s="33">
        <f>HYPERLINK("https://app.hubspot.com/contacts/8748051/record/0-3/37268046968", 37268046968)</f>
        <v>37268046968</v>
      </c>
      <c r="P245" s="24" t="s">
        <v>1050</v>
      </c>
      <c r="Q245" s="24" t="s">
        <v>127</v>
      </c>
      <c r="R245" s="24">
        <v>20000.0</v>
      </c>
      <c r="S245" s="24" t="b">
        <v>1</v>
      </c>
      <c r="T245" s="34" t="str">
        <f t="shared" ref="T245:V245" si="247">IF(G245&lt;&gt;"","Yes","")</f>
        <v>Yes</v>
      </c>
      <c r="U245" s="34" t="str">
        <f t="shared" si="247"/>
        <v>Yes</v>
      </c>
      <c r="V245" s="34" t="str">
        <f t="shared" si="247"/>
        <v>Yes</v>
      </c>
      <c r="W245" s="34" t="str">
        <f t="shared" si="3"/>
        <v/>
      </c>
      <c r="X245" s="24" t="str">
        <f t="shared" si="4"/>
        <v/>
      </c>
    </row>
    <row r="246" ht="14.25" customHeight="1">
      <c r="A246" s="28">
        <f>HYPERLINK("https://app.hubspot.com/contacts/8748051/record/0-1/121647032098", 121647032098)</f>
        <v>121647032098</v>
      </c>
      <c r="B246" s="24" t="s">
        <v>3746</v>
      </c>
      <c r="C246" s="26">
        <v>45791.32310185185</v>
      </c>
      <c r="D246" s="26"/>
      <c r="E246" s="28" t="s">
        <v>1055</v>
      </c>
      <c r="F246" s="24"/>
      <c r="G246" s="35">
        <v>45791.0</v>
      </c>
      <c r="H246" s="35">
        <v>45799.0</v>
      </c>
      <c r="I246" s="35">
        <v>45799.0</v>
      </c>
      <c r="J246" s="24" t="s">
        <v>3747</v>
      </c>
      <c r="K246" s="24" t="s">
        <v>155</v>
      </c>
      <c r="L246" s="24"/>
      <c r="M246" s="28">
        <f>HYPERLINK("https://app.hubspot.com/contacts/8748051/record/0-2/33362121578", 33362121578)</f>
        <v>33362121578</v>
      </c>
      <c r="N246" s="24" t="s">
        <v>1054</v>
      </c>
      <c r="O246" s="28">
        <f>HYPERLINK("https://app.hubspot.com/contacts/8748051/record/0-3/37182513242", 37182513242)</f>
        <v>37182513242</v>
      </c>
      <c r="P246" s="24" t="s">
        <v>1053</v>
      </c>
      <c r="Q246" s="24" t="s">
        <v>127</v>
      </c>
      <c r="R246" s="24">
        <v>5000.0</v>
      </c>
      <c r="S246" s="24" t="b">
        <v>1</v>
      </c>
      <c r="T246" s="34" t="str">
        <f t="shared" ref="T246:V246" si="248">IF(G246&lt;&gt;"","Yes","")</f>
        <v>Yes</v>
      </c>
      <c r="U246" s="34" t="str">
        <f t="shared" si="248"/>
        <v>Yes</v>
      </c>
      <c r="V246" s="34" t="str">
        <f t="shared" si="248"/>
        <v>Yes</v>
      </c>
      <c r="W246" s="34" t="str">
        <f t="shared" si="3"/>
        <v/>
      </c>
      <c r="X246" s="24" t="str">
        <f t="shared" si="4"/>
        <v/>
      </c>
    </row>
    <row r="247" ht="14.25" customHeight="1">
      <c r="A247" s="28">
        <f>HYPERLINK("https://app.hubspot.com/contacts/8748051/record/0-1/121464692876", 121464692876)</f>
        <v>121464692876</v>
      </c>
      <c r="B247" s="24" t="s">
        <v>3748</v>
      </c>
      <c r="C247" s="26">
        <v>45790.608125</v>
      </c>
      <c r="D247" s="26"/>
      <c r="E247" s="28" t="s">
        <v>3749</v>
      </c>
      <c r="F247" s="24" t="s">
        <v>3304</v>
      </c>
      <c r="G247" s="35"/>
      <c r="H247" s="35"/>
      <c r="I247" s="35"/>
      <c r="J247" s="24" t="s">
        <v>3514</v>
      </c>
      <c r="K247" s="24"/>
      <c r="L247" s="34"/>
      <c r="M247" s="28">
        <f>HYPERLINK("https://app.hubspot.com/contacts/8748051/record/0-2/33364783747", 33364783747)</f>
        <v>33364783747</v>
      </c>
      <c r="N247" s="24" t="s">
        <v>3750</v>
      </c>
      <c r="O247" s="34"/>
      <c r="P247" s="24"/>
      <c r="Q247" s="24"/>
      <c r="R247" s="24"/>
      <c r="S247" s="24"/>
      <c r="T247" s="34" t="str">
        <f t="shared" ref="T247:V247" si="249">IF(G247&lt;&gt;"","Yes","")</f>
        <v/>
      </c>
      <c r="U247" s="34" t="str">
        <f t="shared" si="249"/>
        <v/>
      </c>
      <c r="V247" s="34" t="str">
        <f t="shared" si="249"/>
        <v/>
      </c>
      <c r="W247" s="34" t="str">
        <f t="shared" si="3"/>
        <v/>
      </c>
      <c r="X247" s="24" t="str">
        <f t="shared" si="4"/>
        <v/>
      </c>
    </row>
    <row r="248" ht="14.25" customHeight="1">
      <c r="A248" s="28">
        <f>HYPERLINK("https://app.hubspot.com/contacts/8748051/record/0-1/121041264465", 121041264465)</f>
        <v>121041264465</v>
      </c>
      <c r="B248" s="24" t="s">
        <v>3751</v>
      </c>
      <c r="C248" s="26">
        <v>45789.31616898148</v>
      </c>
      <c r="D248" s="26"/>
      <c r="E248" s="28" t="s">
        <v>1058</v>
      </c>
      <c r="F248" s="24"/>
      <c r="G248" s="35">
        <v>45789.0</v>
      </c>
      <c r="H248" s="35">
        <v>45793.0</v>
      </c>
      <c r="I248" s="35"/>
      <c r="J248" s="24" t="s">
        <v>3752</v>
      </c>
      <c r="K248" s="24" t="s">
        <v>3360</v>
      </c>
      <c r="L248" s="34"/>
      <c r="M248" s="28">
        <f>HYPERLINK("https://app.hubspot.com/contacts/8748051/record/0-2/33347273798", 33347273798)</f>
        <v>33347273798</v>
      </c>
      <c r="N248" s="24" t="s">
        <v>1057</v>
      </c>
      <c r="O248" s="33">
        <f>HYPERLINK("https://app.hubspot.com/contacts/8748051/record/0-3/37137693053", 37137693053)</f>
        <v>37137693053</v>
      </c>
      <c r="P248" s="24" t="s">
        <v>1056</v>
      </c>
      <c r="Q248" s="24" t="s">
        <v>73</v>
      </c>
      <c r="R248" s="24">
        <v>1500.0</v>
      </c>
      <c r="S248" s="24"/>
      <c r="T248" s="34" t="str">
        <f t="shared" ref="T248:V248" si="250">IF(G248&lt;&gt;"","Yes","")</f>
        <v>Yes</v>
      </c>
      <c r="U248" s="34" t="str">
        <f t="shared" si="250"/>
        <v>Yes</v>
      </c>
      <c r="V248" s="34" t="str">
        <f t="shared" si="250"/>
        <v/>
      </c>
      <c r="W248" s="34" t="str">
        <f t="shared" si="3"/>
        <v/>
      </c>
      <c r="X248" s="24" t="str">
        <f t="shared" si="4"/>
        <v/>
      </c>
    </row>
    <row r="249" ht="14.25" customHeight="1">
      <c r="A249" s="28">
        <f>HYPERLINK("https://app.hubspot.com/contacts/8748051/record/0-1/120990527581", 120990527581)</f>
        <v>120990527581</v>
      </c>
      <c r="B249" s="24" t="s">
        <v>3753</v>
      </c>
      <c r="C249" s="26">
        <v>45789.09453703704</v>
      </c>
      <c r="D249" s="26"/>
      <c r="E249" s="24" t="s">
        <v>1046</v>
      </c>
      <c r="F249" s="24"/>
      <c r="G249" s="35">
        <v>45789.0</v>
      </c>
      <c r="H249" s="35">
        <v>45812.0</v>
      </c>
      <c r="I249" s="35">
        <v>45812.0</v>
      </c>
      <c r="J249" s="24" t="s">
        <v>3754</v>
      </c>
      <c r="K249" s="24" t="s">
        <v>3242</v>
      </c>
      <c r="L249" s="34"/>
      <c r="M249" s="28">
        <f>HYPERLINK("https://app.hubspot.com/contacts/8748051/record/0-2/33299670550", 33299670550)</f>
        <v>33299670550</v>
      </c>
      <c r="N249" s="24" t="s">
        <v>1045</v>
      </c>
      <c r="O249" s="33">
        <f>HYPERLINK("https://app.hubspot.com/contacts/8748051/record/0-3/37413800245", 37413800245)</f>
        <v>37413800245</v>
      </c>
      <c r="P249" s="24" t="s">
        <v>1044</v>
      </c>
      <c r="Q249" s="24" t="s">
        <v>73</v>
      </c>
      <c r="R249" s="24">
        <v>2000.0</v>
      </c>
      <c r="S249" s="24"/>
      <c r="T249" s="34" t="str">
        <f t="shared" ref="T249:V249" si="251">IF(G249&lt;&gt;"","Yes","")</f>
        <v>Yes</v>
      </c>
      <c r="U249" s="34" t="str">
        <f t="shared" si="251"/>
        <v>Yes</v>
      </c>
      <c r="V249" s="34" t="str">
        <f t="shared" si="251"/>
        <v>Yes</v>
      </c>
      <c r="W249" s="34" t="str">
        <f t="shared" si="3"/>
        <v/>
      </c>
      <c r="X249" s="24" t="str">
        <f t="shared" si="4"/>
        <v/>
      </c>
    </row>
    <row r="250" ht="14.25" customHeight="1">
      <c r="A250" s="28">
        <f>HYPERLINK("https://app.hubspot.com/contacts/8748051/record/0-1/120375628689", 120375628689)</f>
        <v>120375628689</v>
      </c>
      <c r="B250" s="24" t="s">
        <v>3755</v>
      </c>
      <c r="C250" s="26">
        <v>45786.22032407407</v>
      </c>
      <c r="D250" s="26"/>
      <c r="E250" s="24" t="s">
        <v>3756</v>
      </c>
      <c r="F250" s="24" t="s">
        <v>3304</v>
      </c>
      <c r="G250" s="35"/>
      <c r="H250" s="35"/>
      <c r="I250" s="35"/>
      <c r="J250" s="24" t="s">
        <v>3757</v>
      </c>
      <c r="K250" s="24"/>
      <c r="L250" s="34"/>
      <c r="M250" s="28">
        <f>HYPERLINK("https://app.hubspot.com/contacts/8748051/record/0-2/33225731128", 33225731128)</f>
        <v>33225731128</v>
      </c>
      <c r="N250" s="24" t="s">
        <v>3758</v>
      </c>
      <c r="O250" s="24"/>
      <c r="P250" s="24"/>
      <c r="Q250" s="24"/>
      <c r="R250" s="24"/>
      <c r="S250" s="24"/>
      <c r="T250" s="34" t="str">
        <f t="shared" ref="T250:V250" si="252">IF(G250&lt;&gt;"","Yes","")</f>
        <v/>
      </c>
      <c r="U250" s="34" t="str">
        <f t="shared" si="252"/>
        <v/>
      </c>
      <c r="V250" s="34" t="str">
        <f t="shared" si="252"/>
        <v/>
      </c>
      <c r="W250" s="34" t="str">
        <f t="shared" si="3"/>
        <v/>
      </c>
      <c r="X250" s="24" t="str">
        <f t="shared" si="4"/>
        <v/>
      </c>
    </row>
    <row r="251" ht="14.25" customHeight="1">
      <c r="A251" s="28">
        <f>HYPERLINK("https://app.hubspot.com/contacts/8748051/record/0-1/138950455648", 138950455648)</f>
        <v>138950455648</v>
      </c>
      <c r="B251" s="24" t="s">
        <v>3759</v>
      </c>
      <c r="C251" s="26">
        <v>45783.98650462963</v>
      </c>
      <c r="D251" s="26"/>
      <c r="E251" s="28" t="s">
        <v>1061</v>
      </c>
      <c r="F251" s="24"/>
      <c r="G251" s="35">
        <v>45784.0</v>
      </c>
      <c r="H251" s="35">
        <v>45785.0</v>
      </c>
      <c r="I251" s="35">
        <v>45785.0</v>
      </c>
      <c r="J251" s="24" t="s">
        <v>3263</v>
      </c>
      <c r="K251" s="24" t="s">
        <v>155</v>
      </c>
      <c r="L251" s="24"/>
      <c r="M251" s="28">
        <f>HYPERLINK("https://app.hubspot.com/contacts/8748051/record/0-2/19177046457", 19177046457)</f>
        <v>19177046457</v>
      </c>
      <c r="N251" s="24" t="s">
        <v>1060</v>
      </c>
      <c r="O251" s="28">
        <f>HYPERLINK("https://app.hubspot.com/contacts/8748051/record/0-3/36855145610", 36855145610)</f>
        <v>36855145610</v>
      </c>
      <c r="P251" s="24" t="s">
        <v>1059</v>
      </c>
      <c r="Q251" s="24" t="s">
        <v>127</v>
      </c>
      <c r="R251" s="24">
        <v>25000.0</v>
      </c>
      <c r="S251" s="24" t="b">
        <v>1</v>
      </c>
      <c r="T251" s="34" t="str">
        <f t="shared" ref="T251:V251" si="253">IF(G251&lt;&gt;"","Yes","")</f>
        <v>Yes</v>
      </c>
      <c r="U251" s="34" t="str">
        <f t="shared" si="253"/>
        <v>Yes</v>
      </c>
      <c r="V251" s="34" t="str">
        <f t="shared" si="253"/>
        <v>Yes</v>
      </c>
      <c r="W251" s="34" t="str">
        <f t="shared" si="3"/>
        <v/>
      </c>
      <c r="X251" s="24" t="str">
        <f t="shared" si="4"/>
        <v/>
      </c>
    </row>
    <row r="252" ht="14.25" customHeight="1">
      <c r="A252" s="28">
        <f>HYPERLINK("https://app.hubspot.com/contacts/8748051/record/0-1/116332009537", 116332009537)</f>
        <v>116332009537</v>
      </c>
      <c r="B252" s="24" t="s">
        <v>3760</v>
      </c>
      <c r="C252" s="26">
        <v>45780.40771990741</v>
      </c>
      <c r="D252" s="26"/>
      <c r="E252" s="28" t="s">
        <v>1064</v>
      </c>
      <c r="F252" s="24"/>
      <c r="G252" s="35">
        <v>45780.0</v>
      </c>
      <c r="H252" s="35">
        <v>45783.0</v>
      </c>
      <c r="I252" s="35">
        <v>45783.0</v>
      </c>
      <c r="J252" s="24" t="s">
        <v>3724</v>
      </c>
      <c r="K252" s="24" t="s">
        <v>3242</v>
      </c>
      <c r="L252" s="34"/>
      <c r="M252" s="28">
        <f>HYPERLINK("https://app.hubspot.com/contacts/8748051/record/0-2/32907464513", 32907464513)</f>
        <v>32907464513</v>
      </c>
      <c r="N252" s="24" t="s">
        <v>1063</v>
      </c>
      <c r="O252" s="33">
        <f>HYPERLINK("https://app.hubspot.com/contacts/8748051/record/0-3/36655737257", 36655737257)</f>
        <v>36655737257</v>
      </c>
      <c r="P252" s="24" t="s">
        <v>1062</v>
      </c>
      <c r="Q252" s="24" t="s">
        <v>73</v>
      </c>
      <c r="R252" s="24">
        <v>7200.0</v>
      </c>
      <c r="S252" s="24"/>
      <c r="T252" s="34" t="str">
        <f t="shared" ref="T252:V252" si="254">IF(G252&lt;&gt;"","Yes","")</f>
        <v>Yes</v>
      </c>
      <c r="U252" s="34" t="str">
        <f t="shared" si="254"/>
        <v>Yes</v>
      </c>
      <c r="V252" s="34" t="str">
        <f t="shared" si="254"/>
        <v>Yes</v>
      </c>
      <c r="W252" s="34" t="str">
        <f t="shared" si="3"/>
        <v/>
      </c>
      <c r="X252" s="24" t="str">
        <f t="shared" si="4"/>
        <v/>
      </c>
    </row>
    <row r="253" ht="14.25" customHeight="1">
      <c r="A253" s="28">
        <f>HYPERLINK("https://app.hubspot.com/contacts/8748051/record/0-1/118612404282", 118612404282)</f>
        <v>118612404282</v>
      </c>
      <c r="B253" s="24" t="s">
        <v>3761</v>
      </c>
      <c r="C253" s="26">
        <v>45778.84810185185</v>
      </c>
      <c r="D253" s="26"/>
      <c r="E253" s="28" t="s">
        <v>1069</v>
      </c>
      <c r="F253" s="24"/>
      <c r="G253" s="35">
        <v>45779.0</v>
      </c>
      <c r="H253" s="35">
        <v>45783.0</v>
      </c>
      <c r="I253" s="35">
        <v>45783.0</v>
      </c>
      <c r="J253" s="24" t="s">
        <v>1072</v>
      </c>
      <c r="K253" s="24" t="s">
        <v>3242</v>
      </c>
      <c r="L253" s="34"/>
      <c r="M253" s="28">
        <f>HYPERLINK("https://app.hubspot.com/contacts/8748051/record/0-2/32877998338", 32877998338)</f>
        <v>32877998338</v>
      </c>
      <c r="N253" s="28" t="s">
        <v>1068</v>
      </c>
      <c r="O253" s="33">
        <f>HYPERLINK("https://app.hubspot.com/contacts/8748051/record/0-3/36622077979", 36622077979)</f>
        <v>36622077979</v>
      </c>
      <c r="P253" s="24" t="s">
        <v>1067</v>
      </c>
      <c r="Q253" s="24" t="s">
        <v>73</v>
      </c>
      <c r="R253" s="24">
        <v>0.0</v>
      </c>
      <c r="S253" s="24"/>
      <c r="T253" s="34" t="str">
        <f t="shared" ref="T253:V253" si="255">IF(G253&lt;&gt;"","Yes","")</f>
        <v>Yes</v>
      </c>
      <c r="U253" s="34" t="str">
        <f t="shared" si="255"/>
        <v>Yes</v>
      </c>
      <c r="V253" s="34" t="str">
        <f t="shared" si="255"/>
        <v>Yes</v>
      </c>
      <c r="W253" s="34" t="str">
        <f t="shared" si="3"/>
        <v/>
      </c>
      <c r="X253" s="24" t="str">
        <f t="shared" si="4"/>
        <v/>
      </c>
    </row>
    <row r="254" ht="14.25" customHeight="1">
      <c r="A254" s="28">
        <f>HYPERLINK("https://app.hubspot.com/contacts/8748051/record/0-1/118519859228", 118519859228)</f>
        <v>118519859228</v>
      </c>
      <c r="B254" s="24" t="s">
        <v>3762</v>
      </c>
      <c r="C254" s="26">
        <v>45778.5024537037</v>
      </c>
      <c r="D254" s="26"/>
      <c r="E254" s="28" t="s">
        <v>1073</v>
      </c>
      <c r="F254" s="24"/>
      <c r="G254" s="35">
        <v>45778.0</v>
      </c>
      <c r="H254" s="35">
        <v>45786.0</v>
      </c>
      <c r="I254" s="35">
        <v>45786.0</v>
      </c>
      <c r="J254" s="24" t="s">
        <v>3763</v>
      </c>
      <c r="K254" s="24" t="s">
        <v>3248</v>
      </c>
      <c r="L254" s="34"/>
      <c r="M254" s="28">
        <f>HYPERLINK("https://app.hubspot.com/contacts/8748051/record/0-2/33065200735", 33065200735)</f>
        <v>33065200735</v>
      </c>
      <c r="N254" s="24" t="s">
        <v>1072</v>
      </c>
      <c r="O254" s="33">
        <f>HYPERLINK("https://app.hubspot.com/contacts/8748051/record/0-3/36587972188", 36587972188)</f>
        <v>36587972188</v>
      </c>
      <c r="P254" s="24" t="s">
        <v>1070</v>
      </c>
      <c r="Q254" s="24" t="s">
        <v>149</v>
      </c>
      <c r="R254" s="24">
        <v>90000.0</v>
      </c>
      <c r="S254" s="24" t="b">
        <v>1</v>
      </c>
      <c r="T254" s="34" t="str">
        <f t="shared" ref="T254:V254" si="256">IF(G254&lt;&gt;"","Yes","")</f>
        <v>Yes</v>
      </c>
      <c r="U254" s="34" t="str">
        <f t="shared" si="256"/>
        <v>Yes</v>
      </c>
      <c r="V254" s="34" t="str">
        <f t="shared" si="256"/>
        <v>Yes</v>
      </c>
      <c r="W254" s="34" t="str">
        <f t="shared" si="3"/>
        <v/>
      </c>
      <c r="X254" s="24" t="str">
        <f t="shared" si="4"/>
        <v>Yes</v>
      </c>
    </row>
    <row r="255" ht="14.25" customHeight="1">
      <c r="A255" s="28">
        <f>HYPERLINK("https://app.hubspot.com/contacts/8748051/record/0-1/118271135532", 118271135532)</f>
        <v>118271135532</v>
      </c>
      <c r="B255" s="24" t="s">
        <v>3764</v>
      </c>
      <c r="C255" s="26">
        <v>45777.47908564815</v>
      </c>
      <c r="D255" s="26"/>
      <c r="E255" s="28" t="s">
        <v>1083</v>
      </c>
      <c r="F255" s="24"/>
      <c r="G255" s="35">
        <v>45777.0</v>
      </c>
      <c r="H255" s="35">
        <v>45778.0</v>
      </c>
      <c r="I255" s="35">
        <v>45778.0</v>
      </c>
      <c r="J255" s="24" t="s">
        <v>3765</v>
      </c>
      <c r="K255" s="24" t="s">
        <v>3239</v>
      </c>
      <c r="L255" s="34"/>
      <c r="M255" s="28">
        <f>HYPERLINK("https://app.hubspot.com/contacts/8748051/record/0-2/9513641119", 9513641119)</f>
        <v>9513641119</v>
      </c>
      <c r="N255" s="24" t="s">
        <v>1082</v>
      </c>
      <c r="O255" s="33">
        <f>HYPERLINK("https://app.hubspot.com/contacts/8748051/record/0-3/36595382346", 36595382346)</f>
        <v>36595382346</v>
      </c>
      <c r="P255" s="24" t="s">
        <v>1081</v>
      </c>
      <c r="Q255" s="24" t="s">
        <v>127</v>
      </c>
      <c r="R255" s="24">
        <v>10000.0</v>
      </c>
      <c r="S255" s="24" t="b">
        <v>1</v>
      </c>
      <c r="T255" s="34" t="str">
        <f t="shared" ref="T255:V255" si="257">IF(G255&lt;&gt;"","Yes","")</f>
        <v>Yes</v>
      </c>
      <c r="U255" s="34" t="str">
        <f t="shared" si="257"/>
        <v>Yes</v>
      </c>
      <c r="V255" s="34" t="str">
        <f t="shared" si="257"/>
        <v>Yes</v>
      </c>
      <c r="W255" s="34" t="str">
        <f t="shared" si="3"/>
        <v/>
      </c>
      <c r="X255" s="24" t="str">
        <f t="shared" si="4"/>
        <v/>
      </c>
    </row>
    <row r="256" ht="14.25" customHeight="1">
      <c r="A256" s="28">
        <f>HYPERLINK("https://app.hubspot.com/contacts/8748051/record/0-1/117960779629", 117960779629)</f>
        <v>117960779629</v>
      </c>
      <c r="B256" s="24" t="s">
        <v>3766</v>
      </c>
      <c r="C256" s="26">
        <v>45776.41587962963</v>
      </c>
      <c r="D256" s="26"/>
      <c r="E256" s="28" t="s">
        <v>1086</v>
      </c>
      <c r="F256" s="24"/>
      <c r="G256" s="35">
        <v>45776.0</v>
      </c>
      <c r="H256" s="35">
        <v>45777.0</v>
      </c>
      <c r="I256" s="35">
        <v>45777.0</v>
      </c>
      <c r="J256" s="24" t="s">
        <v>3767</v>
      </c>
      <c r="K256" s="24" t="s">
        <v>3360</v>
      </c>
      <c r="L256" s="34"/>
      <c r="M256" s="28">
        <f>HYPERLINK("https://app.hubspot.com/contacts/8748051/record/0-2/32722080322", 32722080322)</f>
        <v>32722080322</v>
      </c>
      <c r="N256" s="24" t="s">
        <v>1085</v>
      </c>
      <c r="O256" s="33">
        <f>HYPERLINK("https://app.hubspot.com/contacts/8748051/record/0-3/36563149903", 36563149903)</f>
        <v>36563149903</v>
      </c>
      <c r="P256" s="24" t="s">
        <v>1084</v>
      </c>
      <c r="Q256" s="24" t="s">
        <v>73</v>
      </c>
      <c r="R256" s="24">
        <v>2000.0</v>
      </c>
      <c r="S256" s="24"/>
      <c r="T256" s="34" t="str">
        <f t="shared" ref="T256:V256" si="258">IF(G256&lt;&gt;"","Yes","")</f>
        <v>Yes</v>
      </c>
      <c r="U256" s="34" t="str">
        <f t="shared" si="258"/>
        <v>Yes</v>
      </c>
      <c r="V256" s="34" t="str">
        <f t="shared" si="258"/>
        <v>Yes</v>
      </c>
      <c r="W256" s="34" t="str">
        <f t="shared" si="3"/>
        <v/>
      </c>
      <c r="X256" s="24" t="str">
        <f t="shared" si="4"/>
        <v/>
      </c>
    </row>
    <row r="257" ht="14.25" customHeight="1">
      <c r="A257" s="28">
        <f>HYPERLINK("https://app.hubspot.com/contacts/8748051/record/0-1/116596312416", 116596312416)</f>
        <v>116596312416</v>
      </c>
      <c r="B257" s="24" t="s">
        <v>3768</v>
      </c>
      <c r="C257" s="26">
        <v>45771.96204861111</v>
      </c>
      <c r="D257" s="26"/>
      <c r="E257" s="28" t="s">
        <v>1089</v>
      </c>
      <c r="F257" s="24"/>
      <c r="G257" s="35">
        <v>45772.0</v>
      </c>
      <c r="H257" s="35">
        <v>45773.0</v>
      </c>
      <c r="I257" s="35"/>
      <c r="J257" s="24" t="s">
        <v>3769</v>
      </c>
      <c r="K257" s="24" t="s">
        <v>3242</v>
      </c>
      <c r="L257" s="34"/>
      <c r="M257" s="28">
        <f>HYPERLINK("https://app.hubspot.com/contacts/8748051/record/0-2/6816458012", 6816458012)</f>
        <v>6816458012</v>
      </c>
      <c r="N257" s="24" t="s">
        <v>1088</v>
      </c>
      <c r="O257" s="28">
        <f>HYPERLINK("https://app.hubspot.com/contacts/8748051/record/0-3/36212115727", 36212115727)</f>
        <v>36212115727</v>
      </c>
      <c r="P257" s="24" t="s">
        <v>1087</v>
      </c>
      <c r="Q257" s="24" t="s">
        <v>73</v>
      </c>
      <c r="R257" s="24">
        <v>100000.0</v>
      </c>
      <c r="S257" s="24"/>
      <c r="T257" s="34" t="str">
        <f t="shared" ref="T257:V257" si="259">IF(G257&lt;&gt;"","Yes","")</f>
        <v>Yes</v>
      </c>
      <c r="U257" s="34" t="str">
        <f t="shared" si="259"/>
        <v>Yes</v>
      </c>
      <c r="V257" s="34" t="str">
        <f t="shared" si="259"/>
        <v/>
      </c>
      <c r="W257" s="34" t="str">
        <f t="shared" si="3"/>
        <v/>
      </c>
      <c r="X257" s="24" t="str">
        <f t="shared" si="4"/>
        <v/>
      </c>
    </row>
    <row r="258" ht="14.25" customHeight="1">
      <c r="A258" s="28">
        <f>HYPERLINK("https://app.hubspot.com/contacts/8748051/record/0-1/116367302755", 116367302755)</f>
        <v>116367302755</v>
      </c>
      <c r="B258" s="24" t="s">
        <v>3770</v>
      </c>
      <c r="C258" s="26">
        <v>45770.4021875</v>
      </c>
      <c r="D258" s="26"/>
      <c r="E258" s="28" t="s">
        <v>1094</v>
      </c>
      <c r="F258" s="24"/>
      <c r="G258" s="35">
        <v>45770.0</v>
      </c>
      <c r="H258" s="35">
        <v>45771.0</v>
      </c>
      <c r="I258" s="35">
        <v>45771.0</v>
      </c>
      <c r="J258" s="24" t="s">
        <v>3771</v>
      </c>
      <c r="K258" s="24" t="s">
        <v>3469</v>
      </c>
      <c r="L258" s="34"/>
      <c r="M258" s="28">
        <f>HYPERLINK("https://app.hubspot.com/contacts/8748051/record/0-2/32425083941", 32425083941)</f>
        <v>32425083941</v>
      </c>
      <c r="N258" s="24" t="s">
        <v>1093</v>
      </c>
      <c r="O258" s="33">
        <f>HYPERLINK("https://app.hubspot.com/contacts/8748051/record/0-3/36142638880", 36142638880)</f>
        <v>36142638880</v>
      </c>
      <c r="P258" s="24" t="s">
        <v>1092</v>
      </c>
      <c r="Q258" s="24" t="s">
        <v>127</v>
      </c>
      <c r="R258" s="24">
        <v>43500.0</v>
      </c>
      <c r="S258" s="24" t="b">
        <v>1</v>
      </c>
      <c r="T258" s="34" t="str">
        <f t="shared" ref="T258:V258" si="260">IF(G258&lt;&gt;"","Yes","")</f>
        <v>Yes</v>
      </c>
      <c r="U258" s="34" t="str">
        <f t="shared" si="260"/>
        <v>Yes</v>
      </c>
      <c r="V258" s="34" t="str">
        <f t="shared" si="260"/>
        <v>Yes</v>
      </c>
      <c r="W258" s="34" t="str">
        <f t="shared" si="3"/>
        <v/>
      </c>
      <c r="X258" s="24" t="str">
        <f t="shared" si="4"/>
        <v/>
      </c>
    </row>
    <row r="259" ht="14.25" customHeight="1">
      <c r="A259" s="28">
        <f>HYPERLINK("https://app.hubspot.com/contacts/8748051/record/0-1/116164581271", 116164581271)</f>
        <v>116164581271</v>
      </c>
      <c r="B259" s="24" t="s">
        <v>3772</v>
      </c>
      <c r="C259" s="26">
        <v>45769.59275462963</v>
      </c>
      <c r="D259" s="26"/>
      <c r="E259" s="28" t="s">
        <v>1098</v>
      </c>
      <c r="F259" s="26"/>
      <c r="G259" s="35">
        <v>45769.0</v>
      </c>
      <c r="H259" s="35">
        <v>45771.0</v>
      </c>
      <c r="I259" s="35">
        <v>45771.0</v>
      </c>
      <c r="J259" s="24" t="s">
        <v>3615</v>
      </c>
      <c r="K259" s="24" t="s">
        <v>155</v>
      </c>
      <c r="L259" s="34"/>
      <c r="M259" s="28">
        <f>HYPERLINK("https://app.hubspot.com/contacts/8748051/record/0-2/8161507100", 8161507100)</f>
        <v>8161507100</v>
      </c>
      <c r="N259" s="24" t="s">
        <v>1097</v>
      </c>
      <c r="O259" s="33">
        <f>HYPERLINK("https://app.hubspot.com/contacts/8748051/record/0-3/36065556254", 36065556254)</f>
        <v>36065556254</v>
      </c>
      <c r="P259" s="24" t="s">
        <v>1095</v>
      </c>
      <c r="Q259" s="24" t="s">
        <v>92</v>
      </c>
      <c r="R259" s="24">
        <v>46000.0</v>
      </c>
      <c r="S259" s="24" t="b">
        <v>1</v>
      </c>
      <c r="T259" s="34" t="str">
        <f t="shared" ref="T259:V259" si="261">IF(G259&lt;&gt;"","Yes","")</f>
        <v>Yes</v>
      </c>
      <c r="U259" s="34" t="str">
        <f t="shared" si="261"/>
        <v>Yes</v>
      </c>
      <c r="V259" s="34" t="str">
        <f t="shared" si="261"/>
        <v>Yes</v>
      </c>
      <c r="W259" s="34" t="str">
        <f t="shared" si="3"/>
        <v>Yes</v>
      </c>
      <c r="X259" s="24" t="str">
        <f t="shared" si="4"/>
        <v/>
      </c>
    </row>
    <row r="260" ht="14.25" customHeight="1">
      <c r="A260" s="28">
        <f>HYPERLINK("https://app.hubspot.com/contacts/8748051/record/0-1/103919077156", 103919077156)</f>
        <v>103919077156</v>
      </c>
      <c r="B260" s="24" t="s">
        <v>3773</v>
      </c>
      <c r="C260" s="26">
        <v>45768.39346064815</v>
      </c>
      <c r="D260" s="26"/>
      <c r="E260" s="28" t="s">
        <v>1102</v>
      </c>
      <c r="F260" s="24"/>
      <c r="G260" s="35">
        <v>45768.0</v>
      </c>
      <c r="H260" s="35">
        <v>45779.0</v>
      </c>
      <c r="I260" s="35">
        <v>45791.0</v>
      </c>
      <c r="J260" s="24" t="s">
        <v>3774</v>
      </c>
      <c r="K260" s="24" t="s">
        <v>3242</v>
      </c>
      <c r="L260" s="34"/>
      <c r="M260" s="28">
        <f>HYPERLINK("https://app.hubspot.com/contacts/8748051/record/0-2/9238390855", 9238390855)</f>
        <v>9238390855</v>
      </c>
      <c r="N260" s="24" t="s">
        <v>1101</v>
      </c>
      <c r="O260" s="33">
        <f>HYPERLINK("https://app.hubspot.com/contacts/8748051/record/0-3/36028597311", 36028597311)</f>
        <v>36028597311</v>
      </c>
      <c r="P260" s="24" t="s">
        <v>1100</v>
      </c>
      <c r="Q260" s="24" t="s">
        <v>73</v>
      </c>
      <c r="R260" s="24">
        <v>35500.0</v>
      </c>
      <c r="S260" s="24"/>
      <c r="T260" s="34" t="str">
        <f t="shared" ref="T260:V260" si="262">IF(G260&lt;&gt;"","Yes","")</f>
        <v>Yes</v>
      </c>
      <c r="U260" s="34" t="str">
        <f t="shared" si="262"/>
        <v>Yes</v>
      </c>
      <c r="V260" s="34" t="str">
        <f t="shared" si="262"/>
        <v>Yes</v>
      </c>
      <c r="W260" s="34" t="str">
        <f t="shared" si="3"/>
        <v/>
      </c>
      <c r="X260" s="24" t="str">
        <f t="shared" si="4"/>
        <v/>
      </c>
    </row>
    <row r="261" ht="14.25" customHeight="1">
      <c r="A261" s="28">
        <f>HYPERLINK("https://app.hubspot.com/contacts/8748051/record/0-1/114857478560", 114857478560)</f>
        <v>114857478560</v>
      </c>
      <c r="B261" s="24" t="s">
        <v>3775</v>
      </c>
      <c r="C261" s="26">
        <v>45764.79491898148</v>
      </c>
      <c r="D261" s="26"/>
      <c r="E261" s="28" t="s">
        <v>3776</v>
      </c>
      <c r="F261" s="24" t="s">
        <v>3304</v>
      </c>
      <c r="G261" s="35"/>
      <c r="H261" s="35"/>
      <c r="I261" s="35"/>
      <c r="J261" s="24" t="s">
        <v>3777</v>
      </c>
      <c r="K261" s="24"/>
      <c r="L261" s="34"/>
      <c r="M261" s="28">
        <f>HYPERLINK("https://app.hubspot.com/contacts/8748051/record/0-2/32158380933", 32158380933)</f>
        <v>32158380933</v>
      </c>
      <c r="N261" s="28" t="s">
        <v>3776</v>
      </c>
      <c r="O261" s="34"/>
      <c r="P261" s="24"/>
      <c r="Q261" s="24"/>
      <c r="R261" s="24"/>
      <c r="S261" s="24"/>
      <c r="T261" s="34" t="str">
        <f t="shared" ref="T261:V261" si="263">IF(G261&lt;&gt;"","Yes","")</f>
        <v/>
      </c>
      <c r="U261" s="34" t="str">
        <f t="shared" si="263"/>
        <v/>
      </c>
      <c r="V261" s="34" t="str">
        <f t="shared" si="263"/>
        <v/>
      </c>
      <c r="W261" s="34" t="str">
        <f t="shared" si="3"/>
        <v/>
      </c>
      <c r="X261" s="24" t="str">
        <f t="shared" si="4"/>
        <v/>
      </c>
    </row>
    <row r="262" ht="14.25" customHeight="1">
      <c r="A262" s="28">
        <f>HYPERLINK("https://app.hubspot.com/contacts/8748051/record/0-1/114464081481", 114464081481)</f>
        <v>114464081481</v>
      </c>
      <c r="B262" s="24" t="s">
        <v>3778</v>
      </c>
      <c r="C262" s="26">
        <v>45763.4428125</v>
      </c>
      <c r="D262" s="26"/>
      <c r="E262" s="28" t="s">
        <v>822</v>
      </c>
      <c r="F262" s="24"/>
      <c r="G262" s="35">
        <v>45763.0</v>
      </c>
      <c r="H262" s="35">
        <v>45768.0</v>
      </c>
      <c r="I262" s="35">
        <v>45768.0</v>
      </c>
      <c r="J262" s="24" t="s">
        <v>3419</v>
      </c>
      <c r="K262" s="24" t="s">
        <v>3239</v>
      </c>
      <c r="L262" s="34"/>
      <c r="M262" s="28">
        <f>HYPERLINK("https://app.hubspot.com/contacts/8748051/record/0-2/20185415273", 20185415273)</f>
        <v>20185415273</v>
      </c>
      <c r="N262" s="24" t="s">
        <v>821</v>
      </c>
      <c r="O262" s="33">
        <f>HYPERLINK("https://app.hubspot.com/contacts/8748051/record/0-3/35827801260", 35827801260)</f>
        <v>35827801260</v>
      </c>
      <c r="P262" s="24" t="s">
        <v>1108</v>
      </c>
      <c r="Q262" s="24" t="s">
        <v>73</v>
      </c>
      <c r="R262" s="24">
        <v>5000.0</v>
      </c>
      <c r="S262" s="24"/>
      <c r="T262" s="34" t="str">
        <f t="shared" ref="T262:V262" si="264">IF(G262&lt;&gt;"","Yes","")</f>
        <v>Yes</v>
      </c>
      <c r="U262" s="34" t="str">
        <f t="shared" si="264"/>
        <v>Yes</v>
      </c>
      <c r="V262" s="34" t="str">
        <f t="shared" si="264"/>
        <v>Yes</v>
      </c>
      <c r="W262" s="34" t="str">
        <f t="shared" si="3"/>
        <v/>
      </c>
      <c r="X262" s="24" t="str">
        <f t="shared" si="4"/>
        <v/>
      </c>
    </row>
    <row r="263" ht="14.25" customHeight="1">
      <c r="A263" s="28">
        <f>HYPERLINK("https://app.hubspot.com/contacts/8748051/record/0-1/114314742665", 114314742665)</f>
        <v>114314742665</v>
      </c>
      <c r="B263" s="24" t="s">
        <v>3779</v>
      </c>
      <c r="C263" s="26">
        <v>45762.783483796295</v>
      </c>
      <c r="D263" s="26"/>
      <c r="E263" s="28" t="s">
        <v>1111</v>
      </c>
      <c r="F263" s="24"/>
      <c r="G263" s="35">
        <v>45763.0</v>
      </c>
      <c r="H263" s="35">
        <v>45766.0</v>
      </c>
      <c r="I263" s="35">
        <v>45766.0</v>
      </c>
      <c r="J263" s="24" t="s">
        <v>3385</v>
      </c>
      <c r="K263" s="24" t="s">
        <v>3239</v>
      </c>
      <c r="L263" s="34"/>
      <c r="M263" s="28">
        <f>HYPERLINK("https://app.hubspot.com/contacts/8748051/record/0-2/32056215688", 32056215688)</f>
        <v>32056215688</v>
      </c>
      <c r="N263" s="24" t="s">
        <v>1110</v>
      </c>
      <c r="O263" s="33">
        <f>HYPERLINK("https://app.hubspot.com/contacts/8748051/record/0-3/35764308320", 35764308320)</f>
        <v>35764308320</v>
      </c>
      <c r="P263" s="24" t="s">
        <v>1109</v>
      </c>
      <c r="Q263" s="24" t="s">
        <v>73</v>
      </c>
      <c r="R263" s="24">
        <v>9500.0</v>
      </c>
      <c r="S263" s="24"/>
      <c r="T263" s="34" t="str">
        <f t="shared" ref="T263:V263" si="265">IF(G263&lt;&gt;"","Yes","")</f>
        <v>Yes</v>
      </c>
      <c r="U263" s="34" t="str">
        <f t="shared" si="265"/>
        <v>Yes</v>
      </c>
      <c r="V263" s="34" t="str">
        <f t="shared" si="265"/>
        <v>Yes</v>
      </c>
      <c r="W263" s="34" t="str">
        <f t="shared" si="3"/>
        <v/>
      </c>
      <c r="X263" s="24" t="str">
        <f t="shared" si="4"/>
        <v/>
      </c>
    </row>
    <row r="264" ht="14.25" customHeight="1">
      <c r="A264" s="28">
        <f>HYPERLINK("https://app.hubspot.com/contacts/8748051/record/0-1/102382023095", 102382023095)</f>
        <v>102382023095</v>
      </c>
      <c r="B264" s="24" t="s">
        <v>3780</v>
      </c>
      <c r="C264" s="26">
        <v>45758.641689814816</v>
      </c>
      <c r="D264" s="26"/>
      <c r="E264" s="28" t="s">
        <v>674</v>
      </c>
      <c r="F264" s="24"/>
      <c r="G264" s="35">
        <v>45759.0</v>
      </c>
      <c r="H264" s="35">
        <v>45763.0</v>
      </c>
      <c r="I264" s="35"/>
      <c r="J264" s="24" t="s">
        <v>3781</v>
      </c>
      <c r="K264" s="24" t="s">
        <v>155</v>
      </c>
      <c r="L264" s="24"/>
      <c r="M264" s="28">
        <f>HYPERLINK("https://app.hubspot.com/contacts/8748051/record/0-2/31946973311", 31946973311)</f>
        <v>31946973311</v>
      </c>
      <c r="N264" s="24" t="s">
        <v>673</v>
      </c>
      <c r="O264" s="28">
        <f>HYPERLINK("https://app.hubspot.com/contacts/8748051/record/0-3/35676027492", 35676027492)</f>
        <v>35676027492</v>
      </c>
      <c r="P264" s="24" t="s">
        <v>1113</v>
      </c>
      <c r="Q264" s="24" t="s">
        <v>73</v>
      </c>
      <c r="R264" s="24">
        <v>1500.0</v>
      </c>
      <c r="S264" s="24"/>
      <c r="T264" s="34" t="str">
        <f t="shared" ref="T264:V264" si="266">IF(G264&lt;&gt;"","Yes","")</f>
        <v>Yes</v>
      </c>
      <c r="U264" s="34" t="str">
        <f t="shared" si="266"/>
        <v>Yes</v>
      </c>
      <c r="V264" s="34" t="str">
        <f t="shared" si="266"/>
        <v/>
      </c>
      <c r="W264" s="34" t="str">
        <f t="shared" si="3"/>
        <v/>
      </c>
      <c r="X264" s="24" t="str">
        <f t="shared" si="4"/>
        <v/>
      </c>
    </row>
    <row r="265" ht="14.25" customHeight="1">
      <c r="A265" s="28">
        <f>HYPERLINK("https://app.hubspot.com/contacts/8748051/record/0-1/1423303", 1423303)</f>
        <v>1423303</v>
      </c>
      <c r="B265" s="24" t="s">
        <v>3782</v>
      </c>
      <c r="C265" s="26">
        <v>45757.55755787037</v>
      </c>
      <c r="D265" s="26"/>
      <c r="E265" s="28" t="s">
        <v>1116</v>
      </c>
      <c r="F265" s="24"/>
      <c r="G265" s="35">
        <v>45757.0</v>
      </c>
      <c r="H265" s="35">
        <v>45758.0</v>
      </c>
      <c r="I265" s="35">
        <v>45758.0</v>
      </c>
      <c r="J265" s="24" t="s">
        <v>3783</v>
      </c>
      <c r="K265" s="24" t="s">
        <v>3707</v>
      </c>
      <c r="L265" s="34"/>
      <c r="M265" s="28">
        <f>HYPERLINK("https://app.hubspot.com/contacts/8748051/record/0-2/7983431442", 7983431442)</f>
        <v>7983431442</v>
      </c>
      <c r="N265" s="24" t="s">
        <v>1115</v>
      </c>
      <c r="O265" s="28">
        <f>HYPERLINK("https://app.hubspot.com/contacts/8748051/record/0-3/35633263727", 35633263727)</f>
        <v>35633263727</v>
      </c>
      <c r="P265" s="24" t="s">
        <v>1114</v>
      </c>
      <c r="Q265" s="24" t="s">
        <v>73</v>
      </c>
      <c r="R265" s="24">
        <v>11000.0</v>
      </c>
      <c r="S265" s="24"/>
      <c r="T265" s="34" t="str">
        <f t="shared" ref="T265:V265" si="267">IF(G265&lt;&gt;"","Yes","")</f>
        <v>Yes</v>
      </c>
      <c r="U265" s="34" t="str">
        <f t="shared" si="267"/>
        <v>Yes</v>
      </c>
      <c r="V265" s="34" t="str">
        <f t="shared" si="267"/>
        <v>Yes</v>
      </c>
      <c r="W265" s="34" t="str">
        <f t="shared" si="3"/>
        <v/>
      </c>
      <c r="X265" s="24" t="str">
        <f t="shared" si="4"/>
        <v/>
      </c>
    </row>
    <row r="266" ht="14.25" customHeight="1">
      <c r="A266" s="28">
        <f>HYPERLINK("https://app.hubspot.com/contacts/8748051/record/0-1/112736394496", 112736394496)</f>
        <v>112736394496</v>
      </c>
      <c r="B266" s="24" t="s">
        <v>3784</v>
      </c>
      <c r="C266" s="26">
        <v>45756.63171296296</v>
      </c>
      <c r="D266" s="26"/>
      <c r="E266" s="28" t="s">
        <v>953</v>
      </c>
      <c r="F266" s="24"/>
      <c r="G266" s="35">
        <v>45757.0</v>
      </c>
      <c r="H266" s="35">
        <v>45758.0</v>
      </c>
      <c r="I266" s="35">
        <v>45758.0</v>
      </c>
      <c r="J266" s="24" t="s">
        <v>3785</v>
      </c>
      <c r="K266" s="24" t="s">
        <v>3237</v>
      </c>
      <c r="L266" s="34"/>
      <c r="M266" s="28">
        <f>HYPERLINK("https://app.hubspot.com/contacts/8748051/record/0-2/8142764962", 8142764962)</f>
        <v>8142764962</v>
      </c>
      <c r="N266" s="24" t="s">
        <v>952</v>
      </c>
      <c r="O266" s="33">
        <f>HYPERLINK("https://app.hubspot.com/contacts/8748051/record/0-3/35628527472", 35628527472)</f>
        <v>35628527472</v>
      </c>
      <c r="P266" s="24" t="s">
        <v>1121</v>
      </c>
      <c r="Q266" s="24" t="s">
        <v>73</v>
      </c>
      <c r="R266" s="24">
        <v>100000.0</v>
      </c>
      <c r="S266" s="24"/>
      <c r="T266" s="34" t="str">
        <f t="shared" ref="T266:V266" si="268">IF(G266&lt;&gt;"","Yes","")</f>
        <v>Yes</v>
      </c>
      <c r="U266" s="34" t="str">
        <f t="shared" si="268"/>
        <v>Yes</v>
      </c>
      <c r="V266" s="34" t="str">
        <f t="shared" si="268"/>
        <v>Yes</v>
      </c>
      <c r="W266" s="34" t="str">
        <f t="shared" si="3"/>
        <v/>
      </c>
      <c r="X266" s="24" t="str">
        <f t="shared" si="4"/>
        <v/>
      </c>
    </row>
    <row r="267" ht="14.25" customHeight="1">
      <c r="A267" s="28">
        <f>HYPERLINK("https://app.hubspot.com/contacts/8748051/record/0-1/112463056208", 112463056208)</f>
        <v>112463056208</v>
      </c>
      <c r="B267" s="24" t="s">
        <v>3786</v>
      </c>
      <c r="C267" s="26">
        <v>45755.64795138889</v>
      </c>
      <c r="D267" s="26"/>
      <c r="E267" s="28" t="s">
        <v>1131</v>
      </c>
      <c r="F267" s="24"/>
      <c r="G267" s="35">
        <v>45756.0</v>
      </c>
      <c r="H267" s="35">
        <v>45763.0</v>
      </c>
      <c r="I267" s="35">
        <v>45763.0</v>
      </c>
      <c r="J267" s="24" t="s">
        <v>3787</v>
      </c>
      <c r="K267" s="24" t="s">
        <v>155</v>
      </c>
      <c r="L267" s="34"/>
      <c r="M267" s="28">
        <f>HYPERLINK("https://app.hubspot.com/contacts/8748051/record/0-2/16376195482", 16376195482)</f>
        <v>16376195482</v>
      </c>
      <c r="N267" s="24" t="s">
        <v>1130</v>
      </c>
      <c r="O267" s="33">
        <f>HYPERLINK("https://app.hubspot.com/contacts/8748051/record/0-3/35601301376", 35601301376)</f>
        <v>35601301376</v>
      </c>
      <c r="P267" s="24" t="s">
        <v>1128</v>
      </c>
      <c r="Q267" s="24" t="s">
        <v>149</v>
      </c>
      <c r="R267" s="24">
        <v>25000.0</v>
      </c>
      <c r="S267" s="24" t="b">
        <v>1</v>
      </c>
      <c r="T267" s="34" t="str">
        <f t="shared" ref="T267:V267" si="269">IF(G267&lt;&gt;"","Yes","")</f>
        <v>Yes</v>
      </c>
      <c r="U267" s="34" t="str">
        <f t="shared" si="269"/>
        <v>Yes</v>
      </c>
      <c r="V267" s="34" t="str">
        <f t="shared" si="269"/>
        <v>Yes</v>
      </c>
      <c r="W267" s="34" t="str">
        <f t="shared" si="3"/>
        <v/>
      </c>
      <c r="X267" s="24" t="str">
        <f t="shared" si="4"/>
        <v>Yes</v>
      </c>
    </row>
    <row r="268" ht="14.25" customHeight="1">
      <c r="A268" s="28">
        <f>HYPERLINK("https://app.hubspot.com/contacts/8748051/record/0-1/111336572436", 111336572436)</f>
        <v>111336572436</v>
      </c>
      <c r="B268" s="24" t="s">
        <v>3788</v>
      </c>
      <c r="C268" s="26">
        <v>45750.678923611114</v>
      </c>
      <c r="D268" s="26"/>
      <c r="E268" s="28" t="s">
        <v>1134</v>
      </c>
      <c r="F268" s="24"/>
      <c r="G268" s="35">
        <v>45751.0</v>
      </c>
      <c r="H268" s="35">
        <v>45752.0</v>
      </c>
      <c r="I268" s="35"/>
      <c r="J268" s="24" t="s">
        <v>3789</v>
      </c>
      <c r="K268" s="24" t="s">
        <v>155</v>
      </c>
      <c r="L268" s="34"/>
      <c r="M268" s="28">
        <f>HYPERLINK("https://app.hubspot.com/contacts/8748051/record/0-2/31731876899", 31731876899)</f>
        <v>31731876899</v>
      </c>
      <c r="N268" s="24" t="s">
        <v>1133</v>
      </c>
      <c r="O268" s="33">
        <f>HYPERLINK("https://app.hubspot.com/contacts/8748051/record/0-3/35398932836", 35398932836)</f>
        <v>35398932836</v>
      </c>
      <c r="P268" s="24" t="s">
        <v>1132</v>
      </c>
      <c r="Q268" s="24" t="s">
        <v>73</v>
      </c>
      <c r="R268" s="24">
        <v>22000.0</v>
      </c>
      <c r="S268" s="24"/>
      <c r="T268" s="34" t="str">
        <f t="shared" ref="T268:V268" si="270">IF(G268&lt;&gt;"","Yes","")</f>
        <v>Yes</v>
      </c>
      <c r="U268" s="34" t="str">
        <f t="shared" si="270"/>
        <v>Yes</v>
      </c>
      <c r="V268" s="34" t="str">
        <f t="shared" si="270"/>
        <v/>
      </c>
      <c r="W268" s="34" t="str">
        <f t="shared" si="3"/>
        <v/>
      </c>
      <c r="X268" s="24" t="str">
        <f t="shared" si="4"/>
        <v/>
      </c>
    </row>
    <row r="269" ht="14.25" customHeight="1">
      <c r="A269" s="28">
        <f>HYPERLINK("https://app.hubspot.com/contacts/8748051/record/0-1/111321287528", 111321287528)</f>
        <v>111321287528</v>
      </c>
      <c r="B269" s="24" t="s">
        <v>3790</v>
      </c>
      <c r="C269" s="26">
        <v>45750.62777777778</v>
      </c>
      <c r="D269" s="26"/>
      <c r="E269" s="28" t="s">
        <v>1138</v>
      </c>
      <c r="F269" s="26"/>
      <c r="G269" s="35">
        <v>45751.0</v>
      </c>
      <c r="H269" s="35">
        <v>45764.0</v>
      </c>
      <c r="I269" s="35">
        <v>45764.0</v>
      </c>
      <c r="J269" s="24" t="s">
        <v>3791</v>
      </c>
      <c r="K269" s="24" t="s">
        <v>3792</v>
      </c>
      <c r="L269" s="34"/>
      <c r="M269" s="28">
        <f>HYPERLINK("https://app.hubspot.com/contacts/8748051/record/0-2/7691930755", 7691930755)</f>
        <v>7691930755</v>
      </c>
      <c r="N269" s="24" t="s">
        <v>1137</v>
      </c>
      <c r="O269" s="33">
        <f>HYPERLINK("https://app.hubspot.com/contacts/8748051/record/0-3/35443306906", 35443306906)</f>
        <v>35443306906</v>
      </c>
      <c r="P269" s="24" t="s">
        <v>1135</v>
      </c>
      <c r="Q269" s="24" t="s">
        <v>92</v>
      </c>
      <c r="R269" s="24">
        <v>75000.0</v>
      </c>
      <c r="S269" s="24" t="b">
        <v>1</v>
      </c>
      <c r="T269" s="34" t="str">
        <f t="shared" ref="T269:V269" si="271">IF(G269&lt;&gt;"","Yes","")</f>
        <v>Yes</v>
      </c>
      <c r="U269" s="34" t="str">
        <f t="shared" si="271"/>
        <v>Yes</v>
      </c>
      <c r="V269" s="34" t="str">
        <f t="shared" si="271"/>
        <v>Yes</v>
      </c>
      <c r="W269" s="34" t="str">
        <f t="shared" si="3"/>
        <v>Yes</v>
      </c>
      <c r="X269" s="24" t="str">
        <f t="shared" si="4"/>
        <v/>
      </c>
    </row>
    <row r="270" ht="14.25" customHeight="1">
      <c r="A270" s="28">
        <f>HYPERLINK("https://app.hubspot.com/contacts/8748051/record/0-1/111259705763", 111259705763)</f>
        <v>111259705763</v>
      </c>
      <c r="B270" s="24" t="s">
        <v>3793</v>
      </c>
      <c r="C270" s="26">
        <v>45750.43471064815</v>
      </c>
      <c r="D270" s="26"/>
      <c r="E270" s="28" t="s">
        <v>1142</v>
      </c>
      <c r="F270" s="24"/>
      <c r="G270" s="35">
        <v>45750.0</v>
      </c>
      <c r="H270" s="35">
        <v>45751.0</v>
      </c>
      <c r="I270" s="35">
        <v>45751.0</v>
      </c>
      <c r="J270" s="24" t="s">
        <v>3296</v>
      </c>
      <c r="K270" s="24" t="s">
        <v>3239</v>
      </c>
      <c r="L270" s="34"/>
      <c r="M270" s="28">
        <f>HYPERLINK("https://app.hubspot.com/contacts/8748051/record/0-2/19176733015", 19176733015)</f>
        <v>19176733015</v>
      </c>
      <c r="N270" s="24" t="s">
        <v>1141</v>
      </c>
      <c r="O270" s="28">
        <f>HYPERLINK("https://app.hubspot.com/contacts/8748051/record/0-3/35396163611", 35396163611)</f>
        <v>35396163611</v>
      </c>
      <c r="P270" s="24" t="s">
        <v>1140</v>
      </c>
      <c r="Q270" s="24" t="s">
        <v>149</v>
      </c>
      <c r="R270" s="24">
        <v>14000.0</v>
      </c>
      <c r="S270" s="24" t="b">
        <v>1</v>
      </c>
      <c r="T270" s="34" t="str">
        <f t="shared" ref="T270:V270" si="272">IF(G270&lt;&gt;"","Yes","")</f>
        <v>Yes</v>
      </c>
      <c r="U270" s="34" t="str">
        <f t="shared" si="272"/>
        <v>Yes</v>
      </c>
      <c r="V270" s="34" t="str">
        <f t="shared" si="272"/>
        <v>Yes</v>
      </c>
      <c r="W270" s="34" t="str">
        <f t="shared" si="3"/>
        <v/>
      </c>
      <c r="X270" s="24" t="str">
        <f t="shared" si="4"/>
        <v>Yes</v>
      </c>
    </row>
    <row r="271" ht="14.25" customHeight="1">
      <c r="A271" s="28">
        <f>HYPERLINK("https://app.hubspot.com/contacts/8748051/record/0-1/111115029900", 111115029900)</f>
        <v>111115029900</v>
      </c>
      <c r="B271" s="24" t="s">
        <v>3794</v>
      </c>
      <c r="C271" s="26">
        <v>45749.8965625</v>
      </c>
      <c r="D271" s="26"/>
      <c r="E271" s="28" t="s">
        <v>3795</v>
      </c>
      <c r="F271" s="24" t="s">
        <v>3304</v>
      </c>
      <c r="G271" s="35"/>
      <c r="H271" s="35"/>
      <c r="I271" s="35"/>
      <c r="J271" s="24" t="s">
        <v>3796</v>
      </c>
      <c r="K271" s="24"/>
      <c r="L271" s="34"/>
      <c r="M271" s="28">
        <f>HYPERLINK("https://app.hubspot.com/contacts/8748051/record/0-2/31727176244", 31727176244)</f>
        <v>31727176244</v>
      </c>
      <c r="N271" s="24" t="s">
        <v>3797</v>
      </c>
      <c r="O271" s="34"/>
      <c r="P271" s="24"/>
      <c r="Q271" s="24"/>
      <c r="R271" s="24"/>
      <c r="S271" s="24"/>
      <c r="T271" s="34" t="str">
        <f t="shared" ref="T271:V271" si="273">IF(G271&lt;&gt;"","Yes","")</f>
        <v/>
      </c>
      <c r="U271" s="34" t="str">
        <f t="shared" si="273"/>
        <v/>
      </c>
      <c r="V271" s="34" t="str">
        <f t="shared" si="273"/>
        <v/>
      </c>
      <c r="W271" s="34" t="str">
        <f t="shared" si="3"/>
        <v/>
      </c>
      <c r="X271" s="24" t="str">
        <f t="shared" si="4"/>
        <v/>
      </c>
    </row>
    <row r="272" ht="14.25" customHeight="1">
      <c r="A272" s="28">
        <f>HYPERLINK("https://app.hubspot.com/contacts/8748051/record/0-1/111091077437", 111091077437)</f>
        <v>111091077437</v>
      </c>
      <c r="B272" s="24" t="s">
        <v>3798</v>
      </c>
      <c r="C272" s="26">
        <v>45749.835868055554</v>
      </c>
      <c r="D272" s="26"/>
      <c r="E272" s="28" t="s">
        <v>1145</v>
      </c>
      <c r="F272" s="24"/>
      <c r="G272" s="35">
        <v>45750.0</v>
      </c>
      <c r="H272" s="35">
        <v>45752.0</v>
      </c>
      <c r="I272" s="35">
        <v>45752.0</v>
      </c>
      <c r="J272" s="24" t="s">
        <v>1072</v>
      </c>
      <c r="K272" s="24" t="s">
        <v>3242</v>
      </c>
      <c r="L272" s="34"/>
      <c r="M272" s="28">
        <f>HYPERLINK("https://app.hubspot.com/contacts/8748051/record/0-2/19176719531", 19176719531)</f>
        <v>19176719531</v>
      </c>
      <c r="N272" s="24" t="s">
        <v>1144</v>
      </c>
      <c r="O272" s="33">
        <f>HYPERLINK("https://app.hubspot.com/contacts/8748051/record/0-3/35396838020", 35396838020)</f>
        <v>35396838020</v>
      </c>
      <c r="P272" s="24" t="s">
        <v>1143</v>
      </c>
      <c r="Q272" s="24" t="s">
        <v>73</v>
      </c>
      <c r="R272" s="24">
        <v>8000.0</v>
      </c>
      <c r="S272" s="24"/>
      <c r="T272" s="34" t="str">
        <f t="shared" ref="T272:V272" si="274">IF(G272&lt;&gt;"","Yes","")</f>
        <v>Yes</v>
      </c>
      <c r="U272" s="34" t="str">
        <f t="shared" si="274"/>
        <v>Yes</v>
      </c>
      <c r="V272" s="34" t="str">
        <f t="shared" si="274"/>
        <v>Yes</v>
      </c>
      <c r="W272" s="34" t="str">
        <f t="shared" si="3"/>
        <v/>
      </c>
      <c r="X272" s="24" t="str">
        <f t="shared" si="4"/>
        <v/>
      </c>
    </row>
    <row r="273" ht="14.25" customHeight="1">
      <c r="A273" s="28">
        <f>HYPERLINK("https://app.hubspot.com/contacts/8748051/record/0-1/111059378593", 111059378593)</f>
        <v>111059378593</v>
      </c>
      <c r="B273" s="24" t="s">
        <v>3799</v>
      </c>
      <c r="C273" s="26">
        <v>45749.66341435185</v>
      </c>
      <c r="D273" s="26"/>
      <c r="E273" s="28" t="s">
        <v>1154</v>
      </c>
      <c r="F273" s="24"/>
      <c r="G273" s="35">
        <v>45750.0</v>
      </c>
      <c r="H273" s="35">
        <v>45752.0</v>
      </c>
      <c r="I273" s="35">
        <v>45752.0</v>
      </c>
      <c r="J273" s="24" t="s">
        <v>3800</v>
      </c>
      <c r="K273" s="24" t="s">
        <v>155</v>
      </c>
      <c r="L273" s="34"/>
      <c r="M273" s="28">
        <f>HYPERLINK("https://app.hubspot.com/contacts/8748051/record/0-2/31273452392", 31273452392)</f>
        <v>31273452392</v>
      </c>
      <c r="N273" s="24" t="s">
        <v>1153</v>
      </c>
      <c r="O273" s="33">
        <f>HYPERLINK("https://app.hubspot.com/contacts/8748051/record/0-3/35410720290", 35410720290)</f>
        <v>35410720290</v>
      </c>
      <c r="P273" s="24" t="s">
        <v>1151</v>
      </c>
      <c r="Q273" s="24" t="s">
        <v>92</v>
      </c>
      <c r="R273" s="24">
        <v>35000.0</v>
      </c>
      <c r="S273" s="24" t="b">
        <v>1</v>
      </c>
      <c r="T273" s="34" t="str">
        <f t="shared" ref="T273:V273" si="275">IF(G273&lt;&gt;"","Yes","")</f>
        <v>Yes</v>
      </c>
      <c r="U273" s="34" t="str">
        <f t="shared" si="275"/>
        <v>Yes</v>
      </c>
      <c r="V273" s="34" t="str">
        <f t="shared" si="275"/>
        <v>Yes</v>
      </c>
      <c r="W273" s="34" t="str">
        <f t="shared" si="3"/>
        <v>Yes</v>
      </c>
      <c r="X273" s="24" t="str">
        <f t="shared" si="4"/>
        <v/>
      </c>
    </row>
    <row r="274" ht="14.25" customHeight="1">
      <c r="A274" s="28">
        <f>HYPERLINK("https://app.hubspot.com/contacts/8748051/record/0-1/110759186325", 110759186325)</f>
        <v>110759186325</v>
      </c>
      <c r="B274" s="24" t="s">
        <v>3801</v>
      </c>
      <c r="C274" s="26">
        <v>45748.78165509259</v>
      </c>
      <c r="D274" s="26"/>
      <c r="E274" s="28" t="s">
        <v>1169</v>
      </c>
      <c r="F274" s="24"/>
      <c r="G274" s="35">
        <v>45749.0</v>
      </c>
      <c r="H274" s="35">
        <v>45750.0</v>
      </c>
      <c r="I274" s="35">
        <v>45750.0</v>
      </c>
      <c r="J274" s="24" t="s">
        <v>3802</v>
      </c>
      <c r="K274" s="24" t="s">
        <v>3360</v>
      </c>
      <c r="L274" s="34"/>
      <c r="M274" s="28">
        <f>HYPERLINK("https://app.hubspot.com/contacts/8748051/record/0-2/9238276433", 9238276433)</f>
        <v>9238276433</v>
      </c>
      <c r="N274" s="24" t="s">
        <v>1168</v>
      </c>
      <c r="O274" s="33">
        <f>HYPERLINK("https://app.hubspot.com/contacts/8748051/record/0-3/35346512133", 35346512133)</f>
        <v>35346512133</v>
      </c>
      <c r="P274" s="24" t="s">
        <v>1167</v>
      </c>
      <c r="Q274" s="24" t="s">
        <v>73</v>
      </c>
      <c r="R274" s="24">
        <v>100000.0</v>
      </c>
      <c r="S274" s="24"/>
      <c r="T274" s="34" t="str">
        <f t="shared" ref="T274:V274" si="276">IF(G274&lt;&gt;"","Yes","")</f>
        <v>Yes</v>
      </c>
      <c r="U274" s="34" t="str">
        <f t="shared" si="276"/>
        <v>Yes</v>
      </c>
      <c r="V274" s="34" t="str">
        <f t="shared" si="276"/>
        <v>Yes</v>
      </c>
      <c r="W274" s="34" t="str">
        <f t="shared" si="3"/>
        <v/>
      </c>
      <c r="X274" s="24" t="str">
        <f t="shared" si="4"/>
        <v/>
      </c>
    </row>
    <row r="275" ht="14.25" customHeight="1">
      <c r="A275" s="28">
        <f>HYPERLINK("https://app.hubspot.com/contacts/8748051/record/0-1/158494577981", 158494577981)</f>
        <v>158494577981</v>
      </c>
      <c r="B275" s="24" t="s">
        <v>3803</v>
      </c>
      <c r="C275" s="26">
        <v>45747.64076388889</v>
      </c>
      <c r="D275" s="26"/>
      <c r="E275" s="28" t="s">
        <v>1179</v>
      </c>
      <c r="F275" s="24"/>
      <c r="G275" s="35">
        <v>45748.0</v>
      </c>
      <c r="H275" s="35">
        <v>45748.0</v>
      </c>
      <c r="I275" s="35">
        <v>45748.0</v>
      </c>
      <c r="J275" s="24" t="s">
        <v>3254</v>
      </c>
      <c r="K275" s="24" t="s">
        <v>3239</v>
      </c>
      <c r="L275" s="34"/>
      <c r="M275" s="28">
        <f>HYPERLINK("https://app.hubspot.com/contacts/8748051/record/0-2/9173815374", 9173815374)</f>
        <v>9173815374</v>
      </c>
      <c r="N275" s="24" t="s">
        <v>1178</v>
      </c>
      <c r="O275" s="28">
        <f>HYPERLINK("https://app.hubspot.com/contacts/8748051/record/0-3/35306115919", 35306115919)</f>
        <v>35306115919</v>
      </c>
      <c r="P275" s="24" t="s">
        <v>1177</v>
      </c>
      <c r="Q275" s="24" t="s">
        <v>127</v>
      </c>
      <c r="R275" s="24">
        <v>40000.0</v>
      </c>
      <c r="S275" s="24" t="b">
        <v>1</v>
      </c>
      <c r="T275" s="34" t="str">
        <f t="shared" ref="T275:V275" si="277">IF(G275&lt;&gt;"","Yes","")</f>
        <v>Yes</v>
      </c>
      <c r="U275" s="34" t="str">
        <f t="shared" si="277"/>
        <v>Yes</v>
      </c>
      <c r="V275" s="34" t="str">
        <f t="shared" si="277"/>
        <v>Yes</v>
      </c>
      <c r="W275" s="34" t="str">
        <f t="shared" si="3"/>
        <v/>
      </c>
      <c r="X275" s="24" t="str">
        <f t="shared" si="4"/>
        <v/>
      </c>
    </row>
    <row r="276" ht="14.25" customHeight="1">
      <c r="A276" s="28">
        <f>HYPERLINK("https://app.hubspot.com/contacts/8748051/record/0-1/109876083857", 109876083857)</f>
        <v>109876083857</v>
      </c>
      <c r="B276" s="24" t="s">
        <v>3804</v>
      </c>
      <c r="C276" s="26">
        <v>45745.66724537037</v>
      </c>
      <c r="D276" s="26"/>
      <c r="E276" s="28" t="s">
        <v>1176</v>
      </c>
      <c r="F276" s="24"/>
      <c r="G276" s="35">
        <v>45746.0</v>
      </c>
      <c r="H276" s="35">
        <v>45748.0</v>
      </c>
      <c r="I276" s="35"/>
      <c r="J276" s="24" t="s">
        <v>3805</v>
      </c>
      <c r="K276" s="24" t="s">
        <v>3242</v>
      </c>
      <c r="L276" s="34"/>
      <c r="M276" s="28">
        <f>HYPERLINK("https://app.hubspot.com/contacts/8748051/record/0-2/31520606976", 31520606976)</f>
        <v>31520606976</v>
      </c>
      <c r="N276" s="24" t="s">
        <v>1175</v>
      </c>
      <c r="O276" s="33">
        <f>HYPERLINK("https://app.hubspot.com/contacts/8748051/record/0-3/35306277454", 35306277454)</f>
        <v>35306277454</v>
      </c>
      <c r="P276" s="24" t="s">
        <v>1174</v>
      </c>
      <c r="Q276" s="24" t="s">
        <v>73</v>
      </c>
      <c r="R276" s="24">
        <v>1000.0</v>
      </c>
      <c r="S276" s="24"/>
      <c r="T276" s="34" t="str">
        <f t="shared" ref="T276:V276" si="278">IF(G276&lt;&gt;"","Yes","")</f>
        <v>Yes</v>
      </c>
      <c r="U276" s="34" t="str">
        <f t="shared" si="278"/>
        <v>Yes</v>
      </c>
      <c r="V276" s="34" t="str">
        <f t="shared" si="278"/>
        <v/>
      </c>
      <c r="W276" s="34" t="str">
        <f t="shared" si="3"/>
        <v/>
      </c>
      <c r="X276" s="24" t="str">
        <f t="shared" si="4"/>
        <v/>
      </c>
    </row>
    <row r="277" ht="14.25" customHeight="1">
      <c r="A277" s="28">
        <f>HYPERLINK("https://app.hubspot.com/contacts/8748051/record/0-1/109434607262", 109434607262)</f>
        <v>109434607262</v>
      </c>
      <c r="B277" s="24" t="s">
        <v>3806</v>
      </c>
      <c r="C277" s="26">
        <v>45744.544965277775</v>
      </c>
      <c r="D277" s="26"/>
      <c r="E277" s="28" t="s">
        <v>1182</v>
      </c>
      <c r="F277" s="24"/>
      <c r="G277" s="35">
        <v>45744.0</v>
      </c>
      <c r="H277" s="35">
        <v>45782.0</v>
      </c>
      <c r="I277" s="35">
        <v>45782.0</v>
      </c>
      <c r="J277" s="24" t="s">
        <v>3807</v>
      </c>
      <c r="K277" s="24" t="s">
        <v>3401</v>
      </c>
      <c r="L277" s="34"/>
      <c r="M277" s="28">
        <f>HYPERLINK("https://app.hubspot.com/contacts/8748051/record/0-2/31465293335", 31465293335)</f>
        <v>31465293335</v>
      </c>
      <c r="N277" s="24" t="s">
        <v>1181</v>
      </c>
      <c r="O277" s="33">
        <f>HYPERLINK("https://app.hubspot.com/contacts/8748051/record/0-3/35183588375", 35183588375)</f>
        <v>35183588375</v>
      </c>
      <c r="P277" s="24" t="s">
        <v>1180</v>
      </c>
      <c r="Q277" s="24" t="s">
        <v>127</v>
      </c>
      <c r="R277" s="24">
        <v>500.0</v>
      </c>
      <c r="S277" s="24" t="b">
        <v>1</v>
      </c>
      <c r="T277" s="34" t="str">
        <f t="shared" ref="T277:V277" si="279">IF(G277&lt;&gt;"","Yes","")</f>
        <v>Yes</v>
      </c>
      <c r="U277" s="34" t="str">
        <f t="shared" si="279"/>
        <v>Yes</v>
      </c>
      <c r="V277" s="34" t="str">
        <f t="shared" si="279"/>
        <v>Yes</v>
      </c>
      <c r="W277" s="34" t="str">
        <f t="shared" si="3"/>
        <v/>
      </c>
      <c r="X277" s="24" t="str">
        <f t="shared" si="4"/>
        <v/>
      </c>
    </row>
    <row r="278" ht="14.25" customHeight="1">
      <c r="A278" s="28">
        <f>HYPERLINK("https://app.hubspot.com/contacts/8748051/record/0-1/108518797474", 108518797474)</f>
        <v>108518797474</v>
      </c>
      <c r="B278" s="24" t="s">
        <v>3808</v>
      </c>
      <c r="C278" s="26">
        <v>45740.55520833333</v>
      </c>
      <c r="D278" s="26"/>
      <c r="E278" s="28" t="s">
        <v>1198</v>
      </c>
      <c r="F278" s="24"/>
      <c r="G278" s="35">
        <v>45740.0</v>
      </c>
      <c r="H278" s="35">
        <v>45741.0</v>
      </c>
      <c r="I278" s="35">
        <v>45741.0</v>
      </c>
      <c r="J278" s="24"/>
      <c r="K278" s="24" t="s">
        <v>155</v>
      </c>
      <c r="L278" s="34"/>
      <c r="M278" s="28">
        <f>HYPERLINK("https://app.hubspot.com/contacts/8748051/record/0-2/36938590759", 36938590759)</f>
        <v>36938590759</v>
      </c>
      <c r="N278" s="24" t="s">
        <v>1197</v>
      </c>
      <c r="O278" s="33">
        <f>HYPERLINK("https://app.hubspot.com/contacts/8748051/record/0-3/35019058736", 35019058736)</f>
        <v>35019058736</v>
      </c>
      <c r="P278" s="24" t="s">
        <v>1195</v>
      </c>
      <c r="Q278" s="24" t="s">
        <v>92</v>
      </c>
      <c r="R278" s="24">
        <v>99696.0</v>
      </c>
      <c r="S278" s="24" t="b">
        <v>1</v>
      </c>
      <c r="T278" s="34" t="str">
        <f t="shared" ref="T278:V278" si="280">IF(G278&lt;&gt;"","Yes","")</f>
        <v>Yes</v>
      </c>
      <c r="U278" s="34" t="str">
        <f t="shared" si="280"/>
        <v>Yes</v>
      </c>
      <c r="V278" s="34" t="str">
        <f t="shared" si="280"/>
        <v>Yes</v>
      </c>
      <c r="W278" s="34" t="str">
        <f t="shared" si="3"/>
        <v>Yes</v>
      </c>
      <c r="X278" s="24" t="str">
        <f t="shared" si="4"/>
        <v/>
      </c>
    </row>
    <row r="279" ht="14.25" customHeight="1">
      <c r="A279" s="28">
        <f>HYPERLINK("https://app.hubspot.com/contacts/8748051/record/0-1/103843566147", 103843566147)</f>
        <v>103843566147</v>
      </c>
      <c r="B279" s="24" t="s">
        <v>3809</v>
      </c>
      <c r="C279" s="26">
        <v>45739.525925925926</v>
      </c>
      <c r="D279" s="26"/>
      <c r="E279" s="28" t="s">
        <v>1215</v>
      </c>
      <c r="F279" s="24"/>
      <c r="G279" s="35">
        <v>45739.0</v>
      </c>
      <c r="H279" s="35">
        <v>45740.0</v>
      </c>
      <c r="I279" s="35"/>
      <c r="J279" s="34"/>
      <c r="K279" s="24" t="s">
        <v>3204</v>
      </c>
      <c r="L279" s="34"/>
      <c r="M279" s="28">
        <f>HYPERLINK("https://app.hubspot.com/contacts/8748051/record/0-2/31321704722", 31321704722)</f>
        <v>31321704722</v>
      </c>
      <c r="N279" s="24" t="s">
        <v>1214</v>
      </c>
      <c r="O279" s="33">
        <f>HYPERLINK("https://app.hubspot.com/contacts/8748051/record/0-3/34988305307", 34988305307)</f>
        <v>34988305307</v>
      </c>
      <c r="P279" s="24" t="s">
        <v>1213</v>
      </c>
      <c r="Q279" s="24" t="s">
        <v>73</v>
      </c>
      <c r="R279" s="24">
        <v>0.0</v>
      </c>
      <c r="S279" s="24"/>
      <c r="T279" s="34" t="str">
        <f t="shared" ref="T279:V279" si="281">IF(G279&lt;&gt;"","Yes","")</f>
        <v>Yes</v>
      </c>
      <c r="U279" s="34" t="str">
        <f t="shared" si="281"/>
        <v>Yes</v>
      </c>
      <c r="V279" s="34" t="str">
        <f t="shared" si="281"/>
        <v/>
      </c>
      <c r="W279" s="34" t="str">
        <f t="shared" si="3"/>
        <v/>
      </c>
      <c r="X279" s="24" t="str">
        <f t="shared" si="4"/>
        <v/>
      </c>
    </row>
    <row r="280" ht="14.25" customHeight="1">
      <c r="A280" s="28">
        <f>HYPERLINK("https://app.hubspot.com/contacts/8748051/record/0-1/107152830780", 107152830780)</f>
        <v>107152830780</v>
      </c>
      <c r="B280" s="24" t="s">
        <v>3810</v>
      </c>
      <c r="C280" s="26">
        <v>45735.26244212963</v>
      </c>
      <c r="D280" s="26"/>
      <c r="E280" s="28" t="s">
        <v>1185</v>
      </c>
      <c r="F280" s="24"/>
      <c r="G280" s="35">
        <v>45735.0</v>
      </c>
      <c r="H280" s="35">
        <v>45748.0</v>
      </c>
      <c r="I280" s="35">
        <v>45748.0</v>
      </c>
      <c r="J280" s="34"/>
      <c r="K280" s="24" t="s">
        <v>3239</v>
      </c>
      <c r="L280" s="24"/>
      <c r="M280" s="28">
        <f>HYPERLINK("https://app.hubspot.com/contacts/8748051/record/0-2/31169940651", 31169940651)</f>
        <v>31169940651</v>
      </c>
      <c r="N280" s="28" t="s">
        <v>1184</v>
      </c>
      <c r="O280" s="28">
        <f>HYPERLINK("https://app.hubspot.com/contacts/8748051/record/0-3/35125218838", 35125218838)</f>
        <v>35125218838</v>
      </c>
      <c r="P280" s="24" t="s">
        <v>1183</v>
      </c>
      <c r="Q280" s="24" t="s">
        <v>127</v>
      </c>
      <c r="R280" s="24">
        <v>15000.0</v>
      </c>
      <c r="S280" s="24" t="b">
        <v>1</v>
      </c>
      <c r="T280" s="34" t="str">
        <f t="shared" ref="T280:V280" si="282">IF(G280&lt;&gt;"","Yes","")</f>
        <v>Yes</v>
      </c>
      <c r="U280" s="34" t="str">
        <f t="shared" si="282"/>
        <v>Yes</v>
      </c>
      <c r="V280" s="34" t="str">
        <f t="shared" si="282"/>
        <v>Yes</v>
      </c>
      <c r="W280" s="34" t="str">
        <f t="shared" si="3"/>
        <v/>
      </c>
      <c r="X280" s="24" t="str">
        <f t="shared" si="4"/>
        <v/>
      </c>
    </row>
    <row r="281" ht="14.25" customHeight="1">
      <c r="A281" s="28">
        <f>HYPERLINK("https://app.hubspot.com/contacts/8748051/record/0-1/477761", 477761)</f>
        <v>477761</v>
      </c>
      <c r="B281" s="24" t="s">
        <v>3811</v>
      </c>
      <c r="C281" s="26">
        <v>45733.65319444444</v>
      </c>
      <c r="D281" s="26"/>
      <c r="E281" s="28" t="s">
        <v>1226</v>
      </c>
      <c r="F281" s="24"/>
      <c r="G281" s="35">
        <v>45734.0</v>
      </c>
      <c r="H281" s="35">
        <v>45734.0</v>
      </c>
      <c r="I281" s="35">
        <v>45734.0</v>
      </c>
      <c r="J281" s="34"/>
      <c r="K281" s="24" t="s">
        <v>155</v>
      </c>
      <c r="L281" s="34"/>
      <c r="M281" s="28">
        <f>HYPERLINK("https://app.hubspot.com/contacts/8748051/record/0-2/8644546840", 8644546840)</f>
        <v>8644546840</v>
      </c>
      <c r="N281" s="24" t="s">
        <v>1225</v>
      </c>
      <c r="O281" s="33">
        <f>HYPERLINK("https://app.hubspot.com/contacts/8748051/record/0-3/34778900532", 34778900532)</f>
        <v>34778900532</v>
      </c>
      <c r="P281" s="24" t="s">
        <v>1224</v>
      </c>
      <c r="Q281" s="24" t="s">
        <v>127</v>
      </c>
      <c r="R281" s="24">
        <v>25000.0</v>
      </c>
      <c r="S281" s="24" t="b">
        <v>1</v>
      </c>
      <c r="T281" s="34" t="str">
        <f t="shared" ref="T281:V281" si="283">IF(G281&lt;&gt;"","Yes","")</f>
        <v>Yes</v>
      </c>
      <c r="U281" s="34" t="str">
        <f t="shared" si="283"/>
        <v>Yes</v>
      </c>
      <c r="V281" s="34" t="str">
        <f t="shared" si="283"/>
        <v>Yes</v>
      </c>
      <c r="W281" s="34" t="str">
        <f t="shared" si="3"/>
        <v/>
      </c>
      <c r="X281" s="24" t="str">
        <f t="shared" si="4"/>
        <v/>
      </c>
    </row>
    <row r="282" ht="14.25" customHeight="1">
      <c r="A282" s="28">
        <f>HYPERLINK("https://app.hubspot.com/contacts/8748051/record/0-1/106225794221", 106225794221)</f>
        <v>106225794221</v>
      </c>
      <c r="B282" s="24" t="s">
        <v>3812</v>
      </c>
      <c r="C282" s="26">
        <v>45731.17443287037</v>
      </c>
      <c r="D282" s="26"/>
      <c r="E282" s="28" t="s">
        <v>1218</v>
      </c>
      <c r="F282" s="24"/>
      <c r="G282" s="35">
        <v>45731.0</v>
      </c>
      <c r="H282" s="35">
        <v>45733.0</v>
      </c>
      <c r="I282" s="35">
        <v>45733.0</v>
      </c>
      <c r="J282" s="34"/>
      <c r="K282" s="24" t="s">
        <v>3204</v>
      </c>
      <c r="L282" s="34"/>
      <c r="M282" s="28">
        <f>HYPERLINK("https://app.hubspot.com/contacts/8748051/record/0-2/31093414731", 31093414731)</f>
        <v>31093414731</v>
      </c>
      <c r="N282" s="24" t="s">
        <v>1217</v>
      </c>
      <c r="O282" s="33">
        <f>HYPERLINK("https://app.hubspot.com/contacts/8748051/record/0-3/34894570153", 34894570153)</f>
        <v>34894570153</v>
      </c>
      <c r="P282" s="24" t="s">
        <v>1216</v>
      </c>
      <c r="Q282" s="24" t="s">
        <v>73</v>
      </c>
      <c r="R282" s="24">
        <v>500.0</v>
      </c>
      <c r="S282" s="24"/>
      <c r="T282" s="34" t="str">
        <f t="shared" ref="T282:V282" si="284">IF(G282&lt;&gt;"","Yes","")</f>
        <v>Yes</v>
      </c>
      <c r="U282" s="34" t="str">
        <f t="shared" si="284"/>
        <v>Yes</v>
      </c>
      <c r="V282" s="34" t="str">
        <f t="shared" si="284"/>
        <v>Yes</v>
      </c>
      <c r="W282" s="34" t="str">
        <f t="shared" si="3"/>
        <v/>
      </c>
      <c r="X282" s="24" t="str">
        <f t="shared" si="4"/>
        <v/>
      </c>
    </row>
    <row r="283" ht="14.25" customHeight="1">
      <c r="A283" s="28">
        <f>HYPERLINK("https://app.hubspot.com/contacts/8748051/record/0-1/138833402292", 138833402292)</f>
        <v>138833402292</v>
      </c>
      <c r="B283" s="24" t="s">
        <v>3813</v>
      </c>
      <c r="C283" s="26">
        <v>45726.48961805556</v>
      </c>
      <c r="D283" s="26"/>
      <c r="E283" s="28" t="s">
        <v>325</v>
      </c>
      <c r="F283" s="24"/>
      <c r="G283" s="35">
        <v>45726.0</v>
      </c>
      <c r="H283" s="35">
        <v>45728.0</v>
      </c>
      <c r="I283" s="35">
        <v>45728.0</v>
      </c>
      <c r="J283" s="34"/>
      <c r="K283" s="24" t="s">
        <v>3239</v>
      </c>
      <c r="L283" s="34"/>
      <c r="M283" s="28">
        <f>HYPERLINK("https://app.hubspot.com/contacts/8748051/record/0-2/35059245747", 35059245747)</f>
        <v>35059245747</v>
      </c>
      <c r="N283" s="24" t="s">
        <v>324</v>
      </c>
      <c r="O283" s="33">
        <f>HYPERLINK("https://app.hubspot.com/contacts/8748051/record/0-3/34480837013", 34480837013)</f>
        <v>34480837013</v>
      </c>
      <c r="P283" s="24" t="s">
        <v>1242</v>
      </c>
      <c r="Q283" s="24" t="s">
        <v>127</v>
      </c>
      <c r="R283" s="24">
        <v>45000.0</v>
      </c>
      <c r="S283" s="24" t="b">
        <v>1</v>
      </c>
      <c r="T283" s="34" t="str">
        <f t="shared" ref="T283:V283" si="285">IF(G283&lt;&gt;"","Yes","")</f>
        <v>Yes</v>
      </c>
      <c r="U283" s="34" t="str">
        <f t="shared" si="285"/>
        <v>Yes</v>
      </c>
      <c r="V283" s="34" t="str">
        <f t="shared" si="285"/>
        <v>Yes</v>
      </c>
      <c r="W283" s="34" t="str">
        <f t="shared" si="3"/>
        <v/>
      </c>
      <c r="X283" s="24" t="str">
        <f t="shared" si="4"/>
        <v/>
      </c>
    </row>
    <row r="284" ht="14.25" customHeight="1">
      <c r="A284" s="28">
        <f>HYPERLINK("https://app.hubspot.com/contacts/8748051/record/0-1/104377823363", 104377823363)</f>
        <v>104377823363</v>
      </c>
      <c r="B284" s="24" t="s">
        <v>3814</v>
      </c>
      <c r="C284" s="26">
        <v>45723.266747685186</v>
      </c>
      <c r="D284" s="26"/>
      <c r="E284" s="28" t="s">
        <v>1245</v>
      </c>
      <c r="F284" s="24"/>
      <c r="G284" s="35">
        <v>45723.0</v>
      </c>
      <c r="H284" s="35">
        <v>45723.0</v>
      </c>
      <c r="I284" s="35">
        <v>45723.0</v>
      </c>
      <c r="J284" s="34"/>
      <c r="K284" s="24" t="s">
        <v>3239</v>
      </c>
      <c r="L284" s="34"/>
      <c r="M284" s="28">
        <f>HYPERLINK("https://app.hubspot.com/contacts/8748051/record/0-2/8816517268", 8816517268)</f>
        <v>8816517268</v>
      </c>
      <c r="N284" s="24" t="s">
        <v>1244</v>
      </c>
      <c r="O284" s="33">
        <f>HYPERLINK("https://app.hubspot.com/contacts/8748051/record/0-3/34356310073", 34356310073)</f>
        <v>34356310073</v>
      </c>
      <c r="P284" s="24" t="s">
        <v>1243</v>
      </c>
      <c r="Q284" s="24" t="s">
        <v>127</v>
      </c>
      <c r="R284" s="24">
        <v>25000.0</v>
      </c>
      <c r="S284" s="24" t="b">
        <v>1</v>
      </c>
      <c r="T284" s="34" t="str">
        <f t="shared" ref="T284:V284" si="286">IF(G284&lt;&gt;"","Yes","")</f>
        <v>Yes</v>
      </c>
      <c r="U284" s="34" t="str">
        <f t="shared" si="286"/>
        <v>Yes</v>
      </c>
      <c r="V284" s="34" t="str">
        <f t="shared" si="286"/>
        <v>Yes</v>
      </c>
      <c r="W284" s="34" t="str">
        <f t="shared" si="3"/>
        <v/>
      </c>
      <c r="X284" s="24" t="str">
        <f t="shared" si="4"/>
        <v/>
      </c>
    </row>
    <row r="285" ht="14.25" customHeight="1">
      <c r="A285" s="28">
        <f>HYPERLINK("https://app.hubspot.com/contacts/8748051/record/0-1/102804723241", 102804723241)</f>
        <v>102804723241</v>
      </c>
      <c r="B285" s="24" t="s">
        <v>3815</v>
      </c>
      <c r="C285" s="26">
        <v>45723.21916666667</v>
      </c>
      <c r="D285" s="26"/>
      <c r="E285" s="28" t="s">
        <v>1249</v>
      </c>
      <c r="F285" s="24"/>
      <c r="G285" s="35">
        <v>45723.0</v>
      </c>
      <c r="H285" s="35">
        <v>45729.0</v>
      </c>
      <c r="I285" s="35">
        <v>45729.0</v>
      </c>
      <c r="J285" s="34"/>
      <c r="K285" s="24" t="s">
        <v>155</v>
      </c>
      <c r="L285" s="34"/>
      <c r="M285" s="28">
        <f>HYPERLINK("https://app.hubspot.com/contacts/8748051/record/0-2/7755953967", 7755953967)</f>
        <v>7755953967</v>
      </c>
      <c r="N285" s="24" t="s">
        <v>1248</v>
      </c>
      <c r="O285" s="33">
        <f>HYPERLINK("https://app.hubspot.com/contacts/8748051/record/0-3/34356268180", 34356268180)</f>
        <v>34356268180</v>
      </c>
      <c r="P285" s="24" t="s">
        <v>1247</v>
      </c>
      <c r="Q285" s="24" t="s">
        <v>127</v>
      </c>
      <c r="R285" s="24">
        <v>10000.0</v>
      </c>
      <c r="S285" s="24" t="b">
        <v>1</v>
      </c>
      <c r="T285" s="34" t="str">
        <f t="shared" ref="T285:V285" si="287">IF(G285&lt;&gt;"","Yes","")</f>
        <v>Yes</v>
      </c>
      <c r="U285" s="34" t="str">
        <f t="shared" si="287"/>
        <v>Yes</v>
      </c>
      <c r="V285" s="34" t="str">
        <f t="shared" si="287"/>
        <v>Yes</v>
      </c>
      <c r="W285" s="34" t="str">
        <f t="shared" si="3"/>
        <v/>
      </c>
      <c r="X285" s="24" t="str">
        <f t="shared" si="4"/>
        <v/>
      </c>
    </row>
    <row r="286" ht="14.25" customHeight="1">
      <c r="A286" s="28">
        <f>HYPERLINK("https://app.hubspot.com/contacts/8748051/record/0-1/104214414490", 104214414490)</f>
        <v>104214414490</v>
      </c>
      <c r="B286" s="24" t="s">
        <v>3816</v>
      </c>
      <c r="C286" s="26">
        <v>45722.445706018516</v>
      </c>
      <c r="D286" s="26"/>
      <c r="E286" s="28" t="s">
        <v>1252</v>
      </c>
      <c r="F286" s="24"/>
      <c r="G286" s="35">
        <v>45722.0</v>
      </c>
      <c r="H286" s="35">
        <v>45728.0</v>
      </c>
      <c r="I286" s="35">
        <v>45728.0</v>
      </c>
      <c r="J286" s="34"/>
      <c r="K286" s="24" t="s">
        <v>3248</v>
      </c>
      <c r="L286" s="34"/>
      <c r="M286" s="28">
        <f>HYPERLINK("https://app.hubspot.com/contacts/8748051/record/0-2/30760423032", 30760423032)</f>
        <v>30760423032</v>
      </c>
      <c r="N286" s="24" t="s">
        <v>1251</v>
      </c>
      <c r="O286" s="28">
        <f>HYPERLINK("https://app.hubspot.com/contacts/8748051/record/0-3/34357358374", 34357358374)</f>
        <v>34357358374</v>
      </c>
      <c r="P286" s="24" t="s">
        <v>1250</v>
      </c>
      <c r="Q286" s="24" t="s">
        <v>127</v>
      </c>
      <c r="R286" s="24">
        <v>25000.0</v>
      </c>
      <c r="S286" s="24" t="b">
        <v>1</v>
      </c>
      <c r="T286" s="34" t="str">
        <f t="shared" ref="T286:V286" si="288">IF(G286&lt;&gt;"","Yes","")</f>
        <v>Yes</v>
      </c>
      <c r="U286" s="34" t="str">
        <f t="shared" si="288"/>
        <v>Yes</v>
      </c>
      <c r="V286" s="34" t="str">
        <f t="shared" si="288"/>
        <v>Yes</v>
      </c>
      <c r="W286" s="34" t="str">
        <f t="shared" si="3"/>
        <v/>
      </c>
      <c r="X286" s="24" t="str">
        <f t="shared" si="4"/>
        <v/>
      </c>
    </row>
    <row r="287" ht="14.25" customHeight="1">
      <c r="A287" s="28">
        <f>HYPERLINK("https://app.hubspot.com/contacts/8748051/record/0-1/102817359444", 102817359444)</f>
        <v>102817359444</v>
      </c>
      <c r="B287" s="24" t="s">
        <v>3817</v>
      </c>
      <c r="C287" s="26">
        <v>45716.26825231482</v>
      </c>
      <c r="D287" s="26"/>
      <c r="E287" s="28" t="s">
        <v>1259</v>
      </c>
      <c r="F287" s="24"/>
      <c r="G287" s="35">
        <v>45716.0</v>
      </c>
      <c r="H287" s="35">
        <v>45719.0</v>
      </c>
      <c r="I287" s="35"/>
      <c r="J287" s="34"/>
      <c r="K287" s="24" t="s">
        <v>3204</v>
      </c>
      <c r="L287" s="34"/>
      <c r="M287" s="28">
        <f t="shared" ref="M287:M288" si="290">HYPERLINK("https://app.hubspot.com/contacts/8748051/record/0-2/30493775465", 30493775465)</f>
        <v>30493775465</v>
      </c>
      <c r="N287" s="24" t="s">
        <v>1258</v>
      </c>
      <c r="O287" s="28">
        <f t="shared" ref="O287:O288" si="291">HYPERLINK("https://app.hubspot.com/contacts/8748051/record/0-3/34056460396", 34056460396)</f>
        <v>34056460396</v>
      </c>
      <c r="P287" s="24" t="s">
        <v>1257</v>
      </c>
      <c r="Q287" s="24" t="s">
        <v>73</v>
      </c>
      <c r="R287" s="24">
        <v>0.0</v>
      </c>
      <c r="S287" s="24"/>
      <c r="T287" s="34" t="str">
        <f t="shared" ref="T287:V287" si="289">IF(G287&lt;&gt;"","Yes","")</f>
        <v>Yes</v>
      </c>
      <c r="U287" s="34" t="str">
        <f t="shared" si="289"/>
        <v>Yes</v>
      </c>
      <c r="V287" s="34" t="str">
        <f t="shared" si="289"/>
        <v/>
      </c>
      <c r="W287" s="34" t="str">
        <f t="shared" si="3"/>
        <v/>
      </c>
      <c r="X287" s="24" t="str">
        <f t="shared" si="4"/>
        <v/>
      </c>
    </row>
    <row r="288" ht="14.25" customHeight="1">
      <c r="A288" s="28">
        <f>HYPERLINK("https://app.hubspot.com/contacts/8748051/record/0-1/102508588703", 102508588703)</f>
        <v>102508588703</v>
      </c>
      <c r="B288" s="24" t="s">
        <v>3818</v>
      </c>
      <c r="C288" s="26">
        <v>45716.24334490741</v>
      </c>
      <c r="D288" s="26"/>
      <c r="E288" s="28" t="s">
        <v>1259</v>
      </c>
      <c r="F288" s="24"/>
      <c r="G288" s="35">
        <v>45716.0</v>
      </c>
      <c r="H288" s="35">
        <v>45719.0</v>
      </c>
      <c r="I288" s="35"/>
      <c r="J288" s="24"/>
      <c r="K288" s="24" t="s">
        <v>3204</v>
      </c>
      <c r="L288" s="24"/>
      <c r="M288" s="28">
        <f t="shared" si="290"/>
        <v>30493775465</v>
      </c>
      <c r="N288" s="24" t="s">
        <v>1258</v>
      </c>
      <c r="O288" s="28">
        <f t="shared" si="291"/>
        <v>34056460396</v>
      </c>
      <c r="P288" s="24" t="s">
        <v>1257</v>
      </c>
      <c r="Q288" s="24" t="s">
        <v>73</v>
      </c>
      <c r="R288" s="24">
        <v>0.0</v>
      </c>
      <c r="S288" s="24"/>
      <c r="T288" s="34" t="str">
        <f t="shared" ref="T288:V288" si="292">IF(G288&lt;&gt;"","Yes","")</f>
        <v>Yes</v>
      </c>
      <c r="U288" s="34" t="str">
        <f t="shared" si="292"/>
        <v>Yes</v>
      </c>
      <c r="V288" s="34" t="str">
        <f t="shared" si="292"/>
        <v/>
      </c>
      <c r="W288" s="34" t="str">
        <f t="shared" si="3"/>
        <v/>
      </c>
      <c r="X288" s="24" t="str">
        <f t="shared" si="4"/>
        <v/>
      </c>
    </row>
    <row r="289" ht="14.25" customHeight="1">
      <c r="A289" s="28">
        <f>HYPERLINK("https://app.hubspot.com/contacts/8748051/record/0-1/102780343835", 102780343835)</f>
        <v>102780343835</v>
      </c>
      <c r="B289" s="24" t="s">
        <v>3819</v>
      </c>
      <c r="C289" s="26">
        <v>45716.079363425924</v>
      </c>
      <c r="D289" s="26"/>
      <c r="E289" s="28" t="s">
        <v>3820</v>
      </c>
      <c r="F289" s="24" t="s">
        <v>3304</v>
      </c>
      <c r="G289" s="35"/>
      <c r="H289" s="35"/>
      <c r="I289" s="35"/>
      <c r="J289" s="24"/>
      <c r="K289" s="24"/>
      <c r="L289" s="24"/>
      <c r="M289" s="28">
        <f>HYPERLINK("https://app.hubspot.com/contacts/8748051/record/0-2/30479100067", 30479100067)</f>
        <v>30479100067</v>
      </c>
      <c r="N289" s="24" t="s">
        <v>3821</v>
      </c>
      <c r="O289" s="24"/>
      <c r="P289" s="24"/>
      <c r="Q289" s="24"/>
      <c r="R289" s="24"/>
      <c r="S289" s="24"/>
      <c r="T289" s="34" t="str">
        <f t="shared" ref="T289:V289" si="293">IF(G289&lt;&gt;"","Yes","")</f>
        <v/>
      </c>
      <c r="U289" s="34" t="str">
        <f t="shared" si="293"/>
        <v/>
      </c>
      <c r="V289" s="34" t="str">
        <f t="shared" si="293"/>
        <v/>
      </c>
      <c r="W289" s="34" t="str">
        <f t="shared" si="3"/>
        <v/>
      </c>
      <c r="X289" s="24" t="str">
        <f t="shared" si="4"/>
        <v/>
      </c>
    </row>
    <row r="290" ht="14.25" customHeight="1">
      <c r="A290" s="28">
        <f>HYPERLINK("https://app.hubspot.com/contacts/8748051/record/0-1/102346709543", 102346709543)</f>
        <v>102346709543</v>
      </c>
      <c r="B290" s="24" t="s">
        <v>3822</v>
      </c>
      <c r="C290" s="26">
        <v>45714.462800925925</v>
      </c>
      <c r="D290" s="26"/>
      <c r="E290" s="28" t="s">
        <v>1263</v>
      </c>
      <c r="F290" s="24"/>
      <c r="G290" s="35">
        <v>45714.0</v>
      </c>
      <c r="H290" s="35">
        <v>45722.0</v>
      </c>
      <c r="I290" s="35">
        <v>45722.0</v>
      </c>
      <c r="J290" s="34"/>
      <c r="K290" s="24" t="s">
        <v>3469</v>
      </c>
      <c r="L290" s="34"/>
      <c r="M290" s="28">
        <f>HYPERLINK("https://app.hubspot.com/contacts/8748051/record/0-2/8923232919", 8923232919)</f>
        <v>8923232919</v>
      </c>
      <c r="N290" s="24" t="s">
        <v>1262</v>
      </c>
      <c r="O290" s="28">
        <f>HYPERLINK("https://app.hubspot.com/contacts/8748051/record/0-3/33987701082", 33987701082)</f>
        <v>33987701082</v>
      </c>
      <c r="P290" s="24" t="s">
        <v>1260</v>
      </c>
      <c r="Q290" s="24" t="s">
        <v>149</v>
      </c>
      <c r="R290" s="24">
        <v>57500.0</v>
      </c>
      <c r="S290" s="24" t="b">
        <v>1</v>
      </c>
      <c r="T290" s="34" t="str">
        <f t="shared" ref="T290:V290" si="294">IF(G290&lt;&gt;"","Yes","")</f>
        <v>Yes</v>
      </c>
      <c r="U290" s="34" t="str">
        <f t="shared" si="294"/>
        <v>Yes</v>
      </c>
      <c r="V290" s="34" t="str">
        <f t="shared" si="294"/>
        <v>Yes</v>
      </c>
      <c r="W290" s="34" t="str">
        <f t="shared" si="3"/>
        <v/>
      </c>
      <c r="X290" s="24" t="str">
        <f t="shared" si="4"/>
        <v>Yes</v>
      </c>
    </row>
    <row r="291" ht="14.25" customHeight="1">
      <c r="A291" s="28">
        <f>HYPERLINK("https://app.hubspot.com/contacts/8748051/record/0-1/101904087361", 101904087361)</f>
        <v>101904087361</v>
      </c>
      <c r="B291" s="24" t="s">
        <v>3823</v>
      </c>
      <c r="C291" s="26">
        <v>45713.521527777775</v>
      </c>
      <c r="D291" s="26"/>
      <c r="E291" s="28" t="s">
        <v>1266</v>
      </c>
      <c r="F291" s="24"/>
      <c r="G291" s="35">
        <v>45714.0</v>
      </c>
      <c r="H291" s="35">
        <v>45717.0</v>
      </c>
      <c r="I291" s="35">
        <v>45717.0</v>
      </c>
      <c r="J291" s="34"/>
      <c r="K291" s="24" t="s">
        <v>3248</v>
      </c>
      <c r="L291" s="34"/>
      <c r="M291" s="28">
        <f>HYPERLINK("https://app.hubspot.com/contacts/8748051/record/0-2/31415333632", 31415333632)</f>
        <v>31415333632</v>
      </c>
      <c r="N291" s="24" t="s">
        <v>1265</v>
      </c>
      <c r="O291" s="33">
        <f>HYPERLINK("https://app.hubspot.com/contacts/8748051/record/0-3/33928031105", 33928031105)</f>
        <v>33928031105</v>
      </c>
      <c r="P291" s="24" t="s">
        <v>1264</v>
      </c>
      <c r="Q291" s="24" t="s">
        <v>127</v>
      </c>
      <c r="R291" s="24">
        <v>20000.0</v>
      </c>
      <c r="S291" s="24" t="b">
        <v>1</v>
      </c>
      <c r="T291" s="34" t="str">
        <f t="shared" ref="T291:V291" si="295">IF(G291&lt;&gt;"","Yes","")</f>
        <v>Yes</v>
      </c>
      <c r="U291" s="34" t="str">
        <f t="shared" si="295"/>
        <v>Yes</v>
      </c>
      <c r="V291" s="34" t="str">
        <f t="shared" si="295"/>
        <v>Yes</v>
      </c>
      <c r="W291" s="34" t="str">
        <f t="shared" si="3"/>
        <v/>
      </c>
      <c r="X291" s="24" t="str">
        <f t="shared" si="4"/>
        <v/>
      </c>
    </row>
    <row r="292" ht="14.25" customHeight="1">
      <c r="A292" s="28">
        <f>HYPERLINK("https://app.hubspot.com/contacts/8748051/record/0-1/91325200132", 91325200132)</f>
        <v>91325200132</v>
      </c>
      <c r="B292" s="24" t="s">
        <v>3824</v>
      </c>
      <c r="C292" s="26">
        <v>45712.56214120371</v>
      </c>
      <c r="D292" s="26"/>
      <c r="E292" s="28" t="s">
        <v>1272</v>
      </c>
      <c r="F292" s="24"/>
      <c r="G292" s="35">
        <v>45712.0</v>
      </c>
      <c r="H292" s="35">
        <v>45713.0</v>
      </c>
      <c r="I292" s="35">
        <v>45713.0</v>
      </c>
      <c r="J292" s="34"/>
      <c r="K292" s="24" t="s">
        <v>3825</v>
      </c>
      <c r="L292" s="34"/>
      <c r="M292" s="28">
        <f>HYPERLINK("https://app.hubspot.com/contacts/8748051/record/0-2/18382738048", 18382738048)</f>
        <v>18382738048</v>
      </c>
      <c r="N292" s="24" t="s">
        <v>1271</v>
      </c>
      <c r="O292" s="28">
        <f>HYPERLINK("https://app.hubspot.com/contacts/8748051/record/0-3/33896691775", 33896691775)</f>
        <v>33896691775</v>
      </c>
      <c r="P292" s="24" t="s">
        <v>1270</v>
      </c>
      <c r="Q292" s="24" t="s">
        <v>73</v>
      </c>
      <c r="R292" s="24">
        <v>11000.0</v>
      </c>
      <c r="S292" s="24"/>
      <c r="T292" s="34" t="str">
        <f t="shared" ref="T292:V292" si="296">IF(G292&lt;&gt;"","Yes","")</f>
        <v>Yes</v>
      </c>
      <c r="U292" s="34" t="str">
        <f t="shared" si="296"/>
        <v>Yes</v>
      </c>
      <c r="V292" s="34" t="str">
        <f t="shared" si="296"/>
        <v>Yes</v>
      </c>
      <c r="W292" s="34" t="str">
        <f t="shared" si="3"/>
        <v/>
      </c>
      <c r="X292" s="24" t="str">
        <f t="shared" si="4"/>
        <v/>
      </c>
    </row>
    <row r="293" ht="14.25" customHeight="1">
      <c r="A293" s="28">
        <f>HYPERLINK("https://app.hubspot.com/contacts/8748051/record/0-1/174636838508", 174636838508)</f>
        <v>174636838508</v>
      </c>
      <c r="B293" s="24" t="s">
        <v>3826</v>
      </c>
      <c r="C293" s="26">
        <v>45709.54403935185</v>
      </c>
      <c r="D293" s="26"/>
      <c r="E293" s="28" t="s">
        <v>603</v>
      </c>
      <c r="F293" s="24"/>
      <c r="G293" s="35">
        <v>45709.0</v>
      </c>
      <c r="H293" s="35">
        <v>45720.0</v>
      </c>
      <c r="I293" s="35">
        <v>45720.0</v>
      </c>
      <c r="J293" s="34"/>
      <c r="K293" s="24" t="s">
        <v>3792</v>
      </c>
      <c r="L293" s="34"/>
      <c r="M293" s="28">
        <f>HYPERLINK("https://app.hubspot.com/contacts/8748051/record/0-2/8396005127", 8396005127)</f>
        <v>8396005127</v>
      </c>
      <c r="N293" s="24" t="s">
        <v>602</v>
      </c>
      <c r="O293" s="33">
        <f>HYPERLINK("https://app.hubspot.com/contacts/8748051/record/0-3/33821373109", 33821373109)</f>
        <v>33821373109</v>
      </c>
      <c r="P293" s="24" t="s">
        <v>1276</v>
      </c>
      <c r="Q293" s="24" t="s">
        <v>73</v>
      </c>
      <c r="R293" s="24">
        <v>11000.0</v>
      </c>
      <c r="S293" s="24"/>
      <c r="T293" s="34" t="str">
        <f t="shared" ref="T293:V293" si="297">IF(G293&lt;&gt;"","Yes","")</f>
        <v>Yes</v>
      </c>
      <c r="U293" s="34" t="str">
        <f t="shared" si="297"/>
        <v>Yes</v>
      </c>
      <c r="V293" s="34" t="str">
        <f t="shared" si="297"/>
        <v>Yes</v>
      </c>
      <c r="W293" s="34" t="str">
        <f t="shared" si="3"/>
        <v/>
      </c>
      <c r="X293" s="24" t="str">
        <f t="shared" si="4"/>
        <v/>
      </c>
    </row>
    <row r="294" ht="14.25" customHeight="1">
      <c r="A294" s="28">
        <f>HYPERLINK("https://app.hubspot.com/contacts/8748051/record/0-1/100971269199", 100971269199)</f>
        <v>100971269199</v>
      </c>
      <c r="B294" s="24" t="s">
        <v>3827</v>
      </c>
      <c r="C294" s="26">
        <v>45708.57828703704</v>
      </c>
      <c r="D294" s="26"/>
      <c r="E294" s="28" t="s">
        <v>1279</v>
      </c>
      <c r="F294" s="24"/>
      <c r="G294" s="35">
        <v>45709.0</v>
      </c>
      <c r="H294" s="35">
        <v>45713.0</v>
      </c>
      <c r="I294" s="35"/>
      <c r="J294" s="34"/>
      <c r="K294" s="24" t="s">
        <v>3204</v>
      </c>
      <c r="L294" s="34"/>
      <c r="M294" s="28">
        <f>HYPERLINK("https://app.hubspot.com/contacts/8748051/record/0-2/30256444746", 30256444746)</f>
        <v>30256444746</v>
      </c>
      <c r="N294" s="24" t="s">
        <v>1278</v>
      </c>
      <c r="O294" s="33">
        <f>HYPERLINK("https://app.hubspot.com/contacts/8748051/record/0-3/33780957847", 33780957847)</f>
        <v>33780957847</v>
      </c>
      <c r="P294" s="24" t="s">
        <v>1277</v>
      </c>
      <c r="Q294" s="24" t="s">
        <v>73</v>
      </c>
      <c r="R294" s="24">
        <v>1500.0</v>
      </c>
      <c r="S294" s="24"/>
      <c r="T294" s="34" t="str">
        <f t="shared" ref="T294:V294" si="298">IF(G294&lt;&gt;"","Yes","")</f>
        <v>Yes</v>
      </c>
      <c r="U294" s="34" t="str">
        <f t="shared" si="298"/>
        <v>Yes</v>
      </c>
      <c r="V294" s="34" t="str">
        <f t="shared" si="298"/>
        <v/>
      </c>
      <c r="W294" s="34" t="str">
        <f t="shared" si="3"/>
        <v/>
      </c>
      <c r="X294" s="24" t="str">
        <f t="shared" si="4"/>
        <v/>
      </c>
    </row>
    <row r="295" ht="14.25" customHeight="1">
      <c r="A295" s="28">
        <f>HYPERLINK("https://app.hubspot.com/contacts/8748051/record/0-1/99014702481", 99014702481)</f>
        <v>99014702481</v>
      </c>
      <c r="B295" s="24" t="s">
        <v>3828</v>
      </c>
      <c r="C295" s="26">
        <v>45706.53855324074</v>
      </c>
      <c r="D295" s="26"/>
      <c r="E295" s="28" t="s">
        <v>1269</v>
      </c>
      <c r="F295" s="24"/>
      <c r="G295" s="35">
        <v>45701.0</v>
      </c>
      <c r="H295" s="35">
        <v>45713.0</v>
      </c>
      <c r="I295" s="35">
        <v>45713.0</v>
      </c>
      <c r="J295" s="34"/>
      <c r="K295" s="24" t="s">
        <v>155</v>
      </c>
      <c r="L295" s="34"/>
      <c r="M295" s="28">
        <f>HYPERLINK("https://app.hubspot.com/contacts/8748051/record/0-2/29996857005", 29996857005)</f>
        <v>29996857005</v>
      </c>
      <c r="N295" s="24" t="s">
        <v>1268</v>
      </c>
      <c r="O295" s="28">
        <f>HYPERLINK("https://app.hubspot.com/contacts/8748051/record/0-3/33901191969", 33901191969)</f>
        <v>33901191969</v>
      </c>
      <c r="P295" s="24" t="s">
        <v>1267</v>
      </c>
      <c r="Q295" s="24" t="s">
        <v>127</v>
      </c>
      <c r="R295" s="24">
        <v>50000.0</v>
      </c>
      <c r="S295" s="24" t="b">
        <v>1</v>
      </c>
      <c r="T295" s="34" t="str">
        <f t="shared" ref="T295:V295" si="299">IF(G295&lt;&gt;"","Yes","")</f>
        <v>Yes</v>
      </c>
      <c r="U295" s="34" t="str">
        <f t="shared" si="299"/>
        <v>Yes</v>
      </c>
      <c r="V295" s="34" t="str">
        <f t="shared" si="299"/>
        <v>Yes</v>
      </c>
      <c r="W295" s="34" t="str">
        <f t="shared" si="3"/>
        <v/>
      </c>
      <c r="X295" s="24" t="str">
        <f t="shared" si="4"/>
        <v/>
      </c>
    </row>
    <row r="296" ht="14.25" customHeight="1">
      <c r="A296" s="28">
        <f>HYPERLINK("https://app.hubspot.com/contacts/8748051/record/0-1/99383141773", 99383141773)</f>
        <v>99383141773</v>
      </c>
      <c r="B296" s="24" t="s">
        <v>3829</v>
      </c>
      <c r="C296" s="26">
        <v>45701.866585648146</v>
      </c>
      <c r="D296" s="26"/>
      <c r="E296" s="28" t="s">
        <v>3830</v>
      </c>
      <c r="F296" s="24" t="s">
        <v>3304</v>
      </c>
      <c r="G296" s="35"/>
      <c r="H296" s="35"/>
      <c r="I296" s="35"/>
      <c r="J296" s="34"/>
      <c r="K296" s="24"/>
      <c r="L296" s="34"/>
      <c r="M296" s="28">
        <f>HYPERLINK("https://app.hubspot.com/contacts/8748051/record/0-2/29963143203", 29963143203)</f>
        <v>29963143203</v>
      </c>
      <c r="N296" s="28" t="s">
        <v>3830</v>
      </c>
      <c r="O296" s="34"/>
      <c r="P296" s="24"/>
      <c r="Q296" s="24"/>
      <c r="R296" s="24"/>
      <c r="S296" s="24"/>
      <c r="T296" s="34" t="str">
        <f t="shared" ref="T296:V296" si="300">IF(G296&lt;&gt;"","Yes","")</f>
        <v/>
      </c>
      <c r="U296" s="34" t="str">
        <f t="shared" si="300"/>
        <v/>
      </c>
      <c r="V296" s="34" t="str">
        <f t="shared" si="300"/>
        <v/>
      </c>
      <c r="W296" s="34" t="str">
        <f t="shared" si="3"/>
        <v/>
      </c>
      <c r="X296" s="24" t="str">
        <f t="shared" si="4"/>
        <v/>
      </c>
    </row>
    <row r="297" ht="14.25" customHeight="1">
      <c r="A297" s="28">
        <f>HYPERLINK("https://app.hubspot.com/contacts/8748051/record/0-1/99213935659", 99213935659)</f>
        <v>99213935659</v>
      </c>
      <c r="B297" s="24" t="s">
        <v>3831</v>
      </c>
      <c r="C297" s="26">
        <v>45701.504953703705</v>
      </c>
      <c r="D297" s="26"/>
      <c r="E297" s="28" t="s">
        <v>1283</v>
      </c>
      <c r="F297" s="24"/>
      <c r="G297" s="35">
        <v>45701.0</v>
      </c>
      <c r="H297" s="35">
        <v>45703.0</v>
      </c>
      <c r="I297" s="35">
        <v>45703.0</v>
      </c>
      <c r="J297" s="34"/>
      <c r="K297" s="24" t="s">
        <v>155</v>
      </c>
      <c r="L297" s="34"/>
      <c r="M297" s="28">
        <f>HYPERLINK("https://app.hubspot.com/contacts/8748051/record/0-2/29950293363", 29950293363)</f>
        <v>29950293363</v>
      </c>
      <c r="N297" s="24" t="s">
        <v>1282</v>
      </c>
      <c r="O297" s="28">
        <f>HYPERLINK("https://app.hubspot.com/contacts/8748051/record/0-3/33463528074", 33463528074)</f>
        <v>33463528074</v>
      </c>
      <c r="P297" s="24" t="s">
        <v>1280</v>
      </c>
      <c r="Q297" s="24" t="s">
        <v>92</v>
      </c>
      <c r="R297" s="24">
        <v>20500.0</v>
      </c>
      <c r="S297" s="24" t="b">
        <v>1</v>
      </c>
      <c r="T297" s="34" t="str">
        <f t="shared" ref="T297:V297" si="301">IF(G297&lt;&gt;"","Yes","")</f>
        <v>Yes</v>
      </c>
      <c r="U297" s="34" t="str">
        <f t="shared" si="301"/>
        <v>Yes</v>
      </c>
      <c r="V297" s="34" t="str">
        <f t="shared" si="301"/>
        <v>Yes</v>
      </c>
      <c r="W297" s="34" t="str">
        <f t="shared" si="3"/>
        <v>Yes</v>
      </c>
      <c r="X297" s="24" t="str">
        <f t="shared" si="4"/>
        <v/>
      </c>
    </row>
    <row r="298" ht="14.25" customHeight="1">
      <c r="A298" s="28">
        <f>HYPERLINK("https://app.hubspot.com/contacts/8748051/record/0-1/1814001", 1814001)</f>
        <v>1814001</v>
      </c>
      <c r="B298" s="24" t="s">
        <v>3832</v>
      </c>
      <c r="C298" s="26">
        <v>45695.385416666664</v>
      </c>
      <c r="D298" s="26"/>
      <c r="E298" s="28" t="s">
        <v>1302</v>
      </c>
      <c r="F298" s="24"/>
      <c r="G298" s="35">
        <v>45695.0</v>
      </c>
      <c r="H298" s="35">
        <v>45714.0</v>
      </c>
      <c r="I298" s="35">
        <v>45714.0</v>
      </c>
      <c r="J298" s="34"/>
      <c r="K298" s="24" t="s">
        <v>155</v>
      </c>
      <c r="L298" s="34"/>
      <c r="M298" s="28">
        <f>HYPERLINK("https://app.hubspot.com/contacts/8748051/record/0-2/10198128792", 10198128792)</f>
        <v>10198128792</v>
      </c>
      <c r="N298" s="24" t="s">
        <v>1301</v>
      </c>
      <c r="O298" s="33">
        <f>HYPERLINK("https://app.hubspot.com/contacts/8748051/record/0-3/33169400227", 33169400227)</f>
        <v>33169400227</v>
      </c>
      <c r="P298" s="24" t="s">
        <v>1300</v>
      </c>
      <c r="Q298" s="24" t="s">
        <v>127</v>
      </c>
      <c r="R298" s="24">
        <v>10000.0</v>
      </c>
      <c r="S298" s="24"/>
      <c r="T298" s="34" t="str">
        <f t="shared" ref="T298:V298" si="302">IF(G298&lt;&gt;"","Yes","")</f>
        <v>Yes</v>
      </c>
      <c r="U298" s="34" t="str">
        <f t="shared" si="302"/>
        <v>Yes</v>
      </c>
      <c r="V298" s="34" t="str">
        <f t="shared" si="302"/>
        <v>Yes</v>
      </c>
      <c r="W298" s="34" t="str">
        <f t="shared" si="3"/>
        <v/>
      </c>
      <c r="X298" s="24" t="str">
        <f t="shared" si="4"/>
        <v/>
      </c>
    </row>
    <row r="299" ht="14.25" customHeight="1">
      <c r="A299" s="28">
        <f>HYPERLINK("https://app.hubspot.com/contacts/8748051/record/0-1/50851", 50851)</f>
        <v>50851</v>
      </c>
      <c r="B299" s="24" t="s">
        <v>3833</v>
      </c>
      <c r="C299" s="26">
        <v>45694.426099537035</v>
      </c>
      <c r="D299" s="26"/>
      <c r="E299" s="28" t="s">
        <v>1296</v>
      </c>
      <c r="F299" s="24"/>
      <c r="G299" s="35">
        <v>45694.0</v>
      </c>
      <c r="H299" s="35">
        <v>45700.0</v>
      </c>
      <c r="I299" s="35">
        <v>45700.0</v>
      </c>
      <c r="J299" s="34"/>
      <c r="K299" s="24" t="s">
        <v>3239</v>
      </c>
      <c r="L299" s="34"/>
      <c r="M299" s="28">
        <f>HYPERLINK("https://app.hubspot.com/contacts/8748051/record/0-2/7823678361", 7823678361)</f>
        <v>7823678361</v>
      </c>
      <c r="N299" s="24" t="s">
        <v>1295</v>
      </c>
      <c r="O299" s="33">
        <f>HYPERLINK("https://app.hubspot.com/contacts/8748051/record/0-3/33269703723", 33269703723)</f>
        <v>33269703723</v>
      </c>
      <c r="P299" s="24" t="s">
        <v>1293</v>
      </c>
      <c r="Q299" s="24" t="s">
        <v>149</v>
      </c>
      <c r="R299" s="24">
        <v>10000.0</v>
      </c>
      <c r="S299" s="24" t="b">
        <v>1</v>
      </c>
      <c r="T299" s="34" t="str">
        <f t="shared" ref="T299:V299" si="303">IF(G299&lt;&gt;"","Yes","")</f>
        <v>Yes</v>
      </c>
      <c r="U299" s="34" t="str">
        <f t="shared" si="303"/>
        <v>Yes</v>
      </c>
      <c r="V299" s="34" t="str">
        <f t="shared" si="303"/>
        <v>Yes</v>
      </c>
      <c r="W299" s="34" t="str">
        <f t="shared" si="3"/>
        <v/>
      </c>
      <c r="X299" s="24" t="str">
        <f t="shared" si="4"/>
        <v>Yes</v>
      </c>
    </row>
    <row r="300" ht="14.25" customHeight="1">
      <c r="A300" s="28">
        <f>HYPERLINK("https://app.hubspot.com/contacts/8748051/record/0-1/97329719041", 97329719041)</f>
        <v>97329719041</v>
      </c>
      <c r="B300" s="24" t="s">
        <v>3834</v>
      </c>
      <c r="C300" s="26">
        <v>45694.11313657407</v>
      </c>
      <c r="D300" s="26"/>
      <c r="E300" s="28" t="s">
        <v>3835</v>
      </c>
      <c r="F300" s="24"/>
      <c r="G300" s="35">
        <v>45694.0</v>
      </c>
      <c r="H300" s="35"/>
      <c r="I300" s="35"/>
      <c r="J300" s="34"/>
      <c r="K300" s="24" t="s">
        <v>3792</v>
      </c>
      <c r="L300" s="34"/>
      <c r="M300" s="28">
        <f>HYPERLINK("https://app.hubspot.com/contacts/8748051/record/0-2/29645291274", 29645291274)</f>
        <v>29645291274</v>
      </c>
      <c r="N300" s="24" t="s">
        <v>3836</v>
      </c>
      <c r="O300" s="34"/>
      <c r="P300" s="24"/>
      <c r="Q300" s="24"/>
      <c r="R300" s="24"/>
      <c r="S300" s="24"/>
      <c r="T300" s="34" t="str">
        <f t="shared" ref="T300:V300" si="304">IF(G300&lt;&gt;"","Yes","")</f>
        <v>Yes</v>
      </c>
      <c r="U300" s="34" t="str">
        <f t="shared" si="304"/>
        <v/>
      </c>
      <c r="V300" s="34" t="str">
        <f t="shared" si="304"/>
        <v/>
      </c>
      <c r="W300" s="34" t="str">
        <f t="shared" si="3"/>
        <v/>
      </c>
      <c r="X300" s="24" t="str">
        <f t="shared" si="4"/>
        <v/>
      </c>
    </row>
    <row r="301" ht="14.25" customHeight="1">
      <c r="A301" s="28">
        <f>HYPERLINK("https://app.hubspot.com/contacts/8748051/record/0-1/97238068878", 97238068878)</f>
        <v>97238068878</v>
      </c>
      <c r="B301" s="24" t="s">
        <v>3837</v>
      </c>
      <c r="C301" s="26">
        <v>45693.6596875</v>
      </c>
      <c r="D301" s="26"/>
      <c r="E301" s="28" t="s">
        <v>1305</v>
      </c>
      <c r="F301" s="24"/>
      <c r="G301" s="35">
        <v>45694.0</v>
      </c>
      <c r="H301" s="35">
        <v>45770.0</v>
      </c>
      <c r="I301" s="35">
        <v>45770.0</v>
      </c>
      <c r="J301" s="34"/>
      <c r="K301" s="24" t="s">
        <v>3792</v>
      </c>
      <c r="L301" s="34"/>
      <c r="M301" s="28">
        <f>HYPERLINK("https://app.hubspot.com/contacts/8748051/record/0-2/29645372728", 29645372728)</f>
        <v>29645372728</v>
      </c>
      <c r="N301" s="24" t="s">
        <v>1304</v>
      </c>
      <c r="O301" s="33">
        <f>HYPERLINK("https://app.hubspot.com/contacts/8748051/record/0-3/38310302480", 38310302480)</f>
        <v>38310302480</v>
      </c>
      <c r="P301" s="24" t="s">
        <v>1303</v>
      </c>
      <c r="Q301" s="24" t="s">
        <v>127</v>
      </c>
      <c r="R301" s="24">
        <v>15000.0</v>
      </c>
      <c r="S301" s="24" t="b">
        <v>1</v>
      </c>
      <c r="T301" s="34" t="str">
        <f t="shared" ref="T301:V301" si="305">IF(G301&lt;&gt;"","Yes","")</f>
        <v>Yes</v>
      </c>
      <c r="U301" s="34" t="str">
        <f t="shared" si="305"/>
        <v>Yes</v>
      </c>
      <c r="V301" s="34" t="str">
        <f t="shared" si="305"/>
        <v>Yes</v>
      </c>
      <c r="W301" s="34" t="str">
        <f t="shared" si="3"/>
        <v/>
      </c>
      <c r="X301" s="24" t="str">
        <f t="shared" si="4"/>
        <v/>
      </c>
    </row>
    <row r="302" ht="14.25" customHeight="1">
      <c r="A302" s="28">
        <f>HYPERLINK("https://app.hubspot.com/contacts/8748051/record/0-1/97178070796", 97178070796)</f>
        <v>97178070796</v>
      </c>
      <c r="B302" s="24" t="s">
        <v>3838</v>
      </c>
      <c r="C302" s="26">
        <v>45693.47351851852</v>
      </c>
      <c r="D302" s="26"/>
      <c r="E302" s="28" t="s">
        <v>1308</v>
      </c>
      <c r="F302" s="26"/>
      <c r="G302" s="35">
        <v>45693.0</v>
      </c>
      <c r="H302" s="35">
        <v>45709.0</v>
      </c>
      <c r="I302" s="35">
        <v>45709.0</v>
      </c>
      <c r="J302" s="34"/>
      <c r="K302" s="24" t="s">
        <v>3792</v>
      </c>
      <c r="L302" s="34"/>
      <c r="M302" s="28">
        <f>HYPERLINK("https://app.hubspot.com/contacts/8748051/record/0-2/29633882961", 29633882961)</f>
        <v>29633882961</v>
      </c>
      <c r="N302" s="24" t="s">
        <v>1307</v>
      </c>
      <c r="O302" s="33">
        <f>HYPERLINK("https://app.hubspot.com/contacts/8748051/record/0-3/33122383288", 33122383288)</f>
        <v>33122383288</v>
      </c>
      <c r="P302" s="24" t="s">
        <v>1306</v>
      </c>
      <c r="Q302" s="24" t="s">
        <v>73</v>
      </c>
      <c r="R302" s="24">
        <v>6000.0</v>
      </c>
      <c r="S302" s="24"/>
      <c r="T302" s="34" t="str">
        <f t="shared" ref="T302:V302" si="306">IF(G302&lt;&gt;"","Yes","")</f>
        <v>Yes</v>
      </c>
      <c r="U302" s="34" t="str">
        <f t="shared" si="306"/>
        <v>Yes</v>
      </c>
      <c r="V302" s="34" t="str">
        <f t="shared" si="306"/>
        <v>Yes</v>
      </c>
      <c r="W302" s="34" t="str">
        <f t="shared" si="3"/>
        <v/>
      </c>
      <c r="X302" s="24" t="str">
        <f t="shared" si="4"/>
        <v/>
      </c>
    </row>
    <row r="303" ht="14.25" customHeight="1">
      <c r="A303" s="28">
        <f>HYPERLINK("https://app.hubspot.com/contacts/8748051/record/0-1/96802949980", 96802949980)</f>
        <v>96802949980</v>
      </c>
      <c r="B303" s="24" t="s">
        <v>3839</v>
      </c>
      <c r="C303" s="26">
        <v>45693.050358796296</v>
      </c>
      <c r="D303" s="26"/>
      <c r="E303" s="28" t="s">
        <v>3840</v>
      </c>
      <c r="F303" s="24"/>
      <c r="G303" s="35">
        <v>45692.0</v>
      </c>
      <c r="H303" s="35"/>
      <c r="I303" s="35"/>
      <c r="J303" s="34"/>
      <c r="K303" s="24" t="s">
        <v>3204</v>
      </c>
      <c r="L303" s="24"/>
      <c r="M303" s="28">
        <f>HYPERLINK("https://app.hubspot.com/contacts/8748051/record/0-2/29593536886", 29593536886)</f>
        <v>29593536886</v>
      </c>
      <c r="N303" s="24" t="s">
        <v>3841</v>
      </c>
      <c r="O303" s="24"/>
      <c r="P303" s="24"/>
      <c r="Q303" s="24"/>
      <c r="R303" s="24"/>
      <c r="S303" s="24"/>
      <c r="T303" s="34" t="str">
        <f t="shared" ref="T303:V303" si="307">IF(G303&lt;&gt;"","Yes","")</f>
        <v>Yes</v>
      </c>
      <c r="U303" s="34" t="str">
        <f t="shared" si="307"/>
        <v/>
      </c>
      <c r="V303" s="34" t="str">
        <f t="shared" si="307"/>
        <v/>
      </c>
      <c r="W303" s="34" t="str">
        <f t="shared" si="3"/>
        <v/>
      </c>
      <c r="X303" s="24" t="str">
        <f t="shared" si="4"/>
        <v/>
      </c>
    </row>
    <row r="304" ht="14.25" customHeight="1">
      <c r="A304" s="28">
        <f>HYPERLINK("https://app.hubspot.com/contacts/8748051/record/0-1/96600999447", 96600999447)</f>
        <v>96600999447</v>
      </c>
      <c r="B304" s="24" t="s">
        <v>3842</v>
      </c>
      <c r="C304" s="26">
        <v>45691.52819444444</v>
      </c>
      <c r="D304" s="26"/>
      <c r="E304" s="28" t="s">
        <v>1312</v>
      </c>
      <c r="F304" s="24"/>
      <c r="G304" s="35">
        <v>45691.0</v>
      </c>
      <c r="H304" s="35">
        <v>45692.0</v>
      </c>
      <c r="I304" s="35">
        <v>45692.0</v>
      </c>
      <c r="J304" s="34"/>
      <c r="K304" s="24" t="s">
        <v>155</v>
      </c>
      <c r="L304" s="34"/>
      <c r="M304" s="28">
        <f>HYPERLINK("https://app.hubspot.com/contacts/8748051/record/0-2/29475679086", 29475679086)</f>
        <v>29475679086</v>
      </c>
      <c r="N304" s="24" t="s">
        <v>1311</v>
      </c>
      <c r="O304" s="33">
        <f>HYPERLINK("https://app.hubspot.com/contacts/8748051/record/0-3/32952248417", 32952248417)</f>
        <v>32952248417</v>
      </c>
      <c r="P304" s="24" t="s">
        <v>1309</v>
      </c>
      <c r="Q304" s="24" t="s">
        <v>127</v>
      </c>
      <c r="R304" s="24">
        <v>10000.0</v>
      </c>
      <c r="S304" s="24" t="b">
        <v>1</v>
      </c>
      <c r="T304" s="34" t="str">
        <f t="shared" ref="T304:V304" si="308">IF(G304&lt;&gt;"","Yes","")</f>
        <v>Yes</v>
      </c>
      <c r="U304" s="34" t="str">
        <f t="shared" si="308"/>
        <v>Yes</v>
      </c>
      <c r="V304" s="34" t="str">
        <f t="shared" si="308"/>
        <v>Yes</v>
      </c>
      <c r="W304" s="34" t="str">
        <f t="shared" si="3"/>
        <v/>
      </c>
      <c r="X304" s="24" t="str">
        <f t="shared" si="4"/>
        <v/>
      </c>
    </row>
    <row r="305" ht="14.25" customHeight="1">
      <c r="A305" s="28">
        <f>HYPERLINK("https://app.hubspot.com/contacts/8748051/record/0-1/3434501", 3434501)</f>
        <v>3434501</v>
      </c>
      <c r="B305" s="24" t="s">
        <v>3843</v>
      </c>
      <c r="C305" s="26">
        <v>45688.505636574075</v>
      </c>
      <c r="D305" s="26"/>
      <c r="E305" s="28" t="s">
        <v>1316</v>
      </c>
      <c r="F305" s="24"/>
      <c r="G305" s="35">
        <v>45688.0</v>
      </c>
      <c r="H305" s="35">
        <v>45702.0</v>
      </c>
      <c r="I305" s="35">
        <v>45702.0</v>
      </c>
      <c r="J305" s="34"/>
      <c r="K305" s="24" t="s">
        <v>3469</v>
      </c>
      <c r="L305" s="34"/>
      <c r="M305" s="28">
        <f>HYPERLINK("https://app.hubspot.com/contacts/8748051/record/0-2/7700474462", 7700474462)</f>
        <v>7700474462</v>
      </c>
      <c r="N305" s="24" t="s">
        <v>1315</v>
      </c>
      <c r="O305" s="28">
        <f>HYPERLINK("https://app.hubspot.com/contacts/8748051/record/0-3/32823792266", 32823792266)</f>
        <v>32823792266</v>
      </c>
      <c r="P305" s="24" t="s">
        <v>1313</v>
      </c>
      <c r="Q305" s="24" t="s">
        <v>149</v>
      </c>
      <c r="R305" s="24">
        <v>25000.0</v>
      </c>
      <c r="S305" s="24" t="b">
        <v>1</v>
      </c>
      <c r="T305" s="34" t="str">
        <f t="shared" ref="T305:V305" si="309">IF(G305&lt;&gt;"","Yes","")</f>
        <v>Yes</v>
      </c>
      <c r="U305" s="34" t="str">
        <f t="shared" si="309"/>
        <v>Yes</v>
      </c>
      <c r="V305" s="34" t="str">
        <f t="shared" si="309"/>
        <v>Yes</v>
      </c>
      <c r="W305" s="34" t="str">
        <f t="shared" si="3"/>
        <v/>
      </c>
      <c r="X305" s="24" t="str">
        <f t="shared" si="4"/>
        <v>Yes</v>
      </c>
    </row>
    <row r="306" ht="14.25" customHeight="1">
      <c r="A306" s="28">
        <f>HYPERLINK("https://app.hubspot.com/contacts/8748051/record/0-1/94625568842", 94625568842)</f>
        <v>94625568842</v>
      </c>
      <c r="B306" s="24" t="s">
        <v>3844</v>
      </c>
      <c r="C306" s="26">
        <v>45686.76516203704</v>
      </c>
      <c r="D306" s="26"/>
      <c r="E306" s="28" t="s">
        <v>1322</v>
      </c>
      <c r="F306" s="24"/>
      <c r="G306" s="35">
        <v>45687.0</v>
      </c>
      <c r="H306" s="35">
        <v>45699.0</v>
      </c>
      <c r="I306" s="35">
        <v>45699.0</v>
      </c>
      <c r="J306" s="24"/>
      <c r="K306" s="24" t="s">
        <v>3825</v>
      </c>
      <c r="L306" s="24"/>
      <c r="M306" s="28">
        <f>HYPERLINK("https://app.hubspot.com/contacts/8748051/record/0-2/19176760746", 19176760746)</f>
        <v>19176760746</v>
      </c>
      <c r="N306" s="24" t="s">
        <v>1321</v>
      </c>
      <c r="O306" s="33">
        <f>HYPERLINK("https://app.hubspot.com/contacts/8748051/record/0-3/32748891700", 32748891700)</f>
        <v>32748891700</v>
      </c>
      <c r="P306" s="24" t="s">
        <v>1320</v>
      </c>
      <c r="Q306" s="24" t="s">
        <v>127</v>
      </c>
      <c r="R306" s="24">
        <v>15000.0</v>
      </c>
      <c r="S306" s="24" t="b">
        <v>1</v>
      </c>
      <c r="T306" s="34" t="str">
        <f t="shared" ref="T306:V306" si="310">IF(G306&lt;&gt;"","Yes","")</f>
        <v>Yes</v>
      </c>
      <c r="U306" s="34" t="str">
        <f t="shared" si="310"/>
        <v>Yes</v>
      </c>
      <c r="V306" s="34" t="str">
        <f t="shared" si="310"/>
        <v>Yes</v>
      </c>
      <c r="W306" s="34" t="str">
        <f t="shared" si="3"/>
        <v/>
      </c>
      <c r="X306" s="24" t="str">
        <f t="shared" si="4"/>
        <v/>
      </c>
    </row>
    <row r="307" ht="14.25" customHeight="1">
      <c r="A307" s="28">
        <f>HYPERLINK("https://app.hubspot.com/contacts/8748051/record/0-1/95257453999", 95257453999)</f>
        <v>95257453999</v>
      </c>
      <c r="B307" s="24" t="s">
        <v>3845</v>
      </c>
      <c r="C307" s="26">
        <v>45686.44244212963</v>
      </c>
      <c r="D307" s="26"/>
      <c r="E307" s="28" t="s">
        <v>3846</v>
      </c>
      <c r="F307" s="24"/>
      <c r="G307" s="35">
        <v>45686.0</v>
      </c>
      <c r="H307" s="35"/>
      <c r="I307" s="35"/>
      <c r="J307" s="34"/>
      <c r="K307" s="24" t="s">
        <v>3204</v>
      </c>
      <c r="L307" s="24"/>
      <c r="M307" s="28">
        <f>HYPERLINK("https://app.hubspot.com/contacts/8748051/record/0-2/7945135253", 7945135253)</f>
        <v>7945135253</v>
      </c>
      <c r="N307" s="24" t="s">
        <v>3847</v>
      </c>
      <c r="O307" s="24"/>
      <c r="P307" s="24"/>
      <c r="Q307" s="24"/>
      <c r="R307" s="24"/>
      <c r="S307" s="24"/>
      <c r="T307" s="34" t="str">
        <f t="shared" ref="T307:V307" si="311">IF(G307&lt;&gt;"","Yes","")</f>
        <v>Yes</v>
      </c>
      <c r="U307" s="34" t="str">
        <f t="shared" si="311"/>
        <v/>
      </c>
      <c r="V307" s="34" t="str">
        <f t="shared" si="311"/>
        <v/>
      </c>
      <c r="W307" s="34" t="str">
        <f t="shared" si="3"/>
        <v/>
      </c>
      <c r="X307" s="24" t="str">
        <f t="shared" si="4"/>
        <v/>
      </c>
    </row>
    <row r="308" ht="14.25" customHeight="1">
      <c r="A308" s="28">
        <f>HYPERLINK("https://app.hubspot.com/contacts/8748051/record/0-1/94630032524", 94630032524)</f>
        <v>94630032524</v>
      </c>
      <c r="B308" s="24" t="s">
        <v>3848</v>
      </c>
      <c r="C308" s="26">
        <v>45684.508576388886</v>
      </c>
      <c r="D308" s="26"/>
      <c r="E308" s="28" t="s">
        <v>1325</v>
      </c>
      <c r="F308" s="24"/>
      <c r="G308" s="35">
        <v>45684.0</v>
      </c>
      <c r="H308" s="35">
        <v>45691.0</v>
      </c>
      <c r="I308" s="35">
        <v>45691.0</v>
      </c>
      <c r="J308" s="34"/>
      <c r="K308" s="24" t="s">
        <v>3239</v>
      </c>
      <c r="L308" s="34"/>
      <c r="M308" s="28">
        <f>HYPERLINK("https://app.hubspot.com/contacts/8748051/record/0-2/9238277157", 9238277157)</f>
        <v>9238277157</v>
      </c>
      <c r="N308" s="24" t="s">
        <v>1324</v>
      </c>
      <c r="O308" s="33">
        <f>HYPERLINK("https://app.hubspot.com/contacts/8748051/record/0-3/32659467397", 32659467397)</f>
        <v>32659467397</v>
      </c>
      <c r="P308" s="24" t="s">
        <v>1323</v>
      </c>
      <c r="Q308" s="24" t="s">
        <v>73</v>
      </c>
      <c r="R308" s="24">
        <v>100000.0</v>
      </c>
      <c r="S308" s="24"/>
      <c r="T308" s="34" t="str">
        <f t="shared" ref="T308:V308" si="312">IF(G308&lt;&gt;"","Yes","")</f>
        <v>Yes</v>
      </c>
      <c r="U308" s="34" t="str">
        <f t="shared" si="312"/>
        <v>Yes</v>
      </c>
      <c r="V308" s="34" t="str">
        <f t="shared" si="312"/>
        <v>Yes</v>
      </c>
      <c r="W308" s="34" t="str">
        <f t="shared" si="3"/>
        <v/>
      </c>
      <c r="X308" s="24" t="str">
        <f t="shared" si="4"/>
        <v/>
      </c>
    </row>
    <row r="309" ht="14.25" customHeight="1">
      <c r="A309" s="28">
        <f>HYPERLINK("https://app.hubspot.com/contacts/8748051/record/0-1/94072638552", 94072638552)</f>
        <v>94072638552</v>
      </c>
      <c r="B309" s="24" t="s">
        <v>3849</v>
      </c>
      <c r="C309" s="26">
        <v>45681.858194444445</v>
      </c>
      <c r="D309" s="26"/>
      <c r="E309" s="28" t="s">
        <v>3850</v>
      </c>
      <c r="F309" s="24" t="s">
        <v>3304</v>
      </c>
      <c r="G309" s="35"/>
      <c r="H309" s="35"/>
      <c r="I309" s="35"/>
      <c r="J309" s="34"/>
      <c r="K309" s="24"/>
      <c r="L309" s="24"/>
      <c r="M309" s="28">
        <f>HYPERLINK("https://app.hubspot.com/contacts/8748051/record/0-2/28976245804", 28976245804)</f>
        <v>28976245804</v>
      </c>
      <c r="N309" s="28" t="s">
        <v>3850</v>
      </c>
      <c r="O309" s="24"/>
      <c r="P309" s="24"/>
      <c r="Q309" s="24"/>
      <c r="R309" s="24"/>
      <c r="S309" s="24"/>
      <c r="T309" s="34" t="str">
        <f t="shared" ref="T309:V309" si="313">IF(G309&lt;&gt;"","Yes","")</f>
        <v/>
      </c>
      <c r="U309" s="34" t="str">
        <f t="shared" si="313"/>
        <v/>
      </c>
      <c r="V309" s="34" t="str">
        <f t="shared" si="313"/>
        <v/>
      </c>
      <c r="W309" s="34" t="str">
        <f t="shared" si="3"/>
        <v/>
      </c>
      <c r="X309" s="24" t="str">
        <f t="shared" si="4"/>
        <v/>
      </c>
    </row>
    <row r="310" ht="14.25" customHeight="1">
      <c r="A310" s="28">
        <f>HYPERLINK("https://app.hubspot.com/contacts/8748051/record/0-1/93450237334", 93450237334)</f>
        <v>93450237334</v>
      </c>
      <c r="B310" s="24" t="s">
        <v>3851</v>
      </c>
      <c r="C310" s="26">
        <v>45679.476585648146</v>
      </c>
      <c r="D310" s="26"/>
      <c r="E310" s="28" t="s">
        <v>3852</v>
      </c>
      <c r="F310" s="24" t="s">
        <v>3304</v>
      </c>
      <c r="G310" s="35"/>
      <c r="H310" s="35"/>
      <c r="I310" s="35"/>
      <c r="J310" s="24"/>
      <c r="K310" s="24"/>
      <c r="L310" s="24"/>
      <c r="M310" s="28">
        <f>HYPERLINK("https://app.hubspot.com/contacts/8748051/record/0-2/28853702319", 28853702319)</f>
        <v>28853702319</v>
      </c>
      <c r="N310" s="24" t="s">
        <v>3853</v>
      </c>
      <c r="O310" s="24"/>
      <c r="P310" s="24"/>
      <c r="Q310" s="24"/>
      <c r="R310" s="24"/>
      <c r="S310" s="24"/>
      <c r="T310" s="34" t="str">
        <f t="shared" ref="T310:V310" si="314">IF(G310&lt;&gt;"","Yes","")</f>
        <v/>
      </c>
      <c r="U310" s="34" t="str">
        <f t="shared" si="314"/>
        <v/>
      </c>
      <c r="V310" s="34" t="str">
        <f t="shared" si="314"/>
        <v/>
      </c>
      <c r="W310" s="34" t="str">
        <f t="shared" si="3"/>
        <v/>
      </c>
      <c r="X310" s="24" t="str">
        <f t="shared" si="4"/>
        <v/>
      </c>
    </row>
    <row r="311" ht="14.25" customHeight="1">
      <c r="A311" s="28">
        <f>HYPERLINK("https://app.hubspot.com/contacts/8748051/record/0-1/92441342014", 92441342014)</f>
        <v>92441342014</v>
      </c>
      <c r="B311" s="24" t="s">
        <v>3854</v>
      </c>
      <c r="C311" s="26">
        <v>45674.89633101852</v>
      </c>
      <c r="D311" s="26"/>
      <c r="E311" s="28" t="s">
        <v>499</v>
      </c>
      <c r="F311" s="24"/>
      <c r="G311" s="35">
        <v>45675.0</v>
      </c>
      <c r="H311" s="35">
        <v>45681.0</v>
      </c>
      <c r="I311" s="35">
        <v>45681.0</v>
      </c>
      <c r="J311" s="24"/>
      <c r="K311" s="24" t="s">
        <v>3239</v>
      </c>
      <c r="L311" s="24"/>
      <c r="M311" s="28">
        <f>HYPERLINK("https://app.hubspot.com/contacts/8748051/record/0-2/28715405232", 28715405232)</f>
        <v>28715405232</v>
      </c>
      <c r="N311" s="24" t="s">
        <v>498</v>
      </c>
      <c r="O311" s="33">
        <f>HYPERLINK("https://app.hubspot.com/contacts/8748051/record/0-3/32146446082", 32146446082)</f>
        <v>32146446082</v>
      </c>
      <c r="P311" s="24" t="s">
        <v>1339</v>
      </c>
      <c r="Q311" s="24" t="s">
        <v>127</v>
      </c>
      <c r="R311" s="24">
        <v>100000.0</v>
      </c>
      <c r="S311" s="24" t="b">
        <v>1</v>
      </c>
      <c r="T311" s="34" t="str">
        <f t="shared" ref="T311:V311" si="315">IF(G311&lt;&gt;"","Yes","")</f>
        <v>Yes</v>
      </c>
      <c r="U311" s="34" t="str">
        <f t="shared" si="315"/>
        <v>Yes</v>
      </c>
      <c r="V311" s="34" t="str">
        <f t="shared" si="315"/>
        <v>Yes</v>
      </c>
      <c r="W311" s="34" t="str">
        <f t="shared" si="3"/>
        <v/>
      </c>
      <c r="X311" s="24" t="str">
        <f t="shared" si="4"/>
        <v/>
      </c>
    </row>
    <row r="312" ht="14.25" customHeight="1">
      <c r="A312" s="28">
        <f>HYPERLINK("https://app.hubspot.com/contacts/8748051/record/0-1/92132936608", 92132936608)</f>
        <v>92132936608</v>
      </c>
      <c r="B312" s="24" t="s">
        <v>3855</v>
      </c>
      <c r="C312" s="26">
        <v>45673.55153935185</v>
      </c>
      <c r="D312" s="26"/>
      <c r="E312" s="28" t="s">
        <v>3856</v>
      </c>
      <c r="F312" s="24"/>
      <c r="G312" s="35">
        <v>45673.0</v>
      </c>
      <c r="H312" s="35"/>
      <c r="I312" s="35"/>
      <c r="J312" s="24"/>
      <c r="K312" s="24" t="s">
        <v>3239</v>
      </c>
      <c r="L312" s="24"/>
      <c r="M312" s="28">
        <f>HYPERLINK("https://app.hubspot.com/contacts/8748051/record/0-2/28647749135", 28647749135)</f>
        <v>28647749135</v>
      </c>
      <c r="N312" s="24" t="s">
        <v>3857</v>
      </c>
      <c r="O312" s="24"/>
      <c r="P312" s="24"/>
      <c r="Q312" s="24"/>
      <c r="R312" s="24"/>
      <c r="S312" s="24"/>
      <c r="T312" s="34" t="str">
        <f t="shared" ref="T312:V312" si="316">IF(G312&lt;&gt;"","Yes","")</f>
        <v>Yes</v>
      </c>
      <c r="U312" s="34" t="str">
        <f t="shared" si="316"/>
        <v/>
      </c>
      <c r="V312" s="34" t="str">
        <f t="shared" si="316"/>
        <v/>
      </c>
      <c r="W312" s="34" t="str">
        <f t="shared" si="3"/>
        <v/>
      </c>
      <c r="X312" s="24" t="str">
        <f t="shared" si="4"/>
        <v/>
      </c>
    </row>
    <row r="313" ht="14.25" customHeight="1">
      <c r="A313" s="28">
        <f>HYPERLINK("https://app.hubspot.com/contacts/8748051/record/0-1/91888805488", 91888805488)</f>
        <v>91888805488</v>
      </c>
      <c r="B313" s="24" t="s">
        <v>3858</v>
      </c>
      <c r="C313" s="26">
        <v>45672.56333333333</v>
      </c>
      <c r="D313" s="26"/>
      <c r="E313" s="28" t="s">
        <v>3859</v>
      </c>
      <c r="F313" s="24" t="s">
        <v>3304</v>
      </c>
      <c r="G313" s="35"/>
      <c r="H313" s="35"/>
      <c r="I313" s="35"/>
      <c r="J313" s="24"/>
      <c r="K313" s="24"/>
      <c r="L313" s="34"/>
      <c r="M313" s="28">
        <f>HYPERLINK("https://app.hubspot.com/contacts/8748051/record/0-2/28624918125", 28624918125)</f>
        <v>28624918125</v>
      </c>
      <c r="N313" s="24" t="s">
        <v>3860</v>
      </c>
      <c r="O313" s="34"/>
      <c r="P313" s="24"/>
      <c r="Q313" s="24"/>
      <c r="R313" s="24"/>
      <c r="S313" s="24"/>
      <c r="T313" s="34" t="str">
        <f t="shared" ref="T313:V313" si="317">IF(G313&lt;&gt;"","Yes","")</f>
        <v/>
      </c>
      <c r="U313" s="34" t="str">
        <f t="shared" si="317"/>
        <v/>
      </c>
      <c r="V313" s="34" t="str">
        <f t="shared" si="317"/>
        <v/>
      </c>
      <c r="W313" s="34" t="str">
        <f t="shared" si="3"/>
        <v/>
      </c>
      <c r="X313" s="24" t="str">
        <f t="shared" si="4"/>
        <v/>
      </c>
    </row>
    <row r="314" ht="14.25" customHeight="1">
      <c r="A314" s="28">
        <f>HYPERLINK("https://app.hubspot.com/contacts/8748051/record/0-1/91786984014", 91786984014)</f>
        <v>91786984014</v>
      </c>
      <c r="B314" s="24" t="s">
        <v>3861</v>
      </c>
      <c r="C314" s="26">
        <v>45672.11604166667</v>
      </c>
      <c r="D314" s="26"/>
      <c r="E314" s="28" t="s">
        <v>1345</v>
      </c>
      <c r="F314" s="24"/>
      <c r="G314" s="35">
        <v>45672.0</v>
      </c>
      <c r="H314" s="35">
        <v>45673.0</v>
      </c>
      <c r="I314" s="35"/>
      <c r="J314" s="34"/>
      <c r="K314" s="24" t="s">
        <v>3239</v>
      </c>
      <c r="L314" s="24"/>
      <c r="M314" s="28">
        <f>HYPERLINK("https://app.hubspot.com/contacts/8748051/record/0-2/26389784166", 26389784166)</f>
        <v>26389784166</v>
      </c>
      <c r="N314" s="24" t="s">
        <v>1344</v>
      </c>
      <c r="O314" s="33">
        <f>HYPERLINK("https://app.hubspot.com/contacts/8748051/record/0-3/32039439992", 32039439992)</f>
        <v>32039439992</v>
      </c>
      <c r="P314" s="24" t="s">
        <v>1343</v>
      </c>
      <c r="Q314" s="24" t="s">
        <v>73</v>
      </c>
      <c r="R314" s="24">
        <v>1000.0</v>
      </c>
      <c r="S314" s="24"/>
      <c r="T314" s="34" t="str">
        <f t="shared" ref="T314:V314" si="318">IF(G314&lt;&gt;"","Yes","")</f>
        <v>Yes</v>
      </c>
      <c r="U314" s="34" t="str">
        <f t="shared" si="318"/>
        <v>Yes</v>
      </c>
      <c r="V314" s="34" t="str">
        <f t="shared" si="318"/>
        <v/>
      </c>
      <c r="W314" s="34" t="str">
        <f t="shared" si="3"/>
        <v/>
      </c>
      <c r="X314" s="24" t="str">
        <f t="shared" si="4"/>
        <v/>
      </c>
    </row>
    <row r="315" ht="14.25" customHeight="1">
      <c r="A315" s="28">
        <f>HYPERLINK("https://app.hubspot.com/contacts/8748051/record/0-1/1950751", 1950751)</f>
        <v>1950751</v>
      </c>
      <c r="B315" s="24" t="s">
        <v>3862</v>
      </c>
      <c r="C315" s="26">
        <v>45666.589421296296</v>
      </c>
      <c r="D315" s="26"/>
      <c r="E315" s="28" t="s">
        <v>1335</v>
      </c>
      <c r="F315" s="24"/>
      <c r="G315" s="35">
        <v>45667.0</v>
      </c>
      <c r="H315" s="35">
        <v>45679.0</v>
      </c>
      <c r="I315" s="35">
        <v>45679.0</v>
      </c>
      <c r="J315" s="34"/>
      <c r="K315" s="24" t="s">
        <v>3707</v>
      </c>
      <c r="L315" s="24"/>
      <c r="M315" s="28">
        <f>HYPERLINK("https://app.hubspot.com/contacts/8748051/record/0-2/9427315969", 9427315969)</f>
        <v>9427315969</v>
      </c>
      <c r="N315" s="24" t="s">
        <v>1334</v>
      </c>
      <c r="O315" s="28">
        <f>HYPERLINK("https://app.hubspot.com/contacts/8748051/record/0-3/32323634346", 32323634346)</f>
        <v>32323634346</v>
      </c>
      <c r="P315" s="24" t="s">
        <v>1332</v>
      </c>
      <c r="Q315" s="24" t="s">
        <v>149</v>
      </c>
      <c r="R315" s="24">
        <v>100000.0</v>
      </c>
      <c r="S315" s="24" t="b">
        <v>1</v>
      </c>
      <c r="T315" s="34" t="str">
        <f t="shared" ref="T315:V315" si="319">IF(G315&lt;&gt;"","Yes","")</f>
        <v>Yes</v>
      </c>
      <c r="U315" s="34" t="str">
        <f t="shared" si="319"/>
        <v>Yes</v>
      </c>
      <c r="V315" s="34" t="str">
        <f t="shared" si="319"/>
        <v>Yes</v>
      </c>
      <c r="W315" s="34" t="str">
        <f t="shared" si="3"/>
        <v/>
      </c>
      <c r="X315" s="24" t="str">
        <f t="shared" si="4"/>
        <v>Yes</v>
      </c>
    </row>
    <row r="316" ht="14.25" customHeight="1">
      <c r="A316" s="28">
        <f>HYPERLINK("https://app.hubspot.com/contacts/8748051/record/0-1/89372091831", 89372091831)</f>
        <v>89372091831</v>
      </c>
      <c r="B316" s="24" t="s">
        <v>3863</v>
      </c>
      <c r="C316" s="26">
        <v>45663.06707175926</v>
      </c>
      <c r="D316" s="26"/>
      <c r="E316" s="24" t="s">
        <v>1357</v>
      </c>
      <c r="F316" s="24"/>
      <c r="G316" s="35">
        <v>45663.0</v>
      </c>
      <c r="H316" s="35">
        <v>45664.0</v>
      </c>
      <c r="I316" s="35">
        <v>45664.0</v>
      </c>
      <c r="J316" s="34"/>
      <c r="K316" s="24" t="s">
        <v>3239</v>
      </c>
      <c r="L316" s="24"/>
      <c r="M316" s="28">
        <f>HYPERLINK("https://app.hubspot.com/contacts/8748051/record/0-2/28152532135", 28152532135)</f>
        <v>28152532135</v>
      </c>
      <c r="N316" s="24" t="s">
        <v>1356</v>
      </c>
      <c r="O316" s="28">
        <f>HYPERLINK("https://app.hubspot.com/contacts/8748051/record/0-3/31575517542", 31575517542)</f>
        <v>31575517542</v>
      </c>
      <c r="P316" s="24" t="s">
        <v>1355</v>
      </c>
      <c r="Q316" s="24" t="s">
        <v>73</v>
      </c>
      <c r="R316" s="24">
        <v>500.0</v>
      </c>
      <c r="S316" s="24"/>
      <c r="T316" s="34" t="str">
        <f t="shared" ref="T316:V316" si="320">IF(G316&lt;&gt;"","Yes","")</f>
        <v>Yes</v>
      </c>
      <c r="U316" s="34" t="str">
        <f t="shared" si="320"/>
        <v>Yes</v>
      </c>
      <c r="V316" s="34" t="str">
        <f t="shared" si="320"/>
        <v>Yes</v>
      </c>
      <c r="W316" s="34" t="str">
        <f t="shared" si="3"/>
        <v/>
      </c>
      <c r="X316" s="24" t="str">
        <f t="shared" si="4"/>
        <v/>
      </c>
    </row>
    <row r="317" ht="14.25" customHeight="1">
      <c r="A317" s="28">
        <f>HYPERLINK("https://app.hubspot.com/contacts/8748051/record/0-1/89066236829", 89066236829)</f>
        <v>89066236829</v>
      </c>
      <c r="B317" s="24" t="s">
        <v>3864</v>
      </c>
      <c r="C317" s="26">
        <v>45661.73694444444</v>
      </c>
      <c r="D317" s="26"/>
      <c r="E317" s="24" t="s">
        <v>3865</v>
      </c>
      <c r="F317" s="24" t="s">
        <v>3304</v>
      </c>
      <c r="G317" s="35"/>
      <c r="H317" s="35"/>
      <c r="I317" s="35"/>
      <c r="J317" s="24"/>
      <c r="K317" s="24"/>
      <c r="L317" s="24"/>
      <c r="M317" s="28">
        <f>HYPERLINK("https://app.hubspot.com/contacts/8748051/record/0-2/27985976346", 27985976346)</f>
        <v>27985976346</v>
      </c>
      <c r="N317" s="24" t="s">
        <v>3866</v>
      </c>
      <c r="O317" s="34"/>
      <c r="P317" s="24"/>
      <c r="Q317" s="24"/>
      <c r="R317" s="24"/>
      <c r="S317" s="24"/>
      <c r="T317" s="34" t="str">
        <f t="shared" ref="T317:V317" si="321">IF(G317&lt;&gt;"","Yes","")</f>
        <v/>
      </c>
      <c r="U317" s="34" t="str">
        <f t="shared" si="321"/>
        <v/>
      </c>
      <c r="V317" s="34" t="str">
        <f t="shared" si="321"/>
        <v/>
      </c>
      <c r="W317" s="34" t="str">
        <f t="shared" si="3"/>
        <v/>
      </c>
      <c r="X317" s="24" t="str">
        <f t="shared" si="4"/>
        <v/>
      </c>
    </row>
    <row r="318" ht="14.25" customHeight="1">
      <c r="A318" s="28">
        <f>HYPERLINK("https://app.hubspot.com/contacts/8748051/record/0-1/88564531260", 88564531260)</f>
        <v>88564531260</v>
      </c>
      <c r="B318" s="24" t="s">
        <v>3867</v>
      </c>
      <c r="C318" s="26">
        <v>45659.39313657407</v>
      </c>
      <c r="D318" s="26"/>
      <c r="E318" s="28" t="s">
        <v>1364</v>
      </c>
      <c r="F318" s="24"/>
      <c r="G318" s="35">
        <v>45659.0</v>
      </c>
      <c r="H318" s="35">
        <v>45663.0</v>
      </c>
      <c r="I318" s="35"/>
      <c r="J318" s="34"/>
      <c r="K318" s="24" t="s">
        <v>3239</v>
      </c>
      <c r="L318" s="24"/>
      <c r="M318" s="28">
        <f>HYPERLINK("https://app.hubspot.com/contacts/8748051/record/0-2/27898083762", 27898083762)</f>
        <v>27898083762</v>
      </c>
      <c r="N318" s="24" t="s">
        <v>1363</v>
      </c>
      <c r="O318" s="28">
        <f>HYPERLINK("https://app.hubspot.com/contacts/8748051/record/0-3/31312600139", 31312600139)</f>
        <v>31312600139</v>
      </c>
      <c r="P318" s="24" t="s">
        <v>1362</v>
      </c>
      <c r="Q318" s="24" t="s">
        <v>73</v>
      </c>
      <c r="R318" s="24">
        <v>500.0</v>
      </c>
      <c r="S318" s="24"/>
      <c r="T318" s="34" t="str">
        <f t="shared" ref="T318:V318" si="322">IF(G318&lt;&gt;"","Yes","")</f>
        <v>Yes</v>
      </c>
      <c r="U318" s="34" t="str">
        <f t="shared" si="322"/>
        <v>Yes</v>
      </c>
      <c r="V318" s="34" t="str">
        <f t="shared" si="322"/>
        <v/>
      </c>
      <c r="W318" s="34" t="str">
        <f t="shared" si="3"/>
        <v/>
      </c>
      <c r="X318" s="24" t="str">
        <f t="shared" si="4"/>
        <v/>
      </c>
    </row>
    <row r="319" ht="14.25" customHeight="1">
      <c r="A319" s="28">
        <f>HYPERLINK("https://app.hubspot.com/contacts/8748051/record/0-1/88045945961", 88045945961)</f>
        <v>88045945961</v>
      </c>
      <c r="B319" s="24" t="s">
        <v>3868</v>
      </c>
      <c r="C319" s="26">
        <v>45656.524513888886</v>
      </c>
      <c r="D319" s="26"/>
      <c r="E319" s="28" t="s">
        <v>3869</v>
      </c>
      <c r="F319" s="24"/>
      <c r="G319" s="35">
        <v>45656.0</v>
      </c>
      <c r="H319" s="35"/>
      <c r="I319" s="35"/>
      <c r="J319" s="24"/>
      <c r="K319" s="24"/>
      <c r="L319" s="24"/>
      <c r="M319" s="28">
        <f>HYPERLINK("https://app.hubspot.com/contacts/8748051/record/0-2/27798668722", 27798668722)</f>
        <v>27798668722</v>
      </c>
      <c r="N319" s="24" t="s">
        <v>3870</v>
      </c>
      <c r="O319" s="24"/>
      <c r="P319" s="24"/>
      <c r="Q319" s="24"/>
      <c r="R319" s="24"/>
      <c r="S319" s="24"/>
      <c r="T319" s="34" t="str">
        <f t="shared" ref="T319:V319" si="323">IF(G319&lt;&gt;"","Yes","")</f>
        <v>Yes</v>
      </c>
      <c r="U319" s="34" t="str">
        <f t="shared" si="323"/>
        <v/>
      </c>
      <c r="V319" s="34" t="str">
        <f t="shared" si="323"/>
        <v/>
      </c>
      <c r="W319" s="34" t="str">
        <f t="shared" si="3"/>
        <v/>
      </c>
      <c r="X319" s="24" t="str">
        <f t="shared" si="4"/>
        <v/>
      </c>
    </row>
    <row r="320" ht="14.25" customHeight="1">
      <c r="A320" s="28">
        <f>HYPERLINK("https://app.hubspot.com/contacts/8748051/record/0-1/87020101260", 87020101260)</f>
        <v>87020101260</v>
      </c>
      <c r="B320" s="24" t="s">
        <v>3871</v>
      </c>
      <c r="C320" s="26">
        <v>45650.28579861111</v>
      </c>
      <c r="D320" s="26"/>
      <c r="E320" s="28" t="s">
        <v>3872</v>
      </c>
      <c r="F320" s="24" t="s">
        <v>3304</v>
      </c>
      <c r="G320" s="35"/>
      <c r="H320" s="35"/>
      <c r="I320" s="35"/>
      <c r="J320" s="34"/>
      <c r="K320" s="24"/>
      <c r="L320" s="24"/>
      <c r="M320" s="28">
        <f>HYPERLINK("https://app.hubspot.com/contacts/8748051/record/0-2/27615618634", 27615618634)</f>
        <v>27615618634</v>
      </c>
      <c r="N320" s="24" t="s">
        <v>3873</v>
      </c>
      <c r="O320" s="24"/>
      <c r="P320" s="24"/>
      <c r="Q320" s="24"/>
      <c r="R320" s="24"/>
      <c r="S320" s="24"/>
      <c r="T320" s="34" t="str">
        <f t="shared" ref="T320:V320" si="324">IF(G320&lt;&gt;"","Yes","")</f>
        <v/>
      </c>
      <c r="U320" s="34" t="str">
        <f t="shared" si="324"/>
        <v/>
      </c>
      <c r="V320" s="34" t="str">
        <f t="shared" si="324"/>
        <v/>
      </c>
      <c r="W320" s="34" t="str">
        <f t="shared" si="3"/>
        <v/>
      </c>
      <c r="X320" s="24" t="str">
        <f t="shared" si="4"/>
        <v/>
      </c>
    </row>
    <row r="321" ht="14.25" customHeight="1">
      <c r="A321" s="28">
        <f>HYPERLINK("https://app.hubspot.com/contacts/8748051/record/0-1/86129997328", 86129997328)</f>
        <v>86129997328</v>
      </c>
      <c r="B321" s="24" t="s">
        <v>3874</v>
      </c>
      <c r="C321" s="26">
        <v>45649.30275462963</v>
      </c>
      <c r="D321" s="26"/>
      <c r="E321" s="28" t="s">
        <v>1388</v>
      </c>
      <c r="F321" s="24"/>
      <c r="G321" s="35">
        <v>45646.0</v>
      </c>
      <c r="H321" s="35">
        <v>45646.0</v>
      </c>
      <c r="I321" s="35">
        <v>45650.0</v>
      </c>
      <c r="J321" s="24"/>
      <c r="K321" s="24"/>
      <c r="L321" s="24"/>
      <c r="M321" s="28">
        <f>HYPERLINK("https://app.hubspot.com/contacts/8748051/record/0-2/19176332210", 19176332210)</f>
        <v>19176332210</v>
      </c>
      <c r="N321" s="24" t="s">
        <v>1387</v>
      </c>
      <c r="O321" s="33">
        <f>HYPERLINK("https://app.hubspot.com/contacts/8748051/record/0-3/30846906224", 30846906224)</f>
        <v>30846906224</v>
      </c>
      <c r="P321" s="24" t="s">
        <v>1386</v>
      </c>
      <c r="Q321" s="24" t="s">
        <v>127</v>
      </c>
      <c r="R321" s="24">
        <v>15000.0</v>
      </c>
      <c r="S321" s="24"/>
      <c r="T321" s="34" t="str">
        <f t="shared" ref="T321:V321" si="325">IF(G321&lt;&gt;"","Yes","")</f>
        <v>Yes</v>
      </c>
      <c r="U321" s="34" t="str">
        <f t="shared" si="325"/>
        <v>Yes</v>
      </c>
      <c r="V321" s="34" t="str">
        <f t="shared" si="325"/>
        <v>Yes</v>
      </c>
      <c r="W321" s="34" t="str">
        <f t="shared" si="3"/>
        <v/>
      </c>
      <c r="X321" s="24" t="str">
        <f t="shared" si="4"/>
        <v/>
      </c>
    </row>
    <row r="322" ht="14.25" customHeight="1">
      <c r="A322" s="28">
        <f>HYPERLINK("https://app.hubspot.com/contacts/8748051/record/0-1/193132108817", 193132108817)</f>
        <v>193132108817</v>
      </c>
      <c r="B322" s="24" t="s">
        <v>3875</v>
      </c>
      <c r="C322" s="26">
        <v>45646.55373842592</v>
      </c>
      <c r="D322" s="26"/>
      <c r="E322" s="28" t="s">
        <v>3876</v>
      </c>
      <c r="F322" s="24"/>
      <c r="G322" s="35">
        <v>45646.0</v>
      </c>
      <c r="H322" s="35"/>
      <c r="I322" s="35"/>
      <c r="J322" s="34"/>
      <c r="K322" s="24"/>
      <c r="L322" s="34"/>
      <c r="M322" s="28">
        <f>HYPERLINK("https://app.hubspot.com/contacts/8748051/record/0-2/27554911339", 27554911339)</f>
        <v>27554911339</v>
      </c>
      <c r="N322" s="24" t="s">
        <v>3877</v>
      </c>
      <c r="O322" s="34"/>
      <c r="P322" s="24"/>
      <c r="Q322" s="24"/>
      <c r="R322" s="24"/>
      <c r="S322" s="24"/>
      <c r="T322" s="34" t="str">
        <f t="shared" ref="T322:V322" si="326">IF(G322&lt;&gt;"","Yes","")</f>
        <v>Yes</v>
      </c>
      <c r="U322" s="34" t="str">
        <f t="shared" si="326"/>
        <v/>
      </c>
      <c r="V322" s="34" t="str">
        <f t="shared" si="326"/>
        <v/>
      </c>
      <c r="W322" s="34" t="str">
        <f t="shared" si="3"/>
        <v/>
      </c>
      <c r="X322" s="24" t="str">
        <f t="shared" si="4"/>
        <v/>
      </c>
    </row>
    <row r="323" ht="14.25" customHeight="1">
      <c r="A323" s="28">
        <f>HYPERLINK("https://app.hubspot.com/contacts/8748051/record/0-1/86214230848", 86214230848)</f>
        <v>86214230848</v>
      </c>
      <c r="B323" s="24" t="s">
        <v>3878</v>
      </c>
      <c r="C323" s="26">
        <v>45645.57351851852</v>
      </c>
      <c r="D323" s="26"/>
      <c r="E323" s="28" t="s">
        <v>1385</v>
      </c>
      <c r="F323" s="24"/>
      <c r="G323" s="35">
        <v>45646.0</v>
      </c>
      <c r="H323" s="35">
        <v>45649.0</v>
      </c>
      <c r="I323" s="35">
        <v>45650.0</v>
      </c>
      <c r="J323" s="34"/>
      <c r="K323" s="24"/>
      <c r="L323" s="24"/>
      <c r="M323" s="28">
        <f>HYPERLINK("https://app.hubspot.com/contacts/8748051/record/0-2/30002652076", 30002652076)</f>
        <v>30002652076</v>
      </c>
      <c r="N323" s="24" t="s">
        <v>1384</v>
      </c>
      <c r="O323" s="28">
        <f>HYPERLINK("https://app.hubspot.com/contacts/8748051/record/0-3/31009230392", 31009230392)</f>
        <v>31009230392</v>
      </c>
      <c r="P323" s="24" t="s">
        <v>1383</v>
      </c>
      <c r="Q323" s="24" t="s">
        <v>127</v>
      </c>
      <c r="R323" s="24">
        <v>35000.0</v>
      </c>
      <c r="S323" s="24" t="b">
        <v>1</v>
      </c>
      <c r="T323" s="34" t="str">
        <f t="shared" ref="T323:V323" si="327">IF(G323&lt;&gt;"","Yes","")</f>
        <v>Yes</v>
      </c>
      <c r="U323" s="34" t="str">
        <f t="shared" si="327"/>
        <v>Yes</v>
      </c>
      <c r="V323" s="34" t="str">
        <f t="shared" si="327"/>
        <v>Yes</v>
      </c>
      <c r="W323" s="34" t="str">
        <f t="shared" si="3"/>
        <v/>
      </c>
      <c r="X323" s="24" t="str">
        <f t="shared" si="4"/>
        <v/>
      </c>
    </row>
    <row r="324" ht="14.25" customHeight="1">
      <c r="A324" s="28">
        <f>HYPERLINK("https://app.hubspot.com/contacts/8748051/record/0-1/85715550070", 85715550070)</f>
        <v>85715550070</v>
      </c>
      <c r="B324" s="24" t="s">
        <v>3879</v>
      </c>
      <c r="C324" s="26">
        <v>45643.69887731481</v>
      </c>
      <c r="D324" s="26"/>
      <c r="E324" s="28" t="s">
        <v>1379</v>
      </c>
      <c r="F324" s="24"/>
      <c r="G324" s="35">
        <v>45644.0</v>
      </c>
      <c r="H324" s="35">
        <v>45644.0</v>
      </c>
      <c r="I324" s="35">
        <v>45665.0</v>
      </c>
      <c r="J324" s="24"/>
      <c r="K324" s="34"/>
      <c r="L324" s="34"/>
      <c r="M324" s="28">
        <f>HYPERLINK("https://app.hubspot.com/contacts/8748051/record/0-2/27390856822", 27390856822)</f>
        <v>27390856822</v>
      </c>
      <c r="N324" s="24" t="s">
        <v>1378</v>
      </c>
      <c r="O324" s="33">
        <f>HYPERLINK("https://app.hubspot.com/contacts/8748051/record/0-3/31177528202", 31177528202)</f>
        <v>31177528202</v>
      </c>
      <c r="P324" s="24" t="s">
        <v>1377</v>
      </c>
      <c r="Q324" s="24" t="s">
        <v>127</v>
      </c>
      <c r="R324" s="24">
        <v>500.0</v>
      </c>
      <c r="S324" s="24"/>
      <c r="T324" s="34" t="str">
        <f t="shared" ref="T324:V324" si="328">IF(G324&lt;&gt;"","Yes","")</f>
        <v>Yes</v>
      </c>
      <c r="U324" s="34" t="str">
        <f t="shared" si="328"/>
        <v>Yes</v>
      </c>
      <c r="V324" s="34" t="str">
        <f t="shared" si="328"/>
        <v>Yes</v>
      </c>
      <c r="W324" s="34" t="str">
        <f t="shared" si="3"/>
        <v/>
      </c>
      <c r="X324" s="24" t="str">
        <f t="shared" si="4"/>
        <v/>
      </c>
    </row>
    <row r="325" ht="14.25" customHeight="1">
      <c r="A325" s="28">
        <f>HYPERLINK("https://app.hubspot.com/contacts/8748051/record/0-1/85362139269", 85362139269)</f>
        <v>85362139269</v>
      </c>
      <c r="B325" s="24" t="s">
        <v>3880</v>
      </c>
      <c r="C325" s="26">
        <v>45643.40012731482</v>
      </c>
      <c r="D325" s="26"/>
      <c r="E325" s="28" t="s">
        <v>1395</v>
      </c>
      <c r="F325" s="24"/>
      <c r="G325" s="35">
        <v>45643.0</v>
      </c>
      <c r="H325" s="35">
        <v>45644.0</v>
      </c>
      <c r="I325" s="35">
        <v>45644.0</v>
      </c>
      <c r="J325" s="34"/>
      <c r="K325" s="34"/>
      <c r="L325" s="34"/>
      <c r="M325" s="28">
        <f>HYPERLINK("https://app.hubspot.com/contacts/8748051/record/0-2/27308474633", 27308474633)</f>
        <v>27308474633</v>
      </c>
      <c r="N325" s="24" t="s">
        <v>1394</v>
      </c>
      <c r="O325" s="33">
        <f>HYPERLINK("https://app.hubspot.com/contacts/8748051/record/0-3/30737333406", 30737333406)</f>
        <v>30737333406</v>
      </c>
      <c r="P325" s="24" t="s">
        <v>1392</v>
      </c>
      <c r="Q325" s="24" t="s">
        <v>149</v>
      </c>
      <c r="R325" s="24">
        <v>117000.0</v>
      </c>
      <c r="S325" s="24" t="b">
        <v>1</v>
      </c>
      <c r="T325" s="34" t="str">
        <f t="shared" ref="T325:V325" si="329">IF(G325&lt;&gt;"","Yes","")</f>
        <v>Yes</v>
      </c>
      <c r="U325" s="34" t="str">
        <f t="shared" si="329"/>
        <v>Yes</v>
      </c>
      <c r="V325" s="34" t="str">
        <f t="shared" si="329"/>
        <v>Yes</v>
      </c>
      <c r="W325" s="34" t="str">
        <f t="shared" si="3"/>
        <v/>
      </c>
      <c r="X325" s="24" t="str">
        <f t="shared" si="4"/>
        <v>Yes</v>
      </c>
    </row>
    <row r="326" ht="14.25" customHeight="1">
      <c r="A326" s="28">
        <f>HYPERLINK("https://app.hubspot.com/contacts/8748051/record/0-1/85595628405", 85595628405)</f>
        <v>85595628405</v>
      </c>
      <c r="B326" s="24" t="s">
        <v>3881</v>
      </c>
      <c r="C326" s="26">
        <v>45643.299409722225</v>
      </c>
      <c r="D326" s="26"/>
      <c r="E326" s="28" t="s">
        <v>1382</v>
      </c>
      <c r="F326" s="24"/>
      <c r="G326" s="35">
        <v>45644.0</v>
      </c>
      <c r="H326" s="35">
        <v>45688.0</v>
      </c>
      <c r="I326" s="35"/>
      <c r="J326" s="24"/>
      <c r="K326" s="24"/>
      <c r="L326" s="24"/>
      <c r="M326" s="28">
        <f>HYPERLINK("https://app.hubspot.com/contacts/8748051/record/0-2/9238290097", 9238290097)</f>
        <v>9238290097</v>
      </c>
      <c r="N326" s="24" t="s">
        <v>1381</v>
      </c>
      <c r="O326" s="28">
        <f>HYPERLINK("https://app.hubspot.com/contacts/8748051/record/0-3/30842266738", 30842266738)</f>
        <v>30842266738</v>
      </c>
      <c r="P326" s="24" t="s">
        <v>1380</v>
      </c>
      <c r="Q326" s="24" t="s">
        <v>73</v>
      </c>
      <c r="R326" s="24">
        <v>10000.0</v>
      </c>
      <c r="S326" s="24"/>
      <c r="T326" s="34" t="str">
        <f t="shared" ref="T326:V326" si="330">IF(G326&lt;&gt;"","Yes","")</f>
        <v>Yes</v>
      </c>
      <c r="U326" s="34" t="str">
        <f t="shared" si="330"/>
        <v>Yes</v>
      </c>
      <c r="V326" s="34" t="str">
        <f t="shared" si="330"/>
        <v/>
      </c>
      <c r="W326" s="34" t="str">
        <f t="shared" si="3"/>
        <v/>
      </c>
      <c r="X326" s="24" t="str">
        <f t="shared" si="4"/>
        <v/>
      </c>
    </row>
    <row r="327" ht="14.25" customHeight="1">
      <c r="A327" s="28">
        <f>HYPERLINK("https://app.hubspot.com/contacts/8748051/record/0-1/85481276226", 85481276226)</f>
        <v>85481276226</v>
      </c>
      <c r="B327" s="24" t="s">
        <v>3882</v>
      </c>
      <c r="C327" s="26">
        <v>45642.96916666667</v>
      </c>
      <c r="D327" s="26"/>
      <c r="E327" s="28" t="s">
        <v>3883</v>
      </c>
      <c r="F327" s="24" t="s">
        <v>3884</v>
      </c>
      <c r="G327" s="35"/>
      <c r="H327" s="35"/>
      <c r="I327" s="35"/>
      <c r="J327" s="24"/>
      <c r="K327" s="24"/>
      <c r="L327" s="24"/>
      <c r="M327" s="28">
        <f>HYPERLINK("https://app.hubspot.com/contacts/8748051/record/0-2/6971368712", 6971368712)</f>
        <v>6971368712</v>
      </c>
      <c r="N327" s="24" t="s">
        <v>3885</v>
      </c>
      <c r="O327" s="24"/>
      <c r="P327" s="24"/>
      <c r="Q327" s="24"/>
      <c r="R327" s="24"/>
      <c r="S327" s="24"/>
      <c r="T327" s="34" t="str">
        <f t="shared" ref="T327:V327" si="331">IF(G327&lt;&gt;"","Yes","")</f>
        <v/>
      </c>
      <c r="U327" s="34" t="str">
        <f t="shared" si="331"/>
        <v/>
      </c>
      <c r="V327" s="34" t="str">
        <f t="shared" si="331"/>
        <v/>
      </c>
      <c r="W327" s="34" t="str">
        <f t="shared" si="3"/>
        <v/>
      </c>
      <c r="X327" s="24" t="str">
        <f t="shared" si="4"/>
        <v/>
      </c>
    </row>
    <row r="328" ht="14.25" customHeight="1">
      <c r="A328" s="28">
        <f>HYPERLINK("https://app.hubspot.com/contacts/8748051/record/0-1/85259331381", 85259331381)</f>
        <v>85259331381</v>
      </c>
      <c r="B328" s="24" t="s">
        <v>3886</v>
      </c>
      <c r="C328" s="26">
        <v>45642.43920138889</v>
      </c>
      <c r="D328" s="26"/>
      <c r="E328" s="28" t="s">
        <v>3887</v>
      </c>
      <c r="F328" s="24"/>
      <c r="G328" s="35">
        <v>45642.0</v>
      </c>
      <c r="H328" s="35"/>
      <c r="I328" s="35"/>
      <c r="J328" s="34"/>
      <c r="K328" s="34"/>
      <c r="L328" s="34"/>
      <c r="M328" s="28">
        <f>HYPERLINK("https://app.hubspot.com/contacts/8748051/record/0-2/27221825818", 27221825818)</f>
        <v>27221825818</v>
      </c>
      <c r="N328" s="24" t="s">
        <v>3888</v>
      </c>
      <c r="O328" s="34"/>
      <c r="P328" s="24"/>
      <c r="Q328" s="24"/>
      <c r="R328" s="24"/>
      <c r="S328" s="24"/>
      <c r="T328" s="34" t="str">
        <f t="shared" ref="T328:V328" si="332">IF(G328&lt;&gt;"","Yes","")</f>
        <v>Yes</v>
      </c>
      <c r="U328" s="34" t="str">
        <f t="shared" si="332"/>
        <v/>
      </c>
      <c r="V328" s="34" t="str">
        <f t="shared" si="332"/>
        <v/>
      </c>
      <c r="W328" s="34" t="str">
        <f t="shared" si="3"/>
        <v/>
      </c>
      <c r="X328" s="24" t="str">
        <f t="shared" si="4"/>
        <v/>
      </c>
    </row>
    <row r="329" ht="14.25" customHeight="1">
      <c r="A329" s="28">
        <f>HYPERLINK("https://app.hubspot.com/contacts/8748051/record/0-1/84204665377", 84204665377)</f>
        <v>84204665377</v>
      </c>
      <c r="B329" s="24" t="s">
        <v>3889</v>
      </c>
      <c r="C329" s="26">
        <v>45638.47069444445</v>
      </c>
      <c r="D329" s="26"/>
      <c r="E329" s="28" t="s">
        <v>1401</v>
      </c>
      <c r="F329" s="24"/>
      <c r="G329" s="35">
        <v>45638.0</v>
      </c>
      <c r="H329" s="35">
        <v>45638.0</v>
      </c>
      <c r="I329" s="35">
        <v>45638.0</v>
      </c>
      <c r="J329" s="34"/>
      <c r="K329" s="24"/>
      <c r="L329" s="34"/>
      <c r="M329" s="28">
        <f>HYPERLINK("https://app.hubspot.com/contacts/8748051/record/0-2/26975866210", 26975866210)</f>
        <v>26975866210</v>
      </c>
      <c r="N329" s="24" t="s">
        <v>1400</v>
      </c>
      <c r="O329" s="33">
        <f>HYPERLINK("https://app.hubspot.com/contacts/8748051/record/0-3/30232636537", 30232636537)</f>
        <v>30232636537</v>
      </c>
      <c r="P329" s="24" t="s">
        <v>1399</v>
      </c>
      <c r="Q329" s="24" t="s">
        <v>127</v>
      </c>
      <c r="R329" s="24">
        <v>12000.0</v>
      </c>
      <c r="S329" s="24" t="b">
        <v>1</v>
      </c>
      <c r="T329" s="34" t="str">
        <f t="shared" ref="T329:V329" si="333">IF(G329&lt;&gt;"","Yes","")</f>
        <v>Yes</v>
      </c>
      <c r="U329" s="34" t="str">
        <f t="shared" si="333"/>
        <v>Yes</v>
      </c>
      <c r="V329" s="34" t="str">
        <f t="shared" si="333"/>
        <v>Yes</v>
      </c>
      <c r="W329" s="34" t="str">
        <f t="shared" si="3"/>
        <v/>
      </c>
      <c r="X329" s="24" t="str">
        <f t="shared" si="4"/>
        <v/>
      </c>
    </row>
    <row r="330" ht="14.25" customHeight="1">
      <c r="A330" s="28">
        <f>HYPERLINK("https://app.hubspot.com/contacts/8748051/record/0-1/2839652", 2839652)</f>
        <v>2839652</v>
      </c>
      <c r="B330" s="24" t="s">
        <v>3890</v>
      </c>
      <c r="C330" s="26">
        <v>45637.03503472222</v>
      </c>
      <c r="D330" s="26"/>
      <c r="E330" s="28" t="s">
        <v>1373</v>
      </c>
      <c r="F330" s="26"/>
      <c r="G330" s="35">
        <v>45637.0</v>
      </c>
      <c r="H330" s="35">
        <v>45639.0</v>
      </c>
      <c r="I330" s="35">
        <v>45640.0</v>
      </c>
      <c r="J330" s="24"/>
      <c r="K330" s="24"/>
      <c r="L330" s="24"/>
      <c r="M330" s="28">
        <f>HYPERLINK("https://app.hubspot.com/contacts/8748051/record/0-2/7589031515", 7589031515)</f>
        <v>7589031515</v>
      </c>
      <c r="N330" s="24" t="s">
        <v>1372</v>
      </c>
      <c r="O330" s="33">
        <f>HYPERLINK("https://app.hubspot.com/contacts/8748051/record/0-3/31244349587", 31244349587)</f>
        <v>31244349587</v>
      </c>
      <c r="P330" s="24" t="s">
        <v>1370</v>
      </c>
      <c r="Q330" s="24" t="s">
        <v>92</v>
      </c>
      <c r="R330" s="24">
        <v>98490.0</v>
      </c>
      <c r="S330" s="24" t="b">
        <v>1</v>
      </c>
      <c r="T330" s="34" t="str">
        <f t="shared" ref="T330:V330" si="334">IF(G330&lt;&gt;"","Yes","")</f>
        <v>Yes</v>
      </c>
      <c r="U330" s="34" t="str">
        <f t="shared" si="334"/>
        <v>Yes</v>
      </c>
      <c r="V330" s="34" t="str">
        <f t="shared" si="334"/>
        <v>Yes</v>
      </c>
      <c r="W330" s="34" t="str">
        <f t="shared" si="3"/>
        <v>Yes</v>
      </c>
      <c r="X330" s="24" t="str">
        <f t="shared" si="4"/>
        <v/>
      </c>
    </row>
    <row r="331" ht="14.25" customHeight="1">
      <c r="A331" s="28">
        <f>HYPERLINK("https://app.hubspot.com/contacts/8748051/record/0-1/83438305582", 83438305582)</f>
        <v>83438305582</v>
      </c>
      <c r="B331" s="24" t="s">
        <v>3891</v>
      </c>
      <c r="C331" s="26">
        <v>45635.639699074076</v>
      </c>
      <c r="D331" s="26"/>
      <c r="E331" s="28" t="s">
        <v>1226</v>
      </c>
      <c r="F331" s="24"/>
      <c r="G331" s="35">
        <v>45636.0</v>
      </c>
      <c r="H331" s="35">
        <v>45672.0</v>
      </c>
      <c r="I331" s="35"/>
      <c r="J331" s="34"/>
      <c r="K331" s="24"/>
      <c r="L331" s="24"/>
      <c r="M331" s="28">
        <f>HYPERLINK("https://app.hubspot.com/contacts/8748051/record/0-2/8644546840", 8644546840)</f>
        <v>8644546840</v>
      </c>
      <c r="N331" s="24" t="s">
        <v>1225</v>
      </c>
      <c r="O331" s="33">
        <f>HYPERLINK("https://app.hubspot.com/contacts/8748051/record/0-3/31050406231", 31050406231)</f>
        <v>31050406231</v>
      </c>
      <c r="P331" s="24" t="s">
        <v>1224</v>
      </c>
      <c r="Q331" s="24" t="s">
        <v>73</v>
      </c>
      <c r="R331" s="24">
        <v>27000.0</v>
      </c>
      <c r="S331" s="24"/>
      <c r="T331" s="34" t="str">
        <f t="shared" ref="T331:V331" si="335">IF(G331&lt;&gt;"","Yes","")</f>
        <v>Yes</v>
      </c>
      <c r="U331" s="34" t="str">
        <f t="shared" si="335"/>
        <v>Yes</v>
      </c>
      <c r="V331" s="34" t="str">
        <f t="shared" si="335"/>
        <v/>
      </c>
      <c r="W331" s="34" t="str">
        <f t="shared" si="3"/>
        <v/>
      </c>
      <c r="X331" s="24" t="str">
        <f t="shared" si="4"/>
        <v/>
      </c>
    </row>
    <row r="332" ht="14.25" customHeight="1">
      <c r="A332" s="28">
        <f>HYPERLINK("https://app.hubspot.com/contacts/8748051/record/0-1/82779341153", 82779341153)</f>
        <v>82779341153</v>
      </c>
      <c r="B332" s="24" t="s">
        <v>3892</v>
      </c>
      <c r="C332" s="26">
        <v>45632.62902777778</v>
      </c>
      <c r="D332" s="26"/>
      <c r="E332" s="28" t="s">
        <v>1404</v>
      </c>
      <c r="F332" s="26"/>
      <c r="G332" s="35">
        <v>45633.0</v>
      </c>
      <c r="H332" s="35">
        <v>45633.0</v>
      </c>
      <c r="I332" s="35">
        <v>45640.0</v>
      </c>
      <c r="J332" s="24"/>
      <c r="K332" s="24"/>
      <c r="L332" s="24"/>
      <c r="M332" s="28">
        <f>HYPERLINK("https://app.hubspot.com/contacts/8748051/record/0-2/26681052168", 26681052168)</f>
        <v>26681052168</v>
      </c>
      <c r="N332" s="24" t="s">
        <v>1403</v>
      </c>
      <c r="O332" s="33">
        <f>HYPERLINK("https://app.hubspot.com/contacts/8748051/record/0-3/30081364780", 30081364780)</f>
        <v>30081364780</v>
      </c>
      <c r="P332" s="24" t="s">
        <v>1402</v>
      </c>
      <c r="Q332" s="24" t="s">
        <v>127</v>
      </c>
      <c r="R332" s="24">
        <v>100000.0</v>
      </c>
      <c r="S332" s="24" t="b">
        <v>1</v>
      </c>
      <c r="T332" s="34" t="str">
        <f t="shared" ref="T332:V332" si="336">IF(G332&lt;&gt;"","Yes","")</f>
        <v>Yes</v>
      </c>
      <c r="U332" s="34" t="str">
        <f t="shared" si="336"/>
        <v>Yes</v>
      </c>
      <c r="V332" s="34" t="str">
        <f t="shared" si="336"/>
        <v>Yes</v>
      </c>
      <c r="W332" s="34" t="str">
        <f t="shared" si="3"/>
        <v/>
      </c>
      <c r="X332" s="24" t="str">
        <f t="shared" si="4"/>
        <v/>
      </c>
    </row>
    <row r="333" ht="14.25" customHeight="1">
      <c r="A333" s="28">
        <f>HYPERLINK("https://app.hubspot.com/contacts/8748051/record/0-1/82631782039", 82631782039)</f>
        <v>82631782039</v>
      </c>
      <c r="B333" s="24" t="s">
        <v>3893</v>
      </c>
      <c r="C333" s="26">
        <v>45632.23082175926</v>
      </c>
      <c r="D333" s="26"/>
      <c r="E333" s="28" t="s">
        <v>1368</v>
      </c>
      <c r="F333" s="26"/>
      <c r="G333" s="35">
        <v>45632.0</v>
      </c>
      <c r="H333" s="35">
        <v>45636.0</v>
      </c>
      <c r="I333" s="35">
        <v>45636.0</v>
      </c>
      <c r="J333" s="34"/>
      <c r="K333" s="24"/>
      <c r="L333" s="24"/>
      <c r="M333" s="28">
        <f>HYPERLINK("https://app.hubspot.com/contacts/8748051/record/0-2/8142790700", 8142790700)</f>
        <v>8142790700</v>
      </c>
      <c r="N333" s="24" t="s">
        <v>1367</v>
      </c>
      <c r="O333" s="28">
        <f>HYPERLINK("https://app.hubspot.com/contacts/8748051/record/0-3/31267233305", 31267233305)</f>
        <v>31267233305</v>
      </c>
      <c r="P333" s="24" t="s">
        <v>1365</v>
      </c>
      <c r="Q333" s="24" t="s">
        <v>149</v>
      </c>
      <c r="R333" s="24">
        <v>15000.0</v>
      </c>
      <c r="S333" s="24" t="b">
        <v>1</v>
      </c>
      <c r="T333" s="34" t="str">
        <f t="shared" ref="T333:V333" si="337">IF(G333&lt;&gt;"","Yes","")</f>
        <v>Yes</v>
      </c>
      <c r="U333" s="34" t="str">
        <f t="shared" si="337"/>
        <v>Yes</v>
      </c>
      <c r="V333" s="34" t="str">
        <f t="shared" si="337"/>
        <v>Yes</v>
      </c>
      <c r="W333" s="34" t="str">
        <f t="shared" si="3"/>
        <v/>
      </c>
      <c r="X333" s="24" t="str">
        <f t="shared" si="4"/>
        <v>Yes</v>
      </c>
    </row>
    <row r="334" ht="14.25" customHeight="1">
      <c r="A334" s="28">
        <f>HYPERLINK("https://app.hubspot.com/contacts/8748051/record/0-1/82264938022", 82264938022)</f>
        <v>82264938022</v>
      </c>
      <c r="B334" s="24" t="s">
        <v>3894</v>
      </c>
      <c r="C334" s="26">
        <v>45630.582291666666</v>
      </c>
      <c r="D334" s="26"/>
      <c r="E334" s="28" t="s">
        <v>3895</v>
      </c>
      <c r="F334" s="24"/>
      <c r="G334" s="35">
        <v>45631.0</v>
      </c>
      <c r="H334" s="35"/>
      <c r="I334" s="35"/>
      <c r="J334" s="34"/>
      <c r="K334" s="34"/>
      <c r="L334" s="34"/>
      <c r="M334" s="28">
        <f>HYPERLINK("https://app.hubspot.com/contacts/8748051/record/0-2/26595298456", 26595298456)</f>
        <v>26595298456</v>
      </c>
      <c r="N334" s="24" t="s">
        <v>3896</v>
      </c>
      <c r="O334" s="24"/>
      <c r="P334" s="24"/>
      <c r="Q334" s="24"/>
      <c r="R334" s="24"/>
      <c r="S334" s="24"/>
      <c r="T334" s="34" t="str">
        <f t="shared" ref="T334:V334" si="338">IF(G334&lt;&gt;"","Yes","")</f>
        <v>Yes</v>
      </c>
      <c r="U334" s="34" t="str">
        <f t="shared" si="338"/>
        <v/>
      </c>
      <c r="V334" s="34" t="str">
        <f t="shared" si="338"/>
        <v/>
      </c>
      <c r="W334" s="34" t="str">
        <f t="shared" si="3"/>
        <v/>
      </c>
      <c r="X334" s="24" t="str">
        <f t="shared" si="4"/>
        <v/>
      </c>
    </row>
    <row r="335" ht="14.25" customHeight="1">
      <c r="A335" s="28">
        <f>HYPERLINK("https://app.hubspot.com/contacts/8748051/record/0-1/80838124650", 80838124650)</f>
        <v>80838124650</v>
      </c>
      <c r="B335" s="24" t="s">
        <v>3897</v>
      </c>
      <c r="C335" s="26">
        <v>45623.986030092594</v>
      </c>
      <c r="D335" s="26"/>
      <c r="E335" s="28" t="s">
        <v>3898</v>
      </c>
      <c r="F335" s="24"/>
      <c r="G335" s="35">
        <v>45624.0</v>
      </c>
      <c r="H335" s="35"/>
      <c r="I335" s="35"/>
      <c r="J335" s="24"/>
      <c r="K335" s="24"/>
      <c r="L335" s="34"/>
      <c r="M335" s="28">
        <f>HYPERLINK("https://app.hubspot.com/contacts/8748051/record/0-2/26386026027", 26386026027)</f>
        <v>26386026027</v>
      </c>
      <c r="N335" s="24" t="s">
        <v>3899</v>
      </c>
      <c r="O335" s="24"/>
      <c r="P335" s="24"/>
      <c r="Q335" s="24"/>
      <c r="R335" s="24"/>
      <c r="S335" s="24"/>
      <c r="T335" s="34" t="str">
        <f t="shared" ref="T335:V335" si="339">IF(G335&lt;&gt;"","Yes","")</f>
        <v>Yes</v>
      </c>
      <c r="U335" s="34" t="str">
        <f t="shared" si="339"/>
        <v/>
      </c>
      <c r="V335" s="34" t="str">
        <f t="shared" si="339"/>
        <v/>
      </c>
      <c r="W335" s="34" t="str">
        <f t="shared" si="3"/>
        <v/>
      </c>
      <c r="X335" s="24" t="str">
        <f t="shared" si="4"/>
        <v/>
      </c>
    </row>
    <row r="336" ht="14.25" customHeight="1">
      <c r="A336" s="28">
        <f>HYPERLINK("https://app.hubspot.com/contacts/8748051/record/0-1/77543754295", 77543754295)</f>
        <v>77543754295</v>
      </c>
      <c r="B336" s="24" t="s">
        <v>3900</v>
      </c>
      <c r="C336" s="26">
        <v>45610.19832175926</v>
      </c>
      <c r="D336" s="26"/>
      <c r="E336" s="28" t="s">
        <v>3901</v>
      </c>
      <c r="F336" s="26"/>
      <c r="G336" s="35">
        <v>45610.0</v>
      </c>
      <c r="H336" s="35">
        <v>45610.0</v>
      </c>
      <c r="I336" s="35">
        <v>45614.0</v>
      </c>
      <c r="J336" s="34"/>
      <c r="K336" s="24"/>
      <c r="L336" s="34"/>
      <c r="M336" s="28">
        <f>HYPERLINK("https://app.hubspot.com/contacts/8748051/record/0-2/15827910251", 15827910251)</f>
        <v>15827910251</v>
      </c>
      <c r="N336" s="24" t="s">
        <v>3902</v>
      </c>
      <c r="O336" s="34"/>
      <c r="P336" s="24"/>
      <c r="Q336" s="24"/>
      <c r="R336" s="24"/>
      <c r="S336" s="24"/>
      <c r="T336" s="34" t="str">
        <f t="shared" ref="T336:V336" si="340">IF(G336&lt;&gt;"","Yes","")</f>
        <v>Yes</v>
      </c>
      <c r="U336" s="34" t="str">
        <f t="shared" si="340"/>
        <v>Yes</v>
      </c>
      <c r="V336" s="34" t="str">
        <f t="shared" si="340"/>
        <v>Yes</v>
      </c>
      <c r="W336" s="34" t="str">
        <f t="shared" si="3"/>
        <v/>
      </c>
      <c r="X336" s="24" t="str">
        <f t="shared" si="4"/>
        <v/>
      </c>
    </row>
    <row r="337" ht="14.25" customHeight="1">
      <c r="A337" s="28">
        <f>HYPERLINK("https://app.hubspot.com/contacts/8748051/record/0-1/77362306129", 77362306129)</f>
        <v>77362306129</v>
      </c>
      <c r="B337" s="24" t="s">
        <v>3903</v>
      </c>
      <c r="C337" s="26">
        <v>45609.55358796296</v>
      </c>
      <c r="D337" s="26"/>
      <c r="E337" s="28" t="s">
        <v>1424</v>
      </c>
      <c r="F337" s="24"/>
      <c r="G337" s="35">
        <v>45609.0</v>
      </c>
      <c r="H337" s="35">
        <v>45610.0</v>
      </c>
      <c r="I337" s="35">
        <v>45611.0</v>
      </c>
      <c r="J337" s="34"/>
      <c r="K337" s="24"/>
      <c r="L337" s="24"/>
      <c r="M337" s="28">
        <f>HYPERLINK("https://app.hubspot.com/contacts/8748051/record/0-2/25806579484", 25806579484)</f>
        <v>25806579484</v>
      </c>
      <c r="N337" s="28" t="s">
        <v>1423</v>
      </c>
      <c r="O337" s="28">
        <f>HYPERLINK("https://app.hubspot.com/contacts/8748051/record/0-3/29076873138", 29076873138)</f>
        <v>29076873138</v>
      </c>
      <c r="P337" s="24" t="s">
        <v>1421</v>
      </c>
      <c r="Q337" s="24" t="s">
        <v>149</v>
      </c>
      <c r="R337" s="24">
        <v>6500.0</v>
      </c>
      <c r="S337" s="24"/>
      <c r="T337" s="34" t="str">
        <f t="shared" ref="T337:V337" si="341">IF(G337&lt;&gt;"","Yes","")</f>
        <v>Yes</v>
      </c>
      <c r="U337" s="34" t="str">
        <f t="shared" si="341"/>
        <v>Yes</v>
      </c>
      <c r="V337" s="34" t="str">
        <f t="shared" si="341"/>
        <v>Yes</v>
      </c>
      <c r="W337" s="34" t="str">
        <f t="shared" si="3"/>
        <v/>
      </c>
      <c r="X337" s="24" t="str">
        <f t="shared" si="4"/>
        <v>Yes</v>
      </c>
    </row>
    <row r="338" ht="14.25" customHeight="1">
      <c r="A338" s="28">
        <f>HYPERLINK("https://app.hubspot.com/contacts/8748051/record/0-1/76895143800", 76895143800)</f>
        <v>76895143800</v>
      </c>
      <c r="B338" s="24" t="s">
        <v>3904</v>
      </c>
      <c r="C338" s="26">
        <v>45608.17649305556</v>
      </c>
      <c r="D338" s="26"/>
      <c r="E338" s="28" t="s">
        <v>3905</v>
      </c>
      <c r="F338" s="24"/>
      <c r="G338" s="35">
        <v>45608.0</v>
      </c>
      <c r="H338" s="35">
        <v>45614.0</v>
      </c>
      <c r="I338" s="35"/>
      <c r="J338" s="24"/>
      <c r="K338" s="24"/>
      <c r="L338" s="24"/>
      <c r="M338" s="28">
        <f>HYPERLINK("https://app.hubspot.com/contacts/8748051/record/0-2/19176296094", 19176296094)</f>
        <v>19176296094</v>
      </c>
      <c r="N338" s="24" t="s">
        <v>3906</v>
      </c>
      <c r="O338" s="24"/>
      <c r="P338" s="24"/>
      <c r="Q338" s="24"/>
      <c r="R338" s="24"/>
      <c r="S338" s="24"/>
      <c r="T338" s="34" t="str">
        <f t="shared" ref="T338:V338" si="342">IF(G338&lt;&gt;"","Yes","")</f>
        <v>Yes</v>
      </c>
      <c r="U338" s="34" t="str">
        <f t="shared" si="342"/>
        <v>Yes</v>
      </c>
      <c r="V338" s="34" t="str">
        <f t="shared" si="342"/>
        <v/>
      </c>
      <c r="W338" s="34" t="str">
        <f t="shared" si="3"/>
        <v/>
      </c>
      <c r="X338" s="24" t="str">
        <f t="shared" si="4"/>
        <v/>
      </c>
    </row>
    <row r="339" ht="14.25" customHeight="1">
      <c r="A339" s="28">
        <f>HYPERLINK("https://app.hubspot.com/contacts/8748051/record/0-1/75221375409", 75221375409)</f>
        <v>75221375409</v>
      </c>
      <c r="B339" s="24" t="s">
        <v>3907</v>
      </c>
      <c r="C339" s="26">
        <v>45604.67392361111</v>
      </c>
      <c r="D339" s="26"/>
      <c r="E339" s="24" t="s">
        <v>3908</v>
      </c>
      <c r="F339" s="24"/>
      <c r="G339" s="35">
        <v>45601.0</v>
      </c>
      <c r="H339" s="35">
        <v>45605.0</v>
      </c>
      <c r="I339" s="35">
        <v>45616.0</v>
      </c>
      <c r="J339" s="24"/>
      <c r="K339" s="24"/>
      <c r="L339" s="24"/>
      <c r="M339" s="28">
        <f>HYPERLINK("https://app.hubspot.com/contacts/8748051/record/0-2/25485157743", 25485157743)</f>
        <v>25485157743</v>
      </c>
      <c r="N339" s="24" t="s">
        <v>3909</v>
      </c>
      <c r="O339" s="34"/>
      <c r="P339" s="24"/>
      <c r="Q339" s="24"/>
      <c r="R339" s="24"/>
      <c r="S339" s="24"/>
      <c r="T339" s="34" t="str">
        <f t="shared" ref="T339:V339" si="343">IF(G339&lt;&gt;"","Yes","")</f>
        <v>Yes</v>
      </c>
      <c r="U339" s="34" t="str">
        <f t="shared" si="343"/>
        <v>Yes</v>
      </c>
      <c r="V339" s="34" t="str">
        <f t="shared" si="343"/>
        <v>Yes</v>
      </c>
      <c r="W339" s="34" t="str">
        <f t="shared" si="3"/>
        <v/>
      </c>
      <c r="X339" s="24" t="str">
        <f t="shared" si="4"/>
        <v/>
      </c>
    </row>
    <row r="340" ht="14.25" customHeight="1">
      <c r="A340" s="28">
        <f>HYPERLINK("https://app.hubspot.com/contacts/8748051/record/0-1/75820626540", 75820626540)</f>
        <v>75820626540</v>
      </c>
      <c r="B340" s="24" t="s">
        <v>3910</v>
      </c>
      <c r="C340" s="26">
        <v>45603.25017361111</v>
      </c>
      <c r="D340" s="26"/>
      <c r="E340" s="28" t="s">
        <v>3911</v>
      </c>
      <c r="F340" s="24" t="s">
        <v>3912</v>
      </c>
      <c r="G340" s="35"/>
      <c r="H340" s="35"/>
      <c r="I340" s="35"/>
      <c r="J340" s="34"/>
      <c r="K340" s="34"/>
      <c r="L340" s="34"/>
      <c r="M340" s="28">
        <f>HYPERLINK("https://app.hubspot.com/contacts/8748051/record/0-2/7277523063", 7277523063)</f>
        <v>7277523063</v>
      </c>
      <c r="N340" s="24" t="s">
        <v>3913</v>
      </c>
      <c r="O340" s="24"/>
      <c r="P340" s="24"/>
      <c r="Q340" s="24"/>
      <c r="R340" s="24"/>
      <c r="S340" s="24"/>
      <c r="T340" s="34" t="str">
        <f t="shared" ref="T340:V340" si="344">IF(G340&lt;&gt;"","Yes","")</f>
        <v/>
      </c>
      <c r="U340" s="34" t="str">
        <f t="shared" si="344"/>
        <v/>
      </c>
      <c r="V340" s="34" t="str">
        <f t="shared" si="344"/>
        <v/>
      </c>
      <c r="W340" s="34" t="str">
        <f t="shared" si="3"/>
        <v/>
      </c>
      <c r="X340" s="24" t="str">
        <f t="shared" si="4"/>
        <v/>
      </c>
    </row>
    <row r="341" ht="14.25" customHeight="1">
      <c r="A341" s="28">
        <f>HYPERLINK("https://app.hubspot.com/contacts/8748051/record/0-1/75638680969", 75638680969)</f>
        <v>75638680969</v>
      </c>
      <c r="B341" s="24" t="s">
        <v>3914</v>
      </c>
      <c r="C341" s="26">
        <v>45602.75439814815</v>
      </c>
      <c r="D341" s="26"/>
      <c r="E341" s="28" t="s">
        <v>1416</v>
      </c>
      <c r="F341" s="24"/>
      <c r="G341" s="35">
        <v>45603.0</v>
      </c>
      <c r="H341" s="35">
        <v>45607.0</v>
      </c>
      <c r="I341" s="35">
        <v>45672.0</v>
      </c>
      <c r="J341" s="24"/>
      <c r="K341" s="24"/>
      <c r="L341" s="24"/>
      <c r="M341" s="28">
        <f>HYPERLINK("https://app.hubspot.com/contacts/8748051/record/0-2/7902503572", 7902503572)</f>
        <v>7902503572</v>
      </c>
      <c r="N341" s="24" t="s">
        <v>1415</v>
      </c>
      <c r="O341" s="28">
        <f>HYPERLINK("https://app.hubspot.com/contacts/8748051/record/0-3/29430556787", 29430556787)</f>
        <v>29430556787</v>
      </c>
      <c r="P341" s="24" t="s">
        <v>1414</v>
      </c>
      <c r="Q341" s="24" t="s">
        <v>127</v>
      </c>
      <c r="R341" s="24">
        <v>30000.0</v>
      </c>
      <c r="S341" s="24" t="b">
        <v>1</v>
      </c>
      <c r="T341" s="34" t="str">
        <f t="shared" ref="T341:V341" si="345">IF(G341&lt;&gt;"","Yes","")</f>
        <v>Yes</v>
      </c>
      <c r="U341" s="34" t="str">
        <f t="shared" si="345"/>
        <v>Yes</v>
      </c>
      <c r="V341" s="34" t="str">
        <f t="shared" si="345"/>
        <v>Yes</v>
      </c>
      <c r="W341" s="34" t="str">
        <f t="shared" si="3"/>
        <v/>
      </c>
      <c r="X341" s="24" t="str">
        <f t="shared" si="4"/>
        <v/>
      </c>
    </row>
    <row r="342" ht="14.25" customHeight="1">
      <c r="A342" s="28">
        <f>HYPERLINK("https://app.hubspot.com/contacts/8748051/record/0-1/52633103175", 52633103175)</f>
        <v>52633103175</v>
      </c>
      <c r="B342" s="24" t="s">
        <v>3915</v>
      </c>
      <c r="C342" s="26">
        <v>45596.44462962963</v>
      </c>
      <c r="D342" s="26"/>
      <c r="E342" s="28" t="s">
        <v>1431</v>
      </c>
      <c r="F342" s="24"/>
      <c r="G342" s="35">
        <v>45596.0</v>
      </c>
      <c r="H342" s="35">
        <v>45597.0</v>
      </c>
      <c r="I342" s="35">
        <v>45597.0</v>
      </c>
      <c r="J342" s="34"/>
      <c r="K342" s="34"/>
      <c r="L342" s="34"/>
      <c r="M342" s="28">
        <f>HYPERLINK("https://app.hubspot.com/contacts/8748051/record/0-2/7589543573", 7589543573)</f>
        <v>7589543573</v>
      </c>
      <c r="N342" s="24" t="s">
        <v>1430</v>
      </c>
      <c r="O342" s="33">
        <f>HYPERLINK("https://app.hubspot.com/contacts/8748051/record/0-3/28937055552", 28937055552)</f>
        <v>28937055552</v>
      </c>
      <c r="P342" s="24" t="s">
        <v>1428</v>
      </c>
      <c r="Q342" s="24" t="s">
        <v>149</v>
      </c>
      <c r="R342" s="24">
        <v>25000.0</v>
      </c>
      <c r="S342" s="24" t="b">
        <v>1</v>
      </c>
      <c r="T342" s="34" t="str">
        <f t="shared" ref="T342:V342" si="346">IF(G342&lt;&gt;"","Yes","")</f>
        <v>Yes</v>
      </c>
      <c r="U342" s="34" t="str">
        <f t="shared" si="346"/>
        <v>Yes</v>
      </c>
      <c r="V342" s="34" t="str">
        <f t="shared" si="346"/>
        <v>Yes</v>
      </c>
      <c r="W342" s="34" t="str">
        <f t="shared" si="3"/>
        <v/>
      </c>
      <c r="X342" s="24" t="str">
        <f t="shared" si="4"/>
        <v>Yes</v>
      </c>
    </row>
    <row r="343" ht="14.25" customHeight="1">
      <c r="A343" s="28">
        <f>HYPERLINK("https://app.hubspot.com/contacts/8748051/record/0-1/73924462155", 73924462155)</f>
        <v>73924462155</v>
      </c>
      <c r="B343" s="24" t="s">
        <v>3916</v>
      </c>
      <c r="C343" s="26">
        <v>45596.3365162037</v>
      </c>
      <c r="D343" s="26"/>
      <c r="E343" s="28" t="s">
        <v>3917</v>
      </c>
      <c r="F343" s="24" t="s">
        <v>3918</v>
      </c>
      <c r="G343" s="35"/>
      <c r="H343" s="35"/>
      <c r="I343" s="35"/>
      <c r="J343" s="24"/>
      <c r="K343" s="34"/>
      <c r="L343" s="34"/>
      <c r="M343" s="28">
        <f>HYPERLINK("https://app.hubspot.com/contacts/8748051/record/0-2/25303544432", 25303544432)</f>
        <v>25303544432</v>
      </c>
      <c r="N343" s="28" t="s">
        <v>3917</v>
      </c>
      <c r="O343" s="34"/>
      <c r="P343" s="24"/>
      <c r="Q343" s="24"/>
      <c r="R343" s="24"/>
      <c r="S343" s="24"/>
      <c r="T343" s="34" t="str">
        <f t="shared" ref="T343:V343" si="347">IF(G343&lt;&gt;"","Yes","")</f>
        <v/>
      </c>
      <c r="U343" s="34" t="str">
        <f t="shared" si="347"/>
        <v/>
      </c>
      <c r="V343" s="34" t="str">
        <f t="shared" si="347"/>
        <v/>
      </c>
      <c r="W343" s="34" t="str">
        <f t="shared" si="3"/>
        <v/>
      </c>
      <c r="X343" s="24" t="str">
        <f t="shared" si="4"/>
        <v/>
      </c>
    </row>
    <row r="344" ht="14.25" customHeight="1">
      <c r="A344" s="28">
        <f>HYPERLINK("https://app.hubspot.com/contacts/8748051/record/0-1/73818971248", 73818971248)</f>
        <v>73818971248</v>
      </c>
      <c r="B344" s="24" t="s">
        <v>3919</v>
      </c>
      <c r="C344" s="26">
        <v>45595.946909722225</v>
      </c>
      <c r="D344" s="26"/>
      <c r="E344" s="28" t="s">
        <v>1441</v>
      </c>
      <c r="F344" s="24"/>
      <c r="G344" s="35">
        <v>45596.0</v>
      </c>
      <c r="H344" s="35">
        <v>45597.0</v>
      </c>
      <c r="I344" s="35">
        <v>45601.0</v>
      </c>
      <c r="J344" s="34"/>
      <c r="K344" s="34"/>
      <c r="L344" s="34"/>
      <c r="M344" s="28">
        <f>HYPERLINK("https://app.hubspot.com/contacts/8748051/record/0-2/7945231785", 7945231785)</f>
        <v>7945231785</v>
      </c>
      <c r="N344" s="24" t="s">
        <v>1440</v>
      </c>
      <c r="O344" s="33">
        <f>HYPERLINK("https://app.hubspot.com/contacts/8748051/record/0-3/28713160476", 28713160476)</f>
        <v>28713160476</v>
      </c>
      <c r="P344" s="24" t="s">
        <v>1438</v>
      </c>
      <c r="Q344" s="24" t="s">
        <v>92</v>
      </c>
      <c r="R344" s="24">
        <v>23244.0</v>
      </c>
      <c r="S344" s="24" t="b">
        <v>1</v>
      </c>
      <c r="T344" s="34" t="str">
        <f t="shared" ref="T344:V344" si="348">IF(G344&lt;&gt;"","Yes","")</f>
        <v>Yes</v>
      </c>
      <c r="U344" s="34" t="str">
        <f t="shared" si="348"/>
        <v>Yes</v>
      </c>
      <c r="V344" s="34" t="str">
        <f t="shared" si="348"/>
        <v>Yes</v>
      </c>
      <c r="W344" s="34" t="str">
        <f t="shared" si="3"/>
        <v>Yes</v>
      </c>
      <c r="X344" s="24" t="str">
        <f t="shared" si="4"/>
        <v/>
      </c>
    </row>
    <row r="345" ht="14.25" customHeight="1">
      <c r="A345" s="28">
        <f>HYPERLINK("https://app.hubspot.com/contacts/8748051/record/0-1/69398795829", 69398795829)</f>
        <v>69398795829</v>
      </c>
      <c r="B345" s="24" t="s">
        <v>3920</v>
      </c>
      <c r="C345" s="26">
        <v>45595.38427083333</v>
      </c>
      <c r="D345" s="26"/>
      <c r="E345" s="28" t="s">
        <v>1434</v>
      </c>
      <c r="F345" s="24"/>
      <c r="G345" s="35">
        <v>45595.0</v>
      </c>
      <c r="H345" s="35">
        <v>45595.0</v>
      </c>
      <c r="I345" s="35">
        <v>45604.0</v>
      </c>
      <c r="J345" s="34"/>
      <c r="K345" s="24"/>
      <c r="L345" s="24"/>
      <c r="M345" s="28">
        <f>HYPERLINK("https://app.hubspot.com/contacts/8748051/record/0-2/7893085080", 7893085080)</f>
        <v>7893085080</v>
      </c>
      <c r="N345" s="24" t="s">
        <v>1433</v>
      </c>
      <c r="O345" s="33">
        <f>HYPERLINK("https://app.hubspot.com/contacts/8748051/record/0-3/28887370633", 28887370633)</f>
        <v>28887370633</v>
      </c>
      <c r="P345" s="24" t="s">
        <v>1432</v>
      </c>
      <c r="Q345" s="24" t="s">
        <v>127</v>
      </c>
      <c r="R345" s="24">
        <v>25000.0</v>
      </c>
      <c r="S345" s="24" t="b">
        <v>1</v>
      </c>
      <c r="T345" s="34" t="str">
        <f t="shared" ref="T345:V345" si="349">IF(G345&lt;&gt;"","Yes","")</f>
        <v>Yes</v>
      </c>
      <c r="U345" s="34" t="str">
        <f t="shared" si="349"/>
        <v>Yes</v>
      </c>
      <c r="V345" s="34" t="str">
        <f t="shared" si="349"/>
        <v>Yes</v>
      </c>
      <c r="W345" s="34" t="str">
        <f t="shared" si="3"/>
        <v/>
      </c>
      <c r="X345" s="24" t="str">
        <f t="shared" si="4"/>
        <v/>
      </c>
    </row>
    <row r="346" ht="14.25" customHeight="1">
      <c r="A346" s="28">
        <f>HYPERLINK("https://app.hubspot.com/contacts/8748051/record/0-1/72657973359", 72657973359)</f>
        <v>72657973359</v>
      </c>
      <c r="B346" s="24" t="s">
        <v>3921</v>
      </c>
      <c r="C346" s="26">
        <v>45593.04769675926</v>
      </c>
      <c r="D346" s="26"/>
      <c r="E346" s="28" t="s">
        <v>3922</v>
      </c>
      <c r="F346" s="24"/>
      <c r="G346" s="35">
        <v>45593.0</v>
      </c>
      <c r="H346" s="35"/>
      <c r="I346" s="35"/>
      <c r="J346" s="34"/>
      <c r="K346" s="34"/>
      <c r="L346" s="34"/>
      <c r="M346" s="28">
        <f>HYPERLINK("https://app.hubspot.com/contacts/8748051/record/0-2/25166873715", 25166873715)</f>
        <v>25166873715</v>
      </c>
      <c r="N346" s="24" t="s">
        <v>3923</v>
      </c>
      <c r="O346" s="24"/>
      <c r="P346" s="24"/>
      <c r="Q346" s="24"/>
      <c r="R346" s="24"/>
      <c r="S346" s="24"/>
      <c r="T346" s="34" t="str">
        <f t="shared" ref="T346:V346" si="350">IF(G346&lt;&gt;"","Yes","")</f>
        <v>Yes</v>
      </c>
      <c r="U346" s="34" t="str">
        <f t="shared" si="350"/>
        <v/>
      </c>
      <c r="V346" s="34" t="str">
        <f t="shared" si="350"/>
        <v/>
      </c>
      <c r="W346" s="34" t="str">
        <f t="shared" si="3"/>
        <v/>
      </c>
      <c r="X346" s="24" t="str">
        <f t="shared" si="4"/>
        <v/>
      </c>
    </row>
    <row r="347" ht="14.25" customHeight="1">
      <c r="A347" s="28">
        <f>HYPERLINK("https://app.hubspot.com/contacts/8748051/record/0-1/70425213954", 70425213954)</f>
        <v>70425213954</v>
      </c>
      <c r="B347" s="24" t="s">
        <v>3924</v>
      </c>
      <c r="C347" s="26">
        <v>45587.00848379629</v>
      </c>
      <c r="D347" s="26"/>
      <c r="E347" s="28" t="s">
        <v>1206</v>
      </c>
      <c r="F347" s="24"/>
      <c r="G347" s="35">
        <v>45587.0</v>
      </c>
      <c r="H347" s="35">
        <v>45588.0</v>
      </c>
      <c r="I347" s="35">
        <v>45597.0</v>
      </c>
      <c r="J347" s="34"/>
      <c r="K347" s="24"/>
      <c r="L347" s="24"/>
      <c r="M347" s="28">
        <f>HYPERLINK("https://app.hubspot.com/contacts/8748051/record/0-2/8601300377", 8601300377)</f>
        <v>8601300377</v>
      </c>
      <c r="N347" s="24" t="s">
        <v>1205</v>
      </c>
      <c r="O347" s="33">
        <f>HYPERLINK("https://app.hubspot.com/contacts/8748051/record/0-3/28468857859", 28468857859)</f>
        <v>28468857859</v>
      </c>
      <c r="P347" s="24" t="s">
        <v>1443</v>
      </c>
      <c r="Q347" s="24" t="s">
        <v>92</v>
      </c>
      <c r="R347" s="24">
        <v>24816.0</v>
      </c>
      <c r="S347" s="24" t="b">
        <v>1</v>
      </c>
      <c r="T347" s="34" t="str">
        <f t="shared" ref="T347:V347" si="351">IF(G347&lt;&gt;"","Yes","")</f>
        <v>Yes</v>
      </c>
      <c r="U347" s="34" t="str">
        <f t="shared" si="351"/>
        <v>Yes</v>
      </c>
      <c r="V347" s="34" t="str">
        <f t="shared" si="351"/>
        <v>Yes</v>
      </c>
      <c r="W347" s="34" t="str">
        <f t="shared" si="3"/>
        <v>Yes</v>
      </c>
      <c r="X347" s="24" t="str">
        <f t="shared" si="4"/>
        <v/>
      </c>
    </row>
    <row r="348" ht="14.25" customHeight="1">
      <c r="A348" s="28">
        <f>HYPERLINK("https://app.hubspot.com/contacts/8748051/record/0-1/68154273367", 68154273367)</f>
        <v>68154273367</v>
      </c>
      <c r="B348" s="24" t="s">
        <v>3925</v>
      </c>
      <c r="C348" s="26">
        <v>45581.04609953704</v>
      </c>
      <c r="D348" s="26"/>
      <c r="E348" s="24" t="s">
        <v>3926</v>
      </c>
      <c r="F348" s="24"/>
      <c r="G348" s="35">
        <v>45582.0</v>
      </c>
      <c r="H348" s="35"/>
      <c r="I348" s="35"/>
      <c r="J348" s="34"/>
      <c r="K348" s="34"/>
      <c r="L348" s="34"/>
      <c r="M348" s="28">
        <f>HYPERLINK("https://app.hubspot.com/contacts/8748051/record/0-2/23857518950", 23857518950)</f>
        <v>23857518950</v>
      </c>
      <c r="N348" s="24" t="s">
        <v>3926</v>
      </c>
      <c r="O348" s="34"/>
      <c r="P348" s="24"/>
      <c r="Q348" s="24"/>
      <c r="R348" s="24"/>
      <c r="S348" s="24"/>
      <c r="T348" s="34" t="str">
        <f t="shared" ref="T348:V348" si="352">IF(G348&lt;&gt;"","Yes","")</f>
        <v>Yes</v>
      </c>
      <c r="U348" s="34" t="str">
        <f t="shared" si="352"/>
        <v/>
      </c>
      <c r="V348" s="34" t="str">
        <f t="shared" si="352"/>
        <v/>
      </c>
      <c r="W348" s="34" t="str">
        <f t="shared" si="3"/>
        <v/>
      </c>
      <c r="X348" s="24" t="str">
        <f t="shared" si="4"/>
        <v/>
      </c>
    </row>
    <row r="349" ht="14.25" customHeight="1">
      <c r="A349" s="28">
        <f>HYPERLINK("https://app.hubspot.com/contacts/8748051/record/0-1/67144164766", 67144164766)</f>
        <v>67144164766</v>
      </c>
      <c r="B349" s="24" t="s">
        <v>3927</v>
      </c>
      <c r="C349" s="26">
        <v>45578.53320601852</v>
      </c>
      <c r="D349" s="26"/>
      <c r="E349" s="28" t="s">
        <v>3928</v>
      </c>
      <c r="F349" s="24"/>
      <c r="G349" s="35">
        <v>45578.0</v>
      </c>
      <c r="H349" s="35">
        <v>45579.0</v>
      </c>
      <c r="I349" s="35">
        <v>45579.0</v>
      </c>
      <c r="J349" s="24"/>
      <c r="K349" s="24"/>
      <c r="L349" s="24"/>
      <c r="M349" s="28">
        <f>HYPERLINK("https://app.hubspot.com/contacts/8748051/record/0-2/23793942304", 23793942304)</f>
        <v>23793942304</v>
      </c>
      <c r="N349" s="24" t="s">
        <v>3929</v>
      </c>
      <c r="O349" s="24"/>
      <c r="P349" s="24"/>
      <c r="Q349" s="24"/>
      <c r="R349" s="24"/>
      <c r="S349" s="24"/>
      <c r="T349" s="34" t="str">
        <f t="shared" ref="T349:V349" si="353">IF(G349&lt;&gt;"","Yes","")</f>
        <v>Yes</v>
      </c>
      <c r="U349" s="34" t="str">
        <f t="shared" si="353"/>
        <v>Yes</v>
      </c>
      <c r="V349" s="34" t="str">
        <f t="shared" si="353"/>
        <v>Yes</v>
      </c>
      <c r="W349" s="34" t="str">
        <f t="shared" si="3"/>
        <v/>
      </c>
      <c r="X349" s="24" t="str">
        <f t="shared" si="4"/>
        <v/>
      </c>
    </row>
    <row r="350" ht="14.25" customHeight="1">
      <c r="A350" s="28">
        <f>HYPERLINK("https://app.hubspot.com/contacts/8748051/record/0-1/63219771809", 63219771809)</f>
        <v>63219771809</v>
      </c>
      <c r="B350" s="24" t="s">
        <v>3930</v>
      </c>
      <c r="C350" s="26">
        <v>45565.38377314815</v>
      </c>
      <c r="D350" s="26"/>
      <c r="E350" s="28" t="s">
        <v>583</v>
      </c>
      <c r="F350" s="26"/>
      <c r="G350" s="35">
        <v>45595.0</v>
      </c>
      <c r="H350" s="35">
        <v>45566.0</v>
      </c>
      <c r="I350" s="35"/>
      <c r="J350" s="24"/>
      <c r="K350" s="24"/>
      <c r="L350" s="24"/>
      <c r="M350" s="28">
        <f>HYPERLINK("https://app.hubspot.com/contacts/8748051/record/0-2/15823033951", 15823033951)</f>
        <v>15823033951</v>
      </c>
      <c r="N350" s="24" t="s">
        <v>582</v>
      </c>
      <c r="O350" s="24"/>
      <c r="P350" s="24"/>
      <c r="Q350" s="24"/>
      <c r="R350" s="24"/>
      <c r="S350" s="24"/>
      <c r="T350" s="34" t="str">
        <f t="shared" ref="T350:V350" si="354">IF(G350&lt;&gt;"","Yes","")</f>
        <v>Yes</v>
      </c>
      <c r="U350" s="34" t="str">
        <f t="shared" si="354"/>
        <v>Yes</v>
      </c>
      <c r="V350" s="34" t="str">
        <f t="shared" si="354"/>
        <v/>
      </c>
      <c r="W350" s="34" t="str">
        <f t="shared" si="3"/>
        <v/>
      </c>
      <c r="X350" s="24" t="str">
        <f t="shared" si="4"/>
        <v/>
      </c>
    </row>
    <row r="351" ht="14.25" customHeight="1">
      <c r="A351" s="28">
        <f>HYPERLINK("https://app.hubspot.com/contacts/8748051/record/0-1/63009714494", 63009714494)</f>
        <v>63009714494</v>
      </c>
      <c r="B351" s="24" t="s">
        <v>3931</v>
      </c>
      <c r="C351" s="26">
        <v>45564.571018518516</v>
      </c>
      <c r="D351" s="26"/>
      <c r="E351" s="28" t="s">
        <v>3932</v>
      </c>
      <c r="F351" s="24"/>
      <c r="G351" s="35">
        <v>45565.0</v>
      </c>
      <c r="H351" s="35"/>
      <c r="I351" s="35"/>
      <c r="J351" s="24"/>
      <c r="K351" s="24"/>
      <c r="L351" s="24"/>
      <c r="M351" s="28">
        <f>HYPERLINK("https://app.hubspot.com/contacts/8748051/record/0-2/8995666011", 8995666011)</f>
        <v>8995666011</v>
      </c>
      <c r="N351" s="24" t="s">
        <v>3933</v>
      </c>
      <c r="O351" s="24"/>
      <c r="P351" s="24"/>
      <c r="Q351" s="24"/>
      <c r="R351" s="24"/>
      <c r="S351" s="24"/>
      <c r="T351" s="34" t="str">
        <f t="shared" ref="T351:V351" si="355">IF(G351&lt;&gt;"","Yes","")</f>
        <v>Yes</v>
      </c>
      <c r="U351" s="34" t="str">
        <f t="shared" si="355"/>
        <v/>
      </c>
      <c r="V351" s="34" t="str">
        <f t="shared" si="355"/>
        <v/>
      </c>
      <c r="W351" s="34" t="str">
        <f t="shared" si="3"/>
        <v/>
      </c>
      <c r="X351" s="24" t="str">
        <f t="shared" si="4"/>
        <v/>
      </c>
    </row>
    <row r="352" ht="14.25" customHeight="1">
      <c r="A352" s="28">
        <f>HYPERLINK("https://app.hubspot.com/contacts/8748051/record/0-1/61125743173", 61125743173)</f>
        <v>61125743173</v>
      </c>
      <c r="B352" s="24" t="s">
        <v>3934</v>
      </c>
      <c r="C352" s="26">
        <v>45558.74209490741</v>
      </c>
      <c r="D352" s="26"/>
      <c r="E352" s="28" t="s">
        <v>3935</v>
      </c>
      <c r="F352" s="24"/>
      <c r="G352" s="35">
        <v>45559.0</v>
      </c>
      <c r="H352" s="35">
        <v>45559.0</v>
      </c>
      <c r="I352" s="35"/>
      <c r="J352" s="34"/>
      <c r="K352" s="24"/>
      <c r="L352" s="24"/>
      <c r="M352" s="28">
        <f>HYPERLINK("https://app.hubspot.com/contacts/8748051/record/0-2/23223236231", 23223236231)</f>
        <v>23223236231</v>
      </c>
      <c r="N352" s="24" t="s">
        <v>3936</v>
      </c>
      <c r="O352" s="34"/>
      <c r="P352" s="24"/>
      <c r="Q352" s="24"/>
      <c r="R352" s="24"/>
      <c r="S352" s="24"/>
      <c r="T352" s="34" t="str">
        <f t="shared" ref="T352:V352" si="356">IF(G352&lt;&gt;"","Yes","")</f>
        <v>Yes</v>
      </c>
      <c r="U352" s="34" t="str">
        <f t="shared" si="356"/>
        <v>Yes</v>
      </c>
      <c r="V352" s="34" t="str">
        <f t="shared" si="356"/>
        <v/>
      </c>
      <c r="W352" s="34" t="str">
        <f t="shared" si="3"/>
        <v/>
      </c>
      <c r="X352" s="24" t="str">
        <f t="shared" si="4"/>
        <v/>
      </c>
    </row>
    <row r="353" ht="14.25" customHeight="1">
      <c r="A353" s="28">
        <f>HYPERLINK("https://app.hubspot.com/contacts/8748051/record/0-1/60807418207", 60807418207)</f>
        <v>60807418207</v>
      </c>
      <c r="B353" s="24" t="s">
        <v>3937</v>
      </c>
      <c r="C353" s="26">
        <v>45557.68952546296</v>
      </c>
      <c r="D353" s="26"/>
      <c r="E353" s="28" t="s">
        <v>3938</v>
      </c>
      <c r="F353" s="26"/>
      <c r="G353" s="35">
        <v>45558.0</v>
      </c>
      <c r="H353" s="35"/>
      <c r="I353" s="35"/>
      <c r="J353" s="24"/>
      <c r="K353" s="24"/>
      <c r="L353" s="24"/>
      <c r="M353" s="28">
        <f>HYPERLINK("https://app.hubspot.com/contacts/8748051/record/0-2/23183201599", 23183201599)</f>
        <v>23183201599</v>
      </c>
      <c r="N353" s="24" t="s">
        <v>3939</v>
      </c>
      <c r="O353" s="24"/>
      <c r="P353" s="24"/>
      <c r="Q353" s="24"/>
      <c r="R353" s="24"/>
      <c r="S353" s="24"/>
      <c r="T353" s="34" t="str">
        <f t="shared" ref="T353:V353" si="357">IF(G353&lt;&gt;"","Yes","")</f>
        <v>Yes</v>
      </c>
      <c r="U353" s="34" t="str">
        <f t="shared" si="357"/>
        <v/>
      </c>
      <c r="V353" s="34" t="str">
        <f t="shared" si="357"/>
        <v/>
      </c>
      <c r="W353" s="34" t="str">
        <f t="shared" si="3"/>
        <v/>
      </c>
      <c r="X353" s="24" t="str">
        <f t="shared" si="4"/>
        <v/>
      </c>
    </row>
    <row r="354" ht="14.25" customHeight="1">
      <c r="A354" s="28">
        <f>HYPERLINK("https://app.hubspot.com/contacts/8748051/record/0-1/57280296077", 57280296077)</f>
        <v>57280296077</v>
      </c>
      <c r="B354" s="24" t="s">
        <v>3940</v>
      </c>
      <c r="C354" s="26">
        <v>45546.94516203704</v>
      </c>
      <c r="D354" s="26"/>
      <c r="E354" s="28" t="s">
        <v>3941</v>
      </c>
      <c r="F354" s="24"/>
      <c r="G354" s="35">
        <v>45547.0</v>
      </c>
      <c r="H354" s="35"/>
      <c r="I354" s="35"/>
      <c r="J354" s="34"/>
      <c r="K354" s="24"/>
      <c r="L354" s="34"/>
      <c r="M354" s="28">
        <f>HYPERLINK("https://app.hubspot.com/contacts/8748051/record/0-2/22948883347", 22948883347)</f>
        <v>22948883347</v>
      </c>
      <c r="N354" s="24" t="s">
        <v>3942</v>
      </c>
      <c r="O354" s="24"/>
      <c r="P354" s="24"/>
      <c r="Q354" s="24"/>
      <c r="R354" s="24"/>
      <c r="S354" s="24"/>
      <c r="T354" s="34" t="str">
        <f t="shared" ref="T354:V354" si="358">IF(G354&lt;&gt;"","Yes","")</f>
        <v>Yes</v>
      </c>
      <c r="U354" s="34" t="str">
        <f t="shared" si="358"/>
        <v/>
      </c>
      <c r="V354" s="34" t="str">
        <f t="shared" si="358"/>
        <v/>
      </c>
      <c r="W354" s="34" t="str">
        <f t="shared" si="3"/>
        <v/>
      </c>
      <c r="X354" s="24" t="str">
        <f t="shared" si="4"/>
        <v/>
      </c>
    </row>
    <row r="355" ht="14.25" customHeight="1">
      <c r="A355" s="28">
        <f>HYPERLINK("https://app.hubspot.com/contacts/8748051/record/0-1/3335401", 3335401)</f>
        <v>3335401</v>
      </c>
      <c r="B355" s="24" t="s">
        <v>3943</v>
      </c>
      <c r="C355" s="26">
        <v>45546.61298611111</v>
      </c>
      <c r="D355" s="24" t="s">
        <v>3944</v>
      </c>
      <c r="E355" s="28" t="s">
        <v>1497</v>
      </c>
      <c r="F355" s="24"/>
      <c r="G355" s="35">
        <v>45321.0</v>
      </c>
      <c r="H355" s="35">
        <v>45328.0</v>
      </c>
      <c r="I355" s="35">
        <v>45328.0</v>
      </c>
      <c r="J355" s="34"/>
      <c r="K355" s="24"/>
      <c r="L355" s="34"/>
      <c r="M355" s="28">
        <f>HYPERLINK("https://app.hubspot.com/contacts/8748051/record/0-2/9238240308", 9238240308)</f>
        <v>9238240308</v>
      </c>
      <c r="N355" s="24" t="s">
        <v>1496</v>
      </c>
      <c r="O355" s="33">
        <f>HYPERLINK("https://app.hubspot.com/contacts/8748051/record/0-3/17364383056", 17364383056)</f>
        <v>17364383056</v>
      </c>
      <c r="P355" s="24" t="s">
        <v>2249</v>
      </c>
      <c r="Q355" s="24" t="s">
        <v>73</v>
      </c>
      <c r="R355" s="24">
        <v>11040.0</v>
      </c>
      <c r="S355" s="24"/>
      <c r="T355" s="34" t="str">
        <f t="shared" ref="T355:V355" si="359">IF(G355&lt;&gt;"","Yes","")</f>
        <v>Yes</v>
      </c>
      <c r="U355" s="34" t="str">
        <f t="shared" si="359"/>
        <v>Yes</v>
      </c>
      <c r="V355" s="34" t="str">
        <f t="shared" si="359"/>
        <v>Yes</v>
      </c>
      <c r="W355" s="34" t="str">
        <f t="shared" si="3"/>
        <v/>
      </c>
      <c r="X355" s="24" t="str">
        <f t="shared" si="4"/>
        <v/>
      </c>
    </row>
    <row r="356" ht="14.25" customHeight="1">
      <c r="A356" s="28">
        <f>HYPERLINK("https://app.hubspot.com/contacts/8748051/record/0-1/1700552", 1700552)</f>
        <v>1700552</v>
      </c>
      <c r="B356" s="24" t="s">
        <v>3945</v>
      </c>
      <c r="C356" s="26">
        <v>45540.73900462963</v>
      </c>
      <c r="D356" s="24" t="s">
        <v>3946</v>
      </c>
      <c r="E356" s="28" t="s">
        <v>1504</v>
      </c>
      <c r="F356" s="24"/>
      <c r="G356" s="35">
        <v>45541.0</v>
      </c>
      <c r="H356" s="35">
        <v>45544.0</v>
      </c>
      <c r="I356" s="35">
        <v>45544.0</v>
      </c>
      <c r="J356" s="34"/>
      <c r="K356" s="34"/>
      <c r="L356" s="34"/>
      <c r="M356" s="28">
        <f>HYPERLINK("https://app.hubspot.com/contacts/8748051/record/0-2/8051981464", 8051981464)</f>
        <v>8051981464</v>
      </c>
      <c r="N356" s="24" t="s">
        <v>1503</v>
      </c>
      <c r="O356" s="33">
        <f>HYPERLINK("https://app.hubspot.com/contacts/8748051/record/0-3/16508412252", 16508412252)</f>
        <v>16508412252</v>
      </c>
      <c r="P356" s="24" t="s">
        <v>2415</v>
      </c>
      <c r="Q356" s="24" t="s">
        <v>73</v>
      </c>
      <c r="R356" s="24">
        <v>38000.0</v>
      </c>
      <c r="S356" s="24"/>
      <c r="T356" s="34" t="str">
        <f t="shared" ref="T356:V356" si="360">IF(G356&lt;&gt;"","Yes","")</f>
        <v>Yes</v>
      </c>
      <c r="U356" s="34" t="str">
        <f t="shared" si="360"/>
        <v>Yes</v>
      </c>
      <c r="V356" s="34" t="str">
        <f t="shared" si="360"/>
        <v>Yes</v>
      </c>
      <c r="W356" s="34" t="str">
        <f t="shared" si="3"/>
        <v/>
      </c>
      <c r="X356" s="24" t="str">
        <f t="shared" si="4"/>
        <v/>
      </c>
    </row>
    <row r="357" ht="14.25" customHeight="1">
      <c r="A357" s="28">
        <f>HYPERLINK("https://app.hubspot.com/contacts/8748051/record/0-1/54528787888", 54528787888)</f>
        <v>54528787888</v>
      </c>
      <c r="B357" s="24" t="s">
        <v>3947</v>
      </c>
      <c r="C357" s="26">
        <v>45538.645</v>
      </c>
      <c r="D357" s="26"/>
      <c r="E357" s="28" t="s">
        <v>1507</v>
      </c>
      <c r="F357" s="24"/>
      <c r="G357" s="35">
        <v>45539.0</v>
      </c>
      <c r="H357" s="35">
        <v>45546.0</v>
      </c>
      <c r="I357" s="35"/>
      <c r="J357" s="24"/>
      <c r="K357" s="24"/>
      <c r="L357" s="24"/>
      <c r="M357" s="28">
        <f>HYPERLINK("https://app.hubspot.com/contacts/8748051/record/0-2/22740307127", 22740307127)</f>
        <v>22740307127</v>
      </c>
      <c r="N357" s="24" t="s">
        <v>1506</v>
      </c>
      <c r="O357" s="28">
        <f>HYPERLINK("https://app.hubspot.com/contacts/8748051/record/0-3/21930764698", 21930764698)</f>
        <v>21930764698</v>
      </c>
      <c r="P357" s="24" t="s">
        <v>1505</v>
      </c>
      <c r="Q357" s="24" t="s">
        <v>73</v>
      </c>
      <c r="R357" s="24">
        <v>3000.0</v>
      </c>
      <c r="S357" s="24"/>
      <c r="T357" s="34" t="str">
        <f t="shared" ref="T357:V357" si="361">IF(G357&lt;&gt;"","Yes","")</f>
        <v>Yes</v>
      </c>
      <c r="U357" s="34" t="str">
        <f t="shared" si="361"/>
        <v>Yes</v>
      </c>
      <c r="V357" s="34" t="str">
        <f t="shared" si="361"/>
        <v/>
      </c>
      <c r="W357" s="34" t="str">
        <f t="shared" si="3"/>
        <v/>
      </c>
      <c r="X357" s="24" t="str">
        <f t="shared" si="4"/>
        <v/>
      </c>
    </row>
    <row r="358" ht="14.25" customHeight="1">
      <c r="A358" s="28">
        <f>HYPERLINK("https://app.hubspot.com/contacts/8748051/record/0-1/158296840106", 158296840106)</f>
        <v>158296840106</v>
      </c>
      <c r="B358" s="24" t="s">
        <v>3948</v>
      </c>
      <c r="C358" s="26">
        <v>45537.515439814815</v>
      </c>
      <c r="D358" s="26"/>
      <c r="E358" s="28" t="s">
        <v>1513</v>
      </c>
      <c r="F358" s="24"/>
      <c r="G358" s="35">
        <v>45538.0</v>
      </c>
      <c r="H358" s="35">
        <v>45544.0</v>
      </c>
      <c r="I358" s="35">
        <v>45544.0</v>
      </c>
      <c r="J358" s="34"/>
      <c r="K358" s="34"/>
      <c r="L358" s="34"/>
      <c r="M358" s="28">
        <f>HYPERLINK("https://app.hubspot.com/contacts/8748051/record/0-2/9238340021", 9238340021)</f>
        <v>9238340021</v>
      </c>
      <c r="N358" s="28" t="s">
        <v>1512</v>
      </c>
      <c r="O358" s="28">
        <f>HYPERLINK("https://app.hubspot.com/contacts/8748051/record/0-3/21885759058", 21885759058)</f>
        <v>21885759058</v>
      </c>
      <c r="P358" s="24" t="s">
        <v>1511</v>
      </c>
      <c r="Q358" s="24" t="s">
        <v>127</v>
      </c>
      <c r="R358" s="24">
        <v>190000.0</v>
      </c>
      <c r="S358" s="24" t="b">
        <v>1</v>
      </c>
      <c r="T358" s="34" t="str">
        <f t="shared" ref="T358:V358" si="362">IF(G358&lt;&gt;"","Yes","")</f>
        <v>Yes</v>
      </c>
      <c r="U358" s="34" t="str">
        <f t="shared" si="362"/>
        <v>Yes</v>
      </c>
      <c r="V358" s="34" t="str">
        <f t="shared" si="362"/>
        <v>Yes</v>
      </c>
      <c r="W358" s="34" t="str">
        <f t="shared" si="3"/>
        <v/>
      </c>
      <c r="X358" s="24" t="str">
        <f t="shared" si="4"/>
        <v/>
      </c>
    </row>
    <row r="359" ht="14.25" customHeight="1">
      <c r="A359" s="28">
        <f>HYPERLINK("https://app.hubspot.com/contacts/8748051/record/0-1/54027563391", 54027563391)</f>
        <v>54027563391</v>
      </c>
      <c r="B359" s="24" t="s">
        <v>3949</v>
      </c>
      <c r="C359" s="26">
        <v>45537.09017361111</v>
      </c>
      <c r="D359" s="26"/>
      <c r="E359" s="28" t="s">
        <v>3950</v>
      </c>
      <c r="F359" s="24"/>
      <c r="G359" s="35">
        <v>45537.0</v>
      </c>
      <c r="H359" s="35">
        <v>45538.0</v>
      </c>
      <c r="I359" s="35">
        <v>45538.0</v>
      </c>
      <c r="J359" s="34"/>
      <c r="K359" s="24"/>
      <c r="L359" s="24"/>
      <c r="M359" s="28">
        <f>HYPERLINK("https://app.hubspot.com/contacts/8748051/record/0-2/22723795738", 22723795738)</f>
        <v>22723795738</v>
      </c>
      <c r="N359" s="24" t="s">
        <v>3951</v>
      </c>
      <c r="O359" s="34"/>
      <c r="P359" s="24"/>
      <c r="Q359" s="24"/>
      <c r="R359" s="24"/>
      <c r="S359" s="24"/>
      <c r="T359" s="34" t="str">
        <f t="shared" ref="T359:V359" si="363">IF(G359&lt;&gt;"","Yes","")</f>
        <v>Yes</v>
      </c>
      <c r="U359" s="34" t="str">
        <f t="shared" si="363"/>
        <v>Yes</v>
      </c>
      <c r="V359" s="34" t="str">
        <f t="shared" si="363"/>
        <v>Yes</v>
      </c>
      <c r="W359" s="34" t="str">
        <f t="shared" si="3"/>
        <v/>
      </c>
      <c r="X359" s="24" t="str">
        <f t="shared" si="4"/>
        <v/>
      </c>
    </row>
    <row r="360" ht="14.25" customHeight="1">
      <c r="A360" s="28">
        <f>HYPERLINK("https://app.hubspot.com/contacts/8748051/record/0-1/52305471908", 52305471908)</f>
        <v>52305471908</v>
      </c>
      <c r="B360" s="24" t="s">
        <v>3952</v>
      </c>
      <c r="C360" s="26">
        <v>45531.523564814815</v>
      </c>
      <c r="D360" s="26"/>
      <c r="E360" s="28" t="s">
        <v>3953</v>
      </c>
      <c r="F360" s="24" t="s">
        <v>3954</v>
      </c>
      <c r="G360" s="35"/>
      <c r="H360" s="35"/>
      <c r="I360" s="35"/>
      <c r="J360" s="24"/>
      <c r="K360" s="24"/>
      <c r="L360" s="34"/>
      <c r="M360" s="28">
        <f>HYPERLINK("https://app.hubspot.com/contacts/8748051/record/0-2/22639691124", 22639691124)</f>
        <v>22639691124</v>
      </c>
      <c r="N360" s="28" t="s">
        <v>3953</v>
      </c>
      <c r="O360" s="34"/>
      <c r="P360" s="24"/>
      <c r="Q360" s="24"/>
      <c r="R360" s="24"/>
      <c r="S360" s="24"/>
      <c r="T360" s="34" t="str">
        <f t="shared" ref="T360:V360" si="364">IF(G360&lt;&gt;"","Yes","")</f>
        <v/>
      </c>
      <c r="U360" s="34" t="str">
        <f t="shared" si="364"/>
        <v/>
      </c>
      <c r="V360" s="34" t="str">
        <f t="shared" si="364"/>
        <v/>
      </c>
      <c r="W360" s="34" t="str">
        <f t="shared" si="3"/>
        <v/>
      </c>
      <c r="X360" s="24" t="str">
        <f t="shared" si="4"/>
        <v/>
      </c>
    </row>
    <row r="361" ht="14.25" customHeight="1">
      <c r="A361" s="28">
        <f>HYPERLINK("https://app.hubspot.com/contacts/8748051/record/0-1/51099565171", 51099565171)</f>
        <v>51099565171</v>
      </c>
      <c r="B361" s="24" t="s">
        <v>3955</v>
      </c>
      <c r="C361" s="26">
        <v>45527.40855324074</v>
      </c>
      <c r="D361" s="26"/>
      <c r="E361" s="28" t="s">
        <v>3956</v>
      </c>
      <c r="F361" s="24" t="s">
        <v>3957</v>
      </c>
      <c r="G361" s="35"/>
      <c r="H361" s="35"/>
      <c r="I361" s="35"/>
      <c r="J361" s="24"/>
      <c r="K361" s="24"/>
      <c r="L361" s="24"/>
      <c r="M361" s="28">
        <f>HYPERLINK("https://app.hubspot.com/contacts/8748051/record/0-2/22573931703", 22573931703)</f>
        <v>22573931703</v>
      </c>
      <c r="N361" s="24"/>
      <c r="O361" s="24"/>
      <c r="P361" s="24"/>
      <c r="Q361" s="24"/>
      <c r="R361" s="24"/>
      <c r="S361" s="24"/>
      <c r="T361" s="34" t="str">
        <f t="shared" ref="T361:V361" si="365">IF(G361&lt;&gt;"","Yes","")</f>
        <v/>
      </c>
      <c r="U361" s="34" t="str">
        <f t="shared" si="365"/>
        <v/>
      </c>
      <c r="V361" s="34" t="str">
        <f t="shared" si="365"/>
        <v/>
      </c>
      <c r="W361" s="34" t="str">
        <f t="shared" si="3"/>
        <v/>
      </c>
      <c r="X361" s="24" t="str">
        <f t="shared" si="4"/>
        <v/>
      </c>
    </row>
    <row r="362" ht="14.25" customHeight="1">
      <c r="A362" s="28">
        <f>HYPERLINK("https://app.hubspot.com/contacts/8748051/record/0-1/46615092778", 46615092778)</f>
        <v>46615092778</v>
      </c>
      <c r="B362" s="24" t="s">
        <v>3958</v>
      </c>
      <c r="C362" s="26">
        <v>45527.14100694445</v>
      </c>
      <c r="D362" s="26"/>
      <c r="E362" s="28" t="s">
        <v>1510</v>
      </c>
      <c r="F362" s="24"/>
      <c r="G362" s="35">
        <v>45527.0</v>
      </c>
      <c r="H362" s="35">
        <v>45530.0</v>
      </c>
      <c r="I362" s="35">
        <v>45539.0</v>
      </c>
      <c r="J362" s="34"/>
      <c r="K362" s="24"/>
      <c r="L362" s="34"/>
      <c r="M362" s="28">
        <f>HYPERLINK("https://app.hubspot.com/contacts/8748051/record/0-2/8872992577", 8872992577)</f>
        <v>8872992577</v>
      </c>
      <c r="N362" s="24" t="s">
        <v>1509</v>
      </c>
      <c r="O362" s="33">
        <f>HYPERLINK("https://app.hubspot.com/contacts/8748051/record/0-3/21923430176", 21923430176)</f>
        <v>21923430176</v>
      </c>
      <c r="P362" s="24" t="s">
        <v>1508</v>
      </c>
      <c r="Q362" s="24" t="s">
        <v>127</v>
      </c>
      <c r="R362" s="24">
        <v>22500.0</v>
      </c>
      <c r="S362" s="24" t="b">
        <v>1</v>
      </c>
      <c r="T362" s="34" t="str">
        <f t="shared" ref="T362:V362" si="366">IF(G362&lt;&gt;"","Yes","")</f>
        <v>Yes</v>
      </c>
      <c r="U362" s="34" t="str">
        <f t="shared" si="366"/>
        <v>Yes</v>
      </c>
      <c r="V362" s="34" t="str">
        <f t="shared" si="366"/>
        <v>Yes</v>
      </c>
      <c r="W362" s="34" t="str">
        <f t="shared" si="3"/>
        <v/>
      </c>
      <c r="X362" s="24" t="str">
        <f t="shared" si="4"/>
        <v/>
      </c>
    </row>
    <row r="363" ht="14.25" customHeight="1">
      <c r="A363" s="28">
        <f>HYPERLINK("https://app.hubspot.com/contacts/8748051/record/0-1/45942052099", 45942052099)</f>
        <v>45942052099</v>
      </c>
      <c r="B363" s="24" t="s">
        <v>3959</v>
      </c>
      <c r="C363" s="26">
        <v>45509.96140046296</v>
      </c>
      <c r="D363" s="26"/>
      <c r="E363" s="28" t="s">
        <v>3960</v>
      </c>
      <c r="F363" s="24" t="s">
        <v>3961</v>
      </c>
      <c r="G363" s="35"/>
      <c r="H363" s="35"/>
      <c r="I363" s="35"/>
      <c r="J363" s="24"/>
      <c r="K363" s="24"/>
      <c r="L363" s="24"/>
      <c r="M363" s="28">
        <f>HYPERLINK("https://app.hubspot.com/contacts/8748051/record/0-2/22252567429", 22252567429)</f>
        <v>22252567429</v>
      </c>
      <c r="N363" s="28" t="s">
        <v>3960</v>
      </c>
      <c r="O363" s="24"/>
      <c r="P363" s="24"/>
      <c r="Q363" s="24"/>
      <c r="R363" s="24"/>
      <c r="S363" s="24"/>
      <c r="T363" s="34" t="str">
        <f t="shared" ref="T363:V363" si="367">IF(G363&lt;&gt;"","Yes","")</f>
        <v/>
      </c>
      <c r="U363" s="34" t="str">
        <f t="shared" si="367"/>
        <v/>
      </c>
      <c r="V363" s="34" t="str">
        <f t="shared" si="367"/>
        <v/>
      </c>
      <c r="W363" s="34" t="str">
        <f t="shared" si="3"/>
        <v/>
      </c>
      <c r="X363" s="24" t="str">
        <f t="shared" si="4"/>
        <v/>
      </c>
    </row>
    <row r="364" ht="14.25" customHeight="1">
      <c r="A364" s="28">
        <f>HYPERLINK("https://app.hubspot.com/contacts/8748051/record/0-1/45750395190", 45750395190)</f>
        <v>45750395190</v>
      </c>
      <c r="B364" s="24" t="s">
        <v>3962</v>
      </c>
      <c r="C364" s="26">
        <v>45509.444189814814</v>
      </c>
      <c r="D364" s="26"/>
      <c r="E364" s="28" t="s">
        <v>311</v>
      </c>
      <c r="F364" s="24"/>
      <c r="G364" s="35">
        <v>45509.0</v>
      </c>
      <c r="H364" s="35">
        <v>45510.0</v>
      </c>
      <c r="I364" s="35">
        <v>45510.0</v>
      </c>
      <c r="J364" s="24"/>
      <c r="K364" s="24"/>
      <c r="L364" s="24"/>
      <c r="M364" s="28">
        <f>HYPERLINK("https://app.hubspot.com/contacts/8748051/record/0-2/8741219622", 8741219622)</f>
        <v>8741219622</v>
      </c>
      <c r="N364" s="24" t="s">
        <v>310</v>
      </c>
      <c r="O364" s="28">
        <f>HYPERLINK("https://app.hubspot.com/contacts/8748051/record/0-3/21188021669", 21188021669)</f>
        <v>21188021669</v>
      </c>
      <c r="P364" s="24" t="s">
        <v>1536</v>
      </c>
      <c r="Q364" s="24" t="s">
        <v>92</v>
      </c>
      <c r="R364" s="24">
        <v>21000.0</v>
      </c>
      <c r="S364" s="24" t="b">
        <v>1</v>
      </c>
      <c r="T364" s="34" t="str">
        <f t="shared" ref="T364:V364" si="368">IF(G364&lt;&gt;"","Yes","")</f>
        <v>Yes</v>
      </c>
      <c r="U364" s="34" t="str">
        <f t="shared" si="368"/>
        <v>Yes</v>
      </c>
      <c r="V364" s="34" t="str">
        <f t="shared" si="368"/>
        <v>Yes</v>
      </c>
      <c r="W364" s="34" t="str">
        <f t="shared" si="3"/>
        <v>Yes</v>
      </c>
      <c r="X364" s="24" t="str">
        <f t="shared" si="4"/>
        <v/>
      </c>
    </row>
    <row r="365" ht="14.25" customHeight="1">
      <c r="A365" s="28">
        <f>HYPERLINK("https://app.hubspot.com/contacts/8748051/record/0-1/45648871428", 45648871428)</f>
        <v>45648871428</v>
      </c>
      <c r="B365" s="24" t="s">
        <v>3963</v>
      </c>
      <c r="C365" s="26">
        <v>45509.09898148148</v>
      </c>
      <c r="D365" s="26"/>
      <c r="E365" s="28" t="s">
        <v>3964</v>
      </c>
      <c r="F365" s="24"/>
      <c r="G365" s="35">
        <v>45509.0</v>
      </c>
      <c r="H365" s="35"/>
      <c r="I365" s="35"/>
      <c r="J365" s="34"/>
      <c r="K365" s="24"/>
      <c r="L365" s="24"/>
      <c r="M365" s="28">
        <f>HYPERLINK("https://app.hubspot.com/contacts/8748051/record/0-2/22237390484", 22237390484)</f>
        <v>22237390484</v>
      </c>
      <c r="N365" s="24" t="s">
        <v>3965</v>
      </c>
      <c r="O365" s="34"/>
      <c r="P365" s="24"/>
      <c r="Q365" s="24"/>
      <c r="R365" s="24"/>
      <c r="S365" s="24"/>
      <c r="T365" s="34" t="str">
        <f t="shared" ref="T365:V365" si="369">IF(G365&lt;&gt;"","Yes","")</f>
        <v>Yes</v>
      </c>
      <c r="U365" s="34" t="str">
        <f t="shared" si="369"/>
        <v/>
      </c>
      <c r="V365" s="34" t="str">
        <f t="shared" si="369"/>
        <v/>
      </c>
      <c r="W365" s="34" t="str">
        <f t="shared" si="3"/>
        <v/>
      </c>
      <c r="X365" s="24" t="str">
        <f t="shared" si="4"/>
        <v/>
      </c>
    </row>
    <row r="366" ht="14.25" customHeight="1">
      <c r="A366" s="28">
        <f>HYPERLINK("https://app.hubspot.com/contacts/8748051/record/0-1/44710745269", 44710745269)</f>
        <v>44710745269</v>
      </c>
      <c r="B366" s="24" t="s">
        <v>3966</v>
      </c>
      <c r="C366" s="26">
        <v>45505.488958333335</v>
      </c>
      <c r="D366" s="26"/>
      <c r="E366" s="28" t="s">
        <v>3967</v>
      </c>
      <c r="F366" s="24" t="s">
        <v>3968</v>
      </c>
      <c r="G366" s="35"/>
      <c r="H366" s="35"/>
      <c r="I366" s="35"/>
      <c r="J366" s="34"/>
      <c r="K366" s="24"/>
      <c r="L366" s="24"/>
      <c r="M366" s="28">
        <f>HYPERLINK("https://app.hubspot.com/contacts/8748051/record/0-2/22186281826", 22186281826)</f>
        <v>22186281826</v>
      </c>
      <c r="N366" s="24" t="s">
        <v>3969</v>
      </c>
      <c r="O366" s="24"/>
      <c r="P366" s="24"/>
      <c r="Q366" s="24"/>
      <c r="R366" s="24"/>
      <c r="S366" s="24"/>
      <c r="T366" s="34" t="str">
        <f t="shared" ref="T366:V366" si="370">IF(G366&lt;&gt;"","Yes","")</f>
        <v/>
      </c>
      <c r="U366" s="34" t="str">
        <f t="shared" si="370"/>
        <v/>
      </c>
      <c r="V366" s="34" t="str">
        <f t="shared" si="370"/>
        <v/>
      </c>
      <c r="W366" s="34" t="str">
        <f t="shared" si="3"/>
        <v/>
      </c>
      <c r="X366" s="24" t="str">
        <f t="shared" si="4"/>
        <v/>
      </c>
    </row>
    <row r="367" ht="14.25" customHeight="1">
      <c r="A367" s="28">
        <f>HYPERLINK("https://app.hubspot.com/contacts/8748051/record/0-1/44057321592", 44057321592)</f>
        <v>44057321592</v>
      </c>
      <c r="B367" s="24" t="s">
        <v>3970</v>
      </c>
      <c r="C367" s="26">
        <v>45503.63015046297</v>
      </c>
      <c r="D367" s="26"/>
      <c r="E367" s="28" t="s">
        <v>3971</v>
      </c>
      <c r="F367" s="24"/>
      <c r="G367" s="35">
        <v>45506.0</v>
      </c>
      <c r="H367" s="35"/>
      <c r="I367" s="35"/>
      <c r="J367" s="34"/>
      <c r="K367" s="24"/>
      <c r="L367" s="24"/>
      <c r="M367" s="28">
        <f>HYPERLINK("https://app.hubspot.com/contacts/8748051/record/0-2/19176678430", 19176678430)</f>
        <v>19176678430</v>
      </c>
      <c r="N367" s="24" t="s">
        <v>3972</v>
      </c>
      <c r="O367" s="24"/>
      <c r="P367" s="24"/>
      <c r="Q367" s="24"/>
      <c r="R367" s="24"/>
      <c r="S367" s="34"/>
      <c r="T367" s="34" t="str">
        <f t="shared" ref="T367:V367" si="371">IF(G367&lt;&gt;"","Yes","")</f>
        <v>Yes</v>
      </c>
      <c r="U367" s="34" t="str">
        <f t="shared" si="371"/>
        <v/>
      </c>
      <c r="V367" s="34" t="str">
        <f t="shared" si="371"/>
        <v/>
      </c>
      <c r="W367" s="34" t="str">
        <f t="shared" si="3"/>
        <v/>
      </c>
      <c r="X367" s="24" t="str">
        <f t="shared" si="4"/>
        <v/>
      </c>
    </row>
    <row r="368" ht="14.25" customHeight="1">
      <c r="A368" s="28">
        <f>HYPERLINK("https://app.hubspot.com/contacts/8748051/record/0-1/41522854475", 41522854475)</f>
        <v>41522854475</v>
      </c>
      <c r="B368" s="24" t="s">
        <v>3973</v>
      </c>
      <c r="C368" s="26">
        <v>45496.24699074074</v>
      </c>
      <c r="D368" s="26"/>
      <c r="E368" s="28" t="s">
        <v>3974</v>
      </c>
      <c r="F368" s="24" t="s">
        <v>3975</v>
      </c>
      <c r="G368" s="35"/>
      <c r="H368" s="35"/>
      <c r="I368" s="35"/>
      <c r="J368" s="34"/>
      <c r="K368" s="34"/>
      <c r="L368" s="34"/>
      <c r="M368" s="28">
        <f>HYPERLINK("https://app.hubspot.com/contacts/8748051/record/0-2/22022675354", 22022675354)</f>
        <v>22022675354</v>
      </c>
      <c r="N368" s="24" t="s">
        <v>3976</v>
      </c>
      <c r="O368" s="24"/>
      <c r="P368" s="24"/>
      <c r="Q368" s="24"/>
      <c r="R368" s="24"/>
      <c r="S368" s="24"/>
      <c r="T368" s="34" t="str">
        <f t="shared" ref="T368:V368" si="372">IF(G368&lt;&gt;"","Yes","")</f>
        <v/>
      </c>
      <c r="U368" s="34" t="str">
        <f t="shared" si="372"/>
        <v/>
      </c>
      <c r="V368" s="34" t="str">
        <f t="shared" si="372"/>
        <v/>
      </c>
      <c r="W368" s="34" t="str">
        <f t="shared" si="3"/>
        <v/>
      </c>
      <c r="X368" s="24" t="str">
        <f t="shared" si="4"/>
        <v/>
      </c>
    </row>
    <row r="369" ht="14.25" customHeight="1">
      <c r="A369" s="28">
        <f>HYPERLINK("https://app.hubspot.com/contacts/8748051/record/0-1/38609057842", 38609057842)</f>
        <v>38609057842</v>
      </c>
      <c r="B369" s="24" t="s">
        <v>3977</v>
      </c>
      <c r="C369" s="26">
        <v>45491.56842592593</v>
      </c>
      <c r="D369" s="26"/>
      <c r="E369" s="28" t="s">
        <v>3978</v>
      </c>
      <c r="F369" s="24"/>
      <c r="G369" s="35">
        <v>45486.0</v>
      </c>
      <c r="H369" s="35"/>
      <c r="I369" s="35"/>
      <c r="J369" s="34"/>
      <c r="K369" s="34"/>
      <c r="L369" s="34"/>
      <c r="M369" s="28">
        <f>HYPERLINK("https://app.hubspot.com/contacts/8748051/record/0-2/21872354883", 21872354883)</f>
        <v>21872354883</v>
      </c>
      <c r="N369" s="24" t="s">
        <v>3979</v>
      </c>
      <c r="O369" s="34"/>
      <c r="P369" s="24"/>
      <c r="Q369" s="24"/>
      <c r="R369" s="24"/>
      <c r="S369" s="24"/>
      <c r="T369" s="34" t="str">
        <f t="shared" ref="T369:V369" si="373">IF(G369&lt;&gt;"","Yes","")</f>
        <v>Yes</v>
      </c>
      <c r="U369" s="34" t="str">
        <f t="shared" si="373"/>
        <v/>
      </c>
      <c r="V369" s="34" t="str">
        <f t="shared" si="373"/>
        <v/>
      </c>
      <c r="W369" s="34" t="str">
        <f t="shared" si="3"/>
        <v/>
      </c>
      <c r="X369" s="24" t="str">
        <f t="shared" si="4"/>
        <v/>
      </c>
    </row>
    <row r="370" ht="14.25" customHeight="1">
      <c r="A370" s="28">
        <f>HYPERLINK("https://app.hubspot.com/contacts/8748051/record/0-1/180991864190", 180991864190)</f>
        <v>180991864190</v>
      </c>
      <c r="B370" s="24" t="s">
        <v>3980</v>
      </c>
      <c r="C370" s="26">
        <v>45489.52847222222</v>
      </c>
      <c r="D370" s="26"/>
      <c r="E370" s="28" t="s">
        <v>219</v>
      </c>
      <c r="F370" s="24"/>
      <c r="G370" s="35">
        <v>45489.0</v>
      </c>
      <c r="H370" s="35">
        <v>45491.0</v>
      </c>
      <c r="I370" s="35">
        <v>45491.0</v>
      </c>
      <c r="J370" s="34"/>
      <c r="K370" s="24"/>
      <c r="L370" s="24"/>
      <c r="M370" s="28">
        <f>HYPERLINK("https://app.hubspot.com/contacts/8748051/record/0-2/21926460338", 21926460338)</f>
        <v>21926460338</v>
      </c>
      <c r="N370" s="24" t="s">
        <v>218</v>
      </c>
      <c r="O370" s="28">
        <f>HYPERLINK("https://app.hubspot.com/contacts/8748051/record/0-3/20829052298", 20829052298)</f>
        <v>20829052298</v>
      </c>
      <c r="P370" s="24" t="s">
        <v>1549</v>
      </c>
      <c r="Q370" s="24" t="s">
        <v>92</v>
      </c>
      <c r="R370" s="24">
        <v>8500.0</v>
      </c>
      <c r="S370" s="24" t="b">
        <v>1</v>
      </c>
      <c r="T370" s="34" t="str">
        <f t="shared" ref="T370:V370" si="374">IF(G370&lt;&gt;"","Yes","")</f>
        <v>Yes</v>
      </c>
      <c r="U370" s="34" t="str">
        <f t="shared" si="374"/>
        <v>Yes</v>
      </c>
      <c r="V370" s="34" t="str">
        <f t="shared" si="374"/>
        <v>Yes</v>
      </c>
      <c r="W370" s="34" t="str">
        <f t="shared" si="3"/>
        <v>Yes</v>
      </c>
      <c r="X370" s="24" t="str">
        <f t="shared" si="4"/>
        <v/>
      </c>
    </row>
    <row r="371" ht="14.25" customHeight="1">
      <c r="A371" s="28">
        <f>HYPERLINK("https://app.hubspot.com/contacts/8748051/record/0-1/30809343519", 30809343519)</f>
        <v>30809343519</v>
      </c>
      <c r="B371" s="24" t="s">
        <v>3981</v>
      </c>
      <c r="C371" s="26">
        <v>45481.14027777778</v>
      </c>
      <c r="D371" s="26"/>
      <c r="E371" s="28" t="s">
        <v>3982</v>
      </c>
      <c r="F371" s="24" t="s">
        <v>3983</v>
      </c>
      <c r="G371" s="35"/>
      <c r="H371" s="35"/>
      <c r="I371" s="35"/>
      <c r="J371" s="34"/>
      <c r="K371" s="24"/>
      <c r="L371" s="24"/>
      <c r="M371" s="28">
        <f>HYPERLINK("https://app.hubspot.com/contacts/8748051/record/0-2/21793253561", 21793253561)</f>
        <v>21793253561</v>
      </c>
      <c r="N371" s="28" t="s">
        <v>3984</v>
      </c>
      <c r="O371" s="34"/>
      <c r="P371" s="24"/>
      <c r="Q371" s="24"/>
      <c r="R371" s="24"/>
      <c r="S371" s="24"/>
      <c r="T371" s="34" t="str">
        <f t="shared" ref="T371:V371" si="375">IF(G371&lt;&gt;"","Yes","")</f>
        <v/>
      </c>
      <c r="U371" s="34" t="str">
        <f t="shared" si="375"/>
        <v/>
      </c>
      <c r="V371" s="34" t="str">
        <f t="shared" si="375"/>
        <v/>
      </c>
      <c r="W371" s="34" t="str">
        <f t="shared" si="3"/>
        <v/>
      </c>
      <c r="X371" s="24" t="str">
        <f t="shared" si="4"/>
        <v/>
      </c>
    </row>
    <row r="372" ht="14.25" customHeight="1">
      <c r="A372" s="28">
        <f>HYPERLINK("https://app.hubspot.com/contacts/8748051/record/0-1/36400709644", 36400709644)</f>
        <v>36400709644</v>
      </c>
      <c r="B372" s="24" t="s">
        <v>3985</v>
      </c>
      <c r="C372" s="26">
        <v>45478.471863425926</v>
      </c>
      <c r="D372" s="26"/>
      <c r="E372" s="28" t="s">
        <v>3986</v>
      </c>
      <c r="F372" s="24"/>
      <c r="G372" s="35">
        <v>45481.0</v>
      </c>
      <c r="H372" s="35"/>
      <c r="I372" s="35"/>
      <c r="J372" s="24"/>
      <c r="K372" s="24"/>
      <c r="L372" s="34"/>
      <c r="M372" s="28">
        <f>HYPERLINK("https://app.hubspot.com/contacts/8748051/record/0-2/21758718374", 21758718374)</f>
        <v>21758718374</v>
      </c>
      <c r="N372" s="24" t="s">
        <v>3987</v>
      </c>
      <c r="O372" s="24"/>
      <c r="P372" s="24"/>
      <c r="Q372" s="24"/>
      <c r="R372" s="24"/>
      <c r="S372" s="24"/>
      <c r="T372" s="34" t="str">
        <f t="shared" ref="T372:V372" si="376">IF(G372&lt;&gt;"","Yes","")</f>
        <v>Yes</v>
      </c>
      <c r="U372" s="34" t="str">
        <f t="shared" si="376"/>
        <v/>
      </c>
      <c r="V372" s="34" t="str">
        <f t="shared" si="376"/>
        <v/>
      </c>
      <c r="W372" s="34" t="str">
        <f t="shared" si="3"/>
        <v/>
      </c>
      <c r="X372" s="24" t="str">
        <f t="shared" si="4"/>
        <v/>
      </c>
    </row>
    <row r="373" ht="14.25" customHeight="1">
      <c r="A373" s="28">
        <f>HYPERLINK("https://app.hubspot.com/contacts/8748051/record/0-1/36073220435", 36073220435)</f>
        <v>36073220435</v>
      </c>
      <c r="B373" s="24" t="s">
        <v>3988</v>
      </c>
      <c r="C373" s="26">
        <v>45477.295266203706</v>
      </c>
      <c r="D373" s="26"/>
      <c r="E373" s="28" t="s">
        <v>1566</v>
      </c>
      <c r="F373" s="24"/>
      <c r="G373" s="35">
        <v>45477.0</v>
      </c>
      <c r="H373" s="35">
        <v>45478.0</v>
      </c>
      <c r="I373" s="35">
        <v>45478.0</v>
      </c>
      <c r="J373" s="24"/>
      <c r="K373" s="24"/>
      <c r="L373" s="24"/>
      <c r="M373" s="28">
        <f>HYPERLINK("https://app.hubspot.com/contacts/8748051/record/0-2/21741925895", 21741925895)</f>
        <v>21741925895</v>
      </c>
      <c r="N373" s="24" t="s">
        <v>1565</v>
      </c>
      <c r="O373" s="28">
        <f>HYPERLINK("https://app.hubspot.com/contacts/8748051/record/0-3/20604661097", 20604661097)</f>
        <v>20604661097</v>
      </c>
      <c r="P373" s="24" t="s">
        <v>1564</v>
      </c>
      <c r="Q373" s="24" t="s">
        <v>73</v>
      </c>
      <c r="R373" s="24">
        <v>25000.0</v>
      </c>
      <c r="S373" s="24"/>
      <c r="T373" s="34" t="str">
        <f t="shared" ref="T373:V373" si="377">IF(G373&lt;&gt;"","Yes","")</f>
        <v>Yes</v>
      </c>
      <c r="U373" s="34" t="str">
        <f t="shared" si="377"/>
        <v>Yes</v>
      </c>
      <c r="V373" s="34" t="str">
        <f t="shared" si="377"/>
        <v>Yes</v>
      </c>
      <c r="W373" s="34" t="str">
        <f t="shared" si="3"/>
        <v/>
      </c>
      <c r="X373" s="24" t="str">
        <f t="shared" si="4"/>
        <v/>
      </c>
    </row>
    <row r="374" ht="14.25" customHeight="1">
      <c r="A374" s="28">
        <f>HYPERLINK("https://app.hubspot.com/contacts/8748051/record/0-1/35496965042", 35496965042)</f>
        <v>35496965042</v>
      </c>
      <c r="B374" s="24" t="s">
        <v>3989</v>
      </c>
      <c r="C374" s="26">
        <v>45475.65420138889</v>
      </c>
      <c r="D374" s="26"/>
      <c r="E374" s="28" t="s">
        <v>1557</v>
      </c>
      <c r="F374" s="24"/>
      <c r="G374" s="35">
        <v>45476.0</v>
      </c>
      <c r="H374" s="35">
        <v>45476.0</v>
      </c>
      <c r="I374" s="35">
        <v>45484.0</v>
      </c>
      <c r="J374" s="34"/>
      <c r="K374" s="24"/>
      <c r="L374" s="24"/>
      <c r="M374" s="28">
        <f>HYPERLINK("https://app.hubspot.com/contacts/8748051/record/0-2/21708541544", 21708541544)</f>
        <v>21708541544</v>
      </c>
      <c r="N374" s="24" t="s">
        <v>1556</v>
      </c>
      <c r="O374" s="28">
        <f>HYPERLINK("https://app.hubspot.com/contacts/8748051/record/0-3/20614218619", 20614218619)</f>
        <v>20614218619</v>
      </c>
      <c r="P374" s="24" t="s">
        <v>1555</v>
      </c>
      <c r="Q374" s="24" t="s">
        <v>73</v>
      </c>
      <c r="R374" s="24">
        <v>240.0</v>
      </c>
      <c r="S374" s="24"/>
      <c r="T374" s="34" t="str">
        <f t="shared" ref="T374:V374" si="378">IF(G374&lt;&gt;"","Yes","")</f>
        <v>Yes</v>
      </c>
      <c r="U374" s="34" t="str">
        <f t="shared" si="378"/>
        <v>Yes</v>
      </c>
      <c r="V374" s="34" t="str">
        <f t="shared" si="378"/>
        <v>Yes</v>
      </c>
      <c r="W374" s="34" t="str">
        <f t="shared" si="3"/>
        <v/>
      </c>
      <c r="X374" s="24" t="str">
        <f t="shared" si="4"/>
        <v/>
      </c>
    </row>
    <row r="375" ht="14.25" customHeight="1">
      <c r="A375" s="28">
        <f>HYPERLINK("https://app.hubspot.com/contacts/8748051/record/0-1/35041989756", 35041989756)</f>
        <v>35041989756</v>
      </c>
      <c r="B375" s="24" t="s">
        <v>3990</v>
      </c>
      <c r="C375" s="26">
        <v>45474.38738425926</v>
      </c>
      <c r="D375" s="26"/>
      <c r="E375" s="28" t="s">
        <v>3991</v>
      </c>
      <c r="F375" s="24"/>
      <c r="G375" s="35">
        <v>45474.0</v>
      </c>
      <c r="H375" s="35"/>
      <c r="I375" s="35"/>
      <c r="J375" s="24"/>
      <c r="K375" s="24"/>
      <c r="L375" s="24"/>
      <c r="M375" s="28">
        <f>HYPERLINK("https://app.hubspot.com/contacts/8748051/record/0-2/21686214585", 21686214585)</f>
        <v>21686214585</v>
      </c>
      <c r="N375" s="24" t="s">
        <v>3992</v>
      </c>
      <c r="O375" s="34"/>
      <c r="P375" s="24"/>
      <c r="Q375" s="24"/>
      <c r="R375" s="24"/>
      <c r="S375" s="24"/>
      <c r="T375" s="34" t="str">
        <f t="shared" ref="T375:V375" si="379">IF(G375&lt;&gt;"","Yes","")</f>
        <v>Yes</v>
      </c>
      <c r="U375" s="34" t="str">
        <f t="shared" si="379"/>
        <v/>
      </c>
      <c r="V375" s="34" t="str">
        <f t="shared" si="379"/>
        <v/>
      </c>
      <c r="W375" s="34" t="str">
        <f t="shared" si="3"/>
        <v/>
      </c>
      <c r="X375" s="24" t="str">
        <f t="shared" si="4"/>
        <v/>
      </c>
    </row>
    <row r="376" ht="14.25" customHeight="1">
      <c r="A376" s="28">
        <f>HYPERLINK("https://app.hubspot.com/contacts/8748051/record/0-1/33672278180", 33672278180)</f>
        <v>33672278180</v>
      </c>
      <c r="B376" s="24" t="s">
        <v>3993</v>
      </c>
      <c r="C376" s="26">
        <v>45469.80900462963</v>
      </c>
      <c r="D376" s="26"/>
      <c r="E376" s="28" t="s">
        <v>1576</v>
      </c>
      <c r="F376" s="24"/>
      <c r="G376" s="35">
        <v>45470.0</v>
      </c>
      <c r="H376" s="35">
        <v>45482.0</v>
      </c>
      <c r="I376" s="35"/>
      <c r="J376" s="34"/>
      <c r="K376" s="24"/>
      <c r="L376" s="24"/>
      <c r="M376" s="28">
        <f>HYPERLINK("https://app.hubspot.com/contacts/8748051/record/0-2/7646130300", 7646130300)</f>
        <v>7646130300</v>
      </c>
      <c r="N376" s="24" t="s">
        <v>1575</v>
      </c>
      <c r="O376" s="28">
        <f>HYPERLINK("https://app.hubspot.com/contacts/8748051/record/0-3/20470019409", 20470019409)</f>
        <v>20470019409</v>
      </c>
      <c r="P376" s="24" t="s">
        <v>1574</v>
      </c>
      <c r="Q376" s="24" t="s">
        <v>73</v>
      </c>
      <c r="R376" s="24">
        <v>5040.0</v>
      </c>
      <c r="S376" s="24"/>
      <c r="T376" s="34" t="str">
        <f t="shared" ref="T376:V376" si="380">IF(G376&lt;&gt;"","Yes","")</f>
        <v>Yes</v>
      </c>
      <c r="U376" s="34" t="str">
        <f t="shared" si="380"/>
        <v>Yes</v>
      </c>
      <c r="V376" s="34" t="str">
        <f t="shared" si="380"/>
        <v/>
      </c>
      <c r="W376" s="34" t="str">
        <f t="shared" si="3"/>
        <v/>
      </c>
      <c r="X376" s="24" t="str">
        <f t="shared" si="4"/>
        <v/>
      </c>
    </row>
    <row r="377" ht="14.25" customHeight="1">
      <c r="A377" s="28">
        <f>HYPERLINK("https://app.hubspot.com/contacts/8748051/record/0-1/33066397530", 33066397530)</f>
        <v>33066397530</v>
      </c>
      <c r="B377" s="24" t="s">
        <v>3994</v>
      </c>
      <c r="C377" s="26">
        <v>45468.26069444444</v>
      </c>
      <c r="D377" s="26"/>
      <c r="E377" s="28" t="s">
        <v>1590</v>
      </c>
      <c r="F377" s="24"/>
      <c r="G377" s="35">
        <v>45468.0</v>
      </c>
      <c r="H377" s="35">
        <v>45469.0</v>
      </c>
      <c r="I377" s="35">
        <v>45499.0</v>
      </c>
      <c r="J377" s="34"/>
      <c r="K377" s="24"/>
      <c r="L377" s="24"/>
      <c r="M377" s="28">
        <f>HYPERLINK("https://app.hubspot.com/contacts/8748051/record/0-2/8946917146", 8946917146)</f>
        <v>8946917146</v>
      </c>
      <c r="N377" s="24" t="s">
        <v>1589</v>
      </c>
      <c r="O377" s="28">
        <f>HYPERLINK("https://app.hubspot.com/contacts/8748051/record/0-3/20461954884", 20461954884)</f>
        <v>20461954884</v>
      </c>
      <c r="P377" s="24" t="s">
        <v>1587</v>
      </c>
      <c r="Q377" s="24" t="s">
        <v>92</v>
      </c>
      <c r="R377" s="24">
        <v>4050.0</v>
      </c>
      <c r="S377" s="24" t="b">
        <v>1</v>
      </c>
      <c r="T377" s="34" t="str">
        <f t="shared" ref="T377:V377" si="381">IF(G377&lt;&gt;"","Yes","")</f>
        <v>Yes</v>
      </c>
      <c r="U377" s="34" t="str">
        <f t="shared" si="381"/>
        <v>Yes</v>
      </c>
      <c r="V377" s="34" t="str">
        <f t="shared" si="381"/>
        <v>Yes</v>
      </c>
      <c r="W377" s="34" t="str">
        <f t="shared" si="3"/>
        <v>Yes</v>
      </c>
      <c r="X377" s="24" t="str">
        <f t="shared" si="4"/>
        <v/>
      </c>
    </row>
    <row r="378" ht="14.25" customHeight="1">
      <c r="A378" s="28">
        <f>HYPERLINK("https://app.hubspot.com/contacts/8748051/record/0-1/32712439376", 32712439376)</f>
        <v>32712439376</v>
      </c>
      <c r="B378" s="24" t="s">
        <v>3995</v>
      </c>
      <c r="C378" s="26">
        <v>45467.08857638889</v>
      </c>
      <c r="D378" s="26"/>
      <c r="E378" s="24" t="s">
        <v>3996</v>
      </c>
      <c r="F378" s="24"/>
      <c r="G378" s="35">
        <v>45467.0</v>
      </c>
      <c r="H378" s="35">
        <v>45467.0</v>
      </c>
      <c r="I378" s="35"/>
      <c r="J378" s="34"/>
      <c r="K378" s="24"/>
      <c r="L378" s="24"/>
      <c r="M378" s="28">
        <f>HYPERLINK("https://app.hubspot.com/contacts/8748051/record/0-2/21571204495", 21571204495)</f>
        <v>21571204495</v>
      </c>
      <c r="N378" s="24" t="s">
        <v>3997</v>
      </c>
      <c r="O378" s="34"/>
      <c r="P378" s="24"/>
      <c r="Q378" s="24"/>
      <c r="R378" s="24"/>
      <c r="S378" s="24"/>
      <c r="T378" s="34" t="str">
        <f t="shared" ref="T378:V378" si="382">IF(G378&lt;&gt;"","Yes","")</f>
        <v>Yes</v>
      </c>
      <c r="U378" s="34" t="str">
        <f t="shared" si="382"/>
        <v>Yes</v>
      </c>
      <c r="V378" s="34" t="str">
        <f t="shared" si="382"/>
        <v/>
      </c>
      <c r="W378" s="34" t="str">
        <f t="shared" si="3"/>
        <v/>
      </c>
      <c r="X378" s="24" t="str">
        <f t="shared" si="4"/>
        <v/>
      </c>
    </row>
    <row r="379" ht="14.25" customHeight="1">
      <c r="A379" s="28">
        <f>HYPERLINK("https://app.hubspot.com/contacts/8748051/record/0-1/29590282771", 29590282771)</f>
        <v>29590282771</v>
      </c>
      <c r="B379" s="24" t="s">
        <v>3998</v>
      </c>
      <c r="C379" s="26">
        <v>45455.76923611111</v>
      </c>
      <c r="D379" s="26"/>
      <c r="E379" s="28" t="s">
        <v>3999</v>
      </c>
      <c r="F379" s="24"/>
      <c r="G379" s="35">
        <v>45456.0</v>
      </c>
      <c r="H379" s="35"/>
      <c r="I379" s="35"/>
      <c r="J379" s="24"/>
      <c r="K379" s="24"/>
      <c r="L379" s="24"/>
      <c r="M379" s="28">
        <f>HYPERLINK("https://app.hubspot.com/contacts/8748051/record/0-2/21404272756", 21404272756)</f>
        <v>21404272756</v>
      </c>
      <c r="N379" s="24" t="s">
        <v>4000</v>
      </c>
      <c r="O379" s="24"/>
      <c r="P379" s="24"/>
      <c r="Q379" s="24"/>
      <c r="R379" s="24"/>
      <c r="S379" s="24"/>
      <c r="T379" s="34" t="str">
        <f t="shared" ref="T379:V379" si="383">IF(G379&lt;&gt;"","Yes","")</f>
        <v>Yes</v>
      </c>
      <c r="U379" s="34" t="str">
        <f t="shared" si="383"/>
        <v/>
      </c>
      <c r="V379" s="34" t="str">
        <f t="shared" si="383"/>
        <v/>
      </c>
      <c r="W379" s="34" t="str">
        <f t="shared" si="3"/>
        <v/>
      </c>
      <c r="X379" s="24" t="str">
        <f t="shared" si="4"/>
        <v/>
      </c>
    </row>
    <row r="380" ht="14.25" customHeight="1">
      <c r="A380" s="28">
        <f>HYPERLINK("https://app.hubspot.com/contacts/8748051/record/0-1/29174117733", 29174117733)</f>
        <v>29174117733</v>
      </c>
      <c r="B380" s="24" t="s">
        <v>4001</v>
      </c>
      <c r="C380" s="26">
        <v>45454.49618055556</v>
      </c>
      <c r="D380" s="26"/>
      <c r="E380" s="28" t="s">
        <v>1634</v>
      </c>
      <c r="F380" s="24"/>
      <c r="G380" s="35">
        <v>45454.0</v>
      </c>
      <c r="H380" s="35">
        <v>45457.0</v>
      </c>
      <c r="I380" s="35">
        <v>45457.0</v>
      </c>
      <c r="J380" s="34"/>
      <c r="K380" s="24"/>
      <c r="L380" s="34"/>
      <c r="M380" s="28">
        <f>HYPERLINK("https://app.hubspot.com/contacts/8748051/record/0-2/9069721364", 9069721364)</f>
        <v>9069721364</v>
      </c>
      <c r="N380" s="24" t="s">
        <v>1633</v>
      </c>
      <c r="O380" s="33">
        <f>HYPERLINK("https://app.hubspot.com/contacts/8748051/record/0-3/20075053706", 20075053706)</f>
        <v>20075053706</v>
      </c>
      <c r="P380" s="24" t="s">
        <v>1632</v>
      </c>
      <c r="Q380" s="24" t="s">
        <v>73</v>
      </c>
      <c r="R380" s="24">
        <v>3360.0</v>
      </c>
      <c r="S380" s="24"/>
      <c r="T380" s="34" t="str">
        <f t="shared" ref="T380:V380" si="384">IF(G380&lt;&gt;"","Yes","")</f>
        <v>Yes</v>
      </c>
      <c r="U380" s="34" t="str">
        <f t="shared" si="384"/>
        <v>Yes</v>
      </c>
      <c r="V380" s="34" t="str">
        <f t="shared" si="384"/>
        <v>Yes</v>
      </c>
      <c r="W380" s="34" t="str">
        <f t="shared" si="3"/>
        <v/>
      </c>
      <c r="X380" s="24" t="str">
        <f t="shared" si="4"/>
        <v/>
      </c>
    </row>
    <row r="381" ht="14.25" customHeight="1">
      <c r="A381" s="28">
        <f>HYPERLINK("https://app.hubspot.com/contacts/8748051/record/0-1/29170006107", 29170006107)</f>
        <v>29170006107</v>
      </c>
      <c r="B381" s="24" t="s">
        <v>4002</v>
      </c>
      <c r="C381" s="26">
        <v>45454.44684027778</v>
      </c>
      <c r="D381" s="26"/>
      <c r="E381" s="28" t="s">
        <v>4003</v>
      </c>
      <c r="F381" s="24" t="s">
        <v>4004</v>
      </c>
      <c r="G381" s="35"/>
      <c r="H381" s="35"/>
      <c r="I381" s="35"/>
      <c r="J381" s="34"/>
      <c r="K381" s="24"/>
      <c r="L381" s="24"/>
      <c r="M381" s="28">
        <f>HYPERLINK("https://app.hubspot.com/contacts/8748051/record/0-2/21373083162", 21373083162)</f>
        <v>21373083162</v>
      </c>
      <c r="N381" s="24" t="s">
        <v>4005</v>
      </c>
      <c r="O381" s="24"/>
      <c r="P381" s="24"/>
      <c r="Q381" s="24"/>
      <c r="R381" s="24"/>
      <c r="S381" s="24"/>
      <c r="T381" s="34" t="str">
        <f t="shared" ref="T381:V381" si="385">IF(G381&lt;&gt;"","Yes","")</f>
        <v/>
      </c>
      <c r="U381" s="34" t="str">
        <f t="shared" si="385"/>
        <v/>
      </c>
      <c r="V381" s="34" t="str">
        <f t="shared" si="385"/>
        <v/>
      </c>
      <c r="W381" s="34" t="str">
        <f t="shared" si="3"/>
        <v/>
      </c>
      <c r="X381" s="24" t="str">
        <f t="shared" si="4"/>
        <v/>
      </c>
    </row>
    <row r="382" ht="14.25" customHeight="1">
      <c r="A382" s="28">
        <f>HYPERLINK("https://app.hubspot.com/contacts/8748051/record/0-1/29059814464", 29059814464)</f>
        <v>29059814464</v>
      </c>
      <c r="B382" s="24" t="s">
        <v>4006</v>
      </c>
      <c r="C382" s="26">
        <v>45454.11324074074</v>
      </c>
      <c r="D382" s="26"/>
      <c r="E382" s="28" t="s">
        <v>4007</v>
      </c>
      <c r="F382" s="24"/>
      <c r="G382" s="35">
        <v>45454.0</v>
      </c>
      <c r="H382" s="35">
        <v>45454.0</v>
      </c>
      <c r="I382" s="35">
        <v>45454.0</v>
      </c>
      <c r="J382" s="34"/>
      <c r="K382" s="24"/>
      <c r="L382" s="34"/>
      <c r="M382" s="28">
        <f>HYPERLINK("https://app.hubspot.com/contacts/8748051/record/0-2/19176630067", 19176630067)</f>
        <v>19176630067</v>
      </c>
      <c r="N382" s="24" t="s">
        <v>4008</v>
      </c>
      <c r="O382" s="34"/>
      <c r="P382" s="24"/>
      <c r="Q382" s="24"/>
      <c r="R382" s="24"/>
      <c r="S382" s="24"/>
      <c r="T382" s="34" t="str">
        <f t="shared" ref="T382:V382" si="386">IF(G382&lt;&gt;"","Yes","")</f>
        <v>Yes</v>
      </c>
      <c r="U382" s="34" t="str">
        <f t="shared" si="386"/>
        <v>Yes</v>
      </c>
      <c r="V382" s="34" t="str">
        <f t="shared" si="386"/>
        <v>Yes</v>
      </c>
      <c r="W382" s="34" t="str">
        <f t="shared" si="3"/>
        <v/>
      </c>
      <c r="X382" s="24" t="str">
        <f t="shared" si="4"/>
        <v/>
      </c>
    </row>
    <row r="383" ht="14.25" customHeight="1">
      <c r="A383" s="28">
        <f>HYPERLINK("https://app.hubspot.com/contacts/8748051/record/0-1/28061694628", 28061694628)</f>
        <v>28061694628</v>
      </c>
      <c r="B383" s="24" t="s">
        <v>4009</v>
      </c>
      <c r="C383" s="26">
        <v>45450.26971064815</v>
      </c>
      <c r="D383" s="26"/>
      <c r="E383" s="28" t="s">
        <v>4010</v>
      </c>
      <c r="F383" s="24"/>
      <c r="G383" s="35">
        <v>45450.0</v>
      </c>
      <c r="H383" s="35"/>
      <c r="I383" s="35"/>
      <c r="J383" s="34"/>
      <c r="K383" s="24"/>
      <c r="L383" s="24"/>
      <c r="M383" s="28">
        <f>HYPERLINK("https://app.hubspot.com/contacts/8748051/record/0-2/21304934567", 21304934567)</f>
        <v>21304934567</v>
      </c>
      <c r="N383" s="28" t="s">
        <v>4010</v>
      </c>
      <c r="O383" s="34"/>
      <c r="P383" s="24"/>
      <c r="Q383" s="24"/>
      <c r="R383" s="24"/>
      <c r="S383" s="24"/>
      <c r="T383" s="34" t="str">
        <f t="shared" ref="T383:V383" si="387">IF(G383&lt;&gt;"","Yes","")</f>
        <v>Yes</v>
      </c>
      <c r="U383" s="34" t="str">
        <f t="shared" si="387"/>
        <v/>
      </c>
      <c r="V383" s="34" t="str">
        <f t="shared" si="387"/>
        <v/>
      </c>
      <c r="W383" s="34" t="str">
        <f t="shared" si="3"/>
        <v/>
      </c>
      <c r="X383" s="24" t="str">
        <f t="shared" si="4"/>
        <v/>
      </c>
    </row>
    <row r="384" ht="14.25" customHeight="1">
      <c r="A384" s="28">
        <f>HYPERLINK("https://app.hubspot.com/contacts/8748051/record/0-1/27686359921", 27686359921)</f>
        <v>27686359921</v>
      </c>
      <c r="B384" s="24" t="s">
        <v>4011</v>
      </c>
      <c r="C384" s="26">
        <v>45449.05642361111</v>
      </c>
      <c r="D384" s="26"/>
      <c r="E384" s="28" t="s">
        <v>4012</v>
      </c>
      <c r="F384" s="24" t="s">
        <v>4013</v>
      </c>
      <c r="G384" s="35"/>
      <c r="H384" s="35"/>
      <c r="I384" s="35"/>
      <c r="J384" s="24"/>
      <c r="K384" s="24"/>
      <c r="L384" s="24"/>
      <c r="M384" s="28">
        <f>HYPERLINK("https://app.hubspot.com/contacts/8748051/record/0-2/21282967135", 21282967135)</f>
        <v>21282967135</v>
      </c>
      <c r="N384" s="24" t="s">
        <v>4014</v>
      </c>
      <c r="O384" s="34"/>
      <c r="P384" s="24"/>
      <c r="Q384" s="24"/>
      <c r="R384" s="24"/>
      <c r="S384" s="24"/>
      <c r="T384" s="34" t="str">
        <f t="shared" ref="T384:V384" si="388">IF(G384&lt;&gt;"","Yes","")</f>
        <v/>
      </c>
      <c r="U384" s="34" t="str">
        <f t="shared" si="388"/>
        <v/>
      </c>
      <c r="V384" s="34" t="str">
        <f t="shared" si="388"/>
        <v/>
      </c>
      <c r="W384" s="34" t="str">
        <f t="shared" si="3"/>
        <v/>
      </c>
      <c r="X384" s="24" t="str">
        <f t="shared" si="4"/>
        <v/>
      </c>
    </row>
    <row r="385" ht="14.25" customHeight="1">
      <c r="A385" s="28">
        <f>HYPERLINK("https://app.hubspot.com/contacts/8748051/record/0-1/27605320031", 27605320031)</f>
        <v>27605320031</v>
      </c>
      <c r="B385" s="24" t="s">
        <v>4015</v>
      </c>
      <c r="C385" s="26">
        <v>45448.774872685186</v>
      </c>
      <c r="D385" s="26"/>
      <c r="E385" s="28" t="s">
        <v>4016</v>
      </c>
      <c r="F385" s="24" t="s">
        <v>4013</v>
      </c>
      <c r="G385" s="35"/>
      <c r="H385" s="35"/>
      <c r="I385" s="35"/>
      <c r="J385" s="24"/>
      <c r="K385" s="34"/>
      <c r="L385" s="34"/>
      <c r="M385" s="28">
        <f>HYPERLINK("https://app.hubspot.com/contacts/8748051/record/0-2/21278324406", 21278324406)</f>
        <v>21278324406</v>
      </c>
      <c r="N385" s="28" t="s">
        <v>4016</v>
      </c>
      <c r="O385" s="34"/>
      <c r="P385" s="24"/>
      <c r="Q385" s="24"/>
      <c r="R385" s="24"/>
      <c r="S385" s="24"/>
      <c r="T385" s="34" t="str">
        <f t="shared" ref="T385:V385" si="389">IF(G385&lt;&gt;"","Yes","")</f>
        <v/>
      </c>
      <c r="U385" s="34" t="str">
        <f t="shared" si="389"/>
        <v/>
      </c>
      <c r="V385" s="34" t="str">
        <f t="shared" si="389"/>
        <v/>
      </c>
      <c r="W385" s="34" t="str">
        <f t="shared" si="3"/>
        <v/>
      </c>
      <c r="X385" s="24" t="str">
        <f t="shared" si="4"/>
        <v/>
      </c>
    </row>
    <row r="386" ht="14.25" customHeight="1">
      <c r="A386" s="28">
        <f>HYPERLINK("https://app.hubspot.com/contacts/8748051/record/0-1/19244414350", 19244414350)</f>
        <v>19244414350</v>
      </c>
      <c r="B386" s="24" t="s">
        <v>4017</v>
      </c>
      <c r="C386" s="26">
        <v>45448.69935185185</v>
      </c>
      <c r="D386" s="26"/>
      <c r="E386" s="28" t="s">
        <v>1648</v>
      </c>
      <c r="F386" s="24"/>
      <c r="G386" s="35">
        <v>45449.0</v>
      </c>
      <c r="H386" s="35">
        <v>45458.0</v>
      </c>
      <c r="I386" s="35">
        <v>45458.0</v>
      </c>
      <c r="J386" s="34"/>
      <c r="K386" s="34"/>
      <c r="L386" s="34"/>
      <c r="M386" s="28">
        <f>HYPERLINK("https://app.hubspot.com/contacts/8748051/record/0-2/19176621361", 19176621361)</f>
        <v>19176621361</v>
      </c>
      <c r="N386" s="24" t="s">
        <v>1647</v>
      </c>
      <c r="O386" s="33">
        <f>HYPERLINK("https://app.hubspot.com/contacts/8748051/record/0-3/19999649595", 19999649595)</f>
        <v>19999649595</v>
      </c>
      <c r="P386" s="24" t="s">
        <v>1646</v>
      </c>
      <c r="Q386" s="24" t="s">
        <v>127</v>
      </c>
      <c r="R386" s="24">
        <v>45360.0</v>
      </c>
      <c r="S386" s="24" t="b">
        <v>1</v>
      </c>
      <c r="T386" s="34" t="str">
        <f t="shared" ref="T386:V386" si="390">IF(G386&lt;&gt;"","Yes","")</f>
        <v>Yes</v>
      </c>
      <c r="U386" s="34" t="str">
        <f t="shared" si="390"/>
        <v>Yes</v>
      </c>
      <c r="V386" s="34" t="str">
        <f t="shared" si="390"/>
        <v>Yes</v>
      </c>
      <c r="W386" s="34" t="str">
        <f t="shared" si="3"/>
        <v/>
      </c>
      <c r="X386" s="24" t="str">
        <f t="shared" si="4"/>
        <v/>
      </c>
    </row>
    <row r="387" ht="14.25" customHeight="1">
      <c r="A387" s="28">
        <f>HYPERLINK("https://app.hubspot.com/contacts/8748051/record/0-1/27081165231", 27081165231)</f>
        <v>27081165231</v>
      </c>
      <c r="B387" s="24" t="s">
        <v>4018</v>
      </c>
      <c r="C387" s="26">
        <v>45447.360127314816</v>
      </c>
      <c r="D387" s="26"/>
      <c r="E387" s="28" t="s">
        <v>1671</v>
      </c>
      <c r="F387" s="24"/>
      <c r="G387" s="35">
        <v>45447.0</v>
      </c>
      <c r="H387" s="35">
        <v>45449.0</v>
      </c>
      <c r="I387" s="35">
        <v>45449.0</v>
      </c>
      <c r="J387" s="34"/>
      <c r="K387" s="34"/>
      <c r="L387" s="34"/>
      <c r="M387" s="28">
        <f>HYPERLINK("https://app.hubspot.com/contacts/8748051/record/0-2/8310492554", 8310492554)</f>
        <v>8310492554</v>
      </c>
      <c r="N387" s="24" t="s">
        <v>1670</v>
      </c>
      <c r="O387" s="33">
        <f>HYPERLINK("https://app.hubspot.com/contacts/8748051/record/0-3/19883137361", 19883137361)</f>
        <v>19883137361</v>
      </c>
      <c r="P387" s="24" t="s">
        <v>1668</v>
      </c>
      <c r="Q387" s="24" t="s">
        <v>149</v>
      </c>
      <c r="R387" s="24">
        <v>11200.0</v>
      </c>
      <c r="S387" s="24" t="b">
        <v>1</v>
      </c>
      <c r="T387" s="34" t="str">
        <f t="shared" ref="T387:V387" si="391">IF(G387&lt;&gt;"","Yes","")</f>
        <v>Yes</v>
      </c>
      <c r="U387" s="34" t="str">
        <f t="shared" si="391"/>
        <v>Yes</v>
      </c>
      <c r="V387" s="34" t="str">
        <f t="shared" si="391"/>
        <v>Yes</v>
      </c>
      <c r="W387" s="34" t="str">
        <f t="shared" si="3"/>
        <v/>
      </c>
      <c r="X387" s="24" t="str">
        <f t="shared" si="4"/>
        <v>Yes</v>
      </c>
    </row>
    <row r="388" ht="14.25" customHeight="1">
      <c r="A388" s="28">
        <f>HYPERLINK("https://app.hubspot.com/contacts/8748051/record/0-1/26423330872", 26423330872)</f>
        <v>26423330872</v>
      </c>
      <c r="B388" s="24" t="s">
        <v>4019</v>
      </c>
      <c r="C388" s="26">
        <v>45445.015856481485</v>
      </c>
      <c r="D388" s="26"/>
      <c r="E388" s="28" t="s">
        <v>4020</v>
      </c>
      <c r="F388" s="24" t="s">
        <v>4021</v>
      </c>
      <c r="G388" s="35"/>
      <c r="H388" s="35"/>
      <c r="I388" s="35"/>
      <c r="J388" s="34"/>
      <c r="K388" s="34"/>
      <c r="L388" s="34"/>
      <c r="M388" s="28">
        <f>HYPERLINK("https://app.hubspot.com/contacts/8748051/record/0-2/21191699085", 21191699085)</f>
        <v>21191699085</v>
      </c>
      <c r="N388" s="28" t="s">
        <v>4020</v>
      </c>
      <c r="O388" s="24"/>
      <c r="P388" s="24"/>
      <c r="Q388" s="24"/>
      <c r="R388" s="24"/>
      <c r="S388" s="24"/>
      <c r="T388" s="34" t="str">
        <f t="shared" ref="T388:V388" si="392">IF(G388&lt;&gt;"","Yes","")</f>
        <v/>
      </c>
      <c r="U388" s="34" t="str">
        <f t="shared" si="392"/>
        <v/>
      </c>
      <c r="V388" s="34" t="str">
        <f t="shared" si="392"/>
        <v/>
      </c>
      <c r="W388" s="34" t="str">
        <f t="shared" si="3"/>
        <v/>
      </c>
      <c r="X388" s="24" t="str">
        <f t="shared" si="4"/>
        <v/>
      </c>
    </row>
    <row r="389" ht="14.25" customHeight="1">
      <c r="A389" s="28">
        <f>HYPERLINK("https://app.hubspot.com/contacts/8748051/record/0-1/25043914799", 25043914799)</f>
        <v>25043914799</v>
      </c>
      <c r="B389" s="24" t="s">
        <v>4022</v>
      </c>
      <c r="C389" s="26">
        <v>45440.520625</v>
      </c>
      <c r="D389" s="26"/>
      <c r="E389" s="28" t="s">
        <v>1687</v>
      </c>
      <c r="F389" s="24"/>
      <c r="G389" s="35">
        <v>45441.0</v>
      </c>
      <c r="H389" s="35">
        <v>45441.0</v>
      </c>
      <c r="I389" s="35">
        <v>45441.0</v>
      </c>
      <c r="J389" s="34"/>
      <c r="K389" s="34"/>
      <c r="L389" s="34"/>
      <c r="M389" s="28">
        <f>HYPERLINK("https://app.hubspot.com/contacts/8748051/record/0-2/19176288828", 19176288828)</f>
        <v>19176288828</v>
      </c>
      <c r="N389" s="24" t="s">
        <v>1686</v>
      </c>
      <c r="O389" s="33">
        <f>HYPERLINK("https://app.hubspot.com/contacts/8748051/record/0-3/19686425366", 19686425366)</f>
        <v>19686425366</v>
      </c>
      <c r="P389" s="24" t="s">
        <v>1684</v>
      </c>
      <c r="Q389" s="24" t="s">
        <v>149</v>
      </c>
      <c r="R389" s="24">
        <v>30000.0</v>
      </c>
      <c r="S389" s="24" t="b">
        <v>1</v>
      </c>
      <c r="T389" s="34" t="str">
        <f t="shared" ref="T389:V389" si="393">IF(G389&lt;&gt;"","Yes","")</f>
        <v>Yes</v>
      </c>
      <c r="U389" s="34" t="str">
        <f t="shared" si="393"/>
        <v>Yes</v>
      </c>
      <c r="V389" s="34" t="str">
        <f t="shared" si="393"/>
        <v>Yes</v>
      </c>
      <c r="W389" s="34" t="str">
        <f t="shared" si="3"/>
        <v/>
      </c>
      <c r="X389" s="24" t="str">
        <f t="shared" si="4"/>
        <v>Yes</v>
      </c>
    </row>
    <row r="390" ht="14.25" customHeight="1">
      <c r="A390" s="28">
        <f>HYPERLINK("https://app.hubspot.com/contacts/8748051/record/0-1/24062830673", 24062830673)</f>
        <v>24062830673</v>
      </c>
      <c r="B390" s="24" t="s">
        <v>4023</v>
      </c>
      <c r="C390" s="26">
        <v>45436.5672337963</v>
      </c>
      <c r="D390" s="26"/>
      <c r="E390" s="24" t="s">
        <v>4024</v>
      </c>
      <c r="F390" s="24"/>
      <c r="G390" s="35">
        <v>45436.0</v>
      </c>
      <c r="H390" s="35"/>
      <c r="I390" s="35"/>
      <c r="J390" s="34"/>
      <c r="K390" s="24"/>
      <c r="L390" s="34"/>
      <c r="M390" s="28">
        <f>HYPERLINK("https://app.hubspot.com/contacts/8748051/record/0-2/20995939242", 20995939242)</f>
        <v>20995939242</v>
      </c>
      <c r="N390" s="24" t="s">
        <v>4025</v>
      </c>
      <c r="O390" s="24"/>
      <c r="P390" s="24"/>
      <c r="Q390" s="24"/>
      <c r="R390" s="24"/>
      <c r="S390" s="24"/>
      <c r="T390" s="34" t="str">
        <f t="shared" ref="T390:V390" si="394">IF(G390&lt;&gt;"","Yes","")</f>
        <v>Yes</v>
      </c>
      <c r="U390" s="34" t="str">
        <f t="shared" si="394"/>
        <v/>
      </c>
      <c r="V390" s="34" t="str">
        <f t="shared" si="394"/>
        <v/>
      </c>
      <c r="W390" s="34" t="str">
        <f t="shared" si="3"/>
        <v/>
      </c>
      <c r="X390" s="24" t="str">
        <f t="shared" si="4"/>
        <v/>
      </c>
    </row>
    <row r="391" ht="14.25" customHeight="1">
      <c r="A391" s="28">
        <f>HYPERLINK("https://app.hubspot.com/contacts/8748051/record/0-1/23368615032", 23368615032)</f>
        <v>23368615032</v>
      </c>
      <c r="B391" s="24" t="s">
        <v>4026</v>
      </c>
      <c r="C391" s="26">
        <v>45435.12315972222</v>
      </c>
      <c r="D391" s="26"/>
      <c r="E391" s="28" t="s">
        <v>1705</v>
      </c>
      <c r="F391" s="24"/>
      <c r="G391" s="35">
        <v>45435.0</v>
      </c>
      <c r="H391" s="35">
        <v>45435.0</v>
      </c>
      <c r="I391" s="35">
        <v>45435.0</v>
      </c>
      <c r="J391" s="24"/>
      <c r="K391" s="24"/>
      <c r="L391" s="34"/>
      <c r="M391" s="28">
        <f>HYPERLINK("https://app.hubspot.com/contacts/8748051/record/0-2/19176558447", 19176558447)</f>
        <v>19176558447</v>
      </c>
      <c r="N391" s="24" t="s">
        <v>1704</v>
      </c>
      <c r="O391" s="28">
        <f>HYPERLINK("https://app.hubspot.com/contacts/8748051/record/0-3/19583853592", 19583853592)</f>
        <v>19583853592</v>
      </c>
      <c r="P391" s="24" t="s">
        <v>1703</v>
      </c>
      <c r="Q391" s="24" t="s">
        <v>73</v>
      </c>
      <c r="R391" s="24">
        <v>80160.0</v>
      </c>
      <c r="S391" s="24"/>
      <c r="T391" s="34" t="str">
        <f t="shared" ref="T391:V391" si="395">IF(G391&lt;&gt;"","Yes","")</f>
        <v>Yes</v>
      </c>
      <c r="U391" s="34" t="str">
        <f t="shared" si="395"/>
        <v>Yes</v>
      </c>
      <c r="V391" s="34" t="str">
        <f t="shared" si="395"/>
        <v>Yes</v>
      </c>
      <c r="W391" s="34" t="str">
        <f t="shared" si="3"/>
        <v/>
      </c>
      <c r="X391" s="24" t="str">
        <f t="shared" si="4"/>
        <v/>
      </c>
    </row>
    <row r="392" ht="14.25" customHeight="1">
      <c r="A392" s="28">
        <f>HYPERLINK("https://app.hubspot.com/contacts/8748051/record/0-1/3245301", 3245301)</f>
        <v>3245301</v>
      </c>
      <c r="B392" s="24" t="s">
        <v>4027</v>
      </c>
      <c r="C392" s="26">
        <v>45434.832083333335</v>
      </c>
      <c r="D392" s="26"/>
      <c r="E392" s="28" t="s">
        <v>4028</v>
      </c>
      <c r="F392" s="24"/>
      <c r="G392" s="35">
        <v>45435.0</v>
      </c>
      <c r="H392" s="35">
        <v>45435.0</v>
      </c>
      <c r="I392" s="35"/>
      <c r="J392" s="24"/>
      <c r="K392" s="24"/>
      <c r="L392" s="24"/>
      <c r="M392" s="28">
        <f>HYPERLINK("https://app.hubspot.com/contacts/8748051/record/0-2/18506397190", 18506397190)</f>
        <v>18506397190</v>
      </c>
      <c r="N392" s="24" t="s">
        <v>4029</v>
      </c>
      <c r="O392" s="34"/>
      <c r="P392" s="24"/>
      <c r="Q392" s="24"/>
      <c r="R392" s="24"/>
      <c r="S392" s="24"/>
      <c r="T392" s="34" t="str">
        <f t="shared" ref="T392:V392" si="396">IF(G392&lt;&gt;"","Yes","")</f>
        <v>Yes</v>
      </c>
      <c r="U392" s="34" t="str">
        <f t="shared" si="396"/>
        <v>Yes</v>
      </c>
      <c r="V392" s="34" t="str">
        <f t="shared" si="396"/>
        <v/>
      </c>
      <c r="W392" s="34" t="str">
        <f t="shared" si="3"/>
        <v/>
      </c>
      <c r="X392" s="24" t="str">
        <f t="shared" si="4"/>
        <v/>
      </c>
    </row>
    <row r="393" ht="14.25" customHeight="1">
      <c r="A393" s="28">
        <f>HYPERLINK("https://app.hubspot.com/contacts/8748051/record/0-1/11132717067", 11132717067)</f>
        <v>11132717067</v>
      </c>
      <c r="B393" s="24" t="s">
        <v>4030</v>
      </c>
      <c r="C393" s="26">
        <v>45433.39199074074</v>
      </c>
      <c r="D393" s="26"/>
      <c r="E393" s="28" t="s">
        <v>4031</v>
      </c>
      <c r="F393" s="24" t="s">
        <v>3983</v>
      </c>
      <c r="G393" s="35"/>
      <c r="H393" s="35"/>
      <c r="I393" s="35"/>
      <c r="J393" s="24"/>
      <c r="K393" s="24"/>
      <c r="L393" s="24"/>
      <c r="M393" s="28">
        <f>HYPERLINK("https://app.hubspot.com/contacts/8748051/record/0-2/20925619222", 20925619222)</f>
        <v>20925619222</v>
      </c>
      <c r="N393" s="28" t="s">
        <v>4031</v>
      </c>
      <c r="O393" s="24"/>
      <c r="P393" s="24"/>
      <c r="Q393" s="24"/>
      <c r="R393" s="24"/>
      <c r="S393" s="24"/>
      <c r="T393" s="34" t="str">
        <f t="shared" ref="T393:V393" si="397">IF(G393&lt;&gt;"","Yes","")</f>
        <v/>
      </c>
      <c r="U393" s="34" t="str">
        <f t="shared" si="397"/>
        <v/>
      </c>
      <c r="V393" s="34" t="str">
        <f t="shared" si="397"/>
        <v/>
      </c>
      <c r="W393" s="34" t="str">
        <f t="shared" si="3"/>
        <v/>
      </c>
      <c r="X393" s="24" t="str">
        <f t="shared" si="4"/>
        <v/>
      </c>
    </row>
    <row r="394" ht="14.25" customHeight="1">
      <c r="A394" s="28">
        <f>HYPERLINK("https://app.hubspot.com/contacts/8748051/record/0-1/11137416349", 11137416349)</f>
        <v>11137416349</v>
      </c>
      <c r="B394" s="24" t="s">
        <v>4032</v>
      </c>
      <c r="C394" s="26">
        <v>45433.391180555554</v>
      </c>
      <c r="D394" s="26"/>
      <c r="E394" s="28" t="s">
        <v>748</v>
      </c>
      <c r="F394" s="24" t="s">
        <v>4033</v>
      </c>
      <c r="G394" s="35"/>
      <c r="H394" s="35"/>
      <c r="I394" s="35"/>
      <c r="J394" s="34"/>
      <c r="K394" s="24"/>
      <c r="L394" s="24"/>
      <c r="M394" s="28">
        <f>HYPERLINK("https://app.hubspot.com/contacts/8748051/record/0-2/20925995561", 20925995561)</f>
        <v>20925995561</v>
      </c>
      <c r="N394" s="24" t="s">
        <v>747</v>
      </c>
      <c r="O394" s="24"/>
      <c r="P394" s="24"/>
      <c r="Q394" s="24"/>
      <c r="R394" s="24"/>
      <c r="S394" s="24"/>
      <c r="T394" s="34" t="str">
        <f t="shared" ref="T394:V394" si="398">IF(G394&lt;&gt;"","Yes","")</f>
        <v/>
      </c>
      <c r="U394" s="34" t="str">
        <f t="shared" si="398"/>
        <v/>
      </c>
      <c r="V394" s="34" t="str">
        <f t="shared" si="398"/>
        <v/>
      </c>
      <c r="W394" s="34" t="str">
        <f t="shared" si="3"/>
        <v/>
      </c>
      <c r="X394" s="24" t="str">
        <f t="shared" si="4"/>
        <v/>
      </c>
    </row>
    <row r="395" ht="14.25" customHeight="1">
      <c r="A395" s="28">
        <f>HYPERLINK("https://app.hubspot.com/contacts/8748051/record/0-1/22921059368", 22921059368)</f>
        <v>22921059368</v>
      </c>
      <c r="B395" s="24" t="s">
        <v>4034</v>
      </c>
      <c r="C395" s="26">
        <v>45432.569375</v>
      </c>
      <c r="D395" s="26"/>
      <c r="E395" s="28" t="s">
        <v>1733</v>
      </c>
      <c r="F395" s="24"/>
      <c r="G395" s="35">
        <v>45432.0</v>
      </c>
      <c r="H395" s="35">
        <v>45432.0</v>
      </c>
      <c r="I395" s="35">
        <v>45432.0</v>
      </c>
      <c r="J395" s="24"/>
      <c r="K395" s="24"/>
      <c r="L395" s="24"/>
      <c r="M395" s="28">
        <f>HYPERLINK("https://app.hubspot.com/contacts/8748051/record/0-2/7647906153", 7647906153)</f>
        <v>7647906153</v>
      </c>
      <c r="N395" s="24" t="s">
        <v>1732</v>
      </c>
      <c r="O395" s="28">
        <f>HYPERLINK("https://app.hubspot.com/contacts/8748051/record/0-3/19498556300", 19498556300)</f>
        <v>19498556300</v>
      </c>
      <c r="P395" s="24" t="s">
        <v>1730</v>
      </c>
      <c r="Q395" s="24" t="s">
        <v>149</v>
      </c>
      <c r="R395" s="24">
        <v>40000.0</v>
      </c>
      <c r="S395" s="24" t="b">
        <v>1</v>
      </c>
      <c r="T395" s="34" t="str">
        <f t="shared" ref="T395:V395" si="399">IF(G395&lt;&gt;"","Yes","")</f>
        <v>Yes</v>
      </c>
      <c r="U395" s="34" t="str">
        <f t="shared" si="399"/>
        <v>Yes</v>
      </c>
      <c r="V395" s="34" t="str">
        <f t="shared" si="399"/>
        <v>Yes</v>
      </c>
      <c r="W395" s="34" t="str">
        <f t="shared" si="3"/>
        <v/>
      </c>
      <c r="X395" s="24" t="str">
        <f t="shared" si="4"/>
        <v>Yes</v>
      </c>
    </row>
    <row r="396" ht="14.25" customHeight="1">
      <c r="A396" s="28">
        <f>HYPERLINK("https://app.hubspot.com/contacts/8748051/record/0-1/21262860955", 21262860955)</f>
        <v>21262860955</v>
      </c>
      <c r="B396" s="24" t="s">
        <v>4035</v>
      </c>
      <c r="C396" s="26">
        <v>45432.379155092596</v>
      </c>
      <c r="D396" s="26"/>
      <c r="E396" s="28" t="s">
        <v>4036</v>
      </c>
      <c r="F396" s="24"/>
      <c r="G396" s="35">
        <v>45432.0</v>
      </c>
      <c r="H396" s="35">
        <v>45433.0</v>
      </c>
      <c r="I396" s="35"/>
      <c r="J396" s="34"/>
      <c r="K396" s="34"/>
      <c r="L396" s="34"/>
      <c r="M396" s="28">
        <f>HYPERLINK("https://app.hubspot.com/contacts/8748051/record/0-2/20906464622", 20906464622)</f>
        <v>20906464622</v>
      </c>
      <c r="N396" s="24" t="s">
        <v>4037</v>
      </c>
      <c r="O396" s="34"/>
      <c r="P396" s="24"/>
      <c r="Q396" s="24"/>
      <c r="R396" s="24"/>
      <c r="S396" s="24"/>
      <c r="T396" s="34" t="str">
        <f t="shared" ref="T396:V396" si="400">IF(G396&lt;&gt;"","Yes","")</f>
        <v>Yes</v>
      </c>
      <c r="U396" s="34" t="str">
        <f t="shared" si="400"/>
        <v>Yes</v>
      </c>
      <c r="V396" s="34" t="str">
        <f t="shared" si="400"/>
        <v/>
      </c>
      <c r="W396" s="34" t="str">
        <f t="shared" si="3"/>
        <v/>
      </c>
      <c r="X396" s="24" t="str">
        <f t="shared" si="4"/>
        <v/>
      </c>
    </row>
    <row r="397" ht="14.25" customHeight="1">
      <c r="A397" s="28">
        <f>HYPERLINK("https://app.hubspot.com/contacts/8748051/record/0-1/22741452554", 22741452554)</f>
        <v>22741452554</v>
      </c>
      <c r="B397" s="24" t="s">
        <v>4038</v>
      </c>
      <c r="C397" s="26">
        <v>45431.87716435185</v>
      </c>
      <c r="D397" s="26"/>
      <c r="E397" s="28" t="s">
        <v>1736</v>
      </c>
      <c r="F397" s="24"/>
      <c r="G397" s="35">
        <v>45432.0</v>
      </c>
      <c r="H397" s="35">
        <v>45432.0</v>
      </c>
      <c r="I397" s="35">
        <v>45432.0</v>
      </c>
      <c r="J397" s="34"/>
      <c r="K397" s="24"/>
      <c r="L397" s="24"/>
      <c r="M397" s="28">
        <f>HYPERLINK("https://app.hubspot.com/contacts/8748051/record/0-2/20897315186", 20897315186)</f>
        <v>20897315186</v>
      </c>
      <c r="N397" s="24" t="s">
        <v>1735</v>
      </c>
      <c r="O397" s="28">
        <f>HYPERLINK("https://app.hubspot.com/contacts/8748051/record/0-3/19486725196", 19486725196)</f>
        <v>19486725196</v>
      </c>
      <c r="P397" s="24" t="s">
        <v>1734</v>
      </c>
      <c r="Q397" s="24" t="s">
        <v>127</v>
      </c>
      <c r="R397" s="24">
        <v>10000.0</v>
      </c>
      <c r="S397" s="24" t="b">
        <v>1</v>
      </c>
      <c r="T397" s="34" t="str">
        <f t="shared" ref="T397:V397" si="401">IF(G397&lt;&gt;"","Yes","")</f>
        <v>Yes</v>
      </c>
      <c r="U397" s="34" t="str">
        <f t="shared" si="401"/>
        <v>Yes</v>
      </c>
      <c r="V397" s="34" t="str">
        <f t="shared" si="401"/>
        <v>Yes</v>
      </c>
      <c r="W397" s="34" t="str">
        <f t="shared" si="3"/>
        <v/>
      </c>
      <c r="X397" s="24" t="str">
        <f t="shared" si="4"/>
        <v/>
      </c>
    </row>
    <row r="398" ht="14.25" customHeight="1">
      <c r="A398" s="28">
        <f>HYPERLINK("https://app.hubspot.com/contacts/8748051/record/0-1/22097600366", 22097600366)</f>
        <v>22097600366</v>
      </c>
      <c r="B398" s="24" t="s">
        <v>4039</v>
      </c>
      <c r="C398" s="26">
        <v>45428.925208333334</v>
      </c>
      <c r="D398" s="24" t="s">
        <v>4040</v>
      </c>
      <c r="E398" s="24" t="s">
        <v>1744</v>
      </c>
      <c r="F398" s="24"/>
      <c r="G398" s="35">
        <v>45429.0</v>
      </c>
      <c r="H398" s="35">
        <v>45429.0</v>
      </c>
      <c r="I398" s="35">
        <v>45429.0</v>
      </c>
      <c r="J398" s="34"/>
      <c r="K398" s="24"/>
      <c r="L398" s="24"/>
      <c r="M398" s="28">
        <f>HYPERLINK("https://app.hubspot.com/contacts/8748051/record/0-2/19176703400", 19176703400)</f>
        <v>19176703400</v>
      </c>
      <c r="N398" s="24" t="s">
        <v>1743</v>
      </c>
      <c r="O398" s="28">
        <f>HYPERLINK("https://app.hubspot.com/contacts/8748051/record/0-3/19440631842", 19440631842)</f>
        <v>19440631842</v>
      </c>
      <c r="P398" s="24" t="s">
        <v>1742</v>
      </c>
      <c r="Q398" s="24" t="s">
        <v>73</v>
      </c>
      <c r="R398" s="24">
        <v>2400.0</v>
      </c>
      <c r="S398" s="24"/>
      <c r="T398" s="34" t="str">
        <f t="shared" ref="T398:V398" si="402">IF(G398&lt;&gt;"","Yes","")</f>
        <v>Yes</v>
      </c>
      <c r="U398" s="34" t="str">
        <f t="shared" si="402"/>
        <v>Yes</v>
      </c>
      <c r="V398" s="34" t="str">
        <f t="shared" si="402"/>
        <v>Yes</v>
      </c>
      <c r="W398" s="34" t="str">
        <f t="shared" si="3"/>
        <v/>
      </c>
      <c r="X398" s="24" t="str">
        <f t="shared" si="4"/>
        <v/>
      </c>
    </row>
    <row r="399" ht="14.25" customHeight="1">
      <c r="A399" s="28">
        <f>HYPERLINK("https://app.hubspot.com/contacts/8748051/record/0-1/21877886505", 21877886505)</f>
        <v>21877886505</v>
      </c>
      <c r="B399" s="24" t="s">
        <v>4041</v>
      </c>
      <c r="C399" s="26">
        <v>45428.32599537037</v>
      </c>
      <c r="D399" s="26"/>
      <c r="E399" s="28" t="s">
        <v>4042</v>
      </c>
      <c r="F399" s="24" t="s">
        <v>4043</v>
      </c>
      <c r="G399" s="35"/>
      <c r="H399" s="35"/>
      <c r="I399" s="35"/>
      <c r="J399" s="34"/>
      <c r="K399" s="24"/>
      <c r="L399" s="24"/>
      <c r="M399" s="28">
        <f>HYPERLINK("https://app.hubspot.com/contacts/8748051/record/0-2/20843032664", 20843032664)</f>
        <v>20843032664</v>
      </c>
      <c r="N399" s="24" t="s">
        <v>4044</v>
      </c>
      <c r="O399" s="34"/>
      <c r="P399" s="24"/>
      <c r="Q399" s="24"/>
      <c r="R399" s="24"/>
      <c r="S399" s="24"/>
      <c r="T399" s="34" t="str">
        <f t="shared" ref="T399:V399" si="403">IF(G399&lt;&gt;"","Yes","")</f>
        <v/>
      </c>
      <c r="U399" s="34" t="str">
        <f t="shared" si="403"/>
        <v/>
      </c>
      <c r="V399" s="34" t="str">
        <f t="shared" si="403"/>
        <v/>
      </c>
      <c r="W399" s="34" t="str">
        <f t="shared" si="3"/>
        <v/>
      </c>
      <c r="X399" s="24" t="str">
        <f t="shared" si="4"/>
        <v/>
      </c>
    </row>
    <row r="400" ht="14.25" customHeight="1">
      <c r="A400" s="28">
        <f>HYPERLINK("https://app.hubspot.com/contacts/8748051/record/0-1/21543229968", 21543229968)</f>
        <v>21543229968</v>
      </c>
      <c r="B400" s="24" t="s">
        <v>4045</v>
      </c>
      <c r="C400" s="26">
        <v>45428.121886574074</v>
      </c>
      <c r="D400" s="26"/>
      <c r="E400" s="24" t="s">
        <v>4046</v>
      </c>
      <c r="F400" s="24"/>
      <c r="G400" s="35">
        <v>45428.0</v>
      </c>
      <c r="H400" s="35">
        <v>45429.0</v>
      </c>
      <c r="I400" s="35"/>
      <c r="J400" s="34"/>
      <c r="K400" s="24"/>
      <c r="L400" s="34"/>
      <c r="M400" s="28">
        <f>HYPERLINK("https://app.hubspot.com/contacts/8748051/record/0-2/20839040434", 20839040434)</f>
        <v>20839040434</v>
      </c>
      <c r="N400" s="24" t="s">
        <v>4047</v>
      </c>
      <c r="O400" s="24"/>
      <c r="P400" s="24"/>
      <c r="Q400" s="24"/>
      <c r="R400" s="24"/>
      <c r="S400" s="24"/>
      <c r="T400" s="34" t="str">
        <f t="shared" ref="T400:V400" si="404">IF(G400&lt;&gt;"","Yes","")</f>
        <v>Yes</v>
      </c>
      <c r="U400" s="34" t="str">
        <f t="shared" si="404"/>
        <v>Yes</v>
      </c>
      <c r="V400" s="34" t="str">
        <f t="shared" si="404"/>
        <v/>
      </c>
      <c r="W400" s="34" t="str">
        <f t="shared" si="3"/>
        <v/>
      </c>
      <c r="X400" s="24" t="str">
        <f t="shared" si="4"/>
        <v/>
      </c>
    </row>
    <row r="401" ht="14.25" customHeight="1">
      <c r="A401" s="28">
        <f>HYPERLINK("https://app.hubspot.com/contacts/8748051/record/0-1/21606184572", 21606184572)</f>
        <v>21606184572</v>
      </c>
      <c r="B401" s="24" t="s">
        <v>4048</v>
      </c>
      <c r="C401" s="26">
        <v>45427.51991898148</v>
      </c>
      <c r="D401" s="26"/>
      <c r="E401" s="28" t="s">
        <v>4049</v>
      </c>
      <c r="F401" s="24"/>
      <c r="G401" s="35">
        <v>45427.0</v>
      </c>
      <c r="H401" s="35">
        <v>45428.0</v>
      </c>
      <c r="I401" s="35">
        <v>45428.0</v>
      </c>
      <c r="J401" s="24"/>
      <c r="K401" s="24"/>
      <c r="L401" s="24"/>
      <c r="M401" s="28">
        <f>HYPERLINK("https://app.hubspot.com/contacts/8748051/record/0-2/7945243193", 7945243193)</f>
        <v>7945243193</v>
      </c>
      <c r="N401" s="24" t="s">
        <v>4050</v>
      </c>
      <c r="O401" s="24"/>
      <c r="P401" s="24"/>
      <c r="Q401" s="24"/>
      <c r="R401" s="24"/>
      <c r="S401" s="24"/>
      <c r="T401" s="34" t="str">
        <f t="shared" ref="T401:V401" si="405">IF(G401&lt;&gt;"","Yes","")</f>
        <v>Yes</v>
      </c>
      <c r="U401" s="34" t="str">
        <f t="shared" si="405"/>
        <v>Yes</v>
      </c>
      <c r="V401" s="34" t="str">
        <f t="shared" si="405"/>
        <v>Yes</v>
      </c>
      <c r="W401" s="34" t="str">
        <f t="shared" si="3"/>
        <v/>
      </c>
      <c r="X401" s="24" t="str">
        <f t="shared" si="4"/>
        <v/>
      </c>
    </row>
    <row r="402" ht="14.25" customHeight="1">
      <c r="A402" s="28">
        <f>HYPERLINK("https://app.hubspot.com/contacts/8748051/record/0-1/20961301917", 20961301917)</f>
        <v>20961301917</v>
      </c>
      <c r="B402" s="24" t="s">
        <v>4051</v>
      </c>
      <c r="C402" s="26">
        <v>45425.68174768519</v>
      </c>
      <c r="D402" s="26"/>
      <c r="E402" s="28" t="s">
        <v>1750</v>
      </c>
      <c r="F402" s="24"/>
      <c r="G402" s="35">
        <v>45426.0</v>
      </c>
      <c r="H402" s="35">
        <v>45427.0</v>
      </c>
      <c r="I402" s="35">
        <v>45427.0</v>
      </c>
      <c r="J402" s="24"/>
      <c r="K402" s="24"/>
      <c r="L402" s="24"/>
      <c r="M402" s="28">
        <f>HYPERLINK("https://app.hubspot.com/contacts/8748051/record/0-2/20789157299", 20789157299)</f>
        <v>20789157299</v>
      </c>
      <c r="N402" s="24" t="s">
        <v>1749</v>
      </c>
      <c r="O402" s="33">
        <f>HYPERLINK("https://app.hubspot.com/contacts/8748051/record/0-3/19384395654", 19384395654)</f>
        <v>19384395654</v>
      </c>
      <c r="P402" s="24" t="s">
        <v>1748</v>
      </c>
      <c r="Q402" s="24" t="s">
        <v>73</v>
      </c>
      <c r="R402" s="24">
        <v>139920.0</v>
      </c>
      <c r="S402" s="34"/>
      <c r="T402" s="34" t="str">
        <f t="shared" ref="T402:V402" si="406">IF(G402&lt;&gt;"","Yes","")</f>
        <v>Yes</v>
      </c>
      <c r="U402" s="34" t="str">
        <f t="shared" si="406"/>
        <v>Yes</v>
      </c>
      <c r="V402" s="34" t="str">
        <f t="shared" si="406"/>
        <v>Yes</v>
      </c>
      <c r="W402" s="34" t="str">
        <f t="shared" si="3"/>
        <v/>
      </c>
      <c r="X402" s="24" t="str">
        <f t="shared" si="4"/>
        <v/>
      </c>
    </row>
    <row r="403" ht="14.25" customHeight="1">
      <c r="A403" s="28">
        <f>HYPERLINK("https://app.hubspot.com/contacts/8748051/record/0-1/20591959969", 20591959969)</f>
        <v>20591959969</v>
      </c>
      <c r="B403" s="24" t="s">
        <v>4052</v>
      </c>
      <c r="C403" s="26">
        <v>45424.13452546296</v>
      </c>
      <c r="D403" s="26"/>
      <c r="E403" s="28" t="s">
        <v>4053</v>
      </c>
      <c r="F403" s="26"/>
      <c r="G403" s="35">
        <v>45425.0</v>
      </c>
      <c r="H403" s="35">
        <v>45426.0</v>
      </c>
      <c r="I403" s="35"/>
      <c r="J403" s="24"/>
      <c r="K403" s="24"/>
      <c r="L403" s="24"/>
      <c r="M403" s="28">
        <f>HYPERLINK("https://app.hubspot.com/contacts/8748051/record/0-2/8983809943", 8983809943)</f>
        <v>8983809943</v>
      </c>
      <c r="N403" s="24" t="s">
        <v>4054</v>
      </c>
      <c r="O403" s="24"/>
      <c r="P403" s="24"/>
      <c r="Q403" s="24"/>
      <c r="R403" s="24"/>
      <c r="S403" s="24"/>
      <c r="T403" s="34" t="str">
        <f t="shared" ref="T403:V403" si="407">IF(G403&lt;&gt;"","Yes","")</f>
        <v>Yes</v>
      </c>
      <c r="U403" s="34" t="str">
        <f t="shared" si="407"/>
        <v>Yes</v>
      </c>
      <c r="V403" s="34" t="str">
        <f t="shared" si="407"/>
        <v/>
      </c>
      <c r="W403" s="34" t="str">
        <f t="shared" si="3"/>
        <v/>
      </c>
      <c r="X403" s="24" t="str">
        <f t="shared" si="4"/>
        <v/>
      </c>
    </row>
    <row r="404" ht="14.25" customHeight="1">
      <c r="A404" s="28">
        <f>HYPERLINK("https://app.hubspot.com/contacts/8748051/record/0-1/3008851", 3008851)</f>
        <v>3008851</v>
      </c>
      <c r="B404" s="24" t="s">
        <v>4055</v>
      </c>
      <c r="C404" s="26">
        <v>45422.28706018518</v>
      </c>
      <c r="D404" s="26"/>
      <c r="E404" s="28" t="s">
        <v>4056</v>
      </c>
      <c r="F404" s="24"/>
      <c r="G404" s="35">
        <v>45422.0</v>
      </c>
      <c r="H404" s="35">
        <v>45425.0</v>
      </c>
      <c r="I404" s="35">
        <v>45425.0</v>
      </c>
      <c r="J404" s="24"/>
      <c r="K404" s="24"/>
      <c r="L404" s="24"/>
      <c r="M404" s="28">
        <f>HYPERLINK("https://app.hubspot.com/contacts/8748051/record/0-2/20739390129", 20739390129)</f>
        <v>20739390129</v>
      </c>
      <c r="N404" s="28" t="s">
        <v>4056</v>
      </c>
      <c r="O404" s="24"/>
      <c r="P404" s="24"/>
      <c r="Q404" s="24"/>
      <c r="R404" s="24"/>
      <c r="S404" s="24"/>
      <c r="T404" s="34" t="str">
        <f t="shared" ref="T404:V404" si="408">IF(G404&lt;&gt;"","Yes","")</f>
        <v>Yes</v>
      </c>
      <c r="U404" s="34" t="str">
        <f t="shared" si="408"/>
        <v>Yes</v>
      </c>
      <c r="V404" s="34" t="str">
        <f t="shared" si="408"/>
        <v>Yes</v>
      </c>
      <c r="W404" s="34" t="str">
        <f t="shared" si="3"/>
        <v/>
      </c>
      <c r="X404" s="24" t="str">
        <f t="shared" si="4"/>
        <v/>
      </c>
    </row>
    <row r="405" ht="14.25" customHeight="1">
      <c r="A405" s="28">
        <f>HYPERLINK("https://app.hubspot.com/contacts/8748051/record/0-1/1301", 1301)</f>
        <v>1301</v>
      </c>
      <c r="B405" s="24" t="s">
        <v>4057</v>
      </c>
      <c r="C405" s="26">
        <v>45420.66625</v>
      </c>
      <c r="D405" s="26"/>
      <c r="E405" s="28" t="s">
        <v>1711</v>
      </c>
      <c r="F405" s="24"/>
      <c r="G405" s="35">
        <v>45421.0</v>
      </c>
      <c r="H405" s="35">
        <v>45435.0</v>
      </c>
      <c r="I405" s="35">
        <v>45435.0</v>
      </c>
      <c r="J405" s="24"/>
      <c r="K405" s="24"/>
      <c r="L405" s="34"/>
      <c r="M405" s="28">
        <f>HYPERLINK("https://app.hubspot.com/contacts/8748051/record/0-2/9597010068", 9597010068)</f>
        <v>9597010068</v>
      </c>
      <c r="N405" s="28" t="s">
        <v>1710</v>
      </c>
      <c r="O405" s="28">
        <f>HYPERLINK("https://app.hubspot.com/contacts/8748051/record/0-3/19555520154", 19555520154)</f>
        <v>19555520154</v>
      </c>
      <c r="P405" s="24" t="s">
        <v>1709</v>
      </c>
      <c r="Q405" s="24" t="s">
        <v>127</v>
      </c>
      <c r="R405" s="24">
        <v>20000.0</v>
      </c>
      <c r="S405" s="24" t="b">
        <v>1</v>
      </c>
      <c r="T405" s="34" t="str">
        <f t="shared" ref="T405:V405" si="409">IF(G405&lt;&gt;"","Yes","")</f>
        <v>Yes</v>
      </c>
      <c r="U405" s="34" t="str">
        <f t="shared" si="409"/>
        <v>Yes</v>
      </c>
      <c r="V405" s="34" t="str">
        <f t="shared" si="409"/>
        <v>Yes</v>
      </c>
      <c r="W405" s="34" t="str">
        <f t="shared" si="3"/>
        <v/>
      </c>
      <c r="X405" s="24" t="str">
        <f t="shared" si="4"/>
        <v/>
      </c>
    </row>
    <row r="406" ht="14.25" customHeight="1">
      <c r="A406" s="28">
        <f>HYPERLINK("https://app.hubspot.com/contacts/8748051/record/0-1/17245750847", 17245750847)</f>
        <v>17245750847</v>
      </c>
      <c r="B406" s="24" t="s">
        <v>4058</v>
      </c>
      <c r="C406" s="26">
        <v>45412.58675925926</v>
      </c>
      <c r="D406" s="26"/>
      <c r="E406" s="28" t="s">
        <v>4059</v>
      </c>
      <c r="F406" s="24" t="s">
        <v>4043</v>
      </c>
      <c r="G406" s="35"/>
      <c r="H406" s="35"/>
      <c r="I406" s="35"/>
      <c r="J406" s="24"/>
      <c r="K406" s="24"/>
      <c r="L406" s="24"/>
      <c r="M406" s="28">
        <f>HYPERLINK("https://app.hubspot.com/contacts/8748051/record/0-2/20559911181", 20559911181)</f>
        <v>20559911181</v>
      </c>
      <c r="N406" s="28" t="s">
        <v>4059</v>
      </c>
      <c r="O406" s="24"/>
      <c r="P406" s="24"/>
      <c r="Q406" s="24"/>
      <c r="R406" s="24"/>
      <c r="S406" s="24"/>
      <c r="T406" s="34" t="str">
        <f t="shared" ref="T406:V406" si="410">IF(G406&lt;&gt;"","Yes","")</f>
        <v/>
      </c>
      <c r="U406" s="34" t="str">
        <f t="shared" si="410"/>
        <v/>
      </c>
      <c r="V406" s="34" t="str">
        <f t="shared" si="410"/>
        <v/>
      </c>
      <c r="W406" s="34" t="str">
        <f t="shared" si="3"/>
        <v/>
      </c>
      <c r="X406" s="24" t="str">
        <f t="shared" si="4"/>
        <v/>
      </c>
    </row>
    <row r="407" ht="14.25" customHeight="1">
      <c r="A407" s="28">
        <f>HYPERLINK("https://app.hubspot.com/contacts/8748051/record/0-1/2187757", 2187757)</f>
        <v>2187757</v>
      </c>
      <c r="B407" s="24" t="s">
        <v>4060</v>
      </c>
      <c r="C407" s="26">
        <v>45412.14165509259</v>
      </c>
      <c r="D407" s="26"/>
      <c r="E407" s="28" t="s">
        <v>953</v>
      </c>
      <c r="F407" s="24"/>
      <c r="G407" s="35">
        <v>45412.0</v>
      </c>
      <c r="H407" s="35">
        <v>45414.0</v>
      </c>
      <c r="I407" s="35">
        <v>45414.0</v>
      </c>
      <c r="J407" s="24"/>
      <c r="K407" s="24"/>
      <c r="L407" s="24"/>
      <c r="M407" s="28">
        <f>HYPERLINK("https://app.hubspot.com/contacts/8748051/record/0-2/8142764962", 8142764962)</f>
        <v>8142764962</v>
      </c>
      <c r="N407" s="24" t="s">
        <v>952</v>
      </c>
      <c r="O407" s="33">
        <f>HYPERLINK("https://app.hubspot.com/contacts/8748051/record/0-3/19061162282", 19061162282)</f>
        <v>19061162282</v>
      </c>
      <c r="P407" s="24" t="s">
        <v>951</v>
      </c>
      <c r="Q407" s="24" t="s">
        <v>73</v>
      </c>
      <c r="R407" s="24">
        <v>129360.0</v>
      </c>
      <c r="S407" s="34"/>
      <c r="T407" s="34" t="str">
        <f t="shared" ref="T407:V407" si="411">IF(G407&lt;&gt;"","Yes","")</f>
        <v>Yes</v>
      </c>
      <c r="U407" s="34" t="str">
        <f t="shared" si="411"/>
        <v>Yes</v>
      </c>
      <c r="V407" s="34" t="str">
        <f t="shared" si="411"/>
        <v>Yes</v>
      </c>
      <c r="W407" s="34" t="str">
        <f t="shared" si="3"/>
        <v/>
      </c>
      <c r="X407" s="24" t="str">
        <f t="shared" si="4"/>
        <v/>
      </c>
    </row>
    <row r="408" ht="14.25" customHeight="1">
      <c r="A408" s="28">
        <f>HYPERLINK("https://app.hubspot.com/contacts/8748051/record/0-1/9429562947", 9429562947)</f>
        <v>9429562947</v>
      </c>
      <c r="B408" s="24" t="s">
        <v>4061</v>
      </c>
      <c r="C408" s="26">
        <v>45411.22074074074</v>
      </c>
      <c r="D408" s="26"/>
      <c r="E408" s="24" t="s">
        <v>4062</v>
      </c>
      <c r="F408" s="24"/>
      <c r="G408" s="35">
        <v>45386.0</v>
      </c>
      <c r="H408" s="35">
        <v>45392.0</v>
      </c>
      <c r="I408" s="35"/>
      <c r="J408" s="24"/>
      <c r="K408" s="24"/>
      <c r="L408" s="24"/>
      <c r="M408" s="28">
        <f>HYPERLINK("https://app.hubspot.com/contacts/8748051/record/0-2/19176728645", 19176728645)</f>
        <v>19176728645</v>
      </c>
      <c r="N408" s="24" t="s">
        <v>4063</v>
      </c>
      <c r="O408" s="24"/>
      <c r="P408" s="24"/>
      <c r="Q408" s="24"/>
      <c r="R408" s="24"/>
      <c r="S408" s="24"/>
      <c r="T408" s="34" t="str">
        <f t="shared" ref="T408:V408" si="412">IF(G408&lt;&gt;"","Yes","")</f>
        <v>Yes</v>
      </c>
      <c r="U408" s="34" t="str">
        <f t="shared" si="412"/>
        <v>Yes</v>
      </c>
      <c r="V408" s="34" t="str">
        <f t="shared" si="412"/>
        <v/>
      </c>
      <c r="W408" s="34" t="str">
        <f t="shared" si="3"/>
        <v/>
      </c>
      <c r="X408" s="24" t="str">
        <f t="shared" si="4"/>
        <v/>
      </c>
    </row>
    <row r="409" ht="14.25" customHeight="1">
      <c r="A409" s="28">
        <f>HYPERLINK("https://app.hubspot.com/contacts/8748051/record/0-1/16029315605", 16029315605)</f>
        <v>16029315605</v>
      </c>
      <c r="B409" s="24" t="s">
        <v>4064</v>
      </c>
      <c r="C409" s="26">
        <v>45408.29287037037</v>
      </c>
      <c r="D409" s="26"/>
      <c r="E409" s="28" t="s">
        <v>317</v>
      </c>
      <c r="F409" s="24"/>
      <c r="G409" s="35">
        <v>45408.0</v>
      </c>
      <c r="H409" s="35">
        <v>45414.0</v>
      </c>
      <c r="I409" s="35">
        <v>45414.0</v>
      </c>
      <c r="J409" s="24"/>
      <c r="K409" s="24"/>
      <c r="L409" s="24"/>
      <c r="M409" s="28">
        <f>HYPERLINK("https://app.hubspot.com/contacts/8748051/record/0-2/7735473314", 7735473314)</f>
        <v>7735473314</v>
      </c>
      <c r="N409" s="24" t="s">
        <v>316</v>
      </c>
      <c r="O409" s="28">
        <f>HYPERLINK("https://app.hubspot.com/contacts/8748051/record/0-3/19090051890", 19090051890)</f>
        <v>19090051890</v>
      </c>
      <c r="P409" s="24" t="s">
        <v>1803</v>
      </c>
      <c r="Q409" s="24" t="s">
        <v>92</v>
      </c>
      <c r="R409" s="24">
        <v>3120.0</v>
      </c>
      <c r="S409" s="24" t="b">
        <v>1</v>
      </c>
      <c r="T409" s="34" t="str">
        <f t="shared" ref="T409:V409" si="413">IF(G409&lt;&gt;"","Yes","")</f>
        <v>Yes</v>
      </c>
      <c r="U409" s="34" t="str">
        <f t="shared" si="413"/>
        <v>Yes</v>
      </c>
      <c r="V409" s="34" t="str">
        <f t="shared" si="413"/>
        <v>Yes</v>
      </c>
      <c r="W409" s="34" t="str">
        <f t="shared" si="3"/>
        <v>Yes</v>
      </c>
      <c r="X409" s="24" t="str">
        <f t="shared" si="4"/>
        <v/>
      </c>
    </row>
    <row r="410" ht="14.25" customHeight="1">
      <c r="A410" s="33">
        <f>HYPERLINK("https://app.hubspot.com/contacts/8748051/record/0-1/15682331757", 15682331757)</f>
        <v>15682331757</v>
      </c>
      <c r="B410" s="24" t="s">
        <v>4065</v>
      </c>
      <c r="C410" s="26">
        <v>45407.22844907407</v>
      </c>
      <c r="D410" s="26"/>
      <c r="E410" s="28" t="s">
        <v>1740</v>
      </c>
      <c r="F410" s="24"/>
      <c r="G410" s="35">
        <v>45412.0</v>
      </c>
      <c r="H410" s="35">
        <v>45412.0</v>
      </c>
      <c r="I410" s="35">
        <v>45412.0</v>
      </c>
      <c r="J410" s="24"/>
      <c r="K410" s="24"/>
      <c r="L410" s="34"/>
      <c r="M410" s="33">
        <f>HYPERLINK("https://app.hubspot.com/contacts/8748051/record/0-2/18303139897", 18303139897)</f>
        <v>18303139897</v>
      </c>
      <c r="N410" s="24" t="s">
        <v>1739</v>
      </c>
      <c r="O410" s="33">
        <f>HYPERLINK("https://app.hubspot.com/contacts/8748051/record/0-3/19474969734", 19474969734)</f>
        <v>19474969734</v>
      </c>
      <c r="P410" s="24" t="s">
        <v>1737</v>
      </c>
      <c r="Q410" s="24" t="s">
        <v>149</v>
      </c>
      <c r="R410" s="24">
        <v>10000.0</v>
      </c>
      <c r="S410" s="24" t="b">
        <v>1</v>
      </c>
      <c r="T410" s="34" t="str">
        <f t="shared" ref="T410:V410" si="414">IF(G410&lt;&gt;"","Yes","")</f>
        <v>Yes</v>
      </c>
      <c r="U410" s="34" t="str">
        <f t="shared" si="414"/>
        <v>Yes</v>
      </c>
      <c r="V410" s="34" t="str">
        <f t="shared" si="414"/>
        <v>Yes</v>
      </c>
      <c r="W410" s="34" t="str">
        <f t="shared" si="3"/>
        <v/>
      </c>
      <c r="X410" s="24" t="str">
        <f t="shared" si="4"/>
        <v>Yes</v>
      </c>
    </row>
    <row r="411" ht="14.25" customHeight="1">
      <c r="A411" s="28">
        <f>HYPERLINK("https://app.hubspot.com/contacts/8748051/record/0-1/15314872358", 15314872358)</f>
        <v>15314872358</v>
      </c>
      <c r="B411" s="24" t="s">
        <v>4066</v>
      </c>
      <c r="C411" s="26">
        <v>45406.03057870371</v>
      </c>
      <c r="D411" s="26"/>
      <c r="E411" s="28" t="s">
        <v>1831</v>
      </c>
      <c r="F411" s="24"/>
      <c r="G411" s="35">
        <v>45406.0</v>
      </c>
      <c r="H411" s="35">
        <v>45407.0</v>
      </c>
      <c r="I411" s="35">
        <v>45407.0</v>
      </c>
      <c r="J411" s="24"/>
      <c r="K411" s="24"/>
      <c r="L411" s="24"/>
      <c r="M411" s="28">
        <f>HYPERLINK("https://app.hubspot.com/contacts/8748051/record/0-2/8831495001", 8831495001)</f>
        <v>8831495001</v>
      </c>
      <c r="N411" s="24" t="s">
        <v>1830</v>
      </c>
      <c r="O411" s="28">
        <f>HYPERLINK("https://app.hubspot.com/contacts/8748051/record/0-3/18899800123", 18899800123)</f>
        <v>18899800123</v>
      </c>
      <c r="P411" s="24" t="s">
        <v>1828</v>
      </c>
      <c r="Q411" s="24" t="s">
        <v>92</v>
      </c>
      <c r="R411" s="24">
        <v>5400.0</v>
      </c>
      <c r="S411" s="24" t="b">
        <v>1</v>
      </c>
      <c r="T411" s="34" t="str">
        <f t="shared" ref="T411:V411" si="415">IF(G411&lt;&gt;"","Yes","")</f>
        <v>Yes</v>
      </c>
      <c r="U411" s="34" t="str">
        <f t="shared" si="415"/>
        <v>Yes</v>
      </c>
      <c r="V411" s="34" t="str">
        <f t="shared" si="415"/>
        <v>Yes</v>
      </c>
      <c r="W411" s="34" t="str">
        <f t="shared" si="3"/>
        <v>Yes</v>
      </c>
      <c r="X411" s="24" t="str">
        <f t="shared" si="4"/>
        <v/>
      </c>
    </row>
    <row r="412" ht="14.25" customHeight="1">
      <c r="A412" s="28">
        <f>HYPERLINK("https://app.hubspot.com/contacts/8748051/record/0-1/14952936257", 14952936257)</f>
        <v>14952936257</v>
      </c>
      <c r="B412" s="24" t="s">
        <v>4067</v>
      </c>
      <c r="C412" s="26">
        <v>45404.908530092594</v>
      </c>
      <c r="D412" s="26"/>
      <c r="E412" s="28" t="s">
        <v>4068</v>
      </c>
      <c r="F412" s="24" t="s">
        <v>4043</v>
      </c>
      <c r="G412" s="35"/>
      <c r="H412" s="35"/>
      <c r="I412" s="35"/>
      <c r="J412" s="24"/>
      <c r="K412" s="24"/>
      <c r="L412" s="24"/>
      <c r="M412" s="28">
        <f>HYPERLINK("https://app.hubspot.com/contacts/8748051/record/0-2/20405045138", 20405045138)</f>
        <v>20405045138</v>
      </c>
      <c r="N412" s="24" t="s">
        <v>4069</v>
      </c>
      <c r="O412" s="24"/>
      <c r="P412" s="24"/>
      <c r="Q412" s="24"/>
      <c r="R412" s="24"/>
      <c r="S412" s="24"/>
      <c r="T412" s="34" t="str">
        <f t="shared" ref="T412:V412" si="416">IF(G412&lt;&gt;"","Yes","")</f>
        <v/>
      </c>
      <c r="U412" s="34" t="str">
        <f t="shared" si="416"/>
        <v/>
      </c>
      <c r="V412" s="34" t="str">
        <f t="shared" si="416"/>
        <v/>
      </c>
      <c r="W412" s="34" t="str">
        <f t="shared" si="3"/>
        <v/>
      </c>
      <c r="X412" s="24" t="str">
        <f t="shared" si="4"/>
        <v/>
      </c>
    </row>
    <row r="413" ht="14.25" customHeight="1">
      <c r="A413" s="28">
        <f>HYPERLINK("https://app.hubspot.com/contacts/8748051/record/0-1/14824857479", 14824857479)</f>
        <v>14824857479</v>
      </c>
      <c r="B413" s="24" t="s">
        <v>4070</v>
      </c>
      <c r="C413" s="26">
        <v>45404.51894675926</v>
      </c>
      <c r="D413" s="26"/>
      <c r="E413" s="28" t="s">
        <v>4071</v>
      </c>
      <c r="F413" s="24" t="s">
        <v>4072</v>
      </c>
      <c r="G413" s="35"/>
      <c r="H413" s="35"/>
      <c r="I413" s="35"/>
      <c r="J413" s="24"/>
      <c r="K413" s="24"/>
      <c r="L413" s="24"/>
      <c r="M413" s="28">
        <f>HYPERLINK("https://app.hubspot.com/contacts/8748051/record/0-2/20399179796", 20399179796)</f>
        <v>20399179796</v>
      </c>
      <c r="N413" s="24" t="s">
        <v>4073</v>
      </c>
      <c r="O413" s="24"/>
      <c r="P413" s="24"/>
      <c r="Q413" s="24"/>
      <c r="R413" s="24"/>
      <c r="S413" s="24"/>
      <c r="T413" s="34" t="str">
        <f t="shared" ref="T413:V413" si="417">IF(G413&lt;&gt;"","Yes","")</f>
        <v/>
      </c>
      <c r="U413" s="34" t="str">
        <f t="shared" si="417"/>
        <v/>
      </c>
      <c r="V413" s="34" t="str">
        <f t="shared" si="417"/>
        <v/>
      </c>
      <c r="W413" s="34" t="str">
        <f t="shared" si="3"/>
        <v/>
      </c>
      <c r="X413" s="24" t="str">
        <f t="shared" si="4"/>
        <v/>
      </c>
    </row>
    <row r="414" ht="14.25" customHeight="1">
      <c r="A414" s="28">
        <f>HYPERLINK("https://app.hubspot.com/contacts/8748051/record/0-1/14484522244", 14484522244)</f>
        <v>14484522244</v>
      </c>
      <c r="B414" s="24" t="s">
        <v>4074</v>
      </c>
      <c r="C414" s="26">
        <v>45403.395902777775</v>
      </c>
      <c r="D414" s="26"/>
      <c r="E414" s="28" t="s">
        <v>4075</v>
      </c>
      <c r="F414" s="24" t="s">
        <v>4076</v>
      </c>
      <c r="G414" s="35"/>
      <c r="H414" s="35"/>
      <c r="I414" s="35"/>
      <c r="J414" s="24"/>
      <c r="K414" s="24"/>
      <c r="L414" s="24"/>
      <c r="M414" s="28">
        <f>HYPERLINK("https://app.hubspot.com/contacts/8748051/record/0-2/20382480755", 20382480755)</f>
        <v>20382480755</v>
      </c>
      <c r="N414" s="24" t="s">
        <v>4077</v>
      </c>
      <c r="O414" s="24"/>
      <c r="P414" s="24"/>
      <c r="Q414" s="24"/>
      <c r="R414" s="24"/>
      <c r="S414" s="24"/>
      <c r="T414" s="34" t="str">
        <f t="shared" ref="T414:V414" si="418">IF(G414&lt;&gt;"","Yes","")</f>
        <v/>
      </c>
      <c r="U414" s="34" t="str">
        <f t="shared" si="418"/>
        <v/>
      </c>
      <c r="V414" s="34" t="str">
        <f t="shared" si="418"/>
        <v/>
      </c>
      <c r="W414" s="34" t="str">
        <f t="shared" si="3"/>
        <v/>
      </c>
      <c r="X414" s="24" t="str">
        <f t="shared" si="4"/>
        <v/>
      </c>
    </row>
    <row r="415" ht="14.25" customHeight="1">
      <c r="A415" s="28">
        <f>HYPERLINK("https://app.hubspot.com/contacts/8748051/record/0-1/14458777182", 14458777182)</f>
        <v>14458777182</v>
      </c>
      <c r="B415" s="24" t="s">
        <v>4078</v>
      </c>
      <c r="C415" s="26">
        <v>45403.298310185186</v>
      </c>
      <c r="D415" s="26"/>
      <c r="E415" s="28" t="s">
        <v>4079</v>
      </c>
      <c r="F415" s="24" t="s">
        <v>4080</v>
      </c>
      <c r="G415" s="35"/>
      <c r="H415" s="35"/>
      <c r="I415" s="35"/>
      <c r="J415" s="24"/>
      <c r="K415" s="24"/>
      <c r="L415" s="24"/>
      <c r="M415" s="28">
        <f>HYPERLINK("https://app.hubspot.com/contacts/8748051/record/0-2/20381836324", 20381836324)</f>
        <v>20381836324</v>
      </c>
      <c r="N415" s="24" t="s">
        <v>4081</v>
      </c>
      <c r="O415" s="24"/>
      <c r="P415" s="24"/>
      <c r="Q415" s="24"/>
      <c r="R415" s="24"/>
      <c r="S415" s="24"/>
      <c r="T415" s="34" t="str">
        <f t="shared" ref="T415:V415" si="419">IF(G415&lt;&gt;"","Yes","")</f>
        <v/>
      </c>
      <c r="U415" s="34" t="str">
        <f t="shared" si="419"/>
        <v/>
      </c>
      <c r="V415" s="34" t="str">
        <f t="shared" si="419"/>
        <v/>
      </c>
      <c r="W415" s="34" t="str">
        <f t="shared" si="3"/>
        <v/>
      </c>
      <c r="X415" s="24" t="str">
        <f t="shared" si="4"/>
        <v/>
      </c>
    </row>
    <row r="416" ht="14.25" customHeight="1">
      <c r="A416" s="28">
        <f>HYPERLINK("https://app.hubspot.com/contacts/8748051/record/0-1/14317669144", 14317669144)</f>
        <v>14317669144</v>
      </c>
      <c r="B416" s="24" t="s">
        <v>4082</v>
      </c>
      <c r="C416" s="26">
        <v>45402.690625</v>
      </c>
      <c r="D416" s="26"/>
      <c r="E416" s="24" t="s">
        <v>4083</v>
      </c>
      <c r="F416" s="24" t="s">
        <v>4043</v>
      </c>
      <c r="G416" s="35"/>
      <c r="H416" s="35"/>
      <c r="I416" s="35"/>
      <c r="J416" s="24"/>
      <c r="K416" s="24"/>
      <c r="L416" s="24"/>
      <c r="M416" s="28">
        <f>HYPERLINK("https://app.hubspot.com/contacts/8748051/record/0-2/20375546436", 20375546436)</f>
        <v>20375546436</v>
      </c>
      <c r="N416" s="24" t="s">
        <v>4084</v>
      </c>
      <c r="O416" s="24"/>
      <c r="P416" s="24"/>
      <c r="Q416" s="24"/>
      <c r="R416" s="24"/>
      <c r="S416" s="24"/>
      <c r="T416" s="34" t="str">
        <f t="shared" ref="T416:V416" si="420">IF(G416&lt;&gt;"","Yes","")</f>
        <v/>
      </c>
      <c r="U416" s="34" t="str">
        <f t="shared" si="420"/>
        <v/>
      </c>
      <c r="V416" s="34" t="str">
        <f t="shared" si="420"/>
        <v/>
      </c>
      <c r="W416" s="34" t="str">
        <f t="shared" si="3"/>
        <v/>
      </c>
      <c r="X416" s="24" t="str">
        <f t="shared" si="4"/>
        <v/>
      </c>
    </row>
    <row r="417" ht="14.25" customHeight="1">
      <c r="A417" s="28">
        <f>HYPERLINK("https://app.hubspot.com/contacts/8748051/record/0-1/28116189625", 28116189625)</f>
        <v>28116189625</v>
      </c>
      <c r="B417" s="24" t="s">
        <v>4085</v>
      </c>
      <c r="C417" s="26">
        <v>45400.61851851852</v>
      </c>
      <c r="D417" s="26"/>
      <c r="E417" s="28" t="s">
        <v>4086</v>
      </c>
      <c r="F417" s="24"/>
      <c r="G417" s="35">
        <v>45401.0</v>
      </c>
      <c r="H417" s="35">
        <v>45411.0</v>
      </c>
      <c r="I417" s="35">
        <v>45411.0</v>
      </c>
      <c r="J417" s="24"/>
      <c r="K417" s="24"/>
      <c r="L417" s="24"/>
      <c r="M417" s="28">
        <f>HYPERLINK("https://app.hubspot.com/contacts/8748051/record/0-2/21307661078", 21307661078)</f>
        <v>21307661078</v>
      </c>
      <c r="N417" s="24" t="s">
        <v>4087</v>
      </c>
      <c r="O417" s="34"/>
      <c r="P417" s="24"/>
      <c r="Q417" s="24"/>
      <c r="R417" s="24"/>
      <c r="S417" s="24"/>
      <c r="T417" s="34" t="str">
        <f t="shared" ref="T417:V417" si="421">IF(G417&lt;&gt;"","Yes","")</f>
        <v>Yes</v>
      </c>
      <c r="U417" s="34" t="str">
        <f t="shared" si="421"/>
        <v>Yes</v>
      </c>
      <c r="V417" s="34" t="str">
        <f t="shared" si="421"/>
        <v>Yes</v>
      </c>
      <c r="W417" s="34" t="str">
        <f t="shared" si="3"/>
        <v/>
      </c>
      <c r="X417" s="24" t="str">
        <f t="shared" si="4"/>
        <v/>
      </c>
    </row>
    <row r="418" ht="14.25" customHeight="1">
      <c r="A418" s="28">
        <f>HYPERLINK("https://app.hubspot.com/contacts/8748051/record/0-1/13488657161", 13488657161)</f>
        <v>13488657161</v>
      </c>
      <c r="B418" s="24" t="s">
        <v>4088</v>
      </c>
      <c r="C418" s="26">
        <v>45399.984351851854</v>
      </c>
      <c r="D418" s="26"/>
      <c r="E418" s="28" t="s">
        <v>4089</v>
      </c>
      <c r="F418" s="24"/>
      <c r="G418" s="35">
        <v>45400.0</v>
      </c>
      <c r="H418" s="35">
        <v>45408.0</v>
      </c>
      <c r="I418" s="35"/>
      <c r="J418" s="24"/>
      <c r="K418" s="24"/>
      <c r="L418" s="24"/>
      <c r="M418" s="28">
        <f>HYPERLINK("https://app.hubspot.com/contacts/8748051/record/0-2/20323929715", 20323929715)</f>
        <v>20323929715</v>
      </c>
      <c r="N418" s="24" t="s">
        <v>4090</v>
      </c>
      <c r="O418" s="34"/>
      <c r="P418" s="24"/>
      <c r="Q418" s="24"/>
      <c r="R418" s="24"/>
      <c r="S418" s="24"/>
      <c r="T418" s="34" t="str">
        <f t="shared" ref="T418:V418" si="422">IF(G418&lt;&gt;"","Yes","")</f>
        <v>Yes</v>
      </c>
      <c r="U418" s="34" t="str">
        <f t="shared" si="422"/>
        <v>Yes</v>
      </c>
      <c r="V418" s="34" t="str">
        <f t="shared" si="422"/>
        <v/>
      </c>
      <c r="W418" s="34" t="str">
        <f t="shared" si="3"/>
        <v/>
      </c>
      <c r="X418" s="24" t="str">
        <f t="shared" si="4"/>
        <v/>
      </c>
    </row>
    <row r="419" ht="14.25" customHeight="1">
      <c r="A419" s="28">
        <f>HYPERLINK("https://app.hubspot.com/contacts/8748051/record/0-1/13479780899", 13479780899)</f>
        <v>13479780899</v>
      </c>
      <c r="B419" s="24" t="s">
        <v>4091</v>
      </c>
      <c r="C419" s="26">
        <v>45399.92759259259</v>
      </c>
      <c r="D419" s="26"/>
      <c r="E419" s="28" t="s">
        <v>4092</v>
      </c>
      <c r="F419" s="24" t="s">
        <v>3983</v>
      </c>
      <c r="G419" s="35"/>
      <c r="H419" s="35"/>
      <c r="I419" s="35"/>
      <c r="J419" s="24"/>
      <c r="K419" s="24"/>
      <c r="L419" s="24"/>
      <c r="M419" s="28">
        <f>HYPERLINK("https://app.hubspot.com/contacts/8748051/record/0-2/20323789971", 20323789971)</f>
        <v>20323789971</v>
      </c>
      <c r="N419" s="24" t="s">
        <v>4093</v>
      </c>
      <c r="O419" s="24"/>
      <c r="P419" s="24"/>
      <c r="Q419" s="24"/>
      <c r="R419" s="24"/>
      <c r="S419" s="24"/>
      <c r="T419" s="34" t="str">
        <f t="shared" ref="T419:V419" si="423">IF(G419&lt;&gt;"","Yes","")</f>
        <v/>
      </c>
      <c r="U419" s="34" t="str">
        <f t="shared" si="423"/>
        <v/>
      </c>
      <c r="V419" s="34" t="str">
        <f t="shared" si="423"/>
        <v/>
      </c>
      <c r="W419" s="34" t="str">
        <f t="shared" si="3"/>
        <v/>
      </c>
      <c r="X419" s="24" t="str">
        <f t="shared" si="4"/>
        <v/>
      </c>
    </row>
    <row r="420" ht="14.25" customHeight="1">
      <c r="A420" s="28">
        <f>HYPERLINK("https://app.hubspot.com/contacts/8748051/record/0-1/12709864499", 12709864499)</f>
        <v>12709864499</v>
      </c>
      <c r="B420" s="24" t="s">
        <v>4094</v>
      </c>
      <c r="C420" s="26">
        <v>45397.7046412037</v>
      </c>
      <c r="D420" s="26"/>
      <c r="E420" s="28" t="s">
        <v>277</v>
      </c>
      <c r="F420" s="24"/>
      <c r="G420" s="35">
        <v>45398.0</v>
      </c>
      <c r="H420" s="35">
        <v>45398.0</v>
      </c>
      <c r="I420" s="35">
        <v>45398.0</v>
      </c>
      <c r="J420" s="24"/>
      <c r="K420" s="24"/>
      <c r="L420" s="24"/>
      <c r="M420" s="28">
        <f>HYPERLINK("https://app.hubspot.com/contacts/8748051/record/0-2/8016919815", 8016919815)</f>
        <v>8016919815</v>
      </c>
      <c r="N420" s="24" t="s">
        <v>276</v>
      </c>
      <c r="O420" s="28">
        <f>HYPERLINK("https://app.hubspot.com/contacts/8748051/record/0-3/18682261332", 18682261332)</f>
        <v>18682261332</v>
      </c>
      <c r="P420" s="24" t="s">
        <v>1882</v>
      </c>
      <c r="Q420" s="24" t="s">
        <v>92</v>
      </c>
      <c r="R420" s="24">
        <v>18000.0</v>
      </c>
      <c r="S420" s="24" t="b">
        <v>1</v>
      </c>
      <c r="T420" s="34" t="str">
        <f t="shared" ref="T420:V420" si="424">IF(G420&lt;&gt;"","Yes","")</f>
        <v>Yes</v>
      </c>
      <c r="U420" s="34" t="str">
        <f t="shared" si="424"/>
        <v>Yes</v>
      </c>
      <c r="V420" s="34" t="str">
        <f t="shared" si="424"/>
        <v>Yes</v>
      </c>
      <c r="W420" s="34" t="str">
        <f t="shared" si="3"/>
        <v>Yes</v>
      </c>
      <c r="X420" s="24" t="str">
        <f t="shared" si="4"/>
        <v/>
      </c>
    </row>
    <row r="421" ht="14.25" customHeight="1">
      <c r="A421" s="28">
        <f>HYPERLINK("https://app.hubspot.com/contacts/8748051/record/0-1/12258890517", 12258890517)</f>
        <v>12258890517</v>
      </c>
      <c r="B421" s="24" t="s">
        <v>4095</v>
      </c>
      <c r="C421" s="26">
        <v>45397.13079861111</v>
      </c>
      <c r="D421" s="26"/>
      <c r="E421" s="28" t="s">
        <v>4096</v>
      </c>
      <c r="F421" s="24" t="s">
        <v>4072</v>
      </c>
      <c r="G421" s="35"/>
      <c r="H421" s="35"/>
      <c r="I421" s="35"/>
      <c r="J421" s="24"/>
      <c r="K421" s="24"/>
      <c r="L421" s="24"/>
      <c r="M421" s="28">
        <f>HYPERLINK("https://app.hubspot.com/contacts/8748051/record/0-2/19176740118", 19176740118)</f>
        <v>19176740118</v>
      </c>
      <c r="N421" s="24" t="s">
        <v>4097</v>
      </c>
      <c r="O421" s="24"/>
      <c r="P421" s="24"/>
      <c r="Q421" s="24"/>
      <c r="R421" s="24"/>
      <c r="S421" s="24"/>
      <c r="T421" s="34" t="str">
        <f t="shared" ref="T421:V421" si="425">IF(G421&lt;&gt;"","Yes","")</f>
        <v/>
      </c>
      <c r="U421" s="34" t="str">
        <f t="shared" si="425"/>
        <v/>
      </c>
      <c r="V421" s="34" t="str">
        <f t="shared" si="425"/>
        <v/>
      </c>
      <c r="W421" s="34" t="str">
        <f t="shared" si="3"/>
        <v/>
      </c>
      <c r="X421" s="24" t="str">
        <f t="shared" si="4"/>
        <v/>
      </c>
    </row>
    <row r="422" ht="14.25" customHeight="1">
      <c r="A422" s="28">
        <f>HYPERLINK("https://app.hubspot.com/contacts/8748051/record/0-1/11785426434", 11785426434)</f>
        <v>11785426434</v>
      </c>
      <c r="B422" s="24" t="s">
        <v>4098</v>
      </c>
      <c r="C422" s="26">
        <v>45394.345729166664</v>
      </c>
      <c r="D422" s="26"/>
      <c r="E422" s="28" t="s">
        <v>4099</v>
      </c>
      <c r="F422" s="24" t="s">
        <v>4043</v>
      </c>
      <c r="G422" s="35"/>
      <c r="H422" s="35"/>
      <c r="I422" s="35"/>
      <c r="J422" s="24"/>
      <c r="K422" s="24"/>
      <c r="L422" s="24"/>
      <c r="M422" s="28">
        <f>HYPERLINK("https://app.hubspot.com/contacts/8748051/record/0-2/20225135750", 20225135750)</f>
        <v>20225135750</v>
      </c>
      <c r="N422" s="28" t="s">
        <v>4099</v>
      </c>
      <c r="O422" s="24"/>
      <c r="P422" s="24"/>
      <c r="Q422" s="24"/>
      <c r="R422" s="24"/>
      <c r="S422" s="24"/>
      <c r="T422" s="34" t="str">
        <f t="shared" ref="T422:V422" si="426">IF(G422&lt;&gt;"","Yes","")</f>
        <v/>
      </c>
      <c r="U422" s="34" t="str">
        <f t="shared" si="426"/>
        <v/>
      </c>
      <c r="V422" s="34" t="str">
        <f t="shared" si="426"/>
        <v/>
      </c>
      <c r="W422" s="34" t="str">
        <f t="shared" si="3"/>
        <v/>
      </c>
      <c r="X422" s="24" t="str">
        <f t="shared" si="4"/>
        <v/>
      </c>
    </row>
    <row r="423" ht="14.25" customHeight="1">
      <c r="A423" s="28">
        <f>HYPERLINK("https://app.hubspot.com/contacts/8748051/record/0-1/11536603143", 11536603143)</f>
        <v>11536603143</v>
      </c>
      <c r="B423" s="24" t="s">
        <v>4100</v>
      </c>
      <c r="C423" s="26">
        <v>45393.50074074074</v>
      </c>
      <c r="D423" s="26"/>
      <c r="E423" s="28" t="s">
        <v>4101</v>
      </c>
      <c r="F423" s="24"/>
      <c r="G423" s="35">
        <v>45393.0</v>
      </c>
      <c r="H423" s="35">
        <v>45400.0</v>
      </c>
      <c r="I423" s="35"/>
      <c r="J423" s="24"/>
      <c r="K423" s="24"/>
      <c r="L423" s="24"/>
      <c r="M423" s="28">
        <f>HYPERLINK("https://app.hubspot.com/contacts/8748051/record/0-2/9238312225", 9238312225)</f>
        <v>9238312225</v>
      </c>
      <c r="N423" s="24" t="s">
        <v>4102</v>
      </c>
      <c r="O423" s="24"/>
      <c r="P423" s="24"/>
      <c r="Q423" s="24"/>
      <c r="R423" s="24"/>
      <c r="S423" s="24"/>
      <c r="T423" s="34" t="str">
        <f t="shared" ref="T423:V423" si="427">IF(G423&lt;&gt;"","Yes","")</f>
        <v>Yes</v>
      </c>
      <c r="U423" s="34" t="str">
        <f t="shared" si="427"/>
        <v>Yes</v>
      </c>
      <c r="V423" s="34" t="str">
        <f t="shared" si="427"/>
        <v/>
      </c>
      <c r="W423" s="34" t="str">
        <f t="shared" si="3"/>
        <v/>
      </c>
      <c r="X423" s="24" t="str">
        <f t="shared" si="4"/>
        <v/>
      </c>
    </row>
    <row r="424" ht="14.25" customHeight="1">
      <c r="A424" s="28">
        <f>HYPERLINK("https://app.hubspot.com/contacts/8748051/record/0-1/11513249184", 11513249184)</f>
        <v>11513249184</v>
      </c>
      <c r="B424" s="24" t="s">
        <v>4103</v>
      </c>
      <c r="C424" s="26">
        <v>45393.442662037036</v>
      </c>
      <c r="D424" s="26"/>
      <c r="E424" s="28" t="s">
        <v>4104</v>
      </c>
      <c r="F424" s="24" t="s">
        <v>4105</v>
      </c>
      <c r="G424" s="35"/>
      <c r="H424" s="35"/>
      <c r="I424" s="35"/>
      <c r="J424" s="24"/>
      <c r="K424" s="24"/>
      <c r="L424" s="24"/>
      <c r="M424" s="28">
        <f>HYPERLINK("https://app.hubspot.com/contacts/8748051/record/0-2/20210066526", 20210066526)</f>
        <v>20210066526</v>
      </c>
      <c r="N424" s="24" t="s">
        <v>4106</v>
      </c>
      <c r="O424" s="34"/>
      <c r="P424" s="24"/>
      <c r="Q424" s="24"/>
      <c r="R424" s="24"/>
      <c r="S424" s="24"/>
      <c r="T424" s="34" t="str">
        <f t="shared" ref="T424:V424" si="428">IF(G424&lt;&gt;"","Yes","")</f>
        <v/>
      </c>
      <c r="U424" s="34" t="str">
        <f t="shared" si="428"/>
        <v/>
      </c>
      <c r="V424" s="34" t="str">
        <f t="shared" si="428"/>
        <v/>
      </c>
      <c r="W424" s="34" t="str">
        <f t="shared" si="3"/>
        <v/>
      </c>
      <c r="X424" s="24" t="str">
        <f t="shared" si="4"/>
        <v/>
      </c>
    </row>
    <row r="425" ht="14.25" customHeight="1">
      <c r="A425" s="28">
        <f>HYPERLINK("https://app.hubspot.com/contacts/8748051/record/0-1/11473339959", 11473339959)</f>
        <v>11473339959</v>
      </c>
      <c r="B425" s="24" t="s">
        <v>4107</v>
      </c>
      <c r="C425" s="26">
        <v>45393.3543287037</v>
      </c>
      <c r="D425" s="26"/>
      <c r="E425" s="28" t="s">
        <v>4108</v>
      </c>
      <c r="F425" s="24" t="s">
        <v>4109</v>
      </c>
      <c r="G425" s="35"/>
      <c r="H425" s="35"/>
      <c r="I425" s="35"/>
      <c r="J425" s="24"/>
      <c r="K425" s="24"/>
      <c r="L425" s="24"/>
      <c r="M425" s="28">
        <f>HYPERLINK("https://app.hubspot.com/contacts/8748051/record/0-2/20207037847", 20207037847)</f>
        <v>20207037847</v>
      </c>
      <c r="N425" s="24" t="s">
        <v>4110</v>
      </c>
      <c r="O425" s="34"/>
      <c r="P425" s="24"/>
      <c r="Q425" s="24"/>
      <c r="R425" s="24"/>
      <c r="S425" s="24"/>
      <c r="T425" s="34" t="str">
        <f t="shared" ref="T425:V425" si="429">IF(G425&lt;&gt;"","Yes","")</f>
        <v/>
      </c>
      <c r="U425" s="34" t="str">
        <f t="shared" si="429"/>
        <v/>
      </c>
      <c r="V425" s="34" t="str">
        <f t="shared" si="429"/>
        <v/>
      </c>
      <c r="W425" s="34" t="str">
        <f t="shared" si="3"/>
        <v/>
      </c>
      <c r="X425" s="24" t="str">
        <f t="shared" si="4"/>
        <v/>
      </c>
    </row>
    <row r="426" ht="14.25" customHeight="1">
      <c r="A426" s="28">
        <f>HYPERLINK("https://app.hubspot.com/contacts/8748051/record/0-1/11471195768", 11471195768)</f>
        <v>11471195768</v>
      </c>
      <c r="B426" s="24" t="s">
        <v>4111</v>
      </c>
      <c r="C426" s="26">
        <v>45393.33766203704</v>
      </c>
      <c r="D426" s="26"/>
      <c r="E426" s="28" t="s">
        <v>4112</v>
      </c>
      <c r="F426" s="24"/>
      <c r="G426" s="35">
        <v>45393.0</v>
      </c>
      <c r="H426" s="35">
        <v>45421.0</v>
      </c>
      <c r="I426" s="35"/>
      <c r="J426" s="24"/>
      <c r="K426" s="24"/>
      <c r="L426" s="24"/>
      <c r="M426" s="28">
        <f>HYPERLINK("https://app.hubspot.com/contacts/8748051/record/0-2/20208302190", 20208302190)</f>
        <v>20208302190</v>
      </c>
      <c r="N426" s="24" t="s">
        <v>4113</v>
      </c>
      <c r="O426" s="34"/>
      <c r="P426" s="24"/>
      <c r="Q426" s="24"/>
      <c r="R426" s="24"/>
      <c r="S426" s="24"/>
      <c r="T426" s="34" t="str">
        <f t="shared" ref="T426:V426" si="430">IF(G426&lt;&gt;"","Yes","")</f>
        <v>Yes</v>
      </c>
      <c r="U426" s="34" t="str">
        <f t="shared" si="430"/>
        <v>Yes</v>
      </c>
      <c r="V426" s="34" t="str">
        <f t="shared" si="430"/>
        <v/>
      </c>
      <c r="W426" s="34" t="str">
        <f t="shared" si="3"/>
        <v/>
      </c>
      <c r="X426" s="24" t="str">
        <f t="shared" si="4"/>
        <v/>
      </c>
    </row>
    <row r="427" ht="14.25" customHeight="1">
      <c r="A427" s="28">
        <f>HYPERLINK("https://app.hubspot.com/contacts/8748051/record/0-1/10792467461", 10792467461)</f>
        <v>10792467461</v>
      </c>
      <c r="B427" s="24" t="s">
        <v>4114</v>
      </c>
      <c r="C427" s="26">
        <v>45392.86497685185</v>
      </c>
      <c r="D427" s="26"/>
      <c r="E427" s="28" t="s">
        <v>1898</v>
      </c>
      <c r="F427" s="24"/>
      <c r="G427" s="35">
        <v>45391.0</v>
      </c>
      <c r="H427" s="35">
        <v>45398.0</v>
      </c>
      <c r="I427" s="35">
        <v>45398.0</v>
      </c>
      <c r="J427" s="24"/>
      <c r="K427" s="24"/>
      <c r="L427" s="24"/>
      <c r="M427" s="28">
        <f>HYPERLINK("https://app.hubspot.com/contacts/8748051/record/0-2/18159786760", 18159786760)</f>
        <v>18159786760</v>
      </c>
      <c r="N427" s="24" t="s">
        <v>1897</v>
      </c>
      <c r="O427" s="28">
        <f>HYPERLINK("https://app.hubspot.com/contacts/8748051/record/0-3/18657596262", 18657596262)</f>
        <v>18657596262</v>
      </c>
      <c r="P427" s="24" t="s">
        <v>1896</v>
      </c>
      <c r="Q427" s="24" t="s">
        <v>73</v>
      </c>
      <c r="R427" s="24">
        <v>2880.0</v>
      </c>
      <c r="S427" s="24"/>
      <c r="T427" s="34" t="str">
        <f t="shared" ref="T427:V427" si="431">IF(G427&lt;&gt;"","Yes","")</f>
        <v>Yes</v>
      </c>
      <c r="U427" s="34" t="str">
        <f t="shared" si="431"/>
        <v>Yes</v>
      </c>
      <c r="V427" s="34" t="str">
        <f t="shared" si="431"/>
        <v>Yes</v>
      </c>
      <c r="W427" s="34" t="str">
        <f t="shared" si="3"/>
        <v/>
      </c>
      <c r="X427" s="24" t="str">
        <f t="shared" si="4"/>
        <v/>
      </c>
    </row>
    <row r="428" ht="14.25" customHeight="1">
      <c r="A428" s="28">
        <f>HYPERLINK("https://app.hubspot.com/contacts/8748051/record/0-1/10917613740", 10917613740)</f>
        <v>10917613740</v>
      </c>
      <c r="B428" s="24" t="s">
        <v>4115</v>
      </c>
      <c r="C428" s="26">
        <v>45392.63915509259</v>
      </c>
      <c r="D428" s="26"/>
      <c r="E428" s="28" t="s">
        <v>4116</v>
      </c>
      <c r="F428" s="24" t="s">
        <v>4117</v>
      </c>
      <c r="G428" s="35"/>
      <c r="H428" s="35"/>
      <c r="I428" s="35"/>
      <c r="J428" s="24"/>
      <c r="K428" s="24"/>
      <c r="L428" s="34"/>
      <c r="M428" s="28">
        <f>HYPERLINK("https://app.hubspot.com/contacts/8748051/record/0-2/20196072612", 20196072612)</f>
        <v>20196072612</v>
      </c>
      <c r="N428" s="24" t="s">
        <v>4118</v>
      </c>
      <c r="O428" s="34"/>
      <c r="P428" s="24"/>
      <c r="Q428" s="24"/>
      <c r="R428" s="24"/>
      <c r="S428" s="24"/>
      <c r="T428" s="34" t="str">
        <f t="shared" ref="T428:V428" si="432">IF(G428&lt;&gt;"","Yes","")</f>
        <v/>
      </c>
      <c r="U428" s="34" t="str">
        <f t="shared" si="432"/>
        <v/>
      </c>
      <c r="V428" s="34" t="str">
        <f t="shared" si="432"/>
        <v/>
      </c>
      <c r="W428" s="34" t="str">
        <f t="shared" si="3"/>
        <v/>
      </c>
      <c r="X428" s="24" t="str">
        <f t="shared" si="4"/>
        <v/>
      </c>
    </row>
    <row r="429" ht="14.25" customHeight="1">
      <c r="A429" s="28">
        <f>HYPERLINK("https://app.hubspot.com/contacts/8748051/record/0-1/11139888909", 11139888909)</f>
        <v>11139888909</v>
      </c>
      <c r="B429" s="24" t="s">
        <v>4119</v>
      </c>
      <c r="C429" s="26">
        <v>45392.32152777778</v>
      </c>
      <c r="D429" s="26"/>
      <c r="E429" s="28" t="s">
        <v>4120</v>
      </c>
      <c r="F429" s="24" t="s">
        <v>4121</v>
      </c>
      <c r="G429" s="35"/>
      <c r="H429" s="35"/>
      <c r="I429" s="35"/>
      <c r="J429" s="24"/>
      <c r="K429" s="24"/>
      <c r="L429" s="24"/>
      <c r="M429" s="28">
        <f>HYPERLINK("https://app.hubspot.com/contacts/8748051/record/0-2/20189864451", 20189864451)</f>
        <v>20189864451</v>
      </c>
      <c r="N429" s="24" t="s">
        <v>4122</v>
      </c>
      <c r="O429" s="24"/>
      <c r="P429" s="24"/>
      <c r="Q429" s="24"/>
      <c r="R429" s="24"/>
      <c r="S429" s="24"/>
      <c r="T429" s="34" t="str">
        <f t="shared" ref="T429:V429" si="433">IF(G429&lt;&gt;"","Yes","")</f>
        <v/>
      </c>
      <c r="U429" s="34" t="str">
        <f t="shared" si="433"/>
        <v/>
      </c>
      <c r="V429" s="34" t="str">
        <f t="shared" si="433"/>
        <v/>
      </c>
      <c r="W429" s="34" t="str">
        <f t="shared" si="3"/>
        <v/>
      </c>
      <c r="X429" s="24" t="str">
        <f t="shared" si="4"/>
        <v/>
      </c>
    </row>
    <row r="430" ht="14.25" customHeight="1">
      <c r="A430" s="28">
        <f>HYPERLINK("https://app.hubspot.com/contacts/8748051/record/0-1/11113868420", 11113868420)</f>
        <v>11113868420</v>
      </c>
      <c r="B430" s="24" t="s">
        <v>4123</v>
      </c>
      <c r="C430" s="26">
        <v>45392.24140046296</v>
      </c>
      <c r="D430" s="26"/>
      <c r="E430" s="28" t="s">
        <v>4124</v>
      </c>
      <c r="F430" s="24" t="s">
        <v>4109</v>
      </c>
      <c r="G430" s="35"/>
      <c r="H430" s="35"/>
      <c r="I430" s="35"/>
      <c r="J430" s="24"/>
      <c r="K430" s="24"/>
      <c r="L430" s="24"/>
      <c r="M430" s="28">
        <f>HYPERLINK("https://app.hubspot.com/contacts/8748051/record/0-2/20188212997", 20188212997)</f>
        <v>20188212997</v>
      </c>
      <c r="N430" s="24" t="s">
        <v>4125</v>
      </c>
      <c r="O430" s="34"/>
      <c r="P430" s="24"/>
      <c r="Q430" s="24"/>
      <c r="R430" s="24"/>
      <c r="S430" s="24"/>
      <c r="T430" s="34" t="str">
        <f t="shared" ref="T430:V430" si="434">IF(G430&lt;&gt;"","Yes","")</f>
        <v/>
      </c>
      <c r="U430" s="34" t="str">
        <f t="shared" si="434"/>
        <v/>
      </c>
      <c r="V430" s="34" t="str">
        <f t="shared" si="434"/>
        <v/>
      </c>
      <c r="W430" s="34" t="str">
        <f t="shared" si="3"/>
        <v/>
      </c>
      <c r="X430" s="24" t="str">
        <f t="shared" si="4"/>
        <v/>
      </c>
    </row>
    <row r="431" ht="14.25" customHeight="1">
      <c r="A431" s="28">
        <f>HYPERLINK("https://app.hubspot.com/contacts/8748051/record/0-1/8256351870", 8256351870)</f>
        <v>8256351870</v>
      </c>
      <c r="B431" s="24" t="s">
        <v>4126</v>
      </c>
      <c r="C431" s="26">
        <v>45392.23289351852</v>
      </c>
      <c r="D431" s="26"/>
      <c r="E431" s="24" t="s">
        <v>4127</v>
      </c>
      <c r="F431" s="24" t="s">
        <v>3983</v>
      </c>
      <c r="G431" s="35"/>
      <c r="H431" s="35"/>
      <c r="I431" s="35"/>
      <c r="J431" s="24"/>
      <c r="K431" s="24"/>
      <c r="L431" s="24"/>
      <c r="M431" s="28">
        <f>HYPERLINK("https://app.hubspot.com/contacts/8748051/record/0-2/20188284589", 20188284589)</f>
        <v>20188284589</v>
      </c>
      <c r="N431" s="24" t="s">
        <v>4128</v>
      </c>
      <c r="O431" s="24"/>
      <c r="P431" s="24"/>
      <c r="Q431" s="24"/>
      <c r="R431" s="24"/>
      <c r="S431" s="24"/>
      <c r="T431" s="34" t="str">
        <f t="shared" ref="T431:V431" si="435">IF(G431&lt;&gt;"","Yes","")</f>
        <v/>
      </c>
      <c r="U431" s="34" t="str">
        <f t="shared" si="435"/>
        <v/>
      </c>
      <c r="V431" s="34" t="str">
        <f t="shared" si="435"/>
        <v/>
      </c>
      <c r="W431" s="34" t="str">
        <f t="shared" si="3"/>
        <v/>
      </c>
      <c r="X431" s="24" t="str">
        <f t="shared" si="4"/>
        <v/>
      </c>
    </row>
    <row r="432" ht="14.25" customHeight="1">
      <c r="A432" s="28">
        <f>HYPERLINK("https://app.hubspot.com/contacts/8748051/record/0-1/11110096795", 11110096795)</f>
        <v>11110096795</v>
      </c>
      <c r="B432" s="24" t="s">
        <v>4129</v>
      </c>
      <c r="C432" s="26">
        <v>45392.214375</v>
      </c>
      <c r="D432" s="26"/>
      <c r="E432" s="28" t="s">
        <v>4130</v>
      </c>
      <c r="F432" s="24" t="s">
        <v>4131</v>
      </c>
      <c r="G432" s="35"/>
      <c r="H432" s="35"/>
      <c r="I432" s="35"/>
      <c r="J432" s="24"/>
      <c r="K432" s="24"/>
      <c r="L432" s="24"/>
      <c r="M432" s="28">
        <f>HYPERLINK("https://app.hubspot.com/contacts/8748051/record/0-2/20188055722", 20188055722)</f>
        <v>20188055722</v>
      </c>
      <c r="N432" s="24" t="s">
        <v>4132</v>
      </c>
      <c r="O432" s="24"/>
      <c r="P432" s="24"/>
      <c r="Q432" s="24"/>
      <c r="R432" s="24"/>
      <c r="S432" s="24"/>
      <c r="T432" s="34" t="str">
        <f t="shared" ref="T432:V432" si="436">IF(G432&lt;&gt;"","Yes","")</f>
        <v/>
      </c>
      <c r="U432" s="34" t="str">
        <f t="shared" si="436"/>
        <v/>
      </c>
      <c r="V432" s="34" t="str">
        <f t="shared" si="436"/>
        <v/>
      </c>
      <c r="W432" s="34" t="str">
        <f t="shared" si="3"/>
        <v/>
      </c>
      <c r="X432" s="24" t="str">
        <f t="shared" si="4"/>
        <v/>
      </c>
    </row>
    <row r="433" ht="14.25" customHeight="1">
      <c r="A433" s="28">
        <f>HYPERLINK("https://app.hubspot.com/contacts/8748051/record/0-1/11075389347", 11075389347)</f>
        <v>11075389347</v>
      </c>
      <c r="B433" s="24" t="s">
        <v>4133</v>
      </c>
      <c r="C433" s="26">
        <v>45392.081041666665</v>
      </c>
      <c r="D433" s="26"/>
      <c r="E433" s="28" t="s">
        <v>822</v>
      </c>
      <c r="F433" s="24"/>
      <c r="G433" s="35">
        <v>45392.0</v>
      </c>
      <c r="H433" s="35">
        <v>45411.0</v>
      </c>
      <c r="I433" s="35">
        <v>45411.0</v>
      </c>
      <c r="J433" s="24"/>
      <c r="K433" s="24"/>
      <c r="L433" s="24"/>
      <c r="M433" s="28">
        <f>HYPERLINK("https://app.hubspot.com/contacts/8748051/record/0-2/20185415273", 20185415273)</f>
        <v>20185415273</v>
      </c>
      <c r="N433" s="24" t="s">
        <v>821</v>
      </c>
      <c r="O433" s="24"/>
      <c r="P433" s="24"/>
      <c r="Q433" s="24"/>
      <c r="R433" s="24"/>
      <c r="S433" s="24"/>
      <c r="T433" s="34" t="str">
        <f t="shared" ref="T433:V433" si="437">IF(G433&lt;&gt;"","Yes","")</f>
        <v>Yes</v>
      </c>
      <c r="U433" s="34" t="str">
        <f t="shared" si="437"/>
        <v>Yes</v>
      </c>
      <c r="V433" s="34" t="str">
        <f t="shared" si="437"/>
        <v>Yes</v>
      </c>
      <c r="W433" s="34" t="str">
        <f t="shared" si="3"/>
        <v/>
      </c>
      <c r="X433" s="24" t="str">
        <f t="shared" si="4"/>
        <v/>
      </c>
    </row>
    <row r="434" ht="14.25" customHeight="1">
      <c r="A434" s="28">
        <f>HYPERLINK("https://app.hubspot.com/contacts/8748051/record/0-1/11073198763", 11073198763)</f>
        <v>11073198763</v>
      </c>
      <c r="B434" s="24" t="s">
        <v>4134</v>
      </c>
      <c r="C434" s="26">
        <v>45392.046875</v>
      </c>
      <c r="D434" s="26"/>
      <c r="E434" s="28" t="s">
        <v>4135</v>
      </c>
      <c r="F434" s="24"/>
      <c r="G434" s="35">
        <v>45392.0</v>
      </c>
      <c r="H434" s="35">
        <v>45397.0</v>
      </c>
      <c r="I434" s="35">
        <v>45397.0</v>
      </c>
      <c r="J434" s="24"/>
      <c r="K434" s="24"/>
      <c r="L434" s="24"/>
      <c r="M434" s="28">
        <f>HYPERLINK("https://app.hubspot.com/contacts/8748051/record/0-2/20184975761", 20184975761)</f>
        <v>20184975761</v>
      </c>
      <c r="N434" s="24" t="s">
        <v>4136</v>
      </c>
      <c r="O434" s="34"/>
      <c r="P434" s="24"/>
      <c r="Q434" s="24"/>
      <c r="R434" s="24"/>
      <c r="S434" s="24"/>
      <c r="T434" s="34" t="str">
        <f t="shared" ref="T434:V434" si="438">IF(G434&lt;&gt;"","Yes","")</f>
        <v>Yes</v>
      </c>
      <c r="U434" s="34" t="str">
        <f t="shared" si="438"/>
        <v>Yes</v>
      </c>
      <c r="V434" s="34" t="str">
        <f t="shared" si="438"/>
        <v>Yes</v>
      </c>
      <c r="W434" s="34" t="str">
        <f t="shared" si="3"/>
        <v/>
      </c>
      <c r="X434" s="24" t="str">
        <f t="shared" si="4"/>
        <v/>
      </c>
    </row>
    <row r="435" ht="14.25" customHeight="1">
      <c r="A435" s="28">
        <f>HYPERLINK("https://app.hubspot.com/contacts/8748051/record/0-1/10918237797", 10918237797)</f>
        <v>10918237797</v>
      </c>
      <c r="B435" s="24" t="s">
        <v>4137</v>
      </c>
      <c r="C435" s="26">
        <v>45391.57096064815</v>
      </c>
      <c r="D435" s="26"/>
      <c r="E435" s="28" t="s">
        <v>1821</v>
      </c>
      <c r="F435" s="24"/>
      <c r="G435" s="35">
        <v>45392.0</v>
      </c>
      <c r="H435" s="35">
        <v>45392.0</v>
      </c>
      <c r="I435" s="35">
        <v>45392.0</v>
      </c>
      <c r="J435" s="24"/>
      <c r="K435" s="24"/>
      <c r="L435" s="34"/>
      <c r="M435" s="28">
        <f>HYPERLINK("https://app.hubspot.com/contacts/8748051/record/0-2/13452522550", 13452522550)</f>
        <v>13452522550</v>
      </c>
      <c r="N435" s="24" t="s">
        <v>1820</v>
      </c>
      <c r="O435" s="33">
        <f>HYPERLINK("https://app.hubspot.com/contacts/8748051/record/0-3/18970382396", 18970382396)</f>
        <v>18970382396</v>
      </c>
      <c r="P435" s="24" t="s">
        <v>1819</v>
      </c>
      <c r="Q435" s="24" t="s">
        <v>73</v>
      </c>
      <c r="R435" s="24">
        <v>50000.0</v>
      </c>
      <c r="S435" s="24"/>
      <c r="T435" s="34" t="str">
        <f t="shared" ref="T435:V435" si="439">IF(G435&lt;&gt;"","Yes","")</f>
        <v>Yes</v>
      </c>
      <c r="U435" s="34" t="str">
        <f t="shared" si="439"/>
        <v>Yes</v>
      </c>
      <c r="V435" s="34" t="str">
        <f t="shared" si="439"/>
        <v>Yes</v>
      </c>
      <c r="W435" s="34" t="str">
        <f t="shared" si="3"/>
        <v/>
      </c>
      <c r="X435" s="24" t="str">
        <f t="shared" si="4"/>
        <v/>
      </c>
    </row>
    <row r="436" ht="14.25" customHeight="1">
      <c r="A436" s="28">
        <f>HYPERLINK("https://app.hubspot.com/contacts/8748051/record/0-1/10851843201", 10851843201)</f>
        <v>10851843201</v>
      </c>
      <c r="B436" s="24" t="s">
        <v>4138</v>
      </c>
      <c r="C436" s="26">
        <v>45391.48658564815</v>
      </c>
      <c r="D436" s="26"/>
      <c r="E436" s="28" t="s">
        <v>4139</v>
      </c>
      <c r="F436" s="24" t="s">
        <v>4140</v>
      </c>
      <c r="G436" s="35"/>
      <c r="H436" s="35"/>
      <c r="I436" s="35"/>
      <c r="J436" s="24"/>
      <c r="K436" s="24"/>
      <c r="L436" s="24"/>
      <c r="M436" s="28">
        <f>HYPERLINK("https://app.hubspot.com/contacts/8748051/record/0-2/20174408206", 20174408206)</f>
        <v>20174408206</v>
      </c>
      <c r="N436" s="24" t="s">
        <v>4141</v>
      </c>
      <c r="O436" s="24"/>
      <c r="P436" s="24"/>
      <c r="Q436" s="24"/>
      <c r="R436" s="24"/>
      <c r="S436" s="24"/>
      <c r="T436" s="34" t="str">
        <f t="shared" ref="T436:V436" si="440">IF(G436&lt;&gt;"","Yes","")</f>
        <v/>
      </c>
      <c r="U436" s="34" t="str">
        <f t="shared" si="440"/>
        <v/>
      </c>
      <c r="V436" s="34" t="str">
        <f t="shared" si="440"/>
        <v/>
      </c>
      <c r="W436" s="34" t="str">
        <f t="shared" si="3"/>
        <v/>
      </c>
      <c r="X436" s="24" t="str">
        <f t="shared" si="4"/>
        <v/>
      </c>
    </row>
    <row r="437" ht="14.25" customHeight="1">
      <c r="A437" s="28">
        <f>HYPERLINK("https://app.hubspot.com/contacts/8748051/record/0-1/7069355102", 7069355102)</f>
        <v>7069355102</v>
      </c>
      <c r="B437" s="24" t="s">
        <v>4142</v>
      </c>
      <c r="C437" s="26">
        <v>45378.58934027778</v>
      </c>
      <c r="D437" s="26"/>
      <c r="E437" s="28" t="s">
        <v>4143</v>
      </c>
      <c r="F437" s="24" t="s">
        <v>3983</v>
      </c>
      <c r="G437" s="35"/>
      <c r="H437" s="35"/>
      <c r="I437" s="35"/>
      <c r="J437" s="24"/>
      <c r="K437" s="24"/>
      <c r="L437" s="24"/>
      <c r="M437" s="28">
        <f>HYPERLINK("https://app.hubspot.com/contacts/8748051/record/0-2/19721546917", 19721546917)</f>
        <v>19721546917</v>
      </c>
      <c r="N437" s="28" t="s">
        <v>4143</v>
      </c>
      <c r="O437" s="34"/>
      <c r="P437" s="24"/>
      <c r="Q437" s="24"/>
      <c r="R437" s="24"/>
      <c r="S437" s="24"/>
      <c r="T437" s="34" t="str">
        <f t="shared" ref="T437:V437" si="441">IF(G437&lt;&gt;"","Yes","")</f>
        <v/>
      </c>
      <c r="U437" s="34" t="str">
        <f t="shared" si="441"/>
        <v/>
      </c>
      <c r="V437" s="34" t="str">
        <f t="shared" si="441"/>
        <v/>
      </c>
      <c r="W437" s="34" t="str">
        <f t="shared" si="3"/>
        <v/>
      </c>
      <c r="X437" s="24" t="str">
        <f t="shared" si="4"/>
        <v/>
      </c>
    </row>
    <row r="438" ht="14.25" customHeight="1">
      <c r="A438" s="28">
        <f>HYPERLINK("https://app.hubspot.com/contacts/8748051/record/0-1/6714244494", 6714244494)</f>
        <v>6714244494</v>
      </c>
      <c r="B438" s="24" t="s">
        <v>4144</v>
      </c>
      <c r="C438" s="26">
        <v>45377.51613425926</v>
      </c>
      <c r="D438" s="26"/>
      <c r="E438" s="28" t="s">
        <v>4145</v>
      </c>
      <c r="F438" s="24" t="s">
        <v>4146</v>
      </c>
      <c r="G438" s="35"/>
      <c r="H438" s="35"/>
      <c r="I438" s="35"/>
      <c r="J438" s="24"/>
      <c r="K438" s="24"/>
      <c r="L438" s="24"/>
      <c r="M438" s="28">
        <f>HYPERLINK("https://app.hubspot.com/contacts/8748051/record/0-2/19176627101", 19176627101)</f>
        <v>19176627101</v>
      </c>
      <c r="N438" s="24" t="s">
        <v>4147</v>
      </c>
      <c r="O438" s="34"/>
      <c r="P438" s="24"/>
      <c r="Q438" s="24"/>
      <c r="R438" s="24"/>
      <c r="S438" s="24"/>
      <c r="T438" s="34" t="str">
        <f t="shared" ref="T438:V438" si="442">IF(G438&lt;&gt;"","Yes","")</f>
        <v/>
      </c>
      <c r="U438" s="34" t="str">
        <f t="shared" si="442"/>
        <v/>
      </c>
      <c r="V438" s="34" t="str">
        <f t="shared" si="442"/>
        <v/>
      </c>
      <c r="W438" s="34" t="str">
        <f t="shared" si="3"/>
        <v/>
      </c>
      <c r="X438" s="24" t="str">
        <f t="shared" si="4"/>
        <v/>
      </c>
    </row>
    <row r="439" ht="14.25" customHeight="1">
      <c r="A439" s="28">
        <f>HYPERLINK("https://app.hubspot.com/contacts/8748051/record/0-1/6693291024", 6693291024)</f>
        <v>6693291024</v>
      </c>
      <c r="B439" s="24" t="s">
        <v>4148</v>
      </c>
      <c r="C439" s="26">
        <v>45377.44380787037</v>
      </c>
      <c r="D439" s="26"/>
      <c r="E439" s="28" t="s">
        <v>4149</v>
      </c>
      <c r="F439" s="24"/>
      <c r="G439" s="35">
        <v>45377.0</v>
      </c>
      <c r="H439" s="35">
        <v>45380.0</v>
      </c>
      <c r="I439" s="35"/>
      <c r="J439" s="24"/>
      <c r="K439" s="24"/>
      <c r="L439" s="24"/>
      <c r="M439" s="28">
        <f>HYPERLINK("https://app.hubspot.com/contacts/8748051/record/0-2/19176601195", 19176601195)</f>
        <v>19176601195</v>
      </c>
      <c r="N439" s="24" t="s">
        <v>4150</v>
      </c>
      <c r="O439" s="24"/>
      <c r="P439" s="24"/>
      <c r="Q439" s="24"/>
      <c r="R439" s="24"/>
      <c r="S439" s="24"/>
      <c r="T439" s="34" t="str">
        <f t="shared" ref="T439:V439" si="443">IF(G439&lt;&gt;"","Yes","")</f>
        <v>Yes</v>
      </c>
      <c r="U439" s="34" t="str">
        <f t="shared" si="443"/>
        <v>Yes</v>
      </c>
      <c r="V439" s="34" t="str">
        <f t="shared" si="443"/>
        <v/>
      </c>
      <c r="W439" s="34" t="str">
        <f t="shared" si="3"/>
        <v/>
      </c>
      <c r="X439" s="24" t="str">
        <f t="shared" si="4"/>
        <v/>
      </c>
    </row>
    <row r="440" ht="14.25" customHeight="1">
      <c r="A440" s="28">
        <f>HYPERLINK("https://app.hubspot.com/contacts/8748051/record/0-1/6646001772", 6646001772)</f>
        <v>6646001772</v>
      </c>
      <c r="B440" s="24" t="s">
        <v>4151</v>
      </c>
      <c r="C440" s="26">
        <v>45377.32126157408</v>
      </c>
      <c r="D440" s="26"/>
      <c r="E440" s="28" t="s">
        <v>4152</v>
      </c>
      <c r="F440" s="24"/>
      <c r="G440" s="35">
        <v>45377.0</v>
      </c>
      <c r="H440" s="35">
        <v>45378.0</v>
      </c>
      <c r="I440" s="35"/>
      <c r="J440" s="24"/>
      <c r="K440" s="24"/>
      <c r="L440" s="24"/>
      <c r="M440" s="28">
        <f>HYPERLINK("https://app.hubspot.com/contacts/8748051/record/0-2/9773715270", 9773715270)</f>
        <v>9773715270</v>
      </c>
      <c r="N440" s="24" t="s">
        <v>4153</v>
      </c>
      <c r="O440" s="24"/>
      <c r="P440" s="24"/>
      <c r="Q440" s="24"/>
      <c r="R440" s="24"/>
      <c r="S440" s="24"/>
      <c r="T440" s="34" t="str">
        <f t="shared" ref="T440:V440" si="444">IF(G440&lt;&gt;"","Yes","")</f>
        <v>Yes</v>
      </c>
      <c r="U440" s="34" t="str">
        <f t="shared" si="444"/>
        <v>Yes</v>
      </c>
      <c r="V440" s="34" t="str">
        <f t="shared" si="444"/>
        <v/>
      </c>
      <c r="W440" s="34" t="str">
        <f t="shared" si="3"/>
        <v/>
      </c>
      <c r="X440" s="24" t="str">
        <f t="shared" si="4"/>
        <v/>
      </c>
    </row>
    <row r="441" ht="14.25" customHeight="1">
      <c r="A441" s="28">
        <f>HYPERLINK("https://app.hubspot.com/contacts/8748051/record/0-1/3565601", 3565601)</f>
        <v>3565601</v>
      </c>
      <c r="B441" s="24" t="s">
        <v>4154</v>
      </c>
      <c r="C441" s="26">
        <v>45373.32289351852</v>
      </c>
      <c r="D441" s="26"/>
      <c r="E441" s="28" t="s">
        <v>4155</v>
      </c>
      <c r="F441" s="24" t="s">
        <v>4121</v>
      </c>
      <c r="G441" s="35"/>
      <c r="H441" s="35"/>
      <c r="I441" s="35"/>
      <c r="J441" s="24"/>
      <c r="K441" s="24"/>
      <c r="L441" s="34"/>
      <c r="M441" s="28">
        <f>HYPERLINK("https://app.hubspot.com/contacts/8748051/record/0-2/19646323314", 19646323314)</f>
        <v>19646323314</v>
      </c>
      <c r="N441" s="28" t="s">
        <v>4156</v>
      </c>
      <c r="O441" s="34"/>
      <c r="P441" s="24"/>
      <c r="Q441" s="24"/>
      <c r="R441" s="24"/>
      <c r="S441" s="24"/>
      <c r="T441" s="34" t="str">
        <f t="shared" ref="T441:V441" si="445">IF(G441&lt;&gt;"","Yes","")</f>
        <v/>
      </c>
      <c r="U441" s="34" t="str">
        <f t="shared" si="445"/>
        <v/>
      </c>
      <c r="V441" s="34" t="str">
        <f t="shared" si="445"/>
        <v/>
      </c>
      <c r="W441" s="34" t="str">
        <f t="shared" si="3"/>
        <v/>
      </c>
      <c r="X441" s="24" t="str">
        <f t="shared" si="4"/>
        <v/>
      </c>
    </row>
    <row r="442" ht="14.25" customHeight="1">
      <c r="A442" s="28">
        <f>HYPERLINK("https://app.hubspot.com/contacts/8748051/record/0-1/3565701", 3565701)</f>
        <v>3565701</v>
      </c>
      <c r="B442" s="24" t="s">
        <v>4157</v>
      </c>
      <c r="C442" s="26">
        <v>45373.256064814814</v>
      </c>
      <c r="D442" s="26"/>
      <c r="E442" s="28" t="s">
        <v>4158</v>
      </c>
      <c r="F442" s="24"/>
      <c r="G442" s="35">
        <v>45373.0</v>
      </c>
      <c r="H442" s="35">
        <v>45377.0</v>
      </c>
      <c r="I442" s="35"/>
      <c r="J442" s="24"/>
      <c r="K442" s="24"/>
      <c r="L442" s="24"/>
      <c r="M442" s="28">
        <f>HYPERLINK("https://app.hubspot.com/contacts/8748051/record/0-2/19608720532", 19608720532)</f>
        <v>19608720532</v>
      </c>
      <c r="N442" s="28" t="s">
        <v>4158</v>
      </c>
      <c r="O442" s="34"/>
      <c r="P442" s="24"/>
      <c r="Q442" s="24"/>
      <c r="R442" s="24"/>
      <c r="S442" s="24"/>
      <c r="T442" s="34" t="str">
        <f t="shared" ref="T442:V442" si="446">IF(G442&lt;&gt;"","Yes","")</f>
        <v>Yes</v>
      </c>
      <c r="U442" s="34" t="str">
        <f t="shared" si="446"/>
        <v>Yes</v>
      </c>
      <c r="V442" s="34" t="str">
        <f t="shared" si="446"/>
        <v/>
      </c>
      <c r="W442" s="34" t="str">
        <f t="shared" si="3"/>
        <v/>
      </c>
      <c r="X442" s="24" t="str">
        <f t="shared" si="4"/>
        <v/>
      </c>
    </row>
    <row r="443" ht="14.25" customHeight="1">
      <c r="A443" s="28">
        <f>HYPERLINK("https://app.hubspot.com/contacts/8748051/record/0-1/3359251", 3359251)</f>
        <v>3359251</v>
      </c>
      <c r="B443" s="24" t="s">
        <v>4159</v>
      </c>
      <c r="C443" s="26">
        <v>45372.581099537034</v>
      </c>
      <c r="D443" s="26"/>
      <c r="E443" s="28" t="s">
        <v>2001</v>
      </c>
      <c r="F443" s="24"/>
      <c r="G443" s="35">
        <v>45373.0</v>
      </c>
      <c r="H443" s="35">
        <v>45378.0</v>
      </c>
      <c r="I443" s="35">
        <v>45378.0</v>
      </c>
      <c r="J443" s="24"/>
      <c r="K443" s="24"/>
      <c r="L443" s="24"/>
      <c r="M443" s="28">
        <f>HYPERLINK("https://app.hubspot.com/contacts/8748051/record/0-2/8920311154", 8920311154)</f>
        <v>8920311154</v>
      </c>
      <c r="N443" s="24" t="s">
        <v>2000</v>
      </c>
      <c r="O443" s="28">
        <f>HYPERLINK("https://app.hubspot.com/contacts/8748051/record/0-3/18245525816", 18245525816)</f>
        <v>18245525816</v>
      </c>
      <c r="P443" s="24" t="s">
        <v>1998</v>
      </c>
      <c r="Q443" s="24" t="s">
        <v>92</v>
      </c>
      <c r="R443" s="24">
        <v>100000.0</v>
      </c>
      <c r="S443" s="24" t="b">
        <v>1</v>
      </c>
      <c r="T443" s="34" t="str">
        <f t="shared" ref="T443:V443" si="447">IF(G443&lt;&gt;"","Yes","")</f>
        <v>Yes</v>
      </c>
      <c r="U443" s="34" t="str">
        <f t="shared" si="447"/>
        <v>Yes</v>
      </c>
      <c r="V443" s="34" t="str">
        <f t="shared" si="447"/>
        <v>Yes</v>
      </c>
      <c r="W443" s="34" t="str">
        <f t="shared" si="3"/>
        <v>Yes</v>
      </c>
      <c r="X443" s="24" t="str">
        <f t="shared" si="4"/>
        <v/>
      </c>
    </row>
    <row r="444" ht="14.25" customHeight="1">
      <c r="A444" s="28">
        <f>HYPERLINK("https://app.hubspot.com/contacts/8748051/record/0-1/3392701", 3392701)</f>
        <v>3392701</v>
      </c>
      <c r="B444" s="24" t="s">
        <v>4160</v>
      </c>
      <c r="C444" s="26">
        <v>45371.531064814815</v>
      </c>
      <c r="D444" s="26"/>
      <c r="E444" s="28" t="s">
        <v>4161</v>
      </c>
      <c r="F444" s="24"/>
      <c r="G444" s="35">
        <v>45371.0</v>
      </c>
      <c r="H444" s="35"/>
      <c r="I444" s="35"/>
      <c r="J444" s="24"/>
      <c r="K444" s="24"/>
      <c r="L444" s="24"/>
      <c r="M444" s="28">
        <f>HYPERLINK("https://app.hubspot.com/contacts/8748051/record/0-2/19616215719", 19616215719)</f>
        <v>19616215719</v>
      </c>
      <c r="N444" s="24" t="s">
        <v>4162</v>
      </c>
      <c r="O444" s="24"/>
      <c r="P444" s="24"/>
      <c r="Q444" s="24"/>
      <c r="R444" s="24"/>
      <c r="S444" s="24"/>
      <c r="T444" s="34" t="str">
        <f t="shared" ref="T444:V444" si="448">IF(G444&lt;&gt;"","Yes","")</f>
        <v>Yes</v>
      </c>
      <c r="U444" s="34" t="str">
        <f t="shared" si="448"/>
        <v/>
      </c>
      <c r="V444" s="34" t="str">
        <f t="shared" si="448"/>
        <v/>
      </c>
      <c r="W444" s="34" t="str">
        <f t="shared" si="3"/>
        <v/>
      </c>
      <c r="X444" s="24" t="str">
        <f t="shared" si="4"/>
        <v/>
      </c>
    </row>
    <row r="445" ht="14.25" customHeight="1">
      <c r="A445" s="28">
        <f>HYPERLINK("https://app.hubspot.com/contacts/8748051/record/0-1/3567451", 3567451)</f>
        <v>3567451</v>
      </c>
      <c r="B445" s="24" t="s">
        <v>4163</v>
      </c>
      <c r="C445" s="26">
        <v>45371.36237268519</v>
      </c>
      <c r="D445" s="26"/>
      <c r="E445" s="28" t="s">
        <v>4164</v>
      </c>
      <c r="F445" s="24" t="s">
        <v>3983</v>
      </c>
      <c r="G445" s="35"/>
      <c r="H445" s="35"/>
      <c r="I445" s="35"/>
      <c r="J445" s="24"/>
      <c r="K445" s="24"/>
      <c r="L445" s="24"/>
      <c r="M445" s="28">
        <f>HYPERLINK("https://app.hubspot.com/contacts/8748051/record/0-2/19612053865", 19612053865)</f>
        <v>19612053865</v>
      </c>
      <c r="N445" s="28" t="s">
        <v>4164</v>
      </c>
      <c r="O445" s="24"/>
      <c r="P445" s="24"/>
      <c r="Q445" s="24"/>
      <c r="R445" s="24"/>
      <c r="S445" s="24"/>
      <c r="T445" s="34" t="str">
        <f t="shared" ref="T445:V445" si="449">IF(G445&lt;&gt;"","Yes","")</f>
        <v/>
      </c>
      <c r="U445" s="34" t="str">
        <f t="shared" si="449"/>
        <v/>
      </c>
      <c r="V445" s="34" t="str">
        <f t="shared" si="449"/>
        <v/>
      </c>
      <c r="W445" s="34" t="str">
        <f t="shared" si="3"/>
        <v/>
      </c>
      <c r="X445" s="24" t="str">
        <f t="shared" si="4"/>
        <v/>
      </c>
    </row>
    <row r="446" ht="14.25" customHeight="1">
      <c r="A446" s="28">
        <f>HYPERLINK("https://app.hubspot.com/contacts/8748051/record/0-1/800751", 800751)</f>
        <v>800751</v>
      </c>
      <c r="B446" s="24" t="s">
        <v>4165</v>
      </c>
      <c r="C446" s="26">
        <v>45369.44787037037</v>
      </c>
      <c r="D446" s="26"/>
      <c r="E446" s="28" t="s">
        <v>1408</v>
      </c>
      <c r="F446" s="24"/>
      <c r="G446" s="35">
        <v>45369.0</v>
      </c>
      <c r="H446" s="35">
        <v>45372.0</v>
      </c>
      <c r="I446" s="35">
        <v>45372.0</v>
      </c>
      <c r="J446" s="24"/>
      <c r="K446" s="24"/>
      <c r="L446" s="24"/>
      <c r="M446" s="28">
        <f>HYPERLINK("https://app.hubspot.com/contacts/8748051/record/0-2/7736681624", 7736681624)</f>
        <v>7736681624</v>
      </c>
      <c r="N446" s="24" t="s">
        <v>1407</v>
      </c>
      <c r="O446" s="33">
        <f>HYPERLINK("https://app.hubspot.com/contacts/8748051/record/0-3/18137545526", 18137545526)</f>
        <v>18137545526</v>
      </c>
      <c r="P446" s="24" t="s">
        <v>1406</v>
      </c>
      <c r="Q446" s="24" t="s">
        <v>127</v>
      </c>
      <c r="R446" s="24">
        <v>70000.0</v>
      </c>
      <c r="S446" s="24" t="b">
        <v>1</v>
      </c>
      <c r="T446" s="34" t="str">
        <f t="shared" ref="T446:V446" si="450">IF(G446&lt;&gt;"","Yes","")</f>
        <v>Yes</v>
      </c>
      <c r="U446" s="34" t="str">
        <f t="shared" si="450"/>
        <v>Yes</v>
      </c>
      <c r="V446" s="34" t="str">
        <f t="shared" si="450"/>
        <v>Yes</v>
      </c>
      <c r="W446" s="34" t="str">
        <f t="shared" si="3"/>
        <v/>
      </c>
      <c r="X446" s="24" t="str">
        <f t="shared" si="4"/>
        <v/>
      </c>
    </row>
    <row r="447" ht="14.25" customHeight="1">
      <c r="A447" s="28">
        <f>HYPERLINK("https://app.hubspot.com/contacts/8748051/record/0-1/3553151", 3553151)</f>
        <v>3553151</v>
      </c>
      <c r="B447" s="24" t="s">
        <v>4166</v>
      </c>
      <c r="C447" s="26">
        <v>45369.24387731482</v>
      </c>
      <c r="D447" s="26"/>
      <c r="E447" s="28" t="s">
        <v>4167</v>
      </c>
      <c r="F447" s="24"/>
      <c r="G447" s="35">
        <v>45369.0</v>
      </c>
      <c r="H447" s="35">
        <v>45385.0</v>
      </c>
      <c r="I447" s="35"/>
      <c r="J447" s="24"/>
      <c r="K447" s="24"/>
      <c r="L447" s="24"/>
      <c r="M447" s="28">
        <f>HYPERLINK("https://app.hubspot.com/contacts/8748051/record/0-2/19575748963", 19575748963)</f>
        <v>19575748963</v>
      </c>
      <c r="N447" s="24" t="s">
        <v>4168</v>
      </c>
      <c r="O447" s="24"/>
      <c r="P447" s="24"/>
      <c r="Q447" s="24"/>
      <c r="R447" s="24"/>
      <c r="S447" s="24"/>
      <c r="T447" s="34" t="str">
        <f t="shared" ref="T447:V447" si="451">IF(G447&lt;&gt;"","Yes","")</f>
        <v>Yes</v>
      </c>
      <c r="U447" s="34" t="str">
        <f t="shared" si="451"/>
        <v>Yes</v>
      </c>
      <c r="V447" s="34" t="str">
        <f t="shared" si="451"/>
        <v/>
      </c>
      <c r="W447" s="34" t="str">
        <f t="shared" si="3"/>
        <v/>
      </c>
      <c r="X447" s="24" t="str">
        <f t="shared" si="4"/>
        <v/>
      </c>
    </row>
    <row r="448" ht="14.25" customHeight="1">
      <c r="A448" s="28">
        <f>HYPERLINK("https://app.hubspot.com/contacts/8748051/record/0-1/3549551", 3549551)</f>
        <v>3549551</v>
      </c>
      <c r="B448" s="24" t="s">
        <v>4169</v>
      </c>
      <c r="C448" s="26">
        <v>45367.29587962963</v>
      </c>
      <c r="D448" s="26"/>
      <c r="E448" s="28" t="s">
        <v>4170</v>
      </c>
      <c r="F448" s="24"/>
      <c r="G448" s="35">
        <v>45367.0</v>
      </c>
      <c r="H448" s="35">
        <v>45377.0</v>
      </c>
      <c r="I448" s="35">
        <v>45377.0</v>
      </c>
      <c r="J448" s="24"/>
      <c r="K448" s="24"/>
      <c r="L448" s="24"/>
      <c r="M448" s="28">
        <f>HYPERLINK("https://app.hubspot.com/contacts/8748051/record/0-2/19553942962", 19553942962)</f>
        <v>19553942962</v>
      </c>
      <c r="N448" s="24" t="s">
        <v>4171</v>
      </c>
      <c r="O448" s="24"/>
      <c r="P448" s="24"/>
      <c r="Q448" s="24"/>
      <c r="R448" s="24"/>
      <c r="S448" s="24"/>
      <c r="T448" s="34" t="str">
        <f t="shared" ref="T448:V448" si="452">IF(G448&lt;&gt;"","Yes","")</f>
        <v>Yes</v>
      </c>
      <c r="U448" s="34" t="str">
        <f t="shared" si="452"/>
        <v>Yes</v>
      </c>
      <c r="V448" s="34" t="str">
        <f t="shared" si="452"/>
        <v>Yes</v>
      </c>
      <c r="W448" s="34" t="str">
        <f t="shared" si="3"/>
        <v/>
      </c>
      <c r="X448" s="24" t="str">
        <f t="shared" si="4"/>
        <v/>
      </c>
    </row>
    <row r="449" ht="14.25" customHeight="1">
      <c r="A449" s="28">
        <f>HYPERLINK("https://app.hubspot.com/contacts/8748051/record/0-1/3502951", 3502951)</f>
        <v>3502951</v>
      </c>
      <c r="B449" s="24" t="s">
        <v>4172</v>
      </c>
      <c r="C449" s="26">
        <v>45361.25982638889</v>
      </c>
      <c r="D449" s="26"/>
      <c r="E449" s="28" t="s">
        <v>4173</v>
      </c>
      <c r="F449" s="24"/>
      <c r="G449" s="35">
        <v>45361.0</v>
      </c>
      <c r="H449" s="35">
        <v>45366.0</v>
      </c>
      <c r="I449" s="35"/>
      <c r="J449" s="24"/>
      <c r="K449" s="24"/>
      <c r="L449" s="24"/>
      <c r="M449" s="28">
        <f>HYPERLINK("https://app.hubspot.com/contacts/8748051/record/0-2/19455357997", 19455357997)</f>
        <v>19455357997</v>
      </c>
      <c r="N449" s="24" t="s">
        <v>4174</v>
      </c>
      <c r="O449" s="24"/>
      <c r="P449" s="24"/>
      <c r="Q449" s="24"/>
      <c r="R449" s="24"/>
      <c r="S449" s="24"/>
      <c r="T449" s="34" t="str">
        <f t="shared" ref="T449:V449" si="453">IF(G449&lt;&gt;"","Yes","")</f>
        <v>Yes</v>
      </c>
      <c r="U449" s="34" t="str">
        <f t="shared" si="453"/>
        <v>Yes</v>
      </c>
      <c r="V449" s="34" t="str">
        <f t="shared" si="453"/>
        <v/>
      </c>
      <c r="W449" s="34" t="str">
        <f t="shared" si="3"/>
        <v/>
      </c>
      <c r="X449" s="24" t="str">
        <f t="shared" si="4"/>
        <v/>
      </c>
    </row>
    <row r="450" ht="14.25" customHeight="1">
      <c r="A450" s="28">
        <f>HYPERLINK("https://app.hubspot.com/contacts/8748051/record/0-1/789751", 789751)</f>
        <v>789751</v>
      </c>
      <c r="B450" s="24" t="s">
        <v>4175</v>
      </c>
      <c r="C450" s="26">
        <v>45359.132997685185</v>
      </c>
      <c r="D450" s="26"/>
      <c r="E450" s="28" t="s">
        <v>953</v>
      </c>
      <c r="F450" s="24"/>
      <c r="G450" s="35">
        <v>45359.0</v>
      </c>
      <c r="H450" s="35"/>
      <c r="I450" s="35"/>
      <c r="J450" s="24"/>
      <c r="K450" s="24"/>
      <c r="L450" s="24"/>
      <c r="M450" s="28">
        <f>HYPERLINK("https://app.hubspot.com/contacts/8748051/record/0-2/8142764962", 8142764962)</f>
        <v>8142764962</v>
      </c>
      <c r="N450" s="24" t="s">
        <v>952</v>
      </c>
      <c r="O450" s="24"/>
      <c r="P450" s="24"/>
      <c r="Q450" s="24"/>
      <c r="R450" s="24"/>
      <c r="S450" s="24"/>
      <c r="T450" s="34" t="str">
        <f t="shared" ref="T450:V450" si="454">IF(G450&lt;&gt;"","Yes","")</f>
        <v>Yes</v>
      </c>
      <c r="U450" s="34" t="str">
        <f t="shared" si="454"/>
        <v/>
      </c>
      <c r="V450" s="34" t="str">
        <f t="shared" si="454"/>
        <v/>
      </c>
      <c r="W450" s="34" t="str">
        <f t="shared" si="3"/>
        <v/>
      </c>
      <c r="X450" s="24" t="str">
        <f t="shared" si="4"/>
        <v/>
      </c>
    </row>
    <row r="451" ht="14.25" customHeight="1">
      <c r="A451" s="28">
        <f>HYPERLINK("https://app.hubspot.com/contacts/8748051/record/0-1/3484451", 3484451)</f>
        <v>3484451</v>
      </c>
      <c r="B451" s="24" t="s">
        <v>4176</v>
      </c>
      <c r="C451" s="26">
        <v>45358.26195601852</v>
      </c>
      <c r="D451" s="26"/>
      <c r="E451" s="28" t="s">
        <v>751</v>
      </c>
      <c r="F451" s="24"/>
      <c r="G451" s="35">
        <v>45358.0</v>
      </c>
      <c r="H451" s="35">
        <v>45364.0</v>
      </c>
      <c r="I451" s="35">
        <v>45364.0</v>
      </c>
      <c r="J451" s="24"/>
      <c r="K451" s="24"/>
      <c r="L451" s="24"/>
      <c r="M451" s="28">
        <f>HYPERLINK("https://app.hubspot.com/contacts/8748051/record/0-2/9238305910", 9238305910)</f>
        <v>9238305910</v>
      </c>
      <c r="N451" s="24" t="s">
        <v>750</v>
      </c>
      <c r="O451" s="28">
        <f>HYPERLINK("https://app.hubspot.com/contacts/8748051/record/0-3/18013065228", 18013065228)</f>
        <v>18013065228</v>
      </c>
      <c r="P451" s="24" t="s">
        <v>749</v>
      </c>
      <c r="Q451" s="24" t="s">
        <v>127</v>
      </c>
      <c r="R451" s="24">
        <v>18000.0</v>
      </c>
      <c r="S451" s="24" t="b">
        <v>1</v>
      </c>
      <c r="T451" s="34" t="str">
        <f t="shared" ref="T451:V451" si="455">IF(G451&lt;&gt;"","Yes","")</f>
        <v>Yes</v>
      </c>
      <c r="U451" s="34" t="str">
        <f t="shared" si="455"/>
        <v>Yes</v>
      </c>
      <c r="V451" s="34" t="str">
        <f t="shared" si="455"/>
        <v>Yes</v>
      </c>
      <c r="W451" s="34" t="str">
        <f t="shared" si="3"/>
        <v/>
      </c>
      <c r="X451" s="24" t="str">
        <f t="shared" si="4"/>
        <v/>
      </c>
    </row>
    <row r="452" ht="14.25" customHeight="1">
      <c r="A452" s="28">
        <f>HYPERLINK("https://app.hubspot.com/contacts/8748051/record/0-1/3481601", 3481601)</f>
        <v>3481601</v>
      </c>
      <c r="B452" s="24" t="s">
        <v>4177</v>
      </c>
      <c r="C452" s="26">
        <v>45357.62168981481</v>
      </c>
      <c r="D452" s="26"/>
      <c r="E452" s="28" t="s">
        <v>2120</v>
      </c>
      <c r="F452" s="24"/>
      <c r="G452" s="35">
        <v>45358.0</v>
      </c>
      <c r="H452" s="35">
        <v>45363.0</v>
      </c>
      <c r="I452" s="35">
        <v>45363.0</v>
      </c>
      <c r="J452" s="24"/>
      <c r="K452" s="24"/>
      <c r="L452" s="24"/>
      <c r="M452" s="28">
        <f>HYPERLINK("https://app.hubspot.com/contacts/8748051/record/0-2/16375809954", 16375809954)</f>
        <v>16375809954</v>
      </c>
      <c r="N452" s="24" t="s">
        <v>2119</v>
      </c>
      <c r="O452" s="33">
        <f>HYPERLINK("https://app.hubspot.com/contacts/8748051/record/0-3/17979318788", 17979318788)</f>
        <v>17979318788</v>
      </c>
      <c r="P452" s="24" t="s">
        <v>2118</v>
      </c>
      <c r="Q452" s="24" t="s">
        <v>73</v>
      </c>
      <c r="R452" s="24">
        <v>7680.0</v>
      </c>
      <c r="S452" s="24"/>
      <c r="T452" s="34" t="str">
        <f t="shared" ref="T452:V452" si="456">IF(G452&lt;&gt;"","Yes","")</f>
        <v>Yes</v>
      </c>
      <c r="U452" s="34" t="str">
        <f t="shared" si="456"/>
        <v>Yes</v>
      </c>
      <c r="V452" s="34" t="str">
        <f t="shared" si="456"/>
        <v>Yes</v>
      </c>
      <c r="W452" s="34" t="str">
        <f t="shared" si="3"/>
        <v/>
      </c>
      <c r="X452" s="24" t="str">
        <f t="shared" si="4"/>
        <v/>
      </c>
    </row>
    <row r="453" ht="14.25" customHeight="1">
      <c r="A453" s="28">
        <f>HYPERLINK("https://app.hubspot.com/contacts/8748051/record/0-1/3468551", 3468551)</f>
        <v>3468551</v>
      </c>
      <c r="B453" s="24" t="s">
        <v>4178</v>
      </c>
      <c r="C453" s="26">
        <v>45356.51391203704</v>
      </c>
      <c r="D453" s="26"/>
      <c r="E453" s="28" t="s">
        <v>1699</v>
      </c>
      <c r="F453" s="24"/>
      <c r="G453" s="35">
        <v>45357.0</v>
      </c>
      <c r="H453" s="35">
        <v>45519.0</v>
      </c>
      <c r="I453" s="35">
        <v>45519.0</v>
      </c>
      <c r="J453" s="24"/>
      <c r="K453" s="24"/>
      <c r="L453" s="24"/>
      <c r="M453" s="28">
        <f>HYPERLINK("https://app.hubspot.com/contacts/8748051/record/0-2/7686834774", 7686834774)</f>
        <v>7686834774</v>
      </c>
      <c r="N453" s="24" t="s">
        <v>1698</v>
      </c>
      <c r="O453" s="28">
        <f>HYPERLINK("https://app.hubspot.com/contacts/8748051/record/0-3/19648590164", 19648590164)</f>
        <v>19648590164</v>
      </c>
      <c r="P453" s="24" t="s">
        <v>1697</v>
      </c>
      <c r="Q453" s="24" t="s">
        <v>73</v>
      </c>
      <c r="R453" s="24">
        <v>23280.0</v>
      </c>
      <c r="S453" s="24"/>
      <c r="T453" s="34" t="str">
        <f t="shared" ref="T453:V453" si="457">IF(G453&lt;&gt;"","Yes","")</f>
        <v>Yes</v>
      </c>
      <c r="U453" s="34" t="str">
        <f t="shared" si="457"/>
        <v>Yes</v>
      </c>
      <c r="V453" s="34" t="str">
        <f t="shared" si="457"/>
        <v>Yes</v>
      </c>
      <c r="W453" s="34" t="str">
        <f t="shared" si="3"/>
        <v/>
      </c>
      <c r="X453" s="24" t="str">
        <f t="shared" si="4"/>
        <v/>
      </c>
    </row>
    <row r="454" ht="14.25" customHeight="1">
      <c r="A454" s="28">
        <f>HYPERLINK("https://app.hubspot.com/contacts/8748051/record/0-1/3222851", 3222851)</f>
        <v>3222851</v>
      </c>
      <c r="B454" s="24" t="s">
        <v>4179</v>
      </c>
      <c r="C454" s="26">
        <v>45356.13203703704</v>
      </c>
      <c r="D454" s="26"/>
      <c r="E454" s="28" t="s">
        <v>1124</v>
      </c>
      <c r="F454" s="24"/>
      <c r="G454" s="35">
        <v>45278.0</v>
      </c>
      <c r="H454" s="35">
        <v>45357.0</v>
      </c>
      <c r="I454" s="35">
        <v>45357.0</v>
      </c>
      <c r="J454" s="24"/>
      <c r="K454" s="24"/>
      <c r="L454" s="24"/>
      <c r="M454" s="28">
        <f>HYPERLINK("https://app.hubspot.com/contacts/8748051/record/0-2/18450809606", 18450809606)</f>
        <v>18450809606</v>
      </c>
      <c r="N454" s="24" t="s">
        <v>1123</v>
      </c>
      <c r="O454" s="28">
        <f>HYPERLINK("https://app.hubspot.com/contacts/8748051/record/0-3/18089950094", 18089950094)</f>
        <v>18089950094</v>
      </c>
      <c r="P454" s="24" t="s">
        <v>2069</v>
      </c>
      <c r="Q454" s="24" t="s">
        <v>73</v>
      </c>
      <c r="R454" s="24">
        <v>5000.0</v>
      </c>
      <c r="S454" s="24"/>
      <c r="T454" s="34" t="str">
        <f t="shared" ref="T454:V454" si="458">IF(G454&lt;&gt;"","Yes","")</f>
        <v>Yes</v>
      </c>
      <c r="U454" s="34" t="str">
        <f t="shared" si="458"/>
        <v>Yes</v>
      </c>
      <c r="V454" s="34" t="str">
        <f t="shared" si="458"/>
        <v>Yes</v>
      </c>
      <c r="W454" s="34" t="str">
        <f t="shared" si="3"/>
        <v/>
      </c>
      <c r="X454" s="24" t="str">
        <f t="shared" si="4"/>
        <v/>
      </c>
    </row>
    <row r="455" ht="14.25" customHeight="1">
      <c r="A455" s="28">
        <f>HYPERLINK("https://app.hubspot.com/contacts/8748051/record/0-1/3465601", 3465601)</f>
        <v>3465601</v>
      </c>
      <c r="B455" s="24" t="s">
        <v>4180</v>
      </c>
      <c r="C455" s="26">
        <v>45355.89225694445</v>
      </c>
      <c r="D455" s="26"/>
      <c r="E455" s="28" t="s">
        <v>4181</v>
      </c>
      <c r="F455" s="24" t="s">
        <v>4121</v>
      </c>
      <c r="G455" s="35"/>
      <c r="H455" s="35"/>
      <c r="I455" s="35"/>
      <c r="J455" s="24"/>
      <c r="K455" s="24"/>
      <c r="L455" s="24"/>
      <c r="M455" s="28">
        <f>HYPERLINK("https://app.hubspot.com/contacts/8748051/record/0-2/19375615357", 19375615357)</f>
        <v>19375615357</v>
      </c>
      <c r="N455" s="24" t="s">
        <v>4182</v>
      </c>
      <c r="O455" s="24"/>
      <c r="P455" s="24"/>
      <c r="Q455" s="24"/>
      <c r="R455" s="24"/>
      <c r="S455" s="24"/>
      <c r="T455" s="34" t="str">
        <f t="shared" ref="T455:V455" si="459">IF(G455&lt;&gt;"","Yes","")</f>
        <v/>
      </c>
      <c r="U455" s="34" t="str">
        <f t="shared" si="459"/>
        <v/>
      </c>
      <c r="V455" s="34" t="str">
        <f t="shared" si="459"/>
        <v/>
      </c>
      <c r="W455" s="34" t="str">
        <f t="shared" si="3"/>
        <v/>
      </c>
      <c r="X455" s="24" t="str">
        <f t="shared" si="4"/>
        <v/>
      </c>
    </row>
    <row r="456" ht="14.25" customHeight="1">
      <c r="A456" s="28">
        <f>HYPERLINK("https://app.hubspot.com/contacts/8748051/record/0-1/496253", 496253)</f>
        <v>496253</v>
      </c>
      <c r="B456" s="24" t="s">
        <v>4183</v>
      </c>
      <c r="C456" s="26">
        <v>45352.83969907407</v>
      </c>
      <c r="D456" s="26"/>
      <c r="E456" s="28" t="s">
        <v>2065</v>
      </c>
      <c r="F456" s="24"/>
      <c r="G456" s="35">
        <v>45353.0</v>
      </c>
      <c r="H456" s="35">
        <v>45366.0</v>
      </c>
      <c r="I456" s="35">
        <v>45397.0</v>
      </c>
      <c r="J456" s="24"/>
      <c r="K456" s="24"/>
      <c r="L456" s="24"/>
      <c r="M456" s="28">
        <f>HYPERLINK("https://app.hubspot.com/contacts/8748051/record/0-2/7648032795", 7648032795)</f>
        <v>7648032795</v>
      </c>
      <c r="N456" s="24" t="s">
        <v>2064</v>
      </c>
      <c r="O456" s="28">
        <f>HYPERLINK("https://app.hubspot.com/contacts/8748051/record/0-3/18094274308", 18094274308)</f>
        <v>18094274308</v>
      </c>
      <c r="P456" s="24" t="s">
        <v>2063</v>
      </c>
      <c r="Q456" s="24" t="s">
        <v>73</v>
      </c>
      <c r="R456" s="24">
        <v>10080.0</v>
      </c>
      <c r="S456" s="24"/>
      <c r="T456" s="34" t="str">
        <f t="shared" ref="T456:V456" si="460">IF(G456&lt;&gt;"","Yes","")</f>
        <v>Yes</v>
      </c>
      <c r="U456" s="34" t="str">
        <f t="shared" si="460"/>
        <v>Yes</v>
      </c>
      <c r="V456" s="34" t="str">
        <f t="shared" si="460"/>
        <v>Yes</v>
      </c>
      <c r="W456" s="34" t="str">
        <f t="shared" si="3"/>
        <v/>
      </c>
      <c r="X456" s="24" t="str">
        <f t="shared" si="4"/>
        <v/>
      </c>
    </row>
    <row r="457" ht="14.25" customHeight="1">
      <c r="A457" s="28">
        <f>HYPERLINK("https://app.hubspot.com/contacts/8748051/record/0-1/3448451", 3448451)</f>
        <v>3448451</v>
      </c>
      <c r="B457" s="24" t="s">
        <v>4184</v>
      </c>
      <c r="C457" s="26">
        <v>45352.38853009259</v>
      </c>
      <c r="D457" s="26"/>
      <c r="E457" s="28" t="s">
        <v>4185</v>
      </c>
      <c r="F457" s="24" t="s">
        <v>4186</v>
      </c>
      <c r="G457" s="35"/>
      <c r="H457" s="35"/>
      <c r="I457" s="35"/>
      <c r="J457" s="24"/>
      <c r="K457" s="24"/>
      <c r="L457" s="24"/>
      <c r="M457" s="28">
        <f>HYPERLINK("https://app.hubspot.com/contacts/8748051/record/0-2/19329299717", 19329299717)</f>
        <v>19329299717</v>
      </c>
      <c r="N457" s="24" t="s">
        <v>4187</v>
      </c>
      <c r="O457" s="24"/>
      <c r="P457" s="24"/>
      <c r="Q457" s="24"/>
      <c r="R457" s="24"/>
      <c r="S457" s="24"/>
      <c r="T457" s="34" t="str">
        <f t="shared" ref="T457:V457" si="461">IF(G457&lt;&gt;"","Yes","")</f>
        <v/>
      </c>
      <c r="U457" s="34" t="str">
        <f t="shared" si="461"/>
        <v/>
      </c>
      <c r="V457" s="34" t="str">
        <f t="shared" si="461"/>
        <v/>
      </c>
      <c r="W457" s="34" t="str">
        <f t="shared" si="3"/>
        <v/>
      </c>
      <c r="X457" s="24" t="str">
        <f t="shared" si="4"/>
        <v/>
      </c>
    </row>
    <row r="458" ht="14.25" customHeight="1">
      <c r="A458" s="28">
        <f>HYPERLINK("https://app.hubspot.com/contacts/8748051/record/0-1/3447551", 3447551)</f>
        <v>3447551</v>
      </c>
      <c r="B458" s="24" t="s">
        <v>4188</v>
      </c>
      <c r="C458" s="26">
        <v>45352.130844907406</v>
      </c>
      <c r="D458" s="26"/>
      <c r="E458" s="28" t="s">
        <v>4189</v>
      </c>
      <c r="F458" s="24" t="s">
        <v>4121</v>
      </c>
      <c r="G458" s="35"/>
      <c r="H458" s="35"/>
      <c r="I458" s="35"/>
      <c r="J458" s="24"/>
      <c r="K458" s="24"/>
      <c r="L458" s="24"/>
      <c r="M458" s="28">
        <f>HYPERLINK("https://app.hubspot.com/contacts/8748051/record/0-2/9069618615", 9069618615)</f>
        <v>9069618615</v>
      </c>
      <c r="N458" s="24" t="s">
        <v>4190</v>
      </c>
      <c r="O458" s="24"/>
      <c r="P458" s="24"/>
      <c r="Q458" s="24"/>
      <c r="R458" s="24"/>
      <c r="S458" s="24"/>
      <c r="T458" s="34" t="str">
        <f t="shared" ref="T458:V458" si="462">IF(G458&lt;&gt;"","Yes","")</f>
        <v/>
      </c>
      <c r="U458" s="34" t="str">
        <f t="shared" si="462"/>
        <v/>
      </c>
      <c r="V458" s="34" t="str">
        <f t="shared" si="462"/>
        <v/>
      </c>
      <c r="W458" s="34" t="str">
        <f t="shared" si="3"/>
        <v/>
      </c>
      <c r="X458" s="24" t="str">
        <f t="shared" si="4"/>
        <v/>
      </c>
    </row>
    <row r="459" ht="14.25" customHeight="1">
      <c r="A459" s="28">
        <f>HYPERLINK("https://app.hubspot.com/contacts/8748051/record/0-1/3446051", 3446051)</f>
        <v>3446051</v>
      </c>
      <c r="B459" s="24" t="s">
        <v>4191</v>
      </c>
      <c r="C459" s="26">
        <v>45351.50376157407</v>
      </c>
      <c r="D459" s="26"/>
      <c r="E459" s="28" t="s">
        <v>4192</v>
      </c>
      <c r="F459" s="24"/>
      <c r="G459" s="35">
        <v>45352.0</v>
      </c>
      <c r="H459" s="35">
        <v>45357.0</v>
      </c>
      <c r="I459" s="35"/>
      <c r="J459" s="24"/>
      <c r="K459" s="24"/>
      <c r="L459" s="24"/>
      <c r="M459" s="28">
        <f>HYPERLINK("https://app.hubspot.com/contacts/8748051/record/0-2/19303913095", 19303913095)</f>
        <v>19303913095</v>
      </c>
      <c r="N459" s="24" t="s">
        <v>4193</v>
      </c>
      <c r="O459" s="24"/>
      <c r="P459" s="24"/>
      <c r="Q459" s="24"/>
      <c r="R459" s="24"/>
      <c r="S459" s="24"/>
      <c r="T459" s="34" t="str">
        <f t="shared" ref="T459:V459" si="463">IF(G459&lt;&gt;"","Yes","")</f>
        <v>Yes</v>
      </c>
      <c r="U459" s="34" t="str">
        <f t="shared" si="463"/>
        <v>Yes</v>
      </c>
      <c r="V459" s="34" t="str">
        <f t="shared" si="463"/>
        <v/>
      </c>
      <c r="W459" s="34" t="str">
        <f t="shared" si="3"/>
        <v/>
      </c>
      <c r="X459" s="24" t="str">
        <f t="shared" si="4"/>
        <v/>
      </c>
    </row>
    <row r="460" ht="14.25" customHeight="1">
      <c r="A460" s="28">
        <f>HYPERLINK("https://app.hubspot.com/contacts/8748051/record/0-1/3426951", 3426951)</f>
        <v>3426951</v>
      </c>
      <c r="B460" s="24" t="s">
        <v>4194</v>
      </c>
      <c r="C460" s="26">
        <v>45348.91538194445</v>
      </c>
      <c r="D460" s="26"/>
      <c r="E460" s="24"/>
      <c r="F460" s="24" t="s">
        <v>3983</v>
      </c>
      <c r="G460" s="35"/>
      <c r="H460" s="35"/>
      <c r="I460" s="35"/>
      <c r="J460" s="24"/>
      <c r="K460" s="24"/>
      <c r="L460" s="24"/>
      <c r="M460" s="24"/>
      <c r="N460" s="24"/>
      <c r="O460" s="24"/>
      <c r="P460" s="24"/>
      <c r="Q460" s="24"/>
      <c r="R460" s="24"/>
      <c r="S460" s="24"/>
      <c r="T460" s="34" t="str">
        <f t="shared" ref="T460:V460" si="464">IF(G460&lt;&gt;"","Yes","")</f>
        <v/>
      </c>
      <c r="U460" s="34" t="str">
        <f t="shared" si="464"/>
        <v/>
      </c>
      <c r="V460" s="34" t="str">
        <f t="shared" si="464"/>
        <v/>
      </c>
      <c r="W460" s="34" t="str">
        <f t="shared" si="3"/>
        <v/>
      </c>
      <c r="X460" s="24" t="str">
        <f t="shared" si="4"/>
        <v/>
      </c>
    </row>
    <row r="461" ht="14.25" customHeight="1">
      <c r="A461" s="28">
        <f>HYPERLINK("https://app.hubspot.com/contacts/8748051/record/0-1/2790551", 2790551)</f>
        <v>2790551</v>
      </c>
      <c r="B461" s="24" t="s">
        <v>4195</v>
      </c>
      <c r="C461" s="26">
        <v>45346.109375</v>
      </c>
      <c r="D461" s="26"/>
      <c r="E461" s="28" t="s">
        <v>4196</v>
      </c>
      <c r="F461" s="24"/>
      <c r="G461" s="35">
        <v>45346.0</v>
      </c>
      <c r="H461" s="35">
        <v>45348.0</v>
      </c>
      <c r="I461" s="35">
        <v>45348.0</v>
      </c>
      <c r="J461" s="24"/>
      <c r="K461" s="24"/>
      <c r="L461" s="24"/>
      <c r="M461" s="28">
        <f>HYPERLINK("https://app.hubspot.com/contacts/8748051/record/0-2/17170516831", 17170516831)</f>
        <v>17170516831</v>
      </c>
      <c r="N461" s="24" t="s">
        <v>4197</v>
      </c>
      <c r="O461" s="24"/>
      <c r="P461" s="24"/>
      <c r="Q461" s="24"/>
      <c r="R461" s="24"/>
      <c r="S461" s="24"/>
      <c r="T461" s="34" t="str">
        <f t="shared" ref="T461:V461" si="465">IF(G461&lt;&gt;"","Yes","")</f>
        <v>Yes</v>
      </c>
      <c r="U461" s="34" t="str">
        <f t="shared" si="465"/>
        <v>Yes</v>
      </c>
      <c r="V461" s="34" t="str">
        <f t="shared" si="465"/>
        <v>Yes</v>
      </c>
      <c r="W461" s="34" t="str">
        <f t="shared" si="3"/>
        <v/>
      </c>
      <c r="X461" s="24" t="str">
        <f t="shared" si="4"/>
        <v/>
      </c>
    </row>
    <row r="462" ht="14.25" customHeight="1">
      <c r="A462" s="28">
        <f>HYPERLINK("https://app.hubspot.com/contacts/8748051/record/0-1/3409701", 3409701)</f>
        <v>3409701</v>
      </c>
      <c r="B462" s="24" t="s">
        <v>4198</v>
      </c>
      <c r="C462" s="26">
        <v>45343.59229166667</v>
      </c>
      <c r="D462" s="26"/>
      <c r="E462" s="28" t="s">
        <v>2187</v>
      </c>
      <c r="F462" s="24"/>
      <c r="G462" s="35">
        <v>45344.0</v>
      </c>
      <c r="H462" s="35">
        <v>45351.0</v>
      </c>
      <c r="I462" s="35">
        <v>45351.0</v>
      </c>
      <c r="J462" s="24"/>
      <c r="K462" s="24"/>
      <c r="L462" s="24"/>
      <c r="M462" s="28">
        <f>HYPERLINK("https://app.hubspot.com/contacts/8748051/record/0-2/7232132629", 7232132629)</f>
        <v>7232132629</v>
      </c>
      <c r="N462" s="24" t="s">
        <v>2186</v>
      </c>
      <c r="O462" s="28">
        <f>HYPERLINK("https://app.hubspot.com/contacts/8748051/record/0-3/17656398737", 17656398737)</f>
        <v>17656398737</v>
      </c>
      <c r="P462" s="24" t="s">
        <v>2185</v>
      </c>
      <c r="Q462" s="24" t="s">
        <v>127</v>
      </c>
      <c r="R462" s="24">
        <v>12000.0</v>
      </c>
      <c r="S462" s="24" t="b">
        <v>1</v>
      </c>
      <c r="T462" s="34" t="str">
        <f t="shared" ref="T462:V462" si="466">IF(G462&lt;&gt;"","Yes","")</f>
        <v>Yes</v>
      </c>
      <c r="U462" s="34" t="str">
        <f t="shared" si="466"/>
        <v>Yes</v>
      </c>
      <c r="V462" s="34" t="str">
        <f t="shared" si="466"/>
        <v>Yes</v>
      </c>
      <c r="W462" s="34" t="str">
        <f t="shared" si="3"/>
        <v/>
      </c>
      <c r="X462" s="24" t="str">
        <f t="shared" si="4"/>
        <v/>
      </c>
    </row>
    <row r="463" ht="14.25" customHeight="1">
      <c r="A463" s="28">
        <f>HYPERLINK("https://app.hubspot.com/contacts/8748051/record/0-1/3396251", 3396251)</f>
        <v>3396251</v>
      </c>
      <c r="B463" s="24" t="s">
        <v>4199</v>
      </c>
      <c r="C463" s="26">
        <v>45343.231203703705</v>
      </c>
      <c r="D463" s="26"/>
      <c r="E463" s="28" t="s">
        <v>2205</v>
      </c>
      <c r="F463" s="24"/>
      <c r="G463" s="35">
        <v>45338.0</v>
      </c>
      <c r="H463" s="35">
        <v>45338.0</v>
      </c>
      <c r="I463" s="35">
        <v>45338.0</v>
      </c>
      <c r="J463" s="24"/>
      <c r="K463" s="24"/>
      <c r="L463" s="24"/>
      <c r="M463" s="28">
        <f>HYPERLINK("https://app.hubspot.com/contacts/8748051/record/0-2/11995178296", 11995178296)</f>
        <v>11995178296</v>
      </c>
      <c r="N463" s="24" t="s">
        <v>2204</v>
      </c>
      <c r="O463" s="28">
        <f>HYPERLINK("https://app.hubspot.com/contacts/8748051/record/0-3/17615300110", 17615300110)</f>
        <v>17615300110</v>
      </c>
      <c r="P463" s="24" t="s">
        <v>2203</v>
      </c>
      <c r="Q463" s="24" t="s">
        <v>73</v>
      </c>
      <c r="R463" s="24">
        <v>12500.0</v>
      </c>
      <c r="S463" s="24"/>
      <c r="T463" s="34" t="str">
        <f t="shared" ref="T463:V463" si="467">IF(G463&lt;&gt;"","Yes","")</f>
        <v>Yes</v>
      </c>
      <c r="U463" s="34" t="str">
        <f t="shared" si="467"/>
        <v>Yes</v>
      </c>
      <c r="V463" s="34" t="str">
        <f t="shared" si="467"/>
        <v>Yes</v>
      </c>
      <c r="W463" s="34" t="str">
        <f t="shared" si="3"/>
        <v/>
      </c>
      <c r="X463" s="24" t="str">
        <f t="shared" si="4"/>
        <v/>
      </c>
    </row>
    <row r="464" ht="14.25" customHeight="1">
      <c r="A464" s="28">
        <f>HYPERLINK("https://app.hubspot.com/contacts/8748051/record/0-1/3408201", 3408201)</f>
        <v>3408201</v>
      </c>
      <c r="B464" s="24" t="s">
        <v>4200</v>
      </c>
      <c r="C464" s="26">
        <v>45343.22106481482</v>
      </c>
      <c r="D464" s="26"/>
      <c r="E464" s="28" t="s">
        <v>4201</v>
      </c>
      <c r="F464" s="24"/>
      <c r="G464" s="35">
        <v>45343.0</v>
      </c>
      <c r="H464" s="35">
        <v>45344.0</v>
      </c>
      <c r="I464" s="35">
        <v>45344.0</v>
      </c>
      <c r="J464" s="24"/>
      <c r="K464" s="24"/>
      <c r="L464" s="24"/>
      <c r="M464" s="28">
        <f>HYPERLINK("https://app.hubspot.com/contacts/8748051/record/0-2/19173801343", 19173801343)</f>
        <v>19173801343</v>
      </c>
      <c r="N464" s="24" t="s">
        <v>4202</v>
      </c>
      <c r="O464" s="24"/>
      <c r="P464" s="24"/>
      <c r="Q464" s="24"/>
      <c r="R464" s="24"/>
      <c r="S464" s="24"/>
      <c r="T464" s="34" t="str">
        <f t="shared" ref="T464:V464" si="468">IF(G464&lt;&gt;"","Yes","")</f>
        <v>Yes</v>
      </c>
      <c r="U464" s="34" t="str">
        <f t="shared" si="468"/>
        <v>Yes</v>
      </c>
      <c r="V464" s="34" t="str">
        <f t="shared" si="468"/>
        <v>Yes</v>
      </c>
      <c r="W464" s="34" t="str">
        <f t="shared" si="3"/>
        <v/>
      </c>
      <c r="X464" s="24" t="str">
        <f t="shared" si="4"/>
        <v/>
      </c>
    </row>
    <row r="465" ht="14.25" customHeight="1">
      <c r="A465" s="28">
        <f>HYPERLINK("https://app.hubspot.com/contacts/8748051/record/0-1/3354501", 3354501)</f>
        <v>3354501</v>
      </c>
      <c r="B465" s="24" t="s">
        <v>4203</v>
      </c>
      <c r="C465" s="26">
        <v>45337.99322916667</v>
      </c>
      <c r="D465" s="26"/>
      <c r="E465" s="28" t="s">
        <v>2208</v>
      </c>
      <c r="F465" s="24"/>
      <c r="G465" s="35">
        <v>45327.0</v>
      </c>
      <c r="H465" s="35">
        <v>45338.0</v>
      </c>
      <c r="I465" s="35">
        <v>45338.0</v>
      </c>
      <c r="J465" s="24"/>
      <c r="K465" s="24"/>
      <c r="L465" s="24"/>
      <c r="M465" s="28">
        <f>HYPERLINK("https://app.hubspot.com/contacts/8748051/record/0-2/18975734823", 18975734823)</f>
        <v>18975734823</v>
      </c>
      <c r="N465" s="24" t="s">
        <v>2207</v>
      </c>
      <c r="O465" s="28">
        <f>HYPERLINK("https://app.hubspot.com/contacts/8748051/record/0-3/17615274063", 17615274063)</f>
        <v>17615274063</v>
      </c>
      <c r="P465" s="24" t="s">
        <v>2206</v>
      </c>
      <c r="Q465" s="24" t="s">
        <v>73</v>
      </c>
      <c r="R465" s="24">
        <v>100000.0</v>
      </c>
      <c r="S465" s="24"/>
      <c r="T465" s="34" t="str">
        <f t="shared" ref="T465:V465" si="469">IF(G465&lt;&gt;"","Yes","")</f>
        <v>Yes</v>
      </c>
      <c r="U465" s="34" t="str">
        <f t="shared" si="469"/>
        <v>Yes</v>
      </c>
      <c r="V465" s="34" t="str">
        <f t="shared" si="469"/>
        <v>Yes</v>
      </c>
      <c r="W465" s="34" t="str">
        <f t="shared" si="3"/>
        <v/>
      </c>
      <c r="X465" s="24" t="str">
        <f t="shared" si="4"/>
        <v/>
      </c>
    </row>
    <row r="466" ht="14.25" customHeight="1">
      <c r="A466" s="28">
        <f>HYPERLINK("https://app.hubspot.com/contacts/8748051/record/0-1/3391801", 3391801)</f>
        <v>3391801</v>
      </c>
      <c r="B466" s="24" t="s">
        <v>4204</v>
      </c>
      <c r="C466" s="26">
        <v>45337.29122685185</v>
      </c>
      <c r="D466" s="26"/>
      <c r="E466" s="28" t="s">
        <v>4205</v>
      </c>
      <c r="F466" s="24" t="s">
        <v>4206</v>
      </c>
      <c r="G466" s="35"/>
      <c r="H466" s="35"/>
      <c r="I466" s="35"/>
      <c r="J466" s="24"/>
      <c r="K466" s="24"/>
      <c r="L466" s="24"/>
      <c r="M466" s="28">
        <f>HYPERLINK("https://app.hubspot.com/contacts/8748051/record/0-2/19105033005", 19105033005)</f>
        <v>19105033005</v>
      </c>
      <c r="N466" s="28" t="s">
        <v>4205</v>
      </c>
      <c r="O466" s="24"/>
      <c r="P466" s="24"/>
      <c r="Q466" s="24"/>
      <c r="R466" s="24"/>
      <c r="S466" s="24"/>
      <c r="T466" s="34" t="str">
        <f t="shared" ref="T466:V466" si="470">IF(G466&lt;&gt;"","Yes","")</f>
        <v/>
      </c>
      <c r="U466" s="34" t="str">
        <f t="shared" si="470"/>
        <v/>
      </c>
      <c r="V466" s="34" t="str">
        <f t="shared" si="470"/>
        <v/>
      </c>
      <c r="W466" s="34" t="str">
        <f t="shared" si="3"/>
        <v/>
      </c>
      <c r="X466" s="24" t="str">
        <f t="shared" si="4"/>
        <v/>
      </c>
    </row>
    <row r="467" ht="14.25" customHeight="1">
      <c r="A467" s="28">
        <f>HYPERLINK("https://app.hubspot.com/contacts/8748051/record/0-1/3368401", 3368401)</f>
        <v>3368401</v>
      </c>
      <c r="B467" s="24" t="s">
        <v>4207</v>
      </c>
      <c r="C467" s="26">
        <v>45330.53824074074</v>
      </c>
      <c r="D467" s="26"/>
      <c r="E467" s="24" t="s">
        <v>4208</v>
      </c>
      <c r="F467" s="24" t="s">
        <v>4186</v>
      </c>
      <c r="G467" s="35"/>
      <c r="H467" s="35"/>
      <c r="I467" s="35"/>
      <c r="J467" s="24"/>
      <c r="K467" s="24"/>
      <c r="L467" s="24"/>
      <c r="M467" s="28">
        <f>HYPERLINK("https://app.hubspot.com/contacts/8748051/record/0-2/19021975398", 19021975398)</f>
        <v>19021975398</v>
      </c>
      <c r="N467" s="24" t="s">
        <v>4209</v>
      </c>
      <c r="O467" s="24"/>
      <c r="P467" s="24"/>
      <c r="Q467" s="24"/>
      <c r="R467" s="24"/>
      <c r="S467" s="24"/>
      <c r="T467" s="34" t="str">
        <f t="shared" ref="T467:V467" si="471">IF(G467&lt;&gt;"","Yes","")</f>
        <v/>
      </c>
      <c r="U467" s="34" t="str">
        <f t="shared" si="471"/>
        <v/>
      </c>
      <c r="V467" s="34" t="str">
        <f t="shared" si="471"/>
        <v/>
      </c>
      <c r="W467" s="34" t="str">
        <f t="shared" si="3"/>
        <v/>
      </c>
      <c r="X467" s="24" t="str">
        <f t="shared" si="4"/>
        <v/>
      </c>
    </row>
    <row r="468" ht="14.25" customHeight="1">
      <c r="A468" s="28">
        <f>HYPERLINK("https://app.hubspot.com/contacts/8748051/record/0-1/2630701", 2630701)</f>
        <v>2630701</v>
      </c>
      <c r="B468" s="24" t="s">
        <v>4210</v>
      </c>
      <c r="C468" s="26">
        <v>45330.187569444446</v>
      </c>
      <c r="D468" s="26"/>
      <c r="E468" s="28" t="s">
        <v>4211</v>
      </c>
      <c r="F468" s="24"/>
      <c r="G468" s="35">
        <v>45330.0</v>
      </c>
      <c r="H468" s="35"/>
      <c r="I468" s="35"/>
      <c r="J468" s="24"/>
      <c r="K468" s="24"/>
      <c r="L468" s="34"/>
      <c r="M468" s="28">
        <f>HYPERLINK("https://app.hubspot.com/contacts/8748051/record/0-2/9050036227", 9050036227)</f>
        <v>9050036227</v>
      </c>
      <c r="N468" s="24" t="s">
        <v>4212</v>
      </c>
      <c r="O468" s="24"/>
      <c r="P468" s="24"/>
      <c r="Q468" s="24"/>
      <c r="R468" s="24"/>
      <c r="S468" s="24"/>
      <c r="T468" s="34" t="str">
        <f t="shared" ref="T468:V468" si="472">IF(G468&lt;&gt;"","Yes","")</f>
        <v>Yes</v>
      </c>
      <c r="U468" s="34" t="str">
        <f t="shared" si="472"/>
        <v/>
      </c>
      <c r="V468" s="34" t="str">
        <f t="shared" si="472"/>
        <v/>
      </c>
      <c r="W468" s="34" t="str">
        <f t="shared" si="3"/>
        <v/>
      </c>
      <c r="X468" s="24" t="str">
        <f t="shared" si="4"/>
        <v/>
      </c>
    </row>
    <row r="469" ht="14.25" customHeight="1">
      <c r="A469" s="28">
        <f>HYPERLINK("https://app.hubspot.com/contacts/8748051/record/0-1/3307001", 3307001)</f>
        <v>3307001</v>
      </c>
      <c r="B469" s="24" t="s">
        <v>4213</v>
      </c>
      <c r="C469" s="26">
        <v>45330.16409722222</v>
      </c>
      <c r="D469" s="26"/>
      <c r="E469" s="24" t="s">
        <v>4214</v>
      </c>
      <c r="F469" s="24" t="s">
        <v>4215</v>
      </c>
      <c r="G469" s="35"/>
      <c r="H469" s="35"/>
      <c r="I469" s="35"/>
      <c r="J469" s="24"/>
      <c r="K469" s="24"/>
      <c r="L469" s="24"/>
      <c r="M469" s="28">
        <f>HYPERLINK("https://app.hubspot.com/contacts/8748051/record/0-2/19018865320", 19018865320)</f>
        <v>19018865320</v>
      </c>
      <c r="N469" s="24" t="s">
        <v>4216</v>
      </c>
      <c r="O469" s="24"/>
      <c r="P469" s="24"/>
      <c r="Q469" s="24"/>
      <c r="R469" s="24"/>
      <c r="S469" s="24"/>
      <c r="T469" s="34" t="str">
        <f t="shared" ref="T469:V469" si="473">IF(G469&lt;&gt;"","Yes","")</f>
        <v/>
      </c>
      <c r="U469" s="34" t="str">
        <f t="shared" si="473"/>
        <v/>
      </c>
      <c r="V469" s="34" t="str">
        <f t="shared" si="473"/>
        <v/>
      </c>
      <c r="W469" s="34" t="str">
        <f t="shared" si="3"/>
        <v/>
      </c>
      <c r="X469" s="24" t="str">
        <f t="shared" si="4"/>
        <v/>
      </c>
    </row>
    <row r="470" ht="14.25" customHeight="1">
      <c r="A470" s="28">
        <f>HYPERLINK("https://app.hubspot.com/contacts/8748051/record/0-1/3366201", 3366201)</f>
        <v>3366201</v>
      </c>
      <c r="B470" s="24" t="s">
        <v>4217</v>
      </c>
      <c r="C470" s="26">
        <v>45330.12142361111</v>
      </c>
      <c r="D470" s="26"/>
      <c r="E470" s="28" t="s">
        <v>4218</v>
      </c>
      <c r="F470" s="24" t="s">
        <v>4219</v>
      </c>
      <c r="G470" s="35"/>
      <c r="H470" s="35"/>
      <c r="I470" s="35"/>
      <c r="J470" s="24"/>
      <c r="K470" s="24"/>
      <c r="L470" s="34"/>
      <c r="M470" s="28">
        <f>HYPERLINK("https://app.hubspot.com/contacts/8748051/record/0-2/19018580900", 19018580900)</f>
        <v>19018580900</v>
      </c>
      <c r="N470" s="24" t="s">
        <v>4220</v>
      </c>
      <c r="O470" s="34"/>
      <c r="P470" s="24"/>
      <c r="Q470" s="24"/>
      <c r="R470" s="24"/>
      <c r="S470" s="24"/>
      <c r="T470" s="34" t="str">
        <f t="shared" ref="T470:V470" si="474">IF(G470&lt;&gt;"","Yes","")</f>
        <v/>
      </c>
      <c r="U470" s="34" t="str">
        <f t="shared" si="474"/>
        <v/>
      </c>
      <c r="V470" s="34" t="str">
        <f t="shared" si="474"/>
        <v/>
      </c>
      <c r="W470" s="34" t="str">
        <f t="shared" si="3"/>
        <v/>
      </c>
      <c r="X470" s="24" t="str">
        <f t="shared" si="4"/>
        <v/>
      </c>
    </row>
    <row r="471" ht="14.25" customHeight="1">
      <c r="A471" s="28">
        <f>HYPERLINK("https://app.hubspot.com/contacts/8748051/record/0-1/3365351", 3365351)</f>
        <v>3365351</v>
      </c>
      <c r="B471" s="24" t="s">
        <v>4221</v>
      </c>
      <c r="C471" s="26">
        <v>45329.78811342592</v>
      </c>
      <c r="D471" s="26"/>
      <c r="E471" s="28" t="s">
        <v>4222</v>
      </c>
      <c r="F471" s="24" t="s">
        <v>3983</v>
      </c>
      <c r="G471" s="35"/>
      <c r="H471" s="35"/>
      <c r="I471" s="35"/>
      <c r="J471" s="24"/>
      <c r="K471" s="24"/>
      <c r="L471" s="24"/>
      <c r="M471" s="28">
        <f>HYPERLINK("https://app.hubspot.com/contacts/8748051/record/0-2/19015011506", 19015011506)</f>
        <v>19015011506</v>
      </c>
      <c r="N471" s="24" t="s">
        <v>4223</v>
      </c>
      <c r="O471" s="24"/>
      <c r="P471" s="24"/>
      <c r="Q471" s="24"/>
      <c r="R471" s="24"/>
      <c r="S471" s="24"/>
      <c r="T471" s="34" t="str">
        <f t="shared" ref="T471:V471" si="475">IF(G471&lt;&gt;"","Yes","")</f>
        <v/>
      </c>
      <c r="U471" s="34" t="str">
        <f t="shared" si="475"/>
        <v/>
      </c>
      <c r="V471" s="34" t="str">
        <f t="shared" si="475"/>
        <v/>
      </c>
      <c r="W471" s="34" t="str">
        <f t="shared" si="3"/>
        <v/>
      </c>
      <c r="X471" s="24" t="str">
        <f t="shared" si="4"/>
        <v/>
      </c>
    </row>
    <row r="472" ht="14.25" customHeight="1">
      <c r="A472" s="28">
        <f>HYPERLINK("https://app.hubspot.com/contacts/8748051/record/0-1/3365301", 3365301)</f>
        <v>3365301</v>
      </c>
      <c r="B472" s="24" t="s">
        <v>4224</v>
      </c>
      <c r="C472" s="26">
        <v>45329.74619212963</v>
      </c>
      <c r="D472" s="26"/>
      <c r="E472" s="28" t="s">
        <v>4225</v>
      </c>
      <c r="F472" s="24" t="s">
        <v>3983</v>
      </c>
      <c r="G472" s="35"/>
      <c r="H472" s="35"/>
      <c r="I472" s="35"/>
      <c r="J472" s="24"/>
      <c r="K472" s="24"/>
      <c r="L472" s="24"/>
      <c r="M472" s="28">
        <f>HYPERLINK("https://app.hubspot.com/contacts/8748051/record/0-2/19014538035", 19014538035)</f>
        <v>19014538035</v>
      </c>
      <c r="N472" s="24" t="s">
        <v>4226</v>
      </c>
      <c r="O472" s="34"/>
      <c r="P472" s="24"/>
      <c r="Q472" s="24"/>
      <c r="R472" s="24"/>
      <c r="S472" s="24"/>
      <c r="T472" s="34" t="str">
        <f t="shared" ref="T472:V472" si="476">IF(G472&lt;&gt;"","Yes","")</f>
        <v/>
      </c>
      <c r="U472" s="34" t="str">
        <f t="shared" si="476"/>
        <v/>
      </c>
      <c r="V472" s="34" t="str">
        <f t="shared" si="476"/>
        <v/>
      </c>
      <c r="W472" s="34" t="str">
        <f t="shared" si="3"/>
        <v/>
      </c>
      <c r="X472" s="24" t="str">
        <f t="shared" si="4"/>
        <v/>
      </c>
    </row>
    <row r="473" ht="14.25" customHeight="1">
      <c r="A473" s="28">
        <f>HYPERLINK("https://app.hubspot.com/contacts/8748051/record/0-1/159553341781", 159553341781)</f>
        <v>159553341781</v>
      </c>
      <c r="B473" s="24" t="s">
        <v>4227</v>
      </c>
      <c r="C473" s="26">
        <v>45328.42717592593</v>
      </c>
      <c r="D473" s="26"/>
      <c r="E473" s="28" t="s">
        <v>4228</v>
      </c>
      <c r="F473" s="24"/>
      <c r="G473" s="35">
        <v>45328.0</v>
      </c>
      <c r="H473" s="35"/>
      <c r="I473" s="35"/>
      <c r="J473" s="24"/>
      <c r="K473" s="24"/>
      <c r="L473" s="24"/>
      <c r="M473" s="28">
        <f>HYPERLINK("https://app.hubspot.com/contacts/8748051/record/0-2/18993981023", 18993981023)</f>
        <v>18993981023</v>
      </c>
      <c r="N473" s="24" t="s">
        <v>4229</v>
      </c>
      <c r="O473" s="34"/>
      <c r="P473" s="24"/>
      <c r="Q473" s="24"/>
      <c r="R473" s="24"/>
      <c r="S473" s="24"/>
      <c r="T473" s="34" t="str">
        <f t="shared" ref="T473:V473" si="477">IF(G473&lt;&gt;"","Yes","")</f>
        <v>Yes</v>
      </c>
      <c r="U473" s="34" t="str">
        <f t="shared" si="477"/>
        <v/>
      </c>
      <c r="V473" s="34" t="str">
        <f t="shared" si="477"/>
        <v/>
      </c>
      <c r="W473" s="34" t="str">
        <f t="shared" si="3"/>
        <v/>
      </c>
      <c r="X473" s="24" t="str">
        <f t="shared" si="4"/>
        <v/>
      </c>
    </row>
    <row r="474" ht="14.25" customHeight="1">
      <c r="A474" s="28">
        <f>HYPERLINK("https://app.hubspot.com/contacts/8748051/record/0-1/3352751", 3352751)</f>
        <v>3352751</v>
      </c>
      <c r="B474" s="24" t="s">
        <v>4230</v>
      </c>
      <c r="C474" s="26">
        <v>45325.68083333333</v>
      </c>
      <c r="D474" s="26"/>
      <c r="E474" s="28" t="s">
        <v>4231</v>
      </c>
      <c r="F474" s="24" t="s">
        <v>4186</v>
      </c>
      <c r="G474" s="35"/>
      <c r="H474" s="35"/>
      <c r="I474" s="35"/>
      <c r="J474" s="24"/>
      <c r="K474" s="24"/>
      <c r="L474" s="34"/>
      <c r="M474" s="28">
        <f>HYPERLINK("https://app.hubspot.com/contacts/8748051/record/0-2/18966749773", 18966749773)</f>
        <v>18966749773</v>
      </c>
      <c r="N474" s="24" t="s">
        <v>4232</v>
      </c>
      <c r="O474" s="24"/>
      <c r="P474" s="24"/>
      <c r="Q474" s="24"/>
      <c r="R474" s="24"/>
      <c r="S474" s="24"/>
      <c r="T474" s="34" t="str">
        <f t="shared" ref="T474:V474" si="478">IF(G474&lt;&gt;"","Yes","")</f>
        <v/>
      </c>
      <c r="U474" s="34" t="str">
        <f t="shared" si="478"/>
        <v/>
      </c>
      <c r="V474" s="34" t="str">
        <f t="shared" si="478"/>
        <v/>
      </c>
      <c r="W474" s="34" t="str">
        <f t="shared" si="3"/>
        <v/>
      </c>
      <c r="X474" s="24" t="str">
        <f t="shared" si="4"/>
        <v/>
      </c>
    </row>
    <row r="475" ht="14.25" customHeight="1">
      <c r="A475" s="28">
        <f>HYPERLINK("https://app.hubspot.com/contacts/8748051/record/0-1/3351551", 3351551)</f>
        <v>3351551</v>
      </c>
      <c r="B475" s="24" t="s">
        <v>4233</v>
      </c>
      <c r="C475" s="26">
        <v>45324.79324074074</v>
      </c>
      <c r="D475" s="26"/>
      <c r="E475" s="28" t="s">
        <v>2229</v>
      </c>
      <c r="F475" s="24"/>
      <c r="G475" s="35">
        <v>45325.0</v>
      </c>
      <c r="H475" s="35">
        <v>45329.0</v>
      </c>
      <c r="I475" s="35">
        <v>45329.0</v>
      </c>
      <c r="J475" s="24"/>
      <c r="K475" s="24"/>
      <c r="L475" s="24"/>
      <c r="M475" s="28">
        <f>HYPERLINK("https://app.hubspot.com/contacts/8748051/record/0-2/7648554051", 7648554051)</f>
        <v>7648554051</v>
      </c>
      <c r="N475" s="24" t="s">
        <v>2228</v>
      </c>
      <c r="O475" s="28">
        <f>HYPERLINK("https://app.hubspot.com/contacts/8748051/record/0-3/17419320206", 17419320206)</f>
        <v>17419320206</v>
      </c>
      <c r="P475" s="24" t="s">
        <v>2227</v>
      </c>
      <c r="Q475" s="24" t="s">
        <v>127</v>
      </c>
      <c r="R475" s="24">
        <v>46500.0</v>
      </c>
      <c r="S475" s="24" t="b">
        <v>1</v>
      </c>
      <c r="T475" s="34" t="str">
        <f t="shared" ref="T475:V475" si="479">IF(G475&lt;&gt;"","Yes","")</f>
        <v>Yes</v>
      </c>
      <c r="U475" s="34" t="str">
        <f t="shared" si="479"/>
        <v>Yes</v>
      </c>
      <c r="V475" s="34" t="str">
        <f t="shared" si="479"/>
        <v>Yes</v>
      </c>
      <c r="W475" s="34" t="str">
        <f t="shared" si="3"/>
        <v/>
      </c>
      <c r="X475" s="24" t="str">
        <f t="shared" si="4"/>
        <v/>
      </c>
    </row>
    <row r="476" ht="14.25" customHeight="1">
      <c r="A476" s="28">
        <f>HYPERLINK("https://app.hubspot.com/contacts/8748051/record/0-1/3341551", 3341551)</f>
        <v>3341551</v>
      </c>
      <c r="B476" s="24" t="s">
        <v>4234</v>
      </c>
      <c r="C476" s="26">
        <v>45322.304976851854</v>
      </c>
      <c r="D476" s="26"/>
      <c r="E476" s="28" t="s">
        <v>2235</v>
      </c>
      <c r="F476" s="24"/>
      <c r="G476" s="35">
        <v>45324.0</v>
      </c>
      <c r="H476" s="35">
        <v>45324.0</v>
      </c>
      <c r="I476" s="35">
        <v>45324.0</v>
      </c>
      <c r="J476" s="24"/>
      <c r="K476" s="24"/>
      <c r="L476" s="24"/>
      <c r="M476" s="28">
        <f>HYPERLINK("https://app.hubspot.com/contacts/8748051/record/0-2/9397911942", 9397911942)</f>
        <v>9397911942</v>
      </c>
      <c r="N476" s="24" t="s">
        <v>2234</v>
      </c>
      <c r="O476" s="28">
        <f>HYPERLINK("https://app.hubspot.com/contacts/8748051/record/0-3/17365984275", 17365984275)</f>
        <v>17365984275</v>
      </c>
      <c r="P476" s="24" t="s">
        <v>2232</v>
      </c>
      <c r="Q476" s="24" t="s">
        <v>92</v>
      </c>
      <c r="R476" s="24">
        <v>6000.0</v>
      </c>
      <c r="S476" s="24" t="b">
        <v>1</v>
      </c>
      <c r="T476" s="34" t="str">
        <f t="shared" ref="T476:V476" si="480">IF(G476&lt;&gt;"","Yes","")</f>
        <v>Yes</v>
      </c>
      <c r="U476" s="34" t="str">
        <f t="shared" si="480"/>
        <v>Yes</v>
      </c>
      <c r="V476" s="34" t="str">
        <f t="shared" si="480"/>
        <v>Yes</v>
      </c>
      <c r="W476" s="34" t="str">
        <f t="shared" si="3"/>
        <v>Yes</v>
      </c>
      <c r="X476" s="24" t="str">
        <f t="shared" si="4"/>
        <v/>
      </c>
    </row>
    <row r="477" ht="14.25" customHeight="1">
      <c r="A477" s="28">
        <f>HYPERLINK("https://app.hubspot.com/contacts/8748051/record/0-1/3340901", 3340901)</f>
        <v>3340901</v>
      </c>
      <c r="B477" s="24" t="s">
        <v>4235</v>
      </c>
      <c r="C477" s="26">
        <v>45322.08704861111</v>
      </c>
      <c r="D477" s="26"/>
      <c r="E477" s="28" t="s">
        <v>4236</v>
      </c>
      <c r="F477" s="24"/>
      <c r="G477" s="35">
        <v>45322.0</v>
      </c>
      <c r="H477" s="35">
        <v>45327.0</v>
      </c>
      <c r="I477" s="35"/>
      <c r="J477" s="24"/>
      <c r="K477" s="24"/>
      <c r="L477" s="24"/>
      <c r="M477" s="28">
        <f>HYPERLINK("https://app.hubspot.com/contacts/8748051/record/0-2/8455727640", 8455727640)</f>
        <v>8455727640</v>
      </c>
      <c r="N477" s="28" t="s">
        <v>4237</v>
      </c>
      <c r="O477" s="24"/>
      <c r="P477" s="24"/>
      <c r="Q477" s="24"/>
      <c r="R477" s="24"/>
      <c r="S477" s="24"/>
      <c r="T477" s="34" t="str">
        <f t="shared" ref="T477:V477" si="481">IF(G477&lt;&gt;"","Yes","")</f>
        <v>Yes</v>
      </c>
      <c r="U477" s="34" t="str">
        <f t="shared" si="481"/>
        <v>Yes</v>
      </c>
      <c r="V477" s="34" t="str">
        <f t="shared" si="481"/>
        <v/>
      </c>
      <c r="W477" s="34" t="str">
        <f t="shared" si="3"/>
        <v/>
      </c>
      <c r="X477" s="24" t="str">
        <f t="shared" si="4"/>
        <v/>
      </c>
    </row>
    <row r="478" ht="14.25" customHeight="1">
      <c r="A478" s="28">
        <f>HYPERLINK("https://app.hubspot.com/contacts/8748051/record/0-1/3334901", 3334901)</f>
        <v>3334901</v>
      </c>
      <c r="B478" s="24" t="s">
        <v>4238</v>
      </c>
      <c r="C478" s="26">
        <v>45320.61258101852</v>
      </c>
      <c r="D478" s="26"/>
      <c r="E478" s="28" t="s">
        <v>2223</v>
      </c>
      <c r="F478" s="24"/>
      <c r="G478" s="35">
        <v>45321.0</v>
      </c>
      <c r="H478" s="35">
        <v>45337.0</v>
      </c>
      <c r="I478" s="35">
        <v>45337.0</v>
      </c>
      <c r="J478" s="24"/>
      <c r="K478" s="24"/>
      <c r="L478" s="24"/>
      <c r="M478" s="28">
        <f>HYPERLINK("https://app.hubspot.com/contacts/8748051/record/0-2/9686640476", 9686640476)</f>
        <v>9686640476</v>
      </c>
      <c r="N478" s="24" t="s">
        <v>2222</v>
      </c>
      <c r="O478" s="28">
        <f>HYPERLINK("https://app.hubspot.com/contacts/8748051/record/0-3/17547714187", 17547714187)</f>
        <v>17547714187</v>
      </c>
      <c r="P478" s="24" t="s">
        <v>2221</v>
      </c>
      <c r="Q478" s="24" t="s">
        <v>73</v>
      </c>
      <c r="R478" s="24">
        <v>9360.0</v>
      </c>
      <c r="S478" s="24"/>
      <c r="T478" s="34" t="str">
        <f t="shared" ref="T478:V478" si="482">IF(G478&lt;&gt;"","Yes","")</f>
        <v>Yes</v>
      </c>
      <c r="U478" s="34" t="str">
        <f t="shared" si="482"/>
        <v>Yes</v>
      </c>
      <c r="V478" s="34" t="str">
        <f t="shared" si="482"/>
        <v>Yes</v>
      </c>
      <c r="W478" s="34" t="str">
        <f t="shared" si="3"/>
        <v/>
      </c>
      <c r="X478" s="24" t="str">
        <f t="shared" si="4"/>
        <v/>
      </c>
    </row>
    <row r="479" ht="14.25" customHeight="1">
      <c r="A479" s="28">
        <f>HYPERLINK("https://app.hubspot.com/contacts/8748051/record/0-1/363901", 363901)</f>
        <v>363901</v>
      </c>
      <c r="B479" s="24" t="s">
        <v>4239</v>
      </c>
      <c r="C479" s="26">
        <v>45314.92099537037</v>
      </c>
      <c r="D479" s="26"/>
      <c r="E479" s="28" t="s">
        <v>1245</v>
      </c>
      <c r="F479" s="24"/>
      <c r="G479" s="35">
        <v>45315.0</v>
      </c>
      <c r="H479" s="35">
        <v>45315.0</v>
      </c>
      <c r="I479" s="35">
        <v>45315.0</v>
      </c>
      <c r="J479" s="24"/>
      <c r="K479" s="24"/>
      <c r="L479" s="24"/>
      <c r="M479" s="28">
        <f>HYPERLINK("https://app.hubspot.com/contacts/8748051/record/0-2/8816517268", 8816517268)</f>
        <v>8816517268</v>
      </c>
      <c r="N479" s="24" t="s">
        <v>1244</v>
      </c>
      <c r="O479" s="28">
        <f>HYPERLINK("https://app.hubspot.com/contacts/8748051/record/0-3/17182254377", 17182254377)</f>
        <v>17182254377</v>
      </c>
      <c r="P479" s="24" t="s">
        <v>2294</v>
      </c>
      <c r="Q479" s="24" t="s">
        <v>127</v>
      </c>
      <c r="R479" s="24">
        <v>37000.0</v>
      </c>
      <c r="S479" s="24" t="b">
        <v>1</v>
      </c>
      <c r="T479" s="34" t="str">
        <f t="shared" ref="T479:V479" si="483">IF(G479&lt;&gt;"","Yes","")</f>
        <v>Yes</v>
      </c>
      <c r="U479" s="34" t="str">
        <f t="shared" si="483"/>
        <v>Yes</v>
      </c>
      <c r="V479" s="34" t="str">
        <f t="shared" si="483"/>
        <v>Yes</v>
      </c>
      <c r="W479" s="34" t="str">
        <f t="shared" si="3"/>
        <v/>
      </c>
      <c r="X479" s="24" t="str">
        <f t="shared" si="4"/>
        <v/>
      </c>
    </row>
    <row r="480" ht="14.25" customHeight="1">
      <c r="A480" s="28">
        <f>HYPERLINK("https://app.hubspot.com/contacts/8748051/record/0-1/3314401", 3314401)</f>
        <v>3314401</v>
      </c>
      <c r="B480" s="24" t="s">
        <v>4240</v>
      </c>
      <c r="C480" s="26">
        <v>45313.512337962966</v>
      </c>
      <c r="D480" s="26"/>
      <c r="E480" s="28" t="s">
        <v>4241</v>
      </c>
      <c r="F480" s="24"/>
      <c r="G480" s="35">
        <v>45313.0</v>
      </c>
      <c r="H480" s="35">
        <v>45316.0</v>
      </c>
      <c r="I480" s="35"/>
      <c r="J480" s="24"/>
      <c r="K480" s="24"/>
      <c r="L480" s="24"/>
      <c r="M480" s="28">
        <f>HYPERLINK("https://app.hubspot.com/contacts/8748051/record/0-2/18803549203", 18803549203)</f>
        <v>18803549203</v>
      </c>
      <c r="N480" s="24" t="s">
        <v>4242</v>
      </c>
      <c r="O480" s="24"/>
      <c r="P480" s="24"/>
      <c r="Q480" s="24"/>
      <c r="R480" s="24"/>
      <c r="S480" s="24"/>
      <c r="T480" s="34" t="str">
        <f t="shared" ref="T480:V480" si="484">IF(G480&lt;&gt;"","Yes","")</f>
        <v>Yes</v>
      </c>
      <c r="U480" s="34" t="str">
        <f t="shared" si="484"/>
        <v>Yes</v>
      </c>
      <c r="V480" s="34" t="str">
        <f t="shared" si="484"/>
        <v/>
      </c>
      <c r="W480" s="34" t="str">
        <f t="shared" si="3"/>
        <v/>
      </c>
      <c r="X480" s="24" t="str">
        <f t="shared" si="4"/>
        <v/>
      </c>
    </row>
    <row r="481" ht="14.25" customHeight="1">
      <c r="A481" s="28">
        <f>HYPERLINK("https://app.hubspot.com/contacts/8748051/record/0-1/3311801", 3311801)</f>
        <v>3311801</v>
      </c>
      <c r="B481" s="24" t="s">
        <v>4243</v>
      </c>
      <c r="C481" s="26">
        <v>45312.71690972222</v>
      </c>
      <c r="D481" s="26"/>
      <c r="E481" s="28" t="s">
        <v>4244</v>
      </c>
      <c r="F481" s="24" t="s">
        <v>3983</v>
      </c>
      <c r="G481" s="35"/>
      <c r="H481" s="35"/>
      <c r="I481" s="35"/>
      <c r="J481" s="24"/>
      <c r="K481" s="24"/>
      <c r="L481" s="24"/>
      <c r="M481" s="28">
        <f>HYPERLINK("https://app.hubspot.com/contacts/8748051/record/0-2/18796289826", 18796289826)</f>
        <v>18796289826</v>
      </c>
      <c r="N481" s="28" t="s">
        <v>4244</v>
      </c>
      <c r="O481" s="24"/>
      <c r="P481" s="24"/>
      <c r="Q481" s="24"/>
      <c r="R481" s="24"/>
      <c r="S481" s="24"/>
      <c r="T481" s="34" t="str">
        <f t="shared" ref="T481:V481" si="485">IF(G481&lt;&gt;"","Yes","")</f>
        <v/>
      </c>
      <c r="U481" s="34" t="str">
        <f t="shared" si="485"/>
        <v/>
      </c>
      <c r="V481" s="34" t="str">
        <f t="shared" si="485"/>
        <v/>
      </c>
      <c r="W481" s="34" t="str">
        <f t="shared" si="3"/>
        <v/>
      </c>
      <c r="X481" s="24" t="str">
        <f t="shared" si="4"/>
        <v/>
      </c>
    </row>
    <row r="482" ht="14.25" customHeight="1">
      <c r="A482" s="28">
        <f>HYPERLINK("https://app.hubspot.com/contacts/8748051/record/0-1/3304101", 3304101)</f>
        <v>3304101</v>
      </c>
      <c r="B482" s="24" t="s">
        <v>4245</v>
      </c>
      <c r="C482" s="26">
        <v>45309.39103009259</v>
      </c>
      <c r="D482" s="26"/>
      <c r="E482" s="28" t="s">
        <v>371</v>
      </c>
      <c r="F482" s="24"/>
      <c r="G482" s="35">
        <v>45309.0</v>
      </c>
      <c r="H482" s="35">
        <v>45314.0</v>
      </c>
      <c r="I482" s="35">
        <v>45314.0</v>
      </c>
      <c r="J482" s="24"/>
      <c r="K482" s="24"/>
      <c r="L482" s="24"/>
      <c r="M482" s="28">
        <f>HYPERLINK("https://app.hubspot.com/contacts/8748051/record/0-2/8448459081", 8448459081)</f>
        <v>8448459081</v>
      </c>
      <c r="N482" s="24" t="s">
        <v>370</v>
      </c>
      <c r="O482" s="34"/>
      <c r="P482" s="24"/>
      <c r="Q482" s="24"/>
      <c r="R482" s="24"/>
      <c r="S482" s="24"/>
      <c r="T482" s="34" t="str">
        <f t="shared" ref="T482:V482" si="486">IF(G482&lt;&gt;"","Yes","")</f>
        <v>Yes</v>
      </c>
      <c r="U482" s="34" t="str">
        <f t="shared" si="486"/>
        <v>Yes</v>
      </c>
      <c r="V482" s="34" t="str">
        <f t="shared" si="486"/>
        <v>Yes</v>
      </c>
      <c r="W482" s="34" t="str">
        <f t="shared" si="3"/>
        <v/>
      </c>
      <c r="X482" s="24" t="str">
        <f t="shared" si="4"/>
        <v/>
      </c>
    </row>
    <row r="483" ht="14.25" customHeight="1">
      <c r="A483" s="28">
        <f>HYPERLINK("https://app.hubspot.com/contacts/8748051/record/0-1/3249751", 3249751)</f>
        <v>3249751</v>
      </c>
      <c r="B483" s="24" t="s">
        <v>4246</v>
      </c>
      <c r="C483" s="26">
        <v>45308.25116898148</v>
      </c>
      <c r="D483" s="26"/>
      <c r="E483" s="28" t="s">
        <v>858</v>
      </c>
      <c r="F483" s="24"/>
      <c r="G483" s="35">
        <v>45308.0</v>
      </c>
      <c r="H483" s="35">
        <v>45324.0</v>
      </c>
      <c r="I483" s="35">
        <v>45324.0</v>
      </c>
      <c r="J483" s="24"/>
      <c r="K483" s="24"/>
      <c r="L483" s="34"/>
      <c r="M483" s="28">
        <f>HYPERLINK("https://app.hubspot.com/contacts/8748051/record/0-2/8513131656", 8513131656)</f>
        <v>8513131656</v>
      </c>
      <c r="N483" s="24" t="s">
        <v>857</v>
      </c>
      <c r="O483" s="28">
        <f>HYPERLINK("https://app.hubspot.com/contacts/8748051/record/0-3/12610512902", 12610512902)</f>
        <v>12610512902</v>
      </c>
      <c r="P483" s="24" t="s">
        <v>2661</v>
      </c>
      <c r="Q483" s="24" t="s">
        <v>92</v>
      </c>
      <c r="R483" s="24">
        <v>43200.0</v>
      </c>
      <c r="S483" s="24" t="b">
        <v>1</v>
      </c>
      <c r="T483" s="34" t="str">
        <f t="shared" ref="T483:V483" si="487">IF(G483&lt;&gt;"","Yes","")</f>
        <v>Yes</v>
      </c>
      <c r="U483" s="34" t="str">
        <f t="shared" si="487"/>
        <v>Yes</v>
      </c>
      <c r="V483" s="34" t="str">
        <f t="shared" si="487"/>
        <v>Yes</v>
      </c>
      <c r="W483" s="34" t="str">
        <f t="shared" si="3"/>
        <v>Yes</v>
      </c>
      <c r="X483" s="24" t="str">
        <f t="shared" si="4"/>
        <v/>
      </c>
    </row>
    <row r="484" ht="14.25" customHeight="1">
      <c r="A484" s="28">
        <f>HYPERLINK("https://app.hubspot.com/contacts/8748051/record/0-1/3293151", 3293151)</f>
        <v>3293151</v>
      </c>
      <c r="B484" s="24" t="s">
        <v>4247</v>
      </c>
      <c r="C484" s="26">
        <v>45306.17837962963</v>
      </c>
      <c r="D484" s="26"/>
      <c r="E484" s="28" t="s">
        <v>4248</v>
      </c>
      <c r="F484" s="24"/>
      <c r="G484" s="35">
        <v>45306.0</v>
      </c>
      <c r="H484" s="35">
        <v>45307.0</v>
      </c>
      <c r="I484" s="35"/>
      <c r="J484" s="24"/>
      <c r="K484" s="24"/>
      <c r="L484" s="24"/>
      <c r="M484" s="28">
        <f>HYPERLINK("https://app.hubspot.com/contacts/8748051/record/0-2/15963437728", 15963437728)</f>
        <v>15963437728</v>
      </c>
      <c r="N484" s="24" t="s">
        <v>4249</v>
      </c>
      <c r="O484" s="24"/>
      <c r="P484" s="24"/>
      <c r="Q484" s="24"/>
      <c r="R484" s="24"/>
      <c r="S484" s="24"/>
      <c r="T484" s="34" t="str">
        <f t="shared" ref="T484:V484" si="488">IF(G484&lt;&gt;"","Yes","")</f>
        <v>Yes</v>
      </c>
      <c r="U484" s="34" t="str">
        <f t="shared" si="488"/>
        <v>Yes</v>
      </c>
      <c r="V484" s="34" t="str">
        <f t="shared" si="488"/>
        <v/>
      </c>
      <c r="W484" s="34" t="str">
        <f t="shared" si="3"/>
        <v/>
      </c>
      <c r="X484" s="24" t="str">
        <f t="shared" si="4"/>
        <v/>
      </c>
    </row>
    <row r="485" ht="14.25" customHeight="1">
      <c r="A485" s="28">
        <f>HYPERLINK("https://app.hubspot.com/contacts/8748051/record/0-1/735301", 735301)</f>
        <v>735301</v>
      </c>
      <c r="B485" s="24" t="s">
        <v>4250</v>
      </c>
      <c r="C485" s="26">
        <v>45304.95923611111</v>
      </c>
      <c r="D485" s="26"/>
      <c r="E485" s="28" t="s">
        <v>192</v>
      </c>
      <c r="F485" s="24"/>
      <c r="G485" s="35">
        <v>45305.0</v>
      </c>
      <c r="H485" s="35">
        <v>45308.0</v>
      </c>
      <c r="I485" s="35">
        <v>45308.0</v>
      </c>
      <c r="J485" s="24"/>
      <c r="K485" s="24"/>
      <c r="L485" s="24"/>
      <c r="M485" s="28">
        <f>HYPERLINK("https://app.hubspot.com/contacts/8748051/record/0-2/8950154645", 8950154645)</f>
        <v>8950154645</v>
      </c>
      <c r="N485" s="24" t="s">
        <v>191</v>
      </c>
      <c r="O485" s="33">
        <f>HYPERLINK("https://app.hubspot.com/contacts/8748051/record/0-3/17097007914", 17097007914)</f>
        <v>17097007914</v>
      </c>
      <c r="P485" s="24" t="s">
        <v>2321</v>
      </c>
      <c r="Q485" s="24" t="s">
        <v>92</v>
      </c>
      <c r="R485" s="24">
        <v>27500.0</v>
      </c>
      <c r="S485" s="24" t="b">
        <v>1</v>
      </c>
      <c r="T485" s="34" t="str">
        <f t="shared" ref="T485:V485" si="489">IF(G485&lt;&gt;"","Yes","")</f>
        <v>Yes</v>
      </c>
      <c r="U485" s="34" t="str">
        <f t="shared" si="489"/>
        <v>Yes</v>
      </c>
      <c r="V485" s="34" t="str">
        <f t="shared" si="489"/>
        <v>Yes</v>
      </c>
      <c r="W485" s="34" t="str">
        <f t="shared" si="3"/>
        <v>Yes</v>
      </c>
      <c r="X485" s="24" t="str">
        <f t="shared" si="4"/>
        <v/>
      </c>
    </row>
    <row r="486" ht="14.25" customHeight="1">
      <c r="A486" s="28">
        <f>HYPERLINK("https://app.hubspot.com/contacts/8748051/record/0-1/3278301", 3278301)</f>
        <v>3278301</v>
      </c>
      <c r="B486" s="24" t="s">
        <v>4251</v>
      </c>
      <c r="C486" s="26">
        <v>45300.627488425926</v>
      </c>
      <c r="D486" s="26"/>
      <c r="E486" s="28" t="s">
        <v>4252</v>
      </c>
      <c r="F486" s="24" t="s">
        <v>4253</v>
      </c>
      <c r="G486" s="35"/>
      <c r="H486" s="35"/>
      <c r="I486" s="35"/>
      <c r="J486" s="24"/>
      <c r="K486" s="24"/>
      <c r="L486" s="24"/>
      <c r="M486" s="28">
        <f>HYPERLINK("https://app.hubspot.com/contacts/8748051/record/0-2/18658938676", 18658938676)</f>
        <v>18658938676</v>
      </c>
      <c r="N486" s="24" t="s">
        <v>4254</v>
      </c>
      <c r="O486" s="24"/>
      <c r="P486" s="24"/>
      <c r="Q486" s="24"/>
      <c r="R486" s="24"/>
      <c r="S486" s="24"/>
      <c r="T486" s="34" t="str">
        <f t="shared" ref="T486:V486" si="490">IF(G486&lt;&gt;"","Yes","")</f>
        <v/>
      </c>
      <c r="U486" s="34" t="str">
        <f t="shared" si="490"/>
        <v/>
      </c>
      <c r="V486" s="34" t="str">
        <f t="shared" si="490"/>
        <v/>
      </c>
      <c r="W486" s="34" t="str">
        <f t="shared" si="3"/>
        <v/>
      </c>
      <c r="X486" s="24" t="str">
        <f t="shared" si="4"/>
        <v/>
      </c>
    </row>
    <row r="487" ht="14.25" customHeight="1">
      <c r="A487" s="28">
        <f>HYPERLINK("https://app.hubspot.com/contacts/8748051/record/0-1/3265201", 3265201)</f>
        <v>3265201</v>
      </c>
      <c r="B487" s="24" t="s">
        <v>4255</v>
      </c>
      <c r="C487" s="26">
        <v>45295.45674768519</v>
      </c>
      <c r="D487" s="26"/>
      <c r="E487" s="28" t="s">
        <v>4256</v>
      </c>
      <c r="F487" s="24"/>
      <c r="G487" s="35">
        <v>45295.0</v>
      </c>
      <c r="H487" s="35">
        <v>45300.0</v>
      </c>
      <c r="I487" s="35"/>
      <c r="J487" s="24"/>
      <c r="K487" s="24"/>
      <c r="L487" s="24"/>
      <c r="M487" s="28">
        <f>HYPERLINK("https://app.hubspot.com/contacts/8748051/record/0-2/18616937078", 18616937078)</f>
        <v>18616937078</v>
      </c>
      <c r="N487" s="24" t="s">
        <v>4257</v>
      </c>
      <c r="O487" s="24"/>
      <c r="P487" s="24"/>
      <c r="Q487" s="24"/>
      <c r="R487" s="24"/>
      <c r="S487" s="24"/>
      <c r="T487" s="34" t="str">
        <f t="shared" ref="T487:V487" si="491">IF(G487&lt;&gt;"","Yes","")</f>
        <v>Yes</v>
      </c>
      <c r="U487" s="34" t="str">
        <f t="shared" si="491"/>
        <v>Yes</v>
      </c>
      <c r="V487" s="34" t="str">
        <f t="shared" si="491"/>
        <v/>
      </c>
      <c r="W487" s="34" t="str">
        <f t="shared" si="3"/>
        <v/>
      </c>
      <c r="X487" s="24" t="str">
        <f t="shared" si="4"/>
        <v/>
      </c>
    </row>
    <row r="488" ht="14.25" customHeight="1">
      <c r="A488" s="28">
        <f>HYPERLINK("https://app.hubspot.com/contacts/8748051/record/0-1/3262601", 3262601)</f>
        <v>3262601</v>
      </c>
      <c r="B488" s="24" t="s">
        <v>4258</v>
      </c>
      <c r="C488" s="26">
        <v>45294.20216435185</v>
      </c>
      <c r="D488" s="26"/>
      <c r="E488" s="24" t="s">
        <v>289</v>
      </c>
      <c r="F488" s="24" t="s">
        <v>4186</v>
      </c>
      <c r="G488" s="35"/>
      <c r="H488" s="35"/>
      <c r="I488" s="35"/>
      <c r="J488" s="24"/>
      <c r="K488" s="24"/>
      <c r="L488" s="24"/>
      <c r="M488" s="28">
        <f>HYPERLINK("https://app.hubspot.com/contacts/8748051/record/0-2/18598720558", 18598720558)</f>
        <v>18598720558</v>
      </c>
      <c r="N488" s="24" t="s">
        <v>288</v>
      </c>
      <c r="O488" s="24"/>
      <c r="P488" s="24"/>
      <c r="Q488" s="24"/>
      <c r="R488" s="24"/>
      <c r="S488" s="24"/>
      <c r="T488" s="34" t="str">
        <f t="shared" ref="T488:V488" si="492">IF(G488&lt;&gt;"","Yes","")</f>
        <v/>
      </c>
      <c r="U488" s="34" t="str">
        <f t="shared" si="492"/>
        <v/>
      </c>
      <c r="V488" s="34" t="str">
        <f t="shared" si="492"/>
        <v/>
      </c>
      <c r="W488" s="34" t="str">
        <f t="shared" si="3"/>
        <v/>
      </c>
      <c r="X488" s="24" t="str">
        <f t="shared" si="4"/>
        <v/>
      </c>
    </row>
    <row r="489" ht="14.25" customHeight="1">
      <c r="A489" s="28">
        <f>HYPERLINK("https://app.hubspot.com/contacts/8748051/record/0-1/3257251", 3257251)</f>
        <v>3257251</v>
      </c>
      <c r="B489" s="24" t="s">
        <v>4259</v>
      </c>
      <c r="C489" s="26">
        <v>45290.041030092594</v>
      </c>
      <c r="D489" s="26"/>
      <c r="E489" s="28" t="s">
        <v>4260</v>
      </c>
      <c r="F489" s="24" t="s">
        <v>4261</v>
      </c>
      <c r="G489" s="35"/>
      <c r="H489" s="35"/>
      <c r="I489" s="35"/>
      <c r="J489" s="24"/>
      <c r="K489" s="24"/>
      <c r="L489" s="24"/>
      <c r="M489" s="28">
        <f>HYPERLINK("https://app.hubspot.com/contacts/8748051/record/0-2/18569506182", 18569506182)</f>
        <v>18569506182</v>
      </c>
      <c r="N489" s="24" t="s">
        <v>4262</v>
      </c>
      <c r="O489" s="34"/>
      <c r="P489" s="24"/>
      <c r="Q489" s="24"/>
      <c r="R489" s="24"/>
      <c r="S489" s="24"/>
      <c r="T489" s="34" t="str">
        <f t="shared" ref="T489:V489" si="493">IF(G489&lt;&gt;"","Yes","")</f>
        <v/>
      </c>
      <c r="U489" s="34" t="str">
        <f t="shared" si="493"/>
        <v/>
      </c>
      <c r="V489" s="34" t="str">
        <f t="shared" si="493"/>
        <v/>
      </c>
      <c r="W489" s="34" t="str">
        <f t="shared" si="3"/>
        <v/>
      </c>
      <c r="X489" s="24" t="str">
        <f t="shared" si="4"/>
        <v/>
      </c>
    </row>
    <row r="490" ht="14.25" customHeight="1">
      <c r="A490" s="28">
        <f>HYPERLINK("https://app.hubspot.com/contacts/8748051/record/0-1/3248801", 3248801)</f>
        <v>3248801</v>
      </c>
      <c r="B490" s="24" t="s">
        <v>4263</v>
      </c>
      <c r="C490" s="26">
        <v>45286.825902777775</v>
      </c>
      <c r="D490" s="26"/>
      <c r="E490" s="28" t="s">
        <v>4264</v>
      </c>
      <c r="F490" s="24" t="s">
        <v>4265</v>
      </c>
      <c r="G490" s="35"/>
      <c r="H490" s="35"/>
      <c r="I490" s="35"/>
      <c r="J490" s="24"/>
      <c r="K490" s="24"/>
      <c r="L490" s="24"/>
      <c r="M490" s="28">
        <f>HYPERLINK("https://app.hubspot.com/contacts/8748051/record/0-2/18527099427", 18527099427)</f>
        <v>18527099427</v>
      </c>
      <c r="N490" s="24" t="s">
        <v>4266</v>
      </c>
      <c r="O490" s="24"/>
      <c r="P490" s="24"/>
      <c r="Q490" s="24"/>
      <c r="R490" s="24"/>
      <c r="S490" s="24"/>
      <c r="T490" s="34" t="str">
        <f t="shared" ref="T490:V490" si="494">IF(G490&lt;&gt;"","Yes","")</f>
        <v/>
      </c>
      <c r="U490" s="34" t="str">
        <f t="shared" si="494"/>
        <v/>
      </c>
      <c r="V490" s="34" t="str">
        <f t="shared" si="494"/>
        <v/>
      </c>
      <c r="W490" s="34" t="str">
        <f t="shared" si="3"/>
        <v/>
      </c>
      <c r="X490" s="24" t="str">
        <f t="shared" si="4"/>
        <v/>
      </c>
    </row>
    <row r="491" ht="14.25" customHeight="1">
      <c r="A491" s="28">
        <f>HYPERLINK("https://app.hubspot.com/contacts/8748051/record/0-1/57303", 57303)</f>
        <v>57303</v>
      </c>
      <c r="B491" s="24" t="s">
        <v>4267</v>
      </c>
      <c r="C491" s="26">
        <v>45281.26903935185</v>
      </c>
      <c r="D491" s="24" t="s">
        <v>4268</v>
      </c>
      <c r="E491" s="28" t="s">
        <v>2377</v>
      </c>
      <c r="F491" s="24"/>
      <c r="G491" s="35">
        <v>45281.0</v>
      </c>
      <c r="H491" s="35"/>
      <c r="I491" s="35"/>
      <c r="J491" s="24"/>
      <c r="K491" s="24"/>
      <c r="L491" s="24"/>
      <c r="M491" s="28">
        <f>HYPERLINK("https://app.hubspot.com/contacts/8748051/record/0-2/7945145244", 7945145244)</f>
        <v>7945145244</v>
      </c>
      <c r="N491" s="24" t="s">
        <v>2376</v>
      </c>
      <c r="O491" s="28">
        <f>HYPERLINK("https://app.hubspot.com/contacts/8748051/record/0-3/16622118027", 16622118027)</f>
        <v>16622118027</v>
      </c>
      <c r="P491" s="24" t="s">
        <v>2375</v>
      </c>
      <c r="Q491" s="24" t="s">
        <v>73</v>
      </c>
      <c r="R491" s="24">
        <v>64000.0</v>
      </c>
      <c r="S491" s="24"/>
      <c r="T491" s="34" t="str">
        <f t="shared" ref="T491:V491" si="495">IF(G491&lt;&gt;"","Yes","")</f>
        <v>Yes</v>
      </c>
      <c r="U491" s="34" t="str">
        <f t="shared" si="495"/>
        <v/>
      </c>
      <c r="V491" s="34" t="str">
        <f t="shared" si="495"/>
        <v/>
      </c>
      <c r="W491" s="34" t="str">
        <f t="shared" si="3"/>
        <v/>
      </c>
      <c r="X491" s="24" t="str">
        <f t="shared" si="4"/>
        <v/>
      </c>
    </row>
    <row r="492" ht="14.25" customHeight="1">
      <c r="A492" s="28">
        <f>HYPERLINK("https://app.hubspot.com/contacts/8748051/record/0-1/3240951", 3240951)</f>
        <v>3240951</v>
      </c>
      <c r="B492" s="24" t="s">
        <v>4269</v>
      </c>
      <c r="C492" s="26">
        <v>45281.2006712963</v>
      </c>
      <c r="D492" s="26"/>
      <c r="E492" s="28" t="s">
        <v>1831</v>
      </c>
      <c r="F492" s="24"/>
      <c r="G492" s="35">
        <v>45281.0</v>
      </c>
      <c r="H492" s="35"/>
      <c r="I492" s="35"/>
      <c r="J492" s="24"/>
      <c r="K492" s="24"/>
      <c r="L492" s="24"/>
      <c r="M492" s="28">
        <f>HYPERLINK("https://app.hubspot.com/contacts/8748051/record/0-2/8831495001", 8831495001)</f>
        <v>8831495001</v>
      </c>
      <c r="N492" s="24" t="s">
        <v>1830</v>
      </c>
      <c r="O492" s="24"/>
      <c r="P492" s="24"/>
      <c r="Q492" s="24"/>
      <c r="R492" s="24"/>
      <c r="S492" s="24"/>
      <c r="T492" s="34" t="str">
        <f t="shared" ref="T492:V492" si="496">IF(G492&lt;&gt;"","Yes","")</f>
        <v>Yes</v>
      </c>
      <c r="U492" s="34" t="str">
        <f t="shared" si="496"/>
        <v/>
      </c>
      <c r="V492" s="34" t="str">
        <f t="shared" si="496"/>
        <v/>
      </c>
      <c r="W492" s="34" t="str">
        <f t="shared" si="3"/>
        <v/>
      </c>
      <c r="X492" s="24" t="str">
        <f t="shared" si="4"/>
        <v/>
      </c>
    </row>
    <row r="493" ht="14.25" customHeight="1">
      <c r="A493" s="28">
        <f>HYPERLINK("https://app.hubspot.com/contacts/8748051/record/0-1/3231251", 3231251)</f>
        <v>3231251</v>
      </c>
      <c r="B493" s="24" t="s">
        <v>4270</v>
      </c>
      <c r="C493" s="26">
        <v>45279.66204861111</v>
      </c>
      <c r="D493" s="26"/>
      <c r="E493" s="28" t="s">
        <v>4271</v>
      </c>
      <c r="F493" s="24" t="s">
        <v>4272</v>
      </c>
      <c r="G493" s="35"/>
      <c r="H493" s="35"/>
      <c r="I493" s="35"/>
      <c r="J493" s="24"/>
      <c r="K493" s="24"/>
      <c r="L493" s="24"/>
      <c r="M493" s="28">
        <f>HYPERLINK("https://app.hubspot.com/contacts/8748051/record/0-2/18467338161", 18467338161)</f>
        <v>18467338161</v>
      </c>
      <c r="N493" s="24" t="s">
        <v>4273</v>
      </c>
      <c r="O493" s="24"/>
      <c r="P493" s="24"/>
      <c r="Q493" s="24"/>
      <c r="R493" s="24"/>
      <c r="S493" s="24"/>
      <c r="T493" s="34" t="str">
        <f t="shared" ref="T493:V493" si="497">IF(G493&lt;&gt;"","Yes","")</f>
        <v/>
      </c>
      <c r="U493" s="34" t="str">
        <f t="shared" si="497"/>
        <v/>
      </c>
      <c r="V493" s="34" t="str">
        <f t="shared" si="497"/>
        <v/>
      </c>
      <c r="W493" s="34" t="str">
        <f t="shared" si="3"/>
        <v/>
      </c>
      <c r="X493" s="24" t="str">
        <f t="shared" si="4"/>
        <v/>
      </c>
    </row>
    <row r="494" ht="14.25" customHeight="1">
      <c r="A494" s="28">
        <f>HYPERLINK("https://app.hubspot.com/contacts/8748051/record/0-1/242501", 242501)</f>
        <v>242501</v>
      </c>
      <c r="B494" s="24" t="s">
        <v>4274</v>
      </c>
      <c r="C494" s="26">
        <v>45279.59789351852</v>
      </c>
      <c r="D494" s="24" t="s">
        <v>4275</v>
      </c>
      <c r="E494" s="28" t="s">
        <v>2255</v>
      </c>
      <c r="F494" s="24"/>
      <c r="G494" s="35">
        <v>45274.0</v>
      </c>
      <c r="H494" s="35">
        <v>45281.0</v>
      </c>
      <c r="I494" s="35">
        <v>45281.0</v>
      </c>
      <c r="J494" s="24"/>
      <c r="K494" s="24"/>
      <c r="L494" s="24"/>
      <c r="M494" s="28">
        <f>HYPERLINK("https://app.hubspot.com/contacts/8748051/record/0-2/8601297796", 8601297796)</f>
        <v>8601297796</v>
      </c>
      <c r="N494" s="24" t="s">
        <v>2254</v>
      </c>
      <c r="O494" s="28">
        <f>HYPERLINK("https://app.hubspot.com/contacts/8748051/record/0-3/17362837325", 17362837325)</f>
        <v>17362837325</v>
      </c>
      <c r="P494" s="24" t="s">
        <v>2253</v>
      </c>
      <c r="Q494" s="24" t="s">
        <v>73</v>
      </c>
      <c r="R494" s="24">
        <v>12240.0</v>
      </c>
      <c r="S494" s="24"/>
      <c r="T494" s="34" t="str">
        <f t="shared" ref="T494:V494" si="498">IF(G494&lt;&gt;"","Yes","")</f>
        <v>Yes</v>
      </c>
      <c r="U494" s="34" t="str">
        <f t="shared" si="498"/>
        <v>Yes</v>
      </c>
      <c r="V494" s="34" t="str">
        <f t="shared" si="498"/>
        <v>Yes</v>
      </c>
      <c r="W494" s="34" t="str">
        <f t="shared" si="3"/>
        <v/>
      </c>
      <c r="X494" s="24" t="str">
        <f t="shared" si="4"/>
        <v/>
      </c>
    </row>
    <row r="495" ht="14.25" customHeight="1">
      <c r="A495" s="28">
        <f>HYPERLINK("https://app.hubspot.com/contacts/8748051/record/0-1/3222551", 3222551)</f>
        <v>3222551</v>
      </c>
      <c r="B495" s="24" t="s">
        <v>4276</v>
      </c>
      <c r="C495" s="26">
        <v>45278.02321759259</v>
      </c>
      <c r="D495" s="26"/>
      <c r="E495" s="28" t="s">
        <v>4277</v>
      </c>
      <c r="F495" s="24" t="s">
        <v>4186</v>
      </c>
      <c r="G495" s="35"/>
      <c r="H495" s="35"/>
      <c r="I495" s="35"/>
      <c r="J495" s="24"/>
      <c r="K495" s="24"/>
      <c r="L495" s="24"/>
      <c r="M495" s="28">
        <f>HYPERLINK("https://app.hubspot.com/contacts/8748051/record/0-2/18450057247", 18450057247)</f>
        <v>18450057247</v>
      </c>
      <c r="N495" s="24" t="s">
        <v>4278</v>
      </c>
      <c r="O495" s="24"/>
      <c r="P495" s="24"/>
      <c r="Q495" s="24"/>
      <c r="R495" s="24"/>
      <c r="S495" s="24"/>
      <c r="T495" s="34" t="str">
        <f t="shared" ref="T495:V495" si="499">IF(G495&lt;&gt;"","Yes","")</f>
        <v/>
      </c>
      <c r="U495" s="34" t="str">
        <f t="shared" si="499"/>
        <v/>
      </c>
      <c r="V495" s="34" t="str">
        <f t="shared" si="499"/>
        <v/>
      </c>
      <c r="W495" s="34" t="str">
        <f t="shared" si="3"/>
        <v/>
      </c>
      <c r="X495" s="24" t="str">
        <f t="shared" si="4"/>
        <v/>
      </c>
    </row>
    <row r="496" ht="14.25" customHeight="1">
      <c r="A496" s="28">
        <f>HYPERLINK("https://app.hubspot.com/contacts/8748051/record/0-1/3222451", 3222451)</f>
        <v>3222451</v>
      </c>
      <c r="B496" s="24" t="s">
        <v>4279</v>
      </c>
      <c r="C496" s="26">
        <v>45277.93240740741</v>
      </c>
      <c r="D496" s="26"/>
      <c r="E496" s="28" t="s">
        <v>4280</v>
      </c>
      <c r="F496" s="24"/>
      <c r="G496" s="35">
        <v>45278.0</v>
      </c>
      <c r="H496" s="35"/>
      <c r="I496" s="35"/>
      <c r="J496" s="24"/>
      <c r="K496" s="24"/>
      <c r="L496" s="24"/>
      <c r="M496" s="28">
        <f>HYPERLINK("https://app.hubspot.com/contacts/8748051/record/0-2/8762562985", 8762562985)</f>
        <v>8762562985</v>
      </c>
      <c r="N496" s="24" t="s">
        <v>4281</v>
      </c>
      <c r="O496" s="24"/>
      <c r="P496" s="24"/>
      <c r="Q496" s="24"/>
      <c r="R496" s="24"/>
      <c r="S496" s="24"/>
      <c r="T496" s="34" t="str">
        <f t="shared" ref="T496:V496" si="500">IF(G496&lt;&gt;"","Yes","")</f>
        <v>Yes</v>
      </c>
      <c r="U496" s="34" t="str">
        <f t="shared" si="500"/>
        <v/>
      </c>
      <c r="V496" s="34" t="str">
        <f t="shared" si="500"/>
        <v/>
      </c>
      <c r="W496" s="34" t="str">
        <f t="shared" si="3"/>
        <v/>
      </c>
      <c r="X496" s="24" t="str">
        <f t="shared" si="4"/>
        <v/>
      </c>
    </row>
    <row r="497" ht="14.25" customHeight="1">
      <c r="A497" s="28">
        <f>HYPERLINK("https://app.hubspot.com/contacts/8748051/record/0-1/3222201", 3222201)</f>
        <v>3222201</v>
      </c>
      <c r="B497" s="24" t="s">
        <v>4282</v>
      </c>
      <c r="C497" s="26">
        <v>45277.669328703705</v>
      </c>
      <c r="D497" s="26"/>
      <c r="E497" s="28" t="s">
        <v>4283</v>
      </c>
      <c r="F497" s="24" t="s">
        <v>3983</v>
      </c>
      <c r="G497" s="35"/>
      <c r="H497" s="35"/>
      <c r="I497" s="35"/>
      <c r="J497" s="24"/>
      <c r="K497" s="24"/>
      <c r="L497" s="24"/>
      <c r="M497" s="28">
        <f>HYPERLINK("https://app.hubspot.com/contacts/8748051/record/0-2/18447914373", 18447914373)</f>
        <v>18447914373</v>
      </c>
      <c r="N497" s="28" t="s">
        <v>4283</v>
      </c>
      <c r="O497" s="24"/>
      <c r="P497" s="24"/>
      <c r="Q497" s="24"/>
      <c r="R497" s="24"/>
      <c r="S497" s="24"/>
      <c r="T497" s="34" t="str">
        <f t="shared" ref="T497:V497" si="501">IF(G497&lt;&gt;"","Yes","")</f>
        <v/>
      </c>
      <c r="U497" s="34" t="str">
        <f t="shared" si="501"/>
        <v/>
      </c>
      <c r="V497" s="34" t="str">
        <f t="shared" si="501"/>
        <v/>
      </c>
      <c r="W497" s="34" t="str">
        <f t="shared" si="3"/>
        <v/>
      </c>
      <c r="X497" s="24" t="str">
        <f t="shared" si="4"/>
        <v/>
      </c>
    </row>
    <row r="498" ht="14.25" customHeight="1">
      <c r="A498" s="28">
        <f>HYPERLINK("https://app.hubspot.com/contacts/8748051/record/0-1/3207801", 3207801)</f>
        <v>3207801</v>
      </c>
      <c r="B498" s="24" t="s">
        <v>4284</v>
      </c>
      <c r="C498" s="26">
        <v>45273.395578703705</v>
      </c>
      <c r="D498" s="26"/>
      <c r="E498" s="28" t="s">
        <v>4285</v>
      </c>
      <c r="F498" s="24"/>
      <c r="G498" s="35">
        <v>45273.0</v>
      </c>
      <c r="H498" s="35"/>
      <c r="I498" s="35">
        <v>45281.0</v>
      </c>
      <c r="J498" s="24"/>
      <c r="K498" s="24"/>
      <c r="L498" s="24"/>
      <c r="M498" s="28">
        <f>HYPERLINK("https://app.hubspot.com/contacts/8748051/record/0-2/18407989251", 18407989251)</f>
        <v>18407989251</v>
      </c>
      <c r="N498" s="24" t="s">
        <v>4286</v>
      </c>
      <c r="O498" s="24"/>
      <c r="P498" s="24"/>
      <c r="Q498" s="24"/>
      <c r="R498" s="24"/>
      <c r="S498" s="24"/>
      <c r="T498" s="34" t="str">
        <f t="shared" ref="T498:V498" si="502">IF(G498&lt;&gt;"","Yes","")</f>
        <v>Yes</v>
      </c>
      <c r="U498" s="34" t="str">
        <f t="shared" si="502"/>
        <v/>
      </c>
      <c r="V498" s="34" t="str">
        <f t="shared" si="502"/>
        <v>Yes</v>
      </c>
      <c r="W498" s="34" t="str">
        <f t="shared" si="3"/>
        <v/>
      </c>
      <c r="X498" s="24" t="str">
        <f t="shared" si="4"/>
        <v/>
      </c>
    </row>
    <row r="499" ht="14.25" customHeight="1">
      <c r="A499" s="28">
        <f>HYPERLINK("https://app.hubspot.com/contacts/8748051/record/0-1/2177401", 2177401)</f>
        <v>2177401</v>
      </c>
      <c r="B499" s="24" t="s">
        <v>4287</v>
      </c>
      <c r="C499" s="26">
        <v>45272.21634259259</v>
      </c>
      <c r="D499" s="26"/>
      <c r="E499" s="28" t="s">
        <v>4288</v>
      </c>
      <c r="F499" s="24"/>
      <c r="G499" s="35">
        <v>45272.0</v>
      </c>
      <c r="H499" s="35"/>
      <c r="I499" s="35"/>
      <c r="J499" s="24"/>
      <c r="K499" s="24"/>
      <c r="L499" s="24"/>
      <c r="M499" s="28">
        <f>HYPERLINK("https://app.hubspot.com/contacts/8748051/record/0-2/9186911042", 9186911042)</f>
        <v>9186911042</v>
      </c>
      <c r="N499" s="28" t="s">
        <v>4289</v>
      </c>
      <c r="O499" s="34"/>
      <c r="P499" s="24"/>
      <c r="Q499" s="24"/>
      <c r="R499" s="24"/>
      <c r="S499" s="24"/>
      <c r="T499" s="34" t="str">
        <f t="shared" ref="T499:V499" si="503">IF(G499&lt;&gt;"","Yes","")</f>
        <v>Yes</v>
      </c>
      <c r="U499" s="34" t="str">
        <f t="shared" si="503"/>
        <v/>
      </c>
      <c r="V499" s="34" t="str">
        <f t="shared" si="503"/>
        <v/>
      </c>
      <c r="W499" s="34" t="str">
        <f t="shared" si="3"/>
        <v/>
      </c>
      <c r="X499" s="24" t="str">
        <f t="shared" si="4"/>
        <v/>
      </c>
    </row>
    <row r="500" ht="14.25" customHeight="1">
      <c r="A500" s="28">
        <f>HYPERLINK("https://app.hubspot.com/contacts/8748051/record/0-1/2700001", 2700001)</f>
        <v>2700001</v>
      </c>
      <c r="B500" s="24" t="s">
        <v>4290</v>
      </c>
      <c r="C500" s="26">
        <v>45271.25908564815</v>
      </c>
      <c r="D500" s="26"/>
      <c r="E500" s="28" t="s">
        <v>4291</v>
      </c>
      <c r="F500" s="24" t="s">
        <v>4186</v>
      </c>
      <c r="G500" s="35"/>
      <c r="H500" s="35"/>
      <c r="I500" s="35"/>
      <c r="J500" s="24"/>
      <c r="K500" s="24"/>
      <c r="L500" s="24"/>
      <c r="M500" s="28">
        <f>HYPERLINK("https://app.hubspot.com/contacts/8748051/record/0-2/18381515052", 18381515052)</f>
        <v>18381515052</v>
      </c>
      <c r="N500" s="28" t="s">
        <v>4291</v>
      </c>
      <c r="O500" s="34"/>
      <c r="P500" s="24"/>
      <c r="Q500" s="24"/>
      <c r="R500" s="24"/>
      <c r="S500" s="24"/>
      <c r="T500" s="34" t="str">
        <f t="shared" ref="T500:V500" si="504">IF(G500&lt;&gt;"","Yes","")</f>
        <v/>
      </c>
      <c r="U500" s="34" t="str">
        <f t="shared" si="504"/>
        <v/>
      </c>
      <c r="V500" s="34" t="str">
        <f t="shared" si="504"/>
        <v/>
      </c>
      <c r="W500" s="34" t="str">
        <f t="shared" si="3"/>
        <v/>
      </c>
      <c r="X500" s="24" t="str">
        <f t="shared" si="4"/>
        <v/>
      </c>
    </row>
    <row r="501" ht="14.25" customHeight="1">
      <c r="A501" s="28">
        <f>HYPERLINK("https://app.hubspot.com/contacts/8748051/record/0-1/3193451", 3193451)</f>
        <v>3193451</v>
      </c>
      <c r="B501" s="24" t="s">
        <v>4292</v>
      </c>
      <c r="C501" s="26">
        <v>45271.02061342593</v>
      </c>
      <c r="D501" s="26"/>
      <c r="E501" s="28" t="s">
        <v>2430</v>
      </c>
      <c r="F501" s="24"/>
      <c r="G501" s="35">
        <v>45271.0</v>
      </c>
      <c r="H501" s="35"/>
      <c r="I501" s="35">
        <v>45271.0</v>
      </c>
      <c r="J501" s="24"/>
      <c r="K501" s="24"/>
      <c r="L501" s="24"/>
      <c r="M501" s="28">
        <f>HYPERLINK("https://app.hubspot.com/contacts/8748051/record/0-2/9069677845", 9069677845)</f>
        <v>9069677845</v>
      </c>
      <c r="N501" s="24" t="s">
        <v>2429</v>
      </c>
      <c r="O501" s="33">
        <f>HYPERLINK("https://app.hubspot.com/contacts/8748051/record/0-3/16445568855", 16445568855)</f>
        <v>16445568855</v>
      </c>
      <c r="P501" s="24" t="s">
        <v>2428</v>
      </c>
      <c r="Q501" s="24" t="s">
        <v>127</v>
      </c>
      <c r="R501" s="24">
        <v>8800.0</v>
      </c>
      <c r="S501" s="24" t="b">
        <v>1</v>
      </c>
      <c r="T501" s="34" t="str">
        <f t="shared" ref="T501:V501" si="505">IF(G501&lt;&gt;"","Yes","")</f>
        <v>Yes</v>
      </c>
      <c r="U501" s="34" t="str">
        <f t="shared" si="505"/>
        <v/>
      </c>
      <c r="V501" s="34" t="str">
        <f t="shared" si="505"/>
        <v>Yes</v>
      </c>
      <c r="W501" s="34" t="str">
        <f t="shared" si="3"/>
        <v/>
      </c>
      <c r="X501" s="24" t="str">
        <f t="shared" si="4"/>
        <v/>
      </c>
    </row>
    <row r="502" ht="14.25" customHeight="1">
      <c r="A502" s="28">
        <f>HYPERLINK("https://app.hubspot.com/contacts/8748051/record/0-1/3187851", 3187851)</f>
        <v>3187851</v>
      </c>
      <c r="B502" s="24" t="s">
        <v>4293</v>
      </c>
      <c r="C502" s="26">
        <v>45268.318090277775</v>
      </c>
      <c r="D502" s="26"/>
      <c r="E502" s="28" t="s">
        <v>4294</v>
      </c>
      <c r="F502" s="24"/>
      <c r="G502" s="35">
        <v>45269.0</v>
      </c>
      <c r="H502" s="35"/>
      <c r="I502" s="35">
        <v>45279.0</v>
      </c>
      <c r="J502" s="24"/>
      <c r="K502" s="24"/>
      <c r="L502" s="24"/>
      <c r="M502" s="28">
        <f>HYPERLINK("https://app.hubspot.com/contacts/8748051/record/0-2/18358885248", 18358885248)</f>
        <v>18358885248</v>
      </c>
      <c r="N502" s="24" t="s">
        <v>4295</v>
      </c>
      <c r="O502" s="24"/>
      <c r="P502" s="24"/>
      <c r="Q502" s="24"/>
      <c r="R502" s="24"/>
      <c r="S502" s="24"/>
      <c r="T502" s="34" t="str">
        <f t="shared" ref="T502:V502" si="506">IF(G502&lt;&gt;"","Yes","")</f>
        <v>Yes</v>
      </c>
      <c r="U502" s="34" t="str">
        <f t="shared" si="506"/>
        <v/>
      </c>
      <c r="V502" s="34" t="str">
        <f t="shared" si="506"/>
        <v>Yes</v>
      </c>
      <c r="W502" s="34" t="str">
        <f t="shared" si="3"/>
        <v/>
      </c>
      <c r="X502" s="24" t="str">
        <f t="shared" si="4"/>
        <v/>
      </c>
    </row>
    <row r="503" ht="14.25" customHeight="1">
      <c r="A503" s="28">
        <f>HYPERLINK("https://app.hubspot.com/contacts/8748051/record/0-1/3181051", 3181051)</f>
        <v>3181051</v>
      </c>
      <c r="B503" s="24" t="s">
        <v>4296</v>
      </c>
      <c r="C503" s="26">
        <v>45267.1609375</v>
      </c>
      <c r="D503" s="26"/>
      <c r="E503" s="28" t="s">
        <v>4297</v>
      </c>
      <c r="F503" s="24" t="s">
        <v>3983</v>
      </c>
      <c r="G503" s="35"/>
      <c r="H503" s="35"/>
      <c r="I503" s="35"/>
      <c r="J503" s="24"/>
      <c r="K503" s="24"/>
      <c r="L503" s="24"/>
      <c r="M503" s="28">
        <f>HYPERLINK("https://app.hubspot.com/contacts/8748051/record/0-2/18341609227", 18341609227)</f>
        <v>18341609227</v>
      </c>
      <c r="N503" s="24" t="s">
        <v>4298</v>
      </c>
      <c r="O503" s="34"/>
      <c r="P503" s="24"/>
      <c r="Q503" s="24"/>
      <c r="R503" s="24"/>
      <c r="S503" s="24"/>
      <c r="T503" s="34" t="str">
        <f t="shared" ref="T503:V503" si="507">IF(G503&lt;&gt;"","Yes","")</f>
        <v/>
      </c>
      <c r="U503" s="34" t="str">
        <f t="shared" si="507"/>
        <v/>
      </c>
      <c r="V503" s="34" t="str">
        <f t="shared" si="507"/>
        <v/>
      </c>
      <c r="W503" s="34" t="str">
        <f t="shared" si="3"/>
        <v/>
      </c>
      <c r="X503" s="24" t="str">
        <f t="shared" si="4"/>
        <v/>
      </c>
    </row>
    <row r="504" ht="14.25" customHeight="1">
      <c r="A504" s="28">
        <f>HYPERLINK("https://app.hubspot.com/contacts/8748051/record/0-1/3168401", 3168401)</f>
        <v>3168401</v>
      </c>
      <c r="B504" s="24" t="s">
        <v>4299</v>
      </c>
      <c r="C504" s="26">
        <v>45265.25753472222</v>
      </c>
      <c r="D504" s="26"/>
      <c r="E504" s="28" t="s">
        <v>4300</v>
      </c>
      <c r="F504" s="24" t="s">
        <v>4219</v>
      </c>
      <c r="G504" s="35"/>
      <c r="H504" s="35"/>
      <c r="I504" s="35"/>
      <c r="J504" s="24"/>
      <c r="K504" s="24"/>
      <c r="L504" s="24"/>
      <c r="M504" s="28">
        <f>HYPERLINK("https://app.hubspot.com/contacts/8748051/record/0-2/18320344608", 18320344608)</f>
        <v>18320344608</v>
      </c>
      <c r="N504" s="24" t="s">
        <v>4301</v>
      </c>
      <c r="O504" s="34"/>
      <c r="P504" s="24"/>
      <c r="Q504" s="24"/>
      <c r="R504" s="24"/>
      <c r="S504" s="24"/>
      <c r="T504" s="34" t="str">
        <f t="shared" ref="T504:V504" si="508">IF(G504&lt;&gt;"","Yes","")</f>
        <v/>
      </c>
      <c r="U504" s="34" t="str">
        <f t="shared" si="508"/>
        <v/>
      </c>
      <c r="V504" s="34" t="str">
        <f t="shared" si="508"/>
        <v/>
      </c>
      <c r="W504" s="34" t="str">
        <f t="shared" si="3"/>
        <v/>
      </c>
      <c r="X504" s="24" t="str">
        <f t="shared" si="4"/>
        <v/>
      </c>
    </row>
    <row r="505" ht="14.25" customHeight="1">
      <c r="A505" s="28">
        <f>HYPERLINK("https://app.hubspot.com/contacts/8748051/record/0-1/2793201", 2793201)</f>
        <v>2793201</v>
      </c>
      <c r="B505" s="24" t="s">
        <v>4302</v>
      </c>
      <c r="C505" s="26">
        <v>45265.09142361111</v>
      </c>
      <c r="D505" s="26"/>
      <c r="E505" s="28" t="s">
        <v>4303</v>
      </c>
      <c r="F505" s="24"/>
      <c r="G505" s="35">
        <v>45265.0</v>
      </c>
      <c r="H505" s="35">
        <v>45278.0</v>
      </c>
      <c r="I505" s="35">
        <v>45278.0</v>
      </c>
      <c r="J505" s="24"/>
      <c r="K505" s="24"/>
      <c r="L505" s="34"/>
      <c r="M505" s="28">
        <f>HYPERLINK("https://app.hubspot.com/contacts/8748051/record/0-2/16065638154", 16065638154)</f>
        <v>16065638154</v>
      </c>
      <c r="N505" s="28" t="s">
        <v>4304</v>
      </c>
      <c r="O505" s="34"/>
      <c r="P505" s="24"/>
      <c r="Q505" s="24"/>
      <c r="R505" s="24"/>
      <c r="S505" s="34"/>
      <c r="T505" s="34" t="str">
        <f t="shared" ref="T505:V505" si="509">IF(G505&lt;&gt;"","Yes","")</f>
        <v>Yes</v>
      </c>
      <c r="U505" s="34" t="str">
        <f t="shared" si="509"/>
        <v>Yes</v>
      </c>
      <c r="V505" s="34" t="str">
        <f t="shared" si="509"/>
        <v>Yes</v>
      </c>
      <c r="W505" s="34" t="str">
        <f t="shared" si="3"/>
        <v/>
      </c>
      <c r="X505" s="24" t="str">
        <f t="shared" si="4"/>
        <v/>
      </c>
    </row>
    <row r="506" ht="14.25" customHeight="1">
      <c r="A506" s="28">
        <f>HYPERLINK("https://app.hubspot.com/contacts/8748051/record/0-1/3160701", 3160701)</f>
        <v>3160701</v>
      </c>
      <c r="B506" s="24" t="s">
        <v>4305</v>
      </c>
      <c r="C506" s="26">
        <v>45263.46361111111</v>
      </c>
      <c r="D506" s="26"/>
      <c r="E506" s="28" t="s">
        <v>4306</v>
      </c>
      <c r="F506" s="24"/>
      <c r="G506" s="35">
        <v>45264.0</v>
      </c>
      <c r="H506" s="35"/>
      <c r="I506" s="35"/>
      <c r="J506" s="24"/>
      <c r="K506" s="24"/>
      <c r="L506" s="24"/>
      <c r="M506" s="28">
        <f>HYPERLINK("https://app.hubspot.com/contacts/8748051/record/0-2/18307112576", 18307112576)</f>
        <v>18307112576</v>
      </c>
      <c r="N506" s="24" t="s">
        <v>4307</v>
      </c>
      <c r="O506" s="24"/>
      <c r="P506" s="24"/>
      <c r="Q506" s="24"/>
      <c r="R506" s="24"/>
      <c r="S506" s="24"/>
      <c r="T506" s="34" t="str">
        <f t="shared" ref="T506:V506" si="510">IF(G506&lt;&gt;"","Yes","")</f>
        <v>Yes</v>
      </c>
      <c r="U506" s="34" t="str">
        <f t="shared" si="510"/>
        <v/>
      </c>
      <c r="V506" s="34" t="str">
        <f t="shared" si="510"/>
        <v/>
      </c>
      <c r="W506" s="34" t="str">
        <f t="shared" si="3"/>
        <v/>
      </c>
      <c r="X506" s="24" t="str">
        <f t="shared" si="4"/>
        <v/>
      </c>
    </row>
    <row r="507" ht="14.25" customHeight="1">
      <c r="A507" s="28">
        <f>HYPERLINK("https://app.hubspot.com/contacts/8748051/record/0-1/3156551", 3156551)</f>
        <v>3156551</v>
      </c>
      <c r="B507" s="24" t="s">
        <v>4308</v>
      </c>
      <c r="C507" s="26">
        <v>45261.43618055555</v>
      </c>
      <c r="D507" s="26"/>
      <c r="E507" s="28" t="s">
        <v>4309</v>
      </c>
      <c r="F507" s="24" t="s">
        <v>3983</v>
      </c>
      <c r="G507" s="35"/>
      <c r="H507" s="35"/>
      <c r="I507" s="35"/>
      <c r="J507" s="24"/>
      <c r="K507" s="24"/>
      <c r="L507" s="24"/>
      <c r="M507" s="28">
        <f>HYPERLINK("https://app.hubspot.com/contacts/8748051/record/0-2/18292204461", 18292204461)</f>
        <v>18292204461</v>
      </c>
      <c r="N507" s="24" t="s">
        <v>4310</v>
      </c>
      <c r="O507" s="24"/>
      <c r="P507" s="24"/>
      <c r="Q507" s="24"/>
      <c r="R507" s="24"/>
      <c r="S507" s="24"/>
      <c r="T507" s="34" t="str">
        <f t="shared" ref="T507:V507" si="511">IF(G507&lt;&gt;"","Yes","")</f>
        <v/>
      </c>
      <c r="U507" s="34" t="str">
        <f t="shared" si="511"/>
        <v/>
      </c>
      <c r="V507" s="34" t="str">
        <f t="shared" si="511"/>
        <v/>
      </c>
      <c r="W507" s="34" t="str">
        <f t="shared" si="3"/>
        <v/>
      </c>
      <c r="X507" s="24" t="str">
        <f t="shared" si="4"/>
        <v/>
      </c>
    </row>
    <row r="508" ht="14.25" customHeight="1">
      <c r="A508" s="28">
        <f>HYPERLINK("https://app.hubspot.com/contacts/8748051/record/0-1/3146501", 3146501)</f>
        <v>3146501</v>
      </c>
      <c r="B508" s="24" t="s">
        <v>4311</v>
      </c>
      <c r="C508" s="26">
        <v>45258.603634259256</v>
      </c>
      <c r="D508" s="26"/>
      <c r="E508" s="28" t="s">
        <v>4312</v>
      </c>
      <c r="F508" s="24" t="s">
        <v>4121</v>
      </c>
      <c r="G508" s="35"/>
      <c r="H508" s="35"/>
      <c r="I508" s="35"/>
      <c r="J508" s="24"/>
      <c r="K508" s="24"/>
      <c r="L508" s="24"/>
      <c r="M508" s="28">
        <f>HYPERLINK("https://app.hubspot.com/contacts/8748051/record/0-2/18252645742", 18252645742)</f>
        <v>18252645742</v>
      </c>
      <c r="N508" s="24" t="s">
        <v>4313</v>
      </c>
      <c r="O508" s="24"/>
      <c r="P508" s="24"/>
      <c r="Q508" s="24"/>
      <c r="R508" s="24"/>
      <c r="S508" s="24"/>
      <c r="T508" s="34" t="str">
        <f t="shared" ref="T508:V508" si="512">IF(G508&lt;&gt;"","Yes","")</f>
        <v/>
      </c>
      <c r="U508" s="34" t="str">
        <f t="shared" si="512"/>
        <v/>
      </c>
      <c r="V508" s="34" t="str">
        <f t="shared" si="512"/>
        <v/>
      </c>
      <c r="W508" s="34" t="str">
        <f t="shared" si="3"/>
        <v/>
      </c>
      <c r="X508" s="24" t="str">
        <f t="shared" si="4"/>
        <v/>
      </c>
    </row>
    <row r="509" ht="14.25" customHeight="1">
      <c r="A509" s="28">
        <f>HYPERLINK("https://app.hubspot.com/contacts/8748051/record/0-1/3140151", 3140151)</f>
        <v>3140151</v>
      </c>
      <c r="B509" s="24" t="s">
        <v>4314</v>
      </c>
      <c r="C509" s="26">
        <v>45257.28482638889</v>
      </c>
      <c r="D509" s="26"/>
      <c r="E509" s="28" t="s">
        <v>4315</v>
      </c>
      <c r="F509" s="24"/>
      <c r="G509" s="35"/>
      <c r="H509" s="35"/>
      <c r="I509" s="35"/>
      <c r="J509" s="24"/>
      <c r="K509" s="24"/>
      <c r="L509" s="24"/>
      <c r="M509" s="28">
        <f>HYPERLINK("https://app.hubspot.com/contacts/8748051/record/0-2/18231099410", 18231099410)</f>
        <v>18231099410</v>
      </c>
      <c r="N509" s="24" t="s">
        <v>4316</v>
      </c>
      <c r="O509" s="24"/>
      <c r="P509" s="24"/>
      <c r="Q509" s="24"/>
      <c r="R509" s="24"/>
      <c r="S509" s="24"/>
      <c r="T509" s="34" t="str">
        <f t="shared" ref="T509:V509" si="513">IF(G509&lt;&gt;"","Yes","")</f>
        <v/>
      </c>
      <c r="U509" s="34" t="str">
        <f t="shared" si="513"/>
        <v/>
      </c>
      <c r="V509" s="34" t="str">
        <f t="shared" si="513"/>
        <v/>
      </c>
      <c r="W509" s="34" t="str">
        <f t="shared" si="3"/>
        <v/>
      </c>
      <c r="X509" s="24" t="str">
        <f t="shared" si="4"/>
        <v/>
      </c>
    </row>
    <row r="510" ht="14.25" customHeight="1">
      <c r="A510" s="28">
        <f>HYPERLINK("https://app.hubspot.com/contacts/8748051/record/0-1/3133451", 3133451)</f>
        <v>3133451</v>
      </c>
      <c r="B510" s="24" t="s">
        <v>4317</v>
      </c>
      <c r="C510" s="26">
        <v>45254.29493055555</v>
      </c>
      <c r="D510" s="26"/>
      <c r="E510" s="28" t="s">
        <v>4318</v>
      </c>
      <c r="F510" s="24"/>
      <c r="G510" s="35"/>
      <c r="H510" s="35"/>
      <c r="I510" s="35"/>
      <c r="J510" s="24"/>
      <c r="K510" s="24"/>
      <c r="L510" s="24"/>
      <c r="M510" s="28">
        <f>HYPERLINK("https://app.hubspot.com/contacts/8748051/record/0-2/14925707821", 14925707821)</f>
        <v>14925707821</v>
      </c>
      <c r="N510" s="24" t="s">
        <v>4319</v>
      </c>
      <c r="O510" s="24"/>
      <c r="P510" s="24"/>
      <c r="Q510" s="24"/>
      <c r="R510" s="24"/>
      <c r="S510" s="24"/>
      <c r="T510" s="34" t="str">
        <f t="shared" ref="T510:V510" si="514">IF(G510&lt;&gt;"","Yes","")</f>
        <v/>
      </c>
      <c r="U510" s="34" t="str">
        <f t="shared" si="514"/>
        <v/>
      </c>
      <c r="V510" s="34" t="str">
        <f t="shared" si="514"/>
        <v/>
      </c>
      <c r="W510" s="34" t="str">
        <f t="shared" si="3"/>
        <v/>
      </c>
      <c r="X510" s="24" t="str">
        <f t="shared" si="4"/>
        <v/>
      </c>
    </row>
    <row r="511" ht="14.25" customHeight="1">
      <c r="A511" s="28">
        <f>HYPERLINK("https://app.hubspot.com/contacts/8748051/record/0-1/3131101", 3131101)</f>
        <v>3131101</v>
      </c>
      <c r="B511" s="24" t="s">
        <v>4320</v>
      </c>
      <c r="C511" s="26">
        <v>45252.295011574075</v>
      </c>
      <c r="D511" s="26"/>
      <c r="E511" s="28" t="s">
        <v>4321</v>
      </c>
      <c r="F511" s="26"/>
      <c r="G511" s="35"/>
      <c r="H511" s="35"/>
      <c r="I511" s="35"/>
      <c r="J511" s="24"/>
      <c r="K511" s="24"/>
      <c r="L511" s="24"/>
      <c r="M511" s="28">
        <f>HYPERLINK("https://app.hubspot.com/contacts/8748051/record/0-2/18178806044", 18178806044)</f>
        <v>18178806044</v>
      </c>
      <c r="N511" s="24" t="s">
        <v>4322</v>
      </c>
      <c r="O511" s="24"/>
      <c r="P511" s="24"/>
      <c r="Q511" s="24"/>
      <c r="R511" s="24"/>
      <c r="S511" s="24"/>
      <c r="T511" s="34" t="str">
        <f t="shared" ref="T511:V511" si="515">IF(G511&lt;&gt;"","Yes","")</f>
        <v/>
      </c>
      <c r="U511" s="34" t="str">
        <f t="shared" si="515"/>
        <v/>
      </c>
      <c r="V511" s="34" t="str">
        <f t="shared" si="515"/>
        <v/>
      </c>
      <c r="W511" s="34" t="str">
        <f t="shared" si="3"/>
        <v/>
      </c>
      <c r="X511" s="24" t="str">
        <f t="shared" si="4"/>
        <v/>
      </c>
    </row>
    <row r="512" ht="14.25" customHeight="1">
      <c r="A512" s="28">
        <f>HYPERLINK("https://app.hubspot.com/contacts/8748051/record/0-1/3114551", 3114551)</f>
        <v>3114551</v>
      </c>
      <c r="B512" s="24" t="s">
        <v>4323</v>
      </c>
      <c r="C512" s="26">
        <v>45247.071597222224</v>
      </c>
      <c r="D512" s="26"/>
      <c r="E512" s="28" t="s">
        <v>4324</v>
      </c>
      <c r="F512" s="24"/>
      <c r="G512" s="35"/>
      <c r="H512" s="35"/>
      <c r="I512" s="35"/>
      <c r="J512" s="24"/>
      <c r="K512" s="24"/>
      <c r="L512" s="24"/>
      <c r="M512" s="28">
        <f>HYPERLINK("https://app.hubspot.com/contacts/8748051/record/0-2/18118070084", 18118070084)</f>
        <v>18118070084</v>
      </c>
      <c r="N512" s="24" t="s">
        <v>4325</v>
      </c>
      <c r="O512" s="24"/>
      <c r="P512" s="24"/>
      <c r="Q512" s="24"/>
      <c r="R512" s="24"/>
      <c r="S512" s="24"/>
      <c r="T512" s="34" t="str">
        <f t="shared" ref="T512:V512" si="516">IF(G512&lt;&gt;"","Yes","")</f>
        <v/>
      </c>
      <c r="U512" s="34" t="str">
        <f t="shared" si="516"/>
        <v/>
      </c>
      <c r="V512" s="34" t="str">
        <f t="shared" si="516"/>
        <v/>
      </c>
      <c r="W512" s="34" t="str">
        <f t="shared" si="3"/>
        <v/>
      </c>
      <c r="X512" s="24" t="str">
        <f t="shared" si="4"/>
        <v/>
      </c>
    </row>
    <row r="513" ht="14.25" customHeight="1">
      <c r="A513" s="28">
        <f>HYPERLINK("https://app.hubspot.com/contacts/8748051/record/0-1/3040851", 3040851)</f>
        <v>3040851</v>
      </c>
      <c r="B513" s="24" t="s">
        <v>4326</v>
      </c>
      <c r="C513" s="26">
        <v>45246.754965277774</v>
      </c>
      <c r="D513" s="26"/>
      <c r="E513" s="28" t="s">
        <v>2450</v>
      </c>
      <c r="F513" s="26"/>
      <c r="G513" s="35"/>
      <c r="H513" s="35"/>
      <c r="I513" s="35"/>
      <c r="J513" s="24"/>
      <c r="K513" s="24"/>
      <c r="L513" s="24"/>
      <c r="M513" s="28">
        <f>HYPERLINK("https://app.hubspot.com/contacts/8748051/record/0-2/18112298241", 18112298241)</f>
        <v>18112298241</v>
      </c>
      <c r="N513" s="24" t="s">
        <v>2449</v>
      </c>
      <c r="O513" s="33">
        <f>HYPERLINK("https://app.hubspot.com/contacts/8748051/record/0-3/16159987467", 16159987467)</f>
        <v>16159987467</v>
      </c>
      <c r="P513" s="24" t="s">
        <v>2447</v>
      </c>
      <c r="Q513" s="24" t="s">
        <v>149</v>
      </c>
      <c r="R513" s="24">
        <v>20000.0</v>
      </c>
      <c r="S513" s="24" t="b">
        <v>1</v>
      </c>
      <c r="T513" s="34" t="str">
        <f t="shared" ref="T513:V513" si="517">IF(G513&lt;&gt;"","Yes","")</f>
        <v/>
      </c>
      <c r="U513" s="34" t="str">
        <f t="shared" si="517"/>
        <v/>
      </c>
      <c r="V513" s="34" t="str">
        <f t="shared" si="517"/>
        <v/>
      </c>
      <c r="W513" s="34" t="str">
        <f t="shared" si="3"/>
        <v/>
      </c>
      <c r="X513" s="24" t="str">
        <f t="shared" si="4"/>
        <v>Yes</v>
      </c>
    </row>
    <row r="514" ht="14.25" customHeight="1">
      <c r="A514" s="28">
        <f>HYPERLINK("https://app.hubspot.com/contacts/8748051/record/0-1/3103101", 3103101)</f>
        <v>3103101</v>
      </c>
      <c r="B514" s="24" t="s">
        <v>4327</v>
      </c>
      <c r="C514" s="26">
        <v>45245.24636574074</v>
      </c>
      <c r="D514" s="26"/>
      <c r="E514" s="28" t="s">
        <v>4328</v>
      </c>
      <c r="F514" s="26"/>
      <c r="G514" s="35"/>
      <c r="H514" s="35"/>
      <c r="I514" s="35"/>
      <c r="J514" s="24"/>
      <c r="K514" s="24"/>
      <c r="L514" s="24"/>
      <c r="M514" s="28">
        <f>HYPERLINK("https://app.hubspot.com/contacts/8748051/record/0-2/7673308023", 7673308023)</f>
        <v>7673308023</v>
      </c>
      <c r="N514" s="24" t="s">
        <v>4329</v>
      </c>
      <c r="O514" s="24"/>
      <c r="P514" s="24"/>
      <c r="Q514" s="24"/>
      <c r="R514" s="24"/>
      <c r="S514" s="24"/>
      <c r="T514" s="34" t="str">
        <f t="shared" ref="T514:V514" si="518">IF(G514&lt;&gt;"","Yes","")</f>
        <v/>
      </c>
      <c r="U514" s="34" t="str">
        <f t="shared" si="518"/>
        <v/>
      </c>
      <c r="V514" s="34" t="str">
        <f t="shared" si="518"/>
        <v/>
      </c>
      <c r="W514" s="34" t="str">
        <f t="shared" si="3"/>
        <v/>
      </c>
      <c r="X514" s="24" t="str">
        <f t="shared" si="4"/>
        <v/>
      </c>
    </row>
    <row r="515" ht="14.25" customHeight="1">
      <c r="A515" s="28">
        <f>HYPERLINK("https://app.hubspot.com/contacts/8748051/record/0-1/189380831536", 189380831536)</f>
        <v>189380831536</v>
      </c>
      <c r="B515" s="24" t="s">
        <v>4330</v>
      </c>
      <c r="C515" s="26">
        <v>45244.41135416667</v>
      </c>
      <c r="D515" s="26"/>
      <c r="E515" s="28" t="s">
        <v>2456</v>
      </c>
      <c r="F515" s="26"/>
      <c r="G515" s="35"/>
      <c r="H515" s="35"/>
      <c r="I515" s="35"/>
      <c r="J515" s="24"/>
      <c r="K515" s="24"/>
      <c r="L515" s="24"/>
      <c r="M515" s="28">
        <f>HYPERLINK("https://app.hubspot.com/contacts/8748051/record/0-2/7771788382", 7771788382)</f>
        <v>7771788382</v>
      </c>
      <c r="N515" s="24" t="s">
        <v>2455</v>
      </c>
      <c r="O515" s="33">
        <f>HYPERLINK("https://app.hubspot.com/contacts/8748051/record/0-3/16135998297", 16135998297)</f>
        <v>16135998297</v>
      </c>
      <c r="P515" s="24" t="s">
        <v>2453</v>
      </c>
      <c r="Q515" s="24" t="s">
        <v>92</v>
      </c>
      <c r="R515" s="24">
        <v>60000.0</v>
      </c>
      <c r="S515" s="24" t="b">
        <v>1</v>
      </c>
      <c r="T515" s="34" t="str">
        <f t="shared" ref="T515:V515" si="519">IF(G515&lt;&gt;"","Yes","")</f>
        <v/>
      </c>
      <c r="U515" s="34" t="str">
        <f t="shared" si="519"/>
        <v/>
      </c>
      <c r="V515" s="34" t="str">
        <f t="shared" si="519"/>
        <v/>
      </c>
      <c r="W515" s="34" t="str">
        <f t="shared" si="3"/>
        <v>Yes</v>
      </c>
      <c r="X515" s="24" t="str">
        <f t="shared" si="4"/>
        <v/>
      </c>
    </row>
    <row r="516" ht="14.25" customHeight="1">
      <c r="A516" s="28">
        <f>HYPERLINK("https://app.hubspot.com/contacts/8748051/record/0-1/3091301", 3091301)</f>
        <v>3091301</v>
      </c>
      <c r="B516" s="24" t="s">
        <v>4331</v>
      </c>
      <c r="C516" s="26">
        <v>45240.21642361111</v>
      </c>
      <c r="D516" s="26"/>
      <c r="E516" s="28" t="s">
        <v>4332</v>
      </c>
      <c r="F516" s="24"/>
      <c r="G516" s="35"/>
      <c r="H516" s="35"/>
      <c r="I516" s="35"/>
      <c r="J516" s="24"/>
      <c r="K516" s="24"/>
      <c r="L516" s="24"/>
      <c r="M516" s="28">
        <f>HYPERLINK("https://app.hubspot.com/contacts/8748051/record/0-2/18007506031", 18007506031)</f>
        <v>18007506031</v>
      </c>
      <c r="N516" s="24" t="s">
        <v>4333</v>
      </c>
      <c r="O516" s="24"/>
      <c r="P516" s="24"/>
      <c r="Q516" s="24"/>
      <c r="R516" s="24"/>
      <c r="S516" s="24"/>
      <c r="T516" s="34" t="str">
        <f t="shared" ref="T516:V516" si="520">IF(G516&lt;&gt;"","Yes","")</f>
        <v/>
      </c>
      <c r="U516" s="34" t="str">
        <f t="shared" si="520"/>
        <v/>
      </c>
      <c r="V516" s="34" t="str">
        <f t="shared" si="520"/>
        <v/>
      </c>
      <c r="W516" s="34" t="str">
        <f t="shared" si="3"/>
        <v/>
      </c>
      <c r="X516" s="24" t="str">
        <f t="shared" si="4"/>
        <v/>
      </c>
    </row>
    <row r="517" ht="14.25" customHeight="1">
      <c r="A517" s="28">
        <f>HYPERLINK("https://app.hubspot.com/contacts/8748051/record/0-1/3080351", 3080351)</f>
        <v>3080351</v>
      </c>
      <c r="B517" s="24" t="s">
        <v>4334</v>
      </c>
      <c r="C517" s="26">
        <v>45238.164143518516</v>
      </c>
      <c r="D517" s="26"/>
      <c r="E517" s="28" t="s">
        <v>1000</v>
      </c>
      <c r="F517" s="24"/>
      <c r="G517" s="35"/>
      <c r="H517" s="35"/>
      <c r="I517" s="35"/>
      <c r="J517" s="24"/>
      <c r="K517" s="24"/>
      <c r="L517" s="24"/>
      <c r="M517" s="28">
        <f>HYPERLINK("https://app.hubspot.com/contacts/8748051/record/0-2/9069717254", 9069717254)</f>
        <v>9069717254</v>
      </c>
      <c r="N517" s="24" t="s">
        <v>999</v>
      </c>
      <c r="O517" s="24"/>
      <c r="P517" s="24"/>
      <c r="Q517" s="24"/>
      <c r="R517" s="24"/>
      <c r="S517" s="24"/>
      <c r="T517" s="34" t="str">
        <f t="shared" ref="T517:V517" si="521">IF(G517&lt;&gt;"","Yes","")</f>
        <v/>
      </c>
      <c r="U517" s="34" t="str">
        <f t="shared" si="521"/>
        <v/>
      </c>
      <c r="V517" s="34" t="str">
        <f t="shared" si="521"/>
        <v/>
      </c>
      <c r="W517" s="34" t="str">
        <f t="shared" si="3"/>
        <v/>
      </c>
      <c r="X517" s="24" t="str">
        <f t="shared" si="4"/>
        <v/>
      </c>
    </row>
    <row r="518" ht="14.25" customHeight="1">
      <c r="A518" s="28">
        <f>HYPERLINK("https://app.hubspot.com/contacts/8748051/record/0-1/3079301", 3079301)</f>
        <v>3079301</v>
      </c>
      <c r="B518" s="24" t="s">
        <v>4335</v>
      </c>
      <c r="C518" s="26">
        <v>45237.655856481484</v>
      </c>
      <c r="D518" s="26"/>
      <c r="E518" s="28" t="s">
        <v>1159</v>
      </c>
      <c r="F518" s="24"/>
      <c r="G518" s="35"/>
      <c r="H518" s="35"/>
      <c r="I518" s="35"/>
      <c r="J518" s="24"/>
      <c r="K518" s="24"/>
      <c r="L518" s="24"/>
      <c r="M518" s="28">
        <f>HYPERLINK("https://app.hubspot.com/contacts/8748051/record/0-2/17971689616", 17971689616)</f>
        <v>17971689616</v>
      </c>
      <c r="N518" s="24" t="s">
        <v>1158</v>
      </c>
      <c r="O518" s="28">
        <f>HYPERLINK("https://app.hubspot.com/contacts/8748051/record/0-3/16003065679", 16003065679)</f>
        <v>16003065679</v>
      </c>
      <c r="P518" s="24" t="s">
        <v>1158</v>
      </c>
      <c r="Q518" s="24" t="s">
        <v>92</v>
      </c>
      <c r="R518" s="24">
        <v>10800.0</v>
      </c>
      <c r="S518" s="24" t="b">
        <v>1</v>
      </c>
      <c r="T518" s="34" t="str">
        <f t="shared" ref="T518:V518" si="522">IF(G518&lt;&gt;"","Yes","")</f>
        <v/>
      </c>
      <c r="U518" s="34" t="str">
        <f t="shared" si="522"/>
        <v/>
      </c>
      <c r="V518" s="34" t="str">
        <f t="shared" si="522"/>
        <v/>
      </c>
      <c r="W518" s="34" t="str">
        <f t="shared" si="3"/>
        <v>Yes</v>
      </c>
      <c r="X518" s="24" t="str">
        <f t="shared" si="4"/>
        <v/>
      </c>
    </row>
    <row r="519" ht="14.25" customHeight="1">
      <c r="A519" s="28">
        <f>HYPERLINK("https://app.hubspot.com/contacts/8748051/record/0-1/3073101", 3073101)</f>
        <v>3073101</v>
      </c>
      <c r="B519" s="24" t="s">
        <v>4336</v>
      </c>
      <c r="C519" s="26">
        <v>45236.32278935185</v>
      </c>
      <c r="D519" s="26"/>
      <c r="E519" s="28" t="s">
        <v>4337</v>
      </c>
      <c r="F519" s="26"/>
      <c r="G519" s="35"/>
      <c r="H519" s="35"/>
      <c r="I519" s="35"/>
      <c r="J519" s="24"/>
      <c r="K519" s="24"/>
      <c r="L519" s="24"/>
      <c r="M519" s="28">
        <f>HYPERLINK("https://app.hubspot.com/contacts/8748051/record/0-2/17953413303", 17953413303)</f>
        <v>17953413303</v>
      </c>
      <c r="N519" s="24" t="s">
        <v>4338</v>
      </c>
      <c r="O519" s="24"/>
      <c r="P519" s="24"/>
      <c r="Q519" s="24"/>
      <c r="R519" s="24"/>
      <c r="S519" s="24"/>
      <c r="T519" s="34" t="str">
        <f t="shared" ref="T519:V519" si="523">IF(G519&lt;&gt;"","Yes","")</f>
        <v/>
      </c>
      <c r="U519" s="34" t="str">
        <f t="shared" si="523"/>
        <v/>
      </c>
      <c r="V519" s="34" t="str">
        <f t="shared" si="523"/>
        <v/>
      </c>
      <c r="W519" s="34" t="str">
        <f t="shared" si="3"/>
        <v/>
      </c>
      <c r="X519" s="24" t="str">
        <f t="shared" si="4"/>
        <v/>
      </c>
    </row>
    <row r="520" ht="14.25" customHeight="1">
      <c r="A520" s="28">
        <f>HYPERLINK("https://app.hubspot.com/contacts/8748051/record/0-1/3044951", 3044951)</f>
        <v>3044951</v>
      </c>
      <c r="B520" s="24" t="s">
        <v>4339</v>
      </c>
      <c r="C520" s="26">
        <v>45230.34851851852</v>
      </c>
      <c r="D520" s="26"/>
      <c r="E520" s="28" t="s">
        <v>4340</v>
      </c>
      <c r="F520" s="26"/>
      <c r="G520" s="35"/>
      <c r="H520" s="35"/>
      <c r="I520" s="35"/>
      <c r="J520" s="24"/>
      <c r="K520" s="24"/>
      <c r="L520" s="24"/>
      <c r="M520" s="28">
        <f>HYPERLINK("https://app.hubspot.com/contacts/8748051/record/0-2/17890946332", 17890946332)</f>
        <v>17890946332</v>
      </c>
      <c r="N520" s="24" t="s">
        <v>4341</v>
      </c>
      <c r="O520" s="24"/>
      <c r="P520" s="24"/>
      <c r="Q520" s="24"/>
      <c r="R520" s="24"/>
      <c r="S520" s="24"/>
      <c r="T520" s="34" t="str">
        <f t="shared" ref="T520:V520" si="524">IF(G520&lt;&gt;"","Yes","")</f>
        <v/>
      </c>
      <c r="U520" s="34" t="str">
        <f t="shared" si="524"/>
        <v/>
      </c>
      <c r="V520" s="34" t="str">
        <f t="shared" si="524"/>
        <v/>
      </c>
      <c r="W520" s="34" t="str">
        <f t="shared" si="3"/>
        <v/>
      </c>
      <c r="X520" s="24" t="str">
        <f t="shared" si="4"/>
        <v/>
      </c>
    </row>
    <row r="521" ht="14.25" customHeight="1">
      <c r="A521" s="28">
        <f>HYPERLINK("https://app.hubspot.com/contacts/8748051/record/0-1/3044351", 3044351)</f>
        <v>3044351</v>
      </c>
      <c r="B521" s="24" t="s">
        <v>4342</v>
      </c>
      <c r="C521" s="26">
        <v>45230.288981481484</v>
      </c>
      <c r="D521" s="26"/>
      <c r="E521" s="28" t="s">
        <v>2480</v>
      </c>
      <c r="F521" s="24"/>
      <c r="G521" s="35"/>
      <c r="H521" s="35"/>
      <c r="I521" s="35"/>
      <c r="J521" s="24"/>
      <c r="K521" s="24"/>
      <c r="L521" s="34"/>
      <c r="M521" s="28">
        <f>HYPERLINK("https://app.hubspot.com/contacts/8748051/record/0-2/10322469467", 10322469467)</f>
        <v>10322469467</v>
      </c>
      <c r="N521" s="24" t="s">
        <v>2479</v>
      </c>
      <c r="O521" s="33">
        <f>HYPERLINK("https://app.hubspot.com/contacts/8748051/record/0-3/15905577653", 15905577653)</f>
        <v>15905577653</v>
      </c>
      <c r="P521" s="24" t="s">
        <v>2477</v>
      </c>
      <c r="Q521" s="24" t="s">
        <v>149</v>
      </c>
      <c r="R521" s="24">
        <v>0.0</v>
      </c>
      <c r="S521" s="24" t="b">
        <v>1</v>
      </c>
      <c r="T521" s="34" t="str">
        <f t="shared" ref="T521:V521" si="525">IF(G521&lt;&gt;"","Yes","")</f>
        <v/>
      </c>
      <c r="U521" s="34" t="str">
        <f t="shared" si="525"/>
        <v/>
      </c>
      <c r="V521" s="34" t="str">
        <f t="shared" si="525"/>
        <v/>
      </c>
      <c r="W521" s="34" t="str">
        <f t="shared" si="3"/>
        <v/>
      </c>
      <c r="X521" s="24" t="str">
        <f t="shared" si="4"/>
        <v>Yes</v>
      </c>
    </row>
    <row r="522" ht="14.25" customHeight="1">
      <c r="A522" s="28">
        <f>HYPERLINK("https://app.hubspot.com/contacts/8748051/record/0-1/2997901", 2997901)</f>
        <v>2997901</v>
      </c>
      <c r="B522" s="24" t="s">
        <v>4343</v>
      </c>
      <c r="C522" s="26">
        <v>45225.61898148148</v>
      </c>
      <c r="D522" s="26"/>
      <c r="E522" s="28" t="s">
        <v>2500</v>
      </c>
      <c r="F522" s="26"/>
      <c r="G522" s="35"/>
      <c r="H522" s="35"/>
      <c r="I522" s="35"/>
      <c r="J522" s="24"/>
      <c r="K522" s="24"/>
      <c r="L522" s="24"/>
      <c r="M522" s="28">
        <f>HYPERLINK("https://app.hubspot.com/contacts/8748051/record/0-2/7131052804", 7131052804)</f>
        <v>7131052804</v>
      </c>
      <c r="N522" s="24" t="s">
        <v>2499</v>
      </c>
      <c r="O522" s="34"/>
      <c r="P522" s="24"/>
      <c r="Q522" s="24"/>
      <c r="R522" s="24"/>
      <c r="S522" s="24"/>
      <c r="T522" s="34" t="str">
        <f t="shared" ref="T522:V522" si="526">IF(G522&lt;&gt;"","Yes","")</f>
        <v/>
      </c>
      <c r="U522" s="34" t="str">
        <f t="shared" si="526"/>
        <v/>
      </c>
      <c r="V522" s="34" t="str">
        <f t="shared" si="526"/>
        <v/>
      </c>
      <c r="W522" s="34" t="str">
        <f t="shared" si="3"/>
        <v/>
      </c>
      <c r="X522" s="24" t="str">
        <f t="shared" si="4"/>
        <v/>
      </c>
    </row>
    <row r="523" ht="14.25" customHeight="1">
      <c r="A523" s="28">
        <f>HYPERLINK("https://app.hubspot.com/contacts/8748051/record/0-1/2994751", 2994751)</f>
        <v>2994751</v>
      </c>
      <c r="B523" s="24" t="s">
        <v>4344</v>
      </c>
      <c r="C523" s="26">
        <v>45224.53223379629</v>
      </c>
      <c r="D523" s="26"/>
      <c r="E523" s="28" t="s">
        <v>2487</v>
      </c>
      <c r="F523" s="24"/>
      <c r="G523" s="35"/>
      <c r="H523" s="35"/>
      <c r="I523" s="35"/>
      <c r="J523" s="24"/>
      <c r="K523" s="24"/>
      <c r="L523" s="24"/>
      <c r="M523" s="28">
        <f>HYPERLINK("https://app.hubspot.com/contacts/8748051/record/0-2/17801803546", 17801803546)</f>
        <v>17801803546</v>
      </c>
      <c r="N523" s="24" t="s">
        <v>2486</v>
      </c>
      <c r="O523" s="28">
        <f>HYPERLINK("https://app.hubspot.com/contacts/8748051/record/0-3/15798206087", 15798206087)</f>
        <v>15798206087</v>
      </c>
      <c r="P523" s="24" t="s">
        <v>2485</v>
      </c>
      <c r="Q523" s="24" t="s">
        <v>73</v>
      </c>
      <c r="R523" s="24">
        <v>2000.0</v>
      </c>
      <c r="S523" s="24"/>
      <c r="T523" s="34" t="str">
        <f t="shared" ref="T523:V523" si="527">IF(G523&lt;&gt;"","Yes","")</f>
        <v/>
      </c>
      <c r="U523" s="34" t="str">
        <f t="shared" si="527"/>
        <v/>
      </c>
      <c r="V523" s="34" t="str">
        <f t="shared" si="527"/>
        <v/>
      </c>
      <c r="W523" s="34" t="str">
        <f t="shared" si="3"/>
        <v/>
      </c>
      <c r="X523" s="24" t="str">
        <f t="shared" si="4"/>
        <v/>
      </c>
    </row>
    <row r="524" ht="14.25" customHeight="1">
      <c r="A524" s="28">
        <f>HYPERLINK("https://app.hubspot.com/contacts/8748051/record/0-1/3011401", 3011401)</f>
        <v>3011401</v>
      </c>
      <c r="B524" s="24" t="s">
        <v>4345</v>
      </c>
      <c r="C524" s="26">
        <v>45222.56696759259</v>
      </c>
      <c r="D524" s="26"/>
      <c r="E524" s="28" t="s">
        <v>4346</v>
      </c>
      <c r="F524" s="26"/>
      <c r="G524" s="35"/>
      <c r="H524" s="35"/>
      <c r="I524" s="35"/>
      <c r="J524" s="24"/>
      <c r="K524" s="24"/>
      <c r="L524" s="24"/>
      <c r="M524" s="28">
        <f>HYPERLINK("https://app.hubspot.com/contacts/8748051/record/0-2/8762404619", 8762404619)</f>
        <v>8762404619</v>
      </c>
      <c r="N524" s="24" t="s">
        <v>4347</v>
      </c>
      <c r="O524" s="34"/>
      <c r="P524" s="24"/>
      <c r="Q524" s="24"/>
      <c r="R524" s="24"/>
      <c r="S524" s="24"/>
      <c r="T524" s="34" t="str">
        <f t="shared" ref="T524:V524" si="528">IF(G524&lt;&gt;"","Yes","")</f>
        <v/>
      </c>
      <c r="U524" s="34" t="str">
        <f t="shared" si="528"/>
        <v/>
      </c>
      <c r="V524" s="34" t="str">
        <f t="shared" si="528"/>
        <v/>
      </c>
      <c r="W524" s="34" t="str">
        <f t="shared" si="3"/>
        <v/>
      </c>
      <c r="X524" s="24" t="str">
        <f t="shared" si="4"/>
        <v/>
      </c>
    </row>
    <row r="525" ht="14.25" customHeight="1">
      <c r="A525" s="28">
        <f>HYPERLINK("https://app.hubspot.com/contacts/8748051/record/0-1/3010801", 3010801)</f>
        <v>3010801</v>
      </c>
      <c r="B525" s="24" t="s">
        <v>4348</v>
      </c>
      <c r="C525" s="26">
        <v>45222.32690972222</v>
      </c>
      <c r="D525" s="26"/>
      <c r="E525" s="28" t="s">
        <v>2483</v>
      </c>
      <c r="F525" s="24"/>
      <c r="G525" s="35"/>
      <c r="H525" s="35"/>
      <c r="I525" s="35"/>
      <c r="J525" s="24"/>
      <c r="K525" s="24"/>
      <c r="L525" s="24"/>
      <c r="M525" s="28">
        <f>HYPERLINK("https://app.hubspot.com/contacts/8748051/record/0-2/17769597851", 17769597851)</f>
        <v>17769597851</v>
      </c>
      <c r="N525" s="24" t="s">
        <v>2482</v>
      </c>
      <c r="O525" s="28">
        <f>HYPERLINK("https://app.hubspot.com/contacts/8748051/record/0-3/15845371518", 15845371518)</f>
        <v>15845371518</v>
      </c>
      <c r="P525" s="24" t="s">
        <v>2481</v>
      </c>
      <c r="Q525" s="24" t="s">
        <v>73</v>
      </c>
      <c r="R525" s="24">
        <v>15000.0</v>
      </c>
      <c r="S525" s="24" t="b">
        <v>1</v>
      </c>
      <c r="T525" s="34" t="str">
        <f t="shared" ref="T525:V525" si="529">IF(G525&lt;&gt;"","Yes","")</f>
        <v/>
      </c>
      <c r="U525" s="34" t="str">
        <f t="shared" si="529"/>
        <v/>
      </c>
      <c r="V525" s="34" t="str">
        <f t="shared" si="529"/>
        <v/>
      </c>
      <c r="W525" s="34" t="str">
        <f t="shared" si="3"/>
        <v/>
      </c>
      <c r="X525" s="24" t="str">
        <f t="shared" si="4"/>
        <v/>
      </c>
    </row>
    <row r="526" ht="14.25" customHeight="1">
      <c r="A526" s="28">
        <f>HYPERLINK("https://app.hubspot.com/contacts/8748051/record/0-1/2999001", 2999001)</f>
        <v>2999001</v>
      </c>
      <c r="B526" s="24" t="s">
        <v>4349</v>
      </c>
      <c r="C526" s="26">
        <v>45218.082916666666</v>
      </c>
      <c r="D526" s="26"/>
      <c r="E526" s="28" t="s">
        <v>3160</v>
      </c>
      <c r="F526" s="26"/>
      <c r="G526" s="35"/>
      <c r="H526" s="35"/>
      <c r="I526" s="35"/>
      <c r="J526" s="24"/>
      <c r="K526" s="24"/>
      <c r="L526" s="24"/>
      <c r="M526" s="28">
        <f>HYPERLINK("https://app.hubspot.com/contacts/8748051/record/0-2/8386319462", 8386319462)</f>
        <v>8386319462</v>
      </c>
      <c r="N526" s="28" t="s">
        <v>3159</v>
      </c>
      <c r="O526" s="24"/>
      <c r="P526" s="24"/>
      <c r="Q526" s="24"/>
      <c r="R526" s="24"/>
      <c r="S526" s="24"/>
      <c r="T526" s="34" t="str">
        <f t="shared" ref="T526:V526" si="530">IF(G526&lt;&gt;"","Yes","")</f>
        <v/>
      </c>
      <c r="U526" s="34" t="str">
        <f t="shared" si="530"/>
        <v/>
      </c>
      <c r="V526" s="34" t="str">
        <f t="shared" si="530"/>
        <v/>
      </c>
      <c r="W526" s="34" t="str">
        <f t="shared" si="3"/>
        <v/>
      </c>
      <c r="X526" s="24" t="str">
        <f t="shared" si="4"/>
        <v/>
      </c>
    </row>
    <row r="527" ht="14.25" customHeight="1">
      <c r="A527" s="28">
        <f>HYPERLINK("https://app.hubspot.com/contacts/8748051/record/0-1/2978251", 2978251)</f>
        <v>2978251</v>
      </c>
      <c r="B527" s="24" t="s">
        <v>4350</v>
      </c>
      <c r="C527" s="26">
        <v>45212.77877314815</v>
      </c>
      <c r="D527" s="26"/>
      <c r="E527" s="28" t="s">
        <v>2493</v>
      </c>
      <c r="F527" s="26"/>
      <c r="G527" s="35"/>
      <c r="H527" s="35"/>
      <c r="I527" s="35"/>
      <c r="J527" s="24"/>
      <c r="K527" s="24"/>
      <c r="L527" s="24"/>
      <c r="M527" s="28">
        <f>HYPERLINK("https://app.hubspot.com/contacts/8748051/record/0-2/9238334248", 9238334248)</f>
        <v>9238334248</v>
      </c>
      <c r="N527" s="24" t="s">
        <v>2491</v>
      </c>
      <c r="O527" s="28">
        <f>HYPERLINK("https://app.hubspot.com/contacts/8748051/record/0-3/15754439595", 15754439595)</f>
        <v>15754439595</v>
      </c>
      <c r="P527" s="24" t="s">
        <v>2491</v>
      </c>
      <c r="Q527" s="24" t="s">
        <v>149</v>
      </c>
      <c r="R527" s="24">
        <v>20000.0</v>
      </c>
      <c r="S527" s="24" t="b">
        <v>1</v>
      </c>
      <c r="T527" s="34" t="str">
        <f t="shared" ref="T527:V527" si="531">IF(G527&lt;&gt;"","Yes","")</f>
        <v/>
      </c>
      <c r="U527" s="34" t="str">
        <f t="shared" si="531"/>
        <v/>
      </c>
      <c r="V527" s="34" t="str">
        <f t="shared" si="531"/>
        <v/>
      </c>
      <c r="W527" s="34" t="str">
        <f t="shared" si="3"/>
        <v/>
      </c>
      <c r="X527" s="24" t="str">
        <f t="shared" si="4"/>
        <v>Yes</v>
      </c>
    </row>
    <row r="528" ht="14.25" customHeight="1">
      <c r="A528" s="28">
        <f>HYPERLINK("https://app.hubspot.com/contacts/8748051/record/0-1/2959551", 2959551)</f>
        <v>2959551</v>
      </c>
      <c r="B528" s="24" t="s">
        <v>4351</v>
      </c>
      <c r="C528" s="26">
        <v>45208.2980787037</v>
      </c>
      <c r="D528" s="26"/>
      <c r="E528" s="28" t="s">
        <v>4352</v>
      </c>
      <c r="F528" s="26"/>
      <c r="G528" s="35"/>
      <c r="H528" s="35"/>
      <c r="I528" s="35"/>
      <c r="J528" s="24"/>
      <c r="K528" s="24"/>
      <c r="L528" s="24"/>
      <c r="M528" s="28">
        <f>HYPERLINK("https://app.hubspot.com/contacts/8748051/record/0-2/17613116199", 17613116199)</f>
        <v>17613116199</v>
      </c>
      <c r="N528" s="24" t="s">
        <v>4353</v>
      </c>
      <c r="O528" s="24"/>
      <c r="P528" s="24"/>
      <c r="Q528" s="24"/>
      <c r="R528" s="24"/>
      <c r="S528" s="24"/>
      <c r="T528" s="34" t="str">
        <f t="shared" ref="T528:V528" si="532">IF(G528&lt;&gt;"","Yes","")</f>
        <v/>
      </c>
      <c r="U528" s="34" t="str">
        <f t="shared" si="532"/>
        <v/>
      </c>
      <c r="V528" s="34" t="str">
        <f t="shared" si="532"/>
        <v/>
      </c>
      <c r="W528" s="34" t="str">
        <f t="shared" si="3"/>
        <v/>
      </c>
      <c r="X528" s="24" t="str">
        <f t="shared" si="4"/>
        <v/>
      </c>
    </row>
    <row r="529" ht="14.25" customHeight="1">
      <c r="A529" s="28">
        <f>HYPERLINK("https://app.hubspot.com/contacts/8748051/record/0-1/2538551", 2538551)</f>
        <v>2538551</v>
      </c>
      <c r="B529" s="24" t="s">
        <v>4354</v>
      </c>
      <c r="C529" s="26">
        <v>45208.27549768519</v>
      </c>
      <c r="D529" s="26"/>
      <c r="E529" s="28" t="s">
        <v>2903</v>
      </c>
      <c r="F529" s="26"/>
      <c r="G529" s="35"/>
      <c r="H529" s="35"/>
      <c r="I529" s="35"/>
      <c r="J529" s="24"/>
      <c r="K529" s="24"/>
      <c r="L529" s="24"/>
      <c r="M529" s="28">
        <f>HYPERLINK("https://app.hubspot.com/contacts/8748051/record/0-2/8587394835", 8587394835)</f>
        <v>8587394835</v>
      </c>
      <c r="N529" s="24" t="s">
        <v>2902</v>
      </c>
      <c r="O529" s="34"/>
      <c r="P529" s="24"/>
      <c r="Q529" s="24"/>
      <c r="R529" s="24"/>
      <c r="S529" s="24"/>
      <c r="T529" s="34" t="str">
        <f t="shared" ref="T529:V529" si="533">IF(G529&lt;&gt;"","Yes","")</f>
        <v/>
      </c>
      <c r="U529" s="34" t="str">
        <f t="shared" si="533"/>
        <v/>
      </c>
      <c r="V529" s="34" t="str">
        <f t="shared" si="533"/>
        <v/>
      </c>
      <c r="W529" s="34" t="str">
        <f t="shared" si="3"/>
        <v/>
      </c>
      <c r="X529" s="24" t="str">
        <f t="shared" si="4"/>
        <v/>
      </c>
    </row>
    <row r="530" ht="14.25" customHeight="1">
      <c r="A530" s="28">
        <f>HYPERLINK("https://app.hubspot.com/contacts/8748051/record/0-1/2954651", 2954651)</f>
        <v>2954651</v>
      </c>
      <c r="B530" s="24" t="s">
        <v>4355</v>
      </c>
      <c r="C530" s="26">
        <v>45205.36917824074</v>
      </c>
      <c r="D530" s="26"/>
      <c r="E530" s="28" t="s">
        <v>4356</v>
      </c>
      <c r="F530" s="24"/>
      <c r="G530" s="35"/>
      <c r="H530" s="35"/>
      <c r="I530" s="35"/>
      <c r="J530" s="24"/>
      <c r="K530" s="24"/>
      <c r="L530" s="24"/>
      <c r="M530" s="28">
        <f>HYPERLINK("https://app.hubspot.com/contacts/8748051/record/0-2/17594944899", 17594944899)</f>
        <v>17594944899</v>
      </c>
      <c r="N530" s="24" t="s">
        <v>4357</v>
      </c>
      <c r="O530" s="24"/>
      <c r="P530" s="24"/>
      <c r="Q530" s="24"/>
      <c r="R530" s="24"/>
      <c r="S530" s="24"/>
      <c r="T530" s="34" t="str">
        <f t="shared" ref="T530:V530" si="534">IF(G530&lt;&gt;"","Yes","")</f>
        <v/>
      </c>
      <c r="U530" s="34" t="str">
        <f t="shared" si="534"/>
        <v/>
      </c>
      <c r="V530" s="34" t="str">
        <f t="shared" si="534"/>
        <v/>
      </c>
      <c r="W530" s="34" t="str">
        <f t="shared" si="3"/>
        <v/>
      </c>
      <c r="X530" s="24" t="str">
        <f t="shared" si="4"/>
        <v/>
      </c>
    </row>
    <row r="531" ht="14.25" customHeight="1">
      <c r="A531" s="28">
        <f>HYPERLINK("https://app.hubspot.com/contacts/8748051/record/0-1/2952951", 2952951)</f>
        <v>2952951</v>
      </c>
      <c r="B531" s="24" t="s">
        <v>4358</v>
      </c>
      <c r="C531" s="26">
        <v>45204.668229166666</v>
      </c>
      <c r="D531" s="26"/>
      <c r="E531" s="28" t="s">
        <v>3185</v>
      </c>
      <c r="F531" s="24"/>
      <c r="G531" s="35"/>
      <c r="H531" s="35"/>
      <c r="I531" s="35"/>
      <c r="J531" s="24"/>
      <c r="K531" s="24"/>
      <c r="L531" s="24"/>
      <c r="M531" s="28">
        <f>HYPERLINK("https://app.hubspot.com/contacts/8748051/record/0-2/6262678349", 6262678349)</f>
        <v>6262678349</v>
      </c>
      <c r="N531" s="28" t="s">
        <v>3183</v>
      </c>
      <c r="O531" s="24"/>
      <c r="P531" s="24"/>
      <c r="Q531" s="24"/>
      <c r="R531" s="24"/>
      <c r="S531" s="24"/>
      <c r="T531" s="34" t="str">
        <f t="shared" ref="T531:V531" si="535">IF(G531&lt;&gt;"","Yes","")</f>
        <v/>
      </c>
      <c r="U531" s="34" t="str">
        <f t="shared" si="535"/>
        <v/>
      </c>
      <c r="V531" s="34" t="str">
        <f t="shared" si="535"/>
        <v/>
      </c>
      <c r="W531" s="34" t="str">
        <f t="shared" si="3"/>
        <v/>
      </c>
      <c r="X531" s="24" t="str">
        <f t="shared" si="4"/>
        <v/>
      </c>
    </row>
    <row r="532" ht="14.25" customHeight="1">
      <c r="A532" s="28">
        <f>HYPERLINK("https://app.hubspot.com/contacts/8748051/record/0-1/2940751", 2940751)</f>
        <v>2940751</v>
      </c>
      <c r="B532" s="24" t="s">
        <v>4359</v>
      </c>
      <c r="C532" s="26">
        <v>45202.27297453704</v>
      </c>
      <c r="D532" s="26"/>
      <c r="E532" s="28" t="s">
        <v>4360</v>
      </c>
      <c r="F532" s="26"/>
      <c r="G532" s="35"/>
      <c r="H532" s="35"/>
      <c r="I532" s="35"/>
      <c r="J532" s="24"/>
      <c r="K532" s="24"/>
      <c r="L532" s="24"/>
      <c r="M532" s="28">
        <f>HYPERLINK("https://app.hubspot.com/contacts/8748051/record/0-2/9821150312", 9821150312)</f>
        <v>9821150312</v>
      </c>
      <c r="N532" s="24" t="s">
        <v>4361</v>
      </c>
      <c r="O532" s="24"/>
      <c r="P532" s="24"/>
      <c r="Q532" s="24"/>
      <c r="R532" s="24"/>
      <c r="S532" s="24"/>
      <c r="T532" s="34" t="str">
        <f t="shared" ref="T532:V532" si="536">IF(G532&lt;&gt;"","Yes","")</f>
        <v/>
      </c>
      <c r="U532" s="34" t="str">
        <f t="shared" si="536"/>
        <v/>
      </c>
      <c r="V532" s="34" t="str">
        <f t="shared" si="536"/>
        <v/>
      </c>
      <c r="W532" s="34" t="str">
        <f t="shared" si="3"/>
        <v/>
      </c>
      <c r="X532" s="24" t="str">
        <f t="shared" si="4"/>
        <v/>
      </c>
    </row>
    <row r="533" ht="14.25" customHeight="1">
      <c r="A533" s="28">
        <f>HYPERLINK("https://app.hubspot.com/contacts/8748051/record/0-1/2915801", 2915801)</f>
        <v>2915801</v>
      </c>
      <c r="B533" s="24" t="s">
        <v>4362</v>
      </c>
      <c r="C533" s="26">
        <v>45195.339375</v>
      </c>
      <c r="D533" s="26"/>
      <c r="E533" s="28" t="s">
        <v>1590</v>
      </c>
      <c r="F533" s="24"/>
      <c r="G533" s="35"/>
      <c r="H533" s="35"/>
      <c r="I533" s="35"/>
      <c r="J533" s="24"/>
      <c r="K533" s="24"/>
      <c r="L533" s="24"/>
      <c r="M533" s="28">
        <f>HYPERLINK("https://app.hubspot.com/contacts/8748051/record/0-2/8946917146", 8946917146)</f>
        <v>8946917146</v>
      </c>
      <c r="N533" s="24" t="s">
        <v>1589</v>
      </c>
      <c r="O533" s="24"/>
      <c r="P533" s="24"/>
      <c r="Q533" s="24"/>
      <c r="R533" s="24"/>
      <c r="S533" s="24"/>
      <c r="T533" s="34" t="str">
        <f t="shared" ref="T533:V533" si="537">IF(G533&lt;&gt;"","Yes","")</f>
        <v/>
      </c>
      <c r="U533" s="34" t="str">
        <f t="shared" si="537"/>
        <v/>
      </c>
      <c r="V533" s="34" t="str">
        <f t="shared" si="537"/>
        <v/>
      </c>
      <c r="W533" s="34" t="str">
        <f t="shared" si="3"/>
        <v/>
      </c>
      <c r="X533" s="24" t="str">
        <f t="shared" si="4"/>
        <v/>
      </c>
    </row>
    <row r="534" ht="14.25" customHeight="1">
      <c r="A534" s="28">
        <f>HYPERLINK("https://app.hubspot.com/contacts/8748051/record/0-1/2880551", 2880551)</f>
        <v>2880551</v>
      </c>
      <c r="B534" s="24" t="s">
        <v>4363</v>
      </c>
      <c r="C534" s="26">
        <v>45195.228159722225</v>
      </c>
      <c r="D534" s="26"/>
      <c r="E534" s="28" t="s">
        <v>4189</v>
      </c>
      <c r="F534" s="24"/>
      <c r="G534" s="35"/>
      <c r="H534" s="35"/>
      <c r="I534" s="35"/>
      <c r="J534" s="24"/>
      <c r="K534" s="24"/>
      <c r="L534" s="24"/>
      <c r="M534" s="28">
        <f>HYPERLINK("https://app.hubspot.com/contacts/8748051/record/0-2/9069618615", 9069618615)</f>
        <v>9069618615</v>
      </c>
      <c r="N534" s="24" t="s">
        <v>4190</v>
      </c>
      <c r="O534" s="34"/>
      <c r="P534" s="24"/>
      <c r="Q534" s="24"/>
      <c r="R534" s="24"/>
      <c r="S534" s="24"/>
      <c r="T534" s="34" t="str">
        <f t="shared" ref="T534:V534" si="538">IF(G534&lt;&gt;"","Yes","")</f>
        <v/>
      </c>
      <c r="U534" s="34" t="str">
        <f t="shared" si="538"/>
        <v/>
      </c>
      <c r="V534" s="34" t="str">
        <f t="shared" si="538"/>
        <v/>
      </c>
      <c r="W534" s="34" t="str">
        <f t="shared" si="3"/>
        <v/>
      </c>
      <c r="X534" s="24" t="str">
        <f t="shared" si="4"/>
        <v/>
      </c>
    </row>
    <row r="535" ht="14.25" customHeight="1">
      <c r="A535" s="28">
        <f>HYPERLINK("https://app.hubspot.com/contacts/8748051/record/0-1/2892301", 2892301)</f>
        <v>2892301</v>
      </c>
      <c r="B535" s="24" t="s">
        <v>4364</v>
      </c>
      <c r="C535" s="26">
        <v>45189.64847222222</v>
      </c>
      <c r="D535" s="26"/>
      <c r="E535" s="28" t="s">
        <v>4365</v>
      </c>
      <c r="F535" s="26"/>
      <c r="G535" s="35"/>
      <c r="H535" s="35"/>
      <c r="I535" s="35"/>
      <c r="J535" s="24"/>
      <c r="K535" s="24"/>
      <c r="L535" s="24"/>
      <c r="M535" s="28">
        <f>HYPERLINK("https://app.hubspot.com/contacts/8748051/record/0-2/17397231899", 17397231899)</f>
        <v>17397231899</v>
      </c>
      <c r="N535" s="24" t="s">
        <v>4366</v>
      </c>
      <c r="O535" s="24"/>
      <c r="P535" s="24"/>
      <c r="Q535" s="24"/>
      <c r="R535" s="24"/>
      <c r="S535" s="24"/>
      <c r="T535" s="34" t="str">
        <f t="shared" ref="T535:V535" si="539">IF(G535&lt;&gt;"","Yes","")</f>
        <v/>
      </c>
      <c r="U535" s="34" t="str">
        <f t="shared" si="539"/>
        <v/>
      </c>
      <c r="V535" s="34" t="str">
        <f t="shared" si="539"/>
        <v/>
      </c>
      <c r="W535" s="34" t="str">
        <f t="shared" si="3"/>
        <v/>
      </c>
      <c r="X535" s="24" t="str">
        <f t="shared" si="4"/>
        <v/>
      </c>
    </row>
    <row r="536" ht="14.25" customHeight="1">
      <c r="A536" s="28">
        <f>HYPERLINK("https://app.hubspot.com/contacts/8748051/record/0-1/2890451", 2890451)</f>
        <v>2890451</v>
      </c>
      <c r="B536" s="24" t="s">
        <v>4367</v>
      </c>
      <c r="C536" s="26">
        <v>45189.23819444444</v>
      </c>
      <c r="D536" s="26"/>
      <c r="E536" s="28" t="s">
        <v>4368</v>
      </c>
      <c r="F536" s="26"/>
      <c r="G536" s="35"/>
      <c r="H536" s="35"/>
      <c r="I536" s="35"/>
      <c r="J536" s="24"/>
      <c r="K536" s="24"/>
      <c r="L536" s="34"/>
      <c r="M536" s="28">
        <f>HYPERLINK("https://app.hubspot.com/contacts/8748051/record/0-2/17391111028", 17391111028)</f>
        <v>17391111028</v>
      </c>
      <c r="N536" s="24" t="s">
        <v>4369</v>
      </c>
      <c r="O536" s="24"/>
      <c r="P536" s="24"/>
      <c r="Q536" s="24"/>
      <c r="R536" s="24"/>
      <c r="S536" s="24"/>
      <c r="T536" s="34" t="str">
        <f t="shared" ref="T536:V536" si="540">IF(G536&lt;&gt;"","Yes","")</f>
        <v/>
      </c>
      <c r="U536" s="34" t="str">
        <f t="shared" si="540"/>
        <v/>
      </c>
      <c r="V536" s="34" t="str">
        <f t="shared" si="540"/>
        <v/>
      </c>
      <c r="W536" s="34" t="str">
        <f t="shared" si="3"/>
        <v/>
      </c>
      <c r="X536" s="24" t="str">
        <f t="shared" si="4"/>
        <v/>
      </c>
    </row>
    <row r="537" ht="14.25" customHeight="1">
      <c r="A537" s="28">
        <f>HYPERLINK("https://app.hubspot.com/contacts/8748051/record/0-1/2843801", 2843801)</f>
        <v>2843801</v>
      </c>
      <c r="B537" s="24" t="s">
        <v>4370</v>
      </c>
      <c r="C537" s="26">
        <v>45177.47553240741</v>
      </c>
      <c r="D537" s="26"/>
      <c r="E537" s="28" t="s">
        <v>460</v>
      </c>
      <c r="F537" s="26"/>
      <c r="G537" s="35"/>
      <c r="H537" s="35"/>
      <c r="I537" s="35"/>
      <c r="J537" s="24"/>
      <c r="K537" s="24"/>
      <c r="L537" s="24"/>
      <c r="M537" s="28">
        <f>HYPERLINK("https://app.hubspot.com/contacts/8748051/record/0-2/17267716867", 17267716867)</f>
        <v>17267716867</v>
      </c>
      <c r="N537" s="24" t="s">
        <v>459</v>
      </c>
      <c r="O537" s="24"/>
      <c r="P537" s="24"/>
      <c r="Q537" s="24"/>
      <c r="R537" s="24"/>
      <c r="S537" s="24"/>
      <c r="T537" s="34" t="str">
        <f t="shared" ref="T537:V537" si="541">IF(G537&lt;&gt;"","Yes","")</f>
        <v/>
      </c>
      <c r="U537" s="34" t="str">
        <f t="shared" si="541"/>
        <v/>
      </c>
      <c r="V537" s="34" t="str">
        <f t="shared" si="541"/>
        <v/>
      </c>
      <c r="W537" s="34" t="str">
        <f t="shared" si="3"/>
        <v/>
      </c>
      <c r="X537" s="24" t="str">
        <f t="shared" si="4"/>
        <v/>
      </c>
    </row>
    <row r="538" ht="14.25" customHeight="1">
      <c r="A538" s="28">
        <f>HYPERLINK("https://app.hubspot.com/contacts/8748051/record/0-1/799851", 799851)</f>
        <v>799851</v>
      </c>
      <c r="B538" s="24" t="s">
        <v>4371</v>
      </c>
      <c r="C538" s="26">
        <v>45175.497511574074</v>
      </c>
      <c r="D538" s="26"/>
      <c r="E538" s="28" t="s">
        <v>2557</v>
      </c>
      <c r="F538" s="24"/>
      <c r="G538" s="35"/>
      <c r="H538" s="35"/>
      <c r="I538" s="35"/>
      <c r="J538" s="24"/>
      <c r="K538" s="24"/>
      <c r="L538" s="34"/>
      <c r="M538" s="28">
        <f>HYPERLINK("https://app.hubspot.com/contacts/8748051/record/0-2/7655826979", 7655826979)</f>
        <v>7655826979</v>
      </c>
      <c r="N538" s="24" t="s">
        <v>2556</v>
      </c>
      <c r="O538" s="33">
        <f>HYPERLINK("https://app.hubspot.com/contacts/8748051/record/0-3/15052276821", 15052276821)</f>
        <v>15052276821</v>
      </c>
      <c r="P538" s="24" t="s">
        <v>2555</v>
      </c>
      <c r="Q538" s="24" t="s">
        <v>127</v>
      </c>
      <c r="R538" s="24">
        <v>10000.0</v>
      </c>
      <c r="S538" s="24" t="b">
        <v>1</v>
      </c>
      <c r="T538" s="34" t="str">
        <f t="shared" ref="T538:V538" si="542">IF(G538&lt;&gt;"","Yes","")</f>
        <v/>
      </c>
      <c r="U538" s="34" t="str">
        <f t="shared" si="542"/>
        <v/>
      </c>
      <c r="V538" s="34" t="str">
        <f t="shared" si="542"/>
        <v/>
      </c>
      <c r="W538" s="34" t="str">
        <f t="shared" si="3"/>
        <v/>
      </c>
      <c r="X538" s="24" t="str">
        <f t="shared" si="4"/>
        <v/>
      </c>
    </row>
    <row r="539" ht="14.25" customHeight="1">
      <c r="A539" s="28">
        <f>HYPERLINK("https://app.hubspot.com/contacts/8748051/record/0-1/2821051", 2821051)</f>
        <v>2821051</v>
      </c>
      <c r="B539" s="24" t="s">
        <v>4372</v>
      </c>
      <c r="C539" s="26">
        <v>45174.221087962964</v>
      </c>
      <c r="D539" s="26"/>
      <c r="E539" s="28" t="s">
        <v>1848</v>
      </c>
      <c r="F539" s="26"/>
      <c r="G539" s="35"/>
      <c r="H539" s="35"/>
      <c r="I539" s="35"/>
      <c r="J539" s="24"/>
      <c r="K539" s="24"/>
      <c r="L539" s="24"/>
      <c r="M539" s="28">
        <f>HYPERLINK("https://app.hubspot.com/contacts/8748051/record/0-2/6936374888", 6936374888)</f>
        <v>6936374888</v>
      </c>
      <c r="N539" s="24" t="s">
        <v>1847</v>
      </c>
      <c r="O539" s="24"/>
      <c r="P539" s="24"/>
      <c r="Q539" s="24"/>
      <c r="R539" s="24"/>
      <c r="S539" s="24"/>
      <c r="T539" s="34" t="str">
        <f t="shared" ref="T539:V539" si="543">IF(G539&lt;&gt;"","Yes","")</f>
        <v/>
      </c>
      <c r="U539" s="34" t="str">
        <f t="shared" si="543"/>
        <v/>
      </c>
      <c r="V539" s="34" t="str">
        <f t="shared" si="543"/>
        <v/>
      </c>
      <c r="W539" s="34" t="str">
        <f t="shared" si="3"/>
        <v/>
      </c>
      <c r="X539" s="24" t="str">
        <f t="shared" si="4"/>
        <v/>
      </c>
    </row>
    <row r="540" ht="14.25" customHeight="1">
      <c r="A540" s="28">
        <f>HYPERLINK("https://app.hubspot.com/contacts/8748051/record/0-1/2789951", 2789951)</f>
        <v>2789951</v>
      </c>
      <c r="B540" s="24" t="s">
        <v>4373</v>
      </c>
      <c r="C540" s="26">
        <v>45166.088784722226</v>
      </c>
      <c r="D540" s="26"/>
      <c r="E540" s="28" t="s">
        <v>4374</v>
      </c>
      <c r="F540" s="24"/>
      <c r="G540" s="35"/>
      <c r="H540" s="35"/>
      <c r="I540" s="35"/>
      <c r="J540" s="24"/>
      <c r="K540" s="24"/>
      <c r="L540" s="24"/>
      <c r="M540" s="28">
        <f>HYPERLINK("https://app.hubspot.com/contacts/8748051/record/0-2/17130874433", 17130874433)</f>
        <v>17130874433</v>
      </c>
      <c r="N540" s="24" t="s">
        <v>4375</v>
      </c>
      <c r="O540" s="24"/>
      <c r="P540" s="24"/>
      <c r="Q540" s="24"/>
      <c r="R540" s="24"/>
      <c r="S540" s="24"/>
      <c r="T540" s="34" t="str">
        <f t="shared" ref="T540:V540" si="544">IF(G540&lt;&gt;"","Yes","")</f>
        <v/>
      </c>
      <c r="U540" s="34" t="str">
        <f t="shared" si="544"/>
        <v/>
      </c>
      <c r="V540" s="34" t="str">
        <f t="shared" si="544"/>
        <v/>
      </c>
      <c r="W540" s="34" t="str">
        <f t="shared" si="3"/>
        <v/>
      </c>
      <c r="X540" s="24" t="str">
        <f t="shared" si="4"/>
        <v/>
      </c>
    </row>
    <row r="541" ht="14.25" customHeight="1">
      <c r="A541" s="28">
        <f>HYPERLINK("https://app.hubspot.com/contacts/8748051/record/0-1/2780951", 2780951)</f>
        <v>2780951</v>
      </c>
      <c r="B541" s="24" t="s">
        <v>4376</v>
      </c>
      <c r="C541" s="26">
        <v>45162.34761574074</v>
      </c>
      <c r="D541" s="26"/>
      <c r="E541" s="28" t="s">
        <v>4377</v>
      </c>
      <c r="F541" s="24"/>
      <c r="G541" s="35"/>
      <c r="H541" s="35"/>
      <c r="I541" s="35"/>
      <c r="J541" s="24"/>
      <c r="K541" s="24"/>
      <c r="L541" s="24"/>
      <c r="M541" s="28">
        <f>HYPERLINK("https://app.hubspot.com/contacts/8748051/record/0-2/17086489227", 17086489227)</f>
        <v>17086489227</v>
      </c>
      <c r="N541" s="24" t="s">
        <v>4378</v>
      </c>
      <c r="O541" s="24"/>
      <c r="P541" s="24"/>
      <c r="Q541" s="24"/>
      <c r="R541" s="24"/>
      <c r="S541" s="24"/>
      <c r="T541" s="34" t="str">
        <f t="shared" ref="T541:V541" si="545">IF(G541&lt;&gt;"","Yes","")</f>
        <v/>
      </c>
      <c r="U541" s="34" t="str">
        <f t="shared" si="545"/>
        <v/>
      </c>
      <c r="V541" s="34" t="str">
        <f t="shared" si="545"/>
        <v/>
      </c>
      <c r="W541" s="34" t="str">
        <f t="shared" si="3"/>
        <v/>
      </c>
      <c r="X541" s="24" t="str">
        <f t="shared" si="4"/>
        <v/>
      </c>
    </row>
    <row r="542" ht="14.25" customHeight="1">
      <c r="A542" s="28">
        <f>HYPERLINK("https://app.hubspot.com/contacts/8748051/record/0-1/2758351", 2758351)</f>
        <v>2758351</v>
      </c>
      <c r="B542" s="24" t="s">
        <v>4379</v>
      </c>
      <c r="C542" s="26">
        <v>45157.71828703704</v>
      </c>
      <c r="D542" s="26"/>
      <c r="E542" s="28" t="s">
        <v>2569</v>
      </c>
      <c r="F542" s="24"/>
      <c r="G542" s="35"/>
      <c r="H542" s="35"/>
      <c r="I542" s="35"/>
      <c r="J542" s="24"/>
      <c r="K542" s="24"/>
      <c r="L542" s="24"/>
      <c r="M542" s="28">
        <f>HYPERLINK("https://app.hubspot.com/contacts/8748051/record/0-2/17026206243", 17026206243)</f>
        <v>17026206243</v>
      </c>
      <c r="N542" s="24" t="s">
        <v>2568</v>
      </c>
      <c r="O542" s="28">
        <f>HYPERLINK("https://app.hubspot.com/contacts/8748051/record/0-3/14761904493", 14761904493)</f>
        <v>14761904493</v>
      </c>
      <c r="P542" s="24" t="s">
        <v>2566</v>
      </c>
      <c r="Q542" s="24" t="s">
        <v>149</v>
      </c>
      <c r="R542" s="24">
        <v>50000.0</v>
      </c>
      <c r="S542" s="24"/>
      <c r="T542" s="34" t="str">
        <f t="shared" ref="T542:V542" si="546">IF(G542&lt;&gt;"","Yes","")</f>
        <v/>
      </c>
      <c r="U542" s="34" t="str">
        <f t="shared" si="546"/>
        <v/>
      </c>
      <c r="V542" s="34" t="str">
        <f t="shared" si="546"/>
        <v/>
      </c>
      <c r="W542" s="34" t="str">
        <f t="shared" si="3"/>
        <v/>
      </c>
      <c r="X542" s="24" t="str">
        <f t="shared" si="4"/>
        <v>Yes</v>
      </c>
    </row>
    <row r="543" ht="14.25" customHeight="1">
      <c r="A543" s="28">
        <f>HYPERLINK("https://app.hubspot.com/contacts/8748051/record/0-1/477013", 477013)</f>
        <v>477013</v>
      </c>
      <c r="B543" s="24" t="s">
        <v>4380</v>
      </c>
      <c r="C543" s="26">
        <v>45154.678460648145</v>
      </c>
      <c r="D543" s="26"/>
      <c r="E543" s="28" t="s">
        <v>4381</v>
      </c>
      <c r="F543" s="24"/>
      <c r="G543" s="35"/>
      <c r="H543" s="35"/>
      <c r="I543" s="35"/>
      <c r="J543" s="24"/>
      <c r="K543" s="24"/>
      <c r="L543" s="24"/>
      <c r="M543" s="28">
        <f>HYPERLINK("https://app.hubspot.com/contacts/8748051/record/0-2/8923343709", 8923343709)</f>
        <v>8923343709</v>
      </c>
      <c r="N543" s="24" t="s">
        <v>4382</v>
      </c>
      <c r="O543" s="24"/>
      <c r="P543" s="24"/>
      <c r="Q543" s="24"/>
      <c r="R543" s="24"/>
      <c r="S543" s="24"/>
      <c r="T543" s="34" t="str">
        <f t="shared" ref="T543:V543" si="547">IF(G543&lt;&gt;"","Yes","")</f>
        <v/>
      </c>
      <c r="U543" s="34" t="str">
        <f t="shared" si="547"/>
        <v/>
      </c>
      <c r="V543" s="34" t="str">
        <f t="shared" si="547"/>
        <v/>
      </c>
      <c r="W543" s="34" t="str">
        <f t="shared" si="3"/>
        <v/>
      </c>
      <c r="X543" s="24" t="str">
        <f t="shared" si="4"/>
        <v/>
      </c>
    </row>
    <row r="544" ht="14.25" customHeight="1">
      <c r="A544" s="28">
        <f>HYPERLINK("https://app.hubspot.com/contacts/8748051/record/0-1/2742201", 2742201)</f>
        <v>2742201</v>
      </c>
      <c r="B544" s="24" t="s">
        <v>4383</v>
      </c>
      <c r="C544" s="26">
        <v>45154.326261574075</v>
      </c>
      <c r="D544" s="26"/>
      <c r="E544" s="28" t="s">
        <v>2572</v>
      </c>
      <c r="F544" s="24"/>
      <c r="G544" s="35"/>
      <c r="H544" s="35"/>
      <c r="I544" s="35"/>
      <c r="J544" s="24"/>
      <c r="K544" s="24"/>
      <c r="L544" s="24"/>
      <c r="M544" s="28">
        <f>HYPERLINK("https://app.hubspot.com/contacts/8748051/record/0-2/16978525470", 16978525470)</f>
        <v>16978525470</v>
      </c>
      <c r="N544" s="24" t="s">
        <v>2571</v>
      </c>
      <c r="O544" s="28">
        <f>HYPERLINK("https://app.hubspot.com/contacts/8748051/record/0-3/14757689212", 14757689212)</f>
        <v>14757689212</v>
      </c>
      <c r="P544" s="24" t="s">
        <v>2570</v>
      </c>
      <c r="Q544" s="24" t="s">
        <v>127</v>
      </c>
      <c r="R544" s="24">
        <v>5000.0</v>
      </c>
      <c r="S544" s="24" t="b">
        <v>1</v>
      </c>
      <c r="T544" s="34" t="str">
        <f t="shared" ref="T544:V544" si="548">IF(G544&lt;&gt;"","Yes","")</f>
        <v/>
      </c>
      <c r="U544" s="34" t="str">
        <f t="shared" si="548"/>
        <v/>
      </c>
      <c r="V544" s="34" t="str">
        <f t="shared" si="548"/>
        <v/>
      </c>
      <c r="W544" s="34" t="str">
        <f t="shared" si="3"/>
        <v/>
      </c>
      <c r="X544" s="24" t="str">
        <f t="shared" si="4"/>
        <v/>
      </c>
    </row>
    <row r="545" ht="14.25" customHeight="1">
      <c r="A545" s="28">
        <f>HYPERLINK("https://app.hubspot.com/contacts/8748051/record/0-1/2742001", 2742001)</f>
        <v>2742001</v>
      </c>
      <c r="B545" s="24" t="s">
        <v>4384</v>
      </c>
      <c r="C545" s="26">
        <v>45154.28973379629</v>
      </c>
      <c r="D545" s="26"/>
      <c r="E545" s="28" t="s">
        <v>4385</v>
      </c>
      <c r="F545" s="26"/>
      <c r="G545" s="35"/>
      <c r="H545" s="35"/>
      <c r="I545" s="35"/>
      <c r="J545" s="24"/>
      <c r="K545" s="24"/>
      <c r="L545" s="24"/>
      <c r="M545" s="28">
        <f>HYPERLINK("https://app.hubspot.com/contacts/8748051/record/0-2/16978975556", 16978975556)</f>
        <v>16978975556</v>
      </c>
      <c r="N545" s="24" t="s">
        <v>4386</v>
      </c>
      <c r="O545" s="24"/>
      <c r="P545" s="24"/>
      <c r="Q545" s="24"/>
      <c r="R545" s="24"/>
      <c r="S545" s="24"/>
      <c r="T545" s="34" t="str">
        <f t="shared" ref="T545:V545" si="549">IF(G545&lt;&gt;"","Yes","")</f>
        <v/>
      </c>
      <c r="U545" s="34" t="str">
        <f t="shared" si="549"/>
        <v/>
      </c>
      <c r="V545" s="34" t="str">
        <f t="shared" si="549"/>
        <v/>
      </c>
      <c r="W545" s="34" t="str">
        <f t="shared" si="3"/>
        <v/>
      </c>
      <c r="X545" s="24" t="str">
        <f t="shared" si="4"/>
        <v/>
      </c>
    </row>
    <row r="546" ht="14.25" customHeight="1">
      <c r="A546" s="28">
        <f>HYPERLINK("https://app.hubspot.com/contacts/8748051/record/0-1/2730501", 2730501)</f>
        <v>2730501</v>
      </c>
      <c r="B546" s="24" t="s">
        <v>4387</v>
      </c>
      <c r="C546" s="26">
        <v>45152.165671296294</v>
      </c>
      <c r="D546" s="26"/>
      <c r="E546" s="28" t="s">
        <v>4388</v>
      </c>
      <c r="F546" s="26"/>
      <c r="G546" s="35"/>
      <c r="H546" s="35"/>
      <c r="I546" s="35"/>
      <c r="J546" s="24"/>
      <c r="K546" s="24"/>
      <c r="L546" s="24"/>
      <c r="M546" s="28">
        <f>HYPERLINK("https://app.hubspot.com/contacts/8748051/record/0-2/16943354018", 16943354018)</f>
        <v>16943354018</v>
      </c>
      <c r="N546" s="24" t="s">
        <v>4389</v>
      </c>
      <c r="O546" s="24"/>
      <c r="P546" s="24"/>
      <c r="Q546" s="24"/>
      <c r="R546" s="24"/>
      <c r="S546" s="24"/>
      <c r="T546" s="34" t="str">
        <f t="shared" ref="T546:V546" si="550">IF(G546&lt;&gt;"","Yes","")</f>
        <v/>
      </c>
      <c r="U546" s="34" t="str">
        <f t="shared" si="550"/>
        <v/>
      </c>
      <c r="V546" s="34" t="str">
        <f t="shared" si="550"/>
        <v/>
      </c>
      <c r="W546" s="34" t="str">
        <f t="shared" si="3"/>
        <v/>
      </c>
      <c r="X546" s="24" t="str">
        <f t="shared" si="4"/>
        <v/>
      </c>
    </row>
    <row r="547" ht="14.25" customHeight="1">
      <c r="A547" s="28">
        <f>HYPERLINK("https://app.hubspot.com/contacts/8748051/record/0-1/2728051", 2728051)</f>
        <v>2728051</v>
      </c>
      <c r="B547" s="24" t="s">
        <v>4390</v>
      </c>
      <c r="C547" s="26">
        <v>45149.43832175926</v>
      </c>
      <c r="D547" s="26"/>
      <c r="E547" s="28" t="s">
        <v>4391</v>
      </c>
      <c r="F547" s="26"/>
      <c r="G547" s="35"/>
      <c r="H547" s="35"/>
      <c r="I547" s="35"/>
      <c r="J547" s="24"/>
      <c r="K547" s="24"/>
      <c r="L547" s="24"/>
      <c r="M547" s="28">
        <f>HYPERLINK("https://app.hubspot.com/contacts/8748051/record/0-2/16922027368", 16922027368)</f>
        <v>16922027368</v>
      </c>
      <c r="N547" s="24" t="s">
        <v>4392</v>
      </c>
      <c r="O547" s="24"/>
      <c r="P547" s="24"/>
      <c r="Q547" s="24"/>
      <c r="R547" s="24"/>
      <c r="S547" s="24"/>
      <c r="T547" s="34" t="str">
        <f t="shared" ref="T547:V547" si="551">IF(G547&lt;&gt;"","Yes","")</f>
        <v/>
      </c>
      <c r="U547" s="34" t="str">
        <f t="shared" si="551"/>
        <v/>
      </c>
      <c r="V547" s="34" t="str">
        <f t="shared" si="551"/>
        <v/>
      </c>
      <c r="W547" s="34" t="str">
        <f t="shared" si="3"/>
        <v/>
      </c>
      <c r="X547" s="24" t="str">
        <f t="shared" si="4"/>
        <v/>
      </c>
    </row>
    <row r="548" ht="14.25" customHeight="1">
      <c r="A548" s="28">
        <f>HYPERLINK("https://app.hubspot.com/contacts/8748051/record/0-1/2727251", 2727251)</f>
        <v>2727251</v>
      </c>
      <c r="B548" s="24" t="s">
        <v>4393</v>
      </c>
      <c r="C548" s="26">
        <v>45148.61597222222</v>
      </c>
      <c r="D548" s="24" t="s">
        <v>4394</v>
      </c>
      <c r="E548" s="28" t="s">
        <v>4395</v>
      </c>
      <c r="F548" s="26"/>
      <c r="G548" s="35"/>
      <c r="H548" s="35"/>
      <c r="I548" s="35"/>
      <c r="J548" s="24"/>
      <c r="K548" s="24"/>
      <c r="L548" s="24"/>
      <c r="M548" s="28">
        <f>HYPERLINK("https://app.hubspot.com/contacts/8748051/record/0-2/14811014933", 14811014933)</f>
        <v>14811014933</v>
      </c>
      <c r="N548" s="24" t="s">
        <v>4396</v>
      </c>
      <c r="O548" s="24"/>
      <c r="P548" s="24"/>
      <c r="Q548" s="24"/>
      <c r="R548" s="24"/>
      <c r="S548" s="24"/>
      <c r="T548" s="34" t="str">
        <f t="shared" ref="T548:V548" si="552">IF(G548&lt;&gt;"","Yes","")</f>
        <v/>
      </c>
      <c r="U548" s="34" t="str">
        <f t="shared" si="552"/>
        <v/>
      </c>
      <c r="V548" s="34" t="str">
        <f t="shared" si="552"/>
        <v/>
      </c>
      <c r="W548" s="34" t="str">
        <f t="shared" si="3"/>
        <v/>
      </c>
      <c r="X548" s="24" t="str">
        <f t="shared" si="4"/>
        <v/>
      </c>
    </row>
    <row r="549" ht="14.25" customHeight="1">
      <c r="A549" s="28">
        <f>HYPERLINK("https://app.hubspot.com/contacts/8748051/record/0-1/2708951", 2708951)</f>
        <v>2708951</v>
      </c>
      <c r="B549" s="24" t="s">
        <v>4397</v>
      </c>
      <c r="C549" s="26">
        <v>45146.13994212963</v>
      </c>
      <c r="D549" s="26"/>
      <c r="E549" s="28" t="s">
        <v>393</v>
      </c>
      <c r="F549" s="24"/>
      <c r="G549" s="35"/>
      <c r="H549" s="35"/>
      <c r="I549" s="35"/>
      <c r="J549" s="24"/>
      <c r="K549" s="24"/>
      <c r="L549" s="24"/>
      <c r="M549" s="28">
        <f>HYPERLINK("https://app.hubspot.com/contacts/8748051/record/0-2/8323876145", 8323876145)</f>
        <v>8323876145</v>
      </c>
      <c r="N549" s="24" t="s">
        <v>392</v>
      </c>
      <c r="O549" s="24"/>
      <c r="P549" s="24"/>
      <c r="Q549" s="24"/>
      <c r="R549" s="24"/>
      <c r="S549" s="24"/>
      <c r="T549" s="34" t="str">
        <f t="shared" ref="T549:V549" si="553">IF(G549&lt;&gt;"","Yes","")</f>
        <v/>
      </c>
      <c r="U549" s="34" t="str">
        <f t="shared" si="553"/>
        <v/>
      </c>
      <c r="V549" s="34" t="str">
        <f t="shared" si="553"/>
        <v/>
      </c>
      <c r="W549" s="34" t="str">
        <f t="shared" si="3"/>
        <v/>
      </c>
      <c r="X549" s="24" t="str">
        <f t="shared" si="4"/>
        <v/>
      </c>
    </row>
    <row r="550" ht="14.25" customHeight="1">
      <c r="A550" s="28">
        <f>HYPERLINK("https://app.hubspot.com/contacts/8748051/record/0-1/2648501", 2648501)</f>
        <v>2648501</v>
      </c>
      <c r="B550" s="24" t="s">
        <v>4398</v>
      </c>
      <c r="C550" s="26">
        <v>45145.10150462963</v>
      </c>
      <c r="D550" s="26"/>
      <c r="E550" s="28" t="s">
        <v>4399</v>
      </c>
      <c r="F550" s="24"/>
      <c r="G550" s="35"/>
      <c r="H550" s="35"/>
      <c r="I550" s="35"/>
      <c r="J550" s="24"/>
      <c r="K550" s="24"/>
      <c r="L550" s="24"/>
      <c r="M550" s="28">
        <f>HYPERLINK("https://app.hubspot.com/contacts/8748051/record/0-2/16865372300", 16865372300)</f>
        <v>16865372300</v>
      </c>
      <c r="N550" s="28" t="s">
        <v>4399</v>
      </c>
      <c r="O550" s="24"/>
      <c r="P550" s="24"/>
      <c r="Q550" s="24"/>
      <c r="R550" s="24"/>
      <c r="S550" s="24"/>
      <c r="T550" s="34" t="str">
        <f t="shared" ref="T550:V550" si="554">IF(G550&lt;&gt;"","Yes","")</f>
        <v/>
      </c>
      <c r="U550" s="34" t="str">
        <f t="shared" si="554"/>
        <v/>
      </c>
      <c r="V550" s="34" t="str">
        <f t="shared" si="554"/>
        <v/>
      </c>
      <c r="W550" s="34" t="str">
        <f t="shared" si="3"/>
        <v/>
      </c>
      <c r="X550" s="24" t="str">
        <f t="shared" si="4"/>
        <v/>
      </c>
    </row>
    <row r="551" ht="14.25" customHeight="1">
      <c r="A551" s="28">
        <f>HYPERLINK("https://app.hubspot.com/contacts/8748051/record/0-1/2314401", 2314401)</f>
        <v>2314401</v>
      </c>
      <c r="B551" s="24" t="s">
        <v>4400</v>
      </c>
      <c r="C551" s="26">
        <v>45139.155856481484</v>
      </c>
      <c r="D551" s="26"/>
      <c r="E551" s="28" t="s">
        <v>4401</v>
      </c>
      <c r="F551" s="26"/>
      <c r="G551" s="35"/>
      <c r="H551" s="35"/>
      <c r="I551" s="35"/>
      <c r="J551" s="24"/>
      <c r="K551" s="24"/>
      <c r="L551" s="24"/>
      <c r="M551" s="28">
        <f>HYPERLINK("https://app.hubspot.com/contacts/8748051/record/0-2/15683066148", 15683066148)</f>
        <v>15683066148</v>
      </c>
      <c r="N551" s="24" t="s">
        <v>4402</v>
      </c>
      <c r="O551" s="34"/>
      <c r="P551" s="24"/>
      <c r="Q551" s="24"/>
      <c r="R551" s="24"/>
      <c r="S551" s="24"/>
      <c r="T551" s="34" t="str">
        <f t="shared" ref="T551:V551" si="555">IF(G551&lt;&gt;"","Yes","")</f>
        <v/>
      </c>
      <c r="U551" s="34" t="str">
        <f t="shared" si="555"/>
        <v/>
      </c>
      <c r="V551" s="34" t="str">
        <f t="shared" si="555"/>
        <v/>
      </c>
      <c r="W551" s="34" t="str">
        <f t="shared" si="3"/>
        <v/>
      </c>
      <c r="X551" s="24" t="str">
        <f t="shared" si="4"/>
        <v/>
      </c>
    </row>
    <row r="552" ht="14.25" customHeight="1">
      <c r="A552" s="28">
        <f>HYPERLINK("https://app.hubspot.com/contacts/8748051/record/0-1/2687951", 2687951)</f>
        <v>2687951</v>
      </c>
      <c r="B552" s="24" t="s">
        <v>4403</v>
      </c>
      <c r="C552" s="26">
        <v>45139.07633101852</v>
      </c>
      <c r="D552" s="26"/>
      <c r="E552" s="28" t="s">
        <v>4404</v>
      </c>
      <c r="F552" s="24"/>
      <c r="G552" s="35"/>
      <c r="H552" s="35"/>
      <c r="I552" s="35"/>
      <c r="J552" s="24"/>
      <c r="K552" s="24"/>
      <c r="L552" s="24"/>
      <c r="M552" s="28">
        <f>HYPERLINK("https://app.hubspot.com/contacts/8748051/record/0-2/16786227297", 16786227297)</f>
        <v>16786227297</v>
      </c>
      <c r="N552" s="24" t="s">
        <v>4405</v>
      </c>
      <c r="O552" s="34"/>
      <c r="P552" s="24"/>
      <c r="Q552" s="24"/>
      <c r="R552" s="24"/>
      <c r="S552" s="24"/>
      <c r="T552" s="34" t="str">
        <f t="shared" ref="T552:V552" si="556">IF(G552&lt;&gt;"","Yes","")</f>
        <v/>
      </c>
      <c r="U552" s="34" t="str">
        <f t="shared" si="556"/>
        <v/>
      </c>
      <c r="V552" s="34" t="str">
        <f t="shared" si="556"/>
        <v/>
      </c>
      <c r="W552" s="34" t="str">
        <f t="shared" si="3"/>
        <v/>
      </c>
      <c r="X552" s="24" t="str">
        <f t="shared" si="4"/>
        <v/>
      </c>
    </row>
    <row r="553" ht="14.25" customHeight="1">
      <c r="A553" s="28">
        <f>HYPERLINK("https://app.hubspot.com/contacts/8748051/record/0-1/2687251", 2687251)</f>
        <v>2687251</v>
      </c>
      <c r="B553" s="24" t="s">
        <v>4406</v>
      </c>
      <c r="C553" s="26">
        <v>45138.93006944445</v>
      </c>
      <c r="D553" s="26"/>
      <c r="E553" s="28" t="s">
        <v>4407</v>
      </c>
      <c r="F553" s="26"/>
      <c r="G553" s="35"/>
      <c r="H553" s="35"/>
      <c r="I553" s="35"/>
      <c r="J553" s="24"/>
      <c r="K553" s="24"/>
      <c r="L553" s="24"/>
      <c r="M553" s="28">
        <f>HYPERLINK("https://app.hubspot.com/contacts/8748051/record/0-2/16785676868", 16785676868)</f>
        <v>16785676868</v>
      </c>
      <c r="N553" s="24" t="s">
        <v>4408</v>
      </c>
      <c r="O553" s="24"/>
      <c r="P553" s="24"/>
      <c r="Q553" s="24"/>
      <c r="R553" s="24"/>
      <c r="S553" s="24"/>
      <c r="T553" s="34" t="str">
        <f t="shared" ref="T553:V553" si="557">IF(G553&lt;&gt;"","Yes","")</f>
        <v/>
      </c>
      <c r="U553" s="34" t="str">
        <f t="shared" si="557"/>
        <v/>
      </c>
      <c r="V553" s="34" t="str">
        <f t="shared" si="557"/>
        <v/>
      </c>
      <c r="W553" s="34" t="str">
        <f t="shared" si="3"/>
        <v/>
      </c>
      <c r="X553" s="24" t="str">
        <f t="shared" si="4"/>
        <v/>
      </c>
    </row>
    <row r="554" ht="14.25" customHeight="1">
      <c r="A554" s="28">
        <f>HYPERLINK("https://app.hubspot.com/contacts/8748051/record/0-1/2651601", 2651601)</f>
        <v>2651601</v>
      </c>
      <c r="B554" s="24" t="s">
        <v>4409</v>
      </c>
      <c r="C554" s="26">
        <v>45131.47800925926</v>
      </c>
      <c r="D554" s="26"/>
      <c r="E554" s="28" t="s">
        <v>4410</v>
      </c>
      <c r="F554" s="24"/>
      <c r="G554" s="35"/>
      <c r="H554" s="35"/>
      <c r="I554" s="35"/>
      <c r="J554" s="24"/>
      <c r="K554" s="24"/>
      <c r="L554" s="24"/>
      <c r="M554" s="28">
        <f>HYPERLINK("https://app.hubspot.com/contacts/8748051/record/0-2/16686948146", 16686948146)</f>
        <v>16686948146</v>
      </c>
      <c r="N554" s="24" t="s">
        <v>4411</v>
      </c>
      <c r="O554" s="24"/>
      <c r="P554" s="24"/>
      <c r="Q554" s="24"/>
      <c r="R554" s="24"/>
      <c r="S554" s="24"/>
      <c r="T554" s="34" t="str">
        <f t="shared" ref="T554:V554" si="558">IF(G554&lt;&gt;"","Yes","")</f>
        <v/>
      </c>
      <c r="U554" s="34" t="str">
        <f t="shared" si="558"/>
        <v/>
      </c>
      <c r="V554" s="34" t="str">
        <f t="shared" si="558"/>
        <v/>
      </c>
      <c r="W554" s="34" t="str">
        <f t="shared" si="3"/>
        <v/>
      </c>
      <c r="X554" s="24" t="str">
        <f t="shared" si="4"/>
        <v/>
      </c>
    </row>
    <row r="555" ht="14.25" customHeight="1">
      <c r="A555" s="28">
        <f>HYPERLINK("https://app.hubspot.com/contacts/8748051/record/0-1/2649251", 2649251)</f>
        <v>2649251</v>
      </c>
      <c r="B555" s="24" t="s">
        <v>4412</v>
      </c>
      <c r="C555" s="26">
        <v>45131.19924768519</v>
      </c>
      <c r="D555" s="26"/>
      <c r="E555" s="28" t="s">
        <v>4413</v>
      </c>
      <c r="F555" s="26"/>
      <c r="G555" s="35"/>
      <c r="H555" s="35"/>
      <c r="I555" s="35"/>
      <c r="J555" s="24"/>
      <c r="K555" s="24"/>
      <c r="L555" s="24"/>
      <c r="M555" s="28">
        <f>HYPERLINK("https://app.hubspot.com/contacts/8748051/record/0-2/16683077425", 16683077425)</f>
        <v>16683077425</v>
      </c>
      <c r="N555" s="24" t="s">
        <v>4414</v>
      </c>
      <c r="O555" s="24"/>
      <c r="P555" s="24"/>
      <c r="Q555" s="24"/>
      <c r="R555" s="24"/>
      <c r="S555" s="24"/>
      <c r="T555" s="34" t="str">
        <f t="shared" ref="T555:V555" si="559">IF(G555&lt;&gt;"","Yes","")</f>
        <v/>
      </c>
      <c r="U555" s="34" t="str">
        <f t="shared" si="559"/>
        <v/>
      </c>
      <c r="V555" s="34" t="str">
        <f t="shared" si="559"/>
        <v/>
      </c>
      <c r="W555" s="34" t="str">
        <f t="shared" si="3"/>
        <v/>
      </c>
      <c r="X555" s="24" t="str">
        <f t="shared" si="4"/>
        <v/>
      </c>
    </row>
    <row r="556" ht="14.25" customHeight="1">
      <c r="A556" s="28">
        <f>HYPERLINK("https://app.hubspot.com/contacts/8748051/record/0-1/2624751", 2624751)</f>
        <v>2624751</v>
      </c>
      <c r="B556" s="24" t="s">
        <v>4415</v>
      </c>
      <c r="C556" s="26">
        <v>45131.18445601852</v>
      </c>
      <c r="D556" s="26"/>
      <c r="E556" s="28" t="s">
        <v>4416</v>
      </c>
      <c r="F556" s="24"/>
      <c r="G556" s="35"/>
      <c r="H556" s="35"/>
      <c r="I556" s="35"/>
      <c r="J556" s="24"/>
      <c r="K556" s="24"/>
      <c r="L556" s="24"/>
      <c r="M556" s="28">
        <f>HYPERLINK("https://app.hubspot.com/contacts/8748051/record/0-2/16586868625", 16586868625)</f>
        <v>16586868625</v>
      </c>
      <c r="N556" s="28" t="s">
        <v>4417</v>
      </c>
      <c r="O556" s="24"/>
      <c r="P556" s="24"/>
      <c r="Q556" s="24"/>
      <c r="R556" s="24"/>
      <c r="S556" s="24"/>
      <c r="T556" s="34" t="str">
        <f t="shared" ref="T556:V556" si="560">IF(G556&lt;&gt;"","Yes","")</f>
        <v/>
      </c>
      <c r="U556" s="34" t="str">
        <f t="shared" si="560"/>
        <v/>
      </c>
      <c r="V556" s="34" t="str">
        <f t="shared" si="560"/>
        <v/>
      </c>
      <c r="W556" s="34" t="str">
        <f t="shared" si="3"/>
        <v/>
      </c>
      <c r="X556" s="24" t="str">
        <f t="shared" si="4"/>
        <v/>
      </c>
    </row>
    <row r="557" ht="14.25" customHeight="1">
      <c r="A557" s="28">
        <f>HYPERLINK("https://app.hubspot.com/contacts/8748051/record/0-1/2570451", 2570451)</f>
        <v>2570451</v>
      </c>
      <c r="B557" s="24" t="s">
        <v>4418</v>
      </c>
      <c r="C557" s="26">
        <v>45128.145833333336</v>
      </c>
      <c r="D557" s="26"/>
      <c r="E557" s="28" t="s">
        <v>4395</v>
      </c>
      <c r="F557" s="26"/>
      <c r="G557" s="35"/>
      <c r="H557" s="35"/>
      <c r="I557" s="35"/>
      <c r="J557" s="24"/>
      <c r="K557" s="24"/>
      <c r="L557" s="24"/>
      <c r="M557" s="28">
        <f>HYPERLINK("https://app.hubspot.com/contacts/8748051/record/0-2/14811014933", 14811014933)</f>
        <v>14811014933</v>
      </c>
      <c r="N557" s="24" t="s">
        <v>4396</v>
      </c>
      <c r="O557" s="24"/>
      <c r="P557" s="24"/>
      <c r="Q557" s="24"/>
      <c r="R557" s="24"/>
      <c r="S557" s="24"/>
      <c r="T557" s="34" t="str">
        <f t="shared" ref="T557:V557" si="561">IF(G557&lt;&gt;"","Yes","")</f>
        <v/>
      </c>
      <c r="U557" s="34" t="str">
        <f t="shared" si="561"/>
        <v/>
      </c>
      <c r="V557" s="34" t="str">
        <f t="shared" si="561"/>
        <v/>
      </c>
      <c r="W557" s="34" t="str">
        <f t="shared" si="3"/>
        <v/>
      </c>
      <c r="X557" s="24" t="str">
        <f t="shared" si="4"/>
        <v/>
      </c>
    </row>
    <row r="558" ht="14.25" customHeight="1">
      <c r="A558" s="28">
        <f>HYPERLINK("https://app.hubspot.com/contacts/8748051/record/0-1/15401", 15401)</f>
        <v>15401</v>
      </c>
      <c r="B558" s="24" t="s">
        <v>4419</v>
      </c>
      <c r="C558" s="26">
        <v>45124.40263888889</v>
      </c>
      <c r="D558" s="26"/>
      <c r="E558" s="28" t="s">
        <v>787</v>
      </c>
      <c r="F558" s="24"/>
      <c r="G558" s="35"/>
      <c r="H558" s="35"/>
      <c r="I558" s="35"/>
      <c r="J558" s="24"/>
      <c r="K558" s="24"/>
      <c r="L558" s="24"/>
      <c r="M558" s="28">
        <f>HYPERLINK("https://app.hubspot.com/contacts/8748051/record/0-2/7165296547", 7165296547)</f>
        <v>7165296547</v>
      </c>
      <c r="N558" s="24" t="s">
        <v>786</v>
      </c>
      <c r="O558" s="24"/>
      <c r="P558" s="24"/>
      <c r="Q558" s="24"/>
      <c r="R558" s="24"/>
      <c r="S558" s="24"/>
      <c r="T558" s="34" t="str">
        <f t="shared" ref="T558:V558" si="562">IF(G558&lt;&gt;"","Yes","")</f>
        <v/>
      </c>
      <c r="U558" s="34" t="str">
        <f t="shared" si="562"/>
        <v/>
      </c>
      <c r="V558" s="34" t="str">
        <f t="shared" si="562"/>
        <v/>
      </c>
      <c r="W558" s="34" t="str">
        <f t="shared" si="3"/>
        <v/>
      </c>
      <c r="X558" s="24" t="str">
        <f t="shared" si="4"/>
        <v/>
      </c>
    </row>
    <row r="559" ht="14.25" customHeight="1">
      <c r="A559" s="28">
        <f>HYPERLINK("https://app.hubspot.com/contacts/8748051/record/0-1/2614951", 2614951)</f>
        <v>2614951</v>
      </c>
      <c r="B559" s="24" t="s">
        <v>4420</v>
      </c>
      <c r="C559" s="26">
        <v>45121.56574074074</v>
      </c>
      <c r="D559" s="26"/>
      <c r="E559" s="28" t="s">
        <v>4421</v>
      </c>
      <c r="F559" s="24"/>
      <c r="G559" s="35"/>
      <c r="H559" s="35"/>
      <c r="I559" s="35"/>
      <c r="J559" s="24"/>
      <c r="K559" s="24"/>
      <c r="L559" s="24"/>
      <c r="M559" s="28">
        <f>HYPERLINK("https://app.hubspot.com/contacts/8748051/record/0-2/16492357676", 16492357676)</f>
        <v>16492357676</v>
      </c>
      <c r="N559" s="24" t="s">
        <v>4422</v>
      </c>
      <c r="O559" s="24"/>
      <c r="P559" s="24"/>
      <c r="Q559" s="24"/>
      <c r="R559" s="24"/>
      <c r="S559" s="24"/>
      <c r="T559" s="34" t="str">
        <f t="shared" ref="T559:V559" si="563">IF(G559&lt;&gt;"","Yes","")</f>
        <v/>
      </c>
      <c r="U559" s="34" t="str">
        <f t="shared" si="563"/>
        <v/>
      </c>
      <c r="V559" s="34" t="str">
        <f t="shared" si="563"/>
        <v/>
      </c>
      <c r="W559" s="34" t="str">
        <f t="shared" si="3"/>
        <v/>
      </c>
      <c r="X559" s="24" t="str">
        <f t="shared" si="4"/>
        <v/>
      </c>
    </row>
    <row r="560" ht="14.25" customHeight="1">
      <c r="A560" s="28">
        <f>HYPERLINK("https://app.hubspot.com/contacts/8748051/record/0-1/2602601", 2602601)</f>
        <v>2602601</v>
      </c>
      <c r="B560" s="24" t="s">
        <v>4423</v>
      </c>
      <c r="C560" s="26">
        <v>45119.02847222222</v>
      </c>
      <c r="D560" s="26"/>
      <c r="E560" s="28" t="s">
        <v>4424</v>
      </c>
      <c r="F560" s="26"/>
      <c r="G560" s="35"/>
      <c r="H560" s="35"/>
      <c r="I560" s="35"/>
      <c r="J560" s="24"/>
      <c r="K560" s="24"/>
      <c r="L560" s="24"/>
      <c r="M560" s="28">
        <f>HYPERLINK("https://app.hubspot.com/contacts/8748051/record/0-2/16389446526", 16389446526)</f>
        <v>16389446526</v>
      </c>
      <c r="N560" s="24" t="s">
        <v>4425</v>
      </c>
      <c r="O560" s="34"/>
      <c r="P560" s="24"/>
      <c r="Q560" s="24"/>
      <c r="R560" s="24"/>
      <c r="S560" s="24"/>
      <c r="T560" s="34" t="str">
        <f t="shared" ref="T560:V560" si="564">IF(G560&lt;&gt;"","Yes","")</f>
        <v/>
      </c>
      <c r="U560" s="34" t="str">
        <f t="shared" si="564"/>
        <v/>
      </c>
      <c r="V560" s="34" t="str">
        <f t="shared" si="564"/>
        <v/>
      </c>
      <c r="W560" s="34" t="str">
        <f t="shared" si="3"/>
        <v/>
      </c>
      <c r="X560" s="24" t="str">
        <f t="shared" si="4"/>
        <v/>
      </c>
    </row>
    <row r="561" ht="14.25" customHeight="1">
      <c r="A561" s="28">
        <f>HYPERLINK("https://app.hubspot.com/contacts/8748051/record/0-1/2595351", 2595351)</f>
        <v>2595351</v>
      </c>
      <c r="B561" s="24" t="s">
        <v>4426</v>
      </c>
      <c r="C561" s="26">
        <v>45117.62505787037</v>
      </c>
      <c r="D561" s="26"/>
      <c r="E561" s="28" t="s">
        <v>4427</v>
      </c>
      <c r="F561" s="24"/>
      <c r="G561" s="35"/>
      <c r="H561" s="35"/>
      <c r="I561" s="35"/>
      <c r="J561" s="24"/>
      <c r="K561" s="24"/>
      <c r="L561" s="24"/>
      <c r="M561" s="28">
        <f>HYPERLINK("https://app.hubspot.com/contacts/8748051/record/0-2/16371166244", 16371166244)</f>
        <v>16371166244</v>
      </c>
      <c r="N561" s="24" t="s">
        <v>4428</v>
      </c>
      <c r="O561" s="24"/>
      <c r="P561" s="24"/>
      <c r="Q561" s="24"/>
      <c r="R561" s="24"/>
      <c r="S561" s="24"/>
      <c r="T561" s="34" t="str">
        <f t="shared" ref="T561:V561" si="565">IF(G561&lt;&gt;"","Yes","")</f>
        <v/>
      </c>
      <c r="U561" s="34" t="str">
        <f t="shared" si="565"/>
        <v/>
      </c>
      <c r="V561" s="34" t="str">
        <f t="shared" si="565"/>
        <v/>
      </c>
      <c r="W561" s="34" t="str">
        <f t="shared" si="3"/>
        <v/>
      </c>
      <c r="X561" s="24" t="str">
        <f t="shared" si="4"/>
        <v/>
      </c>
    </row>
    <row r="562" ht="14.25" customHeight="1">
      <c r="A562" s="28">
        <f>HYPERLINK("https://app.hubspot.com/contacts/8748051/record/0-1/2586301", 2586301)</f>
        <v>2586301</v>
      </c>
      <c r="B562" s="24" t="s">
        <v>4429</v>
      </c>
      <c r="C562" s="26">
        <v>45114.3325462963</v>
      </c>
      <c r="D562" s="26"/>
      <c r="E562" s="28" t="s">
        <v>4430</v>
      </c>
      <c r="F562" s="26"/>
      <c r="G562" s="35"/>
      <c r="H562" s="35"/>
      <c r="I562" s="35"/>
      <c r="J562" s="24"/>
      <c r="K562" s="24"/>
      <c r="L562" s="34"/>
      <c r="M562" s="28">
        <f>HYPERLINK("https://app.hubspot.com/contacts/8748051/record/0-2/16337449590", 16337449590)</f>
        <v>16337449590</v>
      </c>
      <c r="N562" s="28" t="s">
        <v>4430</v>
      </c>
      <c r="O562" s="34"/>
      <c r="P562" s="24"/>
      <c r="Q562" s="24"/>
      <c r="R562" s="24"/>
      <c r="S562" s="24"/>
      <c r="T562" s="34" t="str">
        <f t="shared" ref="T562:V562" si="566">IF(G562&lt;&gt;"","Yes","")</f>
        <v/>
      </c>
      <c r="U562" s="34" t="str">
        <f t="shared" si="566"/>
        <v/>
      </c>
      <c r="V562" s="34" t="str">
        <f t="shared" si="566"/>
        <v/>
      </c>
      <c r="W562" s="34" t="str">
        <f t="shared" si="3"/>
        <v/>
      </c>
      <c r="X562" s="24" t="str">
        <f t="shared" si="4"/>
        <v/>
      </c>
    </row>
    <row r="563" ht="14.25" customHeight="1">
      <c r="A563" s="28">
        <f>HYPERLINK("https://app.hubspot.com/contacts/8748051/record/0-1/2585901", 2585901)</f>
        <v>2585901</v>
      </c>
      <c r="B563" s="24" t="s">
        <v>4431</v>
      </c>
      <c r="C563" s="26">
        <v>45114.283229166664</v>
      </c>
      <c r="D563" s="26"/>
      <c r="E563" s="24" t="s">
        <v>4432</v>
      </c>
      <c r="F563" s="24"/>
      <c r="G563" s="35"/>
      <c r="H563" s="35"/>
      <c r="I563" s="35"/>
      <c r="J563" s="24"/>
      <c r="K563" s="24"/>
      <c r="L563" s="24"/>
      <c r="M563" s="28">
        <f>HYPERLINK("https://app.hubspot.com/contacts/8748051/record/0-2/16337275304", 16337275304)</f>
        <v>16337275304</v>
      </c>
      <c r="N563" s="24" t="s">
        <v>4432</v>
      </c>
      <c r="O563" s="24"/>
      <c r="P563" s="24"/>
      <c r="Q563" s="24"/>
      <c r="R563" s="24"/>
      <c r="S563" s="24"/>
      <c r="T563" s="34" t="str">
        <f t="shared" ref="T563:V563" si="567">IF(G563&lt;&gt;"","Yes","")</f>
        <v/>
      </c>
      <c r="U563" s="34" t="str">
        <f t="shared" si="567"/>
        <v/>
      </c>
      <c r="V563" s="34" t="str">
        <f t="shared" si="567"/>
        <v/>
      </c>
      <c r="W563" s="34" t="str">
        <f t="shared" si="3"/>
        <v/>
      </c>
      <c r="X563" s="24" t="str">
        <f t="shared" si="4"/>
        <v/>
      </c>
    </row>
    <row r="564" ht="14.25" customHeight="1">
      <c r="A564" s="28">
        <f>HYPERLINK("https://app.hubspot.com/contacts/8748051/record/0-1/2560901", 2560901)</f>
        <v>2560901</v>
      </c>
      <c r="B564" s="24" t="s">
        <v>4433</v>
      </c>
      <c r="C564" s="26">
        <v>45107.666296296295</v>
      </c>
      <c r="D564" s="26"/>
      <c r="E564" s="28" t="s">
        <v>4434</v>
      </c>
      <c r="F564" s="26"/>
      <c r="G564" s="35"/>
      <c r="H564" s="35"/>
      <c r="I564" s="35"/>
      <c r="J564" s="24"/>
      <c r="K564" s="24"/>
      <c r="L564" s="24"/>
      <c r="M564" s="28">
        <f>HYPERLINK("https://app.hubspot.com/contacts/8748051/record/0-2/16282213677", 16282213677)</f>
        <v>16282213677</v>
      </c>
      <c r="N564" s="24" t="s">
        <v>4435</v>
      </c>
      <c r="O564" s="24"/>
      <c r="P564" s="24"/>
      <c r="Q564" s="24"/>
      <c r="R564" s="24"/>
      <c r="S564" s="24"/>
      <c r="T564" s="34" t="str">
        <f t="shared" ref="T564:V564" si="568">IF(G564&lt;&gt;"","Yes","")</f>
        <v/>
      </c>
      <c r="U564" s="34" t="str">
        <f t="shared" si="568"/>
        <v/>
      </c>
      <c r="V564" s="34" t="str">
        <f t="shared" si="568"/>
        <v/>
      </c>
      <c r="W564" s="34" t="str">
        <f t="shared" si="3"/>
        <v/>
      </c>
      <c r="X564" s="24" t="str">
        <f t="shared" si="4"/>
        <v/>
      </c>
    </row>
    <row r="565" ht="14.25" customHeight="1">
      <c r="A565" s="28">
        <f>HYPERLINK("https://app.hubspot.com/contacts/8748051/record/0-1/2557801", 2557801)</f>
        <v>2557801</v>
      </c>
      <c r="B565" s="24" t="s">
        <v>4436</v>
      </c>
      <c r="C565" s="26">
        <v>45107.11609953704</v>
      </c>
      <c r="D565" s="26"/>
      <c r="E565" s="28" t="s">
        <v>4437</v>
      </c>
      <c r="F565" s="26"/>
      <c r="G565" s="35"/>
      <c r="H565" s="35"/>
      <c r="I565" s="35"/>
      <c r="J565" s="24"/>
      <c r="K565" s="24"/>
      <c r="L565" s="24"/>
      <c r="M565" s="28">
        <f>HYPERLINK("https://app.hubspot.com/contacts/8748051/record/0-2/16276126062", 16276126062)</f>
        <v>16276126062</v>
      </c>
      <c r="N565" s="24" t="s">
        <v>4438</v>
      </c>
      <c r="O565" s="24"/>
      <c r="P565" s="24"/>
      <c r="Q565" s="24"/>
      <c r="R565" s="24"/>
      <c r="S565" s="24"/>
      <c r="T565" s="34" t="str">
        <f t="shared" ref="T565:V565" si="569">IF(G565&lt;&gt;"","Yes","")</f>
        <v/>
      </c>
      <c r="U565" s="34" t="str">
        <f t="shared" si="569"/>
        <v/>
      </c>
      <c r="V565" s="34" t="str">
        <f t="shared" si="569"/>
        <v/>
      </c>
      <c r="W565" s="34" t="str">
        <f t="shared" si="3"/>
        <v/>
      </c>
      <c r="X565" s="24" t="str">
        <f t="shared" si="4"/>
        <v/>
      </c>
    </row>
    <row r="566" ht="14.25" customHeight="1">
      <c r="A566" s="28">
        <f>HYPERLINK("https://app.hubspot.com/contacts/8748051/record/0-1/2552051", 2552051)</f>
        <v>2552051</v>
      </c>
      <c r="B566" s="24" t="s">
        <v>4439</v>
      </c>
      <c r="C566" s="26">
        <v>45106.06864583334</v>
      </c>
      <c r="D566" s="26"/>
      <c r="E566" s="28" t="s">
        <v>4440</v>
      </c>
      <c r="F566" s="24"/>
      <c r="G566" s="35"/>
      <c r="H566" s="35"/>
      <c r="I566" s="35"/>
      <c r="J566" s="24"/>
      <c r="K566" s="24"/>
      <c r="L566" s="24"/>
      <c r="M566" s="28">
        <f>HYPERLINK("https://app.hubspot.com/contacts/8748051/record/0-2/16264917354", 16264917354)</f>
        <v>16264917354</v>
      </c>
      <c r="N566" s="24" t="s">
        <v>4441</v>
      </c>
      <c r="O566" s="24"/>
      <c r="P566" s="24"/>
      <c r="Q566" s="24"/>
      <c r="R566" s="24"/>
      <c r="S566" s="24"/>
      <c r="T566" s="34" t="str">
        <f t="shared" ref="T566:V566" si="570">IF(G566&lt;&gt;"","Yes","")</f>
        <v/>
      </c>
      <c r="U566" s="34" t="str">
        <f t="shared" si="570"/>
        <v/>
      </c>
      <c r="V566" s="34" t="str">
        <f t="shared" si="570"/>
        <v/>
      </c>
      <c r="W566" s="34" t="str">
        <f t="shared" si="3"/>
        <v/>
      </c>
      <c r="X566" s="24" t="str">
        <f t="shared" si="4"/>
        <v/>
      </c>
    </row>
    <row r="567" ht="14.25" customHeight="1">
      <c r="A567" s="28">
        <f>HYPERLINK("https://app.hubspot.com/contacts/8748051/record/0-1/2548401", 2548401)</f>
        <v>2548401</v>
      </c>
      <c r="B567" s="24" t="s">
        <v>4442</v>
      </c>
      <c r="C567" s="26">
        <v>45105.31047453704</v>
      </c>
      <c r="D567" s="26"/>
      <c r="E567" s="28" t="s">
        <v>4443</v>
      </c>
      <c r="F567" s="24"/>
      <c r="G567" s="35"/>
      <c r="H567" s="35"/>
      <c r="I567" s="35"/>
      <c r="J567" s="24"/>
      <c r="K567" s="24"/>
      <c r="L567" s="24"/>
      <c r="M567" s="28">
        <f>HYPERLINK("https://app.hubspot.com/contacts/8748051/record/0-2/16256805254", 16256805254)</f>
        <v>16256805254</v>
      </c>
      <c r="N567" s="24" t="s">
        <v>4444</v>
      </c>
      <c r="O567" s="24"/>
      <c r="P567" s="24"/>
      <c r="Q567" s="24"/>
      <c r="R567" s="24"/>
      <c r="S567" s="24"/>
      <c r="T567" s="34" t="str">
        <f t="shared" ref="T567:V567" si="571">IF(G567&lt;&gt;"","Yes","")</f>
        <v/>
      </c>
      <c r="U567" s="34" t="str">
        <f t="shared" si="571"/>
        <v/>
      </c>
      <c r="V567" s="34" t="str">
        <f t="shared" si="571"/>
        <v/>
      </c>
      <c r="W567" s="34" t="str">
        <f t="shared" si="3"/>
        <v/>
      </c>
      <c r="X567" s="24" t="str">
        <f t="shared" si="4"/>
        <v/>
      </c>
    </row>
    <row r="568" ht="14.25" customHeight="1">
      <c r="A568" s="28">
        <f>HYPERLINK("https://app.hubspot.com/contacts/8748051/record/0-1/2543751", 2543751)</f>
        <v>2543751</v>
      </c>
      <c r="B568" s="24" t="s">
        <v>4445</v>
      </c>
      <c r="C568" s="26">
        <v>45104.26267361111</v>
      </c>
      <c r="D568" s="26"/>
      <c r="E568" s="28" t="s">
        <v>4446</v>
      </c>
      <c r="F568" s="24"/>
      <c r="G568" s="35"/>
      <c r="H568" s="35"/>
      <c r="I568" s="35"/>
      <c r="J568" s="24"/>
      <c r="K568" s="24"/>
      <c r="L568" s="24"/>
      <c r="M568" s="28">
        <f>HYPERLINK("https://app.hubspot.com/contacts/8748051/record/0-2/16243259924", 16243259924)</f>
        <v>16243259924</v>
      </c>
      <c r="N568" s="28" t="s">
        <v>4446</v>
      </c>
      <c r="O568" s="34"/>
      <c r="P568" s="24"/>
      <c r="Q568" s="24"/>
      <c r="R568" s="24"/>
      <c r="S568" s="24"/>
      <c r="T568" s="34" t="str">
        <f t="shared" ref="T568:V568" si="572">IF(G568&lt;&gt;"","Yes","")</f>
        <v/>
      </c>
      <c r="U568" s="34" t="str">
        <f t="shared" si="572"/>
        <v/>
      </c>
      <c r="V568" s="34" t="str">
        <f t="shared" si="572"/>
        <v/>
      </c>
      <c r="W568" s="34" t="str">
        <f t="shared" si="3"/>
        <v/>
      </c>
      <c r="X568" s="24" t="str">
        <f t="shared" si="4"/>
        <v/>
      </c>
    </row>
    <row r="569" ht="14.25" customHeight="1">
      <c r="A569" s="28">
        <f>HYPERLINK("https://app.hubspot.com/contacts/8748051/record/0-1/2524201", 2524201)</f>
        <v>2524201</v>
      </c>
      <c r="B569" s="24" t="s">
        <v>4447</v>
      </c>
      <c r="C569" s="26">
        <v>45099.26913194444</v>
      </c>
      <c r="D569" s="26"/>
      <c r="E569" s="28" t="s">
        <v>4448</v>
      </c>
      <c r="F569" s="24"/>
      <c r="G569" s="35"/>
      <c r="H569" s="35"/>
      <c r="I569" s="35"/>
      <c r="J569" s="24"/>
      <c r="K569" s="24"/>
      <c r="L569" s="24"/>
      <c r="M569" s="28">
        <f>HYPERLINK("https://app.hubspot.com/contacts/8748051/record/0-2/16191601528", 16191601528)</f>
        <v>16191601528</v>
      </c>
      <c r="N569" s="24" t="s">
        <v>4449</v>
      </c>
      <c r="O569" s="24"/>
      <c r="P569" s="24"/>
      <c r="Q569" s="24"/>
      <c r="R569" s="24"/>
      <c r="S569" s="24"/>
      <c r="T569" s="34" t="str">
        <f t="shared" ref="T569:V569" si="573">IF(G569&lt;&gt;"","Yes","")</f>
        <v/>
      </c>
      <c r="U569" s="34" t="str">
        <f t="shared" si="573"/>
        <v/>
      </c>
      <c r="V569" s="34" t="str">
        <f t="shared" si="573"/>
        <v/>
      </c>
      <c r="W569" s="34" t="str">
        <f t="shared" si="3"/>
        <v/>
      </c>
      <c r="X569" s="24" t="str">
        <f t="shared" si="4"/>
        <v/>
      </c>
    </row>
    <row r="570" ht="14.25" customHeight="1">
      <c r="A570" s="28">
        <f>HYPERLINK("https://app.hubspot.com/contacts/8748051/record/0-1/2501051", 2501051)</f>
        <v>2501051</v>
      </c>
      <c r="B570" s="24" t="s">
        <v>4450</v>
      </c>
      <c r="C570" s="26">
        <v>45093.44425925926</v>
      </c>
      <c r="D570" s="26"/>
      <c r="E570" s="28" t="s">
        <v>4451</v>
      </c>
      <c r="F570" s="26"/>
      <c r="G570" s="35"/>
      <c r="H570" s="35"/>
      <c r="I570" s="35"/>
      <c r="J570" s="24"/>
      <c r="K570" s="24"/>
      <c r="L570" s="24"/>
      <c r="M570" s="28">
        <f>HYPERLINK("https://app.hubspot.com/contacts/8748051/record/0-2/10850606896", 10850606896)</f>
        <v>10850606896</v>
      </c>
      <c r="N570" s="24" t="s">
        <v>4452</v>
      </c>
      <c r="O570" s="24"/>
      <c r="P570" s="24"/>
      <c r="Q570" s="24"/>
      <c r="R570" s="24"/>
      <c r="S570" s="24"/>
      <c r="T570" s="34" t="str">
        <f t="shared" ref="T570:V570" si="574">IF(G570&lt;&gt;"","Yes","")</f>
        <v/>
      </c>
      <c r="U570" s="34" t="str">
        <f t="shared" si="574"/>
        <v/>
      </c>
      <c r="V570" s="34" t="str">
        <f t="shared" si="574"/>
        <v/>
      </c>
      <c r="W570" s="34" t="str">
        <f t="shared" si="3"/>
        <v/>
      </c>
      <c r="X570" s="24" t="str">
        <f t="shared" si="4"/>
        <v/>
      </c>
    </row>
    <row r="571" ht="14.25" customHeight="1">
      <c r="A571" s="28">
        <f>HYPERLINK("https://app.hubspot.com/contacts/8748051/record/0-1/2473201", 2473201)</f>
        <v>2473201</v>
      </c>
      <c r="B571" s="24" t="s">
        <v>4453</v>
      </c>
      <c r="C571" s="26">
        <v>45089.245162037034</v>
      </c>
      <c r="D571" s="26"/>
      <c r="E571" s="28" t="s">
        <v>4454</v>
      </c>
      <c r="F571" s="34"/>
      <c r="G571" s="35"/>
      <c r="H571" s="35"/>
      <c r="I571" s="35"/>
      <c r="J571" s="24"/>
      <c r="K571" s="24"/>
      <c r="L571" s="24"/>
      <c r="M571" s="28">
        <f>HYPERLINK("https://app.hubspot.com/contacts/8748051/record/0-2/16035259397", 16035259397)</f>
        <v>16035259397</v>
      </c>
      <c r="N571" s="28" t="s">
        <v>4454</v>
      </c>
      <c r="O571" s="34"/>
      <c r="P571" s="24"/>
      <c r="Q571" s="24"/>
      <c r="R571" s="24"/>
      <c r="S571" s="24"/>
      <c r="T571" s="34" t="str">
        <f t="shared" ref="T571:V571" si="575">IF(G571&lt;&gt;"","Yes","")</f>
        <v/>
      </c>
      <c r="U571" s="34" t="str">
        <f t="shared" si="575"/>
        <v/>
      </c>
      <c r="V571" s="34" t="str">
        <f t="shared" si="575"/>
        <v/>
      </c>
      <c r="W571" s="34" t="str">
        <f t="shared" si="3"/>
        <v/>
      </c>
      <c r="X571" s="24" t="str">
        <f t="shared" si="4"/>
        <v/>
      </c>
    </row>
    <row r="572" ht="14.25" customHeight="1">
      <c r="A572" s="28">
        <f>HYPERLINK("https://app.hubspot.com/contacts/8748051/record/0-1/783051", 783051)</f>
        <v>783051</v>
      </c>
      <c r="B572" s="24" t="s">
        <v>4455</v>
      </c>
      <c r="C572" s="26">
        <v>45087.03283564815</v>
      </c>
      <c r="D572" s="26"/>
      <c r="E572" s="28" t="s">
        <v>2602</v>
      </c>
      <c r="F572" s="24"/>
      <c r="G572" s="35"/>
      <c r="H572" s="35"/>
      <c r="I572" s="35"/>
      <c r="J572" s="24"/>
      <c r="K572" s="24"/>
      <c r="L572" s="24"/>
      <c r="M572" s="28">
        <f>HYPERLINK("https://app.hubspot.com/contacts/8748051/record/0-2/7781791666", 7781791666)</f>
        <v>7781791666</v>
      </c>
      <c r="N572" s="28" t="s">
        <v>2602</v>
      </c>
      <c r="O572" s="28">
        <f>HYPERLINK("https://app.hubspot.com/contacts/8748051/record/0-3/14063920218", 14063920218)</f>
        <v>14063920218</v>
      </c>
      <c r="P572" s="24" t="s">
        <v>2601</v>
      </c>
      <c r="Q572" s="24" t="s">
        <v>73</v>
      </c>
      <c r="R572" s="24">
        <v>100000.0</v>
      </c>
      <c r="S572" s="24"/>
      <c r="T572" s="34" t="str">
        <f t="shared" ref="T572:V572" si="576">IF(G572&lt;&gt;"","Yes","")</f>
        <v/>
      </c>
      <c r="U572" s="34" t="str">
        <f t="shared" si="576"/>
        <v/>
      </c>
      <c r="V572" s="34" t="str">
        <f t="shared" si="576"/>
        <v/>
      </c>
      <c r="W572" s="34" t="str">
        <f t="shared" si="3"/>
        <v/>
      </c>
      <c r="X572" s="24" t="str">
        <f t="shared" si="4"/>
        <v/>
      </c>
    </row>
    <row r="573" ht="14.25" customHeight="1">
      <c r="A573" s="28">
        <f>HYPERLINK("https://app.hubspot.com/contacts/8748051/record/0-1/10551", 10551)</f>
        <v>10551</v>
      </c>
      <c r="B573" s="24" t="s">
        <v>4456</v>
      </c>
      <c r="C573" s="26">
        <v>45085.55863425926</v>
      </c>
      <c r="D573" s="26"/>
      <c r="E573" s="28" t="s">
        <v>4457</v>
      </c>
      <c r="F573" s="24"/>
      <c r="G573" s="35"/>
      <c r="H573" s="35"/>
      <c r="I573" s="35"/>
      <c r="J573" s="24"/>
      <c r="K573" s="24"/>
      <c r="L573" s="24"/>
      <c r="M573" s="28">
        <f>HYPERLINK("https://app.hubspot.com/contacts/8748051/record/0-2/6935065886", 6935065886)</f>
        <v>6935065886</v>
      </c>
      <c r="N573" s="24" t="s">
        <v>4458</v>
      </c>
      <c r="O573" s="24"/>
      <c r="P573" s="24"/>
      <c r="Q573" s="24"/>
      <c r="R573" s="24"/>
      <c r="S573" s="24"/>
      <c r="T573" s="34" t="str">
        <f t="shared" ref="T573:V573" si="577">IF(G573&lt;&gt;"","Yes","")</f>
        <v/>
      </c>
      <c r="U573" s="34" t="str">
        <f t="shared" si="577"/>
        <v/>
      </c>
      <c r="V573" s="34" t="str">
        <f t="shared" si="577"/>
        <v/>
      </c>
      <c r="W573" s="34" t="str">
        <f t="shared" si="3"/>
        <v/>
      </c>
      <c r="X573" s="24" t="str">
        <f t="shared" si="4"/>
        <v/>
      </c>
    </row>
    <row r="574" ht="14.25" customHeight="1">
      <c r="A574" s="28">
        <f>HYPERLINK("https://app.hubspot.com/contacts/8748051/record/0-1/2457301", 2457301)</f>
        <v>2457301</v>
      </c>
      <c r="B574" s="24" t="s">
        <v>4459</v>
      </c>
      <c r="C574" s="26">
        <v>45085.33934027778</v>
      </c>
      <c r="D574" s="26"/>
      <c r="E574" s="28" t="s">
        <v>226</v>
      </c>
      <c r="F574" s="26"/>
      <c r="G574" s="35"/>
      <c r="H574" s="35"/>
      <c r="I574" s="35"/>
      <c r="J574" s="24"/>
      <c r="K574" s="24"/>
      <c r="L574" s="24"/>
      <c r="M574" s="28">
        <f>HYPERLINK("https://app.hubspot.com/contacts/8748051/record/0-2/9132283033", 9132283033)</f>
        <v>9132283033</v>
      </c>
      <c r="N574" s="24" t="s">
        <v>225</v>
      </c>
      <c r="O574" s="34"/>
      <c r="P574" s="24"/>
      <c r="Q574" s="24"/>
      <c r="R574" s="24"/>
      <c r="S574" s="24"/>
      <c r="T574" s="34" t="str">
        <f t="shared" ref="T574:V574" si="578">IF(G574&lt;&gt;"","Yes","")</f>
        <v/>
      </c>
      <c r="U574" s="34" t="str">
        <f t="shared" si="578"/>
        <v/>
      </c>
      <c r="V574" s="34" t="str">
        <f t="shared" si="578"/>
        <v/>
      </c>
      <c r="W574" s="34" t="str">
        <f t="shared" si="3"/>
        <v/>
      </c>
      <c r="X574" s="24" t="str">
        <f t="shared" si="4"/>
        <v/>
      </c>
    </row>
    <row r="575" ht="14.25" customHeight="1">
      <c r="A575" s="28">
        <f>HYPERLINK("https://app.hubspot.com/contacts/8748051/record/0-1/2439151", 2439151)</f>
        <v>2439151</v>
      </c>
      <c r="B575" s="24" t="s">
        <v>4460</v>
      </c>
      <c r="C575" s="26">
        <v>45082.03702546296</v>
      </c>
      <c r="D575" s="26"/>
      <c r="E575" s="28" t="s">
        <v>4248</v>
      </c>
      <c r="F575" s="26"/>
      <c r="G575" s="35"/>
      <c r="H575" s="35"/>
      <c r="I575" s="35"/>
      <c r="J575" s="24"/>
      <c r="K575" s="24"/>
      <c r="L575" s="24"/>
      <c r="M575" s="28">
        <f>HYPERLINK("https://app.hubspot.com/contacts/8748051/record/0-2/15963437728", 15963437728)</f>
        <v>15963437728</v>
      </c>
      <c r="N575" s="24" t="s">
        <v>4249</v>
      </c>
      <c r="O575" s="24"/>
      <c r="P575" s="24"/>
      <c r="Q575" s="24"/>
      <c r="R575" s="24"/>
      <c r="S575" s="24"/>
      <c r="T575" s="34" t="str">
        <f t="shared" ref="T575:V575" si="579">IF(G575&lt;&gt;"","Yes","")</f>
        <v/>
      </c>
      <c r="U575" s="34" t="str">
        <f t="shared" si="579"/>
        <v/>
      </c>
      <c r="V575" s="34" t="str">
        <f t="shared" si="579"/>
        <v/>
      </c>
      <c r="W575" s="34" t="str">
        <f t="shared" si="3"/>
        <v/>
      </c>
      <c r="X575" s="24" t="str">
        <f t="shared" si="4"/>
        <v/>
      </c>
    </row>
    <row r="576" ht="14.25" customHeight="1">
      <c r="A576" s="28">
        <f>HYPERLINK("https://app.hubspot.com/contacts/8748051/record/0-1/22856769553", 22856769553)</f>
        <v>22856769553</v>
      </c>
      <c r="B576" s="24" t="s">
        <v>4461</v>
      </c>
      <c r="C576" s="26">
        <v>45079.22190972222</v>
      </c>
      <c r="D576" s="26"/>
      <c r="E576" s="28" t="s">
        <v>4462</v>
      </c>
      <c r="F576" s="24"/>
      <c r="G576" s="35"/>
      <c r="H576" s="35"/>
      <c r="I576" s="35"/>
      <c r="J576" s="24"/>
      <c r="K576" s="24"/>
      <c r="L576" s="24"/>
      <c r="M576" s="28">
        <f>HYPERLINK("https://app.hubspot.com/contacts/8748051/record/0-2/19176672158", 19176672158)</f>
        <v>19176672158</v>
      </c>
      <c r="N576" s="24" t="s">
        <v>4463</v>
      </c>
      <c r="O576" s="34"/>
      <c r="P576" s="24"/>
      <c r="Q576" s="24"/>
      <c r="R576" s="24"/>
      <c r="S576" s="24"/>
      <c r="T576" s="34" t="str">
        <f t="shared" ref="T576:V576" si="580">IF(G576&lt;&gt;"","Yes","")</f>
        <v/>
      </c>
      <c r="U576" s="34" t="str">
        <f t="shared" si="580"/>
        <v/>
      </c>
      <c r="V576" s="34" t="str">
        <f t="shared" si="580"/>
        <v/>
      </c>
      <c r="W576" s="34" t="str">
        <f t="shared" si="3"/>
        <v/>
      </c>
      <c r="X576" s="24" t="str">
        <f t="shared" si="4"/>
        <v/>
      </c>
    </row>
    <row r="577" ht="14.25" customHeight="1">
      <c r="A577" s="28">
        <f>HYPERLINK("https://app.hubspot.com/contacts/8748051/record/0-1/2421451", 2421451)</f>
        <v>2421451</v>
      </c>
      <c r="B577" s="24" t="s">
        <v>4464</v>
      </c>
      <c r="C577" s="26">
        <v>45078.20993055555</v>
      </c>
      <c r="D577" s="26"/>
      <c r="E577" s="28" t="s">
        <v>4465</v>
      </c>
      <c r="F577" s="26"/>
      <c r="G577" s="35"/>
      <c r="H577" s="35"/>
      <c r="I577" s="35"/>
      <c r="J577" s="24"/>
      <c r="K577" s="24"/>
      <c r="L577" s="24"/>
      <c r="M577" s="28">
        <f>HYPERLINK("https://app.hubspot.com/contacts/8748051/record/0-2/15925265559", 15925265559)</f>
        <v>15925265559</v>
      </c>
      <c r="N577" s="24" t="s">
        <v>4466</v>
      </c>
      <c r="O577" s="24"/>
      <c r="P577" s="24"/>
      <c r="Q577" s="24"/>
      <c r="R577" s="24"/>
      <c r="S577" s="24"/>
      <c r="T577" s="34" t="str">
        <f t="shared" ref="T577:V577" si="581">IF(G577&lt;&gt;"","Yes","")</f>
        <v/>
      </c>
      <c r="U577" s="34" t="str">
        <f t="shared" si="581"/>
        <v/>
      </c>
      <c r="V577" s="34" t="str">
        <f t="shared" si="581"/>
        <v/>
      </c>
      <c r="W577" s="34" t="str">
        <f t="shared" si="3"/>
        <v/>
      </c>
      <c r="X577" s="24" t="str">
        <f t="shared" si="4"/>
        <v/>
      </c>
    </row>
    <row r="578" ht="14.25" customHeight="1">
      <c r="A578" s="28">
        <f>HYPERLINK("https://app.hubspot.com/contacts/8748051/record/0-1/2408801", 2408801)</f>
        <v>2408801</v>
      </c>
      <c r="B578" s="24" t="s">
        <v>4467</v>
      </c>
      <c r="C578" s="26">
        <v>45076.16439814815</v>
      </c>
      <c r="D578" s="26"/>
      <c r="E578" s="28" t="s">
        <v>4468</v>
      </c>
      <c r="F578" s="26"/>
      <c r="G578" s="35"/>
      <c r="H578" s="35"/>
      <c r="I578" s="35"/>
      <c r="J578" s="24"/>
      <c r="K578" s="24"/>
      <c r="L578" s="24"/>
      <c r="M578" s="28">
        <f>HYPERLINK("https://app.hubspot.com/contacts/8748051/record/0-2/15897253805", 15897253805)</f>
        <v>15897253805</v>
      </c>
      <c r="N578" s="24" t="s">
        <v>4469</v>
      </c>
      <c r="O578" s="24"/>
      <c r="P578" s="24"/>
      <c r="Q578" s="24"/>
      <c r="R578" s="24"/>
      <c r="S578" s="24"/>
      <c r="T578" s="34" t="str">
        <f t="shared" ref="T578:V578" si="582">IF(G578&lt;&gt;"","Yes","")</f>
        <v/>
      </c>
      <c r="U578" s="34" t="str">
        <f t="shared" si="582"/>
        <v/>
      </c>
      <c r="V578" s="34" t="str">
        <f t="shared" si="582"/>
        <v/>
      </c>
      <c r="W578" s="34" t="str">
        <f t="shared" si="3"/>
        <v/>
      </c>
      <c r="X578" s="24" t="str">
        <f t="shared" si="4"/>
        <v/>
      </c>
    </row>
    <row r="579" ht="14.25" customHeight="1">
      <c r="A579" s="28">
        <f>HYPERLINK("https://app.hubspot.com/contacts/8748051/record/0-1/2395701", 2395701)</f>
        <v>2395701</v>
      </c>
      <c r="B579" s="24" t="s">
        <v>4470</v>
      </c>
      <c r="C579" s="26">
        <v>45072.147824074076</v>
      </c>
      <c r="D579" s="26"/>
      <c r="E579" s="28" t="s">
        <v>4471</v>
      </c>
      <c r="F579" s="24"/>
      <c r="G579" s="35"/>
      <c r="H579" s="35"/>
      <c r="I579" s="35"/>
      <c r="J579" s="24"/>
      <c r="K579" s="24"/>
      <c r="L579" s="24"/>
      <c r="M579" s="28">
        <f>HYPERLINK("https://app.hubspot.com/contacts/8748051/record/0-2/15864664719", 15864664719)</f>
        <v>15864664719</v>
      </c>
      <c r="N579" s="24" t="s">
        <v>4472</v>
      </c>
      <c r="O579" s="24"/>
      <c r="P579" s="24"/>
      <c r="Q579" s="24"/>
      <c r="R579" s="24"/>
      <c r="S579" s="24"/>
      <c r="T579" s="34" t="str">
        <f t="shared" ref="T579:V579" si="583">IF(G579&lt;&gt;"","Yes","")</f>
        <v/>
      </c>
      <c r="U579" s="34" t="str">
        <f t="shared" si="583"/>
        <v/>
      </c>
      <c r="V579" s="34" t="str">
        <f t="shared" si="583"/>
        <v/>
      </c>
      <c r="W579" s="34" t="str">
        <f t="shared" si="3"/>
        <v/>
      </c>
      <c r="X579" s="24" t="str">
        <f t="shared" si="4"/>
        <v/>
      </c>
    </row>
    <row r="580" ht="14.25" customHeight="1">
      <c r="A580" s="28">
        <f>HYPERLINK("https://app.hubspot.com/contacts/8748051/record/0-1/2379851", 2379851)</f>
        <v>2379851</v>
      </c>
      <c r="B580" s="24" t="s">
        <v>4473</v>
      </c>
      <c r="C580" s="26">
        <v>45069.18377314815</v>
      </c>
      <c r="D580" s="26"/>
      <c r="E580" s="28" t="s">
        <v>3901</v>
      </c>
      <c r="F580" s="24"/>
      <c r="G580" s="35"/>
      <c r="H580" s="35"/>
      <c r="I580" s="35"/>
      <c r="J580" s="24"/>
      <c r="K580" s="24"/>
      <c r="L580" s="24"/>
      <c r="M580" s="28">
        <f>HYPERLINK("https://app.hubspot.com/contacts/8748051/record/0-2/15827910251", 15827910251)</f>
        <v>15827910251</v>
      </c>
      <c r="N580" s="24" t="s">
        <v>3902</v>
      </c>
      <c r="O580" s="24"/>
      <c r="P580" s="24"/>
      <c r="Q580" s="24"/>
      <c r="R580" s="24"/>
      <c r="S580" s="24"/>
      <c r="T580" s="34" t="str">
        <f t="shared" ref="T580:V580" si="584">IF(G580&lt;&gt;"","Yes","")</f>
        <v/>
      </c>
      <c r="U580" s="34" t="str">
        <f t="shared" si="584"/>
        <v/>
      </c>
      <c r="V580" s="34" t="str">
        <f t="shared" si="584"/>
        <v/>
      </c>
      <c r="W580" s="34" t="str">
        <f t="shared" si="3"/>
        <v/>
      </c>
      <c r="X580" s="24" t="str">
        <f t="shared" si="4"/>
        <v/>
      </c>
    </row>
    <row r="581" ht="14.25" customHeight="1">
      <c r="A581" s="28">
        <f>HYPERLINK("https://app.hubspot.com/contacts/8748051/record/0-1/2376701", 2376701)</f>
        <v>2376701</v>
      </c>
      <c r="B581" s="24" t="s">
        <v>4474</v>
      </c>
      <c r="C581" s="26">
        <v>45068.54675925926</v>
      </c>
      <c r="D581" s="26"/>
      <c r="E581" s="28" t="s">
        <v>4475</v>
      </c>
      <c r="F581" s="26"/>
      <c r="G581" s="35"/>
      <c r="H581" s="35"/>
      <c r="I581" s="35"/>
      <c r="J581" s="24"/>
      <c r="K581" s="24"/>
      <c r="L581" s="24"/>
      <c r="M581" s="28">
        <f>HYPERLINK("https://app.hubspot.com/contacts/8748051/record/0-2/15822439738", 15822439738)</f>
        <v>15822439738</v>
      </c>
      <c r="N581" s="24" t="s">
        <v>4476</v>
      </c>
      <c r="O581" s="24"/>
      <c r="P581" s="24"/>
      <c r="Q581" s="24"/>
      <c r="R581" s="24"/>
      <c r="S581" s="24"/>
      <c r="T581" s="34" t="str">
        <f t="shared" ref="T581:V581" si="585">IF(G581&lt;&gt;"","Yes","")</f>
        <v/>
      </c>
      <c r="U581" s="34" t="str">
        <f t="shared" si="585"/>
        <v/>
      </c>
      <c r="V581" s="34" t="str">
        <f t="shared" si="585"/>
        <v/>
      </c>
      <c r="W581" s="34" t="str">
        <f t="shared" si="3"/>
        <v/>
      </c>
      <c r="X581" s="24" t="str">
        <f t="shared" si="4"/>
        <v/>
      </c>
    </row>
    <row r="582" ht="14.25" customHeight="1">
      <c r="A582" s="28">
        <f>HYPERLINK("https://app.hubspot.com/contacts/8748051/record/0-1/2372001", 2372001)</f>
        <v>2372001</v>
      </c>
      <c r="B582" s="24" t="s">
        <v>4477</v>
      </c>
      <c r="C582" s="26">
        <v>45067.28207175926</v>
      </c>
      <c r="D582" s="26"/>
      <c r="E582" s="28" t="s">
        <v>4478</v>
      </c>
      <c r="F582" s="34"/>
      <c r="G582" s="35"/>
      <c r="H582" s="35"/>
      <c r="I582" s="35"/>
      <c r="J582" s="24"/>
      <c r="K582" s="24"/>
      <c r="L582" s="24"/>
      <c r="M582" s="28">
        <f>HYPERLINK("https://app.hubspot.com/contacts/8748051/record/0-2/15812855700", 15812855700)</f>
        <v>15812855700</v>
      </c>
      <c r="N582" s="24" t="s">
        <v>4479</v>
      </c>
      <c r="O582" s="34"/>
      <c r="P582" s="24"/>
      <c r="Q582" s="24"/>
      <c r="R582" s="24"/>
      <c r="S582" s="24"/>
      <c r="T582" s="34" t="str">
        <f t="shared" ref="T582:V582" si="586">IF(G582&lt;&gt;"","Yes","")</f>
        <v/>
      </c>
      <c r="U582" s="34" t="str">
        <f t="shared" si="586"/>
        <v/>
      </c>
      <c r="V582" s="34" t="str">
        <f t="shared" si="586"/>
        <v/>
      </c>
      <c r="W582" s="34" t="str">
        <f t="shared" si="3"/>
        <v/>
      </c>
      <c r="X582" s="24" t="str">
        <f t="shared" si="4"/>
        <v/>
      </c>
    </row>
    <row r="583" ht="14.25" customHeight="1">
      <c r="A583" s="28">
        <f>HYPERLINK("https://app.hubspot.com/contacts/8748051/record/0-1/2364751", 2364751)</f>
        <v>2364751</v>
      </c>
      <c r="B583" s="24" t="s">
        <v>4480</v>
      </c>
      <c r="C583" s="26">
        <v>45065.0002662037</v>
      </c>
      <c r="D583" s="26"/>
      <c r="E583" s="28" t="s">
        <v>2800</v>
      </c>
      <c r="F583" s="26"/>
      <c r="G583" s="35"/>
      <c r="H583" s="35"/>
      <c r="I583" s="35"/>
      <c r="J583" s="24"/>
      <c r="K583" s="24"/>
      <c r="L583" s="24"/>
      <c r="M583" s="28">
        <f>HYPERLINK("https://app.hubspot.com/contacts/8748051/record/0-2/8724489606", 8724489606)</f>
        <v>8724489606</v>
      </c>
      <c r="N583" s="24" t="s">
        <v>2799</v>
      </c>
      <c r="O583" s="24"/>
      <c r="P583" s="24"/>
      <c r="Q583" s="24"/>
      <c r="R583" s="24"/>
      <c r="S583" s="24"/>
      <c r="T583" s="34" t="str">
        <f t="shared" ref="T583:V583" si="587">IF(G583&lt;&gt;"","Yes","")</f>
        <v/>
      </c>
      <c r="U583" s="34" t="str">
        <f t="shared" si="587"/>
        <v/>
      </c>
      <c r="V583" s="34" t="str">
        <f t="shared" si="587"/>
        <v/>
      </c>
      <c r="W583" s="34" t="str">
        <f t="shared" si="3"/>
        <v/>
      </c>
      <c r="X583" s="24" t="str">
        <f t="shared" si="4"/>
        <v/>
      </c>
    </row>
    <row r="584" ht="14.25" customHeight="1">
      <c r="A584" s="28">
        <f>HYPERLINK("https://app.hubspot.com/contacts/8748051/record/0-1/2351351", 2351351)</f>
        <v>2351351</v>
      </c>
      <c r="B584" s="24" t="s">
        <v>4481</v>
      </c>
      <c r="C584" s="26">
        <v>45062.573287037034</v>
      </c>
      <c r="D584" s="26"/>
      <c r="E584" s="28" t="s">
        <v>4482</v>
      </c>
      <c r="F584" s="26"/>
      <c r="G584" s="35"/>
      <c r="H584" s="35"/>
      <c r="I584" s="35"/>
      <c r="J584" s="24"/>
      <c r="K584" s="24"/>
      <c r="L584" s="24"/>
      <c r="M584" s="28">
        <f>HYPERLINK("https://app.hubspot.com/contacts/8748051/record/0-2/15762482336", 15762482336)</f>
        <v>15762482336</v>
      </c>
      <c r="N584" s="24" t="s">
        <v>4483</v>
      </c>
      <c r="O584" s="24"/>
      <c r="P584" s="24"/>
      <c r="Q584" s="24"/>
      <c r="R584" s="24"/>
      <c r="S584" s="24"/>
      <c r="T584" s="34" t="str">
        <f t="shared" ref="T584:V584" si="588">IF(G584&lt;&gt;"","Yes","")</f>
        <v/>
      </c>
      <c r="U584" s="34" t="str">
        <f t="shared" si="588"/>
        <v/>
      </c>
      <c r="V584" s="34" t="str">
        <f t="shared" si="588"/>
        <v/>
      </c>
      <c r="W584" s="34" t="str">
        <f t="shared" si="3"/>
        <v/>
      </c>
      <c r="X584" s="24" t="str">
        <f t="shared" si="4"/>
        <v/>
      </c>
    </row>
    <row r="585" ht="14.25" customHeight="1">
      <c r="A585" s="28">
        <f>HYPERLINK("https://app.hubspot.com/contacts/8748051/record/0-1/2331051", 2331051)</f>
        <v>2331051</v>
      </c>
      <c r="B585" s="24" t="s">
        <v>4484</v>
      </c>
      <c r="C585" s="26">
        <v>45057.661840277775</v>
      </c>
      <c r="D585" s="26"/>
      <c r="E585" s="28" t="s">
        <v>4485</v>
      </c>
      <c r="F585" s="24"/>
      <c r="G585" s="35"/>
      <c r="H585" s="35"/>
      <c r="I585" s="35"/>
      <c r="J585" s="24"/>
      <c r="K585" s="24"/>
      <c r="L585" s="24"/>
      <c r="M585" s="28">
        <f>HYPERLINK("https://app.hubspot.com/contacts/8748051/record/0-2/15718589877", 15718589877)</f>
        <v>15718589877</v>
      </c>
      <c r="N585" s="24" t="s">
        <v>4486</v>
      </c>
      <c r="O585" s="24"/>
      <c r="P585" s="24"/>
      <c r="Q585" s="24"/>
      <c r="R585" s="24"/>
      <c r="S585" s="24"/>
      <c r="T585" s="34" t="str">
        <f t="shared" ref="T585:V585" si="589">IF(G585&lt;&gt;"","Yes","")</f>
        <v/>
      </c>
      <c r="U585" s="34" t="str">
        <f t="shared" si="589"/>
        <v/>
      </c>
      <c r="V585" s="34" t="str">
        <f t="shared" si="589"/>
        <v/>
      </c>
      <c r="W585" s="34" t="str">
        <f t="shared" si="3"/>
        <v/>
      </c>
      <c r="X585" s="24" t="str">
        <f t="shared" si="4"/>
        <v/>
      </c>
    </row>
    <row r="586" ht="14.25" customHeight="1">
      <c r="A586" s="28">
        <f>HYPERLINK("https://app.hubspot.com/contacts/8748051/record/0-1/2320951", 2320951)</f>
        <v>2320951</v>
      </c>
      <c r="B586" s="24" t="s">
        <v>4487</v>
      </c>
      <c r="C586" s="26">
        <v>45055.58592592592</v>
      </c>
      <c r="D586" s="26"/>
      <c r="E586" s="28" t="s">
        <v>4488</v>
      </c>
      <c r="F586" s="26"/>
      <c r="G586" s="35"/>
      <c r="H586" s="35"/>
      <c r="I586" s="35"/>
      <c r="J586" s="24"/>
      <c r="K586" s="24"/>
      <c r="L586" s="24"/>
      <c r="M586" s="28">
        <f>HYPERLINK("https://app.hubspot.com/contacts/8748051/record/0-2/15698981654", 15698981654)</f>
        <v>15698981654</v>
      </c>
      <c r="N586" s="24" t="s">
        <v>4489</v>
      </c>
      <c r="O586" s="24"/>
      <c r="P586" s="24"/>
      <c r="Q586" s="24"/>
      <c r="R586" s="24"/>
      <c r="S586" s="24"/>
      <c r="T586" s="34" t="str">
        <f t="shared" ref="T586:V586" si="590">IF(G586&lt;&gt;"","Yes","")</f>
        <v/>
      </c>
      <c r="U586" s="34" t="str">
        <f t="shared" si="590"/>
        <v/>
      </c>
      <c r="V586" s="34" t="str">
        <f t="shared" si="590"/>
        <v/>
      </c>
      <c r="W586" s="34" t="str">
        <f t="shared" si="3"/>
        <v/>
      </c>
      <c r="X586" s="24" t="str">
        <f t="shared" si="4"/>
        <v/>
      </c>
    </row>
    <row r="587" ht="14.25" customHeight="1">
      <c r="A587" s="28">
        <f>HYPERLINK("https://app.hubspot.com/contacts/8748051/record/0-1/2302951", 2302951)</f>
        <v>2302951</v>
      </c>
      <c r="B587" s="24" t="s">
        <v>4490</v>
      </c>
      <c r="C587" s="26">
        <v>45050.58451388889</v>
      </c>
      <c r="D587" s="26"/>
      <c r="E587" s="28" t="s">
        <v>4491</v>
      </c>
      <c r="F587" s="26"/>
      <c r="G587" s="35"/>
      <c r="H587" s="35"/>
      <c r="I587" s="35"/>
      <c r="J587" s="24"/>
      <c r="K587" s="24"/>
      <c r="L587" s="24"/>
      <c r="M587" s="28">
        <f>HYPERLINK("https://app.hubspot.com/contacts/8748051/record/0-2/15656719692", 15656719692)</f>
        <v>15656719692</v>
      </c>
      <c r="N587" s="24" t="s">
        <v>4492</v>
      </c>
      <c r="O587" s="24"/>
      <c r="P587" s="24"/>
      <c r="Q587" s="24"/>
      <c r="R587" s="24"/>
      <c r="S587" s="24"/>
      <c r="T587" s="34" t="str">
        <f t="shared" ref="T587:V587" si="591">IF(G587&lt;&gt;"","Yes","")</f>
        <v/>
      </c>
      <c r="U587" s="34" t="str">
        <f t="shared" si="591"/>
        <v/>
      </c>
      <c r="V587" s="34" t="str">
        <f t="shared" si="591"/>
        <v/>
      </c>
      <c r="W587" s="34" t="str">
        <f t="shared" si="3"/>
        <v/>
      </c>
      <c r="X587" s="24" t="str">
        <f t="shared" si="4"/>
        <v/>
      </c>
    </row>
    <row r="588" ht="14.25" customHeight="1">
      <c r="A588" s="28">
        <f>HYPERLINK("https://app.hubspot.com/contacts/8748051/record/0-1/2300101", 2300101)</f>
        <v>2300101</v>
      </c>
      <c r="B588" s="24" t="s">
        <v>4493</v>
      </c>
      <c r="C588" s="26">
        <v>45049.99884259259</v>
      </c>
      <c r="D588" s="26"/>
      <c r="E588" s="28" t="s">
        <v>4494</v>
      </c>
      <c r="F588" s="26"/>
      <c r="G588" s="35"/>
      <c r="H588" s="35"/>
      <c r="I588" s="35"/>
      <c r="J588" s="24"/>
      <c r="K588" s="24"/>
      <c r="L588" s="24"/>
      <c r="M588" s="28">
        <f>HYPERLINK("https://app.hubspot.com/contacts/8748051/record/0-2/15651392319", 15651392319)</f>
        <v>15651392319</v>
      </c>
      <c r="N588" s="24" t="s">
        <v>4495</v>
      </c>
      <c r="O588" s="24"/>
      <c r="P588" s="24"/>
      <c r="Q588" s="24"/>
      <c r="R588" s="24"/>
      <c r="S588" s="24"/>
      <c r="T588" s="34" t="str">
        <f t="shared" ref="T588:V588" si="592">IF(G588&lt;&gt;"","Yes","")</f>
        <v/>
      </c>
      <c r="U588" s="34" t="str">
        <f t="shared" si="592"/>
        <v/>
      </c>
      <c r="V588" s="34" t="str">
        <f t="shared" si="592"/>
        <v/>
      </c>
      <c r="W588" s="34" t="str">
        <f t="shared" si="3"/>
        <v/>
      </c>
      <c r="X588" s="24" t="str">
        <f t="shared" si="4"/>
        <v/>
      </c>
    </row>
    <row r="589" ht="14.25" customHeight="1">
      <c r="A589" s="28">
        <f>HYPERLINK("https://app.hubspot.com/contacts/8748051/record/0-1/2291951", 2291951)</f>
        <v>2291951</v>
      </c>
      <c r="B589" s="24" t="s">
        <v>4496</v>
      </c>
      <c r="C589" s="26">
        <v>45048.34172453704</v>
      </c>
      <c r="D589" s="26"/>
      <c r="E589" s="28" t="s">
        <v>4497</v>
      </c>
      <c r="F589" s="24"/>
      <c r="G589" s="35"/>
      <c r="H589" s="35"/>
      <c r="I589" s="35"/>
      <c r="J589" s="24"/>
      <c r="K589" s="24"/>
      <c r="L589" s="24"/>
      <c r="M589" s="28">
        <f>HYPERLINK("https://app.hubspot.com/contacts/8748051/record/0-2/15634820232", 15634820232)</f>
        <v>15634820232</v>
      </c>
      <c r="N589" s="24" t="s">
        <v>4498</v>
      </c>
      <c r="O589" s="24"/>
      <c r="P589" s="24"/>
      <c r="Q589" s="24"/>
      <c r="R589" s="24"/>
      <c r="S589" s="24"/>
      <c r="T589" s="34" t="str">
        <f t="shared" ref="T589:V589" si="593">IF(G589&lt;&gt;"","Yes","")</f>
        <v/>
      </c>
      <c r="U589" s="34" t="str">
        <f t="shared" si="593"/>
        <v/>
      </c>
      <c r="V589" s="34" t="str">
        <f t="shared" si="593"/>
        <v/>
      </c>
      <c r="W589" s="34" t="str">
        <f t="shared" si="3"/>
        <v/>
      </c>
      <c r="X589" s="24" t="str">
        <f t="shared" si="4"/>
        <v/>
      </c>
    </row>
    <row r="590" ht="14.25" customHeight="1">
      <c r="A590" s="28">
        <f>HYPERLINK("https://app.hubspot.com/contacts/8748051/record/0-1/2274301", 2274301)</f>
        <v>2274301</v>
      </c>
      <c r="B590" s="24" t="s">
        <v>4499</v>
      </c>
      <c r="C590" s="26">
        <v>45044.34144675926</v>
      </c>
      <c r="D590" s="26"/>
      <c r="E590" s="28" t="s">
        <v>2626</v>
      </c>
      <c r="F590" s="24"/>
      <c r="G590" s="35"/>
      <c r="H590" s="35"/>
      <c r="I590" s="35"/>
      <c r="J590" s="24"/>
      <c r="K590" s="24"/>
      <c r="L590" s="24"/>
      <c r="M590" s="28">
        <f>HYPERLINK("https://app.hubspot.com/contacts/8748051/record/0-2/7946436488", 7946436488)</f>
        <v>7946436488</v>
      </c>
      <c r="N590" s="24" t="s">
        <v>2625</v>
      </c>
      <c r="O590" s="28">
        <f>HYPERLINK("https://app.hubspot.com/contacts/8748051/record/0-3/13240413296", 13240413296)</f>
        <v>13240413296</v>
      </c>
      <c r="P590" s="24" t="s">
        <v>2623</v>
      </c>
      <c r="Q590" s="24" t="s">
        <v>149</v>
      </c>
      <c r="R590" s="24">
        <v>9000.0</v>
      </c>
      <c r="S590" s="24" t="b">
        <v>1</v>
      </c>
      <c r="T590" s="34" t="str">
        <f t="shared" ref="T590:V590" si="594">IF(G590&lt;&gt;"","Yes","")</f>
        <v/>
      </c>
      <c r="U590" s="34" t="str">
        <f t="shared" si="594"/>
        <v/>
      </c>
      <c r="V590" s="34" t="str">
        <f t="shared" si="594"/>
        <v/>
      </c>
      <c r="W590" s="34" t="str">
        <f t="shared" si="3"/>
        <v/>
      </c>
      <c r="X590" s="24" t="str">
        <f t="shared" si="4"/>
        <v>Yes</v>
      </c>
    </row>
    <row r="591" ht="14.25" customHeight="1">
      <c r="A591" s="28">
        <f>HYPERLINK("https://app.hubspot.com/contacts/8748051/record/0-1/2258801", 2258801)</f>
        <v>2258801</v>
      </c>
      <c r="B591" s="24" t="s">
        <v>4500</v>
      </c>
      <c r="C591" s="26">
        <v>45041.56040509259</v>
      </c>
      <c r="D591" s="26"/>
      <c r="E591" s="28" t="s">
        <v>4501</v>
      </c>
      <c r="F591" s="24"/>
      <c r="G591" s="35"/>
      <c r="H591" s="35"/>
      <c r="I591" s="35"/>
      <c r="J591" s="24"/>
      <c r="K591" s="24"/>
      <c r="L591" s="24"/>
      <c r="M591" s="28">
        <f>HYPERLINK("https://app.hubspot.com/contacts/8748051/record/0-2/15570076325", 15570076325)</f>
        <v>15570076325</v>
      </c>
      <c r="N591" s="24" t="s">
        <v>4502</v>
      </c>
      <c r="O591" s="24"/>
      <c r="P591" s="24"/>
      <c r="Q591" s="24"/>
      <c r="R591" s="24"/>
      <c r="S591" s="24"/>
      <c r="T591" s="34" t="str">
        <f t="shared" ref="T591:V591" si="595">IF(G591&lt;&gt;"","Yes","")</f>
        <v/>
      </c>
      <c r="U591" s="34" t="str">
        <f t="shared" si="595"/>
        <v/>
      </c>
      <c r="V591" s="34" t="str">
        <f t="shared" si="595"/>
        <v/>
      </c>
      <c r="W591" s="34" t="str">
        <f t="shared" si="3"/>
        <v/>
      </c>
      <c r="X591" s="24" t="str">
        <f t="shared" si="4"/>
        <v/>
      </c>
    </row>
    <row r="592" ht="14.25" customHeight="1">
      <c r="A592" s="28">
        <f>HYPERLINK("https://app.hubspot.com/contacts/8748051/record/0-1/2256901", 2256901)</f>
        <v>2256901</v>
      </c>
      <c r="B592" s="24" t="s">
        <v>4503</v>
      </c>
      <c r="C592" s="26">
        <v>45041.289305555554</v>
      </c>
      <c r="D592" s="26"/>
      <c r="E592" s="28" t="s">
        <v>4504</v>
      </c>
      <c r="F592" s="26"/>
      <c r="G592" s="35"/>
      <c r="H592" s="35"/>
      <c r="I592" s="35"/>
      <c r="J592" s="24"/>
      <c r="K592" s="24"/>
      <c r="L592" s="24"/>
      <c r="M592" s="28">
        <f>HYPERLINK("https://app.hubspot.com/contacts/8748051/record/0-2/9238339646", 9238339646)</f>
        <v>9238339646</v>
      </c>
      <c r="N592" s="24" t="s">
        <v>4505</v>
      </c>
      <c r="O592" s="24"/>
      <c r="P592" s="24"/>
      <c r="Q592" s="24"/>
      <c r="R592" s="24"/>
      <c r="S592" s="24"/>
      <c r="T592" s="34" t="str">
        <f t="shared" ref="T592:V592" si="596">IF(G592&lt;&gt;"","Yes","")</f>
        <v/>
      </c>
      <c r="U592" s="34" t="str">
        <f t="shared" si="596"/>
        <v/>
      </c>
      <c r="V592" s="34" t="str">
        <f t="shared" si="596"/>
        <v/>
      </c>
      <c r="W592" s="34" t="str">
        <f t="shared" si="3"/>
        <v/>
      </c>
      <c r="X592" s="24" t="str">
        <f t="shared" si="4"/>
        <v/>
      </c>
    </row>
    <row r="593" ht="14.25" customHeight="1">
      <c r="A593" s="28">
        <f>HYPERLINK("https://app.hubspot.com/contacts/8748051/record/0-1/2231301", 2231301)</f>
        <v>2231301</v>
      </c>
      <c r="B593" s="24" t="s">
        <v>4506</v>
      </c>
      <c r="C593" s="26">
        <v>45035.261412037034</v>
      </c>
      <c r="D593" s="26"/>
      <c r="E593" s="28" t="s">
        <v>4507</v>
      </c>
      <c r="F593" s="26"/>
      <c r="G593" s="35"/>
      <c r="H593" s="35"/>
      <c r="I593" s="35"/>
      <c r="J593" s="24"/>
      <c r="K593" s="24"/>
      <c r="L593" s="24"/>
      <c r="M593" s="28">
        <f>HYPERLINK("https://app.hubspot.com/contacts/8748051/record/0-2/15504465730", 15504465730)</f>
        <v>15504465730</v>
      </c>
      <c r="N593" s="24" t="s">
        <v>4508</v>
      </c>
      <c r="O593" s="24"/>
      <c r="P593" s="24"/>
      <c r="Q593" s="24"/>
      <c r="R593" s="24"/>
      <c r="S593" s="24"/>
      <c r="T593" s="34" t="str">
        <f t="shared" ref="T593:V593" si="597">IF(G593&lt;&gt;"","Yes","")</f>
        <v/>
      </c>
      <c r="U593" s="34" t="str">
        <f t="shared" si="597"/>
        <v/>
      </c>
      <c r="V593" s="34" t="str">
        <f t="shared" si="597"/>
        <v/>
      </c>
      <c r="W593" s="34" t="str">
        <f t="shared" si="3"/>
        <v/>
      </c>
      <c r="X593" s="24" t="str">
        <f t="shared" si="4"/>
        <v/>
      </c>
    </row>
    <row r="594" ht="14.25" customHeight="1">
      <c r="A594" s="28">
        <f>HYPERLINK("https://app.hubspot.com/contacts/8748051/record/0-1/2191001", 2191001)</f>
        <v>2191001</v>
      </c>
      <c r="B594" s="24" t="s">
        <v>4509</v>
      </c>
      <c r="C594" s="26">
        <v>45029.14524305556</v>
      </c>
      <c r="D594" s="26"/>
      <c r="E594" s="28" t="s">
        <v>2636</v>
      </c>
      <c r="F594" s="26"/>
      <c r="G594" s="35"/>
      <c r="H594" s="35"/>
      <c r="I594" s="35"/>
      <c r="J594" s="24"/>
      <c r="K594" s="24"/>
      <c r="L594" s="24"/>
      <c r="M594" s="28">
        <f>HYPERLINK("https://app.hubspot.com/contacts/8748051/record/0-2/9092869730", 9092869730)</f>
        <v>9092869730</v>
      </c>
      <c r="N594" s="24" t="s">
        <v>2635</v>
      </c>
      <c r="O594" s="28">
        <f>HYPERLINK("https://app.hubspot.com/contacts/8748051/record/0-3/13069403672", 13069403672)</f>
        <v>13069403672</v>
      </c>
      <c r="P594" s="24" t="s">
        <v>2634</v>
      </c>
      <c r="Q594" s="24" t="s">
        <v>127</v>
      </c>
      <c r="R594" s="24">
        <v>30000.0</v>
      </c>
      <c r="S594" s="24" t="b">
        <v>1</v>
      </c>
      <c r="T594" s="34" t="str">
        <f t="shared" ref="T594:V594" si="598">IF(G594&lt;&gt;"","Yes","")</f>
        <v/>
      </c>
      <c r="U594" s="34" t="str">
        <f t="shared" si="598"/>
        <v/>
      </c>
      <c r="V594" s="34" t="str">
        <f t="shared" si="598"/>
        <v/>
      </c>
      <c r="W594" s="34" t="str">
        <f t="shared" si="3"/>
        <v/>
      </c>
      <c r="X594" s="24" t="str">
        <f t="shared" si="4"/>
        <v/>
      </c>
    </row>
    <row r="595" ht="14.25" customHeight="1">
      <c r="A595" s="28">
        <f>HYPERLINK("https://app.hubspot.com/contacts/8748051/record/0-1/2182901", 2182901)</f>
        <v>2182901</v>
      </c>
      <c r="B595" s="24" t="s">
        <v>4510</v>
      </c>
      <c r="C595" s="26">
        <v>45027.15157407407</v>
      </c>
      <c r="D595" s="26"/>
      <c r="E595" s="24" t="s">
        <v>4511</v>
      </c>
      <c r="F595" s="26"/>
      <c r="G595" s="35"/>
      <c r="H595" s="35"/>
      <c r="I595" s="35"/>
      <c r="J595" s="24"/>
      <c r="K595" s="24"/>
      <c r="L595" s="24"/>
      <c r="M595" s="28">
        <f>HYPERLINK("https://app.hubspot.com/contacts/8748051/record/0-2/15431202199", 15431202199)</f>
        <v>15431202199</v>
      </c>
      <c r="N595" s="24" t="s">
        <v>4512</v>
      </c>
      <c r="O595" s="24"/>
      <c r="P595" s="24"/>
      <c r="Q595" s="24"/>
      <c r="R595" s="24"/>
      <c r="S595" s="24"/>
      <c r="T595" s="34" t="str">
        <f t="shared" ref="T595:V595" si="599">IF(G595&lt;&gt;"","Yes","")</f>
        <v/>
      </c>
      <c r="U595" s="34" t="str">
        <f t="shared" si="599"/>
        <v/>
      </c>
      <c r="V595" s="34" t="str">
        <f t="shared" si="599"/>
        <v/>
      </c>
      <c r="W595" s="34" t="str">
        <f t="shared" si="3"/>
        <v/>
      </c>
      <c r="X595" s="24" t="str">
        <f t="shared" si="4"/>
        <v/>
      </c>
    </row>
    <row r="596" ht="14.25" customHeight="1">
      <c r="A596" s="28">
        <f>HYPERLINK("https://app.hubspot.com/contacts/8748051/record/0-1/2159801", 2159801)</f>
        <v>2159801</v>
      </c>
      <c r="B596" s="24" t="s">
        <v>4513</v>
      </c>
      <c r="C596" s="26">
        <v>45021.222962962966</v>
      </c>
      <c r="D596" s="26"/>
      <c r="E596" s="28" t="s">
        <v>4514</v>
      </c>
      <c r="F596" s="24"/>
      <c r="G596" s="35"/>
      <c r="H596" s="35"/>
      <c r="I596" s="35"/>
      <c r="J596" s="24"/>
      <c r="K596" s="24"/>
      <c r="L596" s="24"/>
      <c r="M596" s="28">
        <f>HYPERLINK("https://app.hubspot.com/contacts/8748051/record/0-2/15389147567", 15389147567)</f>
        <v>15389147567</v>
      </c>
      <c r="N596" s="24" t="s">
        <v>4515</v>
      </c>
      <c r="O596" s="24"/>
      <c r="P596" s="24"/>
      <c r="Q596" s="24"/>
      <c r="R596" s="24"/>
      <c r="S596" s="24"/>
      <c r="T596" s="34" t="str">
        <f t="shared" ref="T596:V596" si="600">IF(G596&lt;&gt;"","Yes","")</f>
        <v/>
      </c>
      <c r="U596" s="34" t="str">
        <f t="shared" si="600"/>
        <v/>
      </c>
      <c r="V596" s="34" t="str">
        <f t="shared" si="600"/>
        <v/>
      </c>
      <c r="W596" s="34" t="str">
        <f t="shared" si="3"/>
        <v/>
      </c>
      <c r="X596" s="24" t="str">
        <f t="shared" si="4"/>
        <v/>
      </c>
    </row>
    <row r="597" ht="14.25" customHeight="1">
      <c r="A597" s="28">
        <f>HYPERLINK("https://app.hubspot.com/contacts/8748051/record/0-1/2154751", 2154751)</f>
        <v>2154751</v>
      </c>
      <c r="B597" s="24" t="s">
        <v>4516</v>
      </c>
      <c r="C597" s="26">
        <v>45020.34741898148</v>
      </c>
      <c r="D597" s="26"/>
      <c r="E597" s="28" t="s">
        <v>865</v>
      </c>
      <c r="F597" s="26"/>
      <c r="G597" s="35"/>
      <c r="H597" s="35"/>
      <c r="I597" s="35"/>
      <c r="J597" s="24"/>
      <c r="K597" s="24"/>
      <c r="L597" s="24"/>
      <c r="M597" s="28">
        <f>HYPERLINK("https://app.hubspot.com/contacts/8748051/record/0-2/9781558177", 9781558177)</f>
        <v>9781558177</v>
      </c>
      <c r="N597" s="24" t="s">
        <v>864</v>
      </c>
      <c r="O597" s="28">
        <f>HYPERLINK("https://app.hubspot.com/contacts/8748051/record/0-3/12970621556", 12970621556)</f>
        <v>12970621556</v>
      </c>
      <c r="P597" s="24" t="s">
        <v>2637</v>
      </c>
      <c r="Q597" s="24" t="s">
        <v>92</v>
      </c>
      <c r="R597" s="24">
        <v>13500.0</v>
      </c>
      <c r="S597" s="24" t="b">
        <v>1</v>
      </c>
      <c r="T597" s="34" t="str">
        <f t="shared" ref="T597:V597" si="601">IF(G597&lt;&gt;"","Yes","")</f>
        <v/>
      </c>
      <c r="U597" s="34" t="str">
        <f t="shared" si="601"/>
        <v/>
      </c>
      <c r="V597" s="34" t="str">
        <f t="shared" si="601"/>
        <v/>
      </c>
      <c r="W597" s="34" t="str">
        <f t="shared" si="3"/>
        <v>Yes</v>
      </c>
      <c r="X597" s="24" t="str">
        <f t="shared" si="4"/>
        <v/>
      </c>
    </row>
    <row r="598" ht="14.25" customHeight="1">
      <c r="A598" s="28">
        <f>HYPERLINK("https://app.hubspot.com/contacts/8748051/record/0-1/2133201", 2133201)</f>
        <v>2133201</v>
      </c>
      <c r="B598" s="24" t="s">
        <v>4517</v>
      </c>
      <c r="C598" s="26">
        <v>45016.57609953704</v>
      </c>
      <c r="D598" s="26"/>
      <c r="E598" s="28" t="s">
        <v>4518</v>
      </c>
      <c r="F598" s="26"/>
      <c r="G598" s="35"/>
      <c r="H598" s="35"/>
      <c r="I598" s="35"/>
      <c r="J598" s="24"/>
      <c r="K598" s="24"/>
      <c r="L598" s="24"/>
      <c r="M598" s="28">
        <f>HYPERLINK("https://app.hubspot.com/contacts/8748051/record/0-2/14810802530", 14810802530)</f>
        <v>14810802530</v>
      </c>
      <c r="N598" s="24" t="s">
        <v>4519</v>
      </c>
      <c r="O598" s="24"/>
      <c r="P598" s="24"/>
      <c r="Q598" s="24"/>
      <c r="R598" s="24"/>
      <c r="S598" s="24"/>
      <c r="T598" s="34" t="str">
        <f t="shared" ref="T598:V598" si="602">IF(G598&lt;&gt;"","Yes","")</f>
        <v/>
      </c>
      <c r="U598" s="34" t="str">
        <f t="shared" si="602"/>
        <v/>
      </c>
      <c r="V598" s="34" t="str">
        <f t="shared" si="602"/>
        <v/>
      </c>
      <c r="W598" s="34" t="str">
        <f t="shared" si="3"/>
        <v/>
      </c>
      <c r="X598" s="24" t="str">
        <f t="shared" si="4"/>
        <v/>
      </c>
    </row>
    <row r="599" ht="14.25" customHeight="1">
      <c r="A599" s="28">
        <f>HYPERLINK("https://app.hubspot.com/contacts/8748051/record/0-1/2137601", 2137601)</f>
        <v>2137601</v>
      </c>
      <c r="B599" s="24" t="s">
        <v>4520</v>
      </c>
      <c r="C599" s="26">
        <v>45015.804236111115</v>
      </c>
      <c r="D599" s="26"/>
      <c r="E599" s="28" t="s">
        <v>2619</v>
      </c>
      <c r="F599" s="24"/>
      <c r="G599" s="35"/>
      <c r="H599" s="35"/>
      <c r="I599" s="35"/>
      <c r="J599" s="24"/>
      <c r="K599" s="24"/>
      <c r="L599" s="24"/>
      <c r="M599" s="28">
        <f>HYPERLINK("https://app.hubspot.com/contacts/8748051/record/0-2/15345840543", 15345840543)</f>
        <v>15345840543</v>
      </c>
      <c r="N599" s="24" t="s">
        <v>2618</v>
      </c>
      <c r="O599" s="28">
        <f>HYPERLINK("https://app.hubspot.com/contacts/8748051/record/0-3/13366231134", 13366231134)</f>
        <v>13366231134</v>
      </c>
      <c r="P599" s="24" t="s">
        <v>2616</v>
      </c>
      <c r="Q599" s="24" t="s">
        <v>149</v>
      </c>
      <c r="R599" s="24">
        <v>17280.0</v>
      </c>
      <c r="S599" s="24" t="b">
        <v>1</v>
      </c>
      <c r="T599" s="34" t="str">
        <f t="shared" ref="T599:V599" si="603">IF(G599&lt;&gt;"","Yes","")</f>
        <v/>
      </c>
      <c r="U599" s="34" t="str">
        <f t="shared" si="603"/>
        <v/>
      </c>
      <c r="V599" s="34" t="str">
        <f t="shared" si="603"/>
        <v/>
      </c>
      <c r="W599" s="34" t="str">
        <f t="shared" si="3"/>
        <v/>
      </c>
      <c r="X599" s="24" t="str">
        <f t="shared" si="4"/>
        <v>Yes</v>
      </c>
    </row>
    <row r="600" ht="14.25" customHeight="1">
      <c r="A600" s="28">
        <f>HYPERLINK("https://app.hubspot.com/contacts/8748051/record/0-1/2130251", 2130251)</f>
        <v>2130251</v>
      </c>
      <c r="B600" s="24" t="s">
        <v>4521</v>
      </c>
      <c r="C600" s="26">
        <v>45014.413090277776</v>
      </c>
      <c r="D600" s="26"/>
      <c r="E600" s="28" t="s">
        <v>4522</v>
      </c>
      <c r="F600" s="26"/>
      <c r="G600" s="35"/>
      <c r="H600" s="35"/>
      <c r="I600" s="35"/>
      <c r="J600" s="24"/>
      <c r="K600" s="24"/>
      <c r="L600" s="24"/>
      <c r="M600" s="28">
        <f>HYPERLINK("https://app.hubspot.com/contacts/8748051/record/0-2/15329345412", 15329345412)</f>
        <v>15329345412</v>
      </c>
      <c r="N600" s="24" t="s">
        <v>4523</v>
      </c>
      <c r="O600" s="24"/>
      <c r="P600" s="24"/>
      <c r="Q600" s="24"/>
      <c r="R600" s="24"/>
      <c r="S600" s="24"/>
      <c r="T600" s="34" t="str">
        <f t="shared" ref="T600:V600" si="604">IF(G600&lt;&gt;"","Yes","")</f>
        <v/>
      </c>
      <c r="U600" s="34" t="str">
        <f t="shared" si="604"/>
        <v/>
      </c>
      <c r="V600" s="34" t="str">
        <f t="shared" si="604"/>
        <v/>
      </c>
      <c r="W600" s="34" t="str">
        <f t="shared" si="3"/>
        <v/>
      </c>
      <c r="X600" s="24" t="str">
        <f t="shared" si="4"/>
        <v/>
      </c>
    </row>
    <row r="601" ht="14.25" customHeight="1">
      <c r="A601" s="28">
        <f>HYPERLINK("https://app.hubspot.com/contacts/8748051/record/0-1/2127851", 2127851)</f>
        <v>2127851</v>
      </c>
      <c r="B601" s="24" t="s">
        <v>4524</v>
      </c>
      <c r="C601" s="26">
        <v>45014.0059837963</v>
      </c>
      <c r="D601" s="26"/>
      <c r="E601" s="28" t="s">
        <v>4525</v>
      </c>
      <c r="F601" s="26"/>
      <c r="G601" s="35"/>
      <c r="H601" s="35"/>
      <c r="I601" s="35"/>
      <c r="J601" s="24"/>
      <c r="K601" s="24"/>
      <c r="L601" s="24"/>
      <c r="M601" s="28">
        <f>HYPERLINK("https://app.hubspot.com/contacts/8748051/record/0-2/15325187944", 15325187944)</f>
        <v>15325187944</v>
      </c>
      <c r="N601" s="24" t="s">
        <v>4526</v>
      </c>
      <c r="O601" s="34"/>
      <c r="P601" s="24"/>
      <c r="Q601" s="24"/>
      <c r="R601" s="24"/>
      <c r="S601" s="24"/>
      <c r="T601" s="34" t="str">
        <f t="shared" ref="T601:V601" si="605">IF(G601&lt;&gt;"","Yes","")</f>
        <v/>
      </c>
      <c r="U601" s="34" t="str">
        <f t="shared" si="605"/>
        <v/>
      </c>
      <c r="V601" s="34" t="str">
        <f t="shared" si="605"/>
        <v/>
      </c>
      <c r="W601" s="34" t="str">
        <f t="shared" si="3"/>
        <v/>
      </c>
      <c r="X601" s="24" t="str">
        <f t="shared" si="4"/>
        <v/>
      </c>
    </row>
    <row r="602" ht="14.25" customHeight="1">
      <c r="A602" s="28">
        <f>HYPERLINK("https://app.hubspot.com/contacts/8748051/record/0-1/2115501", 2115501)</f>
        <v>2115501</v>
      </c>
      <c r="B602" s="24" t="s">
        <v>4527</v>
      </c>
      <c r="C602" s="26">
        <v>45012.236030092594</v>
      </c>
      <c r="D602" s="26"/>
      <c r="E602" s="28" t="s">
        <v>1848</v>
      </c>
      <c r="F602" s="24"/>
      <c r="G602" s="35"/>
      <c r="H602" s="35"/>
      <c r="I602" s="35"/>
      <c r="J602" s="24"/>
      <c r="K602" s="24"/>
      <c r="L602" s="24"/>
      <c r="M602" s="28">
        <f>HYPERLINK("https://app.hubspot.com/contacts/8748051/record/0-2/6936374888", 6936374888)</f>
        <v>6936374888</v>
      </c>
      <c r="N602" s="24" t="s">
        <v>1847</v>
      </c>
      <c r="O602" s="24"/>
      <c r="P602" s="24"/>
      <c r="Q602" s="24"/>
      <c r="R602" s="24"/>
      <c r="S602" s="24"/>
      <c r="T602" s="34" t="str">
        <f t="shared" ref="T602:V602" si="606">IF(G602&lt;&gt;"","Yes","")</f>
        <v/>
      </c>
      <c r="U602" s="34" t="str">
        <f t="shared" si="606"/>
        <v/>
      </c>
      <c r="V602" s="34" t="str">
        <f t="shared" si="606"/>
        <v/>
      </c>
      <c r="W602" s="34" t="str">
        <f t="shared" si="3"/>
        <v/>
      </c>
      <c r="X602" s="24" t="str">
        <f t="shared" si="4"/>
        <v/>
      </c>
    </row>
    <row r="603" ht="14.25" customHeight="1">
      <c r="A603" s="28">
        <f>HYPERLINK("https://app.hubspot.com/contacts/8748051/record/0-1/2097051", 2097051)</f>
        <v>2097051</v>
      </c>
      <c r="B603" s="24" t="s">
        <v>4528</v>
      </c>
      <c r="C603" s="26">
        <v>45008.38579861111</v>
      </c>
      <c r="D603" s="26"/>
      <c r="E603" s="28" t="s">
        <v>2906</v>
      </c>
      <c r="F603" s="26"/>
      <c r="G603" s="35"/>
      <c r="H603" s="35"/>
      <c r="I603" s="35"/>
      <c r="J603" s="24"/>
      <c r="K603" s="24"/>
      <c r="L603" s="24"/>
      <c r="M603" s="28">
        <f>HYPERLINK("https://app.hubspot.com/contacts/8748051/record/0-2/8324054933", 8324054933)</f>
        <v>8324054933</v>
      </c>
      <c r="N603" s="24" t="s">
        <v>2905</v>
      </c>
      <c r="O603" s="24"/>
      <c r="P603" s="24"/>
      <c r="Q603" s="24"/>
      <c r="R603" s="24"/>
      <c r="S603" s="24"/>
      <c r="T603" s="34" t="str">
        <f t="shared" ref="T603:V603" si="607">IF(G603&lt;&gt;"","Yes","")</f>
        <v/>
      </c>
      <c r="U603" s="34" t="str">
        <f t="shared" si="607"/>
        <v/>
      </c>
      <c r="V603" s="34" t="str">
        <f t="shared" si="607"/>
        <v/>
      </c>
      <c r="W603" s="34" t="str">
        <f t="shared" si="3"/>
        <v/>
      </c>
      <c r="X603" s="24" t="str">
        <f t="shared" si="4"/>
        <v/>
      </c>
    </row>
    <row r="604" ht="14.25" customHeight="1">
      <c r="A604" s="28">
        <f>HYPERLINK("https://app.hubspot.com/contacts/8748051/record/0-1/2095701", 2095701)</f>
        <v>2095701</v>
      </c>
      <c r="B604" s="24" t="s">
        <v>4529</v>
      </c>
      <c r="C604" s="26">
        <v>45008.213784722226</v>
      </c>
      <c r="D604" s="26"/>
      <c r="E604" s="24" t="s">
        <v>4530</v>
      </c>
      <c r="F604" s="26"/>
      <c r="G604" s="35"/>
      <c r="H604" s="35"/>
      <c r="I604" s="35"/>
      <c r="J604" s="24"/>
      <c r="K604" s="24"/>
      <c r="L604" s="24"/>
      <c r="M604" s="28">
        <f>HYPERLINK("https://app.hubspot.com/contacts/8748051/record/0-2/15267339647", 15267339647)</f>
        <v>15267339647</v>
      </c>
      <c r="N604" s="24" t="s">
        <v>4531</v>
      </c>
      <c r="O604" s="24"/>
      <c r="P604" s="24"/>
      <c r="Q604" s="24"/>
      <c r="R604" s="24"/>
      <c r="S604" s="24"/>
      <c r="T604" s="34" t="str">
        <f t="shared" ref="T604:V604" si="608">IF(G604&lt;&gt;"","Yes","")</f>
        <v/>
      </c>
      <c r="U604" s="34" t="str">
        <f t="shared" si="608"/>
        <v/>
      </c>
      <c r="V604" s="34" t="str">
        <f t="shared" si="608"/>
        <v/>
      </c>
      <c r="W604" s="34" t="str">
        <f t="shared" si="3"/>
        <v/>
      </c>
      <c r="X604" s="24" t="str">
        <f t="shared" si="4"/>
        <v/>
      </c>
    </row>
    <row r="605" ht="14.25" customHeight="1">
      <c r="A605" s="28">
        <f>HYPERLINK("https://app.hubspot.com/contacts/8748051/record/0-1/2086851", 2086851)</f>
        <v>2086851</v>
      </c>
      <c r="B605" s="24" t="s">
        <v>4532</v>
      </c>
      <c r="C605" s="26">
        <v>45006.71633101852</v>
      </c>
      <c r="D605" s="26"/>
      <c r="E605" s="28" t="s">
        <v>4533</v>
      </c>
      <c r="F605" s="26"/>
      <c r="G605" s="35"/>
      <c r="H605" s="35"/>
      <c r="I605" s="35"/>
      <c r="J605" s="24"/>
      <c r="K605" s="24"/>
      <c r="L605" s="24"/>
      <c r="M605" s="28">
        <f>HYPERLINK("https://app.hubspot.com/contacts/8748051/record/0-2/15250877711", 15250877711)</f>
        <v>15250877711</v>
      </c>
      <c r="N605" s="24" t="s">
        <v>4534</v>
      </c>
      <c r="O605" s="24"/>
      <c r="P605" s="24"/>
      <c r="Q605" s="24"/>
      <c r="R605" s="24"/>
      <c r="S605" s="24"/>
      <c r="T605" s="34" t="str">
        <f t="shared" ref="T605:V605" si="609">IF(G605&lt;&gt;"","Yes","")</f>
        <v/>
      </c>
      <c r="U605" s="34" t="str">
        <f t="shared" si="609"/>
        <v/>
      </c>
      <c r="V605" s="34" t="str">
        <f t="shared" si="609"/>
        <v/>
      </c>
      <c r="W605" s="34" t="str">
        <f t="shared" si="3"/>
        <v/>
      </c>
      <c r="X605" s="24" t="str">
        <f t="shared" si="4"/>
        <v/>
      </c>
    </row>
    <row r="606" ht="14.25" customHeight="1">
      <c r="A606" s="28">
        <f>HYPERLINK("https://app.hubspot.com/contacts/8748051/record/0-1/2083351", 2083351)</f>
        <v>2083351</v>
      </c>
      <c r="B606" s="24" t="s">
        <v>4535</v>
      </c>
      <c r="C606" s="26">
        <v>45006.16111111111</v>
      </c>
      <c r="D606" s="26"/>
      <c r="E606" s="28" t="s">
        <v>4536</v>
      </c>
      <c r="F606" s="24"/>
      <c r="G606" s="35"/>
      <c r="H606" s="35"/>
      <c r="I606" s="35"/>
      <c r="J606" s="24"/>
      <c r="K606" s="24"/>
      <c r="L606" s="24"/>
      <c r="M606" s="28">
        <f>HYPERLINK("https://app.hubspot.com/contacts/8748051/record/0-2/15242937177", 15242937177)</f>
        <v>15242937177</v>
      </c>
      <c r="N606" s="24" t="s">
        <v>4537</v>
      </c>
      <c r="O606" s="24"/>
      <c r="P606" s="24"/>
      <c r="Q606" s="24"/>
      <c r="R606" s="24"/>
      <c r="S606" s="24"/>
      <c r="T606" s="34" t="str">
        <f t="shared" ref="T606:V606" si="610">IF(G606&lt;&gt;"","Yes","")</f>
        <v/>
      </c>
      <c r="U606" s="34" t="str">
        <f t="shared" si="610"/>
        <v/>
      </c>
      <c r="V606" s="34" t="str">
        <f t="shared" si="610"/>
        <v/>
      </c>
      <c r="W606" s="34" t="str">
        <f t="shared" si="3"/>
        <v/>
      </c>
      <c r="X606" s="24" t="str">
        <f t="shared" si="4"/>
        <v/>
      </c>
    </row>
    <row r="607" ht="14.25" customHeight="1">
      <c r="A607" s="28">
        <f>HYPERLINK("https://app.hubspot.com/contacts/8748051/record/0-1/1199451", 1199451)</f>
        <v>1199451</v>
      </c>
      <c r="B607" s="24" t="s">
        <v>4538</v>
      </c>
      <c r="C607" s="26">
        <v>45001.29876157407</v>
      </c>
      <c r="D607" s="26"/>
      <c r="E607" s="28" t="s">
        <v>1590</v>
      </c>
      <c r="F607" s="26"/>
      <c r="G607" s="35"/>
      <c r="H607" s="35"/>
      <c r="I607" s="35"/>
      <c r="J607" s="24"/>
      <c r="K607" s="24"/>
      <c r="L607" s="24"/>
      <c r="M607" s="28">
        <f>HYPERLINK("https://app.hubspot.com/contacts/8748051/record/0-2/8946917146", 8946917146)</f>
        <v>8946917146</v>
      </c>
      <c r="N607" s="24" t="s">
        <v>1589</v>
      </c>
      <c r="O607" s="28">
        <f>HYPERLINK("https://app.hubspot.com/contacts/8748051/record/0-3/20461954884", 20461954884)</f>
        <v>20461954884</v>
      </c>
      <c r="P607" s="24" t="s">
        <v>1587</v>
      </c>
      <c r="Q607" s="24" t="s">
        <v>92</v>
      </c>
      <c r="R607" s="24">
        <v>4050.0</v>
      </c>
      <c r="S607" s="24" t="b">
        <v>1</v>
      </c>
      <c r="T607" s="34" t="str">
        <f t="shared" ref="T607:V607" si="611">IF(G607&lt;&gt;"","Yes","")</f>
        <v/>
      </c>
      <c r="U607" s="34" t="str">
        <f t="shared" si="611"/>
        <v/>
      </c>
      <c r="V607" s="34" t="str">
        <f t="shared" si="611"/>
        <v/>
      </c>
      <c r="W607" s="34" t="str">
        <f t="shared" si="3"/>
        <v>Yes</v>
      </c>
      <c r="X607" s="24" t="str">
        <f t="shared" si="4"/>
        <v/>
      </c>
    </row>
    <row r="608" ht="14.25" customHeight="1">
      <c r="A608" s="28">
        <f>HYPERLINK("https://app.hubspot.com/contacts/8748051/record/0-1/2038401", 2038401)</f>
        <v>2038401</v>
      </c>
      <c r="B608" s="24" t="s">
        <v>4539</v>
      </c>
      <c r="C608" s="26">
        <v>44998.468773148146</v>
      </c>
      <c r="D608" s="26"/>
      <c r="E608" s="28" t="s">
        <v>206</v>
      </c>
      <c r="F608" s="26"/>
      <c r="G608" s="35"/>
      <c r="H608" s="35">
        <v>45681.0</v>
      </c>
      <c r="I608" s="35">
        <v>45681.0</v>
      </c>
      <c r="J608" s="24"/>
      <c r="K608" s="24"/>
      <c r="L608" s="24"/>
      <c r="M608" s="28">
        <f>HYPERLINK("https://app.hubspot.com/contacts/8748051/record/0-2/15119716451", 15119716451)</f>
        <v>15119716451</v>
      </c>
      <c r="N608" s="24" t="s">
        <v>205</v>
      </c>
      <c r="O608" s="28">
        <f>HYPERLINK("https://app.hubspot.com/contacts/8748051/record/0-3/17100968511", 17100968511)</f>
        <v>17100968511</v>
      </c>
      <c r="P608" s="24" t="s">
        <v>2319</v>
      </c>
      <c r="Q608" s="24" t="s">
        <v>92</v>
      </c>
      <c r="R608" s="24">
        <v>29562.0</v>
      </c>
      <c r="S608" s="24" t="b">
        <v>1</v>
      </c>
      <c r="T608" s="34" t="str">
        <f t="shared" ref="T608:V608" si="612">IF(G608&lt;&gt;"","Yes","")</f>
        <v/>
      </c>
      <c r="U608" s="34" t="str">
        <f t="shared" si="612"/>
        <v>Yes</v>
      </c>
      <c r="V608" s="34" t="str">
        <f t="shared" si="612"/>
        <v>Yes</v>
      </c>
      <c r="W608" s="34" t="str">
        <f t="shared" si="3"/>
        <v>Yes</v>
      </c>
      <c r="X608" s="24" t="str">
        <f t="shared" si="4"/>
        <v/>
      </c>
    </row>
    <row r="609" ht="14.25" customHeight="1">
      <c r="A609" s="28">
        <f>HYPERLINK("https://app.hubspot.com/contacts/8748051/record/0-1/2028151", 2028151)</f>
        <v>2028151</v>
      </c>
      <c r="B609" s="24" t="s">
        <v>4540</v>
      </c>
      <c r="C609" s="26">
        <v>44995.39436342593</v>
      </c>
      <c r="D609" s="26"/>
      <c r="E609" s="24" t="s">
        <v>4541</v>
      </c>
      <c r="F609" s="26"/>
      <c r="G609" s="35"/>
      <c r="H609" s="35"/>
      <c r="I609" s="35"/>
      <c r="J609" s="24"/>
      <c r="K609" s="24"/>
      <c r="L609" s="24"/>
      <c r="M609" s="28">
        <f>HYPERLINK("https://app.hubspot.com/contacts/8748051/record/0-2/15061272898", 15061272898)</f>
        <v>15061272898</v>
      </c>
      <c r="N609" s="24" t="s">
        <v>4542</v>
      </c>
      <c r="O609" s="24"/>
      <c r="P609" s="24"/>
      <c r="Q609" s="24"/>
      <c r="R609" s="24"/>
      <c r="S609" s="24"/>
      <c r="T609" s="34" t="str">
        <f t="shared" ref="T609:V609" si="613">IF(G609&lt;&gt;"","Yes","")</f>
        <v/>
      </c>
      <c r="U609" s="34" t="str">
        <f t="shared" si="613"/>
        <v/>
      </c>
      <c r="V609" s="34" t="str">
        <f t="shared" si="613"/>
        <v/>
      </c>
      <c r="W609" s="34" t="str">
        <f t="shared" si="3"/>
        <v/>
      </c>
      <c r="X609" s="24" t="str">
        <f t="shared" si="4"/>
        <v/>
      </c>
    </row>
    <row r="610" ht="14.25" customHeight="1">
      <c r="A610" s="28">
        <f>HYPERLINK("https://app.hubspot.com/contacts/8748051/record/0-1/2008551", 2008551)</f>
        <v>2008551</v>
      </c>
      <c r="B610" s="24" t="s">
        <v>4543</v>
      </c>
      <c r="C610" s="26">
        <v>44992.12899305556</v>
      </c>
      <c r="D610" s="26"/>
      <c r="E610" s="28" t="s">
        <v>2629</v>
      </c>
      <c r="F610" s="26"/>
      <c r="G610" s="35"/>
      <c r="H610" s="35"/>
      <c r="I610" s="35"/>
      <c r="J610" s="24"/>
      <c r="K610" s="24"/>
      <c r="L610" s="24"/>
      <c r="M610" s="28">
        <f>HYPERLINK("https://app.hubspot.com/contacts/8748051/record/0-2/14981052460", 14981052460)</f>
        <v>14981052460</v>
      </c>
      <c r="N610" s="24" t="s">
        <v>2628</v>
      </c>
      <c r="O610" s="33">
        <f>HYPERLINK("https://app.hubspot.com/contacts/8748051/record/0-3/13169390936", 13169390936)</f>
        <v>13169390936</v>
      </c>
      <c r="P610" s="24" t="s">
        <v>2627</v>
      </c>
      <c r="Q610" s="24" t="s">
        <v>127</v>
      </c>
      <c r="R610" s="24">
        <v>9000.0</v>
      </c>
      <c r="S610" s="24"/>
      <c r="T610" s="34" t="str">
        <f t="shared" ref="T610:V610" si="614">IF(G610&lt;&gt;"","Yes","")</f>
        <v/>
      </c>
      <c r="U610" s="34" t="str">
        <f t="shared" si="614"/>
        <v/>
      </c>
      <c r="V610" s="34" t="str">
        <f t="shared" si="614"/>
        <v/>
      </c>
      <c r="W610" s="34" t="str">
        <f t="shared" si="3"/>
        <v/>
      </c>
      <c r="X610" s="24" t="str">
        <f t="shared" si="4"/>
        <v/>
      </c>
    </row>
    <row r="611" ht="14.25" customHeight="1">
      <c r="A611" s="28">
        <f>HYPERLINK("https://app.hubspot.com/contacts/8748051/record/0-1/2007801", 2007801)</f>
        <v>2007801</v>
      </c>
      <c r="B611" s="24" t="s">
        <v>4544</v>
      </c>
      <c r="C611" s="26">
        <v>44991.9809837963</v>
      </c>
      <c r="D611" s="26"/>
      <c r="E611" s="28" t="s">
        <v>4545</v>
      </c>
      <c r="F611" s="24"/>
      <c r="G611" s="35"/>
      <c r="H611" s="35"/>
      <c r="I611" s="35"/>
      <c r="J611" s="24"/>
      <c r="K611" s="24"/>
      <c r="L611" s="24"/>
      <c r="M611" s="28">
        <f>HYPERLINK("https://app.hubspot.com/contacts/8748051/record/0-2/9549846031", 9549846031)</f>
        <v>9549846031</v>
      </c>
      <c r="N611" s="24" t="s">
        <v>4546</v>
      </c>
      <c r="O611" s="24"/>
      <c r="P611" s="24"/>
      <c r="Q611" s="24"/>
      <c r="R611" s="24"/>
      <c r="S611" s="24"/>
      <c r="T611" s="34" t="str">
        <f t="shared" ref="T611:V611" si="615">IF(G611&lt;&gt;"","Yes","")</f>
        <v/>
      </c>
      <c r="U611" s="34" t="str">
        <f t="shared" si="615"/>
        <v/>
      </c>
      <c r="V611" s="34" t="str">
        <f t="shared" si="615"/>
        <v/>
      </c>
      <c r="W611" s="34" t="str">
        <f t="shared" si="3"/>
        <v/>
      </c>
      <c r="X611" s="24" t="str">
        <f t="shared" si="4"/>
        <v/>
      </c>
    </row>
    <row r="612" ht="14.25" customHeight="1">
      <c r="A612" s="28">
        <f>HYPERLINK("https://app.hubspot.com/contacts/8748051/record/0-1/2004951", 2004951)</f>
        <v>2004951</v>
      </c>
      <c r="B612" s="24" t="s">
        <v>4547</v>
      </c>
      <c r="C612" s="26">
        <v>44991.67891203704</v>
      </c>
      <c r="D612" s="26"/>
      <c r="E612" s="28" t="s">
        <v>472</v>
      </c>
      <c r="F612" s="24"/>
      <c r="G612" s="35"/>
      <c r="H612" s="35"/>
      <c r="I612" s="35"/>
      <c r="J612" s="24"/>
      <c r="K612" s="24"/>
      <c r="L612" s="24"/>
      <c r="M612" s="28">
        <f>HYPERLINK("https://app.hubspot.com/contacts/8748051/record/0-2/10013265046", 10013265046)</f>
        <v>10013265046</v>
      </c>
      <c r="N612" s="24" t="s">
        <v>471</v>
      </c>
      <c r="O612" s="24"/>
      <c r="P612" s="24"/>
      <c r="Q612" s="24"/>
      <c r="R612" s="24"/>
      <c r="S612" s="24"/>
      <c r="T612" s="34" t="str">
        <f t="shared" ref="T612:V612" si="616">IF(G612&lt;&gt;"","Yes","")</f>
        <v/>
      </c>
      <c r="U612" s="34" t="str">
        <f t="shared" si="616"/>
        <v/>
      </c>
      <c r="V612" s="34" t="str">
        <f t="shared" si="616"/>
        <v/>
      </c>
      <c r="W612" s="34" t="str">
        <f t="shared" si="3"/>
        <v/>
      </c>
      <c r="X612" s="24" t="str">
        <f t="shared" si="4"/>
        <v/>
      </c>
    </row>
    <row r="613" ht="14.25" customHeight="1">
      <c r="A613" s="28">
        <f>HYPERLINK("https://app.hubspot.com/contacts/8748051/record/0-1/2005451", 2005451)</f>
        <v>2005451</v>
      </c>
      <c r="B613" s="24" t="s">
        <v>4548</v>
      </c>
      <c r="C613" s="26">
        <v>44991.48991898148</v>
      </c>
      <c r="D613" s="26"/>
      <c r="E613" s="28" t="s">
        <v>4549</v>
      </c>
      <c r="F613" s="26"/>
      <c r="G613" s="35"/>
      <c r="H613" s="35"/>
      <c r="I613" s="35"/>
      <c r="J613" s="24"/>
      <c r="K613" s="24"/>
      <c r="L613" s="24"/>
      <c r="M613" s="28">
        <f>HYPERLINK("https://app.hubspot.com/contacts/8748051/record/0-2/14967804548", 14967804548)</f>
        <v>14967804548</v>
      </c>
      <c r="N613" s="24" t="s">
        <v>4550</v>
      </c>
      <c r="O613" s="34"/>
      <c r="P613" s="24"/>
      <c r="Q613" s="24"/>
      <c r="R613" s="24"/>
      <c r="S613" s="24"/>
      <c r="T613" s="34" t="str">
        <f t="shared" ref="T613:V613" si="617">IF(G613&lt;&gt;"","Yes","")</f>
        <v/>
      </c>
      <c r="U613" s="34" t="str">
        <f t="shared" si="617"/>
        <v/>
      </c>
      <c r="V613" s="34" t="str">
        <f t="shared" si="617"/>
        <v/>
      </c>
      <c r="W613" s="34" t="str">
        <f t="shared" si="3"/>
        <v/>
      </c>
      <c r="X613" s="24" t="str">
        <f t="shared" si="4"/>
        <v/>
      </c>
    </row>
    <row r="614" ht="14.25" customHeight="1">
      <c r="A614" s="28">
        <f>HYPERLINK("https://app.hubspot.com/contacts/8748051/record/0-1/2003901", 2003901)</f>
        <v>2003901</v>
      </c>
      <c r="B614" s="24" t="s">
        <v>4551</v>
      </c>
      <c r="C614" s="26">
        <v>44991.320914351854</v>
      </c>
      <c r="D614" s="26"/>
      <c r="E614" s="28" t="s">
        <v>4552</v>
      </c>
      <c r="F614" s="26"/>
      <c r="G614" s="35"/>
      <c r="H614" s="35"/>
      <c r="I614" s="35"/>
      <c r="J614" s="24"/>
      <c r="K614" s="24"/>
      <c r="L614" s="24"/>
      <c r="M614" s="28">
        <f>HYPERLINK("https://app.hubspot.com/contacts/8748051/record/0-2/14965222243", 14965222243)</f>
        <v>14965222243</v>
      </c>
      <c r="N614" s="28" t="s">
        <v>4552</v>
      </c>
      <c r="O614" s="24"/>
      <c r="P614" s="24"/>
      <c r="Q614" s="24"/>
      <c r="R614" s="24"/>
      <c r="S614" s="24"/>
      <c r="T614" s="34" t="str">
        <f t="shared" ref="T614:V614" si="618">IF(G614&lt;&gt;"","Yes","")</f>
        <v/>
      </c>
      <c r="U614" s="34" t="str">
        <f t="shared" si="618"/>
        <v/>
      </c>
      <c r="V614" s="34" t="str">
        <f t="shared" si="618"/>
        <v/>
      </c>
      <c r="W614" s="34" t="str">
        <f t="shared" si="3"/>
        <v/>
      </c>
      <c r="X614" s="24" t="str">
        <f t="shared" si="4"/>
        <v/>
      </c>
    </row>
    <row r="615" ht="14.25" customHeight="1">
      <c r="A615" s="28">
        <f>HYPERLINK("https://app.hubspot.com/contacts/8748051/record/0-1/1685051", 1685051)</f>
        <v>1685051</v>
      </c>
      <c r="B615" s="24" t="s">
        <v>4553</v>
      </c>
      <c r="C615" s="26">
        <v>44988.6875</v>
      </c>
      <c r="D615" s="26"/>
      <c r="E615" s="28" t="s">
        <v>2541</v>
      </c>
      <c r="F615" s="26"/>
      <c r="G615" s="35"/>
      <c r="H615" s="35"/>
      <c r="I615" s="35"/>
      <c r="J615" s="24"/>
      <c r="K615" s="24"/>
      <c r="L615" s="24"/>
      <c r="M615" s="28">
        <f>HYPERLINK("https://app.hubspot.com/contacts/8748051/record/0-2/10627221527", 10627221527)</f>
        <v>10627221527</v>
      </c>
      <c r="N615" s="24" t="s">
        <v>2540</v>
      </c>
      <c r="O615" s="28">
        <f>HYPERLINK("https://app.hubspot.com/contacts/8748051/record/0-3/15054004557", 15054004557)</f>
        <v>15054004557</v>
      </c>
      <c r="P615" s="24" t="s">
        <v>2538</v>
      </c>
      <c r="Q615" s="24" t="s">
        <v>92</v>
      </c>
      <c r="R615" s="24">
        <v>6000.0</v>
      </c>
      <c r="S615" s="24" t="b">
        <v>1</v>
      </c>
      <c r="T615" s="34" t="str">
        <f t="shared" ref="T615:V615" si="619">IF(G615&lt;&gt;"","Yes","")</f>
        <v/>
      </c>
      <c r="U615" s="34" t="str">
        <f t="shared" si="619"/>
        <v/>
      </c>
      <c r="V615" s="34" t="str">
        <f t="shared" si="619"/>
        <v/>
      </c>
      <c r="W615" s="34" t="str">
        <f t="shared" si="3"/>
        <v>Yes</v>
      </c>
      <c r="X615" s="24" t="str">
        <f t="shared" si="4"/>
        <v/>
      </c>
    </row>
    <row r="616" ht="14.25" customHeight="1">
      <c r="A616" s="28">
        <f>HYPERLINK("https://app.hubspot.com/contacts/8748051/record/0-1/1996451", 1996451)</f>
        <v>1996451</v>
      </c>
      <c r="B616" s="24" t="s">
        <v>4554</v>
      </c>
      <c r="C616" s="26">
        <v>44988.656851851854</v>
      </c>
      <c r="D616" s="26"/>
      <c r="E616" s="28" t="s">
        <v>2666</v>
      </c>
      <c r="F616" s="24"/>
      <c r="G616" s="35"/>
      <c r="H616" s="35"/>
      <c r="I616" s="35"/>
      <c r="J616" s="24"/>
      <c r="K616" s="24"/>
      <c r="L616" s="24"/>
      <c r="M616" s="28">
        <f>HYPERLINK("https://app.hubspot.com/contacts/8748051/record/0-2/14939852455", 14939852455)</f>
        <v>14939852455</v>
      </c>
      <c r="N616" s="24" t="s">
        <v>2665</v>
      </c>
      <c r="O616" s="28">
        <f>HYPERLINK("https://app.hubspot.com/contacts/8748051/record/0-3/12432786074", 12432786074)</f>
        <v>12432786074</v>
      </c>
      <c r="P616" s="24" t="s">
        <v>2663</v>
      </c>
      <c r="Q616" s="24" t="s">
        <v>149</v>
      </c>
      <c r="R616" s="24">
        <v>10000.0</v>
      </c>
      <c r="S616" s="24" t="b">
        <v>1</v>
      </c>
      <c r="T616" s="34" t="str">
        <f t="shared" ref="T616:V616" si="620">IF(G616&lt;&gt;"","Yes","")</f>
        <v/>
      </c>
      <c r="U616" s="34" t="str">
        <f t="shared" si="620"/>
        <v/>
      </c>
      <c r="V616" s="34" t="str">
        <f t="shared" si="620"/>
        <v/>
      </c>
      <c r="W616" s="34" t="str">
        <f t="shared" si="3"/>
        <v/>
      </c>
      <c r="X616" s="24" t="str">
        <f t="shared" si="4"/>
        <v>Yes</v>
      </c>
    </row>
    <row r="617" ht="14.25" customHeight="1">
      <c r="A617" s="33">
        <f>HYPERLINK("https://app.hubspot.com/contacts/8748051/record/0-1/1931251", 1931251)</f>
        <v>1931251</v>
      </c>
      <c r="B617" s="24" t="s">
        <v>4555</v>
      </c>
      <c r="C617" s="26">
        <v>44987.10638888889</v>
      </c>
      <c r="D617" s="26"/>
      <c r="E617" s="28" t="s">
        <v>4556</v>
      </c>
      <c r="F617" s="34"/>
      <c r="G617" s="35"/>
      <c r="H617" s="35"/>
      <c r="I617" s="35"/>
      <c r="J617" s="24"/>
      <c r="K617" s="24"/>
      <c r="L617" s="24"/>
      <c r="M617" s="33">
        <f>HYPERLINK("https://app.hubspot.com/contacts/8748051/record/0-2/14924333730", 14924333730)</f>
        <v>14924333730</v>
      </c>
      <c r="N617" s="24" t="s">
        <v>4557</v>
      </c>
      <c r="O617" s="34"/>
      <c r="P617" s="24"/>
      <c r="Q617" s="24"/>
      <c r="R617" s="24"/>
      <c r="S617" s="24"/>
      <c r="T617" s="34" t="str">
        <f t="shared" ref="T617:V617" si="621">IF(G617&lt;&gt;"","Yes","")</f>
        <v/>
      </c>
      <c r="U617" s="34" t="str">
        <f t="shared" si="621"/>
        <v/>
      </c>
      <c r="V617" s="34" t="str">
        <f t="shared" si="621"/>
        <v/>
      </c>
      <c r="W617" s="34" t="str">
        <f t="shared" si="3"/>
        <v/>
      </c>
      <c r="X617" s="24" t="str">
        <f t="shared" si="4"/>
        <v/>
      </c>
    </row>
    <row r="618" ht="14.25" customHeight="1">
      <c r="A618" s="28">
        <f>HYPERLINK("https://app.hubspot.com/contacts/8748051/record/0-1/1943701", 1943701)</f>
        <v>1943701</v>
      </c>
      <c r="B618" s="24" t="s">
        <v>4558</v>
      </c>
      <c r="C618" s="26">
        <v>44982.39412037037</v>
      </c>
      <c r="D618" s="26"/>
      <c r="E618" s="28" t="s">
        <v>4559</v>
      </c>
      <c r="F618" s="26"/>
      <c r="G618" s="35"/>
      <c r="H618" s="35"/>
      <c r="I618" s="35"/>
      <c r="J618" s="24"/>
      <c r="K618" s="24"/>
      <c r="L618" s="24"/>
      <c r="M618" s="28">
        <f>HYPERLINK("https://app.hubspot.com/contacts/8748051/record/0-2/14828900200", 14828900200)</f>
        <v>14828900200</v>
      </c>
      <c r="N618" s="24" t="s">
        <v>4560</v>
      </c>
      <c r="O618" s="34"/>
      <c r="P618" s="24"/>
      <c r="Q618" s="24"/>
      <c r="R618" s="24"/>
      <c r="S618" s="24"/>
      <c r="T618" s="34" t="str">
        <f t="shared" ref="T618:V618" si="622">IF(G618&lt;&gt;"","Yes","")</f>
        <v/>
      </c>
      <c r="U618" s="34" t="str">
        <f t="shared" si="622"/>
        <v/>
      </c>
      <c r="V618" s="34" t="str">
        <f t="shared" si="622"/>
        <v/>
      </c>
      <c r="W618" s="34" t="str">
        <f t="shared" si="3"/>
        <v/>
      </c>
      <c r="X618" s="24" t="str">
        <f t="shared" si="4"/>
        <v/>
      </c>
    </row>
    <row r="619" ht="14.25" customHeight="1">
      <c r="A619" s="28">
        <f>HYPERLINK("https://app.hubspot.com/contacts/8748051/record/0-1/1889001", 1889001)</f>
        <v>1889001</v>
      </c>
      <c r="B619" s="24" t="s">
        <v>4561</v>
      </c>
      <c r="C619" s="26">
        <v>44980.007627314815</v>
      </c>
      <c r="D619" s="26"/>
      <c r="E619" s="28" t="s">
        <v>4562</v>
      </c>
      <c r="F619" s="24"/>
      <c r="G619" s="35"/>
      <c r="H619" s="35"/>
      <c r="I619" s="35"/>
      <c r="J619" s="24"/>
      <c r="K619" s="24"/>
      <c r="L619" s="24"/>
      <c r="M619" s="28">
        <f>HYPERLINK("https://app.hubspot.com/contacts/8748051/record/0-2/14781024100", 14781024100)</f>
        <v>14781024100</v>
      </c>
      <c r="N619" s="24" t="s">
        <v>2885</v>
      </c>
      <c r="O619" s="24"/>
      <c r="P619" s="24"/>
      <c r="Q619" s="24"/>
      <c r="R619" s="24"/>
      <c r="S619" s="24"/>
      <c r="T619" s="34" t="str">
        <f t="shared" ref="T619:V619" si="623">IF(G619&lt;&gt;"","Yes","")</f>
        <v/>
      </c>
      <c r="U619" s="34" t="str">
        <f t="shared" si="623"/>
        <v/>
      </c>
      <c r="V619" s="34" t="str">
        <f t="shared" si="623"/>
        <v/>
      </c>
      <c r="W619" s="34" t="str">
        <f t="shared" si="3"/>
        <v/>
      </c>
      <c r="X619" s="24" t="str">
        <f t="shared" si="4"/>
        <v/>
      </c>
    </row>
    <row r="620" ht="14.25" customHeight="1">
      <c r="A620" s="28">
        <f>HYPERLINK("https://app.hubspot.com/contacts/8748051/record/0-1/1905651", 1905651)</f>
        <v>1905651</v>
      </c>
      <c r="B620" s="24" t="s">
        <v>4563</v>
      </c>
      <c r="C620" s="26">
        <v>44974.5240625</v>
      </c>
      <c r="D620" s="26"/>
      <c r="E620" s="28" t="s">
        <v>2680</v>
      </c>
      <c r="F620" s="26"/>
      <c r="G620" s="35"/>
      <c r="H620" s="35"/>
      <c r="I620" s="35"/>
      <c r="J620" s="24"/>
      <c r="K620" s="24"/>
      <c r="L620" s="24"/>
      <c r="M620" s="28">
        <f>HYPERLINK("https://app.hubspot.com/contacts/8748051/record/0-2/14132642436", 14132642436)</f>
        <v>14132642436</v>
      </c>
      <c r="N620" s="28" t="s">
        <v>2680</v>
      </c>
      <c r="O620" s="24"/>
      <c r="P620" s="24"/>
      <c r="Q620" s="24"/>
      <c r="R620" s="24"/>
      <c r="S620" s="24"/>
      <c r="T620" s="34" t="str">
        <f t="shared" ref="T620:V620" si="624">IF(G620&lt;&gt;"","Yes","")</f>
        <v/>
      </c>
      <c r="U620" s="34" t="str">
        <f t="shared" si="624"/>
        <v/>
      </c>
      <c r="V620" s="34" t="str">
        <f t="shared" si="624"/>
        <v/>
      </c>
      <c r="W620" s="34" t="str">
        <f t="shared" si="3"/>
        <v/>
      </c>
      <c r="X620" s="24" t="str">
        <f t="shared" si="4"/>
        <v/>
      </c>
    </row>
    <row r="621" ht="14.25" customHeight="1">
      <c r="A621" s="28">
        <f>HYPERLINK("https://app.hubspot.com/contacts/8748051/record/0-1/1684351", 1684351)</f>
        <v>1684351</v>
      </c>
      <c r="B621" s="24" t="s">
        <v>4564</v>
      </c>
      <c r="C621" s="26">
        <v>44971.15619212963</v>
      </c>
      <c r="D621" s="26"/>
      <c r="E621" s="28" t="s">
        <v>3911</v>
      </c>
      <c r="F621" s="24"/>
      <c r="G621" s="35"/>
      <c r="H621" s="35"/>
      <c r="I621" s="35"/>
      <c r="J621" s="24"/>
      <c r="K621" s="24"/>
      <c r="L621" s="24"/>
      <c r="M621" s="28">
        <f>HYPERLINK("https://app.hubspot.com/contacts/8748051/record/0-2/7277523063", 7277523063)</f>
        <v>7277523063</v>
      </c>
      <c r="N621" s="24" t="s">
        <v>3913</v>
      </c>
      <c r="O621" s="34"/>
      <c r="P621" s="24"/>
      <c r="Q621" s="24"/>
      <c r="R621" s="24"/>
      <c r="S621" s="24"/>
      <c r="T621" s="34" t="str">
        <f t="shared" ref="T621:V621" si="625">IF(G621&lt;&gt;"","Yes","")</f>
        <v/>
      </c>
      <c r="U621" s="34" t="str">
        <f t="shared" si="625"/>
        <v/>
      </c>
      <c r="V621" s="34" t="str">
        <f t="shared" si="625"/>
        <v/>
      </c>
      <c r="W621" s="34" t="str">
        <f t="shared" si="3"/>
        <v/>
      </c>
      <c r="X621" s="24" t="str">
        <f t="shared" si="4"/>
        <v/>
      </c>
    </row>
    <row r="622" ht="14.25" customHeight="1">
      <c r="A622" s="28">
        <f>HYPERLINK("https://app.hubspot.com/contacts/8748051/record/0-1/1837551", 1837551)</f>
        <v>1837551</v>
      </c>
      <c r="B622" s="24" t="s">
        <v>4565</v>
      </c>
      <c r="C622" s="26">
        <v>44964.02164351852</v>
      </c>
      <c r="D622" s="26"/>
      <c r="E622" s="28" t="s">
        <v>4566</v>
      </c>
      <c r="F622" s="24"/>
      <c r="G622" s="35"/>
      <c r="H622" s="35"/>
      <c r="I622" s="35"/>
      <c r="J622" s="24"/>
      <c r="K622" s="24"/>
      <c r="L622" s="24"/>
      <c r="M622" s="28">
        <f>HYPERLINK("https://app.hubspot.com/contacts/8748051/record/0-2/10747050414", 10747050414)</f>
        <v>10747050414</v>
      </c>
      <c r="N622" s="24" t="s">
        <v>4567</v>
      </c>
      <c r="O622" s="24"/>
      <c r="P622" s="24"/>
      <c r="Q622" s="24"/>
      <c r="R622" s="24"/>
      <c r="S622" s="24"/>
      <c r="T622" s="34" t="str">
        <f t="shared" ref="T622:V622" si="626">IF(G622&lt;&gt;"","Yes","")</f>
        <v/>
      </c>
      <c r="U622" s="34" t="str">
        <f t="shared" si="626"/>
        <v/>
      </c>
      <c r="V622" s="34" t="str">
        <f t="shared" si="626"/>
        <v/>
      </c>
      <c r="W622" s="34" t="str">
        <f t="shared" si="3"/>
        <v/>
      </c>
      <c r="X622" s="24" t="str">
        <f t="shared" si="4"/>
        <v/>
      </c>
    </row>
    <row r="623" ht="14.25" customHeight="1">
      <c r="A623" s="33">
        <f>HYPERLINK("https://app.hubspot.com/contacts/8748051/record/0-1/1830901", 1830901)</f>
        <v>1830901</v>
      </c>
      <c r="B623" s="24" t="s">
        <v>4568</v>
      </c>
      <c r="C623" s="26">
        <v>44963.23877314815</v>
      </c>
      <c r="D623" s="26"/>
      <c r="E623" s="24" t="s">
        <v>2684</v>
      </c>
      <c r="F623" s="24"/>
      <c r="G623" s="35"/>
      <c r="H623" s="35"/>
      <c r="I623" s="35"/>
      <c r="J623" s="24"/>
      <c r="K623" s="24"/>
      <c r="L623" s="34"/>
      <c r="M623" s="33">
        <f>HYPERLINK("https://app.hubspot.com/contacts/8748051/record/0-2/11995817103", 11995817103)</f>
        <v>11995817103</v>
      </c>
      <c r="N623" s="24" t="s">
        <v>2683</v>
      </c>
      <c r="O623" s="33">
        <f>HYPERLINK("https://app.hubspot.com/contacts/8748051/record/0-3/13146718594", 13146718594)</f>
        <v>13146718594</v>
      </c>
      <c r="P623" s="24" t="s">
        <v>2681</v>
      </c>
      <c r="Q623" s="24" t="s">
        <v>92</v>
      </c>
      <c r="R623" s="24">
        <v>3528.0</v>
      </c>
      <c r="S623" s="24" t="b">
        <v>1</v>
      </c>
      <c r="T623" s="34" t="str">
        <f t="shared" ref="T623:V623" si="627">IF(G623&lt;&gt;"","Yes","")</f>
        <v/>
      </c>
      <c r="U623" s="34" t="str">
        <f t="shared" si="627"/>
        <v/>
      </c>
      <c r="V623" s="34" t="str">
        <f t="shared" si="627"/>
        <v/>
      </c>
      <c r="W623" s="34" t="str">
        <f t="shared" si="3"/>
        <v>Yes</v>
      </c>
      <c r="X623" s="24" t="str">
        <f t="shared" si="4"/>
        <v/>
      </c>
    </row>
    <row r="624" ht="14.25" customHeight="1">
      <c r="A624" s="28">
        <f>HYPERLINK("https://app.hubspot.com/contacts/8748051/record/0-1/1830851", 1830851)</f>
        <v>1830851</v>
      </c>
      <c r="B624" s="24" t="s">
        <v>4569</v>
      </c>
      <c r="C624" s="26">
        <v>44963.22642361111</v>
      </c>
      <c r="D624" s="26"/>
      <c r="E624" s="28" t="s">
        <v>2205</v>
      </c>
      <c r="F624" s="26"/>
      <c r="G624" s="35"/>
      <c r="H624" s="35"/>
      <c r="I624" s="35"/>
      <c r="J624" s="24"/>
      <c r="K624" s="24"/>
      <c r="L624" s="24"/>
      <c r="M624" s="28">
        <f>HYPERLINK("https://app.hubspot.com/contacts/8748051/record/0-2/11995178296", 11995178296)</f>
        <v>11995178296</v>
      </c>
      <c r="N624" s="24" t="s">
        <v>2204</v>
      </c>
      <c r="O624" s="24"/>
      <c r="P624" s="24"/>
      <c r="Q624" s="24"/>
      <c r="R624" s="24"/>
      <c r="S624" s="24"/>
      <c r="T624" s="34" t="str">
        <f t="shared" ref="T624:V624" si="628">IF(G624&lt;&gt;"","Yes","")</f>
        <v/>
      </c>
      <c r="U624" s="34" t="str">
        <f t="shared" si="628"/>
        <v/>
      </c>
      <c r="V624" s="34" t="str">
        <f t="shared" si="628"/>
        <v/>
      </c>
      <c r="W624" s="34" t="str">
        <f t="shared" si="3"/>
        <v/>
      </c>
      <c r="X624" s="24" t="str">
        <f t="shared" si="4"/>
        <v/>
      </c>
    </row>
    <row r="625" ht="14.25" customHeight="1">
      <c r="A625" s="28">
        <f>HYPERLINK("https://app.hubspot.com/contacts/8748051/record/0-1/1811701", 1811701)</f>
        <v>1811701</v>
      </c>
      <c r="B625" s="24" t="s">
        <v>4570</v>
      </c>
      <c r="C625" s="26">
        <v>44960.075011574074</v>
      </c>
      <c r="D625" s="26"/>
      <c r="E625" s="28" t="s">
        <v>4571</v>
      </c>
      <c r="F625" s="26"/>
      <c r="G625" s="35"/>
      <c r="H625" s="35"/>
      <c r="I625" s="35"/>
      <c r="J625" s="24"/>
      <c r="K625" s="24"/>
      <c r="L625" s="24"/>
      <c r="M625" s="28">
        <f>HYPERLINK("https://app.hubspot.com/contacts/8748051/record/0-2/11625422004", 11625422004)</f>
        <v>11625422004</v>
      </c>
      <c r="N625" s="24" t="s">
        <v>4572</v>
      </c>
      <c r="O625" s="24"/>
      <c r="P625" s="24"/>
      <c r="Q625" s="24"/>
      <c r="R625" s="24"/>
      <c r="S625" s="24"/>
      <c r="T625" s="34" t="str">
        <f t="shared" ref="T625:V625" si="629">IF(G625&lt;&gt;"","Yes","")</f>
        <v/>
      </c>
      <c r="U625" s="34" t="str">
        <f t="shared" si="629"/>
        <v/>
      </c>
      <c r="V625" s="34" t="str">
        <f t="shared" si="629"/>
        <v/>
      </c>
      <c r="W625" s="34" t="str">
        <f t="shared" si="3"/>
        <v/>
      </c>
      <c r="X625" s="24" t="str">
        <f t="shared" si="4"/>
        <v/>
      </c>
    </row>
    <row r="626" ht="14.25" customHeight="1">
      <c r="A626" s="28">
        <f>HYPERLINK("https://app.hubspot.com/contacts/8748051/record/0-1/1726751", 1726751)</f>
        <v>1726751</v>
      </c>
      <c r="B626" s="24" t="s">
        <v>4573</v>
      </c>
      <c r="C626" s="26">
        <v>44949.36515046296</v>
      </c>
      <c r="D626" s="26"/>
      <c r="E626" s="28" t="s">
        <v>4574</v>
      </c>
      <c r="F626" s="26"/>
      <c r="G626" s="35"/>
      <c r="H626" s="35"/>
      <c r="I626" s="35"/>
      <c r="J626" s="24"/>
      <c r="K626" s="24"/>
      <c r="L626" s="24"/>
      <c r="M626" s="28">
        <f>HYPERLINK("https://app.hubspot.com/contacts/8748051/record/0-2/10908885333", 10908885333)</f>
        <v>10908885333</v>
      </c>
      <c r="N626" s="28" t="s">
        <v>4574</v>
      </c>
      <c r="O626" s="34"/>
      <c r="P626" s="24"/>
      <c r="Q626" s="24"/>
      <c r="R626" s="24"/>
      <c r="S626" s="24"/>
      <c r="T626" s="34" t="str">
        <f t="shared" ref="T626:V626" si="630">IF(G626&lt;&gt;"","Yes","")</f>
        <v/>
      </c>
      <c r="U626" s="34" t="str">
        <f t="shared" si="630"/>
        <v/>
      </c>
      <c r="V626" s="34" t="str">
        <f t="shared" si="630"/>
        <v/>
      </c>
      <c r="W626" s="34" t="str">
        <f t="shared" si="3"/>
        <v/>
      </c>
      <c r="X626" s="24" t="str">
        <f t="shared" si="4"/>
        <v/>
      </c>
    </row>
    <row r="627" ht="14.25" customHeight="1">
      <c r="A627" s="28">
        <f>HYPERLINK("https://app.hubspot.com/contacts/8748051/record/0-1/1751301", 1751301)</f>
        <v>1751301</v>
      </c>
      <c r="B627" s="24" t="s">
        <v>4575</v>
      </c>
      <c r="C627" s="26">
        <v>44949.17422453704</v>
      </c>
      <c r="D627" s="26"/>
      <c r="E627" s="28" t="s">
        <v>4576</v>
      </c>
      <c r="F627" s="26"/>
      <c r="G627" s="35"/>
      <c r="H627" s="35"/>
      <c r="I627" s="35"/>
      <c r="J627" s="24"/>
      <c r="K627" s="24"/>
      <c r="L627" s="24"/>
      <c r="M627" s="28">
        <f>HYPERLINK("https://app.hubspot.com/contacts/8748051/record/0-2/10906520652", 10906520652)</f>
        <v>10906520652</v>
      </c>
      <c r="N627" s="24" t="s">
        <v>4577</v>
      </c>
      <c r="O627" s="24"/>
      <c r="P627" s="24"/>
      <c r="Q627" s="24"/>
      <c r="R627" s="24"/>
      <c r="S627" s="24"/>
      <c r="T627" s="34" t="str">
        <f t="shared" ref="T627:V627" si="631">IF(G627&lt;&gt;"","Yes","")</f>
        <v/>
      </c>
      <c r="U627" s="34" t="str">
        <f t="shared" si="631"/>
        <v/>
      </c>
      <c r="V627" s="34" t="str">
        <f t="shared" si="631"/>
        <v/>
      </c>
      <c r="W627" s="34" t="str">
        <f t="shared" si="3"/>
        <v/>
      </c>
      <c r="X627" s="24" t="str">
        <f t="shared" si="4"/>
        <v/>
      </c>
    </row>
    <row r="628" ht="14.25" customHeight="1">
      <c r="A628" s="28">
        <f>HYPERLINK("https://app.hubspot.com/contacts/8748051/record/0-1/389801", 389801)</f>
        <v>389801</v>
      </c>
      <c r="B628" s="24" t="s">
        <v>4578</v>
      </c>
      <c r="C628" s="26">
        <v>44944.471550925926</v>
      </c>
      <c r="D628" s="26"/>
      <c r="E628" s="28" t="s">
        <v>2870</v>
      </c>
      <c r="F628" s="24"/>
      <c r="G628" s="35"/>
      <c r="H628" s="35"/>
      <c r="I628" s="34"/>
      <c r="J628" s="24"/>
      <c r="K628" s="24"/>
      <c r="L628" s="24"/>
      <c r="M628" s="28">
        <f>HYPERLINK("https://app.hubspot.com/contacts/8748051/record/0-2/7231779621", 7231779621)</f>
        <v>7231779621</v>
      </c>
      <c r="N628" s="24" t="s">
        <v>2869</v>
      </c>
      <c r="O628" s="34"/>
      <c r="P628" s="24"/>
      <c r="Q628" s="24"/>
      <c r="R628" s="24"/>
      <c r="S628" s="24"/>
      <c r="T628" s="34" t="str">
        <f t="shared" ref="T628:V628" si="632">IF(G628&lt;&gt;"","Yes","")</f>
        <v/>
      </c>
      <c r="U628" s="34" t="str">
        <f t="shared" si="632"/>
        <v/>
      </c>
      <c r="V628" s="34" t="str">
        <f t="shared" si="632"/>
        <v/>
      </c>
      <c r="W628" s="34" t="str">
        <f t="shared" si="3"/>
        <v/>
      </c>
      <c r="X628" s="24" t="str">
        <f t="shared" si="4"/>
        <v/>
      </c>
    </row>
    <row r="629" ht="14.25" customHeight="1">
      <c r="A629" s="28">
        <f>HYPERLINK("https://app.hubspot.com/contacts/8748051/record/0-1/1710101", 1710101)</f>
        <v>1710101</v>
      </c>
      <c r="B629" s="24" t="s">
        <v>4579</v>
      </c>
      <c r="C629" s="26">
        <v>44942.40837962963</v>
      </c>
      <c r="D629" s="26"/>
      <c r="E629" s="28" t="s">
        <v>4580</v>
      </c>
      <c r="F629" s="26"/>
      <c r="G629" s="35"/>
      <c r="H629" s="35"/>
      <c r="I629" s="35"/>
      <c r="J629" s="24"/>
      <c r="K629" s="24"/>
      <c r="L629" s="24"/>
      <c r="M629" s="28">
        <f>HYPERLINK("https://app.hubspot.com/contacts/8748051/record/0-2/10800850841", 10800850841)</f>
        <v>10800850841</v>
      </c>
      <c r="N629" s="24" t="s">
        <v>4581</v>
      </c>
      <c r="O629" s="34"/>
      <c r="P629" s="24"/>
      <c r="Q629" s="24"/>
      <c r="R629" s="24"/>
      <c r="S629" s="24"/>
      <c r="T629" s="34" t="str">
        <f t="shared" ref="T629:V629" si="633">IF(G629&lt;&gt;"","Yes","")</f>
        <v/>
      </c>
      <c r="U629" s="34" t="str">
        <f t="shared" si="633"/>
        <v/>
      </c>
      <c r="V629" s="34" t="str">
        <f t="shared" si="633"/>
        <v/>
      </c>
      <c r="W629" s="34" t="str">
        <f t="shared" si="3"/>
        <v/>
      </c>
      <c r="X629" s="24" t="str">
        <f t="shared" si="4"/>
        <v/>
      </c>
    </row>
    <row r="630" ht="14.25" customHeight="1">
      <c r="A630" s="28">
        <f>HYPERLINK("https://app.hubspot.com/contacts/8748051/record/0-1/1703451", 1703451)</f>
        <v>1703451</v>
      </c>
      <c r="B630" s="24" t="s">
        <v>4582</v>
      </c>
      <c r="C630" s="26">
        <v>44939.92084490741</v>
      </c>
      <c r="D630" s="26"/>
      <c r="E630" s="28" t="s">
        <v>4566</v>
      </c>
      <c r="F630" s="24"/>
      <c r="G630" s="35"/>
      <c r="H630" s="35"/>
      <c r="I630" s="35"/>
      <c r="J630" s="24"/>
      <c r="K630" s="24"/>
      <c r="L630" s="34"/>
      <c r="M630" s="28">
        <f>HYPERLINK("https://app.hubspot.com/contacts/8748051/record/0-2/10747050414", 10747050414)</f>
        <v>10747050414</v>
      </c>
      <c r="N630" s="24" t="s">
        <v>4567</v>
      </c>
      <c r="O630" s="34"/>
      <c r="P630" s="24"/>
      <c r="Q630" s="24"/>
      <c r="R630" s="24"/>
      <c r="S630" s="24"/>
      <c r="T630" s="34" t="str">
        <f t="shared" ref="T630:V630" si="634">IF(G630&lt;&gt;"","Yes","")</f>
        <v/>
      </c>
      <c r="U630" s="34" t="str">
        <f t="shared" si="634"/>
        <v/>
      </c>
      <c r="V630" s="34" t="str">
        <f t="shared" si="634"/>
        <v/>
      </c>
      <c r="W630" s="34" t="str">
        <f t="shared" si="3"/>
        <v/>
      </c>
      <c r="X630" s="24" t="str">
        <f t="shared" si="4"/>
        <v/>
      </c>
    </row>
    <row r="631" ht="14.25" customHeight="1">
      <c r="A631" s="28">
        <f>HYPERLINK("https://app.hubspot.com/contacts/8748051/record/0-1/1700201", 1700201)</f>
        <v>1700201</v>
      </c>
      <c r="B631" s="24" t="s">
        <v>4583</v>
      </c>
      <c r="C631" s="26">
        <v>44939.45630787037</v>
      </c>
      <c r="D631" s="26"/>
      <c r="E631" s="28" t="s">
        <v>4584</v>
      </c>
      <c r="F631" s="24"/>
      <c r="G631" s="35"/>
      <c r="H631" s="35"/>
      <c r="I631" s="34"/>
      <c r="J631" s="24"/>
      <c r="K631" s="24"/>
      <c r="L631" s="24"/>
      <c r="M631" s="28">
        <f>HYPERLINK("https://app.hubspot.com/contacts/8748051/record/0-2/10734065414", 10734065414)</f>
        <v>10734065414</v>
      </c>
      <c r="N631" s="24" t="s">
        <v>4585</v>
      </c>
      <c r="O631" s="34"/>
      <c r="P631" s="24"/>
      <c r="Q631" s="24"/>
      <c r="R631" s="24"/>
      <c r="S631" s="24"/>
      <c r="T631" s="34" t="str">
        <f t="shared" ref="T631:V631" si="635">IF(G631&lt;&gt;"","Yes","")</f>
        <v/>
      </c>
      <c r="U631" s="34" t="str">
        <f t="shared" si="635"/>
        <v/>
      </c>
      <c r="V631" s="34" t="str">
        <f t="shared" si="635"/>
        <v/>
      </c>
      <c r="W631" s="34" t="str">
        <f t="shared" si="3"/>
        <v/>
      </c>
      <c r="X631" s="24" t="str">
        <f t="shared" si="4"/>
        <v/>
      </c>
    </row>
    <row r="632" ht="14.25" customHeight="1">
      <c r="A632" s="28">
        <f>HYPERLINK("https://app.hubspot.com/contacts/8748051/record/0-1/1666201", 1666201)</f>
        <v>1666201</v>
      </c>
      <c r="B632" s="24" t="s">
        <v>4586</v>
      </c>
      <c r="C632" s="26">
        <v>44932.132685185185</v>
      </c>
      <c r="D632" s="26"/>
      <c r="E632" s="28" t="s">
        <v>738</v>
      </c>
      <c r="F632" s="26"/>
      <c r="G632" s="35"/>
      <c r="H632" s="35"/>
      <c r="I632" s="35"/>
      <c r="J632" s="24"/>
      <c r="K632" s="24"/>
      <c r="L632" s="24"/>
      <c r="M632" s="28">
        <f>HYPERLINK("https://app.hubspot.com/contacts/8748051/record/0-2/8816890039", 8816890039)</f>
        <v>8816890039</v>
      </c>
      <c r="N632" s="24" t="s">
        <v>737</v>
      </c>
      <c r="O632" s="24"/>
      <c r="P632" s="24"/>
      <c r="Q632" s="24"/>
      <c r="R632" s="24"/>
      <c r="S632" s="24"/>
      <c r="T632" s="34" t="str">
        <f t="shared" ref="T632:V632" si="636">IF(G632&lt;&gt;"","Yes","")</f>
        <v/>
      </c>
      <c r="U632" s="34" t="str">
        <f t="shared" si="636"/>
        <v/>
      </c>
      <c r="V632" s="34" t="str">
        <f t="shared" si="636"/>
        <v/>
      </c>
      <c r="W632" s="34" t="str">
        <f t="shared" si="3"/>
        <v/>
      </c>
      <c r="X632" s="24" t="str">
        <f t="shared" si="4"/>
        <v/>
      </c>
    </row>
    <row r="633" ht="14.25" customHeight="1">
      <c r="A633" s="33">
        <f>HYPERLINK("https://app.hubspot.com/contacts/8748051/record/0-1/1649501", 1649501)</f>
        <v>1649501</v>
      </c>
      <c r="B633" s="24" t="s">
        <v>4587</v>
      </c>
      <c r="C633" s="26">
        <v>44932.05054398148</v>
      </c>
      <c r="D633" s="26"/>
      <c r="E633" s="28" t="s">
        <v>4588</v>
      </c>
      <c r="F633" s="34"/>
      <c r="G633" s="35"/>
      <c r="H633" s="35"/>
      <c r="I633" s="35"/>
      <c r="J633" s="24"/>
      <c r="K633" s="24"/>
      <c r="L633" s="34"/>
      <c r="M633" s="33">
        <f>HYPERLINK("https://app.hubspot.com/contacts/8748051/record/0-2/9748909636", 9748909636)</f>
        <v>9748909636</v>
      </c>
      <c r="N633" s="24" t="s">
        <v>4589</v>
      </c>
      <c r="O633" s="34"/>
      <c r="P633" s="24"/>
      <c r="Q633" s="24"/>
      <c r="R633" s="24"/>
      <c r="S633" s="24"/>
      <c r="T633" s="34" t="str">
        <f t="shared" ref="T633:V633" si="637">IF(G633&lt;&gt;"","Yes","")</f>
        <v/>
      </c>
      <c r="U633" s="34" t="str">
        <f t="shared" si="637"/>
        <v/>
      </c>
      <c r="V633" s="34" t="str">
        <f t="shared" si="637"/>
        <v/>
      </c>
      <c r="W633" s="34" t="str">
        <f t="shared" si="3"/>
        <v/>
      </c>
      <c r="X633" s="24" t="str">
        <f t="shared" si="4"/>
        <v/>
      </c>
    </row>
    <row r="634" ht="14.25" customHeight="1">
      <c r="A634" s="28">
        <f>HYPERLINK("https://app.hubspot.com/contacts/8748051/record/0-1/1663801", 1663801)</f>
        <v>1663801</v>
      </c>
      <c r="B634" s="24" t="s">
        <v>4590</v>
      </c>
      <c r="C634" s="26">
        <v>44931.612222222226</v>
      </c>
      <c r="D634" s="26"/>
      <c r="E634" s="28" t="s">
        <v>4591</v>
      </c>
      <c r="F634" s="26"/>
      <c r="G634" s="35"/>
      <c r="H634" s="35"/>
      <c r="I634" s="35"/>
      <c r="J634" s="24"/>
      <c r="K634" s="24"/>
      <c r="L634" s="24"/>
      <c r="M634" s="28">
        <f>HYPERLINK("https://app.hubspot.com/contacts/8748051/record/0-2/10548528272", 10548528272)</f>
        <v>10548528272</v>
      </c>
      <c r="N634" s="24" t="s">
        <v>4592</v>
      </c>
      <c r="O634" s="24"/>
      <c r="P634" s="24"/>
      <c r="Q634" s="24"/>
      <c r="R634" s="24"/>
      <c r="S634" s="24"/>
      <c r="T634" s="34" t="str">
        <f t="shared" ref="T634:V634" si="638">IF(G634&lt;&gt;"","Yes","")</f>
        <v/>
      </c>
      <c r="U634" s="34" t="str">
        <f t="shared" si="638"/>
        <v/>
      </c>
      <c r="V634" s="34" t="str">
        <f t="shared" si="638"/>
        <v/>
      </c>
      <c r="W634" s="34" t="str">
        <f t="shared" si="3"/>
        <v/>
      </c>
      <c r="X634" s="24" t="str">
        <f t="shared" si="4"/>
        <v/>
      </c>
    </row>
    <row r="635" ht="14.25" customHeight="1">
      <c r="A635" s="28">
        <f>HYPERLINK("https://app.hubspot.com/contacts/8748051/record/0-1/1635651", 1635651)</f>
        <v>1635651</v>
      </c>
      <c r="B635" s="24" t="s">
        <v>4593</v>
      </c>
      <c r="C635" s="26">
        <v>44923.30349537037</v>
      </c>
      <c r="D635" s="26"/>
      <c r="E635" s="28" t="s">
        <v>4594</v>
      </c>
      <c r="F635" s="26"/>
      <c r="G635" s="35"/>
      <c r="H635" s="35"/>
      <c r="I635" s="35"/>
      <c r="J635" s="24"/>
      <c r="K635" s="24"/>
      <c r="L635" s="24"/>
      <c r="M635" s="28">
        <f>HYPERLINK("https://app.hubspot.com/contacts/8748051/record/0-2/10476187005", 10476187005)</f>
        <v>10476187005</v>
      </c>
      <c r="N635" s="24" t="s">
        <v>4595</v>
      </c>
      <c r="O635" s="34"/>
      <c r="P635" s="24"/>
      <c r="Q635" s="24"/>
      <c r="R635" s="24"/>
      <c r="S635" s="24"/>
      <c r="T635" s="34" t="str">
        <f t="shared" ref="T635:V635" si="639">IF(G635&lt;&gt;"","Yes","")</f>
        <v/>
      </c>
      <c r="U635" s="34" t="str">
        <f t="shared" si="639"/>
        <v/>
      </c>
      <c r="V635" s="34" t="str">
        <f t="shared" si="639"/>
        <v/>
      </c>
      <c r="W635" s="34" t="str">
        <f t="shared" si="3"/>
        <v/>
      </c>
      <c r="X635" s="24" t="str">
        <f t="shared" si="4"/>
        <v/>
      </c>
    </row>
    <row r="636" ht="14.25" customHeight="1">
      <c r="A636" s="28">
        <f>HYPERLINK("https://app.hubspot.com/contacts/8748051/record/0-1/1627701", 1627701)</f>
        <v>1627701</v>
      </c>
      <c r="B636" s="24" t="s">
        <v>4596</v>
      </c>
      <c r="C636" s="26">
        <v>44920.52974537037</v>
      </c>
      <c r="D636" s="26"/>
      <c r="E636" s="28" t="s">
        <v>4597</v>
      </c>
      <c r="F636" s="26"/>
      <c r="G636" s="35"/>
      <c r="H636" s="35"/>
      <c r="I636" s="35"/>
      <c r="J636" s="24"/>
      <c r="K636" s="24"/>
      <c r="L636" s="24"/>
      <c r="M636" s="28">
        <f>HYPERLINK("https://app.hubspot.com/contacts/8748051/record/0-2/10447002534", 10447002534)</f>
        <v>10447002534</v>
      </c>
      <c r="N636" s="24" t="s">
        <v>4598</v>
      </c>
      <c r="O636" s="24"/>
      <c r="P636" s="24"/>
      <c r="Q636" s="24"/>
      <c r="R636" s="24"/>
      <c r="S636" s="24"/>
      <c r="T636" s="34" t="str">
        <f t="shared" ref="T636:V636" si="640">IF(G636&lt;&gt;"","Yes","")</f>
        <v/>
      </c>
      <c r="U636" s="34" t="str">
        <f t="shared" si="640"/>
        <v/>
      </c>
      <c r="V636" s="34" t="str">
        <f t="shared" si="640"/>
        <v/>
      </c>
      <c r="W636" s="34" t="str">
        <f t="shared" si="3"/>
        <v/>
      </c>
      <c r="X636" s="24" t="str">
        <f t="shared" si="4"/>
        <v/>
      </c>
    </row>
    <row r="637" ht="14.25" customHeight="1">
      <c r="A637" s="28">
        <f>HYPERLINK("https://app.hubspot.com/contacts/8748051/record/0-1/539751", 539751)</f>
        <v>539751</v>
      </c>
      <c r="B637" s="24" t="s">
        <v>4599</v>
      </c>
      <c r="C637" s="26">
        <v>44915.333715277775</v>
      </c>
      <c r="D637" s="26"/>
      <c r="E637" s="28" t="s">
        <v>1831</v>
      </c>
      <c r="F637" s="24"/>
      <c r="G637" s="35"/>
      <c r="H637" s="35"/>
      <c r="I637" s="35"/>
      <c r="J637" s="24"/>
      <c r="K637" s="24"/>
      <c r="L637" s="24"/>
      <c r="M637" s="28">
        <f>HYPERLINK("https://app.hubspot.com/contacts/8748051/record/0-2/8831495001", 8831495001)</f>
        <v>8831495001</v>
      </c>
      <c r="N637" s="24" t="s">
        <v>1830</v>
      </c>
      <c r="O637" s="24"/>
      <c r="P637" s="24"/>
      <c r="Q637" s="24"/>
      <c r="R637" s="24"/>
      <c r="S637" s="24"/>
      <c r="T637" s="34" t="str">
        <f t="shared" ref="T637:V637" si="641">IF(G637&lt;&gt;"","Yes","")</f>
        <v/>
      </c>
      <c r="U637" s="34" t="str">
        <f t="shared" si="641"/>
        <v/>
      </c>
      <c r="V637" s="34" t="str">
        <f t="shared" si="641"/>
        <v/>
      </c>
      <c r="W637" s="34" t="str">
        <f t="shared" si="3"/>
        <v/>
      </c>
      <c r="X637" s="24" t="str">
        <f t="shared" si="4"/>
        <v/>
      </c>
    </row>
    <row r="638" ht="14.25" customHeight="1">
      <c r="A638" s="28">
        <f>HYPERLINK("https://app.hubspot.com/contacts/8748051/record/0-1/1603951", 1603951)</f>
        <v>1603951</v>
      </c>
      <c r="B638" s="24" t="s">
        <v>4600</v>
      </c>
      <c r="C638" s="26">
        <v>44914.86615740741</v>
      </c>
      <c r="D638" s="26"/>
      <c r="E638" s="28" t="s">
        <v>4601</v>
      </c>
      <c r="F638" s="26"/>
      <c r="G638" s="35"/>
      <c r="H638" s="35"/>
      <c r="I638" s="35"/>
      <c r="J638" s="24"/>
      <c r="K638" s="24"/>
      <c r="L638" s="24"/>
      <c r="M638" s="28">
        <f>HYPERLINK("https://app.hubspot.com/contacts/8748051/record/0-2/10395902350", 10395902350)</f>
        <v>10395902350</v>
      </c>
      <c r="N638" s="24" t="s">
        <v>4602</v>
      </c>
      <c r="O638" s="24"/>
      <c r="P638" s="24"/>
      <c r="Q638" s="24"/>
      <c r="R638" s="24"/>
      <c r="S638" s="24"/>
      <c r="T638" s="34" t="str">
        <f t="shared" ref="T638:V638" si="642">IF(G638&lt;&gt;"","Yes","")</f>
        <v/>
      </c>
      <c r="U638" s="34" t="str">
        <f t="shared" si="642"/>
        <v/>
      </c>
      <c r="V638" s="34" t="str">
        <f t="shared" si="642"/>
        <v/>
      </c>
      <c r="W638" s="34" t="str">
        <f t="shared" si="3"/>
        <v/>
      </c>
      <c r="X638" s="24" t="str">
        <f t="shared" si="4"/>
        <v/>
      </c>
    </row>
    <row r="639" ht="14.25" customHeight="1">
      <c r="A639" s="28">
        <f>HYPERLINK("https://app.hubspot.com/contacts/8748051/record/0-1/1589801", 1589801)</f>
        <v>1589801</v>
      </c>
      <c r="B639" s="24" t="s">
        <v>4603</v>
      </c>
      <c r="C639" s="26">
        <v>44910.16280092593</v>
      </c>
      <c r="D639" s="26"/>
      <c r="E639" s="28" t="s">
        <v>4604</v>
      </c>
      <c r="F639" s="26"/>
      <c r="G639" s="35"/>
      <c r="H639" s="35"/>
      <c r="I639" s="35"/>
      <c r="J639" s="24"/>
      <c r="K639" s="24"/>
      <c r="L639" s="24"/>
      <c r="M639" s="28">
        <f>HYPERLINK("https://app.hubspot.com/contacts/8748051/record/0-2/10358610795", 10358610795)</f>
        <v>10358610795</v>
      </c>
      <c r="N639" s="24" t="s">
        <v>4605</v>
      </c>
      <c r="O639" s="24"/>
      <c r="P639" s="24"/>
      <c r="Q639" s="24"/>
      <c r="R639" s="24"/>
      <c r="S639" s="24"/>
      <c r="T639" s="34" t="str">
        <f t="shared" ref="T639:V639" si="643">IF(G639&lt;&gt;"","Yes","")</f>
        <v/>
      </c>
      <c r="U639" s="34" t="str">
        <f t="shared" si="643"/>
        <v/>
      </c>
      <c r="V639" s="34" t="str">
        <f t="shared" si="643"/>
        <v/>
      </c>
      <c r="W639" s="34" t="str">
        <f t="shared" si="3"/>
        <v/>
      </c>
      <c r="X639" s="24" t="str">
        <f t="shared" si="4"/>
        <v/>
      </c>
    </row>
    <row r="640" ht="14.25" customHeight="1">
      <c r="A640" s="28">
        <f>HYPERLINK("https://app.hubspot.com/contacts/8748051/record/0-1/1537201", 1537201)</f>
        <v>1537201</v>
      </c>
      <c r="B640" s="24" t="s">
        <v>4606</v>
      </c>
      <c r="C640" s="26">
        <v>44907.70371527778</v>
      </c>
      <c r="D640" s="26"/>
      <c r="E640" s="28" t="s">
        <v>2709</v>
      </c>
      <c r="F640" s="26"/>
      <c r="G640" s="35"/>
      <c r="H640" s="35"/>
      <c r="I640" s="35"/>
      <c r="J640" s="24"/>
      <c r="K640" s="24"/>
      <c r="L640" s="24"/>
      <c r="M640" s="28">
        <f>HYPERLINK("https://app.hubspot.com/contacts/8748051/record/0-2/8929926200", 8929926200)</f>
        <v>8929926200</v>
      </c>
      <c r="N640" s="24" t="s">
        <v>2708</v>
      </c>
      <c r="O640" s="28">
        <f>HYPERLINK("https://app.hubspot.com/contacts/8748051/record/0-3/11493057653", 11493057653)</f>
        <v>11493057653</v>
      </c>
      <c r="P640" s="24" t="s">
        <v>2706</v>
      </c>
      <c r="Q640" s="24" t="s">
        <v>149</v>
      </c>
      <c r="R640" s="24">
        <v>40000.0</v>
      </c>
      <c r="S640" s="24" t="b">
        <v>1</v>
      </c>
      <c r="T640" s="34" t="str">
        <f t="shared" ref="T640:V640" si="644">IF(G640&lt;&gt;"","Yes","")</f>
        <v/>
      </c>
      <c r="U640" s="34" t="str">
        <f t="shared" si="644"/>
        <v/>
      </c>
      <c r="V640" s="34" t="str">
        <f t="shared" si="644"/>
        <v/>
      </c>
      <c r="W640" s="34" t="str">
        <f t="shared" si="3"/>
        <v/>
      </c>
      <c r="X640" s="24" t="str">
        <f t="shared" si="4"/>
        <v>Yes</v>
      </c>
    </row>
    <row r="641" ht="14.25" customHeight="1">
      <c r="A641" s="28">
        <f>HYPERLINK("https://app.hubspot.com/contacts/8748051/record/0-1/1571801", 1571801)</f>
        <v>1571801</v>
      </c>
      <c r="B641" s="24" t="s">
        <v>4607</v>
      </c>
      <c r="C641" s="26">
        <v>44907.211747685185</v>
      </c>
      <c r="D641" s="26"/>
      <c r="E641" s="28" t="s">
        <v>2480</v>
      </c>
      <c r="F641" s="26"/>
      <c r="G641" s="35"/>
      <c r="H641" s="35"/>
      <c r="I641" s="35"/>
      <c r="J641" s="24"/>
      <c r="K641" s="24"/>
      <c r="L641" s="24"/>
      <c r="M641" s="28">
        <f>HYPERLINK("https://app.hubspot.com/contacts/8748051/record/0-2/10322469467", 10322469467)</f>
        <v>10322469467</v>
      </c>
      <c r="N641" s="24" t="s">
        <v>2479</v>
      </c>
      <c r="O641" s="28">
        <f>HYPERLINK("https://app.hubspot.com/contacts/8748051/record/0-3/15905577653", 15905577653)</f>
        <v>15905577653</v>
      </c>
      <c r="P641" s="24" t="s">
        <v>2477</v>
      </c>
      <c r="Q641" s="24" t="s">
        <v>149</v>
      </c>
      <c r="R641" s="24">
        <v>0.0</v>
      </c>
      <c r="S641" s="24" t="b">
        <v>1</v>
      </c>
      <c r="T641" s="34" t="str">
        <f t="shared" ref="T641:V641" si="645">IF(G641&lt;&gt;"","Yes","")</f>
        <v/>
      </c>
      <c r="U641" s="34" t="str">
        <f t="shared" si="645"/>
        <v/>
      </c>
      <c r="V641" s="34" t="str">
        <f t="shared" si="645"/>
        <v/>
      </c>
      <c r="W641" s="34" t="str">
        <f t="shared" si="3"/>
        <v/>
      </c>
      <c r="X641" s="24" t="str">
        <f t="shared" si="4"/>
        <v>Yes</v>
      </c>
    </row>
    <row r="642" ht="14.25" customHeight="1">
      <c r="A642" s="28">
        <f>HYPERLINK("https://app.hubspot.com/contacts/8748051/record/0-1/1554001", 1554001)</f>
        <v>1554001</v>
      </c>
      <c r="B642" s="24" t="s">
        <v>4608</v>
      </c>
      <c r="C642" s="26">
        <v>44903.281863425924</v>
      </c>
      <c r="D642" s="26"/>
      <c r="E642" s="28" t="s">
        <v>4609</v>
      </c>
      <c r="F642" s="26"/>
      <c r="G642" s="35"/>
      <c r="H642" s="35"/>
      <c r="I642" s="35"/>
      <c r="J642" s="24"/>
      <c r="K642" s="24"/>
      <c r="L642" s="24"/>
      <c r="M642" s="28">
        <f>HYPERLINK("https://app.hubspot.com/contacts/8748051/record/0-2/10282209084", 10282209084)</f>
        <v>10282209084</v>
      </c>
      <c r="N642" s="24" t="s">
        <v>4610</v>
      </c>
      <c r="O642" s="24"/>
      <c r="P642" s="24"/>
      <c r="Q642" s="24"/>
      <c r="R642" s="24"/>
      <c r="S642" s="24"/>
      <c r="T642" s="34" t="str">
        <f t="shared" ref="T642:V642" si="646">IF(G642&lt;&gt;"","Yes","")</f>
        <v/>
      </c>
      <c r="U642" s="34" t="str">
        <f t="shared" si="646"/>
        <v/>
      </c>
      <c r="V642" s="34" t="str">
        <f t="shared" si="646"/>
        <v/>
      </c>
      <c r="W642" s="34" t="str">
        <f t="shared" si="3"/>
        <v/>
      </c>
      <c r="X642" s="24" t="str">
        <f t="shared" si="4"/>
        <v/>
      </c>
    </row>
    <row r="643" ht="14.25" customHeight="1">
      <c r="A643" s="28">
        <f>HYPERLINK("https://app.hubspot.com/contacts/8748051/record/0-1/1548151", 1548151)</f>
        <v>1548151</v>
      </c>
      <c r="B643" s="24" t="s">
        <v>4611</v>
      </c>
      <c r="C643" s="26">
        <v>44902.44331018518</v>
      </c>
      <c r="D643" s="26"/>
      <c r="E643" s="28" t="s">
        <v>1245</v>
      </c>
      <c r="F643" s="24"/>
      <c r="G643" s="35"/>
      <c r="H643" s="35"/>
      <c r="I643" s="35"/>
      <c r="J643" s="24"/>
      <c r="K643" s="24"/>
      <c r="L643" s="24"/>
      <c r="M643" s="28">
        <f>HYPERLINK("https://app.hubspot.com/contacts/8748051/record/0-2/8816517268", 8816517268)</f>
        <v>8816517268</v>
      </c>
      <c r="N643" s="24" t="s">
        <v>1244</v>
      </c>
      <c r="O643" s="24"/>
      <c r="P643" s="24"/>
      <c r="Q643" s="24"/>
      <c r="R643" s="24"/>
      <c r="S643" s="24"/>
      <c r="T643" s="34" t="str">
        <f t="shared" ref="T643:V643" si="647">IF(G643&lt;&gt;"","Yes","")</f>
        <v/>
      </c>
      <c r="U643" s="34" t="str">
        <f t="shared" si="647"/>
        <v/>
      </c>
      <c r="V643" s="34" t="str">
        <f t="shared" si="647"/>
        <v/>
      </c>
      <c r="W643" s="34" t="str">
        <f t="shared" si="3"/>
        <v/>
      </c>
      <c r="X643" s="24" t="str">
        <f t="shared" si="4"/>
        <v/>
      </c>
    </row>
    <row r="644" ht="14.25" customHeight="1">
      <c r="A644" s="28">
        <f>HYPERLINK("https://app.hubspot.com/contacts/8748051/record/0-1/1545751", 1545751)</f>
        <v>1545751</v>
      </c>
      <c r="B644" s="24" t="s">
        <v>4612</v>
      </c>
      <c r="C644" s="26">
        <v>44902.14454861111</v>
      </c>
      <c r="D644" s="26"/>
      <c r="E644" s="28" t="s">
        <v>2970</v>
      </c>
      <c r="F644" s="26"/>
      <c r="G644" s="35"/>
      <c r="H644" s="35"/>
      <c r="I644" s="35"/>
      <c r="J644" s="24"/>
      <c r="K644" s="24"/>
      <c r="L644" s="24"/>
      <c r="M644" s="28">
        <f>HYPERLINK("https://app.hubspot.com/contacts/8748051/record/0-2/8140219698", 8140219698)</f>
        <v>8140219698</v>
      </c>
      <c r="N644" s="24" t="s">
        <v>2968</v>
      </c>
      <c r="O644" s="34"/>
      <c r="P644" s="24"/>
      <c r="Q644" s="24"/>
      <c r="R644" s="24"/>
      <c r="S644" s="24"/>
      <c r="T644" s="34" t="str">
        <f t="shared" ref="T644:V644" si="648">IF(G644&lt;&gt;"","Yes","")</f>
        <v/>
      </c>
      <c r="U644" s="34" t="str">
        <f t="shared" si="648"/>
        <v/>
      </c>
      <c r="V644" s="34" t="str">
        <f t="shared" si="648"/>
        <v/>
      </c>
      <c r="W644" s="34" t="str">
        <f t="shared" si="3"/>
        <v/>
      </c>
      <c r="X644" s="24" t="str">
        <f t="shared" si="4"/>
        <v/>
      </c>
    </row>
    <row r="645" ht="14.25" customHeight="1">
      <c r="A645" s="28">
        <f>HYPERLINK("https://app.hubspot.com/contacts/8748051/record/0-1/1545151", 1545151)</f>
        <v>1545151</v>
      </c>
      <c r="B645" s="24" t="s">
        <v>4613</v>
      </c>
      <c r="C645" s="26">
        <v>44902.10587962963</v>
      </c>
      <c r="D645" s="26"/>
      <c r="E645" s="28" t="s">
        <v>2718</v>
      </c>
      <c r="F645" s="24"/>
      <c r="G645" s="35"/>
      <c r="H645" s="35"/>
      <c r="I645" s="35"/>
      <c r="J645" s="24"/>
      <c r="K645" s="24"/>
      <c r="L645" s="24"/>
      <c r="M645" s="28">
        <f>HYPERLINK("https://app.hubspot.com/contacts/8748051/record/0-2/10266662914", 10266662914)</f>
        <v>10266662914</v>
      </c>
      <c r="N645" s="24" t="s">
        <v>2717</v>
      </c>
      <c r="O645" s="28">
        <f>HYPERLINK("https://app.hubspot.com/contacts/8748051/record/0-3/11277545078", 11277545078)</f>
        <v>11277545078</v>
      </c>
      <c r="P645" s="24" t="s">
        <v>2716</v>
      </c>
      <c r="Q645" s="24" t="s">
        <v>127</v>
      </c>
      <c r="R645" s="24">
        <v>9000.0</v>
      </c>
      <c r="S645" s="24" t="b">
        <v>1</v>
      </c>
      <c r="T645" s="34" t="str">
        <f t="shared" ref="T645:V645" si="649">IF(G645&lt;&gt;"","Yes","")</f>
        <v/>
      </c>
      <c r="U645" s="34" t="str">
        <f t="shared" si="649"/>
        <v/>
      </c>
      <c r="V645" s="34" t="str">
        <f t="shared" si="649"/>
        <v/>
      </c>
      <c r="W645" s="34" t="str">
        <f t="shared" si="3"/>
        <v/>
      </c>
      <c r="X645" s="24" t="str">
        <f t="shared" si="4"/>
        <v/>
      </c>
    </row>
    <row r="646" ht="14.25" customHeight="1">
      <c r="A646" s="28">
        <f>HYPERLINK("https://app.hubspot.com/contacts/8748051/record/0-1/1532301", 1532301)</f>
        <v>1532301</v>
      </c>
      <c r="B646" s="24" t="s">
        <v>4614</v>
      </c>
      <c r="C646" s="26">
        <v>44900.07910879629</v>
      </c>
      <c r="D646" s="26"/>
      <c r="E646" s="28" t="s">
        <v>2721</v>
      </c>
      <c r="F646" s="24"/>
      <c r="G646" s="35"/>
      <c r="H646" s="35"/>
      <c r="I646" s="35"/>
      <c r="J646" s="24"/>
      <c r="K646" s="24"/>
      <c r="L646" s="24"/>
      <c r="M646" s="28">
        <f>HYPERLINK("https://app.hubspot.com/contacts/8748051/record/0-2/10242262171", 10242262171)</f>
        <v>10242262171</v>
      </c>
      <c r="N646" s="24" t="s">
        <v>2720</v>
      </c>
      <c r="O646" s="28">
        <f>HYPERLINK("https://app.hubspot.com/contacts/8748051/record/0-3/11277650784", 11277650784)</f>
        <v>11277650784</v>
      </c>
      <c r="P646" s="24" t="s">
        <v>2719</v>
      </c>
      <c r="Q646" s="24" t="s">
        <v>127</v>
      </c>
      <c r="R646" s="24">
        <v>15000.0</v>
      </c>
      <c r="S646" s="24" t="b">
        <v>1</v>
      </c>
      <c r="T646" s="34" t="str">
        <f t="shared" ref="T646:V646" si="650">IF(G646&lt;&gt;"","Yes","")</f>
        <v/>
      </c>
      <c r="U646" s="34" t="str">
        <f t="shared" si="650"/>
        <v/>
      </c>
      <c r="V646" s="34" t="str">
        <f t="shared" si="650"/>
        <v/>
      </c>
      <c r="W646" s="34" t="str">
        <f t="shared" si="3"/>
        <v/>
      </c>
      <c r="X646" s="24" t="str">
        <f t="shared" si="4"/>
        <v/>
      </c>
    </row>
    <row r="647" ht="14.25" customHeight="1">
      <c r="A647" s="28">
        <f>HYPERLINK("https://app.hubspot.com/contacts/8748051/record/0-1/1531751", 1531751)</f>
        <v>1531751</v>
      </c>
      <c r="B647" s="24" t="s">
        <v>4615</v>
      </c>
      <c r="C647" s="26">
        <v>44900.0522337963</v>
      </c>
      <c r="D647" s="26"/>
      <c r="E647" s="28" t="s">
        <v>4616</v>
      </c>
      <c r="F647" s="24"/>
      <c r="G647" s="35"/>
      <c r="H647" s="35"/>
      <c r="I647" s="35"/>
      <c r="J647" s="24"/>
      <c r="K647" s="24"/>
      <c r="L647" s="24"/>
      <c r="M647" s="28">
        <f>HYPERLINK("https://app.hubspot.com/contacts/8748051/record/0-2/10242172335", 10242172335)</f>
        <v>10242172335</v>
      </c>
      <c r="N647" s="24" t="s">
        <v>4617</v>
      </c>
      <c r="O647" s="24"/>
      <c r="P647" s="24"/>
      <c r="Q647" s="24"/>
      <c r="R647" s="24"/>
      <c r="S647" s="24"/>
      <c r="T647" s="34" t="str">
        <f t="shared" ref="T647:V647" si="651">IF(G647&lt;&gt;"","Yes","")</f>
        <v/>
      </c>
      <c r="U647" s="34" t="str">
        <f t="shared" si="651"/>
        <v/>
      </c>
      <c r="V647" s="34" t="str">
        <f t="shared" si="651"/>
        <v/>
      </c>
      <c r="W647" s="34" t="str">
        <f t="shared" si="3"/>
        <v/>
      </c>
      <c r="X647" s="24" t="str">
        <f t="shared" si="4"/>
        <v/>
      </c>
    </row>
    <row r="648" ht="14.25" customHeight="1">
      <c r="A648" s="28">
        <f>HYPERLINK("https://app.hubspot.com/contacts/8748051/record/0-1/1517601", 1517601)</f>
        <v>1517601</v>
      </c>
      <c r="B648" s="24" t="s">
        <v>4618</v>
      </c>
      <c r="C648" s="26">
        <v>44897.39020833333</v>
      </c>
      <c r="D648" s="26"/>
      <c r="E648" s="28" t="s">
        <v>2714</v>
      </c>
      <c r="F648" s="26"/>
      <c r="G648" s="35"/>
      <c r="H648" s="35"/>
      <c r="I648" s="35"/>
      <c r="J648" s="24"/>
      <c r="K648" s="24"/>
      <c r="L648" s="24"/>
      <c r="M648" s="28">
        <f>HYPERLINK("https://app.hubspot.com/contacts/8748051/record/0-2/9238333748", 9238333748)</f>
        <v>9238333748</v>
      </c>
      <c r="N648" s="24" t="s">
        <v>2713</v>
      </c>
      <c r="O648" s="33">
        <f>HYPERLINK("https://app.hubspot.com/contacts/8748051/record/0-3/11318663327", 11318663327)</f>
        <v>11318663327</v>
      </c>
      <c r="P648" s="24" t="s">
        <v>2712</v>
      </c>
      <c r="Q648" s="24" t="s">
        <v>127</v>
      </c>
      <c r="R648" s="24">
        <v>8000.0</v>
      </c>
      <c r="S648" s="24" t="b">
        <v>1</v>
      </c>
      <c r="T648" s="34" t="str">
        <f t="shared" ref="T648:V648" si="652">IF(G648&lt;&gt;"","Yes","")</f>
        <v/>
      </c>
      <c r="U648" s="34" t="str">
        <f t="shared" si="652"/>
        <v/>
      </c>
      <c r="V648" s="34" t="str">
        <f t="shared" si="652"/>
        <v/>
      </c>
      <c r="W648" s="34" t="str">
        <f t="shared" si="3"/>
        <v/>
      </c>
      <c r="X648" s="24" t="str">
        <f t="shared" si="4"/>
        <v/>
      </c>
    </row>
    <row r="649" ht="14.25" customHeight="1">
      <c r="A649" s="33">
        <f>HYPERLINK("https://app.hubspot.com/contacts/8748051/record/0-1/1471901", 1471901)</f>
        <v>1471901</v>
      </c>
      <c r="B649" s="24" t="s">
        <v>4619</v>
      </c>
      <c r="C649" s="26">
        <v>44895.28827546296</v>
      </c>
      <c r="D649" s="26"/>
      <c r="E649" s="28" t="s">
        <v>4620</v>
      </c>
      <c r="F649" s="34"/>
      <c r="G649" s="35"/>
      <c r="H649" s="35"/>
      <c r="I649" s="35"/>
      <c r="J649" s="24"/>
      <c r="K649" s="24"/>
      <c r="L649" s="34"/>
      <c r="M649" s="33">
        <f>HYPERLINK("https://app.hubspot.com/contacts/8748051/record/0-2/10207984299", 10207984299)</f>
        <v>10207984299</v>
      </c>
      <c r="N649" s="24" t="s">
        <v>4621</v>
      </c>
      <c r="O649" s="34"/>
      <c r="P649" s="24"/>
      <c r="Q649" s="24"/>
      <c r="R649" s="24"/>
      <c r="S649" s="24"/>
      <c r="T649" s="34" t="str">
        <f t="shared" ref="T649:V649" si="653">IF(G649&lt;&gt;"","Yes","")</f>
        <v/>
      </c>
      <c r="U649" s="34" t="str">
        <f t="shared" si="653"/>
        <v/>
      </c>
      <c r="V649" s="34" t="str">
        <f t="shared" si="653"/>
        <v/>
      </c>
      <c r="W649" s="34" t="str">
        <f t="shared" si="3"/>
        <v/>
      </c>
      <c r="X649" s="24" t="str">
        <f t="shared" si="4"/>
        <v/>
      </c>
    </row>
    <row r="650" ht="14.25" customHeight="1">
      <c r="A650" s="33">
        <f>HYPERLINK("https://app.hubspot.com/contacts/8748051/record/0-1/1462751", 1462751)</f>
        <v>1462751</v>
      </c>
      <c r="B650" s="24" t="s">
        <v>4622</v>
      </c>
      <c r="C650" s="26">
        <v>44889.96021990741</v>
      </c>
      <c r="D650" s="26"/>
      <c r="E650" s="28" t="s">
        <v>4623</v>
      </c>
      <c r="F650" s="34"/>
      <c r="G650" s="35"/>
      <c r="H650" s="35"/>
      <c r="I650" s="35"/>
      <c r="J650" s="24"/>
      <c r="K650" s="24"/>
      <c r="L650" s="34"/>
      <c r="M650" s="33">
        <f>HYPERLINK("https://app.hubspot.com/contacts/8748051/record/0-2/10177312081", 10177312081)</f>
        <v>10177312081</v>
      </c>
      <c r="N650" s="24" t="s">
        <v>4624</v>
      </c>
      <c r="O650" s="34"/>
      <c r="P650" s="24"/>
      <c r="Q650" s="24"/>
      <c r="R650" s="24"/>
      <c r="S650" s="24"/>
      <c r="T650" s="34" t="str">
        <f t="shared" ref="T650:V650" si="654">IF(G650&lt;&gt;"","Yes","")</f>
        <v/>
      </c>
      <c r="U650" s="34" t="str">
        <f t="shared" si="654"/>
        <v/>
      </c>
      <c r="V650" s="34" t="str">
        <f t="shared" si="654"/>
        <v/>
      </c>
      <c r="W650" s="34" t="str">
        <f t="shared" si="3"/>
        <v/>
      </c>
      <c r="X650" s="24" t="str">
        <f t="shared" si="4"/>
        <v/>
      </c>
    </row>
    <row r="651" ht="14.25" customHeight="1">
      <c r="A651" s="33">
        <f>HYPERLINK("https://app.hubspot.com/contacts/8748051/record/0-1/1457301", 1457301)</f>
        <v>1457301</v>
      </c>
      <c r="B651" s="24" t="s">
        <v>4625</v>
      </c>
      <c r="C651" s="26">
        <v>44889.28333333333</v>
      </c>
      <c r="D651" s="26"/>
      <c r="E651" s="28" t="s">
        <v>738</v>
      </c>
      <c r="F651" s="34"/>
      <c r="G651" s="34"/>
      <c r="H651" s="34"/>
      <c r="I651" s="34"/>
      <c r="J651" s="34"/>
      <c r="K651" s="34"/>
      <c r="L651" s="34"/>
      <c r="M651" s="33">
        <f>HYPERLINK("https://app.hubspot.com/contacts/8748051/record/0-2/8816890039", 8816890039)</f>
        <v>8816890039</v>
      </c>
      <c r="N651" s="24" t="s">
        <v>737</v>
      </c>
      <c r="O651" s="34"/>
      <c r="P651" s="24"/>
      <c r="Q651" s="24"/>
      <c r="R651" s="24"/>
      <c r="S651" s="24"/>
      <c r="T651" s="34" t="str">
        <f t="shared" ref="T651:V651" si="655">IF(G651&lt;&gt;"","Yes","")</f>
        <v/>
      </c>
      <c r="U651" s="34" t="str">
        <f t="shared" si="655"/>
        <v/>
      </c>
      <c r="V651" s="34" t="str">
        <f t="shared" si="655"/>
        <v/>
      </c>
      <c r="W651" s="34" t="str">
        <f t="shared" si="3"/>
        <v/>
      </c>
      <c r="X651" s="24" t="str">
        <f t="shared" si="4"/>
        <v/>
      </c>
    </row>
    <row r="652" ht="14.25" customHeight="1">
      <c r="A652" s="33">
        <f>HYPERLINK("https://app.hubspot.com/contacts/8748051/record/0-1/1449451", 1449451)</f>
        <v>1449451</v>
      </c>
      <c r="B652" s="24" t="s">
        <v>4626</v>
      </c>
      <c r="C652" s="26">
        <v>44888.41873842593</v>
      </c>
      <c r="D652" s="26"/>
      <c r="E652" s="28" t="s">
        <v>1173</v>
      </c>
      <c r="F652" s="34"/>
      <c r="G652" s="34"/>
      <c r="H652" s="34"/>
      <c r="I652" s="34"/>
      <c r="J652" s="34"/>
      <c r="K652" s="34"/>
      <c r="L652" s="34"/>
      <c r="M652" s="33">
        <f>HYPERLINK("https://app.hubspot.com/contacts/8748051/record/0-2/10228278794", 10228278794)</f>
        <v>10228278794</v>
      </c>
      <c r="N652" s="24" t="s">
        <v>1172</v>
      </c>
      <c r="O652" s="33">
        <f>HYPERLINK("https://app.hubspot.com/contacts/8748051/record/0-3/11318701656", 11318701656)</f>
        <v>11318701656</v>
      </c>
      <c r="P652" s="24" t="s">
        <v>2710</v>
      </c>
      <c r="Q652" s="24" t="s">
        <v>92</v>
      </c>
      <c r="R652" s="24">
        <v>62100.0</v>
      </c>
      <c r="S652" s="24" t="b">
        <v>1</v>
      </c>
      <c r="T652" s="34" t="str">
        <f t="shared" ref="T652:V652" si="656">IF(G652&lt;&gt;"","Yes","")</f>
        <v/>
      </c>
      <c r="U652" s="34" t="str">
        <f t="shared" si="656"/>
        <v/>
      </c>
      <c r="V652" s="34" t="str">
        <f t="shared" si="656"/>
        <v/>
      </c>
      <c r="W652" s="34" t="str">
        <f t="shared" si="3"/>
        <v>Yes</v>
      </c>
      <c r="X652" s="24" t="str">
        <f t="shared" si="4"/>
        <v/>
      </c>
    </row>
    <row r="653" ht="14.25" customHeight="1">
      <c r="A653" s="33">
        <f>HYPERLINK("https://app.hubspot.com/contacts/8748051/record/0-1/1441851", 1441851)</f>
        <v>1441851</v>
      </c>
      <c r="B653" s="24" t="s">
        <v>4627</v>
      </c>
      <c r="C653" s="26">
        <v>44886.36699074074</v>
      </c>
      <c r="D653" s="26"/>
      <c r="E653" s="28" t="s">
        <v>4628</v>
      </c>
      <c r="F653" s="34"/>
      <c r="G653" s="34"/>
      <c r="H653" s="34"/>
      <c r="I653" s="34"/>
      <c r="J653" s="34"/>
      <c r="K653" s="34"/>
      <c r="L653" s="34"/>
      <c r="M653" s="33">
        <f>HYPERLINK("https://app.hubspot.com/contacts/8748051/record/0-2/10142149933", 10142149933)</f>
        <v>10142149933</v>
      </c>
      <c r="N653" s="24" t="s">
        <v>4629</v>
      </c>
      <c r="O653" s="34"/>
      <c r="P653" s="24"/>
      <c r="Q653" s="24"/>
      <c r="R653" s="24"/>
      <c r="S653" s="24"/>
      <c r="T653" s="34" t="str">
        <f t="shared" ref="T653:V653" si="657">IF(G653&lt;&gt;"","Yes","")</f>
        <v/>
      </c>
      <c r="U653" s="34" t="str">
        <f t="shared" si="657"/>
        <v/>
      </c>
      <c r="V653" s="34" t="str">
        <f t="shared" si="657"/>
        <v/>
      </c>
      <c r="W653" s="34" t="str">
        <f t="shared" si="3"/>
        <v/>
      </c>
      <c r="X653" s="24" t="str">
        <f t="shared" si="4"/>
        <v/>
      </c>
    </row>
    <row r="654" ht="14.25" customHeight="1">
      <c r="A654" s="33">
        <f>HYPERLINK("https://app.hubspot.com/contacts/8748051/record/0-1/1440401", 1440401)</f>
        <v>1440401</v>
      </c>
      <c r="B654" s="24" t="s">
        <v>4630</v>
      </c>
      <c r="C654" s="26">
        <v>44884.235625</v>
      </c>
      <c r="D654" s="26"/>
      <c r="E654" s="28" t="s">
        <v>2694</v>
      </c>
      <c r="F654" s="34"/>
      <c r="G654" s="34"/>
      <c r="H654" s="34"/>
      <c r="I654" s="34"/>
      <c r="J654" s="34"/>
      <c r="K654" s="34"/>
      <c r="L654" s="34"/>
      <c r="M654" s="33">
        <f>HYPERLINK("https://app.hubspot.com/contacts/8748051/record/0-2/10131985065", 10131985065)</f>
        <v>10131985065</v>
      </c>
      <c r="N654" s="24" t="s">
        <v>2693</v>
      </c>
      <c r="O654" s="33">
        <f>HYPERLINK("https://app.hubspot.com/contacts/8748051/record/0-3/12037674622", 12037674622)</f>
        <v>12037674622</v>
      </c>
      <c r="P654" s="24" t="s">
        <v>2692</v>
      </c>
      <c r="Q654" s="24" t="s">
        <v>127</v>
      </c>
      <c r="R654" s="24">
        <v>25000.0</v>
      </c>
      <c r="S654" s="24" t="b">
        <v>1</v>
      </c>
      <c r="T654" s="34" t="str">
        <f t="shared" ref="T654:V654" si="658">IF(G654&lt;&gt;"","Yes","")</f>
        <v/>
      </c>
      <c r="U654" s="34" t="str">
        <f t="shared" si="658"/>
        <v/>
      </c>
      <c r="V654" s="34" t="str">
        <f t="shared" si="658"/>
        <v/>
      </c>
      <c r="W654" s="34" t="str">
        <f t="shared" si="3"/>
        <v/>
      </c>
      <c r="X654" s="24" t="str">
        <f t="shared" si="4"/>
        <v/>
      </c>
    </row>
    <row r="655" ht="14.25" customHeight="1">
      <c r="A655" s="33">
        <f>HYPERLINK("https://app.hubspot.com/contacts/8748051/record/0-1/1439851", 1439851)</f>
        <v>1439851</v>
      </c>
      <c r="B655" s="24" t="s">
        <v>4631</v>
      </c>
      <c r="C655" s="26">
        <v>44882.54011574074</v>
      </c>
      <c r="D655" s="26"/>
      <c r="E655" s="28" t="s">
        <v>4632</v>
      </c>
      <c r="F655" s="34"/>
      <c r="G655" s="34"/>
      <c r="H655" s="34"/>
      <c r="I655" s="34"/>
      <c r="J655" s="34"/>
      <c r="K655" s="34"/>
      <c r="L655" s="34"/>
      <c r="M655" s="33">
        <f>HYPERLINK("https://app.hubspot.com/contacts/8748051/record/0-2/10113569547", 10113569547)</f>
        <v>10113569547</v>
      </c>
      <c r="N655" s="24" t="s">
        <v>4633</v>
      </c>
      <c r="O655" s="34"/>
      <c r="P655" s="24"/>
      <c r="Q655" s="24"/>
      <c r="R655" s="24"/>
      <c r="S655" s="24"/>
      <c r="T655" s="34" t="str">
        <f t="shared" ref="T655:V655" si="659">IF(G655&lt;&gt;"","Yes","")</f>
        <v/>
      </c>
      <c r="U655" s="34" t="str">
        <f t="shared" si="659"/>
        <v/>
      </c>
      <c r="V655" s="34" t="str">
        <f t="shared" si="659"/>
        <v/>
      </c>
      <c r="W655" s="34" t="str">
        <f t="shared" si="3"/>
        <v/>
      </c>
      <c r="X655" s="24" t="str">
        <f t="shared" si="4"/>
        <v/>
      </c>
    </row>
    <row r="656" ht="14.25" customHeight="1">
      <c r="A656" s="33">
        <f>HYPERLINK("https://app.hubspot.com/contacts/8748051/record/0-1/1435901", 1435901)</f>
        <v>1435901</v>
      </c>
      <c r="B656" s="24" t="s">
        <v>4634</v>
      </c>
      <c r="C656" s="26">
        <v>44881.52203703704</v>
      </c>
      <c r="D656" s="26"/>
      <c r="E656" s="28" t="s">
        <v>4635</v>
      </c>
      <c r="F656" s="34"/>
      <c r="G656" s="34"/>
      <c r="H656" s="34"/>
      <c r="I656" s="34"/>
      <c r="J656" s="34"/>
      <c r="K656" s="34"/>
      <c r="L656" s="34"/>
      <c r="M656" s="33">
        <f>HYPERLINK("https://app.hubspot.com/contacts/8748051/record/0-2/10093804887", 10093804887)</f>
        <v>10093804887</v>
      </c>
      <c r="N656" s="24" t="s">
        <v>4636</v>
      </c>
      <c r="O656" s="34"/>
      <c r="P656" s="24"/>
      <c r="Q656" s="24"/>
      <c r="R656" s="24"/>
      <c r="S656" s="24"/>
      <c r="T656" s="34" t="str">
        <f t="shared" ref="T656:V656" si="660">IF(G656&lt;&gt;"","Yes","")</f>
        <v/>
      </c>
      <c r="U656" s="34" t="str">
        <f t="shared" si="660"/>
        <v/>
      </c>
      <c r="V656" s="34" t="str">
        <f t="shared" si="660"/>
        <v/>
      </c>
      <c r="W656" s="34" t="str">
        <f t="shared" si="3"/>
        <v/>
      </c>
      <c r="X656" s="24" t="str">
        <f t="shared" si="4"/>
        <v/>
      </c>
    </row>
    <row r="657" ht="14.25" customHeight="1">
      <c r="A657" s="33">
        <f>HYPERLINK("https://app.hubspot.com/contacts/8748051/record/0-1/1423901", 1423901)</f>
        <v>1423901</v>
      </c>
      <c r="B657" s="24" t="s">
        <v>4637</v>
      </c>
      <c r="C657" s="26">
        <v>44881.35239583333</v>
      </c>
      <c r="D657" s="26"/>
      <c r="E657" s="28" t="s">
        <v>4638</v>
      </c>
      <c r="F657" s="34"/>
      <c r="G657" s="34"/>
      <c r="H657" s="34"/>
      <c r="I657" s="34"/>
      <c r="J657" s="34"/>
      <c r="K657" s="34"/>
      <c r="L657" s="34"/>
      <c r="M657" s="33">
        <f>HYPERLINK("https://app.hubspot.com/contacts/8748051/record/0-2/10092057970", 10092057970)</f>
        <v>10092057970</v>
      </c>
      <c r="N657" s="24" t="s">
        <v>4639</v>
      </c>
      <c r="O657" s="34"/>
      <c r="P657" s="24"/>
      <c r="Q657" s="24"/>
      <c r="R657" s="24"/>
      <c r="S657" s="24"/>
      <c r="T657" s="34" t="str">
        <f t="shared" ref="T657:V657" si="661">IF(G657&lt;&gt;"","Yes","")</f>
        <v/>
      </c>
      <c r="U657" s="34" t="str">
        <f t="shared" si="661"/>
        <v/>
      </c>
      <c r="V657" s="34" t="str">
        <f t="shared" si="661"/>
        <v/>
      </c>
      <c r="W657" s="34" t="str">
        <f t="shared" si="3"/>
        <v/>
      </c>
      <c r="X657" s="24" t="str">
        <f t="shared" si="4"/>
        <v/>
      </c>
    </row>
    <row r="658" ht="14.25" customHeight="1">
      <c r="A658" s="33">
        <f>HYPERLINK("https://app.hubspot.com/contacts/8748051/record/0-1/1434401", 1434401)</f>
        <v>1434401</v>
      </c>
      <c r="B658" s="24" t="s">
        <v>4640</v>
      </c>
      <c r="C658" s="26">
        <v>44879.600439814814</v>
      </c>
      <c r="D658" s="26"/>
      <c r="E658" s="28" t="s">
        <v>2592</v>
      </c>
      <c r="F658" s="34"/>
      <c r="G658" s="34"/>
      <c r="H658" s="34"/>
      <c r="I658" s="34"/>
      <c r="J658" s="34"/>
      <c r="K658" s="34"/>
      <c r="L658" s="34"/>
      <c r="M658" s="33">
        <f>HYPERLINK("https://app.hubspot.com/contacts/8748051/record/0-2/8616793166", 8616793166)</f>
        <v>8616793166</v>
      </c>
      <c r="N658" s="24" t="s">
        <v>2591</v>
      </c>
      <c r="O658" s="34"/>
      <c r="P658" s="34"/>
      <c r="Q658" s="34"/>
      <c r="R658" s="34"/>
      <c r="S658" s="34"/>
      <c r="T658" s="34" t="str">
        <f t="shared" ref="T658:V658" si="662">IF(G658&lt;&gt;"","Yes","")</f>
        <v/>
      </c>
      <c r="U658" s="34" t="str">
        <f t="shared" si="662"/>
        <v/>
      </c>
      <c r="V658" s="34" t="str">
        <f t="shared" si="662"/>
        <v/>
      </c>
      <c r="W658" s="34" t="str">
        <f t="shared" si="3"/>
        <v/>
      </c>
      <c r="X658" s="24" t="str">
        <f t="shared" si="4"/>
        <v/>
      </c>
    </row>
    <row r="659" ht="14.25" customHeight="1">
      <c r="A659" s="33">
        <f>HYPERLINK("https://app.hubspot.com/contacts/8748051/record/0-1/1424201", 1424201)</f>
        <v>1424201</v>
      </c>
      <c r="B659" s="24" t="s">
        <v>4641</v>
      </c>
      <c r="C659" s="26">
        <v>44873.01583333333</v>
      </c>
      <c r="D659" s="26"/>
      <c r="E659" s="28" t="s">
        <v>4642</v>
      </c>
      <c r="F659" s="34"/>
      <c r="G659" s="34"/>
      <c r="H659" s="34"/>
      <c r="I659" s="34"/>
      <c r="J659" s="34"/>
      <c r="K659" s="34"/>
      <c r="L659" s="34"/>
      <c r="M659" s="33">
        <f>HYPERLINK("https://app.hubspot.com/contacts/8748051/record/0-2/10024652425", 10024652425)</f>
        <v>10024652425</v>
      </c>
      <c r="N659" s="24" t="s">
        <v>4643</v>
      </c>
      <c r="O659" s="34"/>
      <c r="P659" s="34"/>
      <c r="Q659" s="34"/>
      <c r="R659" s="34"/>
      <c r="S659" s="34"/>
      <c r="T659" s="34" t="str">
        <f t="shared" ref="T659:V659" si="663">IF(G659&lt;&gt;"","Yes","")</f>
        <v/>
      </c>
      <c r="U659" s="34" t="str">
        <f t="shared" si="663"/>
        <v/>
      </c>
      <c r="V659" s="34" t="str">
        <f t="shared" si="663"/>
        <v/>
      </c>
      <c r="W659" s="34" t="str">
        <f t="shared" si="3"/>
        <v/>
      </c>
      <c r="X659" s="24" t="str">
        <f t="shared" si="4"/>
        <v/>
      </c>
    </row>
    <row r="660" ht="14.25" customHeight="1">
      <c r="A660" s="33">
        <f>HYPERLINK("https://app.hubspot.com/contacts/8748051/record/0-1/1418451", 1418451)</f>
        <v>1418451</v>
      </c>
      <c r="B660" s="24" t="s">
        <v>4644</v>
      </c>
      <c r="C660" s="26">
        <v>44868.493101851855</v>
      </c>
      <c r="D660" s="26"/>
      <c r="E660" s="24" t="s">
        <v>4645</v>
      </c>
      <c r="F660" s="34"/>
      <c r="G660" s="34"/>
      <c r="H660" s="34"/>
      <c r="I660" s="34"/>
      <c r="J660" s="34"/>
      <c r="K660" s="34"/>
      <c r="L660" s="34"/>
      <c r="M660" s="33">
        <f>HYPERLINK("https://app.hubspot.com/contacts/8748051/record/0-2/9968034866", 9968034866)</f>
        <v>9968034866</v>
      </c>
      <c r="N660" s="24" t="s">
        <v>4645</v>
      </c>
      <c r="O660" s="34"/>
      <c r="P660" s="34"/>
      <c r="Q660" s="34"/>
      <c r="R660" s="34"/>
      <c r="S660" s="34"/>
      <c r="T660" s="34" t="str">
        <f t="shared" ref="T660:V660" si="664">IF(G660&lt;&gt;"","Yes","")</f>
        <v/>
      </c>
      <c r="U660" s="34" t="str">
        <f t="shared" si="664"/>
        <v/>
      </c>
      <c r="V660" s="34" t="str">
        <f t="shared" si="664"/>
        <v/>
      </c>
      <c r="W660" s="34" t="str">
        <f t="shared" si="3"/>
        <v/>
      </c>
      <c r="X660" s="24" t="str">
        <f t="shared" si="4"/>
        <v/>
      </c>
    </row>
    <row r="661" ht="14.25" customHeight="1">
      <c r="A661" s="33">
        <f>HYPERLINK("https://app.hubspot.com/contacts/8748051/record/0-1/626551", 626551)</f>
        <v>626551</v>
      </c>
      <c r="B661" s="24" t="s">
        <v>4646</v>
      </c>
      <c r="C661" s="26">
        <v>44865.985763888886</v>
      </c>
      <c r="D661" s="26"/>
      <c r="E661" s="28" t="s">
        <v>4647</v>
      </c>
      <c r="F661" s="34"/>
      <c r="G661" s="34"/>
      <c r="H661" s="34"/>
      <c r="I661" s="34"/>
      <c r="J661" s="34"/>
      <c r="K661" s="34"/>
      <c r="L661" s="34"/>
      <c r="M661" s="33">
        <f>HYPERLINK("https://app.hubspot.com/contacts/8748051/record/0-2/9003956084", 9003956084)</f>
        <v>9003956084</v>
      </c>
      <c r="N661" s="24" t="s">
        <v>4648</v>
      </c>
      <c r="O661" s="34"/>
      <c r="P661" s="24"/>
      <c r="Q661" s="24"/>
      <c r="R661" s="24"/>
      <c r="S661" s="24"/>
      <c r="T661" s="34" t="str">
        <f t="shared" ref="T661:V661" si="665">IF(G661&lt;&gt;"","Yes","")</f>
        <v/>
      </c>
      <c r="U661" s="34" t="str">
        <f t="shared" si="665"/>
        <v/>
      </c>
      <c r="V661" s="34" t="str">
        <f t="shared" si="665"/>
        <v/>
      </c>
      <c r="W661" s="34" t="str">
        <f t="shared" si="3"/>
        <v/>
      </c>
      <c r="X661" s="24" t="str">
        <f t="shared" si="4"/>
        <v/>
      </c>
    </row>
    <row r="662" ht="14.25" customHeight="1">
      <c r="A662" s="33">
        <f>HYPERLINK("https://app.hubspot.com/contacts/8748051/record/0-1/1200351", 1200351)</f>
        <v>1200351</v>
      </c>
      <c r="B662" s="24" t="s">
        <v>4649</v>
      </c>
      <c r="C662" s="26">
        <v>44831.275243055556</v>
      </c>
      <c r="D662" s="26"/>
      <c r="E662" s="28" t="s">
        <v>2744</v>
      </c>
      <c r="F662" s="34"/>
      <c r="G662" s="34"/>
      <c r="H662" s="34"/>
      <c r="I662" s="34"/>
      <c r="J662" s="34"/>
      <c r="K662" s="34"/>
      <c r="L662" s="34"/>
      <c r="M662" s="33">
        <f>HYPERLINK("https://app.hubspot.com/contacts/8748051/record/0-2/9673925377", 9673925377)</f>
        <v>9673925377</v>
      </c>
      <c r="N662" s="24" t="s">
        <v>2743</v>
      </c>
      <c r="O662" s="33">
        <f>HYPERLINK("https://app.hubspot.com/contacts/8748051/record/0-3/10750772853", 10750772853)</f>
        <v>10750772853</v>
      </c>
      <c r="P662" s="24" t="s">
        <v>2742</v>
      </c>
      <c r="Q662" s="24" t="s">
        <v>127</v>
      </c>
      <c r="R662" s="24">
        <v>25000.0</v>
      </c>
      <c r="S662" s="24" t="b">
        <v>1</v>
      </c>
      <c r="T662" s="34" t="str">
        <f t="shared" ref="T662:V662" si="666">IF(G662&lt;&gt;"","Yes","")</f>
        <v/>
      </c>
      <c r="U662" s="34" t="str">
        <f t="shared" si="666"/>
        <v/>
      </c>
      <c r="V662" s="34" t="str">
        <f t="shared" si="666"/>
        <v/>
      </c>
      <c r="W662" s="34" t="str">
        <f t="shared" si="3"/>
        <v/>
      </c>
      <c r="X662" s="24" t="str">
        <f t="shared" si="4"/>
        <v/>
      </c>
    </row>
    <row r="663" ht="14.25" customHeight="1">
      <c r="A663" s="33">
        <f>HYPERLINK("https://app.hubspot.com/contacts/8748051/record/0-1/726151", 726151)</f>
        <v>726151</v>
      </c>
      <c r="B663" s="24" t="s">
        <v>4650</v>
      </c>
      <c r="C663" s="26">
        <v>44754.54299768519</v>
      </c>
      <c r="D663" s="26"/>
      <c r="E663" s="28" t="s">
        <v>4651</v>
      </c>
      <c r="F663" s="34"/>
      <c r="G663" s="34"/>
      <c r="H663" s="34"/>
      <c r="I663" s="34"/>
      <c r="J663" s="34"/>
      <c r="K663" s="34"/>
      <c r="L663" s="34"/>
      <c r="M663" s="33">
        <f>HYPERLINK("https://app.hubspot.com/contacts/8748051/record/0-2/9107031372", 9107031372)</f>
        <v>9107031372</v>
      </c>
      <c r="N663" s="24" t="s">
        <v>4652</v>
      </c>
      <c r="O663" s="34"/>
      <c r="P663" s="24"/>
      <c r="Q663" s="24"/>
      <c r="R663" s="24"/>
      <c r="S663" s="24"/>
      <c r="T663" s="34" t="str">
        <f t="shared" ref="T663:V663" si="667">IF(G663&lt;&gt;"","Yes","")</f>
        <v/>
      </c>
      <c r="U663" s="34" t="str">
        <f t="shared" si="667"/>
        <v/>
      </c>
      <c r="V663" s="34" t="str">
        <f t="shared" si="667"/>
        <v/>
      </c>
      <c r="W663" s="34" t="str">
        <f t="shared" si="3"/>
        <v/>
      </c>
      <c r="X663" s="24" t="str">
        <f t="shared" si="4"/>
        <v/>
      </c>
    </row>
    <row r="664" ht="14.25" customHeight="1">
      <c r="A664" s="33">
        <f>HYPERLINK("https://app.hubspot.com/contacts/8748051/record/0-1/28951", 28951)</f>
        <v>28951</v>
      </c>
      <c r="B664" s="24" t="s">
        <v>4653</v>
      </c>
      <c r="C664" s="26"/>
      <c r="D664" s="24" t="s">
        <v>4654</v>
      </c>
      <c r="E664" s="28" t="s">
        <v>4655</v>
      </c>
      <c r="F664" s="34"/>
      <c r="G664" s="35">
        <v>45303.0</v>
      </c>
      <c r="H664" s="34"/>
      <c r="I664" s="34"/>
      <c r="J664" s="34"/>
      <c r="K664" s="34"/>
      <c r="L664" s="34"/>
      <c r="M664" s="33">
        <f>HYPERLINK("https://app.hubspot.com/contacts/8748051/record/0-2/7648310570", 7648310570)</f>
        <v>7648310570</v>
      </c>
      <c r="N664" s="24" t="s">
        <v>4656</v>
      </c>
      <c r="O664" s="34"/>
      <c r="P664" s="34"/>
      <c r="Q664" s="34"/>
      <c r="R664" s="34"/>
      <c r="S664" s="34"/>
      <c r="T664" s="34" t="str">
        <f t="shared" ref="T664:V664" si="668">IF(G664&lt;&gt;"","Yes","")</f>
        <v>Yes</v>
      </c>
      <c r="U664" s="34" t="str">
        <f t="shared" si="668"/>
        <v/>
      </c>
      <c r="V664" s="34" t="str">
        <f t="shared" si="668"/>
        <v/>
      </c>
      <c r="W664" s="34" t="str">
        <f t="shared" si="3"/>
        <v/>
      </c>
      <c r="X664" s="24" t="str">
        <f t="shared" si="4"/>
        <v/>
      </c>
    </row>
    <row r="665" ht="14.25" customHeight="1">
      <c r="A665" s="33">
        <f>HYPERLINK("https://app.hubspot.com/contacts/8748051/record/0-1/34401", 34401)</f>
        <v>34401</v>
      </c>
      <c r="B665" s="24" t="s">
        <v>4657</v>
      </c>
      <c r="C665" s="34"/>
      <c r="D665" s="24" t="s">
        <v>4658</v>
      </c>
      <c r="E665" s="28" t="s">
        <v>4659</v>
      </c>
      <c r="F665" s="34"/>
      <c r="G665" s="35">
        <v>45439.0</v>
      </c>
      <c r="H665" s="34"/>
      <c r="I665" s="34"/>
      <c r="J665" s="34"/>
      <c r="K665" s="34"/>
      <c r="L665" s="34"/>
      <c r="M665" s="33">
        <f>HYPERLINK("https://app.hubspot.com/contacts/8748051/record/0-2/7668671771", 7668671771)</f>
        <v>7668671771</v>
      </c>
      <c r="N665" s="24" t="s">
        <v>4660</v>
      </c>
      <c r="O665" s="34"/>
      <c r="P665" s="34"/>
      <c r="Q665" s="34"/>
      <c r="R665" s="34"/>
      <c r="S665" s="34"/>
      <c r="T665" s="34" t="str">
        <f t="shared" ref="T665:V665" si="669">IF(G665&lt;&gt;"","Yes","")</f>
        <v>Yes</v>
      </c>
      <c r="U665" s="34" t="str">
        <f t="shared" si="669"/>
        <v/>
      </c>
      <c r="V665" s="34" t="str">
        <f t="shared" si="669"/>
        <v/>
      </c>
      <c r="W665" s="34" t="str">
        <f t="shared" si="3"/>
        <v/>
      </c>
      <c r="X665" s="24" t="str">
        <f t="shared" si="4"/>
        <v/>
      </c>
    </row>
    <row r="666" ht="14.25" customHeight="1">
      <c r="A666" s="33">
        <f>HYPERLINK("https://app.hubspot.com/contacts/8748051/record/0-1/35801", 35801)</f>
        <v>35801</v>
      </c>
      <c r="B666" s="24" t="s">
        <v>4661</v>
      </c>
      <c r="C666" s="34"/>
      <c r="D666" s="24" t="s">
        <v>4662</v>
      </c>
      <c r="E666" s="28" t="s">
        <v>2436</v>
      </c>
      <c r="F666" s="34"/>
      <c r="G666" s="35">
        <v>45265.0</v>
      </c>
      <c r="H666" s="35">
        <v>45266.0</v>
      </c>
      <c r="I666" s="35">
        <v>45266.0</v>
      </c>
      <c r="J666" s="34"/>
      <c r="K666" s="34"/>
      <c r="L666" s="34"/>
      <c r="M666" s="33">
        <f>HYPERLINK("https://app.hubspot.com/contacts/8748051/record/0-2/7673659823", 7673659823)</f>
        <v>7673659823</v>
      </c>
      <c r="N666" s="24" t="s">
        <v>2435</v>
      </c>
      <c r="O666" s="33">
        <f>HYPERLINK("https://app.hubspot.com/contacts/8748051/record/0-3/16388480607", 16388480607)</f>
        <v>16388480607</v>
      </c>
      <c r="P666" s="24" t="s">
        <v>2434</v>
      </c>
      <c r="Q666" s="24" t="s">
        <v>73</v>
      </c>
      <c r="R666" s="24">
        <v>71500.0</v>
      </c>
      <c r="S666" s="34"/>
      <c r="T666" s="34" t="str">
        <f t="shared" ref="T666:V666" si="670">IF(G666&lt;&gt;"","Yes","")</f>
        <v>Yes</v>
      </c>
      <c r="U666" s="34" t="str">
        <f t="shared" si="670"/>
        <v>Yes</v>
      </c>
      <c r="V666" s="34" t="str">
        <f t="shared" si="670"/>
        <v>Yes</v>
      </c>
      <c r="W666" s="34" t="str">
        <f t="shared" si="3"/>
        <v/>
      </c>
      <c r="X666" s="24" t="str">
        <f t="shared" si="4"/>
        <v/>
      </c>
    </row>
    <row r="667" ht="14.25" customHeight="1">
      <c r="A667" s="33">
        <f>HYPERLINK("https://app.hubspot.com/contacts/8748051/record/0-1/61201", 61201)</f>
        <v>61201</v>
      </c>
      <c r="B667" s="24" t="s">
        <v>4663</v>
      </c>
      <c r="C667" s="34"/>
      <c r="D667" s="24" t="s">
        <v>4664</v>
      </c>
      <c r="E667" s="28" t="s">
        <v>1548</v>
      </c>
      <c r="F667" s="34"/>
      <c r="G667" s="35">
        <v>45313.0</v>
      </c>
      <c r="H667" s="35">
        <v>45495.0</v>
      </c>
      <c r="I667" s="35">
        <v>45495.0</v>
      </c>
      <c r="J667" s="34"/>
      <c r="K667" s="34"/>
      <c r="L667" s="34"/>
      <c r="M667" s="33">
        <f>HYPERLINK("https://app.hubspot.com/contacts/8748051/record/0-2/7984212237", 7984212237)</f>
        <v>7984212237</v>
      </c>
      <c r="N667" s="24" t="s">
        <v>1547</v>
      </c>
      <c r="O667" s="33">
        <f>HYPERLINK("https://app.hubspot.com/contacts/8748051/record/0-3/20902616950", 20902616950)</f>
        <v>20902616950</v>
      </c>
      <c r="P667" s="24" t="s">
        <v>1546</v>
      </c>
      <c r="Q667" s="24" t="s">
        <v>73</v>
      </c>
      <c r="R667" s="24">
        <v>19200.0</v>
      </c>
      <c r="S667" s="34"/>
      <c r="T667" s="34" t="str">
        <f t="shared" ref="T667:V667" si="671">IF(G667&lt;&gt;"","Yes","")</f>
        <v>Yes</v>
      </c>
      <c r="U667" s="34" t="str">
        <f t="shared" si="671"/>
        <v>Yes</v>
      </c>
      <c r="V667" s="34" t="str">
        <f t="shared" si="671"/>
        <v>Yes</v>
      </c>
      <c r="W667" s="34" t="str">
        <f t="shared" si="3"/>
        <v/>
      </c>
      <c r="X667" s="24" t="str">
        <f t="shared" si="4"/>
        <v/>
      </c>
    </row>
    <row r="668" ht="14.25" customHeight="1">
      <c r="A668" s="33">
        <f>HYPERLINK("https://app.hubspot.com/contacts/8748051/record/0-1/86801", 86801)</f>
        <v>86801</v>
      </c>
      <c r="B668" s="24" t="s">
        <v>4665</v>
      </c>
      <c r="C668" s="34"/>
      <c r="D668" s="24" t="s">
        <v>4666</v>
      </c>
      <c r="E668" s="28" t="s">
        <v>4667</v>
      </c>
      <c r="F668" s="34"/>
      <c r="G668" s="35">
        <v>45389.0</v>
      </c>
      <c r="H668" s="34"/>
      <c r="I668" s="34"/>
      <c r="J668" s="34"/>
      <c r="K668" s="34"/>
      <c r="L668" s="34"/>
      <c r="M668" s="33">
        <f>HYPERLINK("https://app.hubspot.com/contacts/8748051/record/0-2/18832146523", 18832146523)</f>
        <v>18832146523</v>
      </c>
      <c r="N668" s="24" t="s">
        <v>4668</v>
      </c>
      <c r="O668" s="34"/>
      <c r="P668" s="34"/>
      <c r="Q668" s="34"/>
      <c r="R668" s="34"/>
      <c r="S668" s="34"/>
      <c r="T668" s="34" t="str">
        <f t="shared" ref="T668:V668" si="672">IF(G668&lt;&gt;"","Yes","")</f>
        <v>Yes</v>
      </c>
      <c r="U668" s="34" t="str">
        <f t="shared" si="672"/>
        <v/>
      </c>
      <c r="V668" s="34" t="str">
        <f t="shared" si="672"/>
        <v/>
      </c>
      <c r="W668" s="34" t="str">
        <f t="shared" si="3"/>
        <v/>
      </c>
      <c r="X668" s="24" t="str">
        <f t="shared" si="4"/>
        <v/>
      </c>
    </row>
    <row r="669" ht="14.25" customHeight="1">
      <c r="A669" s="33">
        <f>HYPERLINK("https://app.hubspot.com/contacts/8748051/record/0-1/92706", 92706)</f>
        <v>92706</v>
      </c>
      <c r="B669" s="24" t="s">
        <v>4669</v>
      </c>
      <c r="C669" s="34"/>
      <c r="D669" s="24" t="s">
        <v>4670</v>
      </c>
      <c r="E669" s="28" t="s">
        <v>1928</v>
      </c>
      <c r="F669" s="34"/>
      <c r="G669" s="35">
        <v>45383.0</v>
      </c>
      <c r="H669" s="35">
        <v>45386.0</v>
      </c>
      <c r="I669" s="35">
        <v>45386.0</v>
      </c>
      <c r="J669" s="34"/>
      <c r="K669" s="34"/>
      <c r="L669" s="34"/>
      <c r="M669" s="33">
        <f>HYPERLINK("https://app.hubspot.com/contacts/8748051/record/0-2/7648580645", 7648580645)</f>
        <v>7648580645</v>
      </c>
      <c r="N669" s="24" t="s">
        <v>1927</v>
      </c>
      <c r="O669" s="33">
        <f>HYPERLINK("https://app.hubspot.com/contacts/8748051/record/0-3/18428212873", 18428212873)</f>
        <v>18428212873</v>
      </c>
      <c r="P669" s="24" t="s">
        <v>1926</v>
      </c>
      <c r="Q669" s="24" t="s">
        <v>73</v>
      </c>
      <c r="R669" s="24">
        <v>23280.0</v>
      </c>
      <c r="S669" s="34"/>
      <c r="T669" s="34" t="str">
        <f t="shared" ref="T669:V669" si="673">IF(G669&lt;&gt;"","Yes","")</f>
        <v>Yes</v>
      </c>
      <c r="U669" s="34" t="str">
        <f t="shared" si="673"/>
        <v>Yes</v>
      </c>
      <c r="V669" s="34" t="str">
        <f t="shared" si="673"/>
        <v>Yes</v>
      </c>
      <c r="W669" s="34" t="str">
        <f t="shared" si="3"/>
        <v/>
      </c>
      <c r="X669" s="24" t="str">
        <f t="shared" si="4"/>
        <v/>
      </c>
    </row>
    <row r="670" ht="14.25" customHeight="1">
      <c r="A670" s="33">
        <f>HYPERLINK("https://app.hubspot.com/contacts/8748051/record/0-1/92751", 92751)</f>
        <v>92751</v>
      </c>
      <c r="B670" s="24" t="s">
        <v>4671</v>
      </c>
      <c r="C670" s="34"/>
      <c r="D670" s="24" t="s">
        <v>4672</v>
      </c>
      <c r="E670" s="28" t="s">
        <v>2374</v>
      </c>
      <c r="F670" s="34"/>
      <c r="G670" s="35">
        <v>45272.0</v>
      </c>
      <c r="H670" s="35">
        <v>45295.0</v>
      </c>
      <c r="I670" s="35">
        <v>45295.0</v>
      </c>
      <c r="J670" s="34"/>
      <c r="K670" s="34"/>
      <c r="L670" s="34"/>
      <c r="M670" s="33">
        <f>HYPERLINK("https://app.hubspot.com/contacts/8748051/record/0-2/8142158894", 8142158894)</f>
        <v>8142158894</v>
      </c>
      <c r="N670" s="24" t="s">
        <v>2373</v>
      </c>
      <c r="O670" s="33">
        <f>HYPERLINK("https://app.hubspot.com/contacts/8748051/record/0-3/16807714365", 16807714365)</f>
        <v>16807714365</v>
      </c>
      <c r="P670" s="24" t="s">
        <v>2372</v>
      </c>
      <c r="Q670" s="24" t="s">
        <v>73</v>
      </c>
      <c r="R670" s="24">
        <v>38500.0</v>
      </c>
      <c r="S670" s="34"/>
      <c r="T670" s="34" t="str">
        <f t="shared" ref="T670:V670" si="674">IF(G670&lt;&gt;"","Yes","")</f>
        <v>Yes</v>
      </c>
      <c r="U670" s="34" t="str">
        <f t="shared" si="674"/>
        <v>Yes</v>
      </c>
      <c r="V670" s="34" t="str">
        <f t="shared" si="674"/>
        <v>Yes</v>
      </c>
      <c r="W670" s="34" t="str">
        <f t="shared" si="3"/>
        <v/>
      </c>
      <c r="X670" s="24" t="str">
        <f t="shared" si="4"/>
        <v/>
      </c>
    </row>
    <row r="671" ht="14.25" customHeight="1">
      <c r="A671" s="33">
        <f>HYPERLINK("https://app.hubspot.com/contacts/8748051/record/0-1/116201", 116201)</f>
        <v>116201</v>
      </c>
      <c r="B671" s="24" t="s">
        <v>4673</v>
      </c>
      <c r="C671" s="34"/>
      <c r="D671" s="24" t="s">
        <v>4674</v>
      </c>
      <c r="E671" s="28" t="s">
        <v>2328</v>
      </c>
      <c r="F671" s="34"/>
      <c r="G671" s="35">
        <v>45308.0</v>
      </c>
      <c r="H671" s="35">
        <v>45315.0</v>
      </c>
      <c r="I671" s="35">
        <v>45315.0</v>
      </c>
      <c r="J671" s="34"/>
      <c r="K671" s="34"/>
      <c r="L671" s="34"/>
      <c r="M671" s="33">
        <f>HYPERLINK("https://app.hubspot.com/contacts/8748051/record/0-2/7398575155", 7398575155)</f>
        <v>7398575155</v>
      </c>
      <c r="N671" s="24" t="s">
        <v>2327</v>
      </c>
      <c r="O671" s="33">
        <f>HYPERLINK("https://app.hubspot.com/contacts/8748051/record/0-3/17019442080", 17019442080)</f>
        <v>17019442080</v>
      </c>
      <c r="P671" s="24" t="s">
        <v>2326</v>
      </c>
      <c r="Q671" s="24" t="s">
        <v>127</v>
      </c>
      <c r="R671" s="24">
        <v>6500.0</v>
      </c>
      <c r="S671" s="24" t="b">
        <v>1</v>
      </c>
      <c r="T671" s="34" t="str">
        <f t="shared" ref="T671:V671" si="675">IF(G671&lt;&gt;"","Yes","")</f>
        <v>Yes</v>
      </c>
      <c r="U671" s="34" t="str">
        <f t="shared" si="675"/>
        <v>Yes</v>
      </c>
      <c r="V671" s="34" t="str">
        <f t="shared" si="675"/>
        <v>Yes</v>
      </c>
      <c r="W671" s="34" t="str">
        <f t="shared" si="3"/>
        <v/>
      </c>
      <c r="X671" s="24" t="str">
        <f t="shared" si="4"/>
        <v/>
      </c>
    </row>
    <row r="672" ht="14.25" customHeight="1">
      <c r="A672" s="33">
        <f>HYPERLINK("https://app.hubspot.com/contacts/8748051/record/0-1/168951", 168951)</f>
        <v>168951</v>
      </c>
      <c r="B672" s="24" t="s">
        <v>4675</v>
      </c>
      <c r="C672" s="34"/>
      <c r="D672" s="24" t="s">
        <v>4676</v>
      </c>
      <c r="E672" s="28" t="s">
        <v>2855</v>
      </c>
      <c r="F672" s="34"/>
      <c r="G672" s="34"/>
      <c r="H672" s="34"/>
      <c r="I672" s="34"/>
      <c r="J672" s="34"/>
      <c r="K672" s="34"/>
      <c r="L672" s="34"/>
      <c r="M672" s="33">
        <f>HYPERLINK("https://app.hubspot.com/contacts/8748051/record/0-2/8512837194", 8512837194)</f>
        <v>8512837194</v>
      </c>
      <c r="N672" s="24" t="s">
        <v>2854</v>
      </c>
      <c r="O672" s="34"/>
      <c r="P672" s="34"/>
      <c r="Q672" s="34"/>
      <c r="R672" s="34"/>
      <c r="S672" s="34"/>
      <c r="T672" s="34" t="str">
        <f t="shared" ref="T672:V672" si="676">IF(G672&lt;&gt;"","Yes","")</f>
        <v/>
      </c>
      <c r="U672" s="34" t="str">
        <f t="shared" si="676"/>
        <v/>
      </c>
      <c r="V672" s="34" t="str">
        <f t="shared" si="676"/>
        <v/>
      </c>
      <c r="W672" s="34" t="str">
        <f t="shared" si="3"/>
        <v/>
      </c>
      <c r="X672" s="24" t="str">
        <f t="shared" si="4"/>
        <v/>
      </c>
    </row>
    <row r="673" ht="14.25" customHeight="1">
      <c r="A673" s="33">
        <f>HYPERLINK("https://app.hubspot.com/contacts/8748051/record/0-1/222201", 222201)</f>
        <v>222201</v>
      </c>
      <c r="B673" s="24" t="s">
        <v>4677</v>
      </c>
      <c r="C673" s="34"/>
      <c r="D673" s="24" t="s">
        <v>4678</v>
      </c>
      <c r="E673" s="28" t="s">
        <v>1940</v>
      </c>
      <c r="F673" s="34"/>
      <c r="G673" s="35">
        <v>45373.0</v>
      </c>
      <c r="H673" s="35">
        <v>45386.0</v>
      </c>
      <c r="I673" s="35">
        <v>45386.0</v>
      </c>
      <c r="J673" s="34"/>
      <c r="K673" s="34"/>
      <c r="L673" s="34"/>
      <c r="M673" s="33">
        <f>HYPERLINK("https://app.hubspot.com/contacts/8748051/record/0-2/8142338612", 8142338612)</f>
        <v>8142338612</v>
      </c>
      <c r="N673" s="24" t="s">
        <v>1939</v>
      </c>
      <c r="O673" s="33">
        <f>HYPERLINK("https://app.hubspot.com/contacts/8748051/record/0-3/18406481524", 18406481524)</f>
        <v>18406481524</v>
      </c>
      <c r="P673" s="24" t="s">
        <v>1938</v>
      </c>
      <c r="Q673" s="24" t="s">
        <v>73</v>
      </c>
      <c r="R673" s="24">
        <v>5280.0</v>
      </c>
      <c r="S673" s="34"/>
      <c r="T673" s="34" t="str">
        <f t="shared" ref="T673:V673" si="677">IF(G673&lt;&gt;"","Yes","")</f>
        <v>Yes</v>
      </c>
      <c r="U673" s="34" t="str">
        <f t="shared" si="677"/>
        <v>Yes</v>
      </c>
      <c r="V673" s="34" t="str">
        <f t="shared" si="677"/>
        <v>Yes</v>
      </c>
      <c r="W673" s="34" t="str">
        <f t="shared" si="3"/>
        <v/>
      </c>
      <c r="X673" s="24" t="str">
        <f t="shared" si="4"/>
        <v/>
      </c>
    </row>
    <row r="674" ht="14.25" customHeight="1">
      <c r="A674" s="33">
        <f>HYPERLINK("https://app.hubspot.com/contacts/8748051/record/0-1/223651", 223651)</f>
        <v>223651</v>
      </c>
      <c r="B674" s="24" t="s">
        <v>4679</v>
      </c>
      <c r="C674" s="34"/>
      <c r="D674" s="24" t="s">
        <v>4680</v>
      </c>
      <c r="E674" s="28" t="s">
        <v>4681</v>
      </c>
      <c r="F674" s="34"/>
      <c r="G674" s="35">
        <v>45442.0</v>
      </c>
      <c r="H674" s="34"/>
      <c r="I674" s="34"/>
      <c r="J674" s="34"/>
      <c r="K674" s="34"/>
      <c r="L674" s="34"/>
      <c r="M674" s="33">
        <f>HYPERLINK("https://app.hubspot.com/contacts/8748051/record/0-2/8601281700", 8601281700)</f>
        <v>8601281700</v>
      </c>
      <c r="N674" s="24" t="s">
        <v>4682</v>
      </c>
      <c r="O674" s="34"/>
      <c r="P674" s="34"/>
      <c r="Q674" s="34"/>
      <c r="R674" s="34"/>
      <c r="S674" s="34"/>
      <c r="T674" s="34" t="str">
        <f t="shared" ref="T674:V674" si="678">IF(G674&lt;&gt;"","Yes","")</f>
        <v>Yes</v>
      </c>
      <c r="U674" s="34" t="str">
        <f t="shared" si="678"/>
        <v/>
      </c>
      <c r="V674" s="34" t="str">
        <f t="shared" si="678"/>
        <v/>
      </c>
      <c r="W674" s="34" t="str">
        <f t="shared" si="3"/>
        <v/>
      </c>
      <c r="X674" s="24" t="str">
        <f t="shared" si="4"/>
        <v/>
      </c>
    </row>
    <row r="675" ht="14.25" customHeight="1">
      <c r="A675" s="33">
        <f>HYPERLINK("https://app.hubspot.com/contacts/8748051/record/0-1/242955", 242955)</f>
        <v>242955</v>
      </c>
      <c r="B675" s="24" t="s">
        <v>4683</v>
      </c>
      <c r="C675" s="34"/>
      <c r="D675" s="24" t="s">
        <v>4684</v>
      </c>
      <c r="E675" s="28" t="s">
        <v>1625</v>
      </c>
      <c r="F675" s="34"/>
      <c r="G675" s="35">
        <v>45456.0</v>
      </c>
      <c r="H675" s="35">
        <v>45460.0</v>
      </c>
      <c r="I675" s="35">
        <v>45460.0</v>
      </c>
      <c r="J675" s="34"/>
      <c r="K675" s="34"/>
      <c r="L675" s="34"/>
      <c r="M675" s="33">
        <f>HYPERLINK("https://app.hubspot.com/contacts/8748051/record/0-2/6265997964", 6265997964)</f>
        <v>6265997964</v>
      </c>
      <c r="N675" s="24" t="s">
        <v>1624</v>
      </c>
      <c r="O675" s="33">
        <f>HYPERLINK("https://app.hubspot.com/contacts/8748051/record/0-3/20141360017", 20141360017)</f>
        <v>20141360017</v>
      </c>
      <c r="P675" s="24" t="s">
        <v>1623</v>
      </c>
      <c r="Q675" s="24" t="s">
        <v>73</v>
      </c>
      <c r="R675" s="24">
        <v>38160.0</v>
      </c>
      <c r="S675" s="34"/>
      <c r="T675" s="34" t="str">
        <f t="shared" ref="T675:V675" si="679">IF(G675&lt;&gt;"","Yes","")</f>
        <v>Yes</v>
      </c>
      <c r="U675" s="34" t="str">
        <f t="shared" si="679"/>
        <v>Yes</v>
      </c>
      <c r="V675" s="34" t="str">
        <f t="shared" si="679"/>
        <v>Yes</v>
      </c>
      <c r="W675" s="34" t="str">
        <f t="shared" si="3"/>
        <v/>
      </c>
      <c r="X675" s="24" t="str">
        <f t="shared" si="4"/>
        <v/>
      </c>
    </row>
    <row r="676" ht="14.25" customHeight="1">
      <c r="A676" s="33">
        <f>HYPERLINK("https://app.hubspot.com/contacts/8748051/record/0-1/274401", 274401)</f>
        <v>274401</v>
      </c>
      <c r="B676" s="24" t="s">
        <v>4685</v>
      </c>
      <c r="C676" s="34"/>
      <c r="D676" s="24" t="s">
        <v>4686</v>
      </c>
      <c r="E676" s="28" t="s">
        <v>1098</v>
      </c>
      <c r="F676" s="34"/>
      <c r="G676" s="35">
        <v>45366.0</v>
      </c>
      <c r="H676" s="35">
        <v>45385.0</v>
      </c>
      <c r="I676" s="35">
        <v>45385.0</v>
      </c>
      <c r="J676" s="34"/>
      <c r="K676" s="34"/>
      <c r="L676" s="34"/>
      <c r="M676" s="33">
        <f>HYPERLINK("https://app.hubspot.com/contacts/8748051/record/0-2/8161507100", 8161507100)</f>
        <v>8161507100</v>
      </c>
      <c r="N676" s="24" t="s">
        <v>1097</v>
      </c>
      <c r="O676" s="33">
        <f>HYPERLINK("https://app.hubspot.com/contacts/8748051/record/0-3/18295488692", 18295488692)</f>
        <v>18295488692</v>
      </c>
      <c r="P676" s="24" t="s">
        <v>1978</v>
      </c>
      <c r="Q676" s="24" t="s">
        <v>149</v>
      </c>
      <c r="R676" s="24">
        <v>26900.0</v>
      </c>
      <c r="S676" s="24" t="b">
        <v>1</v>
      </c>
      <c r="T676" s="34" t="str">
        <f t="shared" ref="T676:V676" si="680">IF(G676&lt;&gt;"","Yes","")</f>
        <v>Yes</v>
      </c>
      <c r="U676" s="34" t="str">
        <f t="shared" si="680"/>
        <v>Yes</v>
      </c>
      <c r="V676" s="34" t="str">
        <f t="shared" si="680"/>
        <v>Yes</v>
      </c>
      <c r="W676" s="34" t="str">
        <f t="shared" si="3"/>
        <v/>
      </c>
      <c r="X676" s="24" t="str">
        <f t="shared" si="4"/>
        <v>Yes</v>
      </c>
    </row>
    <row r="677" ht="14.25" customHeight="1">
      <c r="A677" s="33">
        <f>HYPERLINK("https://app.hubspot.com/contacts/8748051/record/0-1/292701", 292701)</f>
        <v>292701</v>
      </c>
      <c r="B677" s="24" t="s">
        <v>4687</v>
      </c>
      <c r="C677" s="34"/>
      <c r="D677" s="24" t="s">
        <v>4688</v>
      </c>
      <c r="E677" s="28" t="s">
        <v>3211</v>
      </c>
      <c r="F677" s="34"/>
      <c r="G677" s="34"/>
      <c r="H677" s="34"/>
      <c r="I677" s="34"/>
      <c r="J677" s="34"/>
      <c r="K677" s="34"/>
      <c r="L677" s="34"/>
      <c r="M677" s="33">
        <f>HYPERLINK("https://app.hubspot.com/contacts/8748051/record/0-2/7581027087", 7581027087)</f>
        <v>7581027087</v>
      </c>
      <c r="N677" s="28" t="s">
        <v>3210</v>
      </c>
      <c r="O677" s="34"/>
      <c r="P677" s="34"/>
      <c r="Q677" s="34"/>
      <c r="R677" s="34"/>
      <c r="S677" s="34"/>
      <c r="T677" s="34" t="str">
        <f t="shared" ref="T677:V677" si="681">IF(G677&lt;&gt;"","Yes","")</f>
        <v/>
      </c>
      <c r="U677" s="34" t="str">
        <f t="shared" si="681"/>
        <v/>
      </c>
      <c r="V677" s="34" t="str">
        <f t="shared" si="681"/>
        <v/>
      </c>
      <c r="W677" s="34" t="str">
        <f t="shared" si="3"/>
        <v/>
      </c>
      <c r="X677" s="24" t="str">
        <f t="shared" si="4"/>
        <v/>
      </c>
    </row>
    <row r="678" ht="14.25" customHeight="1">
      <c r="A678" s="33">
        <f>HYPERLINK("https://app.hubspot.com/contacts/8748051/record/0-1/337251", 337251)</f>
        <v>337251</v>
      </c>
      <c r="B678" s="24" t="s">
        <v>4689</v>
      </c>
      <c r="C678" s="34"/>
      <c r="D678" s="24" t="s">
        <v>4690</v>
      </c>
      <c r="E678" s="28" t="s">
        <v>4691</v>
      </c>
      <c r="F678" s="34"/>
      <c r="G678" s="35">
        <v>45425.0</v>
      </c>
      <c r="H678" s="34"/>
      <c r="I678" s="34"/>
      <c r="J678" s="34"/>
      <c r="K678" s="34"/>
      <c r="L678" s="34"/>
      <c r="M678" s="33">
        <f>HYPERLINK("https://app.hubspot.com/contacts/8748051/record/0-2/8142399632", 8142399632)</f>
        <v>8142399632</v>
      </c>
      <c r="N678" s="24" t="s">
        <v>4692</v>
      </c>
      <c r="O678" s="34"/>
      <c r="P678" s="34"/>
      <c r="Q678" s="34"/>
      <c r="R678" s="34"/>
      <c r="S678" s="34"/>
      <c r="T678" s="34" t="str">
        <f t="shared" ref="T678:V678" si="682">IF(G678&lt;&gt;"","Yes","")</f>
        <v>Yes</v>
      </c>
      <c r="U678" s="34" t="str">
        <f t="shared" si="682"/>
        <v/>
      </c>
      <c r="V678" s="34" t="str">
        <f t="shared" si="682"/>
        <v/>
      </c>
      <c r="W678" s="34" t="str">
        <f t="shared" si="3"/>
        <v/>
      </c>
      <c r="X678" s="24" t="str">
        <f t="shared" si="4"/>
        <v/>
      </c>
    </row>
    <row r="679" ht="14.25" customHeight="1">
      <c r="A679" s="33">
        <f>HYPERLINK("https://app.hubspot.com/contacts/8748051/record/0-1/381301", 381301)</f>
        <v>381301</v>
      </c>
      <c r="B679" s="24" t="s">
        <v>4693</v>
      </c>
      <c r="C679" s="34"/>
      <c r="D679" s="24" t="s">
        <v>4694</v>
      </c>
      <c r="E679" s="28" t="s">
        <v>186</v>
      </c>
      <c r="F679" s="34"/>
      <c r="G679" s="34"/>
      <c r="H679" s="34"/>
      <c r="I679" s="34"/>
      <c r="J679" s="34"/>
      <c r="K679" s="34"/>
      <c r="L679" s="34"/>
      <c r="M679" s="33">
        <f>HYPERLINK("https://app.hubspot.com/contacts/8748051/record/0-2/35716472621", 35716472621)</f>
        <v>35716472621</v>
      </c>
      <c r="N679" s="24" t="s">
        <v>185</v>
      </c>
      <c r="O679" s="34"/>
      <c r="P679" s="34"/>
      <c r="Q679" s="34"/>
      <c r="R679" s="34"/>
      <c r="S679" s="34"/>
      <c r="T679" s="34" t="str">
        <f t="shared" ref="T679:V679" si="683">IF(G679&lt;&gt;"","Yes","")</f>
        <v/>
      </c>
      <c r="U679" s="34" t="str">
        <f t="shared" si="683"/>
        <v/>
      </c>
      <c r="V679" s="34" t="str">
        <f t="shared" si="683"/>
        <v/>
      </c>
      <c r="W679" s="34" t="str">
        <f t="shared" si="3"/>
        <v/>
      </c>
      <c r="X679" s="24" t="str">
        <f t="shared" si="4"/>
        <v/>
      </c>
    </row>
    <row r="680" ht="14.25" customHeight="1">
      <c r="A680" s="33">
        <f>HYPERLINK("https://app.hubspot.com/contacts/8748051/record/0-1/414853", 414853)</f>
        <v>414853</v>
      </c>
      <c r="B680" s="24" t="s">
        <v>4695</v>
      </c>
      <c r="C680" s="34"/>
      <c r="D680" s="24" t="s">
        <v>4696</v>
      </c>
      <c r="E680" s="28" t="s">
        <v>1971</v>
      </c>
      <c r="F680" s="34"/>
      <c r="G680" s="35">
        <v>45267.0</v>
      </c>
      <c r="H680" s="35">
        <v>45267.0</v>
      </c>
      <c r="I680" s="35">
        <v>45267.0</v>
      </c>
      <c r="J680" s="34"/>
      <c r="K680" s="34"/>
      <c r="L680" s="34"/>
      <c r="M680" s="33">
        <f>HYPERLINK("https://app.hubspot.com/contacts/8748051/record/0-2/8879983211", 8879983211)</f>
        <v>8879983211</v>
      </c>
      <c r="N680" s="24" t="s">
        <v>1970</v>
      </c>
      <c r="O680" s="33">
        <f>HYPERLINK("https://app.hubspot.com/contacts/8748051/record/0-3/16572445771", 16572445771)</f>
        <v>16572445771</v>
      </c>
      <c r="P680" s="24" t="s">
        <v>1969</v>
      </c>
      <c r="Q680" s="24" t="s">
        <v>73</v>
      </c>
      <c r="R680" s="24">
        <v>100000.0</v>
      </c>
      <c r="S680" s="24" t="b">
        <v>1</v>
      </c>
      <c r="T680" s="34" t="str">
        <f t="shared" ref="T680:V680" si="684">IF(G680&lt;&gt;"","Yes","")</f>
        <v>Yes</v>
      </c>
      <c r="U680" s="34" t="str">
        <f t="shared" si="684"/>
        <v>Yes</v>
      </c>
      <c r="V680" s="34" t="str">
        <f t="shared" si="684"/>
        <v>Yes</v>
      </c>
      <c r="W680" s="34" t="str">
        <f t="shared" si="3"/>
        <v/>
      </c>
      <c r="X680" s="24" t="str">
        <f t="shared" si="4"/>
        <v/>
      </c>
    </row>
    <row r="681" ht="14.25" customHeight="1">
      <c r="A681" s="33">
        <f>HYPERLINK("https://app.hubspot.com/contacts/8748051/record/0-1/430101", 430101)</f>
        <v>430101</v>
      </c>
      <c r="B681" s="24" t="s">
        <v>4697</v>
      </c>
      <c r="C681" s="34"/>
      <c r="D681" s="24" t="s">
        <v>4698</v>
      </c>
      <c r="E681" s="28" t="s">
        <v>2997</v>
      </c>
      <c r="F681" s="34"/>
      <c r="G681" s="34"/>
      <c r="H681" s="34"/>
      <c r="I681" s="34"/>
      <c r="J681" s="34"/>
      <c r="K681" s="34"/>
      <c r="L681" s="34"/>
      <c r="M681" s="33">
        <f>HYPERLINK("https://app.hubspot.com/contacts/8748051/record/0-2/7655806045", 7655806045)</f>
        <v>7655806045</v>
      </c>
      <c r="N681" s="24" t="s">
        <v>2996</v>
      </c>
      <c r="O681" s="34"/>
      <c r="P681" s="34"/>
      <c r="Q681" s="34"/>
      <c r="R681" s="34"/>
      <c r="S681" s="34"/>
      <c r="T681" s="34" t="str">
        <f t="shared" ref="T681:V681" si="685">IF(G681&lt;&gt;"","Yes","")</f>
        <v/>
      </c>
      <c r="U681" s="34" t="str">
        <f t="shared" si="685"/>
        <v/>
      </c>
      <c r="V681" s="34" t="str">
        <f t="shared" si="685"/>
        <v/>
      </c>
      <c r="W681" s="34" t="str">
        <f t="shared" si="3"/>
        <v/>
      </c>
      <c r="X681" s="24" t="str">
        <f t="shared" si="4"/>
        <v/>
      </c>
    </row>
    <row r="682" ht="14.25" customHeight="1">
      <c r="A682" s="33">
        <f>HYPERLINK("https://app.hubspot.com/contacts/8748051/record/0-1/449251", 449251)</f>
        <v>449251</v>
      </c>
      <c r="B682" s="24" t="s">
        <v>4699</v>
      </c>
      <c r="C682" s="34"/>
      <c r="D682" s="24" t="s">
        <v>4700</v>
      </c>
      <c r="E682" s="28" t="s">
        <v>4701</v>
      </c>
      <c r="F682" s="34"/>
      <c r="G682" s="35">
        <v>45272.0</v>
      </c>
      <c r="H682" s="34"/>
      <c r="I682" s="34"/>
      <c r="J682" s="34"/>
      <c r="K682" s="34"/>
      <c r="L682" s="34"/>
      <c r="M682" s="33">
        <f>HYPERLINK("https://app.hubspot.com/contacts/8748051/record/0-2/8910135296", 8910135296)</f>
        <v>8910135296</v>
      </c>
      <c r="N682" s="24" t="s">
        <v>4702</v>
      </c>
      <c r="O682" s="34"/>
      <c r="P682" s="34"/>
      <c r="Q682" s="34"/>
      <c r="R682" s="34"/>
      <c r="S682" s="34"/>
      <c r="T682" s="34" t="str">
        <f t="shared" ref="T682:V682" si="686">IF(G682&lt;&gt;"","Yes","")</f>
        <v>Yes</v>
      </c>
      <c r="U682" s="34" t="str">
        <f t="shared" si="686"/>
        <v/>
      </c>
      <c r="V682" s="34" t="str">
        <f t="shared" si="686"/>
        <v/>
      </c>
      <c r="W682" s="34" t="str">
        <f t="shared" si="3"/>
        <v/>
      </c>
      <c r="X682" s="24" t="str">
        <f t="shared" si="4"/>
        <v/>
      </c>
    </row>
    <row r="683" ht="14.25" customHeight="1">
      <c r="A683" s="33">
        <f>HYPERLINK("https://app.hubspot.com/contacts/8748051/record/0-1/460602", 460602)</f>
        <v>460602</v>
      </c>
      <c r="B683" s="24" t="s">
        <v>4703</v>
      </c>
      <c r="C683" s="34"/>
      <c r="D683" s="24" t="s">
        <v>4704</v>
      </c>
      <c r="E683" s="28" t="s">
        <v>4705</v>
      </c>
      <c r="F683" s="34"/>
      <c r="G683" s="35">
        <v>45467.0</v>
      </c>
      <c r="H683" s="34"/>
      <c r="I683" s="34"/>
      <c r="J683" s="34"/>
      <c r="K683" s="34"/>
      <c r="L683" s="34"/>
      <c r="M683" s="33">
        <f>HYPERLINK("https://app.hubspot.com/contacts/8748051/record/0-2/8918741432", 8918741432)</f>
        <v>8918741432</v>
      </c>
      <c r="N683" s="24" t="s">
        <v>4706</v>
      </c>
      <c r="O683" s="34"/>
      <c r="P683" s="34"/>
      <c r="Q683" s="34"/>
      <c r="R683" s="34"/>
      <c r="S683" s="34"/>
      <c r="T683" s="34" t="str">
        <f t="shared" ref="T683:V683" si="687">IF(G683&lt;&gt;"","Yes","")</f>
        <v>Yes</v>
      </c>
      <c r="U683" s="34" t="str">
        <f t="shared" si="687"/>
        <v/>
      </c>
      <c r="V683" s="34" t="str">
        <f t="shared" si="687"/>
        <v/>
      </c>
      <c r="W683" s="34" t="str">
        <f t="shared" si="3"/>
        <v/>
      </c>
      <c r="X683" s="24" t="str">
        <f t="shared" si="4"/>
        <v/>
      </c>
    </row>
    <row r="684" ht="14.25" customHeight="1">
      <c r="A684" s="33">
        <f>HYPERLINK("https://app.hubspot.com/contacts/8748051/record/0-1/465151", 465151)</f>
        <v>465151</v>
      </c>
      <c r="B684" s="24" t="s">
        <v>4707</v>
      </c>
      <c r="C684" s="34"/>
      <c r="D684" s="24" t="s">
        <v>4708</v>
      </c>
      <c r="E684" s="28" t="s">
        <v>4709</v>
      </c>
      <c r="F684" s="34"/>
      <c r="G684" s="35">
        <v>45262.0</v>
      </c>
      <c r="H684" s="34"/>
      <c r="I684" s="34"/>
      <c r="J684" s="34"/>
      <c r="K684" s="34"/>
      <c r="L684" s="34"/>
      <c r="M684" s="33">
        <f>HYPERLINK("https://app.hubspot.com/contacts/8748051/record/0-2/7646111386", 7646111386)</f>
        <v>7646111386</v>
      </c>
      <c r="N684" s="24" t="s">
        <v>4710</v>
      </c>
      <c r="O684" s="34"/>
      <c r="P684" s="34"/>
      <c r="Q684" s="34"/>
      <c r="R684" s="34"/>
      <c r="S684" s="34"/>
      <c r="T684" s="34" t="str">
        <f t="shared" ref="T684:V684" si="688">IF(G684&lt;&gt;"","Yes","")</f>
        <v>Yes</v>
      </c>
      <c r="U684" s="34" t="str">
        <f t="shared" si="688"/>
        <v/>
      </c>
      <c r="V684" s="34" t="str">
        <f t="shared" si="688"/>
        <v/>
      </c>
      <c r="W684" s="34" t="str">
        <f t="shared" si="3"/>
        <v/>
      </c>
      <c r="X684" s="24" t="str">
        <f t="shared" si="4"/>
        <v/>
      </c>
    </row>
    <row r="685" ht="14.25" customHeight="1">
      <c r="A685" s="33">
        <f>HYPERLINK("https://app.hubspot.com/contacts/8748051/record/0-1/476703", 476703)</f>
        <v>476703</v>
      </c>
      <c r="B685" s="24" t="s">
        <v>4711</v>
      </c>
      <c r="C685" s="34"/>
      <c r="D685" s="24" t="s">
        <v>4712</v>
      </c>
      <c r="E685" s="28" t="s">
        <v>4713</v>
      </c>
      <c r="F685" s="34"/>
      <c r="G685" s="35">
        <v>45428.0</v>
      </c>
      <c r="H685" s="34"/>
      <c r="I685" s="34"/>
      <c r="J685" s="34"/>
      <c r="K685" s="34"/>
      <c r="L685" s="34"/>
      <c r="M685" s="33">
        <f>HYPERLINK("https://app.hubspot.com/contacts/8748051/record/0-2/7863684704", 7863684704)</f>
        <v>7863684704</v>
      </c>
      <c r="N685" s="24" t="s">
        <v>4714</v>
      </c>
      <c r="O685" s="34"/>
      <c r="P685" s="34"/>
      <c r="Q685" s="34"/>
      <c r="R685" s="34"/>
      <c r="S685" s="34"/>
      <c r="T685" s="34" t="str">
        <f t="shared" ref="T685:V685" si="689">IF(G685&lt;&gt;"","Yes","")</f>
        <v>Yes</v>
      </c>
      <c r="U685" s="34" t="str">
        <f t="shared" si="689"/>
        <v/>
      </c>
      <c r="V685" s="34" t="str">
        <f t="shared" si="689"/>
        <v/>
      </c>
      <c r="W685" s="34" t="str">
        <f t="shared" si="3"/>
        <v/>
      </c>
      <c r="X685" s="24" t="str">
        <f t="shared" si="4"/>
        <v/>
      </c>
    </row>
    <row r="686" ht="14.25" customHeight="1">
      <c r="A686" s="33">
        <f>HYPERLINK("https://app.hubspot.com/contacts/8748051/record/0-1/478802", 478802)</f>
        <v>478802</v>
      </c>
      <c r="B686" s="24" t="s">
        <v>4715</v>
      </c>
      <c r="C686" s="34"/>
      <c r="D686" s="24" t="s">
        <v>4716</v>
      </c>
      <c r="E686" s="28" t="s">
        <v>4717</v>
      </c>
      <c r="F686" s="34"/>
      <c r="G686" s="35">
        <v>45461.0</v>
      </c>
      <c r="H686" s="34"/>
      <c r="I686" s="34"/>
      <c r="J686" s="34"/>
      <c r="K686" s="34"/>
      <c r="L686" s="34"/>
      <c r="M686" s="33">
        <f>HYPERLINK("https://app.hubspot.com/contacts/8748051/record/0-2/7641285632", 7641285632)</f>
        <v>7641285632</v>
      </c>
      <c r="N686" s="24" t="s">
        <v>4718</v>
      </c>
      <c r="O686" s="34"/>
      <c r="P686" s="34"/>
      <c r="Q686" s="34"/>
      <c r="R686" s="34"/>
      <c r="S686" s="34"/>
      <c r="T686" s="34" t="str">
        <f t="shared" ref="T686:V686" si="690">IF(G686&lt;&gt;"","Yes","")</f>
        <v>Yes</v>
      </c>
      <c r="U686" s="34" t="str">
        <f t="shared" si="690"/>
        <v/>
      </c>
      <c r="V686" s="34" t="str">
        <f t="shared" si="690"/>
        <v/>
      </c>
      <c r="W686" s="34" t="str">
        <f t="shared" si="3"/>
        <v/>
      </c>
      <c r="X686" s="24" t="str">
        <f t="shared" si="4"/>
        <v/>
      </c>
    </row>
    <row r="687" ht="14.25" customHeight="1">
      <c r="A687" s="33">
        <f>HYPERLINK("https://app.hubspot.com/contacts/8748051/record/0-1/495319", 495319)</f>
        <v>495319</v>
      </c>
      <c r="B687" s="24" t="s">
        <v>4719</v>
      </c>
      <c r="C687" s="34"/>
      <c r="D687" s="24" t="s">
        <v>4720</v>
      </c>
      <c r="E687" s="28" t="s">
        <v>1702</v>
      </c>
      <c r="F687" s="34"/>
      <c r="G687" s="35">
        <v>45434.0</v>
      </c>
      <c r="H687" s="35">
        <v>45442.0</v>
      </c>
      <c r="I687" s="35">
        <v>45442.0</v>
      </c>
      <c r="J687" s="34"/>
      <c r="K687" s="34"/>
      <c r="L687" s="34"/>
      <c r="M687" s="33">
        <f>HYPERLINK("https://app.hubspot.com/contacts/8748051/record/0-2/8929794578", 8929794578)</f>
        <v>8929794578</v>
      </c>
      <c r="N687" s="24" t="s">
        <v>1701</v>
      </c>
      <c r="O687" s="33">
        <f>HYPERLINK("https://app.hubspot.com/contacts/8748051/record/0-3/19648469796", 19648469796)</f>
        <v>19648469796</v>
      </c>
      <c r="P687" s="24" t="s">
        <v>1700</v>
      </c>
      <c r="Q687" s="24" t="s">
        <v>73</v>
      </c>
      <c r="R687" s="24">
        <v>13680.0</v>
      </c>
      <c r="S687" s="34"/>
      <c r="T687" s="34" t="str">
        <f t="shared" ref="T687:V687" si="691">IF(G687&lt;&gt;"","Yes","")</f>
        <v>Yes</v>
      </c>
      <c r="U687" s="34" t="str">
        <f t="shared" si="691"/>
        <v>Yes</v>
      </c>
      <c r="V687" s="34" t="str">
        <f t="shared" si="691"/>
        <v>Yes</v>
      </c>
      <c r="W687" s="34" t="str">
        <f t="shared" si="3"/>
        <v/>
      </c>
      <c r="X687" s="24" t="str">
        <f t="shared" si="4"/>
        <v/>
      </c>
    </row>
    <row r="688" ht="14.25" customHeight="1">
      <c r="A688" s="33">
        <f>HYPERLINK("https://app.hubspot.com/contacts/8748051/record/0-1/495758", 495758)</f>
        <v>495758</v>
      </c>
      <c r="B688" s="24" t="s">
        <v>4721</v>
      </c>
      <c r="C688" s="34"/>
      <c r="D688" s="24" t="s">
        <v>4722</v>
      </c>
      <c r="E688" s="28" t="s">
        <v>1802</v>
      </c>
      <c r="F688" s="34"/>
      <c r="G688" s="35">
        <v>45264.0</v>
      </c>
      <c r="H688" s="34"/>
      <c r="I688" s="34"/>
      <c r="J688" s="34"/>
      <c r="K688" s="34"/>
      <c r="L688" s="34"/>
      <c r="M688" s="33">
        <f>HYPERLINK("https://app.hubspot.com/contacts/8748051/record/0-2/8920376633", 8920376633)</f>
        <v>8920376633</v>
      </c>
      <c r="N688" s="24" t="s">
        <v>1801</v>
      </c>
      <c r="O688" s="34"/>
      <c r="P688" s="34"/>
      <c r="Q688" s="34"/>
      <c r="R688" s="34"/>
      <c r="S688" s="34"/>
      <c r="T688" s="34" t="str">
        <f t="shared" ref="T688:V688" si="692">IF(G688&lt;&gt;"","Yes","")</f>
        <v>Yes</v>
      </c>
      <c r="U688" s="34" t="str">
        <f t="shared" si="692"/>
        <v/>
      </c>
      <c r="V688" s="34" t="str">
        <f t="shared" si="692"/>
        <v/>
      </c>
      <c r="W688" s="34" t="str">
        <f t="shared" si="3"/>
        <v/>
      </c>
      <c r="X688" s="24" t="str">
        <f t="shared" si="4"/>
        <v/>
      </c>
    </row>
    <row r="689" ht="14.25" customHeight="1">
      <c r="A689" s="33">
        <f>HYPERLINK("https://app.hubspot.com/contacts/8748051/record/0-1/495851", 495851)</f>
        <v>495851</v>
      </c>
      <c r="B689" s="24" t="s">
        <v>4723</v>
      </c>
      <c r="C689" s="34"/>
      <c r="D689" s="24" t="s">
        <v>4724</v>
      </c>
      <c r="E689" s="28" t="s">
        <v>1560</v>
      </c>
      <c r="F689" s="34"/>
      <c r="G689" s="35">
        <v>45470.0</v>
      </c>
      <c r="H689" s="35">
        <v>45482.0</v>
      </c>
      <c r="I689" s="35">
        <v>45482.0</v>
      </c>
      <c r="J689" s="34"/>
      <c r="K689" s="34"/>
      <c r="L689" s="34"/>
      <c r="M689" s="33">
        <f>HYPERLINK("https://app.hubspot.com/contacts/8748051/record/0-2/7831515192", 7831515192)</f>
        <v>7831515192</v>
      </c>
      <c r="N689" s="24" t="s">
        <v>1559</v>
      </c>
      <c r="O689" s="33">
        <f>HYPERLINK("https://app.hubspot.com/contacts/8748051/record/0-3/20614218499", 20614218499)</f>
        <v>20614218499</v>
      </c>
      <c r="P689" s="24" t="s">
        <v>1558</v>
      </c>
      <c r="Q689" s="24" t="s">
        <v>73</v>
      </c>
      <c r="R689" s="24">
        <v>7920.0</v>
      </c>
      <c r="S689" s="34"/>
      <c r="T689" s="34" t="str">
        <f t="shared" ref="T689:V689" si="693">IF(G689&lt;&gt;"","Yes","")</f>
        <v>Yes</v>
      </c>
      <c r="U689" s="34" t="str">
        <f t="shared" si="693"/>
        <v>Yes</v>
      </c>
      <c r="V689" s="34" t="str">
        <f t="shared" si="693"/>
        <v>Yes</v>
      </c>
      <c r="W689" s="34" t="str">
        <f t="shared" si="3"/>
        <v/>
      </c>
      <c r="X689" s="24" t="str">
        <f t="shared" si="4"/>
        <v/>
      </c>
    </row>
    <row r="690" ht="14.25" customHeight="1">
      <c r="A690" s="33">
        <f>HYPERLINK("https://app.hubspot.com/contacts/8748051/record/0-1/499651", 499651)</f>
        <v>499651</v>
      </c>
      <c r="B690" s="24" t="s">
        <v>4725</v>
      </c>
      <c r="C690" s="34"/>
      <c r="D690" s="24" t="s">
        <v>4726</v>
      </c>
      <c r="E690" s="34"/>
      <c r="F690" s="34"/>
      <c r="G690" s="34"/>
      <c r="H690" s="34"/>
      <c r="I690" s="34"/>
      <c r="J690" s="34"/>
      <c r="K690" s="34"/>
      <c r="L690" s="34"/>
      <c r="M690" s="34"/>
      <c r="N690" s="34"/>
      <c r="O690" s="34"/>
      <c r="P690" s="34"/>
      <c r="Q690" s="34"/>
      <c r="R690" s="34"/>
      <c r="S690" s="34"/>
      <c r="T690" s="34" t="str">
        <f t="shared" ref="T690:V690" si="694">IF(G690&lt;&gt;"","Yes","")</f>
        <v/>
      </c>
      <c r="U690" s="34" t="str">
        <f t="shared" si="694"/>
        <v/>
      </c>
      <c r="V690" s="34" t="str">
        <f t="shared" si="694"/>
        <v/>
      </c>
      <c r="W690" s="34" t="str">
        <f t="shared" si="3"/>
        <v/>
      </c>
      <c r="X690" s="24" t="str">
        <f t="shared" si="4"/>
        <v/>
      </c>
    </row>
    <row r="691" ht="14.25" customHeight="1">
      <c r="A691" s="33">
        <f>HYPERLINK("https://app.hubspot.com/contacts/8748051/record/0-1/501301", 501301)</f>
        <v>501301</v>
      </c>
      <c r="B691" s="24" t="s">
        <v>4727</v>
      </c>
      <c r="C691" s="34"/>
      <c r="D691" s="24" t="s">
        <v>4728</v>
      </c>
      <c r="E691" s="28" t="s">
        <v>2242</v>
      </c>
      <c r="F691" s="34"/>
      <c r="G691" s="35">
        <v>45261.0</v>
      </c>
      <c r="H691" s="35">
        <v>45261.0</v>
      </c>
      <c r="I691" s="35">
        <v>45261.0</v>
      </c>
      <c r="J691" s="34"/>
      <c r="K691" s="34"/>
      <c r="L691" s="34"/>
      <c r="M691" s="33">
        <f>HYPERLINK("https://app.hubspot.com/contacts/8748051/record/0-2/8933543510", 8933543510)</f>
        <v>8933543510</v>
      </c>
      <c r="N691" s="24" t="s">
        <v>2241</v>
      </c>
      <c r="O691" s="33">
        <f>HYPERLINK("https://app.hubspot.com/contacts/8748051/record/0-3/17365963063", 17365963063)</f>
        <v>17365963063</v>
      </c>
      <c r="P691" s="24" t="s">
        <v>2240</v>
      </c>
      <c r="Q691" s="24" t="s">
        <v>73</v>
      </c>
      <c r="R691" s="24">
        <v>6500.0</v>
      </c>
      <c r="S691" s="34"/>
      <c r="T691" s="34" t="str">
        <f t="shared" ref="T691:V691" si="695">IF(G691&lt;&gt;"","Yes","")</f>
        <v>Yes</v>
      </c>
      <c r="U691" s="34" t="str">
        <f t="shared" si="695"/>
        <v>Yes</v>
      </c>
      <c r="V691" s="34" t="str">
        <f t="shared" si="695"/>
        <v>Yes</v>
      </c>
      <c r="W691" s="34" t="str">
        <f t="shared" si="3"/>
        <v/>
      </c>
      <c r="X691" s="24" t="str">
        <f t="shared" si="4"/>
        <v/>
      </c>
    </row>
    <row r="692" ht="14.25" customHeight="1">
      <c r="A692" s="33">
        <f>HYPERLINK("https://app.hubspot.com/contacts/8748051/record/0-1/501501", 501501)</f>
        <v>501501</v>
      </c>
      <c r="B692" s="24" t="s">
        <v>4729</v>
      </c>
      <c r="C692" s="34"/>
      <c r="D692" s="24" t="s">
        <v>4730</v>
      </c>
      <c r="E692" s="34"/>
      <c r="F692" s="34"/>
      <c r="G692" s="34"/>
      <c r="H692" s="34"/>
      <c r="I692" s="34"/>
      <c r="J692" s="34"/>
      <c r="K692" s="34"/>
      <c r="L692" s="34"/>
      <c r="M692" s="34"/>
      <c r="N692" s="34"/>
      <c r="O692" s="34"/>
      <c r="P692" s="34"/>
      <c r="Q692" s="34"/>
      <c r="R692" s="34"/>
      <c r="S692" s="34"/>
      <c r="T692" s="34" t="str">
        <f t="shared" ref="T692:V692" si="696">IF(G692&lt;&gt;"","Yes","")</f>
        <v/>
      </c>
      <c r="U692" s="34" t="str">
        <f t="shared" si="696"/>
        <v/>
      </c>
      <c r="V692" s="34" t="str">
        <f t="shared" si="696"/>
        <v/>
      </c>
      <c r="W692" s="34" t="str">
        <f t="shared" si="3"/>
        <v/>
      </c>
      <c r="X692" s="24" t="str">
        <f t="shared" si="4"/>
        <v/>
      </c>
    </row>
    <row r="693" ht="14.25" customHeight="1">
      <c r="A693" s="33">
        <f>HYPERLINK("https://app.hubspot.com/contacts/8748051/record/0-1/507851", 507851)</f>
        <v>507851</v>
      </c>
      <c r="B693" s="24" t="s">
        <v>4731</v>
      </c>
      <c r="C693" s="34"/>
      <c r="D693" s="24" t="s">
        <v>4732</v>
      </c>
      <c r="E693" s="28" t="s">
        <v>4733</v>
      </c>
      <c r="F693" s="34"/>
      <c r="G693" s="34"/>
      <c r="H693" s="34"/>
      <c r="I693" s="34"/>
      <c r="J693" s="34"/>
      <c r="K693" s="34"/>
      <c r="L693" s="34"/>
      <c r="M693" s="33">
        <f>HYPERLINK("https://app.hubspot.com/contacts/8748051/record/0-2/8939268441", 8939268441)</f>
        <v>8939268441</v>
      </c>
      <c r="N693" s="24" t="s">
        <v>4734</v>
      </c>
      <c r="O693" s="34"/>
      <c r="P693" s="34"/>
      <c r="Q693" s="34"/>
      <c r="R693" s="34"/>
      <c r="S693" s="34"/>
      <c r="T693" s="34" t="str">
        <f t="shared" ref="T693:V693" si="697">IF(G693&lt;&gt;"","Yes","")</f>
        <v/>
      </c>
      <c r="U693" s="34" t="str">
        <f t="shared" si="697"/>
        <v/>
      </c>
      <c r="V693" s="34" t="str">
        <f t="shared" si="697"/>
        <v/>
      </c>
      <c r="W693" s="34" t="str">
        <f t="shared" si="3"/>
        <v/>
      </c>
      <c r="X693" s="24" t="str">
        <f t="shared" si="4"/>
        <v/>
      </c>
    </row>
    <row r="694" ht="14.25" customHeight="1">
      <c r="A694" s="33">
        <f>HYPERLINK("https://app.hubspot.com/contacts/8748051/record/0-1/525451", 525451)</f>
        <v>525451</v>
      </c>
      <c r="B694" s="24" t="s">
        <v>4735</v>
      </c>
      <c r="C694" s="34"/>
      <c r="D694" s="24" t="s">
        <v>4736</v>
      </c>
      <c r="E694" s="28" t="s">
        <v>2837</v>
      </c>
      <c r="F694" s="34"/>
      <c r="G694" s="34"/>
      <c r="H694" s="34"/>
      <c r="I694" s="34"/>
      <c r="J694" s="34"/>
      <c r="K694" s="34"/>
      <c r="L694" s="34"/>
      <c r="M694" s="33">
        <f>HYPERLINK("https://app.hubspot.com/contacts/8748051/record/0-2/8762802616", 8762802616)</f>
        <v>8762802616</v>
      </c>
      <c r="N694" s="24" t="s">
        <v>2836</v>
      </c>
      <c r="O694" s="33">
        <f>HYPERLINK("https://app.hubspot.com/contacts/8748051/record/0-3/9465234347", 9465234347)</f>
        <v>9465234347</v>
      </c>
      <c r="P694" s="24" t="s">
        <v>2834</v>
      </c>
      <c r="Q694" s="24" t="s">
        <v>149</v>
      </c>
      <c r="R694" s="24">
        <v>18000.0</v>
      </c>
      <c r="S694" s="24" t="b">
        <v>1</v>
      </c>
      <c r="T694" s="34" t="str">
        <f t="shared" ref="T694:V694" si="698">IF(G694&lt;&gt;"","Yes","")</f>
        <v/>
      </c>
      <c r="U694" s="34" t="str">
        <f t="shared" si="698"/>
        <v/>
      </c>
      <c r="V694" s="34" t="str">
        <f t="shared" si="698"/>
        <v/>
      </c>
      <c r="W694" s="34" t="str">
        <f t="shared" si="3"/>
        <v/>
      </c>
      <c r="X694" s="24" t="str">
        <f t="shared" si="4"/>
        <v>Yes</v>
      </c>
    </row>
    <row r="695" ht="14.25" customHeight="1">
      <c r="A695" s="33">
        <f>HYPERLINK("https://app.hubspot.com/contacts/8748051/record/0-1/545601", 545601)</f>
        <v>545601</v>
      </c>
      <c r="B695" s="24" t="s">
        <v>4737</v>
      </c>
      <c r="C695" s="34"/>
      <c r="D695" s="24" t="s">
        <v>4738</v>
      </c>
      <c r="E695" s="28" t="s">
        <v>4739</v>
      </c>
      <c r="F695" s="34"/>
      <c r="G695" s="34"/>
      <c r="H695" s="34"/>
      <c r="I695" s="34"/>
      <c r="J695" s="34"/>
      <c r="K695" s="34"/>
      <c r="L695" s="34"/>
      <c r="M695" s="33">
        <f>HYPERLINK("https://app.hubspot.com/contacts/8748051/record/0-2/8950629394", 8950629394)</f>
        <v>8950629394</v>
      </c>
      <c r="N695" s="24" t="s">
        <v>4740</v>
      </c>
      <c r="O695" s="34"/>
      <c r="P695" s="34"/>
      <c r="Q695" s="34"/>
      <c r="R695" s="34"/>
      <c r="S695" s="34"/>
      <c r="T695" s="34" t="str">
        <f t="shared" ref="T695:V695" si="699">IF(G695&lt;&gt;"","Yes","")</f>
        <v/>
      </c>
      <c r="U695" s="34" t="str">
        <f t="shared" si="699"/>
        <v/>
      </c>
      <c r="V695" s="34" t="str">
        <f t="shared" si="699"/>
        <v/>
      </c>
      <c r="W695" s="34" t="str">
        <f t="shared" si="3"/>
        <v/>
      </c>
      <c r="X695" s="24" t="str">
        <f t="shared" si="4"/>
        <v/>
      </c>
    </row>
    <row r="696" ht="14.25" customHeight="1">
      <c r="A696" s="33">
        <f>HYPERLINK("https://app.hubspot.com/contacts/8748051/record/0-1/547851", 547851)</f>
        <v>547851</v>
      </c>
      <c r="B696" s="24" t="s">
        <v>4741</v>
      </c>
      <c r="C696" s="34"/>
      <c r="D696" s="24" t="s">
        <v>4742</v>
      </c>
      <c r="E696" s="34"/>
      <c r="F696" s="34"/>
      <c r="G696" s="34"/>
      <c r="H696" s="34"/>
      <c r="I696" s="34"/>
      <c r="J696" s="34"/>
      <c r="K696" s="34"/>
      <c r="L696" s="34"/>
      <c r="M696" s="34"/>
      <c r="N696" s="34"/>
      <c r="O696" s="34"/>
      <c r="P696" s="34"/>
      <c r="Q696" s="34"/>
      <c r="R696" s="34"/>
      <c r="S696" s="34"/>
      <c r="T696" s="34" t="str">
        <f t="shared" ref="T696:V696" si="700">IF(G696&lt;&gt;"","Yes","")</f>
        <v/>
      </c>
      <c r="U696" s="34" t="str">
        <f t="shared" si="700"/>
        <v/>
      </c>
      <c r="V696" s="34" t="str">
        <f t="shared" si="700"/>
        <v/>
      </c>
      <c r="W696" s="34" t="str">
        <f t="shared" si="3"/>
        <v/>
      </c>
      <c r="X696" s="24" t="str">
        <f t="shared" si="4"/>
        <v/>
      </c>
    </row>
    <row r="697" ht="14.25" customHeight="1">
      <c r="A697" s="33">
        <f>HYPERLINK("https://app.hubspot.com/contacts/8748051/record/0-1/563001", 563001)</f>
        <v>563001</v>
      </c>
      <c r="B697" s="24" t="s">
        <v>4743</v>
      </c>
      <c r="C697" s="34"/>
      <c r="D697" s="24" t="s">
        <v>4744</v>
      </c>
      <c r="E697" s="28" t="s">
        <v>4745</v>
      </c>
      <c r="F697" s="34"/>
      <c r="G697" s="34"/>
      <c r="H697" s="34"/>
      <c r="I697" s="34"/>
      <c r="J697" s="34"/>
      <c r="K697" s="34"/>
      <c r="L697" s="34"/>
      <c r="M697" s="33">
        <f>HYPERLINK("https://app.hubspot.com/contacts/8748051/record/0-2/8960498587", 8960498587)</f>
        <v>8960498587</v>
      </c>
      <c r="N697" s="24" t="s">
        <v>4746</v>
      </c>
      <c r="O697" s="34"/>
      <c r="P697" s="34"/>
      <c r="Q697" s="34"/>
      <c r="R697" s="34"/>
      <c r="S697" s="34"/>
      <c r="T697" s="34" t="str">
        <f t="shared" ref="T697:V697" si="701">IF(G697&lt;&gt;"","Yes","")</f>
        <v/>
      </c>
      <c r="U697" s="34" t="str">
        <f t="shared" si="701"/>
        <v/>
      </c>
      <c r="V697" s="34" t="str">
        <f t="shared" si="701"/>
        <v/>
      </c>
      <c r="W697" s="34" t="str">
        <f t="shared" si="3"/>
        <v/>
      </c>
      <c r="X697" s="24" t="str">
        <f t="shared" si="4"/>
        <v/>
      </c>
    </row>
    <row r="698" ht="14.25" customHeight="1">
      <c r="A698" s="33">
        <f>HYPERLINK("https://app.hubspot.com/contacts/8748051/record/0-1/564351", 564351)</f>
        <v>564351</v>
      </c>
      <c r="B698" s="24" t="s">
        <v>4747</v>
      </c>
      <c r="C698" s="34"/>
      <c r="D698" s="24" t="s">
        <v>4748</v>
      </c>
      <c r="E698" s="34"/>
      <c r="F698" s="34"/>
      <c r="G698" s="34"/>
      <c r="H698" s="34"/>
      <c r="I698" s="34"/>
      <c r="J698" s="34"/>
      <c r="K698" s="34"/>
      <c r="L698" s="34"/>
      <c r="M698" s="34"/>
      <c r="N698" s="34"/>
      <c r="O698" s="34"/>
      <c r="P698" s="34"/>
      <c r="Q698" s="34"/>
      <c r="R698" s="34"/>
      <c r="S698" s="34"/>
      <c r="T698" s="34" t="str">
        <f t="shared" ref="T698:V698" si="702">IF(G698&lt;&gt;"","Yes","")</f>
        <v/>
      </c>
      <c r="U698" s="34" t="str">
        <f t="shared" si="702"/>
        <v/>
      </c>
      <c r="V698" s="34" t="str">
        <f t="shared" si="702"/>
        <v/>
      </c>
      <c r="W698" s="34" t="str">
        <f t="shared" si="3"/>
        <v/>
      </c>
      <c r="X698" s="24" t="str">
        <f t="shared" si="4"/>
        <v/>
      </c>
    </row>
    <row r="699" ht="14.25" customHeight="1">
      <c r="A699" s="33">
        <f>HYPERLINK("https://app.hubspot.com/contacts/8748051/record/0-1/568051", 568051)</f>
        <v>568051</v>
      </c>
      <c r="B699" s="24" t="s">
        <v>4749</v>
      </c>
      <c r="C699" s="34"/>
      <c r="D699" s="24" t="s">
        <v>4750</v>
      </c>
      <c r="E699" s="34"/>
      <c r="F699" s="34"/>
      <c r="G699" s="34"/>
      <c r="H699" s="34"/>
      <c r="I699" s="34"/>
      <c r="J699" s="34"/>
      <c r="K699" s="34"/>
      <c r="L699" s="34"/>
      <c r="M699" s="34"/>
      <c r="N699" s="34"/>
      <c r="O699" s="34"/>
      <c r="P699" s="34"/>
      <c r="Q699" s="34"/>
      <c r="R699" s="34"/>
      <c r="S699" s="34"/>
      <c r="T699" s="34" t="str">
        <f t="shared" ref="T699:V699" si="703">IF(G699&lt;&gt;"","Yes","")</f>
        <v/>
      </c>
      <c r="U699" s="34" t="str">
        <f t="shared" si="703"/>
        <v/>
      </c>
      <c r="V699" s="34" t="str">
        <f t="shared" si="703"/>
        <v/>
      </c>
      <c r="W699" s="34" t="str">
        <f t="shared" si="3"/>
        <v/>
      </c>
      <c r="X699" s="24" t="str">
        <f t="shared" si="4"/>
        <v/>
      </c>
    </row>
    <row r="700" ht="14.25" customHeight="1">
      <c r="A700" s="33">
        <f>HYPERLINK("https://app.hubspot.com/contacts/8748051/record/0-1/580401", 580401)</f>
        <v>580401</v>
      </c>
      <c r="B700" s="24" t="s">
        <v>4751</v>
      </c>
      <c r="C700" s="34"/>
      <c r="D700" s="24" t="s">
        <v>4752</v>
      </c>
      <c r="E700" s="34"/>
      <c r="F700" s="34"/>
      <c r="G700" s="34"/>
      <c r="H700" s="34"/>
      <c r="I700" s="34"/>
      <c r="J700" s="34"/>
      <c r="K700" s="34"/>
      <c r="L700" s="34"/>
      <c r="M700" s="34"/>
      <c r="N700" s="34"/>
      <c r="O700" s="34"/>
      <c r="P700" s="34"/>
      <c r="Q700" s="34"/>
      <c r="R700" s="34"/>
      <c r="S700" s="34"/>
      <c r="T700" s="34" t="str">
        <f t="shared" ref="T700:V700" si="704">IF(G700&lt;&gt;"","Yes","")</f>
        <v/>
      </c>
      <c r="U700" s="34" t="str">
        <f t="shared" si="704"/>
        <v/>
      </c>
      <c r="V700" s="34" t="str">
        <f t="shared" si="704"/>
        <v/>
      </c>
      <c r="W700" s="34" t="str">
        <f t="shared" si="3"/>
        <v/>
      </c>
      <c r="X700" s="24" t="str">
        <f t="shared" si="4"/>
        <v/>
      </c>
    </row>
    <row r="701" ht="14.25" customHeight="1">
      <c r="A701" s="33">
        <f>HYPERLINK("https://app.hubspot.com/contacts/8748051/record/0-1/587451", 587451)</f>
        <v>587451</v>
      </c>
      <c r="B701" s="24" t="s">
        <v>4753</v>
      </c>
      <c r="C701" s="34"/>
      <c r="D701" s="24" t="s">
        <v>4754</v>
      </c>
      <c r="E701" s="28" t="s">
        <v>2097</v>
      </c>
      <c r="F701" s="34"/>
      <c r="G701" s="34"/>
      <c r="H701" s="34"/>
      <c r="I701" s="34"/>
      <c r="J701" s="34"/>
      <c r="K701" s="34"/>
      <c r="L701" s="34"/>
      <c r="M701" s="33">
        <f>HYPERLINK("https://app.hubspot.com/contacts/8748051/record/0-2/8975905460", 8975905460)</f>
        <v>8975905460</v>
      </c>
      <c r="N701" s="24" t="s">
        <v>2096</v>
      </c>
      <c r="O701" s="34"/>
      <c r="P701" s="34"/>
      <c r="Q701" s="34"/>
      <c r="R701" s="34"/>
      <c r="S701" s="34"/>
      <c r="T701" s="34" t="str">
        <f t="shared" ref="T701:V701" si="705">IF(G701&lt;&gt;"","Yes","")</f>
        <v/>
      </c>
      <c r="U701" s="34" t="str">
        <f t="shared" si="705"/>
        <v/>
      </c>
      <c r="V701" s="34" t="str">
        <f t="shared" si="705"/>
        <v/>
      </c>
      <c r="W701" s="34" t="str">
        <f t="shared" si="3"/>
        <v/>
      </c>
      <c r="X701" s="24" t="str">
        <f t="shared" si="4"/>
        <v/>
      </c>
    </row>
    <row r="702" ht="14.25" customHeight="1">
      <c r="A702" s="33">
        <f>HYPERLINK("https://app.hubspot.com/contacts/8748051/record/0-1/602751", 602751)</f>
        <v>602751</v>
      </c>
      <c r="B702" s="24" t="s">
        <v>4755</v>
      </c>
      <c r="C702" s="34"/>
      <c r="D702" s="24" t="s">
        <v>4756</v>
      </c>
      <c r="E702" s="34"/>
      <c r="F702" s="34"/>
      <c r="G702" s="34"/>
      <c r="H702" s="34"/>
      <c r="I702" s="34"/>
      <c r="J702" s="34"/>
      <c r="K702" s="34"/>
      <c r="L702" s="34"/>
      <c r="M702" s="34"/>
      <c r="N702" s="34"/>
      <c r="O702" s="34"/>
      <c r="P702" s="34"/>
      <c r="Q702" s="34"/>
      <c r="R702" s="34"/>
      <c r="S702" s="34"/>
      <c r="T702" s="34" t="str">
        <f t="shared" ref="T702:V702" si="706">IF(G702&lt;&gt;"","Yes","")</f>
        <v/>
      </c>
      <c r="U702" s="34" t="str">
        <f t="shared" si="706"/>
        <v/>
      </c>
      <c r="V702" s="34" t="str">
        <f t="shared" si="706"/>
        <v/>
      </c>
      <c r="W702" s="34" t="str">
        <f t="shared" si="3"/>
        <v/>
      </c>
      <c r="X702" s="24" t="str">
        <f t="shared" si="4"/>
        <v/>
      </c>
    </row>
    <row r="703" ht="14.25" customHeight="1">
      <c r="A703" s="33">
        <f>HYPERLINK("https://app.hubspot.com/contacts/8748051/record/0-1/603701", 603701)</f>
        <v>603701</v>
      </c>
      <c r="B703" s="24" t="s">
        <v>4757</v>
      </c>
      <c r="C703" s="34"/>
      <c r="D703" s="24" t="s">
        <v>4758</v>
      </c>
      <c r="E703" s="34"/>
      <c r="F703" s="34"/>
      <c r="G703" s="34"/>
      <c r="H703" s="34"/>
      <c r="I703" s="34"/>
      <c r="J703" s="34"/>
      <c r="K703" s="34"/>
      <c r="L703" s="34"/>
      <c r="M703" s="34"/>
      <c r="N703" s="34"/>
      <c r="O703" s="34"/>
      <c r="P703" s="34"/>
      <c r="Q703" s="34"/>
      <c r="R703" s="34"/>
      <c r="S703" s="34"/>
      <c r="T703" s="34" t="str">
        <f t="shared" ref="T703:V703" si="707">IF(G703&lt;&gt;"","Yes","")</f>
        <v/>
      </c>
      <c r="U703" s="34" t="str">
        <f t="shared" si="707"/>
        <v/>
      </c>
      <c r="V703" s="34" t="str">
        <f t="shared" si="707"/>
        <v/>
      </c>
      <c r="W703" s="34" t="str">
        <f t="shared" si="3"/>
        <v/>
      </c>
      <c r="X703" s="24" t="str">
        <f t="shared" si="4"/>
        <v/>
      </c>
    </row>
    <row r="704" ht="14.25" customHeight="1">
      <c r="A704" s="33">
        <f>HYPERLINK("https://app.hubspot.com/contacts/8748051/record/0-1/622501", 622501)</f>
        <v>622501</v>
      </c>
      <c r="B704" s="24" t="s">
        <v>4759</v>
      </c>
      <c r="C704" s="34"/>
      <c r="D704" s="24" t="s">
        <v>4760</v>
      </c>
      <c r="E704" s="34"/>
      <c r="F704" s="34"/>
      <c r="G704" s="34"/>
      <c r="H704" s="34"/>
      <c r="I704" s="34"/>
      <c r="J704" s="34"/>
      <c r="K704" s="34"/>
      <c r="L704" s="34"/>
      <c r="M704" s="34"/>
      <c r="N704" s="34"/>
      <c r="O704" s="34"/>
      <c r="P704" s="34"/>
      <c r="Q704" s="34"/>
      <c r="R704" s="34"/>
      <c r="S704" s="34"/>
      <c r="T704" s="34" t="str">
        <f t="shared" ref="T704:V704" si="708">IF(G704&lt;&gt;"","Yes","")</f>
        <v/>
      </c>
      <c r="U704" s="34" t="str">
        <f t="shared" si="708"/>
        <v/>
      </c>
      <c r="V704" s="34" t="str">
        <f t="shared" si="708"/>
        <v/>
      </c>
      <c r="W704" s="34" t="str">
        <f t="shared" si="3"/>
        <v/>
      </c>
      <c r="X704" s="24" t="str">
        <f t="shared" si="4"/>
        <v/>
      </c>
    </row>
    <row r="705" ht="14.25" customHeight="1">
      <c r="A705" s="33">
        <f>HYPERLINK("https://app.hubspot.com/contacts/8748051/record/0-1/623501", 623501)</f>
        <v>623501</v>
      </c>
      <c r="B705" s="24" t="s">
        <v>4761</v>
      </c>
      <c r="C705" s="34"/>
      <c r="D705" s="24" t="s">
        <v>4762</v>
      </c>
      <c r="E705" s="28" t="s">
        <v>4763</v>
      </c>
      <c r="F705" s="34"/>
      <c r="G705" s="34"/>
      <c r="H705" s="34"/>
      <c r="I705" s="34"/>
      <c r="J705" s="34"/>
      <c r="K705" s="34"/>
      <c r="L705" s="34"/>
      <c r="M705" s="33">
        <f>HYPERLINK("https://app.hubspot.com/contacts/8748051/record/0-2/8999091348", 8999091348)</f>
        <v>8999091348</v>
      </c>
      <c r="N705" s="24" t="s">
        <v>4764</v>
      </c>
      <c r="O705" s="34"/>
      <c r="P705" s="34"/>
      <c r="Q705" s="34"/>
      <c r="R705" s="34"/>
      <c r="S705" s="34"/>
      <c r="T705" s="34" t="str">
        <f t="shared" ref="T705:V705" si="709">IF(G705&lt;&gt;"","Yes","")</f>
        <v/>
      </c>
      <c r="U705" s="34" t="str">
        <f t="shared" si="709"/>
        <v/>
      </c>
      <c r="V705" s="34" t="str">
        <f t="shared" si="709"/>
        <v/>
      </c>
      <c r="W705" s="34" t="str">
        <f t="shared" si="3"/>
        <v/>
      </c>
      <c r="X705" s="24" t="str">
        <f t="shared" si="4"/>
        <v/>
      </c>
    </row>
    <row r="706" ht="14.25" customHeight="1">
      <c r="A706" s="33">
        <f>HYPERLINK("https://app.hubspot.com/contacts/8748051/record/0-1/633801", 633801)</f>
        <v>633801</v>
      </c>
      <c r="B706" s="24" t="s">
        <v>4765</v>
      </c>
      <c r="C706" s="34"/>
      <c r="D706" s="24" t="s">
        <v>4766</v>
      </c>
      <c r="E706" s="28" t="s">
        <v>4767</v>
      </c>
      <c r="F706" s="34"/>
      <c r="G706" s="35">
        <v>45441.0</v>
      </c>
      <c r="H706" s="34"/>
      <c r="I706" s="34"/>
      <c r="J706" s="34"/>
      <c r="K706" s="34"/>
      <c r="L706" s="34"/>
      <c r="M706" s="33">
        <f>HYPERLINK("https://app.hubspot.com/contacts/8748051/record/0-2/7026172814", 7026172814)</f>
        <v>7026172814</v>
      </c>
      <c r="N706" s="24" t="s">
        <v>4768</v>
      </c>
      <c r="O706" s="34"/>
      <c r="P706" s="34"/>
      <c r="Q706" s="34"/>
      <c r="R706" s="34"/>
      <c r="S706" s="34"/>
      <c r="T706" s="34" t="str">
        <f t="shared" ref="T706:V706" si="710">IF(G706&lt;&gt;"","Yes","")</f>
        <v>Yes</v>
      </c>
      <c r="U706" s="34" t="str">
        <f t="shared" si="710"/>
        <v/>
      </c>
      <c r="V706" s="34" t="str">
        <f t="shared" si="710"/>
        <v/>
      </c>
      <c r="W706" s="34" t="str">
        <f t="shared" si="3"/>
        <v/>
      </c>
      <c r="X706" s="24" t="str">
        <f t="shared" si="4"/>
        <v/>
      </c>
    </row>
    <row r="707" ht="14.25" customHeight="1">
      <c r="A707" s="33">
        <f>HYPERLINK("https://app.hubspot.com/contacts/8748051/record/0-1/641401", 641401)</f>
        <v>641401</v>
      </c>
      <c r="B707" s="24" t="s">
        <v>4769</v>
      </c>
      <c r="C707" s="34"/>
      <c r="D707" s="24" t="s">
        <v>4770</v>
      </c>
      <c r="E707" s="28" t="s">
        <v>4771</v>
      </c>
      <c r="F707" s="34"/>
      <c r="G707" s="34"/>
      <c r="H707" s="34"/>
      <c r="I707" s="34"/>
      <c r="J707" s="34"/>
      <c r="K707" s="34"/>
      <c r="L707" s="34"/>
      <c r="M707" s="33">
        <f>HYPERLINK("https://app.hubspot.com/contacts/8748051/record/0-2/8762452389", 8762452389)</f>
        <v>8762452389</v>
      </c>
      <c r="N707" s="24" t="s">
        <v>4772</v>
      </c>
      <c r="O707" s="34"/>
      <c r="P707" s="34"/>
      <c r="Q707" s="34"/>
      <c r="R707" s="34"/>
      <c r="S707" s="34"/>
      <c r="T707" s="34" t="str">
        <f t="shared" ref="T707:V707" si="711">IF(G707&lt;&gt;"","Yes","")</f>
        <v/>
      </c>
      <c r="U707" s="34" t="str">
        <f t="shared" si="711"/>
        <v/>
      </c>
      <c r="V707" s="34" t="str">
        <f t="shared" si="711"/>
        <v/>
      </c>
      <c r="W707" s="34" t="str">
        <f t="shared" si="3"/>
        <v/>
      </c>
      <c r="X707" s="24" t="str">
        <f t="shared" si="4"/>
        <v/>
      </c>
    </row>
    <row r="708" ht="14.25" customHeight="1">
      <c r="A708" s="33">
        <f>HYPERLINK("https://app.hubspot.com/contacts/8748051/record/0-1/643601", 643601)</f>
        <v>643601</v>
      </c>
      <c r="B708" s="24" t="s">
        <v>4773</v>
      </c>
      <c r="C708" s="34"/>
      <c r="D708" s="24" t="s">
        <v>4774</v>
      </c>
      <c r="E708" s="28" t="s">
        <v>2670</v>
      </c>
      <c r="F708" s="34"/>
      <c r="G708" s="34"/>
      <c r="H708" s="34"/>
      <c r="I708" s="34"/>
      <c r="J708" s="34"/>
      <c r="K708" s="34"/>
      <c r="L708" s="34"/>
      <c r="M708" s="33">
        <f>HYPERLINK("https://app.hubspot.com/contacts/8748051/record/0-2/7687434062", 7687434062)</f>
        <v>7687434062</v>
      </c>
      <c r="N708" s="24" t="s">
        <v>2669</v>
      </c>
      <c r="O708" s="33">
        <f>HYPERLINK("https://app.hubspot.com/contacts/8748051/record/0-3/12423375895", 12423375895)</f>
        <v>12423375895</v>
      </c>
      <c r="P708" s="24" t="s">
        <v>2667</v>
      </c>
      <c r="Q708" s="24" t="s">
        <v>149</v>
      </c>
      <c r="R708" s="24">
        <v>30000.0</v>
      </c>
      <c r="S708" s="34"/>
      <c r="T708" s="34" t="str">
        <f t="shared" ref="T708:V708" si="712">IF(G708&lt;&gt;"","Yes","")</f>
        <v/>
      </c>
      <c r="U708" s="34" t="str">
        <f t="shared" si="712"/>
        <v/>
      </c>
      <c r="V708" s="34" t="str">
        <f t="shared" si="712"/>
        <v/>
      </c>
      <c r="W708" s="34" t="str">
        <f t="shared" si="3"/>
        <v/>
      </c>
      <c r="X708" s="24" t="str">
        <f t="shared" si="4"/>
        <v>Yes</v>
      </c>
    </row>
    <row r="709" ht="14.25" customHeight="1">
      <c r="A709" s="33">
        <f>HYPERLINK("https://app.hubspot.com/contacts/8748051/record/0-1/682201", 682201)</f>
        <v>682201</v>
      </c>
      <c r="B709" s="24" t="s">
        <v>4775</v>
      </c>
      <c r="C709" s="34"/>
      <c r="D709" s="24" t="s">
        <v>4776</v>
      </c>
      <c r="E709" s="28" t="s">
        <v>4280</v>
      </c>
      <c r="F709" s="34"/>
      <c r="G709" s="35">
        <v>45435.0</v>
      </c>
      <c r="H709" s="34"/>
      <c r="I709" s="34"/>
      <c r="J709" s="34"/>
      <c r="K709" s="34"/>
      <c r="L709" s="34"/>
      <c r="M709" s="33">
        <f>HYPERLINK("https://app.hubspot.com/contacts/8748051/record/0-2/8762562985", 8762562985)</f>
        <v>8762562985</v>
      </c>
      <c r="N709" s="24" t="s">
        <v>4281</v>
      </c>
      <c r="O709" s="34"/>
      <c r="P709" s="34"/>
      <c r="Q709" s="34"/>
      <c r="R709" s="34"/>
      <c r="S709" s="34"/>
      <c r="T709" s="34" t="str">
        <f t="shared" ref="T709:V709" si="713">IF(G709&lt;&gt;"","Yes","")</f>
        <v>Yes</v>
      </c>
      <c r="U709" s="34" t="str">
        <f t="shared" si="713"/>
        <v/>
      </c>
      <c r="V709" s="34" t="str">
        <f t="shared" si="713"/>
        <v/>
      </c>
      <c r="W709" s="34" t="str">
        <f t="shared" si="3"/>
        <v/>
      </c>
      <c r="X709" s="24" t="str">
        <f t="shared" si="4"/>
        <v/>
      </c>
    </row>
    <row r="710" ht="14.25" customHeight="1">
      <c r="A710" s="33">
        <f>HYPERLINK("https://app.hubspot.com/contacts/8748051/record/0-1/688601", 688601)</f>
        <v>688601</v>
      </c>
      <c r="B710" s="24" t="s">
        <v>4777</v>
      </c>
      <c r="C710" s="34"/>
      <c r="D710" s="24" t="s">
        <v>4778</v>
      </c>
      <c r="E710" s="28" t="s">
        <v>1977</v>
      </c>
      <c r="F710" s="34"/>
      <c r="G710" s="35">
        <v>45378.0</v>
      </c>
      <c r="H710" s="35">
        <v>45386.0</v>
      </c>
      <c r="I710" s="35">
        <v>45386.0</v>
      </c>
      <c r="J710" s="34"/>
      <c r="K710" s="34"/>
      <c r="L710" s="34"/>
      <c r="M710" s="33">
        <f>HYPERLINK("https://app.hubspot.com/contacts/8748051/record/0-2/8141927813", 8141927813)</f>
        <v>8141927813</v>
      </c>
      <c r="N710" s="24" t="s">
        <v>1976</v>
      </c>
      <c r="O710" s="33">
        <f>HYPERLINK("https://app.hubspot.com/contacts/8748051/record/0-3/18309555983", 18309555983)</f>
        <v>18309555983</v>
      </c>
      <c r="P710" s="24" t="s">
        <v>1975</v>
      </c>
      <c r="Q710" s="24" t="s">
        <v>73</v>
      </c>
      <c r="R710" s="24">
        <v>20400.0</v>
      </c>
      <c r="S710" s="34"/>
      <c r="T710" s="34" t="str">
        <f t="shared" ref="T710:V710" si="714">IF(G710&lt;&gt;"","Yes","")</f>
        <v>Yes</v>
      </c>
      <c r="U710" s="34" t="str">
        <f t="shared" si="714"/>
        <v>Yes</v>
      </c>
      <c r="V710" s="34" t="str">
        <f t="shared" si="714"/>
        <v>Yes</v>
      </c>
      <c r="W710" s="34" t="str">
        <f t="shared" si="3"/>
        <v/>
      </c>
      <c r="X710" s="24" t="str">
        <f t="shared" si="4"/>
        <v/>
      </c>
    </row>
    <row r="711" ht="14.25" customHeight="1">
      <c r="A711" s="33">
        <f>HYPERLINK("https://app.hubspot.com/contacts/8748051/record/0-1/694451", 694451)</f>
        <v>694451</v>
      </c>
      <c r="B711" s="24" t="s">
        <v>4779</v>
      </c>
      <c r="C711" s="34"/>
      <c r="D711" s="24" t="s">
        <v>4780</v>
      </c>
      <c r="E711" s="28" t="s">
        <v>1720</v>
      </c>
      <c r="F711" s="34"/>
      <c r="G711" s="35">
        <v>45429.0</v>
      </c>
      <c r="H711" s="35">
        <v>45435.0</v>
      </c>
      <c r="I711" s="35">
        <v>45435.0</v>
      </c>
      <c r="J711" s="34"/>
      <c r="K711" s="34"/>
      <c r="L711" s="34"/>
      <c r="M711" s="33">
        <f>HYPERLINK("https://app.hubspot.com/contacts/8748051/record/0-2/51621298002", 51621298002)</f>
        <v>51621298002</v>
      </c>
      <c r="N711" s="24" t="s">
        <v>1719</v>
      </c>
      <c r="O711" s="33">
        <f>HYPERLINK("https://app.hubspot.com/contacts/8748051/record/0-3/19520379064", 19520379064)</f>
        <v>19520379064</v>
      </c>
      <c r="P711" s="24" t="s">
        <v>1718</v>
      </c>
      <c r="Q711" s="24" t="s">
        <v>73</v>
      </c>
      <c r="R711" s="24">
        <v>50400.0</v>
      </c>
      <c r="S711" s="34"/>
      <c r="T711" s="34" t="str">
        <f t="shared" ref="T711:V711" si="715">IF(G711&lt;&gt;"","Yes","")</f>
        <v>Yes</v>
      </c>
      <c r="U711" s="34" t="str">
        <f t="shared" si="715"/>
        <v>Yes</v>
      </c>
      <c r="V711" s="34" t="str">
        <f t="shared" si="715"/>
        <v>Yes</v>
      </c>
      <c r="W711" s="34" t="str">
        <f t="shared" si="3"/>
        <v/>
      </c>
      <c r="X711" s="24" t="str">
        <f t="shared" si="4"/>
        <v/>
      </c>
    </row>
    <row r="712" ht="14.25" customHeight="1">
      <c r="A712" s="33">
        <f>HYPERLINK("https://app.hubspot.com/contacts/8748051/record/0-1/695301", 695301)</f>
        <v>695301</v>
      </c>
      <c r="B712" s="24" t="s">
        <v>4781</v>
      </c>
      <c r="C712" s="34"/>
      <c r="D712" s="24" t="s">
        <v>4782</v>
      </c>
      <c r="E712" s="28" t="s">
        <v>1593</v>
      </c>
      <c r="F712" s="34"/>
      <c r="G712" s="35">
        <v>45467.0</v>
      </c>
      <c r="H712" s="35">
        <v>45471.0</v>
      </c>
      <c r="I712" s="35">
        <v>45471.0</v>
      </c>
      <c r="J712" s="34"/>
      <c r="K712" s="34"/>
      <c r="L712" s="34"/>
      <c r="M712" s="33">
        <f>HYPERLINK("https://app.hubspot.com/contacts/8748051/record/0-2/32009387295", 32009387295)</f>
        <v>32009387295</v>
      </c>
      <c r="N712" s="24" t="s">
        <v>1592</v>
      </c>
      <c r="O712" s="33">
        <f>HYPERLINK("https://app.hubspot.com/contacts/8748051/record/0-3/20356153766", 20356153766)</f>
        <v>20356153766</v>
      </c>
      <c r="P712" s="24" t="s">
        <v>1591</v>
      </c>
      <c r="Q712" s="24" t="s">
        <v>73</v>
      </c>
      <c r="R712" s="24">
        <v>56880.0</v>
      </c>
      <c r="S712" s="34"/>
      <c r="T712" s="34" t="str">
        <f t="shared" ref="T712:V712" si="716">IF(G712&lt;&gt;"","Yes","")</f>
        <v>Yes</v>
      </c>
      <c r="U712" s="34" t="str">
        <f t="shared" si="716"/>
        <v>Yes</v>
      </c>
      <c r="V712" s="34" t="str">
        <f t="shared" si="716"/>
        <v>Yes</v>
      </c>
      <c r="W712" s="34" t="str">
        <f t="shared" si="3"/>
        <v/>
      </c>
      <c r="X712" s="24" t="str">
        <f t="shared" si="4"/>
        <v/>
      </c>
    </row>
    <row r="713" ht="14.25" customHeight="1">
      <c r="A713" s="33">
        <f>HYPERLINK("https://app.hubspot.com/contacts/8748051/record/0-1/710751", 710751)</f>
        <v>710751</v>
      </c>
      <c r="B713" s="24" t="s">
        <v>4783</v>
      </c>
      <c r="C713" s="34"/>
      <c r="D713" s="24" t="s">
        <v>4784</v>
      </c>
      <c r="E713" s="28" t="s">
        <v>4785</v>
      </c>
      <c r="F713" s="34"/>
      <c r="G713" s="34"/>
      <c r="H713" s="34"/>
      <c r="I713" s="34"/>
      <c r="J713" s="34"/>
      <c r="K713" s="34"/>
      <c r="L713" s="34"/>
      <c r="M713" s="33">
        <f>HYPERLINK("https://app.hubspot.com/contacts/8748051/record/0-2/6816536393", 6816536393)</f>
        <v>6816536393</v>
      </c>
      <c r="N713" s="24" t="s">
        <v>4786</v>
      </c>
      <c r="O713" s="34"/>
      <c r="P713" s="34"/>
      <c r="Q713" s="34"/>
      <c r="R713" s="34"/>
      <c r="S713" s="34"/>
      <c r="T713" s="34" t="str">
        <f t="shared" ref="T713:V713" si="717">IF(G713&lt;&gt;"","Yes","")</f>
        <v/>
      </c>
      <c r="U713" s="34" t="str">
        <f t="shared" si="717"/>
        <v/>
      </c>
      <c r="V713" s="34" t="str">
        <f t="shared" si="717"/>
        <v/>
      </c>
      <c r="W713" s="34" t="str">
        <f t="shared" si="3"/>
        <v/>
      </c>
      <c r="X713" s="24" t="str">
        <f t="shared" si="4"/>
        <v/>
      </c>
    </row>
    <row r="714" ht="14.25" customHeight="1">
      <c r="A714" s="33">
        <f>HYPERLINK("https://app.hubspot.com/contacts/8748051/record/0-1/711851", 711851)</f>
        <v>711851</v>
      </c>
      <c r="B714" s="24" t="s">
        <v>4787</v>
      </c>
      <c r="C714" s="34"/>
      <c r="D714" s="24" t="s">
        <v>4788</v>
      </c>
      <c r="E714" s="28" t="s">
        <v>4789</v>
      </c>
      <c r="F714" s="34"/>
      <c r="G714" s="35">
        <v>45282.0</v>
      </c>
      <c r="H714" s="34"/>
      <c r="I714" s="34"/>
      <c r="J714" s="34"/>
      <c r="K714" s="34"/>
      <c r="L714" s="34"/>
      <c r="M714" s="33">
        <f>HYPERLINK("https://app.hubspot.com/contacts/8748051/record/0-2/9092230702", 9092230702)</f>
        <v>9092230702</v>
      </c>
      <c r="N714" s="24" t="s">
        <v>4790</v>
      </c>
      <c r="O714" s="34"/>
      <c r="P714" s="34"/>
      <c r="Q714" s="34"/>
      <c r="R714" s="34"/>
      <c r="S714" s="34"/>
      <c r="T714" s="34" t="str">
        <f t="shared" ref="T714:V714" si="718">IF(G714&lt;&gt;"","Yes","")</f>
        <v>Yes</v>
      </c>
      <c r="U714" s="34" t="str">
        <f t="shared" si="718"/>
        <v/>
      </c>
      <c r="V714" s="34" t="str">
        <f t="shared" si="718"/>
        <v/>
      </c>
      <c r="W714" s="34" t="str">
        <f t="shared" si="3"/>
        <v/>
      </c>
      <c r="X714" s="24" t="str">
        <f t="shared" si="4"/>
        <v/>
      </c>
    </row>
    <row r="715" ht="14.25" customHeight="1">
      <c r="A715" s="33">
        <f>HYPERLINK("https://app.hubspot.com/contacts/8748051/record/0-1/717202", 717202)</f>
        <v>717202</v>
      </c>
      <c r="B715" s="24" t="s">
        <v>4791</v>
      </c>
      <c r="C715" s="34"/>
      <c r="D715" s="24" t="s">
        <v>4792</v>
      </c>
      <c r="E715" s="28" t="s">
        <v>4793</v>
      </c>
      <c r="F715" s="34"/>
      <c r="G715" s="34"/>
      <c r="H715" s="34"/>
      <c r="I715" s="34"/>
      <c r="J715" s="34"/>
      <c r="K715" s="34"/>
      <c r="L715" s="34"/>
      <c r="M715" s="33">
        <f>HYPERLINK("https://app.hubspot.com/contacts/8748051/record/0-2/9093441792", 9093441792)</f>
        <v>9093441792</v>
      </c>
      <c r="N715" s="24" t="s">
        <v>4794</v>
      </c>
      <c r="O715" s="34"/>
      <c r="P715" s="34"/>
      <c r="Q715" s="34"/>
      <c r="R715" s="34"/>
      <c r="S715" s="34"/>
      <c r="T715" s="34" t="str">
        <f t="shared" ref="T715:V715" si="719">IF(G715&lt;&gt;"","Yes","")</f>
        <v/>
      </c>
      <c r="U715" s="34" t="str">
        <f t="shared" si="719"/>
        <v/>
      </c>
      <c r="V715" s="34" t="str">
        <f t="shared" si="719"/>
        <v/>
      </c>
      <c r="W715" s="34" t="str">
        <f t="shared" si="3"/>
        <v/>
      </c>
      <c r="X715" s="24" t="str">
        <f t="shared" si="4"/>
        <v/>
      </c>
    </row>
    <row r="716" ht="14.25" customHeight="1">
      <c r="A716" s="33">
        <f>HYPERLINK("https://app.hubspot.com/contacts/8748051/record/0-1/717351", 717351)</f>
        <v>717351</v>
      </c>
      <c r="B716" s="24" t="s">
        <v>4795</v>
      </c>
      <c r="C716" s="34"/>
      <c r="D716" s="24" t="s">
        <v>4796</v>
      </c>
      <c r="E716" s="28" t="s">
        <v>1691</v>
      </c>
      <c r="F716" s="34"/>
      <c r="G716" s="35">
        <v>45439.0</v>
      </c>
      <c r="H716" s="34"/>
      <c r="I716" s="34"/>
      <c r="J716" s="34"/>
      <c r="K716" s="34"/>
      <c r="L716" s="34"/>
      <c r="M716" s="33">
        <f t="shared" ref="M716:M717" si="721">HYPERLINK("https://app.hubspot.com/contacts/8748051/record/0-2/9093467233", 9093467233)</f>
        <v>9093467233</v>
      </c>
      <c r="N716" s="24" t="s">
        <v>1690</v>
      </c>
      <c r="O716" s="34"/>
      <c r="P716" s="34"/>
      <c r="Q716" s="34"/>
      <c r="R716" s="34"/>
      <c r="S716" s="34"/>
      <c r="T716" s="34" t="str">
        <f t="shared" ref="T716:V716" si="720">IF(G716&lt;&gt;"","Yes","")</f>
        <v>Yes</v>
      </c>
      <c r="U716" s="34" t="str">
        <f t="shared" si="720"/>
        <v/>
      </c>
      <c r="V716" s="34" t="str">
        <f t="shared" si="720"/>
        <v/>
      </c>
      <c r="W716" s="34" t="str">
        <f t="shared" si="3"/>
        <v/>
      </c>
      <c r="X716" s="24" t="str">
        <f t="shared" si="4"/>
        <v/>
      </c>
    </row>
    <row r="717" ht="14.25" customHeight="1">
      <c r="A717" s="33">
        <f>HYPERLINK("https://app.hubspot.com/contacts/8748051/record/0-1/717501", 717501)</f>
        <v>717501</v>
      </c>
      <c r="B717" s="24" t="s">
        <v>4797</v>
      </c>
      <c r="C717" s="34"/>
      <c r="D717" s="24" t="s">
        <v>4798</v>
      </c>
      <c r="E717" s="28" t="s">
        <v>1691</v>
      </c>
      <c r="F717" s="34"/>
      <c r="G717" s="35">
        <v>45371.0</v>
      </c>
      <c r="H717" s="35">
        <v>45443.0</v>
      </c>
      <c r="I717" s="35">
        <v>45443.0</v>
      </c>
      <c r="J717" s="34"/>
      <c r="K717" s="34"/>
      <c r="L717" s="34"/>
      <c r="M717" s="33">
        <f t="shared" si="721"/>
        <v>9093467233</v>
      </c>
      <c r="N717" s="24" t="s">
        <v>1690</v>
      </c>
      <c r="O717" s="33">
        <f>HYPERLINK("https://app.hubspot.com/contacts/8748051/record/0-3/19648590439", 19648590439)</f>
        <v>19648590439</v>
      </c>
      <c r="P717" s="24" t="s">
        <v>1688</v>
      </c>
      <c r="Q717" s="24" t="s">
        <v>92</v>
      </c>
      <c r="R717" s="24">
        <v>32500.0</v>
      </c>
      <c r="S717" s="24" t="b">
        <v>1</v>
      </c>
      <c r="T717" s="34" t="str">
        <f t="shared" ref="T717:V717" si="722">IF(G717&lt;&gt;"","Yes","")</f>
        <v>Yes</v>
      </c>
      <c r="U717" s="34" t="str">
        <f t="shared" si="722"/>
        <v>Yes</v>
      </c>
      <c r="V717" s="34" t="str">
        <f t="shared" si="722"/>
        <v>Yes</v>
      </c>
      <c r="W717" s="34" t="str">
        <f t="shared" si="3"/>
        <v>Yes</v>
      </c>
      <c r="X717" s="24" t="str">
        <f t="shared" si="4"/>
        <v/>
      </c>
    </row>
    <row r="718" ht="14.25" customHeight="1">
      <c r="A718" s="33">
        <f>HYPERLINK("https://app.hubspot.com/contacts/8748051/record/0-1/718751", 718751)</f>
        <v>718751</v>
      </c>
      <c r="B718" s="24" t="s">
        <v>4799</v>
      </c>
      <c r="C718" s="34"/>
      <c r="D718" s="24" t="s">
        <v>4800</v>
      </c>
      <c r="E718" s="28" t="s">
        <v>4801</v>
      </c>
      <c r="F718" s="34"/>
      <c r="G718" s="35">
        <v>45461.0</v>
      </c>
      <c r="H718" s="34"/>
      <c r="I718" s="34"/>
      <c r="J718" s="34"/>
      <c r="K718" s="34"/>
      <c r="L718" s="34"/>
      <c r="M718" s="33">
        <f>HYPERLINK("https://app.hubspot.com/contacts/8748051/record/0-2/9093472933", 9093472933)</f>
        <v>9093472933</v>
      </c>
      <c r="N718" s="24" t="s">
        <v>4802</v>
      </c>
      <c r="O718" s="34"/>
      <c r="P718" s="34"/>
      <c r="Q718" s="34"/>
      <c r="R718" s="34"/>
      <c r="S718" s="34"/>
      <c r="T718" s="34" t="str">
        <f t="shared" ref="T718:V718" si="723">IF(G718&lt;&gt;"","Yes","")</f>
        <v>Yes</v>
      </c>
      <c r="U718" s="34" t="str">
        <f t="shared" si="723"/>
        <v/>
      </c>
      <c r="V718" s="34" t="str">
        <f t="shared" si="723"/>
        <v/>
      </c>
      <c r="W718" s="34" t="str">
        <f t="shared" si="3"/>
        <v/>
      </c>
      <c r="X718" s="24" t="str">
        <f t="shared" si="4"/>
        <v/>
      </c>
    </row>
    <row r="719" ht="14.25" customHeight="1">
      <c r="A719" s="33">
        <f>HYPERLINK("https://app.hubspot.com/contacts/8748051/record/0-1/721051", 721051)</f>
        <v>721051</v>
      </c>
      <c r="B719" s="24" t="s">
        <v>4803</v>
      </c>
      <c r="C719" s="34"/>
      <c r="D719" s="24" t="s">
        <v>4804</v>
      </c>
      <c r="E719" s="28" t="s">
        <v>4805</v>
      </c>
      <c r="F719" s="34"/>
      <c r="G719" s="35">
        <v>45434.0</v>
      </c>
      <c r="H719" s="34"/>
      <c r="I719" s="34"/>
      <c r="J719" s="34"/>
      <c r="K719" s="34"/>
      <c r="L719" s="34"/>
      <c r="M719" s="33">
        <f>HYPERLINK("https://app.hubspot.com/contacts/8748051/record/0-2/9094689639", 9094689639)</f>
        <v>9094689639</v>
      </c>
      <c r="N719" s="24" t="s">
        <v>4806</v>
      </c>
      <c r="O719" s="34"/>
      <c r="P719" s="34"/>
      <c r="Q719" s="34"/>
      <c r="R719" s="34"/>
      <c r="S719" s="34"/>
      <c r="T719" s="34" t="str">
        <f t="shared" ref="T719:V719" si="724">IF(G719&lt;&gt;"","Yes","")</f>
        <v>Yes</v>
      </c>
      <c r="U719" s="34" t="str">
        <f t="shared" si="724"/>
        <v/>
      </c>
      <c r="V719" s="34" t="str">
        <f t="shared" si="724"/>
        <v/>
      </c>
      <c r="W719" s="34" t="str">
        <f t="shared" si="3"/>
        <v/>
      </c>
      <c r="X719" s="24" t="str">
        <f t="shared" si="4"/>
        <v/>
      </c>
    </row>
    <row r="720" ht="14.25" customHeight="1">
      <c r="A720" s="33">
        <f>HYPERLINK("https://app.hubspot.com/contacts/8748051/record/0-1/782801", 782801)</f>
        <v>782801</v>
      </c>
      <c r="B720" s="24" t="s">
        <v>4807</v>
      </c>
      <c r="C720" s="34"/>
      <c r="D720" s="24" t="s">
        <v>4808</v>
      </c>
      <c r="E720" s="28" t="s">
        <v>4809</v>
      </c>
      <c r="F720" s="34"/>
      <c r="G720" s="35">
        <v>45284.0</v>
      </c>
      <c r="H720" s="34"/>
      <c r="I720" s="34"/>
      <c r="J720" s="34"/>
      <c r="K720" s="34"/>
      <c r="L720" s="34"/>
      <c r="M720" s="33">
        <f>HYPERLINK("https://app.hubspot.com/contacts/8748051/record/0-2/9186921241", 9186921241)</f>
        <v>9186921241</v>
      </c>
      <c r="N720" s="24" t="s">
        <v>4810</v>
      </c>
      <c r="O720" s="34"/>
      <c r="P720" s="34"/>
      <c r="Q720" s="34"/>
      <c r="R720" s="34"/>
      <c r="S720" s="34"/>
      <c r="T720" s="34" t="str">
        <f t="shared" ref="T720:V720" si="725">IF(G720&lt;&gt;"","Yes","")</f>
        <v>Yes</v>
      </c>
      <c r="U720" s="34" t="str">
        <f t="shared" si="725"/>
        <v/>
      </c>
      <c r="V720" s="34" t="str">
        <f t="shared" si="725"/>
        <v/>
      </c>
      <c r="W720" s="34" t="str">
        <f t="shared" si="3"/>
        <v/>
      </c>
      <c r="X720" s="24" t="str">
        <f t="shared" si="4"/>
        <v/>
      </c>
    </row>
    <row r="721" ht="14.25" customHeight="1">
      <c r="A721" s="33">
        <f>HYPERLINK("https://app.hubspot.com/contacts/8748051/record/0-1/789901", 789901)</f>
        <v>789901</v>
      </c>
      <c r="B721" s="24" t="s">
        <v>4811</v>
      </c>
      <c r="C721" s="34"/>
      <c r="D721" s="24" t="s">
        <v>4812</v>
      </c>
      <c r="E721" s="28" t="s">
        <v>2331</v>
      </c>
      <c r="F721" s="34"/>
      <c r="G721" s="35">
        <v>45261.0</v>
      </c>
      <c r="H721" s="35">
        <v>45309.0</v>
      </c>
      <c r="I721" s="35">
        <v>45309.0</v>
      </c>
      <c r="J721" s="34"/>
      <c r="K721" s="34"/>
      <c r="L721" s="34"/>
      <c r="M721" s="33">
        <f>HYPERLINK("https://app.hubspot.com/contacts/8748051/record/0-2/8941103485", 8941103485)</f>
        <v>8941103485</v>
      </c>
      <c r="N721" s="24" t="s">
        <v>2330</v>
      </c>
      <c r="O721" s="33">
        <f>HYPERLINK("https://app.hubspot.com/contacts/8748051/record/0-3/17021084424", 17021084424)</f>
        <v>17021084424</v>
      </c>
      <c r="P721" s="24" t="s">
        <v>2329</v>
      </c>
      <c r="Q721" s="24" t="s">
        <v>127</v>
      </c>
      <c r="R721" s="24">
        <v>8000.0</v>
      </c>
      <c r="S721" s="24" t="b">
        <v>1</v>
      </c>
      <c r="T721" s="34" t="str">
        <f t="shared" ref="T721:V721" si="726">IF(G721&lt;&gt;"","Yes","")</f>
        <v>Yes</v>
      </c>
      <c r="U721" s="34" t="str">
        <f t="shared" si="726"/>
        <v>Yes</v>
      </c>
      <c r="V721" s="34" t="str">
        <f t="shared" si="726"/>
        <v>Yes</v>
      </c>
      <c r="W721" s="34" t="str">
        <f t="shared" si="3"/>
        <v/>
      </c>
      <c r="X721" s="24" t="str">
        <f t="shared" si="4"/>
        <v/>
      </c>
    </row>
    <row r="722" ht="14.25" customHeight="1">
      <c r="A722" s="33">
        <f>HYPERLINK("https://app.hubspot.com/contacts/8748051/record/0-1/790002", 790002)</f>
        <v>790002</v>
      </c>
      <c r="B722" s="24" t="s">
        <v>4813</v>
      </c>
      <c r="C722" s="34"/>
      <c r="D722" s="24" t="s">
        <v>4814</v>
      </c>
      <c r="E722" s="28" t="s">
        <v>2401</v>
      </c>
      <c r="F722" s="34"/>
      <c r="G722" s="35">
        <v>45261.0</v>
      </c>
      <c r="H722" s="35">
        <v>45272.0</v>
      </c>
      <c r="I722" s="35">
        <v>45272.0</v>
      </c>
      <c r="J722" s="34"/>
      <c r="K722" s="34"/>
      <c r="L722" s="34"/>
      <c r="M722" s="33">
        <f>HYPERLINK("https://app.hubspot.com/contacts/8748051/record/0-2/6262327611", 6262327611)</f>
        <v>6262327611</v>
      </c>
      <c r="N722" s="24" t="s">
        <v>2400</v>
      </c>
      <c r="O722" s="33">
        <f>HYPERLINK("https://app.hubspot.com/contacts/8748051/record/0-3/16572427950", 16572427950)</f>
        <v>16572427950</v>
      </c>
      <c r="P722" s="24" t="s">
        <v>2399</v>
      </c>
      <c r="Q722" s="24" t="s">
        <v>127</v>
      </c>
      <c r="R722" s="24">
        <v>35000.0</v>
      </c>
      <c r="S722" s="24" t="b">
        <v>1</v>
      </c>
      <c r="T722" s="34" t="str">
        <f t="shared" ref="T722:V722" si="727">IF(G722&lt;&gt;"","Yes","")</f>
        <v>Yes</v>
      </c>
      <c r="U722" s="34" t="str">
        <f t="shared" si="727"/>
        <v>Yes</v>
      </c>
      <c r="V722" s="34" t="str">
        <f t="shared" si="727"/>
        <v>Yes</v>
      </c>
      <c r="W722" s="34" t="str">
        <f t="shared" si="3"/>
        <v/>
      </c>
      <c r="X722" s="24" t="str">
        <f t="shared" si="4"/>
        <v/>
      </c>
    </row>
    <row r="723" ht="14.25" customHeight="1">
      <c r="A723" s="33">
        <f>HYPERLINK("https://app.hubspot.com/contacts/8748051/record/0-1/792451", 792451)</f>
        <v>792451</v>
      </c>
      <c r="B723" s="24" t="s">
        <v>4815</v>
      </c>
      <c r="C723" s="34"/>
      <c r="D723" s="24" t="s">
        <v>4816</v>
      </c>
      <c r="E723" s="28" t="s">
        <v>4817</v>
      </c>
      <c r="F723" s="34"/>
      <c r="G723" s="35">
        <v>45273.0</v>
      </c>
      <c r="H723" s="34"/>
      <c r="I723" s="34"/>
      <c r="J723" s="34"/>
      <c r="K723" s="34"/>
      <c r="L723" s="34"/>
      <c r="M723" s="33">
        <f>HYPERLINK("https://app.hubspot.com/contacts/8748051/record/0-2/8134712969", 8134712969)</f>
        <v>8134712969</v>
      </c>
      <c r="N723" s="24" t="s">
        <v>4818</v>
      </c>
      <c r="O723" s="34"/>
      <c r="P723" s="34"/>
      <c r="Q723" s="34"/>
      <c r="R723" s="34"/>
      <c r="S723" s="34"/>
      <c r="T723" s="34" t="str">
        <f t="shared" ref="T723:V723" si="728">IF(G723&lt;&gt;"","Yes","")</f>
        <v>Yes</v>
      </c>
      <c r="U723" s="34" t="str">
        <f t="shared" si="728"/>
        <v/>
      </c>
      <c r="V723" s="34" t="str">
        <f t="shared" si="728"/>
        <v/>
      </c>
      <c r="W723" s="34" t="str">
        <f t="shared" si="3"/>
        <v/>
      </c>
      <c r="X723" s="24" t="str">
        <f t="shared" si="4"/>
        <v/>
      </c>
    </row>
    <row r="724" ht="14.25" customHeight="1">
      <c r="A724" s="33">
        <f>HYPERLINK("https://app.hubspot.com/contacts/8748051/record/0-1/911902", 911902)</f>
        <v>911902</v>
      </c>
      <c r="B724" s="24" t="s">
        <v>4819</v>
      </c>
      <c r="C724" s="34"/>
      <c r="D724" s="24" t="s">
        <v>4820</v>
      </c>
      <c r="E724" s="28" t="s">
        <v>2497</v>
      </c>
      <c r="F724" s="34"/>
      <c r="G724" s="34"/>
      <c r="H724" s="34"/>
      <c r="I724" s="34"/>
      <c r="J724" s="34"/>
      <c r="K724" s="34"/>
      <c r="L724" s="34"/>
      <c r="M724" s="33">
        <f>HYPERLINK("https://app.hubspot.com/contacts/8748051/record/0-2/9238328396", 9238328396)</f>
        <v>9238328396</v>
      </c>
      <c r="N724" s="24" t="s">
        <v>2496</v>
      </c>
      <c r="O724" s="33">
        <f>HYPERLINK("https://app.hubspot.com/contacts/8748051/record/0-3/15723271730", 15723271730)</f>
        <v>15723271730</v>
      </c>
      <c r="P724" s="24" t="s">
        <v>2495</v>
      </c>
      <c r="Q724" s="24" t="s">
        <v>73</v>
      </c>
      <c r="R724" s="24">
        <v>100000.0</v>
      </c>
      <c r="S724" s="34"/>
      <c r="T724" s="34" t="str">
        <f t="shared" ref="T724:V724" si="729">IF(G724&lt;&gt;"","Yes","")</f>
        <v/>
      </c>
      <c r="U724" s="34" t="str">
        <f t="shared" si="729"/>
        <v/>
      </c>
      <c r="V724" s="34" t="str">
        <f t="shared" si="729"/>
        <v/>
      </c>
      <c r="W724" s="34" t="str">
        <f t="shared" si="3"/>
        <v/>
      </c>
      <c r="X724" s="24" t="str">
        <f t="shared" si="4"/>
        <v/>
      </c>
    </row>
    <row r="725" ht="14.25" customHeight="1">
      <c r="A725" s="33">
        <f>HYPERLINK("https://app.hubspot.com/contacts/8748051/record/0-1/996751", 996751)</f>
        <v>996751</v>
      </c>
      <c r="B725" s="24" t="s">
        <v>4821</v>
      </c>
      <c r="C725" s="34"/>
      <c r="D725" s="24" t="s">
        <v>4822</v>
      </c>
      <c r="E725" s="28" t="s">
        <v>4823</v>
      </c>
      <c r="F725" s="34"/>
      <c r="G725" s="35">
        <v>45343.0</v>
      </c>
      <c r="H725" s="34"/>
      <c r="I725" s="34"/>
      <c r="J725" s="34"/>
      <c r="K725" s="34"/>
      <c r="L725" s="34"/>
      <c r="M725" s="33">
        <f>HYPERLINK("https://app.hubspot.com/contacts/8748051/record/0-2/7640275985", 7640275985)</f>
        <v>7640275985</v>
      </c>
      <c r="N725" s="24" t="s">
        <v>4824</v>
      </c>
      <c r="O725" s="34"/>
      <c r="P725" s="34"/>
      <c r="Q725" s="34"/>
      <c r="R725" s="34"/>
      <c r="S725" s="34"/>
      <c r="T725" s="34" t="str">
        <f t="shared" ref="T725:V725" si="730">IF(G725&lt;&gt;"","Yes","")</f>
        <v>Yes</v>
      </c>
      <c r="U725" s="34" t="str">
        <f t="shared" si="730"/>
        <v/>
      </c>
      <c r="V725" s="34" t="str">
        <f t="shared" si="730"/>
        <v/>
      </c>
      <c r="W725" s="34" t="str">
        <f t="shared" si="3"/>
        <v/>
      </c>
      <c r="X725" s="24" t="str">
        <f t="shared" si="4"/>
        <v/>
      </c>
    </row>
    <row r="726" ht="14.25" customHeight="1">
      <c r="A726" s="33">
        <f>HYPERLINK("https://app.hubspot.com/contacts/8748051/record/0-1/1045001", 1045001)</f>
        <v>1045001</v>
      </c>
      <c r="B726" s="24" t="s">
        <v>4825</v>
      </c>
      <c r="C726" s="34"/>
      <c r="D726" s="24" t="s">
        <v>4826</v>
      </c>
      <c r="E726" s="28" t="s">
        <v>4827</v>
      </c>
      <c r="F726" s="34"/>
      <c r="G726" s="35">
        <v>45468.0</v>
      </c>
      <c r="H726" s="34"/>
      <c r="I726" s="34"/>
      <c r="J726" s="34"/>
      <c r="K726" s="34"/>
      <c r="L726" s="34"/>
      <c r="M726" s="33">
        <f>HYPERLINK("https://app.hubspot.com/contacts/8748051/record/0-2/8929779879", 8929779879)</f>
        <v>8929779879</v>
      </c>
      <c r="N726" s="24" t="s">
        <v>4828</v>
      </c>
      <c r="O726" s="34"/>
      <c r="P726" s="34"/>
      <c r="Q726" s="34"/>
      <c r="R726" s="34"/>
      <c r="S726" s="34"/>
      <c r="T726" s="34" t="str">
        <f t="shared" ref="T726:V726" si="731">IF(G726&lt;&gt;"","Yes","")</f>
        <v>Yes</v>
      </c>
      <c r="U726" s="34" t="str">
        <f t="shared" si="731"/>
        <v/>
      </c>
      <c r="V726" s="34" t="str">
        <f t="shared" si="731"/>
        <v/>
      </c>
      <c r="W726" s="34" t="str">
        <f t="shared" si="3"/>
        <v/>
      </c>
      <c r="X726" s="24" t="str">
        <f t="shared" si="4"/>
        <v/>
      </c>
    </row>
    <row r="727" ht="14.25" customHeight="1">
      <c r="A727" s="33">
        <f>HYPERLINK("https://app.hubspot.com/contacts/8748051/record/0-1/1082001", 1082001)</f>
        <v>1082001</v>
      </c>
      <c r="B727" s="24" t="s">
        <v>4829</v>
      </c>
      <c r="C727" s="34"/>
      <c r="D727" s="24" t="s">
        <v>4830</v>
      </c>
      <c r="E727" s="28" t="s">
        <v>957</v>
      </c>
      <c r="F727" s="34"/>
      <c r="G727" s="35">
        <v>45372.0</v>
      </c>
      <c r="H727" s="35">
        <v>45379.0</v>
      </c>
      <c r="I727" s="35">
        <v>45379.0</v>
      </c>
      <c r="J727" s="34"/>
      <c r="K727" s="34"/>
      <c r="L727" s="34"/>
      <c r="M727" s="33">
        <f>HYPERLINK("https://app.hubspot.com/contacts/8748051/record/0-2/9284099377", 9284099377)</f>
        <v>9284099377</v>
      </c>
      <c r="N727" s="24" t="s">
        <v>956</v>
      </c>
      <c r="O727" s="33">
        <f>HYPERLINK("https://app.hubspot.com/contacts/8748051/record/0-3/18259577383", 18259577383)</f>
        <v>18259577383</v>
      </c>
      <c r="P727" s="24" t="s">
        <v>954</v>
      </c>
      <c r="Q727" s="24" t="s">
        <v>73</v>
      </c>
      <c r="R727" s="24">
        <v>36480.0</v>
      </c>
      <c r="S727" s="34"/>
      <c r="T727" s="34" t="str">
        <f t="shared" ref="T727:V727" si="732">IF(G727&lt;&gt;"","Yes","")</f>
        <v>Yes</v>
      </c>
      <c r="U727" s="34" t="str">
        <f t="shared" si="732"/>
        <v>Yes</v>
      </c>
      <c r="V727" s="34" t="str">
        <f t="shared" si="732"/>
        <v>Yes</v>
      </c>
      <c r="W727" s="34" t="str">
        <f t="shared" si="3"/>
        <v/>
      </c>
      <c r="X727" s="24" t="str">
        <f t="shared" si="4"/>
        <v/>
      </c>
    </row>
    <row r="728" ht="14.25" customHeight="1">
      <c r="A728" s="33">
        <f>HYPERLINK("https://app.hubspot.com/contacts/8748051/record/0-1/1091401", 1091401)</f>
        <v>1091401</v>
      </c>
      <c r="B728" s="24" t="s">
        <v>4831</v>
      </c>
      <c r="C728" s="34"/>
      <c r="D728" s="24" t="s">
        <v>4832</v>
      </c>
      <c r="E728" s="28" t="s">
        <v>2190</v>
      </c>
      <c r="F728" s="34"/>
      <c r="G728" s="35">
        <v>45343.0</v>
      </c>
      <c r="H728" s="34"/>
      <c r="I728" s="34"/>
      <c r="J728" s="34"/>
      <c r="K728" s="34"/>
      <c r="L728" s="34"/>
      <c r="M728" s="33">
        <f>HYPERLINK("https://app.hubspot.com/contacts/8748051/record/0-2/9559255442", 9559255442)</f>
        <v>9559255442</v>
      </c>
      <c r="N728" s="24" t="s">
        <v>2189</v>
      </c>
      <c r="O728" s="33">
        <f>HYPERLINK("https://app.hubspot.com/contacts/8748051/record/0-3/17654781232", 17654781232)</f>
        <v>17654781232</v>
      </c>
      <c r="P728" s="24" t="s">
        <v>2188</v>
      </c>
      <c r="Q728" s="24" t="s">
        <v>73</v>
      </c>
      <c r="R728" s="24">
        <v>14640.0</v>
      </c>
      <c r="S728" s="34"/>
      <c r="T728" s="34" t="str">
        <f t="shared" ref="T728:V728" si="733">IF(G728&lt;&gt;"","Yes","")</f>
        <v>Yes</v>
      </c>
      <c r="U728" s="34" t="str">
        <f t="shared" si="733"/>
        <v/>
      </c>
      <c r="V728" s="34" t="str">
        <f t="shared" si="733"/>
        <v/>
      </c>
      <c r="W728" s="34" t="str">
        <f t="shared" si="3"/>
        <v/>
      </c>
      <c r="X728" s="24" t="str">
        <f t="shared" si="4"/>
        <v/>
      </c>
    </row>
    <row r="729" ht="14.25" customHeight="1">
      <c r="A729" s="33">
        <f>HYPERLINK("https://app.hubspot.com/contacts/8748051/record/0-1/1124701", 1124701)</f>
        <v>1124701</v>
      </c>
      <c r="B729" s="24" t="s">
        <v>4833</v>
      </c>
      <c r="C729" s="34"/>
      <c r="D729" s="24" t="s">
        <v>4834</v>
      </c>
      <c r="E729" s="28" t="s">
        <v>1839</v>
      </c>
      <c r="F729" s="34"/>
      <c r="G729" s="35">
        <v>45386.0</v>
      </c>
      <c r="H729" s="35">
        <v>45412.0</v>
      </c>
      <c r="I729" s="35">
        <v>45412.0</v>
      </c>
      <c r="J729" s="34"/>
      <c r="K729" s="34"/>
      <c r="L729" s="34"/>
      <c r="M729" s="33">
        <f>HYPERLINK("https://app.hubspot.com/contacts/8748051/record/0-2/7242660753", 7242660753)</f>
        <v>7242660753</v>
      </c>
      <c r="N729" s="24" t="s">
        <v>1838</v>
      </c>
      <c r="O729" s="33">
        <f>HYPERLINK("https://app.hubspot.com/contacts/8748051/record/0-3/18877324962", 18877324962)</f>
        <v>18877324962</v>
      </c>
      <c r="P729" s="24" t="s">
        <v>1837</v>
      </c>
      <c r="Q729" s="24" t="s">
        <v>73</v>
      </c>
      <c r="R729" s="24">
        <v>18000.0</v>
      </c>
      <c r="S729" s="24" t="b">
        <v>1</v>
      </c>
      <c r="T729" s="34" t="str">
        <f t="shared" ref="T729:V729" si="734">IF(G729&lt;&gt;"","Yes","")</f>
        <v>Yes</v>
      </c>
      <c r="U729" s="34" t="str">
        <f t="shared" si="734"/>
        <v>Yes</v>
      </c>
      <c r="V729" s="34" t="str">
        <f t="shared" si="734"/>
        <v>Yes</v>
      </c>
      <c r="W729" s="34" t="str">
        <f t="shared" si="3"/>
        <v/>
      </c>
      <c r="X729" s="24" t="str">
        <f t="shared" si="4"/>
        <v/>
      </c>
    </row>
    <row r="730" ht="14.25" customHeight="1">
      <c r="A730" s="33">
        <f>HYPERLINK("https://app.hubspot.com/contacts/8748051/record/0-1/1125601", 1125601)</f>
        <v>1125601</v>
      </c>
      <c r="B730" s="24" t="s">
        <v>4835</v>
      </c>
      <c r="C730" s="34"/>
      <c r="D730" s="24" t="s">
        <v>4836</v>
      </c>
      <c r="E730" s="28" t="s">
        <v>4837</v>
      </c>
      <c r="F730" s="34"/>
      <c r="G730" s="35">
        <v>45464.0</v>
      </c>
      <c r="H730" s="34"/>
      <c r="I730" s="34"/>
      <c r="J730" s="34"/>
      <c r="K730" s="34"/>
      <c r="L730" s="34"/>
      <c r="M730" s="33">
        <f>HYPERLINK("https://app.hubspot.com/contacts/8748051/record/0-2/9228056178", 9228056178)</f>
        <v>9228056178</v>
      </c>
      <c r="N730" s="24" t="s">
        <v>4838</v>
      </c>
      <c r="O730" s="34"/>
      <c r="P730" s="34"/>
      <c r="Q730" s="34"/>
      <c r="R730" s="34"/>
      <c r="S730" s="34"/>
      <c r="T730" s="34" t="str">
        <f t="shared" ref="T730:V730" si="735">IF(G730&lt;&gt;"","Yes","")</f>
        <v>Yes</v>
      </c>
      <c r="U730" s="34" t="str">
        <f t="shared" si="735"/>
        <v/>
      </c>
      <c r="V730" s="34" t="str">
        <f t="shared" si="735"/>
        <v/>
      </c>
      <c r="W730" s="34" t="str">
        <f t="shared" si="3"/>
        <v/>
      </c>
      <c r="X730" s="24" t="str">
        <f t="shared" si="4"/>
        <v/>
      </c>
    </row>
    <row r="731" ht="14.25" customHeight="1">
      <c r="A731" s="33">
        <f>HYPERLINK("https://app.hubspot.com/contacts/8748051/record/0-1/1170901", 1170901)</f>
        <v>1170901</v>
      </c>
      <c r="B731" s="24" t="s">
        <v>4839</v>
      </c>
      <c r="C731" s="34"/>
      <c r="D731" s="24" t="s">
        <v>4840</v>
      </c>
      <c r="E731" s="28" t="s">
        <v>4841</v>
      </c>
      <c r="F731" s="34"/>
      <c r="G731" s="35">
        <v>45332.0</v>
      </c>
      <c r="H731" s="34"/>
      <c r="I731" s="34"/>
      <c r="J731" s="34"/>
      <c r="K731" s="34"/>
      <c r="L731" s="34"/>
      <c r="M731" s="33">
        <f>HYPERLINK("https://app.hubspot.com/contacts/8748051/record/0-2/8003084728", 8003084728)</f>
        <v>8003084728</v>
      </c>
      <c r="N731" s="24" t="s">
        <v>4842</v>
      </c>
      <c r="O731" s="34"/>
      <c r="P731" s="34"/>
      <c r="Q731" s="34"/>
      <c r="R731" s="34"/>
      <c r="S731" s="34"/>
      <c r="T731" s="34" t="str">
        <f t="shared" ref="T731:V731" si="736">IF(G731&lt;&gt;"","Yes","")</f>
        <v>Yes</v>
      </c>
      <c r="U731" s="34" t="str">
        <f t="shared" si="736"/>
        <v/>
      </c>
      <c r="V731" s="34" t="str">
        <f t="shared" si="736"/>
        <v/>
      </c>
      <c r="W731" s="34" t="str">
        <f t="shared" si="3"/>
        <v/>
      </c>
      <c r="X731" s="24" t="str">
        <f t="shared" si="4"/>
        <v/>
      </c>
    </row>
    <row r="732" ht="14.25" customHeight="1">
      <c r="A732" s="33">
        <f>HYPERLINK("https://app.hubspot.com/contacts/8748051/record/0-1/1176951", 1176951)</f>
        <v>1176951</v>
      </c>
      <c r="B732" s="24" t="s">
        <v>4843</v>
      </c>
      <c r="C732" s="34"/>
      <c r="D732" s="24" t="s">
        <v>4844</v>
      </c>
      <c r="E732" s="28" t="s">
        <v>4845</v>
      </c>
      <c r="F732" s="34"/>
      <c r="G732" s="34"/>
      <c r="H732" s="34"/>
      <c r="I732" s="34"/>
      <c r="J732" s="34"/>
      <c r="K732" s="34"/>
      <c r="L732" s="34"/>
      <c r="M732" s="33">
        <f>HYPERLINK("https://app.hubspot.com/contacts/8748051/record/0-2/9597226850", 9597226850)</f>
        <v>9597226850</v>
      </c>
      <c r="N732" s="24" t="s">
        <v>4846</v>
      </c>
      <c r="O732" s="34"/>
      <c r="P732" s="34"/>
      <c r="Q732" s="34"/>
      <c r="R732" s="34"/>
      <c r="S732" s="34"/>
      <c r="T732" s="34" t="str">
        <f t="shared" ref="T732:V732" si="737">IF(G732&lt;&gt;"","Yes","")</f>
        <v/>
      </c>
      <c r="U732" s="34" t="str">
        <f t="shared" si="737"/>
        <v/>
      </c>
      <c r="V732" s="34" t="str">
        <f t="shared" si="737"/>
        <v/>
      </c>
      <c r="W732" s="34" t="str">
        <f t="shared" si="3"/>
        <v/>
      </c>
      <c r="X732" s="24" t="str">
        <f t="shared" si="4"/>
        <v/>
      </c>
    </row>
    <row r="733" ht="14.25" customHeight="1">
      <c r="A733" s="33">
        <f>HYPERLINK("https://app.hubspot.com/contacts/8748051/record/0-1/1193351", 1193351)</f>
        <v>1193351</v>
      </c>
      <c r="B733" s="24" t="s">
        <v>4847</v>
      </c>
      <c r="C733" s="34"/>
      <c r="D733" s="24" t="s">
        <v>4848</v>
      </c>
      <c r="E733" s="28" t="s">
        <v>4849</v>
      </c>
      <c r="F733" s="34"/>
      <c r="G733" s="35">
        <v>45315.0</v>
      </c>
      <c r="H733" s="34"/>
      <c r="I733" s="34"/>
      <c r="J733" s="34"/>
      <c r="K733" s="34"/>
      <c r="L733" s="34"/>
      <c r="M733" s="33">
        <f>HYPERLINK("https://app.hubspot.com/contacts/8748051/record/0-2/6816569490", 6816569490)</f>
        <v>6816569490</v>
      </c>
      <c r="N733" s="24" t="s">
        <v>4850</v>
      </c>
      <c r="O733" s="34"/>
      <c r="P733" s="34"/>
      <c r="Q733" s="34"/>
      <c r="R733" s="34"/>
      <c r="S733" s="34"/>
      <c r="T733" s="34" t="str">
        <f t="shared" ref="T733:V733" si="738">IF(G733&lt;&gt;"","Yes","")</f>
        <v>Yes</v>
      </c>
      <c r="U733" s="34" t="str">
        <f t="shared" si="738"/>
        <v/>
      </c>
      <c r="V733" s="34" t="str">
        <f t="shared" si="738"/>
        <v/>
      </c>
      <c r="W733" s="34" t="str">
        <f t="shared" si="3"/>
        <v/>
      </c>
      <c r="X733" s="24" t="str">
        <f t="shared" si="4"/>
        <v/>
      </c>
    </row>
    <row r="734" ht="14.25" customHeight="1">
      <c r="A734" s="33">
        <f>HYPERLINK("https://app.hubspot.com/contacts/8748051/record/0-1/1199101", 1199101)</f>
        <v>1199101</v>
      </c>
      <c r="B734" s="24" t="s">
        <v>4851</v>
      </c>
      <c r="C734" s="34"/>
      <c r="D734" s="24" t="s">
        <v>4852</v>
      </c>
      <c r="E734" s="28" t="s">
        <v>4853</v>
      </c>
      <c r="F734" s="34"/>
      <c r="G734" s="35">
        <v>45446.0</v>
      </c>
      <c r="H734" s="34"/>
      <c r="I734" s="34"/>
      <c r="J734" s="34"/>
      <c r="K734" s="34"/>
      <c r="L734" s="34"/>
      <c r="M734" s="33">
        <f>HYPERLINK("https://app.hubspot.com/contacts/8748051/record/0-2/9238395416", 9238395416)</f>
        <v>9238395416</v>
      </c>
      <c r="N734" s="24" t="s">
        <v>4854</v>
      </c>
      <c r="O734" s="34"/>
      <c r="P734" s="34"/>
      <c r="Q734" s="34"/>
      <c r="R734" s="34"/>
      <c r="S734" s="34"/>
      <c r="T734" s="34" t="str">
        <f t="shared" ref="T734:V734" si="739">IF(G734&lt;&gt;"","Yes","")</f>
        <v>Yes</v>
      </c>
      <c r="U734" s="34" t="str">
        <f t="shared" si="739"/>
        <v/>
      </c>
      <c r="V734" s="34" t="str">
        <f t="shared" si="739"/>
        <v/>
      </c>
      <c r="W734" s="34" t="str">
        <f t="shared" si="3"/>
        <v/>
      </c>
      <c r="X734" s="24" t="str">
        <f t="shared" si="4"/>
        <v/>
      </c>
    </row>
    <row r="735" ht="14.25" customHeight="1">
      <c r="A735" s="33">
        <f>HYPERLINK("https://app.hubspot.com/contacts/8748051/record/0-1/1216302", 1216302)</f>
        <v>1216302</v>
      </c>
      <c r="B735" s="24" t="s">
        <v>4855</v>
      </c>
      <c r="C735" s="34"/>
      <c r="D735" s="24" t="s">
        <v>4856</v>
      </c>
      <c r="E735" s="28" t="s">
        <v>4857</v>
      </c>
      <c r="F735" s="34"/>
      <c r="G735" s="35">
        <v>45325.0</v>
      </c>
      <c r="H735" s="34"/>
      <c r="I735" s="34"/>
      <c r="J735" s="34"/>
      <c r="K735" s="34"/>
      <c r="L735" s="34"/>
      <c r="M735" s="33">
        <f>HYPERLINK("https://app.hubspot.com/contacts/8748051/record/0-2/9406191177", 9406191177)</f>
        <v>9406191177</v>
      </c>
      <c r="N735" s="24" t="s">
        <v>4858</v>
      </c>
      <c r="O735" s="34"/>
      <c r="P735" s="34"/>
      <c r="Q735" s="34"/>
      <c r="R735" s="34"/>
      <c r="S735" s="34"/>
      <c r="T735" s="34" t="str">
        <f t="shared" ref="T735:V735" si="740">IF(G735&lt;&gt;"","Yes","")</f>
        <v>Yes</v>
      </c>
      <c r="U735" s="34" t="str">
        <f t="shared" si="740"/>
        <v/>
      </c>
      <c r="V735" s="34" t="str">
        <f t="shared" si="740"/>
        <v/>
      </c>
      <c r="W735" s="34" t="str">
        <f t="shared" si="3"/>
        <v/>
      </c>
      <c r="X735" s="24" t="str">
        <f t="shared" si="4"/>
        <v/>
      </c>
    </row>
    <row r="736" ht="14.25" customHeight="1">
      <c r="A736" s="33">
        <f>HYPERLINK("https://app.hubspot.com/contacts/8748051/record/0-1/1254951", 1254951)</f>
        <v>1254951</v>
      </c>
      <c r="B736" s="24" t="s">
        <v>4859</v>
      </c>
      <c r="C736" s="34"/>
      <c r="D736" s="24" t="s">
        <v>4860</v>
      </c>
      <c r="E736" s="28" t="s">
        <v>957</v>
      </c>
      <c r="F736" s="34"/>
      <c r="G736" s="35">
        <v>45265.0</v>
      </c>
      <c r="H736" s="34"/>
      <c r="I736" s="34"/>
      <c r="J736" s="34"/>
      <c r="K736" s="34"/>
      <c r="L736" s="34"/>
      <c r="M736" s="33">
        <f>HYPERLINK("https://app.hubspot.com/contacts/8748051/record/0-2/9284099377", 9284099377)</f>
        <v>9284099377</v>
      </c>
      <c r="N736" s="24" t="s">
        <v>956</v>
      </c>
      <c r="O736" s="34"/>
      <c r="P736" s="34"/>
      <c r="Q736" s="34"/>
      <c r="R736" s="34"/>
      <c r="S736" s="34"/>
      <c r="T736" s="34" t="str">
        <f t="shared" ref="T736:V736" si="741">IF(G736&lt;&gt;"","Yes","")</f>
        <v>Yes</v>
      </c>
      <c r="U736" s="34" t="str">
        <f t="shared" si="741"/>
        <v/>
      </c>
      <c r="V736" s="34" t="str">
        <f t="shared" si="741"/>
        <v/>
      </c>
      <c r="W736" s="34" t="str">
        <f t="shared" si="3"/>
        <v/>
      </c>
      <c r="X736" s="24" t="str">
        <f t="shared" si="4"/>
        <v/>
      </c>
    </row>
    <row r="737" ht="14.25" customHeight="1">
      <c r="A737" s="33">
        <f>HYPERLINK("https://app.hubspot.com/contacts/8748051/record/0-1/1268101", 1268101)</f>
        <v>1268101</v>
      </c>
      <c r="B737" s="24" t="s">
        <v>4861</v>
      </c>
      <c r="C737" s="34"/>
      <c r="D737" s="24" t="s">
        <v>4862</v>
      </c>
      <c r="E737" s="28" t="s">
        <v>4863</v>
      </c>
      <c r="F737" s="34"/>
      <c r="G737" s="35">
        <v>45270.0</v>
      </c>
      <c r="H737" s="34"/>
      <c r="I737" s="34"/>
      <c r="J737" s="34"/>
      <c r="K737" s="34"/>
      <c r="L737" s="34"/>
      <c r="M737" s="33">
        <f>HYPERLINK("https://app.hubspot.com/contacts/8748051/record/0-2/8872939605", 8872939605)</f>
        <v>8872939605</v>
      </c>
      <c r="N737" s="24" t="s">
        <v>4864</v>
      </c>
      <c r="O737" s="34"/>
      <c r="P737" s="34"/>
      <c r="Q737" s="34"/>
      <c r="R737" s="34"/>
      <c r="S737" s="34"/>
      <c r="T737" s="34" t="str">
        <f t="shared" ref="T737:V737" si="742">IF(G737&lt;&gt;"","Yes","")</f>
        <v>Yes</v>
      </c>
      <c r="U737" s="34" t="str">
        <f t="shared" si="742"/>
        <v/>
      </c>
      <c r="V737" s="34" t="str">
        <f t="shared" si="742"/>
        <v/>
      </c>
      <c r="W737" s="34" t="str">
        <f t="shared" si="3"/>
        <v/>
      </c>
      <c r="X737" s="24" t="str">
        <f t="shared" si="4"/>
        <v/>
      </c>
    </row>
    <row r="738" ht="14.25" customHeight="1">
      <c r="A738" s="33">
        <f>HYPERLINK("https://app.hubspot.com/contacts/8748051/record/0-1/1309651", 1309651)</f>
        <v>1309651</v>
      </c>
      <c r="B738" s="24" t="s">
        <v>4865</v>
      </c>
      <c r="C738" s="34"/>
      <c r="D738" s="24" t="s">
        <v>4866</v>
      </c>
      <c r="E738" s="28" t="s">
        <v>4867</v>
      </c>
      <c r="F738" s="34"/>
      <c r="G738" s="35">
        <v>45455.0</v>
      </c>
      <c r="H738" s="34"/>
      <c r="I738" s="34"/>
      <c r="J738" s="34"/>
      <c r="K738" s="34"/>
      <c r="L738" s="34"/>
      <c r="M738" s="33">
        <f>HYPERLINK("https://app.hubspot.com/contacts/8748051/record/0-2/9186382509", 9186382509)</f>
        <v>9186382509</v>
      </c>
      <c r="N738" s="24" t="s">
        <v>4868</v>
      </c>
      <c r="O738" s="34"/>
      <c r="P738" s="34"/>
      <c r="Q738" s="34"/>
      <c r="R738" s="34"/>
      <c r="S738" s="34"/>
      <c r="T738" s="34" t="str">
        <f t="shared" ref="T738:V738" si="743">IF(G738&lt;&gt;"","Yes","")</f>
        <v>Yes</v>
      </c>
      <c r="U738" s="34" t="str">
        <f t="shared" si="743"/>
        <v/>
      </c>
      <c r="V738" s="34" t="str">
        <f t="shared" si="743"/>
        <v/>
      </c>
      <c r="W738" s="34" t="str">
        <f t="shared" si="3"/>
        <v/>
      </c>
      <c r="X738" s="24" t="str">
        <f t="shared" si="4"/>
        <v/>
      </c>
    </row>
    <row r="739" ht="14.25" customHeight="1">
      <c r="A739" s="33">
        <f>HYPERLINK("https://app.hubspot.com/contacts/8748051/record/0-1/1332354", 1332354)</f>
        <v>1332354</v>
      </c>
      <c r="B739" s="24" t="s">
        <v>4869</v>
      </c>
      <c r="C739" s="34"/>
      <c r="D739" s="24" t="s">
        <v>4870</v>
      </c>
      <c r="E739" s="28" t="s">
        <v>909</v>
      </c>
      <c r="F739" s="34"/>
      <c r="G739" s="35">
        <v>45446.0</v>
      </c>
      <c r="H739" s="34"/>
      <c r="I739" s="34"/>
      <c r="J739" s="34"/>
      <c r="K739" s="34"/>
      <c r="L739" s="34"/>
      <c r="M739" s="33">
        <f>HYPERLINK("https://app.hubspot.com/contacts/8748051/record/0-2/7686762401", 7686762401)</f>
        <v>7686762401</v>
      </c>
      <c r="N739" s="24" t="s">
        <v>908</v>
      </c>
      <c r="O739" s="34"/>
      <c r="P739" s="34"/>
      <c r="Q739" s="34"/>
      <c r="R739" s="34"/>
      <c r="S739" s="34"/>
      <c r="T739" s="34" t="str">
        <f t="shared" ref="T739:V739" si="744">IF(G739&lt;&gt;"","Yes","")</f>
        <v>Yes</v>
      </c>
      <c r="U739" s="34" t="str">
        <f t="shared" si="744"/>
        <v/>
      </c>
      <c r="V739" s="34" t="str">
        <f t="shared" si="744"/>
        <v/>
      </c>
      <c r="W739" s="34" t="str">
        <f t="shared" si="3"/>
        <v/>
      </c>
      <c r="X739" s="24" t="str">
        <f t="shared" si="4"/>
        <v/>
      </c>
    </row>
    <row r="740" ht="14.25" customHeight="1">
      <c r="A740" s="33">
        <f>HYPERLINK("https://app.hubspot.com/contacts/8748051/record/0-1/1342951", 1342951)</f>
        <v>1342951</v>
      </c>
      <c r="B740" s="24" t="s">
        <v>4871</v>
      </c>
      <c r="C740" s="34"/>
      <c r="D740" s="24" t="s">
        <v>4872</v>
      </c>
      <c r="E740" s="28" t="s">
        <v>2021</v>
      </c>
      <c r="F740" s="34"/>
      <c r="G740" s="35">
        <v>45375.0</v>
      </c>
      <c r="H740" s="34"/>
      <c r="I740" s="34"/>
      <c r="J740" s="34"/>
      <c r="K740" s="34"/>
      <c r="L740" s="34"/>
      <c r="M740" s="33">
        <f>HYPERLINK("https://app.hubspot.com/contacts/8748051/record/0-2/9132261741", 9132261741)</f>
        <v>9132261741</v>
      </c>
      <c r="N740" s="24" t="s">
        <v>2020</v>
      </c>
      <c r="O740" s="33">
        <f>HYPERLINK("https://app.hubspot.com/contacts/8748051/record/0-3/18225666131", 18225666131)</f>
        <v>18225666131</v>
      </c>
      <c r="P740" s="24" t="s">
        <v>2019</v>
      </c>
      <c r="Q740" s="24" t="s">
        <v>73</v>
      </c>
      <c r="R740" s="24">
        <v>20640.0</v>
      </c>
      <c r="S740" s="34"/>
      <c r="T740" s="34" t="str">
        <f t="shared" ref="T740:V740" si="745">IF(G740&lt;&gt;"","Yes","")</f>
        <v>Yes</v>
      </c>
      <c r="U740" s="34" t="str">
        <f t="shared" si="745"/>
        <v/>
      </c>
      <c r="V740" s="34" t="str">
        <f t="shared" si="745"/>
        <v/>
      </c>
      <c r="W740" s="34" t="str">
        <f t="shared" si="3"/>
        <v/>
      </c>
      <c r="X740" s="24" t="str">
        <f t="shared" si="4"/>
        <v/>
      </c>
    </row>
    <row r="741" ht="14.25" customHeight="1">
      <c r="A741" s="33">
        <f>HYPERLINK("https://app.hubspot.com/contacts/8748051/record/0-1/1386501", 1386501)</f>
        <v>1386501</v>
      </c>
      <c r="B741" s="24" t="s">
        <v>4873</v>
      </c>
      <c r="C741" s="34"/>
      <c r="D741" s="24" t="s">
        <v>4874</v>
      </c>
      <c r="E741" s="28" t="s">
        <v>4875</v>
      </c>
      <c r="F741" s="34"/>
      <c r="G741" s="35">
        <v>45405.0</v>
      </c>
      <c r="H741" s="34"/>
      <c r="I741" s="34"/>
      <c r="J741" s="34"/>
      <c r="K741" s="34"/>
      <c r="L741" s="34"/>
      <c r="M741" s="33">
        <f>HYPERLINK("https://app.hubspot.com/contacts/8748051/record/0-2/9186943101", 9186943101)</f>
        <v>9186943101</v>
      </c>
      <c r="N741" s="24" t="s">
        <v>4876</v>
      </c>
      <c r="O741" s="34"/>
      <c r="P741" s="34"/>
      <c r="Q741" s="34"/>
      <c r="R741" s="34"/>
      <c r="S741" s="34"/>
      <c r="T741" s="34" t="str">
        <f t="shared" ref="T741:V741" si="746">IF(G741&lt;&gt;"","Yes","")</f>
        <v>Yes</v>
      </c>
      <c r="U741" s="34" t="str">
        <f t="shared" si="746"/>
        <v/>
      </c>
      <c r="V741" s="34" t="str">
        <f t="shared" si="746"/>
        <v/>
      </c>
      <c r="W741" s="34" t="str">
        <f t="shared" si="3"/>
        <v/>
      </c>
      <c r="X741" s="24" t="str">
        <f t="shared" si="4"/>
        <v/>
      </c>
    </row>
    <row r="742" ht="14.25" customHeight="1">
      <c r="A742" s="33">
        <f>HYPERLINK("https://app.hubspot.com/contacts/8748051/record/0-1/1400654", 1400654)</f>
        <v>1400654</v>
      </c>
      <c r="B742" s="24" t="s">
        <v>4877</v>
      </c>
      <c r="C742" s="34"/>
      <c r="D742" s="24" t="s">
        <v>4878</v>
      </c>
      <c r="E742" s="28" t="s">
        <v>1335</v>
      </c>
      <c r="F742" s="34"/>
      <c r="G742" s="34"/>
      <c r="H742" s="34"/>
      <c r="I742" s="34"/>
      <c r="J742" s="34"/>
      <c r="K742" s="34"/>
      <c r="L742" s="34"/>
      <c r="M742" s="33">
        <f>HYPERLINK("https://app.hubspot.com/contacts/8748051/record/0-2/9427315969", 9427315969)</f>
        <v>9427315969</v>
      </c>
      <c r="N742" s="24" t="s">
        <v>1334</v>
      </c>
      <c r="O742" s="34"/>
      <c r="P742" s="34"/>
      <c r="Q742" s="34"/>
      <c r="R742" s="34"/>
      <c r="S742" s="34"/>
      <c r="T742" s="34" t="str">
        <f t="shared" ref="T742:V742" si="747">IF(G742&lt;&gt;"","Yes","")</f>
        <v/>
      </c>
      <c r="U742" s="34" t="str">
        <f t="shared" si="747"/>
        <v/>
      </c>
      <c r="V742" s="34" t="str">
        <f t="shared" si="747"/>
        <v/>
      </c>
      <c r="W742" s="34" t="str">
        <f t="shared" si="3"/>
        <v/>
      </c>
      <c r="X742" s="24" t="str">
        <f t="shared" si="4"/>
        <v/>
      </c>
    </row>
    <row r="743" ht="14.25" customHeight="1">
      <c r="A743" s="33">
        <f>HYPERLINK("https://app.hubspot.com/contacts/8748051/record/0-1/1402201", 1402201)</f>
        <v>1402201</v>
      </c>
      <c r="B743" s="24" t="s">
        <v>4879</v>
      </c>
      <c r="C743" s="34"/>
      <c r="D743" s="24" t="s">
        <v>4880</v>
      </c>
      <c r="E743" s="28" t="s">
        <v>4881</v>
      </c>
      <c r="F743" s="34"/>
      <c r="G743" s="35">
        <v>45467.0</v>
      </c>
      <c r="H743" s="34"/>
      <c r="I743" s="34"/>
      <c r="J743" s="34"/>
      <c r="K743" s="34"/>
      <c r="L743" s="34"/>
      <c r="M743" s="33">
        <f>HYPERLINK("https://app.hubspot.com/contacts/8748051/record/0-2/9908922741", 9908922741)</f>
        <v>9908922741</v>
      </c>
      <c r="N743" s="24" t="s">
        <v>4882</v>
      </c>
      <c r="O743" s="34"/>
      <c r="P743" s="34"/>
      <c r="Q743" s="34"/>
      <c r="R743" s="34"/>
      <c r="S743" s="34"/>
      <c r="T743" s="34" t="str">
        <f t="shared" ref="T743:V743" si="748">IF(G743&lt;&gt;"","Yes","")</f>
        <v>Yes</v>
      </c>
      <c r="U743" s="34" t="str">
        <f t="shared" si="748"/>
        <v/>
      </c>
      <c r="V743" s="34" t="str">
        <f t="shared" si="748"/>
        <v/>
      </c>
      <c r="W743" s="34" t="str">
        <f t="shared" si="3"/>
        <v/>
      </c>
      <c r="X743" s="24" t="str">
        <f t="shared" si="4"/>
        <v/>
      </c>
    </row>
    <row r="744" ht="14.25" customHeight="1">
      <c r="A744" s="33">
        <f>HYPERLINK("https://app.hubspot.com/contacts/8748051/record/0-1/1409101", 1409101)</f>
        <v>1409101</v>
      </c>
      <c r="B744" s="24" t="s">
        <v>4883</v>
      </c>
      <c r="C744" s="34"/>
      <c r="D744" s="24" t="s">
        <v>4884</v>
      </c>
      <c r="E744" s="28" t="s">
        <v>4885</v>
      </c>
      <c r="F744" s="34"/>
      <c r="G744" s="34"/>
      <c r="H744" s="34"/>
      <c r="I744" s="34"/>
      <c r="J744" s="34"/>
      <c r="K744" s="34"/>
      <c r="L744" s="34"/>
      <c r="M744" s="33">
        <f>HYPERLINK("https://app.hubspot.com/contacts/8748051/record/0-2/8142458175", 8142458175)</f>
        <v>8142458175</v>
      </c>
      <c r="N744" s="24" t="s">
        <v>4886</v>
      </c>
      <c r="O744" s="34"/>
      <c r="P744" s="34"/>
      <c r="Q744" s="34"/>
      <c r="R744" s="34"/>
      <c r="S744" s="34"/>
      <c r="T744" s="34" t="str">
        <f t="shared" ref="T744:V744" si="749">IF(G744&lt;&gt;"","Yes","")</f>
        <v/>
      </c>
      <c r="U744" s="34" t="str">
        <f t="shared" si="749"/>
        <v/>
      </c>
      <c r="V744" s="34" t="str">
        <f t="shared" si="749"/>
        <v/>
      </c>
      <c r="W744" s="34" t="str">
        <f t="shared" si="3"/>
        <v/>
      </c>
      <c r="X744" s="24" t="str">
        <f t="shared" si="4"/>
        <v/>
      </c>
    </row>
    <row r="745" ht="14.25" customHeight="1">
      <c r="A745" s="33">
        <f>HYPERLINK("https://app.hubspot.com/contacts/8748051/record/0-1/1415406", 1415406)</f>
        <v>1415406</v>
      </c>
      <c r="B745" s="24" t="s">
        <v>4887</v>
      </c>
      <c r="C745" s="34"/>
      <c r="D745" s="24" t="s">
        <v>4888</v>
      </c>
      <c r="E745" s="28" t="s">
        <v>4889</v>
      </c>
      <c r="F745" s="34"/>
      <c r="G745" s="35">
        <v>45355.0</v>
      </c>
      <c r="H745" s="34"/>
      <c r="I745" s="34"/>
      <c r="J745" s="34"/>
      <c r="K745" s="34"/>
      <c r="L745" s="34"/>
      <c r="M745" s="33">
        <f>HYPERLINK("https://app.hubspot.com/contacts/8748051/record/0-2/9187049778", 9187049778)</f>
        <v>9187049778</v>
      </c>
      <c r="N745" s="24" t="s">
        <v>4890</v>
      </c>
      <c r="O745" s="34"/>
      <c r="P745" s="34"/>
      <c r="Q745" s="34"/>
      <c r="R745" s="34"/>
      <c r="S745" s="34"/>
      <c r="T745" s="34" t="str">
        <f t="shared" ref="T745:V745" si="750">IF(G745&lt;&gt;"","Yes","")</f>
        <v>Yes</v>
      </c>
      <c r="U745" s="34" t="str">
        <f t="shared" si="750"/>
        <v/>
      </c>
      <c r="V745" s="34" t="str">
        <f t="shared" si="750"/>
        <v/>
      </c>
      <c r="W745" s="34" t="str">
        <f t="shared" si="3"/>
        <v/>
      </c>
      <c r="X745" s="24" t="str">
        <f t="shared" si="4"/>
        <v/>
      </c>
    </row>
    <row r="746" ht="14.25" customHeight="1">
      <c r="A746" s="33">
        <f>HYPERLINK("https://app.hubspot.com/contacts/8748051/record/0-1/1417103", 1417103)</f>
        <v>1417103</v>
      </c>
      <c r="B746" s="24" t="s">
        <v>4891</v>
      </c>
      <c r="C746" s="34"/>
      <c r="D746" s="24" t="s">
        <v>4892</v>
      </c>
      <c r="E746" s="28" t="s">
        <v>1754</v>
      </c>
      <c r="F746" s="34"/>
      <c r="G746" s="35">
        <v>45418.0</v>
      </c>
      <c r="H746" s="35">
        <v>45427.0</v>
      </c>
      <c r="I746" s="35">
        <v>45427.0</v>
      </c>
      <c r="J746" s="34"/>
      <c r="K746" s="34"/>
      <c r="L746" s="34"/>
      <c r="M746" s="33">
        <f>HYPERLINK("https://app.hubspot.com/contacts/8748051/record/0-2/19634895107", 19634895107)</f>
        <v>19634895107</v>
      </c>
      <c r="N746" s="24" t="s">
        <v>1753</v>
      </c>
      <c r="O746" s="33">
        <f>HYPERLINK("https://app.hubspot.com/contacts/8748051/record/0-3/19382542690", 19382542690)</f>
        <v>19382542690</v>
      </c>
      <c r="P746" s="24" t="s">
        <v>1751</v>
      </c>
      <c r="Q746" s="24" t="s">
        <v>149</v>
      </c>
      <c r="R746" s="24">
        <v>60000.0</v>
      </c>
      <c r="S746" s="24" t="b">
        <v>1</v>
      </c>
      <c r="T746" s="34" t="str">
        <f t="shared" ref="T746:V746" si="751">IF(G746&lt;&gt;"","Yes","")</f>
        <v>Yes</v>
      </c>
      <c r="U746" s="34" t="str">
        <f t="shared" si="751"/>
        <v>Yes</v>
      </c>
      <c r="V746" s="34" t="str">
        <f t="shared" si="751"/>
        <v>Yes</v>
      </c>
      <c r="W746" s="34" t="str">
        <f t="shared" si="3"/>
        <v/>
      </c>
      <c r="X746" s="24" t="str">
        <f t="shared" si="4"/>
        <v>Yes</v>
      </c>
    </row>
    <row r="747" ht="14.25" customHeight="1">
      <c r="A747" s="33">
        <f>HYPERLINK("https://app.hubspot.com/contacts/8748051/record/0-1/1420001", 1420001)</f>
        <v>1420001</v>
      </c>
      <c r="B747" s="24" t="s">
        <v>4893</v>
      </c>
      <c r="C747" s="34"/>
      <c r="D747" s="24" t="s">
        <v>4894</v>
      </c>
      <c r="E747" s="28" t="s">
        <v>4895</v>
      </c>
      <c r="F747" s="34"/>
      <c r="G747" s="35">
        <v>45303.0</v>
      </c>
      <c r="H747" s="34"/>
      <c r="I747" s="34"/>
      <c r="J747" s="34"/>
      <c r="K747" s="34"/>
      <c r="L747" s="34"/>
      <c r="M747" s="33">
        <f>HYPERLINK("https://app.hubspot.com/contacts/8748051/record/0-2/9572911722", 9572911722)</f>
        <v>9572911722</v>
      </c>
      <c r="N747" s="24" t="s">
        <v>4896</v>
      </c>
      <c r="O747" s="34"/>
      <c r="P747" s="34"/>
      <c r="Q747" s="34"/>
      <c r="R747" s="34"/>
      <c r="S747" s="34"/>
      <c r="T747" s="34" t="str">
        <f t="shared" ref="T747:V747" si="752">IF(G747&lt;&gt;"","Yes","")</f>
        <v>Yes</v>
      </c>
      <c r="U747" s="34" t="str">
        <f t="shared" si="752"/>
        <v/>
      </c>
      <c r="V747" s="34" t="str">
        <f t="shared" si="752"/>
        <v/>
      </c>
      <c r="W747" s="34" t="str">
        <f t="shared" si="3"/>
        <v/>
      </c>
      <c r="X747" s="24" t="str">
        <f t="shared" si="4"/>
        <v/>
      </c>
    </row>
    <row r="748" ht="14.25" customHeight="1">
      <c r="A748" s="33">
        <f>HYPERLINK("https://app.hubspot.com/contacts/8748051/record/0-1/1423501", 1423501)</f>
        <v>1423501</v>
      </c>
      <c r="B748" s="24" t="s">
        <v>4897</v>
      </c>
      <c r="C748" s="34"/>
      <c r="D748" s="24" t="s">
        <v>4898</v>
      </c>
      <c r="E748" s="28" t="s">
        <v>4899</v>
      </c>
      <c r="F748" s="34"/>
      <c r="G748" s="35">
        <v>45280.0</v>
      </c>
      <c r="H748" s="35">
        <v>45317.0</v>
      </c>
      <c r="I748" s="35">
        <v>45317.0</v>
      </c>
      <c r="J748" s="34"/>
      <c r="K748" s="34"/>
      <c r="L748" s="34"/>
      <c r="M748" s="33">
        <f>HYPERLINK("https://app.hubspot.com/contacts/8748051/record/0-2/8922960534", 8922960534)</f>
        <v>8922960534</v>
      </c>
      <c r="N748" s="24" t="s">
        <v>4900</v>
      </c>
      <c r="O748" s="34"/>
      <c r="P748" s="34"/>
      <c r="Q748" s="34"/>
      <c r="R748" s="34"/>
      <c r="S748" s="34"/>
      <c r="T748" s="34" t="str">
        <f t="shared" ref="T748:V748" si="753">IF(G748&lt;&gt;"","Yes","")</f>
        <v>Yes</v>
      </c>
      <c r="U748" s="34" t="str">
        <f t="shared" si="753"/>
        <v>Yes</v>
      </c>
      <c r="V748" s="34" t="str">
        <f t="shared" si="753"/>
        <v>Yes</v>
      </c>
      <c r="W748" s="34" t="str">
        <f t="shared" si="3"/>
        <v/>
      </c>
      <c r="X748" s="24" t="str">
        <f t="shared" si="4"/>
        <v/>
      </c>
    </row>
    <row r="749" ht="14.25" customHeight="1">
      <c r="A749" s="33">
        <f>HYPERLINK("https://app.hubspot.com/contacts/8748051/record/0-1/1477455", 1477455)</f>
        <v>1477455</v>
      </c>
      <c r="B749" s="24" t="s">
        <v>4901</v>
      </c>
      <c r="C749" s="34"/>
      <c r="D749" s="24" t="s">
        <v>4902</v>
      </c>
      <c r="E749" s="28" t="s">
        <v>4903</v>
      </c>
      <c r="F749" s="34"/>
      <c r="G749" s="35">
        <v>45320.0</v>
      </c>
      <c r="H749" s="34"/>
      <c r="I749" s="34"/>
      <c r="J749" s="34"/>
      <c r="K749" s="34"/>
      <c r="L749" s="34"/>
      <c r="M749" s="33">
        <f>HYPERLINK("https://app.hubspot.com/contacts/8748051/record/0-2/7674369339", 7674369339)</f>
        <v>7674369339</v>
      </c>
      <c r="N749" s="24" t="s">
        <v>4904</v>
      </c>
      <c r="O749" s="34"/>
      <c r="P749" s="34"/>
      <c r="Q749" s="34"/>
      <c r="R749" s="34"/>
      <c r="S749" s="34"/>
      <c r="T749" s="34" t="str">
        <f t="shared" ref="T749:V749" si="754">IF(G749&lt;&gt;"","Yes","")</f>
        <v>Yes</v>
      </c>
      <c r="U749" s="34" t="str">
        <f t="shared" si="754"/>
        <v/>
      </c>
      <c r="V749" s="34" t="str">
        <f t="shared" si="754"/>
        <v/>
      </c>
      <c r="W749" s="34" t="str">
        <f t="shared" si="3"/>
        <v/>
      </c>
      <c r="X749" s="24" t="str">
        <f t="shared" si="4"/>
        <v/>
      </c>
    </row>
    <row r="750" ht="14.25" customHeight="1">
      <c r="A750" s="33">
        <f>HYPERLINK("https://app.hubspot.com/contacts/8748051/record/0-1/1478506", 1478506)</f>
        <v>1478506</v>
      </c>
      <c r="B750" s="24" t="s">
        <v>4905</v>
      </c>
      <c r="C750" s="34"/>
      <c r="D750" s="24" t="s">
        <v>4906</v>
      </c>
      <c r="E750" s="28" t="s">
        <v>1240</v>
      </c>
      <c r="F750" s="34"/>
      <c r="G750" s="35">
        <v>45728.0</v>
      </c>
      <c r="H750" s="35">
        <v>45730.0</v>
      </c>
      <c r="I750" s="35">
        <v>45730.0</v>
      </c>
      <c r="J750" s="34"/>
      <c r="K750" s="34"/>
      <c r="L750" s="34"/>
      <c r="M750" s="33">
        <f>HYPERLINK("https://app.hubspot.com/contacts/8748051/record/0-2/10198095893", 10198095893)</f>
        <v>10198095893</v>
      </c>
      <c r="N750" s="24" t="s">
        <v>1239</v>
      </c>
      <c r="O750" s="33">
        <f>HYPERLINK("https://app.hubspot.com/contacts/8748051/record/0-3/34575678733", 34575678733)</f>
        <v>34575678733</v>
      </c>
      <c r="P750" s="24" t="s">
        <v>1237</v>
      </c>
      <c r="Q750" s="24" t="s">
        <v>92</v>
      </c>
      <c r="R750" s="24">
        <v>50000.0</v>
      </c>
      <c r="S750" s="24" t="b">
        <v>1</v>
      </c>
      <c r="T750" s="34" t="str">
        <f t="shared" ref="T750:V750" si="755">IF(G750&lt;&gt;"","Yes","")</f>
        <v>Yes</v>
      </c>
      <c r="U750" s="34" t="str">
        <f t="shared" si="755"/>
        <v>Yes</v>
      </c>
      <c r="V750" s="34" t="str">
        <f t="shared" si="755"/>
        <v>Yes</v>
      </c>
      <c r="W750" s="34" t="str">
        <f t="shared" si="3"/>
        <v>Yes</v>
      </c>
      <c r="X750" s="24" t="str">
        <f t="shared" si="4"/>
        <v/>
      </c>
    </row>
    <row r="751" ht="14.25" customHeight="1">
      <c r="A751" s="33">
        <f>HYPERLINK("https://app.hubspot.com/contacts/8748051/record/0-1/1585251", 1585251)</f>
        <v>1585251</v>
      </c>
      <c r="B751" s="24" t="s">
        <v>4907</v>
      </c>
      <c r="C751" s="34"/>
      <c r="D751" s="24" t="s">
        <v>4908</v>
      </c>
      <c r="E751" s="28" t="s">
        <v>2193</v>
      </c>
      <c r="F751" s="34"/>
      <c r="G751" s="35">
        <v>45298.0</v>
      </c>
      <c r="H751" s="35">
        <v>45343.0</v>
      </c>
      <c r="I751" s="35">
        <v>45343.0</v>
      </c>
      <c r="J751" s="34"/>
      <c r="K751" s="34"/>
      <c r="L751" s="34"/>
      <c r="M751" s="33">
        <f>HYPERLINK("https://app.hubspot.com/contacts/8748051/record/0-2/7700289454", 7700289454)</f>
        <v>7700289454</v>
      </c>
      <c r="N751" s="24" t="s">
        <v>2192</v>
      </c>
      <c r="O751" s="33">
        <f>HYPERLINK("https://app.hubspot.com/contacts/8748051/record/0-3/17636004502", 17636004502)</f>
        <v>17636004502</v>
      </c>
      <c r="P751" s="24" t="s">
        <v>2191</v>
      </c>
      <c r="Q751" s="24" t="s">
        <v>73</v>
      </c>
      <c r="R751" s="24">
        <v>21600.0</v>
      </c>
      <c r="S751" s="34"/>
      <c r="T751" s="34" t="str">
        <f t="shared" ref="T751:V751" si="756">IF(G751&lt;&gt;"","Yes","")</f>
        <v>Yes</v>
      </c>
      <c r="U751" s="34" t="str">
        <f t="shared" si="756"/>
        <v>Yes</v>
      </c>
      <c r="V751" s="34" t="str">
        <f t="shared" si="756"/>
        <v>Yes</v>
      </c>
      <c r="W751" s="34" t="str">
        <f t="shared" si="3"/>
        <v/>
      </c>
      <c r="X751" s="24" t="str">
        <f t="shared" si="4"/>
        <v/>
      </c>
    </row>
    <row r="752" ht="14.25" customHeight="1">
      <c r="A752" s="33">
        <f>HYPERLINK("https://app.hubspot.com/contacts/8748051/record/0-1/1637254", 1637254)</f>
        <v>1637254</v>
      </c>
      <c r="B752" s="24" t="s">
        <v>4909</v>
      </c>
      <c r="C752" s="34"/>
      <c r="D752" s="24" t="s">
        <v>4910</v>
      </c>
      <c r="E752" s="28" t="s">
        <v>2433</v>
      </c>
      <c r="F752" s="34"/>
      <c r="G752" s="35">
        <v>45265.0</v>
      </c>
      <c r="H752" s="35">
        <v>45419.0</v>
      </c>
      <c r="I752" s="35">
        <v>45267.0</v>
      </c>
      <c r="J752" s="34"/>
      <c r="K752" s="34"/>
      <c r="L752" s="34"/>
      <c r="M752" s="33">
        <f>HYPERLINK("https://app.hubspot.com/contacts/8748051/record/0-2/8597343587", 8597343587)</f>
        <v>8597343587</v>
      </c>
      <c r="N752" s="24" t="s">
        <v>2432</v>
      </c>
      <c r="O752" s="33">
        <f>HYPERLINK("https://app.hubspot.com/contacts/8748051/record/0-3/16403447730", 16403447730)</f>
        <v>16403447730</v>
      </c>
      <c r="P752" s="24" t="s">
        <v>2431</v>
      </c>
      <c r="Q752" s="24" t="s">
        <v>73</v>
      </c>
      <c r="R752" s="24">
        <v>100000.0</v>
      </c>
      <c r="S752" s="34"/>
      <c r="T752" s="34" t="str">
        <f t="shared" ref="T752:V752" si="757">IF(G752&lt;&gt;"","Yes","")</f>
        <v>Yes</v>
      </c>
      <c r="U752" s="34" t="str">
        <f t="shared" si="757"/>
        <v>Yes</v>
      </c>
      <c r="V752" s="34" t="str">
        <f t="shared" si="757"/>
        <v>Yes</v>
      </c>
      <c r="W752" s="34" t="str">
        <f t="shared" si="3"/>
        <v/>
      </c>
      <c r="X752" s="24" t="str">
        <f t="shared" si="4"/>
        <v/>
      </c>
    </row>
    <row r="753" ht="14.25" customHeight="1">
      <c r="A753" s="33">
        <f>HYPERLINK("https://app.hubspot.com/contacts/8748051/record/0-1/1701051", 1701051)</f>
        <v>1701051</v>
      </c>
      <c r="B753" s="24" t="s">
        <v>4911</v>
      </c>
      <c r="C753" s="34"/>
      <c r="D753" s="24" t="s">
        <v>4912</v>
      </c>
      <c r="E753" s="28" t="s">
        <v>4913</v>
      </c>
      <c r="F753" s="34"/>
      <c r="G753" s="35">
        <v>45281.0</v>
      </c>
      <c r="H753" s="34"/>
      <c r="I753" s="34"/>
      <c r="J753" s="34"/>
      <c r="K753" s="34"/>
      <c r="L753" s="34"/>
      <c r="M753" s="33">
        <f>HYPERLINK("https://app.hubspot.com/contacts/8748051/record/0-2/8016932775", 8016932775)</f>
        <v>8016932775</v>
      </c>
      <c r="N753" s="24" t="s">
        <v>4914</v>
      </c>
      <c r="O753" s="34"/>
      <c r="P753" s="34"/>
      <c r="Q753" s="34"/>
      <c r="R753" s="34"/>
      <c r="S753" s="34"/>
      <c r="T753" s="34" t="str">
        <f t="shared" ref="T753:V753" si="758">IF(G753&lt;&gt;"","Yes","")</f>
        <v>Yes</v>
      </c>
      <c r="U753" s="34" t="str">
        <f t="shared" si="758"/>
        <v/>
      </c>
      <c r="V753" s="34" t="str">
        <f t="shared" si="758"/>
        <v/>
      </c>
      <c r="W753" s="34" t="str">
        <f t="shared" si="3"/>
        <v/>
      </c>
      <c r="X753" s="24" t="str">
        <f t="shared" si="4"/>
        <v/>
      </c>
    </row>
    <row r="754" ht="14.25" customHeight="1">
      <c r="A754" s="33">
        <f>HYPERLINK("https://app.hubspot.com/contacts/8748051/record/0-1/1701151", 1701151)</f>
        <v>1701151</v>
      </c>
      <c r="B754" s="24" t="s">
        <v>4915</v>
      </c>
      <c r="C754" s="34"/>
      <c r="D754" s="24" t="s">
        <v>4916</v>
      </c>
      <c r="E754" s="28" t="s">
        <v>4917</v>
      </c>
      <c r="F754" s="34"/>
      <c r="G754" s="35">
        <v>45267.0</v>
      </c>
      <c r="H754" s="34"/>
      <c r="I754" s="34"/>
      <c r="J754" s="34"/>
      <c r="K754" s="34"/>
      <c r="L754" s="34"/>
      <c r="M754" s="33">
        <f>HYPERLINK("https://app.hubspot.com/contacts/8748051/record/0-2/8717682719", 8717682719)</f>
        <v>8717682719</v>
      </c>
      <c r="N754" s="24" t="s">
        <v>4918</v>
      </c>
      <c r="O754" s="34"/>
      <c r="P754" s="34"/>
      <c r="Q754" s="34"/>
      <c r="R754" s="34"/>
      <c r="S754" s="34"/>
      <c r="T754" s="34" t="str">
        <f t="shared" ref="T754:V754" si="759">IF(G754&lt;&gt;"","Yes","")</f>
        <v>Yes</v>
      </c>
      <c r="U754" s="34" t="str">
        <f t="shared" si="759"/>
        <v/>
      </c>
      <c r="V754" s="34" t="str">
        <f t="shared" si="759"/>
        <v/>
      </c>
      <c r="W754" s="34" t="str">
        <f t="shared" si="3"/>
        <v/>
      </c>
      <c r="X754" s="24" t="str">
        <f t="shared" si="4"/>
        <v/>
      </c>
    </row>
    <row r="755" ht="14.25" customHeight="1">
      <c r="A755" s="33">
        <f>HYPERLINK("https://app.hubspot.com/contacts/8748051/record/0-1/1753451", 1753451)</f>
        <v>1753451</v>
      </c>
      <c r="B755" s="24" t="s">
        <v>4919</v>
      </c>
      <c r="C755" s="34"/>
      <c r="D755" s="24" t="s">
        <v>4920</v>
      </c>
      <c r="E755" s="28" t="s">
        <v>4921</v>
      </c>
      <c r="F755" s="34"/>
      <c r="G755" s="35">
        <v>45320.0</v>
      </c>
      <c r="H755" s="34"/>
      <c r="I755" s="34"/>
      <c r="J755" s="34"/>
      <c r="K755" s="34"/>
      <c r="L755" s="34"/>
      <c r="M755" s="33">
        <f>HYPERLINK("https://app.hubspot.com/contacts/8748051/record/0-2/7893829193", 7893829193)</f>
        <v>7893829193</v>
      </c>
      <c r="N755" s="24" t="s">
        <v>4922</v>
      </c>
      <c r="O755" s="34"/>
      <c r="P755" s="34"/>
      <c r="Q755" s="34"/>
      <c r="R755" s="34"/>
      <c r="S755" s="34"/>
      <c r="T755" s="34" t="str">
        <f t="shared" ref="T755:V755" si="760">IF(G755&lt;&gt;"","Yes","")</f>
        <v>Yes</v>
      </c>
      <c r="U755" s="34" t="str">
        <f t="shared" si="760"/>
        <v/>
      </c>
      <c r="V755" s="34" t="str">
        <f t="shared" si="760"/>
        <v/>
      </c>
      <c r="W755" s="34" t="str">
        <f t="shared" si="3"/>
        <v/>
      </c>
      <c r="X755" s="24" t="str">
        <f t="shared" si="4"/>
        <v/>
      </c>
    </row>
    <row r="756" ht="14.25" customHeight="1">
      <c r="A756" s="33">
        <f>HYPERLINK("https://app.hubspot.com/contacts/8748051/record/0-1/1858819", 1858819)</f>
        <v>1858819</v>
      </c>
      <c r="B756" s="24" t="s">
        <v>4923</v>
      </c>
      <c r="C756" s="34"/>
      <c r="D756" s="24" t="s">
        <v>4924</v>
      </c>
      <c r="E756" s="28" t="s">
        <v>2377</v>
      </c>
      <c r="F756" s="34"/>
      <c r="G756" s="34"/>
      <c r="H756" s="34"/>
      <c r="I756" s="34"/>
      <c r="J756" s="34"/>
      <c r="K756" s="34"/>
      <c r="L756" s="34"/>
      <c r="M756" s="33">
        <f>HYPERLINK("https://app.hubspot.com/contacts/8748051/record/0-2/7945145244", 7945145244)</f>
        <v>7945145244</v>
      </c>
      <c r="N756" s="24" t="s">
        <v>2376</v>
      </c>
      <c r="O756" s="34"/>
      <c r="P756" s="34"/>
      <c r="Q756" s="34"/>
      <c r="R756" s="34"/>
      <c r="S756" s="34"/>
      <c r="T756" s="34" t="str">
        <f t="shared" ref="T756:V756" si="761">IF(G756&lt;&gt;"","Yes","")</f>
        <v/>
      </c>
      <c r="U756" s="34" t="str">
        <f t="shared" si="761"/>
        <v/>
      </c>
      <c r="V756" s="34" t="str">
        <f t="shared" si="761"/>
        <v/>
      </c>
      <c r="W756" s="34" t="str">
        <f t="shared" si="3"/>
        <v/>
      </c>
      <c r="X756" s="24" t="str">
        <f t="shared" si="4"/>
        <v/>
      </c>
    </row>
    <row r="757" ht="14.25" customHeight="1">
      <c r="A757" s="33">
        <f>HYPERLINK("https://app.hubspot.com/contacts/8748051/record/0-1/1859058", 1859058)</f>
        <v>1859058</v>
      </c>
      <c r="B757" s="24" t="s">
        <v>4925</v>
      </c>
      <c r="C757" s="34"/>
      <c r="D757" s="24" t="s">
        <v>4926</v>
      </c>
      <c r="E757" s="28" t="s">
        <v>2359</v>
      </c>
      <c r="F757" s="34"/>
      <c r="G757" s="35">
        <v>45272.0</v>
      </c>
      <c r="H757" s="34"/>
      <c r="I757" s="34"/>
      <c r="J757" s="34"/>
      <c r="K757" s="34"/>
      <c r="L757" s="34"/>
      <c r="M757" s="33">
        <f>HYPERLINK("https://app.hubspot.com/contacts/8748051/record/0-2/9793677612", 9793677612)</f>
        <v>9793677612</v>
      </c>
      <c r="N757" s="24" t="s">
        <v>2358</v>
      </c>
      <c r="O757" s="34"/>
      <c r="P757" s="34"/>
      <c r="Q757" s="34"/>
      <c r="R757" s="34"/>
      <c r="S757" s="34"/>
      <c r="T757" s="34" t="str">
        <f t="shared" ref="T757:V757" si="762">IF(G757&lt;&gt;"","Yes","")</f>
        <v>Yes</v>
      </c>
      <c r="U757" s="34" t="str">
        <f t="shared" si="762"/>
        <v/>
      </c>
      <c r="V757" s="34" t="str">
        <f t="shared" si="762"/>
        <v/>
      </c>
      <c r="W757" s="34" t="str">
        <f t="shared" si="3"/>
        <v/>
      </c>
      <c r="X757" s="24" t="str">
        <f t="shared" si="4"/>
        <v/>
      </c>
    </row>
    <row r="758" ht="14.25" customHeight="1">
      <c r="A758" s="33">
        <f>HYPERLINK("https://app.hubspot.com/contacts/8748051/record/0-1/1859458", 1859458)</f>
        <v>1859458</v>
      </c>
      <c r="B758" s="24" t="s">
        <v>4927</v>
      </c>
      <c r="C758" s="34"/>
      <c r="D758" s="24" t="s">
        <v>4928</v>
      </c>
      <c r="E758" s="28" t="s">
        <v>1302</v>
      </c>
      <c r="F758" s="34"/>
      <c r="G758" s="35">
        <v>45309.0</v>
      </c>
      <c r="H758" s="34"/>
      <c r="I758" s="34"/>
      <c r="J758" s="34"/>
      <c r="K758" s="34"/>
      <c r="L758" s="34"/>
      <c r="M758" s="33">
        <f>HYPERLINK("https://app.hubspot.com/contacts/8748051/record/0-2/10198128792", 10198128792)</f>
        <v>10198128792</v>
      </c>
      <c r="N758" s="24" t="s">
        <v>1301</v>
      </c>
      <c r="O758" s="34"/>
      <c r="P758" s="34"/>
      <c r="Q758" s="34"/>
      <c r="R758" s="34"/>
      <c r="S758" s="34"/>
      <c r="T758" s="34" t="str">
        <f t="shared" ref="T758:V758" si="763">IF(G758&lt;&gt;"","Yes","")</f>
        <v>Yes</v>
      </c>
      <c r="U758" s="34" t="str">
        <f t="shared" si="763"/>
        <v/>
      </c>
      <c r="V758" s="34" t="str">
        <f t="shared" si="763"/>
        <v/>
      </c>
      <c r="W758" s="34" t="str">
        <f t="shared" si="3"/>
        <v/>
      </c>
      <c r="X758" s="24" t="str">
        <f t="shared" si="4"/>
        <v/>
      </c>
    </row>
    <row r="759" ht="14.25" customHeight="1">
      <c r="A759" s="33">
        <f>HYPERLINK("https://app.hubspot.com/contacts/8748051/record/0-1/1860303", 1860303)</f>
        <v>1860303</v>
      </c>
      <c r="B759" s="24" t="s">
        <v>4929</v>
      </c>
      <c r="C759" s="34"/>
      <c r="D759" s="24" t="s">
        <v>4930</v>
      </c>
      <c r="E759" s="28" t="s">
        <v>2359</v>
      </c>
      <c r="F759" s="34"/>
      <c r="G759" s="35">
        <v>45293.0</v>
      </c>
      <c r="H759" s="35">
        <v>45301.0</v>
      </c>
      <c r="I759" s="35">
        <v>45301.0</v>
      </c>
      <c r="J759" s="34"/>
      <c r="K759" s="34"/>
      <c r="L759" s="34"/>
      <c r="M759" s="33">
        <f>HYPERLINK("https://app.hubspot.com/contacts/8748051/record/0-2/9793677612", 9793677612)</f>
        <v>9793677612</v>
      </c>
      <c r="N759" s="24" t="s">
        <v>2358</v>
      </c>
      <c r="O759" s="33">
        <f>HYPERLINK("https://app.hubspot.com/contacts/8748051/record/0-3/16883612470", 16883612470)</f>
        <v>16883612470</v>
      </c>
      <c r="P759" s="24" t="s">
        <v>2357</v>
      </c>
      <c r="Q759" s="24" t="s">
        <v>73</v>
      </c>
      <c r="R759" s="24">
        <v>100000.0</v>
      </c>
      <c r="S759" s="34"/>
      <c r="T759" s="34" t="str">
        <f t="shared" ref="T759:V759" si="764">IF(G759&lt;&gt;"","Yes","")</f>
        <v>Yes</v>
      </c>
      <c r="U759" s="34" t="str">
        <f t="shared" si="764"/>
        <v>Yes</v>
      </c>
      <c r="V759" s="34" t="str">
        <f t="shared" si="764"/>
        <v>Yes</v>
      </c>
      <c r="W759" s="34" t="str">
        <f t="shared" si="3"/>
        <v/>
      </c>
      <c r="X759" s="24" t="str">
        <f t="shared" si="4"/>
        <v/>
      </c>
    </row>
    <row r="760" ht="14.25" customHeight="1">
      <c r="A760" s="33">
        <f>HYPERLINK("https://app.hubspot.com/contacts/8748051/record/0-1/1861653", 1861653)</f>
        <v>1861653</v>
      </c>
      <c r="B760" s="24" t="s">
        <v>4931</v>
      </c>
      <c r="C760" s="34"/>
      <c r="D760" s="24" t="s">
        <v>4932</v>
      </c>
      <c r="E760" s="28" t="s">
        <v>4933</v>
      </c>
      <c r="F760" s="34"/>
      <c r="G760" s="35">
        <v>45455.0</v>
      </c>
      <c r="H760" s="34"/>
      <c r="I760" s="34"/>
      <c r="J760" s="34"/>
      <c r="K760" s="34"/>
      <c r="L760" s="34"/>
      <c r="M760" s="33">
        <f>HYPERLINK("https://app.hubspot.com/contacts/8748051/record/0-2/7231774384", 7231774384)</f>
        <v>7231774384</v>
      </c>
      <c r="N760" s="24" t="s">
        <v>4934</v>
      </c>
      <c r="O760" s="34"/>
      <c r="P760" s="34"/>
      <c r="Q760" s="34"/>
      <c r="R760" s="34"/>
      <c r="S760" s="34"/>
      <c r="T760" s="34" t="str">
        <f t="shared" ref="T760:V760" si="765">IF(G760&lt;&gt;"","Yes","")</f>
        <v>Yes</v>
      </c>
      <c r="U760" s="34" t="str">
        <f t="shared" si="765"/>
        <v/>
      </c>
      <c r="V760" s="34" t="str">
        <f t="shared" si="765"/>
        <v/>
      </c>
      <c r="W760" s="34" t="str">
        <f t="shared" si="3"/>
        <v/>
      </c>
      <c r="X760" s="24" t="str">
        <f t="shared" si="4"/>
        <v/>
      </c>
    </row>
    <row r="761" ht="14.25" customHeight="1">
      <c r="A761" s="33">
        <f>HYPERLINK("https://app.hubspot.com/contacts/8748051/record/0-1/1875351", 1875351)</f>
        <v>1875351</v>
      </c>
      <c r="B761" s="24" t="s">
        <v>4935</v>
      </c>
      <c r="C761" s="34"/>
      <c r="D761" s="24" t="s">
        <v>4936</v>
      </c>
      <c r="E761" s="28" t="s">
        <v>4937</v>
      </c>
      <c r="F761" s="34"/>
      <c r="G761" s="34"/>
      <c r="H761" s="34"/>
      <c r="I761" s="34"/>
      <c r="J761" s="34"/>
      <c r="K761" s="34"/>
      <c r="L761" s="34"/>
      <c r="M761" s="33">
        <f>HYPERLINK("https://app.hubspot.com/contacts/8748051/record/0-2/13057161382", 13057161382)</f>
        <v>13057161382</v>
      </c>
      <c r="N761" s="24" t="s">
        <v>4938</v>
      </c>
      <c r="O761" s="34"/>
      <c r="P761" s="34"/>
      <c r="Q761" s="34"/>
      <c r="R761" s="34"/>
      <c r="S761" s="34"/>
      <c r="T761" s="34" t="str">
        <f t="shared" ref="T761:V761" si="766">IF(G761&lt;&gt;"","Yes","")</f>
        <v/>
      </c>
      <c r="U761" s="34" t="str">
        <f t="shared" si="766"/>
        <v/>
      </c>
      <c r="V761" s="34" t="str">
        <f t="shared" si="766"/>
        <v/>
      </c>
      <c r="W761" s="34" t="str">
        <f t="shared" si="3"/>
        <v/>
      </c>
      <c r="X761" s="24" t="str">
        <f t="shared" si="4"/>
        <v/>
      </c>
    </row>
    <row r="762" ht="14.25" customHeight="1">
      <c r="A762" s="33">
        <f>HYPERLINK("https://app.hubspot.com/contacts/8748051/record/0-1/1878501", 1878501)</f>
        <v>1878501</v>
      </c>
      <c r="B762" s="24" t="s">
        <v>4939</v>
      </c>
      <c r="C762" s="34"/>
      <c r="D762" s="24" t="s">
        <v>4940</v>
      </c>
      <c r="E762" s="28" t="s">
        <v>4941</v>
      </c>
      <c r="F762" s="34"/>
      <c r="G762" s="34"/>
      <c r="H762" s="34"/>
      <c r="I762" s="34"/>
      <c r="J762" s="34"/>
      <c r="K762" s="34"/>
      <c r="L762" s="34"/>
      <c r="M762" s="33">
        <f>HYPERLINK("https://app.hubspot.com/contacts/8748051/record/0-2/13211247879", 13211247879)</f>
        <v>13211247879</v>
      </c>
      <c r="N762" s="24" t="s">
        <v>4942</v>
      </c>
      <c r="O762" s="34"/>
      <c r="P762" s="34"/>
      <c r="Q762" s="34"/>
      <c r="R762" s="34"/>
      <c r="S762" s="34"/>
      <c r="T762" s="34" t="str">
        <f t="shared" ref="T762:V762" si="767">IF(G762&lt;&gt;"","Yes","")</f>
        <v/>
      </c>
      <c r="U762" s="34" t="str">
        <f t="shared" si="767"/>
        <v/>
      </c>
      <c r="V762" s="34" t="str">
        <f t="shared" si="767"/>
        <v/>
      </c>
      <c r="W762" s="34" t="str">
        <f t="shared" si="3"/>
        <v/>
      </c>
      <c r="X762" s="24" t="str">
        <f t="shared" si="4"/>
        <v/>
      </c>
    </row>
    <row r="763" ht="14.25" customHeight="1">
      <c r="A763" s="33">
        <f>HYPERLINK("https://app.hubspot.com/contacts/8748051/record/0-1/1884206", 1884206)</f>
        <v>1884206</v>
      </c>
      <c r="B763" s="24" t="s">
        <v>4943</v>
      </c>
      <c r="C763" s="34"/>
      <c r="D763" s="24" t="s">
        <v>4944</v>
      </c>
      <c r="E763" s="28" t="s">
        <v>2315</v>
      </c>
      <c r="F763" s="34"/>
      <c r="G763" s="35">
        <v>45308.0</v>
      </c>
      <c r="H763" s="35">
        <v>45316.0</v>
      </c>
      <c r="I763" s="35">
        <v>45316.0</v>
      </c>
      <c r="J763" s="34"/>
      <c r="K763" s="34"/>
      <c r="L763" s="34"/>
      <c r="M763" s="33">
        <f>HYPERLINK("https://app.hubspot.com/contacts/8748051/record/0-2/9238284427", 9238284427)</f>
        <v>9238284427</v>
      </c>
      <c r="N763" s="24" t="s">
        <v>2314</v>
      </c>
      <c r="O763" s="33">
        <f>HYPERLINK("https://app.hubspot.com/contacts/8748051/record/0-3/17142319916", 17142319916)</f>
        <v>17142319916</v>
      </c>
      <c r="P763" s="24" t="s">
        <v>2313</v>
      </c>
      <c r="Q763" s="24" t="s">
        <v>73</v>
      </c>
      <c r="R763" s="24">
        <v>89000.0</v>
      </c>
      <c r="S763" s="34"/>
      <c r="T763" s="34" t="str">
        <f t="shared" ref="T763:V763" si="768">IF(G763&lt;&gt;"","Yes","")</f>
        <v>Yes</v>
      </c>
      <c r="U763" s="34" t="str">
        <f t="shared" si="768"/>
        <v>Yes</v>
      </c>
      <c r="V763" s="34" t="str">
        <f t="shared" si="768"/>
        <v>Yes</v>
      </c>
      <c r="W763" s="34" t="str">
        <f t="shared" si="3"/>
        <v/>
      </c>
      <c r="X763" s="24" t="str">
        <f t="shared" si="4"/>
        <v/>
      </c>
    </row>
    <row r="764" ht="14.25" customHeight="1">
      <c r="A764" s="33">
        <f>HYPERLINK("https://app.hubspot.com/contacts/8748051/record/0-1/1884456", 1884456)</f>
        <v>1884456</v>
      </c>
      <c r="B764" s="24" t="s">
        <v>4945</v>
      </c>
      <c r="C764" s="34"/>
      <c r="D764" s="24" t="s">
        <v>4946</v>
      </c>
      <c r="E764" s="28" t="s">
        <v>4947</v>
      </c>
      <c r="F764" s="34"/>
      <c r="G764" s="35">
        <v>45262.0</v>
      </c>
      <c r="H764" s="34"/>
      <c r="I764" s="34"/>
      <c r="J764" s="34"/>
      <c r="K764" s="34"/>
      <c r="L764" s="34"/>
      <c r="M764" s="33">
        <f>HYPERLINK("https://app.hubspot.com/contacts/8748051/record/0-2/9187049776", 9187049776)</f>
        <v>9187049776</v>
      </c>
      <c r="N764" s="24" t="s">
        <v>4948</v>
      </c>
      <c r="O764" s="34"/>
      <c r="P764" s="34"/>
      <c r="Q764" s="34"/>
      <c r="R764" s="34"/>
      <c r="S764" s="34"/>
      <c r="T764" s="34" t="str">
        <f t="shared" ref="T764:V764" si="769">IF(G764&lt;&gt;"","Yes","")</f>
        <v>Yes</v>
      </c>
      <c r="U764" s="34" t="str">
        <f t="shared" si="769"/>
        <v/>
      </c>
      <c r="V764" s="34" t="str">
        <f t="shared" si="769"/>
        <v/>
      </c>
      <c r="W764" s="34" t="str">
        <f t="shared" si="3"/>
        <v/>
      </c>
      <c r="X764" s="24" t="str">
        <f t="shared" si="4"/>
        <v/>
      </c>
    </row>
    <row r="765" ht="14.25" customHeight="1">
      <c r="A765" s="33">
        <f>HYPERLINK("https://app.hubspot.com/contacts/8748051/record/0-1/1885351", 1885351)</f>
        <v>1885351</v>
      </c>
      <c r="B765" s="24" t="s">
        <v>4949</v>
      </c>
      <c r="C765" s="34"/>
      <c r="D765" s="24" t="s">
        <v>4950</v>
      </c>
      <c r="E765" s="28" t="s">
        <v>2258</v>
      </c>
      <c r="F765" s="34"/>
      <c r="G765" s="35">
        <v>45265.0</v>
      </c>
      <c r="H765" s="35">
        <v>45308.0</v>
      </c>
      <c r="I765" s="35">
        <v>45308.0</v>
      </c>
      <c r="J765" s="34"/>
      <c r="K765" s="34"/>
      <c r="L765" s="34"/>
      <c r="M765" s="33">
        <f>HYPERLINK("https://app.hubspot.com/contacts/8748051/record/0-2/8125402385", 8125402385)</f>
        <v>8125402385</v>
      </c>
      <c r="N765" s="24" t="s">
        <v>2257</v>
      </c>
      <c r="O765" s="33">
        <f>HYPERLINK("https://app.hubspot.com/contacts/8748051/record/0-3/17362837135", 17362837135)</f>
        <v>17362837135</v>
      </c>
      <c r="P765" s="24" t="s">
        <v>2256</v>
      </c>
      <c r="Q765" s="24" t="s">
        <v>73</v>
      </c>
      <c r="R765" s="24">
        <v>10800.0</v>
      </c>
      <c r="S765" s="34"/>
      <c r="T765" s="34" t="str">
        <f t="shared" ref="T765:V765" si="770">IF(G765&lt;&gt;"","Yes","")</f>
        <v>Yes</v>
      </c>
      <c r="U765" s="34" t="str">
        <f t="shared" si="770"/>
        <v>Yes</v>
      </c>
      <c r="V765" s="34" t="str">
        <f t="shared" si="770"/>
        <v>Yes</v>
      </c>
      <c r="W765" s="34" t="str">
        <f t="shared" si="3"/>
        <v/>
      </c>
      <c r="X765" s="24" t="str">
        <f t="shared" si="4"/>
        <v/>
      </c>
    </row>
    <row r="766" ht="14.25" customHeight="1">
      <c r="A766" s="33">
        <f>HYPERLINK("https://app.hubspot.com/contacts/8748051/record/0-1/1918851", 1918851)</f>
        <v>1918851</v>
      </c>
      <c r="B766" s="24" t="s">
        <v>4951</v>
      </c>
      <c r="C766" s="34"/>
      <c r="D766" s="24" t="s">
        <v>4952</v>
      </c>
      <c r="E766" s="28" t="s">
        <v>226</v>
      </c>
      <c r="F766" s="34"/>
      <c r="G766" s="34"/>
      <c r="H766" s="34"/>
      <c r="I766" s="34"/>
      <c r="J766" s="34"/>
      <c r="K766" s="34"/>
      <c r="L766" s="34"/>
      <c r="M766" s="33">
        <f>HYPERLINK("https://app.hubspot.com/contacts/8748051/record/0-2/9132283033", 9132283033)</f>
        <v>9132283033</v>
      </c>
      <c r="N766" s="24" t="s">
        <v>225</v>
      </c>
      <c r="O766" s="34"/>
      <c r="P766" s="34"/>
      <c r="Q766" s="34"/>
      <c r="R766" s="34"/>
      <c r="S766" s="34"/>
      <c r="T766" s="34" t="str">
        <f t="shared" ref="T766:V766" si="771">IF(G766&lt;&gt;"","Yes","")</f>
        <v/>
      </c>
      <c r="U766" s="34" t="str">
        <f t="shared" si="771"/>
        <v/>
      </c>
      <c r="V766" s="34" t="str">
        <f t="shared" si="771"/>
        <v/>
      </c>
      <c r="W766" s="34" t="str">
        <f t="shared" si="3"/>
        <v/>
      </c>
      <c r="X766" s="24" t="str">
        <f t="shared" si="4"/>
        <v/>
      </c>
    </row>
    <row r="767" ht="14.25" customHeight="1">
      <c r="A767" s="33">
        <f>HYPERLINK("https://app.hubspot.com/contacts/8748051/record/0-1/1957777", 1957777)</f>
        <v>1957777</v>
      </c>
      <c r="B767" s="24" t="s">
        <v>4953</v>
      </c>
      <c r="C767" s="34"/>
      <c r="D767" s="24" t="s">
        <v>4954</v>
      </c>
      <c r="E767" s="28" t="s">
        <v>4955</v>
      </c>
      <c r="F767" s="34"/>
      <c r="G767" s="35">
        <v>45425.0</v>
      </c>
      <c r="H767" s="34"/>
      <c r="I767" s="34"/>
      <c r="J767" s="34"/>
      <c r="K767" s="34"/>
      <c r="L767" s="34"/>
      <c r="M767" s="33">
        <f>HYPERLINK("https://app.hubspot.com/contacts/8748051/record/0-2/9177887855", 9177887855)</f>
        <v>9177887855</v>
      </c>
      <c r="N767" s="24" t="s">
        <v>4956</v>
      </c>
      <c r="O767" s="34"/>
      <c r="P767" s="34"/>
      <c r="Q767" s="34"/>
      <c r="R767" s="34"/>
      <c r="S767" s="34"/>
      <c r="T767" s="34" t="str">
        <f t="shared" ref="T767:V767" si="772">IF(G767&lt;&gt;"","Yes","")</f>
        <v>Yes</v>
      </c>
      <c r="U767" s="34" t="str">
        <f t="shared" si="772"/>
        <v/>
      </c>
      <c r="V767" s="34" t="str">
        <f t="shared" si="772"/>
        <v/>
      </c>
      <c r="W767" s="34" t="str">
        <f t="shared" si="3"/>
        <v/>
      </c>
      <c r="X767" s="24" t="str">
        <f t="shared" si="4"/>
        <v/>
      </c>
    </row>
    <row r="768" ht="14.25" customHeight="1">
      <c r="A768" s="33">
        <f>HYPERLINK("https://app.hubspot.com/contacts/8748051/record/0-1/1977601", 1977601)</f>
        <v>1977601</v>
      </c>
      <c r="B768" s="24" t="s">
        <v>4957</v>
      </c>
      <c r="C768" s="34"/>
      <c r="D768" s="24" t="s">
        <v>4958</v>
      </c>
      <c r="E768" s="28" t="s">
        <v>4959</v>
      </c>
      <c r="F768" s="34"/>
      <c r="G768" s="34"/>
      <c r="H768" s="34"/>
      <c r="I768" s="34"/>
      <c r="J768" s="34"/>
      <c r="K768" s="34"/>
      <c r="L768" s="34"/>
      <c r="M768" s="33">
        <f>HYPERLINK("https://app.hubspot.com/contacts/8748051/record/0-2/14924613707", 14924613707)</f>
        <v>14924613707</v>
      </c>
      <c r="N768" s="24" t="s">
        <v>4960</v>
      </c>
      <c r="O768" s="34"/>
      <c r="P768" s="34"/>
      <c r="Q768" s="34"/>
      <c r="R768" s="34"/>
      <c r="S768" s="34"/>
      <c r="T768" s="34" t="str">
        <f t="shared" ref="T768:V768" si="773">IF(G768&lt;&gt;"","Yes","")</f>
        <v/>
      </c>
      <c r="U768" s="34" t="str">
        <f t="shared" si="773"/>
        <v/>
      </c>
      <c r="V768" s="34" t="str">
        <f t="shared" si="773"/>
        <v/>
      </c>
      <c r="W768" s="34" t="str">
        <f t="shared" si="3"/>
        <v/>
      </c>
      <c r="X768" s="24" t="str">
        <f t="shared" si="4"/>
        <v/>
      </c>
    </row>
    <row r="769" ht="14.25" customHeight="1">
      <c r="A769" s="33">
        <f>HYPERLINK("https://app.hubspot.com/contacts/8748051/record/0-1/1979222", 1979222)</f>
        <v>1979222</v>
      </c>
      <c r="B769" s="24" t="s">
        <v>4961</v>
      </c>
      <c r="C769" s="34"/>
      <c r="D769" s="24" t="s">
        <v>4962</v>
      </c>
      <c r="E769" s="28" t="s">
        <v>2261</v>
      </c>
      <c r="F769" s="34"/>
      <c r="G769" s="35">
        <v>45306.0</v>
      </c>
      <c r="H769" s="35">
        <v>45316.0</v>
      </c>
      <c r="I769" s="35">
        <v>45321.0</v>
      </c>
      <c r="J769" s="34"/>
      <c r="K769" s="34"/>
      <c r="L769" s="34"/>
      <c r="M769" s="33">
        <f>HYPERLINK("https://app.hubspot.com/contacts/8748051/record/0-2/9051006220", 9051006220)</f>
        <v>9051006220</v>
      </c>
      <c r="N769" s="24" t="s">
        <v>2260</v>
      </c>
      <c r="O769" s="33">
        <f>HYPERLINK("https://app.hubspot.com/contacts/8748051/record/0-3/17290231458", 17290231458)</f>
        <v>17290231458</v>
      </c>
      <c r="P769" s="24" t="s">
        <v>2259</v>
      </c>
      <c r="Q769" s="24" t="s">
        <v>73</v>
      </c>
      <c r="R769" s="24">
        <v>100000.0</v>
      </c>
      <c r="S769" s="34"/>
      <c r="T769" s="34" t="str">
        <f t="shared" ref="T769:V769" si="774">IF(G769&lt;&gt;"","Yes","")</f>
        <v>Yes</v>
      </c>
      <c r="U769" s="34" t="str">
        <f t="shared" si="774"/>
        <v>Yes</v>
      </c>
      <c r="V769" s="34" t="str">
        <f t="shared" si="774"/>
        <v>Yes</v>
      </c>
      <c r="W769" s="34" t="str">
        <f t="shared" si="3"/>
        <v/>
      </c>
      <c r="X769" s="24" t="str">
        <f t="shared" si="4"/>
        <v/>
      </c>
    </row>
    <row r="770" ht="14.25" customHeight="1">
      <c r="A770" s="33">
        <f>HYPERLINK("https://app.hubspot.com/contacts/8748051/record/0-1/1980454", 1980454)</f>
        <v>1980454</v>
      </c>
      <c r="B770" s="24" t="s">
        <v>4963</v>
      </c>
      <c r="C770" s="34"/>
      <c r="D770" s="24" t="s">
        <v>4964</v>
      </c>
      <c r="E770" s="28" t="s">
        <v>4965</v>
      </c>
      <c r="F770" s="34"/>
      <c r="G770" s="34"/>
      <c r="H770" s="34"/>
      <c r="I770" s="34"/>
      <c r="J770" s="34"/>
      <c r="K770" s="34"/>
      <c r="L770" s="34"/>
      <c r="M770" s="33">
        <f>HYPERLINK("https://app.hubspot.com/contacts/8748051/record/0-2/9227960759", 9227960759)</f>
        <v>9227960759</v>
      </c>
      <c r="N770" s="24" t="s">
        <v>4966</v>
      </c>
      <c r="O770" s="34"/>
      <c r="P770" s="34"/>
      <c r="Q770" s="34"/>
      <c r="R770" s="34"/>
      <c r="S770" s="34"/>
      <c r="T770" s="34" t="str">
        <f t="shared" ref="T770:V770" si="775">IF(G770&lt;&gt;"","Yes","")</f>
        <v/>
      </c>
      <c r="U770" s="34" t="str">
        <f t="shared" si="775"/>
        <v/>
      </c>
      <c r="V770" s="34" t="str">
        <f t="shared" si="775"/>
        <v/>
      </c>
      <c r="W770" s="34" t="str">
        <f t="shared" si="3"/>
        <v/>
      </c>
      <c r="X770" s="24" t="str">
        <f t="shared" si="4"/>
        <v/>
      </c>
    </row>
    <row r="771" ht="14.25" customHeight="1">
      <c r="A771" s="33">
        <f>HYPERLINK("https://app.hubspot.com/contacts/8748051/record/0-1/1980707", 1980707)</f>
        <v>1980707</v>
      </c>
      <c r="B771" s="24" t="s">
        <v>4967</v>
      </c>
      <c r="C771" s="34"/>
      <c r="D771" s="24" t="s">
        <v>4968</v>
      </c>
      <c r="E771" s="28" t="s">
        <v>2261</v>
      </c>
      <c r="F771" s="34"/>
      <c r="G771" s="35">
        <v>45271.0</v>
      </c>
      <c r="H771" s="34"/>
      <c r="I771" s="34"/>
      <c r="J771" s="34"/>
      <c r="K771" s="34"/>
      <c r="L771" s="34"/>
      <c r="M771" s="33">
        <f>HYPERLINK("https://app.hubspot.com/contacts/8748051/record/0-2/9051006220", 9051006220)</f>
        <v>9051006220</v>
      </c>
      <c r="N771" s="24" t="s">
        <v>2260</v>
      </c>
      <c r="O771" s="34"/>
      <c r="P771" s="34"/>
      <c r="Q771" s="34"/>
      <c r="R771" s="34"/>
      <c r="S771" s="34"/>
      <c r="T771" s="34" t="str">
        <f t="shared" ref="T771:V771" si="776">IF(G771&lt;&gt;"","Yes","")</f>
        <v>Yes</v>
      </c>
      <c r="U771" s="34" t="str">
        <f t="shared" si="776"/>
        <v/>
      </c>
      <c r="V771" s="34" t="str">
        <f t="shared" si="776"/>
        <v/>
      </c>
      <c r="W771" s="34" t="str">
        <f t="shared" si="3"/>
        <v/>
      </c>
      <c r="X771" s="24" t="str">
        <f t="shared" si="4"/>
        <v/>
      </c>
    </row>
    <row r="772" ht="14.25" customHeight="1">
      <c r="A772" s="33">
        <f>HYPERLINK("https://app.hubspot.com/contacts/8748051/record/0-1/1981151", 1981151)</f>
        <v>1981151</v>
      </c>
      <c r="B772" s="24" t="s">
        <v>4969</v>
      </c>
      <c r="C772" s="34"/>
      <c r="D772" s="24" t="s">
        <v>4970</v>
      </c>
      <c r="E772" s="28" t="s">
        <v>4971</v>
      </c>
      <c r="F772" s="34"/>
      <c r="G772" s="35">
        <v>45419.0</v>
      </c>
      <c r="H772" s="34"/>
      <c r="I772" s="34"/>
      <c r="J772" s="34"/>
      <c r="K772" s="34"/>
      <c r="L772" s="34"/>
      <c r="M772" s="33">
        <f>HYPERLINK("https://app.hubspot.com/contacts/8748051/record/0-2/7771849872", 7771849872)</f>
        <v>7771849872</v>
      </c>
      <c r="N772" s="24" t="s">
        <v>4972</v>
      </c>
      <c r="O772" s="34"/>
      <c r="P772" s="34"/>
      <c r="Q772" s="34"/>
      <c r="R772" s="34"/>
      <c r="S772" s="34"/>
      <c r="T772" s="34" t="str">
        <f t="shared" ref="T772:V772" si="777">IF(G772&lt;&gt;"","Yes","")</f>
        <v>Yes</v>
      </c>
      <c r="U772" s="34" t="str">
        <f t="shared" si="777"/>
        <v/>
      </c>
      <c r="V772" s="34" t="str">
        <f t="shared" si="777"/>
        <v/>
      </c>
      <c r="W772" s="34" t="str">
        <f t="shared" si="3"/>
        <v/>
      </c>
      <c r="X772" s="24" t="str">
        <f t="shared" si="4"/>
        <v/>
      </c>
    </row>
    <row r="773" ht="14.25" customHeight="1">
      <c r="A773" s="33">
        <f>HYPERLINK("https://app.hubspot.com/contacts/8748051/record/0-1/1981752", 1981752)</f>
        <v>1981752</v>
      </c>
      <c r="B773" s="24" t="s">
        <v>4973</v>
      </c>
      <c r="C773" s="34"/>
      <c r="D773" s="24" t="s">
        <v>4974</v>
      </c>
      <c r="E773" s="28" t="s">
        <v>1628</v>
      </c>
      <c r="F773" s="34"/>
      <c r="G773" s="35">
        <v>45455.0</v>
      </c>
      <c r="H773" s="35">
        <v>45460.0</v>
      </c>
      <c r="I773" s="35">
        <v>45460.0</v>
      </c>
      <c r="J773" s="34"/>
      <c r="K773" s="34"/>
      <c r="L773" s="34"/>
      <c r="M773" s="33">
        <f>HYPERLINK("https://app.hubspot.com/contacts/8748051/record/0-2/9227915892", 9227915892)</f>
        <v>9227915892</v>
      </c>
      <c r="N773" s="24" t="s">
        <v>1627</v>
      </c>
      <c r="O773" s="33">
        <f>HYPERLINK("https://app.hubspot.com/contacts/8748051/record/0-3/20139671819", 20139671819)</f>
        <v>20139671819</v>
      </c>
      <c r="P773" s="24" t="s">
        <v>1626</v>
      </c>
      <c r="Q773" s="24" t="s">
        <v>73</v>
      </c>
      <c r="R773" s="24">
        <v>91200.0</v>
      </c>
      <c r="S773" s="34"/>
      <c r="T773" s="34" t="str">
        <f t="shared" ref="T773:V773" si="778">IF(G773&lt;&gt;"","Yes","")</f>
        <v>Yes</v>
      </c>
      <c r="U773" s="34" t="str">
        <f t="shared" si="778"/>
        <v>Yes</v>
      </c>
      <c r="V773" s="34" t="str">
        <f t="shared" si="778"/>
        <v>Yes</v>
      </c>
      <c r="W773" s="34" t="str">
        <f t="shared" si="3"/>
        <v/>
      </c>
      <c r="X773" s="24" t="str">
        <f t="shared" si="4"/>
        <v/>
      </c>
    </row>
    <row r="774" ht="14.25" customHeight="1">
      <c r="A774" s="33">
        <f>HYPERLINK("https://app.hubspot.com/contacts/8748051/record/0-1/1983851", 1983851)</f>
        <v>1983851</v>
      </c>
      <c r="B774" s="24" t="s">
        <v>4975</v>
      </c>
      <c r="C774" s="34"/>
      <c r="D774" s="24" t="s">
        <v>4976</v>
      </c>
      <c r="E774" s="28" t="s">
        <v>4977</v>
      </c>
      <c r="F774" s="34"/>
      <c r="G774" s="34"/>
      <c r="H774" s="34"/>
      <c r="I774" s="34"/>
      <c r="J774" s="34"/>
      <c r="K774" s="34"/>
      <c r="L774" s="34"/>
      <c r="M774" s="33">
        <f>HYPERLINK("https://app.hubspot.com/contacts/8748051/record/0-2/8791697963", 8791697963)</f>
        <v>8791697963</v>
      </c>
      <c r="N774" s="24" t="s">
        <v>4978</v>
      </c>
      <c r="O774" s="34"/>
      <c r="P774" s="34"/>
      <c r="Q774" s="34"/>
      <c r="R774" s="34"/>
      <c r="S774" s="34"/>
      <c r="T774" s="34" t="str">
        <f t="shared" ref="T774:V774" si="779">IF(G774&lt;&gt;"","Yes","")</f>
        <v/>
      </c>
      <c r="U774" s="34" t="str">
        <f t="shared" si="779"/>
        <v/>
      </c>
      <c r="V774" s="34" t="str">
        <f t="shared" si="779"/>
        <v/>
      </c>
      <c r="W774" s="34" t="str">
        <f t="shared" si="3"/>
        <v/>
      </c>
      <c r="X774" s="24" t="str">
        <f t="shared" si="4"/>
        <v/>
      </c>
    </row>
    <row r="775" ht="14.25" customHeight="1">
      <c r="A775" s="33">
        <f>HYPERLINK("https://app.hubspot.com/contacts/8748051/record/0-1/1995201", 1995201)</f>
        <v>1995201</v>
      </c>
      <c r="B775" s="24" t="s">
        <v>4979</v>
      </c>
      <c r="C775" s="34"/>
      <c r="D775" s="24" t="s">
        <v>4980</v>
      </c>
      <c r="E775" s="28" t="s">
        <v>4981</v>
      </c>
      <c r="F775" s="34"/>
      <c r="G775" s="34"/>
      <c r="H775" s="34"/>
      <c r="I775" s="34"/>
      <c r="J775" s="34"/>
      <c r="K775" s="34"/>
      <c r="L775" s="34"/>
      <c r="M775" s="33">
        <f>HYPERLINK("https://app.hubspot.com/contacts/8748051/record/0-2/7893823888", 7893823888)</f>
        <v>7893823888</v>
      </c>
      <c r="N775" s="24" t="s">
        <v>4982</v>
      </c>
      <c r="O775" s="34"/>
      <c r="P775" s="34"/>
      <c r="Q775" s="34"/>
      <c r="R775" s="34"/>
      <c r="S775" s="34"/>
      <c r="T775" s="34" t="str">
        <f t="shared" ref="T775:V775" si="780">IF(G775&lt;&gt;"","Yes","")</f>
        <v/>
      </c>
      <c r="U775" s="34" t="str">
        <f t="shared" si="780"/>
        <v/>
      </c>
      <c r="V775" s="34" t="str">
        <f t="shared" si="780"/>
        <v/>
      </c>
      <c r="W775" s="34" t="str">
        <f t="shared" si="3"/>
        <v/>
      </c>
      <c r="X775" s="24" t="str">
        <f t="shared" si="4"/>
        <v/>
      </c>
    </row>
    <row r="776" ht="14.25" customHeight="1">
      <c r="A776" s="33">
        <f>HYPERLINK("https://app.hubspot.com/contacts/8748051/record/0-1/2003401", 2003401)</f>
        <v>2003401</v>
      </c>
      <c r="B776" s="24" t="s">
        <v>4983</v>
      </c>
      <c r="C776" s="34"/>
      <c r="D776" s="24" t="s">
        <v>4984</v>
      </c>
      <c r="E776" s="28" t="s">
        <v>2393</v>
      </c>
      <c r="F776" s="34"/>
      <c r="G776" s="34"/>
      <c r="H776" s="34"/>
      <c r="I776" s="34"/>
      <c r="J776" s="34"/>
      <c r="K776" s="34"/>
      <c r="L776" s="34"/>
      <c r="M776" s="33">
        <f>HYPERLINK("https://app.hubspot.com/contacts/8748051/record/0-2/7668097955", 7668097955)</f>
        <v>7668097955</v>
      </c>
      <c r="N776" s="28" t="s">
        <v>2392</v>
      </c>
      <c r="O776" s="34"/>
      <c r="P776" s="34"/>
      <c r="Q776" s="34"/>
      <c r="R776" s="34"/>
      <c r="S776" s="34"/>
      <c r="T776" s="34" t="str">
        <f t="shared" ref="T776:V776" si="781">IF(G776&lt;&gt;"","Yes","")</f>
        <v/>
      </c>
      <c r="U776" s="34" t="str">
        <f t="shared" si="781"/>
        <v/>
      </c>
      <c r="V776" s="34" t="str">
        <f t="shared" si="781"/>
        <v/>
      </c>
      <c r="W776" s="34" t="str">
        <f t="shared" si="3"/>
        <v/>
      </c>
      <c r="X776" s="24" t="str">
        <f t="shared" si="4"/>
        <v/>
      </c>
    </row>
    <row r="777" ht="14.25" customHeight="1">
      <c r="A777" s="33">
        <f>HYPERLINK("https://app.hubspot.com/contacts/8748051/record/0-1/2021901", 2021901)</f>
        <v>2021901</v>
      </c>
      <c r="B777" s="24" t="s">
        <v>4985</v>
      </c>
      <c r="C777" s="34"/>
      <c r="D777" s="24" t="s">
        <v>4986</v>
      </c>
      <c r="E777" s="28" t="s">
        <v>953</v>
      </c>
      <c r="F777" s="34"/>
      <c r="G777" s="34"/>
      <c r="H777" s="34"/>
      <c r="I777" s="34"/>
      <c r="J777" s="34"/>
      <c r="K777" s="34"/>
      <c r="L777" s="34"/>
      <c r="M777" s="33">
        <f>HYPERLINK("https://app.hubspot.com/contacts/8748051/record/0-2/8142764962", 8142764962)</f>
        <v>8142764962</v>
      </c>
      <c r="N777" s="24" t="s">
        <v>952</v>
      </c>
      <c r="O777" s="34"/>
      <c r="P777" s="34"/>
      <c r="Q777" s="34"/>
      <c r="R777" s="34"/>
      <c r="S777" s="34"/>
      <c r="T777" s="34" t="str">
        <f t="shared" ref="T777:V777" si="782">IF(G777&lt;&gt;"","Yes","")</f>
        <v/>
      </c>
      <c r="U777" s="34" t="str">
        <f t="shared" si="782"/>
        <v/>
      </c>
      <c r="V777" s="34" t="str">
        <f t="shared" si="782"/>
        <v/>
      </c>
      <c r="W777" s="34" t="str">
        <f t="shared" si="3"/>
        <v/>
      </c>
      <c r="X777" s="24" t="str">
        <f t="shared" si="4"/>
        <v/>
      </c>
    </row>
    <row r="778" ht="14.25" customHeight="1">
      <c r="A778" s="33">
        <f>HYPERLINK("https://app.hubspot.com/contacts/8748051/record/0-1/2023951", 2023951)</f>
        <v>2023951</v>
      </c>
      <c r="B778" s="24" t="s">
        <v>4987</v>
      </c>
      <c r="C778" s="34"/>
      <c r="D778" s="24" t="s">
        <v>4988</v>
      </c>
      <c r="E778" s="28" t="s">
        <v>4989</v>
      </c>
      <c r="F778" s="34"/>
      <c r="G778" s="34"/>
      <c r="H778" s="34"/>
      <c r="I778" s="34"/>
      <c r="J778" s="34"/>
      <c r="K778" s="34"/>
      <c r="L778" s="34"/>
      <c r="M778" s="33">
        <f>HYPERLINK("https://app.hubspot.com/contacts/8748051/record/0-2/8972871071", 8972871071)</f>
        <v>8972871071</v>
      </c>
      <c r="N778" s="24" t="s">
        <v>4990</v>
      </c>
      <c r="O778" s="34"/>
      <c r="P778" s="34"/>
      <c r="Q778" s="34"/>
      <c r="R778" s="34"/>
      <c r="S778" s="34"/>
      <c r="T778" s="34" t="str">
        <f t="shared" ref="T778:V778" si="783">IF(G778&lt;&gt;"","Yes","")</f>
        <v/>
      </c>
      <c r="U778" s="34" t="str">
        <f t="shared" si="783"/>
        <v/>
      </c>
      <c r="V778" s="34" t="str">
        <f t="shared" si="783"/>
        <v/>
      </c>
      <c r="W778" s="34" t="str">
        <f t="shared" si="3"/>
        <v/>
      </c>
      <c r="X778" s="24" t="str">
        <f t="shared" si="4"/>
        <v/>
      </c>
    </row>
    <row r="779" ht="14.25" customHeight="1">
      <c r="A779" s="33">
        <f>HYPERLINK("https://app.hubspot.com/contacts/8748051/record/0-1/2053110", 2053110)</f>
        <v>2053110</v>
      </c>
      <c r="B779" s="24" t="s">
        <v>4991</v>
      </c>
      <c r="C779" s="34"/>
      <c r="D779" s="24" t="s">
        <v>4992</v>
      </c>
      <c r="E779" s="28" t="s">
        <v>2424</v>
      </c>
      <c r="F779" s="34"/>
      <c r="G779" s="35">
        <v>45264.0</v>
      </c>
      <c r="H779" s="35">
        <v>45271.0</v>
      </c>
      <c r="I779" s="35">
        <v>45271.0</v>
      </c>
      <c r="J779" s="34"/>
      <c r="K779" s="34"/>
      <c r="L779" s="34"/>
      <c r="M779" s="33">
        <f>HYPERLINK("https://app.hubspot.com/contacts/8748051/record/0-2/14811203588", 14811203588)</f>
        <v>14811203588</v>
      </c>
      <c r="N779" s="24" t="s">
        <v>2423</v>
      </c>
      <c r="O779" s="33">
        <f>HYPERLINK("https://app.hubspot.com/contacts/8748051/record/0-3/16455042417", 16455042417)</f>
        <v>16455042417</v>
      </c>
      <c r="P779" s="24" t="s">
        <v>2422</v>
      </c>
      <c r="Q779" s="24" t="s">
        <v>73</v>
      </c>
      <c r="R779" s="24">
        <v>100000.0</v>
      </c>
      <c r="S779" s="34"/>
      <c r="T779" s="34" t="str">
        <f t="shared" ref="T779:V779" si="784">IF(G779&lt;&gt;"","Yes","")</f>
        <v>Yes</v>
      </c>
      <c r="U779" s="34" t="str">
        <f t="shared" si="784"/>
        <v>Yes</v>
      </c>
      <c r="V779" s="34" t="str">
        <f t="shared" si="784"/>
        <v>Yes</v>
      </c>
      <c r="W779" s="34" t="str">
        <f t="shared" si="3"/>
        <v/>
      </c>
      <c r="X779" s="24" t="str">
        <f t="shared" si="4"/>
        <v/>
      </c>
    </row>
    <row r="780" ht="14.25" customHeight="1">
      <c r="A780" s="33">
        <f>HYPERLINK("https://app.hubspot.com/contacts/8748051/record/0-1/2053415", 2053415)</f>
        <v>2053415</v>
      </c>
      <c r="B780" s="24" t="s">
        <v>4993</v>
      </c>
      <c r="C780" s="34"/>
      <c r="D780" s="24" t="s">
        <v>4994</v>
      </c>
      <c r="E780" s="28" t="s">
        <v>2164</v>
      </c>
      <c r="F780" s="34"/>
      <c r="G780" s="35">
        <v>45286.0</v>
      </c>
      <c r="H780" s="35">
        <v>45352.0</v>
      </c>
      <c r="I780" s="35">
        <v>45352.0</v>
      </c>
      <c r="J780" s="34"/>
      <c r="K780" s="34"/>
      <c r="L780" s="34"/>
      <c r="M780" s="33">
        <f>HYPERLINK("https://app.hubspot.com/contacts/8748051/record/0-2/36350850883", 36350850883)</f>
        <v>36350850883</v>
      </c>
      <c r="N780" s="24" t="s">
        <v>2163</v>
      </c>
      <c r="O780" s="33">
        <f>HYPERLINK("https://app.hubspot.com/contacts/8748051/record/0-3/17776347709", 17776347709)</f>
        <v>17776347709</v>
      </c>
      <c r="P780" s="24" t="s">
        <v>2162</v>
      </c>
      <c r="Q780" s="24" t="s">
        <v>73</v>
      </c>
      <c r="R780" s="24">
        <v>32640.0</v>
      </c>
      <c r="S780" s="34"/>
      <c r="T780" s="34" t="str">
        <f t="shared" ref="T780:V780" si="785">IF(G780&lt;&gt;"","Yes","")</f>
        <v>Yes</v>
      </c>
      <c r="U780" s="34" t="str">
        <f t="shared" si="785"/>
        <v>Yes</v>
      </c>
      <c r="V780" s="34" t="str">
        <f t="shared" si="785"/>
        <v>Yes</v>
      </c>
      <c r="W780" s="34" t="str">
        <f t="shared" si="3"/>
        <v/>
      </c>
      <c r="X780" s="24" t="str">
        <f t="shared" si="4"/>
        <v/>
      </c>
    </row>
    <row r="781" ht="14.25" customHeight="1">
      <c r="A781" s="33">
        <f>HYPERLINK("https://app.hubspot.com/contacts/8748051/record/0-1/2053862", 2053862)</f>
        <v>2053862</v>
      </c>
      <c r="B781" s="24" t="s">
        <v>4995</v>
      </c>
      <c r="C781" s="34"/>
      <c r="D781" s="24" t="s">
        <v>4996</v>
      </c>
      <c r="E781" s="28" t="s">
        <v>4997</v>
      </c>
      <c r="F781" s="34"/>
      <c r="G781" s="35">
        <v>45261.0</v>
      </c>
      <c r="H781" s="34"/>
      <c r="I781" s="34"/>
      <c r="J781" s="34"/>
      <c r="K781" s="34"/>
      <c r="L781" s="34"/>
      <c r="M781" s="33">
        <f>HYPERLINK("https://app.hubspot.com/contacts/8748051/record/0-2/14873849272", 14873849272)</f>
        <v>14873849272</v>
      </c>
      <c r="N781" s="24" t="s">
        <v>4998</v>
      </c>
      <c r="O781" s="34"/>
      <c r="P781" s="34"/>
      <c r="Q781" s="34"/>
      <c r="R781" s="34"/>
      <c r="S781" s="34"/>
      <c r="T781" s="34" t="str">
        <f t="shared" ref="T781:V781" si="786">IF(G781&lt;&gt;"","Yes","")</f>
        <v>Yes</v>
      </c>
      <c r="U781" s="34" t="str">
        <f t="shared" si="786"/>
        <v/>
      </c>
      <c r="V781" s="34" t="str">
        <f t="shared" si="786"/>
        <v/>
      </c>
      <c r="W781" s="34" t="str">
        <f t="shared" si="3"/>
        <v/>
      </c>
      <c r="X781" s="24" t="str">
        <f t="shared" si="4"/>
        <v/>
      </c>
    </row>
    <row r="782" ht="14.25" customHeight="1">
      <c r="A782" s="33">
        <f>HYPERLINK("https://app.hubspot.com/contacts/8748051/record/0-1/2054701", 2054701)</f>
        <v>2054701</v>
      </c>
      <c r="B782" s="24" t="s">
        <v>4999</v>
      </c>
      <c r="C782" s="34"/>
      <c r="D782" s="24" t="s">
        <v>5000</v>
      </c>
      <c r="E782" s="28" t="s">
        <v>5001</v>
      </c>
      <c r="F782" s="34"/>
      <c r="G782" s="34"/>
      <c r="H782" s="34"/>
      <c r="I782" s="34"/>
      <c r="J782" s="34"/>
      <c r="K782" s="34"/>
      <c r="L782" s="34"/>
      <c r="M782" s="33">
        <f>HYPERLINK("https://app.hubspot.com/contacts/8748051/record/0-2/14811163663", 14811163663)</f>
        <v>14811163663</v>
      </c>
      <c r="N782" s="24" t="s">
        <v>5002</v>
      </c>
      <c r="O782" s="34"/>
      <c r="P782" s="34"/>
      <c r="Q782" s="34"/>
      <c r="R782" s="34"/>
      <c r="S782" s="34"/>
      <c r="T782" s="34" t="str">
        <f t="shared" ref="T782:V782" si="787">IF(G782&lt;&gt;"","Yes","")</f>
        <v/>
      </c>
      <c r="U782" s="34" t="str">
        <f t="shared" si="787"/>
        <v/>
      </c>
      <c r="V782" s="34" t="str">
        <f t="shared" si="787"/>
        <v/>
      </c>
      <c r="W782" s="34" t="str">
        <f t="shared" si="3"/>
        <v/>
      </c>
      <c r="X782" s="24" t="str">
        <f t="shared" si="4"/>
        <v/>
      </c>
    </row>
    <row r="783" ht="14.25" customHeight="1">
      <c r="A783" s="33">
        <f>HYPERLINK("https://app.hubspot.com/contacts/8748051/record/0-1/2099105", 2099105)</f>
        <v>2099105</v>
      </c>
      <c r="B783" s="24" t="s">
        <v>5003</v>
      </c>
      <c r="C783" s="34"/>
      <c r="D783" s="24" t="s">
        <v>5004</v>
      </c>
      <c r="E783" s="28" t="s">
        <v>5005</v>
      </c>
      <c r="F783" s="34"/>
      <c r="G783" s="34"/>
      <c r="H783" s="34"/>
      <c r="I783" s="34"/>
      <c r="J783" s="34"/>
      <c r="K783" s="34"/>
      <c r="L783" s="34"/>
      <c r="M783" s="33">
        <f>HYPERLINK("https://app.hubspot.com/contacts/8748051/record/0-2/10910527375", 10910527375)</f>
        <v>10910527375</v>
      </c>
      <c r="N783" s="24" t="s">
        <v>5006</v>
      </c>
      <c r="O783" s="34"/>
      <c r="P783" s="34"/>
      <c r="Q783" s="34"/>
      <c r="R783" s="34"/>
      <c r="S783" s="34"/>
      <c r="T783" s="34" t="str">
        <f t="shared" ref="T783:V783" si="788">IF(G783&lt;&gt;"","Yes","")</f>
        <v/>
      </c>
      <c r="U783" s="34" t="str">
        <f t="shared" si="788"/>
        <v/>
      </c>
      <c r="V783" s="34" t="str">
        <f t="shared" si="788"/>
        <v/>
      </c>
      <c r="W783" s="34" t="str">
        <f t="shared" si="3"/>
        <v/>
      </c>
      <c r="X783" s="24" t="str">
        <f t="shared" si="4"/>
        <v/>
      </c>
    </row>
    <row r="784" ht="14.25" customHeight="1">
      <c r="A784" s="33">
        <f>HYPERLINK("https://app.hubspot.com/contacts/8748051/record/0-1/2099505", 2099505)</f>
        <v>2099505</v>
      </c>
      <c r="B784" s="24" t="s">
        <v>5007</v>
      </c>
      <c r="C784" s="34"/>
      <c r="D784" s="24" t="s">
        <v>5008</v>
      </c>
      <c r="E784" s="28" t="s">
        <v>5009</v>
      </c>
      <c r="F784" s="34"/>
      <c r="G784" s="34"/>
      <c r="H784" s="34"/>
      <c r="I784" s="34"/>
      <c r="J784" s="34"/>
      <c r="K784" s="34"/>
      <c r="L784" s="34"/>
      <c r="M784" s="33">
        <f>HYPERLINK("https://app.hubspot.com/contacts/8748051/record/0-2/14810080309", 14810080309)</f>
        <v>14810080309</v>
      </c>
      <c r="N784" s="24" t="s">
        <v>5010</v>
      </c>
      <c r="O784" s="34"/>
      <c r="P784" s="34"/>
      <c r="Q784" s="34"/>
      <c r="R784" s="34"/>
      <c r="S784" s="34"/>
      <c r="T784" s="34" t="str">
        <f t="shared" ref="T784:V784" si="789">IF(G784&lt;&gt;"","Yes","")</f>
        <v/>
      </c>
      <c r="U784" s="34" t="str">
        <f t="shared" si="789"/>
        <v/>
      </c>
      <c r="V784" s="34" t="str">
        <f t="shared" si="789"/>
        <v/>
      </c>
      <c r="W784" s="34" t="str">
        <f t="shared" si="3"/>
        <v/>
      </c>
      <c r="X784" s="24" t="str">
        <f t="shared" si="4"/>
        <v/>
      </c>
    </row>
    <row r="785" ht="14.25" customHeight="1">
      <c r="A785" s="33">
        <f>HYPERLINK("https://app.hubspot.com/contacts/8748051/record/0-1/2136701", 2136701)</f>
        <v>2136701</v>
      </c>
      <c r="B785" s="24" t="s">
        <v>5011</v>
      </c>
      <c r="C785" s="34"/>
      <c r="D785" s="24" t="s">
        <v>5012</v>
      </c>
      <c r="E785" s="28" t="s">
        <v>5013</v>
      </c>
      <c r="F785" s="34"/>
      <c r="G785" s="34"/>
      <c r="H785" s="34"/>
      <c r="I785" s="34"/>
      <c r="J785" s="34"/>
      <c r="K785" s="34"/>
      <c r="L785" s="34"/>
      <c r="M785" s="33">
        <f>HYPERLINK("https://app.hubspot.com/contacts/8748051/record/0-2/8002295300", 8002295300)</f>
        <v>8002295300</v>
      </c>
      <c r="N785" s="24" t="s">
        <v>5014</v>
      </c>
      <c r="O785" s="34"/>
      <c r="P785" s="34"/>
      <c r="Q785" s="34"/>
      <c r="R785" s="34"/>
      <c r="S785" s="34"/>
      <c r="T785" s="34" t="str">
        <f t="shared" ref="T785:V785" si="790">IF(G785&lt;&gt;"","Yes","")</f>
        <v/>
      </c>
      <c r="U785" s="34" t="str">
        <f t="shared" si="790"/>
        <v/>
      </c>
      <c r="V785" s="34" t="str">
        <f t="shared" si="790"/>
        <v/>
      </c>
      <c r="W785" s="34" t="str">
        <f t="shared" si="3"/>
        <v/>
      </c>
      <c r="X785" s="24" t="str">
        <f t="shared" si="4"/>
        <v/>
      </c>
    </row>
    <row r="786" ht="14.25" customHeight="1">
      <c r="A786" s="33">
        <f>HYPERLINK("https://app.hubspot.com/contacts/8748051/record/0-1/2140901", 2140901)</f>
        <v>2140901</v>
      </c>
      <c r="B786" s="24" t="s">
        <v>5015</v>
      </c>
      <c r="C786" s="34"/>
      <c r="D786" s="24" t="s">
        <v>5016</v>
      </c>
      <c r="E786" s="28" t="s">
        <v>5017</v>
      </c>
      <c r="F786" s="34"/>
      <c r="G786" s="34"/>
      <c r="H786" s="34"/>
      <c r="I786" s="34"/>
      <c r="J786" s="34"/>
      <c r="K786" s="34"/>
      <c r="L786" s="34"/>
      <c r="M786" s="33">
        <f>HYPERLINK("https://app.hubspot.com/contacts/8748051/record/0-2/15350703502", 15350703502)</f>
        <v>15350703502</v>
      </c>
      <c r="N786" s="24" t="s">
        <v>5018</v>
      </c>
      <c r="O786" s="34"/>
      <c r="P786" s="34"/>
      <c r="Q786" s="34"/>
      <c r="R786" s="34"/>
      <c r="S786" s="34"/>
      <c r="T786" s="34" t="str">
        <f t="shared" ref="T786:V786" si="791">IF(G786&lt;&gt;"","Yes","")</f>
        <v/>
      </c>
      <c r="U786" s="34" t="str">
        <f t="shared" si="791"/>
        <v/>
      </c>
      <c r="V786" s="34" t="str">
        <f t="shared" si="791"/>
        <v/>
      </c>
      <c r="W786" s="34" t="str">
        <f t="shared" si="3"/>
        <v/>
      </c>
      <c r="X786" s="24" t="str">
        <f t="shared" si="4"/>
        <v/>
      </c>
    </row>
    <row r="787" ht="14.25" customHeight="1">
      <c r="A787" s="33">
        <f>HYPERLINK("https://app.hubspot.com/contacts/8748051/record/0-1/2153701", 2153701)</f>
        <v>2153701</v>
      </c>
      <c r="B787" s="24" t="s">
        <v>5019</v>
      </c>
      <c r="C787" s="34"/>
      <c r="D787" s="24" t="s">
        <v>5020</v>
      </c>
      <c r="E787" s="28" t="s">
        <v>1165</v>
      </c>
      <c r="F787" s="34"/>
      <c r="G787" s="34"/>
      <c r="H787" s="34"/>
      <c r="I787" s="34"/>
      <c r="J787" s="34"/>
      <c r="K787" s="34"/>
      <c r="L787" s="34"/>
      <c r="M787" s="33">
        <f>HYPERLINK("https://app.hubspot.com/contacts/8748051/record/0-2/7914190947", 7914190947)</f>
        <v>7914190947</v>
      </c>
      <c r="N787" s="24" t="s">
        <v>1164</v>
      </c>
      <c r="O787" s="34"/>
      <c r="P787" s="34"/>
      <c r="Q787" s="34"/>
      <c r="R787" s="34"/>
      <c r="S787" s="34"/>
      <c r="T787" s="34" t="str">
        <f t="shared" ref="T787:V787" si="792">IF(G787&lt;&gt;"","Yes","")</f>
        <v/>
      </c>
      <c r="U787" s="34" t="str">
        <f t="shared" si="792"/>
        <v/>
      </c>
      <c r="V787" s="34" t="str">
        <f t="shared" si="792"/>
        <v/>
      </c>
      <c r="W787" s="34" t="str">
        <f t="shared" si="3"/>
        <v/>
      </c>
      <c r="X787" s="24" t="str">
        <f t="shared" si="4"/>
        <v/>
      </c>
    </row>
    <row r="788" ht="14.25" customHeight="1">
      <c r="A788" s="33">
        <f>HYPERLINK("https://app.hubspot.com/contacts/8748051/record/0-1/2165451", 2165451)</f>
        <v>2165451</v>
      </c>
      <c r="B788" s="24" t="s">
        <v>5021</v>
      </c>
      <c r="C788" s="34"/>
      <c r="D788" s="24" t="s">
        <v>5022</v>
      </c>
      <c r="E788" s="28" t="s">
        <v>5023</v>
      </c>
      <c r="F788" s="34"/>
      <c r="G788" s="34"/>
      <c r="H788" s="34"/>
      <c r="I788" s="34"/>
      <c r="J788" s="34"/>
      <c r="K788" s="34"/>
      <c r="L788" s="34"/>
      <c r="M788" s="33">
        <f>HYPERLINK("https://app.hubspot.com/contacts/8748051/record/0-2/14810023050", 14810023050)</f>
        <v>14810023050</v>
      </c>
      <c r="N788" s="24" t="s">
        <v>5024</v>
      </c>
      <c r="O788" s="34"/>
      <c r="P788" s="34"/>
      <c r="Q788" s="34"/>
      <c r="R788" s="34"/>
      <c r="S788" s="34"/>
      <c r="T788" s="34" t="str">
        <f t="shared" ref="T788:V788" si="793">IF(G788&lt;&gt;"","Yes","")</f>
        <v/>
      </c>
      <c r="U788" s="34" t="str">
        <f t="shared" si="793"/>
        <v/>
      </c>
      <c r="V788" s="34" t="str">
        <f t="shared" si="793"/>
        <v/>
      </c>
      <c r="W788" s="34" t="str">
        <f t="shared" si="3"/>
        <v/>
      </c>
      <c r="X788" s="24" t="str">
        <f t="shared" si="4"/>
        <v/>
      </c>
    </row>
    <row r="789" ht="14.25" customHeight="1">
      <c r="A789" s="33">
        <f>HYPERLINK("https://app.hubspot.com/contacts/8748051/record/0-1/2169651", 2169651)</f>
        <v>2169651</v>
      </c>
      <c r="B789" s="24" t="s">
        <v>5025</v>
      </c>
      <c r="C789" s="34"/>
      <c r="D789" s="24" t="s">
        <v>5026</v>
      </c>
      <c r="E789" s="28" t="s">
        <v>2034</v>
      </c>
      <c r="F789" s="34"/>
      <c r="G789" s="34"/>
      <c r="H789" s="34"/>
      <c r="I789" s="34"/>
      <c r="J789" s="34"/>
      <c r="K789" s="34"/>
      <c r="L789" s="34"/>
      <c r="M789" s="33">
        <f>HYPERLINK("https://app.hubspot.com/contacts/8748051/record/0-2/10038688044", 10038688044)</f>
        <v>10038688044</v>
      </c>
      <c r="N789" s="24" t="s">
        <v>2033</v>
      </c>
      <c r="O789" s="34"/>
      <c r="P789" s="34"/>
      <c r="Q789" s="34"/>
      <c r="R789" s="34"/>
      <c r="S789" s="34"/>
      <c r="T789" s="34" t="str">
        <f t="shared" ref="T789:V789" si="794">IF(G789&lt;&gt;"","Yes","")</f>
        <v/>
      </c>
      <c r="U789" s="34" t="str">
        <f t="shared" si="794"/>
        <v/>
      </c>
      <c r="V789" s="34" t="str">
        <f t="shared" si="794"/>
        <v/>
      </c>
      <c r="W789" s="34" t="str">
        <f t="shared" si="3"/>
        <v/>
      </c>
      <c r="X789" s="24" t="str">
        <f t="shared" si="4"/>
        <v/>
      </c>
    </row>
    <row r="790" ht="14.25" customHeight="1">
      <c r="A790" s="33">
        <f>HYPERLINK("https://app.hubspot.com/contacts/8748051/record/0-1/2190501", 2190501)</f>
        <v>2190501</v>
      </c>
      <c r="B790" s="24" t="s">
        <v>5027</v>
      </c>
      <c r="C790" s="34"/>
      <c r="D790" s="24" t="s">
        <v>5028</v>
      </c>
      <c r="E790" s="28" t="s">
        <v>2245</v>
      </c>
      <c r="F790" s="34"/>
      <c r="G790" s="35">
        <v>45265.0</v>
      </c>
      <c r="H790" s="35">
        <v>45406.0</v>
      </c>
      <c r="I790" s="35">
        <v>45406.0</v>
      </c>
      <c r="J790" s="34"/>
      <c r="K790" s="34"/>
      <c r="L790" s="34"/>
      <c r="M790" s="33">
        <f>HYPERLINK("https://app.hubspot.com/contacts/8748051/record/0-2/9177958280", 9177958280)</f>
        <v>9177958280</v>
      </c>
      <c r="N790" s="24" t="s">
        <v>2244</v>
      </c>
      <c r="O790" s="33">
        <f>HYPERLINK("https://app.hubspot.com/contacts/8748051/record/0-3/17365830041", 17365830041)</f>
        <v>17365830041</v>
      </c>
      <c r="P790" s="24" t="s">
        <v>2243</v>
      </c>
      <c r="Q790" s="24" t="s">
        <v>73</v>
      </c>
      <c r="R790" s="24">
        <v>22500.0</v>
      </c>
      <c r="S790" s="34"/>
      <c r="T790" s="34" t="str">
        <f t="shared" ref="T790:V790" si="795">IF(G790&lt;&gt;"","Yes","")</f>
        <v>Yes</v>
      </c>
      <c r="U790" s="34" t="str">
        <f t="shared" si="795"/>
        <v>Yes</v>
      </c>
      <c r="V790" s="34" t="str">
        <f t="shared" si="795"/>
        <v>Yes</v>
      </c>
      <c r="W790" s="34" t="str">
        <f t="shared" si="3"/>
        <v/>
      </c>
      <c r="X790" s="24" t="str">
        <f t="shared" si="4"/>
        <v/>
      </c>
    </row>
    <row r="791" ht="14.25" customHeight="1">
      <c r="A791" s="33">
        <f>HYPERLINK("https://app.hubspot.com/contacts/8748051/record/0-1/2194951", 2194951)</f>
        <v>2194951</v>
      </c>
      <c r="B791" s="24" t="s">
        <v>5029</v>
      </c>
      <c r="C791" s="34"/>
      <c r="D791" s="24" t="s">
        <v>5030</v>
      </c>
      <c r="E791" s="28" t="s">
        <v>838</v>
      </c>
      <c r="F791" s="34"/>
      <c r="G791" s="34"/>
      <c r="H791" s="34"/>
      <c r="I791" s="34"/>
      <c r="J791" s="34"/>
      <c r="K791" s="34"/>
      <c r="L791" s="34"/>
      <c r="M791" s="33">
        <f>HYPERLINK("https://app.hubspot.com/contacts/8748051/record/0-2/9727024782", 9727024782)</f>
        <v>9727024782</v>
      </c>
      <c r="N791" s="24" t="s">
        <v>837</v>
      </c>
      <c r="O791" s="34"/>
      <c r="P791" s="34"/>
      <c r="Q791" s="34"/>
      <c r="R791" s="34"/>
      <c r="S791" s="34"/>
      <c r="T791" s="34" t="str">
        <f t="shared" ref="T791:V791" si="796">IF(G791&lt;&gt;"","Yes","")</f>
        <v/>
      </c>
      <c r="U791" s="34" t="str">
        <f t="shared" si="796"/>
        <v/>
      </c>
      <c r="V791" s="34" t="str">
        <f t="shared" si="796"/>
        <v/>
      </c>
      <c r="W791" s="34" t="str">
        <f t="shared" si="3"/>
        <v/>
      </c>
      <c r="X791" s="24" t="str">
        <f t="shared" si="4"/>
        <v/>
      </c>
    </row>
    <row r="792" ht="14.25" customHeight="1">
      <c r="A792" s="33">
        <f>HYPERLINK("https://app.hubspot.com/contacts/8748051/record/0-1/2208201", 2208201)</f>
        <v>2208201</v>
      </c>
      <c r="B792" s="24" t="s">
        <v>5031</v>
      </c>
      <c r="C792" s="34"/>
      <c r="D792" s="24" t="s">
        <v>5032</v>
      </c>
      <c r="E792" s="28" t="s">
        <v>2059</v>
      </c>
      <c r="F792" s="34"/>
      <c r="G792" s="34"/>
      <c r="H792" s="34"/>
      <c r="I792" s="34"/>
      <c r="J792" s="34"/>
      <c r="K792" s="34"/>
      <c r="L792" s="34"/>
      <c r="M792" s="33">
        <f>HYPERLINK("https://app.hubspot.com/contacts/8748051/record/0-2/9086573923", 9086573923)</f>
        <v>9086573923</v>
      </c>
      <c r="N792" s="24" t="s">
        <v>2058</v>
      </c>
      <c r="O792" s="34"/>
      <c r="P792" s="34"/>
      <c r="Q792" s="34"/>
      <c r="R792" s="34"/>
      <c r="S792" s="34"/>
      <c r="T792" s="34" t="str">
        <f t="shared" ref="T792:V792" si="797">IF(G792&lt;&gt;"","Yes","")</f>
        <v/>
      </c>
      <c r="U792" s="34" t="str">
        <f t="shared" si="797"/>
        <v/>
      </c>
      <c r="V792" s="34" t="str">
        <f t="shared" si="797"/>
        <v/>
      </c>
      <c r="W792" s="34" t="str">
        <f t="shared" si="3"/>
        <v/>
      </c>
      <c r="X792" s="24" t="str">
        <f t="shared" si="4"/>
        <v/>
      </c>
    </row>
    <row r="793" ht="14.25" customHeight="1">
      <c r="A793" s="33">
        <f>HYPERLINK("https://app.hubspot.com/contacts/8748051/record/0-1/2233801", 2233801)</f>
        <v>2233801</v>
      </c>
      <c r="B793" s="24" t="s">
        <v>5033</v>
      </c>
      <c r="C793" s="34"/>
      <c r="D793" s="24" t="s">
        <v>5034</v>
      </c>
      <c r="E793" s="28" t="s">
        <v>1000</v>
      </c>
      <c r="F793" s="34"/>
      <c r="G793" s="34"/>
      <c r="H793" s="34"/>
      <c r="I793" s="34"/>
      <c r="J793" s="34"/>
      <c r="K793" s="34"/>
      <c r="L793" s="34"/>
      <c r="M793" s="33">
        <f>HYPERLINK("https://app.hubspot.com/contacts/8748051/record/0-2/9069717254", 9069717254)</f>
        <v>9069717254</v>
      </c>
      <c r="N793" s="24" t="s">
        <v>999</v>
      </c>
      <c r="O793" s="34"/>
      <c r="P793" s="34"/>
      <c r="Q793" s="34"/>
      <c r="R793" s="34"/>
      <c r="S793" s="34"/>
      <c r="T793" s="34" t="str">
        <f t="shared" ref="T793:V793" si="798">IF(G793&lt;&gt;"","Yes","")</f>
        <v/>
      </c>
      <c r="U793" s="34" t="str">
        <f t="shared" si="798"/>
        <v/>
      </c>
      <c r="V793" s="34" t="str">
        <f t="shared" si="798"/>
        <v/>
      </c>
      <c r="W793" s="34" t="str">
        <f t="shared" si="3"/>
        <v/>
      </c>
      <c r="X793" s="24" t="str">
        <f t="shared" si="4"/>
        <v/>
      </c>
    </row>
    <row r="794" ht="14.25" customHeight="1">
      <c r="A794" s="33">
        <f>HYPERLINK("https://app.hubspot.com/contacts/8748051/record/0-1/2256251", 2256251)</f>
        <v>2256251</v>
      </c>
      <c r="B794" s="24" t="s">
        <v>5035</v>
      </c>
      <c r="C794" s="34"/>
      <c r="D794" s="24" t="s">
        <v>5036</v>
      </c>
      <c r="E794" s="28" t="s">
        <v>5037</v>
      </c>
      <c r="F794" s="34"/>
      <c r="G794" s="34"/>
      <c r="H794" s="34"/>
      <c r="I794" s="34"/>
      <c r="J794" s="34"/>
      <c r="K794" s="34"/>
      <c r="L794" s="34"/>
      <c r="M794" s="33">
        <f>HYPERLINK("https://app.hubspot.com/contacts/8748051/record/0-2/15565227565", 15565227565)</f>
        <v>15565227565</v>
      </c>
      <c r="N794" s="24" t="s">
        <v>5038</v>
      </c>
      <c r="O794" s="34"/>
      <c r="P794" s="34"/>
      <c r="Q794" s="34"/>
      <c r="R794" s="34"/>
      <c r="S794" s="34"/>
      <c r="T794" s="34" t="str">
        <f t="shared" ref="T794:V794" si="799">IF(G794&lt;&gt;"","Yes","")</f>
        <v/>
      </c>
      <c r="U794" s="34" t="str">
        <f t="shared" si="799"/>
        <v/>
      </c>
      <c r="V794" s="34" t="str">
        <f t="shared" si="799"/>
        <v/>
      </c>
      <c r="W794" s="34" t="str">
        <f t="shared" si="3"/>
        <v/>
      </c>
      <c r="X794" s="24" t="str">
        <f t="shared" si="4"/>
        <v/>
      </c>
    </row>
    <row r="795" ht="14.25" customHeight="1">
      <c r="A795" s="33">
        <f>HYPERLINK("https://app.hubspot.com/contacts/8748051/record/0-1/2259601", 2259601)</f>
        <v>2259601</v>
      </c>
      <c r="B795" s="24" t="s">
        <v>5039</v>
      </c>
      <c r="C795" s="34"/>
      <c r="D795" s="24" t="s">
        <v>5040</v>
      </c>
      <c r="E795" s="28" t="s">
        <v>5041</v>
      </c>
      <c r="F795" s="34"/>
      <c r="G795" s="34"/>
      <c r="H795" s="34"/>
      <c r="I795" s="34"/>
      <c r="J795" s="34"/>
      <c r="K795" s="34"/>
      <c r="L795" s="34"/>
      <c r="M795" s="33">
        <f>HYPERLINK("https://app.hubspot.com/contacts/8748051/record/0-2/15571435393", 15571435393)</f>
        <v>15571435393</v>
      </c>
      <c r="N795" s="24" t="s">
        <v>5042</v>
      </c>
      <c r="O795" s="34"/>
      <c r="P795" s="34"/>
      <c r="Q795" s="34"/>
      <c r="R795" s="34"/>
      <c r="S795" s="34"/>
      <c r="T795" s="34" t="str">
        <f t="shared" ref="T795:V795" si="800">IF(G795&lt;&gt;"","Yes","")</f>
        <v/>
      </c>
      <c r="U795" s="34" t="str">
        <f t="shared" si="800"/>
        <v/>
      </c>
      <c r="V795" s="34" t="str">
        <f t="shared" si="800"/>
        <v/>
      </c>
      <c r="W795" s="34" t="str">
        <f t="shared" si="3"/>
        <v/>
      </c>
      <c r="X795" s="24" t="str">
        <f t="shared" si="4"/>
        <v/>
      </c>
    </row>
    <row r="796" ht="14.25" customHeight="1">
      <c r="A796" s="33">
        <f>HYPERLINK("https://app.hubspot.com/contacts/8748051/record/0-1/2286352", 2286352)</f>
        <v>2286352</v>
      </c>
      <c r="B796" s="24" t="s">
        <v>5043</v>
      </c>
      <c r="C796" s="34"/>
      <c r="D796" s="24" t="s">
        <v>5044</v>
      </c>
      <c r="E796" s="28" t="s">
        <v>2398</v>
      </c>
      <c r="F796" s="34"/>
      <c r="G796" s="35">
        <v>45268.0</v>
      </c>
      <c r="H796" s="35">
        <v>45278.0</v>
      </c>
      <c r="I796" s="35">
        <v>45278.0</v>
      </c>
      <c r="J796" s="34"/>
      <c r="K796" s="34"/>
      <c r="L796" s="34"/>
      <c r="M796" s="33">
        <f>HYPERLINK("https://app.hubspot.com/contacts/8748051/record/0-2/9238251130", 9238251130)</f>
        <v>9238251130</v>
      </c>
      <c r="N796" s="24" t="s">
        <v>2397</v>
      </c>
      <c r="O796" s="33">
        <f>HYPERLINK("https://app.hubspot.com/contacts/8748051/record/0-3/16575451293", 16575451293)</f>
        <v>16575451293</v>
      </c>
      <c r="P796" s="24" t="s">
        <v>2395</v>
      </c>
      <c r="Q796" s="24" t="s">
        <v>149</v>
      </c>
      <c r="R796" s="34"/>
      <c r="S796" s="34"/>
      <c r="T796" s="34" t="str">
        <f t="shared" ref="T796:V796" si="801">IF(G796&lt;&gt;"","Yes","")</f>
        <v>Yes</v>
      </c>
      <c r="U796" s="34" t="str">
        <f t="shared" si="801"/>
        <v>Yes</v>
      </c>
      <c r="V796" s="34" t="str">
        <f t="shared" si="801"/>
        <v>Yes</v>
      </c>
      <c r="W796" s="34" t="str">
        <f t="shared" si="3"/>
        <v/>
      </c>
      <c r="X796" s="24" t="str">
        <f t="shared" si="4"/>
        <v>Yes</v>
      </c>
    </row>
    <row r="797" ht="14.25" customHeight="1">
      <c r="A797" s="33">
        <f>HYPERLINK("https://app.hubspot.com/contacts/8748051/record/0-1/2299501", 2299501)</f>
        <v>2299501</v>
      </c>
      <c r="B797" s="24" t="s">
        <v>5045</v>
      </c>
      <c r="C797" s="34"/>
      <c r="D797" s="24" t="s">
        <v>5046</v>
      </c>
      <c r="E797" s="28" t="s">
        <v>5047</v>
      </c>
      <c r="F797" s="34"/>
      <c r="G797" s="35">
        <v>45264.0</v>
      </c>
      <c r="H797" s="34"/>
      <c r="I797" s="34"/>
      <c r="J797" s="34"/>
      <c r="K797" s="34"/>
      <c r="L797" s="34"/>
      <c r="M797" s="33">
        <f>HYPERLINK("https://app.hubspot.com/contacts/8748051/record/0-2/8142087951", 8142087951)</f>
        <v>8142087951</v>
      </c>
      <c r="N797" s="24" t="s">
        <v>5048</v>
      </c>
      <c r="O797" s="34"/>
      <c r="P797" s="34"/>
      <c r="Q797" s="34"/>
      <c r="R797" s="34"/>
      <c r="S797" s="34"/>
      <c r="T797" s="34" t="str">
        <f t="shared" ref="T797:V797" si="802">IF(G797&lt;&gt;"","Yes","")</f>
        <v>Yes</v>
      </c>
      <c r="U797" s="34" t="str">
        <f t="shared" si="802"/>
        <v/>
      </c>
      <c r="V797" s="34" t="str">
        <f t="shared" si="802"/>
        <v/>
      </c>
      <c r="W797" s="34" t="str">
        <f t="shared" si="3"/>
        <v/>
      </c>
      <c r="X797" s="24" t="str">
        <f t="shared" si="4"/>
        <v/>
      </c>
    </row>
    <row r="798" ht="14.25" customHeight="1">
      <c r="A798" s="33">
        <f>HYPERLINK("https://app.hubspot.com/contacts/8748051/record/0-1/2305954", 2305954)</f>
        <v>2305954</v>
      </c>
      <c r="B798" s="24" t="s">
        <v>5049</v>
      </c>
      <c r="C798" s="34"/>
      <c r="D798" s="24" t="s">
        <v>5050</v>
      </c>
      <c r="E798" s="28" t="s">
        <v>5051</v>
      </c>
      <c r="F798" s="34"/>
      <c r="G798" s="35">
        <v>45456.0</v>
      </c>
      <c r="H798" s="34"/>
      <c r="I798" s="34"/>
      <c r="J798" s="34"/>
      <c r="K798" s="34"/>
      <c r="L798" s="34"/>
      <c r="M798" s="33">
        <f>HYPERLINK("https://app.hubspot.com/contacts/8748051/record/0-2/9227922873", 9227922873)</f>
        <v>9227922873</v>
      </c>
      <c r="N798" s="24" t="s">
        <v>5052</v>
      </c>
      <c r="O798" s="34"/>
      <c r="P798" s="34"/>
      <c r="Q798" s="34"/>
      <c r="R798" s="34"/>
      <c r="S798" s="34"/>
      <c r="T798" s="34" t="str">
        <f t="shared" ref="T798:V798" si="803">IF(G798&lt;&gt;"","Yes","")</f>
        <v>Yes</v>
      </c>
      <c r="U798" s="34" t="str">
        <f t="shared" si="803"/>
        <v/>
      </c>
      <c r="V798" s="34" t="str">
        <f t="shared" si="803"/>
        <v/>
      </c>
      <c r="W798" s="34" t="str">
        <f t="shared" si="3"/>
        <v/>
      </c>
      <c r="X798" s="24" t="str">
        <f t="shared" si="4"/>
        <v/>
      </c>
    </row>
    <row r="799" ht="14.25" customHeight="1">
      <c r="A799" s="33">
        <f>HYPERLINK("https://app.hubspot.com/contacts/8748051/record/0-1/2321651", 2321651)</f>
        <v>2321651</v>
      </c>
      <c r="B799" s="24" t="s">
        <v>5053</v>
      </c>
      <c r="C799" s="34"/>
      <c r="D799" s="24" t="s">
        <v>5054</v>
      </c>
      <c r="E799" s="28" t="s">
        <v>5055</v>
      </c>
      <c r="F799" s="34"/>
      <c r="G799" s="34"/>
      <c r="H799" s="34"/>
      <c r="I799" s="34"/>
      <c r="J799" s="34"/>
      <c r="K799" s="34"/>
      <c r="L799" s="34"/>
      <c r="M799" s="33">
        <f>HYPERLINK("https://app.hubspot.com/contacts/8748051/record/0-2/7673284704", 7673284704)</f>
        <v>7673284704</v>
      </c>
      <c r="N799" s="24" t="s">
        <v>5056</v>
      </c>
      <c r="O799" s="34"/>
      <c r="P799" s="34"/>
      <c r="Q799" s="34"/>
      <c r="R799" s="34"/>
      <c r="S799" s="34"/>
      <c r="T799" s="34" t="str">
        <f t="shared" ref="T799:V799" si="804">IF(G799&lt;&gt;"","Yes","")</f>
        <v/>
      </c>
      <c r="U799" s="34" t="str">
        <f t="shared" si="804"/>
        <v/>
      </c>
      <c r="V799" s="34" t="str">
        <f t="shared" si="804"/>
        <v/>
      </c>
      <c r="W799" s="34" t="str">
        <f t="shared" si="3"/>
        <v/>
      </c>
      <c r="X799" s="24" t="str">
        <f t="shared" si="4"/>
        <v/>
      </c>
    </row>
    <row r="800" ht="14.25" customHeight="1">
      <c r="A800" s="33">
        <f>HYPERLINK("https://app.hubspot.com/contacts/8748051/record/0-1/2348301", 2348301)</f>
        <v>2348301</v>
      </c>
      <c r="B800" s="24" t="s">
        <v>5057</v>
      </c>
      <c r="C800" s="34"/>
      <c r="D800" s="24" t="s">
        <v>5058</v>
      </c>
      <c r="E800" s="28" t="s">
        <v>5059</v>
      </c>
      <c r="F800" s="34"/>
      <c r="G800" s="35">
        <v>45454.0</v>
      </c>
      <c r="H800" s="34"/>
      <c r="I800" s="34"/>
      <c r="J800" s="34"/>
      <c r="K800" s="34"/>
      <c r="L800" s="34"/>
      <c r="M800" s="33">
        <f>HYPERLINK("https://app.hubspot.com/contacts/8748051/record/0-2/16376127609", 16376127609)</f>
        <v>16376127609</v>
      </c>
      <c r="N800" s="24" t="s">
        <v>5060</v>
      </c>
      <c r="O800" s="34"/>
      <c r="P800" s="34"/>
      <c r="Q800" s="34"/>
      <c r="R800" s="34"/>
      <c r="S800" s="34"/>
      <c r="T800" s="34" t="str">
        <f t="shared" ref="T800:V800" si="805">IF(G800&lt;&gt;"","Yes","")</f>
        <v>Yes</v>
      </c>
      <c r="U800" s="34" t="str">
        <f t="shared" si="805"/>
        <v/>
      </c>
      <c r="V800" s="34" t="str">
        <f t="shared" si="805"/>
        <v/>
      </c>
      <c r="W800" s="34" t="str">
        <f t="shared" si="3"/>
        <v/>
      </c>
      <c r="X800" s="24" t="str">
        <f t="shared" si="4"/>
        <v/>
      </c>
    </row>
    <row r="801" ht="14.25" customHeight="1">
      <c r="A801" s="33">
        <f>HYPERLINK("https://app.hubspot.com/contacts/8748051/record/0-1/2398652", 2398652)</f>
        <v>2398652</v>
      </c>
      <c r="B801" s="24" t="s">
        <v>5061</v>
      </c>
      <c r="C801" s="34"/>
      <c r="D801" s="24" t="s">
        <v>5062</v>
      </c>
      <c r="E801" s="28" t="s">
        <v>2325</v>
      </c>
      <c r="F801" s="34"/>
      <c r="G801" s="35">
        <v>45293.0</v>
      </c>
      <c r="H801" s="35">
        <v>45308.0</v>
      </c>
      <c r="I801" s="35">
        <v>45308.0</v>
      </c>
      <c r="J801" s="34"/>
      <c r="K801" s="34"/>
      <c r="L801" s="34"/>
      <c r="M801" s="33">
        <f>HYPERLINK("https://app.hubspot.com/contacts/8748051/record/0-2/9132245851", 9132245851)</f>
        <v>9132245851</v>
      </c>
      <c r="N801" s="24" t="s">
        <v>2324</v>
      </c>
      <c r="O801" s="33">
        <f>HYPERLINK("https://app.hubspot.com/contacts/8748051/record/0-3/17095789349", 17095789349)</f>
        <v>17095789349</v>
      </c>
      <c r="P801" s="24" t="s">
        <v>2323</v>
      </c>
      <c r="Q801" s="24" t="s">
        <v>73</v>
      </c>
      <c r="R801" s="24">
        <v>20500.0</v>
      </c>
      <c r="S801" s="24" t="b">
        <v>1</v>
      </c>
      <c r="T801" s="34" t="str">
        <f t="shared" ref="T801:V801" si="806">IF(G801&lt;&gt;"","Yes","")</f>
        <v>Yes</v>
      </c>
      <c r="U801" s="34" t="str">
        <f t="shared" si="806"/>
        <v>Yes</v>
      </c>
      <c r="V801" s="34" t="str">
        <f t="shared" si="806"/>
        <v>Yes</v>
      </c>
      <c r="W801" s="34" t="str">
        <f t="shared" si="3"/>
        <v/>
      </c>
      <c r="X801" s="24" t="str">
        <f t="shared" si="4"/>
        <v/>
      </c>
    </row>
    <row r="802" ht="14.25" customHeight="1">
      <c r="A802" s="33">
        <f>HYPERLINK("https://app.hubspot.com/contacts/8748051/record/0-1/2399101", 2399101)</f>
        <v>2399101</v>
      </c>
      <c r="B802" s="24" t="s">
        <v>5063</v>
      </c>
      <c r="C802" s="34"/>
      <c r="D802" s="24" t="s">
        <v>5064</v>
      </c>
      <c r="E802" s="28" t="s">
        <v>1106</v>
      </c>
      <c r="F802" s="34"/>
      <c r="G802" s="35">
        <v>45750.0</v>
      </c>
      <c r="H802" s="35">
        <v>45765.0</v>
      </c>
      <c r="I802" s="35">
        <v>45765.0</v>
      </c>
      <c r="J802" s="34"/>
      <c r="K802" s="34"/>
      <c r="L802" s="34"/>
      <c r="M802" s="33">
        <f>HYPERLINK("https://app.hubspot.com/contacts/8748051/record/0-2/6262832245", 6262832245)</f>
        <v>6262832245</v>
      </c>
      <c r="N802" s="24" t="s">
        <v>1105</v>
      </c>
      <c r="O802" s="33">
        <f>HYPERLINK("https://app.hubspot.com/contacts/8748051/record/0-3/35893352554", 35893352554)</f>
        <v>35893352554</v>
      </c>
      <c r="P802" s="24" t="s">
        <v>1103</v>
      </c>
      <c r="Q802" s="24" t="s">
        <v>73</v>
      </c>
      <c r="R802" s="24">
        <v>43500.0</v>
      </c>
      <c r="S802" s="34"/>
      <c r="T802" s="34" t="str">
        <f t="shared" ref="T802:V802" si="807">IF(G802&lt;&gt;"","Yes","")</f>
        <v>Yes</v>
      </c>
      <c r="U802" s="34" t="str">
        <f t="shared" si="807"/>
        <v>Yes</v>
      </c>
      <c r="V802" s="34" t="str">
        <f t="shared" si="807"/>
        <v>Yes</v>
      </c>
      <c r="W802" s="34" t="str">
        <f t="shared" si="3"/>
        <v/>
      </c>
      <c r="X802" s="24" t="str">
        <f t="shared" si="4"/>
        <v/>
      </c>
    </row>
    <row r="803" ht="14.25" customHeight="1">
      <c r="A803" s="33">
        <f>HYPERLINK("https://app.hubspot.com/contacts/8748051/record/0-1/2432001", 2432001)</f>
        <v>2432001</v>
      </c>
      <c r="B803" s="24" t="s">
        <v>5065</v>
      </c>
      <c r="C803" s="34"/>
      <c r="D803" s="24" t="s">
        <v>5066</v>
      </c>
      <c r="E803" s="28" t="s">
        <v>2252</v>
      </c>
      <c r="F803" s="34"/>
      <c r="G803" s="35">
        <v>45304.0</v>
      </c>
      <c r="H803" s="35">
        <v>45310.0</v>
      </c>
      <c r="I803" s="35">
        <v>45310.0</v>
      </c>
      <c r="J803" s="34"/>
      <c r="K803" s="34"/>
      <c r="L803" s="34"/>
      <c r="M803" s="33">
        <f>HYPERLINK("https://app.hubspot.com/contacts/8748051/record/0-2/7503655293", 7503655293)</f>
        <v>7503655293</v>
      </c>
      <c r="N803" s="24" t="s">
        <v>2251</v>
      </c>
      <c r="O803" s="33">
        <f>HYPERLINK("https://app.hubspot.com/contacts/8748051/record/0-3/17364382845", 17364382845)</f>
        <v>17364382845</v>
      </c>
      <c r="P803" s="24" t="s">
        <v>2250</v>
      </c>
      <c r="Q803" s="24" t="s">
        <v>127</v>
      </c>
      <c r="R803" s="24">
        <v>5040.0</v>
      </c>
      <c r="S803" s="24" t="b">
        <v>1</v>
      </c>
      <c r="T803" s="34" t="str">
        <f t="shared" ref="T803:V803" si="808">IF(G803&lt;&gt;"","Yes","")</f>
        <v>Yes</v>
      </c>
      <c r="U803" s="34" t="str">
        <f t="shared" si="808"/>
        <v>Yes</v>
      </c>
      <c r="V803" s="34" t="str">
        <f t="shared" si="808"/>
        <v>Yes</v>
      </c>
      <c r="W803" s="34" t="str">
        <f t="shared" si="3"/>
        <v/>
      </c>
      <c r="X803" s="24" t="str">
        <f t="shared" si="4"/>
        <v/>
      </c>
    </row>
    <row r="804" ht="14.25" customHeight="1">
      <c r="A804" s="33">
        <f>HYPERLINK("https://app.hubspot.com/contacts/8748051/record/0-1/2479952", 2479952)</f>
        <v>2479952</v>
      </c>
      <c r="B804" s="24" t="s">
        <v>5067</v>
      </c>
      <c r="C804" s="34"/>
      <c r="D804" s="24" t="s">
        <v>5068</v>
      </c>
      <c r="E804" s="28" t="s">
        <v>2463</v>
      </c>
      <c r="F804" s="34"/>
      <c r="G804" s="34"/>
      <c r="H804" s="34"/>
      <c r="I804" s="34"/>
      <c r="J804" s="34"/>
      <c r="K804" s="34"/>
      <c r="L804" s="34"/>
      <c r="M804" s="33">
        <f>HYPERLINK("https://app.hubspot.com/contacts/8748051/record/0-2/21057534580", 21057534580)</f>
        <v>21057534580</v>
      </c>
      <c r="N804" s="24" t="s">
        <v>2462</v>
      </c>
      <c r="O804" s="33">
        <f>HYPERLINK("https://app.hubspot.com/contacts/8748051/record/0-3/16054662244", 16054662244)</f>
        <v>16054662244</v>
      </c>
      <c r="P804" s="24" t="s">
        <v>2461</v>
      </c>
      <c r="Q804" s="24" t="s">
        <v>73</v>
      </c>
      <c r="R804" s="24">
        <v>10000.0</v>
      </c>
      <c r="S804" s="34"/>
      <c r="T804" s="34" t="str">
        <f t="shared" ref="T804:V804" si="809">IF(G804&lt;&gt;"","Yes","")</f>
        <v/>
      </c>
      <c r="U804" s="34" t="str">
        <f t="shared" si="809"/>
        <v/>
      </c>
      <c r="V804" s="34" t="str">
        <f t="shared" si="809"/>
        <v/>
      </c>
      <c r="W804" s="34" t="str">
        <f t="shared" si="3"/>
        <v/>
      </c>
      <c r="X804" s="24" t="str">
        <f t="shared" si="4"/>
        <v/>
      </c>
    </row>
    <row r="805" ht="14.25" customHeight="1">
      <c r="A805" s="33">
        <f>HYPERLINK("https://app.hubspot.com/contacts/8748051/record/0-1/2480852", 2480852)</f>
        <v>2480852</v>
      </c>
      <c r="B805" s="24" t="s">
        <v>5069</v>
      </c>
      <c r="C805" s="34"/>
      <c r="D805" s="24" t="s">
        <v>5070</v>
      </c>
      <c r="E805" s="28" t="s">
        <v>5071</v>
      </c>
      <c r="F805" s="34"/>
      <c r="G805" s="35">
        <v>45313.0</v>
      </c>
      <c r="H805" s="34"/>
      <c r="I805" s="34"/>
      <c r="J805" s="34"/>
      <c r="K805" s="34"/>
      <c r="L805" s="34"/>
      <c r="M805" s="33">
        <f>HYPERLINK("https://app.hubspot.com/contacts/8748051/record/0-2/7398478404", 7398478404)</f>
        <v>7398478404</v>
      </c>
      <c r="N805" s="24" t="s">
        <v>5072</v>
      </c>
      <c r="O805" s="34"/>
      <c r="P805" s="34"/>
      <c r="Q805" s="34"/>
      <c r="R805" s="34"/>
      <c r="S805" s="34"/>
      <c r="T805" s="34" t="str">
        <f t="shared" ref="T805:V805" si="810">IF(G805&lt;&gt;"","Yes","")</f>
        <v>Yes</v>
      </c>
      <c r="U805" s="34" t="str">
        <f t="shared" si="810"/>
        <v/>
      </c>
      <c r="V805" s="34" t="str">
        <f t="shared" si="810"/>
        <v/>
      </c>
      <c r="W805" s="34" t="str">
        <f t="shared" si="3"/>
        <v/>
      </c>
      <c r="X805" s="24" t="str">
        <f t="shared" si="4"/>
        <v/>
      </c>
    </row>
    <row r="806" ht="14.25" customHeight="1">
      <c r="A806" s="33">
        <f>HYPERLINK("https://app.hubspot.com/contacts/8748051/record/0-1/2481001", 2481001)</f>
        <v>2481001</v>
      </c>
      <c r="B806" s="24" t="s">
        <v>5073</v>
      </c>
      <c r="C806" s="34"/>
      <c r="D806" s="24" t="s">
        <v>5074</v>
      </c>
      <c r="E806" s="28" t="s">
        <v>5075</v>
      </c>
      <c r="F806" s="34"/>
      <c r="G806" s="35">
        <v>45454.0</v>
      </c>
      <c r="H806" s="34"/>
      <c r="I806" s="34"/>
      <c r="J806" s="34"/>
      <c r="K806" s="34"/>
      <c r="L806" s="34"/>
      <c r="M806" s="33">
        <f>HYPERLINK("https://app.hubspot.com/contacts/8748051/record/0-2/31505549359", 31505549359)</f>
        <v>31505549359</v>
      </c>
      <c r="N806" s="24" t="s">
        <v>5076</v>
      </c>
      <c r="O806" s="34"/>
      <c r="P806" s="34"/>
      <c r="Q806" s="34"/>
      <c r="R806" s="34"/>
      <c r="S806" s="34"/>
      <c r="T806" s="34" t="str">
        <f t="shared" ref="T806:V806" si="811">IF(G806&lt;&gt;"","Yes","")</f>
        <v>Yes</v>
      </c>
      <c r="U806" s="34" t="str">
        <f t="shared" si="811"/>
        <v/>
      </c>
      <c r="V806" s="34" t="str">
        <f t="shared" si="811"/>
        <v/>
      </c>
      <c r="W806" s="34" t="str">
        <f t="shared" si="3"/>
        <v/>
      </c>
      <c r="X806" s="24" t="str">
        <f t="shared" si="4"/>
        <v/>
      </c>
    </row>
    <row r="807" ht="14.25" customHeight="1">
      <c r="A807" s="33">
        <f>HYPERLINK("https://app.hubspot.com/contacts/8748051/record/0-1/2514951", 2514951)</f>
        <v>2514951</v>
      </c>
      <c r="B807" s="24" t="s">
        <v>5077</v>
      </c>
      <c r="C807" s="34"/>
      <c r="D807" s="24" t="s">
        <v>5078</v>
      </c>
      <c r="E807" s="28" t="s">
        <v>2463</v>
      </c>
      <c r="F807" s="34"/>
      <c r="G807" s="34"/>
      <c r="H807" s="34"/>
      <c r="I807" s="34"/>
      <c r="J807" s="34"/>
      <c r="K807" s="34"/>
      <c r="L807" s="34"/>
      <c r="M807" s="33">
        <f>HYPERLINK("https://app.hubspot.com/contacts/8748051/record/0-2/21057534580", 21057534580)</f>
        <v>21057534580</v>
      </c>
      <c r="N807" s="24" t="s">
        <v>2462</v>
      </c>
      <c r="O807" s="34"/>
      <c r="P807" s="34"/>
      <c r="Q807" s="34"/>
      <c r="R807" s="34"/>
      <c r="S807" s="34"/>
      <c r="T807" s="34" t="str">
        <f t="shared" ref="T807:V807" si="812">IF(G807&lt;&gt;"","Yes","")</f>
        <v/>
      </c>
      <c r="U807" s="34" t="str">
        <f t="shared" si="812"/>
        <v/>
      </c>
      <c r="V807" s="34" t="str">
        <f t="shared" si="812"/>
        <v/>
      </c>
      <c r="W807" s="34" t="str">
        <f t="shared" si="3"/>
        <v/>
      </c>
      <c r="X807" s="24" t="str">
        <f t="shared" si="4"/>
        <v/>
      </c>
    </row>
    <row r="808" ht="14.25" customHeight="1">
      <c r="A808" s="33">
        <f>HYPERLINK("https://app.hubspot.com/contacts/8748051/record/0-1/2554951", 2554951)</f>
        <v>2554951</v>
      </c>
      <c r="B808" s="24" t="s">
        <v>5079</v>
      </c>
      <c r="C808" s="34"/>
      <c r="D808" s="24" t="s">
        <v>5080</v>
      </c>
      <c r="E808" s="28" t="s">
        <v>5081</v>
      </c>
      <c r="F808" s="34"/>
      <c r="G808" s="34"/>
      <c r="H808" s="34"/>
      <c r="I808" s="34"/>
      <c r="J808" s="34"/>
      <c r="K808" s="34"/>
      <c r="L808" s="34"/>
      <c r="M808" s="33">
        <f>HYPERLINK("https://app.hubspot.com/contacts/8748051/record/0-2/14811038079", 14811038079)</f>
        <v>14811038079</v>
      </c>
      <c r="N808" s="24" t="s">
        <v>5082</v>
      </c>
      <c r="O808" s="34"/>
      <c r="P808" s="34"/>
      <c r="Q808" s="34"/>
      <c r="R808" s="34"/>
      <c r="S808" s="34"/>
      <c r="T808" s="34" t="str">
        <f t="shared" ref="T808:V808" si="813">IF(G808&lt;&gt;"","Yes","")</f>
        <v/>
      </c>
      <c r="U808" s="34" t="str">
        <f t="shared" si="813"/>
        <v/>
      </c>
      <c r="V808" s="34" t="str">
        <f t="shared" si="813"/>
        <v/>
      </c>
      <c r="W808" s="34" t="str">
        <f t="shared" si="3"/>
        <v/>
      </c>
      <c r="X808" s="24" t="str">
        <f t="shared" si="4"/>
        <v/>
      </c>
    </row>
    <row r="809" ht="14.25" customHeight="1">
      <c r="A809" s="33">
        <f>HYPERLINK("https://app.hubspot.com/contacts/8748051/record/0-1/2636101", 2636101)</f>
        <v>2636101</v>
      </c>
      <c r="B809" s="24" t="s">
        <v>5083</v>
      </c>
      <c r="C809" s="34"/>
      <c r="D809" s="24" t="s">
        <v>5084</v>
      </c>
      <c r="E809" s="28" t="s">
        <v>2238</v>
      </c>
      <c r="F809" s="34"/>
      <c r="G809" s="35">
        <v>45271.0</v>
      </c>
      <c r="H809" s="35">
        <v>45270.0</v>
      </c>
      <c r="I809" s="35">
        <v>45270.0</v>
      </c>
      <c r="J809" s="34"/>
      <c r="K809" s="34"/>
      <c r="L809" s="34"/>
      <c r="M809" s="33">
        <f>HYPERLINK("https://app.hubspot.com/contacts/8748051/record/0-2/14811314448", 14811314448)</f>
        <v>14811314448</v>
      </c>
      <c r="N809" s="24" t="s">
        <v>2237</v>
      </c>
      <c r="O809" s="33">
        <f>HYPERLINK("https://app.hubspot.com/contacts/8748051/record/0-3/17365980934", 17365980934)</f>
        <v>17365980934</v>
      </c>
      <c r="P809" s="24" t="s">
        <v>2236</v>
      </c>
      <c r="Q809" s="24" t="s">
        <v>73</v>
      </c>
      <c r="R809" s="24">
        <v>18000.0</v>
      </c>
      <c r="S809" s="34"/>
      <c r="T809" s="34" t="str">
        <f t="shared" ref="T809:V809" si="814">IF(G809&lt;&gt;"","Yes","")</f>
        <v>Yes</v>
      </c>
      <c r="U809" s="34" t="str">
        <f t="shared" si="814"/>
        <v>Yes</v>
      </c>
      <c r="V809" s="34" t="str">
        <f t="shared" si="814"/>
        <v>Yes</v>
      </c>
      <c r="W809" s="34" t="str">
        <f t="shared" si="3"/>
        <v/>
      </c>
      <c r="X809" s="24" t="str">
        <f t="shared" si="4"/>
        <v/>
      </c>
    </row>
    <row r="810" ht="14.25" customHeight="1">
      <c r="A810" s="33">
        <f>HYPERLINK("https://app.hubspot.com/contacts/8748051/record/0-1/2656301", 2656301)</f>
        <v>2656301</v>
      </c>
      <c r="B810" s="24" t="s">
        <v>5085</v>
      </c>
      <c r="C810" s="34"/>
      <c r="D810" s="24" t="s">
        <v>5086</v>
      </c>
      <c r="E810" s="28" t="s">
        <v>2184</v>
      </c>
      <c r="F810" s="34"/>
      <c r="G810" s="35">
        <v>45336.0</v>
      </c>
      <c r="H810" s="35">
        <v>45344.0</v>
      </c>
      <c r="I810" s="35">
        <v>45344.0</v>
      </c>
      <c r="J810" s="34"/>
      <c r="K810" s="34"/>
      <c r="L810" s="34"/>
      <c r="M810" s="33">
        <f>HYPERLINK("https://app.hubspot.com/contacts/8748051/record/0-2/9132303215", 9132303215)</f>
        <v>9132303215</v>
      </c>
      <c r="N810" s="24" t="s">
        <v>2183</v>
      </c>
      <c r="O810" s="33">
        <f>HYPERLINK("https://app.hubspot.com/contacts/8748051/record/0-3/17675627871", 17675627871)</f>
        <v>17675627871</v>
      </c>
      <c r="P810" s="24" t="s">
        <v>2182</v>
      </c>
      <c r="Q810" s="24" t="s">
        <v>73</v>
      </c>
      <c r="R810" s="24">
        <v>46800.0</v>
      </c>
      <c r="S810" s="34"/>
      <c r="T810" s="34" t="str">
        <f t="shared" ref="T810:V810" si="815">IF(G810&lt;&gt;"","Yes","")</f>
        <v>Yes</v>
      </c>
      <c r="U810" s="34" t="str">
        <f t="shared" si="815"/>
        <v>Yes</v>
      </c>
      <c r="V810" s="34" t="str">
        <f t="shared" si="815"/>
        <v>Yes</v>
      </c>
      <c r="W810" s="34" t="str">
        <f t="shared" si="3"/>
        <v/>
      </c>
      <c r="X810" s="24" t="str">
        <f t="shared" si="4"/>
        <v/>
      </c>
    </row>
    <row r="811" ht="14.25" customHeight="1">
      <c r="A811" s="33">
        <f>HYPERLINK("https://app.hubspot.com/contacts/8748051/record/0-1/2715051", 2715051)</f>
        <v>2715051</v>
      </c>
      <c r="B811" s="24" t="s">
        <v>5087</v>
      </c>
      <c r="C811" s="34"/>
      <c r="D811" s="24" t="s">
        <v>5088</v>
      </c>
      <c r="E811" s="28" t="s">
        <v>5089</v>
      </c>
      <c r="F811" s="34"/>
      <c r="G811" s="35">
        <v>45308.0</v>
      </c>
      <c r="H811" s="34"/>
      <c r="I811" s="34"/>
      <c r="J811" s="34"/>
      <c r="K811" s="34"/>
      <c r="L811" s="34"/>
      <c r="M811" s="33">
        <f>HYPERLINK("https://app.hubspot.com/contacts/8748051/record/0-2/9238368183", 9238368183)</f>
        <v>9238368183</v>
      </c>
      <c r="N811" s="24" t="s">
        <v>5090</v>
      </c>
      <c r="O811" s="34"/>
      <c r="P811" s="34"/>
      <c r="Q811" s="34"/>
      <c r="R811" s="34"/>
      <c r="S811" s="34"/>
      <c r="T811" s="34" t="str">
        <f t="shared" ref="T811:V811" si="816">IF(G811&lt;&gt;"","Yes","")</f>
        <v>Yes</v>
      </c>
      <c r="U811" s="34" t="str">
        <f t="shared" si="816"/>
        <v/>
      </c>
      <c r="V811" s="34" t="str">
        <f t="shared" si="816"/>
        <v/>
      </c>
      <c r="W811" s="34" t="str">
        <f t="shared" si="3"/>
        <v/>
      </c>
      <c r="X811" s="24" t="str">
        <f t="shared" si="4"/>
        <v/>
      </c>
    </row>
    <row r="812" ht="14.25" customHeight="1">
      <c r="A812" s="33">
        <f>HYPERLINK("https://app.hubspot.com/contacts/8748051/record/0-1/2720001", 2720001)</f>
        <v>2720001</v>
      </c>
      <c r="B812" s="24" t="s">
        <v>5091</v>
      </c>
      <c r="C812" s="34"/>
      <c r="D812" s="24" t="s">
        <v>5092</v>
      </c>
      <c r="E812" s="28" t="s">
        <v>2170</v>
      </c>
      <c r="F812" s="34"/>
      <c r="G812" s="35">
        <v>45312.0</v>
      </c>
      <c r="H812" s="34"/>
      <c r="I812" s="34"/>
      <c r="J812" s="34"/>
      <c r="K812" s="34"/>
      <c r="L812" s="34"/>
      <c r="M812" s="33">
        <f>HYPERLINK("https://app.hubspot.com/contacts/8748051/record/0-2/16065681050", 16065681050)</f>
        <v>16065681050</v>
      </c>
      <c r="N812" s="24" t="s">
        <v>2169</v>
      </c>
      <c r="O812" s="33">
        <f>HYPERLINK("https://app.hubspot.com/contacts/8748051/record/0-3/17767974279", 17767974279)</f>
        <v>17767974279</v>
      </c>
      <c r="P812" s="24" t="s">
        <v>2168</v>
      </c>
      <c r="Q812" s="24" t="s">
        <v>73</v>
      </c>
      <c r="R812" s="24">
        <v>21600.0</v>
      </c>
      <c r="S812" s="34"/>
      <c r="T812" s="34" t="str">
        <f t="shared" ref="T812:V812" si="817">IF(G812&lt;&gt;"","Yes","")</f>
        <v>Yes</v>
      </c>
      <c r="U812" s="34" t="str">
        <f t="shared" si="817"/>
        <v/>
      </c>
      <c r="V812" s="34" t="str">
        <f t="shared" si="817"/>
        <v/>
      </c>
      <c r="W812" s="34" t="str">
        <f t="shared" si="3"/>
        <v/>
      </c>
      <c r="X812" s="24" t="str">
        <f t="shared" si="4"/>
        <v/>
      </c>
    </row>
    <row r="813" ht="14.25" customHeight="1">
      <c r="A813" s="33">
        <f>HYPERLINK("https://app.hubspot.com/contacts/8748051/record/0-1/2730451", 2730451)</f>
        <v>2730451</v>
      </c>
      <c r="B813" s="24" t="s">
        <v>5093</v>
      </c>
      <c r="C813" s="34"/>
      <c r="D813" s="24" t="s">
        <v>5094</v>
      </c>
      <c r="E813" s="28" t="s">
        <v>5095</v>
      </c>
      <c r="F813" s="34"/>
      <c r="G813" s="34"/>
      <c r="H813" s="34"/>
      <c r="I813" s="34"/>
      <c r="J813" s="34"/>
      <c r="K813" s="34"/>
      <c r="L813" s="34"/>
      <c r="M813" s="33">
        <f>HYPERLINK("https://app.hubspot.com/contacts/8748051/record/0-2/16929849212", 16929849212)</f>
        <v>16929849212</v>
      </c>
      <c r="N813" s="24" t="s">
        <v>5096</v>
      </c>
      <c r="O813" s="34"/>
      <c r="P813" s="34"/>
      <c r="Q813" s="34"/>
      <c r="R813" s="34"/>
      <c r="S813" s="34"/>
      <c r="T813" s="34" t="str">
        <f t="shared" ref="T813:V813" si="818">IF(G813&lt;&gt;"","Yes","")</f>
        <v/>
      </c>
      <c r="U813" s="34" t="str">
        <f t="shared" si="818"/>
        <v/>
      </c>
      <c r="V813" s="34" t="str">
        <f t="shared" si="818"/>
        <v/>
      </c>
      <c r="W813" s="34" t="str">
        <f t="shared" si="3"/>
        <v/>
      </c>
      <c r="X813" s="24" t="str">
        <f t="shared" si="4"/>
        <v/>
      </c>
    </row>
    <row r="814" ht="14.25" customHeight="1">
      <c r="A814" s="33">
        <f>HYPERLINK("https://app.hubspot.com/contacts/8748051/record/0-1/2736801", 2736801)</f>
        <v>2736801</v>
      </c>
      <c r="B814" s="24" t="s">
        <v>5097</v>
      </c>
      <c r="C814" s="34"/>
      <c r="D814" s="24" t="s">
        <v>5098</v>
      </c>
      <c r="E814" s="28" t="s">
        <v>2546</v>
      </c>
      <c r="F814" s="34"/>
      <c r="G814" s="34"/>
      <c r="H814" s="34"/>
      <c r="I814" s="34"/>
      <c r="J814" s="34"/>
      <c r="K814" s="34"/>
      <c r="L814" s="34"/>
      <c r="M814" s="33">
        <f>HYPERLINK("https://app.hubspot.com/contacts/8748051/record/0-2/8142399857", 8142399857)</f>
        <v>8142399857</v>
      </c>
      <c r="N814" s="24" t="s">
        <v>2545</v>
      </c>
      <c r="O814" s="33">
        <f>HYPERLINK("https://app.hubspot.com/contacts/8748051/record/0-3/15052406331", 15052406331)</f>
        <v>15052406331</v>
      </c>
      <c r="P814" s="24" t="s">
        <v>2544</v>
      </c>
      <c r="Q814" s="24" t="s">
        <v>127</v>
      </c>
      <c r="R814" s="24">
        <v>60000.0</v>
      </c>
      <c r="S814" s="24" t="b">
        <v>1</v>
      </c>
      <c r="T814" s="34" t="str">
        <f t="shared" ref="T814:V814" si="819">IF(G814&lt;&gt;"","Yes","")</f>
        <v/>
      </c>
      <c r="U814" s="34" t="str">
        <f t="shared" si="819"/>
        <v/>
      </c>
      <c r="V814" s="34" t="str">
        <f t="shared" si="819"/>
        <v/>
      </c>
      <c r="W814" s="34" t="str">
        <f t="shared" si="3"/>
        <v/>
      </c>
      <c r="X814" s="24" t="str">
        <f t="shared" si="4"/>
        <v/>
      </c>
    </row>
    <row r="815" ht="14.25" customHeight="1">
      <c r="A815" s="33">
        <f>HYPERLINK("https://app.hubspot.com/contacts/8748051/record/0-1/2787301", 2787301)</f>
        <v>2787301</v>
      </c>
      <c r="B815" s="24" t="s">
        <v>5099</v>
      </c>
      <c r="C815" s="34"/>
      <c r="D815" s="24" t="s">
        <v>5100</v>
      </c>
      <c r="E815" s="28" t="s">
        <v>1821</v>
      </c>
      <c r="F815" s="34"/>
      <c r="G815" s="34"/>
      <c r="H815" s="34"/>
      <c r="I815" s="34"/>
      <c r="J815" s="34"/>
      <c r="K815" s="34"/>
      <c r="L815" s="34"/>
      <c r="M815" s="33">
        <f>HYPERLINK("https://app.hubspot.com/contacts/8748051/record/0-2/13452522550", 13452522550)</f>
        <v>13452522550</v>
      </c>
      <c r="N815" s="24" t="s">
        <v>1820</v>
      </c>
      <c r="O815" s="34"/>
      <c r="P815" s="34"/>
      <c r="Q815" s="34"/>
      <c r="R815" s="34"/>
      <c r="S815" s="34"/>
      <c r="T815" s="34" t="str">
        <f t="shared" ref="T815:V815" si="820">IF(G815&lt;&gt;"","Yes","")</f>
        <v/>
      </c>
      <c r="U815" s="34" t="str">
        <f t="shared" si="820"/>
        <v/>
      </c>
      <c r="V815" s="34" t="str">
        <f t="shared" si="820"/>
        <v/>
      </c>
      <c r="W815" s="34" t="str">
        <f t="shared" si="3"/>
        <v/>
      </c>
      <c r="X815" s="24" t="str">
        <f t="shared" si="4"/>
        <v/>
      </c>
    </row>
    <row r="816" ht="14.25" customHeight="1">
      <c r="A816" s="33">
        <f>HYPERLINK("https://app.hubspot.com/contacts/8748051/record/0-1/2787451", 2787451)</f>
        <v>2787451</v>
      </c>
      <c r="B816" s="24" t="s">
        <v>5101</v>
      </c>
      <c r="C816" s="34"/>
      <c r="D816" s="24" t="s">
        <v>5102</v>
      </c>
      <c r="E816" s="28" t="s">
        <v>2006</v>
      </c>
      <c r="F816" s="34"/>
      <c r="G816" s="34"/>
      <c r="H816" s="34"/>
      <c r="I816" s="34"/>
      <c r="J816" s="34"/>
      <c r="K816" s="34"/>
      <c r="L816" s="34"/>
      <c r="M816" s="33">
        <f>HYPERLINK("https://app.hubspot.com/contacts/8748051/record/0-2/14810961931", 14810961931)</f>
        <v>14810961931</v>
      </c>
      <c r="N816" s="24" t="s">
        <v>2005</v>
      </c>
      <c r="O816" s="34"/>
      <c r="P816" s="34"/>
      <c r="Q816" s="34"/>
      <c r="R816" s="34"/>
      <c r="S816" s="34"/>
      <c r="T816" s="34" t="str">
        <f t="shared" ref="T816:V816" si="821">IF(G816&lt;&gt;"","Yes","")</f>
        <v/>
      </c>
      <c r="U816" s="34" t="str">
        <f t="shared" si="821"/>
        <v/>
      </c>
      <c r="V816" s="34" t="str">
        <f t="shared" si="821"/>
        <v/>
      </c>
      <c r="W816" s="34" t="str">
        <f t="shared" si="3"/>
        <v/>
      </c>
      <c r="X816" s="24" t="str">
        <f t="shared" si="4"/>
        <v/>
      </c>
    </row>
    <row r="817" ht="14.25" customHeight="1">
      <c r="A817" s="33">
        <f>HYPERLINK("https://app.hubspot.com/contacts/8748051/record/0-1/2814901", 2814901)</f>
        <v>2814901</v>
      </c>
      <c r="B817" s="24" t="s">
        <v>5103</v>
      </c>
      <c r="C817" s="34"/>
      <c r="D817" s="24" t="s">
        <v>5104</v>
      </c>
      <c r="E817" s="28" t="s">
        <v>5105</v>
      </c>
      <c r="F817" s="34"/>
      <c r="G817" s="34"/>
      <c r="H817" s="34"/>
      <c r="I817" s="34"/>
      <c r="J817" s="34"/>
      <c r="K817" s="34"/>
      <c r="L817" s="34"/>
      <c r="M817" s="33">
        <f>HYPERLINK("https://app.hubspot.com/contacts/8748051/record/0-2/10078571809", 10078571809)</f>
        <v>10078571809</v>
      </c>
      <c r="N817" s="28" t="s">
        <v>5106</v>
      </c>
      <c r="O817" s="34"/>
      <c r="P817" s="34"/>
      <c r="Q817" s="34"/>
      <c r="R817" s="34"/>
      <c r="S817" s="34"/>
      <c r="T817" s="34" t="str">
        <f t="shared" ref="T817:V817" si="822">IF(G817&lt;&gt;"","Yes","")</f>
        <v/>
      </c>
      <c r="U817" s="34" t="str">
        <f t="shared" si="822"/>
        <v/>
      </c>
      <c r="V817" s="34" t="str">
        <f t="shared" si="822"/>
        <v/>
      </c>
      <c r="W817" s="34" t="str">
        <f t="shared" si="3"/>
        <v/>
      </c>
      <c r="X817" s="24" t="str">
        <f t="shared" si="4"/>
        <v/>
      </c>
    </row>
    <row r="818" ht="14.25" customHeight="1">
      <c r="A818" s="33">
        <f>HYPERLINK("https://app.hubspot.com/contacts/8748051/record/0-1/2837953", 2837953)</f>
        <v>2837953</v>
      </c>
      <c r="B818" s="24" t="s">
        <v>5107</v>
      </c>
      <c r="C818" s="34"/>
      <c r="D818" s="24" t="s">
        <v>5108</v>
      </c>
      <c r="E818" s="28" t="s">
        <v>2427</v>
      </c>
      <c r="F818" s="34"/>
      <c r="G818" s="35">
        <v>45268.0</v>
      </c>
      <c r="H818" s="35">
        <v>45271.0</v>
      </c>
      <c r="I818" s="35">
        <v>45271.0</v>
      </c>
      <c r="J818" s="34"/>
      <c r="K818" s="34"/>
      <c r="L818" s="34"/>
      <c r="M818" s="33">
        <f>HYPERLINK("https://app.hubspot.com/contacts/8748051/record/0-2/17252662641", 17252662641)</f>
        <v>17252662641</v>
      </c>
      <c r="N818" s="24" t="s">
        <v>2426</v>
      </c>
      <c r="O818" s="33">
        <f>HYPERLINK("https://app.hubspot.com/contacts/8748051/record/0-3/16453295360", 16453295360)</f>
        <v>16453295360</v>
      </c>
      <c r="P818" s="24" t="s">
        <v>2425</v>
      </c>
      <c r="Q818" s="24" t="s">
        <v>73</v>
      </c>
      <c r="R818" s="24">
        <v>21500.0</v>
      </c>
      <c r="S818" s="34"/>
      <c r="T818" s="34" t="str">
        <f t="shared" ref="T818:V818" si="823">IF(G818&lt;&gt;"","Yes","")</f>
        <v>Yes</v>
      </c>
      <c r="U818" s="34" t="str">
        <f t="shared" si="823"/>
        <v>Yes</v>
      </c>
      <c r="V818" s="34" t="str">
        <f t="shared" si="823"/>
        <v>Yes</v>
      </c>
      <c r="W818" s="34" t="str">
        <f t="shared" si="3"/>
        <v/>
      </c>
      <c r="X818" s="24" t="str">
        <f t="shared" si="4"/>
        <v/>
      </c>
    </row>
    <row r="819" ht="14.25" customHeight="1">
      <c r="A819" s="33">
        <f>HYPERLINK("https://app.hubspot.com/contacts/8748051/record/0-1/2847001", 2847001)</f>
        <v>2847001</v>
      </c>
      <c r="B819" s="24" t="s">
        <v>5109</v>
      </c>
      <c r="C819" s="34"/>
      <c r="D819" s="24" t="s">
        <v>5110</v>
      </c>
      <c r="E819" s="28" t="s">
        <v>5111</v>
      </c>
      <c r="F819" s="34"/>
      <c r="G819" s="34"/>
      <c r="H819" s="34"/>
      <c r="I819" s="34"/>
      <c r="J819" s="34"/>
      <c r="K819" s="34"/>
      <c r="L819" s="34"/>
      <c r="M819" s="33">
        <f>HYPERLINK("https://app.hubspot.com/contacts/8748051/record/0-2/14810874038", 14810874038)</f>
        <v>14810874038</v>
      </c>
      <c r="N819" s="24" t="s">
        <v>5112</v>
      </c>
      <c r="O819" s="34"/>
      <c r="P819" s="34"/>
      <c r="Q819" s="34"/>
      <c r="R819" s="34"/>
      <c r="S819" s="34"/>
      <c r="T819" s="34" t="str">
        <f t="shared" ref="T819:V819" si="824">IF(G819&lt;&gt;"","Yes","")</f>
        <v/>
      </c>
      <c r="U819" s="34" t="str">
        <f t="shared" si="824"/>
        <v/>
      </c>
      <c r="V819" s="34" t="str">
        <f t="shared" si="824"/>
        <v/>
      </c>
      <c r="W819" s="34" t="str">
        <f t="shared" si="3"/>
        <v/>
      </c>
      <c r="X819" s="24" t="str">
        <f t="shared" si="4"/>
        <v/>
      </c>
    </row>
    <row r="820" ht="14.25" customHeight="1">
      <c r="A820" s="33">
        <f>HYPERLINK("https://app.hubspot.com/contacts/8748051/record/0-1/2852251", 2852251)</f>
        <v>2852251</v>
      </c>
      <c r="B820" s="24" t="s">
        <v>5113</v>
      </c>
      <c r="C820" s="34"/>
      <c r="D820" s="24" t="s">
        <v>5114</v>
      </c>
      <c r="E820" s="28" t="s">
        <v>2414</v>
      </c>
      <c r="F820" s="34"/>
      <c r="G820" s="35">
        <v>45271.0</v>
      </c>
      <c r="H820" s="35">
        <v>45274.0</v>
      </c>
      <c r="I820" s="35">
        <v>45274.0</v>
      </c>
      <c r="J820" s="34"/>
      <c r="K820" s="34"/>
      <c r="L820" s="34"/>
      <c r="M820" s="33">
        <f>HYPERLINK("https://app.hubspot.com/contacts/8748051/record/0-2/7514685489", 7514685489)</f>
        <v>7514685489</v>
      </c>
      <c r="N820" s="24" t="s">
        <v>2413</v>
      </c>
      <c r="O820" s="33">
        <f>HYPERLINK("https://app.hubspot.com/contacts/8748051/record/0-3/16508520234", 16508520234)</f>
        <v>16508520234</v>
      </c>
      <c r="P820" s="24" t="s">
        <v>2412</v>
      </c>
      <c r="Q820" s="24" t="s">
        <v>73</v>
      </c>
      <c r="R820" s="24">
        <v>100000.0</v>
      </c>
      <c r="S820" s="34"/>
      <c r="T820" s="34" t="str">
        <f t="shared" ref="T820:V820" si="825">IF(G820&lt;&gt;"","Yes","")</f>
        <v>Yes</v>
      </c>
      <c r="U820" s="34" t="str">
        <f t="shared" si="825"/>
        <v>Yes</v>
      </c>
      <c r="V820" s="34" t="str">
        <f t="shared" si="825"/>
        <v>Yes</v>
      </c>
      <c r="W820" s="34" t="str">
        <f t="shared" si="3"/>
        <v/>
      </c>
      <c r="X820" s="24" t="str">
        <f t="shared" si="4"/>
        <v/>
      </c>
    </row>
    <row r="821" ht="14.25" customHeight="1">
      <c r="A821" s="33">
        <f>HYPERLINK("https://app.hubspot.com/contacts/8748051/record/0-1/2870051", 2870051)</f>
        <v>2870051</v>
      </c>
      <c r="B821" s="24" t="s">
        <v>5115</v>
      </c>
      <c r="C821" s="34"/>
      <c r="D821" s="24" t="s">
        <v>5116</v>
      </c>
      <c r="E821" s="28" t="s">
        <v>5117</v>
      </c>
      <c r="F821" s="34"/>
      <c r="G821" s="35">
        <v>45407.0</v>
      </c>
      <c r="H821" s="34"/>
      <c r="I821" s="34"/>
      <c r="J821" s="34"/>
      <c r="K821" s="34"/>
      <c r="L821" s="34"/>
      <c r="M821" s="33">
        <f>HYPERLINK("https://app.hubspot.com/contacts/8748051/record/0-2/9345053975", 9345053975)</f>
        <v>9345053975</v>
      </c>
      <c r="N821" s="24" t="s">
        <v>5118</v>
      </c>
      <c r="O821" s="34"/>
      <c r="P821" s="34"/>
      <c r="Q821" s="34"/>
      <c r="R821" s="34"/>
      <c r="S821" s="34"/>
      <c r="T821" s="34" t="str">
        <f t="shared" ref="T821:V821" si="826">IF(G821&lt;&gt;"","Yes","")</f>
        <v>Yes</v>
      </c>
      <c r="U821" s="34" t="str">
        <f t="shared" si="826"/>
        <v/>
      </c>
      <c r="V821" s="34" t="str">
        <f t="shared" si="826"/>
        <v/>
      </c>
      <c r="W821" s="34" t="str">
        <f t="shared" si="3"/>
        <v/>
      </c>
      <c r="X821" s="24" t="str">
        <f t="shared" si="4"/>
        <v/>
      </c>
    </row>
    <row r="822" ht="14.25" customHeight="1">
      <c r="A822" s="33">
        <f>HYPERLINK("https://app.hubspot.com/contacts/8748051/record/0-1/2930701", 2930701)</f>
        <v>2930701</v>
      </c>
      <c r="B822" s="24" t="s">
        <v>5119</v>
      </c>
      <c r="C822" s="34"/>
      <c r="D822" s="24" t="s">
        <v>5120</v>
      </c>
      <c r="E822" s="28" t="s">
        <v>2056</v>
      </c>
      <c r="F822" s="34"/>
      <c r="G822" s="35">
        <v>45369.0</v>
      </c>
      <c r="H822" s="35">
        <v>45371.0</v>
      </c>
      <c r="I822" s="35">
        <v>45371.0</v>
      </c>
      <c r="J822" s="34"/>
      <c r="K822" s="34"/>
      <c r="L822" s="34"/>
      <c r="M822" s="33">
        <f>HYPERLINK("https://app.hubspot.com/contacts/8748051/record/0-2/17518459778", 17518459778)</f>
        <v>17518459778</v>
      </c>
      <c r="N822" s="24" t="s">
        <v>2055</v>
      </c>
      <c r="O822" s="33">
        <f>HYPERLINK("https://app.hubspot.com/contacts/8748051/record/0-3/18110875398", 18110875398)</f>
        <v>18110875398</v>
      </c>
      <c r="P822" s="24" t="s">
        <v>2054</v>
      </c>
      <c r="Q822" s="24" t="s">
        <v>73</v>
      </c>
      <c r="R822" s="24">
        <v>4800.0</v>
      </c>
      <c r="S822" s="34"/>
      <c r="T822" s="34" t="str">
        <f t="shared" ref="T822:V822" si="827">IF(G822&lt;&gt;"","Yes","")</f>
        <v>Yes</v>
      </c>
      <c r="U822" s="34" t="str">
        <f t="shared" si="827"/>
        <v>Yes</v>
      </c>
      <c r="V822" s="34" t="str">
        <f t="shared" si="827"/>
        <v>Yes</v>
      </c>
      <c r="W822" s="34" t="str">
        <f t="shared" si="3"/>
        <v/>
      </c>
      <c r="X822" s="24" t="str">
        <f t="shared" si="4"/>
        <v/>
      </c>
    </row>
    <row r="823" ht="14.25" customHeight="1">
      <c r="A823" s="33">
        <f>HYPERLINK("https://app.hubspot.com/contacts/8748051/record/0-1/2960951", 2960951)</f>
        <v>2960951</v>
      </c>
      <c r="B823" s="24" t="s">
        <v>5121</v>
      </c>
      <c r="C823" s="34"/>
      <c r="D823" s="24" t="s">
        <v>5122</v>
      </c>
      <c r="E823" s="28" t="s">
        <v>5123</v>
      </c>
      <c r="F823" s="34"/>
      <c r="G823" s="35">
        <v>45383.0</v>
      </c>
      <c r="H823" s="34"/>
      <c r="I823" s="34"/>
      <c r="J823" s="34"/>
      <c r="K823" s="34"/>
      <c r="L823" s="34"/>
      <c r="M823" s="33">
        <f>HYPERLINK("https://app.hubspot.com/contacts/8748051/record/0-2/7946249117", 7946249117)</f>
        <v>7946249117</v>
      </c>
      <c r="N823" s="24" t="s">
        <v>5124</v>
      </c>
      <c r="O823" s="34"/>
      <c r="P823" s="34"/>
      <c r="Q823" s="34"/>
      <c r="R823" s="34"/>
      <c r="S823" s="34"/>
      <c r="T823" s="34" t="str">
        <f t="shared" ref="T823:V823" si="828">IF(G823&lt;&gt;"","Yes","")</f>
        <v>Yes</v>
      </c>
      <c r="U823" s="34" t="str">
        <f t="shared" si="828"/>
        <v/>
      </c>
      <c r="V823" s="34" t="str">
        <f t="shared" si="828"/>
        <v/>
      </c>
      <c r="W823" s="34" t="str">
        <f t="shared" si="3"/>
        <v/>
      </c>
      <c r="X823" s="24" t="str">
        <f t="shared" si="4"/>
        <v/>
      </c>
    </row>
    <row r="824" ht="14.25" customHeight="1">
      <c r="A824" s="33">
        <f>HYPERLINK("https://app.hubspot.com/contacts/8748051/record/0-1/3019851", 3019851)</f>
        <v>3019851</v>
      </c>
      <c r="B824" s="24" t="s">
        <v>5125</v>
      </c>
      <c r="C824" s="34"/>
      <c r="D824" s="24" t="s">
        <v>5126</v>
      </c>
      <c r="E824" s="28" t="s">
        <v>1875</v>
      </c>
      <c r="F824" s="34"/>
      <c r="G824" s="34"/>
      <c r="H824" s="34"/>
      <c r="I824" s="34"/>
      <c r="J824" s="34"/>
      <c r="K824" s="34"/>
      <c r="L824" s="34"/>
      <c r="M824" s="33">
        <f>HYPERLINK("https://app.hubspot.com/contacts/8748051/record/0-2/8920383258", 8920383258)</f>
        <v>8920383258</v>
      </c>
      <c r="N824" s="24" t="s">
        <v>1874</v>
      </c>
      <c r="O824" s="33">
        <f>HYPERLINK("https://app.hubspot.com/contacts/8748051/record/0-3/18710066546", 18710066546)</f>
        <v>18710066546</v>
      </c>
      <c r="P824" s="24" t="s">
        <v>1873</v>
      </c>
      <c r="Q824" s="24" t="s">
        <v>127</v>
      </c>
      <c r="R824" s="24">
        <v>10080.0</v>
      </c>
      <c r="S824" s="24" t="b">
        <v>1</v>
      </c>
      <c r="T824" s="34" t="str">
        <f t="shared" ref="T824:V824" si="829">IF(G824&lt;&gt;"","Yes","")</f>
        <v/>
      </c>
      <c r="U824" s="34" t="str">
        <f t="shared" si="829"/>
        <v/>
      </c>
      <c r="V824" s="34" t="str">
        <f t="shared" si="829"/>
        <v/>
      </c>
      <c r="W824" s="34" t="str">
        <f t="shared" si="3"/>
        <v/>
      </c>
      <c r="X824" s="24" t="str">
        <f t="shared" si="4"/>
        <v/>
      </c>
    </row>
    <row r="825" ht="14.25" customHeight="1">
      <c r="A825" s="33">
        <f>HYPERLINK("https://app.hubspot.com/contacts/8748051/record/0-1/3075501", 3075501)</f>
        <v>3075501</v>
      </c>
      <c r="B825" s="24" t="s">
        <v>5127</v>
      </c>
      <c r="C825" s="34"/>
      <c r="D825" s="24" t="s">
        <v>5128</v>
      </c>
      <c r="E825" s="28" t="s">
        <v>305</v>
      </c>
      <c r="F825" s="34"/>
      <c r="G825" s="35">
        <v>45276.0</v>
      </c>
      <c r="H825" s="35">
        <v>45301.0</v>
      </c>
      <c r="I825" s="35">
        <v>45301.0</v>
      </c>
      <c r="J825" s="34"/>
      <c r="K825" s="34"/>
      <c r="L825" s="34"/>
      <c r="M825" s="33">
        <f>HYPERLINK("https://app.hubspot.com/contacts/8748051/record/0-2/18382656883", 18382656883)</f>
        <v>18382656883</v>
      </c>
      <c r="N825" s="24" t="s">
        <v>304</v>
      </c>
      <c r="O825" s="33">
        <f>HYPERLINK("https://app.hubspot.com/contacts/8748051/record/0-3/16878472798", 16878472798)</f>
        <v>16878472798</v>
      </c>
      <c r="P825" s="24" t="s">
        <v>2360</v>
      </c>
      <c r="Q825" s="24" t="s">
        <v>92</v>
      </c>
      <c r="R825" s="24">
        <v>25000.0</v>
      </c>
      <c r="S825" s="24" t="b">
        <v>1</v>
      </c>
      <c r="T825" s="34" t="str">
        <f t="shared" ref="T825:V825" si="830">IF(G825&lt;&gt;"","Yes","")</f>
        <v>Yes</v>
      </c>
      <c r="U825" s="34" t="str">
        <f t="shared" si="830"/>
        <v>Yes</v>
      </c>
      <c r="V825" s="34" t="str">
        <f t="shared" si="830"/>
        <v>Yes</v>
      </c>
      <c r="W825" s="34" t="str">
        <f t="shared" si="3"/>
        <v>Yes</v>
      </c>
      <c r="X825" s="24" t="str">
        <f t="shared" si="4"/>
        <v/>
      </c>
    </row>
    <row r="826" ht="14.25" customHeight="1">
      <c r="A826" s="33">
        <f>HYPERLINK("https://app.hubspot.com/contacts/8748051/record/0-1/3111651", 3111651)</f>
        <v>3111651</v>
      </c>
      <c r="B826" s="24" t="s">
        <v>5129</v>
      </c>
      <c r="C826" s="34"/>
      <c r="D826" s="24" t="s">
        <v>5130</v>
      </c>
      <c r="E826" s="28" t="s">
        <v>5131</v>
      </c>
      <c r="F826" s="34"/>
      <c r="G826" s="35">
        <v>45733.0</v>
      </c>
      <c r="H826" s="34"/>
      <c r="I826" s="34"/>
      <c r="J826" s="34"/>
      <c r="K826" s="34"/>
      <c r="L826" s="34"/>
      <c r="M826" s="33">
        <f>HYPERLINK("https://app.hubspot.com/contacts/8748051/record/0-2/7647877919", 7647877919)</f>
        <v>7647877919</v>
      </c>
      <c r="N826" s="24" t="s">
        <v>5132</v>
      </c>
      <c r="O826" s="34"/>
      <c r="P826" s="34"/>
      <c r="Q826" s="34"/>
      <c r="R826" s="34"/>
      <c r="S826" s="34"/>
      <c r="T826" s="34" t="str">
        <f t="shared" ref="T826:V826" si="831">IF(G826&lt;&gt;"","Yes","")</f>
        <v>Yes</v>
      </c>
      <c r="U826" s="34" t="str">
        <f t="shared" si="831"/>
        <v/>
      </c>
      <c r="V826" s="34" t="str">
        <f t="shared" si="831"/>
        <v/>
      </c>
      <c r="W826" s="34" t="str">
        <f t="shared" si="3"/>
        <v/>
      </c>
      <c r="X826" s="24" t="str">
        <f t="shared" si="4"/>
        <v/>
      </c>
    </row>
    <row r="827" ht="14.25" customHeight="1">
      <c r="A827" s="33">
        <f>HYPERLINK("https://app.hubspot.com/contacts/8748051/record/0-1/3141501", 3141501)</f>
        <v>3141501</v>
      </c>
      <c r="B827" s="24" t="s">
        <v>5133</v>
      </c>
      <c r="C827" s="34"/>
      <c r="D827" s="24" t="s">
        <v>5134</v>
      </c>
      <c r="E827" s="28" t="s">
        <v>1915</v>
      </c>
      <c r="F827" s="34"/>
      <c r="G827" s="35">
        <v>45265.0</v>
      </c>
      <c r="H827" s="34"/>
      <c r="I827" s="34"/>
      <c r="J827" s="34"/>
      <c r="K827" s="34"/>
      <c r="L827" s="34"/>
      <c r="M827" s="33">
        <f>HYPERLINK("https://app.hubspot.com/contacts/8748051/record/0-2/7975237289", 7975237289)</f>
        <v>7975237289</v>
      </c>
      <c r="N827" s="24" t="s">
        <v>1914</v>
      </c>
      <c r="O827" s="34"/>
      <c r="P827" s="34"/>
      <c r="Q827" s="34"/>
      <c r="R827" s="34"/>
      <c r="S827" s="34"/>
      <c r="T827" s="34" t="str">
        <f t="shared" ref="T827:V827" si="832">IF(G827&lt;&gt;"","Yes","")</f>
        <v>Yes</v>
      </c>
      <c r="U827" s="34" t="str">
        <f t="shared" si="832"/>
        <v/>
      </c>
      <c r="V827" s="34" t="str">
        <f t="shared" si="832"/>
        <v/>
      </c>
      <c r="W827" s="34" t="str">
        <f t="shared" si="3"/>
        <v/>
      </c>
      <c r="X827" s="24" t="str">
        <f t="shared" si="4"/>
        <v/>
      </c>
    </row>
    <row r="828" ht="14.25" customHeight="1">
      <c r="A828" s="33">
        <f>HYPERLINK("https://app.hubspot.com/contacts/8748051/record/0-1/3146051", 3146051)</f>
        <v>3146051</v>
      </c>
      <c r="B828" s="24" t="s">
        <v>5135</v>
      </c>
      <c r="C828" s="34"/>
      <c r="D828" s="24" t="s">
        <v>5136</v>
      </c>
      <c r="E828" s="28" t="s">
        <v>2044</v>
      </c>
      <c r="F828" s="34"/>
      <c r="G828" s="34"/>
      <c r="H828" s="34"/>
      <c r="I828" s="34"/>
      <c r="J828" s="34"/>
      <c r="K828" s="34"/>
      <c r="L828" s="34"/>
      <c r="M828" s="33">
        <f>HYPERLINK("https://app.hubspot.com/contacts/8748051/record/0-2/18252335002", 18252335002)</f>
        <v>18252335002</v>
      </c>
      <c r="N828" s="24" t="s">
        <v>2043</v>
      </c>
      <c r="O828" s="34"/>
      <c r="P828" s="34"/>
      <c r="Q828" s="34"/>
      <c r="R828" s="34"/>
      <c r="S828" s="34"/>
      <c r="T828" s="34" t="str">
        <f t="shared" ref="T828:V828" si="833">IF(G828&lt;&gt;"","Yes","")</f>
        <v/>
      </c>
      <c r="U828" s="34" t="str">
        <f t="shared" si="833"/>
        <v/>
      </c>
      <c r="V828" s="34" t="str">
        <f t="shared" si="833"/>
        <v/>
      </c>
      <c r="W828" s="34" t="str">
        <f t="shared" si="3"/>
        <v/>
      </c>
      <c r="X828" s="24" t="str">
        <f t="shared" si="4"/>
        <v/>
      </c>
    </row>
    <row r="829" ht="14.25" customHeight="1">
      <c r="A829" s="33">
        <f>HYPERLINK("https://app.hubspot.com/contacts/8748051/record/0-1/3146351", 3146351)</f>
        <v>3146351</v>
      </c>
      <c r="B829" s="24" t="s">
        <v>5137</v>
      </c>
      <c r="C829" s="34"/>
      <c r="D829" s="24" t="s">
        <v>5138</v>
      </c>
      <c r="E829" s="28" t="s">
        <v>5139</v>
      </c>
      <c r="F829" s="34"/>
      <c r="G829" s="34"/>
      <c r="H829" s="34"/>
      <c r="I829" s="34"/>
      <c r="J829" s="34"/>
      <c r="K829" s="34"/>
      <c r="L829" s="34"/>
      <c r="M829" s="33">
        <f>HYPERLINK("https://app.hubspot.com/contacts/8748051/record/0-2/6816601910", 6816601910)</f>
        <v>6816601910</v>
      </c>
      <c r="N829" s="24" t="s">
        <v>5140</v>
      </c>
      <c r="O829" s="34"/>
      <c r="P829" s="34"/>
      <c r="Q829" s="34"/>
      <c r="R829" s="34"/>
      <c r="S829" s="34"/>
      <c r="T829" s="34" t="str">
        <f t="shared" ref="T829:V829" si="834">IF(G829&lt;&gt;"","Yes","")</f>
        <v/>
      </c>
      <c r="U829" s="34" t="str">
        <f t="shared" si="834"/>
        <v/>
      </c>
      <c r="V829" s="34" t="str">
        <f t="shared" si="834"/>
        <v/>
      </c>
      <c r="W829" s="34" t="str">
        <f t="shared" si="3"/>
        <v/>
      </c>
      <c r="X829" s="24" t="str">
        <f t="shared" si="4"/>
        <v/>
      </c>
    </row>
    <row r="830" ht="14.25" customHeight="1">
      <c r="A830" s="33">
        <f>HYPERLINK("https://app.hubspot.com/contacts/8748051/record/0-1/3146551", 3146551)</f>
        <v>3146551</v>
      </c>
      <c r="B830" s="24" t="s">
        <v>5141</v>
      </c>
      <c r="C830" s="34"/>
      <c r="D830" s="24" t="s">
        <v>5142</v>
      </c>
      <c r="E830" s="28" t="s">
        <v>5143</v>
      </c>
      <c r="F830" s="34"/>
      <c r="G830" s="34"/>
      <c r="H830" s="34"/>
      <c r="I830" s="34"/>
      <c r="J830" s="34"/>
      <c r="K830" s="34"/>
      <c r="L830" s="34"/>
      <c r="M830" s="33">
        <f>HYPERLINK("https://app.hubspot.com/contacts/8748051/record/0-2/6816487061", 6816487061)</f>
        <v>6816487061</v>
      </c>
      <c r="N830" s="24" t="s">
        <v>5144</v>
      </c>
      <c r="O830" s="34"/>
      <c r="P830" s="34"/>
      <c r="Q830" s="34"/>
      <c r="R830" s="34"/>
      <c r="S830" s="34"/>
      <c r="T830" s="34" t="str">
        <f t="shared" ref="T830:V830" si="835">IF(G830&lt;&gt;"","Yes","")</f>
        <v/>
      </c>
      <c r="U830" s="34" t="str">
        <f t="shared" si="835"/>
        <v/>
      </c>
      <c r="V830" s="34" t="str">
        <f t="shared" si="835"/>
        <v/>
      </c>
      <c r="W830" s="34" t="str">
        <f t="shared" si="3"/>
        <v/>
      </c>
      <c r="X830" s="24" t="str">
        <f t="shared" si="4"/>
        <v/>
      </c>
    </row>
    <row r="831" ht="14.25" customHeight="1">
      <c r="A831" s="33">
        <f>HYPERLINK("https://app.hubspot.com/contacts/8748051/record/0-1/3147301", 3147301)</f>
        <v>3147301</v>
      </c>
      <c r="B831" s="24" t="s">
        <v>5145</v>
      </c>
      <c r="C831" s="34"/>
      <c r="D831" s="24" t="s">
        <v>5146</v>
      </c>
      <c r="E831" s="28" t="s">
        <v>4805</v>
      </c>
      <c r="F831" s="34"/>
      <c r="G831" s="34"/>
      <c r="H831" s="34"/>
      <c r="I831" s="34"/>
      <c r="J831" s="34"/>
      <c r="K831" s="34"/>
      <c r="L831" s="34"/>
      <c r="M831" s="33">
        <f>HYPERLINK("https://app.hubspot.com/contacts/8748051/record/0-2/9094689639", 9094689639)</f>
        <v>9094689639</v>
      </c>
      <c r="N831" s="24" t="s">
        <v>4806</v>
      </c>
      <c r="O831" s="34"/>
      <c r="P831" s="34"/>
      <c r="Q831" s="34"/>
      <c r="R831" s="34"/>
      <c r="S831" s="34"/>
      <c r="T831" s="34" t="str">
        <f t="shared" ref="T831:V831" si="836">IF(G831&lt;&gt;"","Yes","")</f>
        <v/>
      </c>
      <c r="U831" s="34" t="str">
        <f t="shared" si="836"/>
        <v/>
      </c>
      <c r="V831" s="34" t="str">
        <f t="shared" si="836"/>
        <v/>
      </c>
      <c r="W831" s="34" t="str">
        <f t="shared" si="3"/>
        <v/>
      </c>
      <c r="X831" s="24" t="str">
        <f t="shared" si="4"/>
        <v/>
      </c>
    </row>
    <row r="832" ht="14.25" customHeight="1">
      <c r="A832" s="33">
        <f>HYPERLINK("https://app.hubspot.com/contacts/8748051/record/0-1/3150451", 3150451)</f>
        <v>3150451</v>
      </c>
      <c r="B832" s="24" t="s">
        <v>5147</v>
      </c>
      <c r="C832" s="34"/>
      <c r="D832" s="24" t="s">
        <v>5148</v>
      </c>
      <c r="E832" s="28" t="s">
        <v>5149</v>
      </c>
      <c r="F832" s="24" t="s">
        <v>4121</v>
      </c>
      <c r="G832" s="34"/>
      <c r="H832" s="34"/>
      <c r="I832" s="34"/>
      <c r="J832" s="34"/>
      <c r="K832" s="34"/>
      <c r="L832" s="34"/>
      <c r="M832" s="33">
        <f>HYPERLINK("https://app.hubspot.com/contacts/8748051/record/0-2/15149180482", 15149180482)</f>
        <v>15149180482</v>
      </c>
      <c r="N832" s="24" t="s">
        <v>5150</v>
      </c>
      <c r="O832" s="34"/>
      <c r="P832" s="34"/>
      <c r="Q832" s="34"/>
      <c r="R832" s="34"/>
      <c r="S832" s="34"/>
      <c r="T832" s="34" t="str">
        <f t="shared" ref="T832:V832" si="837">IF(G832&lt;&gt;"","Yes","")</f>
        <v/>
      </c>
      <c r="U832" s="34" t="str">
        <f t="shared" si="837"/>
        <v/>
      </c>
      <c r="V832" s="34" t="str">
        <f t="shared" si="837"/>
        <v/>
      </c>
      <c r="W832" s="34" t="str">
        <f t="shared" si="3"/>
        <v/>
      </c>
      <c r="X832" s="24" t="str">
        <f t="shared" si="4"/>
        <v/>
      </c>
    </row>
    <row r="833" ht="14.25" customHeight="1">
      <c r="A833" s="33">
        <f>HYPERLINK("https://app.hubspot.com/contacts/8748051/record/0-1/3153951", 3153951)</f>
        <v>3153951</v>
      </c>
      <c r="B833" s="24" t="s">
        <v>5151</v>
      </c>
      <c r="C833" s="34"/>
      <c r="D833" s="24" t="s">
        <v>5152</v>
      </c>
      <c r="E833" s="28" t="s">
        <v>541</v>
      </c>
      <c r="F833" s="24" t="s">
        <v>4253</v>
      </c>
      <c r="G833" s="34"/>
      <c r="H833" s="34"/>
      <c r="I833" s="34"/>
      <c r="J833" s="34"/>
      <c r="K833" s="34"/>
      <c r="L833" s="34"/>
      <c r="M833" s="33">
        <f>HYPERLINK("https://app.hubspot.com/contacts/8748051/record/0-2/8714341039", 8714341039)</f>
        <v>8714341039</v>
      </c>
      <c r="N833" s="24" t="s">
        <v>540</v>
      </c>
      <c r="O833" s="34"/>
      <c r="P833" s="34"/>
      <c r="Q833" s="34"/>
      <c r="R833" s="34"/>
      <c r="S833" s="34"/>
      <c r="T833" s="34" t="str">
        <f t="shared" ref="T833:V833" si="838">IF(G833&lt;&gt;"","Yes","")</f>
        <v/>
      </c>
      <c r="U833" s="34" t="str">
        <f t="shared" si="838"/>
        <v/>
      </c>
      <c r="V833" s="34" t="str">
        <f t="shared" si="838"/>
        <v/>
      </c>
      <c r="W833" s="34" t="str">
        <f t="shared" si="3"/>
        <v/>
      </c>
      <c r="X833" s="24" t="str">
        <f t="shared" si="4"/>
        <v/>
      </c>
    </row>
    <row r="834" ht="14.25" customHeight="1">
      <c r="A834" s="33">
        <f>HYPERLINK("https://app.hubspot.com/contacts/8748051/record/0-1/3154201", 3154201)</f>
        <v>3154201</v>
      </c>
      <c r="B834" s="24" t="s">
        <v>5153</v>
      </c>
      <c r="C834" s="34"/>
      <c r="D834" s="24" t="s">
        <v>5154</v>
      </c>
      <c r="E834" s="28" t="s">
        <v>589</v>
      </c>
      <c r="F834" s="34"/>
      <c r="G834" s="35">
        <v>45261.0</v>
      </c>
      <c r="H834" s="34"/>
      <c r="I834" s="34"/>
      <c r="J834" s="34"/>
      <c r="K834" s="34"/>
      <c r="L834" s="34"/>
      <c r="M834" s="33">
        <f>HYPERLINK("https://app.hubspot.com/contacts/8748051/record/0-2/9186970749", 9186970749)</f>
        <v>9186970749</v>
      </c>
      <c r="N834" s="24" t="s">
        <v>588</v>
      </c>
      <c r="O834" s="34"/>
      <c r="P834" s="34"/>
      <c r="Q834" s="34"/>
      <c r="R834" s="34"/>
      <c r="S834" s="34"/>
      <c r="T834" s="34" t="str">
        <f t="shared" ref="T834:V834" si="839">IF(G834&lt;&gt;"","Yes","")</f>
        <v>Yes</v>
      </c>
      <c r="U834" s="34" t="str">
        <f t="shared" si="839"/>
        <v/>
      </c>
      <c r="V834" s="34" t="str">
        <f t="shared" si="839"/>
        <v/>
      </c>
      <c r="W834" s="34" t="str">
        <f t="shared" si="3"/>
        <v/>
      </c>
      <c r="X834" s="24" t="str">
        <f t="shared" si="4"/>
        <v/>
      </c>
    </row>
    <row r="835" ht="14.25" customHeight="1">
      <c r="A835" s="33">
        <f>HYPERLINK("https://app.hubspot.com/contacts/8748051/record/0-1/3154551", 3154551)</f>
        <v>3154551</v>
      </c>
      <c r="B835" s="24" t="s">
        <v>5155</v>
      </c>
      <c r="C835" s="34"/>
      <c r="D835" s="24" t="s">
        <v>5156</v>
      </c>
      <c r="E835" s="28" t="s">
        <v>5157</v>
      </c>
      <c r="F835" s="34"/>
      <c r="G835" s="35">
        <v>45261.0</v>
      </c>
      <c r="H835" s="34"/>
      <c r="I835" s="34"/>
      <c r="J835" s="34"/>
      <c r="K835" s="34"/>
      <c r="L835" s="34"/>
      <c r="M835" s="33">
        <f>HYPERLINK("https://app.hubspot.com/contacts/8748051/record/0-2/9238368636", 9238368636)</f>
        <v>9238368636</v>
      </c>
      <c r="N835" s="24" t="s">
        <v>5158</v>
      </c>
      <c r="O835" s="34"/>
      <c r="P835" s="34"/>
      <c r="Q835" s="34"/>
      <c r="R835" s="34"/>
      <c r="S835" s="34"/>
      <c r="T835" s="34" t="str">
        <f t="shared" ref="T835:V835" si="840">IF(G835&lt;&gt;"","Yes","")</f>
        <v>Yes</v>
      </c>
      <c r="U835" s="34" t="str">
        <f t="shared" si="840"/>
        <v/>
      </c>
      <c r="V835" s="34" t="str">
        <f t="shared" si="840"/>
        <v/>
      </c>
      <c r="W835" s="34" t="str">
        <f t="shared" si="3"/>
        <v/>
      </c>
      <c r="X835" s="24" t="str">
        <f t="shared" si="4"/>
        <v/>
      </c>
    </row>
    <row r="836" ht="14.25" customHeight="1">
      <c r="A836" s="33">
        <f>HYPERLINK("https://app.hubspot.com/contacts/8748051/record/0-1/3154901", 3154901)</f>
        <v>3154901</v>
      </c>
      <c r="B836" s="24" t="s">
        <v>5159</v>
      </c>
      <c r="C836" s="34"/>
      <c r="D836" s="24" t="s">
        <v>5160</v>
      </c>
      <c r="E836" s="28" t="s">
        <v>2386</v>
      </c>
      <c r="F836" s="34"/>
      <c r="G836" s="35">
        <v>45261.0</v>
      </c>
      <c r="H836" s="35">
        <v>45279.0</v>
      </c>
      <c r="I836" s="35">
        <v>45279.0</v>
      </c>
      <c r="J836" s="34"/>
      <c r="K836" s="34"/>
      <c r="L836" s="34"/>
      <c r="M836" s="33">
        <f>HYPERLINK("https://app.hubspot.com/contacts/8748051/record/0-2/14809836036", 14809836036)</f>
        <v>14809836036</v>
      </c>
      <c r="N836" s="24" t="s">
        <v>2385</v>
      </c>
      <c r="O836" s="33">
        <f>HYPERLINK("https://app.hubspot.com/contacts/8748051/record/0-3/16583441408", 16583441408)</f>
        <v>16583441408</v>
      </c>
      <c r="P836" s="24" t="s">
        <v>2384</v>
      </c>
      <c r="Q836" s="24" t="s">
        <v>73</v>
      </c>
      <c r="R836" s="24">
        <v>100000.0</v>
      </c>
      <c r="S836" s="34"/>
      <c r="T836" s="34" t="str">
        <f t="shared" ref="T836:V836" si="841">IF(G836&lt;&gt;"","Yes","")</f>
        <v>Yes</v>
      </c>
      <c r="U836" s="34" t="str">
        <f t="shared" si="841"/>
        <v>Yes</v>
      </c>
      <c r="V836" s="34" t="str">
        <f t="shared" si="841"/>
        <v>Yes</v>
      </c>
      <c r="W836" s="34" t="str">
        <f t="shared" si="3"/>
        <v/>
      </c>
      <c r="X836" s="24" t="str">
        <f t="shared" si="4"/>
        <v/>
      </c>
    </row>
    <row r="837" ht="14.25" customHeight="1">
      <c r="A837" s="33">
        <f>HYPERLINK("https://app.hubspot.com/contacts/8748051/record/0-1/3158251", 3158251)</f>
        <v>3158251</v>
      </c>
      <c r="B837" s="24" t="s">
        <v>5161</v>
      </c>
      <c r="C837" s="34"/>
      <c r="D837" s="24" t="s">
        <v>5162</v>
      </c>
      <c r="E837" s="28" t="s">
        <v>5163</v>
      </c>
      <c r="F837" s="34"/>
      <c r="G837" s="35">
        <v>45262.0</v>
      </c>
      <c r="H837" s="34"/>
      <c r="I837" s="34"/>
      <c r="J837" s="34"/>
      <c r="K837" s="34"/>
      <c r="L837" s="34"/>
      <c r="M837" s="33">
        <f>HYPERLINK("https://app.hubspot.com/contacts/8748051/record/0-2/9238290100", 9238290100)</f>
        <v>9238290100</v>
      </c>
      <c r="N837" s="24" t="s">
        <v>5164</v>
      </c>
      <c r="O837" s="34"/>
      <c r="P837" s="34"/>
      <c r="Q837" s="34"/>
      <c r="R837" s="34"/>
      <c r="S837" s="34"/>
      <c r="T837" s="34" t="str">
        <f t="shared" ref="T837:V837" si="842">IF(G837&lt;&gt;"","Yes","")</f>
        <v>Yes</v>
      </c>
      <c r="U837" s="34" t="str">
        <f t="shared" si="842"/>
        <v/>
      </c>
      <c r="V837" s="34" t="str">
        <f t="shared" si="842"/>
        <v/>
      </c>
      <c r="W837" s="34" t="str">
        <f t="shared" si="3"/>
        <v/>
      </c>
      <c r="X837" s="24" t="str">
        <f t="shared" si="4"/>
        <v/>
      </c>
    </row>
    <row r="838" ht="14.25" customHeight="1">
      <c r="A838" s="33">
        <f>HYPERLINK("https://app.hubspot.com/contacts/8748051/record/0-1/3159501", 3159501)</f>
        <v>3159501</v>
      </c>
      <c r="B838" s="24" t="s">
        <v>5165</v>
      </c>
      <c r="C838" s="34"/>
      <c r="D838" s="24" t="s">
        <v>5166</v>
      </c>
      <c r="E838" s="28" t="s">
        <v>784</v>
      </c>
      <c r="F838" s="34"/>
      <c r="G838" s="35">
        <v>45432.0</v>
      </c>
      <c r="H838" s="34"/>
      <c r="I838" s="34"/>
      <c r="J838" s="34"/>
      <c r="K838" s="34"/>
      <c r="L838" s="34"/>
      <c r="M838" s="33">
        <f>HYPERLINK("https://app.hubspot.com/contacts/8748051/record/0-2/9238251109", 9238251109)</f>
        <v>9238251109</v>
      </c>
      <c r="N838" s="24" t="s">
        <v>783</v>
      </c>
      <c r="O838" s="34"/>
      <c r="P838" s="34"/>
      <c r="Q838" s="34"/>
      <c r="R838" s="34"/>
      <c r="S838" s="34"/>
      <c r="T838" s="34" t="str">
        <f t="shared" ref="T838:V838" si="843">IF(G838&lt;&gt;"","Yes","")</f>
        <v>Yes</v>
      </c>
      <c r="U838" s="34" t="str">
        <f t="shared" si="843"/>
        <v/>
      </c>
      <c r="V838" s="34" t="str">
        <f t="shared" si="843"/>
        <v/>
      </c>
      <c r="W838" s="34" t="str">
        <f t="shared" si="3"/>
        <v/>
      </c>
      <c r="X838" s="24" t="str">
        <f t="shared" si="4"/>
        <v/>
      </c>
    </row>
    <row r="839" ht="14.25" customHeight="1">
      <c r="A839" s="33">
        <f>HYPERLINK("https://app.hubspot.com/contacts/8748051/record/0-1/3159601", 3159601)</f>
        <v>3159601</v>
      </c>
      <c r="B839" s="24" t="s">
        <v>5167</v>
      </c>
      <c r="C839" s="34"/>
      <c r="D839" s="24" t="s">
        <v>5168</v>
      </c>
      <c r="E839" s="28" t="s">
        <v>5169</v>
      </c>
      <c r="F839" s="24" t="s">
        <v>5170</v>
      </c>
      <c r="G839" s="34"/>
      <c r="H839" s="34"/>
      <c r="I839" s="34"/>
      <c r="J839" s="34"/>
      <c r="K839" s="34"/>
      <c r="L839" s="34"/>
      <c r="M839" s="33">
        <f>HYPERLINK("https://app.hubspot.com/contacts/8748051/record/0-2/18302264238", 18302264238)</f>
        <v>18302264238</v>
      </c>
      <c r="N839" s="24" t="s">
        <v>5171</v>
      </c>
      <c r="O839" s="34"/>
      <c r="P839" s="34"/>
      <c r="Q839" s="34"/>
      <c r="R839" s="34"/>
      <c r="S839" s="34"/>
      <c r="T839" s="34" t="str">
        <f t="shared" ref="T839:V839" si="844">IF(G839&lt;&gt;"","Yes","")</f>
        <v/>
      </c>
      <c r="U839" s="34" t="str">
        <f t="shared" si="844"/>
        <v/>
      </c>
      <c r="V839" s="34" t="str">
        <f t="shared" si="844"/>
        <v/>
      </c>
      <c r="W839" s="34" t="str">
        <f t="shared" si="3"/>
        <v/>
      </c>
      <c r="X839" s="24" t="str">
        <f t="shared" si="4"/>
        <v/>
      </c>
    </row>
    <row r="840" ht="14.25" customHeight="1">
      <c r="A840" s="33">
        <f>HYPERLINK("https://app.hubspot.com/contacts/8748051/record/0-1/3164001", 3164001)</f>
        <v>3164001</v>
      </c>
      <c r="B840" s="24" t="s">
        <v>5172</v>
      </c>
      <c r="C840" s="34"/>
      <c r="D840" s="24" t="s">
        <v>5173</v>
      </c>
      <c r="E840" s="28" t="s">
        <v>2175</v>
      </c>
      <c r="F840" s="34"/>
      <c r="G840" s="35">
        <v>45264.0</v>
      </c>
      <c r="H840" s="34"/>
      <c r="I840" s="34"/>
      <c r="J840" s="34"/>
      <c r="K840" s="34"/>
      <c r="L840" s="34"/>
      <c r="M840" s="33">
        <f>HYPERLINK("https://app.hubspot.com/contacts/8748051/record/0-2/6262695047", 6262695047)</f>
        <v>6262695047</v>
      </c>
      <c r="N840" s="24" t="s">
        <v>2174</v>
      </c>
      <c r="O840" s="33">
        <f>HYPERLINK("https://app.hubspot.com/contacts/8748051/record/0-3/17694632028", 17694632028)</f>
        <v>17694632028</v>
      </c>
      <c r="P840" s="24" t="s">
        <v>2173</v>
      </c>
      <c r="Q840" s="24" t="s">
        <v>73</v>
      </c>
      <c r="R840" s="24">
        <v>10320.0</v>
      </c>
      <c r="S840" s="34"/>
      <c r="T840" s="34" t="str">
        <f t="shared" ref="T840:V840" si="845">IF(G840&lt;&gt;"","Yes","")</f>
        <v>Yes</v>
      </c>
      <c r="U840" s="34" t="str">
        <f t="shared" si="845"/>
        <v/>
      </c>
      <c r="V840" s="34" t="str">
        <f t="shared" si="845"/>
        <v/>
      </c>
      <c r="W840" s="34" t="str">
        <f t="shared" si="3"/>
        <v/>
      </c>
      <c r="X840" s="24" t="str">
        <f t="shared" si="4"/>
        <v/>
      </c>
    </row>
    <row r="841" ht="14.25" customHeight="1">
      <c r="A841" s="33">
        <f>HYPERLINK("https://app.hubspot.com/contacts/8748051/record/0-1/3165351", 3165351)</f>
        <v>3165351</v>
      </c>
      <c r="B841" s="24" t="s">
        <v>5174</v>
      </c>
      <c r="C841" s="34"/>
      <c r="D841" s="24" t="s">
        <v>5175</v>
      </c>
      <c r="E841" s="28" t="s">
        <v>2439</v>
      </c>
      <c r="F841" s="34"/>
      <c r="G841" s="35">
        <v>45265.0</v>
      </c>
      <c r="H841" s="35">
        <v>45265.0</v>
      </c>
      <c r="I841" s="35">
        <v>45265.0</v>
      </c>
      <c r="J841" s="34"/>
      <c r="K841" s="34"/>
      <c r="L841" s="34"/>
      <c r="M841" s="33">
        <f>HYPERLINK("https://app.hubspot.com/contacts/8748051/record/0-2/7502884737", 7502884737)</f>
        <v>7502884737</v>
      </c>
      <c r="N841" s="24" t="s">
        <v>2438</v>
      </c>
      <c r="O841" s="33">
        <f>HYPERLINK("https://app.hubspot.com/contacts/8748051/record/0-3/16388213329", 16388213329)</f>
        <v>16388213329</v>
      </c>
      <c r="P841" s="24" t="s">
        <v>2437</v>
      </c>
      <c r="Q841" s="24" t="s">
        <v>127</v>
      </c>
      <c r="R841" s="24">
        <v>35000.0</v>
      </c>
      <c r="S841" s="24" t="b">
        <v>1</v>
      </c>
      <c r="T841" s="34" t="str">
        <f t="shared" ref="T841:V841" si="846">IF(G841&lt;&gt;"","Yes","")</f>
        <v>Yes</v>
      </c>
      <c r="U841" s="34" t="str">
        <f t="shared" si="846"/>
        <v>Yes</v>
      </c>
      <c r="V841" s="34" t="str">
        <f t="shared" si="846"/>
        <v>Yes</v>
      </c>
      <c r="W841" s="34" t="str">
        <f t="shared" si="3"/>
        <v/>
      </c>
      <c r="X841" s="24" t="str">
        <f t="shared" si="4"/>
        <v/>
      </c>
    </row>
    <row r="842" ht="14.25" customHeight="1">
      <c r="A842" s="33">
        <f>HYPERLINK("https://app.hubspot.com/contacts/8748051/record/0-1/3169201", 3169201)</f>
        <v>3169201</v>
      </c>
      <c r="B842" s="24" t="s">
        <v>5176</v>
      </c>
      <c r="C842" s="34"/>
      <c r="D842" s="24" t="s">
        <v>5177</v>
      </c>
      <c r="E842" s="28" t="s">
        <v>2411</v>
      </c>
      <c r="F842" s="34"/>
      <c r="G842" s="35">
        <v>45265.0</v>
      </c>
      <c r="H842" s="35">
        <v>45274.0</v>
      </c>
      <c r="I842" s="35">
        <v>45274.0</v>
      </c>
      <c r="J842" s="34"/>
      <c r="K842" s="34"/>
      <c r="L842" s="34"/>
      <c r="M842" s="33">
        <f>HYPERLINK("https://app.hubspot.com/contacts/8748051/record/0-2/15939922518", 15939922518)</f>
        <v>15939922518</v>
      </c>
      <c r="N842" s="24" t="s">
        <v>2410</v>
      </c>
      <c r="O842" s="33">
        <f>HYPERLINK("https://app.hubspot.com/contacts/8748051/record/0-3/16508415114", 16508415114)</f>
        <v>16508415114</v>
      </c>
      <c r="P842" s="24" t="s">
        <v>2409</v>
      </c>
      <c r="Q842" s="24" t="s">
        <v>127</v>
      </c>
      <c r="R842" s="24">
        <v>72500.0</v>
      </c>
      <c r="S842" s="24" t="b">
        <v>1</v>
      </c>
      <c r="T842" s="34" t="str">
        <f t="shared" ref="T842:V842" si="847">IF(G842&lt;&gt;"","Yes","")</f>
        <v>Yes</v>
      </c>
      <c r="U842" s="34" t="str">
        <f t="shared" si="847"/>
        <v>Yes</v>
      </c>
      <c r="V842" s="34" t="str">
        <f t="shared" si="847"/>
        <v>Yes</v>
      </c>
      <c r="W842" s="34" t="str">
        <f t="shared" si="3"/>
        <v/>
      </c>
      <c r="X842" s="24" t="str">
        <f t="shared" si="4"/>
        <v/>
      </c>
    </row>
    <row r="843" ht="14.25" customHeight="1">
      <c r="A843" s="33">
        <f>HYPERLINK("https://app.hubspot.com/contacts/8748051/record/0-1/3172051", 3172051)</f>
        <v>3172051</v>
      </c>
      <c r="B843" s="24" t="s">
        <v>5178</v>
      </c>
      <c r="C843" s="34"/>
      <c r="D843" s="24" t="s">
        <v>5179</v>
      </c>
      <c r="E843" s="28" t="s">
        <v>5163</v>
      </c>
      <c r="F843" s="34"/>
      <c r="G843" s="35">
        <v>45266.0</v>
      </c>
      <c r="H843" s="34"/>
      <c r="I843" s="34"/>
      <c r="J843" s="34"/>
      <c r="K843" s="34"/>
      <c r="L843" s="34"/>
      <c r="M843" s="33">
        <f>HYPERLINK("https://app.hubspot.com/contacts/8748051/record/0-2/9238290100", 9238290100)</f>
        <v>9238290100</v>
      </c>
      <c r="N843" s="24" t="s">
        <v>5164</v>
      </c>
      <c r="O843" s="34"/>
      <c r="P843" s="34"/>
      <c r="Q843" s="34"/>
      <c r="R843" s="34"/>
      <c r="S843" s="34"/>
      <c r="T843" s="34" t="str">
        <f t="shared" ref="T843:V843" si="848">IF(G843&lt;&gt;"","Yes","")</f>
        <v>Yes</v>
      </c>
      <c r="U843" s="34" t="str">
        <f t="shared" si="848"/>
        <v/>
      </c>
      <c r="V843" s="34" t="str">
        <f t="shared" si="848"/>
        <v/>
      </c>
      <c r="W843" s="34" t="str">
        <f t="shared" si="3"/>
        <v/>
      </c>
      <c r="X843" s="24" t="str">
        <f t="shared" si="4"/>
        <v/>
      </c>
    </row>
    <row r="844" ht="14.25" customHeight="1">
      <c r="A844" s="33">
        <f>HYPERLINK("https://app.hubspot.com/contacts/8748051/record/0-1/3172901", 3172901)</f>
        <v>3172901</v>
      </c>
      <c r="B844" s="24" t="s">
        <v>5180</v>
      </c>
      <c r="C844" s="34"/>
      <c r="D844" s="24" t="s">
        <v>5181</v>
      </c>
      <c r="E844" s="28" t="s">
        <v>2202</v>
      </c>
      <c r="F844" s="34"/>
      <c r="G844" s="35">
        <v>45266.0</v>
      </c>
      <c r="H844" s="35">
        <v>45266.0</v>
      </c>
      <c r="I844" s="35">
        <v>45266.0</v>
      </c>
      <c r="J844" s="34"/>
      <c r="K844" s="34"/>
      <c r="L844" s="34"/>
      <c r="M844" s="33">
        <f>HYPERLINK("https://app.hubspot.com/contacts/8748051/record/0-2/7709596024", 7709596024)</f>
        <v>7709596024</v>
      </c>
      <c r="N844" s="24" t="s">
        <v>2201</v>
      </c>
      <c r="O844" s="33">
        <f>HYPERLINK("https://app.hubspot.com/contacts/8748051/record/0-3/17626185031", 17626185031)</f>
        <v>17626185031</v>
      </c>
      <c r="P844" s="24" t="s">
        <v>2200</v>
      </c>
      <c r="Q844" s="24" t="s">
        <v>73</v>
      </c>
      <c r="R844" s="24">
        <v>22560.0</v>
      </c>
      <c r="S844" s="34"/>
      <c r="T844" s="34" t="str">
        <f t="shared" ref="T844:V844" si="849">IF(G844&lt;&gt;"","Yes","")</f>
        <v>Yes</v>
      </c>
      <c r="U844" s="34" t="str">
        <f t="shared" si="849"/>
        <v>Yes</v>
      </c>
      <c r="V844" s="34" t="str">
        <f t="shared" si="849"/>
        <v>Yes</v>
      </c>
      <c r="W844" s="34" t="str">
        <f t="shared" si="3"/>
        <v/>
      </c>
      <c r="X844" s="24" t="str">
        <f t="shared" si="4"/>
        <v/>
      </c>
    </row>
    <row r="845" ht="14.25" customHeight="1">
      <c r="A845" s="33">
        <f>HYPERLINK("https://app.hubspot.com/contacts/8748051/record/0-1/3183101", 3183101)</f>
        <v>3183101</v>
      </c>
      <c r="B845" s="24" t="s">
        <v>5182</v>
      </c>
      <c r="C845" s="34"/>
      <c r="D845" s="24" t="s">
        <v>5183</v>
      </c>
      <c r="E845" s="28" t="s">
        <v>2333</v>
      </c>
      <c r="F845" s="34"/>
      <c r="G845" s="35">
        <v>45268.0</v>
      </c>
      <c r="H845" s="35">
        <v>45263.0</v>
      </c>
      <c r="I845" s="35">
        <v>45263.0</v>
      </c>
      <c r="J845" s="34"/>
      <c r="K845" s="34"/>
      <c r="L845" s="34"/>
      <c r="M845" s="33">
        <f>HYPERLINK("https://app.hubspot.com/contacts/8748051/record/0-2/7646095542", 7646095542)</f>
        <v>7646095542</v>
      </c>
      <c r="N845" s="28" t="s">
        <v>2333</v>
      </c>
      <c r="O845" s="33">
        <f>HYPERLINK("https://app.hubspot.com/contacts/8748051/record/0-3/16996544815", 16996544815)</f>
        <v>16996544815</v>
      </c>
      <c r="P845" s="24" t="s">
        <v>2332</v>
      </c>
      <c r="Q845" s="24" t="s">
        <v>73</v>
      </c>
      <c r="R845" s="24">
        <v>100000.0</v>
      </c>
      <c r="S845" s="34"/>
      <c r="T845" s="34" t="str">
        <f t="shared" ref="T845:V845" si="850">IF(G845&lt;&gt;"","Yes","")</f>
        <v>Yes</v>
      </c>
      <c r="U845" s="34" t="str">
        <f t="shared" si="850"/>
        <v>Yes</v>
      </c>
      <c r="V845" s="34" t="str">
        <f t="shared" si="850"/>
        <v>Yes</v>
      </c>
      <c r="W845" s="34" t="str">
        <f t="shared" si="3"/>
        <v/>
      </c>
      <c r="X845" s="24" t="str">
        <f t="shared" si="4"/>
        <v/>
      </c>
    </row>
    <row r="846" ht="14.25" customHeight="1">
      <c r="A846" s="33">
        <f>HYPERLINK("https://app.hubspot.com/contacts/8748051/record/0-1/3183751", 3183751)</f>
        <v>3183751</v>
      </c>
      <c r="B846" s="24" t="s">
        <v>5184</v>
      </c>
      <c r="C846" s="34"/>
      <c r="D846" s="24" t="s">
        <v>5185</v>
      </c>
      <c r="E846" s="28" t="s">
        <v>5186</v>
      </c>
      <c r="F846" s="34"/>
      <c r="G846" s="35">
        <v>45268.0</v>
      </c>
      <c r="H846" s="35">
        <v>45271.0</v>
      </c>
      <c r="I846" s="35">
        <v>45271.0</v>
      </c>
      <c r="J846" s="34"/>
      <c r="K846" s="34"/>
      <c r="L846" s="34"/>
      <c r="M846" s="33">
        <f>HYPERLINK("https://app.hubspot.com/contacts/8748051/record/0-2/9238391417", 9238391417)</f>
        <v>9238391417</v>
      </c>
      <c r="N846" s="24" t="s">
        <v>5187</v>
      </c>
      <c r="O846" s="34"/>
      <c r="P846" s="34"/>
      <c r="Q846" s="34"/>
      <c r="R846" s="34"/>
      <c r="S846" s="34"/>
      <c r="T846" s="34" t="str">
        <f t="shared" ref="T846:V846" si="851">IF(G846&lt;&gt;"","Yes","")</f>
        <v>Yes</v>
      </c>
      <c r="U846" s="34" t="str">
        <f t="shared" si="851"/>
        <v>Yes</v>
      </c>
      <c r="V846" s="34" t="str">
        <f t="shared" si="851"/>
        <v>Yes</v>
      </c>
      <c r="W846" s="34" t="str">
        <f t="shared" si="3"/>
        <v/>
      </c>
      <c r="X846" s="24" t="str">
        <f t="shared" si="4"/>
        <v/>
      </c>
    </row>
    <row r="847" ht="14.25" customHeight="1">
      <c r="A847" s="33">
        <f>HYPERLINK("https://app.hubspot.com/contacts/8748051/record/0-1/3185801", 3185801)</f>
        <v>3185801</v>
      </c>
      <c r="B847" s="24" t="s">
        <v>5188</v>
      </c>
      <c r="C847" s="34"/>
      <c r="D847" s="24" t="s">
        <v>5189</v>
      </c>
      <c r="E847" s="28" t="s">
        <v>708</v>
      </c>
      <c r="F847" s="34"/>
      <c r="G847" s="35">
        <v>45268.0</v>
      </c>
      <c r="H847" s="35">
        <v>45303.0</v>
      </c>
      <c r="I847" s="35">
        <v>45303.0</v>
      </c>
      <c r="J847" s="34"/>
      <c r="K847" s="34"/>
      <c r="L847" s="34"/>
      <c r="M847" s="33">
        <f>HYPERLINK("https://app.hubspot.com/contacts/8748051/record/0-2/18354000145", 18354000145)</f>
        <v>18354000145</v>
      </c>
      <c r="N847" s="24" t="s">
        <v>707</v>
      </c>
      <c r="O847" s="33">
        <f>HYPERLINK("https://app.hubspot.com/contacts/8748051/record/0-3/16909949611", 16909949611)</f>
        <v>16909949611</v>
      </c>
      <c r="P847" s="24" t="s">
        <v>2350</v>
      </c>
      <c r="Q847" s="24" t="s">
        <v>73</v>
      </c>
      <c r="R847" s="24">
        <v>93500.0</v>
      </c>
      <c r="S847" s="34"/>
      <c r="T847" s="34" t="str">
        <f t="shared" ref="T847:V847" si="852">IF(G847&lt;&gt;"","Yes","")</f>
        <v>Yes</v>
      </c>
      <c r="U847" s="34" t="str">
        <f t="shared" si="852"/>
        <v>Yes</v>
      </c>
      <c r="V847" s="34" t="str">
        <f t="shared" si="852"/>
        <v>Yes</v>
      </c>
      <c r="W847" s="34" t="str">
        <f t="shared" si="3"/>
        <v/>
      </c>
      <c r="X847" s="24" t="str">
        <f t="shared" si="4"/>
        <v/>
      </c>
    </row>
    <row r="848" ht="14.25" customHeight="1">
      <c r="A848" s="33">
        <f>HYPERLINK("https://app.hubspot.com/contacts/8748051/record/0-1/3188451", 3188451)</f>
        <v>3188451</v>
      </c>
      <c r="B848" s="24" t="s">
        <v>5190</v>
      </c>
      <c r="C848" s="34"/>
      <c r="D848" s="24" t="s">
        <v>5191</v>
      </c>
      <c r="E848" s="28" t="s">
        <v>2383</v>
      </c>
      <c r="F848" s="34"/>
      <c r="G848" s="35">
        <v>45268.0</v>
      </c>
      <c r="H848" s="34"/>
      <c r="I848" s="34"/>
      <c r="J848" s="34"/>
      <c r="K848" s="34"/>
      <c r="L848" s="34"/>
      <c r="M848" s="33">
        <f>HYPERLINK("https://app.hubspot.com/contacts/8748051/record/0-2/7882279602", 7882279602)</f>
        <v>7882279602</v>
      </c>
      <c r="N848" s="24" t="s">
        <v>2382</v>
      </c>
      <c r="O848" s="33">
        <f>HYPERLINK("https://app.hubspot.com/contacts/8748051/record/0-3/16591081601", 16591081601)</f>
        <v>16591081601</v>
      </c>
      <c r="P848" s="24" t="s">
        <v>2381</v>
      </c>
      <c r="Q848" s="24" t="s">
        <v>73</v>
      </c>
      <c r="R848" s="24">
        <v>100000.0</v>
      </c>
      <c r="S848" s="34"/>
      <c r="T848" s="34" t="str">
        <f t="shared" ref="T848:V848" si="853">IF(G848&lt;&gt;"","Yes","")</f>
        <v>Yes</v>
      </c>
      <c r="U848" s="34" t="str">
        <f t="shared" si="853"/>
        <v/>
      </c>
      <c r="V848" s="34" t="str">
        <f t="shared" si="853"/>
        <v/>
      </c>
      <c r="W848" s="34" t="str">
        <f t="shared" si="3"/>
        <v/>
      </c>
      <c r="X848" s="24" t="str">
        <f t="shared" si="4"/>
        <v/>
      </c>
    </row>
    <row r="849" ht="14.25" customHeight="1">
      <c r="A849" s="33">
        <f>HYPERLINK("https://app.hubspot.com/contacts/8748051/record/0-1/3189001", 3189001)</f>
        <v>3189001</v>
      </c>
      <c r="B849" s="24" t="s">
        <v>5192</v>
      </c>
      <c r="C849" s="34"/>
      <c r="D849" s="24" t="s">
        <v>5193</v>
      </c>
      <c r="E849" s="28" t="s">
        <v>2421</v>
      </c>
      <c r="F849" s="34"/>
      <c r="G849" s="35">
        <v>45269.0</v>
      </c>
      <c r="H849" s="35">
        <v>45272.0</v>
      </c>
      <c r="I849" s="35">
        <v>45272.0</v>
      </c>
      <c r="J849" s="34"/>
      <c r="K849" s="34"/>
      <c r="L849" s="34"/>
      <c r="M849" s="33">
        <f>HYPERLINK("https://app.hubspot.com/contacts/8748051/record/0-2/8370344576", 8370344576)</f>
        <v>8370344576</v>
      </c>
      <c r="N849" s="24" t="s">
        <v>2420</v>
      </c>
      <c r="O849" s="33">
        <f>HYPERLINK("https://app.hubspot.com/contacts/8748051/record/0-3/16479520279", 16479520279)</f>
        <v>16479520279</v>
      </c>
      <c r="P849" s="24" t="s">
        <v>2419</v>
      </c>
      <c r="Q849" s="24" t="s">
        <v>73</v>
      </c>
      <c r="R849" s="24">
        <v>16500.0</v>
      </c>
      <c r="S849" s="34"/>
      <c r="T849" s="34" t="str">
        <f t="shared" ref="T849:V849" si="854">IF(G849&lt;&gt;"","Yes","")</f>
        <v>Yes</v>
      </c>
      <c r="U849" s="34" t="str">
        <f t="shared" si="854"/>
        <v>Yes</v>
      </c>
      <c r="V849" s="34" t="str">
        <f t="shared" si="854"/>
        <v>Yes</v>
      </c>
      <c r="W849" s="34" t="str">
        <f t="shared" si="3"/>
        <v/>
      </c>
      <c r="X849" s="24" t="str">
        <f t="shared" si="4"/>
        <v/>
      </c>
    </row>
    <row r="850" ht="14.25" customHeight="1">
      <c r="A850" s="33">
        <f>HYPERLINK("https://app.hubspot.com/contacts/8748051/record/0-1/3195851", 3195851)</f>
        <v>3195851</v>
      </c>
      <c r="B850" s="24" t="s">
        <v>5194</v>
      </c>
      <c r="C850" s="34"/>
      <c r="D850" s="24" t="s">
        <v>5195</v>
      </c>
      <c r="E850" s="28" t="s">
        <v>5163</v>
      </c>
      <c r="F850" s="34"/>
      <c r="G850" s="35">
        <v>45271.0</v>
      </c>
      <c r="H850" s="34"/>
      <c r="I850" s="34"/>
      <c r="J850" s="34"/>
      <c r="K850" s="34"/>
      <c r="L850" s="34"/>
      <c r="M850" s="33">
        <f>HYPERLINK("https://app.hubspot.com/contacts/8748051/record/0-2/9238290100", 9238290100)</f>
        <v>9238290100</v>
      </c>
      <c r="N850" s="24" t="s">
        <v>5164</v>
      </c>
      <c r="O850" s="34"/>
      <c r="P850" s="34"/>
      <c r="Q850" s="34"/>
      <c r="R850" s="34"/>
      <c r="S850" s="34"/>
      <c r="T850" s="34" t="str">
        <f t="shared" ref="T850:V850" si="855">IF(G850&lt;&gt;"","Yes","")</f>
        <v>Yes</v>
      </c>
      <c r="U850" s="34" t="str">
        <f t="shared" si="855"/>
        <v/>
      </c>
      <c r="V850" s="34" t="str">
        <f t="shared" si="855"/>
        <v/>
      </c>
      <c r="W850" s="34" t="str">
        <f t="shared" si="3"/>
        <v/>
      </c>
      <c r="X850" s="24" t="str">
        <f t="shared" si="4"/>
        <v/>
      </c>
    </row>
    <row r="851" ht="14.25" customHeight="1">
      <c r="A851" s="33">
        <f>HYPERLINK("https://app.hubspot.com/contacts/8748051/record/0-1/3198951", 3198951)</f>
        <v>3198951</v>
      </c>
      <c r="B851" s="24" t="s">
        <v>5196</v>
      </c>
      <c r="C851" s="34"/>
      <c r="D851" s="24" t="s">
        <v>5197</v>
      </c>
      <c r="E851" s="28" t="s">
        <v>3148</v>
      </c>
      <c r="F851" s="34"/>
      <c r="G851" s="35">
        <v>45272.0</v>
      </c>
      <c r="H851" s="35">
        <v>45281.0</v>
      </c>
      <c r="I851" s="35">
        <v>45281.0</v>
      </c>
      <c r="J851" s="34"/>
      <c r="K851" s="34"/>
      <c r="L851" s="34"/>
      <c r="M851" s="33">
        <f>HYPERLINK("https://app.hubspot.com/contacts/8748051/record/0-2/5850911620", 5850911620)</f>
        <v>5850911620</v>
      </c>
      <c r="N851" s="24" t="s">
        <v>3147</v>
      </c>
      <c r="O851" s="34"/>
      <c r="P851" s="34"/>
      <c r="Q851" s="34"/>
      <c r="R851" s="34"/>
      <c r="S851" s="34"/>
      <c r="T851" s="34" t="str">
        <f t="shared" ref="T851:V851" si="856">IF(G851&lt;&gt;"","Yes","")</f>
        <v>Yes</v>
      </c>
      <c r="U851" s="34" t="str">
        <f t="shared" si="856"/>
        <v>Yes</v>
      </c>
      <c r="V851" s="34" t="str">
        <f t="shared" si="856"/>
        <v>Yes</v>
      </c>
      <c r="W851" s="34" t="str">
        <f t="shared" si="3"/>
        <v/>
      </c>
      <c r="X851" s="24" t="str">
        <f t="shared" si="4"/>
        <v/>
      </c>
    </row>
    <row r="852" ht="14.25" customHeight="1">
      <c r="A852" s="33">
        <f>HYPERLINK("https://app.hubspot.com/contacts/8748051/record/0-1/3199001", 3199001)</f>
        <v>3199001</v>
      </c>
      <c r="B852" s="24" t="s">
        <v>5198</v>
      </c>
      <c r="C852" s="34"/>
      <c r="D852" s="24" t="s">
        <v>5199</v>
      </c>
      <c r="E852" s="28" t="s">
        <v>5200</v>
      </c>
      <c r="F852" s="34"/>
      <c r="G852" s="35">
        <v>45272.0</v>
      </c>
      <c r="H852" s="34"/>
      <c r="I852" s="34"/>
      <c r="J852" s="34"/>
      <c r="K852" s="34"/>
      <c r="L852" s="34"/>
      <c r="M852" s="33">
        <f>HYPERLINK("https://app.hubspot.com/contacts/8748051/record/0-2/7836078706", 7836078706)</f>
        <v>7836078706</v>
      </c>
      <c r="N852" s="24" t="s">
        <v>5201</v>
      </c>
      <c r="O852" s="34"/>
      <c r="P852" s="34"/>
      <c r="Q852" s="34"/>
      <c r="R852" s="34"/>
      <c r="S852" s="34"/>
      <c r="T852" s="34" t="str">
        <f t="shared" ref="T852:V852" si="857">IF(G852&lt;&gt;"","Yes","")</f>
        <v>Yes</v>
      </c>
      <c r="U852" s="34" t="str">
        <f t="shared" si="857"/>
        <v/>
      </c>
      <c r="V852" s="34" t="str">
        <f t="shared" si="857"/>
        <v/>
      </c>
      <c r="W852" s="34" t="str">
        <f t="shared" si="3"/>
        <v/>
      </c>
      <c r="X852" s="24" t="str">
        <f t="shared" si="4"/>
        <v/>
      </c>
    </row>
    <row r="853" ht="14.25" customHeight="1">
      <c r="A853" s="33">
        <f>HYPERLINK("https://app.hubspot.com/contacts/8748051/record/0-1/3199301", 3199301)</f>
        <v>3199301</v>
      </c>
      <c r="B853" s="24" t="s">
        <v>5202</v>
      </c>
      <c r="C853" s="34"/>
      <c r="D853" s="24" t="s">
        <v>5203</v>
      </c>
      <c r="E853" s="28" t="s">
        <v>2364</v>
      </c>
      <c r="F853" s="34"/>
      <c r="G853" s="35">
        <v>45272.0</v>
      </c>
      <c r="H853" s="35">
        <v>45300.0</v>
      </c>
      <c r="I853" s="35">
        <v>45300.0</v>
      </c>
      <c r="J853" s="34"/>
      <c r="K853" s="34"/>
      <c r="L853" s="34"/>
      <c r="M853" s="33">
        <f>HYPERLINK("https://app.hubspot.com/contacts/8748051/record/0-2/6816443217", 6816443217)</f>
        <v>6816443217</v>
      </c>
      <c r="N853" s="24" t="s">
        <v>2363</v>
      </c>
      <c r="O853" s="33">
        <f>HYPERLINK("https://app.hubspot.com/contacts/8748051/record/0-3/16853343638", 16853343638)</f>
        <v>16853343638</v>
      </c>
      <c r="P853" s="24" t="s">
        <v>2362</v>
      </c>
      <c r="Q853" s="24" t="s">
        <v>73</v>
      </c>
      <c r="R853" s="24">
        <v>11500.0</v>
      </c>
      <c r="S853" s="34"/>
      <c r="T853" s="34" t="str">
        <f t="shared" ref="T853:V853" si="858">IF(G853&lt;&gt;"","Yes","")</f>
        <v>Yes</v>
      </c>
      <c r="U853" s="34" t="str">
        <f t="shared" si="858"/>
        <v>Yes</v>
      </c>
      <c r="V853" s="34" t="str">
        <f t="shared" si="858"/>
        <v>Yes</v>
      </c>
      <c r="W853" s="34" t="str">
        <f t="shared" si="3"/>
        <v/>
      </c>
      <c r="X853" s="24" t="str">
        <f t="shared" si="4"/>
        <v/>
      </c>
    </row>
    <row r="854" ht="14.25" customHeight="1">
      <c r="A854" s="33">
        <f>HYPERLINK("https://app.hubspot.com/contacts/8748051/record/0-1/3202101", 3202101)</f>
        <v>3202101</v>
      </c>
      <c r="B854" s="24" t="s">
        <v>5204</v>
      </c>
      <c r="C854" s="34"/>
      <c r="D854" s="24" t="s">
        <v>5205</v>
      </c>
      <c r="E854" s="28" t="s">
        <v>2418</v>
      </c>
      <c r="F854" s="34"/>
      <c r="G854" s="35">
        <v>45272.0</v>
      </c>
      <c r="H854" s="35">
        <v>45273.0</v>
      </c>
      <c r="I854" s="35">
        <v>45273.0</v>
      </c>
      <c r="J854" s="34"/>
      <c r="K854" s="34"/>
      <c r="L854" s="34"/>
      <c r="M854" s="33">
        <f>HYPERLINK("https://app.hubspot.com/contacts/8748051/record/0-2/9228058420", 9228058420)</f>
        <v>9228058420</v>
      </c>
      <c r="N854" s="24" t="s">
        <v>2417</v>
      </c>
      <c r="O854" s="33">
        <f>HYPERLINK("https://app.hubspot.com/contacts/8748051/record/0-3/16497061404", 16497061404)</f>
        <v>16497061404</v>
      </c>
      <c r="P854" s="24" t="s">
        <v>2416</v>
      </c>
      <c r="Q854" s="24" t="s">
        <v>73</v>
      </c>
      <c r="R854" s="24">
        <v>37500.0</v>
      </c>
      <c r="S854" s="34"/>
      <c r="T854" s="34" t="str">
        <f t="shared" ref="T854:V854" si="859">IF(G854&lt;&gt;"","Yes","")</f>
        <v>Yes</v>
      </c>
      <c r="U854" s="34" t="str">
        <f t="shared" si="859"/>
        <v>Yes</v>
      </c>
      <c r="V854" s="34" t="str">
        <f t="shared" si="859"/>
        <v>Yes</v>
      </c>
      <c r="W854" s="34" t="str">
        <f t="shared" si="3"/>
        <v/>
      </c>
      <c r="X854" s="24" t="str">
        <f t="shared" si="4"/>
        <v/>
      </c>
    </row>
    <row r="855" ht="14.25" customHeight="1">
      <c r="A855" s="33">
        <f>HYPERLINK("https://app.hubspot.com/contacts/8748051/record/0-1/3202251", 3202251)</f>
        <v>3202251</v>
      </c>
      <c r="B855" s="24" t="s">
        <v>5206</v>
      </c>
      <c r="C855" s="34"/>
      <c r="D855" s="24" t="s">
        <v>5207</v>
      </c>
      <c r="E855" s="28" t="s">
        <v>5208</v>
      </c>
      <c r="F855" s="34"/>
      <c r="G855" s="35">
        <v>45272.0</v>
      </c>
      <c r="H855" s="34"/>
      <c r="I855" s="34"/>
      <c r="J855" s="34"/>
      <c r="K855" s="34"/>
      <c r="L855" s="34"/>
      <c r="M855" s="33">
        <f>HYPERLINK("https://app.hubspot.com/contacts/8748051/record/0-2/9137340956", 9137340956)</f>
        <v>9137340956</v>
      </c>
      <c r="N855" s="24" t="s">
        <v>5209</v>
      </c>
      <c r="O855" s="34"/>
      <c r="P855" s="34"/>
      <c r="Q855" s="34"/>
      <c r="R855" s="34"/>
      <c r="S855" s="34"/>
      <c r="T855" s="34" t="str">
        <f t="shared" ref="T855:V855" si="860">IF(G855&lt;&gt;"","Yes","")</f>
        <v>Yes</v>
      </c>
      <c r="U855" s="34" t="str">
        <f t="shared" si="860"/>
        <v/>
      </c>
      <c r="V855" s="34" t="str">
        <f t="shared" si="860"/>
        <v/>
      </c>
      <c r="W855" s="34" t="str">
        <f t="shared" si="3"/>
        <v/>
      </c>
      <c r="X855" s="24" t="str">
        <f t="shared" si="4"/>
        <v/>
      </c>
    </row>
    <row r="856" ht="14.25" customHeight="1">
      <c r="A856" s="33">
        <f>HYPERLINK("https://app.hubspot.com/contacts/8748051/record/0-1/3202801", 3202801)</f>
        <v>3202801</v>
      </c>
      <c r="B856" s="24" t="s">
        <v>5210</v>
      </c>
      <c r="C856" s="34"/>
      <c r="D856" s="24" t="s">
        <v>5211</v>
      </c>
      <c r="E856" s="28" t="s">
        <v>5212</v>
      </c>
      <c r="F856" s="34"/>
      <c r="G856" s="35">
        <v>45272.0</v>
      </c>
      <c r="H856" s="34"/>
      <c r="I856" s="34"/>
      <c r="J856" s="34"/>
      <c r="K856" s="34"/>
      <c r="L856" s="34"/>
      <c r="M856" s="33">
        <f>HYPERLINK("https://app.hubspot.com/contacts/8748051/record/0-2/9238358155", 9238358155)</f>
        <v>9238358155</v>
      </c>
      <c r="N856" s="24" t="s">
        <v>5213</v>
      </c>
      <c r="O856" s="34"/>
      <c r="P856" s="34"/>
      <c r="Q856" s="34"/>
      <c r="R856" s="34"/>
      <c r="S856" s="34"/>
      <c r="T856" s="34" t="str">
        <f t="shared" ref="T856:V856" si="861">IF(G856&lt;&gt;"","Yes","")</f>
        <v>Yes</v>
      </c>
      <c r="U856" s="34" t="str">
        <f t="shared" si="861"/>
        <v/>
      </c>
      <c r="V856" s="34" t="str">
        <f t="shared" si="861"/>
        <v/>
      </c>
      <c r="W856" s="34" t="str">
        <f t="shared" si="3"/>
        <v/>
      </c>
      <c r="X856" s="24" t="str">
        <f t="shared" si="4"/>
        <v/>
      </c>
    </row>
    <row r="857" ht="14.25" customHeight="1">
      <c r="A857" s="33">
        <f>HYPERLINK("https://app.hubspot.com/contacts/8748051/record/0-1/3203751", 3203751)</f>
        <v>3203751</v>
      </c>
      <c r="B857" s="24" t="s">
        <v>5214</v>
      </c>
      <c r="C857" s="34"/>
      <c r="D857" s="24" t="s">
        <v>5215</v>
      </c>
      <c r="E857" s="28" t="s">
        <v>2404</v>
      </c>
      <c r="F857" s="34"/>
      <c r="G857" s="35">
        <v>45273.0</v>
      </c>
      <c r="H857" s="35">
        <v>45275.0</v>
      </c>
      <c r="I857" s="35">
        <v>45275.0</v>
      </c>
      <c r="J857" s="34"/>
      <c r="K857" s="34"/>
      <c r="L857" s="34"/>
      <c r="M857" s="33">
        <f>HYPERLINK("https://app.hubspot.com/contacts/8748051/record/0-2/15483714669", 15483714669)</f>
        <v>15483714669</v>
      </c>
      <c r="N857" s="24" t="s">
        <v>2403</v>
      </c>
      <c r="O857" s="33">
        <f>HYPERLINK("https://app.hubspot.com/contacts/8748051/record/0-3/16533455668", 16533455668)</f>
        <v>16533455668</v>
      </c>
      <c r="P857" s="24" t="s">
        <v>2402</v>
      </c>
      <c r="Q857" s="24" t="s">
        <v>73</v>
      </c>
      <c r="R857" s="24">
        <v>100000.0</v>
      </c>
      <c r="S857" s="34"/>
      <c r="T857" s="34" t="str">
        <f t="shared" ref="T857:V857" si="862">IF(G857&lt;&gt;"","Yes","")</f>
        <v>Yes</v>
      </c>
      <c r="U857" s="34" t="str">
        <f t="shared" si="862"/>
        <v>Yes</v>
      </c>
      <c r="V857" s="34" t="str">
        <f t="shared" si="862"/>
        <v>Yes</v>
      </c>
      <c r="W857" s="34" t="str">
        <f t="shared" si="3"/>
        <v/>
      </c>
      <c r="X857" s="24" t="str">
        <f t="shared" si="4"/>
        <v/>
      </c>
    </row>
    <row r="858" ht="14.25" customHeight="1">
      <c r="A858" s="33">
        <f>HYPERLINK("https://app.hubspot.com/contacts/8748051/record/0-1/3207651", 3207651)</f>
        <v>3207651</v>
      </c>
      <c r="B858" s="24" t="s">
        <v>5216</v>
      </c>
      <c r="C858" s="34"/>
      <c r="D858" s="24" t="s">
        <v>5217</v>
      </c>
      <c r="E858" s="28" t="s">
        <v>2303</v>
      </c>
      <c r="F858" s="34"/>
      <c r="G858" s="35">
        <v>45273.0</v>
      </c>
      <c r="H858" s="35">
        <v>45273.0</v>
      </c>
      <c r="I858" s="35">
        <v>45273.0</v>
      </c>
      <c r="J858" s="34"/>
      <c r="K858" s="34"/>
      <c r="L858" s="34"/>
      <c r="M858" s="33">
        <f>HYPERLINK("https://app.hubspot.com/contacts/8748051/record/0-2/9238357425", 9238357425)</f>
        <v>9238357425</v>
      </c>
      <c r="N858" s="24" t="s">
        <v>2302</v>
      </c>
      <c r="O858" s="33">
        <f>HYPERLINK("https://app.hubspot.com/contacts/8748051/record/0-3/17181518890", 17181518890)</f>
        <v>17181518890</v>
      </c>
      <c r="P858" s="24" t="s">
        <v>2301</v>
      </c>
      <c r="Q858" s="24" t="s">
        <v>73</v>
      </c>
      <c r="R858" s="24">
        <v>100000.0</v>
      </c>
      <c r="S858" s="34"/>
      <c r="T858" s="34" t="str">
        <f t="shared" ref="T858:V858" si="863">IF(G858&lt;&gt;"","Yes","")</f>
        <v>Yes</v>
      </c>
      <c r="U858" s="34" t="str">
        <f t="shared" si="863"/>
        <v>Yes</v>
      </c>
      <c r="V858" s="34" t="str">
        <f t="shared" si="863"/>
        <v>Yes</v>
      </c>
      <c r="W858" s="34" t="str">
        <f t="shared" si="3"/>
        <v/>
      </c>
      <c r="X858" s="24" t="str">
        <f t="shared" si="4"/>
        <v/>
      </c>
    </row>
    <row r="859" ht="14.25" customHeight="1">
      <c r="A859" s="33">
        <f>HYPERLINK("https://app.hubspot.com/contacts/8748051/record/0-1/3214401", 3214401)</f>
        <v>3214401</v>
      </c>
      <c r="B859" s="24" t="s">
        <v>5218</v>
      </c>
      <c r="C859" s="34"/>
      <c r="D859" s="24" t="s">
        <v>5219</v>
      </c>
      <c r="E859" s="28" t="s">
        <v>5220</v>
      </c>
      <c r="F859" s="34"/>
      <c r="G859" s="35">
        <v>45461.0</v>
      </c>
      <c r="H859" s="34"/>
      <c r="I859" s="34"/>
      <c r="J859" s="34"/>
      <c r="K859" s="34"/>
      <c r="L859" s="34"/>
      <c r="M859" s="33">
        <f>HYPERLINK("https://app.hubspot.com/contacts/8748051/record/0-2/8923265838", 8923265838)</f>
        <v>8923265838</v>
      </c>
      <c r="N859" s="24" t="s">
        <v>5221</v>
      </c>
      <c r="O859" s="34"/>
      <c r="P859" s="34"/>
      <c r="Q859" s="34"/>
      <c r="R859" s="34"/>
      <c r="S859" s="34"/>
      <c r="T859" s="34" t="str">
        <f t="shared" ref="T859:V859" si="864">IF(G859&lt;&gt;"","Yes","")</f>
        <v>Yes</v>
      </c>
      <c r="U859" s="34" t="str">
        <f t="shared" si="864"/>
        <v/>
      </c>
      <c r="V859" s="34" t="str">
        <f t="shared" si="864"/>
        <v/>
      </c>
      <c r="W859" s="34" t="str">
        <f t="shared" si="3"/>
        <v/>
      </c>
      <c r="X859" s="24" t="str">
        <f t="shared" si="4"/>
        <v/>
      </c>
    </row>
    <row r="860" ht="14.25" customHeight="1">
      <c r="A860" s="33">
        <f>HYPERLINK("https://app.hubspot.com/contacts/8748051/record/0-1/3215001", 3215001)</f>
        <v>3215001</v>
      </c>
      <c r="B860" s="24" t="s">
        <v>5222</v>
      </c>
      <c r="C860" s="34"/>
      <c r="D860" s="24" t="s">
        <v>5223</v>
      </c>
      <c r="E860" s="28" t="s">
        <v>5224</v>
      </c>
      <c r="F860" s="34"/>
      <c r="G860" s="35">
        <v>45384.0</v>
      </c>
      <c r="H860" s="34"/>
      <c r="I860" s="34"/>
      <c r="J860" s="34"/>
      <c r="K860" s="34"/>
      <c r="L860" s="34"/>
      <c r="M860" s="33">
        <f>HYPERLINK("https://app.hubspot.com/contacts/8748051/record/0-2/9069658935", 9069658935)</f>
        <v>9069658935</v>
      </c>
      <c r="N860" s="24" t="s">
        <v>5225</v>
      </c>
      <c r="O860" s="34"/>
      <c r="P860" s="34"/>
      <c r="Q860" s="34"/>
      <c r="R860" s="34"/>
      <c r="S860" s="34"/>
      <c r="T860" s="34" t="str">
        <f t="shared" ref="T860:V860" si="865">IF(G860&lt;&gt;"","Yes","")</f>
        <v>Yes</v>
      </c>
      <c r="U860" s="34" t="str">
        <f t="shared" si="865"/>
        <v/>
      </c>
      <c r="V860" s="34" t="str">
        <f t="shared" si="865"/>
        <v/>
      </c>
      <c r="W860" s="34" t="str">
        <f t="shared" si="3"/>
        <v/>
      </c>
      <c r="X860" s="24" t="str">
        <f t="shared" si="4"/>
        <v/>
      </c>
    </row>
    <row r="861" ht="14.25" customHeight="1">
      <c r="A861" s="33">
        <f>HYPERLINK("https://app.hubspot.com/contacts/8748051/record/0-1/3217401", 3217401)</f>
        <v>3217401</v>
      </c>
      <c r="B861" s="24" t="s">
        <v>5226</v>
      </c>
      <c r="C861" s="34"/>
      <c r="D861" s="24" t="s">
        <v>5227</v>
      </c>
      <c r="E861" s="28" t="s">
        <v>2389</v>
      </c>
      <c r="F861" s="34"/>
      <c r="G861" s="35">
        <v>45275.0</v>
      </c>
      <c r="H861" s="35">
        <v>45279.0</v>
      </c>
      <c r="I861" s="35">
        <v>45279.0</v>
      </c>
      <c r="J861" s="34"/>
      <c r="K861" s="34"/>
      <c r="L861" s="34"/>
      <c r="M861" s="33">
        <f>HYPERLINK("https://app.hubspot.com/contacts/8748051/record/0-2/18432139818", 18432139818)</f>
        <v>18432139818</v>
      </c>
      <c r="N861" s="24" t="s">
        <v>2388</v>
      </c>
      <c r="O861" s="33">
        <f>HYPERLINK("https://app.hubspot.com/contacts/8748051/record/0-3/16580938278", 16580938278)</f>
        <v>16580938278</v>
      </c>
      <c r="P861" s="24" t="s">
        <v>2387</v>
      </c>
      <c r="Q861" s="24" t="s">
        <v>73</v>
      </c>
      <c r="R861" s="24">
        <v>2500.0</v>
      </c>
      <c r="S861" s="34"/>
      <c r="T861" s="34" t="str">
        <f t="shared" ref="T861:V861" si="866">IF(G861&lt;&gt;"","Yes","")</f>
        <v>Yes</v>
      </c>
      <c r="U861" s="34" t="str">
        <f t="shared" si="866"/>
        <v>Yes</v>
      </c>
      <c r="V861" s="34" t="str">
        <f t="shared" si="866"/>
        <v>Yes</v>
      </c>
      <c r="W861" s="34" t="str">
        <f t="shared" si="3"/>
        <v/>
      </c>
      <c r="X861" s="24" t="str">
        <f t="shared" si="4"/>
        <v/>
      </c>
    </row>
    <row r="862" ht="14.25" customHeight="1">
      <c r="A862" s="33">
        <f>HYPERLINK("https://app.hubspot.com/contacts/8748051/record/0-1/3222601", 3222601)</f>
        <v>3222601</v>
      </c>
      <c r="B862" s="24" t="s">
        <v>5228</v>
      </c>
      <c r="C862" s="34"/>
      <c r="D862" s="24" t="s">
        <v>5229</v>
      </c>
      <c r="E862" s="28" t="s">
        <v>2414</v>
      </c>
      <c r="F862" s="34"/>
      <c r="G862" s="35">
        <v>45278.0</v>
      </c>
      <c r="H862" s="34"/>
      <c r="I862" s="34"/>
      <c r="J862" s="34"/>
      <c r="K862" s="34"/>
      <c r="L862" s="34"/>
      <c r="M862" s="33">
        <f>HYPERLINK("https://app.hubspot.com/contacts/8748051/record/0-2/7514685489", 7514685489)</f>
        <v>7514685489</v>
      </c>
      <c r="N862" s="24" t="s">
        <v>2413</v>
      </c>
      <c r="O862" s="34"/>
      <c r="P862" s="34"/>
      <c r="Q862" s="34"/>
      <c r="R862" s="34"/>
      <c r="S862" s="34"/>
      <c r="T862" s="34" t="str">
        <f t="shared" ref="T862:V862" si="867">IF(G862&lt;&gt;"","Yes","")</f>
        <v>Yes</v>
      </c>
      <c r="U862" s="34" t="str">
        <f t="shared" si="867"/>
        <v/>
      </c>
      <c r="V862" s="34" t="str">
        <f t="shared" si="867"/>
        <v/>
      </c>
      <c r="W862" s="34" t="str">
        <f t="shared" si="3"/>
        <v/>
      </c>
      <c r="X862" s="24" t="str">
        <f t="shared" si="4"/>
        <v/>
      </c>
    </row>
    <row r="863" ht="14.25" customHeight="1">
      <c r="A863" s="33">
        <f>HYPERLINK("https://app.hubspot.com/contacts/8748051/record/0-1/3230351", 3230351)</f>
        <v>3230351</v>
      </c>
      <c r="B863" s="24" t="s">
        <v>5230</v>
      </c>
      <c r="C863" s="34"/>
      <c r="D863" s="24" t="s">
        <v>5231</v>
      </c>
      <c r="E863" s="28" t="s">
        <v>5232</v>
      </c>
      <c r="F863" s="34"/>
      <c r="G863" s="35">
        <v>45279.0</v>
      </c>
      <c r="H863" s="34"/>
      <c r="I863" s="34"/>
      <c r="J863" s="34"/>
      <c r="K863" s="34"/>
      <c r="L863" s="34"/>
      <c r="M863" s="33">
        <f>HYPERLINK("https://app.hubspot.com/contacts/8748051/record/0-2/9238284558", 9238284558)</f>
        <v>9238284558</v>
      </c>
      <c r="N863" s="24" t="s">
        <v>5233</v>
      </c>
      <c r="O863" s="34"/>
      <c r="P863" s="34"/>
      <c r="Q863" s="34"/>
      <c r="R863" s="34"/>
      <c r="S863" s="34"/>
      <c r="T863" s="34" t="str">
        <f t="shared" ref="T863:V863" si="868">IF(G863&lt;&gt;"","Yes","")</f>
        <v>Yes</v>
      </c>
      <c r="U863" s="34" t="str">
        <f t="shared" si="868"/>
        <v/>
      </c>
      <c r="V863" s="34" t="str">
        <f t="shared" si="868"/>
        <v/>
      </c>
      <c r="W863" s="34" t="str">
        <f t="shared" si="3"/>
        <v/>
      </c>
      <c r="X863" s="24" t="str">
        <f t="shared" si="4"/>
        <v/>
      </c>
    </row>
    <row r="864" ht="14.25" customHeight="1">
      <c r="A864" s="33">
        <f>HYPERLINK("https://app.hubspot.com/contacts/8748051/record/0-1/3231051", 3231051)</f>
        <v>3231051</v>
      </c>
      <c r="B864" s="24" t="s">
        <v>5234</v>
      </c>
      <c r="C864" s="34"/>
      <c r="D864" s="24" t="s">
        <v>5235</v>
      </c>
      <c r="E864" s="28" t="s">
        <v>2407</v>
      </c>
      <c r="F864" s="34"/>
      <c r="G864" s="35">
        <v>45272.0</v>
      </c>
      <c r="H864" s="35">
        <v>45275.0</v>
      </c>
      <c r="I864" s="35">
        <v>45275.0</v>
      </c>
      <c r="J864" s="34"/>
      <c r="K864" s="34"/>
      <c r="L864" s="34"/>
      <c r="M864" s="33">
        <f>HYPERLINK("https://app.hubspot.com/contacts/8748051/record/0-2/7945114506", 7945114506)</f>
        <v>7945114506</v>
      </c>
      <c r="N864" s="24" t="s">
        <v>2406</v>
      </c>
      <c r="O864" s="33">
        <f>HYPERLINK("https://app.hubspot.com/contacts/8748051/record/0-3/16527633000", 16527633000)</f>
        <v>16527633000</v>
      </c>
      <c r="P864" s="24" t="s">
        <v>2405</v>
      </c>
      <c r="Q864" s="24" t="s">
        <v>73</v>
      </c>
      <c r="R864" s="24">
        <v>9600.0</v>
      </c>
      <c r="S864" s="34"/>
      <c r="T864" s="34" t="str">
        <f t="shared" ref="T864:V864" si="869">IF(G864&lt;&gt;"","Yes","")</f>
        <v>Yes</v>
      </c>
      <c r="U864" s="34" t="str">
        <f t="shared" si="869"/>
        <v>Yes</v>
      </c>
      <c r="V864" s="34" t="str">
        <f t="shared" si="869"/>
        <v>Yes</v>
      </c>
      <c r="W864" s="34" t="str">
        <f t="shared" si="3"/>
        <v/>
      </c>
      <c r="X864" s="24" t="str">
        <f t="shared" si="4"/>
        <v/>
      </c>
    </row>
    <row r="865" ht="14.25" customHeight="1">
      <c r="A865" s="33">
        <f>HYPERLINK("https://app.hubspot.com/contacts/8748051/record/0-1/3232451", 3232451)</f>
        <v>3232451</v>
      </c>
      <c r="B865" s="24" t="s">
        <v>5236</v>
      </c>
      <c r="C865" s="34"/>
      <c r="D865" s="24" t="s">
        <v>5237</v>
      </c>
      <c r="E865" s="28" t="s">
        <v>2380</v>
      </c>
      <c r="F865" s="34"/>
      <c r="G865" s="35">
        <v>45280.0</v>
      </c>
      <c r="H865" s="35">
        <v>45281.0</v>
      </c>
      <c r="I865" s="35">
        <v>45281.0</v>
      </c>
      <c r="J865" s="34"/>
      <c r="K865" s="34"/>
      <c r="L865" s="34"/>
      <c r="M865" s="33">
        <f>HYPERLINK("https://app.hubspot.com/contacts/8748051/record/0-2/18382682273", 18382682273)</f>
        <v>18382682273</v>
      </c>
      <c r="N865" s="24" t="s">
        <v>2379</v>
      </c>
      <c r="O865" s="33">
        <f>HYPERLINK("https://app.hubspot.com/contacts/8748051/record/0-3/16619969863", 16619969863)</f>
        <v>16619969863</v>
      </c>
      <c r="P865" s="24" t="s">
        <v>2378</v>
      </c>
      <c r="Q865" s="24" t="s">
        <v>73</v>
      </c>
      <c r="R865" s="24">
        <v>26160.0</v>
      </c>
      <c r="S865" s="34"/>
      <c r="T865" s="34" t="str">
        <f t="shared" ref="T865:V865" si="870">IF(G865&lt;&gt;"","Yes","")</f>
        <v>Yes</v>
      </c>
      <c r="U865" s="34" t="str">
        <f t="shared" si="870"/>
        <v>Yes</v>
      </c>
      <c r="V865" s="34" t="str">
        <f t="shared" si="870"/>
        <v>Yes</v>
      </c>
      <c r="W865" s="34" t="str">
        <f t="shared" si="3"/>
        <v/>
      </c>
      <c r="X865" s="24" t="str">
        <f t="shared" si="4"/>
        <v/>
      </c>
    </row>
    <row r="866" ht="14.25" customHeight="1">
      <c r="A866" s="33">
        <f>HYPERLINK("https://app.hubspot.com/contacts/8748051/record/0-1/3234651", 3234651)</f>
        <v>3234651</v>
      </c>
      <c r="B866" s="24" t="s">
        <v>5238</v>
      </c>
      <c r="C866" s="34"/>
      <c r="D866" s="24" t="s">
        <v>5239</v>
      </c>
      <c r="E866" s="28" t="s">
        <v>5240</v>
      </c>
      <c r="F866" s="34"/>
      <c r="G866" s="35">
        <v>45280.0</v>
      </c>
      <c r="H866" s="34"/>
      <c r="I866" s="34"/>
      <c r="J866" s="34"/>
      <c r="K866" s="34"/>
      <c r="L866" s="34"/>
      <c r="M866" s="33">
        <f>HYPERLINK("https://app.hubspot.com/contacts/8748051/record/0-2/9238290024", 9238290024)</f>
        <v>9238290024</v>
      </c>
      <c r="N866" s="24" t="s">
        <v>5241</v>
      </c>
      <c r="O866" s="34"/>
      <c r="P866" s="34"/>
      <c r="Q866" s="34"/>
      <c r="R866" s="34"/>
      <c r="S866" s="34"/>
      <c r="T866" s="34" t="str">
        <f t="shared" ref="T866:V866" si="871">IF(G866&lt;&gt;"","Yes","")</f>
        <v>Yes</v>
      </c>
      <c r="U866" s="34" t="str">
        <f t="shared" si="871"/>
        <v/>
      </c>
      <c r="V866" s="34" t="str">
        <f t="shared" si="871"/>
        <v/>
      </c>
      <c r="W866" s="34" t="str">
        <f t="shared" si="3"/>
        <v/>
      </c>
      <c r="X866" s="24" t="str">
        <f t="shared" si="4"/>
        <v/>
      </c>
    </row>
    <row r="867" ht="14.25" customHeight="1">
      <c r="A867" s="33">
        <f>HYPERLINK("https://app.hubspot.com/contacts/8748051/record/0-1/3242351", 3242351)</f>
        <v>3242351</v>
      </c>
      <c r="B867" s="24" t="s">
        <v>5242</v>
      </c>
      <c r="C867" s="34"/>
      <c r="D867" s="24" t="s">
        <v>5243</v>
      </c>
      <c r="E867" s="28" t="s">
        <v>5244</v>
      </c>
      <c r="F867" s="24" t="s">
        <v>5245</v>
      </c>
      <c r="G867" s="34"/>
      <c r="H867" s="34"/>
      <c r="I867" s="34"/>
      <c r="J867" s="34"/>
      <c r="K867" s="34"/>
      <c r="L867" s="34"/>
      <c r="M867" s="33">
        <f>HYPERLINK("https://app.hubspot.com/contacts/8748051/record/0-2/18491051686", 18491051686)</f>
        <v>18491051686</v>
      </c>
      <c r="N867" s="24" t="s">
        <v>5246</v>
      </c>
      <c r="O867" s="34"/>
      <c r="P867" s="34"/>
      <c r="Q867" s="34"/>
      <c r="R867" s="34"/>
      <c r="S867" s="34"/>
      <c r="T867" s="34" t="str">
        <f t="shared" ref="T867:V867" si="872">IF(G867&lt;&gt;"","Yes","")</f>
        <v/>
      </c>
      <c r="U867" s="34" t="str">
        <f t="shared" si="872"/>
        <v/>
      </c>
      <c r="V867" s="34" t="str">
        <f t="shared" si="872"/>
        <v/>
      </c>
      <c r="W867" s="34" t="str">
        <f t="shared" si="3"/>
        <v/>
      </c>
      <c r="X867" s="24" t="str">
        <f t="shared" si="4"/>
        <v/>
      </c>
    </row>
    <row r="868" ht="14.25" customHeight="1">
      <c r="A868" s="33">
        <f>HYPERLINK("https://app.hubspot.com/contacts/8748051/record/0-1/3245201", 3245201)</f>
        <v>3245201</v>
      </c>
      <c r="B868" s="24" t="s">
        <v>5247</v>
      </c>
      <c r="C868" s="34"/>
      <c r="D868" s="24" t="s">
        <v>5248</v>
      </c>
      <c r="E868" s="28" t="s">
        <v>2354</v>
      </c>
      <c r="F868" s="34"/>
      <c r="G868" s="35">
        <v>45282.0</v>
      </c>
      <c r="H868" s="35">
        <v>45302.0</v>
      </c>
      <c r="I868" s="35">
        <v>45302.0</v>
      </c>
      <c r="J868" s="34"/>
      <c r="K868" s="34"/>
      <c r="L868" s="34"/>
      <c r="M868" s="33">
        <f>HYPERLINK("https://app.hubspot.com/contacts/8748051/record/0-2/16376165937", 16376165937)</f>
        <v>16376165937</v>
      </c>
      <c r="N868" s="24" t="s">
        <v>2353</v>
      </c>
      <c r="O868" s="33">
        <f>HYPERLINK("https://app.hubspot.com/contacts/8748051/record/0-3/16896494634", 16896494634)</f>
        <v>16896494634</v>
      </c>
      <c r="P868" s="24" t="s">
        <v>2351</v>
      </c>
      <c r="Q868" s="24" t="s">
        <v>149</v>
      </c>
      <c r="R868" s="24">
        <v>20000.0</v>
      </c>
      <c r="S868" s="24" t="b">
        <v>1</v>
      </c>
      <c r="T868" s="34" t="str">
        <f t="shared" ref="T868:V868" si="873">IF(G868&lt;&gt;"","Yes","")</f>
        <v>Yes</v>
      </c>
      <c r="U868" s="34" t="str">
        <f t="shared" si="873"/>
        <v>Yes</v>
      </c>
      <c r="V868" s="34" t="str">
        <f t="shared" si="873"/>
        <v>Yes</v>
      </c>
      <c r="W868" s="34" t="str">
        <f t="shared" si="3"/>
        <v/>
      </c>
      <c r="X868" s="24" t="str">
        <f t="shared" si="4"/>
        <v>Yes</v>
      </c>
    </row>
    <row r="869" ht="14.25" customHeight="1">
      <c r="A869" s="33">
        <f>HYPERLINK("https://app.hubspot.com/contacts/8748051/record/0-1/3246451", 3246451)</f>
        <v>3246451</v>
      </c>
      <c r="B869" s="24" t="s">
        <v>5249</v>
      </c>
      <c r="C869" s="34"/>
      <c r="D869" s="24" t="s">
        <v>5250</v>
      </c>
      <c r="E869" s="28" t="s">
        <v>1683</v>
      </c>
      <c r="F869" s="34"/>
      <c r="G869" s="35">
        <v>45284.0</v>
      </c>
      <c r="H869" s="35">
        <v>45333.0</v>
      </c>
      <c r="I869" s="35">
        <v>45333.0</v>
      </c>
      <c r="J869" s="34"/>
      <c r="K869" s="34"/>
      <c r="L869" s="34"/>
      <c r="M869" s="33">
        <f>HYPERLINK("https://app.hubspot.com/contacts/8748051/record/0-2/33838053147", 33838053147)</f>
        <v>33838053147</v>
      </c>
      <c r="N869" s="24" t="s">
        <v>1682</v>
      </c>
      <c r="O869" s="33">
        <f>HYPERLINK("https://app.hubspot.com/contacts/8748051/record/0-3/19730622754", 19730622754)</f>
        <v>19730622754</v>
      </c>
      <c r="P869" s="24" t="s">
        <v>1681</v>
      </c>
      <c r="Q869" s="24" t="s">
        <v>73</v>
      </c>
      <c r="R869" s="24">
        <v>4560.0</v>
      </c>
      <c r="S869" s="34"/>
      <c r="T869" s="34" t="str">
        <f t="shared" ref="T869:V869" si="874">IF(G869&lt;&gt;"","Yes","")</f>
        <v>Yes</v>
      </c>
      <c r="U869" s="34" t="str">
        <f t="shared" si="874"/>
        <v>Yes</v>
      </c>
      <c r="V869" s="34" t="str">
        <f t="shared" si="874"/>
        <v>Yes</v>
      </c>
      <c r="W869" s="34" t="str">
        <f t="shared" si="3"/>
        <v/>
      </c>
      <c r="X869" s="24" t="str">
        <f t="shared" si="4"/>
        <v/>
      </c>
    </row>
    <row r="870" ht="14.25" customHeight="1">
      <c r="A870" s="33">
        <f>HYPERLINK("https://app.hubspot.com/contacts/8748051/record/0-1/3246601", 3246601)</f>
        <v>3246601</v>
      </c>
      <c r="B870" s="24" t="s">
        <v>5251</v>
      </c>
      <c r="C870" s="34"/>
      <c r="D870" s="24" t="s">
        <v>5252</v>
      </c>
      <c r="E870" s="28" t="s">
        <v>2289</v>
      </c>
      <c r="F870" s="34"/>
      <c r="G870" s="35">
        <v>45284.0</v>
      </c>
      <c r="H870" s="35">
        <v>45316.0</v>
      </c>
      <c r="I870" s="35">
        <v>45318.0</v>
      </c>
      <c r="J870" s="34"/>
      <c r="K870" s="34"/>
      <c r="L870" s="34"/>
      <c r="M870" s="33">
        <f>HYPERLINK("https://app.hubspot.com/contacts/8748051/record/0-2/9237584657", 9237584657)</f>
        <v>9237584657</v>
      </c>
      <c r="N870" s="24" t="s">
        <v>2288</v>
      </c>
      <c r="O870" s="33">
        <f>HYPERLINK("https://app.hubspot.com/contacts/8748051/record/0-3/17183749773", 17183749773)</f>
        <v>17183749773</v>
      </c>
      <c r="P870" s="24" t="s">
        <v>2287</v>
      </c>
      <c r="Q870" s="24" t="s">
        <v>73</v>
      </c>
      <c r="R870" s="24">
        <v>47500.0</v>
      </c>
      <c r="S870" s="34"/>
      <c r="T870" s="34" t="str">
        <f t="shared" ref="T870:V870" si="875">IF(G870&lt;&gt;"","Yes","")</f>
        <v>Yes</v>
      </c>
      <c r="U870" s="34" t="str">
        <f t="shared" si="875"/>
        <v>Yes</v>
      </c>
      <c r="V870" s="34" t="str">
        <f t="shared" si="875"/>
        <v>Yes</v>
      </c>
      <c r="W870" s="34" t="str">
        <f t="shared" si="3"/>
        <v/>
      </c>
      <c r="X870" s="24" t="str">
        <f t="shared" si="4"/>
        <v/>
      </c>
    </row>
    <row r="871" ht="14.25" customHeight="1">
      <c r="A871" s="33">
        <f>HYPERLINK("https://app.hubspot.com/contacts/8748051/record/0-1/3251301", 3251301)</f>
        <v>3251301</v>
      </c>
      <c r="B871" s="24" t="s">
        <v>5253</v>
      </c>
      <c r="C871" s="34"/>
      <c r="D871" s="24" t="s">
        <v>5254</v>
      </c>
      <c r="E871" s="28" t="s">
        <v>5255</v>
      </c>
      <c r="F871" s="34"/>
      <c r="G871" s="35">
        <v>45439.0</v>
      </c>
      <c r="H871" s="34"/>
      <c r="I871" s="34"/>
      <c r="J871" s="34"/>
      <c r="K871" s="34"/>
      <c r="L871" s="34"/>
      <c r="M871" s="33">
        <f>HYPERLINK("https://app.hubspot.com/contacts/8748051/record/0-2/18536338232", 18536338232)</f>
        <v>18536338232</v>
      </c>
      <c r="N871" s="24" t="s">
        <v>5256</v>
      </c>
      <c r="O871" s="34"/>
      <c r="P871" s="34"/>
      <c r="Q871" s="34"/>
      <c r="R871" s="34"/>
      <c r="S871" s="34"/>
      <c r="T871" s="34" t="str">
        <f t="shared" ref="T871:V871" si="876">IF(G871&lt;&gt;"","Yes","")</f>
        <v>Yes</v>
      </c>
      <c r="U871" s="34" t="str">
        <f t="shared" si="876"/>
        <v/>
      </c>
      <c r="V871" s="34" t="str">
        <f t="shared" si="876"/>
        <v/>
      </c>
      <c r="W871" s="34" t="str">
        <f t="shared" si="3"/>
        <v/>
      </c>
      <c r="X871" s="24" t="str">
        <f t="shared" si="4"/>
        <v/>
      </c>
    </row>
    <row r="872" ht="14.25" customHeight="1">
      <c r="A872" s="33">
        <f>HYPERLINK("https://app.hubspot.com/contacts/8748051/record/0-1/3260901", 3260901)</f>
        <v>3260901</v>
      </c>
      <c r="B872" s="24" t="s">
        <v>5257</v>
      </c>
      <c r="C872" s="34"/>
      <c r="D872" s="24" t="s">
        <v>5258</v>
      </c>
      <c r="E872" s="28" t="s">
        <v>2367</v>
      </c>
      <c r="F872" s="34"/>
      <c r="G872" s="35">
        <v>45293.0</v>
      </c>
      <c r="H872" s="35">
        <v>45302.0</v>
      </c>
      <c r="I872" s="35">
        <v>45302.0</v>
      </c>
      <c r="J872" s="34"/>
      <c r="K872" s="34"/>
      <c r="L872" s="34"/>
      <c r="M872" s="33">
        <f>HYPERLINK("https://app.hubspot.com/contacts/8748051/record/0-2/8003803471", 8003803471)</f>
        <v>8003803471</v>
      </c>
      <c r="N872" s="24" t="s">
        <v>2366</v>
      </c>
      <c r="O872" s="33">
        <f>HYPERLINK("https://app.hubspot.com/contacts/8748051/record/0-3/16853102238", 16853102238)</f>
        <v>16853102238</v>
      </c>
      <c r="P872" s="24" t="s">
        <v>2365</v>
      </c>
      <c r="Q872" s="24" t="s">
        <v>73</v>
      </c>
      <c r="R872" s="24">
        <v>10500.0</v>
      </c>
      <c r="S872" s="34"/>
      <c r="T872" s="34" t="str">
        <f t="shared" ref="T872:V872" si="877">IF(G872&lt;&gt;"","Yes","")</f>
        <v>Yes</v>
      </c>
      <c r="U872" s="34" t="str">
        <f t="shared" si="877"/>
        <v>Yes</v>
      </c>
      <c r="V872" s="34" t="str">
        <f t="shared" si="877"/>
        <v>Yes</v>
      </c>
      <c r="W872" s="34" t="str">
        <f t="shared" si="3"/>
        <v/>
      </c>
      <c r="X872" s="24" t="str">
        <f t="shared" si="4"/>
        <v/>
      </c>
    </row>
    <row r="873" ht="14.25" customHeight="1">
      <c r="A873" s="33">
        <f>HYPERLINK("https://app.hubspot.com/contacts/8748051/record/0-1/3260951", 3260951)</f>
        <v>3260951</v>
      </c>
      <c r="B873" s="24" t="s">
        <v>5259</v>
      </c>
      <c r="C873" s="34"/>
      <c r="D873" s="24" t="s">
        <v>5260</v>
      </c>
      <c r="E873" s="28" t="s">
        <v>2371</v>
      </c>
      <c r="F873" s="34"/>
      <c r="G873" s="35">
        <v>45293.0</v>
      </c>
      <c r="H873" s="34"/>
      <c r="I873" s="34"/>
      <c r="J873" s="34"/>
      <c r="K873" s="34"/>
      <c r="L873" s="34"/>
      <c r="M873" s="33">
        <f>HYPERLINK("https://app.hubspot.com/contacts/8748051/record/0-2/18382825985", 18382825985)</f>
        <v>18382825985</v>
      </c>
      <c r="N873" s="24" t="s">
        <v>2370</v>
      </c>
      <c r="O873" s="33">
        <f>HYPERLINK("https://app.hubspot.com/contacts/8748051/record/0-3/16852846504", 16852846504)</f>
        <v>16852846504</v>
      </c>
      <c r="P873" s="24" t="s">
        <v>2369</v>
      </c>
      <c r="Q873" s="24" t="s">
        <v>73</v>
      </c>
      <c r="R873" s="24">
        <v>4000.0</v>
      </c>
      <c r="S873" s="34"/>
      <c r="T873" s="34" t="str">
        <f t="shared" ref="T873:V873" si="878">IF(G873&lt;&gt;"","Yes","")</f>
        <v>Yes</v>
      </c>
      <c r="U873" s="34" t="str">
        <f t="shared" si="878"/>
        <v/>
      </c>
      <c r="V873" s="34" t="str">
        <f t="shared" si="878"/>
        <v/>
      </c>
      <c r="W873" s="34" t="str">
        <f t="shared" si="3"/>
        <v/>
      </c>
      <c r="X873" s="24" t="str">
        <f t="shared" si="4"/>
        <v/>
      </c>
    </row>
    <row r="874" ht="14.25" customHeight="1">
      <c r="A874" s="33">
        <f>HYPERLINK("https://app.hubspot.com/contacts/8748051/record/0-1/3263951", 3263951)</f>
        <v>3263951</v>
      </c>
      <c r="B874" s="24" t="s">
        <v>5261</v>
      </c>
      <c r="C874" s="34"/>
      <c r="D874" s="24" t="s">
        <v>5262</v>
      </c>
      <c r="E874" s="28" t="s">
        <v>2258</v>
      </c>
      <c r="F874" s="34"/>
      <c r="G874" s="35">
        <v>45294.0</v>
      </c>
      <c r="H874" s="34"/>
      <c r="I874" s="34"/>
      <c r="J874" s="34"/>
      <c r="K874" s="34"/>
      <c r="L874" s="34"/>
      <c r="M874" s="33">
        <f>HYPERLINK("https://app.hubspot.com/contacts/8748051/record/0-2/8125402385", 8125402385)</f>
        <v>8125402385</v>
      </c>
      <c r="N874" s="24" t="s">
        <v>2257</v>
      </c>
      <c r="O874" s="34"/>
      <c r="P874" s="34"/>
      <c r="Q874" s="34"/>
      <c r="R874" s="34"/>
      <c r="S874" s="34"/>
      <c r="T874" s="34" t="str">
        <f t="shared" ref="T874:V874" si="879">IF(G874&lt;&gt;"","Yes","")</f>
        <v>Yes</v>
      </c>
      <c r="U874" s="34" t="str">
        <f t="shared" si="879"/>
        <v/>
      </c>
      <c r="V874" s="34" t="str">
        <f t="shared" si="879"/>
        <v/>
      </c>
      <c r="W874" s="34" t="str">
        <f t="shared" si="3"/>
        <v/>
      </c>
      <c r="X874" s="24" t="str">
        <f t="shared" si="4"/>
        <v/>
      </c>
    </row>
    <row r="875" ht="14.25" customHeight="1">
      <c r="A875" s="33">
        <f>HYPERLINK("https://app.hubspot.com/contacts/8748051/record/0-1/3282501", 3282501)</f>
        <v>3282501</v>
      </c>
      <c r="B875" s="24" t="s">
        <v>5263</v>
      </c>
      <c r="C875" s="34"/>
      <c r="D875" s="24" t="s">
        <v>5264</v>
      </c>
      <c r="E875" s="28" t="s">
        <v>2343</v>
      </c>
      <c r="F875" s="34"/>
      <c r="G875" s="35">
        <v>45302.0</v>
      </c>
      <c r="H875" s="35">
        <v>45315.0</v>
      </c>
      <c r="I875" s="35">
        <v>45315.0</v>
      </c>
      <c r="J875" s="34"/>
      <c r="K875" s="34"/>
      <c r="L875" s="34"/>
      <c r="M875" s="33">
        <f>HYPERLINK("https://app.hubspot.com/contacts/8748051/record/0-2/8921968153", 8921968153)</f>
        <v>8921968153</v>
      </c>
      <c r="N875" s="24" t="s">
        <v>2342</v>
      </c>
      <c r="O875" s="33">
        <f>HYPERLINK("https://app.hubspot.com/contacts/8748051/record/0-3/16974075299", 16974075299)</f>
        <v>16974075299</v>
      </c>
      <c r="P875" s="24" t="s">
        <v>2341</v>
      </c>
      <c r="Q875" s="24" t="s">
        <v>73</v>
      </c>
      <c r="R875" s="24">
        <v>100000.0</v>
      </c>
      <c r="S875" s="34"/>
      <c r="T875" s="34" t="str">
        <f t="shared" ref="T875:V875" si="880">IF(G875&lt;&gt;"","Yes","")</f>
        <v>Yes</v>
      </c>
      <c r="U875" s="34" t="str">
        <f t="shared" si="880"/>
        <v>Yes</v>
      </c>
      <c r="V875" s="34" t="str">
        <f t="shared" si="880"/>
        <v>Yes</v>
      </c>
      <c r="W875" s="34" t="str">
        <f t="shared" si="3"/>
        <v/>
      </c>
      <c r="X875" s="24" t="str">
        <f t="shared" si="4"/>
        <v/>
      </c>
    </row>
    <row r="876" ht="14.25" customHeight="1">
      <c r="A876" s="33">
        <f>HYPERLINK("https://app.hubspot.com/contacts/8748051/record/0-1/3282701", 3282701)</f>
        <v>3282701</v>
      </c>
      <c r="B876" s="24" t="s">
        <v>5265</v>
      </c>
      <c r="C876" s="34"/>
      <c r="D876" s="24" t="s">
        <v>5266</v>
      </c>
      <c r="E876" s="28" t="s">
        <v>305</v>
      </c>
      <c r="F876" s="34"/>
      <c r="G876" s="35">
        <v>45302.0</v>
      </c>
      <c r="H876" s="34"/>
      <c r="I876" s="34"/>
      <c r="J876" s="34"/>
      <c r="K876" s="34"/>
      <c r="L876" s="34"/>
      <c r="M876" s="33">
        <f>HYPERLINK("https://app.hubspot.com/contacts/8748051/record/0-2/18382656883", 18382656883)</f>
        <v>18382656883</v>
      </c>
      <c r="N876" s="24" t="s">
        <v>304</v>
      </c>
      <c r="O876" s="34"/>
      <c r="P876" s="34"/>
      <c r="Q876" s="34"/>
      <c r="R876" s="34"/>
      <c r="S876" s="34"/>
      <c r="T876" s="34" t="str">
        <f t="shared" ref="T876:V876" si="881">IF(G876&lt;&gt;"","Yes","")</f>
        <v>Yes</v>
      </c>
      <c r="U876" s="34" t="str">
        <f t="shared" si="881"/>
        <v/>
      </c>
      <c r="V876" s="34" t="str">
        <f t="shared" si="881"/>
        <v/>
      </c>
      <c r="W876" s="34" t="str">
        <f t="shared" si="3"/>
        <v/>
      </c>
      <c r="X876" s="24" t="str">
        <f t="shared" si="4"/>
        <v/>
      </c>
    </row>
    <row r="877" ht="14.25" customHeight="1">
      <c r="A877" s="33">
        <f>HYPERLINK("https://app.hubspot.com/contacts/8748051/record/0-1/3284601", 3284601)</f>
        <v>3284601</v>
      </c>
      <c r="B877" s="24" t="s">
        <v>5267</v>
      </c>
      <c r="C877" s="34"/>
      <c r="D877" s="24" t="s">
        <v>5268</v>
      </c>
      <c r="E877" s="28" t="s">
        <v>2318</v>
      </c>
      <c r="F877" s="34"/>
      <c r="G877" s="35">
        <v>45302.0</v>
      </c>
      <c r="H877" s="35">
        <v>45316.0</v>
      </c>
      <c r="I877" s="35">
        <v>45316.0</v>
      </c>
      <c r="J877" s="34"/>
      <c r="K877" s="34"/>
      <c r="L877" s="34"/>
      <c r="M877" s="33">
        <f>HYPERLINK("https://app.hubspot.com/contacts/8748051/record/0-2/9186970750", 9186970750)</f>
        <v>9186970750</v>
      </c>
      <c r="N877" s="24" t="s">
        <v>2317</v>
      </c>
      <c r="O877" s="33">
        <f>HYPERLINK("https://app.hubspot.com/contacts/8748051/record/0-3/17142722654", 17142722654)</f>
        <v>17142722654</v>
      </c>
      <c r="P877" s="24" t="s">
        <v>2316</v>
      </c>
      <c r="Q877" s="24" t="s">
        <v>127</v>
      </c>
      <c r="R877" s="24">
        <v>10560.0</v>
      </c>
      <c r="S877" s="24" t="b">
        <v>1</v>
      </c>
      <c r="T877" s="34" t="str">
        <f t="shared" ref="T877:V877" si="882">IF(G877&lt;&gt;"","Yes","")</f>
        <v>Yes</v>
      </c>
      <c r="U877" s="34" t="str">
        <f t="shared" si="882"/>
        <v>Yes</v>
      </c>
      <c r="V877" s="34" t="str">
        <f t="shared" si="882"/>
        <v>Yes</v>
      </c>
      <c r="W877" s="34" t="str">
        <f t="shared" si="3"/>
        <v/>
      </c>
      <c r="X877" s="24" t="str">
        <f t="shared" si="4"/>
        <v/>
      </c>
    </row>
    <row r="878" ht="14.25" customHeight="1">
      <c r="A878" s="33">
        <f>HYPERLINK("https://app.hubspot.com/contacts/8748051/record/0-1/3285901", 3285901)</f>
        <v>3285901</v>
      </c>
      <c r="B878" s="24" t="s">
        <v>5269</v>
      </c>
      <c r="C878" s="34"/>
      <c r="D878" s="24" t="s">
        <v>5270</v>
      </c>
      <c r="E878" s="28" t="s">
        <v>2340</v>
      </c>
      <c r="F878" s="34"/>
      <c r="G878" s="35">
        <v>45303.0</v>
      </c>
      <c r="H878" s="35">
        <v>45308.0</v>
      </c>
      <c r="I878" s="35">
        <v>45308.0</v>
      </c>
      <c r="J878" s="34"/>
      <c r="K878" s="34"/>
      <c r="L878" s="34"/>
      <c r="M878" s="33">
        <f>HYPERLINK("https://app.hubspot.com/contacts/8748051/record/0-2/7752315399", 7752315399)</f>
        <v>7752315399</v>
      </c>
      <c r="N878" s="24" t="s">
        <v>2339</v>
      </c>
      <c r="O878" s="33">
        <f>HYPERLINK("https://app.hubspot.com/contacts/8748051/record/0-3/16974250360", 16974250360)</f>
        <v>16974250360</v>
      </c>
      <c r="P878" s="24" t="s">
        <v>2338</v>
      </c>
      <c r="Q878" s="24" t="s">
        <v>73</v>
      </c>
      <c r="R878" s="24">
        <v>91500.0</v>
      </c>
      <c r="S878" s="34"/>
      <c r="T878" s="34" t="str">
        <f t="shared" ref="T878:V878" si="883">IF(G878&lt;&gt;"","Yes","")</f>
        <v>Yes</v>
      </c>
      <c r="U878" s="34" t="str">
        <f t="shared" si="883"/>
        <v>Yes</v>
      </c>
      <c r="V878" s="34" t="str">
        <f t="shared" si="883"/>
        <v>Yes</v>
      </c>
      <c r="W878" s="34" t="str">
        <f t="shared" si="3"/>
        <v/>
      </c>
      <c r="X878" s="24" t="str">
        <f t="shared" si="4"/>
        <v/>
      </c>
    </row>
    <row r="879" ht="14.25" customHeight="1">
      <c r="A879" s="33">
        <f>HYPERLINK("https://app.hubspot.com/contacts/8748051/record/0-1/3286451", 3286451)</f>
        <v>3286451</v>
      </c>
      <c r="B879" s="24" t="s">
        <v>5271</v>
      </c>
      <c r="C879" s="34"/>
      <c r="D879" s="24" t="s">
        <v>5272</v>
      </c>
      <c r="E879" s="28" t="s">
        <v>2337</v>
      </c>
      <c r="F879" s="34"/>
      <c r="G879" s="35">
        <v>45303.0</v>
      </c>
      <c r="H879" s="35">
        <v>45309.0</v>
      </c>
      <c r="I879" s="35">
        <v>45309.0</v>
      </c>
      <c r="J879" s="34"/>
      <c r="K879" s="34"/>
      <c r="L879" s="34"/>
      <c r="M879" s="33">
        <f>HYPERLINK("https://app.hubspot.com/contacts/8748051/record/0-2/8929748773", 8929748773)</f>
        <v>8929748773</v>
      </c>
      <c r="N879" s="24" t="s">
        <v>2336</v>
      </c>
      <c r="O879" s="33">
        <f>HYPERLINK("https://app.hubspot.com/contacts/8748051/record/0-3/16975731980", 16975731980)</f>
        <v>16975731980</v>
      </c>
      <c r="P879" s="24" t="s">
        <v>2335</v>
      </c>
      <c r="Q879" s="24" t="s">
        <v>127</v>
      </c>
      <c r="R879" s="24">
        <v>36000.0</v>
      </c>
      <c r="S879" s="24" t="b">
        <v>1</v>
      </c>
      <c r="T879" s="34" t="str">
        <f t="shared" ref="T879:V879" si="884">IF(G879&lt;&gt;"","Yes","")</f>
        <v>Yes</v>
      </c>
      <c r="U879" s="34" t="str">
        <f t="shared" si="884"/>
        <v>Yes</v>
      </c>
      <c r="V879" s="34" t="str">
        <f t="shared" si="884"/>
        <v>Yes</v>
      </c>
      <c r="W879" s="34" t="str">
        <f t="shared" si="3"/>
        <v/>
      </c>
      <c r="X879" s="24" t="str">
        <f t="shared" si="4"/>
        <v/>
      </c>
    </row>
    <row r="880" ht="14.25" customHeight="1">
      <c r="A880" s="33">
        <f>HYPERLINK("https://app.hubspot.com/contacts/8748051/record/0-1/3290101", 3290101)</f>
        <v>3290101</v>
      </c>
      <c r="B880" s="24" t="s">
        <v>5273</v>
      </c>
      <c r="C880" s="34"/>
      <c r="D880" s="24" t="s">
        <v>5274</v>
      </c>
      <c r="E880" s="28" t="s">
        <v>2312</v>
      </c>
      <c r="F880" s="34"/>
      <c r="G880" s="35">
        <v>45304.0</v>
      </c>
      <c r="H880" s="34"/>
      <c r="I880" s="34"/>
      <c r="J880" s="34"/>
      <c r="K880" s="34"/>
      <c r="L880" s="34"/>
      <c r="M880" s="33">
        <f>HYPERLINK("https://app.hubspot.com/contacts/8748051/record/0-2/9238413945", 9238413945)</f>
        <v>9238413945</v>
      </c>
      <c r="N880" s="24" t="s">
        <v>2311</v>
      </c>
      <c r="O880" s="33">
        <f>HYPERLINK("https://app.hubspot.com/contacts/8748051/record/0-3/17156438330", 17156438330)</f>
        <v>17156438330</v>
      </c>
      <c r="P880" s="24" t="s">
        <v>2310</v>
      </c>
      <c r="Q880" s="24" t="s">
        <v>73</v>
      </c>
      <c r="R880" s="24">
        <v>6500.0</v>
      </c>
      <c r="S880" s="34"/>
      <c r="T880" s="34" t="str">
        <f t="shared" ref="T880:V880" si="885">IF(G880&lt;&gt;"","Yes","")</f>
        <v>Yes</v>
      </c>
      <c r="U880" s="34" t="str">
        <f t="shared" si="885"/>
        <v/>
      </c>
      <c r="V880" s="34" t="str">
        <f t="shared" si="885"/>
        <v/>
      </c>
      <c r="W880" s="34" t="str">
        <f t="shared" si="3"/>
        <v/>
      </c>
      <c r="X880" s="24" t="str">
        <f t="shared" si="4"/>
        <v/>
      </c>
    </row>
    <row r="881" ht="14.25" customHeight="1">
      <c r="A881" s="33">
        <f>HYPERLINK("https://app.hubspot.com/contacts/8748051/record/0-1/3291451", 3291451)</f>
        <v>3291451</v>
      </c>
      <c r="B881" s="24" t="s">
        <v>5275</v>
      </c>
      <c r="C881" s="34"/>
      <c r="D881" s="24" t="s">
        <v>5276</v>
      </c>
      <c r="E881" s="28" t="s">
        <v>5277</v>
      </c>
      <c r="F881" s="24" t="s">
        <v>5278</v>
      </c>
      <c r="G881" s="34"/>
      <c r="H881" s="34"/>
      <c r="I881" s="34"/>
      <c r="J881" s="34"/>
      <c r="K881" s="34"/>
      <c r="L881" s="34"/>
      <c r="M881" s="33">
        <f>HYPERLINK("https://app.hubspot.com/contacts/8748051/record/0-2/18708786053", 18708786053)</f>
        <v>18708786053</v>
      </c>
      <c r="N881" s="24" t="s">
        <v>5279</v>
      </c>
      <c r="O881" s="34"/>
      <c r="P881" s="34"/>
      <c r="Q881" s="34"/>
      <c r="R881" s="34"/>
      <c r="S881" s="34"/>
      <c r="T881" s="34" t="str">
        <f t="shared" ref="T881:V881" si="886">IF(G881&lt;&gt;"","Yes","")</f>
        <v/>
      </c>
      <c r="U881" s="34" t="str">
        <f t="shared" si="886"/>
        <v/>
      </c>
      <c r="V881" s="34" t="str">
        <f t="shared" si="886"/>
        <v/>
      </c>
      <c r="W881" s="34" t="str">
        <f t="shared" si="3"/>
        <v/>
      </c>
      <c r="X881" s="24" t="str">
        <f t="shared" si="4"/>
        <v/>
      </c>
    </row>
    <row r="882" ht="14.25" customHeight="1">
      <c r="A882" s="33">
        <f>HYPERLINK("https://app.hubspot.com/contacts/8748051/record/0-1/3291701", 3291701)</f>
        <v>3291701</v>
      </c>
      <c r="B882" s="24" t="s">
        <v>5280</v>
      </c>
      <c r="C882" s="34"/>
      <c r="D882" s="24" t="s">
        <v>5281</v>
      </c>
      <c r="E882" s="28" t="s">
        <v>5282</v>
      </c>
      <c r="F882" s="34"/>
      <c r="G882" s="35">
        <v>45305.0</v>
      </c>
      <c r="H882" s="34"/>
      <c r="I882" s="34"/>
      <c r="J882" s="34"/>
      <c r="K882" s="34"/>
      <c r="L882" s="34"/>
      <c r="M882" s="33">
        <f>HYPERLINK("https://app.hubspot.com/contacts/8748051/record/0-2/18382767736", 18382767736)</f>
        <v>18382767736</v>
      </c>
      <c r="N882" s="24" t="s">
        <v>5283</v>
      </c>
      <c r="O882" s="34"/>
      <c r="P882" s="34"/>
      <c r="Q882" s="34"/>
      <c r="R882" s="34"/>
      <c r="S882" s="34"/>
      <c r="T882" s="34" t="str">
        <f t="shared" ref="T882:V882" si="887">IF(G882&lt;&gt;"","Yes","")</f>
        <v>Yes</v>
      </c>
      <c r="U882" s="34" t="str">
        <f t="shared" si="887"/>
        <v/>
      </c>
      <c r="V882" s="34" t="str">
        <f t="shared" si="887"/>
        <v/>
      </c>
      <c r="W882" s="34" t="str">
        <f t="shared" si="3"/>
        <v/>
      </c>
      <c r="X882" s="24" t="str">
        <f t="shared" si="4"/>
        <v/>
      </c>
    </row>
    <row r="883" ht="14.25" customHeight="1">
      <c r="A883" s="33">
        <f>HYPERLINK("https://app.hubspot.com/contacts/8748051/record/0-1/3293351", 3293351)</f>
        <v>3293351</v>
      </c>
      <c r="B883" s="24" t="s">
        <v>5284</v>
      </c>
      <c r="C883" s="34"/>
      <c r="D883" s="24" t="s">
        <v>5285</v>
      </c>
      <c r="E883" s="28" t="s">
        <v>2152</v>
      </c>
      <c r="F883" s="34"/>
      <c r="G883" s="35">
        <v>45306.0</v>
      </c>
      <c r="H883" s="34"/>
      <c r="I883" s="34"/>
      <c r="J883" s="34"/>
      <c r="K883" s="34"/>
      <c r="L883" s="34"/>
      <c r="M883" s="33">
        <f>HYPERLINK("https://app.hubspot.com/contacts/8748051/record/0-2/6530174271", 6530174271)</f>
        <v>6530174271</v>
      </c>
      <c r="N883" s="24" t="s">
        <v>2151</v>
      </c>
      <c r="O883" s="34"/>
      <c r="P883" s="34"/>
      <c r="Q883" s="34"/>
      <c r="R883" s="34"/>
      <c r="S883" s="34"/>
      <c r="T883" s="34" t="str">
        <f t="shared" ref="T883:V883" si="888">IF(G883&lt;&gt;"","Yes","")</f>
        <v>Yes</v>
      </c>
      <c r="U883" s="34" t="str">
        <f t="shared" si="888"/>
        <v/>
      </c>
      <c r="V883" s="34" t="str">
        <f t="shared" si="888"/>
        <v/>
      </c>
      <c r="W883" s="34" t="str">
        <f t="shared" si="3"/>
        <v/>
      </c>
      <c r="X883" s="24" t="str">
        <f t="shared" si="4"/>
        <v/>
      </c>
    </row>
    <row r="884" ht="14.25" customHeight="1">
      <c r="A884" s="33">
        <f>HYPERLINK("https://app.hubspot.com/contacts/8748051/record/0-1/3296951", 3296951)</f>
        <v>3296951</v>
      </c>
      <c r="B884" s="24" t="s">
        <v>5286</v>
      </c>
      <c r="C884" s="34"/>
      <c r="D884" s="24" t="s">
        <v>5287</v>
      </c>
      <c r="E884" s="28" t="s">
        <v>2277</v>
      </c>
      <c r="F884" s="34"/>
      <c r="G884" s="35">
        <v>45307.0</v>
      </c>
      <c r="H884" s="35">
        <v>45324.0</v>
      </c>
      <c r="I884" s="35">
        <v>45324.0</v>
      </c>
      <c r="J884" s="34"/>
      <c r="K884" s="34"/>
      <c r="L884" s="34"/>
      <c r="M884" s="33">
        <f>HYPERLINK("https://app.hubspot.com/contacts/8748051/record/0-2/7514043522", 7514043522)</f>
        <v>7514043522</v>
      </c>
      <c r="N884" s="24" t="s">
        <v>2276</v>
      </c>
      <c r="O884" s="33">
        <f>HYPERLINK("https://app.hubspot.com/contacts/8748051/record/0-3/17273007436", 17273007436)</f>
        <v>17273007436</v>
      </c>
      <c r="P884" s="24" t="s">
        <v>2275</v>
      </c>
      <c r="Q884" s="24" t="s">
        <v>127</v>
      </c>
      <c r="R884" s="24">
        <v>20500.0</v>
      </c>
      <c r="S884" s="24" t="b">
        <v>1</v>
      </c>
      <c r="T884" s="34" t="str">
        <f t="shared" ref="T884:V884" si="889">IF(G884&lt;&gt;"","Yes","")</f>
        <v>Yes</v>
      </c>
      <c r="U884" s="34" t="str">
        <f t="shared" si="889"/>
        <v>Yes</v>
      </c>
      <c r="V884" s="34" t="str">
        <f t="shared" si="889"/>
        <v>Yes</v>
      </c>
      <c r="W884" s="34" t="str">
        <f t="shared" si="3"/>
        <v/>
      </c>
      <c r="X884" s="24" t="str">
        <f t="shared" si="4"/>
        <v/>
      </c>
    </row>
    <row r="885" ht="14.25" customHeight="1">
      <c r="A885" s="33">
        <f>HYPERLINK("https://app.hubspot.com/contacts/8748051/record/0-1/3300951", 3300951)</f>
        <v>3300951</v>
      </c>
      <c r="B885" s="24" t="s">
        <v>5288</v>
      </c>
      <c r="C885" s="34"/>
      <c r="D885" s="24" t="s">
        <v>5289</v>
      </c>
      <c r="E885" s="28" t="s">
        <v>5290</v>
      </c>
      <c r="F885" s="34"/>
      <c r="G885" s="35">
        <v>45309.0</v>
      </c>
      <c r="H885" s="34"/>
      <c r="I885" s="34"/>
      <c r="J885" s="34"/>
      <c r="K885" s="34"/>
      <c r="L885" s="34"/>
      <c r="M885" s="33">
        <f>HYPERLINK("https://app.hubspot.com/contacts/8748051/record/0-2/18753844801", 18753844801)</f>
        <v>18753844801</v>
      </c>
      <c r="N885" s="28" t="s">
        <v>5290</v>
      </c>
      <c r="O885" s="34"/>
      <c r="P885" s="34"/>
      <c r="Q885" s="34"/>
      <c r="R885" s="34"/>
      <c r="S885" s="34"/>
      <c r="T885" s="34" t="str">
        <f t="shared" ref="T885:V885" si="890">IF(G885&lt;&gt;"","Yes","")</f>
        <v>Yes</v>
      </c>
      <c r="U885" s="34" t="str">
        <f t="shared" si="890"/>
        <v/>
      </c>
      <c r="V885" s="34" t="str">
        <f t="shared" si="890"/>
        <v/>
      </c>
      <c r="W885" s="34" t="str">
        <f t="shared" si="3"/>
        <v/>
      </c>
      <c r="X885" s="24" t="str">
        <f t="shared" si="4"/>
        <v/>
      </c>
    </row>
    <row r="886" ht="14.25" customHeight="1">
      <c r="A886" s="33">
        <f>HYPERLINK("https://app.hubspot.com/contacts/8748051/record/0-1/3304251", 3304251)</f>
        <v>3304251</v>
      </c>
      <c r="B886" s="24" t="s">
        <v>5291</v>
      </c>
      <c r="C886" s="34"/>
      <c r="D886" s="24" t="s">
        <v>5292</v>
      </c>
      <c r="E886" s="28" t="s">
        <v>5293</v>
      </c>
      <c r="F886" s="34"/>
      <c r="G886" s="35">
        <v>45309.0</v>
      </c>
      <c r="H886" s="34"/>
      <c r="I886" s="34"/>
      <c r="J886" s="34"/>
      <c r="K886" s="34"/>
      <c r="L886" s="34"/>
      <c r="M886" s="33">
        <f>HYPERLINK("https://app.hubspot.com/contacts/8748051/record/0-2/9186947976", 9186947976)</f>
        <v>9186947976</v>
      </c>
      <c r="N886" s="24" t="s">
        <v>5294</v>
      </c>
      <c r="O886" s="34"/>
      <c r="P886" s="34"/>
      <c r="Q886" s="34"/>
      <c r="R886" s="34"/>
      <c r="S886" s="34"/>
      <c r="T886" s="34" t="str">
        <f t="shared" ref="T886:V886" si="891">IF(G886&lt;&gt;"","Yes","")</f>
        <v>Yes</v>
      </c>
      <c r="U886" s="34" t="str">
        <f t="shared" si="891"/>
        <v/>
      </c>
      <c r="V886" s="34" t="str">
        <f t="shared" si="891"/>
        <v/>
      </c>
      <c r="W886" s="34" t="str">
        <f t="shared" si="3"/>
        <v/>
      </c>
      <c r="X886" s="24" t="str">
        <f t="shared" si="4"/>
        <v/>
      </c>
    </row>
    <row r="887" ht="14.25" customHeight="1">
      <c r="A887" s="33">
        <f>HYPERLINK("https://app.hubspot.com/contacts/8748051/record/0-1/3304501", 3304501)</f>
        <v>3304501</v>
      </c>
      <c r="B887" s="24" t="s">
        <v>5295</v>
      </c>
      <c r="C887" s="34"/>
      <c r="D887" s="24" t="s">
        <v>5296</v>
      </c>
      <c r="E887" s="28" t="s">
        <v>2309</v>
      </c>
      <c r="F887" s="34"/>
      <c r="G887" s="35">
        <v>45309.0</v>
      </c>
      <c r="H887" s="35">
        <v>45317.0</v>
      </c>
      <c r="I887" s="35">
        <v>45317.0</v>
      </c>
      <c r="J887" s="34"/>
      <c r="K887" s="34"/>
      <c r="L887" s="34"/>
      <c r="M887" s="33">
        <f>HYPERLINK("https://app.hubspot.com/contacts/8748051/record/0-2/7893829192", 7893829192)</f>
        <v>7893829192</v>
      </c>
      <c r="N887" s="24" t="s">
        <v>2308</v>
      </c>
      <c r="O887" s="33">
        <f>HYPERLINK("https://app.hubspot.com/contacts/8748051/record/0-3/17157154989", 17157154989)</f>
        <v>17157154989</v>
      </c>
      <c r="P887" s="24" t="s">
        <v>2307</v>
      </c>
      <c r="Q887" s="24" t="s">
        <v>127</v>
      </c>
      <c r="R887" s="24">
        <v>18480.0</v>
      </c>
      <c r="S887" s="24" t="b">
        <v>1</v>
      </c>
      <c r="T887" s="34" t="str">
        <f t="shared" ref="T887:V887" si="892">IF(G887&lt;&gt;"","Yes","")</f>
        <v>Yes</v>
      </c>
      <c r="U887" s="34" t="str">
        <f t="shared" si="892"/>
        <v>Yes</v>
      </c>
      <c r="V887" s="34" t="str">
        <f t="shared" si="892"/>
        <v>Yes</v>
      </c>
      <c r="W887" s="34" t="str">
        <f t="shared" si="3"/>
        <v/>
      </c>
      <c r="X887" s="24" t="str">
        <f t="shared" si="4"/>
        <v/>
      </c>
    </row>
    <row r="888" ht="14.25" customHeight="1">
      <c r="A888" s="33">
        <f>HYPERLINK("https://app.hubspot.com/contacts/8748051/record/0-1/3306301", 3306301)</f>
        <v>3306301</v>
      </c>
      <c r="B888" s="24" t="s">
        <v>5297</v>
      </c>
      <c r="C888" s="34"/>
      <c r="D888" s="24" t="s">
        <v>5298</v>
      </c>
      <c r="E888" s="28" t="s">
        <v>5299</v>
      </c>
      <c r="F888" s="24" t="s">
        <v>5300</v>
      </c>
      <c r="G888" s="34"/>
      <c r="H888" s="34"/>
      <c r="I888" s="34"/>
      <c r="J888" s="34"/>
      <c r="K888" s="34"/>
      <c r="L888" s="34"/>
      <c r="M888" s="33">
        <f>HYPERLINK("https://app.hubspot.com/contacts/8748051/record/0-2/18766526801", 18766526801)</f>
        <v>18766526801</v>
      </c>
      <c r="N888" s="24" t="s">
        <v>5301</v>
      </c>
      <c r="O888" s="34"/>
      <c r="P888" s="34"/>
      <c r="Q888" s="34"/>
      <c r="R888" s="34"/>
      <c r="S888" s="34"/>
      <c r="T888" s="34" t="str">
        <f t="shared" ref="T888:V888" si="893">IF(G888&lt;&gt;"","Yes","")</f>
        <v/>
      </c>
      <c r="U888" s="34" t="str">
        <f t="shared" si="893"/>
        <v/>
      </c>
      <c r="V888" s="34" t="str">
        <f t="shared" si="893"/>
        <v/>
      </c>
      <c r="W888" s="34" t="str">
        <f t="shared" si="3"/>
        <v/>
      </c>
      <c r="X888" s="24" t="str">
        <f t="shared" si="4"/>
        <v/>
      </c>
    </row>
    <row r="889" ht="14.25" customHeight="1">
      <c r="A889" s="33">
        <f>HYPERLINK("https://app.hubspot.com/contacts/8748051/record/0-1/3308751", 3308751)</f>
        <v>3308751</v>
      </c>
      <c r="B889" s="24" t="s">
        <v>5302</v>
      </c>
      <c r="C889" s="34"/>
      <c r="D889" s="24" t="s">
        <v>5303</v>
      </c>
      <c r="E889" s="28" t="s">
        <v>2283</v>
      </c>
      <c r="F889" s="34"/>
      <c r="G889" s="35">
        <v>45311.0</v>
      </c>
      <c r="H889" s="35">
        <v>45317.0</v>
      </c>
      <c r="I889" s="35">
        <v>45317.0</v>
      </c>
      <c r="J889" s="34"/>
      <c r="K889" s="34"/>
      <c r="L889" s="34"/>
      <c r="M889" s="33">
        <f>HYPERLINK("https://app.hubspot.com/contacts/8748051/record/0-2/6266140957", 6266140957)</f>
        <v>6266140957</v>
      </c>
      <c r="N889" s="24" t="s">
        <v>2282</v>
      </c>
      <c r="O889" s="33">
        <f>HYPERLINK("https://app.hubspot.com/contacts/8748051/record/0-3/17244404402", 17244404402)</f>
        <v>17244404402</v>
      </c>
      <c r="P889" s="24" t="s">
        <v>2281</v>
      </c>
      <c r="Q889" s="24" t="s">
        <v>73</v>
      </c>
      <c r="R889" s="24">
        <v>22000.0</v>
      </c>
      <c r="S889" s="34"/>
      <c r="T889" s="34" t="str">
        <f t="shared" ref="T889:V889" si="894">IF(G889&lt;&gt;"","Yes","")</f>
        <v>Yes</v>
      </c>
      <c r="U889" s="34" t="str">
        <f t="shared" si="894"/>
        <v>Yes</v>
      </c>
      <c r="V889" s="34" t="str">
        <f t="shared" si="894"/>
        <v>Yes</v>
      </c>
      <c r="W889" s="34" t="str">
        <f t="shared" si="3"/>
        <v/>
      </c>
      <c r="X889" s="24" t="str">
        <f t="shared" si="4"/>
        <v/>
      </c>
    </row>
    <row r="890" ht="14.25" customHeight="1">
      <c r="A890" s="33">
        <f>HYPERLINK("https://app.hubspot.com/contacts/8748051/record/0-1/3309101", 3309101)</f>
        <v>3309101</v>
      </c>
      <c r="B890" s="24" t="s">
        <v>5304</v>
      </c>
      <c r="C890" s="34"/>
      <c r="D890" s="24" t="s">
        <v>5305</v>
      </c>
      <c r="E890" s="28" t="s">
        <v>2271</v>
      </c>
      <c r="F890" s="34"/>
      <c r="G890" s="35">
        <v>45311.0</v>
      </c>
      <c r="H890" s="35">
        <v>45329.0</v>
      </c>
      <c r="I890" s="35">
        <v>45329.0</v>
      </c>
      <c r="J890" s="34"/>
      <c r="K890" s="34"/>
      <c r="L890" s="34"/>
      <c r="M890" s="33">
        <f>HYPERLINK("https://app.hubspot.com/contacts/8748051/record/0-2/9137262742", 9137262742)</f>
        <v>9137262742</v>
      </c>
      <c r="N890" s="24" t="s">
        <v>2270</v>
      </c>
      <c r="O890" s="33">
        <f>HYPERLINK("https://app.hubspot.com/contacts/8748051/record/0-3/17273008143", 17273008143)</f>
        <v>17273008143</v>
      </c>
      <c r="P890" s="24" t="s">
        <v>2270</v>
      </c>
      <c r="Q890" s="24" t="s">
        <v>73</v>
      </c>
      <c r="R890" s="24">
        <v>100000.0</v>
      </c>
      <c r="S890" s="34"/>
      <c r="T890" s="34" t="str">
        <f t="shared" ref="T890:V890" si="895">IF(G890&lt;&gt;"","Yes","")</f>
        <v>Yes</v>
      </c>
      <c r="U890" s="34" t="str">
        <f t="shared" si="895"/>
        <v>Yes</v>
      </c>
      <c r="V890" s="34" t="str">
        <f t="shared" si="895"/>
        <v>Yes</v>
      </c>
      <c r="W890" s="34" t="str">
        <f t="shared" si="3"/>
        <v/>
      </c>
      <c r="X890" s="24" t="str">
        <f t="shared" si="4"/>
        <v/>
      </c>
    </row>
    <row r="891" ht="14.25" customHeight="1">
      <c r="A891" s="33">
        <f>HYPERLINK("https://app.hubspot.com/contacts/8748051/record/0-1/3309701", 3309701)</f>
        <v>3309701</v>
      </c>
      <c r="B891" s="24" t="s">
        <v>5306</v>
      </c>
      <c r="C891" s="34"/>
      <c r="D891" s="24" t="s">
        <v>5307</v>
      </c>
      <c r="E891" s="28" t="s">
        <v>2274</v>
      </c>
      <c r="F891" s="34"/>
      <c r="G891" s="35">
        <v>45311.0</v>
      </c>
      <c r="H891" s="35">
        <v>45324.0</v>
      </c>
      <c r="I891" s="35">
        <v>45324.0</v>
      </c>
      <c r="J891" s="34"/>
      <c r="K891" s="34"/>
      <c r="L891" s="34"/>
      <c r="M891" s="33">
        <f>HYPERLINK("https://app.hubspot.com/contacts/8748051/record/0-2/7721411430", 7721411430)</f>
        <v>7721411430</v>
      </c>
      <c r="N891" s="24" t="s">
        <v>2273</v>
      </c>
      <c r="O891" s="33">
        <f>HYPERLINK("https://app.hubspot.com/contacts/8748051/record/0-3/17272674726", 17272674726)</f>
        <v>17272674726</v>
      </c>
      <c r="P891" s="24" t="s">
        <v>2272</v>
      </c>
      <c r="Q891" s="24" t="s">
        <v>73</v>
      </c>
      <c r="R891" s="24">
        <v>20500.0</v>
      </c>
      <c r="S891" s="34"/>
      <c r="T891" s="34" t="str">
        <f t="shared" ref="T891:V891" si="896">IF(G891&lt;&gt;"","Yes","")</f>
        <v>Yes</v>
      </c>
      <c r="U891" s="34" t="str">
        <f t="shared" si="896"/>
        <v>Yes</v>
      </c>
      <c r="V891" s="34" t="str">
        <f t="shared" si="896"/>
        <v>Yes</v>
      </c>
      <c r="W891" s="34" t="str">
        <f t="shared" si="3"/>
        <v/>
      </c>
      <c r="X891" s="24" t="str">
        <f t="shared" si="4"/>
        <v/>
      </c>
    </row>
    <row r="892" ht="14.25" customHeight="1">
      <c r="A892" s="33">
        <f>HYPERLINK("https://app.hubspot.com/contacts/8748051/record/0-1/3311151", 3311151)</f>
        <v>3311151</v>
      </c>
      <c r="B892" s="24" t="s">
        <v>5308</v>
      </c>
      <c r="C892" s="34"/>
      <c r="D892" s="24" t="s">
        <v>5309</v>
      </c>
      <c r="E892" s="28" t="s">
        <v>5310</v>
      </c>
      <c r="F892" s="34"/>
      <c r="G892" s="35">
        <v>45312.0</v>
      </c>
      <c r="H892" s="34"/>
      <c r="I892" s="34"/>
      <c r="J892" s="34"/>
      <c r="K892" s="34"/>
      <c r="L892" s="34"/>
      <c r="M892" s="33">
        <f>HYPERLINK("https://app.hubspot.com/contacts/8748051/record/0-2/9238345234", 9238345234)</f>
        <v>9238345234</v>
      </c>
      <c r="N892" s="24" t="s">
        <v>5311</v>
      </c>
      <c r="O892" s="34"/>
      <c r="P892" s="34"/>
      <c r="Q892" s="34"/>
      <c r="R892" s="34"/>
      <c r="S892" s="34"/>
      <c r="T892" s="34" t="str">
        <f t="shared" ref="T892:V892" si="897">IF(G892&lt;&gt;"","Yes","")</f>
        <v>Yes</v>
      </c>
      <c r="U892" s="34" t="str">
        <f t="shared" si="897"/>
        <v/>
      </c>
      <c r="V892" s="34" t="str">
        <f t="shared" si="897"/>
        <v/>
      </c>
      <c r="W892" s="34" t="str">
        <f t="shared" si="3"/>
        <v/>
      </c>
      <c r="X892" s="24" t="str">
        <f t="shared" si="4"/>
        <v/>
      </c>
    </row>
    <row r="893" ht="14.25" customHeight="1">
      <c r="A893" s="33">
        <f>HYPERLINK("https://app.hubspot.com/contacts/8748051/record/0-1/3311451", 3311451)</f>
        <v>3311451</v>
      </c>
      <c r="B893" s="24" t="s">
        <v>5312</v>
      </c>
      <c r="C893" s="34"/>
      <c r="D893" s="24" t="s">
        <v>5313</v>
      </c>
      <c r="E893" s="28" t="s">
        <v>2292</v>
      </c>
      <c r="F893" s="34"/>
      <c r="G893" s="35">
        <v>45313.0</v>
      </c>
      <c r="H893" s="35">
        <v>45435.0</v>
      </c>
      <c r="I893" s="35">
        <v>45316.0</v>
      </c>
      <c r="J893" s="34"/>
      <c r="K893" s="34"/>
      <c r="L893" s="34"/>
      <c r="M893" s="33">
        <f>HYPERLINK("https://app.hubspot.com/contacts/8748051/record/0-2/8310486294", 8310486294)</f>
        <v>8310486294</v>
      </c>
      <c r="N893" s="24" t="s">
        <v>2291</v>
      </c>
      <c r="O893" s="33">
        <f>HYPERLINK("https://app.hubspot.com/contacts/8748051/record/0-3/17181670915", 17181670915)</f>
        <v>17181670915</v>
      </c>
      <c r="P893" s="24" t="s">
        <v>2290</v>
      </c>
      <c r="Q893" s="24" t="s">
        <v>73</v>
      </c>
      <c r="R893" s="24">
        <v>29000.0</v>
      </c>
      <c r="S893" s="34"/>
      <c r="T893" s="34" t="str">
        <f t="shared" ref="T893:V893" si="898">IF(G893&lt;&gt;"","Yes","")</f>
        <v>Yes</v>
      </c>
      <c r="U893" s="34" t="str">
        <f t="shared" si="898"/>
        <v>Yes</v>
      </c>
      <c r="V893" s="34" t="str">
        <f t="shared" si="898"/>
        <v>Yes</v>
      </c>
      <c r="W893" s="34" t="str">
        <f t="shared" si="3"/>
        <v/>
      </c>
      <c r="X893" s="24" t="str">
        <f t="shared" si="4"/>
        <v/>
      </c>
    </row>
    <row r="894" ht="14.25" customHeight="1">
      <c r="A894" s="33">
        <f>HYPERLINK("https://app.hubspot.com/contacts/8748051/record/0-1/3315501", 3315501)</f>
        <v>3315501</v>
      </c>
      <c r="B894" s="24" t="s">
        <v>5314</v>
      </c>
      <c r="C894" s="34"/>
      <c r="D894" s="24" t="s">
        <v>5315</v>
      </c>
      <c r="E894" s="28" t="s">
        <v>2286</v>
      </c>
      <c r="F894" s="34"/>
      <c r="G894" s="35">
        <v>45314.0</v>
      </c>
      <c r="H894" s="35">
        <v>45435.0</v>
      </c>
      <c r="I894" s="35">
        <v>45316.0</v>
      </c>
      <c r="J894" s="34"/>
      <c r="K894" s="34"/>
      <c r="L894" s="34"/>
      <c r="M894" s="33">
        <f>HYPERLINK("https://app.hubspot.com/contacts/8748051/record/0-2/18808860831", 18808860831)</f>
        <v>18808860831</v>
      </c>
      <c r="N894" s="24" t="s">
        <v>2285</v>
      </c>
      <c r="O894" s="33">
        <f>HYPERLINK("https://app.hubspot.com/contacts/8748051/record/0-3/17181931842", 17181931842)</f>
        <v>17181931842</v>
      </c>
      <c r="P894" s="24" t="s">
        <v>2284</v>
      </c>
      <c r="Q894" s="24" t="s">
        <v>73</v>
      </c>
      <c r="R894" s="24">
        <v>3000.0</v>
      </c>
      <c r="S894" s="34"/>
      <c r="T894" s="34" t="str">
        <f t="shared" ref="T894:V894" si="899">IF(G894&lt;&gt;"","Yes","")</f>
        <v>Yes</v>
      </c>
      <c r="U894" s="34" t="str">
        <f t="shared" si="899"/>
        <v>Yes</v>
      </c>
      <c r="V894" s="34" t="str">
        <f t="shared" si="899"/>
        <v>Yes</v>
      </c>
      <c r="W894" s="34" t="str">
        <f t="shared" si="3"/>
        <v/>
      </c>
      <c r="X894" s="24" t="str">
        <f t="shared" si="4"/>
        <v/>
      </c>
    </row>
    <row r="895" ht="14.25" customHeight="1">
      <c r="A895" s="33">
        <f>HYPERLINK("https://app.hubspot.com/contacts/8748051/record/0-1/3317651", 3317651)</f>
        <v>3317651</v>
      </c>
      <c r="B895" s="24" t="s">
        <v>5316</v>
      </c>
      <c r="C895" s="34"/>
      <c r="D895" s="24" t="s">
        <v>5317</v>
      </c>
      <c r="E895" s="28" t="s">
        <v>5318</v>
      </c>
      <c r="F895" s="34"/>
      <c r="G895" s="35">
        <v>45315.0</v>
      </c>
      <c r="H895" s="34"/>
      <c r="I895" s="34"/>
      <c r="J895" s="34"/>
      <c r="K895" s="34"/>
      <c r="L895" s="34"/>
      <c r="M895" s="33">
        <f>HYPERLINK("https://app.hubspot.com/contacts/8748051/record/0-2/16051583760", 16051583760)</f>
        <v>16051583760</v>
      </c>
      <c r="N895" s="24" t="s">
        <v>5319</v>
      </c>
      <c r="O895" s="34"/>
      <c r="P895" s="34"/>
      <c r="Q895" s="34"/>
      <c r="R895" s="34"/>
      <c r="S895" s="34"/>
      <c r="T895" s="34" t="str">
        <f t="shared" ref="T895:V895" si="900">IF(G895&lt;&gt;"","Yes","")</f>
        <v>Yes</v>
      </c>
      <c r="U895" s="34" t="str">
        <f t="shared" si="900"/>
        <v/>
      </c>
      <c r="V895" s="34" t="str">
        <f t="shared" si="900"/>
        <v/>
      </c>
      <c r="W895" s="34" t="str">
        <f t="shared" si="3"/>
        <v/>
      </c>
      <c r="X895" s="24" t="str">
        <f t="shared" si="4"/>
        <v/>
      </c>
    </row>
    <row r="896" ht="14.25" customHeight="1">
      <c r="A896" s="33">
        <f>HYPERLINK("https://app.hubspot.com/contacts/8748051/record/0-1/3322451", 3322451)</f>
        <v>3322451</v>
      </c>
      <c r="B896" s="24" t="s">
        <v>5320</v>
      </c>
      <c r="C896" s="34"/>
      <c r="D896" s="24" t="s">
        <v>5321</v>
      </c>
      <c r="E896" s="28" t="s">
        <v>5322</v>
      </c>
      <c r="F896" s="24" t="s">
        <v>5323</v>
      </c>
      <c r="G896" s="34"/>
      <c r="H896" s="34"/>
      <c r="I896" s="34"/>
      <c r="J896" s="34"/>
      <c r="K896" s="34"/>
      <c r="L896" s="34"/>
      <c r="M896" s="33">
        <f>HYPERLINK("https://app.hubspot.com/contacts/8748051/record/0-2/18829219950", 18829219950)</f>
        <v>18829219950</v>
      </c>
      <c r="N896" s="24" t="s">
        <v>5324</v>
      </c>
      <c r="O896" s="34"/>
      <c r="P896" s="34"/>
      <c r="Q896" s="34"/>
      <c r="R896" s="34"/>
      <c r="S896" s="34"/>
      <c r="T896" s="34" t="str">
        <f t="shared" ref="T896:V896" si="901">IF(G896&lt;&gt;"","Yes","")</f>
        <v/>
      </c>
      <c r="U896" s="34" t="str">
        <f t="shared" si="901"/>
        <v/>
      </c>
      <c r="V896" s="34" t="str">
        <f t="shared" si="901"/>
        <v/>
      </c>
      <c r="W896" s="34" t="str">
        <f t="shared" si="3"/>
        <v/>
      </c>
      <c r="X896" s="24" t="str">
        <f t="shared" si="4"/>
        <v/>
      </c>
    </row>
    <row r="897" ht="14.25" customHeight="1">
      <c r="A897" s="33">
        <f>HYPERLINK("https://app.hubspot.com/contacts/8748051/record/0-1/3322651", 3322651)</f>
        <v>3322651</v>
      </c>
      <c r="B897" s="24" t="s">
        <v>5325</v>
      </c>
      <c r="C897" s="34"/>
      <c r="D897" s="24" t="s">
        <v>5326</v>
      </c>
      <c r="E897" s="28" t="s">
        <v>2264</v>
      </c>
      <c r="F897" s="34"/>
      <c r="G897" s="35">
        <v>45316.0</v>
      </c>
      <c r="H897" s="35">
        <v>45329.0</v>
      </c>
      <c r="I897" s="35">
        <v>45329.0</v>
      </c>
      <c r="J897" s="34"/>
      <c r="K897" s="34"/>
      <c r="L897" s="34"/>
      <c r="M897" s="33">
        <f>HYPERLINK("https://app.hubspot.com/contacts/8748051/record/0-2/9092137602", 9092137602)</f>
        <v>9092137602</v>
      </c>
      <c r="N897" s="24" t="s">
        <v>2263</v>
      </c>
      <c r="O897" s="33">
        <f>HYPERLINK("https://app.hubspot.com/contacts/8748051/record/0-3/17272675843", 17272675843)</f>
        <v>17272675843</v>
      </c>
      <c r="P897" s="24" t="s">
        <v>2262</v>
      </c>
      <c r="Q897" s="24" t="s">
        <v>73</v>
      </c>
      <c r="R897" s="24">
        <v>59000.0</v>
      </c>
      <c r="S897" s="34"/>
      <c r="T897" s="34" t="str">
        <f t="shared" ref="T897:V897" si="902">IF(G897&lt;&gt;"","Yes","")</f>
        <v>Yes</v>
      </c>
      <c r="U897" s="34" t="str">
        <f t="shared" si="902"/>
        <v>Yes</v>
      </c>
      <c r="V897" s="34" t="str">
        <f t="shared" si="902"/>
        <v>Yes</v>
      </c>
      <c r="W897" s="34" t="str">
        <f t="shared" si="3"/>
        <v/>
      </c>
      <c r="X897" s="24" t="str">
        <f t="shared" si="4"/>
        <v/>
      </c>
    </row>
    <row r="898" ht="14.25" customHeight="1">
      <c r="A898" s="33">
        <f>HYPERLINK("https://app.hubspot.com/contacts/8748051/record/0-1/3323901", 3323901)</f>
        <v>3323901</v>
      </c>
      <c r="B898" s="24" t="s">
        <v>5327</v>
      </c>
      <c r="C898" s="34"/>
      <c r="D898" s="24" t="s">
        <v>5328</v>
      </c>
      <c r="E898" s="28" t="s">
        <v>2267</v>
      </c>
      <c r="F898" s="34"/>
      <c r="G898" s="35">
        <v>45316.0</v>
      </c>
      <c r="H898" s="35">
        <v>45324.0</v>
      </c>
      <c r="I898" s="35">
        <v>45324.0</v>
      </c>
      <c r="J898" s="34"/>
      <c r="K898" s="34"/>
      <c r="L898" s="34"/>
      <c r="M898" s="33">
        <f>HYPERLINK("https://app.hubspot.com/contacts/8748051/record/0-2/18832405921", 18832405921)</f>
        <v>18832405921</v>
      </c>
      <c r="N898" s="24" t="s">
        <v>2266</v>
      </c>
      <c r="O898" s="33">
        <f>HYPERLINK("https://app.hubspot.com/contacts/8748051/record/0-3/17272675512", 17272675512)</f>
        <v>17272675512</v>
      </c>
      <c r="P898" s="24" t="s">
        <v>2265</v>
      </c>
      <c r="Q898" s="24" t="s">
        <v>73</v>
      </c>
      <c r="R898" s="24">
        <v>3500.0</v>
      </c>
      <c r="S898" s="34"/>
      <c r="T898" s="34" t="str">
        <f t="shared" ref="T898:V898" si="903">IF(G898&lt;&gt;"","Yes","")</f>
        <v>Yes</v>
      </c>
      <c r="U898" s="34" t="str">
        <f t="shared" si="903"/>
        <v>Yes</v>
      </c>
      <c r="V898" s="34" t="str">
        <f t="shared" si="903"/>
        <v>Yes</v>
      </c>
      <c r="W898" s="34" t="str">
        <f t="shared" si="3"/>
        <v/>
      </c>
      <c r="X898" s="24" t="str">
        <f t="shared" si="4"/>
        <v/>
      </c>
    </row>
    <row r="899" ht="14.25" customHeight="1">
      <c r="A899" s="33">
        <f>HYPERLINK("https://app.hubspot.com/contacts/8748051/record/0-1/3329751", 3329751)</f>
        <v>3329751</v>
      </c>
      <c r="B899" s="24" t="s">
        <v>5329</v>
      </c>
      <c r="C899" s="34"/>
      <c r="D899" s="24" t="s">
        <v>5330</v>
      </c>
      <c r="E899" s="28" t="s">
        <v>4049</v>
      </c>
      <c r="F899" s="34"/>
      <c r="G899" s="35">
        <v>45318.0</v>
      </c>
      <c r="H899" s="34"/>
      <c r="I899" s="34"/>
      <c r="J899" s="34"/>
      <c r="K899" s="34"/>
      <c r="L899" s="34"/>
      <c r="M899" s="33">
        <f>HYPERLINK("https://app.hubspot.com/contacts/8748051/record/0-2/7945243193", 7945243193)</f>
        <v>7945243193</v>
      </c>
      <c r="N899" s="24" t="s">
        <v>4050</v>
      </c>
      <c r="O899" s="34"/>
      <c r="P899" s="34"/>
      <c r="Q899" s="34"/>
      <c r="R899" s="34"/>
      <c r="S899" s="34"/>
      <c r="T899" s="34" t="str">
        <f t="shared" ref="T899:V899" si="904">IF(G899&lt;&gt;"","Yes","")</f>
        <v>Yes</v>
      </c>
      <c r="U899" s="34" t="str">
        <f t="shared" si="904"/>
        <v/>
      </c>
      <c r="V899" s="34" t="str">
        <f t="shared" si="904"/>
        <v/>
      </c>
      <c r="W899" s="34" t="str">
        <f t="shared" si="3"/>
        <v/>
      </c>
      <c r="X899" s="24" t="str">
        <f t="shared" si="4"/>
        <v/>
      </c>
    </row>
    <row r="900" ht="14.25" customHeight="1">
      <c r="A900" s="33">
        <f>HYPERLINK("https://app.hubspot.com/contacts/8748051/record/0-1/3331551", 3331551)</f>
        <v>3331551</v>
      </c>
      <c r="B900" s="24" t="s">
        <v>5331</v>
      </c>
      <c r="C900" s="34"/>
      <c r="D900" s="24" t="s">
        <v>5332</v>
      </c>
      <c r="E900" s="28" t="s">
        <v>1329</v>
      </c>
      <c r="F900" s="34"/>
      <c r="G900" s="35">
        <v>45320.0</v>
      </c>
      <c r="H900" s="35">
        <v>45324.0</v>
      </c>
      <c r="I900" s="35">
        <v>45324.0</v>
      </c>
      <c r="J900" s="34"/>
      <c r="K900" s="34"/>
      <c r="L900" s="34"/>
      <c r="M900" s="33">
        <f>HYPERLINK("https://app.hubspot.com/contacts/8748051/record/0-2/7716034905", 7716034905)</f>
        <v>7716034905</v>
      </c>
      <c r="N900" s="24" t="s">
        <v>1328</v>
      </c>
      <c r="O900" s="33">
        <f>HYPERLINK("https://app.hubspot.com/contacts/8748051/record/0-3/17273008313", 17273008313)</f>
        <v>17273008313</v>
      </c>
      <c r="P900" s="24" t="s">
        <v>2268</v>
      </c>
      <c r="Q900" s="24" t="s">
        <v>92</v>
      </c>
      <c r="R900" s="24">
        <v>72520.0</v>
      </c>
      <c r="S900" s="24" t="b">
        <v>1</v>
      </c>
      <c r="T900" s="34" t="str">
        <f t="shared" ref="T900:V900" si="905">IF(G900&lt;&gt;"","Yes","")</f>
        <v>Yes</v>
      </c>
      <c r="U900" s="34" t="str">
        <f t="shared" si="905"/>
        <v>Yes</v>
      </c>
      <c r="V900" s="34" t="str">
        <f t="shared" si="905"/>
        <v>Yes</v>
      </c>
      <c r="W900" s="34" t="str">
        <f t="shared" si="3"/>
        <v>Yes</v>
      </c>
      <c r="X900" s="24" t="str">
        <f t="shared" si="4"/>
        <v/>
      </c>
    </row>
    <row r="901" ht="14.25" customHeight="1">
      <c r="A901" s="33">
        <f>HYPERLINK("https://app.hubspot.com/contacts/8748051/record/0-1/3331751", 3331751)</f>
        <v>3331751</v>
      </c>
      <c r="B901" s="24" t="s">
        <v>5333</v>
      </c>
      <c r="C901" s="34"/>
      <c r="D901" s="24" t="s">
        <v>5334</v>
      </c>
      <c r="E901" s="28" t="s">
        <v>2226</v>
      </c>
      <c r="F901" s="34"/>
      <c r="G901" s="35">
        <v>45319.0</v>
      </c>
      <c r="H901" s="35">
        <v>45342.0</v>
      </c>
      <c r="I901" s="35">
        <v>45342.0</v>
      </c>
      <c r="J901" s="34"/>
      <c r="K901" s="34"/>
      <c r="L901" s="34"/>
      <c r="M901" s="33">
        <f>HYPERLINK("https://app.hubspot.com/contacts/8748051/record/0-2/18832368258", 18832368258)</f>
        <v>18832368258</v>
      </c>
      <c r="N901" s="24" t="s">
        <v>2225</v>
      </c>
      <c r="O901" s="33">
        <f>HYPERLINK("https://app.hubspot.com/contacts/8748051/record/0-3/17525735054", 17525735054)</f>
        <v>17525735054</v>
      </c>
      <c r="P901" s="24" t="s">
        <v>2224</v>
      </c>
      <c r="Q901" s="24" t="s">
        <v>73</v>
      </c>
      <c r="R901" s="24">
        <v>164160.0</v>
      </c>
      <c r="S901" s="34"/>
      <c r="T901" s="34" t="str">
        <f t="shared" ref="T901:V901" si="906">IF(G901&lt;&gt;"","Yes","")</f>
        <v>Yes</v>
      </c>
      <c r="U901" s="34" t="str">
        <f t="shared" si="906"/>
        <v>Yes</v>
      </c>
      <c r="V901" s="34" t="str">
        <f t="shared" si="906"/>
        <v>Yes</v>
      </c>
      <c r="W901" s="34" t="str">
        <f t="shared" si="3"/>
        <v/>
      </c>
      <c r="X901" s="24" t="str">
        <f t="shared" si="4"/>
        <v/>
      </c>
    </row>
    <row r="902" ht="14.25" customHeight="1">
      <c r="A902" s="33">
        <f>HYPERLINK("https://app.hubspot.com/contacts/8748051/record/0-1/3335101", 3335101)</f>
        <v>3335101</v>
      </c>
      <c r="B902" s="24" t="s">
        <v>5335</v>
      </c>
      <c r="C902" s="34"/>
      <c r="D902" s="24" t="s">
        <v>5336</v>
      </c>
      <c r="E902" s="28" t="s">
        <v>2220</v>
      </c>
      <c r="F902" s="34"/>
      <c r="G902" s="35">
        <v>45321.0</v>
      </c>
      <c r="H902" s="35">
        <v>45329.0</v>
      </c>
      <c r="I902" s="35">
        <v>45338.0</v>
      </c>
      <c r="J902" s="34"/>
      <c r="K902" s="34"/>
      <c r="L902" s="34"/>
      <c r="M902" s="33">
        <f>HYPERLINK("https://app.hubspot.com/contacts/8748051/record/0-2/15869619115", 15869619115)</f>
        <v>15869619115</v>
      </c>
      <c r="N902" s="24" t="s">
        <v>2219</v>
      </c>
      <c r="O902" s="33">
        <f>HYPERLINK("https://app.hubspot.com/contacts/8748051/record/0-3/17548561436", 17548561436)</f>
        <v>17548561436</v>
      </c>
      <c r="P902" s="24" t="s">
        <v>2218</v>
      </c>
      <c r="Q902" s="24" t="s">
        <v>127</v>
      </c>
      <c r="R902" s="24">
        <v>10000.0</v>
      </c>
      <c r="S902" s="24" t="b">
        <v>1</v>
      </c>
      <c r="T902" s="34" t="str">
        <f t="shared" ref="T902:V902" si="907">IF(G902&lt;&gt;"","Yes","")</f>
        <v>Yes</v>
      </c>
      <c r="U902" s="34" t="str">
        <f t="shared" si="907"/>
        <v>Yes</v>
      </c>
      <c r="V902" s="34" t="str">
        <f t="shared" si="907"/>
        <v>Yes</v>
      </c>
      <c r="W902" s="34" t="str">
        <f t="shared" si="3"/>
        <v/>
      </c>
      <c r="X902" s="24" t="str">
        <f t="shared" si="4"/>
        <v/>
      </c>
    </row>
    <row r="903" ht="14.25" customHeight="1">
      <c r="A903" s="33">
        <f>HYPERLINK("https://app.hubspot.com/contacts/8748051/record/0-1/3335601", 3335601)</f>
        <v>3335601</v>
      </c>
      <c r="B903" s="24" t="s">
        <v>5337</v>
      </c>
      <c r="C903" s="34"/>
      <c r="D903" s="24" t="s">
        <v>5338</v>
      </c>
      <c r="E903" s="28" t="s">
        <v>1497</v>
      </c>
      <c r="F903" s="34"/>
      <c r="G903" s="35">
        <v>45321.0</v>
      </c>
      <c r="H903" s="35">
        <v>45328.0</v>
      </c>
      <c r="I903" s="35">
        <v>45328.0</v>
      </c>
      <c r="J903" s="34"/>
      <c r="K903" s="34"/>
      <c r="L903" s="34"/>
      <c r="M903" s="33">
        <f>HYPERLINK("https://app.hubspot.com/contacts/8748051/record/0-2/9238240308", 9238240308)</f>
        <v>9238240308</v>
      </c>
      <c r="N903" s="24" t="s">
        <v>1496</v>
      </c>
      <c r="O903" s="33">
        <f>HYPERLINK("https://app.hubspot.com/contacts/8748051/record/0-3/17364383056", 17364383056)</f>
        <v>17364383056</v>
      </c>
      <c r="P903" s="24" t="s">
        <v>2249</v>
      </c>
      <c r="Q903" s="24" t="s">
        <v>73</v>
      </c>
      <c r="R903" s="24">
        <v>11040.0</v>
      </c>
      <c r="S903" s="34"/>
      <c r="T903" s="34" t="str">
        <f t="shared" ref="T903:V903" si="908">IF(G903&lt;&gt;"","Yes","")</f>
        <v>Yes</v>
      </c>
      <c r="U903" s="34" t="str">
        <f t="shared" si="908"/>
        <v>Yes</v>
      </c>
      <c r="V903" s="34" t="str">
        <f t="shared" si="908"/>
        <v>Yes</v>
      </c>
      <c r="W903" s="34" t="str">
        <f t="shared" si="3"/>
        <v/>
      </c>
      <c r="X903" s="24" t="str">
        <f t="shared" si="4"/>
        <v/>
      </c>
    </row>
    <row r="904" ht="14.25" customHeight="1">
      <c r="A904" s="33">
        <f>HYPERLINK("https://app.hubspot.com/contacts/8748051/record/0-1/3336301", 3336301)</f>
        <v>3336301</v>
      </c>
      <c r="B904" s="24" t="s">
        <v>5339</v>
      </c>
      <c r="C904" s="34"/>
      <c r="D904" s="24" t="s">
        <v>5340</v>
      </c>
      <c r="E904" s="28" t="s">
        <v>5341</v>
      </c>
      <c r="F904" s="34"/>
      <c r="G904" s="35">
        <v>45321.0</v>
      </c>
      <c r="H904" s="34"/>
      <c r="I904" s="34"/>
      <c r="J904" s="34"/>
      <c r="K904" s="34"/>
      <c r="L904" s="34"/>
      <c r="M904" s="33">
        <f>HYPERLINK("https://app.hubspot.com/contacts/8748051/record/0-2/7668572303", 7668572303)</f>
        <v>7668572303</v>
      </c>
      <c r="N904" s="24" t="s">
        <v>5342</v>
      </c>
      <c r="O904" s="34"/>
      <c r="P904" s="34"/>
      <c r="Q904" s="34"/>
      <c r="R904" s="34"/>
      <c r="S904" s="34"/>
      <c r="T904" s="34" t="str">
        <f t="shared" ref="T904:V904" si="909">IF(G904&lt;&gt;"","Yes","")</f>
        <v>Yes</v>
      </c>
      <c r="U904" s="34" t="str">
        <f t="shared" si="909"/>
        <v/>
      </c>
      <c r="V904" s="34" t="str">
        <f t="shared" si="909"/>
        <v/>
      </c>
      <c r="W904" s="34" t="str">
        <f t="shared" si="3"/>
        <v/>
      </c>
      <c r="X904" s="24" t="str">
        <f t="shared" si="4"/>
        <v/>
      </c>
    </row>
    <row r="905" ht="14.25" customHeight="1">
      <c r="A905" s="33">
        <f>HYPERLINK("https://app.hubspot.com/contacts/8748051/record/0-1/3340201", 3340201)</f>
        <v>3340201</v>
      </c>
      <c r="B905" s="24" t="s">
        <v>5343</v>
      </c>
      <c r="C905" s="34"/>
      <c r="D905" s="24" t="s">
        <v>5344</v>
      </c>
      <c r="E905" s="28" t="s">
        <v>2248</v>
      </c>
      <c r="F905" s="34"/>
      <c r="G905" s="35">
        <v>45322.0</v>
      </c>
      <c r="H905" s="35">
        <v>45327.0</v>
      </c>
      <c r="I905" s="35">
        <v>45327.0</v>
      </c>
      <c r="J905" s="34"/>
      <c r="K905" s="34"/>
      <c r="L905" s="34"/>
      <c r="M905" s="33">
        <f>HYPERLINK("https://app.hubspot.com/contacts/8748051/record/0-2/9091290424", 9091290424)</f>
        <v>9091290424</v>
      </c>
      <c r="N905" s="24" t="s">
        <v>2247</v>
      </c>
      <c r="O905" s="33">
        <f>HYPERLINK("https://app.hubspot.com/contacts/8748051/record/0-3/17364383095", 17364383095)</f>
        <v>17364383095</v>
      </c>
      <c r="P905" s="24" t="s">
        <v>2246</v>
      </c>
      <c r="Q905" s="24" t="s">
        <v>73</v>
      </c>
      <c r="R905" s="24">
        <v>202320.0</v>
      </c>
      <c r="S905" s="34"/>
      <c r="T905" s="34" t="str">
        <f t="shared" ref="T905:V905" si="910">IF(G905&lt;&gt;"","Yes","")</f>
        <v>Yes</v>
      </c>
      <c r="U905" s="34" t="str">
        <f t="shared" si="910"/>
        <v>Yes</v>
      </c>
      <c r="V905" s="34" t="str">
        <f t="shared" si="910"/>
        <v>Yes</v>
      </c>
      <c r="W905" s="34" t="str">
        <f t="shared" si="3"/>
        <v/>
      </c>
      <c r="X905" s="24" t="str">
        <f t="shared" si="4"/>
        <v/>
      </c>
    </row>
    <row r="906" ht="14.25" customHeight="1">
      <c r="A906" s="33">
        <f>HYPERLINK("https://app.hubspot.com/contacts/8748051/record/0-1/3340251", 3340251)</f>
        <v>3340251</v>
      </c>
      <c r="B906" s="24" t="s">
        <v>5345</v>
      </c>
      <c r="C906" s="34"/>
      <c r="D906" s="24" t="s">
        <v>5346</v>
      </c>
      <c r="E906" s="28" t="s">
        <v>5347</v>
      </c>
      <c r="F906" s="34"/>
      <c r="G906" s="35">
        <v>45322.0</v>
      </c>
      <c r="H906" s="34"/>
      <c r="I906" s="34"/>
      <c r="J906" s="34"/>
      <c r="K906" s="34"/>
      <c r="L906" s="34"/>
      <c r="M906" s="33">
        <f>HYPERLINK("https://app.hubspot.com/contacts/8748051/record/0-2/8717671792", 8717671792)</f>
        <v>8717671792</v>
      </c>
      <c r="N906" s="24" t="s">
        <v>5348</v>
      </c>
      <c r="O906" s="34"/>
      <c r="P906" s="34"/>
      <c r="Q906" s="34"/>
      <c r="R906" s="34"/>
      <c r="S906" s="34"/>
      <c r="T906" s="34" t="str">
        <f t="shared" ref="T906:V906" si="911">IF(G906&lt;&gt;"","Yes","")</f>
        <v>Yes</v>
      </c>
      <c r="U906" s="34" t="str">
        <f t="shared" si="911"/>
        <v/>
      </c>
      <c r="V906" s="34" t="str">
        <f t="shared" si="911"/>
        <v/>
      </c>
      <c r="W906" s="34" t="str">
        <f t="shared" si="3"/>
        <v/>
      </c>
      <c r="X906" s="24" t="str">
        <f t="shared" si="4"/>
        <v/>
      </c>
    </row>
    <row r="907" ht="14.25" customHeight="1">
      <c r="A907" s="33">
        <f>HYPERLINK("https://app.hubspot.com/contacts/8748051/record/0-1/3346401", 3346401)</f>
        <v>3346401</v>
      </c>
      <c r="B907" s="24" t="s">
        <v>5349</v>
      </c>
      <c r="C907" s="34"/>
      <c r="D907" s="24" t="s">
        <v>5350</v>
      </c>
      <c r="E907" s="28" t="s">
        <v>5351</v>
      </c>
      <c r="F907" s="34"/>
      <c r="G907" s="35">
        <v>45324.0</v>
      </c>
      <c r="H907" s="34"/>
      <c r="I907" s="34"/>
      <c r="J907" s="34"/>
      <c r="K907" s="34"/>
      <c r="L907" s="34"/>
      <c r="M907" s="33">
        <f>HYPERLINK("https://app.hubspot.com/contacts/8748051/record/0-2/5851691619", 5851691619)</f>
        <v>5851691619</v>
      </c>
      <c r="N907" s="24" t="s">
        <v>5352</v>
      </c>
      <c r="O907" s="34"/>
      <c r="P907" s="34"/>
      <c r="Q907" s="34"/>
      <c r="R907" s="34"/>
      <c r="S907" s="34"/>
      <c r="T907" s="34" t="str">
        <f t="shared" ref="T907:V907" si="912">IF(G907&lt;&gt;"","Yes","")</f>
        <v>Yes</v>
      </c>
      <c r="U907" s="34" t="str">
        <f t="shared" si="912"/>
        <v/>
      </c>
      <c r="V907" s="34" t="str">
        <f t="shared" si="912"/>
        <v/>
      </c>
      <c r="W907" s="34" t="str">
        <f t="shared" si="3"/>
        <v/>
      </c>
      <c r="X907" s="24" t="str">
        <f t="shared" si="4"/>
        <v/>
      </c>
    </row>
    <row r="908" ht="14.25" customHeight="1">
      <c r="A908" s="33">
        <f>HYPERLINK("https://app.hubspot.com/contacts/8748051/record/0-1/3350101", 3350101)</f>
        <v>3350101</v>
      </c>
      <c r="B908" s="24" t="s">
        <v>5353</v>
      </c>
      <c r="C908" s="34"/>
      <c r="D908" s="24" t="s">
        <v>5354</v>
      </c>
      <c r="E908" s="28" t="s">
        <v>1792</v>
      </c>
      <c r="F908" s="34"/>
      <c r="G908" s="35">
        <v>45325.0</v>
      </c>
      <c r="H908" s="34"/>
      <c r="I908" s="34"/>
      <c r="J908" s="34"/>
      <c r="K908" s="34"/>
      <c r="L908" s="34"/>
      <c r="M908" s="33">
        <f>HYPERLINK("https://app.hubspot.com/contacts/8748051/record/0-2/18382839621", 18382839621)</f>
        <v>18382839621</v>
      </c>
      <c r="N908" s="24" t="s">
        <v>1791</v>
      </c>
      <c r="O908" s="34"/>
      <c r="P908" s="34"/>
      <c r="Q908" s="34"/>
      <c r="R908" s="34"/>
      <c r="S908" s="34"/>
      <c r="T908" s="34" t="str">
        <f t="shared" ref="T908:V908" si="913">IF(G908&lt;&gt;"","Yes","")</f>
        <v>Yes</v>
      </c>
      <c r="U908" s="34" t="str">
        <f t="shared" si="913"/>
        <v/>
      </c>
      <c r="V908" s="34" t="str">
        <f t="shared" si="913"/>
        <v/>
      </c>
      <c r="W908" s="34" t="str">
        <f t="shared" si="3"/>
        <v/>
      </c>
      <c r="X908" s="24" t="str">
        <f t="shared" si="4"/>
        <v/>
      </c>
    </row>
    <row r="909" ht="14.25" customHeight="1">
      <c r="A909" s="33">
        <f>HYPERLINK("https://app.hubspot.com/contacts/8748051/record/0-1/3351701", 3351701)</f>
        <v>3351701</v>
      </c>
      <c r="B909" s="24" t="s">
        <v>5355</v>
      </c>
      <c r="C909" s="34"/>
      <c r="D909" s="24" t="s">
        <v>5356</v>
      </c>
      <c r="E909" s="28" t="s">
        <v>2148</v>
      </c>
      <c r="F909" s="34"/>
      <c r="G909" s="35">
        <v>45327.0</v>
      </c>
      <c r="H909" s="35">
        <v>45356.0</v>
      </c>
      <c r="I909" s="35">
        <v>45356.0</v>
      </c>
      <c r="J909" s="34"/>
      <c r="K909" s="34"/>
      <c r="L909" s="34"/>
      <c r="M909" s="33">
        <f>HYPERLINK("https://app.hubspot.com/contacts/8748051/record/0-2/9238328473", 9238328473)</f>
        <v>9238328473</v>
      </c>
      <c r="N909" s="24" t="s">
        <v>2147</v>
      </c>
      <c r="O909" s="33">
        <f>HYPERLINK("https://app.hubspot.com/contacts/8748051/record/0-3/17870771010", 17870771010)</f>
        <v>17870771010</v>
      </c>
      <c r="P909" s="24" t="s">
        <v>2146</v>
      </c>
      <c r="Q909" s="24" t="s">
        <v>73</v>
      </c>
      <c r="R909" s="24">
        <v>35760.0</v>
      </c>
      <c r="S909" s="34"/>
      <c r="T909" s="34" t="str">
        <f t="shared" ref="T909:V909" si="914">IF(G909&lt;&gt;"","Yes","")</f>
        <v>Yes</v>
      </c>
      <c r="U909" s="34" t="str">
        <f t="shared" si="914"/>
        <v>Yes</v>
      </c>
      <c r="V909" s="34" t="str">
        <f t="shared" si="914"/>
        <v>Yes</v>
      </c>
      <c r="W909" s="34" t="str">
        <f t="shared" si="3"/>
        <v/>
      </c>
      <c r="X909" s="24" t="str">
        <f t="shared" si="4"/>
        <v/>
      </c>
    </row>
    <row r="910" ht="14.25" customHeight="1">
      <c r="A910" s="33">
        <f>HYPERLINK("https://app.hubspot.com/contacts/8748051/record/0-1/3351751", 3351751)</f>
        <v>3351751</v>
      </c>
      <c r="B910" s="24" t="s">
        <v>5357</v>
      </c>
      <c r="C910" s="34"/>
      <c r="D910" s="24" t="s">
        <v>5358</v>
      </c>
      <c r="E910" s="28" t="s">
        <v>5359</v>
      </c>
      <c r="F910" s="34"/>
      <c r="G910" s="35">
        <v>45325.0</v>
      </c>
      <c r="H910" s="34"/>
      <c r="I910" s="34"/>
      <c r="J910" s="34"/>
      <c r="K910" s="34"/>
      <c r="L910" s="34"/>
      <c r="M910" s="33">
        <f>HYPERLINK("https://app.hubspot.com/contacts/8748051/record/0-2/9238324060", 9238324060)</f>
        <v>9238324060</v>
      </c>
      <c r="N910" s="24" t="s">
        <v>5360</v>
      </c>
      <c r="O910" s="34"/>
      <c r="P910" s="34"/>
      <c r="Q910" s="34"/>
      <c r="R910" s="34"/>
      <c r="S910" s="34"/>
      <c r="T910" s="34" t="str">
        <f t="shared" ref="T910:V910" si="915">IF(G910&lt;&gt;"","Yes","")</f>
        <v>Yes</v>
      </c>
      <c r="U910" s="34" t="str">
        <f t="shared" si="915"/>
        <v/>
      </c>
      <c r="V910" s="34" t="str">
        <f t="shared" si="915"/>
        <v/>
      </c>
      <c r="W910" s="34" t="str">
        <f t="shared" si="3"/>
        <v/>
      </c>
      <c r="X910" s="24" t="str">
        <f t="shared" si="4"/>
        <v/>
      </c>
    </row>
    <row r="911" ht="14.25" customHeight="1">
      <c r="A911" s="33">
        <f>HYPERLINK("https://app.hubspot.com/contacts/8748051/record/0-1/3353651", 3353651)</f>
        <v>3353651</v>
      </c>
      <c r="B911" s="24" t="s">
        <v>5361</v>
      </c>
      <c r="C911" s="34"/>
      <c r="D911" s="24" t="s">
        <v>5362</v>
      </c>
      <c r="E911" s="28" t="s">
        <v>5363</v>
      </c>
      <c r="F911" s="34"/>
      <c r="G911" s="35">
        <v>45327.0</v>
      </c>
      <c r="H911" s="34"/>
      <c r="I911" s="34"/>
      <c r="J911" s="34"/>
      <c r="K911" s="34"/>
      <c r="L911" s="34"/>
      <c r="M911" s="33">
        <f>HYPERLINK("https://app.hubspot.com/contacts/8748051/record/0-2/7893280358", 7893280358)</f>
        <v>7893280358</v>
      </c>
      <c r="N911" s="24" t="s">
        <v>5364</v>
      </c>
      <c r="O911" s="34"/>
      <c r="P911" s="34"/>
      <c r="Q911" s="34"/>
      <c r="R911" s="34"/>
      <c r="S911" s="34"/>
      <c r="T911" s="34" t="str">
        <f t="shared" ref="T911:V911" si="916">IF(G911&lt;&gt;"","Yes","")</f>
        <v>Yes</v>
      </c>
      <c r="U911" s="34" t="str">
        <f t="shared" si="916"/>
        <v/>
      </c>
      <c r="V911" s="34" t="str">
        <f t="shared" si="916"/>
        <v/>
      </c>
      <c r="W911" s="34" t="str">
        <f t="shared" si="3"/>
        <v/>
      </c>
      <c r="X911" s="24" t="str">
        <f t="shared" si="4"/>
        <v/>
      </c>
    </row>
    <row r="912" ht="14.25" customHeight="1">
      <c r="A912" s="33">
        <f>HYPERLINK("https://app.hubspot.com/contacts/8748051/record/0-1/3368551", 3368551)</f>
        <v>3368551</v>
      </c>
      <c r="B912" s="24" t="s">
        <v>5365</v>
      </c>
      <c r="C912" s="34"/>
      <c r="D912" s="24" t="s">
        <v>5366</v>
      </c>
      <c r="E912" s="28" t="s">
        <v>5367</v>
      </c>
      <c r="F912" s="24" t="s">
        <v>5323</v>
      </c>
      <c r="G912" s="34"/>
      <c r="H912" s="34"/>
      <c r="I912" s="34"/>
      <c r="J912" s="34"/>
      <c r="K912" s="34"/>
      <c r="L912" s="34"/>
      <c r="M912" s="33">
        <f>HYPERLINK("https://app.hubspot.com/contacts/8748051/record/0-2/9238257163", 9238257163)</f>
        <v>9238257163</v>
      </c>
      <c r="N912" s="24" t="s">
        <v>5368</v>
      </c>
      <c r="O912" s="34"/>
      <c r="P912" s="34"/>
      <c r="Q912" s="34"/>
      <c r="R912" s="34"/>
      <c r="S912" s="34"/>
      <c r="T912" s="34" t="str">
        <f t="shared" ref="T912:V912" si="917">IF(G912&lt;&gt;"","Yes","")</f>
        <v/>
      </c>
      <c r="U912" s="34" t="str">
        <f t="shared" si="917"/>
        <v/>
      </c>
      <c r="V912" s="34" t="str">
        <f t="shared" si="917"/>
        <v/>
      </c>
      <c r="W912" s="34" t="str">
        <f t="shared" si="3"/>
        <v/>
      </c>
      <c r="X912" s="24" t="str">
        <f t="shared" si="4"/>
        <v/>
      </c>
    </row>
    <row r="913" ht="14.25" customHeight="1">
      <c r="A913" s="33">
        <f>HYPERLINK("https://app.hubspot.com/contacts/8748051/record/0-1/3370201", 3370201)</f>
        <v>3370201</v>
      </c>
      <c r="B913" s="24" t="s">
        <v>5369</v>
      </c>
      <c r="C913" s="34"/>
      <c r="D913" s="24" t="s">
        <v>5370</v>
      </c>
      <c r="E913" s="28" t="s">
        <v>5371</v>
      </c>
      <c r="F913" s="34"/>
      <c r="G913" s="35">
        <v>45331.0</v>
      </c>
      <c r="H913" s="34"/>
      <c r="I913" s="34"/>
      <c r="J913" s="34"/>
      <c r="K913" s="34"/>
      <c r="L913" s="34"/>
      <c r="M913" s="33">
        <f>HYPERLINK("https://app.hubspot.com/contacts/8748051/record/0-2/15268028833", 15268028833)</f>
        <v>15268028833</v>
      </c>
      <c r="N913" s="24" t="s">
        <v>5372</v>
      </c>
      <c r="O913" s="34"/>
      <c r="P913" s="34"/>
      <c r="Q913" s="34"/>
      <c r="R913" s="34"/>
      <c r="S913" s="34"/>
      <c r="T913" s="34" t="str">
        <f t="shared" ref="T913:V913" si="918">IF(G913&lt;&gt;"","Yes","")</f>
        <v>Yes</v>
      </c>
      <c r="U913" s="34" t="str">
        <f t="shared" si="918"/>
        <v/>
      </c>
      <c r="V913" s="34" t="str">
        <f t="shared" si="918"/>
        <v/>
      </c>
      <c r="W913" s="34" t="str">
        <f t="shared" si="3"/>
        <v/>
      </c>
      <c r="X913" s="24" t="str">
        <f t="shared" si="4"/>
        <v/>
      </c>
    </row>
    <row r="914" ht="14.25" customHeight="1">
      <c r="A914" s="33">
        <f>HYPERLINK("https://app.hubspot.com/contacts/8748051/record/0-1/3372101", 3372101)</f>
        <v>3372101</v>
      </c>
      <c r="B914" s="24" t="s">
        <v>5373</v>
      </c>
      <c r="C914" s="34"/>
      <c r="D914" s="24" t="s">
        <v>5374</v>
      </c>
      <c r="E914" s="28" t="s">
        <v>2196</v>
      </c>
      <c r="F914" s="34"/>
      <c r="G914" s="35">
        <v>45334.0</v>
      </c>
      <c r="H914" s="35">
        <v>45345.0</v>
      </c>
      <c r="I914" s="35">
        <v>45345.0</v>
      </c>
      <c r="J914" s="34"/>
      <c r="K914" s="34"/>
      <c r="L914" s="34"/>
      <c r="M914" s="33">
        <f>HYPERLINK("https://app.hubspot.com/contacts/8748051/record/0-2/9238368537", 9238368537)</f>
        <v>9238368537</v>
      </c>
      <c r="N914" s="24" t="s">
        <v>2195</v>
      </c>
      <c r="O914" s="33">
        <f>HYPERLINK("https://app.hubspot.com/contacts/8748051/record/0-3/17635669026", 17635669026)</f>
        <v>17635669026</v>
      </c>
      <c r="P914" s="24" t="s">
        <v>2194</v>
      </c>
      <c r="Q914" s="24" t="s">
        <v>73</v>
      </c>
      <c r="R914" s="24">
        <v>7200.0</v>
      </c>
      <c r="S914" s="34"/>
      <c r="T914" s="34" t="str">
        <f t="shared" ref="T914:V914" si="919">IF(G914&lt;&gt;"","Yes","")</f>
        <v>Yes</v>
      </c>
      <c r="U914" s="34" t="str">
        <f t="shared" si="919"/>
        <v>Yes</v>
      </c>
      <c r="V914" s="34" t="str">
        <f t="shared" si="919"/>
        <v>Yes</v>
      </c>
      <c r="W914" s="34" t="str">
        <f t="shared" si="3"/>
        <v/>
      </c>
      <c r="X914" s="24" t="str">
        <f t="shared" si="4"/>
        <v/>
      </c>
    </row>
    <row r="915" ht="14.25" customHeight="1">
      <c r="A915" s="33">
        <f>HYPERLINK("https://app.hubspot.com/contacts/8748051/record/0-1/3382201", 3382201)</f>
        <v>3382201</v>
      </c>
      <c r="B915" s="24" t="s">
        <v>5375</v>
      </c>
      <c r="C915" s="34"/>
      <c r="D915" s="24" t="s">
        <v>5376</v>
      </c>
      <c r="E915" s="28" t="s">
        <v>2181</v>
      </c>
      <c r="F915" s="34"/>
      <c r="G915" s="35">
        <v>45344.0</v>
      </c>
      <c r="H915" s="35">
        <v>45351.0</v>
      </c>
      <c r="I915" s="35">
        <v>45351.0</v>
      </c>
      <c r="J915" s="34"/>
      <c r="K915" s="34"/>
      <c r="L915" s="34"/>
      <c r="M915" s="33">
        <f>HYPERLINK("https://app.hubspot.com/contacts/8748051/record/0-2/6262832278", 6262832278)</f>
        <v>6262832278</v>
      </c>
      <c r="N915" s="24" t="s">
        <v>2180</v>
      </c>
      <c r="O915" s="33">
        <f>HYPERLINK("https://app.hubspot.com/contacts/8748051/record/0-3/17677785517", 17677785517)</f>
        <v>17677785517</v>
      </c>
      <c r="P915" s="24" t="s">
        <v>2179</v>
      </c>
      <c r="Q915" s="24" t="s">
        <v>127</v>
      </c>
      <c r="R915" s="24">
        <v>26400.0</v>
      </c>
      <c r="S915" s="24" t="b">
        <v>1</v>
      </c>
      <c r="T915" s="34" t="str">
        <f t="shared" ref="T915:V915" si="920">IF(G915&lt;&gt;"","Yes","")</f>
        <v>Yes</v>
      </c>
      <c r="U915" s="34" t="str">
        <f t="shared" si="920"/>
        <v>Yes</v>
      </c>
      <c r="V915" s="34" t="str">
        <f t="shared" si="920"/>
        <v>Yes</v>
      </c>
      <c r="W915" s="34" t="str">
        <f t="shared" si="3"/>
        <v/>
      </c>
      <c r="X915" s="24" t="str">
        <f t="shared" si="4"/>
        <v/>
      </c>
    </row>
    <row r="916" ht="14.25" customHeight="1">
      <c r="A916" s="33">
        <f>HYPERLINK("https://app.hubspot.com/contacts/8748051/record/0-1/3385601", 3385601)</f>
        <v>3385601</v>
      </c>
      <c r="B916" s="24" t="s">
        <v>5377</v>
      </c>
      <c r="C916" s="34"/>
      <c r="D916" s="24" t="s">
        <v>5378</v>
      </c>
      <c r="E916" s="28" t="s">
        <v>2211</v>
      </c>
      <c r="F916" s="34"/>
      <c r="G916" s="35">
        <v>45336.0</v>
      </c>
      <c r="H916" s="35">
        <v>45342.0</v>
      </c>
      <c r="I916" s="35">
        <v>45342.0</v>
      </c>
      <c r="J916" s="34"/>
      <c r="K916" s="34"/>
      <c r="L916" s="34"/>
      <c r="M916" s="33">
        <f>HYPERLINK("https://app.hubspot.com/contacts/8748051/record/0-2/18382637153", 18382637153)</f>
        <v>18382637153</v>
      </c>
      <c r="N916" s="24" t="s">
        <v>2210</v>
      </c>
      <c r="O916" s="33">
        <f>HYPERLINK("https://app.hubspot.com/contacts/8748051/record/0-3/17584737536", 17584737536)</f>
        <v>17584737536</v>
      </c>
      <c r="P916" s="24" t="s">
        <v>2209</v>
      </c>
      <c r="Q916" s="24" t="s">
        <v>127</v>
      </c>
      <c r="R916" s="24">
        <v>186720.0</v>
      </c>
      <c r="S916" s="24" t="b">
        <v>1</v>
      </c>
      <c r="T916" s="34" t="str">
        <f t="shared" ref="T916:V916" si="921">IF(G916&lt;&gt;"","Yes","")</f>
        <v>Yes</v>
      </c>
      <c r="U916" s="34" t="str">
        <f t="shared" si="921"/>
        <v>Yes</v>
      </c>
      <c r="V916" s="34" t="str">
        <f t="shared" si="921"/>
        <v>Yes</v>
      </c>
      <c r="W916" s="34" t="str">
        <f t="shared" si="3"/>
        <v/>
      </c>
      <c r="X916" s="24" t="str">
        <f t="shared" si="4"/>
        <v/>
      </c>
    </row>
    <row r="917" ht="14.25" customHeight="1">
      <c r="A917" s="33">
        <f>HYPERLINK("https://app.hubspot.com/contacts/8748051/record/0-1/3389701", 3389701)</f>
        <v>3389701</v>
      </c>
      <c r="B917" s="24" t="s">
        <v>5379</v>
      </c>
      <c r="C917" s="34"/>
      <c r="D917" s="24" t="s">
        <v>5380</v>
      </c>
      <c r="E917" s="28" t="s">
        <v>5381</v>
      </c>
      <c r="F917" s="34"/>
      <c r="G917" s="35">
        <v>45337.0</v>
      </c>
      <c r="H917" s="34"/>
      <c r="I917" s="34"/>
      <c r="J917" s="34"/>
      <c r="K917" s="34"/>
      <c r="L917" s="34"/>
      <c r="M917" s="33">
        <f>HYPERLINK("https://app.hubspot.com/contacts/8748051/record/0-2/6816459149", 6816459149)</f>
        <v>6816459149</v>
      </c>
      <c r="N917" s="24" t="s">
        <v>5382</v>
      </c>
      <c r="O917" s="34"/>
      <c r="P917" s="34"/>
      <c r="Q917" s="34"/>
      <c r="R917" s="34"/>
      <c r="S917" s="34"/>
      <c r="T917" s="34" t="str">
        <f t="shared" ref="T917:V917" si="922">IF(G917&lt;&gt;"","Yes","")</f>
        <v>Yes</v>
      </c>
      <c r="U917" s="34" t="str">
        <f t="shared" si="922"/>
        <v/>
      </c>
      <c r="V917" s="34" t="str">
        <f t="shared" si="922"/>
        <v/>
      </c>
      <c r="W917" s="34" t="str">
        <f t="shared" si="3"/>
        <v/>
      </c>
      <c r="X917" s="24" t="str">
        <f t="shared" si="4"/>
        <v/>
      </c>
    </row>
    <row r="918" ht="14.25" customHeight="1">
      <c r="A918" s="33">
        <f>HYPERLINK("https://app.hubspot.com/contacts/8748051/record/0-1/3393851", 3393851)</f>
        <v>3393851</v>
      </c>
      <c r="B918" s="24" t="s">
        <v>5383</v>
      </c>
      <c r="C918" s="34"/>
      <c r="D918" s="24" t="s">
        <v>5384</v>
      </c>
      <c r="E918" s="28" t="s">
        <v>2929</v>
      </c>
      <c r="F918" s="34"/>
      <c r="G918" s="35">
        <v>45376.0</v>
      </c>
      <c r="H918" s="34"/>
      <c r="I918" s="34"/>
      <c r="J918" s="34"/>
      <c r="K918" s="34"/>
      <c r="L918" s="34"/>
      <c r="M918" s="33">
        <f>HYPERLINK("https://app.hubspot.com/contacts/8748051/record/0-2/7822059172", 7822059172)</f>
        <v>7822059172</v>
      </c>
      <c r="N918" s="24" t="s">
        <v>2928</v>
      </c>
      <c r="O918" s="34"/>
      <c r="P918" s="34"/>
      <c r="Q918" s="34"/>
      <c r="R918" s="34"/>
      <c r="S918" s="34"/>
      <c r="T918" s="34" t="str">
        <f t="shared" ref="T918:V918" si="923">IF(G918&lt;&gt;"","Yes","")</f>
        <v>Yes</v>
      </c>
      <c r="U918" s="34" t="str">
        <f t="shared" si="923"/>
        <v/>
      </c>
      <c r="V918" s="34" t="str">
        <f t="shared" si="923"/>
        <v/>
      </c>
      <c r="W918" s="34" t="str">
        <f t="shared" si="3"/>
        <v/>
      </c>
      <c r="X918" s="24" t="str">
        <f t="shared" si="4"/>
        <v/>
      </c>
    </row>
    <row r="919" ht="14.25" customHeight="1">
      <c r="A919" s="33">
        <f>HYPERLINK("https://app.hubspot.com/contacts/8748051/record/0-1/3394201", 3394201)</f>
        <v>3394201</v>
      </c>
      <c r="B919" s="24" t="s">
        <v>5385</v>
      </c>
      <c r="C919" s="34"/>
      <c r="D919" s="24" t="s">
        <v>5386</v>
      </c>
      <c r="E919" s="28" t="s">
        <v>2214</v>
      </c>
      <c r="F919" s="34"/>
      <c r="G919" s="35">
        <v>45338.0</v>
      </c>
      <c r="H919" s="35">
        <v>45348.0</v>
      </c>
      <c r="I919" s="35">
        <v>45348.0</v>
      </c>
      <c r="J919" s="34"/>
      <c r="K919" s="34"/>
      <c r="L919" s="34"/>
      <c r="M919" s="33">
        <f>HYPERLINK("https://app.hubspot.com/contacts/8748051/record/0-2/7924223543", 7924223543)</f>
        <v>7924223543</v>
      </c>
      <c r="N919" s="24" t="s">
        <v>2213</v>
      </c>
      <c r="O919" s="33">
        <f>HYPERLINK("https://app.hubspot.com/contacts/8748051/record/0-3/17584736025", 17584736025)</f>
        <v>17584736025</v>
      </c>
      <c r="P919" s="24" t="s">
        <v>2212</v>
      </c>
      <c r="Q919" s="24" t="s">
        <v>127</v>
      </c>
      <c r="R919" s="24">
        <v>30000.0</v>
      </c>
      <c r="S919" s="24" t="b">
        <v>1</v>
      </c>
      <c r="T919" s="34" t="str">
        <f t="shared" ref="T919:V919" si="924">IF(G919&lt;&gt;"","Yes","")</f>
        <v>Yes</v>
      </c>
      <c r="U919" s="34" t="str">
        <f t="shared" si="924"/>
        <v>Yes</v>
      </c>
      <c r="V919" s="34" t="str">
        <f t="shared" si="924"/>
        <v>Yes</v>
      </c>
      <c r="W919" s="34" t="str">
        <f t="shared" si="3"/>
        <v/>
      </c>
      <c r="X919" s="24" t="str">
        <f t="shared" si="4"/>
        <v/>
      </c>
    </row>
    <row r="920" ht="14.25" customHeight="1">
      <c r="A920" s="33">
        <f>HYPERLINK("https://app.hubspot.com/contacts/8748051/record/0-1/3396001", 3396001)</f>
        <v>3396001</v>
      </c>
      <c r="B920" s="24" t="s">
        <v>5387</v>
      </c>
      <c r="C920" s="34"/>
      <c r="D920" s="24" t="s">
        <v>5388</v>
      </c>
      <c r="E920" s="28" t="s">
        <v>5389</v>
      </c>
      <c r="F920" s="34"/>
      <c r="G920" s="35">
        <v>45427.0</v>
      </c>
      <c r="H920" s="34"/>
      <c r="I920" s="34"/>
      <c r="J920" s="34"/>
      <c r="K920" s="34"/>
      <c r="L920" s="34"/>
      <c r="M920" s="33">
        <f>HYPERLINK("https://app.hubspot.com/contacts/8748051/record/0-2/9132303216", 9132303216)</f>
        <v>9132303216</v>
      </c>
      <c r="N920" s="24" t="s">
        <v>5390</v>
      </c>
      <c r="O920" s="34"/>
      <c r="P920" s="34"/>
      <c r="Q920" s="34"/>
      <c r="R920" s="34"/>
      <c r="S920" s="34"/>
      <c r="T920" s="34" t="str">
        <f t="shared" ref="T920:V920" si="925">IF(G920&lt;&gt;"","Yes","")</f>
        <v>Yes</v>
      </c>
      <c r="U920" s="34" t="str">
        <f t="shared" si="925"/>
        <v/>
      </c>
      <c r="V920" s="34" t="str">
        <f t="shared" si="925"/>
        <v/>
      </c>
      <c r="W920" s="34" t="str">
        <f t="shared" si="3"/>
        <v/>
      </c>
      <c r="X920" s="24" t="str">
        <f t="shared" si="4"/>
        <v/>
      </c>
    </row>
    <row r="921" ht="14.25" customHeight="1">
      <c r="A921" s="33">
        <f>HYPERLINK("https://app.hubspot.com/contacts/8748051/record/0-1/3398801", 3398801)</f>
        <v>3398801</v>
      </c>
      <c r="B921" s="24" t="s">
        <v>5391</v>
      </c>
      <c r="C921" s="34"/>
      <c r="D921" s="24" t="s">
        <v>5392</v>
      </c>
      <c r="E921" s="28" t="s">
        <v>5393</v>
      </c>
      <c r="F921" s="34"/>
      <c r="G921" s="35">
        <v>45341.0</v>
      </c>
      <c r="H921" s="34"/>
      <c r="I921" s="34"/>
      <c r="J921" s="34"/>
      <c r="K921" s="34"/>
      <c r="L921" s="34"/>
      <c r="M921" s="33">
        <f>HYPERLINK("https://app.hubspot.com/contacts/8748051/record/0-2/18832320071", 18832320071)</f>
        <v>18832320071</v>
      </c>
      <c r="N921" s="24" t="s">
        <v>5394</v>
      </c>
      <c r="O921" s="34"/>
      <c r="P921" s="34"/>
      <c r="Q921" s="34"/>
      <c r="R921" s="34"/>
      <c r="S921" s="34"/>
      <c r="T921" s="34" t="str">
        <f t="shared" ref="T921:V921" si="926">IF(G921&lt;&gt;"","Yes","")</f>
        <v>Yes</v>
      </c>
      <c r="U921" s="34" t="str">
        <f t="shared" si="926"/>
        <v/>
      </c>
      <c r="V921" s="34" t="str">
        <f t="shared" si="926"/>
        <v/>
      </c>
      <c r="W921" s="34" t="str">
        <f t="shared" si="3"/>
        <v/>
      </c>
      <c r="X921" s="24" t="str">
        <f t="shared" si="4"/>
        <v/>
      </c>
    </row>
    <row r="922" ht="14.25" customHeight="1">
      <c r="A922" s="33">
        <f>HYPERLINK("https://app.hubspot.com/contacts/8748051/record/0-1/3399151", 3399151)</f>
        <v>3399151</v>
      </c>
      <c r="B922" s="24" t="s">
        <v>5395</v>
      </c>
      <c r="C922" s="34"/>
      <c r="D922" s="24" t="s">
        <v>5396</v>
      </c>
      <c r="E922" s="28" t="s">
        <v>1946</v>
      </c>
      <c r="F922" s="34"/>
      <c r="G922" s="35">
        <v>45341.0</v>
      </c>
      <c r="H922" s="35">
        <v>45349.0</v>
      </c>
      <c r="I922" s="35">
        <v>45349.0</v>
      </c>
      <c r="J922" s="34"/>
      <c r="K922" s="34"/>
      <c r="L922" s="34"/>
      <c r="M922" s="33">
        <f>HYPERLINK("https://app.hubspot.com/contacts/8748051/record/0-2/7420318749", 7420318749)</f>
        <v>7420318749</v>
      </c>
      <c r="N922" s="24" t="s">
        <v>1945</v>
      </c>
      <c r="O922" s="33">
        <f>HYPERLINK("https://app.hubspot.com/contacts/8748051/record/0-3/18403770891", 18403770891)</f>
        <v>18403770891</v>
      </c>
      <c r="P922" s="24" t="s">
        <v>1944</v>
      </c>
      <c r="Q922" s="24" t="s">
        <v>127</v>
      </c>
      <c r="R922" s="24">
        <v>75000.0</v>
      </c>
      <c r="S922" s="24" t="b">
        <v>1</v>
      </c>
      <c r="T922" s="34" t="str">
        <f t="shared" ref="T922:V922" si="927">IF(G922&lt;&gt;"","Yes","")</f>
        <v>Yes</v>
      </c>
      <c r="U922" s="34" t="str">
        <f t="shared" si="927"/>
        <v>Yes</v>
      </c>
      <c r="V922" s="34" t="str">
        <f t="shared" si="927"/>
        <v>Yes</v>
      </c>
      <c r="W922" s="34" t="str">
        <f t="shared" si="3"/>
        <v/>
      </c>
      <c r="X922" s="24" t="str">
        <f t="shared" si="4"/>
        <v/>
      </c>
    </row>
    <row r="923" ht="14.25" customHeight="1">
      <c r="A923" s="33">
        <f>HYPERLINK("https://app.hubspot.com/contacts/8748051/record/0-1/3400001", 3400001)</f>
        <v>3400001</v>
      </c>
      <c r="B923" s="24" t="s">
        <v>5397</v>
      </c>
      <c r="C923" s="34"/>
      <c r="D923" s="24" t="s">
        <v>5398</v>
      </c>
      <c r="E923" s="28" t="s">
        <v>2135</v>
      </c>
      <c r="F923" s="34"/>
      <c r="G923" s="35">
        <v>45341.0</v>
      </c>
      <c r="H923" s="35">
        <v>45357.0</v>
      </c>
      <c r="I923" s="35">
        <v>45357.0</v>
      </c>
      <c r="J923" s="34"/>
      <c r="K923" s="34"/>
      <c r="L923" s="34"/>
      <c r="M923" s="33">
        <f>HYPERLINK("https://app.hubspot.com/contacts/8748051/record/0-2/7232076364", 7232076364)</f>
        <v>7232076364</v>
      </c>
      <c r="N923" s="24" t="s">
        <v>2134</v>
      </c>
      <c r="O923" s="33">
        <f>HYPERLINK("https://app.hubspot.com/contacts/8748051/record/0-3/17886607384", 17886607384)</f>
        <v>17886607384</v>
      </c>
      <c r="P923" s="24" t="s">
        <v>2133</v>
      </c>
      <c r="Q923" s="24" t="s">
        <v>73</v>
      </c>
      <c r="R923" s="24">
        <v>219600.0</v>
      </c>
      <c r="S923" s="34"/>
      <c r="T923" s="34" t="str">
        <f t="shared" ref="T923:V923" si="928">IF(G923&lt;&gt;"","Yes","")</f>
        <v>Yes</v>
      </c>
      <c r="U923" s="34" t="str">
        <f t="shared" si="928"/>
        <v>Yes</v>
      </c>
      <c r="V923" s="34" t="str">
        <f t="shared" si="928"/>
        <v>Yes</v>
      </c>
      <c r="W923" s="34" t="str">
        <f t="shared" si="3"/>
        <v/>
      </c>
      <c r="X923" s="24" t="str">
        <f t="shared" si="4"/>
        <v/>
      </c>
    </row>
    <row r="924" ht="14.25" customHeight="1">
      <c r="A924" s="33">
        <f>HYPERLINK("https://app.hubspot.com/contacts/8748051/record/0-1/3405051", 3405051)</f>
        <v>3405051</v>
      </c>
      <c r="B924" s="24" t="s">
        <v>5399</v>
      </c>
      <c r="C924" s="34"/>
      <c r="D924" s="24" t="s">
        <v>5400</v>
      </c>
      <c r="E924" s="28" t="s">
        <v>5401</v>
      </c>
      <c r="F924" s="34"/>
      <c r="G924" s="35">
        <v>45344.0</v>
      </c>
      <c r="H924" s="34"/>
      <c r="I924" s="34"/>
      <c r="J924" s="34"/>
      <c r="K924" s="34"/>
      <c r="L924" s="34"/>
      <c r="M924" s="33">
        <f>HYPERLINK("https://app.hubspot.com/contacts/8748051/record/0-2/15711428171", 15711428171)</f>
        <v>15711428171</v>
      </c>
      <c r="N924" s="24" t="s">
        <v>5402</v>
      </c>
      <c r="O924" s="34"/>
      <c r="P924" s="34"/>
      <c r="Q924" s="34"/>
      <c r="R924" s="34"/>
      <c r="S924" s="34"/>
      <c r="T924" s="34" t="str">
        <f t="shared" ref="T924:V924" si="929">IF(G924&lt;&gt;"","Yes","")</f>
        <v>Yes</v>
      </c>
      <c r="U924" s="34" t="str">
        <f t="shared" si="929"/>
        <v/>
      </c>
      <c r="V924" s="34" t="str">
        <f t="shared" si="929"/>
        <v/>
      </c>
      <c r="W924" s="34" t="str">
        <f t="shared" si="3"/>
        <v/>
      </c>
      <c r="X924" s="24" t="str">
        <f t="shared" si="4"/>
        <v/>
      </c>
    </row>
    <row r="925" ht="14.25" customHeight="1">
      <c r="A925" s="33">
        <f>HYPERLINK("https://app.hubspot.com/contacts/8748051/record/0-1/3406501", 3406501)</f>
        <v>3406501</v>
      </c>
      <c r="B925" s="24" t="s">
        <v>5403</v>
      </c>
      <c r="C925" s="34"/>
      <c r="D925" s="24" t="s">
        <v>5404</v>
      </c>
      <c r="E925" s="28" t="s">
        <v>2393</v>
      </c>
      <c r="F925" s="24" t="s">
        <v>5405</v>
      </c>
      <c r="G925" s="34"/>
      <c r="H925" s="34"/>
      <c r="I925" s="34"/>
      <c r="J925" s="34"/>
      <c r="K925" s="34"/>
      <c r="L925" s="34"/>
      <c r="M925" s="33">
        <f>HYPERLINK("https://app.hubspot.com/contacts/8748051/record/0-2/7668097955", 7668097955)</f>
        <v>7668097955</v>
      </c>
      <c r="N925" s="28" t="s">
        <v>2392</v>
      </c>
      <c r="O925" s="34"/>
      <c r="P925" s="34"/>
      <c r="Q925" s="34"/>
      <c r="R925" s="34"/>
      <c r="S925" s="34"/>
      <c r="T925" s="34" t="str">
        <f t="shared" ref="T925:V925" si="930">IF(G925&lt;&gt;"","Yes","")</f>
        <v/>
      </c>
      <c r="U925" s="34" t="str">
        <f t="shared" si="930"/>
        <v/>
      </c>
      <c r="V925" s="34" t="str">
        <f t="shared" si="930"/>
        <v/>
      </c>
      <c r="W925" s="34" t="str">
        <f t="shared" si="3"/>
        <v/>
      </c>
      <c r="X925" s="24" t="str">
        <f t="shared" si="4"/>
        <v/>
      </c>
    </row>
    <row r="926" ht="14.25" customHeight="1">
      <c r="A926" s="33">
        <f>HYPERLINK("https://app.hubspot.com/contacts/8748051/record/0-1/3412301", 3412301)</f>
        <v>3412301</v>
      </c>
      <c r="B926" s="24" t="s">
        <v>5406</v>
      </c>
      <c r="C926" s="34"/>
      <c r="D926" s="24" t="s">
        <v>5407</v>
      </c>
      <c r="E926" s="24" t="s">
        <v>1824</v>
      </c>
      <c r="F926" s="34"/>
      <c r="G926" s="35">
        <v>45405.0</v>
      </c>
      <c r="H926" s="35">
        <v>45413.0</v>
      </c>
      <c r="I926" s="35">
        <v>45413.0</v>
      </c>
      <c r="J926" s="34"/>
      <c r="K926" s="34"/>
      <c r="L926" s="34"/>
      <c r="M926" s="33">
        <f>HYPERLINK("https://app.hubspot.com/contacts/8748051/record/0-2/16066097808", 16066097808)</f>
        <v>16066097808</v>
      </c>
      <c r="N926" s="24" t="s">
        <v>1823</v>
      </c>
      <c r="O926" s="33">
        <f>HYPERLINK("https://app.hubspot.com/contacts/8748051/record/0-3/18967322425", 18967322425)</f>
        <v>18967322425</v>
      </c>
      <c r="P926" s="24" t="s">
        <v>1822</v>
      </c>
      <c r="Q926" s="24" t="s">
        <v>73</v>
      </c>
      <c r="R926" s="24">
        <v>7920.0</v>
      </c>
      <c r="S926" s="34"/>
      <c r="T926" s="34" t="str">
        <f t="shared" ref="T926:V926" si="931">IF(G926&lt;&gt;"","Yes","")</f>
        <v>Yes</v>
      </c>
      <c r="U926" s="34" t="str">
        <f t="shared" si="931"/>
        <v>Yes</v>
      </c>
      <c r="V926" s="34" t="str">
        <f t="shared" si="931"/>
        <v>Yes</v>
      </c>
      <c r="W926" s="34" t="str">
        <f t="shared" si="3"/>
        <v/>
      </c>
      <c r="X926" s="24" t="str">
        <f t="shared" si="4"/>
        <v/>
      </c>
    </row>
    <row r="927" ht="14.25" customHeight="1">
      <c r="A927" s="33">
        <f>HYPERLINK("https://app.hubspot.com/contacts/8748051/record/0-1/3413201", 3413201)</f>
        <v>3413201</v>
      </c>
      <c r="B927" s="24" t="s">
        <v>5408</v>
      </c>
      <c r="C927" s="34"/>
      <c r="D927" s="24" t="s">
        <v>5409</v>
      </c>
      <c r="E927" s="28" t="s">
        <v>2178</v>
      </c>
      <c r="F927" s="34"/>
      <c r="G927" s="35">
        <v>45344.0</v>
      </c>
      <c r="H927" s="35">
        <v>45349.0</v>
      </c>
      <c r="I927" s="35">
        <v>45349.0</v>
      </c>
      <c r="J927" s="34"/>
      <c r="K927" s="34"/>
      <c r="L927" s="34"/>
      <c r="M927" s="33">
        <f>HYPERLINK("https://app.hubspot.com/contacts/8748051/record/0-2/19176716086", 19176716086)</f>
        <v>19176716086</v>
      </c>
      <c r="N927" s="24" t="s">
        <v>2177</v>
      </c>
      <c r="O927" s="33">
        <f>HYPERLINK("https://app.hubspot.com/contacts/8748051/record/0-3/17682026421", 17682026421)</f>
        <v>17682026421</v>
      </c>
      <c r="P927" s="24" t="s">
        <v>2176</v>
      </c>
      <c r="Q927" s="24" t="s">
        <v>73</v>
      </c>
      <c r="R927" s="24">
        <v>8500.0</v>
      </c>
      <c r="S927" s="34"/>
      <c r="T927" s="34" t="str">
        <f t="shared" ref="T927:V927" si="932">IF(G927&lt;&gt;"","Yes","")</f>
        <v>Yes</v>
      </c>
      <c r="U927" s="34" t="str">
        <f t="shared" si="932"/>
        <v>Yes</v>
      </c>
      <c r="V927" s="34" t="str">
        <f t="shared" si="932"/>
        <v>Yes</v>
      </c>
      <c r="W927" s="34" t="str">
        <f t="shared" si="3"/>
        <v/>
      </c>
      <c r="X927" s="24" t="str">
        <f t="shared" si="4"/>
        <v/>
      </c>
    </row>
    <row r="928" ht="14.25" customHeight="1">
      <c r="A928" s="33">
        <f>HYPERLINK("https://app.hubspot.com/contacts/8748051/record/0-1/3413601", 3413601)</f>
        <v>3413601</v>
      </c>
      <c r="B928" s="24" t="s">
        <v>5410</v>
      </c>
      <c r="C928" s="34"/>
      <c r="D928" s="24" t="s">
        <v>5411</v>
      </c>
      <c r="E928" s="28" t="s">
        <v>2161</v>
      </c>
      <c r="F928" s="34"/>
      <c r="G928" s="35">
        <v>45344.0</v>
      </c>
      <c r="H928" s="35">
        <v>45357.0</v>
      </c>
      <c r="I928" s="35">
        <v>45357.0</v>
      </c>
      <c r="J928" s="34"/>
      <c r="K928" s="34"/>
      <c r="L928" s="34"/>
      <c r="M928" s="33">
        <f>HYPERLINK("https://app.hubspot.com/contacts/8748051/record/0-2/6816683335", 6816683335)</f>
        <v>6816683335</v>
      </c>
      <c r="N928" s="24" t="s">
        <v>2160</v>
      </c>
      <c r="O928" s="33">
        <f>HYPERLINK("https://app.hubspot.com/contacts/8748051/record/0-3/17776248898", 17776248898)</f>
        <v>17776248898</v>
      </c>
      <c r="P928" s="24" t="s">
        <v>2159</v>
      </c>
      <c r="Q928" s="24" t="s">
        <v>73</v>
      </c>
      <c r="R928" s="24">
        <v>8160.0</v>
      </c>
      <c r="S928" s="34"/>
      <c r="T928" s="34" t="str">
        <f t="shared" ref="T928:V928" si="933">IF(G928&lt;&gt;"","Yes","")</f>
        <v>Yes</v>
      </c>
      <c r="U928" s="34" t="str">
        <f t="shared" si="933"/>
        <v>Yes</v>
      </c>
      <c r="V928" s="34" t="str">
        <f t="shared" si="933"/>
        <v>Yes</v>
      </c>
      <c r="W928" s="34" t="str">
        <f t="shared" si="3"/>
        <v/>
      </c>
      <c r="X928" s="24" t="str">
        <f t="shared" si="4"/>
        <v/>
      </c>
    </row>
    <row r="929" ht="14.25" customHeight="1">
      <c r="A929" s="33">
        <f>HYPERLINK("https://app.hubspot.com/contacts/8748051/record/0-1/3414651", 3414651)</f>
        <v>3414651</v>
      </c>
      <c r="B929" s="24" t="s">
        <v>5412</v>
      </c>
      <c r="C929" s="34"/>
      <c r="D929" s="24" t="s">
        <v>5413</v>
      </c>
      <c r="E929" s="28" t="s">
        <v>4096</v>
      </c>
      <c r="F929" s="24" t="s">
        <v>5414</v>
      </c>
      <c r="G929" s="34"/>
      <c r="H929" s="34"/>
      <c r="I929" s="34"/>
      <c r="J929" s="34"/>
      <c r="K929" s="34"/>
      <c r="L929" s="34"/>
      <c r="M929" s="33">
        <f>HYPERLINK("https://app.hubspot.com/contacts/8748051/record/0-2/19176740118", 19176740118)</f>
        <v>19176740118</v>
      </c>
      <c r="N929" s="24" t="s">
        <v>4097</v>
      </c>
      <c r="O929" s="34"/>
      <c r="P929" s="34"/>
      <c r="Q929" s="34"/>
      <c r="R929" s="34"/>
      <c r="S929" s="34"/>
      <c r="T929" s="34" t="str">
        <f t="shared" ref="T929:V929" si="934">IF(G929&lt;&gt;"","Yes","")</f>
        <v/>
      </c>
      <c r="U929" s="34" t="str">
        <f t="shared" si="934"/>
        <v/>
      </c>
      <c r="V929" s="34" t="str">
        <f t="shared" si="934"/>
        <v/>
      </c>
      <c r="W929" s="34" t="str">
        <f t="shared" si="3"/>
        <v/>
      </c>
      <c r="X929" s="24" t="str">
        <f t="shared" si="4"/>
        <v/>
      </c>
    </row>
    <row r="930" ht="14.25" customHeight="1">
      <c r="A930" s="33">
        <f>HYPERLINK("https://app.hubspot.com/contacts/8748051/record/0-1/3417751", 3417751)</f>
        <v>3417751</v>
      </c>
      <c r="B930" s="24" t="s">
        <v>5415</v>
      </c>
      <c r="C930" s="34"/>
      <c r="D930" s="24" t="s">
        <v>5416</v>
      </c>
      <c r="E930" s="28" t="s">
        <v>2167</v>
      </c>
      <c r="F930" s="34"/>
      <c r="G930" s="35">
        <v>45345.0</v>
      </c>
      <c r="H930" s="35">
        <v>45350.0</v>
      </c>
      <c r="I930" s="35">
        <v>45350.0</v>
      </c>
      <c r="J930" s="34"/>
      <c r="K930" s="34"/>
      <c r="L930" s="34"/>
      <c r="M930" s="33">
        <f>HYPERLINK("https://app.hubspot.com/contacts/8748051/record/0-2/16376183859", 16376183859)</f>
        <v>16376183859</v>
      </c>
      <c r="N930" s="24" t="s">
        <v>2166</v>
      </c>
      <c r="O930" s="33">
        <f>HYPERLINK("https://app.hubspot.com/contacts/8748051/record/0-3/17767974585", 17767974585)</f>
        <v>17767974585</v>
      </c>
      <c r="P930" s="24" t="s">
        <v>2165</v>
      </c>
      <c r="Q930" s="24" t="s">
        <v>73</v>
      </c>
      <c r="R930" s="24">
        <v>2880.0</v>
      </c>
      <c r="S930" s="34"/>
      <c r="T930" s="34" t="str">
        <f t="shared" ref="T930:V930" si="935">IF(G930&lt;&gt;"","Yes","")</f>
        <v>Yes</v>
      </c>
      <c r="U930" s="34" t="str">
        <f t="shared" si="935"/>
        <v>Yes</v>
      </c>
      <c r="V930" s="34" t="str">
        <f t="shared" si="935"/>
        <v>Yes</v>
      </c>
      <c r="W930" s="34" t="str">
        <f t="shared" si="3"/>
        <v/>
      </c>
      <c r="X930" s="24" t="str">
        <f t="shared" si="4"/>
        <v/>
      </c>
    </row>
    <row r="931" ht="14.25" customHeight="1">
      <c r="A931" s="33">
        <f>HYPERLINK("https://app.hubspot.com/contacts/8748051/record/0-1/3421701", 3421701)</f>
        <v>3421701</v>
      </c>
      <c r="B931" s="24" t="s">
        <v>5417</v>
      </c>
      <c r="C931" s="34"/>
      <c r="D931" s="24" t="s">
        <v>5418</v>
      </c>
      <c r="E931" s="28" t="s">
        <v>2100</v>
      </c>
      <c r="F931" s="34"/>
      <c r="G931" s="35">
        <v>45347.0</v>
      </c>
      <c r="H931" s="35">
        <v>45364.0</v>
      </c>
      <c r="I931" s="35">
        <v>45364.0</v>
      </c>
      <c r="J931" s="34"/>
      <c r="K931" s="34"/>
      <c r="L931" s="34"/>
      <c r="M931" s="33">
        <f>HYPERLINK("https://app.hubspot.com/contacts/8748051/record/0-2/19176558462", 19176558462)</f>
        <v>19176558462</v>
      </c>
      <c r="N931" s="24" t="s">
        <v>2099</v>
      </c>
      <c r="O931" s="33">
        <f>HYPERLINK("https://app.hubspot.com/contacts/8748051/record/0-3/18014606995", 18014606995)</f>
        <v>18014606995</v>
      </c>
      <c r="P931" s="24" t="s">
        <v>2098</v>
      </c>
      <c r="Q931" s="24" t="s">
        <v>73</v>
      </c>
      <c r="R931" s="24">
        <v>1200.0</v>
      </c>
      <c r="S931" s="34"/>
      <c r="T931" s="34" t="str">
        <f t="shared" ref="T931:V931" si="936">IF(G931&lt;&gt;"","Yes","")</f>
        <v>Yes</v>
      </c>
      <c r="U931" s="34" t="str">
        <f t="shared" si="936"/>
        <v>Yes</v>
      </c>
      <c r="V931" s="34" t="str">
        <f t="shared" si="936"/>
        <v>Yes</v>
      </c>
      <c r="W931" s="34" t="str">
        <f t="shared" si="3"/>
        <v/>
      </c>
      <c r="X931" s="24" t="str">
        <f t="shared" si="4"/>
        <v/>
      </c>
    </row>
    <row r="932" ht="14.25" customHeight="1">
      <c r="A932" s="33">
        <f>HYPERLINK("https://app.hubspot.com/contacts/8748051/record/0-1/3422451", 3422451)</f>
        <v>3422451</v>
      </c>
      <c r="B932" s="24" t="s">
        <v>5419</v>
      </c>
      <c r="C932" s="34"/>
      <c r="D932" s="24" t="s">
        <v>5420</v>
      </c>
      <c r="E932" s="28" t="s">
        <v>5421</v>
      </c>
      <c r="F932" s="24" t="s">
        <v>4253</v>
      </c>
      <c r="G932" s="34"/>
      <c r="H932" s="34"/>
      <c r="I932" s="34"/>
      <c r="J932" s="34"/>
      <c r="K932" s="34"/>
      <c r="L932" s="34"/>
      <c r="M932" s="33">
        <f>HYPERLINK("https://app.hubspot.com/contacts/8748051/record/0-2/8142694742", 8142694742)</f>
        <v>8142694742</v>
      </c>
      <c r="N932" s="24" t="s">
        <v>5422</v>
      </c>
      <c r="O932" s="34"/>
      <c r="P932" s="34"/>
      <c r="Q932" s="34"/>
      <c r="R932" s="34"/>
      <c r="S932" s="34"/>
      <c r="T932" s="34" t="str">
        <f t="shared" ref="T932:V932" si="937">IF(G932&lt;&gt;"","Yes","")</f>
        <v/>
      </c>
      <c r="U932" s="34" t="str">
        <f t="shared" si="937"/>
        <v/>
      </c>
      <c r="V932" s="34" t="str">
        <f t="shared" si="937"/>
        <v/>
      </c>
      <c r="W932" s="34" t="str">
        <f t="shared" si="3"/>
        <v/>
      </c>
      <c r="X932" s="24" t="str">
        <f t="shared" si="4"/>
        <v/>
      </c>
    </row>
    <row r="933" ht="14.25" customHeight="1">
      <c r="A933" s="33">
        <f>HYPERLINK("https://app.hubspot.com/contacts/8748051/record/0-1/3423001", 3423001)</f>
        <v>3423001</v>
      </c>
      <c r="B933" s="24" t="s">
        <v>5423</v>
      </c>
      <c r="C933" s="34"/>
      <c r="D933" s="24" t="s">
        <v>5424</v>
      </c>
      <c r="E933" s="28" t="s">
        <v>5425</v>
      </c>
      <c r="F933" s="34"/>
      <c r="G933" s="35">
        <v>45348.0</v>
      </c>
      <c r="H933" s="34"/>
      <c r="I933" s="34"/>
      <c r="J933" s="34"/>
      <c r="K933" s="34"/>
      <c r="L933" s="34"/>
      <c r="M933" s="33">
        <f>HYPERLINK("https://app.hubspot.com/contacts/8748051/record/0-2/19176687487", 19176687487)</f>
        <v>19176687487</v>
      </c>
      <c r="N933" s="24" t="s">
        <v>5426</v>
      </c>
      <c r="O933" s="34"/>
      <c r="P933" s="34"/>
      <c r="Q933" s="34"/>
      <c r="R933" s="34"/>
      <c r="S933" s="34"/>
      <c r="T933" s="34" t="str">
        <f t="shared" ref="T933:V933" si="938">IF(G933&lt;&gt;"","Yes","")</f>
        <v>Yes</v>
      </c>
      <c r="U933" s="34" t="str">
        <f t="shared" si="938"/>
        <v/>
      </c>
      <c r="V933" s="34" t="str">
        <f t="shared" si="938"/>
        <v/>
      </c>
      <c r="W933" s="34" t="str">
        <f t="shared" si="3"/>
        <v/>
      </c>
      <c r="X933" s="24" t="str">
        <f t="shared" si="4"/>
        <v/>
      </c>
    </row>
    <row r="934" ht="14.25" customHeight="1">
      <c r="A934" s="33">
        <f>HYPERLINK("https://app.hubspot.com/contacts/8748051/record/0-1/3423551", 3423551)</f>
        <v>3423551</v>
      </c>
      <c r="B934" s="24" t="s">
        <v>5427</v>
      </c>
      <c r="C934" s="34"/>
      <c r="D934" s="24" t="s">
        <v>5428</v>
      </c>
      <c r="E934" s="28" t="s">
        <v>2085</v>
      </c>
      <c r="F934" s="34"/>
      <c r="G934" s="35">
        <v>45348.0</v>
      </c>
      <c r="H934" s="34"/>
      <c r="I934" s="34"/>
      <c r="J934" s="34"/>
      <c r="K934" s="34"/>
      <c r="L934" s="34"/>
      <c r="M934" s="33">
        <f>HYPERLINK("https://app.hubspot.com/contacts/8748051/record/0-2/8950349389", 8950349389)</f>
        <v>8950349389</v>
      </c>
      <c r="N934" s="24" t="s">
        <v>2084</v>
      </c>
      <c r="O934" s="33">
        <f>HYPERLINK("https://app.hubspot.com/contacts/8748051/record/0-3/18033529128", 18033529128)</f>
        <v>18033529128</v>
      </c>
      <c r="P934" s="24" t="s">
        <v>2083</v>
      </c>
      <c r="Q934" s="24" t="s">
        <v>73</v>
      </c>
      <c r="R934" s="24">
        <v>12960.0</v>
      </c>
      <c r="S934" s="34"/>
      <c r="T934" s="34" t="str">
        <f t="shared" ref="T934:V934" si="939">IF(G934&lt;&gt;"","Yes","")</f>
        <v>Yes</v>
      </c>
      <c r="U934" s="34" t="str">
        <f t="shared" si="939"/>
        <v/>
      </c>
      <c r="V934" s="34" t="str">
        <f t="shared" si="939"/>
        <v/>
      </c>
      <c r="W934" s="34" t="str">
        <f t="shared" si="3"/>
        <v/>
      </c>
      <c r="X934" s="24" t="str">
        <f t="shared" si="4"/>
        <v/>
      </c>
    </row>
    <row r="935" ht="14.25" customHeight="1">
      <c r="A935" s="33">
        <f>HYPERLINK("https://app.hubspot.com/contacts/8748051/record/0-1/3423751", 3423751)</f>
        <v>3423751</v>
      </c>
      <c r="B935" s="24" t="s">
        <v>5429</v>
      </c>
      <c r="C935" s="34"/>
      <c r="D935" s="24" t="s">
        <v>5430</v>
      </c>
      <c r="E935" s="28" t="s">
        <v>5431</v>
      </c>
      <c r="F935" s="34"/>
      <c r="G935" s="35">
        <v>45413.0</v>
      </c>
      <c r="H935" s="34"/>
      <c r="I935" s="34"/>
      <c r="J935" s="34"/>
      <c r="K935" s="34"/>
      <c r="L935" s="34"/>
      <c r="M935" s="33">
        <f>HYPERLINK("https://app.hubspot.com/contacts/8748051/record/0-2/19176516388", 19176516388)</f>
        <v>19176516388</v>
      </c>
      <c r="N935" s="24" t="s">
        <v>5432</v>
      </c>
      <c r="O935" s="34"/>
      <c r="P935" s="34"/>
      <c r="Q935" s="34"/>
      <c r="R935" s="34"/>
      <c r="S935" s="34"/>
      <c r="T935" s="34" t="str">
        <f t="shared" ref="T935:V935" si="940">IF(G935&lt;&gt;"","Yes","")</f>
        <v>Yes</v>
      </c>
      <c r="U935" s="34" t="str">
        <f t="shared" si="940"/>
        <v/>
      </c>
      <c r="V935" s="34" t="str">
        <f t="shared" si="940"/>
        <v/>
      </c>
      <c r="W935" s="34" t="str">
        <f t="shared" si="3"/>
        <v/>
      </c>
      <c r="X935" s="24" t="str">
        <f t="shared" si="4"/>
        <v/>
      </c>
    </row>
    <row r="936" ht="14.25" customHeight="1">
      <c r="A936" s="33">
        <f>HYPERLINK("https://app.hubspot.com/contacts/8748051/record/0-1/3424601", 3424601)</f>
        <v>3424601</v>
      </c>
      <c r="B936" s="24" t="s">
        <v>5433</v>
      </c>
      <c r="C936" s="34"/>
      <c r="D936" s="24" t="s">
        <v>5434</v>
      </c>
      <c r="E936" s="28" t="s">
        <v>5435</v>
      </c>
      <c r="F936" s="24" t="s">
        <v>4253</v>
      </c>
      <c r="G936" s="34"/>
      <c r="H936" s="34"/>
      <c r="I936" s="34"/>
      <c r="J936" s="34"/>
      <c r="K936" s="34"/>
      <c r="L936" s="34"/>
      <c r="M936" s="33">
        <f>HYPERLINK("https://app.hubspot.com/contacts/8748051/record/0-2/19177041286", 19177041286)</f>
        <v>19177041286</v>
      </c>
      <c r="N936" s="24" t="s">
        <v>5436</v>
      </c>
      <c r="O936" s="34"/>
      <c r="P936" s="34"/>
      <c r="Q936" s="34"/>
      <c r="R936" s="34"/>
      <c r="S936" s="34"/>
      <c r="T936" s="34" t="str">
        <f t="shared" ref="T936:V936" si="941">IF(G936&lt;&gt;"","Yes","")</f>
        <v/>
      </c>
      <c r="U936" s="34" t="str">
        <f t="shared" si="941"/>
        <v/>
      </c>
      <c r="V936" s="34" t="str">
        <f t="shared" si="941"/>
        <v/>
      </c>
      <c r="W936" s="34" t="str">
        <f t="shared" si="3"/>
        <v/>
      </c>
      <c r="X936" s="24" t="str">
        <f t="shared" si="4"/>
        <v/>
      </c>
    </row>
    <row r="937" ht="14.25" customHeight="1">
      <c r="A937" s="33">
        <f>HYPERLINK("https://app.hubspot.com/contacts/8748051/record/0-1/3427601", 3427601)</f>
        <v>3427601</v>
      </c>
      <c r="B937" s="24" t="s">
        <v>5437</v>
      </c>
      <c r="C937" s="34"/>
      <c r="D937" s="24" t="s">
        <v>5438</v>
      </c>
      <c r="E937" s="28" t="s">
        <v>5439</v>
      </c>
      <c r="F937" s="34"/>
      <c r="G937" s="35">
        <v>45425.0</v>
      </c>
      <c r="H937" s="34"/>
      <c r="I937" s="34"/>
      <c r="J937" s="34"/>
      <c r="K937" s="34"/>
      <c r="L937" s="34"/>
      <c r="M937" s="33">
        <f>HYPERLINK("https://app.hubspot.com/contacts/8748051/record/0-2/9186963101", 9186963101)</f>
        <v>9186963101</v>
      </c>
      <c r="N937" s="24" t="s">
        <v>5440</v>
      </c>
      <c r="O937" s="34"/>
      <c r="P937" s="34"/>
      <c r="Q937" s="34"/>
      <c r="R937" s="34"/>
      <c r="S937" s="34"/>
      <c r="T937" s="34" t="str">
        <f t="shared" ref="T937:V937" si="942">IF(G937&lt;&gt;"","Yes","")</f>
        <v>Yes</v>
      </c>
      <c r="U937" s="34" t="str">
        <f t="shared" si="942"/>
        <v/>
      </c>
      <c r="V937" s="34" t="str">
        <f t="shared" si="942"/>
        <v/>
      </c>
      <c r="W937" s="34" t="str">
        <f t="shared" si="3"/>
        <v/>
      </c>
      <c r="X937" s="24" t="str">
        <f t="shared" si="4"/>
        <v/>
      </c>
    </row>
    <row r="938" ht="14.25" customHeight="1">
      <c r="A938" s="33">
        <f>HYPERLINK("https://app.hubspot.com/contacts/8748051/record/0-1/3437901", 3437901)</f>
        <v>3437901</v>
      </c>
      <c r="B938" s="24" t="s">
        <v>5441</v>
      </c>
      <c r="C938" s="34"/>
      <c r="D938" s="24" t="s">
        <v>5442</v>
      </c>
      <c r="E938" s="28" t="s">
        <v>5443</v>
      </c>
      <c r="F938" s="34"/>
      <c r="G938" s="35">
        <v>45350.0</v>
      </c>
      <c r="H938" s="34"/>
      <c r="I938" s="34"/>
      <c r="J938" s="34"/>
      <c r="K938" s="34"/>
      <c r="L938" s="34"/>
      <c r="M938" s="33">
        <f>HYPERLINK("https://app.hubspot.com/contacts/8748051/record/0-2/19176516376", 19176516376)</f>
        <v>19176516376</v>
      </c>
      <c r="N938" s="24" t="s">
        <v>5444</v>
      </c>
      <c r="O938" s="34"/>
      <c r="P938" s="34"/>
      <c r="Q938" s="34"/>
      <c r="R938" s="34"/>
      <c r="S938" s="34"/>
      <c r="T938" s="34" t="str">
        <f t="shared" ref="T938:V938" si="943">IF(G938&lt;&gt;"","Yes","")</f>
        <v>Yes</v>
      </c>
      <c r="U938" s="34" t="str">
        <f t="shared" si="943"/>
        <v/>
      </c>
      <c r="V938" s="34" t="str">
        <f t="shared" si="943"/>
        <v/>
      </c>
      <c r="W938" s="34" t="str">
        <f t="shared" si="3"/>
        <v/>
      </c>
      <c r="X938" s="24" t="str">
        <f t="shared" si="4"/>
        <v/>
      </c>
    </row>
    <row r="939" ht="14.25" customHeight="1">
      <c r="A939" s="33">
        <f>HYPERLINK("https://app.hubspot.com/contacts/8748051/record/0-1/3438951", 3438951)</f>
        <v>3438951</v>
      </c>
      <c r="B939" s="24" t="s">
        <v>5445</v>
      </c>
      <c r="C939" s="34"/>
      <c r="D939" s="24" t="s">
        <v>5446</v>
      </c>
      <c r="E939" s="28" t="s">
        <v>5447</v>
      </c>
      <c r="F939" s="24" t="s">
        <v>5448</v>
      </c>
      <c r="G939" s="34"/>
      <c r="H939" s="34"/>
      <c r="I939" s="34"/>
      <c r="J939" s="34"/>
      <c r="K939" s="34"/>
      <c r="L939" s="34"/>
      <c r="M939" s="33">
        <f>HYPERLINK("https://app.hubspot.com/contacts/8748051/record/0-2/19176652467", 19176652467)</f>
        <v>19176652467</v>
      </c>
      <c r="N939" s="24" t="s">
        <v>5449</v>
      </c>
      <c r="O939" s="34"/>
      <c r="P939" s="34"/>
      <c r="Q939" s="34"/>
      <c r="R939" s="34"/>
      <c r="S939" s="34"/>
      <c r="T939" s="34" t="str">
        <f t="shared" ref="T939:V939" si="944">IF(G939&lt;&gt;"","Yes","")</f>
        <v/>
      </c>
      <c r="U939" s="34" t="str">
        <f t="shared" si="944"/>
        <v/>
      </c>
      <c r="V939" s="34" t="str">
        <f t="shared" si="944"/>
        <v/>
      </c>
      <c r="W939" s="34" t="str">
        <f t="shared" si="3"/>
        <v/>
      </c>
      <c r="X939" s="24" t="str">
        <f t="shared" si="4"/>
        <v/>
      </c>
    </row>
    <row r="940" ht="14.25" customHeight="1">
      <c r="A940" s="33">
        <f>HYPERLINK("https://app.hubspot.com/contacts/8748051/record/0-1/3442101", 3442101)</f>
        <v>3442101</v>
      </c>
      <c r="B940" s="24" t="s">
        <v>5450</v>
      </c>
      <c r="C940" s="34"/>
      <c r="D940" s="24" t="s">
        <v>5451</v>
      </c>
      <c r="E940" s="28" t="s">
        <v>5452</v>
      </c>
      <c r="F940" s="34"/>
      <c r="G940" s="35">
        <v>45351.0</v>
      </c>
      <c r="H940" s="34"/>
      <c r="I940" s="34"/>
      <c r="J940" s="34"/>
      <c r="K940" s="34"/>
      <c r="L940" s="34"/>
      <c r="M940" s="33">
        <f>HYPERLINK("https://app.hubspot.com/contacts/8748051/record/0-2/19176574829", 19176574829)</f>
        <v>19176574829</v>
      </c>
      <c r="N940" s="28" t="s">
        <v>5453</v>
      </c>
      <c r="O940" s="34"/>
      <c r="P940" s="34"/>
      <c r="Q940" s="34"/>
      <c r="R940" s="34"/>
      <c r="S940" s="34"/>
      <c r="T940" s="34" t="str">
        <f t="shared" ref="T940:V940" si="945">IF(G940&lt;&gt;"","Yes","")</f>
        <v>Yes</v>
      </c>
      <c r="U940" s="34" t="str">
        <f t="shared" si="945"/>
        <v/>
      </c>
      <c r="V940" s="34" t="str">
        <f t="shared" si="945"/>
        <v/>
      </c>
      <c r="W940" s="34" t="str">
        <f t="shared" si="3"/>
        <v/>
      </c>
      <c r="X940" s="24" t="str">
        <f t="shared" si="4"/>
        <v/>
      </c>
    </row>
    <row r="941" ht="14.25" customHeight="1">
      <c r="A941" s="33">
        <f>HYPERLINK("https://app.hubspot.com/contacts/8748051/record/0-1/3463201", 3463201)</f>
        <v>3463201</v>
      </c>
      <c r="B941" s="24" t="s">
        <v>5454</v>
      </c>
      <c r="C941" s="34"/>
      <c r="D941" s="24" t="s">
        <v>5455</v>
      </c>
      <c r="E941" s="28" t="s">
        <v>2038</v>
      </c>
      <c r="F941" s="34"/>
      <c r="G941" s="35">
        <v>45356.0</v>
      </c>
      <c r="H941" s="35">
        <v>45373.0</v>
      </c>
      <c r="I941" s="35">
        <v>45373.0</v>
      </c>
      <c r="J941" s="34"/>
      <c r="K941" s="34"/>
      <c r="L941" s="34"/>
      <c r="M941" s="33">
        <f>HYPERLINK("https://app.hubspot.com/contacts/8748051/record/0-2/19176598385", 19176598385)</f>
        <v>19176598385</v>
      </c>
      <c r="N941" s="24" t="s">
        <v>2037</v>
      </c>
      <c r="O941" s="33">
        <f>HYPERLINK("https://app.hubspot.com/contacts/8748051/record/0-3/18161130936", 18161130936)</f>
        <v>18161130936</v>
      </c>
      <c r="P941" s="24" t="s">
        <v>2035</v>
      </c>
      <c r="Q941" s="24" t="s">
        <v>73</v>
      </c>
      <c r="R941" s="24">
        <v>6500.0</v>
      </c>
      <c r="S941" s="34"/>
      <c r="T941" s="34" t="str">
        <f t="shared" ref="T941:V941" si="946">IF(G941&lt;&gt;"","Yes","")</f>
        <v>Yes</v>
      </c>
      <c r="U941" s="34" t="str">
        <f t="shared" si="946"/>
        <v>Yes</v>
      </c>
      <c r="V941" s="34" t="str">
        <f t="shared" si="946"/>
        <v>Yes</v>
      </c>
      <c r="W941" s="34" t="str">
        <f t="shared" si="3"/>
        <v/>
      </c>
      <c r="X941" s="24" t="str">
        <f t="shared" si="4"/>
        <v/>
      </c>
    </row>
    <row r="942" ht="14.25" customHeight="1">
      <c r="A942" s="33">
        <f>HYPERLINK("https://app.hubspot.com/contacts/8748051/record/0-1/3465701", 3465701)</f>
        <v>3465701</v>
      </c>
      <c r="B942" s="24" t="s">
        <v>5456</v>
      </c>
      <c r="C942" s="34"/>
      <c r="D942" s="24" t="s">
        <v>5457</v>
      </c>
      <c r="E942" s="28" t="s">
        <v>5458</v>
      </c>
      <c r="F942" s="34"/>
      <c r="G942" s="35">
        <v>45356.0</v>
      </c>
      <c r="H942" s="34"/>
      <c r="I942" s="34"/>
      <c r="J942" s="34"/>
      <c r="K942" s="34"/>
      <c r="L942" s="34"/>
      <c r="M942" s="33">
        <f>HYPERLINK("https://app.hubspot.com/contacts/8748051/record/0-2/19176706315", 19176706315)</f>
        <v>19176706315</v>
      </c>
      <c r="N942" s="24" t="s">
        <v>5459</v>
      </c>
      <c r="O942" s="34"/>
      <c r="P942" s="34"/>
      <c r="Q942" s="34"/>
      <c r="R942" s="34"/>
      <c r="S942" s="34"/>
      <c r="T942" s="34" t="str">
        <f t="shared" ref="T942:V942" si="947">IF(G942&lt;&gt;"","Yes","")</f>
        <v>Yes</v>
      </c>
      <c r="U942" s="34" t="str">
        <f t="shared" si="947"/>
        <v/>
      </c>
      <c r="V942" s="34" t="str">
        <f t="shared" si="947"/>
        <v/>
      </c>
      <c r="W942" s="34" t="str">
        <f t="shared" si="3"/>
        <v/>
      </c>
      <c r="X942" s="24" t="str">
        <f t="shared" si="4"/>
        <v/>
      </c>
    </row>
    <row r="943" ht="14.25" customHeight="1">
      <c r="A943" s="33">
        <f>HYPERLINK("https://app.hubspot.com/contacts/8748051/record/0-1/3468201", 3468201)</f>
        <v>3468201</v>
      </c>
      <c r="B943" s="24" t="s">
        <v>5460</v>
      </c>
      <c r="C943" s="34"/>
      <c r="D943" s="24" t="s">
        <v>5461</v>
      </c>
      <c r="E943" s="28" t="s">
        <v>5462</v>
      </c>
      <c r="F943" s="34"/>
      <c r="G943" s="35">
        <v>45356.0</v>
      </c>
      <c r="H943" s="34"/>
      <c r="I943" s="34"/>
      <c r="J943" s="34"/>
      <c r="K943" s="34"/>
      <c r="L943" s="34"/>
      <c r="M943" s="33">
        <f>HYPERLINK("https://app.hubspot.com/contacts/8748051/record/0-2/19176303192", 19176303192)</f>
        <v>19176303192</v>
      </c>
      <c r="N943" s="24" t="s">
        <v>5463</v>
      </c>
      <c r="O943" s="34"/>
      <c r="P943" s="34"/>
      <c r="Q943" s="34"/>
      <c r="R943" s="34"/>
      <c r="S943" s="34"/>
      <c r="T943" s="34" t="str">
        <f t="shared" ref="T943:V943" si="948">IF(G943&lt;&gt;"","Yes","")</f>
        <v>Yes</v>
      </c>
      <c r="U943" s="34" t="str">
        <f t="shared" si="948"/>
        <v/>
      </c>
      <c r="V943" s="34" t="str">
        <f t="shared" si="948"/>
        <v/>
      </c>
      <c r="W943" s="34" t="str">
        <f t="shared" si="3"/>
        <v/>
      </c>
      <c r="X943" s="24" t="str">
        <f t="shared" si="4"/>
        <v/>
      </c>
    </row>
    <row r="944" ht="14.25" customHeight="1">
      <c r="A944" s="33">
        <f>HYPERLINK("https://app.hubspot.com/contacts/8748051/record/0-1/3468451", 3468451)</f>
        <v>3468451</v>
      </c>
      <c r="B944" s="24" t="s">
        <v>5464</v>
      </c>
      <c r="C944" s="34"/>
      <c r="D944" s="24" t="s">
        <v>5465</v>
      </c>
      <c r="E944" s="28" t="s">
        <v>5466</v>
      </c>
      <c r="F944" s="34"/>
      <c r="G944" s="35">
        <v>45359.0</v>
      </c>
      <c r="H944" s="34"/>
      <c r="I944" s="34"/>
      <c r="J944" s="34"/>
      <c r="K944" s="34"/>
      <c r="L944" s="34"/>
      <c r="M944" s="33">
        <f>HYPERLINK("https://app.hubspot.com/contacts/8748051/record/0-2/9238363021", 9238363021)</f>
        <v>9238363021</v>
      </c>
      <c r="N944" s="24" t="s">
        <v>5467</v>
      </c>
      <c r="O944" s="34"/>
      <c r="P944" s="34"/>
      <c r="Q944" s="34"/>
      <c r="R944" s="34"/>
      <c r="S944" s="34"/>
      <c r="T944" s="34" t="str">
        <f t="shared" ref="T944:V944" si="949">IF(G944&lt;&gt;"","Yes","")</f>
        <v>Yes</v>
      </c>
      <c r="U944" s="34" t="str">
        <f t="shared" si="949"/>
        <v/>
      </c>
      <c r="V944" s="34" t="str">
        <f t="shared" si="949"/>
        <v/>
      </c>
      <c r="W944" s="34" t="str">
        <f t="shared" si="3"/>
        <v/>
      </c>
      <c r="X944" s="24" t="str">
        <f t="shared" si="4"/>
        <v/>
      </c>
    </row>
    <row r="945" ht="14.25" customHeight="1">
      <c r="A945" s="33">
        <f>HYPERLINK("https://app.hubspot.com/contacts/8748051/record/0-1/3469401", 3469401)</f>
        <v>3469401</v>
      </c>
      <c r="B945" s="24" t="s">
        <v>5468</v>
      </c>
      <c r="C945" s="34"/>
      <c r="D945" s="24" t="s">
        <v>5469</v>
      </c>
      <c r="E945" s="28" t="s">
        <v>5470</v>
      </c>
      <c r="F945" s="34"/>
      <c r="G945" s="35">
        <v>45357.0</v>
      </c>
      <c r="H945" s="34"/>
      <c r="I945" s="34"/>
      <c r="J945" s="34"/>
      <c r="K945" s="34"/>
      <c r="L945" s="34"/>
      <c r="M945" s="33">
        <f>HYPERLINK("https://app.hubspot.com/contacts/8748051/record/0-2/19176524566", 19176524566)</f>
        <v>19176524566</v>
      </c>
      <c r="N945" s="28" t="s">
        <v>5471</v>
      </c>
      <c r="O945" s="34"/>
      <c r="P945" s="34"/>
      <c r="Q945" s="34"/>
      <c r="R945" s="34"/>
      <c r="S945" s="34"/>
      <c r="T945" s="34" t="str">
        <f t="shared" ref="T945:V945" si="950">IF(G945&lt;&gt;"","Yes","")</f>
        <v>Yes</v>
      </c>
      <c r="U945" s="34" t="str">
        <f t="shared" si="950"/>
        <v/>
      </c>
      <c r="V945" s="34" t="str">
        <f t="shared" si="950"/>
        <v/>
      </c>
      <c r="W945" s="34" t="str">
        <f t="shared" si="3"/>
        <v/>
      </c>
      <c r="X945" s="24" t="str">
        <f t="shared" si="4"/>
        <v/>
      </c>
    </row>
    <row r="946" ht="14.25" customHeight="1">
      <c r="A946" s="33">
        <f>HYPERLINK("https://app.hubspot.com/contacts/8748051/record/0-1/3472901", 3472901)</f>
        <v>3472901</v>
      </c>
      <c r="B946" s="24" t="s">
        <v>5472</v>
      </c>
      <c r="C946" s="34"/>
      <c r="D946" s="24" t="s">
        <v>5473</v>
      </c>
      <c r="E946" s="28" t="s">
        <v>5474</v>
      </c>
      <c r="F946" s="34"/>
      <c r="G946" s="35">
        <v>45383.0</v>
      </c>
      <c r="H946" s="34"/>
      <c r="I946" s="34"/>
      <c r="J946" s="34"/>
      <c r="K946" s="34"/>
      <c r="L946" s="34"/>
      <c r="M946" s="33">
        <f>HYPERLINK("https://app.hubspot.com/contacts/8748051/record/0-2/9793712736", 9793712736)</f>
        <v>9793712736</v>
      </c>
      <c r="N946" s="24" t="s">
        <v>5475</v>
      </c>
      <c r="O946" s="34"/>
      <c r="P946" s="34"/>
      <c r="Q946" s="34"/>
      <c r="R946" s="34"/>
      <c r="S946" s="34"/>
      <c r="T946" s="34" t="str">
        <f t="shared" ref="T946:V946" si="951">IF(G946&lt;&gt;"","Yes","")</f>
        <v>Yes</v>
      </c>
      <c r="U946" s="34" t="str">
        <f t="shared" si="951"/>
        <v/>
      </c>
      <c r="V946" s="34" t="str">
        <f t="shared" si="951"/>
        <v/>
      </c>
      <c r="W946" s="34" t="str">
        <f t="shared" si="3"/>
        <v/>
      </c>
      <c r="X946" s="24" t="str">
        <f t="shared" si="4"/>
        <v/>
      </c>
    </row>
    <row r="947" ht="14.25" customHeight="1">
      <c r="A947" s="33">
        <f>HYPERLINK("https://app.hubspot.com/contacts/8748051/record/0-1/3475451", 3475451)</f>
        <v>3475451</v>
      </c>
      <c r="B947" s="24" t="s">
        <v>5476</v>
      </c>
      <c r="C947" s="34"/>
      <c r="D947" s="24" t="s">
        <v>5477</v>
      </c>
      <c r="E947" s="28" t="s">
        <v>5478</v>
      </c>
      <c r="F947" s="34"/>
      <c r="G947" s="35">
        <v>45435.0</v>
      </c>
      <c r="H947" s="34"/>
      <c r="I947" s="34"/>
      <c r="J947" s="34"/>
      <c r="K947" s="34"/>
      <c r="L947" s="34"/>
      <c r="M947" s="33">
        <f>HYPERLINK("https://app.hubspot.com/contacts/8748051/record/0-2/9085753405", 9085753405)</f>
        <v>9085753405</v>
      </c>
      <c r="N947" s="24" t="s">
        <v>5479</v>
      </c>
      <c r="O947" s="34"/>
      <c r="P947" s="34"/>
      <c r="Q947" s="34"/>
      <c r="R947" s="34"/>
      <c r="S947" s="34"/>
      <c r="T947" s="34" t="str">
        <f t="shared" ref="T947:V947" si="952">IF(G947&lt;&gt;"","Yes","")</f>
        <v>Yes</v>
      </c>
      <c r="U947" s="34" t="str">
        <f t="shared" si="952"/>
        <v/>
      </c>
      <c r="V947" s="34" t="str">
        <f t="shared" si="952"/>
        <v/>
      </c>
      <c r="W947" s="34" t="str">
        <f t="shared" si="3"/>
        <v/>
      </c>
      <c r="X947" s="24" t="str">
        <f t="shared" si="4"/>
        <v/>
      </c>
    </row>
    <row r="948" ht="14.25" customHeight="1">
      <c r="A948" s="33">
        <f>HYPERLINK("https://app.hubspot.com/contacts/8748051/record/0-1/3476001", 3476001)</f>
        <v>3476001</v>
      </c>
      <c r="B948" s="24" t="s">
        <v>5480</v>
      </c>
      <c r="C948" s="34"/>
      <c r="D948" s="24" t="s">
        <v>5481</v>
      </c>
      <c r="E948" s="28" t="s">
        <v>5482</v>
      </c>
      <c r="F948" s="34"/>
      <c r="G948" s="35">
        <v>45370.0</v>
      </c>
      <c r="H948" s="34"/>
      <c r="I948" s="34"/>
      <c r="J948" s="34"/>
      <c r="K948" s="34"/>
      <c r="L948" s="34"/>
      <c r="M948" s="33">
        <f>HYPERLINK("https://app.hubspot.com/contacts/8748051/record/0-2/9174479713", 9174479713)</f>
        <v>9174479713</v>
      </c>
      <c r="N948" s="24" t="s">
        <v>5483</v>
      </c>
      <c r="O948" s="34"/>
      <c r="P948" s="34"/>
      <c r="Q948" s="34"/>
      <c r="R948" s="34"/>
      <c r="S948" s="34"/>
      <c r="T948" s="34" t="str">
        <f t="shared" ref="T948:V948" si="953">IF(G948&lt;&gt;"","Yes","")</f>
        <v>Yes</v>
      </c>
      <c r="U948" s="34" t="str">
        <f t="shared" si="953"/>
        <v/>
      </c>
      <c r="V948" s="34" t="str">
        <f t="shared" si="953"/>
        <v/>
      </c>
      <c r="W948" s="34" t="str">
        <f t="shared" si="3"/>
        <v/>
      </c>
      <c r="X948" s="24" t="str">
        <f t="shared" si="4"/>
        <v/>
      </c>
    </row>
    <row r="949" ht="14.25" customHeight="1">
      <c r="A949" s="33">
        <f>HYPERLINK("https://app.hubspot.com/contacts/8748051/record/0-1/3482301", 3482301)</f>
        <v>3482301</v>
      </c>
      <c r="B949" s="24" t="s">
        <v>5484</v>
      </c>
      <c r="C949" s="34"/>
      <c r="D949" s="24" t="s">
        <v>5485</v>
      </c>
      <c r="E949" s="28" t="s">
        <v>1854</v>
      </c>
      <c r="F949" s="34"/>
      <c r="G949" s="35">
        <v>45400.0</v>
      </c>
      <c r="H949" s="35">
        <v>45401.0</v>
      </c>
      <c r="I949" s="35">
        <v>45401.0</v>
      </c>
      <c r="J949" s="34"/>
      <c r="K949" s="34"/>
      <c r="L949" s="34"/>
      <c r="M949" s="33">
        <f>HYPERLINK("https://app.hubspot.com/contacts/8748051/record/0-2/18832134671", 18832134671)</f>
        <v>18832134671</v>
      </c>
      <c r="N949" s="24" t="s">
        <v>1853</v>
      </c>
      <c r="O949" s="33">
        <f>HYPERLINK("https://app.hubspot.com/contacts/8748051/record/0-3/18729240990", 18729240990)</f>
        <v>18729240990</v>
      </c>
      <c r="P949" s="24" t="s">
        <v>1852</v>
      </c>
      <c r="Q949" s="24" t="s">
        <v>73</v>
      </c>
      <c r="R949" s="24">
        <v>4560.0</v>
      </c>
      <c r="S949" s="34"/>
      <c r="T949" s="34" t="str">
        <f t="shared" ref="T949:V949" si="954">IF(G949&lt;&gt;"","Yes","")</f>
        <v>Yes</v>
      </c>
      <c r="U949" s="34" t="str">
        <f t="shared" si="954"/>
        <v>Yes</v>
      </c>
      <c r="V949" s="34" t="str">
        <f t="shared" si="954"/>
        <v>Yes</v>
      </c>
      <c r="W949" s="34" t="str">
        <f t="shared" si="3"/>
        <v/>
      </c>
      <c r="X949" s="24" t="str">
        <f t="shared" si="4"/>
        <v/>
      </c>
    </row>
    <row r="950" ht="14.25" customHeight="1">
      <c r="A950" s="33">
        <f>HYPERLINK("https://app.hubspot.com/contacts/8748051/record/0-1/3488851", 3488851)</f>
        <v>3488851</v>
      </c>
      <c r="B950" s="24" t="s">
        <v>5486</v>
      </c>
      <c r="C950" s="34"/>
      <c r="D950" s="24" t="s">
        <v>5487</v>
      </c>
      <c r="E950" s="28" t="s">
        <v>745</v>
      </c>
      <c r="F950" s="34"/>
      <c r="G950" s="35">
        <v>45359.0</v>
      </c>
      <c r="H950" s="35">
        <v>45363.0</v>
      </c>
      <c r="I950" s="35">
        <v>45363.0</v>
      </c>
      <c r="J950" s="34"/>
      <c r="K950" s="34"/>
      <c r="L950" s="34"/>
      <c r="M950" s="33">
        <f>HYPERLINK("https://app.hubspot.com/contacts/8748051/record/0-2/9960253283", 9960253283)</f>
        <v>9960253283</v>
      </c>
      <c r="N950" s="24" t="s">
        <v>744</v>
      </c>
      <c r="O950" s="33">
        <f>HYPERLINK("https://app.hubspot.com/contacts/8748051/record/0-3/17975800861", 17975800861)</f>
        <v>17975800861</v>
      </c>
      <c r="P950" s="24" t="s">
        <v>2124</v>
      </c>
      <c r="Q950" s="24" t="s">
        <v>73</v>
      </c>
      <c r="R950" s="24">
        <v>67200.0</v>
      </c>
      <c r="S950" s="34"/>
      <c r="T950" s="34" t="str">
        <f t="shared" ref="T950:V950" si="955">IF(G950&lt;&gt;"","Yes","")</f>
        <v>Yes</v>
      </c>
      <c r="U950" s="34" t="str">
        <f t="shared" si="955"/>
        <v>Yes</v>
      </c>
      <c r="V950" s="34" t="str">
        <f t="shared" si="955"/>
        <v>Yes</v>
      </c>
      <c r="W950" s="34" t="str">
        <f t="shared" si="3"/>
        <v/>
      </c>
      <c r="X950" s="24" t="str">
        <f t="shared" si="4"/>
        <v/>
      </c>
    </row>
    <row r="951" ht="14.25" customHeight="1">
      <c r="A951" s="33">
        <f>HYPERLINK("https://app.hubspot.com/contacts/8748051/record/0-1/3491851", 3491851)</f>
        <v>3491851</v>
      </c>
      <c r="B951" s="24" t="s">
        <v>5488</v>
      </c>
      <c r="C951" s="34"/>
      <c r="D951" s="24" t="s">
        <v>5366</v>
      </c>
      <c r="E951" s="28" t="s">
        <v>5489</v>
      </c>
      <c r="F951" s="34"/>
      <c r="G951" s="35">
        <v>45331.0</v>
      </c>
      <c r="H951" s="34"/>
      <c r="I951" s="34"/>
      <c r="J951" s="34"/>
      <c r="K951" s="34"/>
      <c r="L951" s="34"/>
      <c r="M951" s="33">
        <f>HYPERLINK("https://app.hubspot.com/contacts/8748051/record/0-2/18382697347", 18382697347)</f>
        <v>18382697347</v>
      </c>
      <c r="N951" s="24" t="s">
        <v>5490</v>
      </c>
      <c r="O951" s="34"/>
      <c r="P951" s="34"/>
      <c r="Q951" s="34"/>
      <c r="R951" s="34"/>
      <c r="S951" s="34"/>
      <c r="T951" s="34" t="str">
        <f t="shared" ref="T951:V951" si="956">IF(G951&lt;&gt;"","Yes","")</f>
        <v>Yes</v>
      </c>
      <c r="U951" s="34" t="str">
        <f t="shared" si="956"/>
        <v/>
      </c>
      <c r="V951" s="34" t="str">
        <f t="shared" si="956"/>
        <v/>
      </c>
      <c r="W951" s="34" t="str">
        <f t="shared" si="3"/>
        <v/>
      </c>
      <c r="X951" s="24" t="str">
        <f t="shared" si="4"/>
        <v/>
      </c>
    </row>
    <row r="952" ht="14.25" customHeight="1">
      <c r="A952" s="33">
        <f>HYPERLINK("https://app.hubspot.com/contacts/8748051/record/0-1/3492801", 3492801)</f>
        <v>3492801</v>
      </c>
      <c r="B952" s="24" t="s">
        <v>5491</v>
      </c>
      <c r="C952" s="34"/>
      <c r="D952" s="24" t="s">
        <v>5492</v>
      </c>
      <c r="E952" s="28" t="s">
        <v>2106</v>
      </c>
      <c r="F952" s="34"/>
      <c r="G952" s="35">
        <v>45359.0</v>
      </c>
      <c r="H952" s="35">
        <v>45370.0</v>
      </c>
      <c r="I952" s="35">
        <v>45370.0</v>
      </c>
      <c r="J952" s="34"/>
      <c r="K952" s="34"/>
      <c r="L952" s="34"/>
      <c r="M952" s="33">
        <f>HYPERLINK("https://app.hubspot.com/contacts/8748051/record/0-2/19176228613", 19176228613)</f>
        <v>19176228613</v>
      </c>
      <c r="N952" s="24" t="s">
        <v>2105</v>
      </c>
      <c r="O952" s="33">
        <f>HYPERLINK("https://app.hubspot.com/contacts/8748051/record/0-3/18013264969", 18013264969)</f>
        <v>18013264969</v>
      </c>
      <c r="P952" s="24" t="s">
        <v>2104</v>
      </c>
      <c r="Q952" s="24" t="s">
        <v>73</v>
      </c>
      <c r="R952" s="24">
        <v>3840.0</v>
      </c>
      <c r="S952" s="34"/>
      <c r="T952" s="34" t="str">
        <f t="shared" ref="T952:V952" si="957">IF(G952&lt;&gt;"","Yes","")</f>
        <v>Yes</v>
      </c>
      <c r="U952" s="34" t="str">
        <f t="shared" si="957"/>
        <v>Yes</v>
      </c>
      <c r="V952" s="34" t="str">
        <f t="shared" si="957"/>
        <v>Yes</v>
      </c>
      <c r="W952" s="34" t="str">
        <f t="shared" si="3"/>
        <v/>
      </c>
      <c r="X952" s="24" t="str">
        <f t="shared" si="4"/>
        <v/>
      </c>
    </row>
    <row r="953" ht="14.25" customHeight="1">
      <c r="A953" s="33">
        <f>HYPERLINK("https://app.hubspot.com/contacts/8748051/record/0-1/3503251", 3503251)</f>
        <v>3503251</v>
      </c>
      <c r="B953" s="24" t="s">
        <v>5493</v>
      </c>
      <c r="C953" s="34"/>
      <c r="D953" s="24" t="s">
        <v>5494</v>
      </c>
      <c r="E953" s="28" t="s">
        <v>2091</v>
      </c>
      <c r="F953" s="34"/>
      <c r="G953" s="35">
        <v>45362.0</v>
      </c>
      <c r="H953" s="35">
        <v>45365.0</v>
      </c>
      <c r="I953" s="35">
        <v>45365.0</v>
      </c>
      <c r="J953" s="34"/>
      <c r="K953" s="34"/>
      <c r="L953" s="34"/>
      <c r="M953" s="33">
        <f>HYPERLINK("https://app.hubspot.com/contacts/8748051/record/0-2/19176594784", 19176594784)</f>
        <v>19176594784</v>
      </c>
      <c r="N953" s="24" t="s">
        <v>2090</v>
      </c>
      <c r="O953" s="33">
        <f>HYPERLINK("https://app.hubspot.com/contacts/8748051/record/0-3/18023307441", 18023307441)</f>
        <v>18023307441</v>
      </c>
      <c r="P953" s="24" t="s">
        <v>2089</v>
      </c>
      <c r="Q953" s="24" t="s">
        <v>73</v>
      </c>
      <c r="R953" s="24">
        <v>10320.0</v>
      </c>
      <c r="S953" s="34"/>
      <c r="T953" s="34" t="str">
        <f t="shared" ref="T953:V953" si="958">IF(G953&lt;&gt;"","Yes","")</f>
        <v>Yes</v>
      </c>
      <c r="U953" s="34" t="str">
        <f t="shared" si="958"/>
        <v>Yes</v>
      </c>
      <c r="V953" s="34" t="str">
        <f t="shared" si="958"/>
        <v>Yes</v>
      </c>
      <c r="W953" s="34" t="str">
        <f t="shared" si="3"/>
        <v/>
      </c>
      <c r="X953" s="24" t="str">
        <f t="shared" si="4"/>
        <v/>
      </c>
    </row>
    <row r="954" ht="14.25" customHeight="1">
      <c r="A954" s="33">
        <f>HYPERLINK("https://app.hubspot.com/contacts/8748051/record/0-1/3503701", 3503701)</f>
        <v>3503701</v>
      </c>
      <c r="B954" s="24" t="s">
        <v>5495</v>
      </c>
      <c r="C954" s="34"/>
      <c r="D954" s="24" t="s">
        <v>5496</v>
      </c>
      <c r="E954" s="28" t="s">
        <v>5497</v>
      </c>
      <c r="F954" s="34"/>
      <c r="G954" s="35">
        <v>45362.0</v>
      </c>
      <c r="H954" s="34"/>
      <c r="I954" s="34"/>
      <c r="J954" s="34"/>
      <c r="K954" s="34"/>
      <c r="L954" s="34"/>
      <c r="M954" s="33">
        <f>HYPERLINK("https://app.hubspot.com/contacts/8748051/record/0-2/19176716148", 19176716148)</f>
        <v>19176716148</v>
      </c>
      <c r="N954" s="24" t="s">
        <v>5498</v>
      </c>
      <c r="O954" s="34"/>
      <c r="P954" s="34"/>
      <c r="Q954" s="34"/>
      <c r="R954" s="34"/>
      <c r="S954" s="34"/>
      <c r="T954" s="34" t="str">
        <f t="shared" ref="T954:V954" si="959">IF(G954&lt;&gt;"","Yes","")</f>
        <v>Yes</v>
      </c>
      <c r="U954" s="34" t="str">
        <f t="shared" si="959"/>
        <v/>
      </c>
      <c r="V954" s="34" t="str">
        <f t="shared" si="959"/>
        <v/>
      </c>
      <c r="W954" s="34" t="str">
        <f t="shared" si="3"/>
        <v/>
      </c>
      <c r="X954" s="24" t="str">
        <f t="shared" si="4"/>
        <v/>
      </c>
    </row>
    <row r="955" ht="14.25" customHeight="1">
      <c r="A955" s="33">
        <f>HYPERLINK("https://app.hubspot.com/contacts/8748051/record/0-1/3506301", 3506301)</f>
        <v>3506301</v>
      </c>
      <c r="B955" s="24" t="s">
        <v>5499</v>
      </c>
      <c r="C955" s="34"/>
      <c r="D955" s="24" t="s">
        <v>5500</v>
      </c>
      <c r="E955" s="28" t="s">
        <v>2068</v>
      </c>
      <c r="F955" s="34"/>
      <c r="G955" s="35">
        <v>45362.0</v>
      </c>
      <c r="H955" s="35">
        <v>45371.0</v>
      </c>
      <c r="I955" s="35">
        <v>45371.0</v>
      </c>
      <c r="J955" s="34"/>
      <c r="K955" s="34"/>
      <c r="L955" s="34"/>
      <c r="M955" s="33">
        <f>HYPERLINK("https://app.hubspot.com/contacts/8748051/record/0-2/8920275369", 8920275369)</f>
        <v>8920275369</v>
      </c>
      <c r="N955" s="24" t="s">
        <v>2067</v>
      </c>
      <c r="O955" s="33">
        <f>HYPERLINK("https://app.hubspot.com/contacts/8748051/record/0-3/18094342834", 18094342834)</f>
        <v>18094342834</v>
      </c>
      <c r="P955" s="24" t="s">
        <v>2066</v>
      </c>
      <c r="Q955" s="24" t="s">
        <v>73</v>
      </c>
      <c r="R955" s="24">
        <v>10800.0</v>
      </c>
      <c r="S955" s="34"/>
      <c r="T955" s="34" t="str">
        <f t="shared" ref="T955:V955" si="960">IF(G955&lt;&gt;"","Yes","")</f>
        <v>Yes</v>
      </c>
      <c r="U955" s="34" t="str">
        <f t="shared" si="960"/>
        <v>Yes</v>
      </c>
      <c r="V955" s="34" t="str">
        <f t="shared" si="960"/>
        <v>Yes</v>
      </c>
      <c r="W955" s="34" t="str">
        <f t="shared" si="3"/>
        <v/>
      </c>
      <c r="X955" s="24" t="str">
        <f t="shared" si="4"/>
        <v/>
      </c>
    </row>
    <row r="956" ht="14.25" customHeight="1">
      <c r="A956" s="33">
        <f>HYPERLINK("https://app.hubspot.com/contacts/8748051/record/0-1/3511101", 3511101)</f>
        <v>3511101</v>
      </c>
      <c r="B956" s="24" t="s">
        <v>5501</v>
      </c>
      <c r="C956" s="34"/>
      <c r="D956" s="24" t="s">
        <v>5502</v>
      </c>
      <c r="E956" s="28" t="s">
        <v>5503</v>
      </c>
      <c r="F956" s="34"/>
      <c r="G956" s="35">
        <v>45363.0</v>
      </c>
      <c r="H956" s="34"/>
      <c r="I956" s="34"/>
      <c r="J956" s="34"/>
      <c r="K956" s="34"/>
      <c r="L956" s="34"/>
      <c r="M956" s="33">
        <f>HYPERLINK("https://app.hubspot.com/contacts/8748051/record/0-2/18832152703", 18832152703)</f>
        <v>18832152703</v>
      </c>
      <c r="N956" s="24" t="s">
        <v>5504</v>
      </c>
      <c r="O956" s="34"/>
      <c r="P956" s="34"/>
      <c r="Q956" s="34"/>
      <c r="R956" s="34"/>
      <c r="S956" s="34"/>
      <c r="T956" s="34" t="str">
        <f t="shared" ref="T956:V956" si="961">IF(G956&lt;&gt;"","Yes","")</f>
        <v>Yes</v>
      </c>
      <c r="U956" s="34" t="str">
        <f t="shared" si="961"/>
        <v/>
      </c>
      <c r="V956" s="34" t="str">
        <f t="shared" si="961"/>
        <v/>
      </c>
      <c r="W956" s="34" t="str">
        <f t="shared" si="3"/>
        <v/>
      </c>
      <c r="X956" s="24" t="str">
        <f t="shared" si="4"/>
        <v/>
      </c>
    </row>
    <row r="957" ht="14.25" customHeight="1">
      <c r="A957" s="33">
        <f>HYPERLINK("https://app.hubspot.com/contacts/8748051/record/0-1/3511251", 3511251)</f>
        <v>3511251</v>
      </c>
      <c r="B957" s="24" t="s">
        <v>5505</v>
      </c>
      <c r="C957" s="34"/>
      <c r="D957" s="24" t="s">
        <v>5506</v>
      </c>
      <c r="E957" s="28" t="s">
        <v>2075</v>
      </c>
      <c r="F957" s="34"/>
      <c r="G957" s="35">
        <v>45363.0</v>
      </c>
      <c r="H957" s="35">
        <v>45372.0</v>
      </c>
      <c r="I957" s="35">
        <v>45372.0</v>
      </c>
      <c r="J957" s="34"/>
      <c r="K957" s="34"/>
      <c r="L957" s="34"/>
      <c r="M957" s="33">
        <f>HYPERLINK("https://app.hubspot.com/contacts/8748051/record/0-2/8714365305", 8714365305)</f>
        <v>8714365305</v>
      </c>
      <c r="N957" s="24" t="s">
        <v>2074</v>
      </c>
      <c r="O957" s="33">
        <f>HYPERLINK("https://app.hubspot.com/contacts/8748051/record/0-3/18054714713", 18054714713)</f>
        <v>18054714713</v>
      </c>
      <c r="P957" s="24" t="s">
        <v>2073</v>
      </c>
      <c r="Q957" s="24" t="s">
        <v>73</v>
      </c>
      <c r="R957" s="24">
        <v>6960.0</v>
      </c>
      <c r="S957" s="34"/>
      <c r="T957" s="34" t="str">
        <f t="shared" ref="T957:V957" si="962">IF(G957&lt;&gt;"","Yes","")</f>
        <v>Yes</v>
      </c>
      <c r="U957" s="34" t="str">
        <f t="shared" si="962"/>
        <v>Yes</v>
      </c>
      <c r="V957" s="34" t="str">
        <f t="shared" si="962"/>
        <v>Yes</v>
      </c>
      <c r="W957" s="34" t="str">
        <f t="shared" si="3"/>
        <v/>
      </c>
      <c r="X957" s="24" t="str">
        <f t="shared" si="4"/>
        <v/>
      </c>
    </row>
    <row r="958" ht="14.25" customHeight="1">
      <c r="A958" s="33">
        <f>HYPERLINK("https://app.hubspot.com/contacts/8748051/record/0-1/3519001", 3519001)</f>
        <v>3519001</v>
      </c>
      <c r="B958" s="24" t="s">
        <v>5507</v>
      </c>
      <c r="C958" s="34"/>
      <c r="D958" s="24" t="s">
        <v>5508</v>
      </c>
      <c r="E958" s="28" t="s">
        <v>5509</v>
      </c>
      <c r="F958" s="24" t="s">
        <v>4253</v>
      </c>
      <c r="G958" s="34"/>
      <c r="H958" s="34"/>
      <c r="I958" s="34"/>
      <c r="J958" s="34"/>
      <c r="K958" s="34"/>
      <c r="L958" s="34"/>
      <c r="M958" s="33">
        <f>HYPERLINK("https://app.hubspot.com/contacts/8748051/record/0-2/8341442344", 8341442344)</f>
        <v>8341442344</v>
      </c>
      <c r="N958" s="24" t="s">
        <v>5510</v>
      </c>
      <c r="O958" s="34"/>
      <c r="P958" s="34"/>
      <c r="Q958" s="34"/>
      <c r="R958" s="34"/>
      <c r="S958" s="34"/>
      <c r="T958" s="34" t="str">
        <f t="shared" ref="T958:V958" si="963">IF(G958&lt;&gt;"","Yes","")</f>
        <v/>
      </c>
      <c r="U958" s="34" t="str">
        <f t="shared" si="963"/>
        <v/>
      </c>
      <c r="V958" s="34" t="str">
        <f t="shared" si="963"/>
        <v/>
      </c>
      <c r="W958" s="34" t="str">
        <f t="shared" si="3"/>
        <v/>
      </c>
      <c r="X958" s="24" t="str">
        <f t="shared" si="4"/>
        <v/>
      </c>
    </row>
    <row r="959" ht="14.25" customHeight="1">
      <c r="A959" s="33">
        <f>HYPERLINK("https://app.hubspot.com/contacts/8748051/record/0-1/3522851", 3522851)</f>
        <v>3522851</v>
      </c>
      <c r="B959" s="24" t="s">
        <v>5511</v>
      </c>
      <c r="C959" s="34"/>
      <c r="D959" s="24" t="s">
        <v>5512</v>
      </c>
      <c r="E959" s="28" t="s">
        <v>5513</v>
      </c>
      <c r="F959" s="34"/>
      <c r="G959" s="35">
        <v>45365.0</v>
      </c>
      <c r="H959" s="34"/>
      <c r="I959" s="34"/>
      <c r="J959" s="34"/>
      <c r="K959" s="34"/>
      <c r="L959" s="34"/>
      <c r="M959" s="33">
        <f>HYPERLINK("https://app.hubspot.com/contacts/8748051/record/0-2/16066089358", 16066089358)</f>
        <v>16066089358</v>
      </c>
      <c r="N959" s="24" t="s">
        <v>5514</v>
      </c>
      <c r="O959" s="34"/>
      <c r="P959" s="34"/>
      <c r="Q959" s="34"/>
      <c r="R959" s="34"/>
      <c r="S959" s="34"/>
      <c r="T959" s="34" t="str">
        <f t="shared" ref="T959:V959" si="964">IF(G959&lt;&gt;"","Yes","")</f>
        <v>Yes</v>
      </c>
      <c r="U959" s="34" t="str">
        <f t="shared" si="964"/>
        <v/>
      </c>
      <c r="V959" s="34" t="str">
        <f t="shared" si="964"/>
        <v/>
      </c>
      <c r="W959" s="34" t="str">
        <f t="shared" si="3"/>
        <v/>
      </c>
      <c r="X959" s="24" t="str">
        <f t="shared" si="4"/>
        <v/>
      </c>
    </row>
    <row r="960" ht="14.25" customHeight="1">
      <c r="A960" s="33">
        <f>HYPERLINK("https://app.hubspot.com/contacts/8748051/record/0-1/3530901", 3530901)</f>
        <v>3530901</v>
      </c>
      <c r="B960" s="24" t="s">
        <v>5515</v>
      </c>
      <c r="C960" s="34"/>
      <c r="D960" s="24" t="s">
        <v>5516</v>
      </c>
      <c r="E960" s="28" t="s">
        <v>5517</v>
      </c>
      <c r="F960" s="34"/>
      <c r="G960" s="35">
        <v>45390.0</v>
      </c>
      <c r="H960" s="34"/>
      <c r="I960" s="34"/>
      <c r="J960" s="34"/>
      <c r="K960" s="34"/>
      <c r="L960" s="34"/>
      <c r="M960" s="33">
        <f>HYPERLINK("https://app.hubspot.com/contacts/8748051/record/0-2/9237584550", 9237584550)</f>
        <v>9237584550</v>
      </c>
      <c r="N960" s="24" t="s">
        <v>5518</v>
      </c>
      <c r="O960" s="34"/>
      <c r="P960" s="34"/>
      <c r="Q960" s="34"/>
      <c r="R960" s="34"/>
      <c r="S960" s="34"/>
      <c r="T960" s="34" t="str">
        <f t="shared" ref="T960:V960" si="965">IF(G960&lt;&gt;"","Yes","")</f>
        <v>Yes</v>
      </c>
      <c r="U960" s="34" t="str">
        <f t="shared" si="965"/>
        <v/>
      </c>
      <c r="V960" s="34" t="str">
        <f t="shared" si="965"/>
        <v/>
      </c>
      <c r="W960" s="34" t="str">
        <f t="shared" si="3"/>
        <v/>
      </c>
      <c r="X960" s="24" t="str">
        <f t="shared" si="4"/>
        <v/>
      </c>
    </row>
    <row r="961" ht="14.25" customHeight="1">
      <c r="A961" s="33">
        <f>HYPERLINK("https://app.hubspot.com/contacts/8748051/record/0-1/3532501", 3532501)</f>
        <v>3532501</v>
      </c>
      <c r="B961" s="24" t="s">
        <v>5519</v>
      </c>
      <c r="C961" s="34"/>
      <c r="D961" s="24" t="s">
        <v>5520</v>
      </c>
      <c r="E961" s="28" t="s">
        <v>2053</v>
      </c>
      <c r="F961" s="34"/>
      <c r="G961" s="35">
        <v>45366.0</v>
      </c>
      <c r="H961" s="35">
        <v>45371.0</v>
      </c>
      <c r="I961" s="35">
        <v>45371.0</v>
      </c>
      <c r="J961" s="34"/>
      <c r="K961" s="34"/>
      <c r="L961" s="34"/>
      <c r="M961" s="33">
        <f>HYPERLINK("https://app.hubspot.com/contacts/8748051/record/0-2/10013686893", 10013686893)</f>
        <v>10013686893</v>
      </c>
      <c r="N961" s="24" t="s">
        <v>2052</v>
      </c>
      <c r="O961" s="33">
        <f>HYPERLINK("https://app.hubspot.com/contacts/8748051/record/0-3/18123525024", 18123525024)</f>
        <v>18123525024</v>
      </c>
      <c r="P961" s="24" t="s">
        <v>2051</v>
      </c>
      <c r="Q961" s="24" t="s">
        <v>73</v>
      </c>
      <c r="R961" s="24">
        <v>9120.0</v>
      </c>
      <c r="S961" s="34"/>
      <c r="T961" s="34" t="str">
        <f t="shared" ref="T961:V961" si="966">IF(G961&lt;&gt;"","Yes","")</f>
        <v>Yes</v>
      </c>
      <c r="U961" s="34" t="str">
        <f t="shared" si="966"/>
        <v>Yes</v>
      </c>
      <c r="V961" s="34" t="str">
        <f t="shared" si="966"/>
        <v>Yes</v>
      </c>
      <c r="W961" s="34" t="str">
        <f t="shared" si="3"/>
        <v/>
      </c>
      <c r="X961" s="24" t="str">
        <f t="shared" si="4"/>
        <v/>
      </c>
    </row>
    <row r="962" ht="14.25" customHeight="1">
      <c r="A962" s="33">
        <f>HYPERLINK("https://app.hubspot.com/contacts/8748051/record/0-1/3534351", 3534351)</f>
        <v>3534351</v>
      </c>
      <c r="B962" s="24" t="s">
        <v>5521</v>
      </c>
      <c r="C962" s="34"/>
      <c r="D962" s="24" t="s">
        <v>5522</v>
      </c>
      <c r="E962" s="28" t="s">
        <v>641</v>
      </c>
      <c r="F962" s="34"/>
      <c r="G962" s="35">
        <v>45369.0</v>
      </c>
      <c r="H962" s="34"/>
      <c r="I962" s="34"/>
      <c r="J962" s="34"/>
      <c r="K962" s="34"/>
      <c r="L962" s="34"/>
      <c r="M962" s="33">
        <f>HYPERLINK("https://app.hubspot.com/contacts/8748051/record/0-2/8955697984", 8955697984)</f>
        <v>8955697984</v>
      </c>
      <c r="N962" s="24" t="s">
        <v>640</v>
      </c>
      <c r="O962" s="34"/>
      <c r="P962" s="34"/>
      <c r="Q962" s="34"/>
      <c r="R962" s="34"/>
      <c r="S962" s="34"/>
      <c r="T962" s="34" t="str">
        <f t="shared" ref="T962:V962" si="967">IF(G962&lt;&gt;"","Yes","")</f>
        <v>Yes</v>
      </c>
      <c r="U962" s="34" t="str">
        <f t="shared" si="967"/>
        <v/>
      </c>
      <c r="V962" s="34" t="str">
        <f t="shared" si="967"/>
        <v/>
      </c>
      <c r="W962" s="34" t="str">
        <f t="shared" si="3"/>
        <v/>
      </c>
      <c r="X962" s="24" t="str">
        <f t="shared" si="4"/>
        <v/>
      </c>
    </row>
    <row r="963" ht="14.25" customHeight="1">
      <c r="A963" s="33">
        <f>HYPERLINK("https://app.hubspot.com/contacts/8748051/record/0-1/3535101", 3535101)</f>
        <v>3535101</v>
      </c>
      <c r="B963" s="24" t="s">
        <v>5523</v>
      </c>
      <c r="C963" s="34"/>
      <c r="D963" s="24" t="s">
        <v>5524</v>
      </c>
      <c r="E963" s="28" t="s">
        <v>2626</v>
      </c>
      <c r="F963" s="34"/>
      <c r="G963" s="35">
        <v>45384.0</v>
      </c>
      <c r="H963" s="34"/>
      <c r="I963" s="34"/>
      <c r="J963" s="34"/>
      <c r="K963" s="34"/>
      <c r="L963" s="34"/>
      <c r="M963" s="33">
        <f>HYPERLINK("https://app.hubspot.com/contacts/8748051/record/0-2/7946436488", 7946436488)</f>
        <v>7946436488</v>
      </c>
      <c r="N963" s="24" t="s">
        <v>2625</v>
      </c>
      <c r="O963" s="34"/>
      <c r="P963" s="34"/>
      <c r="Q963" s="34"/>
      <c r="R963" s="34"/>
      <c r="S963" s="34"/>
      <c r="T963" s="34" t="str">
        <f t="shared" ref="T963:V963" si="968">IF(G963&lt;&gt;"","Yes","")</f>
        <v>Yes</v>
      </c>
      <c r="U963" s="34" t="str">
        <f t="shared" si="968"/>
        <v/>
      </c>
      <c r="V963" s="34" t="str">
        <f t="shared" si="968"/>
        <v/>
      </c>
      <c r="W963" s="34" t="str">
        <f t="shared" si="3"/>
        <v/>
      </c>
      <c r="X963" s="24" t="str">
        <f t="shared" si="4"/>
        <v/>
      </c>
    </row>
    <row r="964" ht="14.25" customHeight="1">
      <c r="A964" s="33">
        <f>HYPERLINK("https://app.hubspot.com/contacts/8748051/record/0-1/3535901", 3535901)</f>
        <v>3535901</v>
      </c>
      <c r="B964" s="24" t="s">
        <v>5525</v>
      </c>
      <c r="C964" s="34"/>
      <c r="D964" s="24" t="s">
        <v>5526</v>
      </c>
      <c r="E964" s="28" t="s">
        <v>5527</v>
      </c>
      <c r="F964" s="34"/>
      <c r="G964" s="35">
        <v>45366.0</v>
      </c>
      <c r="H964" s="34"/>
      <c r="I964" s="34"/>
      <c r="J964" s="34"/>
      <c r="K964" s="34"/>
      <c r="L964" s="34"/>
      <c r="M964" s="33">
        <f>HYPERLINK("https://app.hubspot.com/contacts/8748051/record/0-2/9238257234", 9238257234)</f>
        <v>9238257234</v>
      </c>
      <c r="N964" s="24" t="s">
        <v>5528</v>
      </c>
      <c r="O964" s="34"/>
      <c r="P964" s="34"/>
      <c r="Q964" s="34"/>
      <c r="R964" s="34"/>
      <c r="S964" s="34"/>
      <c r="T964" s="34" t="str">
        <f t="shared" ref="T964:V964" si="969">IF(G964&lt;&gt;"","Yes","")</f>
        <v>Yes</v>
      </c>
      <c r="U964" s="34" t="str">
        <f t="shared" si="969"/>
        <v/>
      </c>
      <c r="V964" s="34" t="str">
        <f t="shared" si="969"/>
        <v/>
      </c>
      <c r="W964" s="34" t="str">
        <f t="shared" si="3"/>
        <v/>
      </c>
      <c r="X964" s="24" t="str">
        <f t="shared" si="4"/>
        <v/>
      </c>
    </row>
    <row r="965" ht="14.25" customHeight="1">
      <c r="A965" s="33">
        <f>HYPERLINK("https://app.hubspot.com/contacts/8748051/record/0-1/3540501", 3540501)</f>
        <v>3540501</v>
      </c>
      <c r="B965" s="24" t="s">
        <v>5529</v>
      </c>
      <c r="C965" s="34"/>
      <c r="D965" s="24" t="s">
        <v>5530</v>
      </c>
      <c r="E965" s="28" t="s">
        <v>5531</v>
      </c>
      <c r="F965" s="24" t="s">
        <v>4253</v>
      </c>
      <c r="G965" s="34"/>
      <c r="H965" s="34"/>
      <c r="I965" s="34"/>
      <c r="J965" s="34"/>
      <c r="K965" s="34"/>
      <c r="L965" s="34"/>
      <c r="M965" s="33">
        <f>HYPERLINK("https://app.hubspot.com/contacts/8748051/record/0-2/18382828890", 18382828890)</f>
        <v>18382828890</v>
      </c>
      <c r="N965" s="24" t="s">
        <v>5532</v>
      </c>
      <c r="O965" s="34"/>
      <c r="P965" s="34"/>
      <c r="Q965" s="34"/>
      <c r="R965" s="34"/>
      <c r="S965" s="34"/>
      <c r="T965" s="34" t="str">
        <f t="shared" ref="T965:V965" si="970">IF(G965&lt;&gt;"","Yes","")</f>
        <v/>
      </c>
      <c r="U965" s="34" t="str">
        <f t="shared" si="970"/>
        <v/>
      </c>
      <c r="V965" s="34" t="str">
        <f t="shared" si="970"/>
        <v/>
      </c>
      <c r="W965" s="34" t="str">
        <f t="shared" si="3"/>
        <v/>
      </c>
      <c r="X965" s="24" t="str">
        <f t="shared" si="4"/>
        <v/>
      </c>
    </row>
    <row r="966" ht="14.25" customHeight="1">
      <c r="A966" s="33">
        <f>HYPERLINK("https://app.hubspot.com/contacts/8748051/record/0-1/3541351", 3541351)</f>
        <v>3541351</v>
      </c>
      <c r="B966" s="24" t="s">
        <v>5533</v>
      </c>
      <c r="C966" s="34"/>
      <c r="D966" s="24" t="s">
        <v>5534</v>
      </c>
      <c r="E966" s="28" t="s">
        <v>2015</v>
      </c>
      <c r="F966" s="34"/>
      <c r="G966" s="35">
        <v>45367.0</v>
      </c>
      <c r="H966" s="35">
        <v>45377.0</v>
      </c>
      <c r="I966" s="35">
        <v>45377.0</v>
      </c>
      <c r="J966" s="34"/>
      <c r="K966" s="34"/>
      <c r="L966" s="34"/>
      <c r="M966" s="33">
        <f>HYPERLINK("https://app.hubspot.com/contacts/8748051/record/0-2/19176733003", 19176733003)</f>
        <v>19176733003</v>
      </c>
      <c r="N966" s="24" t="s">
        <v>2014</v>
      </c>
      <c r="O966" s="33">
        <f>HYPERLINK("https://app.hubspot.com/contacts/8748051/record/0-3/18228130450", 18228130450)</f>
        <v>18228130450</v>
      </c>
      <c r="P966" s="24" t="s">
        <v>2013</v>
      </c>
      <c r="Q966" s="24" t="s">
        <v>73</v>
      </c>
      <c r="R966" s="24">
        <v>4560.0</v>
      </c>
      <c r="S966" s="34"/>
      <c r="T966" s="34" t="str">
        <f t="shared" ref="T966:V966" si="971">IF(G966&lt;&gt;"","Yes","")</f>
        <v>Yes</v>
      </c>
      <c r="U966" s="34" t="str">
        <f t="shared" si="971"/>
        <v>Yes</v>
      </c>
      <c r="V966" s="34" t="str">
        <f t="shared" si="971"/>
        <v>Yes</v>
      </c>
      <c r="W966" s="34" t="str">
        <f t="shared" si="3"/>
        <v/>
      </c>
      <c r="X966" s="24" t="str">
        <f t="shared" si="4"/>
        <v/>
      </c>
    </row>
    <row r="967" ht="14.25" customHeight="1">
      <c r="A967" s="33">
        <f>HYPERLINK("https://app.hubspot.com/contacts/8748051/record/0-1/3548701", 3548701)</f>
        <v>3548701</v>
      </c>
      <c r="B967" s="24" t="s">
        <v>5535</v>
      </c>
      <c r="C967" s="34"/>
      <c r="D967" s="24" t="s">
        <v>5536</v>
      </c>
      <c r="E967" s="28" t="s">
        <v>5537</v>
      </c>
      <c r="F967" s="34"/>
      <c r="G967" s="35">
        <v>45367.0</v>
      </c>
      <c r="H967" s="34"/>
      <c r="I967" s="34"/>
      <c r="J967" s="34"/>
      <c r="K967" s="34"/>
      <c r="L967" s="34"/>
      <c r="M967" s="33">
        <f>HYPERLINK("https://app.hubspot.com/contacts/8748051/record/0-2/9035799096", 9035799096)</f>
        <v>9035799096</v>
      </c>
      <c r="N967" s="24" t="s">
        <v>5538</v>
      </c>
      <c r="O967" s="34"/>
      <c r="P967" s="34"/>
      <c r="Q967" s="34"/>
      <c r="R967" s="34"/>
      <c r="S967" s="34"/>
      <c r="T967" s="34" t="str">
        <f t="shared" ref="T967:V967" si="972">IF(G967&lt;&gt;"","Yes","")</f>
        <v>Yes</v>
      </c>
      <c r="U967" s="34" t="str">
        <f t="shared" si="972"/>
        <v/>
      </c>
      <c r="V967" s="34" t="str">
        <f t="shared" si="972"/>
        <v/>
      </c>
      <c r="W967" s="34" t="str">
        <f t="shared" si="3"/>
        <v/>
      </c>
      <c r="X967" s="24" t="str">
        <f t="shared" si="4"/>
        <v/>
      </c>
    </row>
    <row r="968" ht="14.25" customHeight="1">
      <c r="A968" s="33">
        <f>HYPERLINK("https://app.hubspot.com/contacts/8748051/record/0-1/3548801", 3548801)</f>
        <v>3548801</v>
      </c>
      <c r="B968" s="24" t="s">
        <v>5539</v>
      </c>
      <c r="C968" s="34"/>
      <c r="D968" s="24" t="s">
        <v>5540</v>
      </c>
      <c r="E968" s="28" t="s">
        <v>5541</v>
      </c>
      <c r="F968" s="34"/>
      <c r="G968" s="35">
        <v>45367.0</v>
      </c>
      <c r="H968" s="34"/>
      <c r="I968" s="34"/>
      <c r="J968" s="34"/>
      <c r="K968" s="34"/>
      <c r="L968" s="34"/>
      <c r="M968" s="33">
        <f>HYPERLINK("https://app.hubspot.com/contacts/8748051/record/0-2/9238250630", 9238250630)</f>
        <v>9238250630</v>
      </c>
      <c r="N968" s="28" t="s">
        <v>5541</v>
      </c>
      <c r="O968" s="34"/>
      <c r="P968" s="34"/>
      <c r="Q968" s="34"/>
      <c r="R968" s="34"/>
      <c r="S968" s="34"/>
      <c r="T968" s="34" t="str">
        <f t="shared" ref="T968:V968" si="973">IF(G968&lt;&gt;"","Yes","")</f>
        <v>Yes</v>
      </c>
      <c r="U968" s="34" t="str">
        <f t="shared" si="973"/>
        <v/>
      </c>
      <c r="V968" s="34" t="str">
        <f t="shared" si="973"/>
        <v/>
      </c>
      <c r="W968" s="34" t="str">
        <f t="shared" si="3"/>
        <v/>
      </c>
      <c r="X968" s="24" t="str">
        <f t="shared" si="4"/>
        <v/>
      </c>
    </row>
    <row r="969" ht="14.25" customHeight="1">
      <c r="A969" s="33">
        <f>HYPERLINK("https://app.hubspot.com/contacts/8748051/record/0-1/3548951", 3548951)</f>
        <v>3548951</v>
      </c>
      <c r="B969" s="24" t="s">
        <v>5542</v>
      </c>
      <c r="C969" s="34"/>
      <c r="D969" s="24" t="s">
        <v>5543</v>
      </c>
      <c r="E969" s="28" t="s">
        <v>5544</v>
      </c>
      <c r="F969" s="34"/>
      <c r="G969" s="35">
        <v>45367.0</v>
      </c>
      <c r="H969" s="34"/>
      <c r="I969" s="34"/>
      <c r="J969" s="34"/>
      <c r="K969" s="34"/>
      <c r="L969" s="34"/>
      <c r="M969" s="33">
        <f>HYPERLINK("https://app.hubspot.com/contacts/8748051/record/0-2/10217365405", 10217365405)</f>
        <v>10217365405</v>
      </c>
      <c r="N969" s="24" t="s">
        <v>5545</v>
      </c>
      <c r="O969" s="34"/>
      <c r="P969" s="34"/>
      <c r="Q969" s="34"/>
      <c r="R969" s="34"/>
      <c r="S969" s="34"/>
      <c r="T969" s="34" t="str">
        <f t="shared" ref="T969:V969" si="974">IF(G969&lt;&gt;"","Yes","")</f>
        <v>Yes</v>
      </c>
      <c r="U969" s="34" t="str">
        <f t="shared" si="974"/>
        <v/>
      </c>
      <c r="V969" s="34" t="str">
        <f t="shared" si="974"/>
        <v/>
      </c>
      <c r="W969" s="34" t="str">
        <f t="shared" si="3"/>
        <v/>
      </c>
      <c r="X969" s="24" t="str">
        <f t="shared" si="4"/>
        <v/>
      </c>
    </row>
    <row r="970" ht="14.25" customHeight="1">
      <c r="A970" s="33">
        <f>HYPERLINK("https://app.hubspot.com/contacts/8748051/record/0-1/3549951", 3549951)</f>
        <v>3549951</v>
      </c>
      <c r="B970" s="24" t="s">
        <v>5546</v>
      </c>
      <c r="C970" s="34"/>
      <c r="D970" s="24" t="s">
        <v>5547</v>
      </c>
      <c r="E970" s="28" t="s">
        <v>1639</v>
      </c>
      <c r="F970" s="34"/>
      <c r="G970" s="35">
        <v>45367.0</v>
      </c>
      <c r="H970" s="34"/>
      <c r="I970" s="34"/>
      <c r="J970" s="34"/>
      <c r="K970" s="34"/>
      <c r="L970" s="34"/>
      <c r="M970" s="33">
        <f>HYPERLINK("https://app.hubspot.com/contacts/8748051/record/0-2/9238276430", 9238276430)</f>
        <v>9238276430</v>
      </c>
      <c r="N970" s="24" t="s">
        <v>1638</v>
      </c>
      <c r="O970" s="34"/>
      <c r="P970" s="34"/>
      <c r="Q970" s="34"/>
      <c r="R970" s="34"/>
      <c r="S970" s="34"/>
      <c r="T970" s="34" t="str">
        <f t="shared" ref="T970:V970" si="975">IF(G970&lt;&gt;"","Yes","")</f>
        <v>Yes</v>
      </c>
      <c r="U970" s="34" t="str">
        <f t="shared" si="975"/>
        <v/>
      </c>
      <c r="V970" s="34" t="str">
        <f t="shared" si="975"/>
        <v/>
      </c>
      <c r="W970" s="34" t="str">
        <f t="shared" si="3"/>
        <v/>
      </c>
      <c r="X970" s="24" t="str">
        <f t="shared" si="4"/>
        <v/>
      </c>
    </row>
    <row r="971" ht="14.25" customHeight="1">
      <c r="A971" s="33">
        <f>HYPERLINK("https://app.hubspot.com/contacts/8748051/record/0-1/3550451", 3550451)</f>
        <v>3550451</v>
      </c>
      <c r="B971" s="24" t="s">
        <v>5548</v>
      </c>
      <c r="C971" s="34"/>
      <c r="D971" s="24" t="s">
        <v>5549</v>
      </c>
      <c r="E971" s="28" t="s">
        <v>5550</v>
      </c>
      <c r="F971" s="34"/>
      <c r="G971" s="35">
        <v>45369.0</v>
      </c>
      <c r="H971" s="34"/>
      <c r="I971" s="34"/>
      <c r="J971" s="34"/>
      <c r="K971" s="34"/>
      <c r="L971" s="34"/>
      <c r="M971" s="33">
        <f>HYPERLINK("https://app.hubspot.com/contacts/8748051/record/0-2/19176627074", 19176627074)</f>
        <v>19176627074</v>
      </c>
      <c r="N971" s="24" t="s">
        <v>5551</v>
      </c>
      <c r="O971" s="34"/>
      <c r="P971" s="34"/>
      <c r="Q971" s="34"/>
      <c r="R971" s="34"/>
      <c r="S971" s="34"/>
      <c r="T971" s="34" t="str">
        <f t="shared" ref="T971:V971" si="976">IF(G971&lt;&gt;"","Yes","")</f>
        <v>Yes</v>
      </c>
      <c r="U971" s="34" t="str">
        <f t="shared" si="976"/>
        <v/>
      </c>
      <c r="V971" s="34" t="str">
        <f t="shared" si="976"/>
        <v/>
      </c>
      <c r="W971" s="34" t="str">
        <f t="shared" si="3"/>
        <v/>
      </c>
      <c r="X971" s="24" t="str">
        <f t="shared" si="4"/>
        <v/>
      </c>
    </row>
    <row r="972" ht="14.25" customHeight="1">
      <c r="A972" s="33">
        <f>HYPERLINK("https://app.hubspot.com/contacts/8748051/record/0-1/3550701", 3550701)</f>
        <v>3550701</v>
      </c>
      <c r="B972" s="24" t="s">
        <v>5552</v>
      </c>
      <c r="C972" s="34"/>
      <c r="D972" s="24" t="s">
        <v>5553</v>
      </c>
      <c r="E972" s="28" t="s">
        <v>5163</v>
      </c>
      <c r="F972" s="24" t="s">
        <v>5323</v>
      </c>
      <c r="G972" s="34"/>
      <c r="H972" s="34"/>
      <c r="I972" s="34"/>
      <c r="J972" s="34"/>
      <c r="K972" s="34"/>
      <c r="L972" s="34"/>
      <c r="M972" s="33">
        <f>HYPERLINK("https://app.hubspot.com/contacts/8748051/record/0-2/9238290100", 9238290100)</f>
        <v>9238290100</v>
      </c>
      <c r="N972" s="24" t="s">
        <v>5164</v>
      </c>
      <c r="O972" s="34"/>
      <c r="P972" s="34"/>
      <c r="Q972" s="34"/>
      <c r="R972" s="34"/>
      <c r="S972" s="34"/>
      <c r="T972" s="34" t="str">
        <f t="shared" ref="T972:V972" si="977">IF(G972&lt;&gt;"","Yes","")</f>
        <v/>
      </c>
      <c r="U972" s="34" t="str">
        <f t="shared" si="977"/>
        <v/>
      </c>
      <c r="V972" s="34" t="str">
        <f t="shared" si="977"/>
        <v/>
      </c>
      <c r="W972" s="34" t="str">
        <f t="shared" si="3"/>
        <v/>
      </c>
      <c r="X972" s="24" t="str">
        <f t="shared" si="4"/>
        <v/>
      </c>
    </row>
    <row r="973" ht="14.25" customHeight="1">
      <c r="A973" s="33">
        <f>HYPERLINK("https://app.hubspot.com/contacts/8748051/record/0-1/3551401", 3551401)</f>
        <v>3551401</v>
      </c>
      <c r="B973" s="24" t="s">
        <v>5554</v>
      </c>
      <c r="C973" s="34"/>
      <c r="D973" s="24" t="s">
        <v>5555</v>
      </c>
      <c r="E973" s="28" t="s">
        <v>5556</v>
      </c>
      <c r="F973" s="34"/>
      <c r="G973" s="35">
        <v>45369.0</v>
      </c>
      <c r="H973" s="34"/>
      <c r="I973" s="34"/>
      <c r="J973" s="34"/>
      <c r="K973" s="34"/>
      <c r="L973" s="34"/>
      <c r="M973" s="33">
        <f>HYPERLINK("https://app.hubspot.com/contacts/8748051/record/0-2/19176255823", 19176255823)</f>
        <v>19176255823</v>
      </c>
      <c r="N973" s="24" t="s">
        <v>5557</v>
      </c>
      <c r="O973" s="34"/>
      <c r="P973" s="34"/>
      <c r="Q973" s="34"/>
      <c r="R973" s="34"/>
      <c r="S973" s="34"/>
      <c r="T973" s="34" t="str">
        <f t="shared" ref="T973:V973" si="978">IF(G973&lt;&gt;"","Yes","")</f>
        <v>Yes</v>
      </c>
      <c r="U973" s="34" t="str">
        <f t="shared" si="978"/>
        <v/>
      </c>
      <c r="V973" s="34" t="str">
        <f t="shared" si="978"/>
        <v/>
      </c>
      <c r="W973" s="34" t="str">
        <f t="shared" si="3"/>
        <v/>
      </c>
      <c r="X973" s="24" t="str">
        <f t="shared" si="4"/>
        <v/>
      </c>
    </row>
    <row r="974" ht="14.25" customHeight="1">
      <c r="A974" s="33">
        <f>HYPERLINK("https://app.hubspot.com/contacts/8748051/record/0-1/3551701", 3551701)</f>
        <v>3551701</v>
      </c>
      <c r="B974" s="24" t="s">
        <v>5558</v>
      </c>
      <c r="C974" s="34"/>
      <c r="D974" s="24" t="s">
        <v>5559</v>
      </c>
      <c r="E974" s="28" t="s">
        <v>5560</v>
      </c>
      <c r="F974" s="34"/>
      <c r="G974" s="35">
        <v>45369.0</v>
      </c>
      <c r="H974" s="34"/>
      <c r="I974" s="34"/>
      <c r="J974" s="34"/>
      <c r="K974" s="34"/>
      <c r="L974" s="34"/>
      <c r="M974" s="33">
        <f>HYPERLINK("https://app.hubspot.com/contacts/8748051/record/0-2/7398439079", 7398439079)</f>
        <v>7398439079</v>
      </c>
      <c r="N974" s="24" t="s">
        <v>5561</v>
      </c>
      <c r="O974" s="34"/>
      <c r="P974" s="34"/>
      <c r="Q974" s="34"/>
      <c r="R974" s="34"/>
      <c r="S974" s="34"/>
      <c r="T974" s="34" t="str">
        <f t="shared" ref="T974:V974" si="979">IF(G974&lt;&gt;"","Yes","")</f>
        <v>Yes</v>
      </c>
      <c r="U974" s="34" t="str">
        <f t="shared" si="979"/>
        <v/>
      </c>
      <c r="V974" s="34" t="str">
        <f t="shared" si="979"/>
        <v/>
      </c>
      <c r="W974" s="34" t="str">
        <f t="shared" si="3"/>
        <v/>
      </c>
      <c r="X974" s="24" t="str">
        <f t="shared" si="4"/>
        <v/>
      </c>
    </row>
    <row r="975" ht="14.25" customHeight="1">
      <c r="A975" s="33">
        <f>HYPERLINK("https://app.hubspot.com/contacts/8748051/record/0-1/3552451", 3552451)</f>
        <v>3552451</v>
      </c>
      <c r="B975" s="24" t="s">
        <v>5562</v>
      </c>
      <c r="C975" s="34"/>
      <c r="D975" s="24" t="s">
        <v>5563</v>
      </c>
      <c r="E975" s="28" t="s">
        <v>5564</v>
      </c>
      <c r="F975" s="34"/>
      <c r="G975" s="35">
        <v>45369.0</v>
      </c>
      <c r="H975" s="34"/>
      <c r="I975" s="34"/>
      <c r="J975" s="34"/>
      <c r="K975" s="34"/>
      <c r="L975" s="34"/>
      <c r="M975" s="33">
        <f>HYPERLINK("https://app.hubspot.com/contacts/8748051/record/0-2/8005912479", 8005912479)</f>
        <v>8005912479</v>
      </c>
      <c r="N975" s="24" t="s">
        <v>5565</v>
      </c>
      <c r="O975" s="34"/>
      <c r="P975" s="34"/>
      <c r="Q975" s="34"/>
      <c r="R975" s="34"/>
      <c r="S975" s="34"/>
      <c r="T975" s="34" t="str">
        <f t="shared" ref="T975:V975" si="980">IF(G975&lt;&gt;"","Yes","")</f>
        <v>Yes</v>
      </c>
      <c r="U975" s="34" t="str">
        <f t="shared" si="980"/>
        <v/>
      </c>
      <c r="V975" s="34" t="str">
        <f t="shared" si="980"/>
        <v/>
      </c>
      <c r="W975" s="34" t="str">
        <f t="shared" si="3"/>
        <v/>
      </c>
      <c r="X975" s="24" t="str">
        <f t="shared" si="4"/>
        <v/>
      </c>
    </row>
    <row r="976" ht="14.25" customHeight="1">
      <c r="A976" s="33">
        <f>HYPERLINK("https://app.hubspot.com/contacts/8748051/record/0-1/3552651", 3552651)</f>
        <v>3552651</v>
      </c>
      <c r="B976" s="24" t="s">
        <v>5566</v>
      </c>
      <c r="C976" s="34"/>
      <c r="D976" s="24" t="s">
        <v>5567</v>
      </c>
      <c r="E976" s="28" t="s">
        <v>2626</v>
      </c>
      <c r="F976" s="34"/>
      <c r="G976" s="35">
        <v>45369.0</v>
      </c>
      <c r="H976" s="34"/>
      <c r="I976" s="34"/>
      <c r="J976" s="34"/>
      <c r="K976" s="34"/>
      <c r="L976" s="34"/>
      <c r="M976" s="33">
        <f>HYPERLINK("https://app.hubspot.com/contacts/8748051/record/0-2/7946436488", 7946436488)</f>
        <v>7946436488</v>
      </c>
      <c r="N976" s="24" t="s">
        <v>2625</v>
      </c>
      <c r="O976" s="34"/>
      <c r="P976" s="34"/>
      <c r="Q976" s="34"/>
      <c r="R976" s="34"/>
      <c r="S976" s="34"/>
      <c r="T976" s="34" t="str">
        <f t="shared" ref="T976:V976" si="981">IF(G976&lt;&gt;"","Yes","")</f>
        <v>Yes</v>
      </c>
      <c r="U976" s="34" t="str">
        <f t="shared" si="981"/>
        <v/>
      </c>
      <c r="V976" s="34" t="str">
        <f t="shared" si="981"/>
        <v/>
      </c>
      <c r="W976" s="34" t="str">
        <f t="shared" si="3"/>
        <v/>
      </c>
      <c r="X976" s="24" t="str">
        <f t="shared" si="4"/>
        <v/>
      </c>
    </row>
    <row r="977" ht="14.25" customHeight="1">
      <c r="A977" s="33">
        <f>HYPERLINK("https://app.hubspot.com/contacts/8748051/record/0-1/3557551", 3557551)</f>
        <v>3557551</v>
      </c>
      <c r="B977" s="24" t="s">
        <v>5568</v>
      </c>
      <c r="C977" s="34"/>
      <c r="D977" s="24" t="s">
        <v>5569</v>
      </c>
      <c r="E977" s="28" t="s">
        <v>5570</v>
      </c>
      <c r="F977" s="34"/>
      <c r="G977" s="35">
        <v>45401.0</v>
      </c>
      <c r="H977" s="34"/>
      <c r="I977" s="34"/>
      <c r="J977" s="34"/>
      <c r="K977" s="34"/>
      <c r="L977" s="34"/>
      <c r="M977" s="33">
        <f>HYPERLINK("https://app.hubspot.com/contacts/8748051/record/0-2/7945210918", 7945210918)</f>
        <v>7945210918</v>
      </c>
      <c r="N977" s="24" t="s">
        <v>5571</v>
      </c>
      <c r="O977" s="34"/>
      <c r="P977" s="34"/>
      <c r="Q977" s="34"/>
      <c r="R977" s="34"/>
      <c r="S977" s="34"/>
      <c r="T977" s="34" t="str">
        <f t="shared" ref="T977:V977" si="982">IF(G977&lt;&gt;"","Yes","")</f>
        <v>Yes</v>
      </c>
      <c r="U977" s="34" t="str">
        <f t="shared" si="982"/>
        <v/>
      </c>
      <c r="V977" s="34" t="str">
        <f t="shared" si="982"/>
        <v/>
      </c>
      <c r="W977" s="34" t="str">
        <f t="shared" si="3"/>
        <v/>
      </c>
      <c r="X977" s="24" t="str">
        <f t="shared" si="4"/>
        <v/>
      </c>
    </row>
    <row r="978" ht="14.25" customHeight="1">
      <c r="A978" s="33">
        <f>HYPERLINK("https://app.hubspot.com/contacts/8748051/record/0-1/3559601", 3559601)</f>
        <v>3559601</v>
      </c>
      <c r="B978" s="24" t="s">
        <v>5572</v>
      </c>
      <c r="C978" s="34"/>
      <c r="D978" s="24" t="s">
        <v>5573</v>
      </c>
      <c r="E978" s="28" t="s">
        <v>1994</v>
      </c>
      <c r="F978" s="34"/>
      <c r="G978" s="35">
        <v>45370.0</v>
      </c>
      <c r="H978" s="35">
        <v>45378.0</v>
      </c>
      <c r="I978" s="35">
        <v>45378.0</v>
      </c>
      <c r="J978" s="34"/>
      <c r="K978" s="34"/>
      <c r="L978" s="34"/>
      <c r="M978" s="33">
        <f>HYPERLINK("https://app.hubspot.com/contacts/8748051/record/0-2/15241894827", 15241894827)</f>
        <v>15241894827</v>
      </c>
      <c r="N978" s="24" t="s">
        <v>1993</v>
      </c>
      <c r="O978" s="33">
        <f>HYPERLINK("https://app.hubspot.com/contacts/8748051/record/0-3/18259285081", 18259285081)</f>
        <v>18259285081</v>
      </c>
      <c r="P978" s="24" t="s">
        <v>1992</v>
      </c>
      <c r="Q978" s="24" t="s">
        <v>73</v>
      </c>
      <c r="R978" s="24">
        <v>9360.0</v>
      </c>
      <c r="S978" s="34"/>
      <c r="T978" s="34" t="str">
        <f t="shared" ref="T978:V978" si="983">IF(G978&lt;&gt;"","Yes","")</f>
        <v>Yes</v>
      </c>
      <c r="U978" s="34" t="str">
        <f t="shared" si="983"/>
        <v>Yes</v>
      </c>
      <c r="V978" s="34" t="str">
        <f t="shared" si="983"/>
        <v>Yes</v>
      </c>
      <c r="W978" s="34" t="str">
        <f t="shared" si="3"/>
        <v/>
      </c>
      <c r="X978" s="24" t="str">
        <f t="shared" si="4"/>
        <v/>
      </c>
    </row>
    <row r="979" ht="14.25" customHeight="1">
      <c r="A979" s="33">
        <f>HYPERLINK("https://app.hubspot.com/contacts/8748051/record/0-1/3559701", 3559701)</f>
        <v>3559701</v>
      </c>
      <c r="B979" s="24" t="s">
        <v>5574</v>
      </c>
      <c r="C979" s="34"/>
      <c r="D979" s="24" t="s">
        <v>5575</v>
      </c>
      <c r="E979" s="28" t="s">
        <v>2047</v>
      </c>
      <c r="F979" s="34"/>
      <c r="G979" s="35">
        <v>45370.0</v>
      </c>
      <c r="H979" s="35">
        <v>45372.0</v>
      </c>
      <c r="I979" s="35">
        <v>45372.0</v>
      </c>
      <c r="J979" s="34"/>
      <c r="K979" s="34"/>
      <c r="L979" s="34"/>
      <c r="M979" s="33">
        <f>HYPERLINK("https://app.hubspot.com/contacts/8748051/record/0-2/19176635234", 19176635234)</f>
        <v>19176635234</v>
      </c>
      <c r="N979" s="24" t="s">
        <v>2046</v>
      </c>
      <c r="O979" s="33">
        <f>HYPERLINK("https://app.hubspot.com/contacts/8748051/record/0-3/18137545558", 18137545558)</f>
        <v>18137545558</v>
      </c>
      <c r="P979" s="24" t="s">
        <v>2045</v>
      </c>
      <c r="Q979" s="24" t="s">
        <v>73</v>
      </c>
      <c r="R979" s="24">
        <v>6480.0</v>
      </c>
      <c r="S979" s="34"/>
      <c r="T979" s="34" t="str">
        <f t="shared" ref="T979:V979" si="984">IF(G979&lt;&gt;"","Yes","")</f>
        <v>Yes</v>
      </c>
      <c r="U979" s="34" t="str">
        <f t="shared" si="984"/>
        <v>Yes</v>
      </c>
      <c r="V979" s="34" t="str">
        <f t="shared" si="984"/>
        <v>Yes</v>
      </c>
      <c r="W979" s="34" t="str">
        <f t="shared" si="3"/>
        <v/>
      </c>
      <c r="X979" s="24" t="str">
        <f t="shared" si="4"/>
        <v/>
      </c>
    </row>
    <row r="980" ht="14.25" customHeight="1">
      <c r="A980" s="33">
        <f>HYPERLINK("https://app.hubspot.com/contacts/8748051/record/0-1/3560851", 3560851)</f>
        <v>3560851</v>
      </c>
      <c r="B980" s="24" t="s">
        <v>5576</v>
      </c>
      <c r="C980" s="34"/>
      <c r="D980" s="24" t="s">
        <v>5577</v>
      </c>
      <c r="E980" s="28" t="s">
        <v>5578</v>
      </c>
      <c r="F980" s="34"/>
      <c r="G980" s="35">
        <v>45371.0</v>
      </c>
      <c r="H980" s="34"/>
      <c r="I980" s="34"/>
      <c r="J980" s="34"/>
      <c r="K980" s="34"/>
      <c r="L980" s="34"/>
      <c r="M980" s="33">
        <f>HYPERLINK("https://app.hubspot.com/contacts/8748051/record/0-2/7514781740", 7514781740)</f>
        <v>7514781740</v>
      </c>
      <c r="N980" s="24" t="s">
        <v>5579</v>
      </c>
      <c r="O980" s="34"/>
      <c r="P980" s="34"/>
      <c r="Q980" s="34"/>
      <c r="R980" s="34"/>
      <c r="S980" s="34"/>
      <c r="T980" s="34" t="str">
        <f t="shared" ref="T980:V980" si="985">IF(G980&lt;&gt;"","Yes","")</f>
        <v>Yes</v>
      </c>
      <c r="U980" s="34" t="str">
        <f t="shared" si="985"/>
        <v/>
      </c>
      <c r="V980" s="34" t="str">
        <f t="shared" si="985"/>
        <v/>
      </c>
      <c r="W980" s="34" t="str">
        <f t="shared" si="3"/>
        <v/>
      </c>
      <c r="X980" s="24" t="str">
        <f t="shared" si="4"/>
        <v/>
      </c>
    </row>
    <row r="981" ht="14.25" customHeight="1">
      <c r="A981" s="33">
        <f>HYPERLINK("https://app.hubspot.com/contacts/8748051/record/0-1/3561001", 3561001)</f>
        <v>3561001</v>
      </c>
      <c r="B981" s="24" t="s">
        <v>5580</v>
      </c>
      <c r="C981" s="34"/>
      <c r="D981" s="24" t="s">
        <v>5581</v>
      </c>
      <c r="E981" s="28" t="s">
        <v>5582</v>
      </c>
      <c r="F981" s="34"/>
      <c r="G981" s="35">
        <v>45371.0</v>
      </c>
      <c r="H981" s="34"/>
      <c r="I981" s="34"/>
      <c r="J981" s="34"/>
      <c r="K981" s="34"/>
      <c r="L981" s="34"/>
      <c r="M981" s="33">
        <f>HYPERLINK("https://app.hubspot.com/contacts/8748051/record/0-2/18382842907", 18382842907)</f>
        <v>18382842907</v>
      </c>
      <c r="N981" s="24" t="s">
        <v>5583</v>
      </c>
      <c r="O981" s="34"/>
      <c r="P981" s="34"/>
      <c r="Q981" s="34"/>
      <c r="R981" s="34"/>
      <c r="S981" s="34"/>
      <c r="T981" s="34" t="str">
        <f t="shared" ref="T981:V981" si="986">IF(G981&lt;&gt;"","Yes","")</f>
        <v>Yes</v>
      </c>
      <c r="U981" s="34" t="str">
        <f t="shared" si="986"/>
        <v/>
      </c>
      <c r="V981" s="34" t="str">
        <f t="shared" si="986"/>
        <v/>
      </c>
      <c r="W981" s="34" t="str">
        <f t="shared" si="3"/>
        <v/>
      </c>
      <c r="X981" s="24" t="str">
        <f t="shared" si="4"/>
        <v/>
      </c>
    </row>
    <row r="982" ht="14.25" customHeight="1">
      <c r="A982" s="33">
        <f>HYPERLINK("https://app.hubspot.com/contacts/8748051/record/0-1/3561301", 3561301)</f>
        <v>3561301</v>
      </c>
      <c r="B982" s="24" t="s">
        <v>5584</v>
      </c>
      <c r="C982" s="34"/>
      <c r="D982" s="24" t="s">
        <v>5585</v>
      </c>
      <c r="E982" s="28" t="s">
        <v>2044</v>
      </c>
      <c r="F982" s="34"/>
      <c r="G982" s="35">
        <v>45370.0</v>
      </c>
      <c r="H982" s="35">
        <v>45373.0</v>
      </c>
      <c r="I982" s="35">
        <v>45373.0</v>
      </c>
      <c r="J982" s="34"/>
      <c r="K982" s="34"/>
      <c r="L982" s="34"/>
      <c r="M982" s="33">
        <f>HYPERLINK("https://app.hubspot.com/contacts/8748051/record/0-2/18252335002", 18252335002)</f>
        <v>18252335002</v>
      </c>
      <c r="N982" s="24" t="s">
        <v>2043</v>
      </c>
      <c r="O982" s="33">
        <f>HYPERLINK("https://app.hubspot.com/contacts/8748051/record/0-3/18151200631", 18151200631)</f>
        <v>18151200631</v>
      </c>
      <c r="P982" s="24" t="s">
        <v>2042</v>
      </c>
      <c r="Q982" s="24" t="s">
        <v>73</v>
      </c>
      <c r="R982" s="24">
        <v>420480.0</v>
      </c>
      <c r="S982" s="34"/>
      <c r="T982" s="34" t="str">
        <f t="shared" ref="T982:V982" si="987">IF(G982&lt;&gt;"","Yes","")</f>
        <v>Yes</v>
      </c>
      <c r="U982" s="34" t="str">
        <f t="shared" si="987"/>
        <v>Yes</v>
      </c>
      <c r="V982" s="34" t="str">
        <f t="shared" si="987"/>
        <v>Yes</v>
      </c>
      <c r="W982" s="34" t="str">
        <f t="shared" si="3"/>
        <v/>
      </c>
      <c r="X982" s="24" t="str">
        <f t="shared" si="4"/>
        <v/>
      </c>
    </row>
    <row r="983" ht="14.25" customHeight="1">
      <c r="A983" s="33">
        <f>HYPERLINK("https://app.hubspot.com/contacts/8748051/record/0-1/3561401", 3561401)</f>
        <v>3561401</v>
      </c>
      <c r="B983" s="24" t="s">
        <v>5586</v>
      </c>
      <c r="C983" s="34"/>
      <c r="D983" s="24" t="s">
        <v>5587</v>
      </c>
      <c r="E983" s="28" t="s">
        <v>5588</v>
      </c>
      <c r="F983" s="24" t="s">
        <v>5323</v>
      </c>
      <c r="G983" s="34"/>
      <c r="H983" s="34"/>
      <c r="I983" s="34"/>
      <c r="J983" s="34"/>
      <c r="K983" s="34"/>
      <c r="L983" s="34"/>
      <c r="M983" s="33">
        <f>HYPERLINK("https://app.hubspot.com/contacts/8748051/record/0-2/8838956927", 8838956927)</f>
        <v>8838956927</v>
      </c>
      <c r="N983" s="24" t="s">
        <v>5589</v>
      </c>
      <c r="O983" s="34"/>
      <c r="P983" s="34"/>
      <c r="Q983" s="34"/>
      <c r="R983" s="34"/>
      <c r="S983" s="34"/>
      <c r="T983" s="34" t="str">
        <f t="shared" ref="T983:V983" si="988">IF(G983&lt;&gt;"","Yes","")</f>
        <v/>
      </c>
      <c r="U983" s="34" t="str">
        <f t="shared" si="988"/>
        <v/>
      </c>
      <c r="V983" s="34" t="str">
        <f t="shared" si="988"/>
        <v/>
      </c>
      <c r="W983" s="34" t="str">
        <f t="shared" si="3"/>
        <v/>
      </c>
      <c r="X983" s="24" t="str">
        <f t="shared" si="4"/>
        <v/>
      </c>
    </row>
    <row r="984" ht="14.25" customHeight="1">
      <c r="A984" s="33">
        <f>HYPERLINK("https://app.hubspot.com/contacts/8748051/record/0-1/3561801", 3561801)</f>
        <v>3561801</v>
      </c>
      <c r="B984" s="24" t="s">
        <v>5590</v>
      </c>
      <c r="C984" s="34"/>
      <c r="D984" s="24" t="s">
        <v>5591</v>
      </c>
      <c r="E984" s="28" t="s">
        <v>5592</v>
      </c>
      <c r="F984" s="34"/>
      <c r="G984" s="35">
        <v>45371.0</v>
      </c>
      <c r="H984" s="34"/>
      <c r="I984" s="34"/>
      <c r="J984" s="34"/>
      <c r="K984" s="34"/>
      <c r="L984" s="34"/>
      <c r="M984" s="33">
        <f>HYPERLINK("https://app.hubspot.com/contacts/8748051/record/0-2/15267389766", 15267389766)</f>
        <v>15267389766</v>
      </c>
      <c r="N984" s="24" t="s">
        <v>5593</v>
      </c>
      <c r="O984" s="34"/>
      <c r="P984" s="34"/>
      <c r="Q984" s="34"/>
      <c r="R984" s="34"/>
      <c r="S984" s="34"/>
      <c r="T984" s="34" t="str">
        <f t="shared" ref="T984:V984" si="989">IF(G984&lt;&gt;"","Yes","")</f>
        <v>Yes</v>
      </c>
      <c r="U984" s="34" t="str">
        <f t="shared" si="989"/>
        <v/>
      </c>
      <c r="V984" s="34" t="str">
        <f t="shared" si="989"/>
        <v/>
      </c>
      <c r="W984" s="34" t="str">
        <f t="shared" si="3"/>
        <v/>
      </c>
      <c r="X984" s="24" t="str">
        <f t="shared" si="4"/>
        <v/>
      </c>
    </row>
    <row r="985" ht="14.25" customHeight="1">
      <c r="A985" s="33">
        <f>HYPERLINK("https://app.hubspot.com/contacts/8748051/record/0-1/3561851", 3561851)</f>
        <v>3561851</v>
      </c>
      <c r="B985" s="24" t="s">
        <v>5594</v>
      </c>
      <c r="C985" s="34"/>
      <c r="D985" s="24" t="s">
        <v>5595</v>
      </c>
      <c r="E985" s="28" t="s">
        <v>5359</v>
      </c>
      <c r="F985" s="34"/>
      <c r="G985" s="35">
        <v>45371.0</v>
      </c>
      <c r="H985" s="34"/>
      <c r="I985" s="34"/>
      <c r="J985" s="34"/>
      <c r="K985" s="34"/>
      <c r="L985" s="34"/>
      <c r="M985" s="33">
        <f>HYPERLINK("https://app.hubspot.com/contacts/8748051/record/0-2/9238324060", 9238324060)</f>
        <v>9238324060</v>
      </c>
      <c r="N985" s="24" t="s">
        <v>5360</v>
      </c>
      <c r="O985" s="34"/>
      <c r="P985" s="34"/>
      <c r="Q985" s="34"/>
      <c r="R985" s="34"/>
      <c r="S985" s="34"/>
      <c r="T985" s="34" t="str">
        <f t="shared" ref="T985:V985" si="990">IF(G985&lt;&gt;"","Yes","")</f>
        <v>Yes</v>
      </c>
      <c r="U985" s="34" t="str">
        <f t="shared" si="990"/>
        <v/>
      </c>
      <c r="V985" s="34" t="str">
        <f t="shared" si="990"/>
        <v/>
      </c>
      <c r="W985" s="34" t="str">
        <f t="shared" si="3"/>
        <v/>
      </c>
      <c r="X985" s="24" t="str">
        <f t="shared" si="4"/>
        <v/>
      </c>
    </row>
    <row r="986" ht="14.25" customHeight="1">
      <c r="A986" s="33">
        <f>HYPERLINK("https://app.hubspot.com/contacts/8748051/record/0-1/3562251", 3562251)</f>
        <v>3562251</v>
      </c>
      <c r="B986" s="24" t="s">
        <v>5596</v>
      </c>
      <c r="C986" s="34"/>
      <c r="D986" s="24" t="s">
        <v>5597</v>
      </c>
      <c r="E986" s="28" t="s">
        <v>2041</v>
      </c>
      <c r="F986" s="34"/>
      <c r="G986" s="35">
        <v>45371.0</v>
      </c>
      <c r="H986" s="34"/>
      <c r="I986" s="34"/>
      <c r="J986" s="34"/>
      <c r="K986" s="34"/>
      <c r="L986" s="34"/>
      <c r="M986" s="33">
        <f>HYPERLINK("https://app.hubspot.com/contacts/8748051/record/0-2/7666466217", 7666466217)</f>
        <v>7666466217</v>
      </c>
      <c r="N986" s="24" t="s">
        <v>2040</v>
      </c>
      <c r="O986" s="34"/>
      <c r="P986" s="34"/>
      <c r="Q986" s="34"/>
      <c r="R986" s="34"/>
      <c r="S986" s="34"/>
      <c r="T986" s="34" t="str">
        <f t="shared" ref="T986:V986" si="991">IF(G986&lt;&gt;"","Yes","")</f>
        <v>Yes</v>
      </c>
      <c r="U986" s="34" t="str">
        <f t="shared" si="991"/>
        <v/>
      </c>
      <c r="V986" s="34" t="str">
        <f t="shared" si="991"/>
        <v/>
      </c>
      <c r="W986" s="34" t="str">
        <f t="shared" si="3"/>
        <v/>
      </c>
      <c r="X986" s="24" t="str">
        <f t="shared" si="4"/>
        <v/>
      </c>
    </row>
    <row r="987" ht="14.25" customHeight="1">
      <c r="A987" s="33">
        <f>HYPERLINK("https://app.hubspot.com/contacts/8748051/record/0-1/3562501", 3562501)</f>
        <v>3562501</v>
      </c>
      <c r="B987" s="24" t="s">
        <v>5598</v>
      </c>
      <c r="C987" s="34"/>
      <c r="D987" s="24" t="s">
        <v>5599</v>
      </c>
      <c r="E987" s="28" t="s">
        <v>5600</v>
      </c>
      <c r="F987" s="34"/>
      <c r="G987" s="35">
        <v>45371.0</v>
      </c>
      <c r="H987" s="34"/>
      <c r="I987" s="34"/>
      <c r="J987" s="34"/>
      <c r="K987" s="34"/>
      <c r="L987" s="34"/>
      <c r="M987" s="33">
        <f>HYPERLINK("https://app.hubspot.com/contacts/8748051/record/0-2/9238311543", 9238311543)</f>
        <v>9238311543</v>
      </c>
      <c r="N987" s="24" t="s">
        <v>5601</v>
      </c>
      <c r="O987" s="34"/>
      <c r="P987" s="34"/>
      <c r="Q987" s="34"/>
      <c r="R987" s="34"/>
      <c r="S987" s="34"/>
      <c r="T987" s="34" t="str">
        <f t="shared" ref="T987:V987" si="992">IF(G987&lt;&gt;"","Yes","")</f>
        <v>Yes</v>
      </c>
      <c r="U987" s="34" t="str">
        <f t="shared" si="992"/>
        <v/>
      </c>
      <c r="V987" s="34" t="str">
        <f t="shared" si="992"/>
        <v/>
      </c>
      <c r="W987" s="34" t="str">
        <f t="shared" si="3"/>
        <v/>
      </c>
      <c r="X987" s="24" t="str">
        <f t="shared" si="4"/>
        <v/>
      </c>
    </row>
    <row r="988" ht="14.25" customHeight="1">
      <c r="A988" s="33">
        <f>HYPERLINK("https://app.hubspot.com/contacts/8748051/record/0-1/3562601", 3562601)</f>
        <v>3562601</v>
      </c>
      <c r="B988" s="24" t="s">
        <v>5602</v>
      </c>
      <c r="C988" s="34"/>
      <c r="D988" s="24" t="s">
        <v>5603</v>
      </c>
      <c r="E988" s="28" t="s">
        <v>5604</v>
      </c>
      <c r="F988" s="34"/>
      <c r="G988" s="35">
        <v>45371.0</v>
      </c>
      <c r="H988" s="34"/>
      <c r="I988" s="34"/>
      <c r="J988" s="34"/>
      <c r="K988" s="34"/>
      <c r="L988" s="34"/>
      <c r="M988" s="33">
        <f>HYPERLINK("https://app.hubspot.com/contacts/8748051/record/0-2/18832255345", 18832255345)</f>
        <v>18832255345</v>
      </c>
      <c r="N988" s="24" t="s">
        <v>5605</v>
      </c>
      <c r="O988" s="34"/>
      <c r="P988" s="34"/>
      <c r="Q988" s="34"/>
      <c r="R988" s="34"/>
      <c r="S988" s="34"/>
      <c r="T988" s="34" t="str">
        <f t="shared" ref="T988:V988" si="993">IF(G988&lt;&gt;"","Yes","")</f>
        <v>Yes</v>
      </c>
      <c r="U988" s="34" t="str">
        <f t="shared" si="993"/>
        <v/>
      </c>
      <c r="V988" s="34" t="str">
        <f t="shared" si="993"/>
        <v/>
      </c>
      <c r="W988" s="34" t="str">
        <f t="shared" si="3"/>
        <v/>
      </c>
      <c r="X988" s="24" t="str">
        <f t="shared" si="4"/>
        <v/>
      </c>
    </row>
    <row r="989" ht="14.25" customHeight="1">
      <c r="A989" s="33">
        <f>HYPERLINK("https://app.hubspot.com/contacts/8748051/record/0-1/3564701", 3564701)</f>
        <v>3564701</v>
      </c>
      <c r="B989" s="24" t="s">
        <v>5606</v>
      </c>
      <c r="C989" s="34"/>
      <c r="D989" s="24" t="s">
        <v>5607</v>
      </c>
      <c r="E989" s="28" t="s">
        <v>1988</v>
      </c>
      <c r="F989" s="34"/>
      <c r="G989" s="35">
        <v>45371.0</v>
      </c>
      <c r="H989" s="35">
        <v>45380.0</v>
      </c>
      <c r="I989" s="35">
        <v>45380.0</v>
      </c>
      <c r="J989" s="34"/>
      <c r="K989" s="34"/>
      <c r="L989" s="34"/>
      <c r="M989" s="33">
        <f>HYPERLINK("https://app.hubspot.com/contacts/8748051/record/0-2/7945145246", 7945145246)</f>
        <v>7945145246</v>
      </c>
      <c r="N989" s="24" t="s">
        <v>1987</v>
      </c>
      <c r="O989" s="33">
        <f>HYPERLINK("https://app.hubspot.com/contacts/8748051/record/0-3/18265173382", 18265173382)</f>
        <v>18265173382</v>
      </c>
      <c r="P989" s="24" t="s">
        <v>1986</v>
      </c>
      <c r="Q989" s="24" t="s">
        <v>73</v>
      </c>
      <c r="R989" s="24">
        <v>25000.0</v>
      </c>
      <c r="S989" s="34"/>
      <c r="T989" s="34" t="str">
        <f t="shared" ref="T989:V989" si="994">IF(G989&lt;&gt;"","Yes","")</f>
        <v>Yes</v>
      </c>
      <c r="U989" s="34" t="str">
        <f t="shared" si="994"/>
        <v>Yes</v>
      </c>
      <c r="V989" s="34" t="str">
        <f t="shared" si="994"/>
        <v>Yes</v>
      </c>
      <c r="W989" s="34" t="str">
        <f t="shared" si="3"/>
        <v/>
      </c>
      <c r="X989" s="24" t="str">
        <f t="shared" si="4"/>
        <v/>
      </c>
    </row>
    <row r="990" ht="14.25" customHeight="1">
      <c r="A990" s="33">
        <f>HYPERLINK("https://app.hubspot.com/contacts/8748051/record/0-1/3564851", 3564851)</f>
        <v>3564851</v>
      </c>
      <c r="B990" s="24" t="s">
        <v>5608</v>
      </c>
      <c r="C990" s="34"/>
      <c r="D990" s="24" t="s">
        <v>5609</v>
      </c>
      <c r="E990" s="28" t="s">
        <v>5610</v>
      </c>
      <c r="F990" s="34"/>
      <c r="G990" s="35">
        <v>45371.0</v>
      </c>
      <c r="H990" s="34"/>
      <c r="I990" s="34"/>
      <c r="J990" s="34"/>
      <c r="K990" s="34"/>
      <c r="L990" s="34"/>
      <c r="M990" s="33">
        <f>HYPERLINK("https://app.hubspot.com/contacts/8748051/record/0-2/8920340524", 8920340524)</f>
        <v>8920340524</v>
      </c>
      <c r="N990" s="24" t="s">
        <v>5611</v>
      </c>
      <c r="O990" s="34"/>
      <c r="P990" s="34"/>
      <c r="Q990" s="34"/>
      <c r="R990" s="34"/>
      <c r="S990" s="34"/>
      <c r="T990" s="34" t="str">
        <f t="shared" ref="T990:V990" si="995">IF(G990&lt;&gt;"","Yes","")</f>
        <v>Yes</v>
      </c>
      <c r="U990" s="34" t="str">
        <f t="shared" si="995"/>
        <v/>
      </c>
      <c r="V990" s="34" t="str">
        <f t="shared" si="995"/>
        <v/>
      </c>
      <c r="W990" s="34" t="str">
        <f t="shared" si="3"/>
        <v/>
      </c>
      <c r="X990" s="24" t="str">
        <f t="shared" si="4"/>
        <v/>
      </c>
    </row>
    <row r="991" ht="14.25" customHeight="1">
      <c r="A991" s="33">
        <f>HYPERLINK("https://app.hubspot.com/contacts/8748051/record/0-1/5136626218", 5136626218)</f>
        <v>5136626218</v>
      </c>
      <c r="B991" s="24" t="s">
        <v>5612</v>
      </c>
      <c r="C991" s="34"/>
      <c r="D991" s="24" t="s">
        <v>5613</v>
      </c>
      <c r="E991" s="28" t="s">
        <v>4604</v>
      </c>
      <c r="F991" s="24" t="s">
        <v>5614</v>
      </c>
      <c r="G991" s="34"/>
      <c r="H991" s="34"/>
      <c r="I991" s="34"/>
      <c r="J991" s="34"/>
      <c r="K991" s="34"/>
      <c r="L991" s="34"/>
      <c r="M991" s="33">
        <f>HYPERLINK("https://app.hubspot.com/contacts/8748051/record/0-2/10358610795", 10358610795)</f>
        <v>10358610795</v>
      </c>
      <c r="N991" s="24" t="s">
        <v>4605</v>
      </c>
      <c r="O991" s="34"/>
      <c r="P991" s="34"/>
      <c r="Q991" s="34"/>
      <c r="R991" s="34"/>
      <c r="S991" s="34"/>
      <c r="T991" s="34" t="str">
        <f t="shared" ref="T991:V991" si="996">IF(G991&lt;&gt;"","Yes","")</f>
        <v/>
      </c>
      <c r="U991" s="34" t="str">
        <f t="shared" si="996"/>
        <v/>
      </c>
      <c r="V991" s="34" t="str">
        <f t="shared" si="996"/>
        <v/>
      </c>
      <c r="W991" s="34" t="str">
        <f t="shared" si="3"/>
        <v/>
      </c>
      <c r="X991" s="24" t="str">
        <f t="shared" si="4"/>
        <v/>
      </c>
    </row>
    <row r="992" ht="14.25" customHeight="1">
      <c r="A992" s="33">
        <f>HYPERLINK("https://app.hubspot.com/contacts/8748051/record/0-1/5147803046", 5147803046)</f>
        <v>5147803046</v>
      </c>
      <c r="B992" s="24" t="s">
        <v>5615</v>
      </c>
      <c r="C992" s="34"/>
      <c r="D992" s="24" t="s">
        <v>5616</v>
      </c>
      <c r="E992" s="28" t="s">
        <v>5617</v>
      </c>
      <c r="F992" s="34"/>
      <c r="G992" s="35">
        <v>45371.0</v>
      </c>
      <c r="H992" s="34"/>
      <c r="I992" s="34"/>
      <c r="J992" s="34"/>
      <c r="K992" s="34"/>
      <c r="L992" s="34"/>
      <c r="M992" s="33">
        <f>HYPERLINK("https://app.hubspot.com/contacts/8748051/record/0-2/9049435440", 9049435440)</f>
        <v>9049435440</v>
      </c>
      <c r="N992" s="24" t="s">
        <v>5618</v>
      </c>
      <c r="O992" s="34"/>
      <c r="P992" s="34"/>
      <c r="Q992" s="34"/>
      <c r="R992" s="34"/>
      <c r="S992" s="34"/>
      <c r="T992" s="34" t="str">
        <f t="shared" ref="T992:V992" si="997">IF(G992&lt;&gt;"","Yes","")</f>
        <v>Yes</v>
      </c>
      <c r="U992" s="34" t="str">
        <f t="shared" si="997"/>
        <v/>
      </c>
      <c r="V992" s="34" t="str">
        <f t="shared" si="997"/>
        <v/>
      </c>
      <c r="W992" s="34" t="str">
        <f t="shared" si="3"/>
        <v/>
      </c>
      <c r="X992" s="24" t="str">
        <f t="shared" si="4"/>
        <v/>
      </c>
    </row>
    <row r="993" ht="14.25" customHeight="1">
      <c r="A993" s="33">
        <f>HYPERLINK("https://app.hubspot.com/contacts/8748051/record/0-1/5148182595", 5148182595)</f>
        <v>5148182595</v>
      </c>
      <c r="B993" s="24" t="s">
        <v>5619</v>
      </c>
      <c r="C993" s="34"/>
      <c r="D993" s="24" t="s">
        <v>5620</v>
      </c>
      <c r="E993" s="28" t="s">
        <v>2028</v>
      </c>
      <c r="F993" s="34"/>
      <c r="G993" s="35">
        <v>45372.0</v>
      </c>
      <c r="H993" s="35">
        <v>45379.0</v>
      </c>
      <c r="I993" s="35">
        <v>45379.0</v>
      </c>
      <c r="J993" s="34"/>
      <c r="K993" s="34"/>
      <c r="L993" s="34"/>
      <c r="M993" s="33">
        <f>HYPERLINK("https://app.hubspot.com/contacts/8748051/record/0-2/9793685141", 9793685141)</f>
        <v>9793685141</v>
      </c>
      <c r="N993" s="24" t="s">
        <v>2027</v>
      </c>
      <c r="O993" s="33">
        <f>HYPERLINK("https://app.hubspot.com/contacts/8748051/record/0-3/18219071497", 18219071497)</f>
        <v>18219071497</v>
      </c>
      <c r="P993" s="24" t="s">
        <v>2026</v>
      </c>
      <c r="Q993" s="24" t="s">
        <v>127</v>
      </c>
      <c r="R993" s="24">
        <v>30000.0</v>
      </c>
      <c r="S993" s="24" t="b">
        <v>1</v>
      </c>
      <c r="T993" s="34" t="str">
        <f t="shared" ref="T993:V993" si="998">IF(G993&lt;&gt;"","Yes","")</f>
        <v>Yes</v>
      </c>
      <c r="U993" s="34" t="str">
        <f t="shared" si="998"/>
        <v>Yes</v>
      </c>
      <c r="V993" s="34" t="str">
        <f t="shared" si="998"/>
        <v>Yes</v>
      </c>
      <c r="W993" s="34" t="str">
        <f t="shared" si="3"/>
        <v/>
      </c>
      <c r="X993" s="24" t="str">
        <f t="shared" si="4"/>
        <v/>
      </c>
    </row>
    <row r="994" ht="14.25" customHeight="1">
      <c r="A994" s="33">
        <f>HYPERLINK("https://app.hubspot.com/contacts/8748051/record/0-1/5256839741", 5256839741)</f>
        <v>5256839741</v>
      </c>
      <c r="B994" s="24" t="s">
        <v>5621</v>
      </c>
      <c r="C994" s="34"/>
      <c r="D994" s="24" t="s">
        <v>5622</v>
      </c>
      <c r="E994" s="28" t="s">
        <v>5623</v>
      </c>
      <c r="F994" s="34"/>
      <c r="G994" s="35">
        <v>45372.0</v>
      </c>
      <c r="H994" s="34"/>
      <c r="I994" s="34"/>
      <c r="J994" s="34"/>
      <c r="K994" s="34"/>
      <c r="L994" s="34"/>
      <c r="M994" s="33">
        <f>HYPERLINK("https://app.hubspot.com/contacts/8748051/record/0-2/19176667752", 19176667752)</f>
        <v>19176667752</v>
      </c>
      <c r="N994" s="24" t="s">
        <v>5624</v>
      </c>
      <c r="O994" s="34"/>
      <c r="P994" s="34"/>
      <c r="Q994" s="34"/>
      <c r="R994" s="34"/>
      <c r="S994" s="34"/>
      <c r="T994" s="34" t="str">
        <f t="shared" ref="T994:V994" si="999">IF(G994&lt;&gt;"","Yes","")</f>
        <v>Yes</v>
      </c>
      <c r="U994" s="34" t="str">
        <f t="shared" si="999"/>
        <v/>
      </c>
      <c r="V994" s="34" t="str">
        <f t="shared" si="999"/>
        <v/>
      </c>
      <c r="W994" s="34" t="str">
        <f t="shared" si="3"/>
        <v/>
      </c>
      <c r="X994" s="24" t="str">
        <f t="shared" si="4"/>
        <v/>
      </c>
    </row>
    <row r="995" ht="14.25" customHeight="1">
      <c r="A995" s="33">
        <f>HYPERLINK("https://app.hubspot.com/contacts/8748051/record/0-1/5349055049", 5349055049)</f>
        <v>5349055049</v>
      </c>
      <c r="B995" s="24" t="s">
        <v>5625</v>
      </c>
      <c r="C995" s="34"/>
      <c r="D995" s="24" t="s">
        <v>5626</v>
      </c>
      <c r="E995" s="28" t="s">
        <v>5627</v>
      </c>
      <c r="F995" s="34"/>
      <c r="G995" s="35">
        <v>45373.0</v>
      </c>
      <c r="H995" s="34"/>
      <c r="I995" s="34"/>
      <c r="J995" s="34"/>
      <c r="K995" s="34"/>
      <c r="L995" s="34"/>
      <c r="M995" s="33">
        <f>HYPERLINK("https://app.hubspot.com/contacts/8748051/record/0-2/8125373298", 8125373298)</f>
        <v>8125373298</v>
      </c>
      <c r="N995" s="24" t="s">
        <v>5628</v>
      </c>
      <c r="O995" s="34"/>
      <c r="P995" s="34"/>
      <c r="Q995" s="34"/>
      <c r="R995" s="34"/>
      <c r="S995" s="34"/>
      <c r="T995" s="34" t="str">
        <f t="shared" ref="T995:V995" si="1000">IF(G995&lt;&gt;"","Yes","")</f>
        <v>Yes</v>
      </c>
      <c r="U995" s="34" t="str">
        <f t="shared" si="1000"/>
        <v/>
      </c>
      <c r="V995" s="34" t="str">
        <f t="shared" si="1000"/>
        <v/>
      </c>
      <c r="W995" s="34" t="str">
        <f t="shared" si="3"/>
        <v/>
      </c>
      <c r="X995" s="24" t="str">
        <f t="shared" si="4"/>
        <v/>
      </c>
    </row>
    <row r="996" ht="14.25" customHeight="1">
      <c r="A996" s="33">
        <f>HYPERLINK("https://app.hubspot.com/contacts/8748051/record/0-1/5421032732", 5421032732)</f>
        <v>5421032732</v>
      </c>
      <c r="B996" s="24" t="s">
        <v>5629</v>
      </c>
      <c r="C996" s="34"/>
      <c r="D996" s="24" t="s">
        <v>5630</v>
      </c>
      <c r="E996" s="28" t="s">
        <v>5631</v>
      </c>
      <c r="F996" s="24" t="s">
        <v>5632</v>
      </c>
      <c r="G996" s="34"/>
      <c r="H996" s="34"/>
      <c r="I996" s="34"/>
      <c r="J996" s="34"/>
      <c r="K996" s="34"/>
      <c r="L996" s="34"/>
      <c r="M996" s="33">
        <f>HYPERLINK("https://app.hubspot.com/contacts/8748051/record/0-2/9238395438", 9238395438)</f>
        <v>9238395438</v>
      </c>
      <c r="N996" s="24" t="s">
        <v>5633</v>
      </c>
      <c r="O996" s="34"/>
      <c r="P996" s="34"/>
      <c r="Q996" s="34"/>
      <c r="R996" s="34"/>
      <c r="S996" s="34"/>
      <c r="T996" s="34" t="str">
        <f t="shared" ref="T996:V996" si="1001">IF(G996&lt;&gt;"","Yes","")</f>
        <v/>
      </c>
      <c r="U996" s="34" t="str">
        <f t="shared" si="1001"/>
        <v/>
      </c>
      <c r="V996" s="34" t="str">
        <f t="shared" si="1001"/>
        <v/>
      </c>
      <c r="W996" s="34" t="str">
        <f t="shared" si="3"/>
        <v/>
      </c>
      <c r="X996" s="24" t="str">
        <f t="shared" si="4"/>
        <v/>
      </c>
    </row>
    <row r="997" ht="14.25" customHeight="1">
      <c r="A997" s="33">
        <f>HYPERLINK("https://app.hubspot.com/contacts/8748051/record/0-1/5429624135", 5429624135)</f>
        <v>5429624135</v>
      </c>
      <c r="B997" s="24" t="s">
        <v>5634</v>
      </c>
      <c r="C997" s="34"/>
      <c r="D997" s="24" t="s">
        <v>5635</v>
      </c>
      <c r="E997" s="28" t="s">
        <v>5636</v>
      </c>
      <c r="F997" s="34"/>
      <c r="G997" s="35">
        <v>45373.0</v>
      </c>
      <c r="H997" s="34"/>
      <c r="I997" s="34"/>
      <c r="J997" s="34"/>
      <c r="K997" s="34"/>
      <c r="L997" s="34"/>
      <c r="M997" s="33">
        <f>HYPERLINK("https://app.hubspot.com/contacts/8748051/record/0-2/12428448844", 12428448844)</f>
        <v>12428448844</v>
      </c>
      <c r="N997" s="24" t="s">
        <v>5637</v>
      </c>
      <c r="O997" s="34"/>
      <c r="P997" s="34"/>
      <c r="Q997" s="34"/>
      <c r="R997" s="34"/>
      <c r="S997" s="34"/>
      <c r="T997" s="34" t="str">
        <f t="shared" ref="T997:V997" si="1002">IF(G997&lt;&gt;"","Yes","")</f>
        <v>Yes</v>
      </c>
      <c r="U997" s="34" t="str">
        <f t="shared" si="1002"/>
        <v/>
      </c>
      <c r="V997" s="34" t="str">
        <f t="shared" si="1002"/>
        <v/>
      </c>
      <c r="W997" s="34" t="str">
        <f t="shared" si="3"/>
        <v/>
      </c>
      <c r="X997" s="24" t="str">
        <f t="shared" si="4"/>
        <v/>
      </c>
    </row>
    <row r="998" ht="14.25" customHeight="1">
      <c r="A998" s="33">
        <f>HYPERLINK("https://app.hubspot.com/contacts/8748051/record/0-1/5490132045", 5490132045)</f>
        <v>5490132045</v>
      </c>
      <c r="B998" s="24" t="s">
        <v>5638</v>
      </c>
      <c r="C998" s="34"/>
      <c r="D998" s="24" t="s">
        <v>5639</v>
      </c>
      <c r="E998" s="28" t="s">
        <v>5640</v>
      </c>
      <c r="F998" s="34"/>
      <c r="G998" s="35">
        <v>45373.0</v>
      </c>
      <c r="H998" s="34"/>
      <c r="I998" s="34"/>
      <c r="J998" s="34"/>
      <c r="K998" s="34"/>
      <c r="L998" s="34"/>
      <c r="M998" s="33">
        <f>HYPERLINK("https://app.hubspot.com/contacts/8748051/record/0-2/9686640475", 9686640475)</f>
        <v>9686640475</v>
      </c>
      <c r="N998" s="24" t="s">
        <v>5641</v>
      </c>
      <c r="O998" s="34"/>
      <c r="P998" s="34"/>
      <c r="Q998" s="34"/>
      <c r="R998" s="34"/>
      <c r="S998" s="34"/>
      <c r="T998" s="34" t="str">
        <f t="shared" ref="T998:V998" si="1003">IF(G998&lt;&gt;"","Yes","")</f>
        <v>Yes</v>
      </c>
      <c r="U998" s="34" t="str">
        <f t="shared" si="1003"/>
        <v/>
      </c>
      <c r="V998" s="34" t="str">
        <f t="shared" si="1003"/>
        <v/>
      </c>
      <c r="W998" s="34" t="str">
        <f t="shared" si="3"/>
        <v/>
      </c>
      <c r="X998" s="24" t="str">
        <f t="shared" si="4"/>
        <v/>
      </c>
    </row>
    <row r="999" ht="14.25" customHeight="1">
      <c r="A999" s="33">
        <f>HYPERLINK("https://app.hubspot.com/contacts/8748051/record/0-1/5505709741", 5505709741)</f>
        <v>5505709741</v>
      </c>
      <c r="B999" s="24" t="s">
        <v>5642</v>
      </c>
      <c r="C999" s="34"/>
      <c r="D999" s="24" t="s">
        <v>5643</v>
      </c>
      <c r="E999" s="24" t="s">
        <v>1931</v>
      </c>
      <c r="F999" s="34"/>
      <c r="G999" s="35">
        <v>45373.0</v>
      </c>
      <c r="H999" s="35">
        <v>45386.0</v>
      </c>
      <c r="I999" s="35">
        <v>45386.0</v>
      </c>
      <c r="J999" s="34"/>
      <c r="K999" s="34"/>
      <c r="L999" s="34"/>
      <c r="M999" s="33">
        <f>HYPERLINK("https://app.hubspot.com/contacts/8748051/record/0-2/7776398214", 7776398214)</f>
        <v>7776398214</v>
      </c>
      <c r="N999" s="24" t="s">
        <v>1930</v>
      </c>
      <c r="O999" s="33">
        <f>HYPERLINK("https://app.hubspot.com/contacts/8748051/record/0-3/18415884122", 18415884122)</f>
        <v>18415884122</v>
      </c>
      <c r="P999" s="24" t="s">
        <v>1929</v>
      </c>
      <c r="Q999" s="24" t="s">
        <v>73</v>
      </c>
      <c r="R999" s="24">
        <v>1200.0</v>
      </c>
      <c r="S999" s="34"/>
      <c r="T999" s="34" t="str">
        <f t="shared" ref="T999:V999" si="1004">IF(G999&lt;&gt;"","Yes","")</f>
        <v>Yes</v>
      </c>
      <c r="U999" s="34" t="str">
        <f t="shared" si="1004"/>
        <v>Yes</v>
      </c>
      <c r="V999" s="34" t="str">
        <f t="shared" si="1004"/>
        <v>Yes</v>
      </c>
      <c r="W999" s="34" t="str">
        <f t="shared" si="3"/>
        <v/>
      </c>
      <c r="X999" s="24" t="str">
        <f t="shared" si="4"/>
        <v/>
      </c>
    </row>
    <row r="1000" ht="14.25" customHeight="1">
      <c r="A1000" s="33">
        <f>HYPERLINK("https://app.hubspot.com/contacts/8748051/record/0-1/5554610018", 5554610018)</f>
        <v>5554610018</v>
      </c>
      <c r="B1000" s="24" t="s">
        <v>5644</v>
      </c>
      <c r="C1000" s="34"/>
      <c r="D1000" s="24" t="s">
        <v>5645</v>
      </c>
      <c r="E1000" s="28" t="s">
        <v>1934</v>
      </c>
      <c r="F1000" s="34"/>
      <c r="G1000" s="35">
        <v>45373.0</v>
      </c>
      <c r="H1000" s="35">
        <v>45378.0</v>
      </c>
      <c r="I1000" s="35">
        <v>45388.0</v>
      </c>
      <c r="J1000" s="34"/>
      <c r="K1000" s="34"/>
      <c r="L1000" s="34"/>
      <c r="M1000" s="33">
        <f>HYPERLINK("https://app.hubspot.com/contacts/8748051/record/0-2/8929923999", 8929923999)</f>
        <v>8929923999</v>
      </c>
      <c r="N1000" s="24" t="s">
        <v>1933</v>
      </c>
      <c r="O1000" s="33">
        <f>HYPERLINK("https://app.hubspot.com/contacts/8748051/record/0-3/18406594379", 18406594379)</f>
        <v>18406594379</v>
      </c>
      <c r="P1000" s="24" t="s">
        <v>1932</v>
      </c>
      <c r="Q1000" s="24" t="s">
        <v>73</v>
      </c>
      <c r="R1000" s="24">
        <v>10800.0</v>
      </c>
      <c r="S1000" s="34"/>
      <c r="T1000" s="34" t="str">
        <f t="shared" ref="T1000:V1000" si="1005">IF(G1000&lt;&gt;"","Yes","")</f>
        <v>Yes</v>
      </c>
      <c r="U1000" s="34" t="str">
        <f t="shared" si="1005"/>
        <v>Yes</v>
      </c>
      <c r="V1000" s="34" t="str">
        <f t="shared" si="1005"/>
        <v>Yes</v>
      </c>
      <c r="W1000" s="34" t="str">
        <f t="shared" si="3"/>
        <v/>
      </c>
      <c r="X1000" s="24" t="str">
        <f t="shared" si="4"/>
        <v/>
      </c>
    </row>
    <row r="1001" ht="14.25" customHeight="1">
      <c r="A1001" s="33">
        <f>HYPERLINK("https://app.hubspot.com/contacts/8748051/record/0-1/5581436726", 5581436726)</f>
        <v>5581436726</v>
      </c>
      <c r="B1001" s="24" t="s">
        <v>5646</v>
      </c>
      <c r="C1001" s="34"/>
      <c r="D1001" s="24" t="s">
        <v>5647</v>
      </c>
      <c r="E1001" s="28" t="s">
        <v>1968</v>
      </c>
      <c r="F1001" s="34"/>
      <c r="G1001" s="35">
        <v>45374.0</v>
      </c>
      <c r="H1001" s="35">
        <v>45385.0</v>
      </c>
      <c r="I1001" s="34"/>
      <c r="J1001" s="34"/>
      <c r="K1001" s="34"/>
      <c r="L1001" s="34"/>
      <c r="M1001" s="33">
        <f>HYPERLINK("https://app.hubspot.com/contacts/8748051/record/0-2/18382764727", 18382764727)</f>
        <v>18382764727</v>
      </c>
      <c r="N1001" s="24" t="s">
        <v>1967</v>
      </c>
      <c r="O1001" s="33">
        <f>HYPERLINK("https://app.hubspot.com/contacts/8748051/record/0-3/18363319042", 18363319042)</f>
        <v>18363319042</v>
      </c>
      <c r="P1001" s="24" t="s">
        <v>1966</v>
      </c>
      <c r="Q1001" s="24" t="s">
        <v>73</v>
      </c>
      <c r="R1001" s="24">
        <v>240.0</v>
      </c>
      <c r="S1001" s="34"/>
      <c r="T1001" s="34" t="str">
        <f t="shared" ref="T1001:V1001" si="1006">IF(G1001&lt;&gt;"","Yes","")</f>
        <v>Yes</v>
      </c>
      <c r="U1001" s="34" t="str">
        <f t="shared" si="1006"/>
        <v>Yes</v>
      </c>
      <c r="V1001" s="34" t="str">
        <f t="shared" si="1006"/>
        <v/>
      </c>
      <c r="W1001" s="34" t="str">
        <f t="shared" si="3"/>
        <v/>
      </c>
      <c r="X1001" s="24" t="str">
        <f t="shared" si="4"/>
        <v/>
      </c>
    </row>
    <row r="1002" ht="14.25" customHeight="1">
      <c r="A1002" s="33">
        <f>HYPERLINK("https://app.hubspot.com/contacts/8748051/record/0-1/5692308845", 5692308845)</f>
        <v>5692308845</v>
      </c>
      <c r="B1002" s="24" t="s">
        <v>5648</v>
      </c>
      <c r="C1002" s="34"/>
      <c r="D1002" s="24" t="s">
        <v>5649</v>
      </c>
      <c r="E1002" s="28" t="s">
        <v>5650</v>
      </c>
      <c r="F1002" s="34"/>
      <c r="G1002" s="35">
        <v>45374.0</v>
      </c>
      <c r="H1002" s="34"/>
      <c r="I1002" s="34"/>
      <c r="J1002" s="34"/>
      <c r="K1002" s="34"/>
      <c r="L1002" s="34"/>
      <c r="M1002" s="33">
        <f>HYPERLINK("https://app.hubspot.com/contacts/8748051/record/0-2/19176605468", 19176605468)</f>
        <v>19176605468</v>
      </c>
      <c r="N1002" s="28" t="s">
        <v>5651</v>
      </c>
      <c r="O1002" s="34"/>
      <c r="P1002" s="34"/>
      <c r="Q1002" s="34"/>
      <c r="R1002" s="34"/>
      <c r="S1002" s="34"/>
      <c r="T1002" s="34" t="str">
        <f t="shared" ref="T1002:V1002" si="1007">IF(G1002&lt;&gt;"","Yes","")</f>
        <v>Yes</v>
      </c>
      <c r="U1002" s="34" t="str">
        <f t="shared" si="1007"/>
        <v/>
      </c>
      <c r="V1002" s="34" t="str">
        <f t="shared" si="1007"/>
        <v/>
      </c>
      <c r="W1002" s="34" t="str">
        <f t="shared" si="3"/>
        <v/>
      </c>
      <c r="X1002" s="24" t="str">
        <f t="shared" si="4"/>
        <v/>
      </c>
    </row>
    <row r="1003" ht="14.25" customHeight="1">
      <c r="A1003" s="33">
        <f>HYPERLINK("https://app.hubspot.com/contacts/8748051/record/0-1/5700221713", 5700221713)</f>
        <v>5700221713</v>
      </c>
      <c r="B1003" s="24" t="s">
        <v>5652</v>
      </c>
      <c r="C1003" s="34"/>
      <c r="D1003" s="24" t="s">
        <v>5653</v>
      </c>
      <c r="E1003" s="28" t="s">
        <v>5401</v>
      </c>
      <c r="F1003" s="34"/>
      <c r="G1003" s="35">
        <v>45374.0</v>
      </c>
      <c r="H1003" s="34"/>
      <c r="I1003" s="34"/>
      <c r="J1003" s="34"/>
      <c r="K1003" s="34"/>
      <c r="L1003" s="34"/>
      <c r="M1003" s="33">
        <f>HYPERLINK("https://app.hubspot.com/contacts/8748051/record/0-2/15711428171", 15711428171)</f>
        <v>15711428171</v>
      </c>
      <c r="N1003" s="24" t="s">
        <v>5402</v>
      </c>
      <c r="O1003" s="34"/>
      <c r="P1003" s="34"/>
      <c r="Q1003" s="34"/>
      <c r="R1003" s="34"/>
      <c r="S1003" s="34"/>
      <c r="T1003" s="34" t="str">
        <f t="shared" ref="T1003:V1003" si="1008">IF(G1003&lt;&gt;"","Yes","")</f>
        <v>Yes</v>
      </c>
      <c r="U1003" s="34" t="str">
        <f t="shared" si="1008"/>
        <v/>
      </c>
      <c r="V1003" s="34" t="str">
        <f t="shared" si="1008"/>
        <v/>
      </c>
      <c r="W1003" s="34" t="str">
        <f t="shared" si="3"/>
        <v/>
      </c>
      <c r="X1003" s="24" t="str">
        <f t="shared" si="4"/>
        <v/>
      </c>
    </row>
    <row r="1004" ht="14.25" customHeight="1">
      <c r="A1004" s="33">
        <f>HYPERLINK("https://app.hubspot.com/contacts/8748051/record/0-1/5711884145", 5711884145)</f>
        <v>5711884145</v>
      </c>
      <c r="B1004" s="24" t="s">
        <v>5654</v>
      </c>
      <c r="C1004" s="34"/>
      <c r="D1004" s="24" t="s">
        <v>5655</v>
      </c>
      <c r="E1004" s="28" t="s">
        <v>5656</v>
      </c>
      <c r="F1004" s="34"/>
      <c r="G1004" s="35">
        <v>45374.0</v>
      </c>
      <c r="H1004" s="34"/>
      <c r="I1004" s="34"/>
      <c r="J1004" s="34"/>
      <c r="K1004" s="34"/>
      <c r="L1004" s="34"/>
      <c r="M1004" s="33">
        <f>HYPERLINK("https://app.hubspot.com/contacts/8748051/record/0-2/9238324005", 9238324005)</f>
        <v>9238324005</v>
      </c>
      <c r="N1004" s="24" t="s">
        <v>5657</v>
      </c>
      <c r="O1004" s="34"/>
      <c r="P1004" s="34"/>
      <c r="Q1004" s="34"/>
      <c r="R1004" s="34"/>
      <c r="S1004" s="34"/>
      <c r="T1004" s="34" t="str">
        <f t="shared" ref="T1004:V1004" si="1009">IF(G1004&lt;&gt;"","Yes","")</f>
        <v>Yes</v>
      </c>
      <c r="U1004" s="34" t="str">
        <f t="shared" si="1009"/>
        <v/>
      </c>
      <c r="V1004" s="34" t="str">
        <f t="shared" si="1009"/>
        <v/>
      </c>
      <c r="W1004" s="34" t="str">
        <f t="shared" si="3"/>
        <v/>
      </c>
      <c r="X1004" s="24" t="str">
        <f t="shared" si="4"/>
        <v/>
      </c>
    </row>
    <row r="1005" ht="14.25" customHeight="1">
      <c r="A1005" s="33">
        <f>HYPERLINK("https://app.hubspot.com/contacts/8748051/record/0-1/5748956717", 5748956717)</f>
        <v>5748956717</v>
      </c>
      <c r="B1005" s="24" t="s">
        <v>5658</v>
      </c>
      <c r="C1005" s="34"/>
      <c r="D1005" s="24" t="s">
        <v>5659</v>
      </c>
      <c r="E1005" s="28" t="s">
        <v>5660</v>
      </c>
      <c r="F1005" s="34"/>
      <c r="G1005" s="35">
        <v>45374.0</v>
      </c>
      <c r="H1005" s="34"/>
      <c r="I1005" s="34"/>
      <c r="J1005" s="34"/>
      <c r="K1005" s="34"/>
      <c r="L1005" s="34"/>
      <c r="M1005" s="33">
        <f>HYPERLINK("https://app.hubspot.com/contacts/8748051/record/0-2/36370816294", 36370816294)</f>
        <v>36370816294</v>
      </c>
      <c r="N1005" s="24" t="s">
        <v>5661</v>
      </c>
      <c r="O1005" s="34"/>
      <c r="P1005" s="34"/>
      <c r="Q1005" s="34"/>
      <c r="R1005" s="34"/>
      <c r="S1005" s="34"/>
      <c r="T1005" s="34" t="str">
        <f t="shared" ref="T1005:V1005" si="1010">IF(G1005&lt;&gt;"","Yes","")</f>
        <v>Yes</v>
      </c>
      <c r="U1005" s="34" t="str">
        <f t="shared" si="1010"/>
        <v/>
      </c>
      <c r="V1005" s="34" t="str">
        <f t="shared" si="1010"/>
        <v/>
      </c>
      <c r="W1005" s="34" t="str">
        <f t="shared" si="3"/>
        <v/>
      </c>
      <c r="X1005" s="24" t="str">
        <f t="shared" si="4"/>
        <v/>
      </c>
    </row>
    <row r="1006" ht="14.25" customHeight="1">
      <c r="A1006" s="33">
        <f>HYPERLINK("https://app.hubspot.com/contacts/8748051/record/0-1/5775886604", 5775886604)</f>
        <v>5775886604</v>
      </c>
      <c r="B1006" s="24" t="s">
        <v>5662</v>
      </c>
      <c r="C1006" s="34"/>
      <c r="D1006" s="24" t="s">
        <v>5663</v>
      </c>
      <c r="E1006" s="28" t="s">
        <v>5664</v>
      </c>
      <c r="F1006" s="34"/>
      <c r="G1006" s="35">
        <v>45374.0</v>
      </c>
      <c r="H1006" s="34"/>
      <c r="I1006" s="34"/>
      <c r="J1006" s="34"/>
      <c r="K1006" s="34"/>
      <c r="L1006" s="34"/>
      <c r="M1006" s="33">
        <f>HYPERLINK("https://app.hubspot.com/contacts/8748051/record/0-2/7624079167", 7624079167)</f>
        <v>7624079167</v>
      </c>
      <c r="N1006" s="24" t="s">
        <v>5665</v>
      </c>
      <c r="O1006" s="34"/>
      <c r="P1006" s="34"/>
      <c r="Q1006" s="34"/>
      <c r="R1006" s="34"/>
      <c r="S1006" s="34"/>
      <c r="T1006" s="34" t="str">
        <f t="shared" ref="T1006:V1006" si="1011">IF(G1006&lt;&gt;"","Yes","")</f>
        <v>Yes</v>
      </c>
      <c r="U1006" s="34" t="str">
        <f t="shared" si="1011"/>
        <v/>
      </c>
      <c r="V1006" s="34" t="str">
        <f t="shared" si="1011"/>
        <v/>
      </c>
      <c r="W1006" s="34" t="str">
        <f t="shared" si="3"/>
        <v/>
      </c>
      <c r="X1006" s="24" t="str">
        <f t="shared" si="4"/>
        <v/>
      </c>
    </row>
    <row r="1007" ht="14.25" customHeight="1">
      <c r="A1007" s="33">
        <f>HYPERLINK("https://app.hubspot.com/contacts/8748051/record/0-1/5828739137", 5828739137)</f>
        <v>5828739137</v>
      </c>
      <c r="B1007" s="24" t="s">
        <v>5666</v>
      </c>
      <c r="C1007" s="34"/>
      <c r="D1007" s="24" t="s">
        <v>5667</v>
      </c>
      <c r="E1007" s="28" t="s">
        <v>5668</v>
      </c>
      <c r="F1007" s="34"/>
      <c r="G1007" s="35">
        <v>45374.0</v>
      </c>
      <c r="H1007" s="34"/>
      <c r="I1007" s="34"/>
      <c r="J1007" s="34"/>
      <c r="K1007" s="34"/>
      <c r="L1007" s="34"/>
      <c r="M1007" s="33">
        <f>HYPERLINK("https://app.hubspot.com/contacts/8748051/record/0-2/18832324162", 18832324162)</f>
        <v>18832324162</v>
      </c>
      <c r="N1007" s="24" t="s">
        <v>5669</v>
      </c>
      <c r="O1007" s="34"/>
      <c r="P1007" s="34"/>
      <c r="Q1007" s="34"/>
      <c r="R1007" s="34"/>
      <c r="S1007" s="34"/>
      <c r="T1007" s="34" t="str">
        <f t="shared" ref="T1007:V1007" si="1012">IF(G1007&lt;&gt;"","Yes","")</f>
        <v>Yes</v>
      </c>
      <c r="U1007" s="34" t="str">
        <f t="shared" si="1012"/>
        <v/>
      </c>
      <c r="V1007" s="34" t="str">
        <f t="shared" si="1012"/>
        <v/>
      </c>
      <c r="W1007" s="34" t="str">
        <f t="shared" si="3"/>
        <v/>
      </c>
      <c r="X1007" s="24" t="str">
        <f t="shared" si="4"/>
        <v/>
      </c>
    </row>
    <row r="1008" ht="14.25" customHeight="1">
      <c r="A1008" s="33">
        <f>HYPERLINK("https://app.hubspot.com/contacts/8748051/record/0-1/5838020637", 5838020637)</f>
        <v>5838020637</v>
      </c>
      <c r="B1008" s="24" t="s">
        <v>5670</v>
      </c>
      <c r="C1008" s="34"/>
      <c r="D1008" s="24" t="s">
        <v>5671</v>
      </c>
      <c r="E1008" s="28" t="s">
        <v>2006</v>
      </c>
      <c r="F1008" s="34"/>
      <c r="G1008" s="35">
        <v>45374.0</v>
      </c>
      <c r="H1008" s="34"/>
      <c r="I1008" s="34"/>
      <c r="J1008" s="34"/>
      <c r="K1008" s="34"/>
      <c r="L1008" s="34"/>
      <c r="M1008" s="33">
        <f>HYPERLINK("https://app.hubspot.com/contacts/8748051/record/0-2/14810961931", 14810961931)</f>
        <v>14810961931</v>
      </c>
      <c r="N1008" s="24" t="s">
        <v>2005</v>
      </c>
      <c r="O1008" s="33">
        <f>HYPERLINK("https://app.hubspot.com/contacts/8748051/record/0-3/18241838613", 18241838613)</f>
        <v>18241838613</v>
      </c>
      <c r="P1008" s="24" t="s">
        <v>2004</v>
      </c>
      <c r="Q1008" s="24" t="s">
        <v>73</v>
      </c>
      <c r="R1008" s="24">
        <v>44400.0</v>
      </c>
      <c r="S1008" s="34"/>
      <c r="T1008" s="34" t="str">
        <f t="shared" ref="T1008:V1008" si="1013">IF(G1008&lt;&gt;"","Yes","")</f>
        <v>Yes</v>
      </c>
      <c r="U1008" s="34" t="str">
        <f t="shared" si="1013"/>
        <v/>
      </c>
      <c r="V1008" s="34" t="str">
        <f t="shared" si="1013"/>
        <v/>
      </c>
      <c r="W1008" s="34" t="str">
        <f t="shared" si="3"/>
        <v/>
      </c>
      <c r="X1008" s="24" t="str">
        <f t="shared" si="4"/>
        <v/>
      </c>
    </row>
    <row r="1009" ht="14.25" customHeight="1">
      <c r="A1009" s="33">
        <f>HYPERLINK("https://app.hubspot.com/contacts/8748051/record/0-1/5860366422", 5860366422)</f>
        <v>5860366422</v>
      </c>
      <c r="B1009" s="24" t="s">
        <v>5672</v>
      </c>
      <c r="C1009" s="34"/>
      <c r="D1009" s="24" t="s">
        <v>5673</v>
      </c>
      <c r="E1009" s="28" t="s">
        <v>5674</v>
      </c>
      <c r="F1009" s="34"/>
      <c r="G1009" s="35">
        <v>45376.0</v>
      </c>
      <c r="H1009" s="34"/>
      <c r="I1009" s="34"/>
      <c r="J1009" s="34"/>
      <c r="K1009" s="34"/>
      <c r="L1009" s="34"/>
      <c r="M1009" s="33">
        <f>HYPERLINK("https://app.hubspot.com/contacts/8748051/record/0-2/16065657194", 16065657194)</f>
        <v>16065657194</v>
      </c>
      <c r="N1009" s="24" t="s">
        <v>5675</v>
      </c>
      <c r="O1009" s="34"/>
      <c r="P1009" s="34"/>
      <c r="Q1009" s="34"/>
      <c r="R1009" s="34"/>
      <c r="S1009" s="34"/>
      <c r="T1009" s="34" t="str">
        <f t="shared" ref="T1009:V1009" si="1014">IF(G1009&lt;&gt;"","Yes","")</f>
        <v>Yes</v>
      </c>
      <c r="U1009" s="34" t="str">
        <f t="shared" si="1014"/>
        <v/>
      </c>
      <c r="V1009" s="34" t="str">
        <f t="shared" si="1014"/>
        <v/>
      </c>
      <c r="W1009" s="34" t="str">
        <f t="shared" si="3"/>
        <v/>
      </c>
      <c r="X1009" s="24" t="str">
        <f t="shared" si="4"/>
        <v/>
      </c>
    </row>
    <row r="1010" ht="14.25" customHeight="1">
      <c r="A1010" s="33">
        <f>HYPERLINK("https://app.hubspot.com/contacts/8748051/record/0-1/5883609010", 5883609010)</f>
        <v>5883609010</v>
      </c>
      <c r="B1010" s="24" t="s">
        <v>5676</v>
      </c>
      <c r="C1010" s="34"/>
      <c r="D1010" s="24" t="s">
        <v>5677</v>
      </c>
      <c r="E1010" s="28" t="s">
        <v>1892</v>
      </c>
      <c r="F1010" s="34"/>
      <c r="G1010" s="35">
        <v>45377.0</v>
      </c>
      <c r="H1010" s="35">
        <v>45398.0</v>
      </c>
      <c r="I1010" s="35">
        <v>45398.0</v>
      </c>
      <c r="J1010" s="34"/>
      <c r="K1010" s="34"/>
      <c r="L1010" s="34"/>
      <c r="M1010" s="33">
        <f>HYPERLINK("https://app.hubspot.com/contacts/8748051/record/0-2/8724376947", 8724376947)</f>
        <v>8724376947</v>
      </c>
      <c r="N1010" s="24" t="s">
        <v>1891</v>
      </c>
      <c r="O1010" s="33">
        <f>HYPERLINK("https://app.hubspot.com/contacts/8748051/record/0-3/18673492017", 18673492017)</f>
        <v>18673492017</v>
      </c>
      <c r="P1010" s="24" t="s">
        <v>1890</v>
      </c>
      <c r="Q1010" s="24" t="s">
        <v>73</v>
      </c>
      <c r="R1010" s="24">
        <v>7440.0</v>
      </c>
      <c r="S1010" s="34"/>
      <c r="T1010" s="34" t="str">
        <f t="shared" ref="T1010:V1010" si="1015">IF(G1010&lt;&gt;"","Yes","")</f>
        <v>Yes</v>
      </c>
      <c r="U1010" s="34" t="str">
        <f t="shared" si="1015"/>
        <v>Yes</v>
      </c>
      <c r="V1010" s="34" t="str">
        <f t="shared" si="1015"/>
        <v>Yes</v>
      </c>
      <c r="W1010" s="34" t="str">
        <f t="shared" si="3"/>
        <v/>
      </c>
      <c r="X1010" s="24" t="str">
        <f t="shared" si="4"/>
        <v/>
      </c>
    </row>
    <row r="1011" ht="14.25" customHeight="1">
      <c r="A1011" s="33">
        <f>HYPERLINK("https://app.hubspot.com/contacts/8748051/record/0-1/6018896688", 6018896688)</f>
        <v>6018896688</v>
      </c>
      <c r="B1011" s="24" t="s">
        <v>5678</v>
      </c>
      <c r="C1011" s="34"/>
      <c r="D1011" s="24" t="s">
        <v>5679</v>
      </c>
      <c r="E1011" s="28" t="s">
        <v>5680</v>
      </c>
      <c r="F1011" s="34"/>
      <c r="G1011" s="35">
        <v>45377.0</v>
      </c>
      <c r="H1011" s="34"/>
      <c r="I1011" s="34"/>
      <c r="J1011" s="34"/>
      <c r="K1011" s="34"/>
      <c r="L1011" s="34"/>
      <c r="M1011" s="33">
        <f>HYPERLINK("https://app.hubspot.com/contacts/8748051/record/0-2/19176675612", 19176675612)</f>
        <v>19176675612</v>
      </c>
      <c r="N1011" s="24" t="s">
        <v>5681</v>
      </c>
      <c r="O1011" s="34"/>
      <c r="P1011" s="34"/>
      <c r="Q1011" s="34"/>
      <c r="R1011" s="34"/>
      <c r="S1011" s="34"/>
      <c r="T1011" s="34" t="str">
        <f t="shared" ref="T1011:V1011" si="1016">IF(G1011&lt;&gt;"","Yes","")</f>
        <v>Yes</v>
      </c>
      <c r="U1011" s="34" t="str">
        <f t="shared" si="1016"/>
        <v/>
      </c>
      <c r="V1011" s="34" t="str">
        <f t="shared" si="1016"/>
        <v/>
      </c>
      <c r="W1011" s="34" t="str">
        <f t="shared" si="3"/>
        <v/>
      </c>
      <c r="X1011" s="24" t="str">
        <f t="shared" si="4"/>
        <v/>
      </c>
    </row>
    <row r="1012" ht="14.25" customHeight="1">
      <c r="A1012" s="33">
        <f>HYPERLINK("https://app.hubspot.com/contacts/8748051/record/0-1/6101387335", 6101387335)</f>
        <v>6101387335</v>
      </c>
      <c r="B1012" s="24" t="s">
        <v>5682</v>
      </c>
      <c r="C1012" s="34"/>
      <c r="D1012" s="24" t="s">
        <v>5683</v>
      </c>
      <c r="E1012" s="28" t="s">
        <v>5684</v>
      </c>
      <c r="F1012" s="34"/>
      <c r="G1012" s="35">
        <v>45376.0</v>
      </c>
      <c r="H1012" s="34"/>
      <c r="I1012" s="34"/>
      <c r="J1012" s="34"/>
      <c r="K1012" s="34"/>
      <c r="L1012" s="34"/>
      <c r="M1012" s="33">
        <f>HYPERLINK("https://app.hubspot.com/contacts/8748051/record/0-2/19176336044", 19176336044)</f>
        <v>19176336044</v>
      </c>
      <c r="N1012" s="24" t="s">
        <v>5685</v>
      </c>
      <c r="O1012" s="34"/>
      <c r="P1012" s="34"/>
      <c r="Q1012" s="34"/>
      <c r="R1012" s="34"/>
      <c r="S1012" s="34"/>
      <c r="T1012" s="34" t="str">
        <f t="shared" ref="T1012:V1012" si="1017">IF(G1012&lt;&gt;"","Yes","")</f>
        <v>Yes</v>
      </c>
      <c r="U1012" s="34" t="str">
        <f t="shared" si="1017"/>
        <v/>
      </c>
      <c r="V1012" s="34" t="str">
        <f t="shared" si="1017"/>
        <v/>
      </c>
      <c r="W1012" s="34" t="str">
        <f t="shared" si="3"/>
        <v/>
      </c>
      <c r="X1012" s="24" t="str">
        <f t="shared" si="4"/>
        <v/>
      </c>
    </row>
    <row r="1013" ht="14.25" customHeight="1">
      <c r="A1013" s="33">
        <f>HYPERLINK("https://app.hubspot.com/contacts/8748051/record/0-1/6224040317", 6224040317)</f>
        <v>6224040317</v>
      </c>
      <c r="B1013" s="24" t="s">
        <v>5686</v>
      </c>
      <c r="C1013" s="34"/>
      <c r="D1013" s="24" t="s">
        <v>5687</v>
      </c>
      <c r="E1013" s="28" t="s">
        <v>1886</v>
      </c>
      <c r="F1013" s="34"/>
      <c r="G1013" s="35">
        <v>45376.0</v>
      </c>
      <c r="H1013" s="34"/>
      <c r="I1013" s="34"/>
      <c r="J1013" s="34"/>
      <c r="K1013" s="34"/>
      <c r="L1013" s="34"/>
      <c r="M1013" s="33">
        <f>HYPERLINK("https://app.hubspot.com/contacts/8748051/record/0-2/7514178488", 7514178488)</f>
        <v>7514178488</v>
      </c>
      <c r="N1013" s="24" t="s">
        <v>1885</v>
      </c>
      <c r="O1013" s="34"/>
      <c r="P1013" s="34"/>
      <c r="Q1013" s="34"/>
      <c r="R1013" s="34"/>
      <c r="S1013" s="34"/>
      <c r="T1013" s="34" t="str">
        <f t="shared" ref="T1013:V1013" si="1018">IF(G1013&lt;&gt;"","Yes","")</f>
        <v>Yes</v>
      </c>
      <c r="U1013" s="34" t="str">
        <f t="shared" si="1018"/>
        <v/>
      </c>
      <c r="V1013" s="34" t="str">
        <f t="shared" si="1018"/>
        <v/>
      </c>
      <c r="W1013" s="34" t="str">
        <f t="shared" si="3"/>
        <v/>
      </c>
      <c r="X1013" s="24" t="str">
        <f t="shared" si="4"/>
        <v/>
      </c>
    </row>
    <row r="1014" ht="14.25" customHeight="1">
      <c r="A1014" s="33">
        <f>HYPERLINK("https://app.hubspot.com/contacts/8748051/record/0-1/6306859063", 6306859063)</f>
        <v>6306859063</v>
      </c>
      <c r="B1014" s="24" t="s">
        <v>5688</v>
      </c>
      <c r="C1014" s="34"/>
      <c r="D1014" s="24" t="s">
        <v>5689</v>
      </c>
      <c r="E1014" s="28" t="s">
        <v>5636</v>
      </c>
      <c r="F1014" s="24" t="s">
        <v>5614</v>
      </c>
      <c r="G1014" s="34"/>
      <c r="H1014" s="34"/>
      <c r="I1014" s="34"/>
      <c r="J1014" s="34"/>
      <c r="K1014" s="34"/>
      <c r="L1014" s="34"/>
      <c r="M1014" s="33">
        <f>HYPERLINK("https://app.hubspot.com/contacts/8748051/record/0-2/12428448844", 12428448844)</f>
        <v>12428448844</v>
      </c>
      <c r="N1014" s="24" t="s">
        <v>5637</v>
      </c>
      <c r="O1014" s="34"/>
      <c r="P1014" s="34"/>
      <c r="Q1014" s="34"/>
      <c r="R1014" s="34"/>
      <c r="S1014" s="34"/>
      <c r="T1014" s="34" t="str">
        <f t="shared" ref="T1014:V1014" si="1019">IF(G1014&lt;&gt;"","Yes","")</f>
        <v/>
      </c>
      <c r="U1014" s="34" t="str">
        <f t="shared" si="1019"/>
        <v/>
      </c>
      <c r="V1014" s="34" t="str">
        <f t="shared" si="1019"/>
        <v/>
      </c>
      <c r="W1014" s="34" t="str">
        <f t="shared" si="3"/>
        <v/>
      </c>
      <c r="X1014" s="24" t="str">
        <f t="shared" si="4"/>
        <v/>
      </c>
    </row>
    <row r="1015" ht="14.25" customHeight="1">
      <c r="A1015" s="33">
        <f>HYPERLINK("https://app.hubspot.com/contacts/8748051/record/0-1/6455105694", 6455105694)</f>
        <v>6455105694</v>
      </c>
      <c r="B1015" s="24" t="s">
        <v>5690</v>
      </c>
      <c r="C1015" s="34"/>
      <c r="D1015" s="24" t="s">
        <v>5691</v>
      </c>
      <c r="E1015" s="28" t="s">
        <v>5692</v>
      </c>
      <c r="F1015" s="34"/>
      <c r="G1015" s="35">
        <v>45377.0</v>
      </c>
      <c r="H1015" s="34"/>
      <c r="I1015" s="34"/>
      <c r="J1015" s="34"/>
      <c r="K1015" s="34"/>
      <c r="L1015" s="34"/>
      <c r="M1015" s="33">
        <f>HYPERLINK("https://app.hubspot.com/contacts/8748051/record/0-2/32765662230", 32765662230)</f>
        <v>32765662230</v>
      </c>
      <c r="N1015" s="24" t="s">
        <v>5693</v>
      </c>
      <c r="O1015" s="34"/>
      <c r="P1015" s="34"/>
      <c r="Q1015" s="34"/>
      <c r="R1015" s="34"/>
      <c r="S1015" s="34"/>
      <c r="T1015" s="34" t="str">
        <f t="shared" ref="T1015:V1015" si="1020">IF(G1015&lt;&gt;"","Yes","")</f>
        <v>Yes</v>
      </c>
      <c r="U1015" s="34" t="str">
        <f t="shared" si="1020"/>
        <v/>
      </c>
      <c r="V1015" s="34" t="str">
        <f t="shared" si="1020"/>
        <v/>
      </c>
      <c r="W1015" s="34" t="str">
        <f t="shared" si="3"/>
        <v/>
      </c>
      <c r="X1015" s="24" t="str">
        <f t="shared" si="4"/>
        <v/>
      </c>
    </row>
    <row r="1016" ht="14.25" customHeight="1">
      <c r="A1016" s="33">
        <f>HYPERLINK("https://app.hubspot.com/contacts/8748051/record/0-1/6506660223", 6506660223)</f>
        <v>6506660223</v>
      </c>
      <c r="B1016" s="24" t="s">
        <v>5694</v>
      </c>
      <c r="C1016" s="34"/>
      <c r="D1016" s="24" t="s">
        <v>5695</v>
      </c>
      <c r="E1016" s="28" t="s">
        <v>1953</v>
      </c>
      <c r="F1016" s="34"/>
      <c r="G1016" s="35">
        <v>45377.0</v>
      </c>
      <c r="H1016" s="35">
        <v>45384.0</v>
      </c>
      <c r="I1016" s="35">
        <v>45384.0</v>
      </c>
      <c r="J1016" s="34"/>
      <c r="K1016" s="34"/>
      <c r="L1016" s="34"/>
      <c r="M1016" s="33">
        <f>HYPERLINK("https://app.hubspot.com/contacts/8748051/record/0-2/19176617366", 19176617366)</f>
        <v>19176617366</v>
      </c>
      <c r="N1016" s="24" t="s">
        <v>1952</v>
      </c>
      <c r="O1016" s="33">
        <f>HYPERLINK("https://app.hubspot.com/contacts/8748051/record/0-3/18377682338", 18377682338)</f>
        <v>18377682338</v>
      </c>
      <c r="P1016" s="24" t="s">
        <v>1951</v>
      </c>
      <c r="Q1016" s="24" t="s">
        <v>73</v>
      </c>
      <c r="R1016" s="24">
        <v>4560.0</v>
      </c>
      <c r="S1016" s="34"/>
      <c r="T1016" s="34" t="str">
        <f t="shared" ref="T1016:V1016" si="1021">IF(G1016&lt;&gt;"","Yes","")</f>
        <v>Yes</v>
      </c>
      <c r="U1016" s="34" t="str">
        <f t="shared" si="1021"/>
        <v>Yes</v>
      </c>
      <c r="V1016" s="34" t="str">
        <f t="shared" si="1021"/>
        <v>Yes</v>
      </c>
      <c r="W1016" s="34" t="str">
        <f t="shared" si="3"/>
        <v/>
      </c>
      <c r="X1016" s="24" t="str">
        <f t="shared" si="4"/>
        <v/>
      </c>
    </row>
    <row r="1017" ht="14.25" customHeight="1">
      <c r="A1017" s="33">
        <f>HYPERLINK("https://app.hubspot.com/contacts/8748051/record/0-1/6588704950", 6588704950)</f>
        <v>6588704950</v>
      </c>
      <c r="B1017" s="24" t="s">
        <v>5696</v>
      </c>
      <c r="C1017" s="34"/>
      <c r="D1017" s="24" t="s">
        <v>5697</v>
      </c>
      <c r="E1017" s="28" t="s">
        <v>5698</v>
      </c>
      <c r="F1017" s="24" t="s">
        <v>5699</v>
      </c>
      <c r="G1017" s="34"/>
      <c r="H1017" s="34"/>
      <c r="I1017" s="34"/>
      <c r="J1017" s="34"/>
      <c r="K1017" s="34"/>
      <c r="L1017" s="34"/>
      <c r="M1017" s="33">
        <f>HYPERLINK("https://app.hubspot.com/contacts/8748051/record/0-2/15783183189", 15783183189)</f>
        <v>15783183189</v>
      </c>
      <c r="N1017" s="24" t="s">
        <v>5700</v>
      </c>
      <c r="O1017" s="34"/>
      <c r="P1017" s="34"/>
      <c r="Q1017" s="34"/>
      <c r="R1017" s="34"/>
      <c r="S1017" s="34"/>
      <c r="T1017" s="34" t="str">
        <f t="shared" ref="T1017:V1017" si="1022">IF(G1017&lt;&gt;"","Yes","")</f>
        <v/>
      </c>
      <c r="U1017" s="34" t="str">
        <f t="shared" si="1022"/>
        <v/>
      </c>
      <c r="V1017" s="34" t="str">
        <f t="shared" si="1022"/>
        <v/>
      </c>
      <c r="W1017" s="34" t="str">
        <f t="shared" si="3"/>
        <v/>
      </c>
      <c r="X1017" s="24" t="str">
        <f t="shared" si="4"/>
        <v/>
      </c>
    </row>
    <row r="1018" ht="14.25" customHeight="1">
      <c r="A1018" s="33">
        <f>HYPERLINK("https://app.hubspot.com/contacts/8748051/record/0-1/6594396576", 6594396576)</f>
        <v>6594396576</v>
      </c>
      <c r="B1018" s="24" t="s">
        <v>5701</v>
      </c>
      <c r="C1018" s="34"/>
      <c r="D1018" s="24" t="s">
        <v>5702</v>
      </c>
      <c r="E1018" s="28" t="s">
        <v>5703</v>
      </c>
      <c r="F1018" s="24" t="s">
        <v>5614</v>
      </c>
      <c r="G1018" s="34"/>
      <c r="H1018" s="34"/>
      <c r="I1018" s="34"/>
      <c r="J1018" s="34"/>
      <c r="K1018" s="34"/>
      <c r="L1018" s="34"/>
      <c r="M1018" s="33">
        <f>HYPERLINK("https://app.hubspot.com/contacts/8748051/record/0-2/19176627114", 19176627114)</f>
        <v>19176627114</v>
      </c>
      <c r="N1018" s="24" t="s">
        <v>5704</v>
      </c>
      <c r="O1018" s="34"/>
      <c r="P1018" s="34"/>
      <c r="Q1018" s="34"/>
      <c r="R1018" s="34"/>
      <c r="S1018" s="34"/>
      <c r="T1018" s="34" t="str">
        <f t="shared" ref="T1018:V1018" si="1023">IF(G1018&lt;&gt;"","Yes","")</f>
        <v/>
      </c>
      <c r="U1018" s="34" t="str">
        <f t="shared" si="1023"/>
        <v/>
      </c>
      <c r="V1018" s="34" t="str">
        <f t="shared" si="1023"/>
        <v/>
      </c>
      <c r="W1018" s="34" t="str">
        <f t="shared" si="3"/>
        <v/>
      </c>
      <c r="X1018" s="24" t="str">
        <f t="shared" si="4"/>
        <v/>
      </c>
    </row>
    <row r="1019" ht="14.25" customHeight="1">
      <c r="A1019" s="33">
        <f>HYPERLINK("https://app.hubspot.com/contacts/8748051/record/0-1/6630865693", 6630865693)</f>
        <v>6630865693</v>
      </c>
      <c r="B1019" s="24" t="s">
        <v>5705</v>
      </c>
      <c r="C1019" s="34"/>
      <c r="D1019" s="24" t="s">
        <v>5706</v>
      </c>
      <c r="E1019" s="28" t="s">
        <v>1747</v>
      </c>
      <c r="F1019" s="34"/>
      <c r="G1019" s="35">
        <v>45425.0</v>
      </c>
      <c r="H1019" s="34"/>
      <c r="I1019" s="34"/>
      <c r="J1019" s="34"/>
      <c r="K1019" s="34"/>
      <c r="L1019" s="34"/>
      <c r="M1019" s="33">
        <f>HYPERLINK("https://app.hubspot.com/contacts/8748051/record/0-2/19176224837", 19176224837)</f>
        <v>19176224837</v>
      </c>
      <c r="N1019" s="24" t="s">
        <v>1746</v>
      </c>
      <c r="O1019" s="33">
        <f>HYPERLINK("https://app.hubspot.com/contacts/8748051/record/0-3/19433554088", 19433554088)</f>
        <v>19433554088</v>
      </c>
      <c r="P1019" s="24" t="s">
        <v>1745</v>
      </c>
      <c r="Q1019" s="24" t="s">
        <v>73</v>
      </c>
      <c r="R1019" s="24">
        <v>3120.0</v>
      </c>
      <c r="S1019" s="34"/>
      <c r="T1019" s="34" t="str">
        <f t="shared" ref="T1019:V1019" si="1024">IF(G1019&lt;&gt;"","Yes","")</f>
        <v>Yes</v>
      </c>
      <c r="U1019" s="34" t="str">
        <f t="shared" si="1024"/>
        <v/>
      </c>
      <c r="V1019" s="34" t="str">
        <f t="shared" si="1024"/>
        <v/>
      </c>
      <c r="W1019" s="34" t="str">
        <f t="shared" si="3"/>
        <v/>
      </c>
      <c r="X1019" s="24" t="str">
        <f t="shared" si="4"/>
        <v/>
      </c>
    </row>
    <row r="1020" ht="14.25" customHeight="1">
      <c r="A1020" s="33">
        <f>HYPERLINK("https://app.hubspot.com/contacts/8748051/record/0-1/6694273418", 6694273418)</f>
        <v>6694273418</v>
      </c>
      <c r="B1020" s="24" t="s">
        <v>5707</v>
      </c>
      <c r="C1020" s="34"/>
      <c r="D1020" s="24" t="s">
        <v>5708</v>
      </c>
      <c r="E1020" s="28" t="s">
        <v>5709</v>
      </c>
      <c r="F1020" s="24" t="s">
        <v>5710</v>
      </c>
      <c r="G1020" s="34"/>
      <c r="H1020" s="34"/>
      <c r="I1020" s="34"/>
      <c r="J1020" s="34"/>
      <c r="K1020" s="34"/>
      <c r="L1020" s="34"/>
      <c r="M1020" s="33">
        <f>HYPERLINK("https://app.hubspot.com/contacts/8748051/record/0-2/19697351557", 19697351557)</f>
        <v>19697351557</v>
      </c>
      <c r="N1020" s="24" t="s">
        <v>5711</v>
      </c>
      <c r="O1020" s="34"/>
      <c r="P1020" s="34"/>
      <c r="Q1020" s="34"/>
      <c r="R1020" s="34"/>
      <c r="S1020" s="34"/>
      <c r="T1020" s="34" t="str">
        <f t="shared" ref="T1020:V1020" si="1025">IF(G1020&lt;&gt;"","Yes","")</f>
        <v/>
      </c>
      <c r="U1020" s="34" t="str">
        <f t="shared" si="1025"/>
        <v/>
      </c>
      <c r="V1020" s="34" t="str">
        <f t="shared" si="1025"/>
        <v/>
      </c>
      <c r="W1020" s="34" t="str">
        <f t="shared" si="3"/>
        <v/>
      </c>
      <c r="X1020" s="24" t="str">
        <f t="shared" si="4"/>
        <v/>
      </c>
    </row>
    <row r="1021" ht="14.25" customHeight="1">
      <c r="A1021" s="33">
        <f>HYPERLINK("https://app.hubspot.com/contacts/8748051/record/0-1/6815700540", 6815700540)</f>
        <v>6815700540</v>
      </c>
      <c r="B1021" s="24" t="s">
        <v>5712</v>
      </c>
      <c r="C1021" s="34"/>
      <c r="D1021" s="24" t="s">
        <v>5713</v>
      </c>
      <c r="E1021" s="28" t="s">
        <v>5714</v>
      </c>
      <c r="F1021" s="34"/>
      <c r="G1021" s="35">
        <v>45378.0</v>
      </c>
      <c r="H1021" s="34"/>
      <c r="I1021" s="34"/>
      <c r="J1021" s="34"/>
      <c r="K1021" s="34"/>
      <c r="L1021" s="34"/>
      <c r="M1021" s="33">
        <f>HYPERLINK("https://app.hubspot.com/contacts/8748051/record/0-2/19176609085", 19176609085)</f>
        <v>19176609085</v>
      </c>
      <c r="N1021" s="24" t="s">
        <v>5715</v>
      </c>
      <c r="O1021" s="34"/>
      <c r="P1021" s="34"/>
      <c r="Q1021" s="34"/>
      <c r="R1021" s="34"/>
      <c r="S1021" s="34"/>
      <c r="T1021" s="34" t="str">
        <f t="shared" ref="T1021:V1021" si="1026">IF(G1021&lt;&gt;"","Yes","")</f>
        <v>Yes</v>
      </c>
      <c r="U1021" s="34" t="str">
        <f t="shared" si="1026"/>
        <v/>
      </c>
      <c r="V1021" s="34" t="str">
        <f t="shared" si="1026"/>
        <v/>
      </c>
      <c r="W1021" s="34" t="str">
        <f t="shared" si="3"/>
        <v/>
      </c>
      <c r="X1021" s="24" t="str">
        <f t="shared" si="4"/>
        <v/>
      </c>
    </row>
    <row r="1022" ht="14.25" customHeight="1">
      <c r="A1022" s="33">
        <f>HYPERLINK("https://app.hubspot.com/contacts/8748051/record/0-1/6855947393", 6855947393)</f>
        <v>6855947393</v>
      </c>
      <c r="B1022" s="24" t="s">
        <v>5716</v>
      </c>
      <c r="C1022" s="34"/>
      <c r="D1022" s="24" t="s">
        <v>5717</v>
      </c>
      <c r="E1022" s="28" t="s">
        <v>5718</v>
      </c>
      <c r="F1022" s="34"/>
      <c r="G1022" s="35">
        <v>45378.0</v>
      </c>
      <c r="H1022" s="34"/>
      <c r="I1022" s="34"/>
      <c r="J1022" s="34"/>
      <c r="K1022" s="34"/>
      <c r="L1022" s="34"/>
      <c r="M1022" s="33">
        <f>HYPERLINK("https://app.hubspot.com/contacts/8748051/record/0-2/19176609070", 19176609070)</f>
        <v>19176609070</v>
      </c>
      <c r="N1022" s="24" t="s">
        <v>5719</v>
      </c>
      <c r="O1022" s="34"/>
      <c r="P1022" s="34"/>
      <c r="Q1022" s="34"/>
      <c r="R1022" s="34"/>
      <c r="S1022" s="34"/>
      <c r="T1022" s="34" t="str">
        <f t="shared" ref="T1022:V1022" si="1027">IF(G1022&lt;&gt;"","Yes","")</f>
        <v>Yes</v>
      </c>
      <c r="U1022" s="34" t="str">
        <f t="shared" si="1027"/>
        <v/>
      </c>
      <c r="V1022" s="34" t="str">
        <f t="shared" si="1027"/>
        <v/>
      </c>
      <c r="W1022" s="34" t="str">
        <f t="shared" si="3"/>
        <v/>
      </c>
      <c r="X1022" s="24" t="str">
        <f t="shared" si="4"/>
        <v/>
      </c>
    </row>
    <row r="1023" ht="14.25" customHeight="1">
      <c r="A1023" s="33">
        <f>HYPERLINK("https://app.hubspot.com/contacts/8748051/record/0-1/6870531633", 6870531633)</f>
        <v>6870531633</v>
      </c>
      <c r="B1023" s="24" t="s">
        <v>5720</v>
      </c>
      <c r="C1023" s="34"/>
      <c r="D1023" s="24" t="s">
        <v>5721</v>
      </c>
      <c r="E1023" s="28" t="s">
        <v>5722</v>
      </c>
      <c r="F1023" s="34"/>
      <c r="G1023" s="35">
        <v>45378.0</v>
      </c>
      <c r="H1023" s="34"/>
      <c r="I1023" s="34"/>
      <c r="J1023" s="34"/>
      <c r="K1023" s="34"/>
      <c r="L1023" s="34"/>
      <c r="M1023" s="33">
        <f>HYPERLINK("https://app.hubspot.com/contacts/8748051/record/0-2/7915837730", 7915837730)</f>
        <v>7915837730</v>
      </c>
      <c r="N1023" s="24" t="s">
        <v>5723</v>
      </c>
      <c r="O1023" s="34"/>
      <c r="P1023" s="34"/>
      <c r="Q1023" s="34"/>
      <c r="R1023" s="34"/>
      <c r="S1023" s="34"/>
      <c r="T1023" s="34" t="str">
        <f t="shared" ref="T1023:V1023" si="1028">IF(G1023&lt;&gt;"","Yes","")</f>
        <v>Yes</v>
      </c>
      <c r="U1023" s="34" t="str">
        <f t="shared" si="1028"/>
        <v/>
      </c>
      <c r="V1023" s="34" t="str">
        <f t="shared" si="1028"/>
        <v/>
      </c>
      <c r="W1023" s="34" t="str">
        <f t="shared" si="3"/>
        <v/>
      </c>
      <c r="X1023" s="24" t="str">
        <f t="shared" si="4"/>
        <v/>
      </c>
    </row>
    <row r="1024" ht="14.25" customHeight="1">
      <c r="A1024" s="33">
        <f>HYPERLINK("https://app.hubspot.com/contacts/8748051/record/0-1/6911334799", 6911334799)</f>
        <v>6911334799</v>
      </c>
      <c r="B1024" s="24" t="s">
        <v>5724</v>
      </c>
      <c r="C1024" s="34"/>
      <c r="D1024" s="24" t="s">
        <v>5725</v>
      </c>
      <c r="E1024" s="28" t="s">
        <v>5726</v>
      </c>
      <c r="F1024" s="24" t="s">
        <v>5727</v>
      </c>
      <c r="G1024" s="34"/>
      <c r="H1024" s="34"/>
      <c r="I1024" s="34"/>
      <c r="J1024" s="34"/>
      <c r="K1024" s="34"/>
      <c r="L1024" s="34"/>
      <c r="M1024" s="33">
        <f>HYPERLINK("https://app.hubspot.com/contacts/8748051/record/0-2/19711536976", 19711536976)</f>
        <v>19711536976</v>
      </c>
      <c r="N1024" s="24" t="s">
        <v>5728</v>
      </c>
      <c r="O1024" s="34"/>
      <c r="P1024" s="34"/>
      <c r="Q1024" s="34"/>
      <c r="R1024" s="34"/>
      <c r="S1024" s="34"/>
      <c r="T1024" s="34" t="str">
        <f t="shared" ref="T1024:V1024" si="1029">IF(G1024&lt;&gt;"","Yes","")</f>
        <v/>
      </c>
      <c r="U1024" s="34" t="str">
        <f t="shared" si="1029"/>
        <v/>
      </c>
      <c r="V1024" s="34" t="str">
        <f t="shared" si="1029"/>
        <v/>
      </c>
      <c r="W1024" s="34" t="str">
        <f t="shared" si="3"/>
        <v/>
      </c>
      <c r="X1024" s="24" t="str">
        <f t="shared" si="4"/>
        <v/>
      </c>
    </row>
    <row r="1025" ht="14.25" customHeight="1">
      <c r="A1025" s="33">
        <f>HYPERLINK("https://app.hubspot.com/contacts/8748051/record/0-1/6978769964", 6978769964)</f>
        <v>6978769964</v>
      </c>
      <c r="B1025" s="24" t="s">
        <v>5729</v>
      </c>
      <c r="C1025" s="34"/>
      <c r="D1025" s="24" t="s">
        <v>5730</v>
      </c>
      <c r="E1025" s="28" t="s">
        <v>1985</v>
      </c>
      <c r="F1025" s="34"/>
      <c r="G1025" s="35">
        <v>45378.0</v>
      </c>
      <c r="H1025" s="35">
        <v>45383.0</v>
      </c>
      <c r="I1025" s="35">
        <v>45383.0</v>
      </c>
      <c r="J1025" s="34"/>
      <c r="K1025" s="34"/>
      <c r="L1025" s="34"/>
      <c r="M1025" s="33">
        <f>HYPERLINK("https://app.hubspot.com/contacts/8748051/record/0-2/17551055214", 17551055214)</f>
        <v>17551055214</v>
      </c>
      <c r="N1025" s="24" t="s">
        <v>1984</v>
      </c>
      <c r="O1025" s="33">
        <f>HYPERLINK("https://app.hubspot.com/contacts/8748051/record/0-3/18265988383", 18265988383)</f>
        <v>18265988383</v>
      </c>
      <c r="P1025" s="24" t="s">
        <v>1983</v>
      </c>
      <c r="Q1025" s="24" t="s">
        <v>73</v>
      </c>
      <c r="R1025" s="24">
        <v>7440.0</v>
      </c>
      <c r="S1025" s="34"/>
      <c r="T1025" s="34" t="str">
        <f t="shared" ref="T1025:V1025" si="1030">IF(G1025&lt;&gt;"","Yes","")</f>
        <v>Yes</v>
      </c>
      <c r="U1025" s="34" t="str">
        <f t="shared" si="1030"/>
        <v>Yes</v>
      </c>
      <c r="V1025" s="34" t="str">
        <f t="shared" si="1030"/>
        <v>Yes</v>
      </c>
      <c r="W1025" s="34" t="str">
        <f t="shared" si="3"/>
        <v/>
      </c>
      <c r="X1025" s="24" t="str">
        <f t="shared" si="4"/>
        <v/>
      </c>
    </row>
    <row r="1026" ht="14.25" customHeight="1">
      <c r="A1026" s="33">
        <f>HYPERLINK("https://app.hubspot.com/contacts/8748051/record/0-1/7083375969", 7083375969)</f>
        <v>7083375969</v>
      </c>
      <c r="B1026" s="24" t="s">
        <v>5731</v>
      </c>
      <c r="C1026" s="34"/>
      <c r="D1026" s="24" t="s">
        <v>5732</v>
      </c>
      <c r="E1026" s="28" t="s">
        <v>5733</v>
      </c>
      <c r="F1026" s="34"/>
      <c r="G1026" s="35">
        <v>45380.0</v>
      </c>
      <c r="H1026" s="34"/>
      <c r="I1026" s="34"/>
      <c r="J1026" s="34"/>
      <c r="K1026" s="34"/>
      <c r="L1026" s="34"/>
      <c r="M1026" s="33">
        <f>HYPERLINK("https://app.hubspot.com/contacts/8748051/record/0-2/9174474865", 9174474865)</f>
        <v>9174474865</v>
      </c>
      <c r="N1026" s="24" t="s">
        <v>5734</v>
      </c>
      <c r="O1026" s="34"/>
      <c r="P1026" s="34"/>
      <c r="Q1026" s="34"/>
      <c r="R1026" s="34"/>
      <c r="S1026" s="34"/>
      <c r="T1026" s="34" t="str">
        <f t="shared" ref="T1026:V1026" si="1031">IF(G1026&lt;&gt;"","Yes","")</f>
        <v>Yes</v>
      </c>
      <c r="U1026" s="34" t="str">
        <f t="shared" si="1031"/>
        <v/>
      </c>
      <c r="V1026" s="34" t="str">
        <f t="shared" si="1031"/>
        <v/>
      </c>
      <c r="W1026" s="34" t="str">
        <f t="shared" si="3"/>
        <v/>
      </c>
      <c r="X1026" s="24" t="str">
        <f t="shared" si="4"/>
        <v/>
      </c>
    </row>
    <row r="1027" ht="14.25" customHeight="1">
      <c r="A1027" s="33">
        <f>HYPERLINK("https://app.hubspot.com/contacts/8748051/record/0-1/7111144368", 7111144368)</f>
        <v>7111144368</v>
      </c>
      <c r="B1027" s="24" t="s">
        <v>5735</v>
      </c>
      <c r="C1027" s="34"/>
      <c r="D1027" s="24" t="s">
        <v>5736</v>
      </c>
      <c r="E1027" s="28" t="s">
        <v>5737</v>
      </c>
      <c r="F1027" s="24" t="s">
        <v>5738</v>
      </c>
      <c r="G1027" s="34"/>
      <c r="H1027" s="34"/>
      <c r="I1027" s="34"/>
      <c r="J1027" s="34"/>
      <c r="K1027" s="34"/>
      <c r="L1027" s="34"/>
      <c r="M1027" s="33">
        <f>HYPERLINK("https://app.hubspot.com/contacts/8748051/record/0-2/19176574764", 19176574764)</f>
        <v>19176574764</v>
      </c>
      <c r="N1027" s="24" t="s">
        <v>5739</v>
      </c>
      <c r="O1027" s="34"/>
      <c r="P1027" s="34"/>
      <c r="Q1027" s="34"/>
      <c r="R1027" s="34"/>
      <c r="S1027" s="34"/>
      <c r="T1027" s="34" t="str">
        <f t="shared" ref="T1027:V1027" si="1032">IF(G1027&lt;&gt;"","Yes","")</f>
        <v/>
      </c>
      <c r="U1027" s="34" t="str">
        <f t="shared" si="1032"/>
        <v/>
      </c>
      <c r="V1027" s="34" t="str">
        <f t="shared" si="1032"/>
        <v/>
      </c>
      <c r="W1027" s="34" t="str">
        <f t="shared" si="3"/>
        <v/>
      </c>
      <c r="X1027" s="24" t="str">
        <f t="shared" si="4"/>
        <v/>
      </c>
    </row>
    <row r="1028" ht="14.25" customHeight="1">
      <c r="A1028" s="33">
        <f>HYPERLINK("https://app.hubspot.com/contacts/8748051/record/0-1/7205965142", 7205965142)</f>
        <v>7205965142</v>
      </c>
      <c r="B1028" s="24" t="s">
        <v>5740</v>
      </c>
      <c r="C1028" s="34"/>
      <c r="D1028" s="24" t="s">
        <v>5741</v>
      </c>
      <c r="E1028" s="28" t="s">
        <v>1663</v>
      </c>
      <c r="F1028" s="34"/>
      <c r="G1028" s="35">
        <v>45379.0</v>
      </c>
      <c r="H1028" s="34"/>
      <c r="I1028" s="34"/>
      <c r="J1028" s="34"/>
      <c r="K1028" s="34"/>
      <c r="L1028" s="34"/>
      <c r="M1028" s="33">
        <f>HYPERLINK("https://app.hubspot.com/contacts/8748051/record/0-2/6816671022", 6816671022)</f>
        <v>6816671022</v>
      </c>
      <c r="N1028" s="28" t="s">
        <v>1662</v>
      </c>
      <c r="O1028" s="34"/>
      <c r="P1028" s="34"/>
      <c r="Q1028" s="34"/>
      <c r="R1028" s="34"/>
      <c r="S1028" s="34"/>
      <c r="T1028" s="34" t="str">
        <f t="shared" ref="T1028:V1028" si="1033">IF(G1028&lt;&gt;"","Yes","")</f>
        <v>Yes</v>
      </c>
      <c r="U1028" s="34" t="str">
        <f t="shared" si="1033"/>
        <v/>
      </c>
      <c r="V1028" s="34" t="str">
        <f t="shared" si="1033"/>
        <v/>
      </c>
      <c r="W1028" s="34" t="str">
        <f t="shared" si="3"/>
        <v/>
      </c>
      <c r="X1028" s="24" t="str">
        <f t="shared" si="4"/>
        <v/>
      </c>
    </row>
    <row r="1029" ht="14.25" customHeight="1">
      <c r="A1029" s="33">
        <f>HYPERLINK("https://app.hubspot.com/contacts/8748051/record/0-1/7287030842", 7287030842)</f>
        <v>7287030842</v>
      </c>
      <c r="B1029" s="24" t="s">
        <v>5742</v>
      </c>
      <c r="C1029" s="34"/>
      <c r="D1029" s="24" t="s">
        <v>5743</v>
      </c>
      <c r="E1029" s="28" t="s">
        <v>5744</v>
      </c>
      <c r="F1029" s="34"/>
      <c r="G1029" s="35">
        <v>45379.0</v>
      </c>
      <c r="H1029" s="34"/>
      <c r="I1029" s="34"/>
      <c r="J1029" s="34"/>
      <c r="K1029" s="34"/>
      <c r="L1029" s="34"/>
      <c r="M1029" s="33">
        <f>HYPERLINK("https://app.hubspot.com/contacts/8748051/record/0-2/8471061257", 8471061257)</f>
        <v>8471061257</v>
      </c>
      <c r="N1029" s="24" t="s">
        <v>5745</v>
      </c>
      <c r="O1029" s="34"/>
      <c r="P1029" s="34"/>
      <c r="Q1029" s="34"/>
      <c r="R1029" s="34"/>
      <c r="S1029" s="34"/>
      <c r="T1029" s="34" t="str">
        <f t="shared" ref="T1029:V1029" si="1034">IF(G1029&lt;&gt;"","Yes","")</f>
        <v>Yes</v>
      </c>
      <c r="U1029" s="34" t="str">
        <f t="shared" si="1034"/>
        <v/>
      </c>
      <c r="V1029" s="34" t="str">
        <f t="shared" si="1034"/>
        <v/>
      </c>
      <c r="W1029" s="34" t="str">
        <f t="shared" si="3"/>
        <v/>
      </c>
      <c r="X1029" s="24" t="str">
        <f t="shared" si="4"/>
        <v/>
      </c>
    </row>
    <row r="1030" ht="14.25" customHeight="1">
      <c r="A1030" s="33">
        <f>HYPERLINK("https://app.hubspot.com/contacts/8748051/record/0-1/7342785361", 7342785361)</f>
        <v>7342785361</v>
      </c>
      <c r="B1030" s="24" t="s">
        <v>5746</v>
      </c>
      <c r="C1030" s="34"/>
      <c r="D1030" s="24" t="s">
        <v>5747</v>
      </c>
      <c r="E1030" s="28" t="s">
        <v>5748</v>
      </c>
      <c r="F1030" s="34"/>
      <c r="G1030" s="35">
        <v>45379.0</v>
      </c>
      <c r="H1030" s="34"/>
      <c r="I1030" s="34"/>
      <c r="J1030" s="34"/>
      <c r="K1030" s="34"/>
      <c r="L1030" s="34"/>
      <c r="M1030" s="33">
        <f>HYPERLINK("https://app.hubspot.com/contacts/8748051/record/0-2/9157137811", 9157137811)</f>
        <v>9157137811</v>
      </c>
      <c r="N1030" s="24" t="s">
        <v>5749</v>
      </c>
      <c r="O1030" s="34"/>
      <c r="P1030" s="34"/>
      <c r="Q1030" s="34"/>
      <c r="R1030" s="34"/>
      <c r="S1030" s="34"/>
      <c r="T1030" s="34" t="str">
        <f t="shared" ref="T1030:V1030" si="1035">IF(G1030&lt;&gt;"","Yes","")</f>
        <v>Yes</v>
      </c>
      <c r="U1030" s="34" t="str">
        <f t="shared" si="1035"/>
        <v/>
      </c>
      <c r="V1030" s="34" t="str">
        <f t="shared" si="1035"/>
        <v/>
      </c>
      <c r="W1030" s="34" t="str">
        <f t="shared" si="3"/>
        <v/>
      </c>
      <c r="X1030" s="24" t="str">
        <f t="shared" si="4"/>
        <v/>
      </c>
    </row>
    <row r="1031" ht="14.25" customHeight="1">
      <c r="A1031" s="33">
        <f>HYPERLINK("https://app.hubspot.com/contacts/8748051/record/0-1/7372668315", 7372668315)</f>
        <v>7372668315</v>
      </c>
      <c r="B1031" s="24" t="s">
        <v>5750</v>
      </c>
      <c r="C1031" s="34"/>
      <c r="D1031" s="24" t="s">
        <v>5751</v>
      </c>
      <c r="E1031" s="28" t="s">
        <v>5752</v>
      </c>
      <c r="F1031" s="34"/>
      <c r="G1031" s="35">
        <v>45380.0</v>
      </c>
      <c r="H1031" s="34"/>
      <c r="I1031" s="34"/>
      <c r="J1031" s="34"/>
      <c r="K1031" s="34"/>
      <c r="L1031" s="34"/>
      <c r="M1031" s="33">
        <f>HYPERLINK("https://app.hubspot.com/contacts/8748051/record/0-2/7781759399", 7781759399)</f>
        <v>7781759399</v>
      </c>
      <c r="N1031" s="24" t="s">
        <v>5753</v>
      </c>
      <c r="O1031" s="34"/>
      <c r="P1031" s="34"/>
      <c r="Q1031" s="34"/>
      <c r="R1031" s="34"/>
      <c r="S1031" s="34"/>
      <c r="T1031" s="34" t="str">
        <f t="shared" ref="T1031:V1031" si="1036">IF(G1031&lt;&gt;"","Yes","")</f>
        <v>Yes</v>
      </c>
      <c r="U1031" s="34" t="str">
        <f t="shared" si="1036"/>
        <v/>
      </c>
      <c r="V1031" s="34" t="str">
        <f t="shared" si="1036"/>
        <v/>
      </c>
      <c r="W1031" s="34" t="str">
        <f t="shared" si="3"/>
        <v/>
      </c>
      <c r="X1031" s="24" t="str">
        <f t="shared" si="4"/>
        <v/>
      </c>
    </row>
    <row r="1032" ht="14.25" customHeight="1">
      <c r="A1032" s="33">
        <f>HYPERLINK("https://app.hubspot.com/contacts/8748051/record/0-1/7415436446", 7415436446)</f>
        <v>7415436446</v>
      </c>
      <c r="B1032" s="24" t="s">
        <v>5754</v>
      </c>
      <c r="C1032" s="34"/>
      <c r="D1032" s="24" t="s">
        <v>5755</v>
      </c>
      <c r="E1032" s="28" t="s">
        <v>798</v>
      </c>
      <c r="F1032" s="34"/>
      <c r="G1032" s="35">
        <v>45380.0</v>
      </c>
      <c r="H1032" s="34"/>
      <c r="I1032" s="34"/>
      <c r="J1032" s="34"/>
      <c r="K1032" s="34"/>
      <c r="L1032" s="34"/>
      <c r="M1032" s="33">
        <f>HYPERLINK("https://app.hubspot.com/contacts/8748051/record/0-2/4752572591", 4752572591)</f>
        <v>4752572591</v>
      </c>
      <c r="N1032" s="24" t="s">
        <v>797</v>
      </c>
      <c r="O1032" s="34"/>
      <c r="P1032" s="34"/>
      <c r="Q1032" s="34"/>
      <c r="R1032" s="34"/>
      <c r="S1032" s="34"/>
      <c r="T1032" s="34" t="str">
        <f t="shared" ref="T1032:V1032" si="1037">IF(G1032&lt;&gt;"","Yes","")</f>
        <v>Yes</v>
      </c>
      <c r="U1032" s="34" t="str">
        <f t="shared" si="1037"/>
        <v/>
      </c>
      <c r="V1032" s="34" t="str">
        <f t="shared" si="1037"/>
        <v/>
      </c>
      <c r="W1032" s="34" t="str">
        <f t="shared" si="3"/>
        <v/>
      </c>
      <c r="X1032" s="24" t="str">
        <f t="shared" si="4"/>
        <v/>
      </c>
    </row>
    <row r="1033" ht="14.25" customHeight="1">
      <c r="A1033" s="33">
        <f>HYPERLINK("https://app.hubspot.com/contacts/8748051/record/0-1/7422850433", 7422850433)</f>
        <v>7422850433</v>
      </c>
      <c r="B1033" s="24" t="s">
        <v>5756</v>
      </c>
      <c r="C1033" s="34"/>
      <c r="D1033" s="24" t="s">
        <v>5757</v>
      </c>
      <c r="E1033" s="28" t="s">
        <v>1796</v>
      </c>
      <c r="F1033" s="34"/>
      <c r="G1033" s="35">
        <v>45380.0</v>
      </c>
      <c r="H1033" s="35">
        <v>45418.0</v>
      </c>
      <c r="I1033" s="35">
        <v>45429.0</v>
      </c>
      <c r="J1033" s="34"/>
      <c r="K1033" s="34"/>
      <c r="L1033" s="34"/>
      <c r="M1033" s="33">
        <f>HYPERLINK("https://app.hubspot.com/contacts/8748051/record/0-2/16065697119", 16065697119)</f>
        <v>16065697119</v>
      </c>
      <c r="N1033" s="24" t="s">
        <v>1795</v>
      </c>
      <c r="O1033" s="33">
        <f>HYPERLINK("https://app.hubspot.com/contacts/8748051/record/0-3/19148605769", 19148605769)</f>
        <v>19148605769</v>
      </c>
      <c r="P1033" s="24" t="s">
        <v>1794</v>
      </c>
      <c r="Q1033" s="24" t="s">
        <v>73</v>
      </c>
      <c r="R1033" s="24">
        <v>9840.0</v>
      </c>
      <c r="S1033" s="34"/>
      <c r="T1033" s="34" t="str">
        <f t="shared" ref="T1033:V1033" si="1038">IF(G1033&lt;&gt;"","Yes","")</f>
        <v>Yes</v>
      </c>
      <c r="U1033" s="34" t="str">
        <f t="shared" si="1038"/>
        <v>Yes</v>
      </c>
      <c r="V1033" s="34" t="str">
        <f t="shared" si="1038"/>
        <v>Yes</v>
      </c>
      <c r="W1033" s="34" t="str">
        <f t="shared" si="3"/>
        <v/>
      </c>
      <c r="X1033" s="24" t="str">
        <f t="shared" si="4"/>
        <v/>
      </c>
    </row>
    <row r="1034" ht="14.25" customHeight="1">
      <c r="A1034" s="33">
        <f>HYPERLINK("https://app.hubspot.com/contacts/8748051/record/0-1/7448762795", 7448762795)</f>
        <v>7448762795</v>
      </c>
      <c r="B1034" s="24" t="s">
        <v>5758</v>
      </c>
      <c r="C1034" s="34"/>
      <c r="D1034" s="24" t="s">
        <v>5759</v>
      </c>
      <c r="E1034" s="28" t="s">
        <v>1726</v>
      </c>
      <c r="F1034" s="34"/>
      <c r="G1034" s="35">
        <v>45380.0</v>
      </c>
      <c r="H1034" s="35">
        <v>45433.0</v>
      </c>
      <c r="I1034" s="35">
        <v>45433.0</v>
      </c>
      <c r="J1034" s="34"/>
      <c r="K1034" s="34"/>
      <c r="L1034" s="34"/>
      <c r="M1034" s="33">
        <f>HYPERLINK("https://app.hubspot.com/contacts/8748051/record/0-2/19176318013", 19176318013)</f>
        <v>19176318013</v>
      </c>
      <c r="N1034" s="24" t="s">
        <v>1725</v>
      </c>
      <c r="O1034" s="33">
        <f>HYPERLINK("https://app.hubspot.com/contacts/8748051/record/0-3/19516319289", 19516319289)</f>
        <v>19516319289</v>
      </c>
      <c r="P1034" s="24" t="s">
        <v>1724</v>
      </c>
      <c r="Q1034" s="24" t="s">
        <v>73</v>
      </c>
      <c r="R1034" s="24">
        <v>2880.0</v>
      </c>
      <c r="S1034" s="34"/>
      <c r="T1034" s="34" t="str">
        <f t="shared" ref="T1034:V1034" si="1039">IF(G1034&lt;&gt;"","Yes","")</f>
        <v>Yes</v>
      </c>
      <c r="U1034" s="34" t="str">
        <f t="shared" si="1039"/>
        <v>Yes</v>
      </c>
      <c r="V1034" s="34" t="str">
        <f t="shared" si="1039"/>
        <v>Yes</v>
      </c>
      <c r="W1034" s="34" t="str">
        <f t="shared" si="3"/>
        <v/>
      </c>
      <c r="X1034" s="24" t="str">
        <f t="shared" si="4"/>
        <v/>
      </c>
    </row>
    <row r="1035" ht="14.25" customHeight="1">
      <c r="A1035" s="33">
        <f>HYPERLINK("https://app.hubspot.com/contacts/8748051/record/0-1/7557050536", 7557050536)</f>
        <v>7557050536</v>
      </c>
      <c r="B1035" s="24" t="s">
        <v>5760</v>
      </c>
      <c r="C1035" s="34"/>
      <c r="D1035" s="24" t="s">
        <v>5761</v>
      </c>
      <c r="E1035" s="28" t="s">
        <v>5762</v>
      </c>
      <c r="F1035" s="34"/>
      <c r="G1035" s="35">
        <v>45380.0</v>
      </c>
      <c r="H1035" s="34"/>
      <c r="I1035" s="34"/>
      <c r="J1035" s="34"/>
      <c r="K1035" s="34"/>
      <c r="L1035" s="34"/>
      <c r="M1035" s="33">
        <f>HYPERLINK("https://app.hubspot.com/contacts/8748051/record/0-2/18832142721", 18832142721)</f>
        <v>18832142721</v>
      </c>
      <c r="N1035" s="24" t="s">
        <v>5763</v>
      </c>
      <c r="O1035" s="34"/>
      <c r="P1035" s="34"/>
      <c r="Q1035" s="34"/>
      <c r="R1035" s="34"/>
      <c r="S1035" s="34"/>
      <c r="T1035" s="34" t="str">
        <f t="shared" ref="T1035:V1035" si="1040">IF(G1035&lt;&gt;"","Yes","")</f>
        <v>Yes</v>
      </c>
      <c r="U1035" s="34" t="str">
        <f t="shared" si="1040"/>
        <v/>
      </c>
      <c r="V1035" s="34" t="str">
        <f t="shared" si="1040"/>
        <v/>
      </c>
      <c r="W1035" s="34" t="str">
        <f t="shared" si="3"/>
        <v/>
      </c>
      <c r="X1035" s="24" t="str">
        <f t="shared" si="4"/>
        <v/>
      </c>
    </row>
    <row r="1036" ht="14.25" customHeight="1">
      <c r="A1036" s="33">
        <f>HYPERLINK("https://app.hubspot.com/contacts/8748051/record/0-1/7577050912", 7577050912)</f>
        <v>7577050912</v>
      </c>
      <c r="B1036" s="24" t="s">
        <v>5764</v>
      </c>
      <c r="C1036" s="34"/>
      <c r="D1036" s="24" t="s">
        <v>5765</v>
      </c>
      <c r="E1036" s="28" t="s">
        <v>5766</v>
      </c>
      <c r="F1036" s="34"/>
      <c r="G1036" s="35">
        <v>45380.0</v>
      </c>
      <c r="H1036" s="34"/>
      <c r="I1036" s="34"/>
      <c r="J1036" s="34"/>
      <c r="K1036" s="34"/>
      <c r="L1036" s="34"/>
      <c r="M1036" s="33">
        <f>HYPERLINK("https://app.hubspot.com/contacts/8748051/record/0-2/19176609124", 19176609124)</f>
        <v>19176609124</v>
      </c>
      <c r="N1036" s="24" t="s">
        <v>5767</v>
      </c>
      <c r="O1036" s="34"/>
      <c r="P1036" s="34"/>
      <c r="Q1036" s="34"/>
      <c r="R1036" s="34"/>
      <c r="S1036" s="34"/>
      <c r="T1036" s="34" t="str">
        <f t="shared" ref="T1036:V1036" si="1041">IF(G1036&lt;&gt;"","Yes","")</f>
        <v>Yes</v>
      </c>
      <c r="U1036" s="34" t="str">
        <f t="shared" si="1041"/>
        <v/>
      </c>
      <c r="V1036" s="34" t="str">
        <f t="shared" si="1041"/>
        <v/>
      </c>
      <c r="W1036" s="34" t="str">
        <f t="shared" si="3"/>
        <v/>
      </c>
      <c r="X1036" s="24" t="str">
        <f t="shared" si="4"/>
        <v/>
      </c>
    </row>
    <row r="1037" ht="14.25" customHeight="1">
      <c r="A1037" s="33">
        <f>HYPERLINK("https://app.hubspot.com/contacts/8748051/record/0-1/7618987800", 7618987800)</f>
        <v>7618987800</v>
      </c>
      <c r="B1037" s="24" t="s">
        <v>5768</v>
      </c>
      <c r="C1037" s="34"/>
      <c r="D1037" s="24" t="s">
        <v>5769</v>
      </c>
      <c r="E1037" s="28" t="s">
        <v>1863</v>
      </c>
      <c r="F1037" s="34"/>
      <c r="G1037" s="35">
        <v>45380.0</v>
      </c>
      <c r="H1037" s="35">
        <v>45402.0</v>
      </c>
      <c r="I1037" s="35">
        <v>45402.0</v>
      </c>
      <c r="J1037" s="34"/>
      <c r="K1037" s="34"/>
      <c r="L1037" s="34"/>
      <c r="M1037" s="33">
        <f>HYPERLINK("https://app.hubspot.com/contacts/8748051/record/0-2/9238284430", 9238284430)</f>
        <v>9238284430</v>
      </c>
      <c r="N1037" s="24" t="s">
        <v>1862</v>
      </c>
      <c r="O1037" s="33">
        <f>HYPERLINK("https://app.hubspot.com/contacts/8748051/record/0-3/18721169187", 18721169187)</f>
        <v>18721169187</v>
      </c>
      <c r="P1037" s="24" t="s">
        <v>1861</v>
      </c>
      <c r="Q1037" s="24" t="s">
        <v>127</v>
      </c>
      <c r="R1037" s="24">
        <v>10000.0</v>
      </c>
      <c r="S1037" s="24" t="b">
        <v>1</v>
      </c>
      <c r="T1037" s="34" t="str">
        <f t="shared" ref="T1037:V1037" si="1042">IF(G1037&lt;&gt;"","Yes","")</f>
        <v>Yes</v>
      </c>
      <c r="U1037" s="34" t="str">
        <f t="shared" si="1042"/>
        <v>Yes</v>
      </c>
      <c r="V1037" s="34" t="str">
        <f t="shared" si="1042"/>
        <v>Yes</v>
      </c>
      <c r="W1037" s="34" t="str">
        <f t="shared" si="3"/>
        <v/>
      </c>
      <c r="X1037" s="24" t="str">
        <f t="shared" si="4"/>
        <v/>
      </c>
    </row>
    <row r="1038" ht="14.25" customHeight="1">
      <c r="A1038" s="33">
        <f>HYPERLINK("https://app.hubspot.com/contacts/8748051/record/0-1/7652551449", 7652551449)</f>
        <v>7652551449</v>
      </c>
      <c r="B1038" s="24" t="s">
        <v>5770</v>
      </c>
      <c r="C1038" s="34"/>
      <c r="D1038" s="24" t="s">
        <v>5771</v>
      </c>
      <c r="E1038" s="28" t="s">
        <v>5772</v>
      </c>
      <c r="F1038" s="24" t="s">
        <v>4121</v>
      </c>
      <c r="G1038" s="34"/>
      <c r="H1038" s="34"/>
      <c r="I1038" s="34"/>
      <c r="J1038" s="34"/>
      <c r="K1038" s="34"/>
      <c r="L1038" s="34"/>
      <c r="M1038" s="33">
        <f>HYPERLINK("https://app.hubspot.com/contacts/8748051/record/0-2/36370815533", 36370815533)</f>
        <v>36370815533</v>
      </c>
      <c r="N1038" s="24" t="s">
        <v>5773</v>
      </c>
      <c r="O1038" s="34"/>
      <c r="P1038" s="34"/>
      <c r="Q1038" s="34"/>
      <c r="R1038" s="34"/>
      <c r="S1038" s="34"/>
      <c r="T1038" s="34" t="str">
        <f t="shared" ref="T1038:V1038" si="1043">IF(G1038&lt;&gt;"","Yes","")</f>
        <v/>
      </c>
      <c r="U1038" s="34" t="str">
        <f t="shared" si="1043"/>
        <v/>
      </c>
      <c r="V1038" s="34" t="str">
        <f t="shared" si="1043"/>
        <v/>
      </c>
      <c r="W1038" s="34" t="str">
        <f t="shared" si="3"/>
        <v/>
      </c>
      <c r="X1038" s="24" t="str">
        <f t="shared" si="4"/>
        <v/>
      </c>
    </row>
    <row r="1039" ht="14.25" customHeight="1">
      <c r="A1039" s="33">
        <f>HYPERLINK("https://app.hubspot.com/contacts/8748051/record/0-1/7665664424", 7665664424)</f>
        <v>7665664424</v>
      </c>
      <c r="B1039" s="24" t="s">
        <v>5774</v>
      </c>
      <c r="C1039" s="34"/>
      <c r="D1039" s="24" t="s">
        <v>5775</v>
      </c>
      <c r="E1039" s="28" t="s">
        <v>1881</v>
      </c>
      <c r="F1039" s="34"/>
      <c r="G1039" s="35">
        <v>45383.0</v>
      </c>
      <c r="H1039" s="35">
        <v>45399.0</v>
      </c>
      <c r="I1039" s="35">
        <v>45399.0</v>
      </c>
      <c r="J1039" s="34"/>
      <c r="K1039" s="34"/>
      <c r="L1039" s="34"/>
      <c r="M1039" s="33">
        <f>HYPERLINK("https://app.hubspot.com/contacts/8748051/record/0-2/7648304657", 7648304657)</f>
        <v>7648304657</v>
      </c>
      <c r="N1039" s="24" t="s">
        <v>1880</v>
      </c>
      <c r="O1039" s="33">
        <f>HYPERLINK("https://app.hubspot.com/contacts/8748051/record/0-3/18706084360", 18706084360)</f>
        <v>18706084360</v>
      </c>
      <c r="P1039" s="24" t="s">
        <v>1879</v>
      </c>
      <c r="Q1039" s="24" t="s">
        <v>73</v>
      </c>
      <c r="R1039" s="24">
        <v>3600.0</v>
      </c>
      <c r="S1039" s="34"/>
      <c r="T1039" s="34" t="str">
        <f t="shared" ref="T1039:V1039" si="1044">IF(G1039&lt;&gt;"","Yes","")</f>
        <v>Yes</v>
      </c>
      <c r="U1039" s="34" t="str">
        <f t="shared" si="1044"/>
        <v>Yes</v>
      </c>
      <c r="V1039" s="34" t="str">
        <f t="shared" si="1044"/>
        <v>Yes</v>
      </c>
      <c r="W1039" s="34" t="str">
        <f t="shared" si="3"/>
        <v/>
      </c>
      <c r="X1039" s="24" t="str">
        <f t="shared" si="4"/>
        <v/>
      </c>
    </row>
    <row r="1040" ht="14.25" customHeight="1">
      <c r="A1040" s="33">
        <f>HYPERLINK("https://app.hubspot.com/contacts/8748051/record/0-1/7711769413", 7711769413)</f>
        <v>7711769413</v>
      </c>
      <c r="B1040" s="24" t="s">
        <v>5776</v>
      </c>
      <c r="C1040" s="34"/>
      <c r="D1040" s="24" t="s">
        <v>5777</v>
      </c>
      <c r="E1040" s="28" t="s">
        <v>1842</v>
      </c>
      <c r="F1040" s="34"/>
      <c r="G1040" s="35">
        <v>45381.0</v>
      </c>
      <c r="H1040" s="35">
        <v>45413.0</v>
      </c>
      <c r="I1040" s="35">
        <v>45413.0</v>
      </c>
      <c r="J1040" s="34"/>
      <c r="K1040" s="34"/>
      <c r="L1040" s="34"/>
      <c r="M1040" s="33">
        <f>HYPERLINK("https://app.hubspot.com/contacts/8748051/record/0-2/19176639378", 19176639378)</f>
        <v>19176639378</v>
      </c>
      <c r="N1040" s="24" t="s">
        <v>1841</v>
      </c>
      <c r="O1040" s="33">
        <f>HYPERLINK("https://app.hubspot.com/contacts/8748051/record/0-3/18874796404", 18874796404)</f>
        <v>18874796404</v>
      </c>
      <c r="P1040" s="24" t="s">
        <v>1840</v>
      </c>
      <c r="Q1040" s="24" t="s">
        <v>73</v>
      </c>
      <c r="R1040" s="24">
        <v>5280.0</v>
      </c>
      <c r="S1040" s="34"/>
      <c r="T1040" s="34" t="str">
        <f t="shared" ref="T1040:V1040" si="1045">IF(G1040&lt;&gt;"","Yes","")</f>
        <v>Yes</v>
      </c>
      <c r="U1040" s="34" t="str">
        <f t="shared" si="1045"/>
        <v>Yes</v>
      </c>
      <c r="V1040" s="34" t="str">
        <f t="shared" si="1045"/>
        <v>Yes</v>
      </c>
      <c r="W1040" s="34" t="str">
        <f t="shared" si="3"/>
        <v/>
      </c>
      <c r="X1040" s="24" t="str">
        <f t="shared" si="4"/>
        <v/>
      </c>
    </row>
    <row r="1041" ht="14.25" customHeight="1">
      <c r="A1041" s="33">
        <f>HYPERLINK("https://app.hubspot.com/contacts/8748051/record/0-1/7883916588", 7883916588)</f>
        <v>7883916588</v>
      </c>
      <c r="B1041" s="24" t="s">
        <v>5778</v>
      </c>
      <c r="C1041" s="34"/>
      <c r="D1041" s="24" t="s">
        <v>5779</v>
      </c>
      <c r="E1041" s="28" t="s">
        <v>1419</v>
      </c>
      <c r="F1041" s="24" t="s">
        <v>5780</v>
      </c>
      <c r="G1041" s="34"/>
      <c r="H1041" s="34"/>
      <c r="I1041" s="34"/>
      <c r="J1041" s="34"/>
      <c r="K1041" s="34"/>
      <c r="L1041" s="34"/>
      <c r="M1041" s="33">
        <f>HYPERLINK("https://app.hubspot.com/contacts/8748051/record/0-2/15759773545", 15759773545)</f>
        <v>15759773545</v>
      </c>
      <c r="N1041" s="24" t="s">
        <v>1418</v>
      </c>
      <c r="O1041" s="34"/>
      <c r="P1041" s="34"/>
      <c r="Q1041" s="34"/>
      <c r="R1041" s="34"/>
      <c r="S1041" s="34"/>
      <c r="T1041" s="34" t="str">
        <f t="shared" ref="T1041:V1041" si="1046">IF(G1041&lt;&gt;"","Yes","")</f>
        <v/>
      </c>
      <c r="U1041" s="34" t="str">
        <f t="shared" si="1046"/>
        <v/>
      </c>
      <c r="V1041" s="34" t="str">
        <f t="shared" si="1046"/>
        <v/>
      </c>
      <c r="W1041" s="34" t="str">
        <f t="shared" si="3"/>
        <v/>
      </c>
      <c r="X1041" s="24" t="str">
        <f t="shared" si="4"/>
        <v/>
      </c>
    </row>
    <row r="1042" ht="14.25" customHeight="1">
      <c r="A1042" s="33">
        <f>HYPERLINK("https://app.hubspot.com/contacts/8748051/record/0-1/7979739254", 7979739254)</f>
        <v>7979739254</v>
      </c>
      <c r="B1042" s="24" t="s">
        <v>5781</v>
      </c>
      <c r="C1042" s="34"/>
      <c r="D1042" s="24" t="s">
        <v>5782</v>
      </c>
      <c r="E1042" s="28" t="s">
        <v>5783</v>
      </c>
      <c r="F1042" s="24" t="s">
        <v>4253</v>
      </c>
      <c r="G1042" s="34"/>
      <c r="H1042" s="34"/>
      <c r="I1042" s="34"/>
      <c r="J1042" s="34"/>
      <c r="K1042" s="34"/>
      <c r="L1042" s="34"/>
      <c r="M1042" s="33">
        <f>HYPERLINK("https://app.hubspot.com/contacts/8748051/record/0-2/7940862560", 7940862560)</f>
        <v>7940862560</v>
      </c>
      <c r="N1042" s="24" t="s">
        <v>5784</v>
      </c>
      <c r="O1042" s="34"/>
      <c r="P1042" s="34"/>
      <c r="Q1042" s="34"/>
      <c r="R1042" s="34"/>
      <c r="S1042" s="34"/>
      <c r="T1042" s="34" t="str">
        <f t="shared" ref="T1042:V1042" si="1047">IF(G1042&lt;&gt;"","Yes","")</f>
        <v/>
      </c>
      <c r="U1042" s="34" t="str">
        <f t="shared" si="1047"/>
        <v/>
      </c>
      <c r="V1042" s="34" t="str">
        <f t="shared" si="1047"/>
        <v/>
      </c>
      <c r="W1042" s="34" t="str">
        <f t="shared" si="3"/>
        <v/>
      </c>
      <c r="X1042" s="24" t="str">
        <f t="shared" si="4"/>
        <v/>
      </c>
    </row>
    <row r="1043" ht="14.25" customHeight="1">
      <c r="A1043" s="33">
        <f>HYPERLINK("https://app.hubspot.com/contacts/8748051/record/0-1/8033231159", 8033231159)</f>
        <v>8033231159</v>
      </c>
      <c r="B1043" s="24" t="s">
        <v>5785</v>
      </c>
      <c r="C1043" s="34"/>
      <c r="D1043" s="24" t="s">
        <v>5786</v>
      </c>
      <c r="E1043" s="28" t="s">
        <v>5787</v>
      </c>
      <c r="F1043" s="34"/>
      <c r="G1043" s="35">
        <v>45383.0</v>
      </c>
      <c r="H1043" s="34"/>
      <c r="I1043" s="34"/>
      <c r="J1043" s="34"/>
      <c r="K1043" s="34"/>
      <c r="L1043" s="34"/>
      <c r="M1043" s="33">
        <f>HYPERLINK("https://app.hubspot.com/contacts/8748051/record/0-2/19176292664", 19176292664)</f>
        <v>19176292664</v>
      </c>
      <c r="N1043" s="24" t="s">
        <v>5788</v>
      </c>
      <c r="O1043" s="34"/>
      <c r="P1043" s="34"/>
      <c r="Q1043" s="34"/>
      <c r="R1043" s="34"/>
      <c r="S1043" s="34"/>
      <c r="T1043" s="34" t="str">
        <f t="shared" ref="T1043:V1043" si="1048">IF(G1043&lt;&gt;"","Yes","")</f>
        <v>Yes</v>
      </c>
      <c r="U1043" s="34" t="str">
        <f t="shared" si="1048"/>
        <v/>
      </c>
      <c r="V1043" s="34" t="str">
        <f t="shared" si="1048"/>
        <v/>
      </c>
      <c r="W1043" s="34" t="str">
        <f t="shared" si="3"/>
        <v/>
      </c>
      <c r="X1043" s="24" t="str">
        <f t="shared" si="4"/>
        <v/>
      </c>
    </row>
    <row r="1044" ht="14.25" customHeight="1">
      <c r="A1044" s="33">
        <f>HYPERLINK("https://app.hubspot.com/contacts/8748051/record/0-1/8060031554", 8060031554)</f>
        <v>8060031554</v>
      </c>
      <c r="B1044" s="24" t="s">
        <v>5789</v>
      </c>
      <c r="C1044" s="34"/>
      <c r="D1044" s="24" t="s">
        <v>5790</v>
      </c>
      <c r="E1044" s="28" t="s">
        <v>798</v>
      </c>
      <c r="F1044" s="34"/>
      <c r="G1044" s="35">
        <v>45383.0</v>
      </c>
      <c r="H1044" s="34"/>
      <c r="I1044" s="34"/>
      <c r="J1044" s="34"/>
      <c r="K1044" s="34"/>
      <c r="L1044" s="34"/>
      <c r="M1044" s="33">
        <f>HYPERLINK("https://app.hubspot.com/contacts/8748051/record/0-2/4752572591", 4752572591)</f>
        <v>4752572591</v>
      </c>
      <c r="N1044" s="24" t="s">
        <v>797</v>
      </c>
      <c r="O1044" s="34"/>
      <c r="P1044" s="34"/>
      <c r="Q1044" s="34"/>
      <c r="R1044" s="34"/>
      <c r="S1044" s="34"/>
      <c r="T1044" s="34" t="str">
        <f t="shared" ref="T1044:V1044" si="1049">IF(G1044&lt;&gt;"","Yes","")</f>
        <v>Yes</v>
      </c>
      <c r="U1044" s="34" t="str">
        <f t="shared" si="1049"/>
        <v/>
      </c>
      <c r="V1044" s="34" t="str">
        <f t="shared" si="1049"/>
        <v/>
      </c>
      <c r="W1044" s="34" t="str">
        <f t="shared" si="3"/>
        <v/>
      </c>
      <c r="X1044" s="24" t="str">
        <f t="shared" si="4"/>
        <v/>
      </c>
    </row>
    <row r="1045" ht="14.25" customHeight="1">
      <c r="A1045" s="33">
        <f>HYPERLINK("https://app.hubspot.com/contacts/8748051/record/0-1/8225653530", 8225653530)</f>
        <v>8225653530</v>
      </c>
      <c r="B1045" s="24" t="s">
        <v>5791</v>
      </c>
      <c r="C1045" s="34"/>
      <c r="D1045" s="24" t="s">
        <v>5792</v>
      </c>
      <c r="E1045" s="28" t="s">
        <v>1937</v>
      </c>
      <c r="F1045" s="34"/>
      <c r="G1045" s="35">
        <v>45383.0</v>
      </c>
      <c r="H1045" s="35">
        <v>45387.0</v>
      </c>
      <c r="I1045" s="35">
        <v>45387.0</v>
      </c>
      <c r="J1045" s="34"/>
      <c r="K1045" s="34"/>
      <c r="L1045" s="34"/>
      <c r="M1045" s="33">
        <f>HYPERLINK("https://app.hubspot.com/contacts/8748051/record/0-2/9596997709", 9596997709)</f>
        <v>9596997709</v>
      </c>
      <c r="N1045" s="24" t="s">
        <v>1936</v>
      </c>
      <c r="O1045" s="33">
        <f>HYPERLINK("https://app.hubspot.com/contacts/8748051/record/0-3/18406472510", 18406472510)</f>
        <v>18406472510</v>
      </c>
      <c r="P1045" s="24" t="s">
        <v>1935</v>
      </c>
      <c r="Q1045" s="24" t="s">
        <v>73</v>
      </c>
      <c r="R1045" s="24">
        <v>12720.0</v>
      </c>
      <c r="S1045" s="34"/>
      <c r="T1045" s="34" t="str">
        <f t="shared" ref="T1045:V1045" si="1050">IF(G1045&lt;&gt;"","Yes","")</f>
        <v>Yes</v>
      </c>
      <c r="U1045" s="34" t="str">
        <f t="shared" si="1050"/>
        <v>Yes</v>
      </c>
      <c r="V1045" s="34" t="str">
        <f t="shared" si="1050"/>
        <v>Yes</v>
      </c>
      <c r="W1045" s="34" t="str">
        <f t="shared" si="3"/>
        <v/>
      </c>
      <c r="X1045" s="24" t="str">
        <f t="shared" si="4"/>
        <v/>
      </c>
    </row>
    <row r="1046" ht="14.25" customHeight="1">
      <c r="A1046" s="33">
        <f>HYPERLINK("https://app.hubspot.com/contacts/8748051/record/0-1/8307826058", 8307826058)</f>
        <v>8307826058</v>
      </c>
      <c r="B1046" s="24" t="s">
        <v>5793</v>
      </c>
      <c r="C1046" s="34"/>
      <c r="D1046" s="24" t="s">
        <v>5794</v>
      </c>
      <c r="E1046" s="28" t="s">
        <v>1845</v>
      </c>
      <c r="F1046" s="34"/>
      <c r="G1046" s="35">
        <v>45383.0</v>
      </c>
      <c r="H1046" s="35">
        <v>45404.0</v>
      </c>
      <c r="I1046" s="35">
        <v>45404.0</v>
      </c>
      <c r="J1046" s="34"/>
      <c r="K1046" s="34"/>
      <c r="L1046" s="34"/>
      <c r="M1046" s="33">
        <f>HYPERLINK("https://app.hubspot.com/contacts/8748051/record/0-2/7673856018", 7673856018)</f>
        <v>7673856018</v>
      </c>
      <c r="N1046" s="24" t="s">
        <v>1844</v>
      </c>
      <c r="O1046" s="33">
        <f>HYPERLINK("https://app.hubspot.com/contacts/8748051/record/0-3/18820879654", 18820879654)</f>
        <v>18820879654</v>
      </c>
      <c r="P1046" s="24" t="s">
        <v>1843</v>
      </c>
      <c r="Q1046" s="24" t="s">
        <v>127</v>
      </c>
      <c r="R1046" s="24">
        <v>21600.0</v>
      </c>
      <c r="S1046" s="24" t="b">
        <v>1</v>
      </c>
      <c r="T1046" s="34" t="str">
        <f t="shared" ref="T1046:V1046" si="1051">IF(G1046&lt;&gt;"","Yes","")</f>
        <v>Yes</v>
      </c>
      <c r="U1046" s="34" t="str">
        <f t="shared" si="1051"/>
        <v>Yes</v>
      </c>
      <c r="V1046" s="34" t="str">
        <f t="shared" si="1051"/>
        <v>Yes</v>
      </c>
      <c r="W1046" s="34" t="str">
        <f t="shared" si="3"/>
        <v/>
      </c>
      <c r="X1046" s="24" t="str">
        <f t="shared" si="4"/>
        <v/>
      </c>
    </row>
    <row r="1047" ht="14.25" customHeight="1">
      <c r="A1047" s="33">
        <f>HYPERLINK("https://app.hubspot.com/contacts/8748051/record/0-1/8308054905", 8308054905)</f>
        <v>8308054905</v>
      </c>
      <c r="B1047" s="24" t="s">
        <v>5795</v>
      </c>
      <c r="C1047" s="34"/>
      <c r="D1047" s="24" t="s">
        <v>5796</v>
      </c>
      <c r="E1047" s="28" t="s">
        <v>5797</v>
      </c>
      <c r="F1047" s="34"/>
      <c r="G1047" s="35">
        <v>45383.0</v>
      </c>
      <c r="H1047" s="34"/>
      <c r="I1047" s="34"/>
      <c r="J1047" s="34"/>
      <c r="K1047" s="34"/>
      <c r="L1047" s="34"/>
      <c r="M1047" s="33">
        <f>HYPERLINK("https://app.hubspot.com/contacts/8748051/record/0-2/19176591136", 19176591136)</f>
        <v>19176591136</v>
      </c>
      <c r="N1047" s="24" t="s">
        <v>5798</v>
      </c>
      <c r="O1047" s="34"/>
      <c r="P1047" s="34"/>
      <c r="Q1047" s="34"/>
      <c r="R1047" s="34"/>
      <c r="S1047" s="34"/>
      <c r="T1047" s="34" t="str">
        <f t="shared" ref="T1047:V1047" si="1052">IF(G1047&lt;&gt;"","Yes","")</f>
        <v>Yes</v>
      </c>
      <c r="U1047" s="34" t="str">
        <f t="shared" si="1052"/>
        <v/>
      </c>
      <c r="V1047" s="34" t="str">
        <f t="shared" si="1052"/>
        <v/>
      </c>
      <c r="W1047" s="34" t="str">
        <f t="shared" si="3"/>
        <v/>
      </c>
      <c r="X1047" s="24" t="str">
        <f t="shared" si="4"/>
        <v/>
      </c>
    </row>
    <row r="1048" ht="14.25" customHeight="1">
      <c r="A1048" s="33">
        <f>HYPERLINK("https://app.hubspot.com/contacts/8748051/record/0-1/8515114088", 8515114088)</f>
        <v>8515114088</v>
      </c>
      <c r="B1048" s="24" t="s">
        <v>5799</v>
      </c>
      <c r="C1048" s="34"/>
      <c r="D1048" s="24" t="s">
        <v>5800</v>
      </c>
      <c r="E1048" s="28" t="s">
        <v>5801</v>
      </c>
      <c r="F1048" s="24" t="s">
        <v>5614</v>
      </c>
      <c r="G1048" s="34"/>
      <c r="H1048" s="34"/>
      <c r="I1048" s="34"/>
      <c r="J1048" s="34"/>
      <c r="K1048" s="34"/>
      <c r="L1048" s="34"/>
      <c r="M1048" s="33">
        <f>HYPERLINK("https://app.hubspot.com/contacts/8748051/record/0-2/9238328722", 9238328722)</f>
        <v>9238328722</v>
      </c>
      <c r="N1048" s="28" t="s">
        <v>5801</v>
      </c>
      <c r="O1048" s="34"/>
      <c r="P1048" s="34"/>
      <c r="Q1048" s="34"/>
      <c r="R1048" s="34"/>
      <c r="S1048" s="34"/>
      <c r="T1048" s="34" t="str">
        <f t="shared" ref="T1048:V1048" si="1053">IF(G1048&lt;&gt;"","Yes","")</f>
        <v/>
      </c>
      <c r="U1048" s="34" t="str">
        <f t="shared" si="1053"/>
        <v/>
      </c>
      <c r="V1048" s="34" t="str">
        <f t="shared" si="1053"/>
        <v/>
      </c>
      <c r="W1048" s="34" t="str">
        <f t="shared" si="3"/>
        <v/>
      </c>
      <c r="X1048" s="24" t="str">
        <f t="shared" si="4"/>
        <v/>
      </c>
    </row>
    <row r="1049" ht="14.25" customHeight="1">
      <c r="A1049" s="33">
        <f>HYPERLINK("https://app.hubspot.com/contacts/8748051/record/0-1/8566238567", 8566238567)</f>
        <v>8566238567</v>
      </c>
      <c r="B1049" s="24" t="s">
        <v>5802</v>
      </c>
      <c r="C1049" s="34"/>
      <c r="D1049" s="24" t="s">
        <v>5803</v>
      </c>
      <c r="E1049" s="28" t="s">
        <v>1909</v>
      </c>
      <c r="F1049" s="34"/>
      <c r="G1049" s="35">
        <v>45384.0</v>
      </c>
      <c r="H1049" s="35">
        <v>45398.0</v>
      </c>
      <c r="I1049" s="35">
        <v>45398.0</v>
      </c>
      <c r="J1049" s="34"/>
      <c r="K1049" s="34"/>
      <c r="L1049" s="34"/>
      <c r="M1049" s="33">
        <f>HYPERLINK("https://app.hubspot.com/contacts/8748051/record/0-2/8142837591", 8142837591)</f>
        <v>8142837591</v>
      </c>
      <c r="N1049" s="24" t="s">
        <v>1908</v>
      </c>
      <c r="O1049" s="33">
        <f>HYPERLINK("https://app.hubspot.com/contacts/8748051/record/0-3/18607290001", 18607290001)</f>
        <v>18607290001</v>
      </c>
      <c r="P1049" s="24" t="s">
        <v>1906</v>
      </c>
      <c r="Q1049" s="24" t="s">
        <v>149</v>
      </c>
      <c r="R1049" s="24">
        <v>30000.0</v>
      </c>
      <c r="S1049" s="24" t="b">
        <v>1</v>
      </c>
      <c r="T1049" s="34" t="str">
        <f t="shared" ref="T1049:V1049" si="1054">IF(G1049&lt;&gt;"","Yes","")</f>
        <v>Yes</v>
      </c>
      <c r="U1049" s="34" t="str">
        <f t="shared" si="1054"/>
        <v>Yes</v>
      </c>
      <c r="V1049" s="34" t="str">
        <f t="shared" si="1054"/>
        <v>Yes</v>
      </c>
      <c r="W1049" s="34" t="str">
        <f t="shared" si="3"/>
        <v/>
      </c>
      <c r="X1049" s="24" t="str">
        <f t="shared" si="4"/>
        <v>Yes</v>
      </c>
    </row>
    <row r="1050" ht="14.25" customHeight="1">
      <c r="A1050" s="33">
        <f>HYPERLINK("https://app.hubspot.com/contacts/8748051/record/0-1/8582344511", 8582344511)</f>
        <v>8582344511</v>
      </c>
      <c r="B1050" s="24" t="s">
        <v>5804</v>
      </c>
      <c r="C1050" s="34"/>
      <c r="D1050" s="24" t="s">
        <v>5805</v>
      </c>
      <c r="E1050" s="28" t="s">
        <v>5806</v>
      </c>
      <c r="F1050" s="24" t="s">
        <v>5807</v>
      </c>
      <c r="G1050" s="34"/>
      <c r="H1050" s="34"/>
      <c r="I1050" s="34"/>
      <c r="J1050" s="34"/>
      <c r="K1050" s="34"/>
      <c r="L1050" s="34"/>
      <c r="M1050" s="33">
        <f>HYPERLINK("https://app.hubspot.com/contacts/8748051/record/0-2/19177046543", 19177046543)</f>
        <v>19177046543</v>
      </c>
      <c r="N1050" s="24" t="s">
        <v>5808</v>
      </c>
      <c r="O1050" s="34"/>
      <c r="P1050" s="34"/>
      <c r="Q1050" s="34"/>
      <c r="R1050" s="34"/>
      <c r="S1050" s="34"/>
      <c r="T1050" s="34" t="str">
        <f t="shared" ref="T1050:V1050" si="1055">IF(G1050&lt;&gt;"","Yes","")</f>
        <v/>
      </c>
      <c r="U1050" s="34" t="str">
        <f t="shared" si="1055"/>
        <v/>
      </c>
      <c r="V1050" s="34" t="str">
        <f t="shared" si="1055"/>
        <v/>
      </c>
      <c r="W1050" s="34" t="str">
        <f t="shared" si="3"/>
        <v/>
      </c>
      <c r="X1050" s="24" t="str">
        <f t="shared" si="4"/>
        <v/>
      </c>
    </row>
    <row r="1051" ht="14.25" customHeight="1">
      <c r="A1051" s="33">
        <f>HYPERLINK("https://app.hubspot.com/contacts/8748051/record/0-1/8593362359", 8593362359)</f>
        <v>8593362359</v>
      </c>
      <c r="B1051" s="24" t="s">
        <v>5809</v>
      </c>
      <c r="C1051" s="34"/>
      <c r="D1051" s="24" t="s">
        <v>5810</v>
      </c>
      <c r="E1051" s="28" t="s">
        <v>5811</v>
      </c>
      <c r="F1051" s="34"/>
      <c r="G1051" s="35">
        <v>45384.0</v>
      </c>
      <c r="H1051" s="34"/>
      <c r="I1051" s="34"/>
      <c r="J1051" s="34"/>
      <c r="K1051" s="34"/>
      <c r="L1051" s="34"/>
      <c r="M1051" s="33">
        <f>HYPERLINK("https://app.hubspot.com/contacts/8748051/record/0-2/8724553351", 8724553351)</f>
        <v>8724553351</v>
      </c>
      <c r="N1051" s="24" t="s">
        <v>5812</v>
      </c>
      <c r="O1051" s="34"/>
      <c r="P1051" s="34"/>
      <c r="Q1051" s="34"/>
      <c r="R1051" s="34"/>
      <c r="S1051" s="34"/>
      <c r="T1051" s="34" t="str">
        <f t="shared" ref="T1051:V1051" si="1056">IF(G1051&lt;&gt;"","Yes","")</f>
        <v>Yes</v>
      </c>
      <c r="U1051" s="34" t="str">
        <f t="shared" si="1056"/>
        <v/>
      </c>
      <c r="V1051" s="34" t="str">
        <f t="shared" si="1056"/>
        <v/>
      </c>
      <c r="W1051" s="34" t="str">
        <f t="shared" si="3"/>
        <v/>
      </c>
      <c r="X1051" s="24" t="str">
        <f t="shared" si="4"/>
        <v/>
      </c>
    </row>
    <row r="1052" ht="14.25" customHeight="1">
      <c r="A1052" s="33">
        <f>HYPERLINK("https://app.hubspot.com/contacts/8748051/record/0-1/8598208539", 8598208539)</f>
        <v>8598208539</v>
      </c>
      <c r="B1052" s="24" t="s">
        <v>5813</v>
      </c>
      <c r="C1052" s="34"/>
      <c r="D1052" s="24" t="s">
        <v>5814</v>
      </c>
      <c r="E1052" s="28" t="s">
        <v>5815</v>
      </c>
      <c r="F1052" s="34"/>
      <c r="G1052" s="35">
        <v>45385.0</v>
      </c>
      <c r="H1052" s="34"/>
      <c r="I1052" s="34"/>
      <c r="J1052" s="34"/>
      <c r="K1052" s="34"/>
      <c r="L1052" s="34"/>
      <c r="M1052" s="33">
        <f>HYPERLINK("https://app.hubspot.com/contacts/8748051/record/0-2/9238352047", 9238352047)</f>
        <v>9238352047</v>
      </c>
      <c r="N1052" s="24" t="s">
        <v>5816</v>
      </c>
      <c r="O1052" s="34"/>
      <c r="P1052" s="34"/>
      <c r="Q1052" s="34"/>
      <c r="R1052" s="34"/>
      <c r="S1052" s="34"/>
      <c r="T1052" s="34" t="str">
        <f t="shared" ref="T1052:V1052" si="1057">IF(G1052&lt;&gt;"","Yes","")</f>
        <v>Yes</v>
      </c>
      <c r="U1052" s="34" t="str">
        <f t="shared" si="1057"/>
        <v/>
      </c>
      <c r="V1052" s="34" t="str">
        <f t="shared" si="1057"/>
        <v/>
      </c>
      <c r="W1052" s="34" t="str">
        <f t="shared" si="3"/>
        <v/>
      </c>
      <c r="X1052" s="24" t="str">
        <f t="shared" si="4"/>
        <v/>
      </c>
    </row>
    <row r="1053" ht="14.25" customHeight="1">
      <c r="A1053" s="33">
        <f>HYPERLINK("https://app.hubspot.com/contacts/8748051/record/0-1/8633061267", 8633061267)</f>
        <v>8633061267</v>
      </c>
      <c r="B1053" s="24" t="s">
        <v>5817</v>
      </c>
      <c r="C1053" s="34"/>
      <c r="D1053" s="24" t="s">
        <v>5818</v>
      </c>
      <c r="E1053" s="28" t="s">
        <v>5819</v>
      </c>
      <c r="F1053" s="34"/>
      <c r="G1053" s="35">
        <v>45384.0</v>
      </c>
      <c r="H1053" s="34"/>
      <c r="I1053" s="34"/>
      <c r="J1053" s="34"/>
      <c r="K1053" s="34"/>
      <c r="L1053" s="34"/>
      <c r="M1053" s="33">
        <f>HYPERLINK("https://app.hubspot.com/contacts/8748051/record/0-2/18832402064", 18832402064)</f>
        <v>18832402064</v>
      </c>
      <c r="N1053" s="24" t="s">
        <v>5820</v>
      </c>
      <c r="O1053" s="34"/>
      <c r="P1053" s="34"/>
      <c r="Q1053" s="34"/>
      <c r="R1053" s="34"/>
      <c r="S1053" s="34"/>
      <c r="T1053" s="34" t="str">
        <f t="shared" ref="T1053:V1053" si="1058">IF(G1053&lt;&gt;"","Yes","")</f>
        <v>Yes</v>
      </c>
      <c r="U1053" s="34" t="str">
        <f t="shared" si="1058"/>
        <v/>
      </c>
      <c r="V1053" s="34" t="str">
        <f t="shared" si="1058"/>
        <v/>
      </c>
      <c r="W1053" s="34" t="str">
        <f t="shared" si="3"/>
        <v/>
      </c>
      <c r="X1053" s="24" t="str">
        <f t="shared" si="4"/>
        <v/>
      </c>
    </row>
    <row r="1054" ht="14.25" customHeight="1">
      <c r="A1054" s="33">
        <f>HYPERLINK("https://app.hubspot.com/contacts/8748051/record/0-1/8647950440", 8647950440)</f>
        <v>8647950440</v>
      </c>
      <c r="B1054" s="24" t="s">
        <v>5821</v>
      </c>
      <c r="C1054" s="34"/>
      <c r="D1054" s="24" t="s">
        <v>5822</v>
      </c>
      <c r="E1054" s="28" t="s">
        <v>1857</v>
      </c>
      <c r="F1054" s="34"/>
      <c r="G1054" s="35">
        <v>45384.0</v>
      </c>
      <c r="H1054" s="35">
        <v>45400.0</v>
      </c>
      <c r="I1054" s="35">
        <v>45400.0</v>
      </c>
      <c r="J1054" s="34"/>
      <c r="K1054" s="34"/>
      <c r="L1054" s="34"/>
      <c r="M1054" s="33">
        <f>HYPERLINK("https://app.hubspot.com/contacts/8748051/record/0-2/8929939120", 8929939120)</f>
        <v>8929939120</v>
      </c>
      <c r="N1054" s="24" t="s">
        <v>1856</v>
      </c>
      <c r="O1054" s="33">
        <f>HYPERLINK("https://app.hubspot.com/contacts/8748051/record/0-3/18729245276", 18729245276)</f>
        <v>18729245276</v>
      </c>
      <c r="P1054" s="24" t="s">
        <v>1855</v>
      </c>
      <c r="Q1054" s="24" t="s">
        <v>73</v>
      </c>
      <c r="R1054" s="24">
        <v>14640.0</v>
      </c>
      <c r="S1054" s="34"/>
      <c r="T1054" s="34" t="str">
        <f t="shared" ref="T1054:V1054" si="1059">IF(G1054&lt;&gt;"","Yes","")</f>
        <v>Yes</v>
      </c>
      <c r="U1054" s="34" t="str">
        <f t="shared" si="1059"/>
        <v>Yes</v>
      </c>
      <c r="V1054" s="34" t="str">
        <f t="shared" si="1059"/>
        <v>Yes</v>
      </c>
      <c r="W1054" s="34" t="str">
        <f t="shared" si="3"/>
        <v/>
      </c>
      <c r="X1054" s="24" t="str">
        <f t="shared" si="4"/>
        <v/>
      </c>
    </row>
    <row r="1055" ht="14.25" customHeight="1">
      <c r="A1055" s="33">
        <f>HYPERLINK("https://app.hubspot.com/contacts/8748051/record/0-1/8683143312", 8683143312)</f>
        <v>8683143312</v>
      </c>
      <c r="B1055" s="24" t="s">
        <v>5823</v>
      </c>
      <c r="C1055" s="34"/>
      <c r="D1055" s="24" t="s">
        <v>5824</v>
      </c>
      <c r="E1055" s="28" t="s">
        <v>5825</v>
      </c>
      <c r="F1055" s="34"/>
      <c r="G1055" s="35">
        <v>45385.0</v>
      </c>
      <c r="H1055" s="34"/>
      <c r="I1055" s="34"/>
      <c r="J1055" s="34"/>
      <c r="K1055" s="34"/>
      <c r="L1055" s="34"/>
      <c r="M1055" s="33">
        <f>HYPERLINK("https://app.hubspot.com/contacts/8748051/record/0-2/19176228654", 19176228654)</f>
        <v>19176228654</v>
      </c>
      <c r="N1055" s="24" t="s">
        <v>5826</v>
      </c>
      <c r="O1055" s="34"/>
      <c r="P1055" s="34"/>
      <c r="Q1055" s="34"/>
      <c r="R1055" s="34"/>
      <c r="S1055" s="34"/>
      <c r="T1055" s="34" t="str">
        <f t="shared" ref="T1055:V1055" si="1060">IF(G1055&lt;&gt;"","Yes","")</f>
        <v>Yes</v>
      </c>
      <c r="U1055" s="34" t="str">
        <f t="shared" si="1060"/>
        <v/>
      </c>
      <c r="V1055" s="34" t="str">
        <f t="shared" si="1060"/>
        <v/>
      </c>
      <c r="W1055" s="34" t="str">
        <f t="shared" si="3"/>
        <v/>
      </c>
      <c r="X1055" s="24" t="str">
        <f t="shared" si="4"/>
        <v/>
      </c>
    </row>
    <row r="1056" ht="14.25" customHeight="1">
      <c r="A1056" s="33">
        <f>HYPERLINK("https://app.hubspot.com/contacts/8748051/record/0-1/8695126017", 8695126017)</f>
        <v>8695126017</v>
      </c>
      <c r="B1056" s="24" t="s">
        <v>5827</v>
      </c>
      <c r="C1056" s="34"/>
      <c r="D1056" s="24" t="s">
        <v>5828</v>
      </c>
      <c r="E1056" s="28" t="s">
        <v>5829</v>
      </c>
      <c r="F1056" s="34"/>
      <c r="G1056" s="35">
        <v>45386.0</v>
      </c>
      <c r="H1056" s="34"/>
      <c r="I1056" s="34"/>
      <c r="J1056" s="34"/>
      <c r="K1056" s="34"/>
      <c r="L1056" s="34"/>
      <c r="M1056" s="33">
        <f>HYPERLINK("https://app.hubspot.com/contacts/8748051/record/0-2/7842665761", 7842665761)</f>
        <v>7842665761</v>
      </c>
      <c r="N1056" s="24" t="s">
        <v>5830</v>
      </c>
      <c r="O1056" s="34"/>
      <c r="P1056" s="34"/>
      <c r="Q1056" s="34"/>
      <c r="R1056" s="34"/>
      <c r="S1056" s="34"/>
      <c r="T1056" s="34" t="str">
        <f t="shared" ref="T1056:V1056" si="1061">IF(G1056&lt;&gt;"","Yes","")</f>
        <v>Yes</v>
      </c>
      <c r="U1056" s="34" t="str">
        <f t="shared" si="1061"/>
        <v/>
      </c>
      <c r="V1056" s="34" t="str">
        <f t="shared" si="1061"/>
        <v/>
      </c>
      <c r="W1056" s="34" t="str">
        <f t="shared" si="3"/>
        <v/>
      </c>
      <c r="X1056" s="24" t="str">
        <f t="shared" si="4"/>
        <v/>
      </c>
    </row>
    <row r="1057" ht="14.25" customHeight="1">
      <c r="A1057" s="33">
        <f>HYPERLINK("https://app.hubspot.com/contacts/8748051/record/0-1/8706262090", 8706262090)</f>
        <v>8706262090</v>
      </c>
      <c r="B1057" s="24" t="s">
        <v>5831</v>
      </c>
      <c r="C1057" s="34"/>
      <c r="D1057" s="24" t="s">
        <v>5832</v>
      </c>
      <c r="E1057" s="24" t="s">
        <v>5833</v>
      </c>
      <c r="F1057" s="24" t="s">
        <v>5834</v>
      </c>
      <c r="G1057" s="34"/>
      <c r="H1057" s="34"/>
      <c r="I1057" s="34"/>
      <c r="J1057" s="34"/>
      <c r="K1057" s="34"/>
      <c r="L1057" s="34"/>
      <c r="M1057" s="33">
        <f>HYPERLINK("https://app.hubspot.com/contacts/8748051/record/0-2/19827419532", 19827419532)</f>
        <v>19827419532</v>
      </c>
      <c r="N1057" s="24" t="s">
        <v>5835</v>
      </c>
      <c r="O1057" s="34"/>
      <c r="P1057" s="34"/>
      <c r="Q1057" s="34"/>
      <c r="R1057" s="34"/>
      <c r="S1057" s="34"/>
      <c r="T1057" s="34" t="str">
        <f t="shared" ref="T1057:V1057" si="1062">IF(G1057&lt;&gt;"","Yes","")</f>
        <v/>
      </c>
      <c r="U1057" s="34" t="str">
        <f t="shared" si="1062"/>
        <v/>
      </c>
      <c r="V1057" s="34" t="str">
        <f t="shared" si="1062"/>
        <v/>
      </c>
      <c r="W1057" s="34" t="str">
        <f t="shared" si="3"/>
        <v/>
      </c>
      <c r="X1057" s="24" t="str">
        <f t="shared" si="4"/>
        <v/>
      </c>
    </row>
    <row r="1058" ht="14.25" customHeight="1">
      <c r="A1058" s="33">
        <f>HYPERLINK("https://app.hubspot.com/contacts/8748051/record/0-1/8817164662", 8817164662)</f>
        <v>8817164662</v>
      </c>
      <c r="B1058" s="24" t="s">
        <v>5836</v>
      </c>
      <c r="C1058" s="34"/>
      <c r="D1058" s="24" t="s">
        <v>5837</v>
      </c>
      <c r="E1058" s="28" t="s">
        <v>1848</v>
      </c>
      <c r="F1058" s="34"/>
      <c r="G1058" s="35">
        <v>45385.0</v>
      </c>
      <c r="H1058" s="35">
        <v>45404.0</v>
      </c>
      <c r="I1058" s="35">
        <v>45404.0</v>
      </c>
      <c r="J1058" s="34"/>
      <c r="K1058" s="34"/>
      <c r="L1058" s="34"/>
      <c r="M1058" s="33">
        <f>HYPERLINK("https://app.hubspot.com/contacts/8748051/record/0-2/6936374888", 6936374888)</f>
        <v>6936374888</v>
      </c>
      <c r="N1058" s="24" t="s">
        <v>1847</v>
      </c>
      <c r="O1058" s="33">
        <f>HYPERLINK("https://app.hubspot.com/contacts/8748051/record/0-3/18815495849", 18815495849)</f>
        <v>18815495849</v>
      </c>
      <c r="P1058" s="24" t="s">
        <v>1846</v>
      </c>
      <c r="Q1058" s="24" t="s">
        <v>73</v>
      </c>
      <c r="R1058" s="24">
        <v>5760.0</v>
      </c>
      <c r="S1058" s="34"/>
      <c r="T1058" s="34" t="str">
        <f t="shared" ref="T1058:V1058" si="1063">IF(G1058&lt;&gt;"","Yes","")</f>
        <v>Yes</v>
      </c>
      <c r="U1058" s="34" t="str">
        <f t="shared" si="1063"/>
        <v>Yes</v>
      </c>
      <c r="V1058" s="34" t="str">
        <f t="shared" si="1063"/>
        <v>Yes</v>
      </c>
      <c r="W1058" s="34" t="str">
        <f t="shared" si="3"/>
        <v/>
      </c>
      <c r="X1058" s="24" t="str">
        <f t="shared" si="4"/>
        <v/>
      </c>
    </row>
    <row r="1059" ht="14.25" customHeight="1">
      <c r="A1059" s="33">
        <f>HYPERLINK("https://app.hubspot.com/contacts/8748051/record/0-1/8989734528", 8989734528)</f>
        <v>8989734528</v>
      </c>
      <c r="B1059" s="24" t="s">
        <v>5838</v>
      </c>
      <c r="C1059" s="34"/>
      <c r="D1059" s="24" t="s">
        <v>5839</v>
      </c>
      <c r="E1059" s="28" t="s">
        <v>5840</v>
      </c>
      <c r="F1059" s="34"/>
      <c r="G1059" s="35">
        <v>45386.0</v>
      </c>
      <c r="H1059" s="34"/>
      <c r="I1059" s="34"/>
      <c r="J1059" s="34"/>
      <c r="K1059" s="34"/>
      <c r="L1059" s="34"/>
      <c r="M1059" s="33">
        <f>HYPERLINK("https://app.hubspot.com/contacts/8748051/record/0-2/8323925882", 8323925882)</f>
        <v>8323925882</v>
      </c>
      <c r="N1059" s="24" t="s">
        <v>5841</v>
      </c>
      <c r="O1059" s="34"/>
      <c r="P1059" s="34"/>
      <c r="Q1059" s="34"/>
      <c r="R1059" s="34"/>
      <c r="S1059" s="34"/>
      <c r="T1059" s="34" t="str">
        <f t="shared" ref="T1059:V1059" si="1064">IF(G1059&lt;&gt;"","Yes","")</f>
        <v>Yes</v>
      </c>
      <c r="U1059" s="34" t="str">
        <f t="shared" si="1064"/>
        <v/>
      </c>
      <c r="V1059" s="34" t="str">
        <f t="shared" si="1064"/>
        <v/>
      </c>
      <c r="W1059" s="34" t="str">
        <f t="shared" si="3"/>
        <v/>
      </c>
      <c r="X1059" s="24" t="str">
        <f t="shared" si="4"/>
        <v/>
      </c>
    </row>
    <row r="1060" ht="14.25" customHeight="1">
      <c r="A1060" s="33">
        <f>HYPERLINK("https://app.hubspot.com/contacts/8748051/record/0-1/9406905175", 9406905175)</f>
        <v>9406905175</v>
      </c>
      <c r="B1060" s="24" t="s">
        <v>5842</v>
      </c>
      <c r="C1060" s="34"/>
      <c r="D1060" s="24" t="s">
        <v>5843</v>
      </c>
      <c r="E1060" s="28" t="s">
        <v>1912</v>
      </c>
      <c r="F1060" s="34"/>
      <c r="G1060" s="35">
        <v>45386.0</v>
      </c>
      <c r="H1060" s="35">
        <v>45387.0</v>
      </c>
      <c r="I1060" s="35">
        <v>45397.0</v>
      </c>
      <c r="J1060" s="34"/>
      <c r="K1060" s="34"/>
      <c r="L1060" s="34"/>
      <c r="M1060" s="33">
        <f>HYPERLINK("https://app.hubspot.com/contacts/8748051/record/0-2/18159846809", 18159846809)</f>
        <v>18159846809</v>
      </c>
      <c r="N1060" s="24" t="s">
        <v>1911</v>
      </c>
      <c r="O1060" s="33">
        <f>HYPERLINK("https://app.hubspot.com/contacts/8748051/record/0-3/18607099669", 18607099669)</f>
        <v>18607099669</v>
      </c>
      <c r="P1060" s="24" t="s">
        <v>1910</v>
      </c>
      <c r="Q1060" s="24" t="s">
        <v>73</v>
      </c>
      <c r="R1060" s="24">
        <v>3600.0</v>
      </c>
      <c r="S1060" s="34"/>
      <c r="T1060" s="34" t="str">
        <f t="shared" ref="T1060:V1060" si="1065">IF(G1060&lt;&gt;"","Yes","")</f>
        <v>Yes</v>
      </c>
      <c r="U1060" s="34" t="str">
        <f t="shared" si="1065"/>
        <v>Yes</v>
      </c>
      <c r="V1060" s="34" t="str">
        <f t="shared" si="1065"/>
        <v>Yes</v>
      </c>
      <c r="W1060" s="34" t="str">
        <f t="shared" si="3"/>
        <v/>
      </c>
      <c r="X1060" s="24" t="str">
        <f t="shared" si="4"/>
        <v/>
      </c>
    </row>
    <row r="1061" ht="14.25" customHeight="1">
      <c r="A1061" s="33">
        <f>HYPERLINK("https://app.hubspot.com/contacts/8748051/record/0-1/9668939318", 9668939318)</f>
        <v>9668939318</v>
      </c>
      <c r="B1061" s="24" t="s">
        <v>5844</v>
      </c>
      <c r="C1061" s="34"/>
      <c r="D1061" s="24" t="s">
        <v>5845</v>
      </c>
      <c r="E1061" s="28" t="s">
        <v>5604</v>
      </c>
      <c r="F1061" s="34"/>
      <c r="G1061" s="35">
        <v>45387.0</v>
      </c>
      <c r="H1061" s="34"/>
      <c r="I1061" s="34"/>
      <c r="J1061" s="34"/>
      <c r="K1061" s="34"/>
      <c r="L1061" s="34"/>
      <c r="M1061" s="33">
        <f>HYPERLINK("https://app.hubspot.com/contacts/8748051/record/0-2/18832255345", 18832255345)</f>
        <v>18832255345</v>
      </c>
      <c r="N1061" s="24" t="s">
        <v>5605</v>
      </c>
      <c r="O1061" s="34"/>
      <c r="P1061" s="34"/>
      <c r="Q1061" s="34"/>
      <c r="R1061" s="34"/>
      <c r="S1061" s="34"/>
      <c r="T1061" s="34" t="str">
        <f t="shared" ref="T1061:V1061" si="1066">IF(G1061&lt;&gt;"","Yes","")</f>
        <v>Yes</v>
      </c>
      <c r="U1061" s="34" t="str">
        <f t="shared" si="1066"/>
        <v/>
      </c>
      <c r="V1061" s="34" t="str">
        <f t="shared" si="1066"/>
        <v/>
      </c>
      <c r="W1061" s="34" t="str">
        <f t="shared" si="3"/>
        <v/>
      </c>
      <c r="X1061" s="24" t="str">
        <f t="shared" si="4"/>
        <v/>
      </c>
    </row>
    <row r="1062" ht="14.25" customHeight="1">
      <c r="A1062" s="33">
        <f>HYPERLINK("https://app.hubspot.com/contacts/8748051/record/0-1/9674738772", 9674738772)</f>
        <v>9674738772</v>
      </c>
      <c r="B1062" s="24" t="s">
        <v>5846</v>
      </c>
      <c r="C1062" s="34"/>
      <c r="D1062" s="24" t="s">
        <v>5847</v>
      </c>
      <c r="E1062" s="28" t="s">
        <v>5848</v>
      </c>
      <c r="F1062" s="34"/>
      <c r="G1062" s="35">
        <v>45387.0</v>
      </c>
      <c r="H1062" s="34"/>
      <c r="I1062" s="34"/>
      <c r="J1062" s="34"/>
      <c r="K1062" s="34"/>
      <c r="L1062" s="34"/>
      <c r="M1062" s="33">
        <f>HYPERLINK("https://app.hubspot.com/contacts/8748051/record/0-2/19176694688", 19176694688)</f>
        <v>19176694688</v>
      </c>
      <c r="N1062" s="24" t="s">
        <v>5849</v>
      </c>
      <c r="O1062" s="34"/>
      <c r="P1062" s="34"/>
      <c r="Q1062" s="34"/>
      <c r="R1062" s="34"/>
      <c r="S1062" s="34"/>
      <c r="T1062" s="34" t="str">
        <f t="shared" ref="T1062:V1062" si="1067">IF(G1062&lt;&gt;"","Yes","")</f>
        <v>Yes</v>
      </c>
      <c r="U1062" s="34" t="str">
        <f t="shared" si="1067"/>
        <v/>
      </c>
      <c r="V1062" s="34" t="str">
        <f t="shared" si="1067"/>
        <v/>
      </c>
      <c r="W1062" s="34" t="str">
        <f t="shared" si="3"/>
        <v/>
      </c>
      <c r="X1062" s="24" t="str">
        <f t="shared" si="4"/>
        <v/>
      </c>
    </row>
    <row r="1063" ht="14.25" customHeight="1">
      <c r="A1063" s="33">
        <f>HYPERLINK("https://app.hubspot.com/contacts/8748051/record/0-1/9748080386", 9748080386)</f>
        <v>9748080386</v>
      </c>
      <c r="B1063" s="24" t="s">
        <v>5850</v>
      </c>
      <c r="C1063" s="34"/>
      <c r="D1063" s="24" t="s">
        <v>5851</v>
      </c>
      <c r="E1063" s="28" t="s">
        <v>5852</v>
      </c>
      <c r="F1063" s="34"/>
      <c r="G1063" s="35">
        <v>45387.0</v>
      </c>
      <c r="H1063" s="34"/>
      <c r="I1063" s="34"/>
      <c r="J1063" s="34"/>
      <c r="K1063" s="34"/>
      <c r="L1063" s="34"/>
      <c r="M1063" s="33">
        <f>HYPERLINK("https://app.hubspot.com/contacts/8748051/record/0-2/19176562617", 19176562617)</f>
        <v>19176562617</v>
      </c>
      <c r="N1063" s="24" t="s">
        <v>5853</v>
      </c>
      <c r="O1063" s="34"/>
      <c r="P1063" s="34"/>
      <c r="Q1063" s="34"/>
      <c r="R1063" s="34"/>
      <c r="S1063" s="34"/>
      <c r="T1063" s="34" t="str">
        <f t="shared" ref="T1063:V1063" si="1068">IF(G1063&lt;&gt;"","Yes","")</f>
        <v>Yes</v>
      </c>
      <c r="U1063" s="34" t="str">
        <f t="shared" si="1068"/>
        <v/>
      </c>
      <c r="V1063" s="34" t="str">
        <f t="shared" si="1068"/>
        <v/>
      </c>
      <c r="W1063" s="34" t="str">
        <f t="shared" si="3"/>
        <v/>
      </c>
      <c r="X1063" s="24" t="str">
        <f t="shared" si="4"/>
        <v/>
      </c>
    </row>
    <row r="1064" ht="14.25" customHeight="1">
      <c r="A1064" s="33">
        <f>HYPERLINK("https://app.hubspot.com/contacts/8748051/record/0-1/9784468043", 9784468043)</f>
        <v>9784468043</v>
      </c>
      <c r="B1064" s="24" t="s">
        <v>5854</v>
      </c>
      <c r="C1064" s="34"/>
      <c r="D1064" s="24" t="s">
        <v>5855</v>
      </c>
      <c r="E1064" s="28" t="s">
        <v>1275</v>
      </c>
      <c r="F1064" s="34"/>
      <c r="G1064" s="35">
        <v>45387.0</v>
      </c>
      <c r="H1064" s="35">
        <v>45398.0</v>
      </c>
      <c r="I1064" s="35">
        <v>45398.0</v>
      </c>
      <c r="J1064" s="34"/>
      <c r="K1064" s="34"/>
      <c r="L1064" s="34"/>
      <c r="M1064" s="33">
        <f>HYPERLINK("https://app.hubspot.com/contacts/8748051/record/0-2/19176609119", 19176609119)</f>
        <v>19176609119</v>
      </c>
      <c r="N1064" s="24" t="s">
        <v>1274</v>
      </c>
      <c r="O1064" s="33">
        <f>HYPERLINK("https://app.hubspot.com/contacts/8748051/record/0-3/18657370719", 18657370719)</f>
        <v>18657370719</v>
      </c>
      <c r="P1064" s="24" t="s">
        <v>1899</v>
      </c>
      <c r="Q1064" s="24" t="s">
        <v>73</v>
      </c>
      <c r="R1064" s="24">
        <v>2160.0</v>
      </c>
      <c r="S1064" s="34"/>
      <c r="T1064" s="34" t="str">
        <f t="shared" ref="T1064:V1064" si="1069">IF(G1064&lt;&gt;"","Yes","")</f>
        <v>Yes</v>
      </c>
      <c r="U1064" s="34" t="str">
        <f t="shared" si="1069"/>
        <v>Yes</v>
      </c>
      <c r="V1064" s="34" t="str">
        <f t="shared" si="1069"/>
        <v>Yes</v>
      </c>
      <c r="W1064" s="34" t="str">
        <f t="shared" si="3"/>
        <v/>
      </c>
      <c r="X1064" s="24" t="str">
        <f t="shared" si="4"/>
        <v/>
      </c>
    </row>
    <row r="1065" ht="14.25" customHeight="1">
      <c r="A1065" s="33">
        <f>HYPERLINK("https://app.hubspot.com/contacts/8748051/record/0-1/9831174477", 9831174477)</f>
        <v>9831174477</v>
      </c>
      <c r="B1065" s="24" t="s">
        <v>5856</v>
      </c>
      <c r="C1065" s="34"/>
      <c r="D1065" s="24" t="s">
        <v>5857</v>
      </c>
      <c r="E1065" s="28" t="s">
        <v>1812</v>
      </c>
      <c r="F1065" s="34"/>
      <c r="G1065" s="35">
        <v>45388.0</v>
      </c>
      <c r="H1065" s="35">
        <v>45405.0</v>
      </c>
      <c r="I1065" s="35">
        <v>45405.0</v>
      </c>
      <c r="J1065" s="34"/>
      <c r="K1065" s="34"/>
      <c r="L1065" s="34"/>
      <c r="M1065" s="33">
        <f>HYPERLINK("https://app.hubspot.com/contacts/8748051/record/0-2/7716029499", 7716029499)</f>
        <v>7716029499</v>
      </c>
      <c r="N1065" s="24" t="s">
        <v>1811</v>
      </c>
      <c r="O1065" s="33">
        <f>HYPERLINK("https://app.hubspot.com/contacts/8748051/record/0-3/19063660091", 19063660091)</f>
        <v>19063660091</v>
      </c>
      <c r="P1065" s="24" t="s">
        <v>1810</v>
      </c>
      <c r="Q1065" s="24" t="s">
        <v>73</v>
      </c>
      <c r="R1065" s="24">
        <v>4080.0</v>
      </c>
      <c r="S1065" s="34"/>
      <c r="T1065" s="34" t="str">
        <f t="shared" ref="T1065:V1065" si="1070">IF(G1065&lt;&gt;"","Yes","")</f>
        <v>Yes</v>
      </c>
      <c r="U1065" s="34" t="str">
        <f t="shared" si="1070"/>
        <v>Yes</v>
      </c>
      <c r="V1065" s="34" t="str">
        <f t="shared" si="1070"/>
        <v>Yes</v>
      </c>
      <c r="W1065" s="34" t="str">
        <f t="shared" si="3"/>
        <v/>
      </c>
      <c r="X1065" s="24" t="str">
        <f t="shared" si="4"/>
        <v/>
      </c>
    </row>
    <row r="1066" ht="14.25" customHeight="1">
      <c r="A1066" s="33">
        <f>HYPERLINK("https://app.hubspot.com/contacts/8748051/record/0-1/9900769444", 9900769444)</f>
        <v>9900769444</v>
      </c>
      <c r="B1066" s="24" t="s">
        <v>5858</v>
      </c>
      <c r="C1066" s="34"/>
      <c r="D1066" s="24" t="s">
        <v>5859</v>
      </c>
      <c r="E1066" s="28" t="s">
        <v>5860</v>
      </c>
      <c r="F1066" s="24" t="s">
        <v>5861</v>
      </c>
      <c r="G1066" s="34"/>
      <c r="H1066" s="34"/>
      <c r="I1066" s="34"/>
      <c r="J1066" s="34"/>
      <c r="K1066" s="34"/>
      <c r="L1066" s="34"/>
      <c r="M1066" s="33">
        <f>HYPERLINK("https://app.hubspot.com/contacts/8748051/record/0-2/20122049160", 20122049160)</f>
        <v>20122049160</v>
      </c>
      <c r="N1066" s="28" t="s">
        <v>5860</v>
      </c>
      <c r="O1066" s="34"/>
      <c r="P1066" s="34"/>
      <c r="Q1066" s="34"/>
      <c r="R1066" s="34"/>
      <c r="S1066" s="34"/>
      <c r="T1066" s="34" t="str">
        <f t="shared" ref="T1066:V1066" si="1071">IF(G1066&lt;&gt;"","Yes","")</f>
        <v/>
      </c>
      <c r="U1066" s="34" t="str">
        <f t="shared" si="1071"/>
        <v/>
      </c>
      <c r="V1066" s="34" t="str">
        <f t="shared" si="1071"/>
        <v/>
      </c>
      <c r="W1066" s="34" t="str">
        <f t="shared" si="3"/>
        <v/>
      </c>
      <c r="X1066" s="24" t="str">
        <f t="shared" si="4"/>
        <v/>
      </c>
    </row>
    <row r="1067" ht="14.25" customHeight="1">
      <c r="A1067" s="33">
        <f>HYPERLINK("https://app.hubspot.com/contacts/8748051/record/0-1/9969561491", 9969561491)</f>
        <v>9969561491</v>
      </c>
      <c r="B1067" s="24" t="s">
        <v>5862</v>
      </c>
      <c r="C1067" s="34"/>
      <c r="D1067" s="24" t="s">
        <v>5863</v>
      </c>
      <c r="E1067" s="28" t="s">
        <v>5864</v>
      </c>
      <c r="F1067" s="24" t="s">
        <v>5323</v>
      </c>
      <c r="G1067" s="34"/>
      <c r="H1067" s="34"/>
      <c r="I1067" s="34"/>
      <c r="J1067" s="34"/>
      <c r="K1067" s="34"/>
      <c r="L1067" s="34"/>
      <c r="M1067" s="33">
        <f>HYPERLINK("https://app.hubspot.com/contacts/8748051/record/0-2/9005692301", 9005692301)</f>
        <v>9005692301</v>
      </c>
      <c r="N1067" s="24" t="s">
        <v>5865</v>
      </c>
      <c r="O1067" s="34"/>
      <c r="P1067" s="34"/>
      <c r="Q1067" s="34"/>
      <c r="R1067" s="34"/>
      <c r="S1067" s="34"/>
      <c r="T1067" s="34" t="str">
        <f t="shared" ref="T1067:V1067" si="1072">IF(G1067&lt;&gt;"","Yes","")</f>
        <v/>
      </c>
      <c r="U1067" s="34" t="str">
        <f t="shared" si="1072"/>
        <v/>
      </c>
      <c r="V1067" s="34" t="str">
        <f t="shared" si="1072"/>
        <v/>
      </c>
      <c r="W1067" s="34" t="str">
        <f t="shared" si="3"/>
        <v/>
      </c>
      <c r="X1067" s="24" t="str">
        <f t="shared" si="4"/>
        <v/>
      </c>
    </row>
    <row r="1068" ht="14.25" customHeight="1">
      <c r="A1068" s="33">
        <f>HYPERLINK("https://app.hubspot.com/contacts/8748051/record/0-1/9992457824", 9992457824)</f>
        <v>9992457824</v>
      </c>
      <c r="B1068" s="24" t="s">
        <v>5866</v>
      </c>
      <c r="C1068" s="34"/>
      <c r="D1068" s="24" t="s">
        <v>5867</v>
      </c>
      <c r="E1068" s="28" t="s">
        <v>1773</v>
      </c>
      <c r="F1068" s="34"/>
      <c r="G1068" s="35">
        <v>45388.0</v>
      </c>
      <c r="H1068" s="35">
        <v>45425.0</v>
      </c>
      <c r="I1068" s="35">
        <v>45427.0</v>
      </c>
      <c r="J1068" s="34"/>
      <c r="K1068" s="34"/>
      <c r="L1068" s="34"/>
      <c r="M1068" s="33">
        <f>HYPERLINK("https://app.hubspot.com/contacts/8748051/record/0-2/7691152294", 7691152294)</f>
        <v>7691152294</v>
      </c>
      <c r="N1068" s="24" t="s">
        <v>1772</v>
      </c>
      <c r="O1068" s="33">
        <f>HYPERLINK("https://app.hubspot.com/contacts/8748051/record/0-3/19322825011", 19322825011)</f>
        <v>19322825011</v>
      </c>
      <c r="P1068" s="24" t="s">
        <v>1771</v>
      </c>
      <c r="Q1068" s="24" t="s">
        <v>73</v>
      </c>
      <c r="R1068" s="24">
        <v>90720.0</v>
      </c>
      <c r="S1068" s="34"/>
      <c r="T1068" s="34" t="str">
        <f t="shared" ref="T1068:V1068" si="1073">IF(G1068&lt;&gt;"","Yes","")</f>
        <v>Yes</v>
      </c>
      <c r="U1068" s="34" t="str">
        <f t="shared" si="1073"/>
        <v>Yes</v>
      </c>
      <c r="V1068" s="34" t="str">
        <f t="shared" si="1073"/>
        <v>Yes</v>
      </c>
      <c r="W1068" s="34" t="str">
        <f t="shared" si="3"/>
        <v/>
      </c>
      <c r="X1068" s="24" t="str">
        <f t="shared" si="4"/>
        <v/>
      </c>
    </row>
    <row r="1069" ht="14.25" customHeight="1">
      <c r="A1069" s="33">
        <f>HYPERLINK("https://app.hubspot.com/contacts/8748051/record/0-1/10049906105", 10049906105)</f>
        <v>10049906105</v>
      </c>
      <c r="B1069" s="24" t="s">
        <v>5868</v>
      </c>
      <c r="C1069" s="34"/>
      <c r="D1069" s="24" t="s">
        <v>5869</v>
      </c>
      <c r="E1069" s="28" t="s">
        <v>5870</v>
      </c>
      <c r="F1069" s="24" t="s">
        <v>4253</v>
      </c>
      <c r="G1069" s="34"/>
      <c r="H1069" s="34"/>
      <c r="I1069" s="34"/>
      <c r="J1069" s="34"/>
      <c r="K1069" s="34"/>
      <c r="L1069" s="34"/>
      <c r="M1069" s="33">
        <f>HYPERLINK("https://app.hubspot.com/contacts/8748051/record/0-2/19176635514", 19176635514)</f>
        <v>19176635514</v>
      </c>
      <c r="N1069" s="24" t="s">
        <v>5871</v>
      </c>
      <c r="O1069" s="34"/>
      <c r="P1069" s="34"/>
      <c r="Q1069" s="34"/>
      <c r="R1069" s="34"/>
      <c r="S1069" s="34"/>
      <c r="T1069" s="34" t="str">
        <f t="shared" ref="T1069:V1069" si="1074">IF(G1069&lt;&gt;"","Yes","")</f>
        <v/>
      </c>
      <c r="U1069" s="34" t="str">
        <f t="shared" si="1074"/>
        <v/>
      </c>
      <c r="V1069" s="34" t="str">
        <f t="shared" si="1074"/>
        <v/>
      </c>
      <c r="W1069" s="34" t="str">
        <f t="shared" si="3"/>
        <v/>
      </c>
      <c r="X1069" s="24" t="str">
        <f t="shared" si="4"/>
        <v/>
      </c>
    </row>
    <row r="1070" ht="14.25" customHeight="1">
      <c r="A1070" s="33">
        <f>HYPERLINK("https://app.hubspot.com/contacts/8748051/record/0-1/10091169829", 10091169829)</f>
        <v>10091169829</v>
      </c>
      <c r="B1070" s="24" t="s">
        <v>5872</v>
      </c>
      <c r="C1070" s="34"/>
      <c r="D1070" s="24" t="s">
        <v>5873</v>
      </c>
      <c r="E1070" s="28" t="s">
        <v>1189</v>
      </c>
      <c r="F1070" s="34"/>
      <c r="G1070" s="35">
        <v>45389.0</v>
      </c>
      <c r="H1070" s="35">
        <v>45742.0</v>
      </c>
      <c r="I1070" s="35">
        <v>45742.0</v>
      </c>
      <c r="J1070" s="34"/>
      <c r="K1070" s="34"/>
      <c r="L1070" s="34"/>
      <c r="M1070" s="33">
        <f>HYPERLINK("https://app.hubspot.com/contacts/8748051/record/0-2/8923210761", 8923210761)</f>
        <v>8923210761</v>
      </c>
      <c r="N1070" s="24" t="s">
        <v>1188</v>
      </c>
      <c r="O1070" s="33">
        <f>HYPERLINK("https://app.hubspot.com/contacts/8748051/record/0-3/35043841054", 35043841054)</f>
        <v>35043841054</v>
      </c>
      <c r="P1070" s="24" t="s">
        <v>1186</v>
      </c>
      <c r="Q1070" s="24" t="s">
        <v>127</v>
      </c>
      <c r="R1070" s="24">
        <v>28000.0</v>
      </c>
      <c r="S1070" s="24" t="b">
        <v>1</v>
      </c>
      <c r="T1070" s="34" t="str">
        <f t="shared" ref="T1070:V1070" si="1075">IF(G1070&lt;&gt;"","Yes","")</f>
        <v>Yes</v>
      </c>
      <c r="U1070" s="34" t="str">
        <f t="shared" si="1075"/>
        <v>Yes</v>
      </c>
      <c r="V1070" s="34" t="str">
        <f t="shared" si="1075"/>
        <v>Yes</v>
      </c>
      <c r="W1070" s="34" t="str">
        <f t="shared" si="3"/>
        <v/>
      </c>
      <c r="X1070" s="24" t="str">
        <f t="shared" si="4"/>
        <v/>
      </c>
    </row>
    <row r="1071" ht="14.25" customHeight="1">
      <c r="A1071" s="33">
        <f>HYPERLINK("https://app.hubspot.com/contacts/8748051/record/0-1/10173658484", 10173658484)</f>
        <v>10173658484</v>
      </c>
      <c r="B1071" s="24" t="s">
        <v>5874</v>
      </c>
      <c r="C1071" s="34"/>
      <c r="D1071" s="24" t="s">
        <v>5875</v>
      </c>
      <c r="E1071" s="28" t="s">
        <v>5876</v>
      </c>
      <c r="F1071" s="34"/>
      <c r="G1071" s="35">
        <v>45390.0</v>
      </c>
      <c r="H1071" s="34"/>
      <c r="I1071" s="34"/>
      <c r="J1071" s="34"/>
      <c r="K1071" s="34"/>
      <c r="L1071" s="34"/>
      <c r="M1071" s="33">
        <f>HYPERLINK("https://app.hubspot.com/contacts/8748051/record/0-2/9132283034", 9132283034)</f>
        <v>9132283034</v>
      </c>
      <c r="N1071" s="24" t="s">
        <v>5877</v>
      </c>
      <c r="O1071" s="34"/>
      <c r="P1071" s="34"/>
      <c r="Q1071" s="34"/>
      <c r="R1071" s="34"/>
      <c r="S1071" s="34"/>
      <c r="T1071" s="34" t="str">
        <f t="shared" ref="T1071:V1071" si="1076">IF(G1071&lt;&gt;"","Yes","")</f>
        <v>Yes</v>
      </c>
      <c r="U1071" s="34" t="str">
        <f t="shared" si="1076"/>
        <v/>
      </c>
      <c r="V1071" s="34" t="str">
        <f t="shared" si="1076"/>
        <v/>
      </c>
      <c r="W1071" s="34" t="str">
        <f t="shared" si="3"/>
        <v/>
      </c>
      <c r="X1071" s="24" t="str">
        <f t="shared" si="4"/>
        <v/>
      </c>
    </row>
    <row r="1072" ht="14.25" customHeight="1">
      <c r="A1072" s="33">
        <f>HYPERLINK("https://app.hubspot.com/contacts/8748051/record/0-1/10205718389", 10205718389)</f>
        <v>10205718389</v>
      </c>
      <c r="B1072" s="24" t="s">
        <v>5878</v>
      </c>
      <c r="C1072" s="34"/>
      <c r="D1072" s="24" t="s">
        <v>5879</v>
      </c>
      <c r="E1072" s="28" t="s">
        <v>1878</v>
      </c>
      <c r="F1072" s="34"/>
      <c r="G1072" s="35">
        <v>45390.0</v>
      </c>
      <c r="H1072" s="35">
        <v>45400.0</v>
      </c>
      <c r="I1072" s="35">
        <v>45400.0</v>
      </c>
      <c r="J1072" s="34"/>
      <c r="K1072" s="34"/>
      <c r="L1072" s="34"/>
      <c r="M1072" s="33">
        <f>HYPERLINK("https://app.hubspot.com/contacts/8748051/record/0-2/7940842543", 7940842543)</f>
        <v>7940842543</v>
      </c>
      <c r="N1072" s="24" t="s">
        <v>1877</v>
      </c>
      <c r="O1072" s="33">
        <f>HYPERLINK("https://app.hubspot.com/contacts/8748051/record/0-3/18706132882", 18706132882)</f>
        <v>18706132882</v>
      </c>
      <c r="P1072" s="24" t="s">
        <v>1876</v>
      </c>
      <c r="Q1072" s="24" t="s">
        <v>73</v>
      </c>
      <c r="R1072" s="24">
        <v>6480.0</v>
      </c>
      <c r="S1072" s="34"/>
      <c r="T1072" s="34" t="str">
        <f t="shared" ref="T1072:V1072" si="1077">IF(G1072&lt;&gt;"","Yes","")</f>
        <v>Yes</v>
      </c>
      <c r="U1072" s="34" t="str">
        <f t="shared" si="1077"/>
        <v>Yes</v>
      </c>
      <c r="V1072" s="34" t="str">
        <f t="shared" si="1077"/>
        <v>Yes</v>
      </c>
      <c r="W1072" s="34" t="str">
        <f t="shared" si="3"/>
        <v/>
      </c>
      <c r="X1072" s="24" t="str">
        <f t="shared" si="4"/>
        <v/>
      </c>
    </row>
    <row r="1073" ht="14.25" customHeight="1">
      <c r="A1073" s="33">
        <f>HYPERLINK("https://app.hubspot.com/contacts/8748051/record/0-1/10440428947", 10440428947)</f>
        <v>10440428947</v>
      </c>
      <c r="B1073" s="24" t="s">
        <v>5880</v>
      </c>
      <c r="C1073" s="34"/>
      <c r="D1073" s="24" t="s">
        <v>5881</v>
      </c>
      <c r="E1073" s="28" t="s">
        <v>5882</v>
      </c>
      <c r="F1073" s="34"/>
      <c r="G1073" s="35">
        <v>45390.0</v>
      </c>
      <c r="H1073" s="34"/>
      <c r="I1073" s="34"/>
      <c r="J1073" s="34"/>
      <c r="K1073" s="34"/>
      <c r="L1073" s="34"/>
      <c r="M1073" s="33">
        <f>HYPERLINK("https://app.hubspot.com/contacts/8748051/record/0-2/19176558466", 19176558466)</f>
        <v>19176558466</v>
      </c>
      <c r="N1073" s="24" t="s">
        <v>5883</v>
      </c>
      <c r="O1073" s="34"/>
      <c r="P1073" s="34"/>
      <c r="Q1073" s="34"/>
      <c r="R1073" s="34"/>
      <c r="S1073" s="34"/>
      <c r="T1073" s="34" t="str">
        <f t="shared" ref="T1073:V1073" si="1078">IF(G1073&lt;&gt;"","Yes","")</f>
        <v>Yes</v>
      </c>
      <c r="U1073" s="34" t="str">
        <f t="shared" si="1078"/>
        <v/>
      </c>
      <c r="V1073" s="34" t="str">
        <f t="shared" si="1078"/>
        <v/>
      </c>
      <c r="W1073" s="34" t="str">
        <f t="shared" si="3"/>
        <v/>
      </c>
      <c r="X1073" s="24" t="str">
        <f t="shared" si="4"/>
        <v/>
      </c>
    </row>
    <row r="1074" ht="14.25" customHeight="1">
      <c r="A1074" s="33">
        <f>HYPERLINK("https://app.hubspot.com/contacts/8748051/record/0-1/10552642374", 10552642374)</f>
        <v>10552642374</v>
      </c>
      <c r="B1074" s="24" t="s">
        <v>5884</v>
      </c>
      <c r="C1074" s="34"/>
      <c r="D1074" s="24" t="s">
        <v>5885</v>
      </c>
      <c r="E1074" s="28" t="s">
        <v>5692</v>
      </c>
      <c r="F1074" s="24" t="s">
        <v>5886</v>
      </c>
      <c r="G1074" s="34"/>
      <c r="H1074" s="34"/>
      <c r="I1074" s="34"/>
      <c r="J1074" s="34"/>
      <c r="K1074" s="34"/>
      <c r="L1074" s="34"/>
      <c r="M1074" s="33">
        <f>HYPERLINK("https://app.hubspot.com/contacts/8748051/record/0-2/32765662230", 32765662230)</f>
        <v>32765662230</v>
      </c>
      <c r="N1074" s="24" t="s">
        <v>5693</v>
      </c>
      <c r="O1074" s="34"/>
      <c r="P1074" s="34"/>
      <c r="Q1074" s="34"/>
      <c r="R1074" s="34"/>
      <c r="S1074" s="34"/>
      <c r="T1074" s="34" t="str">
        <f t="shared" ref="T1074:V1074" si="1079">IF(G1074&lt;&gt;"","Yes","")</f>
        <v/>
      </c>
      <c r="U1074" s="34" t="str">
        <f t="shared" si="1079"/>
        <v/>
      </c>
      <c r="V1074" s="34" t="str">
        <f t="shared" si="1079"/>
        <v/>
      </c>
      <c r="W1074" s="34" t="str">
        <f t="shared" si="3"/>
        <v/>
      </c>
      <c r="X1074" s="24" t="str">
        <f t="shared" si="4"/>
        <v/>
      </c>
    </row>
    <row r="1075" ht="14.25" customHeight="1">
      <c r="A1075" s="33">
        <f>HYPERLINK("https://app.hubspot.com/contacts/8748051/record/0-1/10647253344", 10647253344)</f>
        <v>10647253344</v>
      </c>
      <c r="B1075" s="24" t="s">
        <v>5887</v>
      </c>
      <c r="C1075" s="34"/>
      <c r="D1075" s="24" t="s">
        <v>5888</v>
      </c>
      <c r="E1075" s="28" t="s">
        <v>1770</v>
      </c>
      <c r="F1075" s="34"/>
      <c r="G1075" s="35">
        <v>45391.0</v>
      </c>
      <c r="H1075" s="35">
        <v>45425.0</v>
      </c>
      <c r="I1075" s="35">
        <v>45425.0</v>
      </c>
      <c r="J1075" s="34"/>
      <c r="K1075" s="34"/>
      <c r="L1075" s="34"/>
      <c r="M1075" s="33">
        <f>HYPERLINK("https://app.hubspot.com/contacts/8748051/record/0-2/6816717199", 6816717199)</f>
        <v>6816717199</v>
      </c>
      <c r="N1075" s="24" t="s">
        <v>1769</v>
      </c>
      <c r="O1075" s="33">
        <f>HYPERLINK("https://app.hubspot.com/contacts/8748051/record/0-3/19326413229", 19326413229)</f>
        <v>19326413229</v>
      </c>
      <c r="P1075" s="24" t="s">
        <v>1767</v>
      </c>
      <c r="Q1075" s="24" t="s">
        <v>127</v>
      </c>
      <c r="R1075" s="24">
        <v>6000.0</v>
      </c>
      <c r="S1075" s="24" t="b">
        <v>1</v>
      </c>
      <c r="T1075" s="34" t="str">
        <f t="shared" ref="T1075:V1075" si="1080">IF(G1075&lt;&gt;"","Yes","")</f>
        <v>Yes</v>
      </c>
      <c r="U1075" s="34" t="str">
        <f t="shared" si="1080"/>
        <v>Yes</v>
      </c>
      <c r="V1075" s="34" t="str">
        <f t="shared" si="1080"/>
        <v>Yes</v>
      </c>
      <c r="W1075" s="34" t="str">
        <f t="shared" si="3"/>
        <v/>
      </c>
      <c r="X1075" s="24" t="str">
        <f t="shared" si="4"/>
        <v/>
      </c>
    </row>
    <row r="1076" ht="14.25" customHeight="1">
      <c r="A1076" s="33">
        <f>HYPERLINK("https://app.hubspot.com/contacts/8748051/record/0-1/10789443254", 10789443254)</f>
        <v>10789443254</v>
      </c>
      <c r="B1076" s="24" t="s">
        <v>5889</v>
      </c>
      <c r="C1076" s="34"/>
      <c r="D1076" s="24" t="s">
        <v>5890</v>
      </c>
      <c r="E1076" s="28" t="s">
        <v>3932</v>
      </c>
      <c r="F1076" s="34"/>
      <c r="G1076" s="35">
        <v>45391.0</v>
      </c>
      <c r="H1076" s="34"/>
      <c r="I1076" s="34"/>
      <c r="J1076" s="34"/>
      <c r="K1076" s="34"/>
      <c r="L1076" s="34"/>
      <c r="M1076" s="33">
        <f>HYPERLINK("https://app.hubspot.com/contacts/8748051/record/0-2/8995666011", 8995666011)</f>
        <v>8995666011</v>
      </c>
      <c r="N1076" s="24" t="s">
        <v>3933</v>
      </c>
      <c r="O1076" s="34"/>
      <c r="P1076" s="34"/>
      <c r="Q1076" s="34"/>
      <c r="R1076" s="34"/>
      <c r="S1076" s="34"/>
      <c r="T1076" s="34" t="str">
        <f t="shared" ref="T1076:V1076" si="1081">IF(G1076&lt;&gt;"","Yes","")</f>
        <v>Yes</v>
      </c>
      <c r="U1076" s="34" t="str">
        <f t="shared" si="1081"/>
        <v/>
      </c>
      <c r="V1076" s="34" t="str">
        <f t="shared" si="1081"/>
        <v/>
      </c>
      <c r="W1076" s="34" t="str">
        <f t="shared" si="3"/>
        <v/>
      </c>
      <c r="X1076" s="24" t="str">
        <f t="shared" si="4"/>
        <v/>
      </c>
    </row>
    <row r="1077" ht="14.25" customHeight="1">
      <c r="A1077" s="33">
        <f>HYPERLINK("https://app.hubspot.com/contacts/8748051/record/0-1/10951225608", 10951225608)</f>
        <v>10951225608</v>
      </c>
      <c r="B1077" s="24" t="s">
        <v>5891</v>
      </c>
      <c r="C1077" s="34"/>
      <c r="D1077" s="24" t="s">
        <v>5892</v>
      </c>
      <c r="E1077" s="28" t="s">
        <v>5893</v>
      </c>
      <c r="F1077" s="34"/>
      <c r="G1077" s="35">
        <v>45392.0</v>
      </c>
      <c r="H1077" s="34"/>
      <c r="I1077" s="34"/>
      <c r="J1077" s="34"/>
      <c r="K1077" s="34"/>
      <c r="L1077" s="34"/>
      <c r="M1077" s="33">
        <f>HYPERLINK("https://app.hubspot.com/contacts/8748051/record/0-2/19176511902", 19176511902)</f>
        <v>19176511902</v>
      </c>
      <c r="N1077" s="24" t="s">
        <v>5894</v>
      </c>
      <c r="O1077" s="34"/>
      <c r="P1077" s="34"/>
      <c r="Q1077" s="34"/>
      <c r="R1077" s="34"/>
      <c r="S1077" s="34"/>
      <c r="T1077" s="34" t="str">
        <f t="shared" ref="T1077:V1077" si="1082">IF(G1077&lt;&gt;"","Yes","")</f>
        <v>Yes</v>
      </c>
      <c r="U1077" s="34" t="str">
        <f t="shared" si="1082"/>
        <v/>
      </c>
      <c r="V1077" s="34" t="str">
        <f t="shared" si="1082"/>
        <v/>
      </c>
      <c r="W1077" s="34" t="str">
        <f t="shared" si="3"/>
        <v/>
      </c>
      <c r="X1077" s="24" t="str">
        <f t="shared" si="4"/>
        <v/>
      </c>
    </row>
    <row r="1078" ht="14.25" customHeight="1">
      <c r="A1078" s="33">
        <f>HYPERLINK("https://app.hubspot.com/contacts/8748051/record/0-1/11005489731", 11005489731)</f>
        <v>11005489731</v>
      </c>
      <c r="B1078" s="24" t="s">
        <v>5895</v>
      </c>
      <c r="C1078" s="34"/>
      <c r="D1078" s="24" t="s">
        <v>5896</v>
      </c>
      <c r="E1078" s="28" t="s">
        <v>4801</v>
      </c>
      <c r="F1078" s="24" t="s">
        <v>4121</v>
      </c>
      <c r="G1078" s="34"/>
      <c r="H1078" s="34"/>
      <c r="I1078" s="34"/>
      <c r="J1078" s="34"/>
      <c r="K1078" s="34"/>
      <c r="L1078" s="34"/>
      <c r="M1078" s="33">
        <f>HYPERLINK("https://app.hubspot.com/contacts/8748051/record/0-2/9093472933", 9093472933)</f>
        <v>9093472933</v>
      </c>
      <c r="N1078" s="24" t="s">
        <v>4802</v>
      </c>
      <c r="O1078" s="34"/>
      <c r="P1078" s="34"/>
      <c r="Q1078" s="34"/>
      <c r="R1078" s="34"/>
      <c r="S1078" s="34"/>
      <c r="T1078" s="34" t="str">
        <f t="shared" ref="T1078:V1078" si="1083">IF(G1078&lt;&gt;"","Yes","")</f>
        <v/>
      </c>
      <c r="U1078" s="34" t="str">
        <f t="shared" si="1083"/>
        <v/>
      </c>
      <c r="V1078" s="34" t="str">
        <f t="shared" si="1083"/>
        <v/>
      </c>
      <c r="W1078" s="34" t="str">
        <f t="shared" si="3"/>
        <v/>
      </c>
      <c r="X1078" s="24" t="str">
        <f t="shared" si="4"/>
        <v/>
      </c>
    </row>
    <row r="1079" ht="14.25" customHeight="1">
      <c r="A1079" s="33">
        <f>HYPERLINK("https://app.hubspot.com/contacts/8748051/record/0-1/11072410158", 11072410158)</f>
        <v>11072410158</v>
      </c>
      <c r="B1079" s="24" t="s">
        <v>5897</v>
      </c>
      <c r="C1079" s="34"/>
      <c r="D1079" s="24" t="s">
        <v>5898</v>
      </c>
      <c r="E1079" s="28" t="s">
        <v>5899</v>
      </c>
      <c r="F1079" s="34"/>
      <c r="G1079" s="35">
        <v>45392.0</v>
      </c>
      <c r="H1079" s="34"/>
      <c r="I1079" s="34"/>
      <c r="J1079" s="34"/>
      <c r="K1079" s="34"/>
      <c r="L1079" s="34"/>
      <c r="M1079" s="33">
        <f>HYPERLINK("https://app.hubspot.com/contacts/8748051/record/0-2/9228054316", 9228054316)</f>
        <v>9228054316</v>
      </c>
      <c r="N1079" s="24" t="s">
        <v>5900</v>
      </c>
      <c r="O1079" s="34"/>
      <c r="P1079" s="34"/>
      <c r="Q1079" s="34"/>
      <c r="R1079" s="34"/>
      <c r="S1079" s="34"/>
      <c r="T1079" s="34" t="str">
        <f t="shared" ref="T1079:V1079" si="1084">IF(G1079&lt;&gt;"","Yes","")</f>
        <v>Yes</v>
      </c>
      <c r="U1079" s="34" t="str">
        <f t="shared" si="1084"/>
        <v/>
      </c>
      <c r="V1079" s="34" t="str">
        <f t="shared" si="1084"/>
        <v/>
      </c>
      <c r="W1079" s="34" t="str">
        <f t="shared" si="3"/>
        <v/>
      </c>
      <c r="X1079" s="24" t="str">
        <f t="shared" si="4"/>
        <v/>
      </c>
    </row>
    <row r="1080" ht="14.25" customHeight="1">
      <c r="A1080" s="33">
        <f>HYPERLINK("https://app.hubspot.com/contacts/8748051/record/0-1/11140338061", 11140338061)</f>
        <v>11140338061</v>
      </c>
      <c r="B1080" s="24" t="s">
        <v>5901</v>
      </c>
      <c r="C1080" s="34"/>
      <c r="D1080" s="24" t="s">
        <v>5902</v>
      </c>
      <c r="E1080" s="28" t="s">
        <v>5163</v>
      </c>
      <c r="F1080" s="24" t="s">
        <v>5903</v>
      </c>
      <c r="G1080" s="34"/>
      <c r="H1080" s="34"/>
      <c r="I1080" s="34"/>
      <c r="J1080" s="34"/>
      <c r="K1080" s="34"/>
      <c r="L1080" s="34"/>
      <c r="M1080" s="33">
        <f>HYPERLINK("https://app.hubspot.com/contacts/8748051/record/0-2/9238290100", 9238290100)</f>
        <v>9238290100</v>
      </c>
      <c r="N1080" s="24" t="s">
        <v>5164</v>
      </c>
      <c r="O1080" s="34"/>
      <c r="P1080" s="34"/>
      <c r="Q1080" s="34"/>
      <c r="R1080" s="34"/>
      <c r="S1080" s="34"/>
      <c r="T1080" s="34" t="str">
        <f t="shared" ref="T1080:V1080" si="1085">IF(G1080&lt;&gt;"","Yes","")</f>
        <v/>
      </c>
      <c r="U1080" s="34" t="str">
        <f t="shared" si="1085"/>
        <v/>
      </c>
      <c r="V1080" s="34" t="str">
        <f t="shared" si="1085"/>
        <v/>
      </c>
      <c r="W1080" s="34" t="str">
        <f t="shared" si="3"/>
        <v/>
      </c>
      <c r="X1080" s="24" t="str">
        <f t="shared" si="4"/>
        <v/>
      </c>
    </row>
    <row r="1081" ht="14.25" customHeight="1">
      <c r="A1081" s="33">
        <f>HYPERLINK("https://app.hubspot.com/contacts/8748051/record/0-1/11140797807", 11140797807)</f>
        <v>11140797807</v>
      </c>
      <c r="B1081" s="24" t="s">
        <v>5904</v>
      </c>
      <c r="C1081" s="34"/>
      <c r="D1081" s="24" t="s">
        <v>5905</v>
      </c>
      <c r="E1081" s="28" t="s">
        <v>5698</v>
      </c>
      <c r="F1081" s="24" t="s">
        <v>5906</v>
      </c>
      <c r="G1081" s="34"/>
      <c r="H1081" s="34"/>
      <c r="I1081" s="34"/>
      <c r="J1081" s="34"/>
      <c r="K1081" s="34"/>
      <c r="L1081" s="34"/>
      <c r="M1081" s="33">
        <f>HYPERLINK("https://app.hubspot.com/contacts/8748051/record/0-2/15783183189", 15783183189)</f>
        <v>15783183189</v>
      </c>
      <c r="N1081" s="24" t="s">
        <v>5700</v>
      </c>
      <c r="O1081" s="34"/>
      <c r="P1081" s="34"/>
      <c r="Q1081" s="34"/>
      <c r="R1081" s="34"/>
      <c r="S1081" s="34"/>
      <c r="T1081" s="34" t="str">
        <f t="shared" ref="T1081:V1081" si="1086">IF(G1081&lt;&gt;"","Yes","")</f>
        <v/>
      </c>
      <c r="U1081" s="34" t="str">
        <f t="shared" si="1086"/>
        <v/>
      </c>
      <c r="V1081" s="34" t="str">
        <f t="shared" si="1086"/>
        <v/>
      </c>
      <c r="W1081" s="34" t="str">
        <f t="shared" si="3"/>
        <v/>
      </c>
      <c r="X1081" s="24" t="str">
        <f t="shared" si="4"/>
        <v/>
      </c>
    </row>
    <row r="1082" ht="14.25" customHeight="1">
      <c r="A1082" s="33">
        <f>HYPERLINK("https://app.hubspot.com/contacts/8748051/record/0-1/11209939022", 11209939022)</f>
        <v>11209939022</v>
      </c>
      <c r="B1082" s="24" t="s">
        <v>5907</v>
      </c>
      <c r="C1082" s="34"/>
      <c r="D1082" s="24" t="s">
        <v>5908</v>
      </c>
      <c r="E1082" s="28" t="s">
        <v>1106</v>
      </c>
      <c r="F1082" s="34"/>
      <c r="G1082" s="35">
        <v>45393.0</v>
      </c>
      <c r="H1082" s="34"/>
      <c r="I1082" s="34"/>
      <c r="J1082" s="34"/>
      <c r="K1082" s="34"/>
      <c r="L1082" s="34"/>
      <c r="M1082" s="33">
        <f>HYPERLINK("https://app.hubspot.com/contacts/8748051/record/0-2/6262832245", 6262832245)</f>
        <v>6262832245</v>
      </c>
      <c r="N1082" s="24" t="s">
        <v>1105</v>
      </c>
      <c r="O1082" s="34"/>
      <c r="P1082" s="34"/>
      <c r="Q1082" s="34"/>
      <c r="R1082" s="34"/>
      <c r="S1082" s="34"/>
      <c r="T1082" s="34" t="str">
        <f t="shared" ref="T1082:V1082" si="1087">IF(G1082&lt;&gt;"","Yes","")</f>
        <v>Yes</v>
      </c>
      <c r="U1082" s="34" t="str">
        <f t="shared" si="1087"/>
        <v/>
      </c>
      <c r="V1082" s="34" t="str">
        <f t="shared" si="1087"/>
        <v/>
      </c>
      <c r="W1082" s="34" t="str">
        <f t="shared" si="3"/>
        <v/>
      </c>
      <c r="X1082" s="24" t="str">
        <f t="shared" si="4"/>
        <v/>
      </c>
    </row>
    <row r="1083" ht="14.25" customHeight="1">
      <c r="A1083" s="33">
        <f>HYPERLINK("https://app.hubspot.com/contacts/8748051/record/0-1/11544319059", 11544319059)</f>
        <v>11544319059</v>
      </c>
      <c r="B1083" s="24" t="s">
        <v>5909</v>
      </c>
      <c r="C1083" s="34"/>
      <c r="D1083" s="24" t="s">
        <v>5910</v>
      </c>
      <c r="E1083" s="28" t="s">
        <v>1872</v>
      </c>
      <c r="F1083" s="34"/>
      <c r="G1083" s="35">
        <v>45393.0</v>
      </c>
      <c r="H1083" s="35">
        <v>45401.0</v>
      </c>
      <c r="I1083" s="35">
        <v>45401.0</v>
      </c>
      <c r="J1083" s="34"/>
      <c r="K1083" s="34"/>
      <c r="L1083" s="34"/>
      <c r="M1083" s="33">
        <f>HYPERLINK("https://app.hubspot.com/contacts/8748051/record/0-2/9238284404", 9238284404)</f>
        <v>9238284404</v>
      </c>
      <c r="N1083" s="24" t="s">
        <v>1871</v>
      </c>
      <c r="O1083" s="33">
        <f>HYPERLINK("https://app.hubspot.com/contacts/8748051/record/0-3/18712203603", 18712203603)</f>
        <v>18712203603</v>
      </c>
      <c r="P1083" s="24" t="s">
        <v>1870</v>
      </c>
      <c r="Q1083" s="24" t="s">
        <v>73</v>
      </c>
      <c r="R1083" s="24">
        <v>62880.0</v>
      </c>
      <c r="S1083" s="34"/>
      <c r="T1083" s="34" t="str">
        <f t="shared" ref="T1083:V1083" si="1088">IF(G1083&lt;&gt;"","Yes","")</f>
        <v>Yes</v>
      </c>
      <c r="U1083" s="34" t="str">
        <f t="shared" si="1088"/>
        <v>Yes</v>
      </c>
      <c r="V1083" s="34" t="str">
        <f t="shared" si="1088"/>
        <v>Yes</v>
      </c>
      <c r="W1083" s="34" t="str">
        <f t="shared" si="3"/>
        <v/>
      </c>
      <c r="X1083" s="24" t="str">
        <f t="shared" si="4"/>
        <v/>
      </c>
    </row>
    <row r="1084" ht="14.25" customHeight="1">
      <c r="A1084" s="33">
        <f>HYPERLINK("https://app.hubspot.com/contacts/8748051/record/0-1/11546725537", 11546725537)</f>
        <v>11546725537</v>
      </c>
      <c r="B1084" s="24" t="s">
        <v>5911</v>
      </c>
      <c r="C1084" s="34"/>
      <c r="D1084" s="24" t="s">
        <v>5912</v>
      </c>
      <c r="E1084" s="28" t="s">
        <v>5913</v>
      </c>
      <c r="F1084" s="34"/>
      <c r="G1084" s="35">
        <v>45393.0</v>
      </c>
      <c r="H1084" s="34"/>
      <c r="I1084" s="34"/>
      <c r="J1084" s="34"/>
      <c r="K1084" s="34"/>
      <c r="L1084" s="34"/>
      <c r="M1084" s="33">
        <f>HYPERLINK("https://app.hubspot.com/contacts/8748051/record/0-2/19177041273", 19177041273)</f>
        <v>19177041273</v>
      </c>
      <c r="N1084" s="24" t="s">
        <v>5914</v>
      </c>
      <c r="O1084" s="34"/>
      <c r="P1084" s="34"/>
      <c r="Q1084" s="34"/>
      <c r="R1084" s="34"/>
      <c r="S1084" s="34"/>
      <c r="T1084" s="34" t="str">
        <f t="shared" ref="T1084:V1084" si="1089">IF(G1084&lt;&gt;"","Yes","")</f>
        <v>Yes</v>
      </c>
      <c r="U1084" s="34" t="str">
        <f t="shared" si="1089"/>
        <v/>
      </c>
      <c r="V1084" s="34" t="str">
        <f t="shared" si="1089"/>
        <v/>
      </c>
      <c r="W1084" s="34" t="str">
        <f t="shared" si="3"/>
        <v/>
      </c>
      <c r="X1084" s="24" t="str">
        <f t="shared" si="4"/>
        <v/>
      </c>
    </row>
    <row r="1085" ht="14.25" customHeight="1">
      <c r="A1085" s="33">
        <f>HYPERLINK("https://app.hubspot.com/contacts/8748051/record/0-1/11639068417", 11639068417)</f>
        <v>11639068417</v>
      </c>
      <c r="B1085" s="24" t="s">
        <v>5915</v>
      </c>
      <c r="C1085" s="34"/>
      <c r="D1085" s="24" t="s">
        <v>5916</v>
      </c>
      <c r="E1085" s="28" t="s">
        <v>1886</v>
      </c>
      <c r="F1085" s="34"/>
      <c r="G1085" s="35">
        <v>45394.0</v>
      </c>
      <c r="H1085" s="35">
        <v>45401.0</v>
      </c>
      <c r="I1085" s="35">
        <v>45401.0</v>
      </c>
      <c r="J1085" s="34"/>
      <c r="K1085" s="34"/>
      <c r="L1085" s="34"/>
      <c r="M1085" s="33">
        <f>HYPERLINK("https://app.hubspot.com/contacts/8748051/record/0-2/7514178488", 7514178488)</f>
        <v>7514178488</v>
      </c>
      <c r="N1085" s="24" t="s">
        <v>1885</v>
      </c>
      <c r="O1085" s="33">
        <f>HYPERLINK("https://app.hubspot.com/contacts/8748051/record/0-3/18680534870", 18680534870)</f>
        <v>18680534870</v>
      </c>
      <c r="P1085" s="24" t="s">
        <v>1884</v>
      </c>
      <c r="Q1085" s="24" t="s">
        <v>73</v>
      </c>
      <c r="R1085" s="24">
        <v>15840.0</v>
      </c>
      <c r="S1085" s="34"/>
      <c r="T1085" s="34" t="str">
        <f t="shared" ref="T1085:V1085" si="1090">IF(G1085&lt;&gt;"","Yes","")</f>
        <v>Yes</v>
      </c>
      <c r="U1085" s="34" t="str">
        <f t="shared" si="1090"/>
        <v>Yes</v>
      </c>
      <c r="V1085" s="34" t="str">
        <f t="shared" si="1090"/>
        <v>Yes</v>
      </c>
      <c r="W1085" s="34" t="str">
        <f t="shared" si="3"/>
        <v/>
      </c>
      <c r="X1085" s="24" t="str">
        <f t="shared" si="4"/>
        <v/>
      </c>
    </row>
    <row r="1086" ht="14.25" customHeight="1">
      <c r="A1086" s="33">
        <f>HYPERLINK("https://app.hubspot.com/contacts/8748051/record/0-1/11752433825", 11752433825)</f>
        <v>11752433825</v>
      </c>
      <c r="B1086" s="24" t="s">
        <v>5917</v>
      </c>
      <c r="C1086" s="34"/>
      <c r="D1086" s="24" t="s">
        <v>5918</v>
      </c>
      <c r="E1086" s="28" t="s">
        <v>5919</v>
      </c>
      <c r="F1086" s="24" t="s">
        <v>4072</v>
      </c>
      <c r="G1086" s="34"/>
      <c r="H1086" s="34"/>
      <c r="I1086" s="34"/>
      <c r="J1086" s="34"/>
      <c r="K1086" s="34"/>
      <c r="L1086" s="34"/>
      <c r="M1086" s="33">
        <f>HYPERLINK("https://app.hubspot.com/contacts/8748051/record/0-2/20223073192", 20223073192)</f>
        <v>20223073192</v>
      </c>
      <c r="N1086" s="24" t="s">
        <v>5920</v>
      </c>
      <c r="O1086" s="34"/>
      <c r="P1086" s="34"/>
      <c r="Q1086" s="34"/>
      <c r="R1086" s="34"/>
      <c r="S1086" s="34"/>
      <c r="T1086" s="34" t="str">
        <f t="shared" ref="T1086:V1086" si="1091">IF(G1086&lt;&gt;"","Yes","")</f>
        <v/>
      </c>
      <c r="U1086" s="34" t="str">
        <f t="shared" si="1091"/>
        <v/>
      </c>
      <c r="V1086" s="34" t="str">
        <f t="shared" si="1091"/>
        <v/>
      </c>
      <c r="W1086" s="34" t="str">
        <f t="shared" si="3"/>
        <v/>
      </c>
      <c r="X1086" s="24" t="str">
        <f t="shared" si="4"/>
        <v/>
      </c>
    </row>
    <row r="1087" ht="14.25" customHeight="1">
      <c r="A1087" s="33">
        <f>HYPERLINK("https://app.hubspot.com/contacts/8748051/record/0-1/11887432371", 11887432371)</f>
        <v>11887432371</v>
      </c>
      <c r="B1087" s="24" t="s">
        <v>5921</v>
      </c>
      <c r="C1087" s="34"/>
      <c r="D1087" s="24" t="s">
        <v>5922</v>
      </c>
      <c r="E1087" s="28" t="s">
        <v>1611</v>
      </c>
      <c r="F1087" s="24" t="s">
        <v>4253</v>
      </c>
      <c r="G1087" s="34"/>
      <c r="H1087" s="34"/>
      <c r="I1087" s="34"/>
      <c r="J1087" s="34"/>
      <c r="K1087" s="34"/>
      <c r="L1087" s="34"/>
      <c r="M1087" s="33">
        <f>HYPERLINK("https://app.hubspot.com/contacts/8748051/record/0-2/8324013689", 8324013689)</f>
        <v>8324013689</v>
      </c>
      <c r="N1087" s="24" t="s">
        <v>1610</v>
      </c>
      <c r="O1087" s="34"/>
      <c r="P1087" s="34"/>
      <c r="Q1087" s="34"/>
      <c r="R1087" s="34"/>
      <c r="S1087" s="34"/>
      <c r="T1087" s="34" t="str">
        <f t="shared" ref="T1087:V1087" si="1092">IF(G1087&lt;&gt;"","Yes","")</f>
        <v/>
      </c>
      <c r="U1087" s="34" t="str">
        <f t="shared" si="1092"/>
        <v/>
      </c>
      <c r="V1087" s="34" t="str">
        <f t="shared" si="1092"/>
        <v/>
      </c>
      <c r="W1087" s="34" t="str">
        <f t="shared" si="3"/>
        <v/>
      </c>
      <c r="X1087" s="24" t="str">
        <f t="shared" si="4"/>
        <v/>
      </c>
    </row>
    <row r="1088" ht="14.25" customHeight="1">
      <c r="A1088" s="33">
        <f>HYPERLINK("https://app.hubspot.com/contacts/8748051/record/0-1/12161564063", 12161564063)</f>
        <v>12161564063</v>
      </c>
      <c r="B1088" s="24" t="s">
        <v>5923</v>
      </c>
      <c r="C1088" s="34"/>
      <c r="D1088" s="24" t="s">
        <v>5924</v>
      </c>
      <c r="E1088" s="28" t="s">
        <v>5925</v>
      </c>
      <c r="F1088" s="34"/>
      <c r="G1088" s="35">
        <v>45398.0</v>
      </c>
      <c r="H1088" s="34"/>
      <c r="I1088" s="34"/>
      <c r="J1088" s="34"/>
      <c r="K1088" s="34"/>
      <c r="L1088" s="34"/>
      <c r="M1088" s="33">
        <f>HYPERLINK("https://app.hubspot.com/contacts/8748051/record/0-2/17252725788", 17252725788)</f>
        <v>17252725788</v>
      </c>
      <c r="N1088" s="24" t="s">
        <v>5926</v>
      </c>
      <c r="O1088" s="34"/>
      <c r="P1088" s="34"/>
      <c r="Q1088" s="34"/>
      <c r="R1088" s="34"/>
      <c r="S1088" s="34"/>
      <c r="T1088" s="34" t="str">
        <f t="shared" ref="T1088:V1088" si="1093">IF(G1088&lt;&gt;"","Yes","")</f>
        <v>Yes</v>
      </c>
      <c r="U1088" s="34" t="str">
        <f t="shared" si="1093"/>
        <v/>
      </c>
      <c r="V1088" s="34" t="str">
        <f t="shared" si="1093"/>
        <v/>
      </c>
      <c r="W1088" s="34" t="str">
        <f t="shared" si="3"/>
        <v/>
      </c>
      <c r="X1088" s="24" t="str">
        <f t="shared" si="4"/>
        <v/>
      </c>
    </row>
    <row r="1089" ht="14.25" customHeight="1">
      <c r="A1089" s="33">
        <f>HYPERLINK("https://app.hubspot.com/contacts/8748051/record/0-1/12184522760", 12184522760)</f>
        <v>12184522760</v>
      </c>
      <c r="B1089" s="24" t="s">
        <v>5927</v>
      </c>
      <c r="C1089" s="34"/>
      <c r="D1089" s="24" t="s">
        <v>5928</v>
      </c>
      <c r="E1089" s="28" t="s">
        <v>1895</v>
      </c>
      <c r="F1089" s="34"/>
      <c r="G1089" s="35">
        <v>45397.0</v>
      </c>
      <c r="H1089" s="35">
        <v>45407.0</v>
      </c>
      <c r="I1089" s="35">
        <v>45407.0</v>
      </c>
      <c r="J1089" s="34"/>
      <c r="K1089" s="34"/>
      <c r="L1089" s="34"/>
      <c r="M1089" s="33">
        <f>HYPERLINK("https://app.hubspot.com/contacts/8748051/record/0-2/32765657906", 32765657906)</f>
        <v>32765657906</v>
      </c>
      <c r="N1089" s="24" t="s">
        <v>1894</v>
      </c>
      <c r="O1089" s="33">
        <f>HYPERLINK("https://app.hubspot.com/contacts/8748051/record/0-3/18658723757", 18658723757)</f>
        <v>18658723757</v>
      </c>
      <c r="P1089" s="24" t="s">
        <v>1893</v>
      </c>
      <c r="Q1089" s="24" t="s">
        <v>73</v>
      </c>
      <c r="R1089" s="24">
        <v>11760.0</v>
      </c>
      <c r="S1089" s="34"/>
      <c r="T1089" s="34" t="str">
        <f t="shared" ref="T1089:V1089" si="1094">IF(G1089&lt;&gt;"","Yes","")</f>
        <v>Yes</v>
      </c>
      <c r="U1089" s="34" t="str">
        <f t="shared" si="1094"/>
        <v>Yes</v>
      </c>
      <c r="V1089" s="34" t="str">
        <f t="shared" si="1094"/>
        <v>Yes</v>
      </c>
      <c r="W1089" s="34" t="str">
        <f t="shared" si="3"/>
        <v/>
      </c>
      <c r="X1089" s="24" t="str">
        <f t="shared" si="4"/>
        <v/>
      </c>
    </row>
    <row r="1090" ht="14.25" customHeight="1">
      <c r="A1090" s="33">
        <f>HYPERLINK("https://app.hubspot.com/contacts/8748051/record/0-1/12192598600", 12192598600)</f>
        <v>12192598600</v>
      </c>
      <c r="B1090" s="24" t="s">
        <v>5929</v>
      </c>
      <c r="C1090" s="34"/>
      <c r="D1090" s="24" t="s">
        <v>5930</v>
      </c>
      <c r="E1090" s="28" t="s">
        <v>5931</v>
      </c>
      <c r="F1090" s="34"/>
      <c r="G1090" s="35">
        <v>45397.0</v>
      </c>
      <c r="H1090" s="34"/>
      <c r="I1090" s="34"/>
      <c r="J1090" s="34"/>
      <c r="K1090" s="34"/>
      <c r="L1090" s="34"/>
      <c r="M1090" s="33">
        <f>HYPERLINK("https://app.hubspot.com/contacts/8748051/record/0-2/16375856234", 16375856234)</f>
        <v>16375856234</v>
      </c>
      <c r="N1090" s="24" t="s">
        <v>5932</v>
      </c>
      <c r="O1090" s="34"/>
      <c r="P1090" s="34"/>
      <c r="Q1090" s="34"/>
      <c r="R1090" s="34"/>
      <c r="S1090" s="34"/>
      <c r="T1090" s="34" t="str">
        <f t="shared" ref="T1090:V1090" si="1095">IF(G1090&lt;&gt;"","Yes","")</f>
        <v>Yes</v>
      </c>
      <c r="U1090" s="34" t="str">
        <f t="shared" si="1095"/>
        <v/>
      </c>
      <c r="V1090" s="34" t="str">
        <f t="shared" si="1095"/>
        <v/>
      </c>
      <c r="W1090" s="34" t="str">
        <f t="shared" si="3"/>
        <v/>
      </c>
      <c r="X1090" s="24" t="str">
        <f t="shared" si="4"/>
        <v/>
      </c>
    </row>
    <row r="1091" ht="14.25" customHeight="1">
      <c r="A1091" s="33">
        <f>HYPERLINK("https://app.hubspot.com/contacts/8748051/record/0-1/12343109469", 12343109469)</f>
        <v>12343109469</v>
      </c>
      <c r="B1091" s="24" t="s">
        <v>5933</v>
      </c>
      <c r="C1091" s="34"/>
      <c r="D1091" s="24" t="s">
        <v>5934</v>
      </c>
      <c r="E1091" s="28" t="s">
        <v>1866</v>
      </c>
      <c r="F1091" s="34"/>
      <c r="G1091" s="35">
        <v>45397.0</v>
      </c>
      <c r="H1091" s="35">
        <v>45406.0</v>
      </c>
      <c r="I1091" s="35">
        <v>45406.0</v>
      </c>
      <c r="J1091" s="34"/>
      <c r="K1091" s="34"/>
      <c r="L1091" s="34"/>
      <c r="M1091" s="33">
        <f>HYPERLINK("https://app.hubspot.com/contacts/8748051/record/0-2/7398503445", 7398503445)</f>
        <v>7398503445</v>
      </c>
      <c r="N1091" s="24" t="s">
        <v>1865</v>
      </c>
      <c r="O1091" s="33">
        <f>HYPERLINK("https://app.hubspot.com/contacts/8748051/record/0-3/18712204348", 18712204348)</f>
        <v>18712204348</v>
      </c>
      <c r="P1091" s="24" t="s">
        <v>1864</v>
      </c>
      <c r="Q1091" s="24" t="s">
        <v>73</v>
      </c>
      <c r="R1091" s="24">
        <v>5760.0</v>
      </c>
      <c r="S1091" s="34"/>
      <c r="T1091" s="34" t="str">
        <f t="shared" ref="T1091:V1091" si="1096">IF(G1091&lt;&gt;"","Yes","")</f>
        <v>Yes</v>
      </c>
      <c r="U1091" s="34" t="str">
        <f t="shared" si="1096"/>
        <v>Yes</v>
      </c>
      <c r="V1091" s="34" t="str">
        <f t="shared" si="1096"/>
        <v>Yes</v>
      </c>
      <c r="W1091" s="34" t="str">
        <f t="shared" si="3"/>
        <v/>
      </c>
      <c r="X1091" s="24" t="str">
        <f t="shared" si="4"/>
        <v/>
      </c>
    </row>
    <row r="1092" ht="14.25" customHeight="1">
      <c r="A1092" s="33">
        <f>HYPERLINK("https://app.hubspot.com/contacts/8748051/record/0-1/12370220095", 12370220095)</f>
        <v>12370220095</v>
      </c>
      <c r="B1092" s="24" t="s">
        <v>5935</v>
      </c>
      <c r="C1092" s="34"/>
      <c r="D1092" s="24" t="s">
        <v>5936</v>
      </c>
      <c r="E1092" s="28" t="s">
        <v>1827</v>
      </c>
      <c r="F1092" s="34"/>
      <c r="G1092" s="35">
        <v>45400.0</v>
      </c>
      <c r="H1092" s="35">
        <v>45441.0</v>
      </c>
      <c r="I1092" s="35">
        <v>45411.0</v>
      </c>
      <c r="J1092" s="34"/>
      <c r="K1092" s="34"/>
      <c r="L1092" s="34"/>
      <c r="M1092" s="33">
        <f>HYPERLINK("https://app.hubspot.com/contacts/8748051/record/0-2/16065522216", 16065522216)</f>
        <v>16065522216</v>
      </c>
      <c r="N1092" s="24" t="s">
        <v>1826</v>
      </c>
      <c r="O1092" s="33">
        <f>HYPERLINK("https://app.hubspot.com/contacts/8748051/record/0-3/18967221561", 18967221561)</f>
        <v>18967221561</v>
      </c>
      <c r="P1092" s="24" t="s">
        <v>1825</v>
      </c>
      <c r="Q1092" s="24" t="s">
        <v>73</v>
      </c>
      <c r="R1092" s="24">
        <v>8880.0</v>
      </c>
      <c r="S1092" s="34"/>
      <c r="T1092" s="34" t="str">
        <f t="shared" ref="T1092:V1092" si="1097">IF(G1092&lt;&gt;"","Yes","")</f>
        <v>Yes</v>
      </c>
      <c r="U1092" s="34" t="str">
        <f t="shared" si="1097"/>
        <v>Yes</v>
      </c>
      <c r="V1092" s="34" t="str">
        <f t="shared" si="1097"/>
        <v>Yes</v>
      </c>
      <c r="W1092" s="34" t="str">
        <f t="shared" si="3"/>
        <v/>
      </c>
      <c r="X1092" s="24" t="str">
        <f t="shared" si="4"/>
        <v/>
      </c>
    </row>
    <row r="1093" ht="14.25" customHeight="1">
      <c r="A1093" s="33">
        <f>HYPERLINK("https://app.hubspot.com/contacts/8748051/record/0-1/12438623774", 12438623774)</f>
        <v>12438623774</v>
      </c>
      <c r="B1093" s="24" t="s">
        <v>5937</v>
      </c>
      <c r="C1093" s="34"/>
      <c r="D1093" s="24" t="s">
        <v>5938</v>
      </c>
      <c r="E1093" s="28" t="s">
        <v>5939</v>
      </c>
      <c r="F1093" s="34"/>
      <c r="G1093" s="35">
        <v>45397.0</v>
      </c>
      <c r="H1093" s="34"/>
      <c r="I1093" s="34"/>
      <c r="J1093" s="34"/>
      <c r="K1093" s="34"/>
      <c r="L1093" s="34"/>
      <c r="M1093" s="33">
        <f>HYPERLINK("https://app.hubspot.com/contacts/8748051/record/0-2/8929669460", 8929669460)</f>
        <v>8929669460</v>
      </c>
      <c r="N1093" s="24" t="s">
        <v>5940</v>
      </c>
      <c r="O1093" s="34"/>
      <c r="P1093" s="34"/>
      <c r="Q1093" s="34"/>
      <c r="R1093" s="34"/>
      <c r="S1093" s="34"/>
      <c r="T1093" s="34" t="str">
        <f t="shared" ref="T1093:V1093" si="1098">IF(G1093&lt;&gt;"","Yes","")</f>
        <v>Yes</v>
      </c>
      <c r="U1093" s="34" t="str">
        <f t="shared" si="1098"/>
        <v/>
      </c>
      <c r="V1093" s="34" t="str">
        <f t="shared" si="1098"/>
        <v/>
      </c>
      <c r="W1093" s="34" t="str">
        <f t="shared" si="3"/>
        <v/>
      </c>
      <c r="X1093" s="24" t="str">
        <f t="shared" si="4"/>
        <v/>
      </c>
    </row>
    <row r="1094" ht="14.25" customHeight="1">
      <c r="A1094" s="33">
        <f>HYPERLINK("https://app.hubspot.com/contacts/8748051/record/0-1/12442018212", 12442018212)</f>
        <v>12442018212</v>
      </c>
      <c r="B1094" s="24" t="s">
        <v>5941</v>
      </c>
      <c r="C1094" s="34"/>
      <c r="D1094" s="24" t="s">
        <v>5942</v>
      </c>
      <c r="E1094" s="28" t="s">
        <v>5943</v>
      </c>
      <c r="F1094" s="34"/>
      <c r="G1094" s="35">
        <v>45397.0</v>
      </c>
      <c r="H1094" s="34"/>
      <c r="I1094" s="34"/>
      <c r="J1094" s="34"/>
      <c r="K1094" s="34"/>
      <c r="L1094" s="34"/>
      <c r="M1094" s="33">
        <f>HYPERLINK("https://app.hubspot.com/contacts/8748051/record/0-2/14810002292", 14810002292)</f>
        <v>14810002292</v>
      </c>
      <c r="N1094" s="24" t="s">
        <v>5944</v>
      </c>
      <c r="O1094" s="34"/>
      <c r="P1094" s="34"/>
      <c r="Q1094" s="34"/>
      <c r="R1094" s="34"/>
      <c r="S1094" s="34"/>
      <c r="T1094" s="34" t="str">
        <f t="shared" ref="T1094:V1094" si="1099">IF(G1094&lt;&gt;"","Yes","")</f>
        <v>Yes</v>
      </c>
      <c r="U1094" s="34" t="str">
        <f t="shared" si="1099"/>
        <v/>
      </c>
      <c r="V1094" s="34" t="str">
        <f t="shared" si="1099"/>
        <v/>
      </c>
      <c r="W1094" s="34" t="str">
        <f t="shared" si="3"/>
        <v/>
      </c>
      <c r="X1094" s="24" t="str">
        <f t="shared" si="4"/>
        <v/>
      </c>
    </row>
    <row r="1095" ht="14.25" customHeight="1">
      <c r="A1095" s="33">
        <f>HYPERLINK("https://app.hubspot.com/contacts/8748051/record/0-1/12504470592", 12504470592)</f>
        <v>12504470592</v>
      </c>
      <c r="B1095" s="24" t="s">
        <v>5945</v>
      </c>
      <c r="C1095" s="34"/>
      <c r="D1095" s="24" t="s">
        <v>5946</v>
      </c>
      <c r="E1095" s="28" t="s">
        <v>5876</v>
      </c>
      <c r="F1095" s="24" t="s">
        <v>4072</v>
      </c>
      <c r="G1095" s="34"/>
      <c r="H1095" s="34"/>
      <c r="I1095" s="34"/>
      <c r="J1095" s="34"/>
      <c r="K1095" s="34"/>
      <c r="L1095" s="34"/>
      <c r="M1095" s="33">
        <f>HYPERLINK("https://app.hubspot.com/contacts/8748051/record/0-2/9132283034", 9132283034)</f>
        <v>9132283034</v>
      </c>
      <c r="N1095" s="24" t="s">
        <v>5877</v>
      </c>
      <c r="O1095" s="34"/>
      <c r="P1095" s="34"/>
      <c r="Q1095" s="34"/>
      <c r="R1095" s="34"/>
      <c r="S1095" s="34"/>
      <c r="T1095" s="34" t="str">
        <f t="shared" ref="T1095:V1095" si="1100">IF(G1095&lt;&gt;"","Yes","")</f>
        <v/>
      </c>
      <c r="U1095" s="34" t="str">
        <f t="shared" si="1100"/>
        <v/>
      </c>
      <c r="V1095" s="34" t="str">
        <f t="shared" si="1100"/>
        <v/>
      </c>
      <c r="W1095" s="34" t="str">
        <f t="shared" si="3"/>
        <v/>
      </c>
      <c r="X1095" s="24" t="str">
        <f t="shared" si="4"/>
        <v/>
      </c>
    </row>
    <row r="1096" ht="14.25" customHeight="1">
      <c r="A1096" s="33">
        <f>HYPERLINK("https://app.hubspot.com/contacts/8748051/record/0-1/12623840691", 12623840691)</f>
        <v>12623840691</v>
      </c>
      <c r="B1096" s="24" t="s">
        <v>5947</v>
      </c>
      <c r="C1096" s="34"/>
      <c r="D1096" s="24" t="s">
        <v>5948</v>
      </c>
      <c r="E1096" s="28" t="s">
        <v>767</v>
      </c>
      <c r="F1096" s="34"/>
      <c r="G1096" s="35">
        <v>45398.0</v>
      </c>
      <c r="H1096" s="35">
        <v>45400.0</v>
      </c>
      <c r="I1096" s="35">
        <v>45400.0</v>
      </c>
      <c r="J1096" s="34"/>
      <c r="K1096" s="34"/>
      <c r="L1096" s="34"/>
      <c r="M1096" s="33">
        <f>HYPERLINK("https://app.hubspot.com/contacts/8748051/record/0-2/10198110024", 10198110024)</f>
        <v>10198110024</v>
      </c>
      <c r="N1096" s="24" t="s">
        <v>766</v>
      </c>
      <c r="O1096" s="33">
        <f>HYPERLINK("https://app.hubspot.com/contacts/8748051/record/0-3/18712203395", 18712203395)</f>
        <v>18712203395</v>
      </c>
      <c r="P1096" s="24" t="s">
        <v>765</v>
      </c>
      <c r="Q1096" s="24" t="s">
        <v>73</v>
      </c>
      <c r="R1096" s="24">
        <v>10560.0</v>
      </c>
      <c r="S1096" s="34"/>
      <c r="T1096" s="34" t="str">
        <f t="shared" ref="T1096:V1096" si="1101">IF(G1096&lt;&gt;"","Yes","")</f>
        <v>Yes</v>
      </c>
      <c r="U1096" s="34" t="str">
        <f t="shared" si="1101"/>
        <v>Yes</v>
      </c>
      <c r="V1096" s="34" t="str">
        <f t="shared" si="1101"/>
        <v>Yes</v>
      </c>
      <c r="W1096" s="34" t="str">
        <f t="shared" si="3"/>
        <v/>
      </c>
      <c r="X1096" s="24" t="str">
        <f t="shared" si="4"/>
        <v/>
      </c>
    </row>
    <row r="1097" ht="14.25" customHeight="1">
      <c r="A1097" s="33">
        <f>HYPERLINK("https://app.hubspot.com/contacts/8748051/record/0-1/12768875698", 12768875698)</f>
        <v>12768875698</v>
      </c>
      <c r="B1097" s="24" t="s">
        <v>5949</v>
      </c>
      <c r="C1097" s="34"/>
      <c r="D1097" s="24" t="s">
        <v>5950</v>
      </c>
      <c r="E1097" s="28" t="s">
        <v>1815</v>
      </c>
      <c r="F1097" s="34"/>
      <c r="G1097" s="35">
        <v>45398.0</v>
      </c>
      <c r="H1097" s="35">
        <v>45413.0</v>
      </c>
      <c r="I1097" s="35">
        <v>45413.0</v>
      </c>
      <c r="J1097" s="34"/>
      <c r="K1097" s="34"/>
      <c r="L1097" s="34"/>
      <c r="M1097" s="33">
        <f>HYPERLINK("https://app.hubspot.com/contacts/8748051/record/0-2/9406234408", 9406234408)</f>
        <v>9406234408</v>
      </c>
      <c r="N1097" s="24" t="s">
        <v>1814</v>
      </c>
      <c r="O1097" s="33">
        <f>HYPERLINK("https://app.hubspot.com/contacts/8748051/record/0-3/18984527650", 18984527650)</f>
        <v>18984527650</v>
      </c>
      <c r="P1097" s="24" t="s">
        <v>1813</v>
      </c>
      <c r="Q1097" s="24" t="s">
        <v>73</v>
      </c>
      <c r="R1097" s="24">
        <v>70080.0</v>
      </c>
      <c r="S1097" s="34"/>
      <c r="T1097" s="34" t="str">
        <f t="shared" ref="T1097:V1097" si="1102">IF(G1097&lt;&gt;"","Yes","")</f>
        <v>Yes</v>
      </c>
      <c r="U1097" s="34" t="str">
        <f t="shared" si="1102"/>
        <v>Yes</v>
      </c>
      <c r="V1097" s="34" t="str">
        <f t="shared" si="1102"/>
        <v>Yes</v>
      </c>
      <c r="W1097" s="34" t="str">
        <f t="shared" si="3"/>
        <v/>
      </c>
      <c r="X1097" s="24" t="str">
        <f t="shared" si="4"/>
        <v/>
      </c>
    </row>
    <row r="1098" ht="14.25" customHeight="1">
      <c r="A1098" s="33">
        <f>HYPERLINK("https://app.hubspot.com/contacts/8748051/record/0-1/12943870233", 12943870233)</f>
        <v>12943870233</v>
      </c>
      <c r="B1098" s="24" t="s">
        <v>5951</v>
      </c>
      <c r="C1098" s="34"/>
      <c r="D1098" s="24" t="s">
        <v>5952</v>
      </c>
      <c r="E1098" s="28" t="s">
        <v>5953</v>
      </c>
      <c r="F1098" s="34"/>
      <c r="G1098" s="35">
        <v>45398.0</v>
      </c>
      <c r="H1098" s="34"/>
      <c r="I1098" s="34"/>
      <c r="J1098" s="34"/>
      <c r="K1098" s="34"/>
      <c r="L1098" s="34"/>
      <c r="M1098" s="33">
        <f>HYPERLINK("https://app.hubspot.com/contacts/8748051/record/0-2/19176528640", 19176528640)</f>
        <v>19176528640</v>
      </c>
      <c r="N1098" s="24" t="s">
        <v>5954</v>
      </c>
      <c r="O1098" s="34"/>
      <c r="P1098" s="34"/>
      <c r="Q1098" s="34"/>
      <c r="R1098" s="34"/>
      <c r="S1098" s="34"/>
      <c r="T1098" s="34" t="str">
        <f t="shared" ref="T1098:V1098" si="1103">IF(G1098&lt;&gt;"","Yes","")</f>
        <v>Yes</v>
      </c>
      <c r="U1098" s="34" t="str">
        <f t="shared" si="1103"/>
        <v/>
      </c>
      <c r="V1098" s="34" t="str">
        <f t="shared" si="1103"/>
        <v/>
      </c>
      <c r="W1098" s="34" t="str">
        <f t="shared" si="3"/>
        <v/>
      </c>
      <c r="X1098" s="24" t="str">
        <f t="shared" si="4"/>
        <v/>
      </c>
    </row>
    <row r="1099" ht="14.25" customHeight="1">
      <c r="A1099" s="33">
        <f>HYPERLINK("https://app.hubspot.com/contacts/8748051/record/0-1/12964278969", 12964278969)</f>
        <v>12964278969</v>
      </c>
      <c r="B1099" s="24" t="s">
        <v>5955</v>
      </c>
      <c r="C1099" s="34"/>
      <c r="D1099" s="24" t="s">
        <v>5956</v>
      </c>
      <c r="E1099" s="28" t="s">
        <v>5811</v>
      </c>
      <c r="F1099" s="34"/>
      <c r="G1099" s="35">
        <v>45398.0</v>
      </c>
      <c r="H1099" s="34"/>
      <c r="I1099" s="34"/>
      <c r="J1099" s="34"/>
      <c r="K1099" s="34"/>
      <c r="L1099" s="34"/>
      <c r="M1099" s="33">
        <f>HYPERLINK("https://app.hubspot.com/contacts/8748051/record/0-2/8724553351", 8724553351)</f>
        <v>8724553351</v>
      </c>
      <c r="N1099" s="24" t="s">
        <v>5812</v>
      </c>
      <c r="O1099" s="34"/>
      <c r="P1099" s="34"/>
      <c r="Q1099" s="34"/>
      <c r="R1099" s="34"/>
      <c r="S1099" s="34"/>
      <c r="T1099" s="34" t="str">
        <f t="shared" ref="T1099:V1099" si="1104">IF(G1099&lt;&gt;"","Yes","")</f>
        <v>Yes</v>
      </c>
      <c r="U1099" s="34" t="str">
        <f t="shared" si="1104"/>
        <v/>
      </c>
      <c r="V1099" s="34" t="str">
        <f t="shared" si="1104"/>
        <v/>
      </c>
      <c r="W1099" s="34" t="str">
        <f t="shared" si="3"/>
        <v/>
      </c>
      <c r="X1099" s="24" t="str">
        <f t="shared" si="4"/>
        <v/>
      </c>
    </row>
    <row r="1100" ht="14.25" customHeight="1">
      <c r="A1100" s="33">
        <f>HYPERLINK("https://app.hubspot.com/contacts/8748051/record/0-1/12976880469", 12976880469)</f>
        <v>12976880469</v>
      </c>
      <c r="B1100" s="24" t="s">
        <v>5957</v>
      </c>
      <c r="C1100" s="34"/>
      <c r="D1100" s="24" t="s">
        <v>5958</v>
      </c>
      <c r="E1100" s="28" t="s">
        <v>5959</v>
      </c>
      <c r="F1100" s="34"/>
      <c r="G1100" s="35">
        <v>45398.0</v>
      </c>
      <c r="H1100" s="34"/>
      <c r="I1100" s="34"/>
      <c r="J1100" s="34"/>
      <c r="K1100" s="34"/>
      <c r="L1100" s="34"/>
      <c r="M1100" s="33">
        <f>HYPERLINK("https://app.hubspot.com/contacts/8748051/record/0-2/16376157061", 16376157061)</f>
        <v>16376157061</v>
      </c>
      <c r="N1100" s="24" t="s">
        <v>5960</v>
      </c>
      <c r="O1100" s="34"/>
      <c r="P1100" s="34"/>
      <c r="Q1100" s="34"/>
      <c r="R1100" s="34"/>
      <c r="S1100" s="34"/>
      <c r="T1100" s="34" t="str">
        <f t="shared" ref="T1100:V1100" si="1105">IF(G1100&lt;&gt;"","Yes","")</f>
        <v>Yes</v>
      </c>
      <c r="U1100" s="34" t="str">
        <f t="shared" si="1105"/>
        <v/>
      </c>
      <c r="V1100" s="34" t="str">
        <f t="shared" si="1105"/>
        <v/>
      </c>
      <c r="W1100" s="34" t="str">
        <f t="shared" si="3"/>
        <v/>
      </c>
      <c r="X1100" s="24" t="str">
        <f t="shared" si="4"/>
        <v/>
      </c>
    </row>
    <row r="1101" ht="14.25" customHeight="1">
      <c r="A1101" s="33">
        <f>HYPERLINK("https://app.hubspot.com/contacts/8748051/record/0-1/12981497491", 12981497491)</f>
        <v>12981497491</v>
      </c>
      <c r="B1101" s="24" t="s">
        <v>5961</v>
      </c>
      <c r="C1101" s="34"/>
      <c r="D1101" s="24" t="s">
        <v>5962</v>
      </c>
      <c r="E1101" s="28" t="s">
        <v>1799</v>
      </c>
      <c r="F1101" s="34"/>
      <c r="G1101" s="35">
        <v>45398.0</v>
      </c>
      <c r="H1101" s="34"/>
      <c r="I1101" s="34"/>
      <c r="J1101" s="34"/>
      <c r="K1101" s="34"/>
      <c r="L1101" s="34"/>
      <c r="M1101" s="33">
        <f>HYPERLINK("https://app.hubspot.com/contacts/8748051/record/0-2/14810826675", 14810826675)</f>
        <v>14810826675</v>
      </c>
      <c r="N1101" s="24" t="s">
        <v>1798</v>
      </c>
      <c r="O1101" s="34"/>
      <c r="P1101" s="34"/>
      <c r="Q1101" s="34"/>
      <c r="R1101" s="34"/>
      <c r="S1101" s="34"/>
      <c r="T1101" s="34" t="str">
        <f t="shared" ref="T1101:V1101" si="1106">IF(G1101&lt;&gt;"","Yes","")</f>
        <v>Yes</v>
      </c>
      <c r="U1101" s="34" t="str">
        <f t="shared" si="1106"/>
        <v/>
      </c>
      <c r="V1101" s="34" t="str">
        <f t="shared" si="1106"/>
        <v/>
      </c>
      <c r="W1101" s="34" t="str">
        <f t="shared" si="3"/>
        <v/>
      </c>
      <c r="X1101" s="24" t="str">
        <f t="shared" si="4"/>
        <v/>
      </c>
    </row>
    <row r="1102" ht="14.25" customHeight="1">
      <c r="A1102" s="33">
        <f>HYPERLINK("https://app.hubspot.com/contacts/8748051/record/0-1/13024403841", 13024403841)</f>
        <v>13024403841</v>
      </c>
      <c r="B1102" s="24" t="s">
        <v>5963</v>
      </c>
      <c r="C1102" s="34"/>
      <c r="D1102" s="24" t="s">
        <v>5964</v>
      </c>
      <c r="E1102" s="28" t="s">
        <v>1792</v>
      </c>
      <c r="F1102" s="34"/>
      <c r="G1102" s="35">
        <v>45399.0</v>
      </c>
      <c r="H1102" s="35">
        <v>45418.0</v>
      </c>
      <c r="I1102" s="35">
        <v>45418.0</v>
      </c>
      <c r="J1102" s="34"/>
      <c r="K1102" s="34"/>
      <c r="L1102" s="34"/>
      <c r="M1102" s="33">
        <f>HYPERLINK("https://app.hubspot.com/contacts/8748051/record/0-2/18382839621", 18382839621)</f>
        <v>18382839621</v>
      </c>
      <c r="N1102" s="24" t="s">
        <v>1791</v>
      </c>
      <c r="O1102" s="33">
        <f>HYPERLINK("https://app.hubspot.com/contacts/8748051/record/0-3/19156902974", 19156902974)</f>
        <v>19156902974</v>
      </c>
      <c r="P1102" s="24" t="s">
        <v>1790</v>
      </c>
      <c r="Q1102" s="24" t="s">
        <v>73</v>
      </c>
      <c r="R1102" s="24">
        <v>45600.0</v>
      </c>
      <c r="S1102" s="34"/>
      <c r="T1102" s="34" t="str">
        <f t="shared" ref="T1102:V1102" si="1107">IF(G1102&lt;&gt;"","Yes","")</f>
        <v>Yes</v>
      </c>
      <c r="U1102" s="34" t="str">
        <f t="shared" si="1107"/>
        <v>Yes</v>
      </c>
      <c r="V1102" s="34" t="str">
        <f t="shared" si="1107"/>
        <v>Yes</v>
      </c>
      <c r="W1102" s="34" t="str">
        <f t="shared" si="3"/>
        <v/>
      </c>
      <c r="X1102" s="24" t="str">
        <f t="shared" si="4"/>
        <v/>
      </c>
    </row>
    <row r="1103" ht="14.25" customHeight="1">
      <c r="A1103" s="33">
        <f>HYPERLINK("https://app.hubspot.com/contacts/8748051/record/0-1/13055082062", 13055082062)</f>
        <v>13055082062</v>
      </c>
      <c r="B1103" s="24" t="s">
        <v>5965</v>
      </c>
      <c r="C1103" s="34"/>
      <c r="D1103" s="24" t="s">
        <v>5966</v>
      </c>
      <c r="E1103" s="28" t="s">
        <v>1272</v>
      </c>
      <c r="F1103" s="34"/>
      <c r="G1103" s="35">
        <v>45399.0</v>
      </c>
      <c r="H1103" s="34"/>
      <c r="I1103" s="34"/>
      <c r="J1103" s="34"/>
      <c r="K1103" s="34"/>
      <c r="L1103" s="34"/>
      <c r="M1103" s="33">
        <f>HYPERLINK("https://app.hubspot.com/contacts/8748051/record/0-2/18382738048", 18382738048)</f>
        <v>18382738048</v>
      </c>
      <c r="N1103" s="24" t="s">
        <v>1271</v>
      </c>
      <c r="O1103" s="34"/>
      <c r="P1103" s="34"/>
      <c r="Q1103" s="34"/>
      <c r="R1103" s="34"/>
      <c r="S1103" s="34"/>
      <c r="T1103" s="34" t="str">
        <f t="shared" ref="T1103:V1103" si="1108">IF(G1103&lt;&gt;"","Yes","")</f>
        <v>Yes</v>
      </c>
      <c r="U1103" s="34" t="str">
        <f t="shared" si="1108"/>
        <v/>
      </c>
      <c r="V1103" s="34" t="str">
        <f t="shared" si="1108"/>
        <v/>
      </c>
      <c r="W1103" s="34" t="str">
        <f t="shared" si="3"/>
        <v/>
      </c>
      <c r="X1103" s="24" t="str">
        <f t="shared" si="4"/>
        <v/>
      </c>
    </row>
    <row r="1104" ht="14.25" customHeight="1">
      <c r="A1104" s="33">
        <f>HYPERLINK("https://app.hubspot.com/contacts/8748051/record/0-1/13396505449", 13396505449)</f>
        <v>13396505449</v>
      </c>
      <c r="B1104" s="24" t="s">
        <v>5967</v>
      </c>
      <c r="C1104" s="34"/>
      <c r="D1104" s="24" t="s">
        <v>5968</v>
      </c>
      <c r="E1104" s="28" t="s">
        <v>5969</v>
      </c>
      <c r="F1104" s="34"/>
      <c r="G1104" s="35">
        <v>45372.0</v>
      </c>
      <c r="H1104" s="34"/>
      <c r="I1104" s="34"/>
      <c r="J1104" s="34"/>
      <c r="K1104" s="34"/>
      <c r="L1104" s="34"/>
      <c r="M1104" s="33">
        <f>HYPERLINK("https://app.hubspot.com/contacts/8748051/record/0-2/16065693044", 16065693044)</f>
        <v>16065693044</v>
      </c>
      <c r="N1104" s="24" t="s">
        <v>5970</v>
      </c>
      <c r="O1104" s="34"/>
      <c r="P1104" s="34"/>
      <c r="Q1104" s="34"/>
      <c r="R1104" s="34"/>
      <c r="S1104" s="34"/>
      <c r="T1104" s="34" t="str">
        <f t="shared" ref="T1104:V1104" si="1109">IF(G1104&lt;&gt;"","Yes","")</f>
        <v>Yes</v>
      </c>
      <c r="U1104" s="34" t="str">
        <f t="shared" si="1109"/>
        <v/>
      </c>
      <c r="V1104" s="34" t="str">
        <f t="shared" si="1109"/>
        <v/>
      </c>
      <c r="W1104" s="34" t="str">
        <f t="shared" si="3"/>
        <v/>
      </c>
      <c r="X1104" s="24" t="str">
        <f t="shared" si="4"/>
        <v/>
      </c>
    </row>
    <row r="1105" ht="14.25" customHeight="1">
      <c r="A1105" s="33">
        <f>HYPERLINK("https://app.hubspot.com/contacts/8748051/record/0-1/13427569006", 13427569006)</f>
        <v>13427569006</v>
      </c>
      <c r="B1105" s="24" t="s">
        <v>5971</v>
      </c>
      <c r="C1105" s="34"/>
      <c r="D1105" s="24" t="s">
        <v>5972</v>
      </c>
      <c r="E1105" s="28" t="s">
        <v>5973</v>
      </c>
      <c r="F1105" s="24" t="s">
        <v>4072</v>
      </c>
      <c r="G1105" s="34"/>
      <c r="H1105" s="34"/>
      <c r="I1105" s="34"/>
      <c r="J1105" s="34"/>
      <c r="K1105" s="34"/>
      <c r="L1105" s="34"/>
      <c r="M1105" s="33">
        <f>HYPERLINK("https://app.hubspot.com/contacts/8748051/record/0-2/9324099237", 9324099237)</f>
        <v>9324099237</v>
      </c>
      <c r="N1105" s="24" t="s">
        <v>5974</v>
      </c>
      <c r="O1105" s="34"/>
      <c r="P1105" s="34"/>
      <c r="Q1105" s="34"/>
      <c r="R1105" s="34"/>
      <c r="S1105" s="34"/>
      <c r="T1105" s="34" t="str">
        <f t="shared" ref="T1105:V1105" si="1110">IF(G1105&lt;&gt;"","Yes","")</f>
        <v/>
      </c>
      <c r="U1105" s="34" t="str">
        <f t="shared" si="1110"/>
        <v/>
      </c>
      <c r="V1105" s="34" t="str">
        <f t="shared" si="1110"/>
        <v/>
      </c>
      <c r="W1105" s="34" t="str">
        <f t="shared" si="3"/>
        <v/>
      </c>
      <c r="X1105" s="24" t="str">
        <f t="shared" si="4"/>
        <v/>
      </c>
    </row>
    <row r="1106" ht="14.25" customHeight="1">
      <c r="A1106" s="33">
        <f>HYPERLINK("https://app.hubspot.com/contacts/8748051/record/0-1/13492521522", 13492521522)</f>
        <v>13492521522</v>
      </c>
      <c r="B1106" s="24" t="s">
        <v>5975</v>
      </c>
      <c r="C1106" s="34"/>
      <c r="D1106" s="24" t="s">
        <v>5976</v>
      </c>
      <c r="E1106" s="28" t="s">
        <v>5977</v>
      </c>
      <c r="F1106" s="34"/>
      <c r="G1106" s="35">
        <v>45400.0</v>
      </c>
      <c r="H1106" s="34"/>
      <c r="I1106" s="34"/>
      <c r="J1106" s="34"/>
      <c r="K1106" s="34"/>
      <c r="L1106" s="34"/>
      <c r="M1106" s="33">
        <f>HYPERLINK("https://app.hubspot.com/contacts/8748051/record/0-2/14809683107", 14809683107)</f>
        <v>14809683107</v>
      </c>
      <c r="N1106" s="24" t="s">
        <v>5978</v>
      </c>
      <c r="O1106" s="34"/>
      <c r="P1106" s="34"/>
      <c r="Q1106" s="34"/>
      <c r="R1106" s="34"/>
      <c r="S1106" s="34"/>
      <c r="T1106" s="34" t="str">
        <f t="shared" ref="T1106:V1106" si="1111">IF(G1106&lt;&gt;"","Yes","")</f>
        <v>Yes</v>
      </c>
      <c r="U1106" s="34" t="str">
        <f t="shared" si="1111"/>
        <v/>
      </c>
      <c r="V1106" s="34" t="str">
        <f t="shared" si="1111"/>
        <v/>
      </c>
      <c r="W1106" s="34" t="str">
        <f t="shared" si="3"/>
        <v/>
      </c>
      <c r="X1106" s="24" t="str">
        <f t="shared" si="4"/>
        <v/>
      </c>
    </row>
    <row r="1107" ht="14.25" customHeight="1">
      <c r="A1107" s="33">
        <f>HYPERLINK("https://app.hubspot.com/contacts/8748051/record/0-1/13525180005", 13525180005)</f>
        <v>13525180005</v>
      </c>
      <c r="B1107" s="24" t="s">
        <v>5979</v>
      </c>
      <c r="C1107" s="34"/>
      <c r="D1107" s="24" t="s">
        <v>5980</v>
      </c>
      <c r="E1107" s="28" t="s">
        <v>1419</v>
      </c>
      <c r="F1107" s="34"/>
      <c r="G1107" s="35">
        <v>45400.0</v>
      </c>
      <c r="H1107" s="34"/>
      <c r="I1107" s="34"/>
      <c r="J1107" s="34"/>
      <c r="K1107" s="34"/>
      <c r="L1107" s="34"/>
      <c r="M1107" s="33">
        <f>HYPERLINK("https://app.hubspot.com/contacts/8748051/record/0-2/15759773545", 15759773545)</f>
        <v>15759773545</v>
      </c>
      <c r="N1107" s="24" t="s">
        <v>1418</v>
      </c>
      <c r="O1107" s="34"/>
      <c r="P1107" s="34"/>
      <c r="Q1107" s="34"/>
      <c r="R1107" s="34"/>
      <c r="S1107" s="34"/>
      <c r="T1107" s="34" t="str">
        <f t="shared" ref="T1107:V1107" si="1112">IF(G1107&lt;&gt;"","Yes","")</f>
        <v>Yes</v>
      </c>
      <c r="U1107" s="34" t="str">
        <f t="shared" si="1112"/>
        <v/>
      </c>
      <c r="V1107" s="34" t="str">
        <f t="shared" si="1112"/>
        <v/>
      </c>
      <c r="W1107" s="34" t="str">
        <f t="shared" si="3"/>
        <v/>
      </c>
      <c r="X1107" s="24" t="str">
        <f t="shared" si="4"/>
        <v/>
      </c>
    </row>
    <row r="1108" ht="14.25" customHeight="1">
      <c r="A1108" s="33">
        <f>HYPERLINK("https://app.hubspot.com/contacts/8748051/record/0-1/13546183312", 13546183312)</f>
        <v>13546183312</v>
      </c>
      <c r="B1108" s="24" t="s">
        <v>5981</v>
      </c>
      <c r="C1108" s="34"/>
      <c r="D1108" s="24" t="s">
        <v>5982</v>
      </c>
      <c r="E1108" s="28" t="s">
        <v>5983</v>
      </c>
      <c r="F1108" s="34"/>
      <c r="G1108" s="35">
        <v>45439.0</v>
      </c>
      <c r="H1108" s="34"/>
      <c r="I1108" s="34"/>
      <c r="J1108" s="34"/>
      <c r="K1108" s="34"/>
      <c r="L1108" s="34"/>
      <c r="M1108" s="33">
        <f>HYPERLINK("https://app.hubspot.com/contacts/8748051/record/0-2/7060901189", 7060901189)</f>
        <v>7060901189</v>
      </c>
      <c r="N1108" s="24" t="s">
        <v>5984</v>
      </c>
      <c r="O1108" s="34"/>
      <c r="P1108" s="34"/>
      <c r="Q1108" s="34"/>
      <c r="R1108" s="34"/>
      <c r="S1108" s="34"/>
      <c r="T1108" s="34" t="str">
        <f t="shared" ref="T1108:V1108" si="1113">IF(G1108&lt;&gt;"","Yes","")</f>
        <v>Yes</v>
      </c>
      <c r="U1108" s="34" t="str">
        <f t="shared" si="1113"/>
        <v/>
      </c>
      <c r="V1108" s="34" t="str">
        <f t="shared" si="1113"/>
        <v/>
      </c>
      <c r="W1108" s="34" t="str">
        <f t="shared" si="3"/>
        <v/>
      </c>
      <c r="X1108" s="24" t="str">
        <f t="shared" si="4"/>
        <v/>
      </c>
    </row>
    <row r="1109" ht="14.25" customHeight="1">
      <c r="A1109" s="33">
        <f>HYPERLINK("https://app.hubspot.com/contacts/8748051/record/0-1/13612592417", 13612592417)</f>
        <v>13612592417</v>
      </c>
      <c r="B1109" s="24" t="s">
        <v>5985</v>
      </c>
      <c r="C1109" s="34"/>
      <c r="D1109" s="24" t="s">
        <v>5986</v>
      </c>
      <c r="E1109" s="28" t="s">
        <v>1702</v>
      </c>
      <c r="F1109" s="24" t="s">
        <v>4253</v>
      </c>
      <c r="G1109" s="34"/>
      <c r="H1109" s="34"/>
      <c r="I1109" s="34"/>
      <c r="J1109" s="34"/>
      <c r="K1109" s="34"/>
      <c r="L1109" s="34"/>
      <c r="M1109" s="33">
        <f>HYPERLINK("https://app.hubspot.com/contacts/8748051/record/0-2/8929794578", 8929794578)</f>
        <v>8929794578</v>
      </c>
      <c r="N1109" s="24" t="s">
        <v>1701</v>
      </c>
      <c r="O1109" s="34"/>
      <c r="P1109" s="34"/>
      <c r="Q1109" s="34"/>
      <c r="R1109" s="34"/>
      <c r="S1109" s="34"/>
      <c r="T1109" s="34" t="str">
        <f t="shared" ref="T1109:V1109" si="1114">IF(G1109&lt;&gt;"","Yes","")</f>
        <v/>
      </c>
      <c r="U1109" s="34" t="str">
        <f t="shared" si="1114"/>
        <v/>
      </c>
      <c r="V1109" s="34" t="str">
        <f t="shared" si="1114"/>
        <v/>
      </c>
      <c r="W1109" s="34" t="str">
        <f t="shared" si="3"/>
        <v/>
      </c>
      <c r="X1109" s="24" t="str">
        <f t="shared" si="4"/>
        <v/>
      </c>
    </row>
    <row r="1110" ht="14.25" customHeight="1">
      <c r="A1110" s="33">
        <f>HYPERLINK("https://app.hubspot.com/contacts/8748051/record/0-1/13643595620", 13643595620)</f>
        <v>13643595620</v>
      </c>
      <c r="B1110" s="24" t="s">
        <v>5987</v>
      </c>
      <c r="C1110" s="34"/>
      <c r="D1110" s="24" t="s">
        <v>5988</v>
      </c>
      <c r="E1110" s="28" t="s">
        <v>5989</v>
      </c>
      <c r="F1110" s="34"/>
      <c r="G1110" s="35">
        <v>45400.0</v>
      </c>
      <c r="H1110" s="34"/>
      <c r="I1110" s="34"/>
      <c r="J1110" s="34"/>
      <c r="K1110" s="34"/>
      <c r="L1110" s="34"/>
      <c r="M1110" s="33">
        <f>HYPERLINK("https://app.hubspot.com/contacts/8748051/record/0-2/6262674355", 6262674355)</f>
        <v>6262674355</v>
      </c>
      <c r="N1110" s="24" t="s">
        <v>5990</v>
      </c>
      <c r="O1110" s="34"/>
      <c r="P1110" s="34"/>
      <c r="Q1110" s="34"/>
      <c r="R1110" s="34"/>
      <c r="S1110" s="34"/>
      <c r="T1110" s="34" t="str">
        <f t="shared" ref="T1110:V1110" si="1115">IF(G1110&lt;&gt;"","Yes","")</f>
        <v>Yes</v>
      </c>
      <c r="U1110" s="34" t="str">
        <f t="shared" si="1115"/>
        <v/>
      </c>
      <c r="V1110" s="34" t="str">
        <f t="shared" si="1115"/>
        <v/>
      </c>
      <c r="W1110" s="34" t="str">
        <f t="shared" si="3"/>
        <v/>
      </c>
      <c r="X1110" s="24" t="str">
        <f t="shared" si="4"/>
        <v/>
      </c>
    </row>
    <row r="1111" ht="14.25" customHeight="1">
      <c r="A1111" s="33">
        <f>HYPERLINK("https://app.hubspot.com/contacts/8748051/record/0-1/13713180266", 13713180266)</f>
        <v>13713180266</v>
      </c>
      <c r="B1111" s="24" t="s">
        <v>5991</v>
      </c>
      <c r="C1111" s="34"/>
      <c r="D1111" s="24" t="s">
        <v>5992</v>
      </c>
      <c r="E1111" s="28" t="s">
        <v>5993</v>
      </c>
      <c r="F1111" s="24" t="s">
        <v>4072</v>
      </c>
      <c r="G1111" s="34"/>
      <c r="H1111" s="34"/>
      <c r="I1111" s="34"/>
      <c r="J1111" s="34"/>
      <c r="K1111" s="34"/>
      <c r="L1111" s="34"/>
      <c r="M1111" s="33">
        <f>HYPERLINK("https://app.hubspot.com/contacts/8748051/record/0-2/8620806723", 8620806723)</f>
        <v>8620806723</v>
      </c>
      <c r="N1111" s="24" t="s">
        <v>5994</v>
      </c>
      <c r="O1111" s="34"/>
      <c r="P1111" s="34"/>
      <c r="Q1111" s="34"/>
      <c r="R1111" s="34"/>
      <c r="S1111" s="34"/>
      <c r="T1111" s="34" t="str">
        <f t="shared" ref="T1111:V1111" si="1116">IF(G1111&lt;&gt;"","Yes","")</f>
        <v/>
      </c>
      <c r="U1111" s="34" t="str">
        <f t="shared" si="1116"/>
        <v/>
      </c>
      <c r="V1111" s="34" t="str">
        <f t="shared" si="1116"/>
        <v/>
      </c>
      <c r="W1111" s="34" t="str">
        <f t="shared" si="3"/>
        <v/>
      </c>
      <c r="X1111" s="24" t="str">
        <f t="shared" si="4"/>
        <v/>
      </c>
    </row>
    <row r="1112" ht="14.25" customHeight="1">
      <c r="A1112" s="33">
        <f>HYPERLINK("https://app.hubspot.com/contacts/8748051/record/0-1/13760376628", 13760376628)</f>
        <v>13760376628</v>
      </c>
      <c r="B1112" s="24" t="s">
        <v>5995</v>
      </c>
      <c r="C1112" s="34"/>
      <c r="D1112" s="24" t="s">
        <v>5996</v>
      </c>
      <c r="E1112" s="28" t="s">
        <v>5997</v>
      </c>
      <c r="F1112" s="24" t="s">
        <v>5998</v>
      </c>
      <c r="G1112" s="34"/>
      <c r="H1112" s="34"/>
      <c r="I1112" s="34"/>
      <c r="J1112" s="34"/>
      <c r="K1112" s="34"/>
      <c r="L1112" s="34"/>
      <c r="M1112" s="33">
        <f>HYPERLINK("https://app.hubspot.com/contacts/8748051/record/0-2/15759931657", 15759931657)</f>
        <v>15759931657</v>
      </c>
      <c r="N1112" s="24" t="s">
        <v>5999</v>
      </c>
      <c r="O1112" s="34"/>
      <c r="P1112" s="34"/>
      <c r="Q1112" s="34"/>
      <c r="R1112" s="34"/>
      <c r="S1112" s="34"/>
      <c r="T1112" s="34" t="str">
        <f t="shared" ref="T1112:V1112" si="1117">IF(G1112&lt;&gt;"","Yes","")</f>
        <v/>
      </c>
      <c r="U1112" s="34" t="str">
        <f t="shared" si="1117"/>
        <v/>
      </c>
      <c r="V1112" s="34" t="str">
        <f t="shared" si="1117"/>
        <v/>
      </c>
      <c r="W1112" s="34" t="str">
        <f t="shared" si="3"/>
        <v/>
      </c>
      <c r="X1112" s="24" t="str">
        <f t="shared" si="4"/>
        <v/>
      </c>
    </row>
    <row r="1113" ht="14.25" customHeight="1">
      <c r="A1113" s="33">
        <f>HYPERLINK("https://app.hubspot.com/contacts/8748051/record/0-1/13821243936", 13821243936)</f>
        <v>13821243936</v>
      </c>
      <c r="B1113" s="24" t="s">
        <v>6000</v>
      </c>
      <c r="C1113" s="34"/>
      <c r="D1113" s="24" t="s">
        <v>6001</v>
      </c>
      <c r="E1113" s="28" t="s">
        <v>6002</v>
      </c>
      <c r="F1113" s="34"/>
      <c r="G1113" s="35">
        <v>45401.0</v>
      </c>
      <c r="H1113" s="34"/>
      <c r="I1113" s="34"/>
      <c r="J1113" s="34"/>
      <c r="K1113" s="34"/>
      <c r="L1113" s="34"/>
      <c r="M1113" s="33">
        <f>HYPERLINK("https://app.hubspot.com/contacts/8748051/record/0-2/8339833362", 8339833362)</f>
        <v>8339833362</v>
      </c>
      <c r="N1113" s="24" t="s">
        <v>6003</v>
      </c>
      <c r="O1113" s="34"/>
      <c r="P1113" s="34"/>
      <c r="Q1113" s="34"/>
      <c r="R1113" s="34"/>
      <c r="S1113" s="34"/>
      <c r="T1113" s="34" t="str">
        <f t="shared" ref="T1113:V1113" si="1118">IF(G1113&lt;&gt;"","Yes","")</f>
        <v>Yes</v>
      </c>
      <c r="U1113" s="34" t="str">
        <f t="shared" si="1118"/>
        <v/>
      </c>
      <c r="V1113" s="34" t="str">
        <f t="shared" si="1118"/>
        <v/>
      </c>
      <c r="W1113" s="34" t="str">
        <f t="shared" si="3"/>
        <v/>
      </c>
      <c r="X1113" s="24" t="str">
        <f t="shared" si="4"/>
        <v/>
      </c>
    </row>
    <row r="1114" ht="14.25" customHeight="1">
      <c r="A1114" s="33">
        <f>HYPERLINK("https://app.hubspot.com/contacts/8748051/record/0-1/13976344697", 13976344697)</f>
        <v>13976344697</v>
      </c>
      <c r="B1114" s="24" t="s">
        <v>6004</v>
      </c>
      <c r="C1114" s="34"/>
      <c r="D1114" s="24" t="s">
        <v>6005</v>
      </c>
      <c r="E1114" s="28" t="s">
        <v>6006</v>
      </c>
      <c r="F1114" s="34"/>
      <c r="G1114" s="35">
        <v>45404.0</v>
      </c>
      <c r="H1114" s="34"/>
      <c r="I1114" s="34"/>
      <c r="J1114" s="34"/>
      <c r="K1114" s="34"/>
      <c r="L1114" s="34"/>
      <c r="M1114" s="33">
        <f>HYPERLINK("https://app.hubspot.com/contacts/8748051/record/0-2/7648311192", 7648311192)</f>
        <v>7648311192</v>
      </c>
      <c r="N1114" s="24" t="s">
        <v>6007</v>
      </c>
      <c r="O1114" s="34"/>
      <c r="P1114" s="34"/>
      <c r="Q1114" s="34"/>
      <c r="R1114" s="34"/>
      <c r="S1114" s="34"/>
      <c r="T1114" s="34" t="str">
        <f t="shared" ref="T1114:V1114" si="1119">IF(G1114&lt;&gt;"","Yes","")</f>
        <v>Yes</v>
      </c>
      <c r="U1114" s="34" t="str">
        <f t="shared" si="1119"/>
        <v/>
      </c>
      <c r="V1114" s="34" t="str">
        <f t="shared" si="1119"/>
        <v/>
      </c>
      <c r="W1114" s="34" t="str">
        <f t="shared" si="3"/>
        <v/>
      </c>
      <c r="X1114" s="24" t="str">
        <f t="shared" si="4"/>
        <v/>
      </c>
    </row>
    <row r="1115" ht="14.25" customHeight="1">
      <c r="A1115" s="33">
        <f>HYPERLINK("https://app.hubspot.com/contacts/8748051/record/0-1/14079700998", 14079700998)</f>
        <v>14079700998</v>
      </c>
      <c r="B1115" s="24" t="s">
        <v>6008</v>
      </c>
      <c r="C1115" s="34"/>
      <c r="D1115" s="24" t="s">
        <v>6009</v>
      </c>
      <c r="E1115" s="28" t="s">
        <v>6010</v>
      </c>
      <c r="F1115" s="24" t="s">
        <v>4072</v>
      </c>
      <c r="G1115" s="34"/>
      <c r="H1115" s="34"/>
      <c r="I1115" s="34"/>
      <c r="J1115" s="34"/>
      <c r="K1115" s="34"/>
      <c r="L1115" s="34"/>
      <c r="M1115" s="33">
        <f>HYPERLINK("https://app.hubspot.com/contacts/8748051/record/0-2/19176272211", 19176272211)</f>
        <v>19176272211</v>
      </c>
      <c r="N1115" s="24" t="s">
        <v>6011</v>
      </c>
      <c r="O1115" s="34"/>
      <c r="P1115" s="34"/>
      <c r="Q1115" s="34"/>
      <c r="R1115" s="34"/>
      <c r="S1115" s="34"/>
      <c r="T1115" s="34" t="str">
        <f t="shared" ref="T1115:V1115" si="1120">IF(G1115&lt;&gt;"","Yes","")</f>
        <v/>
      </c>
      <c r="U1115" s="34" t="str">
        <f t="shared" si="1120"/>
        <v/>
      </c>
      <c r="V1115" s="34" t="str">
        <f t="shared" si="1120"/>
        <v/>
      </c>
      <c r="W1115" s="34" t="str">
        <f t="shared" si="3"/>
        <v/>
      </c>
      <c r="X1115" s="24" t="str">
        <f t="shared" si="4"/>
        <v/>
      </c>
    </row>
    <row r="1116" ht="14.25" customHeight="1">
      <c r="A1116" s="33">
        <f>HYPERLINK("https://app.hubspot.com/contacts/8748051/record/0-1/14116803123", 14116803123)</f>
        <v>14116803123</v>
      </c>
      <c r="B1116" s="24" t="s">
        <v>6012</v>
      </c>
      <c r="C1116" s="34"/>
      <c r="D1116" s="24" t="s">
        <v>6013</v>
      </c>
      <c r="E1116" s="28" t="s">
        <v>6014</v>
      </c>
      <c r="F1116" s="34"/>
      <c r="G1116" s="35">
        <v>45404.0</v>
      </c>
      <c r="H1116" s="34"/>
      <c r="I1116" s="34"/>
      <c r="J1116" s="34"/>
      <c r="K1116" s="34"/>
      <c r="L1116" s="34"/>
      <c r="M1116" s="33">
        <f>HYPERLINK("https://app.hubspot.com/contacts/8748051/record/0-2/9069623823", 9069623823)</f>
        <v>9069623823</v>
      </c>
      <c r="N1116" s="24" t="s">
        <v>6015</v>
      </c>
      <c r="O1116" s="34"/>
      <c r="P1116" s="34"/>
      <c r="Q1116" s="34"/>
      <c r="R1116" s="34"/>
      <c r="S1116" s="34"/>
      <c r="T1116" s="34" t="str">
        <f t="shared" ref="T1116:V1116" si="1121">IF(G1116&lt;&gt;"","Yes","")</f>
        <v>Yes</v>
      </c>
      <c r="U1116" s="34" t="str">
        <f t="shared" si="1121"/>
        <v/>
      </c>
      <c r="V1116" s="34" t="str">
        <f t="shared" si="1121"/>
        <v/>
      </c>
      <c r="W1116" s="34" t="str">
        <f t="shared" si="3"/>
        <v/>
      </c>
      <c r="X1116" s="24" t="str">
        <f t="shared" si="4"/>
        <v/>
      </c>
    </row>
    <row r="1117" ht="14.25" customHeight="1">
      <c r="A1117" s="33">
        <f>HYPERLINK("https://app.hubspot.com/contacts/8748051/record/0-1/14357224861", 14357224861)</f>
        <v>14357224861</v>
      </c>
      <c r="B1117" s="24" t="s">
        <v>6016</v>
      </c>
      <c r="C1117" s="34"/>
      <c r="D1117" s="24" t="s">
        <v>6017</v>
      </c>
      <c r="E1117" s="28" t="s">
        <v>6018</v>
      </c>
      <c r="F1117" s="34"/>
      <c r="G1117" s="35">
        <v>45404.0</v>
      </c>
      <c r="H1117" s="34"/>
      <c r="I1117" s="34"/>
      <c r="J1117" s="34"/>
      <c r="K1117" s="34"/>
      <c r="L1117" s="34"/>
      <c r="M1117" s="33">
        <f>HYPERLINK("https://app.hubspot.com/contacts/8748051/record/0-2/8782290584", 8782290584)</f>
        <v>8782290584</v>
      </c>
      <c r="N1117" s="24" t="s">
        <v>6019</v>
      </c>
      <c r="O1117" s="34"/>
      <c r="P1117" s="34"/>
      <c r="Q1117" s="34"/>
      <c r="R1117" s="34"/>
      <c r="S1117" s="34"/>
      <c r="T1117" s="34" t="str">
        <f t="shared" ref="T1117:V1117" si="1122">IF(G1117&lt;&gt;"","Yes","")</f>
        <v>Yes</v>
      </c>
      <c r="U1117" s="34" t="str">
        <f t="shared" si="1122"/>
        <v/>
      </c>
      <c r="V1117" s="34" t="str">
        <f t="shared" si="1122"/>
        <v/>
      </c>
      <c r="W1117" s="34" t="str">
        <f t="shared" si="3"/>
        <v/>
      </c>
      <c r="X1117" s="24" t="str">
        <f t="shared" si="4"/>
        <v/>
      </c>
    </row>
    <row r="1118" ht="14.25" customHeight="1">
      <c r="A1118" s="33">
        <f>HYPERLINK("https://app.hubspot.com/contacts/8748051/record/0-1/14409118111", 14409118111)</f>
        <v>14409118111</v>
      </c>
      <c r="B1118" s="24" t="s">
        <v>6020</v>
      </c>
      <c r="C1118" s="34"/>
      <c r="D1118" s="24" t="s">
        <v>6021</v>
      </c>
      <c r="E1118" s="28" t="s">
        <v>6022</v>
      </c>
      <c r="F1118" s="34"/>
      <c r="G1118" s="35">
        <v>45404.0</v>
      </c>
      <c r="H1118" s="34"/>
      <c r="I1118" s="34"/>
      <c r="J1118" s="34"/>
      <c r="K1118" s="34"/>
      <c r="L1118" s="34"/>
      <c r="M1118" s="33">
        <f>HYPERLINK("https://app.hubspot.com/contacts/8748051/record/0-2/7771501346", 7771501346)</f>
        <v>7771501346</v>
      </c>
      <c r="N1118" s="24" t="s">
        <v>6023</v>
      </c>
      <c r="O1118" s="34"/>
      <c r="P1118" s="34"/>
      <c r="Q1118" s="34"/>
      <c r="R1118" s="34"/>
      <c r="S1118" s="34"/>
      <c r="T1118" s="34" t="str">
        <f t="shared" ref="T1118:V1118" si="1123">IF(G1118&lt;&gt;"","Yes","")</f>
        <v>Yes</v>
      </c>
      <c r="U1118" s="34" t="str">
        <f t="shared" si="1123"/>
        <v/>
      </c>
      <c r="V1118" s="34" t="str">
        <f t="shared" si="1123"/>
        <v/>
      </c>
      <c r="W1118" s="34" t="str">
        <f t="shared" si="3"/>
        <v/>
      </c>
      <c r="X1118" s="24" t="str">
        <f t="shared" si="4"/>
        <v/>
      </c>
    </row>
    <row r="1119" ht="14.25" customHeight="1">
      <c r="A1119" s="33">
        <f>HYPERLINK("https://app.hubspot.com/contacts/8748051/record/0-1/14796511391", 14796511391)</f>
        <v>14796511391</v>
      </c>
      <c r="B1119" s="24" t="s">
        <v>6024</v>
      </c>
      <c r="C1119" s="34"/>
      <c r="D1119" s="24" t="s">
        <v>6025</v>
      </c>
      <c r="E1119" s="28" t="s">
        <v>1809</v>
      </c>
      <c r="F1119" s="34"/>
      <c r="G1119" s="35">
        <v>45414.0</v>
      </c>
      <c r="H1119" s="35">
        <v>45420.0</v>
      </c>
      <c r="I1119" s="35">
        <v>45421.0</v>
      </c>
      <c r="J1119" s="34"/>
      <c r="K1119" s="34"/>
      <c r="L1119" s="34"/>
      <c r="M1119" s="33">
        <f>HYPERLINK("https://app.hubspot.com/contacts/8748051/record/0-2/6816508469", 6816508469)</f>
        <v>6816508469</v>
      </c>
      <c r="N1119" s="24" t="s">
        <v>1808</v>
      </c>
      <c r="O1119" s="33">
        <f>HYPERLINK("https://app.hubspot.com/contacts/8748051/record/0-3/19075241630", 19075241630)</f>
        <v>19075241630</v>
      </c>
      <c r="P1119" s="24" t="s">
        <v>1805</v>
      </c>
      <c r="Q1119" s="24" t="s">
        <v>92</v>
      </c>
      <c r="R1119" s="24">
        <v>12500.0</v>
      </c>
      <c r="S1119" s="24" t="b">
        <v>1</v>
      </c>
      <c r="T1119" s="34" t="str">
        <f t="shared" ref="T1119:V1119" si="1124">IF(G1119&lt;&gt;"","Yes","")</f>
        <v>Yes</v>
      </c>
      <c r="U1119" s="34" t="str">
        <f t="shared" si="1124"/>
        <v>Yes</v>
      </c>
      <c r="V1119" s="34" t="str">
        <f t="shared" si="1124"/>
        <v>Yes</v>
      </c>
      <c r="W1119" s="34" t="str">
        <f t="shared" si="3"/>
        <v>Yes</v>
      </c>
      <c r="X1119" s="24" t="str">
        <f t="shared" si="4"/>
        <v/>
      </c>
    </row>
    <row r="1120" ht="14.25" customHeight="1">
      <c r="A1120" s="33">
        <f>HYPERLINK("https://app.hubspot.com/contacts/8748051/record/0-1/14848874618", 14848874618)</f>
        <v>14848874618</v>
      </c>
      <c r="B1120" s="24" t="s">
        <v>6026</v>
      </c>
      <c r="C1120" s="34"/>
      <c r="D1120" s="24" t="s">
        <v>6027</v>
      </c>
      <c r="E1120" s="28" t="s">
        <v>6028</v>
      </c>
      <c r="F1120" s="34"/>
      <c r="G1120" s="35">
        <v>45405.0</v>
      </c>
      <c r="H1120" s="34"/>
      <c r="I1120" s="34"/>
      <c r="J1120" s="34"/>
      <c r="K1120" s="34"/>
      <c r="L1120" s="34"/>
      <c r="M1120" s="33">
        <f>HYPERLINK("https://app.hubspot.com/contacts/8748051/record/0-2/8496544609", 8496544609)</f>
        <v>8496544609</v>
      </c>
      <c r="N1120" s="24" t="s">
        <v>6029</v>
      </c>
      <c r="O1120" s="34"/>
      <c r="P1120" s="34"/>
      <c r="Q1120" s="34"/>
      <c r="R1120" s="34"/>
      <c r="S1120" s="34"/>
      <c r="T1120" s="34" t="str">
        <f t="shared" ref="T1120:V1120" si="1125">IF(G1120&lt;&gt;"","Yes","")</f>
        <v>Yes</v>
      </c>
      <c r="U1120" s="34" t="str">
        <f t="shared" si="1125"/>
        <v/>
      </c>
      <c r="V1120" s="34" t="str">
        <f t="shared" si="1125"/>
        <v/>
      </c>
      <c r="W1120" s="34" t="str">
        <f t="shared" si="3"/>
        <v/>
      </c>
      <c r="X1120" s="24" t="str">
        <f t="shared" si="4"/>
        <v/>
      </c>
    </row>
    <row r="1121" ht="14.25" customHeight="1">
      <c r="A1121" s="33">
        <f>HYPERLINK("https://app.hubspot.com/contacts/8748051/record/0-1/15108692750", 15108692750)</f>
        <v>15108692750</v>
      </c>
      <c r="B1121" s="24" t="s">
        <v>6030</v>
      </c>
      <c r="C1121" s="34"/>
      <c r="D1121" s="24" t="s">
        <v>6031</v>
      </c>
      <c r="E1121" s="28" t="s">
        <v>6032</v>
      </c>
      <c r="F1121" s="34"/>
      <c r="G1121" s="35">
        <v>45405.0</v>
      </c>
      <c r="H1121" s="34"/>
      <c r="I1121" s="34"/>
      <c r="J1121" s="34"/>
      <c r="K1121" s="34"/>
      <c r="L1121" s="34"/>
      <c r="M1121" s="33">
        <f>HYPERLINK("https://app.hubspot.com/contacts/8748051/record/0-2/15759798816", 15759798816)</f>
        <v>15759798816</v>
      </c>
      <c r="N1121" s="24" t="s">
        <v>6033</v>
      </c>
      <c r="O1121" s="34"/>
      <c r="P1121" s="34"/>
      <c r="Q1121" s="34"/>
      <c r="R1121" s="34"/>
      <c r="S1121" s="34"/>
      <c r="T1121" s="34" t="str">
        <f t="shared" ref="T1121:V1121" si="1126">IF(G1121&lt;&gt;"","Yes","")</f>
        <v>Yes</v>
      </c>
      <c r="U1121" s="34" t="str">
        <f t="shared" si="1126"/>
        <v/>
      </c>
      <c r="V1121" s="34" t="str">
        <f t="shared" si="1126"/>
        <v/>
      </c>
      <c r="W1121" s="34" t="str">
        <f t="shared" si="3"/>
        <v/>
      </c>
      <c r="X1121" s="24" t="str">
        <f t="shared" si="4"/>
        <v/>
      </c>
    </row>
    <row r="1122" ht="14.25" customHeight="1">
      <c r="A1122" s="33">
        <f>HYPERLINK("https://app.hubspot.com/contacts/8748051/record/0-1/15189526077", 15189526077)</f>
        <v>15189526077</v>
      </c>
      <c r="B1122" s="24" t="s">
        <v>6034</v>
      </c>
      <c r="C1122" s="34"/>
      <c r="D1122" s="24" t="s">
        <v>6035</v>
      </c>
      <c r="E1122" s="28" t="s">
        <v>5371</v>
      </c>
      <c r="F1122" s="34"/>
      <c r="G1122" s="35">
        <v>45406.0</v>
      </c>
      <c r="H1122" s="34"/>
      <c r="I1122" s="34"/>
      <c r="J1122" s="34"/>
      <c r="K1122" s="34"/>
      <c r="L1122" s="34"/>
      <c r="M1122" s="33">
        <f>HYPERLINK("https://app.hubspot.com/contacts/8748051/record/0-2/15268028833", 15268028833)</f>
        <v>15268028833</v>
      </c>
      <c r="N1122" s="24" t="s">
        <v>5372</v>
      </c>
      <c r="O1122" s="34"/>
      <c r="P1122" s="34"/>
      <c r="Q1122" s="34"/>
      <c r="R1122" s="34"/>
      <c r="S1122" s="34"/>
      <c r="T1122" s="34" t="str">
        <f t="shared" ref="T1122:V1122" si="1127">IF(G1122&lt;&gt;"","Yes","")</f>
        <v>Yes</v>
      </c>
      <c r="U1122" s="34" t="str">
        <f t="shared" si="1127"/>
        <v/>
      </c>
      <c r="V1122" s="34" t="str">
        <f t="shared" si="1127"/>
        <v/>
      </c>
      <c r="W1122" s="34" t="str">
        <f t="shared" si="3"/>
        <v/>
      </c>
      <c r="X1122" s="24" t="str">
        <f t="shared" si="4"/>
        <v/>
      </c>
    </row>
    <row r="1123" ht="14.25" customHeight="1">
      <c r="A1123" s="33">
        <f>HYPERLINK("https://app.hubspot.com/contacts/8748051/record/0-1/15226171316", 15226171316)</f>
        <v>15226171316</v>
      </c>
      <c r="B1123" s="24" t="s">
        <v>6036</v>
      </c>
      <c r="C1123" s="34"/>
      <c r="D1123" s="24" t="s">
        <v>6037</v>
      </c>
      <c r="E1123" s="28" t="s">
        <v>6038</v>
      </c>
      <c r="F1123" s="24" t="s">
        <v>4253</v>
      </c>
      <c r="G1123" s="34"/>
      <c r="H1123" s="34"/>
      <c r="I1123" s="34"/>
      <c r="J1123" s="34"/>
      <c r="K1123" s="34"/>
      <c r="L1123" s="34"/>
      <c r="M1123" s="33">
        <f>HYPERLINK("https://app.hubspot.com/contacts/8748051/record/0-2/18002986035", 18002986035)</f>
        <v>18002986035</v>
      </c>
      <c r="N1123" s="24" t="s">
        <v>6039</v>
      </c>
      <c r="O1123" s="34"/>
      <c r="P1123" s="34"/>
      <c r="Q1123" s="34"/>
      <c r="R1123" s="34"/>
      <c r="S1123" s="34"/>
      <c r="T1123" s="34" t="str">
        <f t="shared" ref="T1123:V1123" si="1128">IF(G1123&lt;&gt;"","Yes","")</f>
        <v/>
      </c>
      <c r="U1123" s="34" t="str">
        <f t="shared" si="1128"/>
        <v/>
      </c>
      <c r="V1123" s="34" t="str">
        <f t="shared" si="1128"/>
        <v/>
      </c>
      <c r="W1123" s="34" t="str">
        <f t="shared" si="3"/>
        <v/>
      </c>
      <c r="X1123" s="24" t="str">
        <f t="shared" si="4"/>
        <v/>
      </c>
    </row>
    <row r="1124" ht="14.25" customHeight="1">
      <c r="A1124" s="33">
        <f>HYPERLINK("https://app.hubspot.com/contacts/8748051/record/0-1/15560644631", 15560644631)</f>
        <v>15560644631</v>
      </c>
      <c r="B1124" s="24" t="s">
        <v>6040</v>
      </c>
      <c r="C1124" s="34"/>
      <c r="D1124" s="24" t="s">
        <v>6041</v>
      </c>
      <c r="E1124" s="28" t="s">
        <v>6042</v>
      </c>
      <c r="F1124" s="34"/>
      <c r="G1124" s="35">
        <v>45407.0</v>
      </c>
      <c r="H1124" s="34"/>
      <c r="I1124" s="34"/>
      <c r="J1124" s="34"/>
      <c r="K1124" s="34"/>
      <c r="L1124" s="34"/>
      <c r="M1124" s="33">
        <f>HYPERLINK("https://app.hubspot.com/contacts/8748051/record/0-2/10038658312", 10038658312)</f>
        <v>10038658312</v>
      </c>
      <c r="N1124" s="24" t="s">
        <v>6043</v>
      </c>
      <c r="O1124" s="34"/>
      <c r="P1124" s="34"/>
      <c r="Q1124" s="34"/>
      <c r="R1124" s="34"/>
      <c r="S1124" s="34"/>
      <c r="T1124" s="34" t="str">
        <f t="shared" ref="T1124:V1124" si="1129">IF(G1124&lt;&gt;"","Yes","")</f>
        <v>Yes</v>
      </c>
      <c r="U1124" s="34" t="str">
        <f t="shared" si="1129"/>
        <v/>
      </c>
      <c r="V1124" s="34" t="str">
        <f t="shared" si="1129"/>
        <v/>
      </c>
      <c r="W1124" s="34" t="str">
        <f t="shared" si="3"/>
        <v/>
      </c>
      <c r="X1124" s="24" t="str">
        <f t="shared" si="4"/>
        <v/>
      </c>
    </row>
    <row r="1125" ht="14.25" customHeight="1">
      <c r="A1125" s="33">
        <f>HYPERLINK("https://app.hubspot.com/contacts/8748051/record/0-1/15861024015", 15861024015)</f>
        <v>15861024015</v>
      </c>
      <c r="B1125" s="24" t="s">
        <v>6044</v>
      </c>
      <c r="C1125" s="34"/>
      <c r="D1125" s="24" t="s">
        <v>6045</v>
      </c>
      <c r="E1125" s="28" t="s">
        <v>6046</v>
      </c>
      <c r="F1125" s="34"/>
      <c r="G1125" s="35">
        <v>45446.0</v>
      </c>
      <c r="H1125" s="34"/>
      <c r="I1125" s="34"/>
      <c r="J1125" s="34"/>
      <c r="K1125" s="34"/>
      <c r="L1125" s="34"/>
      <c r="M1125" s="33">
        <f>HYPERLINK("https://app.hubspot.com/contacts/8748051/record/0-2/8929886647", 8929886647)</f>
        <v>8929886647</v>
      </c>
      <c r="N1125" s="28" t="s">
        <v>6047</v>
      </c>
      <c r="O1125" s="34"/>
      <c r="P1125" s="34"/>
      <c r="Q1125" s="34"/>
      <c r="R1125" s="34"/>
      <c r="S1125" s="34"/>
      <c r="T1125" s="34" t="str">
        <f t="shared" ref="T1125:V1125" si="1130">IF(G1125&lt;&gt;"","Yes","")</f>
        <v>Yes</v>
      </c>
      <c r="U1125" s="34" t="str">
        <f t="shared" si="1130"/>
        <v/>
      </c>
      <c r="V1125" s="34" t="str">
        <f t="shared" si="1130"/>
        <v/>
      </c>
      <c r="W1125" s="34" t="str">
        <f t="shared" si="3"/>
        <v/>
      </c>
      <c r="X1125" s="24" t="str">
        <f t="shared" si="4"/>
        <v/>
      </c>
    </row>
    <row r="1126" ht="14.25" customHeight="1">
      <c r="A1126" s="33">
        <f>HYPERLINK("https://app.hubspot.com/contacts/8748051/record/0-1/15919932242", 15919932242)</f>
        <v>15919932242</v>
      </c>
      <c r="B1126" s="24" t="s">
        <v>6048</v>
      </c>
      <c r="C1126" s="34"/>
      <c r="D1126" s="24" t="s">
        <v>6049</v>
      </c>
      <c r="E1126" s="28" t="s">
        <v>6050</v>
      </c>
      <c r="F1126" s="34"/>
      <c r="G1126" s="35">
        <v>45408.0</v>
      </c>
      <c r="H1126" s="34"/>
      <c r="I1126" s="34"/>
      <c r="J1126" s="34"/>
      <c r="K1126" s="34"/>
      <c r="L1126" s="34"/>
      <c r="M1126" s="33">
        <f>HYPERLINK("https://app.hubspot.com/contacts/8748051/record/0-2/7679164327", 7679164327)</f>
        <v>7679164327</v>
      </c>
      <c r="N1126" s="24" t="s">
        <v>6051</v>
      </c>
      <c r="O1126" s="34"/>
      <c r="P1126" s="34"/>
      <c r="Q1126" s="34"/>
      <c r="R1126" s="34"/>
      <c r="S1126" s="34"/>
      <c r="T1126" s="34" t="str">
        <f t="shared" ref="T1126:V1126" si="1131">IF(G1126&lt;&gt;"","Yes","")</f>
        <v>Yes</v>
      </c>
      <c r="U1126" s="34" t="str">
        <f t="shared" si="1131"/>
        <v/>
      </c>
      <c r="V1126" s="34" t="str">
        <f t="shared" si="1131"/>
        <v/>
      </c>
      <c r="W1126" s="34" t="str">
        <f t="shared" si="3"/>
        <v/>
      </c>
      <c r="X1126" s="24" t="str">
        <f t="shared" si="4"/>
        <v/>
      </c>
    </row>
    <row r="1127" ht="14.25" customHeight="1">
      <c r="A1127" s="33">
        <f>HYPERLINK("https://app.hubspot.com/contacts/8748051/record/0-1/15943632662", 15943632662)</f>
        <v>15943632662</v>
      </c>
      <c r="B1127" s="24" t="s">
        <v>6052</v>
      </c>
      <c r="C1127" s="34"/>
      <c r="D1127" s="24" t="s">
        <v>6053</v>
      </c>
      <c r="E1127" s="28" t="s">
        <v>6054</v>
      </c>
      <c r="F1127" s="24" t="s">
        <v>6055</v>
      </c>
      <c r="G1127" s="34"/>
      <c r="H1127" s="34"/>
      <c r="I1127" s="34"/>
      <c r="J1127" s="34"/>
      <c r="K1127" s="34"/>
      <c r="L1127" s="34"/>
      <c r="M1127" s="33">
        <f>HYPERLINK("https://app.hubspot.com/contacts/8748051/record/0-2/20470570779", 20470570779)</f>
        <v>20470570779</v>
      </c>
      <c r="N1127" s="24" t="s">
        <v>6056</v>
      </c>
      <c r="O1127" s="34"/>
      <c r="P1127" s="34"/>
      <c r="Q1127" s="34"/>
      <c r="R1127" s="34"/>
      <c r="S1127" s="34"/>
      <c r="T1127" s="34" t="str">
        <f t="shared" ref="T1127:V1127" si="1132">IF(G1127&lt;&gt;"","Yes","")</f>
        <v/>
      </c>
      <c r="U1127" s="34" t="str">
        <f t="shared" si="1132"/>
        <v/>
      </c>
      <c r="V1127" s="34" t="str">
        <f t="shared" si="1132"/>
        <v/>
      </c>
      <c r="W1127" s="34" t="str">
        <f t="shared" si="3"/>
        <v/>
      </c>
      <c r="X1127" s="24" t="str">
        <f t="shared" si="4"/>
        <v/>
      </c>
    </row>
    <row r="1128" ht="14.25" customHeight="1">
      <c r="A1128" s="33">
        <f>HYPERLINK("https://app.hubspot.com/contacts/8748051/record/0-1/16295694128", 16295694128)</f>
        <v>16295694128</v>
      </c>
      <c r="B1128" s="24" t="s">
        <v>6057</v>
      </c>
      <c r="C1128" s="34"/>
      <c r="D1128" s="24" t="s">
        <v>6058</v>
      </c>
      <c r="E1128" s="28" t="s">
        <v>2990</v>
      </c>
      <c r="F1128" s="24" t="s">
        <v>4253</v>
      </c>
      <c r="G1128" s="34"/>
      <c r="H1128" s="34"/>
      <c r="I1128" s="34"/>
      <c r="J1128" s="34"/>
      <c r="K1128" s="34"/>
      <c r="L1128" s="34"/>
      <c r="M1128" s="33">
        <f>HYPERLINK("https://app.hubspot.com/contacts/8748051/record/0-2/5851235881", 5851235881)</f>
        <v>5851235881</v>
      </c>
      <c r="N1128" s="24" t="s">
        <v>2989</v>
      </c>
      <c r="O1128" s="34"/>
      <c r="P1128" s="34"/>
      <c r="Q1128" s="34"/>
      <c r="R1128" s="34"/>
      <c r="S1128" s="34"/>
      <c r="T1128" s="34" t="str">
        <f t="shared" ref="T1128:V1128" si="1133">IF(G1128&lt;&gt;"","Yes","")</f>
        <v/>
      </c>
      <c r="U1128" s="34" t="str">
        <f t="shared" si="1133"/>
        <v/>
      </c>
      <c r="V1128" s="34" t="str">
        <f t="shared" si="1133"/>
        <v/>
      </c>
      <c r="W1128" s="34" t="str">
        <f t="shared" si="3"/>
        <v/>
      </c>
      <c r="X1128" s="24" t="str">
        <f t="shared" si="4"/>
        <v/>
      </c>
    </row>
    <row r="1129" ht="14.25" customHeight="1">
      <c r="A1129" s="33">
        <f>HYPERLINK("https://app.hubspot.com/contacts/8748051/record/0-1/16323207243", 16323207243)</f>
        <v>16323207243</v>
      </c>
      <c r="B1129" s="24" t="s">
        <v>6059</v>
      </c>
      <c r="C1129" s="34"/>
      <c r="D1129" s="24" t="s">
        <v>6060</v>
      </c>
      <c r="E1129" s="28" t="s">
        <v>6061</v>
      </c>
      <c r="F1129" s="24" t="s">
        <v>4253</v>
      </c>
      <c r="G1129" s="34"/>
      <c r="H1129" s="34"/>
      <c r="I1129" s="34"/>
      <c r="J1129" s="34"/>
      <c r="K1129" s="34"/>
      <c r="L1129" s="34"/>
      <c r="M1129" s="33">
        <f>HYPERLINK("https://app.hubspot.com/contacts/8748051/record/0-2/9238395419", 9238395419)</f>
        <v>9238395419</v>
      </c>
      <c r="N1129" s="24" t="s">
        <v>6062</v>
      </c>
      <c r="O1129" s="34"/>
      <c r="P1129" s="34"/>
      <c r="Q1129" s="34"/>
      <c r="R1129" s="34"/>
      <c r="S1129" s="34"/>
      <c r="T1129" s="34" t="str">
        <f t="shared" ref="T1129:V1129" si="1134">IF(G1129&lt;&gt;"","Yes","")</f>
        <v/>
      </c>
      <c r="U1129" s="34" t="str">
        <f t="shared" si="1134"/>
        <v/>
      </c>
      <c r="V1129" s="34" t="str">
        <f t="shared" si="1134"/>
        <v/>
      </c>
      <c r="W1129" s="34" t="str">
        <f t="shared" si="3"/>
        <v/>
      </c>
      <c r="X1129" s="24" t="str">
        <f t="shared" si="4"/>
        <v/>
      </c>
    </row>
    <row r="1130" ht="14.25" customHeight="1">
      <c r="A1130" s="33">
        <f>HYPERLINK("https://app.hubspot.com/contacts/8748051/record/0-1/16857895091", 16857895091)</f>
        <v>16857895091</v>
      </c>
      <c r="B1130" s="24" t="s">
        <v>6063</v>
      </c>
      <c r="C1130" s="34"/>
      <c r="D1130" s="24" t="s">
        <v>6064</v>
      </c>
      <c r="E1130" s="28" t="s">
        <v>1802</v>
      </c>
      <c r="F1130" s="34"/>
      <c r="G1130" s="35">
        <v>45411.0</v>
      </c>
      <c r="H1130" s="35">
        <v>45418.0</v>
      </c>
      <c r="I1130" s="35">
        <v>45418.0</v>
      </c>
      <c r="J1130" s="34"/>
      <c r="K1130" s="34"/>
      <c r="L1130" s="34"/>
      <c r="M1130" s="33">
        <f>HYPERLINK("https://app.hubspot.com/contacts/8748051/record/0-2/8920376633", 8920376633)</f>
        <v>8920376633</v>
      </c>
      <c r="N1130" s="24" t="s">
        <v>1801</v>
      </c>
      <c r="O1130" s="33">
        <f>HYPERLINK("https://app.hubspot.com/contacts/8748051/record/0-3/19093862754", 19093862754)</f>
        <v>19093862754</v>
      </c>
      <c r="P1130" s="24" t="s">
        <v>1800</v>
      </c>
      <c r="Q1130" s="24" t="s">
        <v>127</v>
      </c>
      <c r="R1130" s="24">
        <v>6000.0</v>
      </c>
      <c r="S1130" s="24" t="b">
        <v>1</v>
      </c>
      <c r="T1130" s="34" t="str">
        <f t="shared" ref="T1130:V1130" si="1135">IF(G1130&lt;&gt;"","Yes","")</f>
        <v>Yes</v>
      </c>
      <c r="U1130" s="34" t="str">
        <f t="shared" si="1135"/>
        <v>Yes</v>
      </c>
      <c r="V1130" s="34" t="str">
        <f t="shared" si="1135"/>
        <v>Yes</v>
      </c>
      <c r="W1130" s="34" t="str">
        <f t="shared" si="3"/>
        <v/>
      </c>
      <c r="X1130" s="24" t="str">
        <f t="shared" si="4"/>
        <v/>
      </c>
    </row>
    <row r="1131" ht="14.25" customHeight="1">
      <c r="A1131" s="33">
        <f>HYPERLINK("https://app.hubspot.com/contacts/8748051/record/0-1/17059993640", 17059993640)</f>
        <v>17059993640</v>
      </c>
      <c r="B1131" s="24" t="s">
        <v>6065</v>
      </c>
      <c r="C1131" s="34"/>
      <c r="D1131" s="24" t="s">
        <v>6066</v>
      </c>
      <c r="E1131" s="28" t="s">
        <v>6067</v>
      </c>
      <c r="F1131" s="34"/>
      <c r="G1131" s="35">
        <v>45412.0</v>
      </c>
      <c r="H1131" s="34"/>
      <c r="I1131" s="34"/>
      <c r="J1131" s="34"/>
      <c r="K1131" s="34"/>
      <c r="L1131" s="34"/>
      <c r="M1131" s="33">
        <f>HYPERLINK("https://app.hubspot.com/contacts/8748051/record/0-2/8340645644", 8340645644)</f>
        <v>8340645644</v>
      </c>
      <c r="N1131" s="24" t="s">
        <v>6068</v>
      </c>
      <c r="O1131" s="34"/>
      <c r="P1131" s="34"/>
      <c r="Q1131" s="34"/>
      <c r="R1131" s="34"/>
      <c r="S1131" s="34"/>
      <c r="T1131" s="34" t="str">
        <f t="shared" ref="T1131:V1131" si="1136">IF(G1131&lt;&gt;"","Yes","")</f>
        <v>Yes</v>
      </c>
      <c r="U1131" s="34" t="str">
        <f t="shared" si="1136"/>
        <v/>
      </c>
      <c r="V1131" s="34" t="str">
        <f t="shared" si="1136"/>
        <v/>
      </c>
      <c r="W1131" s="34" t="str">
        <f t="shared" si="3"/>
        <v/>
      </c>
      <c r="X1131" s="24" t="str">
        <f t="shared" si="4"/>
        <v/>
      </c>
    </row>
    <row r="1132" ht="14.25" customHeight="1">
      <c r="A1132" s="33">
        <f>HYPERLINK("https://app.hubspot.com/contacts/8748051/record/0-1/17383260272", 17383260272)</f>
        <v>17383260272</v>
      </c>
      <c r="B1132" s="24" t="s">
        <v>6069</v>
      </c>
      <c r="C1132" s="34"/>
      <c r="D1132" s="24" t="s">
        <v>6070</v>
      </c>
      <c r="E1132" s="28" t="s">
        <v>6071</v>
      </c>
      <c r="F1132" s="34"/>
      <c r="G1132" s="35">
        <v>45413.0</v>
      </c>
      <c r="H1132" s="34"/>
      <c r="I1132" s="34"/>
      <c r="J1132" s="34"/>
      <c r="K1132" s="34"/>
      <c r="L1132" s="34"/>
      <c r="M1132" s="33">
        <f>HYPERLINK("https://app.hubspot.com/contacts/8748051/record/0-2/6266342978", 6266342978)</f>
        <v>6266342978</v>
      </c>
      <c r="N1132" s="24" t="s">
        <v>6072</v>
      </c>
      <c r="O1132" s="34"/>
      <c r="P1132" s="34"/>
      <c r="Q1132" s="34"/>
      <c r="R1132" s="34"/>
      <c r="S1132" s="34"/>
      <c r="T1132" s="34" t="str">
        <f t="shared" ref="T1132:V1132" si="1137">IF(G1132&lt;&gt;"","Yes","")</f>
        <v>Yes</v>
      </c>
      <c r="U1132" s="34" t="str">
        <f t="shared" si="1137"/>
        <v/>
      </c>
      <c r="V1132" s="34" t="str">
        <f t="shared" si="1137"/>
        <v/>
      </c>
      <c r="W1132" s="34" t="str">
        <f t="shared" si="3"/>
        <v/>
      </c>
      <c r="X1132" s="24" t="str">
        <f t="shared" si="4"/>
        <v/>
      </c>
    </row>
    <row r="1133" ht="14.25" customHeight="1">
      <c r="A1133" s="33">
        <f>HYPERLINK("https://app.hubspot.com/contacts/8748051/record/0-1/17589408777", 17589408777)</f>
        <v>17589408777</v>
      </c>
      <c r="B1133" s="24" t="s">
        <v>6073</v>
      </c>
      <c r="C1133" s="34"/>
      <c r="D1133" s="24" t="s">
        <v>6074</v>
      </c>
      <c r="E1133" s="28" t="s">
        <v>6075</v>
      </c>
      <c r="F1133" s="24" t="s">
        <v>4072</v>
      </c>
      <c r="G1133" s="34"/>
      <c r="H1133" s="34"/>
      <c r="I1133" s="34"/>
      <c r="J1133" s="34"/>
      <c r="K1133" s="34"/>
      <c r="L1133" s="34"/>
      <c r="M1133" s="33">
        <f>HYPERLINK("https://app.hubspot.com/contacts/8748051/record/0-2/19176578334", 19176578334)</f>
        <v>19176578334</v>
      </c>
      <c r="N1133" s="24" t="s">
        <v>6076</v>
      </c>
      <c r="O1133" s="34"/>
      <c r="P1133" s="34"/>
      <c r="Q1133" s="34"/>
      <c r="R1133" s="34"/>
      <c r="S1133" s="34"/>
      <c r="T1133" s="34" t="str">
        <f t="shared" ref="T1133:V1133" si="1138">IF(G1133&lt;&gt;"","Yes","")</f>
        <v/>
      </c>
      <c r="U1133" s="34" t="str">
        <f t="shared" si="1138"/>
        <v/>
      </c>
      <c r="V1133" s="34" t="str">
        <f t="shared" si="1138"/>
        <v/>
      </c>
      <c r="W1133" s="34" t="str">
        <f t="shared" si="3"/>
        <v/>
      </c>
      <c r="X1133" s="24" t="str">
        <f t="shared" si="4"/>
        <v/>
      </c>
    </row>
    <row r="1134" ht="14.25" customHeight="1">
      <c r="A1134" s="33">
        <f>HYPERLINK("https://app.hubspot.com/contacts/8748051/record/0-1/18001811271", 18001811271)</f>
        <v>18001811271</v>
      </c>
      <c r="B1134" s="24" t="s">
        <v>6077</v>
      </c>
      <c r="C1134" s="34"/>
      <c r="D1134" s="24" t="s">
        <v>6078</v>
      </c>
      <c r="E1134" s="28" t="s">
        <v>6079</v>
      </c>
      <c r="F1134" s="34"/>
      <c r="G1134" s="35">
        <v>45415.0</v>
      </c>
      <c r="H1134" s="34"/>
      <c r="I1134" s="34"/>
      <c r="J1134" s="34"/>
      <c r="K1134" s="34"/>
      <c r="L1134" s="34"/>
      <c r="M1134" s="33">
        <f>HYPERLINK("https://app.hubspot.com/contacts/8748051/record/0-2/19176656812", 19176656812)</f>
        <v>19176656812</v>
      </c>
      <c r="N1134" s="24" t="s">
        <v>6080</v>
      </c>
      <c r="O1134" s="34"/>
      <c r="P1134" s="34"/>
      <c r="Q1134" s="34"/>
      <c r="R1134" s="34"/>
      <c r="S1134" s="34"/>
      <c r="T1134" s="34" t="str">
        <f t="shared" ref="T1134:V1134" si="1139">IF(G1134&lt;&gt;"","Yes","")</f>
        <v>Yes</v>
      </c>
      <c r="U1134" s="34" t="str">
        <f t="shared" si="1139"/>
        <v/>
      </c>
      <c r="V1134" s="34" t="str">
        <f t="shared" si="1139"/>
        <v/>
      </c>
      <c r="W1134" s="34" t="str">
        <f t="shared" si="3"/>
        <v/>
      </c>
      <c r="X1134" s="24" t="str">
        <f t="shared" si="4"/>
        <v/>
      </c>
    </row>
    <row r="1135" ht="14.25" customHeight="1">
      <c r="A1135" s="33">
        <f>HYPERLINK("https://app.hubspot.com/contacts/8748051/record/0-1/18171028535", 18171028535)</f>
        <v>18171028535</v>
      </c>
      <c r="B1135" s="24" t="s">
        <v>6081</v>
      </c>
      <c r="C1135" s="34"/>
      <c r="D1135" s="24" t="s">
        <v>6082</v>
      </c>
      <c r="E1135" s="28" t="s">
        <v>6083</v>
      </c>
      <c r="F1135" s="34"/>
      <c r="G1135" s="35">
        <v>45415.0</v>
      </c>
      <c r="H1135" s="34"/>
      <c r="I1135" s="34"/>
      <c r="J1135" s="34"/>
      <c r="K1135" s="34"/>
      <c r="L1135" s="34"/>
      <c r="M1135" s="33">
        <f>HYPERLINK("https://app.hubspot.com/contacts/8748051/record/0-2/9593483523", 9593483523)</f>
        <v>9593483523</v>
      </c>
      <c r="N1135" s="24" t="s">
        <v>6084</v>
      </c>
      <c r="O1135" s="34"/>
      <c r="P1135" s="34"/>
      <c r="Q1135" s="34"/>
      <c r="R1135" s="34"/>
      <c r="S1135" s="34"/>
      <c r="T1135" s="34" t="str">
        <f t="shared" ref="T1135:V1135" si="1140">IF(G1135&lt;&gt;"","Yes","")</f>
        <v>Yes</v>
      </c>
      <c r="U1135" s="34" t="str">
        <f t="shared" si="1140"/>
        <v/>
      </c>
      <c r="V1135" s="34" t="str">
        <f t="shared" si="1140"/>
        <v/>
      </c>
      <c r="W1135" s="34" t="str">
        <f t="shared" si="3"/>
        <v/>
      </c>
      <c r="X1135" s="24" t="str">
        <f t="shared" si="4"/>
        <v/>
      </c>
    </row>
    <row r="1136" ht="14.25" customHeight="1">
      <c r="A1136" s="33">
        <f>HYPERLINK("https://app.hubspot.com/contacts/8748051/record/0-1/18176553229", 18176553229)</f>
        <v>18176553229</v>
      </c>
      <c r="B1136" s="24" t="s">
        <v>6085</v>
      </c>
      <c r="C1136" s="34"/>
      <c r="D1136" s="24" t="s">
        <v>6086</v>
      </c>
      <c r="E1136" s="28" t="s">
        <v>6087</v>
      </c>
      <c r="F1136" s="34"/>
      <c r="G1136" s="35">
        <v>45415.0</v>
      </c>
      <c r="H1136" s="34"/>
      <c r="I1136" s="34"/>
      <c r="J1136" s="34"/>
      <c r="K1136" s="34"/>
      <c r="L1136" s="34"/>
      <c r="M1136" s="33">
        <f>HYPERLINK("https://app.hubspot.com/contacts/8748051/record/0-2/10198068809", 10198068809)</f>
        <v>10198068809</v>
      </c>
      <c r="N1136" s="24" t="s">
        <v>6088</v>
      </c>
      <c r="O1136" s="34"/>
      <c r="P1136" s="34"/>
      <c r="Q1136" s="34"/>
      <c r="R1136" s="34"/>
      <c r="S1136" s="34"/>
      <c r="T1136" s="34" t="str">
        <f t="shared" ref="T1136:V1136" si="1141">IF(G1136&lt;&gt;"","Yes","")</f>
        <v>Yes</v>
      </c>
      <c r="U1136" s="34" t="str">
        <f t="shared" si="1141"/>
        <v/>
      </c>
      <c r="V1136" s="34" t="str">
        <f t="shared" si="1141"/>
        <v/>
      </c>
      <c r="W1136" s="34" t="str">
        <f t="shared" si="3"/>
        <v/>
      </c>
      <c r="X1136" s="24" t="str">
        <f t="shared" si="4"/>
        <v/>
      </c>
    </row>
    <row r="1137" ht="14.25" customHeight="1">
      <c r="A1137" s="33">
        <f>HYPERLINK("https://app.hubspot.com/contacts/8748051/record/0-1/18214853518", 18214853518)</f>
        <v>18214853518</v>
      </c>
      <c r="B1137" s="24" t="s">
        <v>6089</v>
      </c>
      <c r="C1137" s="34"/>
      <c r="D1137" s="24" t="s">
        <v>6090</v>
      </c>
      <c r="E1137" s="28" t="s">
        <v>1783</v>
      </c>
      <c r="F1137" s="34"/>
      <c r="G1137" s="35">
        <v>45418.0</v>
      </c>
      <c r="H1137" s="35">
        <v>45420.0</v>
      </c>
      <c r="I1137" s="35">
        <v>45420.0</v>
      </c>
      <c r="J1137" s="34"/>
      <c r="K1137" s="34"/>
      <c r="L1137" s="34"/>
      <c r="M1137" s="33">
        <f>HYPERLINK("https://app.hubspot.com/contacts/8748051/record/0-2/9137273695", 9137273695)</f>
        <v>9137273695</v>
      </c>
      <c r="N1137" s="24" t="s">
        <v>1782</v>
      </c>
      <c r="O1137" s="33">
        <f>HYPERLINK("https://app.hubspot.com/contacts/8748051/record/0-3/19199427910", 19199427910)</f>
        <v>19199427910</v>
      </c>
      <c r="P1137" s="24" t="s">
        <v>1781</v>
      </c>
      <c r="Q1137" s="24" t="s">
        <v>73</v>
      </c>
      <c r="R1137" s="24">
        <v>82080.0</v>
      </c>
      <c r="S1137" s="34"/>
      <c r="T1137" s="34" t="str">
        <f t="shared" ref="T1137:V1137" si="1142">IF(G1137&lt;&gt;"","Yes","")</f>
        <v>Yes</v>
      </c>
      <c r="U1137" s="34" t="str">
        <f t="shared" si="1142"/>
        <v>Yes</v>
      </c>
      <c r="V1137" s="34" t="str">
        <f t="shared" si="1142"/>
        <v>Yes</v>
      </c>
      <c r="W1137" s="34" t="str">
        <f t="shared" si="3"/>
        <v/>
      </c>
      <c r="X1137" s="24" t="str">
        <f t="shared" si="4"/>
        <v/>
      </c>
    </row>
    <row r="1138" ht="14.25" customHeight="1">
      <c r="A1138" s="33">
        <f>HYPERLINK("https://app.hubspot.com/contacts/8748051/record/0-1/18262744106", 18262744106)</f>
        <v>18262744106</v>
      </c>
      <c r="B1138" s="24" t="s">
        <v>6091</v>
      </c>
      <c r="C1138" s="34"/>
      <c r="D1138" s="24" t="s">
        <v>6092</v>
      </c>
      <c r="E1138" s="28" t="s">
        <v>5668</v>
      </c>
      <c r="F1138" s="34"/>
      <c r="G1138" s="35">
        <v>45418.0</v>
      </c>
      <c r="H1138" s="34"/>
      <c r="I1138" s="34"/>
      <c r="J1138" s="34"/>
      <c r="K1138" s="34"/>
      <c r="L1138" s="34"/>
      <c r="M1138" s="33">
        <f>HYPERLINK("https://app.hubspot.com/contacts/8748051/record/0-2/18832324162", 18832324162)</f>
        <v>18832324162</v>
      </c>
      <c r="N1138" s="24" t="s">
        <v>5669</v>
      </c>
      <c r="O1138" s="34"/>
      <c r="P1138" s="34"/>
      <c r="Q1138" s="34"/>
      <c r="R1138" s="34"/>
      <c r="S1138" s="34"/>
      <c r="T1138" s="34" t="str">
        <f t="shared" ref="T1138:V1138" si="1143">IF(G1138&lt;&gt;"","Yes","")</f>
        <v>Yes</v>
      </c>
      <c r="U1138" s="34" t="str">
        <f t="shared" si="1143"/>
        <v/>
      </c>
      <c r="V1138" s="34" t="str">
        <f t="shared" si="1143"/>
        <v/>
      </c>
      <c r="W1138" s="34" t="str">
        <f t="shared" si="3"/>
        <v/>
      </c>
      <c r="X1138" s="24" t="str">
        <f t="shared" si="4"/>
        <v/>
      </c>
    </row>
    <row r="1139" ht="14.25" customHeight="1">
      <c r="A1139" s="33">
        <f>HYPERLINK("https://app.hubspot.com/contacts/8748051/record/0-1/18275762339", 18275762339)</f>
        <v>18275762339</v>
      </c>
      <c r="B1139" s="24" t="s">
        <v>6093</v>
      </c>
      <c r="C1139" s="34"/>
      <c r="D1139" s="24" t="s">
        <v>6094</v>
      </c>
      <c r="E1139" s="28" t="s">
        <v>6095</v>
      </c>
      <c r="F1139" s="34"/>
      <c r="G1139" s="35">
        <v>45416.0</v>
      </c>
      <c r="H1139" s="34"/>
      <c r="I1139" s="34"/>
      <c r="J1139" s="34"/>
      <c r="K1139" s="34"/>
      <c r="L1139" s="34"/>
      <c r="M1139" s="33">
        <f>HYPERLINK("https://app.hubspot.com/contacts/8748051/record/0-2/9597137504", 9597137504)</f>
        <v>9597137504</v>
      </c>
      <c r="N1139" s="24" t="s">
        <v>6096</v>
      </c>
      <c r="O1139" s="34"/>
      <c r="P1139" s="34"/>
      <c r="Q1139" s="34"/>
      <c r="R1139" s="34"/>
      <c r="S1139" s="34"/>
      <c r="T1139" s="34" t="str">
        <f t="shared" ref="T1139:V1139" si="1144">IF(G1139&lt;&gt;"","Yes","")</f>
        <v>Yes</v>
      </c>
      <c r="U1139" s="34" t="str">
        <f t="shared" si="1144"/>
        <v/>
      </c>
      <c r="V1139" s="34" t="str">
        <f t="shared" si="1144"/>
        <v/>
      </c>
      <c r="W1139" s="34" t="str">
        <f t="shared" si="3"/>
        <v/>
      </c>
      <c r="X1139" s="24" t="str">
        <f t="shared" si="4"/>
        <v/>
      </c>
    </row>
    <row r="1140" ht="14.25" customHeight="1">
      <c r="A1140" s="33">
        <f>HYPERLINK("https://app.hubspot.com/contacts/8748051/record/0-1/18306543873", 18306543873)</f>
        <v>18306543873</v>
      </c>
      <c r="B1140" s="24" t="s">
        <v>6097</v>
      </c>
      <c r="C1140" s="34"/>
      <c r="D1140" s="24" t="s">
        <v>6098</v>
      </c>
      <c r="E1140" s="28" t="s">
        <v>1667</v>
      </c>
      <c r="F1140" s="34"/>
      <c r="G1140" s="35">
        <v>45418.0</v>
      </c>
      <c r="H1140" s="35">
        <v>45449.0</v>
      </c>
      <c r="I1140" s="34"/>
      <c r="J1140" s="34"/>
      <c r="K1140" s="34"/>
      <c r="L1140" s="34"/>
      <c r="M1140" s="33">
        <f>HYPERLINK("https://app.hubspot.com/contacts/8748051/record/0-2/14811280198", 14811280198)</f>
        <v>14811280198</v>
      </c>
      <c r="N1140" s="24" t="s">
        <v>1666</v>
      </c>
      <c r="O1140" s="34"/>
      <c r="P1140" s="34"/>
      <c r="Q1140" s="34"/>
      <c r="R1140" s="34"/>
      <c r="S1140" s="34"/>
      <c r="T1140" s="34" t="str">
        <f t="shared" ref="T1140:V1140" si="1145">IF(G1140&lt;&gt;"","Yes","")</f>
        <v>Yes</v>
      </c>
      <c r="U1140" s="34" t="str">
        <f t="shared" si="1145"/>
        <v>Yes</v>
      </c>
      <c r="V1140" s="34" t="str">
        <f t="shared" si="1145"/>
        <v/>
      </c>
      <c r="W1140" s="34" t="str">
        <f t="shared" si="3"/>
        <v/>
      </c>
      <c r="X1140" s="24" t="str">
        <f t="shared" si="4"/>
        <v/>
      </c>
    </row>
    <row r="1141" ht="14.25" customHeight="1">
      <c r="A1141" s="33">
        <f>HYPERLINK("https://app.hubspot.com/contacts/8748051/record/0-1/18672869284", 18672869284)</f>
        <v>18672869284</v>
      </c>
      <c r="B1141" s="24" t="s">
        <v>6099</v>
      </c>
      <c r="C1141" s="34"/>
      <c r="D1141" s="24" t="s">
        <v>6100</v>
      </c>
      <c r="E1141" s="28" t="s">
        <v>1786</v>
      </c>
      <c r="F1141" s="34"/>
      <c r="G1141" s="35">
        <v>45418.0</v>
      </c>
      <c r="H1141" s="35">
        <v>45420.0</v>
      </c>
      <c r="I1141" s="35">
        <v>45420.0</v>
      </c>
      <c r="J1141" s="34"/>
      <c r="K1141" s="34"/>
      <c r="L1141" s="34"/>
      <c r="M1141" s="33">
        <f>HYPERLINK("https://app.hubspot.com/contacts/8748051/record/0-2/7941851257", 7941851257)</f>
        <v>7941851257</v>
      </c>
      <c r="N1141" s="24" t="s">
        <v>1785</v>
      </c>
      <c r="O1141" s="33">
        <f>HYPERLINK("https://app.hubspot.com/contacts/8748051/record/0-3/19195638288", 19195638288)</f>
        <v>19195638288</v>
      </c>
      <c r="P1141" s="24" t="s">
        <v>1784</v>
      </c>
      <c r="Q1141" s="24" t="s">
        <v>127</v>
      </c>
      <c r="R1141" s="24">
        <v>29200.0</v>
      </c>
      <c r="S1141" s="24" t="b">
        <v>1</v>
      </c>
      <c r="T1141" s="34" t="str">
        <f t="shared" ref="T1141:V1141" si="1146">IF(G1141&lt;&gt;"","Yes","")</f>
        <v>Yes</v>
      </c>
      <c r="U1141" s="34" t="str">
        <f t="shared" si="1146"/>
        <v>Yes</v>
      </c>
      <c r="V1141" s="34" t="str">
        <f t="shared" si="1146"/>
        <v>Yes</v>
      </c>
      <c r="W1141" s="34" t="str">
        <f t="shared" si="3"/>
        <v/>
      </c>
      <c r="X1141" s="24" t="str">
        <f t="shared" si="4"/>
        <v/>
      </c>
    </row>
    <row r="1142" ht="14.25" customHeight="1">
      <c r="A1142" s="33">
        <f>HYPERLINK("https://app.hubspot.com/contacts/8748051/record/0-1/18825042491", 18825042491)</f>
        <v>18825042491</v>
      </c>
      <c r="B1142" s="24" t="s">
        <v>6101</v>
      </c>
      <c r="C1142" s="34"/>
      <c r="D1142" s="24" t="s">
        <v>6102</v>
      </c>
      <c r="E1142" s="28" t="s">
        <v>1789</v>
      </c>
      <c r="F1142" s="34"/>
      <c r="G1142" s="35">
        <v>45418.0</v>
      </c>
      <c r="H1142" s="35">
        <v>45420.0</v>
      </c>
      <c r="I1142" s="35">
        <v>45420.0</v>
      </c>
      <c r="J1142" s="34"/>
      <c r="K1142" s="34"/>
      <c r="L1142" s="34"/>
      <c r="M1142" s="33">
        <f>HYPERLINK("https://app.hubspot.com/contacts/8748051/record/0-2/16375814968", 16375814968)</f>
        <v>16375814968</v>
      </c>
      <c r="N1142" s="24" t="s">
        <v>1788</v>
      </c>
      <c r="O1142" s="33">
        <f>HYPERLINK("https://app.hubspot.com/contacts/8748051/record/0-3/19189400089", 19189400089)</f>
        <v>19189400089</v>
      </c>
      <c r="P1142" s="24" t="s">
        <v>1787</v>
      </c>
      <c r="Q1142" s="24" t="s">
        <v>73</v>
      </c>
      <c r="R1142" s="24">
        <v>8640.0</v>
      </c>
      <c r="S1142" s="34"/>
      <c r="T1142" s="34" t="str">
        <f t="shared" ref="T1142:V1142" si="1147">IF(G1142&lt;&gt;"","Yes","")</f>
        <v>Yes</v>
      </c>
      <c r="U1142" s="34" t="str">
        <f t="shared" si="1147"/>
        <v>Yes</v>
      </c>
      <c r="V1142" s="34" t="str">
        <f t="shared" si="1147"/>
        <v>Yes</v>
      </c>
      <c r="W1142" s="34" t="str">
        <f t="shared" si="3"/>
        <v/>
      </c>
      <c r="X1142" s="24" t="str">
        <f t="shared" si="4"/>
        <v/>
      </c>
    </row>
    <row r="1143" ht="14.25" customHeight="1">
      <c r="A1143" s="33">
        <f>HYPERLINK("https://app.hubspot.com/contacts/8748051/record/0-1/19051843333", 19051843333)</f>
        <v>19051843333</v>
      </c>
      <c r="B1143" s="24" t="s">
        <v>6103</v>
      </c>
      <c r="C1143" s="34"/>
      <c r="D1143" s="24" t="s">
        <v>6104</v>
      </c>
      <c r="E1143" s="28" t="s">
        <v>6105</v>
      </c>
      <c r="F1143" s="34"/>
      <c r="G1143" s="35">
        <v>45419.0</v>
      </c>
      <c r="H1143" s="34"/>
      <c r="I1143" s="34"/>
      <c r="J1143" s="34"/>
      <c r="K1143" s="34"/>
      <c r="L1143" s="34"/>
      <c r="M1143" s="33">
        <f>HYPERLINK("https://app.hubspot.com/contacts/8748051/record/0-2/15167998099", 15167998099)</f>
        <v>15167998099</v>
      </c>
      <c r="N1143" s="24" t="s">
        <v>6106</v>
      </c>
      <c r="O1143" s="34"/>
      <c r="P1143" s="34"/>
      <c r="Q1143" s="34"/>
      <c r="R1143" s="34"/>
      <c r="S1143" s="34"/>
      <c r="T1143" s="34" t="str">
        <f t="shared" ref="T1143:V1143" si="1148">IF(G1143&lt;&gt;"","Yes","")</f>
        <v>Yes</v>
      </c>
      <c r="U1143" s="34" t="str">
        <f t="shared" si="1148"/>
        <v/>
      </c>
      <c r="V1143" s="34" t="str">
        <f t="shared" si="1148"/>
        <v/>
      </c>
      <c r="W1143" s="34" t="str">
        <f t="shared" si="3"/>
        <v/>
      </c>
      <c r="X1143" s="24" t="str">
        <f t="shared" si="4"/>
        <v/>
      </c>
    </row>
    <row r="1144" ht="14.25" customHeight="1">
      <c r="A1144" s="33">
        <f>HYPERLINK("https://app.hubspot.com/contacts/8748051/record/0-1/19099865379", 19099865379)</f>
        <v>19099865379</v>
      </c>
      <c r="B1144" s="24" t="s">
        <v>6107</v>
      </c>
      <c r="C1144" s="34"/>
      <c r="D1144" s="24" t="s">
        <v>6108</v>
      </c>
      <c r="E1144" s="28" t="s">
        <v>6109</v>
      </c>
      <c r="F1144" s="34"/>
      <c r="G1144" s="35">
        <v>45419.0</v>
      </c>
      <c r="H1144" s="34"/>
      <c r="I1144" s="34"/>
      <c r="J1144" s="34"/>
      <c r="K1144" s="34"/>
      <c r="L1144" s="34"/>
      <c r="M1144" s="33">
        <f>HYPERLINK("https://app.hubspot.com/contacts/8748051/record/0-2/19176272200", 19176272200)</f>
        <v>19176272200</v>
      </c>
      <c r="N1144" s="24" t="s">
        <v>6110</v>
      </c>
      <c r="O1144" s="34"/>
      <c r="P1144" s="34"/>
      <c r="Q1144" s="34"/>
      <c r="R1144" s="34"/>
      <c r="S1144" s="34"/>
      <c r="T1144" s="34" t="str">
        <f t="shared" ref="T1144:V1144" si="1149">IF(G1144&lt;&gt;"","Yes","")</f>
        <v>Yes</v>
      </c>
      <c r="U1144" s="34" t="str">
        <f t="shared" si="1149"/>
        <v/>
      </c>
      <c r="V1144" s="34" t="str">
        <f t="shared" si="1149"/>
        <v/>
      </c>
      <c r="W1144" s="34" t="str">
        <f t="shared" si="3"/>
        <v/>
      </c>
      <c r="X1144" s="24" t="str">
        <f t="shared" si="4"/>
        <v/>
      </c>
    </row>
    <row r="1145" ht="14.25" customHeight="1">
      <c r="A1145" s="33">
        <f>HYPERLINK("https://app.hubspot.com/contacts/8748051/record/0-1/19325041809", 19325041809)</f>
        <v>19325041809</v>
      </c>
      <c r="B1145" s="24" t="s">
        <v>6111</v>
      </c>
      <c r="C1145" s="34"/>
      <c r="D1145" s="24" t="s">
        <v>6112</v>
      </c>
      <c r="E1145" s="28" t="s">
        <v>6113</v>
      </c>
      <c r="F1145" s="24" t="s">
        <v>4072</v>
      </c>
      <c r="G1145" s="34"/>
      <c r="H1145" s="34"/>
      <c r="I1145" s="34"/>
      <c r="J1145" s="34"/>
      <c r="K1145" s="34"/>
      <c r="L1145" s="34"/>
      <c r="M1145" s="33">
        <f>HYPERLINK("https://app.hubspot.com/contacts/8748051/record/0-2/19176644670", 19176644670)</f>
        <v>19176644670</v>
      </c>
      <c r="N1145" s="24" t="s">
        <v>6114</v>
      </c>
      <c r="O1145" s="34"/>
      <c r="P1145" s="34"/>
      <c r="Q1145" s="34"/>
      <c r="R1145" s="34"/>
      <c r="S1145" s="34"/>
      <c r="T1145" s="34" t="str">
        <f t="shared" ref="T1145:V1145" si="1150">IF(G1145&lt;&gt;"","Yes","")</f>
        <v/>
      </c>
      <c r="U1145" s="34" t="str">
        <f t="shared" si="1150"/>
        <v/>
      </c>
      <c r="V1145" s="34" t="str">
        <f t="shared" si="1150"/>
        <v/>
      </c>
      <c r="W1145" s="34" t="str">
        <f t="shared" si="3"/>
        <v/>
      </c>
      <c r="X1145" s="24" t="str">
        <f t="shared" si="4"/>
        <v/>
      </c>
    </row>
    <row r="1146" ht="14.25" customHeight="1">
      <c r="A1146" s="33">
        <f>HYPERLINK("https://app.hubspot.com/contacts/8748051/record/0-1/19367785238", 19367785238)</f>
        <v>19367785238</v>
      </c>
      <c r="B1146" s="24" t="s">
        <v>6115</v>
      </c>
      <c r="C1146" s="34"/>
      <c r="D1146" s="24" t="s">
        <v>6116</v>
      </c>
      <c r="E1146" s="28" t="s">
        <v>1763</v>
      </c>
      <c r="F1146" s="34"/>
      <c r="G1146" s="35">
        <v>45420.0</v>
      </c>
      <c r="H1146" s="35">
        <v>45426.0</v>
      </c>
      <c r="I1146" s="35">
        <v>45426.0</v>
      </c>
      <c r="J1146" s="34"/>
      <c r="K1146" s="34"/>
      <c r="L1146" s="34"/>
      <c r="M1146" s="33">
        <f>HYPERLINK("https://app.hubspot.com/contacts/8748051/record/0-2/14810315681", 14810315681)</f>
        <v>14810315681</v>
      </c>
      <c r="N1146" s="24" t="s">
        <v>1762</v>
      </c>
      <c r="O1146" s="33">
        <f>HYPERLINK("https://app.hubspot.com/contacts/8748051/record/0-3/19346662583", 19346662583)</f>
        <v>19346662583</v>
      </c>
      <c r="P1146" s="24" t="s">
        <v>1761</v>
      </c>
      <c r="Q1146" s="24" t="s">
        <v>73</v>
      </c>
      <c r="R1146" s="24">
        <v>15360.0</v>
      </c>
      <c r="S1146" s="34"/>
      <c r="T1146" s="34" t="str">
        <f t="shared" ref="T1146:V1146" si="1151">IF(G1146&lt;&gt;"","Yes","")</f>
        <v>Yes</v>
      </c>
      <c r="U1146" s="34" t="str">
        <f t="shared" si="1151"/>
        <v>Yes</v>
      </c>
      <c r="V1146" s="34" t="str">
        <f t="shared" si="1151"/>
        <v>Yes</v>
      </c>
      <c r="W1146" s="34" t="str">
        <f t="shared" si="3"/>
        <v/>
      </c>
      <c r="X1146" s="24" t="str">
        <f t="shared" si="4"/>
        <v/>
      </c>
    </row>
    <row r="1147" ht="14.25" customHeight="1">
      <c r="A1147" s="33">
        <f>HYPERLINK("https://app.hubspot.com/contacts/8748051/record/0-1/19379355425", 19379355425)</f>
        <v>19379355425</v>
      </c>
      <c r="B1147" s="24" t="s">
        <v>6117</v>
      </c>
      <c r="C1147" s="34"/>
      <c r="D1147" s="24" t="s">
        <v>6118</v>
      </c>
      <c r="E1147" s="28" t="s">
        <v>6119</v>
      </c>
      <c r="F1147" s="24" t="s">
        <v>4072</v>
      </c>
      <c r="G1147" s="34"/>
      <c r="H1147" s="34"/>
      <c r="I1147" s="34"/>
      <c r="J1147" s="34"/>
      <c r="K1147" s="34"/>
      <c r="L1147" s="34"/>
      <c r="M1147" s="33">
        <f>HYPERLINK("https://app.hubspot.com/contacts/8748051/record/0-2/20685293405", 20685293405)</f>
        <v>20685293405</v>
      </c>
      <c r="N1147" s="28" t="s">
        <v>6119</v>
      </c>
      <c r="O1147" s="34"/>
      <c r="P1147" s="34"/>
      <c r="Q1147" s="34"/>
      <c r="R1147" s="34"/>
      <c r="S1147" s="34"/>
      <c r="T1147" s="34" t="str">
        <f t="shared" ref="T1147:V1147" si="1152">IF(G1147&lt;&gt;"","Yes","")</f>
        <v/>
      </c>
      <c r="U1147" s="34" t="str">
        <f t="shared" si="1152"/>
        <v/>
      </c>
      <c r="V1147" s="34" t="str">
        <f t="shared" si="1152"/>
        <v/>
      </c>
      <c r="W1147" s="34" t="str">
        <f t="shared" si="3"/>
        <v/>
      </c>
      <c r="X1147" s="24" t="str">
        <f t="shared" si="4"/>
        <v/>
      </c>
    </row>
    <row r="1148" ht="14.25" customHeight="1">
      <c r="A1148" s="33">
        <f>HYPERLINK("https://app.hubspot.com/contacts/8748051/record/0-1/19404909237", 19404909237)</f>
        <v>19404909237</v>
      </c>
      <c r="B1148" s="24" t="s">
        <v>6120</v>
      </c>
      <c r="C1148" s="34"/>
      <c r="D1148" s="24" t="s">
        <v>6121</v>
      </c>
      <c r="E1148" s="28" t="s">
        <v>1660</v>
      </c>
      <c r="F1148" s="34"/>
      <c r="G1148" s="35">
        <v>45420.0</v>
      </c>
      <c r="H1148" s="35">
        <v>45453.0</v>
      </c>
      <c r="I1148" s="34"/>
      <c r="J1148" s="34"/>
      <c r="K1148" s="34"/>
      <c r="L1148" s="34"/>
      <c r="M1148" s="33">
        <f>HYPERLINK("https://app.hubspot.com/contacts/8748051/record/0-2/9976415114", 9976415114)</f>
        <v>9976415114</v>
      </c>
      <c r="N1148" s="24" t="s">
        <v>1659</v>
      </c>
      <c r="O1148" s="33">
        <f>HYPERLINK("https://app.hubspot.com/contacts/8748051/record/0-3/19983475725", 19983475725)</f>
        <v>19983475725</v>
      </c>
      <c r="P1148" s="24" t="s">
        <v>1658</v>
      </c>
      <c r="Q1148" s="24" t="s">
        <v>73</v>
      </c>
      <c r="R1148" s="24">
        <v>11520.0</v>
      </c>
      <c r="S1148" s="34"/>
      <c r="T1148" s="34" t="str">
        <f t="shared" ref="T1148:V1148" si="1153">IF(G1148&lt;&gt;"","Yes","")</f>
        <v>Yes</v>
      </c>
      <c r="U1148" s="34" t="str">
        <f t="shared" si="1153"/>
        <v>Yes</v>
      </c>
      <c r="V1148" s="34" t="str">
        <f t="shared" si="1153"/>
        <v/>
      </c>
      <c r="W1148" s="34" t="str">
        <f t="shared" si="3"/>
        <v/>
      </c>
      <c r="X1148" s="24" t="str">
        <f t="shared" si="4"/>
        <v/>
      </c>
    </row>
    <row r="1149" ht="14.25" customHeight="1">
      <c r="A1149" s="33">
        <f>HYPERLINK("https://app.hubspot.com/contacts/8748051/record/0-1/19491257190", 19491257190)</f>
        <v>19491257190</v>
      </c>
      <c r="B1149" s="24" t="s">
        <v>6122</v>
      </c>
      <c r="C1149" s="34"/>
      <c r="D1149" s="24" t="s">
        <v>6123</v>
      </c>
      <c r="E1149" s="28" t="s">
        <v>6124</v>
      </c>
      <c r="F1149" s="24" t="s">
        <v>6125</v>
      </c>
      <c r="G1149" s="34"/>
      <c r="H1149" s="34"/>
      <c r="I1149" s="34"/>
      <c r="J1149" s="34"/>
      <c r="K1149" s="34"/>
      <c r="L1149" s="34"/>
      <c r="M1149" s="33">
        <f>HYPERLINK("https://app.hubspot.com/contacts/8748051/record/0-2/20692317227", 20692317227)</f>
        <v>20692317227</v>
      </c>
      <c r="N1149" s="24" t="s">
        <v>6126</v>
      </c>
      <c r="O1149" s="34"/>
      <c r="P1149" s="34"/>
      <c r="Q1149" s="34"/>
      <c r="R1149" s="34"/>
      <c r="S1149" s="34"/>
      <c r="T1149" s="34" t="str">
        <f t="shared" ref="T1149:V1149" si="1154">IF(G1149&lt;&gt;"","Yes","")</f>
        <v/>
      </c>
      <c r="U1149" s="34" t="str">
        <f t="shared" si="1154"/>
        <v/>
      </c>
      <c r="V1149" s="34" t="str">
        <f t="shared" si="1154"/>
        <v/>
      </c>
      <c r="W1149" s="34" t="str">
        <f t="shared" si="3"/>
        <v/>
      </c>
      <c r="X1149" s="24" t="str">
        <f t="shared" si="4"/>
        <v/>
      </c>
    </row>
    <row r="1150" ht="14.25" customHeight="1">
      <c r="A1150" s="33">
        <f>HYPERLINK("https://app.hubspot.com/contacts/8748051/record/0-1/19580118899", 19580118899)</f>
        <v>19580118899</v>
      </c>
      <c r="B1150" s="24" t="s">
        <v>6127</v>
      </c>
      <c r="C1150" s="34"/>
      <c r="D1150" s="24" t="s">
        <v>6128</v>
      </c>
      <c r="E1150" s="28" t="s">
        <v>6129</v>
      </c>
      <c r="F1150" s="34"/>
      <c r="G1150" s="35">
        <v>45420.0</v>
      </c>
      <c r="H1150" s="34"/>
      <c r="I1150" s="34"/>
      <c r="J1150" s="34"/>
      <c r="K1150" s="34"/>
      <c r="L1150" s="34"/>
      <c r="M1150" s="33">
        <f>HYPERLINK("https://app.hubspot.com/contacts/8748051/record/0-2/18003071072", 18003071072)</f>
        <v>18003071072</v>
      </c>
      <c r="N1150" s="28" t="s">
        <v>6130</v>
      </c>
      <c r="O1150" s="34"/>
      <c r="P1150" s="34"/>
      <c r="Q1150" s="34"/>
      <c r="R1150" s="34"/>
      <c r="S1150" s="34"/>
      <c r="T1150" s="34" t="str">
        <f t="shared" ref="T1150:V1150" si="1155">IF(G1150&lt;&gt;"","Yes","")</f>
        <v>Yes</v>
      </c>
      <c r="U1150" s="34" t="str">
        <f t="shared" si="1155"/>
        <v/>
      </c>
      <c r="V1150" s="34" t="str">
        <f t="shared" si="1155"/>
        <v/>
      </c>
      <c r="W1150" s="34" t="str">
        <f t="shared" si="3"/>
        <v/>
      </c>
      <c r="X1150" s="24" t="str">
        <f t="shared" si="4"/>
        <v/>
      </c>
    </row>
    <row r="1151" ht="14.25" customHeight="1">
      <c r="A1151" s="33">
        <f>HYPERLINK("https://app.hubspot.com/contacts/8748051/record/0-1/19717721128", 19717721128)</f>
        <v>19717721128</v>
      </c>
      <c r="B1151" s="24" t="s">
        <v>6131</v>
      </c>
      <c r="C1151" s="34"/>
      <c r="D1151" s="24" t="s">
        <v>6132</v>
      </c>
      <c r="E1151" s="28" t="s">
        <v>6133</v>
      </c>
      <c r="F1151" s="34"/>
      <c r="G1151" s="35">
        <v>45421.0</v>
      </c>
      <c r="H1151" s="34"/>
      <c r="I1151" s="34"/>
      <c r="J1151" s="34"/>
      <c r="K1151" s="34"/>
      <c r="L1151" s="34"/>
      <c r="M1151" s="33">
        <f>HYPERLINK("https://app.hubspot.com/contacts/8748051/record/0-2/8138451552", 8138451552)</f>
        <v>8138451552</v>
      </c>
      <c r="N1151" s="24" t="s">
        <v>6134</v>
      </c>
      <c r="O1151" s="34"/>
      <c r="P1151" s="34"/>
      <c r="Q1151" s="34"/>
      <c r="R1151" s="34"/>
      <c r="S1151" s="34"/>
      <c r="T1151" s="34" t="str">
        <f t="shared" ref="T1151:V1151" si="1156">IF(G1151&lt;&gt;"","Yes","")</f>
        <v>Yes</v>
      </c>
      <c r="U1151" s="34" t="str">
        <f t="shared" si="1156"/>
        <v/>
      </c>
      <c r="V1151" s="34" t="str">
        <f t="shared" si="1156"/>
        <v/>
      </c>
      <c r="W1151" s="34" t="str">
        <f t="shared" si="3"/>
        <v/>
      </c>
      <c r="X1151" s="24" t="str">
        <f t="shared" si="4"/>
        <v/>
      </c>
    </row>
    <row r="1152" ht="14.25" customHeight="1">
      <c r="A1152" s="33">
        <f>HYPERLINK("https://app.hubspot.com/contacts/8748051/record/0-1/19820394042", 19820394042)</f>
        <v>19820394042</v>
      </c>
      <c r="B1152" s="24" t="s">
        <v>6135</v>
      </c>
      <c r="C1152" s="34"/>
      <c r="D1152" s="24" t="s">
        <v>6136</v>
      </c>
      <c r="E1152" s="28" t="s">
        <v>6137</v>
      </c>
      <c r="F1152" s="34"/>
      <c r="G1152" s="35">
        <v>45421.0</v>
      </c>
      <c r="H1152" s="34"/>
      <c r="I1152" s="34"/>
      <c r="J1152" s="34"/>
      <c r="K1152" s="34"/>
      <c r="L1152" s="34"/>
      <c r="M1152" s="33">
        <f>HYPERLINK("https://app.hubspot.com/contacts/8748051/record/0-2/14809740134", 14809740134)</f>
        <v>14809740134</v>
      </c>
      <c r="N1152" s="24" t="s">
        <v>6138</v>
      </c>
      <c r="O1152" s="34"/>
      <c r="P1152" s="34"/>
      <c r="Q1152" s="34"/>
      <c r="R1152" s="34"/>
      <c r="S1152" s="34"/>
      <c r="T1152" s="34" t="str">
        <f t="shared" ref="T1152:V1152" si="1157">IF(G1152&lt;&gt;"","Yes","")</f>
        <v>Yes</v>
      </c>
      <c r="U1152" s="34" t="str">
        <f t="shared" si="1157"/>
        <v/>
      </c>
      <c r="V1152" s="34" t="str">
        <f t="shared" si="1157"/>
        <v/>
      </c>
      <c r="W1152" s="34" t="str">
        <f t="shared" si="3"/>
        <v/>
      </c>
      <c r="X1152" s="24" t="str">
        <f t="shared" si="4"/>
        <v/>
      </c>
    </row>
    <row r="1153" ht="14.25" customHeight="1">
      <c r="A1153" s="33">
        <f>HYPERLINK("https://app.hubspot.com/contacts/8748051/record/0-1/19867802924", 19867802924)</f>
        <v>19867802924</v>
      </c>
      <c r="B1153" s="24" t="s">
        <v>6139</v>
      </c>
      <c r="C1153" s="34"/>
      <c r="D1153" s="24" t="s">
        <v>6140</v>
      </c>
      <c r="E1153" s="28" t="s">
        <v>6141</v>
      </c>
      <c r="F1153" s="34"/>
      <c r="G1153" s="35">
        <v>45421.0</v>
      </c>
      <c r="H1153" s="34"/>
      <c r="I1153" s="34"/>
      <c r="J1153" s="34"/>
      <c r="K1153" s="34"/>
      <c r="L1153" s="34"/>
      <c r="M1153" s="33">
        <f>HYPERLINK("https://app.hubspot.com/contacts/8748051/record/0-2/9190289789", 9190289789)</f>
        <v>9190289789</v>
      </c>
      <c r="N1153" s="24" t="s">
        <v>6142</v>
      </c>
      <c r="O1153" s="34"/>
      <c r="P1153" s="34"/>
      <c r="Q1153" s="34"/>
      <c r="R1153" s="34"/>
      <c r="S1153" s="34"/>
      <c r="T1153" s="34" t="str">
        <f t="shared" ref="T1153:V1153" si="1158">IF(G1153&lt;&gt;"","Yes","")</f>
        <v>Yes</v>
      </c>
      <c r="U1153" s="34" t="str">
        <f t="shared" si="1158"/>
        <v/>
      </c>
      <c r="V1153" s="34" t="str">
        <f t="shared" si="1158"/>
        <v/>
      </c>
      <c r="W1153" s="34" t="str">
        <f t="shared" si="3"/>
        <v/>
      </c>
      <c r="X1153" s="24" t="str">
        <f t="shared" si="4"/>
        <v/>
      </c>
    </row>
    <row r="1154" ht="14.25" customHeight="1">
      <c r="A1154" s="33">
        <f>HYPERLINK("https://app.hubspot.com/contacts/8748051/record/0-1/19885666731", 19885666731)</f>
        <v>19885666731</v>
      </c>
      <c r="B1154" s="24" t="s">
        <v>6143</v>
      </c>
      <c r="C1154" s="34"/>
      <c r="D1154" s="24" t="s">
        <v>6144</v>
      </c>
      <c r="E1154" s="28" t="s">
        <v>1579</v>
      </c>
      <c r="F1154" s="24" t="s">
        <v>4072</v>
      </c>
      <c r="G1154" s="34"/>
      <c r="H1154" s="34"/>
      <c r="I1154" s="34"/>
      <c r="J1154" s="34"/>
      <c r="K1154" s="34"/>
      <c r="L1154" s="34"/>
      <c r="M1154" s="33">
        <f>HYPERLINK("https://app.hubspot.com/contacts/8748051/record/0-2/8724516529", 8724516529)</f>
        <v>8724516529</v>
      </c>
      <c r="N1154" s="24" t="s">
        <v>1578</v>
      </c>
      <c r="O1154" s="34"/>
      <c r="P1154" s="34"/>
      <c r="Q1154" s="34"/>
      <c r="R1154" s="34"/>
      <c r="S1154" s="34"/>
      <c r="T1154" s="34" t="str">
        <f t="shared" ref="T1154:V1154" si="1159">IF(G1154&lt;&gt;"","Yes","")</f>
        <v/>
      </c>
      <c r="U1154" s="34" t="str">
        <f t="shared" si="1159"/>
        <v/>
      </c>
      <c r="V1154" s="34" t="str">
        <f t="shared" si="1159"/>
        <v/>
      </c>
      <c r="W1154" s="34" t="str">
        <f t="shared" si="3"/>
        <v/>
      </c>
      <c r="X1154" s="24" t="str">
        <f t="shared" si="4"/>
        <v/>
      </c>
    </row>
    <row r="1155" ht="14.25" customHeight="1">
      <c r="A1155" s="33">
        <f>HYPERLINK("https://app.hubspot.com/contacts/8748051/record/0-1/20159883916", 20159883916)</f>
        <v>20159883916</v>
      </c>
      <c r="B1155" s="24" t="s">
        <v>6145</v>
      </c>
      <c r="C1155" s="34"/>
      <c r="D1155" s="24" t="s">
        <v>6146</v>
      </c>
      <c r="E1155" s="28" t="s">
        <v>738</v>
      </c>
      <c r="F1155" s="34"/>
      <c r="G1155" s="35">
        <v>45422.0</v>
      </c>
      <c r="H1155" s="34"/>
      <c r="I1155" s="34"/>
      <c r="J1155" s="34"/>
      <c r="K1155" s="34"/>
      <c r="L1155" s="34"/>
      <c r="M1155" s="33">
        <f>HYPERLINK("https://app.hubspot.com/contacts/8748051/record/0-2/8816890039", 8816890039)</f>
        <v>8816890039</v>
      </c>
      <c r="N1155" s="24" t="s">
        <v>737</v>
      </c>
      <c r="O1155" s="34"/>
      <c r="P1155" s="34"/>
      <c r="Q1155" s="34"/>
      <c r="R1155" s="34"/>
      <c r="S1155" s="34"/>
      <c r="T1155" s="34" t="str">
        <f t="shared" ref="T1155:V1155" si="1160">IF(G1155&lt;&gt;"","Yes","")</f>
        <v>Yes</v>
      </c>
      <c r="U1155" s="34" t="str">
        <f t="shared" si="1160"/>
        <v/>
      </c>
      <c r="V1155" s="34" t="str">
        <f t="shared" si="1160"/>
        <v/>
      </c>
      <c r="W1155" s="34" t="str">
        <f t="shared" si="3"/>
        <v/>
      </c>
      <c r="X1155" s="24" t="str">
        <f t="shared" si="4"/>
        <v/>
      </c>
    </row>
    <row r="1156" ht="14.25" customHeight="1">
      <c r="A1156" s="33">
        <f>HYPERLINK("https://app.hubspot.com/contacts/8748051/record/0-1/20277021538", 20277021538)</f>
        <v>20277021538</v>
      </c>
      <c r="B1156" s="24" t="s">
        <v>6147</v>
      </c>
      <c r="C1156" s="34"/>
      <c r="D1156" s="24" t="s">
        <v>6148</v>
      </c>
      <c r="E1156" s="28" t="s">
        <v>6149</v>
      </c>
      <c r="F1156" s="34"/>
      <c r="G1156" s="35">
        <v>45425.0</v>
      </c>
      <c r="H1156" s="34"/>
      <c r="I1156" s="34"/>
      <c r="J1156" s="34"/>
      <c r="K1156" s="34"/>
      <c r="L1156" s="34"/>
      <c r="M1156" s="33">
        <f>HYPERLINK("https://app.hubspot.com/contacts/8748051/record/0-2/9092487493", 9092487493)</f>
        <v>9092487493</v>
      </c>
      <c r="N1156" s="24" t="s">
        <v>6150</v>
      </c>
      <c r="O1156" s="34"/>
      <c r="P1156" s="34"/>
      <c r="Q1156" s="34"/>
      <c r="R1156" s="34"/>
      <c r="S1156" s="34"/>
      <c r="T1156" s="34" t="str">
        <f t="shared" ref="T1156:V1156" si="1161">IF(G1156&lt;&gt;"","Yes","")</f>
        <v>Yes</v>
      </c>
      <c r="U1156" s="34" t="str">
        <f t="shared" si="1161"/>
        <v/>
      </c>
      <c r="V1156" s="34" t="str">
        <f t="shared" si="1161"/>
        <v/>
      </c>
      <c r="W1156" s="34" t="str">
        <f t="shared" si="3"/>
        <v/>
      </c>
      <c r="X1156" s="24" t="str">
        <f t="shared" si="4"/>
        <v/>
      </c>
    </row>
    <row r="1157" ht="14.25" customHeight="1">
      <c r="A1157" s="33">
        <f>HYPERLINK("https://app.hubspot.com/contacts/8748051/record/0-1/20288033628", 20288033628)</f>
        <v>20288033628</v>
      </c>
      <c r="B1157" s="24" t="s">
        <v>6151</v>
      </c>
      <c r="C1157" s="34"/>
      <c r="D1157" s="24" t="s">
        <v>6152</v>
      </c>
      <c r="E1157" s="28" t="s">
        <v>6153</v>
      </c>
      <c r="F1157" s="24" t="s">
        <v>5632</v>
      </c>
      <c r="G1157" s="34"/>
      <c r="H1157" s="34"/>
      <c r="I1157" s="34"/>
      <c r="J1157" s="34"/>
      <c r="K1157" s="34"/>
      <c r="L1157" s="34"/>
      <c r="M1157" s="33">
        <f>HYPERLINK("https://app.hubspot.com/contacts/8748051/record/0-2/8096962313", 8096962313)</f>
        <v>8096962313</v>
      </c>
      <c r="N1157" s="24" t="s">
        <v>6154</v>
      </c>
      <c r="O1157" s="34"/>
      <c r="P1157" s="34"/>
      <c r="Q1157" s="34"/>
      <c r="R1157" s="34"/>
      <c r="S1157" s="34"/>
      <c r="T1157" s="34" t="str">
        <f t="shared" ref="T1157:V1157" si="1162">IF(G1157&lt;&gt;"","Yes","")</f>
        <v/>
      </c>
      <c r="U1157" s="34" t="str">
        <f t="shared" si="1162"/>
        <v/>
      </c>
      <c r="V1157" s="34" t="str">
        <f t="shared" si="1162"/>
        <v/>
      </c>
      <c r="W1157" s="34" t="str">
        <f t="shared" si="3"/>
        <v/>
      </c>
      <c r="X1157" s="24" t="str">
        <f t="shared" si="4"/>
        <v/>
      </c>
    </row>
    <row r="1158" ht="14.25" customHeight="1">
      <c r="A1158" s="33">
        <f>HYPERLINK("https://app.hubspot.com/contacts/8748051/record/0-1/20418516646", 20418516646)</f>
        <v>20418516646</v>
      </c>
      <c r="B1158" s="24" t="s">
        <v>6155</v>
      </c>
      <c r="C1158" s="34"/>
      <c r="D1158" s="24" t="s">
        <v>6156</v>
      </c>
      <c r="E1158" s="28" t="s">
        <v>6157</v>
      </c>
      <c r="F1158" s="24" t="s">
        <v>5632</v>
      </c>
      <c r="G1158" s="34"/>
      <c r="H1158" s="34"/>
      <c r="I1158" s="34"/>
      <c r="J1158" s="34"/>
      <c r="K1158" s="34"/>
      <c r="L1158" s="34"/>
      <c r="M1158" s="33">
        <f>HYPERLINK("https://app.hubspot.com/contacts/8748051/record/0-2/7688870415", 7688870415)</f>
        <v>7688870415</v>
      </c>
      <c r="N1158" s="24" t="s">
        <v>6158</v>
      </c>
      <c r="O1158" s="34"/>
      <c r="P1158" s="34"/>
      <c r="Q1158" s="34"/>
      <c r="R1158" s="34"/>
      <c r="S1158" s="34"/>
      <c r="T1158" s="34" t="str">
        <f t="shared" ref="T1158:V1158" si="1163">IF(G1158&lt;&gt;"","Yes","")</f>
        <v/>
      </c>
      <c r="U1158" s="34" t="str">
        <f t="shared" si="1163"/>
        <v/>
      </c>
      <c r="V1158" s="34" t="str">
        <f t="shared" si="1163"/>
        <v/>
      </c>
      <c r="W1158" s="34" t="str">
        <f t="shared" si="3"/>
        <v/>
      </c>
      <c r="X1158" s="24" t="str">
        <f t="shared" si="4"/>
        <v/>
      </c>
    </row>
    <row r="1159" ht="14.25" customHeight="1">
      <c r="A1159" s="33">
        <f>HYPERLINK("https://app.hubspot.com/contacts/8748051/record/0-1/20930621521", 20930621521)</f>
        <v>20930621521</v>
      </c>
      <c r="B1159" s="24" t="s">
        <v>6159</v>
      </c>
      <c r="C1159" s="34"/>
      <c r="D1159" s="24" t="s">
        <v>6160</v>
      </c>
      <c r="E1159" s="28" t="s">
        <v>6161</v>
      </c>
      <c r="F1159" s="34"/>
      <c r="G1159" s="35">
        <v>45426.0</v>
      </c>
      <c r="H1159" s="34"/>
      <c r="I1159" s="34"/>
      <c r="J1159" s="34"/>
      <c r="K1159" s="34"/>
      <c r="L1159" s="34"/>
      <c r="M1159" s="33">
        <f>HYPERLINK("https://app.hubspot.com/contacts/8748051/record/0-2/18382788232", 18382788232)</f>
        <v>18382788232</v>
      </c>
      <c r="N1159" s="24" t="s">
        <v>6162</v>
      </c>
      <c r="O1159" s="34"/>
      <c r="P1159" s="34"/>
      <c r="Q1159" s="34"/>
      <c r="R1159" s="34"/>
      <c r="S1159" s="34"/>
      <c r="T1159" s="34" t="str">
        <f t="shared" ref="T1159:V1159" si="1164">IF(G1159&lt;&gt;"","Yes","")</f>
        <v>Yes</v>
      </c>
      <c r="U1159" s="34" t="str">
        <f t="shared" si="1164"/>
        <v/>
      </c>
      <c r="V1159" s="34" t="str">
        <f t="shared" si="1164"/>
        <v/>
      </c>
      <c r="W1159" s="34" t="str">
        <f t="shared" si="3"/>
        <v/>
      </c>
      <c r="X1159" s="24" t="str">
        <f t="shared" si="4"/>
        <v/>
      </c>
    </row>
    <row r="1160" ht="14.25" customHeight="1">
      <c r="A1160" s="33">
        <f>HYPERLINK("https://app.hubspot.com/contacts/8748051/record/0-1/21068272915", 21068272915)</f>
        <v>21068272915</v>
      </c>
      <c r="B1160" s="24" t="s">
        <v>6163</v>
      </c>
      <c r="C1160" s="34"/>
      <c r="D1160" s="24" t="s">
        <v>6164</v>
      </c>
      <c r="E1160" s="28" t="s">
        <v>4462</v>
      </c>
      <c r="F1160" s="34"/>
      <c r="G1160" s="35">
        <v>45436.0</v>
      </c>
      <c r="H1160" s="34"/>
      <c r="I1160" s="34"/>
      <c r="J1160" s="34"/>
      <c r="K1160" s="34"/>
      <c r="L1160" s="34"/>
      <c r="M1160" s="33">
        <f>HYPERLINK("https://app.hubspot.com/contacts/8748051/record/0-2/19176672158", 19176672158)</f>
        <v>19176672158</v>
      </c>
      <c r="N1160" s="24" t="s">
        <v>4463</v>
      </c>
      <c r="O1160" s="34"/>
      <c r="P1160" s="34"/>
      <c r="Q1160" s="34"/>
      <c r="R1160" s="34"/>
      <c r="S1160" s="34"/>
      <c r="T1160" s="34" t="str">
        <f t="shared" ref="T1160:V1160" si="1165">IF(G1160&lt;&gt;"","Yes","")</f>
        <v>Yes</v>
      </c>
      <c r="U1160" s="34" t="str">
        <f t="shared" si="1165"/>
        <v/>
      </c>
      <c r="V1160" s="34" t="str">
        <f t="shared" si="1165"/>
        <v/>
      </c>
      <c r="W1160" s="34" t="str">
        <f t="shared" si="3"/>
        <v/>
      </c>
      <c r="X1160" s="24" t="str">
        <f t="shared" si="4"/>
        <v/>
      </c>
    </row>
    <row r="1161" ht="14.25" customHeight="1">
      <c r="A1161" s="33">
        <f>HYPERLINK("https://app.hubspot.com/contacts/8748051/record/0-1/21111822915", 21111822915)</f>
        <v>21111822915</v>
      </c>
      <c r="B1161" s="24" t="s">
        <v>6165</v>
      </c>
      <c r="C1161" s="34"/>
      <c r="D1161" s="24" t="s">
        <v>6166</v>
      </c>
      <c r="E1161" s="28" t="s">
        <v>6167</v>
      </c>
      <c r="F1161" s="34"/>
      <c r="G1161" s="35">
        <v>45426.0</v>
      </c>
      <c r="H1161" s="34"/>
      <c r="I1161" s="34"/>
      <c r="J1161" s="34"/>
      <c r="K1161" s="34"/>
      <c r="L1161" s="34"/>
      <c r="M1161" s="33">
        <f>HYPERLINK("https://app.hubspot.com/contacts/8748051/record/0-2/9227907907", 9227907907)</f>
        <v>9227907907</v>
      </c>
      <c r="N1161" s="24" t="s">
        <v>6168</v>
      </c>
      <c r="O1161" s="34"/>
      <c r="P1161" s="34"/>
      <c r="Q1161" s="34"/>
      <c r="R1161" s="34"/>
      <c r="S1161" s="34"/>
      <c r="T1161" s="34" t="str">
        <f t="shared" ref="T1161:V1161" si="1166">IF(G1161&lt;&gt;"","Yes","")</f>
        <v>Yes</v>
      </c>
      <c r="U1161" s="34" t="str">
        <f t="shared" si="1166"/>
        <v/>
      </c>
      <c r="V1161" s="34" t="str">
        <f t="shared" si="1166"/>
        <v/>
      </c>
      <c r="W1161" s="34" t="str">
        <f t="shared" si="3"/>
        <v/>
      </c>
      <c r="X1161" s="24" t="str">
        <f t="shared" si="4"/>
        <v/>
      </c>
    </row>
    <row r="1162" ht="14.25" customHeight="1">
      <c r="A1162" s="33">
        <f>HYPERLINK("https://app.hubspot.com/contacts/8748051/record/0-1/21173489417", 21173489417)</f>
        <v>21173489417</v>
      </c>
      <c r="B1162" s="24" t="s">
        <v>6169</v>
      </c>
      <c r="C1162" s="34"/>
      <c r="D1162" s="24" t="s">
        <v>6170</v>
      </c>
      <c r="E1162" s="28" t="s">
        <v>6171</v>
      </c>
      <c r="F1162" s="34"/>
      <c r="G1162" s="35">
        <v>45426.0</v>
      </c>
      <c r="H1162" s="34"/>
      <c r="I1162" s="34"/>
      <c r="J1162" s="34"/>
      <c r="K1162" s="34"/>
      <c r="L1162" s="34"/>
      <c r="M1162" s="33">
        <f>HYPERLINK("https://app.hubspot.com/contacts/8748051/record/0-2/14811155295", 14811155295)</f>
        <v>14811155295</v>
      </c>
      <c r="N1162" s="24" t="s">
        <v>6172</v>
      </c>
      <c r="O1162" s="34"/>
      <c r="P1162" s="34"/>
      <c r="Q1162" s="34"/>
      <c r="R1162" s="34"/>
      <c r="S1162" s="34"/>
      <c r="T1162" s="34" t="str">
        <f t="shared" ref="T1162:V1162" si="1167">IF(G1162&lt;&gt;"","Yes","")</f>
        <v>Yes</v>
      </c>
      <c r="U1162" s="34" t="str">
        <f t="shared" si="1167"/>
        <v/>
      </c>
      <c r="V1162" s="34" t="str">
        <f t="shared" si="1167"/>
        <v/>
      </c>
      <c r="W1162" s="34" t="str">
        <f t="shared" si="3"/>
        <v/>
      </c>
      <c r="X1162" s="24" t="str">
        <f t="shared" si="4"/>
        <v/>
      </c>
    </row>
    <row r="1163" ht="14.25" customHeight="1">
      <c r="A1163" s="33">
        <f>HYPERLINK("https://app.hubspot.com/contacts/8748051/record/0-1/21288629760", 21288629760)</f>
        <v>21288629760</v>
      </c>
      <c r="B1163" s="24" t="s">
        <v>6173</v>
      </c>
      <c r="C1163" s="34"/>
      <c r="D1163" s="24" t="s">
        <v>6174</v>
      </c>
      <c r="E1163" s="28" t="s">
        <v>6175</v>
      </c>
      <c r="F1163" s="34"/>
      <c r="G1163" s="35">
        <v>45427.0</v>
      </c>
      <c r="H1163" s="34"/>
      <c r="I1163" s="34"/>
      <c r="J1163" s="34"/>
      <c r="K1163" s="34"/>
      <c r="L1163" s="34"/>
      <c r="M1163" s="33">
        <f>HYPERLINK("https://app.hubspot.com/contacts/8748051/record/0-2/9174364218", 9174364218)</f>
        <v>9174364218</v>
      </c>
      <c r="N1163" s="24" t="s">
        <v>6176</v>
      </c>
      <c r="O1163" s="34"/>
      <c r="P1163" s="34"/>
      <c r="Q1163" s="34"/>
      <c r="R1163" s="34"/>
      <c r="S1163" s="34"/>
      <c r="T1163" s="34" t="str">
        <f t="shared" ref="T1163:V1163" si="1168">IF(G1163&lt;&gt;"","Yes","")</f>
        <v>Yes</v>
      </c>
      <c r="U1163" s="34" t="str">
        <f t="shared" si="1168"/>
        <v/>
      </c>
      <c r="V1163" s="34" t="str">
        <f t="shared" si="1168"/>
        <v/>
      </c>
      <c r="W1163" s="34" t="str">
        <f t="shared" si="3"/>
        <v/>
      </c>
      <c r="X1163" s="24" t="str">
        <f t="shared" si="4"/>
        <v/>
      </c>
    </row>
    <row r="1164" ht="14.25" customHeight="1">
      <c r="A1164" s="33">
        <f>HYPERLINK("https://app.hubspot.com/contacts/8748051/record/0-1/21548832071", 21548832071)</f>
        <v>21548832071</v>
      </c>
      <c r="B1164" s="24" t="s">
        <v>6177</v>
      </c>
      <c r="C1164" s="34"/>
      <c r="D1164" s="24" t="s">
        <v>6178</v>
      </c>
      <c r="E1164" s="28" t="s">
        <v>1757</v>
      </c>
      <c r="F1164" s="34"/>
      <c r="G1164" s="35">
        <v>45367.0</v>
      </c>
      <c r="H1164" s="35">
        <v>45428.0</v>
      </c>
      <c r="I1164" s="34"/>
      <c r="J1164" s="34"/>
      <c r="K1164" s="34"/>
      <c r="L1164" s="34"/>
      <c r="M1164" s="33">
        <f>HYPERLINK("https://app.hubspot.com/contacts/8748051/record/0-2/10038650925", 10038650925)</f>
        <v>10038650925</v>
      </c>
      <c r="N1164" s="24" t="s">
        <v>1756</v>
      </c>
      <c r="O1164" s="33">
        <f>HYPERLINK("https://app.hubspot.com/contacts/8748051/record/0-3/19382287200", 19382287200)</f>
        <v>19382287200</v>
      </c>
      <c r="P1164" s="24" t="s">
        <v>1755</v>
      </c>
      <c r="Q1164" s="24" t="s">
        <v>73</v>
      </c>
      <c r="R1164" s="24">
        <v>16080.0</v>
      </c>
      <c r="S1164" s="34"/>
      <c r="T1164" s="34" t="str">
        <f t="shared" ref="T1164:V1164" si="1169">IF(G1164&lt;&gt;"","Yes","")</f>
        <v>Yes</v>
      </c>
      <c r="U1164" s="34" t="str">
        <f t="shared" si="1169"/>
        <v>Yes</v>
      </c>
      <c r="V1164" s="34" t="str">
        <f t="shared" si="1169"/>
        <v/>
      </c>
      <c r="W1164" s="34" t="str">
        <f t="shared" si="3"/>
        <v/>
      </c>
      <c r="X1164" s="24" t="str">
        <f t="shared" si="4"/>
        <v/>
      </c>
    </row>
    <row r="1165" ht="14.25" customHeight="1">
      <c r="A1165" s="33">
        <f>HYPERLINK("https://app.hubspot.com/contacts/8748051/record/0-1/21594627227", 21594627227)</f>
        <v>21594627227</v>
      </c>
      <c r="B1165" s="24" t="s">
        <v>6179</v>
      </c>
      <c r="C1165" s="34"/>
      <c r="D1165" s="24" t="s">
        <v>6180</v>
      </c>
      <c r="E1165" s="28" t="s">
        <v>6181</v>
      </c>
      <c r="F1165" s="34"/>
      <c r="G1165" s="35">
        <v>45428.0</v>
      </c>
      <c r="H1165" s="34"/>
      <c r="I1165" s="34"/>
      <c r="J1165" s="34"/>
      <c r="K1165" s="34"/>
      <c r="L1165" s="34"/>
      <c r="M1165" s="33">
        <f>HYPERLINK("https://app.hubspot.com/contacts/8748051/record/0-2/19176661001", 19176661001)</f>
        <v>19176661001</v>
      </c>
      <c r="N1165" s="24" t="s">
        <v>6182</v>
      </c>
      <c r="O1165" s="34"/>
      <c r="P1165" s="34"/>
      <c r="Q1165" s="34"/>
      <c r="R1165" s="34"/>
      <c r="S1165" s="34"/>
      <c r="T1165" s="34" t="str">
        <f t="shared" ref="T1165:V1165" si="1170">IF(G1165&lt;&gt;"","Yes","")</f>
        <v>Yes</v>
      </c>
      <c r="U1165" s="34" t="str">
        <f t="shared" si="1170"/>
        <v/>
      </c>
      <c r="V1165" s="34" t="str">
        <f t="shared" si="1170"/>
        <v/>
      </c>
      <c r="W1165" s="34" t="str">
        <f t="shared" si="3"/>
        <v/>
      </c>
      <c r="X1165" s="24" t="str">
        <f t="shared" si="4"/>
        <v/>
      </c>
    </row>
    <row r="1166" ht="14.25" customHeight="1">
      <c r="A1166" s="33">
        <f>HYPERLINK("https://app.hubspot.com/contacts/8748051/record/0-1/21833756545", 21833756545)</f>
        <v>21833756545</v>
      </c>
      <c r="B1166" s="24" t="s">
        <v>6183</v>
      </c>
      <c r="C1166" s="34"/>
      <c r="D1166" s="24" t="s">
        <v>6184</v>
      </c>
      <c r="E1166" s="28" t="s">
        <v>4867</v>
      </c>
      <c r="F1166" s="34"/>
      <c r="G1166" s="35">
        <v>45428.0</v>
      </c>
      <c r="H1166" s="34"/>
      <c r="I1166" s="34"/>
      <c r="J1166" s="34"/>
      <c r="K1166" s="34"/>
      <c r="L1166" s="34"/>
      <c r="M1166" s="33">
        <f>HYPERLINK("https://app.hubspot.com/contacts/8748051/record/0-2/9186382509", 9186382509)</f>
        <v>9186382509</v>
      </c>
      <c r="N1166" s="24" t="s">
        <v>4868</v>
      </c>
      <c r="O1166" s="34"/>
      <c r="P1166" s="34"/>
      <c r="Q1166" s="34"/>
      <c r="R1166" s="34"/>
      <c r="S1166" s="34"/>
      <c r="T1166" s="34" t="str">
        <f t="shared" ref="T1166:V1166" si="1171">IF(G1166&lt;&gt;"","Yes","")</f>
        <v>Yes</v>
      </c>
      <c r="U1166" s="34" t="str">
        <f t="shared" si="1171"/>
        <v/>
      </c>
      <c r="V1166" s="34" t="str">
        <f t="shared" si="1171"/>
        <v/>
      </c>
      <c r="W1166" s="34" t="str">
        <f t="shared" si="3"/>
        <v/>
      </c>
      <c r="X1166" s="24" t="str">
        <f t="shared" si="4"/>
        <v/>
      </c>
    </row>
    <row r="1167" ht="14.25" customHeight="1">
      <c r="A1167" s="33">
        <f>HYPERLINK("https://app.hubspot.com/contacts/8748051/record/0-1/21881066623", 21881066623)</f>
        <v>21881066623</v>
      </c>
      <c r="B1167" s="24" t="s">
        <v>6185</v>
      </c>
      <c r="C1167" s="34"/>
      <c r="D1167" s="24" t="s">
        <v>6186</v>
      </c>
      <c r="E1167" s="28" t="s">
        <v>1488</v>
      </c>
      <c r="F1167" s="34"/>
      <c r="G1167" s="35">
        <v>45435.0</v>
      </c>
      <c r="H1167" s="34"/>
      <c r="I1167" s="34"/>
      <c r="J1167" s="34"/>
      <c r="K1167" s="34"/>
      <c r="L1167" s="34"/>
      <c r="M1167" s="33">
        <f>HYPERLINK("https://app.hubspot.com/contacts/8748051/record/0-2/7894656355", 7894656355)</f>
        <v>7894656355</v>
      </c>
      <c r="N1167" s="24" t="s">
        <v>1487</v>
      </c>
      <c r="O1167" s="33">
        <f>HYPERLINK("https://app.hubspot.com/contacts/8748051/record/0-3/22568893263", 22568893263)</f>
        <v>22568893263</v>
      </c>
      <c r="P1167" s="24" t="s">
        <v>1486</v>
      </c>
      <c r="Q1167" s="24" t="s">
        <v>73</v>
      </c>
      <c r="R1167" s="24">
        <v>16000.0</v>
      </c>
      <c r="S1167" s="34"/>
      <c r="T1167" s="34" t="str">
        <f t="shared" ref="T1167:V1167" si="1172">IF(G1167&lt;&gt;"","Yes","")</f>
        <v>Yes</v>
      </c>
      <c r="U1167" s="34" t="str">
        <f t="shared" si="1172"/>
        <v/>
      </c>
      <c r="V1167" s="34" t="str">
        <f t="shared" si="1172"/>
        <v/>
      </c>
      <c r="W1167" s="34" t="str">
        <f t="shared" si="3"/>
        <v/>
      </c>
      <c r="X1167" s="24" t="str">
        <f t="shared" si="4"/>
        <v/>
      </c>
    </row>
    <row r="1168" ht="14.25" customHeight="1">
      <c r="A1168" s="33">
        <f>HYPERLINK("https://app.hubspot.com/contacts/8748051/record/0-1/21908913980", 21908913980)</f>
        <v>21908913980</v>
      </c>
      <c r="B1168" s="24" t="s">
        <v>6187</v>
      </c>
      <c r="C1168" s="34"/>
      <c r="D1168" s="24" t="s">
        <v>6188</v>
      </c>
      <c r="E1168" s="28" t="s">
        <v>6189</v>
      </c>
      <c r="F1168" s="34"/>
      <c r="G1168" s="35">
        <v>45428.0</v>
      </c>
      <c r="H1168" s="34"/>
      <c r="I1168" s="34"/>
      <c r="J1168" s="34"/>
      <c r="K1168" s="34"/>
      <c r="L1168" s="34"/>
      <c r="M1168" s="33">
        <f>HYPERLINK("https://app.hubspot.com/contacts/8748051/record/0-2/18382803000", 18382803000)</f>
        <v>18382803000</v>
      </c>
      <c r="N1168" s="24" t="s">
        <v>6190</v>
      </c>
      <c r="O1168" s="34"/>
      <c r="P1168" s="34"/>
      <c r="Q1168" s="34"/>
      <c r="R1168" s="34"/>
      <c r="S1168" s="34"/>
      <c r="T1168" s="34" t="str">
        <f t="shared" ref="T1168:V1168" si="1173">IF(G1168&lt;&gt;"","Yes","")</f>
        <v>Yes</v>
      </c>
      <c r="U1168" s="34" t="str">
        <f t="shared" si="1173"/>
        <v/>
      </c>
      <c r="V1168" s="34" t="str">
        <f t="shared" si="1173"/>
        <v/>
      </c>
      <c r="W1168" s="34" t="str">
        <f t="shared" si="3"/>
        <v/>
      </c>
      <c r="X1168" s="24" t="str">
        <f t="shared" si="4"/>
        <v/>
      </c>
    </row>
    <row r="1169" ht="14.25" customHeight="1">
      <c r="A1169" s="33">
        <f>HYPERLINK("https://app.hubspot.com/contacts/8748051/record/0-1/21982700096", 21982700096)</f>
        <v>21982700096</v>
      </c>
      <c r="B1169" s="24" t="s">
        <v>6191</v>
      </c>
      <c r="C1169" s="34"/>
      <c r="D1169" s="24" t="s">
        <v>6192</v>
      </c>
      <c r="E1169" s="28" t="s">
        <v>1723</v>
      </c>
      <c r="F1169" s="34"/>
      <c r="G1169" s="35">
        <v>45429.0</v>
      </c>
      <c r="H1169" s="35">
        <v>45435.0</v>
      </c>
      <c r="I1169" s="34"/>
      <c r="J1169" s="34"/>
      <c r="K1169" s="34"/>
      <c r="L1169" s="34"/>
      <c r="M1169" s="33">
        <f>HYPERLINK("https://app.hubspot.com/contacts/8748051/record/0-2/7648495778", 7648495778)</f>
        <v>7648495778</v>
      </c>
      <c r="N1169" s="24" t="s">
        <v>1722</v>
      </c>
      <c r="O1169" s="33">
        <f>HYPERLINK("https://app.hubspot.com/contacts/8748051/record/0-3/19518082666", 19518082666)</f>
        <v>19518082666</v>
      </c>
      <c r="P1169" s="24" t="s">
        <v>1721</v>
      </c>
      <c r="Q1169" s="24" t="s">
        <v>73</v>
      </c>
      <c r="R1169" s="24">
        <v>7200.0</v>
      </c>
      <c r="S1169" s="34"/>
      <c r="T1169" s="34" t="str">
        <f t="shared" ref="T1169:V1169" si="1174">IF(G1169&lt;&gt;"","Yes","")</f>
        <v>Yes</v>
      </c>
      <c r="U1169" s="34" t="str">
        <f t="shared" si="1174"/>
        <v>Yes</v>
      </c>
      <c r="V1169" s="34" t="str">
        <f t="shared" si="1174"/>
        <v/>
      </c>
      <c r="W1169" s="34" t="str">
        <f t="shared" si="3"/>
        <v/>
      </c>
      <c r="X1169" s="24" t="str">
        <f t="shared" si="4"/>
        <v/>
      </c>
    </row>
    <row r="1170" ht="14.25" customHeight="1">
      <c r="A1170" s="33">
        <f>HYPERLINK("https://app.hubspot.com/contacts/8748051/record/0-1/22345554706", 22345554706)</f>
        <v>22345554706</v>
      </c>
      <c r="B1170" s="24" t="s">
        <v>6193</v>
      </c>
      <c r="C1170" s="34"/>
      <c r="D1170" s="24" t="s">
        <v>6194</v>
      </c>
      <c r="E1170" s="28" t="s">
        <v>1677</v>
      </c>
      <c r="F1170" s="34"/>
      <c r="G1170" s="35">
        <v>45430.0</v>
      </c>
      <c r="H1170" s="35">
        <v>45448.0</v>
      </c>
      <c r="I1170" s="34"/>
      <c r="J1170" s="34"/>
      <c r="K1170" s="34"/>
      <c r="L1170" s="34"/>
      <c r="M1170" s="33">
        <f>HYPERLINK("https://app.hubspot.com/contacts/8748051/record/0-2/8983202742", 8983202742)</f>
        <v>8983202742</v>
      </c>
      <c r="N1170" s="24" t="s">
        <v>1676</v>
      </c>
      <c r="O1170" s="33">
        <f>HYPERLINK("https://app.hubspot.com/contacts/8748051/record/0-3/19877857027", 19877857027)</f>
        <v>19877857027</v>
      </c>
      <c r="P1170" s="24" t="s">
        <v>1675</v>
      </c>
      <c r="Q1170" s="24" t="s">
        <v>73</v>
      </c>
      <c r="R1170" s="24">
        <v>19920.0</v>
      </c>
      <c r="S1170" s="34"/>
      <c r="T1170" s="34" t="str">
        <f t="shared" ref="T1170:V1170" si="1175">IF(G1170&lt;&gt;"","Yes","")</f>
        <v>Yes</v>
      </c>
      <c r="U1170" s="34" t="str">
        <f t="shared" si="1175"/>
        <v>Yes</v>
      </c>
      <c r="V1170" s="34" t="str">
        <f t="shared" si="1175"/>
        <v/>
      </c>
      <c r="W1170" s="34" t="str">
        <f t="shared" si="3"/>
        <v/>
      </c>
      <c r="X1170" s="24" t="str">
        <f t="shared" si="4"/>
        <v/>
      </c>
    </row>
    <row r="1171" ht="14.25" customHeight="1">
      <c r="A1171" s="33">
        <f>HYPERLINK("https://app.hubspot.com/contacts/8748051/record/0-1/22466264214", 22466264214)</f>
        <v>22466264214</v>
      </c>
      <c r="B1171" s="24" t="s">
        <v>6195</v>
      </c>
      <c r="C1171" s="34"/>
      <c r="D1171" s="24" t="s">
        <v>6196</v>
      </c>
      <c r="E1171" s="28" t="s">
        <v>6197</v>
      </c>
      <c r="F1171" s="34"/>
      <c r="G1171" s="35">
        <v>45430.0</v>
      </c>
      <c r="H1171" s="34"/>
      <c r="I1171" s="34"/>
      <c r="J1171" s="34"/>
      <c r="K1171" s="34"/>
      <c r="L1171" s="34"/>
      <c r="M1171" s="33">
        <f>HYPERLINK("https://app.hubspot.com/contacts/8748051/record/0-2/19176694815", 19176694815)</f>
        <v>19176694815</v>
      </c>
      <c r="N1171" s="24" t="s">
        <v>6198</v>
      </c>
      <c r="O1171" s="34"/>
      <c r="P1171" s="34"/>
      <c r="Q1171" s="34"/>
      <c r="R1171" s="34"/>
      <c r="S1171" s="34"/>
      <c r="T1171" s="34" t="str">
        <f t="shared" ref="T1171:V1171" si="1176">IF(G1171&lt;&gt;"","Yes","")</f>
        <v>Yes</v>
      </c>
      <c r="U1171" s="34" t="str">
        <f t="shared" si="1176"/>
        <v/>
      </c>
      <c r="V1171" s="34" t="str">
        <f t="shared" si="1176"/>
        <v/>
      </c>
      <c r="W1171" s="34" t="str">
        <f t="shared" si="3"/>
        <v/>
      </c>
      <c r="X1171" s="24" t="str">
        <f t="shared" si="4"/>
        <v/>
      </c>
    </row>
    <row r="1172" ht="14.25" customHeight="1">
      <c r="A1172" s="33">
        <f>HYPERLINK("https://app.hubspot.com/contacts/8748051/record/0-1/22494081699", 22494081699)</f>
        <v>22494081699</v>
      </c>
      <c r="B1172" s="24" t="s">
        <v>6199</v>
      </c>
      <c r="C1172" s="34"/>
      <c r="D1172" s="24" t="s">
        <v>6200</v>
      </c>
      <c r="E1172" s="28" t="s">
        <v>1680</v>
      </c>
      <c r="F1172" s="34"/>
      <c r="G1172" s="35">
        <v>45432.0</v>
      </c>
      <c r="H1172" s="35">
        <v>45447.0</v>
      </c>
      <c r="I1172" s="35">
        <v>45447.0</v>
      </c>
      <c r="J1172" s="34"/>
      <c r="K1172" s="34"/>
      <c r="L1172" s="34"/>
      <c r="M1172" s="33">
        <f>HYPERLINK("https://app.hubspot.com/contacts/8748051/record/0-2/7862967926", 7862967926)</f>
        <v>7862967926</v>
      </c>
      <c r="N1172" s="24" t="s">
        <v>1679</v>
      </c>
      <c r="O1172" s="33">
        <f>HYPERLINK("https://app.hubspot.com/contacts/8748051/record/0-3/19832205078", 19832205078)</f>
        <v>19832205078</v>
      </c>
      <c r="P1172" s="24" t="s">
        <v>1678</v>
      </c>
      <c r="Q1172" s="24" t="s">
        <v>127</v>
      </c>
      <c r="R1172" s="24">
        <v>29520.0</v>
      </c>
      <c r="S1172" s="24" t="b">
        <v>1</v>
      </c>
      <c r="T1172" s="34" t="str">
        <f t="shared" ref="T1172:V1172" si="1177">IF(G1172&lt;&gt;"","Yes","")</f>
        <v>Yes</v>
      </c>
      <c r="U1172" s="34" t="str">
        <f t="shared" si="1177"/>
        <v>Yes</v>
      </c>
      <c r="V1172" s="34" t="str">
        <f t="shared" si="1177"/>
        <v>Yes</v>
      </c>
      <c r="W1172" s="34" t="str">
        <f t="shared" si="3"/>
        <v/>
      </c>
      <c r="X1172" s="24" t="str">
        <f t="shared" si="4"/>
        <v/>
      </c>
    </row>
    <row r="1173" ht="14.25" customHeight="1">
      <c r="A1173" s="33">
        <f>HYPERLINK("https://app.hubspot.com/contacts/8748051/record/0-1/22592376863", 22592376863)</f>
        <v>22592376863</v>
      </c>
      <c r="B1173" s="24" t="s">
        <v>6201</v>
      </c>
      <c r="C1173" s="34"/>
      <c r="D1173" s="24" t="s">
        <v>6202</v>
      </c>
      <c r="E1173" s="28" t="s">
        <v>6203</v>
      </c>
      <c r="F1173" s="34"/>
      <c r="G1173" s="35">
        <v>45431.0</v>
      </c>
      <c r="H1173" s="34"/>
      <c r="I1173" s="34"/>
      <c r="J1173" s="34"/>
      <c r="K1173" s="34"/>
      <c r="L1173" s="34"/>
      <c r="M1173" s="33">
        <f>HYPERLINK("https://app.hubspot.com/contacts/8748051/record/0-2/9186892643", 9186892643)</f>
        <v>9186892643</v>
      </c>
      <c r="N1173" s="24" t="s">
        <v>6204</v>
      </c>
      <c r="O1173" s="34"/>
      <c r="P1173" s="34"/>
      <c r="Q1173" s="34"/>
      <c r="R1173" s="34"/>
      <c r="S1173" s="34"/>
      <c r="T1173" s="34" t="str">
        <f t="shared" ref="T1173:V1173" si="1178">IF(G1173&lt;&gt;"","Yes","")</f>
        <v>Yes</v>
      </c>
      <c r="U1173" s="34" t="str">
        <f t="shared" si="1178"/>
        <v/>
      </c>
      <c r="V1173" s="34" t="str">
        <f t="shared" si="1178"/>
        <v/>
      </c>
      <c r="W1173" s="34" t="str">
        <f t="shared" si="3"/>
        <v/>
      </c>
      <c r="X1173" s="24" t="str">
        <f t="shared" si="4"/>
        <v/>
      </c>
    </row>
    <row r="1174" ht="14.25" customHeight="1">
      <c r="A1174" s="33">
        <f>HYPERLINK("https://app.hubspot.com/contacts/8748051/record/0-1/22666084729", 22666084729)</f>
        <v>22666084729</v>
      </c>
      <c r="B1174" s="24" t="s">
        <v>6205</v>
      </c>
      <c r="C1174" s="34"/>
      <c r="D1174" s="24" t="s">
        <v>6206</v>
      </c>
      <c r="E1174" s="28" t="s">
        <v>596</v>
      </c>
      <c r="F1174" s="34"/>
      <c r="G1174" s="35">
        <v>45432.0</v>
      </c>
      <c r="H1174" s="35">
        <v>45453.0</v>
      </c>
      <c r="I1174" s="35">
        <v>45453.0</v>
      </c>
      <c r="J1174" s="34"/>
      <c r="K1174" s="34"/>
      <c r="L1174" s="34"/>
      <c r="M1174" s="33">
        <f>HYPERLINK("https://app.hubspot.com/contacts/8748051/record/0-2/7655953081", 7655953081)</f>
        <v>7655953081</v>
      </c>
      <c r="N1174" s="24" t="s">
        <v>595</v>
      </c>
      <c r="O1174" s="33">
        <f>HYPERLINK("https://app.hubspot.com/contacts/8748051/record/0-3/19983616576", 19983616576)</f>
        <v>19983616576</v>
      </c>
      <c r="P1174" s="24" t="s">
        <v>593</v>
      </c>
      <c r="Q1174" s="24" t="s">
        <v>73</v>
      </c>
      <c r="R1174" s="24">
        <v>44400.0</v>
      </c>
      <c r="S1174" s="34"/>
      <c r="T1174" s="34" t="str">
        <f t="shared" ref="T1174:V1174" si="1179">IF(G1174&lt;&gt;"","Yes","")</f>
        <v>Yes</v>
      </c>
      <c r="U1174" s="34" t="str">
        <f t="shared" si="1179"/>
        <v>Yes</v>
      </c>
      <c r="V1174" s="34" t="str">
        <f t="shared" si="1179"/>
        <v>Yes</v>
      </c>
      <c r="W1174" s="34" t="str">
        <f t="shared" si="3"/>
        <v/>
      </c>
      <c r="X1174" s="24" t="str">
        <f t="shared" si="4"/>
        <v/>
      </c>
    </row>
    <row r="1175" ht="14.25" customHeight="1">
      <c r="A1175" s="33">
        <f>HYPERLINK("https://app.hubspot.com/contacts/8748051/record/0-1/22782048653", 22782048653)</f>
        <v>22782048653</v>
      </c>
      <c r="B1175" s="24" t="s">
        <v>6207</v>
      </c>
      <c r="C1175" s="34"/>
      <c r="D1175" s="24" t="s">
        <v>6208</v>
      </c>
      <c r="E1175" s="28" t="s">
        <v>6209</v>
      </c>
      <c r="F1175" s="34"/>
      <c r="G1175" s="35">
        <v>45432.0</v>
      </c>
      <c r="H1175" s="34"/>
      <c r="I1175" s="34"/>
      <c r="J1175" s="34"/>
      <c r="K1175" s="34"/>
      <c r="L1175" s="34"/>
      <c r="M1175" s="33">
        <f>HYPERLINK("https://app.hubspot.com/contacts/8748051/record/0-2/9361006752", 9361006752)</f>
        <v>9361006752</v>
      </c>
      <c r="N1175" s="24" t="s">
        <v>6210</v>
      </c>
      <c r="O1175" s="34"/>
      <c r="P1175" s="34"/>
      <c r="Q1175" s="34"/>
      <c r="R1175" s="34"/>
      <c r="S1175" s="34"/>
      <c r="T1175" s="34" t="str">
        <f t="shared" ref="T1175:V1175" si="1180">IF(G1175&lt;&gt;"","Yes","")</f>
        <v>Yes</v>
      </c>
      <c r="U1175" s="34" t="str">
        <f t="shared" si="1180"/>
        <v/>
      </c>
      <c r="V1175" s="34" t="str">
        <f t="shared" si="1180"/>
        <v/>
      </c>
      <c r="W1175" s="34" t="str">
        <f t="shared" si="3"/>
        <v/>
      </c>
      <c r="X1175" s="24" t="str">
        <f t="shared" si="4"/>
        <v/>
      </c>
    </row>
    <row r="1176" ht="14.25" customHeight="1">
      <c r="A1176" s="33">
        <f>HYPERLINK("https://app.hubspot.com/contacts/8748051/record/0-1/22810820018", 22810820018)</f>
        <v>22810820018</v>
      </c>
      <c r="B1176" s="24" t="s">
        <v>6211</v>
      </c>
      <c r="C1176" s="34"/>
      <c r="D1176" s="24" t="s">
        <v>6212</v>
      </c>
      <c r="E1176" s="28" t="s">
        <v>1223</v>
      </c>
      <c r="F1176" s="34"/>
      <c r="G1176" s="35">
        <v>45432.0</v>
      </c>
      <c r="H1176" s="34"/>
      <c r="I1176" s="34"/>
      <c r="J1176" s="34"/>
      <c r="K1176" s="34"/>
      <c r="L1176" s="34"/>
      <c r="M1176" s="33">
        <f>HYPERLINK("https://app.hubspot.com/contacts/8748051/record/0-2/19177041309", 19177041309)</f>
        <v>19177041309</v>
      </c>
      <c r="N1176" s="24" t="s">
        <v>1222</v>
      </c>
      <c r="O1176" s="34"/>
      <c r="P1176" s="34"/>
      <c r="Q1176" s="34"/>
      <c r="R1176" s="34"/>
      <c r="S1176" s="34"/>
      <c r="T1176" s="34" t="str">
        <f t="shared" ref="T1176:V1176" si="1181">IF(G1176&lt;&gt;"","Yes","")</f>
        <v>Yes</v>
      </c>
      <c r="U1176" s="34" t="str">
        <f t="shared" si="1181"/>
        <v/>
      </c>
      <c r="V1176" s="34" t="str">
        <f t="shared" si="1181"/>
        <v/>
      </c>
      <c r="W1176" s="34" t="str">
        <f t="shared" si="3"/>
        <v/>
      </c>
      <c r="X1176" s="24" t="str">
        <f t="shared" si="4"/>
        <v/>
      </c>
    </row>
    <row r="1177" ht="14.25" customHeight="1">
      <c r="A1177" s="33">
        <f>HYPERLINK("https://app.hubspot.com/contacts/8748051/record/0-1/22889990562", 22889990562)</f>
        <v>22889990562</v>
      </c>
      <c r="B1177" s="24" t="s">
        <v>6213</v>
      </c>
      <c r="C1177" s="34"/>
      <c r="D1177" s="24" t="s">
        <v>6214</v>
      </c>
      <c r="E1177" s="28" t="s">
        <v>1714</v>
      </c>
      <c r="F1177" s="34"/>
      <c r="G1177" s="35">
        <v>45432.0</v>
      </c>
      <c r="H1177" s="35">
        <v>45435.0</v>
      </c>
      <c r="I1177" s="35">
        <v>45435.0</v>
      </c>
      <c r="J1177" s="34"/>
      <c r="K1177" s="34"/>
      <c r="L1177" s="34"/>
      <c r="M1177" s="33">
        <f>HYPERLINK("https://app.hubspot.com/contacts/8748051/record/0-2/8096886339", 8096886339)</f>
        <v>8096886339</v>
      </c>
      <c r="N1177" s="28" t="s">
        <v>1713</v>
      </c>
      <c r="O1177" s="33">
        <f>HYPERLINK("https://app.hubspot.com/contacts/8748051/record/0-3/19553200478", 19553200478)</f>
        <v>19553200478</v>
      </c>
      <c r="P1177" s="24" t="s">
        <v>1712</v>
      </c>
      <c r="Q1177" s="24" t="s">
        <v>73</v>
      </c>
      <c r="R1177" s="24">
        <v>44640.0</v>
      </c>
      <c r="S1177" s="34"/>
      <c r="T1177" s="34" t="str">
        <f t="shared" ref="T1177:V1177" si="1182">IF(G1177&lt;&gt;"","Yes","")</f>
        <v>Yes</v>
      </c>
      <c r="U1177" s="34" t="str">
        <f t="shared" si="1182"/>
        <v>Yes</v>
      </c>
      <c r="V1177" s="34" t="str">
        <f t="shared" si="1182"/>
        <v>Yes</v>
      </c>
      <c r="W1177" s="34" t="str">
        <f t="shared" si="3"/>
        <v/>
      </c>
      <c r="X1177" s="24" t="str">
        <f t="shared" si="4"/>
        <v/>
      </c>
    </row>
    <row r="1178" ht="14.25" customHeight="1">
      <c r="A1178" s="33">
        <f>HYPERLINK("https://app.hubspot.com/contacts/8748051/record/0-1/22906436786", 22906436786)</f>
        <v>22906436786</v>
      </c>
      <c r="B1178" s="24" t="s">
        <v>6215</v>
      </c>
      <c r="C1178" s="34"/>
      <c r="D1178" s="24" t="s">
        <v>6216</v>
      </c>
      <c r="E1178" s="28" t="s">
        <v>6217</v>
      </c>
      <c r="F1178" s="34"/>
      <c r="G1178" s="35">
        <v>45432.0</v>
      </c>
      <c r="H1178" s="34"/>
      <c r="I1178" s="34"/>
      <c r="J1178" s="34"/>
      <c r="K1178" s="34"/>
      <c r="L1178" s="34"/>
      <c r="M1178" s="33">
        <f>HYPERLINK("https://app.hubspot.com/contacts/8748051/record/0-2/14811412559", 14811412559)</f>
        <v>14811412559</v>
      </c>
      <c r="N1178" s="24" t="s">
        <v>6218</v>
      </c>
      <c r="O1178" s="34"/>
      <c r="P1178" s="34"/>
      <c r="Q1178" s="34"/>
      <c r="R1178" s="34"/>
      <c r="S1178" s="34"/>
      <c r="T1178" s="34" t="str">
        <f t="shared" ref="T1178:V1178" si="1183">IF(G1178&lt;&gt;"","Yes","")</f>
        <v>Yes</v>
      </c>
      <c r="U1178" s="34" t="str">
        <f t="shared" si="1183"/>
        <v/>
      </c>
      <c r="V1178" s="34" t="str">
        <f t="shared" si="1183"/>
        <v/>
      </c>
      <c r="W1178" s="34" t="str">
        <f t="shared" si="3"/>
        <v/>
      </c>
      <c r="X1178" s="24" t="str">
        <f t="shared" si="4"/>
        <v/>
      </c>
    </row>
    <row r="1179" ht="14.25" customHeight="1">
      <c r="A1179" s="33">
        <f>HYPERLINK("https://app.hubspot.com/contacts/8748051/record/0-1/22915018542", 22915018542)</f>
        <v>22915018542</v>
      </c>
      <c r="B1179" s="24" t="s">
        <v>6219</v>
      </c>
      <c r="C1179" s="34"/>
      <c r="D1179" s="24" t="s">
        <v>6220</v>
      </c>
      <c r="E1179" s="28" t="s">
        <v>6221</v>
      </c>
      <c r="F1179" s="34"/>
      <c r="G1179" s="35">
        <v>45432.0</v>
      </c>
      <c r="H1179" s="34"/>
      <c r="I1179" s="34"/>
      <c r="J1179" s="34"/>
      <c r="K1179" s="34"/>
      <c r="L1179" s="34"/>
      <c r="M1179" s="33">
        <f>HYPERLINK("https://app.hubspot.com/contacts/8748051/record/0-2/7502183952", 7502183952)</f>
        <v>7502183952</v>
      </c>
      <c r="N1179" s="24" t="s">
        <v>6222</v>
      </c>
      <c r="O1179" s="34"/>
      <c r="P1179" s="34"/>
      <c r="Q1179" s="34"/>
      <c r="R1179" s="34"/>
      <c r="S1179" s="34"/>
      <c r="T1179" s="34" t="str">
        <f t="shared" ref="T1179:V1179" si="1184">IF(G1179&lt;&gt;"","Yes","")</f>
        <v>Yes</v>
      </c>
      <c r="U1179" s="34" t="str">
        <f t="shared" si="1184"/>
        <v/>
      </c>
      <c r="V1179" s="34" t="str">
        <f t="shared" si="1184"/>
        <v/>
      </c>
      <c r="W1179" s="34" t="str">
        <f t="shared" si="3"/>
        <v/>
      </c>
      <c r="X1179" s="24" t="str">
        <f t="shared" si="4"/>
        <v/>
      </c>
    </row>
    <row r="1180" ht="14.25" customHeight="1">
      <c r="A1180" s="33">
        <f>HYPERLINK("https://app.hubspot.com/contacts/8748051/record/0-1/22941511501", 22941511501)</f>
        <v>22941511501</v>
      </c>
      <c r="B1180" s="24" t="s">
        <v>6223</v>
      </c>
      <c r="C1180" s="34"/>
      <c r="D1180" s="24" t="s">
        <v>6224</v>
      </c>
      <c r="E1180" s="28" t="s">
        <v>1708</v>
      </c>
      <c r="F1180" s="34"/>
      <c r="G1180" s="35">
        <v>45433.0</v>
      </c>
      <c r="H1180" s="35">
        <v>45441.0</v>
      </c>
      <c r="I1180" s="35">
        <v>45435.0</v>
      </c>
      <c r="J1180" s="34"/>
      <c r="K1180" s="34"/>
      <c r="L1180" s="34"/>
      <c r="M1180" s="33">
        <f>HYPERLINK("https://app.hubspot.com/contacts/8748051/record/0-2/8990615352", 8990615352)</f>
        <v>8990615352</v>
      </c>
      <c r="N1180" s="24" t="s">
        <v>1707</v>
      </c>
      <c r="O1180" s="33">
        <f>HYPERLINK("https://app.hubspot.com/contacts/8748051/record/0-3/19563841131", 19563841131)</f>
        <v>19563841131</v>
      </c>
      <c r="P1180" s="24" t="s">
        <v>1706</v>
      </c>
      <c r="Q1180" s="24" t="s">
        <v>73</v>
      </c>
      <c r="R1180" s="24">
        <v>3120.0</v>
      </c>
      <c r="S1180" s="34"/>
      <c r="T1180" s="34" t="str">
        <f t="shared" ref="T1180:V1180" si="1185">IF(G1180&lt;&gt;"","Yes","")</f>
        <v>Yes</v>
      </c>
      <c r="U1180" s="34" t="str">
        <f t="shared" si="1185"/>
        <v>Yes</v>
      </c>
      <c r="V1180" s="34" t="str">
        <f t="shared" si="1185"/>
        <v>Yes</v>
      </c>
      <c r="W1180" s="34" t="str">
        <f t="shared" si="3"/>
        <v/>
      </c>
      <c r="X1180" s="24" t="str">
        <f t="shared" si="4"/>
        <v/>
      </c>
    </row>
    <row r="1181" ht="14.25" customHeight="1">
      <c r="A1181" s="33">
        <f>HYPERLINK("https://app.hubspot.com/contacts/8748051/record/0-1/22984584002", 22984584002)</f>
        <v>22984584002</v>
      </c>
      <c r="B1181" s="24" t="s">
        <v>6225</v>
      </c>
      <c r="C1181" s="34"/>
      <c r="D1181" s="24" t="s">
        <v>6226</v>
      </c>
      <c r="E1181" s="28" t="s">
        <v>1657</v>
      </c>
      <c r="F1181" s="34"/>
      <c r="G1181" s="35">
        <v>45433.0</v>
      </c>
      <c r="H1181" s="35">
        <v>45453.0</v>
      </c>
      <c r="I1181" s="34"/>
      <c r="J1181" s="34"/>
      <c r="K1181" s="34"/>
      <c r="L1181" s="34"/>
      <c r="M1181" s="33">
        <f>HYPERLINK("https://app.hubspot.com/contacts/8748051/record/0-2/7941783360", 7941783360)</f>
        <v>7941783360</v>
      </c>
      <c r="N1181" s="24" t="s">
        <v>1656</v>
      </c>
      <c r="O1181" s="33">
        <f>HYPERLINK("https://app.hubspot.com/contacts/8748051/record/0-3/19989811457", 19989811457)</f>
        <v>19989811457</v>
      </c>
      <c r="P1181" s="24" t="s">
        <v>1655</v>
      </c>
      <c r="Q1181" s="24" t="s">
        <v>73</v>
      </c>
      <c r="R1181" s="24">
        <v>31200.0</v>
      </c>
      <c r="S1181" s="34"/>
      <c r="T1181" s="34" t="str">
        <f t="shared" ref="T1181:V1181" si="1186">IF(G1181&lt;&gt;"","Yes","")</f>
        <v>Yes</v>
      </c>
      <c r="U1181" s="34" t="str">
        <f t="shared" si="1186"/>
        <v>Yes</v>
      </c>
      <c r="V1181" s="34" t="str">
        <f t="shared" si="1186"/>
        <v/>
      </c>
      <c r="W1181" s="34" t="str">
        <f t="shared" si="3"/>
        <v/>
      </c>
      <c r="X1181" s="24" t="str">
        <f t="shared" si="4"/>
        <v/>
      </c>
    </row>
    <row r="1182" ht="14.25" customHeight="1">
      <c r="A1182" s="33">
        <f>HYPERLINK("https://app.hubspot.com/contacts/8748051/record/0-1/22986180431", 22986180431)</f>
        <v>22986180431</v>
      </c>
      <c r="B1182" s="24" t="s">
        <v>6227</v>
      </c>
      <c r="C1182" s="34"/>
      <c r="D1182" s="24" t="s">
        <v>6228</v>
      </c>
      <c r="E1182" s="28" t="s">
        <v>1717</v>
      </c>
      <c r="F1182" s="34"/>
      <c r="G1182" s="35">
        <v>45433.0</v>
      </c>
      <c r="H1182" s="35">
        <v>45434.0</v>
      </c>
      <c r="I1182" s="35">
        <v>45434.0</v>
      </c>
      <c r="J1182" s="34"/>
      <c r="K1182" s="34"/>
      <c r="L1182" s="34"/>
      <c r="M1182" s="33">
        <f>HYPERLINK("https://app.hubspot.com/contacts/8748051/record/0-2/19176594795", 19176594795)</f>
        <v>19176594795</v>
      </c>
      <c r="N1182" s="24" t="s">
        <v>1716</v>
      </c>
      <c r="O1182" s="33">
        <f>HYPERLINK("https://app.hubspot.com/contacts/8748051/record/0-3/19541444764", 19541444764)</f>
        <v>19541444764</v>
      </c>
      <c r="P1182" s="24" t="s">
        <v>1715</v>
      </c>
      <c r="Q1182" s="24" t="s">
        <v>73</v>
      </c>
      <c r="R1182" s="24">
        <v>18480.0</v>
      </c>
      <c r="S1182" s="34"/>
      <c r="T1182" s="34" t="str">
        <f t="shared" ref="T1182:V1182" si="1187">IF(G1182&lt;&gt;"","Yes","")</f>
        <v>Yes</v>
      </c>
      <c r="U1182" s="34" t="str">
        <f t="shared" si="1187"/>
        <v>Yes</v>
      </c>
      <c r="V1182" s="34" t="str">
        <f t="shared" si="1187"/>
        <v>Yes</v>
      </c>
      <c r="W1182" s="34" t="str">
        <f t="shared" si="3"/>
        <v/>
      </c>
      <c r="X1182" s="24" t="str">
        <f t="shared" si="4"/>
        <v/>
      </c>
    </row>
    <row r="1183" ht="14.25" customHeight="1">
      <c r="A1183" s="33">
        <f>HYPERLINK("https://app.hubspot.com/contacts/8748051/record/0-1/23376761631", 23376761631)</f>
        <v>23376761631</v>
      </c>
      <c r="B1183" s="24" t="s">
        <v>6229</v>
      </c>
      <c r="C1183" s="34"/>
      <c r="D1183" s="24" t="s">
        <v>6230</v>
      </c>
      <c r="E1183" s="28" t="s">
        <v>1608</v>
      </c>
      <c r="F1183" s="34"/>
      <c r="G1183" s="35">
        <v>45441.0</v>
      </c>
      <c r="H1183" s="35">
        <v>45464.0</v>
      </c>
      <c r="I1183" s="34"/>
      <c r="J1183" s="34"/>
      <c r="K1183" s="34"/>
      <c r="L1183" s="34"/>
      <c r="M1183" s="33">
        <f>HYPERLINK("https://app.hubspot.com/contacts/8748051/record/0-2/19176672165", 19176672165)</f>
        <v>19176672165</v>
      </c>
      <c r="N1183" s="24" t="s">
        <v>1607</v>
      </c>
      <c r="O1183" s="33">
        <f>HYPERLINK("https://app.hubspot.com/contacts/8748051/record/0-3/20234149999", 20234149999)</f>
        <v>20234149999</v>
      </c>
      <c r="P1183" s="24" t="s">
        <v>1606</v>
      </c>
      <c r="Q1183" s="24" t="s">
        <v>73</v>
      </c>
      <c r="R1183" s="24">
        <v>6720.0</v>
      </c>
      <c r="S1183" s="34"/>
      <c r="T1183" s="34" t="str">
        <f t="shared" ref="T1183:V1183" si="1188">IF(G1183&lt;&gt;"","Yes","")</f>
        <v>Yes</v>
      </c>
      <c r="U1183" s="34" t="str">
        <f t="shared" si="1188"/>
        <v>Yes</v>
      </c>
      <c r="V1183" s="34" t="str">
        <f t="shared" si="1188"/>
        <v/>
      </c>
      <c r="W1183" s="34" t="str">
        <f t="shared" si="3"/>
        <v/>
      </c>
      <c r="X1183" s="24" t="str">
        <f t="shared" si="4"/>
        <v/>
      </c>
    </row>
    <row r="1184" ht="14.25" customHeight="1">
      <c r="A1184" s="33">
        <f>HYPERLINK("https://app.hubspot.com/contacts/8748051/record/0-1/23555202354", 23555202354)</f>
        <v>23555202354</v>
      </c>
      <c r="B1184" s="24" t="s">
        <v>6231</v>
      </c>
      <c r="C1184" s="34"/>
      <c r="D1184" s="24" t="s">
        <v>6232</v>
      </c>
      <c r="E1184" s="28" t="s">
        <v>1645</v>
      </c>
      <c r="F1184" s="34"/>
      <c r="G1184" s="35">
        <v>45435.0</v>
      </c>
      <c r="H1184" s="35">
        <v>45455.0</v>
      </c>
      <c r="I1184" s="35">
        <v>45455.0</v>
      </c>
      <c r="J1184" s="34"/>
      <c r="K1184" s="34"/>
      <c r="L1184" s="34"/>
      <c r="M1184" s="33">
        <f>HYPERLINK("https://app.hubspot.com/contacts/8748051/record/0-2/9186989080", 9186989080)</f>
        <v>9186989080</v>
      </c>
      <c r="N1184" s="24" t="s">
        <v>1644</v>
      </c>
      <c r="O1184" s="33">
        <f>HYPERLINK("https://app.hubspot.com/contacts/8748051/record/0-3/20028993888", 20028993888)</f>
        <v>20028993888</v>
      </c>
      <c r="P1184" s="24" t="s">
        <v>1643</v>
      </c>
      <c r="Q1184" s="24" t="s">
        <v>127</v>
      </c>
      <c r="R1184" s="24">
        <v>20000.0</v>
      </c>
      <c r="S1184" s="24" t="b">
        <v>1</v>
      </c>
      <c r="T1184" s="34" t="str">
        <f t="shared" ref="T1184:V1184" si="1189">IF(G1184&lt;&gt;"","Yes","")</f>
        <v>Yes</v>
      </c>
      <c r="U1184" s="34" t="str">
        <f t="shared" si="1189"/>
        <v>Yes</v>
      </c>
      <c r="V1184" s="34" t="str">
        <f t="shared" si="1189"/>
        <v>Yes</v>
      </c>
      <c r="W1184" s="34" t="str">
        <f t="shared" si="3"/>
        <v/>
      </c>
      <c r="X1184" s="24" t="str">
        <f t="shared" si="4"/>
        <v/>
      </c>
    </row>
    <row r="1185" ht="14.25" customHeight="1">
      <c r="A1185" s="33">
        <f>HYPERLINK("https://app.hubspot.com/contacts/8748051/record/0-1/23583354490", 23583354490)</f>
        <v>23583354490</v>
      </c>
      <c r="B1185" s="24" t="s">
        <v>6233</v>
      </c>
      <c r="C1185" s="34"/>
      <c r="D1185" s="24" t="s">
        <v>6234</v>
      </c>
      <c r="E1185" s="28" t="s">
        <v>6235</v>
      </c>
      <c r="F1185" s="34"/>
      <c r="G1185" s="35">
        <v>45435.0</v>
      </c>
      <c r="H1185" s="34"/>
      <c r="I1185" s="34"/>
      <c r="J1185" s="34"/>
      <c r="K1185" s="34"/>
      <c r="L1185" s="34"/>
      <c r="M1185" s="33">
        <f>HYPERLINK("https://app.hubspot.com/contacts/8748051/record/0-2/9132302950", 9132302950)</f>
        <v>9132302950</v>
      </c>
      <c r="N1185" s="24" t="s">
        <v>6236</v>
      </c>
      <c r="O1185" s="34"/>
      <c r="P1185" s="34"/>
      <c r="Q1185" s="34"/>
      <c r="R1185" s="34"/>
      <c r="S1185" s="34"/>
      <c r="T1185" s="34" t="str">
        <f t="shared" ref="T1185:V1185" si="1190">IF(G1185&lt;&gt;"","Yes","")</f>
        <v>Yes</v>
      </c>
      <c r="U1185" s="34" t="str">
        <f t="shared" si="1190"/>
        <v/>
      </c>
      <c r="V1185" s="34" t="str">
        <f t="shared" si="1190"/>
        <v/>
      </c>
      <c r="W1185" s="34" t="str">
        <f t="shared" si="3"/>
        <v/>
      </c>
      <c r="X1185" s="24" t="str">
        <f t="shared" si="4"/>
        <v/>
      </c>
    </row>
    <row r="1186" ht="14.25" customHeight="1">
      <c r="A1186" s="33">
        <f>HYPERLINK("https://app.hubspot.com/contacts/8748051/record/0-1/23588258315", 23588258315)</f>
        <v>23588258315</v>
      </c>
      <c r="B1186" s="24" t="s">
        <v>6237</v>
      </c>
      <c r="C1186" s="34"/>
      <c r="D1186" s="24" t="s">
        <v>6238</v>
      </c>
      <c r="E1186" s="28" t="s">
        <v>1696</v>
      </c>
      <c r="F1186" s="34"/>
      <c r="G1186" s="35">
        <v>45435.0</v>
      </c>
      <c r="H1186" s="35">
        <v>45442.0</v>
      </c>
      <c r="I1186" s="35">
        <v>45442.0</v>
      </c>
      <c r="J1186" s="34"/>
      <c r="K1186" s="34"/>
      <c r="L1186" s="34"/>
      <c r="M1186" s="33">
        <f>HYPERLINK("https://app.hubspot.com/contacts/8748051/record/0-2/14809894517", 14809894517)</f>
        <v>14809894517</v>
      </c>
      <c r="N1186" s="24" t="s">
        <v>1695</v>
      </c>
      <c r="O1186" s="33">
        <f>HYPERLINK("https://app.hubspot.com/contacts/8748051/record/0-3/19648590372", 19648590372)</f>
        <v>19648590372</v>
      </c>
      <c r="P1186" s="24" t="s">
        <v>1694</v>
      </c>
      <c r="Q1186" s="24" t="s">
        <v>73</v>
      </c>
      <c r="R1186" s="24">
        <v>40800.0</v>
      </c>
      <c r="S1186" s="34"/>
      <c r="T1186" s="34" t="str">
        <f t="shared" ref="T1186:V1186" si="1191">IF(G1186&lt;&gt;"","Yes","")</f>
        <v>Yes</v>
      </c>
      <c r="U1186" s="34" t="str">
        <f t="shared" si="1191"/>
        <v>Yes</v>
      </c>
      <c r="V1186" s="34" t="str">
        <f t="shared" si="1191"/>
        <v>Yes</v>
      </c>
      <c r="W1186" s="34" t="str">
        <f t="shared" si="3"/>
        <v/>
      </c>
      <c r="X1186" s="24" t="str">
        <f t="shared" si="4"/>
        <v/>
      </c>
    </row>
    <row r="1187" ht="14.25" customHeight="1">
      <c r="A1187" s="33">
        <f>HYPERLINK("https://app.hubspot.com/contacts/8748051/record/0-1/23668021778", 23668021778)</f>
        <v>23668021778</v>
      </c>
      <c r="B1187" s="24" t="s">
        <v>6239</v>
      </c>
      <c r="C1187" s="34"/>
      <c r="D1187" s="24" t="s">
        <v>6240</v>
      </c>
      <c r="E1187" s="28" t="s">
        <v>1361</v>
      </c>
      <c r="F1187" s="34"/>
      <c r="G1187" s="35">
        <v>45435.0</v>
      </c>
      <c r="H1187" s="34"/>
      <c r="I1187" s="34"/>
      <c r="J1187" s="34"/>
      <c r="K1187" s="34"/>
      <c r="L1187" s="34"/>
      <c r="M1187" s="33">
        <f>HYPERLINK("https://app.hubspot.com/contacts/8748051/record/0-2/6266336884", 6266336884)</f>
        <v>6266336884</v>
      </c>
      <c r="N1187" s="24" t="s">
        <v>1360</v>
      </c>
      <c r="O1187" s="34"/>
      <c r="P1187" s="34"/>
      <c r="Q1187" s="34"/>
      <c r="R1187" s="34"/>
      <c r="S1187" s="34"/>
      <c r="T1187" s="34" t="str">
        <f t="shared" ref="T1187:V1187" si="1192">IF(G1187&lt;&gt;"","Yes","")</f>
        <v>Yes</v>
      </c>
      <c r="U1187" s="34" t="str">
        <f t="shared" si="1192"/>
        <v/>
      </c>
      <c r="V1187" s="34" t="str">
        <f t="shared" si="1192"/>
        <v/>
      </c>
      <c r="W1187" s="34" t="str">
        <f t="shared" si="3"/>
        <v/>
      </c>
      <c r="X1187" s="24" t="str">
        <f t="shared" si="4"/>
        <v/>
      </c>
    </row>
    <row r="1188" ht="14.25" customHeight="1">
      <c r="A1188" s="33">
        <f>HYPERLINK("https://app.hubspot.com/contacts/8748051/record/0-1/23786697616", 23786697616)</f>
        <v>23786697616</v>
      </c>
      <c r="B1188" s="24" t="s">
        <v>6241</v>
      </c>
      <c r="C1188" s="34"/>
      <c r="D1188" s="24" t="s">
        <v>6242</v>
      </c>
      <c r="E1188" s="28" t="s">
        <v>5668</v>
      </c>
      <c r="F1188" s="34"/>
      <c r="G1188" s="35">
        <v>45435.0</v>
      </c>
      <c r="H1188" s="34"/>
      <c r="I1188" s="34"/>
      <c r="J1188" s="34"/>
      <c r="K1188" s="34"/>
      <c r="L1188" s="34"/>
      <c r="M1188" s="33">
        <f>HYPERLINK("https://app.hubspot.com/contacts/8748051/record/0-2/18832324162", 18832324162)</f>
        <v>18832324162</v>
      </c>
      <c r="N1188" s="24" t="s">
        <v>5669</v>
      </c>
      <c r="O1188" s="34"/>
      <c r="P1188" s="34"/>
      <c r="Q1188" s="34"/>
      <c r="R1188" s="34"/>
      <c r="S1188" s="34"/>
      <c r="T1188" s="34" t="str">
        <f t="shared" ref="T1188:V1188" si="1193">IF(G1188&lt;&gt;"","Yes","")</f>
        <v>Yes</v>
      </c>
      <c r="U1188" s="34" t="str">
        <f t="shared" si="1193"/>
        <v/>
      </c>
      <c r="V1188" s="34" t="str">
        <f t="shared" si="1193"/>
        <v/>
      </c>
      <c r="W1188" s="34" t="str">
        <f t="shared" si="3"/>
        <v/>
      </c>
      <c r="X1188" s="24" t="str">
        <f t="shared" si="4"/>
        <v/>
      </c>
    </row>
    <row r="1189" ht="14.25" customHeight="1">
      <c r="A1189" s="33">
        <f>HYPERLINK("https://app.hubspot.com/contacts/8748051/record/0-1/23806332193", 23806332193)</f>
        <v>23806332193</v>
      </c>
      <c r="B1189" s="24" t="s">
        <v>6243</v>
      </c>
      <c r="C1189" s="34"/>
      <c r="D1189" s="24" t="s">
        <v>6244</v>
      </c>
      <c r="E1189" s="28" t="s">
        <v>1651</v>
      </c>
      <c r="F1189" s="34"/>
      <c r="G1189" s="35">
        <v>45436.0</v>
      </c>
      <c r="H1189" s="35">
        <v>45464.0</v>
      </c>
      <c r="I1189" s="35">
        <v>45464.0</v>
      </c>
      <c r="J1189" s="34"/>
      <c r="K1189" s="34"/>
      <c r="L1189" s="34"/>
      <c r="M1189" s="33">
        <f>HYPERLINK("https://app.hubspot.com/contacts/8748051/record/0-2/8964769280", 8964769280)</f>
        <v>8964769280</v>
      </c>
      <c r="N1189" s="24" t="s">
        <v>1650</v>
      </c>
      <c r="O1189" s="33">
        <f>HYPERLINK("https://app.hubspot.com/contacts/8748051/record/0-3/19992876367", 19992876367)</f>
        <v>19992876367</v>
      </c>
      <c r="P1189" s="24" t="s">
        <v>1649</v>
      </c>
      <c r="Q1189" s="24" t="s">
        <v>73</v>
      </c>
      <c r="R1189" s="24">
        <v>5280.0</v>
      </c>
      <c r="S1189" s="34"/>
      <c r="T1189" s="34" t="str">
        <f t="shared" ref="T1189:V1189" si="1194">IF(G1189&lt;&gt;"","Yes","")</f>
        <v>Yes</v>
      </c>
      <c r="U1189" s="34" t="str">
        <f t="shared" si="1194"/>
        <v>Yes</v>
      </c>
      <c r="V1189" s="34" t="str">
        <f t="shared" si="1194"/>
        <v>Yes</v>
      </c>
      <c r="W1189" s="34" t="str">
        <f t="shared" si="3"/>
        <v/>
      </c>
      <c r="X1189" s="24" t="str">
        <f t="shared" si="4"/>
        <v/>
      </c>
    </row>
    <row r="1190" ht="14.25" customHeight="1">
      <c r="A1190" s="33">
        <f>HYPERLINK("https://app.hubspot.com/contacts/8748051/record/0-1/23824136013", 23824136013)</f>
        <v>23824136013</v>
      </c>
      <c r="B1190" s="24" t="s">
        <v>6245</v>
      </c>
      <c r="C1190" s="34"/>
      <c r="D1190" s="24" t="s">
        <v>6246</v>
      </c>
      <c r="E1190" s="28" t="s">
        <v>6247</v>
      </c>
      <c r="F1190" s="34"/>
      <c r="G1190" s="35">
        <v>45436.0</v>
      </c>
      <c r="H1190" s="34"/>
      <c r="I1190" s="34"/>
      <c r="J1190" s="34"/>
      <c r="K1190" s="34"/>
      <c r="L1190" s="34"/>
      <c r="M1190" s="33">
        <f>HYPERLINK("https://app.hubspot.com/contacts/8748051/record/0-2/8923291277", 8923291277)</f>
        <v>8923291277</v>
      </c>
      <c r="N1190" s="24" t="s">
        <v>6248</v>
      </c>
      <c r="O1190" s="34"/>
      <c r="P1190" s="34"/>
      <c r="Q1190" s="34"/>
      <c r="R1190" s="34"/>
      <c r="S1190" s="34"/>
      <c r="T1190" s="34" t="str">
        <f t="shared" ref="T1190:V1190" si="1195">IF(G1190&lt;&gt;"","Yes","")</f>
        <v>Yes</v>
      </c>
      <c r="U1190" s="34" t="str">
        <f t="shared" si="1195"/>
        <v/>
      </c>
      <c r="V1190" s="34" t="str">
        <f t="shared" si="1195"/>
        <v/>
      </c>
      <c r="W1190" s="34" t="str">
        <f t="shared" si="3"/>
        <v/>
      </c>
      <c r="X1190" s="24" t="str">
        <f t="shared" si="4"/>
        <v/>
      </c>
    </row>
    <row r="1191" ht="14.25" customHeight="1">
      <c r="A1191" s="33">
        <f>HYPERLINK("https://app.hubspot.com/contacts/8748051/record/0-1/23846979225", 23846979225)</f>
        <v>23846979225</v>
      </c>
      <c r="B1191" s="24" t="s">
        <v>6249</v>
      </c>
      <c r="C1191" s="34"/>
      <c r="D1191" s="24" t="s">
        <v>6250</v>
      </c>
      <c r="E1191" s="28" t="s">
        <v>6251</v>
      </c>
      <c r="F1191" s="34"/>
      <c r="G1191" s="35">
        <v>45436.0</v>
      </c>
      <c r="H1191" s="34"/>
      <c r="I1191" s="34"/>
      <c r="J1191" s="34"/>
      <c r="K1191" s="34"/>
      <c r="L1191" s="34"/>
      <c r="M1191" s="33">
        <f>HYPERLINK("https://app.hubspot.com/contacts/8748051/record/0-2/8303521622", 8303521622)</f>
        <v>8303521622</v>
      </c>
      <c r="N1191" s="24" t="s">
        <v>6252</v>
      </c>
      <c r="O1191" s="34"/>
      <c r="P1191" s="34"/>
      <c r="Q1191" s="34"/>
      <c r="R1191" s="34"/>
      <c r="S1191" s="34"/>
      <c r="T1191" s="34" t="str">
        <f t="shared" ref="T1191:V1191" si="1196">IF(G1191&lt;&gt;"","Yes","")</f>
        <v>Yes</v>
      </c>
      <c r="U1191" s="34" t="str">
        <f t="shared" si="1196"/>
        <v/>
      </c>
      <c r="V1191" s="34" t="str">
        <f t="shared" si="1196"/>
        <v/>
      </c>
      <c r="W1191" s="34" t="str">
        <f t="shared" si="3"/>
        <v/>
      </c>
      <c r="X1191" s="24" t="str">
        <f t="shared" si="4"/>
        <v/>
      </c>
    </row>
    <row r="1192" ht="14.25" customHeight="1">
      <c r="A1192" s="33">
        <f>HYPERLINK("https://app.hubspot.com/contacts/8748051/record/0-1/23861673581", 23861673581)</f>
        <v>23861673581</v>
      </c>
      <c r="B1192" s="24" t="s">
        <v>6253</v>
      </c>
      <c r="C1192" s="34"/>
      <c r="D1192" s="24" t="s">
        <v>6254</v>
      </c>
      <c r="E1192" s="28" t="s">
        <v>6255</v>
      </c>
      <c r="F1192" s="34"/>
      <c r="G1192" s="35">
        <v>45436.0</v>
      </c>
      <c r="H1192" s="34"/>
      <c r="I1192" s="34"/>
      <c r="J1192" s="34"/>
      <c r="K1192" s="34"/>
      <c r="L1192" s="34"/>
      <c r="M1192" s="33">
        <f>HYPERLINK("https://app.hubspot.com/contacts/8748051/record/0-2/13452691560", 13452691560)</f>
        <v>13452691560</v>
      </c>
      <c r="N1192" s="24" t="s">
        <v>6256</v>
      </c>
      <c r="O1192" s="34"/>
      <c r="P1192" s="34"/>
      <c r="Q1192" s="34"/>
      <c r="R1192" s="34"/>
      <c r="S1192" s="34"/>
      <c r="T1192" s="34" t="str">
        <f t="shared" ref="T1192:V1192" si="1197">IF(G1192&lt;&gt;"","Yes","")</f>
        <v>Yes</v>
      </c>
      <c r="U1192" s="34" t="str">
        <f t="shared" si="1197"/>
        <v/>
      </c>
      <c r="V1192" s="34" t="str">
        <f t="shared" si="1197"/>
        <v/>
      </c>
      <c r="W1192" s="34" t="str">
        <f t="shared" si="3"/>
        <v/>
      </c>
      <c r="X1192" s="24" t="str">
        <f t="shared" si="4"/>
        <v/>
      </c>
    </row>
    <row r="1193" ht="14.25" customHeight="1">
      <c r="A1193" s="33">
        <f>HYPERLINK("https://app.hubspot.com/contacts/8748051/record/0-1/24006408569", 24006408569)</f>
        <v>24006408569</v>
      </c>
      <c r="B1193" s="24" t="s">
        <v>6257</v>
      </c>
      <c r="C1193" s="34"/>
      <c r="D1193" s="24" t="s">
        <v>6258</v>
      </c>
      <c r="E1193" s="28" t="s">
        <v>6259</v>
      </c>
      <c r="F1193" s="34"/>
      <c r="G1193" s="35">
        <v>45436.0</v>
      </c>
      <c r="H1193" s="34"/>
      <c r="I1193" s="34"/>
      <c r="J1193" s="34"/>
      <c r="K1193" s="34"/>
      <c r="L1193" s="34"/>
      <c r="M1193" s="33">
        <f>HYPERLINK("https://app.hubspot.com/contacts/8748051/record/0-2/8471082080", 8471082080)</f>
        <v>8471082080</v>
      </c>
      <c r="N1193" s="24" t="s">
        <v>6260</v>
      </c>
      <c r="O1193" s="34"/>
      <c r="P1193" s="34"/>
      <c r="Q1193" s="34"/>
      <c r="R1193" s="34"/>
      <c r="S1193" s="34"/>
      <c r="T1193" s="34" t="str">
        <f t="shared" ref="T1193:V1193" si="1198">IF(G1193&lt;&gt;"","Yes","")</f>
        <v>Yes</v>
      </c>
      <c r="U1193" s="34" t="str">
        <f t="shared" si="1198"/>
        <v/>
      </c>
      <c r="V1193" s="34" t="str">
        <f t="shared" si="1198"/>
        <v/>
      </c>
      <c r="W1193" s="34" t="str">
        <f t="shared" si="3"/>
        <v/>
      </c>
      <c r="X1193" s="24" t="str">
        <f t="shared" si="4"/>
        <v/>
      </c>
    </row>
    <row r="1194" ht="14.25" customHeight="1">
      <c r="A1194" s="33">
        <f>HYPERLINK("https://app.hubspot.com/contacts/8748051/record/0-1/24065924400", 24065924400)</f>
        <v>24065924400</v>
      </c>
      <c r="B1194" s="24" t="s">
        <v>6261</v>
      </c>
      <c r="C1194" s="34"/>
      <c r="D1194" s="24" t="s">
        <v>6262</v>
      </c>
      <c r="E1194" s="28" t="s">
        <v>1605</v>
      </c>
      <c r="F1194" s="34"/>
      <c r="G1194" s="35">
        <v>45436.0</v>
      </c>
      <c r="H1194" s="35">
        <v>45464.0</v>
      </c>
      <c r="I1194" s="35">
        <v>45464.0</v>
      </c>
      <c r="J1194" s="34"/>
      <c r="K1194" s="34"/>
      <c r="L1194" s="34"/>
      <c r="M1194" s="33">
        <f>HYPERLINK("https://app.hubspot.com/contacts/8748051/record/0-2/19176594824", 19176594824)</f>
        <v>19176594824</v>
      </c>
      <c r="N1194" s="24" t="s">
        <v>1604</v>
      </c>
      <c r="O1194" s="33">
        <f>HYPERLINK("https://app.hubspot.com/contacts/8748051/record/0-3/20243443612", 20243443612)</f>
        <v>20243443612</v>
      </c>
      <c r="P1194" s="24" t="s">
        <v>1603</v>
      </c>
      <c r="Q1194" s="24" t="s">
        <v>73</v>
      </c>
      <c r="R1194" s="24">
        <v>7920.0</v>
      </c>
      <c r="S1194" s="34"/>
      <c r="T1194" s="34" t="str">
        <f t="shared" ref="T1194:V1194" si="1199">IF(G1194&lt;&gt;"","Yes","")</f>
        <v>Yes</v>
      </c>
      <c r="U1194" s="34" t="str">
        <f t="shared" si="1199"/>
        <v>Yes</v>
      </c>
      <c r="V1194" s="34" t="str">
        <f t="shared" si="1199"/>
        <v>Yes</v>
      </c>
      <c r="W1194" s="34" t="str">
        <f t="shared" si="3"/>
        <v/>
      </c>
      <c r="X1194" s="24" t="str">
        <f t="shared" si="4"/>
        <v/>
      </c>
    </row>
    <row r="1195" ht="14.25" customHeight="1">
      <c r="A1195" s="33">
        <f>HYPERLINK("https://app.hubspot.com/contacts/8748051/record/0-1/24181640544", 24181640544)</f>
        <v>24181640544</v>
      </c>
      <c r="B1195" s="24" t="s">
        <v>6263</v>
      </c>
      <c r="C1195" s="34"/>
      <c r="D1195" s="24" t="s">
        <v>6264</v>
      </c>
      <c r="E1195" s="28" t="s">
        <v>6265</v>
      </c>
      <c r="F1195" s="34"/>
      <c r="G1195" s="35">
        <v>45439.0</v>
      </c>
      <c r="H1195" s="34"/>
      <c r="I1195" s="34"/>
      <c r="J1195" s="34"/>
      <c r="K1195" s="34"/>
      <c r="L1195" s="34"/>
      <c r="M1195" s="33">
        <f>HYPERLINK("https://app.hubspot.com/contacts/8748051/record/0-2/19177269679", 19177269679)</f>
        <v>19177269679</v>
      </c>
      <c r="N1195" s="24" t="s">
        <v>116</v>
      </c>
      <c r="O1195" s="34"/>
      <c r="P1195" s="34"/>
      <c r="Q1195" s="34"/>
      <c r="R1195" s="34"/>
      <c r="S1195" s="34"/>
      <c r="T1195" s="34" t="str">
        <f t="shared" ref="T1195:V1195" si="1200">IF(G1195&lt;&gt;"","Yes","")</f>
        <v>Yes</v>
      </c>
      <c r="U1195" s="34" t="str">
        <f t="shared" si="1200"/>
        <v/>
      </c>
      <c r="V1195" s="34" t="str">
        <f t="shared" si="1200"/>
        <v/>
      </c>
      <c r="W1195" s="34" t="str">
        <f t="shared" si="3"/>
        <v/>
      </c>
      <c r="X1195" s="24" t="str">
        <f t="shared" si="4"/>
        <v/>
      </c>
    </row>
    <row r="1196" ht="14.25" customHeight="1">
      <c r="A1196" s="33">
        <f>HYPERLINK("https://app.hubspot.com/contacts/8748051/record/0-1/24253066156", 24253066156)</f>
        <v>24253066156</v>
      </c>
      <c r="B1196" s="24" t="s">
        <v>6266</v>
      </c>
      <c r="C1196" s="34"/>
      <c r="D1196" s="24" t="s">
        <v>6267</v>
      </c>
      <c r="E1196" s="28" t="s">
        <v>6268</v>
      </c>
      <c r="F1196" s="34"/>
      <c r="G1196" s="35">
        <v>45439.0</v>
      </c>
      <c r="H1196" s="34"/>
      <c r="I1196" s="34"/>
      <c r="J1196" s="34"/>
      <c r="K1196" s="34"/>
      <c r="L1196" s="34"/>
      <c r="M1196" s="33">
        <f>HYPERLINK("https://app.hubspot.com/contacts/8748051/record/0-2/21007717817", 21007717817)</f>
        <v>21007717817</v>
      </c>
      <c r="N1196" s="24" t="s">
        <v>6269</v>
      </c>
      <c r="O1196" s="34"/>
      <c r="P1196" s="34"/>
      <c r="Q1196" s="34"/>
      <c r="R1196" s="34"/>
      <c r="S1196" s="34"/>
      <c r="T1196" s="34" t="str">
        <f t="shared" ref="T1196:V1196" si="1201">IF(G1196&lt;&gt;"","Yes","")</f>
        <v>Yes</v>
      </c>
      <c r="U1196" s="34" t="str">
        <f t="shared" si="1201"/>
        <v/>
      </c>
      <c r="V1196" s="34" t="str">
        <f t="shared" si="1201"/>
        <v/>
      </c>
      <c r="W1196" s="34" t="str">
        <f t="shared" si="3"/>
        <v/>
      </c>
      <c r="X1196" s="24" t="str">
        <f t="shared" si="4"/>
        <v/>
      </c>
    </row>
    <row r="1197" ht="14.25" customHeight="1">
      <c r="A1197" s="33">
        <f>HYPERLINK("https://app.hubspot.com/contacts/8748051/record/0-1/24638044208", 24638044208)</f>
        <v>24638044208</v>
      </c>
      <c r="B1197" s="24" t="s">
        <v>6270</v>
      </c>
      <c r="C1197" s="34"/>
      <c r="D1197" s="24" t="s">
        <v>6271</v>
      </c>
      <c r="E1197" s="28" t="s">
        <v>6272</v>
      </c>
      <c r="F1197" s="34"/>
      <c r="G1197" s="35">
        <v>45439.0</v>
      </c>
      <c r="H1197" s="34"/>
      <c r="I1197" s="34"/>
      <c r="J1197" s="34"/>
      <c r="K1197" s="34"/>
      <c r="L1197" s="34"/>
      <c r="M1197" s="33">
        <f>HYPERLINK("https://app.hubspot.com/contacts/8748051/record/0-2/8920332114", 8920332114)</f>
        <v>8920332114</v>
      </c>
      <c r="N1197" s="24" t="s">
        <v>6273</v>
      </c>
      <c r="O1197" s="34"/>
      <c r="P1197" s="34"/>
      <c r="Q1197" s="34"/>
      <c r="R1197" s="34"/>
      <c r="S1197" s="34"/>
      <c r="T1197" s="34" t="str">
        <f t="shared" ref="T1197:V1197" si="1202">IF(G1197&lt;&gt;"","Yes","")</f>
        <v>Yes</v>
      </c>
      <c r="U1197" s="34" t="str">
        <f t="shared" si="1202"/>
        <v/>
      </c>
      <c r="V1197" s="34" t="str">
        <f t="shared" si="1202"/>
        <v/>
      </c>
      <c r="W1197" s="34" t="str">
        <f t="shared" si="3"/>
        <v/>
      </c>
      <c r="X1197" s="24" t="str">
        <f t="shared" si="4"/>
        <v/>
      </c>
    </row>
    <row r="1198" ht="14.25" customHeight="1">
      <c r="A1198" s="33">
        <f>HYPERLINK("https://app.hubspot.com/contacts/8748051/record/0-1/24653418140", 24653418140)</f>
        <v>24653418140</v>
      </c>
      <c r="B1198" s="24" t="s">
        <v>6274</v>
      </c>
      <c r="C1198" s="34"/>
      <c r="D1198" s="24" t="s">
        <v>6275</v>
      </c>
      <c r="E1198" s="28" t="s">
        <v>6276</v>
      </c>
      <c r="F1198" s="34"/>
      <c r="G1198" s="35">
        <v>45439.0</v>
      </c>
      <c r="H1198" s="34"/>
      <c r="I1198" s="34"/>
      <c r="J1198" s="34"/>
      <c r="K1198" s="34"/>
      <c r="L1198" s="34"/>
      <c r="M1198" s="33">
        <f>HYPERLINK("https://app.hubspot.com/contacts/8748051/record/0-2/19176296072", 19176296072)</f>
        <v>19176296072</v>
      </c>
      <c r="N1198" s="24" t="s">
        <v>6277</v>
      </c>
      <c r="O1198" s="34"/>
      <c r="P1198" s="34"/>
      <c r="Q1198" s="34"/>
      <c r="R1198" s="34"/>
      <c r="S1198" s="34"/>
      <c r="T1198" s="34" t="str">
        <f t="shared" ref="T1198:V1198" si="1203">IF(G1198&lt;&gt;"","Yes","")</f>
        <v>Yes</v>
      </c>
      <c r="U1198" s="34" t="str">
        <f t="shared" si="1203"/>
        <v/>
      </c>
      <c r="V1198" s="34" t="str">
        <f t="shared" si="1203"/>
        <v/>
      </c>
      <c r="W1198" s="34" t="str">
        <f t="shared" si="3"/>
        <v/>
      </c>
      <c r="X1198" s="24" t="str">
        <f t="shared" si="4"/>
        <v/>
      </c>
    </row>
    <row r="1199" ht="14.25" customHeight="1">
      <c r="A1199" s="33">
        <f>HYPERLINK("https://app.hubspot.com/contacts/8748051/record/0-1/24684320818", 24684320818)</f>
        <v>24684320818</v>
      </c>
      <c r="B1199" s="24" t="s">
        <v>6278</v>
      </c>
      <c r="C1199" s="34"/>
      <c r="D1199" s="24" t="s">
        <v>6279</v>
      </c>
      <c r="E1199" s="28" t="s">
        <v>909</v>
      </c>
      <c r="F1199" s="34"/>
      <c r="G1199" s="35">
        <v>45439.0</v>
      </c>
      <c r="H1199" s="34"/>
      <c r="I1199" s="34"/>
      <c r="J1199" s="34"/>
      <c r="K1199" s="34"/>
      <c r="L1199" s="34"/>
      <c r="M1199" s="33">
        <f>HYPERLINK("https://app.hubspot.com/contacts/8748051/record/0-2/7686762401", 7686762401)</f>
        <v>7686762401</v>
      </c>
      <c r="N1199" s="24" t="s">
        <v>908</v>
      </c>
      <c r="O1199" s="34"/>
      <c r="P1199" s="34"/>
      <c r="Q1199" s="34"/>
      <c r="R1199" s="34"/>
      <c r="S1199" s="34"/>
      <c r="T1199" s="34" t="str">
        <f t="shared" ref="T1199:V1199" si="1204">IF(G1199&lt;&gt;"","Yes","")</f>
        <v>Yes</v>
      </c>
      <c r="U1199" s="34" t="str">
        <f t="shared" si="1204"/>
        <v/>
      </c>
      <c r="V1199" s="34" t="str">
        <f t="shared" si="1204"/>
        <v/>
      </c>
      <c r="W1199" s="34" t="str">
        <f t="shared" si="3"/>
        <v/>
      </c>
      <c r="X1199" s="24" t="str">
        <f t="shared" si="4"/>
        <v/>
      </c>
    </row>
    <row r="1200" ht="14.25" customHeight="1">
      <c r="A1200" s="33">
        <f>HYPERLINK("https://app.hubspot.com/contacts/8748051/record/0-1/24868635230", 24868635230)</f>
        <v>24868635230</v>
      </c>
      <c r="B1200" s="24" t="s">
        <v>6280</v>
      </c>
      <c r="C1200" s="34"/>
      <c r="D1200" s="24" t="s">
        <v>6281</v>
      </c>
      <c r="E1200" s="28" t="s">
        <v>600</v>
      </c>
      <c r="F1200" s="34"/>
      <c r="G1200" s="35">
        <v>45440.0</v>
      </c>
      <c r="H1200" s="34"/>
      <c r="I1200" s="34"/>
      <c r="J1200" s="34"/>
      <c r="K1200" s="34"/>
      <c r="L1200" s="34"/>
      <c r="M1200" s="33">
        <f>HYPERLINK("https://app.hubspot.com/contacts/8748051/record/0-2/9238301248", 9238301248)</f>
        <v>9238301248</v>
      </c>
      <c r="N1200" s="24" t="s">
        <v>599</v>
      </c>
      <c r="O1200" s="34"/>
      <c r="P1200" s="34"/>
      <c r="Q1200" s="34"/>
      <c r="R1200" s="34"/>
      <c r="S1200" s="34"/>
      <c r="T1200" s="34" t="str">
        <f t="shared" ref="T1200:V1200" si="1205">IF(G1200&lt;&gt;"","Yes","")</f>
        <v>Yes</v>
      </c>
      <c r="U1200" s="34" t="str">
        <f t="shared" si="1205"/>
        <v/>
      </c>
      <c r="V1200" s="34" t="str">
        <f t="shared" si="1205"/>
        <v/>
      </c>
      <c r="W1200" s="34" t="str">
        <f t="shared" si="3"/>
        <v/>
      </c>
      <c r="X1200" s="24" t="str">
        <f t="shared" si="4"/>
        <v/>
      </c>
    </row>
    <row r="1201" ht="14.25" customHeight="1">
      <c r="A1201" s="33">
        <f>HYPERLINK("https://app.hubspot.com/contacts/8748051/record/0-1/24916536232", 24916536232)</f>
        <v>24916536232</v>
      </c>
      <c r="B1201" s="24" t="s">
        <v>6282</v>
      </c>
      <c r="C1201" s="34"/>
      <c r="D1201" s="24" t="s">
        <v>6283</v>
      </c>
      <c r="E1201" s="28" t="s">
        <v>787</v>
      </c>
      <c r="F1201" s="34"/>
      <c r="G1201" s="35">
        <v>45440.0</v>
      </c>
      <c r="H1201" s="34"/>
      <c r="I1201" s="34"/>
      <c r="J1201" s="34"/>
      <c r="K1201" s="34"/>
      <c r="L1201" s="34"/>
      <c r="M1201" s="33">
        <f>HYPERLINK("https://app.hubspot.com/contacts/8748051/record/0-2/7165296547", 7165296547)</f>
        <v>7165296547</v>
      </c>
      <c r="N1201" s="24" t="s">
        <v>786</v>
      </c>
      <c r="O1201" s="34"/>
      <c r="P1201" s="34"/>
      <c r="Q1201" s="34"/>
      <c r="R1201" s="34"/>
      <c r="S1201" s="34"/>
      <c r="T1201" s="34" t="str">
        <f t="shared" ref="T1201:V1201" si="1206">IF(G1201&lt;&gt;"","Yes","")</f>
        <v>Yes</v>
      </c>
      <c r="U1201" s="34" t="str">
        <f t="shared" si="1206"/>
        <v/>
      </c>
      <c r="V1201" s="34" t="str">
        <f t="shared" si="1206"/>
        <v/>
      </c>
      <c r="W1201" s="34" t="str">
        <f t="shared" si="3"/>
        <v/>
      </c>
      <c r="X1201" s="24" t="str">
        <f t="shared" si="4"/>
        <v/>
      </c>
    </row>
    <row r="1202" ht="14.25" customHeight="1">
      <c r="A1202" s="33">
        <f>HYPERLINK("https://app.hubspot.com/contacts/8748051/record/0-1/24926982738", 24926982738)</f>
        <v>24926982738</v>
      </c>
      <c r="B1202" s="24" t="s">
        <v>6284</v>
      </c>
      <c r="C1202" s="34"/>
      <c r="D1202" s="24" t="s">
        <v>6285</v>
      </c>
      <c r="E1202" s="28" t="s">
        <v>1361</v>
      </c>
      <c r="F1202" s="34"/>
      <c r="G1202" s="35">
        <v>45440.0</v>
      </c>
      <c r="H1202" s="34"/>
      <c r="I1202" s="34"/>
      <c r="J1202" s="34"/>
      <c r="K1202" s="34"/>
      <c r="L1202" s="34"/>
      <c r="M1202" s="33">
        <f>HYPERLINK("https://app.hubspot.com/contacts/8748051/record/0-2/6266336884", 6266336884)</f>
        <v>6266336884</v>
      </c>
      <c r="N1202" s="24" t="s">
        <v>1360</v>
      </c>
      <c r="O1202" s="34"/>
      <c r="P1202" s="34"/>
      <c r="Q1202" s="34"/>
      <c r="R1202" s="34"/>
      <c r="S1202" s="34"/>
      <c r="T1202" s="34" t="str">
        <f t="shared" ref="T1202:V1202" si="1207">IF(G1202&lt;&gt;"","Yes","")</f>
        <v>Yes</v>
      </c>
      <c r="U1202" s="34" t="str">
        <f t="shared" si="1207"/>
        <v/>
      </c>
      <c r="V1202" s="34" t="str">
        <f t="shared" si="1207"/>
        <v/>
      </c>
      <c r="W1202" s="34" t="str">
        <f t="shared" si="3"/>
        <v/>
      </c>
      <c r="X1202" s="24" t="str">
        <f t="shared" si="4"/>
        <v/>
      </c>
    </row>
    <row r="1203" ht="14.25" customHeight="1">
      <c r="A1203" s="33">
        <f>HYPERLINK("https://app.hubspot.com/contacts/8748051/record/0-1/24970378791", 24970378791)</f>
        <v>24970378791</v>
      </c>
      <c r="B1203" s="24" t="s">
        <v>6286</v>
      </c>
      <c r="C1203" s="34"/>
      <c r="D1203" s="24" t="s">
        <v>6287</v>
      </c>
      <c r="E1203" s="28" t="s">
        <v>5371</v>
      </c>
      <c r="F1203" s="34"/>
      <c r="G1203" s="35">
        <v>45440.0</v>
      </c>
      <c r="H1203" s="34"/>
      <c r="I1203" s="34"/>
      <c r="J1203" s="34"/>
      <c r="K1203" s="34"/>
      <c r="L1203" s="34"/>
      <c r="M1203" s="33">
        <f>HYPERLINK("https://app.hubspot.com/contacts/8748051/record/0-2/15268028833", 15268028833)</f>
        <v>15268028833</v>
      </c>
      <c r="N1203" s="24" t="s">
        <v>5372</v>
      </c>
      <c r="O1203" s="34"/>
      <c r="P1203" s="34"/>
      <c r="Q1203" s="34"/>
      <c r="R1203" s="34"/>
      <c r="S1203" s="34"/>
      <c r="T1203" s="34" t="str">
        <f t="shared" ref="T1203:V1203" si="1208">IF(G1203&lt;&gt;"","Yes","")</f>
        <v>Yes</v>
      </c>
      <c r="U1203" s="34" t="str">
        <f t="shared" si="1208"/>
        <v/>
      </c>
      <c r="V1203" s="34" t="str">
        <f t="shared" si="1208"/>
        <v/>
      </c>
      <c r="W1203" s="34" t="str">
        <f t="shared" si="3"/>
        <v/>
      </c>
      <c r="X1203" s="24" t="str">
        <f t="shared" si="4"/>
        <v/>
      </c>
    </row>
    <row r="1204" ht="14.25" customHeight="1">
      <c r="A1204" s="33">
        <f>HYPERLINK("https://app.hubspot.com/contacts/8748051/record/0-1/25058579040", 25058579040)</f>
        <v>25058579040</v>
      </c>
      <c r="B1204" s="24" t="s">
        <v>6288</v>
      </c>
      <c r="C1204" s="34"/>
      <c r="D1204" s="24" t="s">
        <v>6289</v>
      </c>
      <c r="E1204" s="28" t="s">
        <v>6290</v>
      </c>
      <c r="F1204" s="34"/>
      <c r="G1204" s="35">
        <v>45441.0</v>
      </c>
      <c r="H1204" s="34"/>
      <c r="I1204" s="34"/>
      <c r="J1204" s="34"/>
      <c r="K1204" s="34"/>
      <c r="L1204" s="34"/>
      <c r="M1204" s="33">
        <f>HYPERLINK("https://app.hubspot.com/contacts/8748051/record/0-2/9132273552", 9132273552)</f>
        <v>9132273552</v>
      </c>
      <c r="N1204" s="24" t="s">
        <v>6291</v>
      </c>
      <c r="O1204" s="34"/>
      <c r="P1204" s="34"/>
      <c r="Q1204" s="34"/>
      <c r="R1204" s="34"/>
      <c r="S1204" s="34"/>
      <c r="T1204" s="34" t="str">
        <f t="shared" ref="T1204:V1204" si="1209">IF(G1204&lt;&gt;"","Yes","")</f>
        <v>Yes</v>
      </c>
      <c r="U1204" s="34" t="str">
        <f t="shared" si="1209"/>
        <v/>
      </c>
      <c r="V1204" s="34" t="str">
        <f t="shared" si="1209"/>
        <v/>
      </c>
      <c r="W1204" s="34" t="str">
        <f t="shared" si="3"/>
        <v/>
      </c>
      <c r="X1204" s="24" t="str">
        <f t="shared" si="4"/>
        <v/>
      </c>
    </row>
    <row r="1205" ht="14.25" customHeight="1">
      <c r="A1205" s="33">
        <f>HYPERLINK("https://app.hubspot.com/contacts/8748051/record/0-1/25126312876", 25126312876)</f>
        <v>25126312876</v>
      </c>
      <c r="B1205" s="24" t="s">
        <v>6292</v>
      </c>
      <c r="C1205" s="34"/>
      <c r="D1205" s="24" t="s">
        <v>6293</v>
      </c>
      <c r="E1205" s="28" t="s">
        <v>6294</v>
      </c>
      <c r="F1205" s="34"/>
      <c r="G1205" s="35">
        <v>45441.0</v>
      </c>
      <c r="H1205" s="34"/>
      <c r="I1205" s="34"/>
      <c r="J1205" s="34"/>
      <c r="K1205" s="34"/>
      <c r="L1205" s="34"/>
      <c r="M1205" s="33">
        <f>HYPERLINK("https://app.hubspot.com/contacts/8748051/record/0-2/9001616498", 9001616498)</f>
        <v>9001616498</v>
      </c>
      <c r="N1205" s="24" t="s">
        <v>6295</v>
      </c>
      <c r="O1205" s="34"/>
      <c r="P1205" s="34"/>
      <c r="Q1205" s="34"/>
      <c r="R1205" s="34"/>
      <c r="S1205" s="34"/>
      <c r="T1205" s="34" t="str">
        <f t="shared" ref="T1205:V1205" si="1210">IF(G1205&lt;&gt;"","Yes","")</f>
        <v>Yes</v>
      </c>
      <c r="U1205" s="34" t="str">
        <f t="shared" si="1210"/>
        <v/>
      </c>
      <c r="V1205" s="34" t="str">
        <f t="shared" si="1210"/>
        <v/>
      </c>
      <c r="W1205" s="34" t="str">
        <f t="shared" si="3"/>
        <v/>
      </c>
      <c r="X1205" s="24" t="str">
        <f t="shared" si="4"/>
        <v/>
      </c>
    </row>
    <row r="1206" ht="14.25" customHeight="1">
      <c r="A1206" s="33">
        <f>HYPERLINK("https://app.hubspot.com/contacts/8748051/record/0-1/25164788226", 25164788226)</f>
        <v>25164788226</v>
      </c>
      <c r="B1206" s="24" t="s">
        <v>6296</v>
      </c>
      <c r="C1206" s="34"/>
      <c r="D1206" s="24" t="s">
        <v>6297</v>
      </c>
      <c r="E1206" s="28" t="s">
        <v>882</v>
      </c>
      <c r="F1206" s="34"/>
      <c r="G1206" s="35">
        <v>45441.0</v>
      </c>
      <c r="H1206" s="35">
        <v>45448.0</v>
      </c>
      <c r="I1206" s="35">
        <v>45448.0</v>
      </c>
      <c r="J1206" s="34"/>
      <c r="K1206" s="34"/>
      <c r="L1206" s="34"/>
      <c r="M1206" s="33">
        <f>HYPERLINK("https://app.hubspot.com/contacts/8748051/record/0-2/18382767734", 18382767734)</f>
        <v>18382767734</v>
      </c>
      <c r="N1206" s="24" t="s">
        <v>881</v>
      </c>
      <c r="O1206" s="33">
        <f>HYPERLINK("https://app.hubspot.com/contacts/8748051/record/0-3/19879026275", 19879026275)</f>
        <v>19879026275</v>
      </c>
      <c r="P1206" s="24" t="s">
        <v>879</v>
      </c>
      <c r="Q1206" s="24" t="s">
        <v>73</v>
      </c>
      <c r="R1206" s="24">
        <v>11760.0</v>
      </c>
      <c r="S1206" s="34"/>
      <c r="T1206" s="34" t="str">
        <f t="shared" ref="T1206:V1206" si="1211">IF(G1206&lt;&gt;"","Yes","")</f>
        <v>Yes</v>
      </c>
      <c r="U1206" s="34" t="str">
        <f t="shared" si="1211"/>
        <v>Yes</v>
      </c>
      <c r="V1206" s="34" t="str">
        <f t="shared" si="1211"/>
        <v>Yes</v>
      </c>
      <c r="W1206" s="34" t="str">
        <f t="shared" si="3"/>
        <v/>
      </c>
      <c r="X1206" s="24" t="str">
        <f t="shared" si="4"/>
        <v/>
      </c>
    </row>
    <row r="1207" ht="14.25" customHeight="1">
      <c r="A1207" s="33">
        <f>HYPERLINK("https://app.hubspot.com/contacts/8748051/record/0-1/25251568516", 25251568516)</f>
        <v>25251568516</v>
      </c>
      <c r="B1207" s="24" t="s">
        <v>6298</v>
      </c>
      <c r="C1207" s="34"/>
      <c r="D1207" s="24" t="s">
        <v>6299</v>
      </c>
      <c r="E1207" s="28" t="s">
        <v>3214</v>
      </c>
      <c r="F1207" s="34"/>
      <c r="G1207" s="35">
        <v>45441.0</v>
      </c>
      <c r="H1207" s="34"/>
      <c r="I1207" s="34"/>
      <c r="J1207" s="34"/>
      <c r="K1207" s="34"/>
      <c r="L1207" s="34"/>
      <c r="M1207" s="33">
        <f>HYPERLINK("https://app.hubspot.com/contacts/8748051/record/0-2/4761627925", 4761627925)</f>
        <v>4761627925</v>
      </c>
      <c r="N1207" s="24" t="s">
        <v>3212</v>
      </c>
      <c r="O1207" s="34"/>
      <c r="P1207" s="34"/>
      <c r="Q1207" s="34"/>
      <c r="R1207" s="34"/>
      <c r="S1207" s="34"/>
      <c r="T1207" s="34" t="str">
        <f t="shared" ref="T1207:V1207" si="1212">IF(G1207&lt;&gt;"","Yes","")</f>
        <v>Yes</v>
      </c>
      <c r="U1207" s="34" t="str">
        <f t="shared" si="1212"/>
        <v/>
      </c>
      <c r="V1207" s="34" t="str">
        <f t="shared" si="1212"/>
        <v/>
      </c>
      <c r="W1207" s="34" t="str">
        <f t="shared" si="3"/>
        <v/>
      </c>
      <c r="X1207" s="24" t="str">
        <f t="shared" si="4"/>
        <v/>
      </c>
    </row>
    <row r="1208" ht="14.25" customHeight="1">
      <c r="A1208" s="33">
        <f>HYPERLINK("https://app.hubspot.com/contacts/8748051/record/0-1/25607404652", 25607404652)</f>
        <v>25607404652</v>
      </c>
      <c r="B1208" s="24" t="s">
        <v>6300</v>
      </c>
      <c r="C1208" s="34"/>
      <c r="D1208" s="24" t="s">
        <v>6301</v>
      </c>
      <c r="E1208" s="28" t="s">
        <v>6302</v>
      </c>
      <c r="F1208" s="34"/>
      <c r="G1208" s="35">
        <v>45442.0</v>
      </c>
      <c r="H1208" s="34"/>
      <c r="I1208" s="34"/>
      <c r="J1208" s="34"/>
      <c r="K1208" s="34"/>
      <c r="L1208" s="34"/>
      <c r="M1208" s="33">
        <f>HYPERLINK("https://app.hubspot.com/contacts/8748051/record/0-2/8142329509", 8142329509)</f>
        <v>8142329509</v>
      </c>
      <c r="N1208" s="24" t="s">
        <v>6303</v>
      </c>
      <c r="O1208" s="34"/>
      <c r="P1208" s="34"/>
      <c r="Q1208" s="34"/>
      <c r="R1208" s="34"/>
      <c r="S1208" s="34"/>
      <c r="T1208" s="34" t="str">
        <f t="shared" ref="T1208:V1208" si="1213">IF(G1208&lt;&gt;"","Yes","")</f>
        <v>Yes</v>
      </c>
      <c r="U1208" s="34" t="str">
        <f t="shared" si="1213"/>
        <v/>
      </c>
      <c r="V1208" s="34" t="str">
        <f t="shared" si="1213"/>
        <v/>
      </c>
      <c r="W1208" s="34" t="str">
        <f t="shared" si="3"/>
        <v/>
      </c>
      <c r="X1208" s="24" t="str">
        <f t="shared" si="4"/>
        <v/>
      </c>
    </row>
    <row r="1209" ht="14.25" customHeight="1">
      <c r="A1209" s="33">
        <f>HYPERLINK("https://app.hubspot.com/contacts/8748051/record/0-1/25608213861", 25608213861)</f>
        <v>25608213861</v>
      </c>
      <c r="B1209" s="24" t="s">
        <v>6304</v>
      </c>
      <c r="C1209" s="34"/>
      <c r="D1209" s="24" t="s">
        <v>6305</v>
      </c>
      <c r="E1209" s="28" t="s">
        <v>5474</v>
      </c>
      <c r="F1209" s="34"/>
      <c r="G1209" s="35">
        <v>45442.0</v>
      </c>
      <c r="H1209" s="34"/>
      <c r="I1209" s="34"/>
      <c r="J1209" s="34"/>
      <c r="K1209" s="34"/>
      <c r="L1209" s="34"/>
      <c r="M1209" s="33">
        <f>HYPERLINK("https://app.hubspot.com/contacts/8748051/record/0-2/9793712736", 9793712736)</f>
        <v>9793712736</v>
      </c>
      <c r="N1209" s="24" t="s">
        <v>5475</v>
      </c>
      <c r="O1209" s="34"/>
      <c r="P1209" s="34"/>
      <c r="Q1209" s="34"/>
      <c r="R1209" s="34"/>
      <c r="S1209" s="34"/>
      <c r="T1209" s="34" t="str">
        <f t="shared" ref="T1209:V1209" si="1214">IF(G1209&lt;&gt;"","Yes","")</f>
        <v>Yes</v>
      </c>
      <c r="U1209" s="34" t="str">
        <f t="shared" si="1214"/>
        <v/>
      </c>
      <c r="V1209" s="34" t="str">
        <f t="shared" si="1214"/>
        <v/>
      </c>
      <c r="W1209" s="34" t="str">
        <f t="shared" si="3"/>
        <v/>
      </c>
      <c r="X1209" s="24" t="str">
        <f t="shared" si="4"/>
        <v/>
      </c>
    </row>
    <row r="1210" ht="14.25" customHeight="1">
      <c r="A1210" s="33">
        <f>HYPERLINK("https://app.hubspot.com/contacts/8748051/record/0-1/25617354402", 25617354402)</f>
        <v>25617354402</v>
      </c>
      <c r="B1210" s="24" t="s">
        <v>6306</v>
      </c>
      <c r="C1210" s="34"/>
      <c r="D1210" s="24" t="s">
        <v>6307</v>
      </c>
      <c r="E1210" s="28" t="s">
        <v>6308</v>
      </c>
      <c r="F1210" s="34"/>
      <c r="G1210" s="35">
        <v>45442.0</v>
      </c>
      <c r="H1210" s="34"/>
      <c r="I1210" s="34"/>
      <c r="J1210" s="34"/>
      <c r="K1210" s="34"/>
      <c r="L1210" s="34"/>
      <c r="M1210" s="33">
        <f>HYPERLINK("https://app.hubspot.com/contacts/8748051/record/0-2/14810080313", 14810080313)</f>
        <v>14810080313</v>
      </c>
      <c r="N1210" s="24" t="s">
        <v>6309</v>
      </c>
      <c r="O1210" s="34"/>
      <c r="P1210" s="34"/>
      <c r="Q1210" s="34"/>
      <c r="R1210" s="34"/>
      <c r="S1210" s="34"/>
      <c r="T1210" s="34" t="str">
        <f t="shared" ref="T1210:V1210" si="1215">IF(G1210&lt;&gt;"","Yes","")</f>
        <v>Yes</v>
      </c>
      <c r="U1210" s="34" t="str">
        <f t="shared" si="1215"/>
        <v/>
      </c>
      <c r="V1210" s="34" t="str">
        <f t="shared" si="1215"/>
        <v/>
      </c>
      <c r="W1210" s="34" t="str">
        <f t="shared" si="3"/>
        <v/>
      </c>
      <c r="X1210" s="24" t="str">
        <f t="shared" si="4"/>
        <v/>
      </c>
    </row>
    <row r="1211" ht="14.25" customHeight="1">
      <c r="A1211" s="33">
        <f>HYPERLINK("https://app.hubspot.com/contacts/8748051/record/0-1/25727803543", 25727803543)</f>
        <v>25727803543</v>
      </c>
      <c r="B1211" s="24" t="s">
        <v>6310</v>
      </c>
      <c r="C1211" s="34"/>
      <c r="D1211" s="24" t="s">
        <v>6311</v>
      </c>
      <c r="E1211" s="28" t="s">
        <v>5208</v>
      </c>
      <c r="F1211" s="34"/>
      <c r="G1211" s="35">
        <v>45442.0</v>
      </c>
      <c r="H1211" s="34"/>
      <c r="I1211" s="34"/>
      <c r="J1211" s="34"/>
      <c r="K1211" s="34"/>
      <c r="L1211" s="34"/>
      <c r="M1211" s="33">
        <f>HYPERLINK("https://app.hubspot.com/contacts/8748051/record/0-2/9137340956", 9137340956)</f>
        <v>9137340956</v>
      </c>
      <c r="N1211" s="24" t="s">
        <v>5209</v>
      </c>
      <c r="O1211" s="34"/>
      <c r="P1211" s="34"/>
      <c r="Q1211" s="34"/>
      <c r="R1211" s="34"/>
      <c r="S1211" s="34"/>
      <c r="T1211" s="34" t="str">
        <f t="shared" ref="T1211:V1211" si="1216">IF(G1211&lt;&gt;"","Yes","")</f>
        <v>Yes</v>
      </c>
      <c r="U1211" s="34" t="str">
        <f t="shared" si="1216"/>
        <v/>
      </c>
      <c r="V1211" s="34" t="str">
        <f t="shared" si="1216"/>
        <v/>
      </c>
      <c r="W1211" s="34" t="str">
        <f t="shared" si="3"/>
        <v/>
      </c>
      <c r="X1211" s="24" t="str">
        <f t="shared" si="4"/>
        <v/>
      </c>
    </row>
    <row r="1212" ht="14.25" customHeight="1">
      <c r="A1212" s="33">
        <f>HYPERLINK("https://app.hubspot.com/contacts/8748051/record/0-1/25773382920", 25773382920)</f>
        <v>25773382920</v>
      </c>
      <c r="B1212" s="24" t="s">
        <v>6312</v>
      </c>
      <c r="C1212" s="34"/>
      <c r="D1212" s="24" t="s">
        <v>6313</v>
      </c>
      <c r="E1212" s="28" t="s">
        <v>6314</v>
      </c>
      <c r="F1212" s="34"/>
      <c r="G1212" s="35">
        <v>45442.0</v>
      </c>
      <c r="H1212" s="34"/>
      <c r="I1212" s="34"/>
      <c r="J1212" s="34"/>
      <c r="K1212" s="34"/>
      <c r="L1212" s="34"/>
      <c r="M1212" s="33">
        <f>HYPERLINK("https://app.hubspot.com/contacts/8748051/record/0-2/9238257176", 9238257176)</f>
        <v>9238257176</v>
      </c>
      <c r="N1212" s="24" t="s">
        <v>6315</v>
      </c>
      <c r="O1212" s="34"/>
      <c r="P1212" s="34"/>
      <c r="Q1212" s="34"/>
      <c r="R1212" s="34"/>
      <c r="S1212" s="34"/>
      <c r="T1212" s="34" t="str">
        <f t="shared" ref="T1212:V1212" si="1217">IF(G1212&lt;&gt;"","Yes","")</f>
        <v>Yes</v>
      </c>
      <c r="U1212" s="34" t="str">
        <f t="shared" si="1217"/>
        <v/>
      </c>
      <c r="V1212" s="34" t="str">
        <f t="shared" si="1217"/>
        <v/>
      </c>
      <c r="W1212" s="34" t="str">
        <f t="shared" si="3"/>
        <v/>
      </c>
      <c r="X1212" s="24" t="str">
        <f t="shared" si="4"/>
        <v/>
      </c>
    </row>
    <row r="1213" ht="14.25" customHeight="1">
      <c r="A1213" s="33">
        <f>HYPERLINK("https://app.hubspot.com/contacts/8748051/record/0-1/25875918442", 25875918442)</f>
        <v>25875918442</v>
      </c>
      <c r="B1213" s="24" t="s">
        <v>6316</v>
      </c>
      <c r="C1213" s="34"/>
      <c r="D1213" s="24" t="s">
        <v>6317</v>
      </c>
      <c r="E1213" s="28" t="s">
        <v>1631</v>
      </c>
      <c r="F1213" s="34"/>
      <c r="G1213" s="35">
        <v>45443.0</v>
      </c>
      <c r="H1213" s="35">
        <v>45457.0</v>
      </c>
      <c r="I1213" s="35">
        <v>45457.0</v>
      </c>
      <c r="J1213" s="34"/>
      <c r="K1213" s="34"/>
      <c r="L1213" s="34"/>
      <c r="M1213" s="33">
        <f>HYPERLINK("https://app.hubspot.com/contacts/8748051/record/0-2/7902488946", 7902488946)</f>
        <v>7902488946</v>
      </c>
      <c r="N1213" s="24" t="s">
        <v>1630</v>
      </c>
      <c r="O1213" s="33">
        <f>HYPERLINK("https://app.hubspot.com/contacts/8748051/record/0-3/20079649321", 20079649321)</f>
        <v>20079649321</v>
      </c>
      <c r="P1213" s="24" t="s">
        <v>1629</v>
      </c>
      <c r="Q1213" s="24" t="s">
        <v>73</v>
      </c>
      <c r="R1213" s="24">
        <v>7440.0</v>
      </c>
      <c r="S1213" s="34"/>
      <c r="T1213" s="34" t="str">
        <f t="shared" ref="T1213:V1213" si="1218">IF(G1213&lt;&gt;"","Yes","")</f>
        <v>Yes</v>
      </c>
      <c r="U1213" s="34" t="str">
        <f t="shared" si="1218"/>
        <v>Yes</v>
      </c>
      <c r="V1213" s="34" t="str">
        <f t="shared" si="1218"/>
        <v>Yes</v>
      </c>
      <c r="W1213" s="34" t="str">
        <f t="shared" si="3"/>
        <v/>
      </c>
      <c r="X1213" s="24" t="str">
        <f t="shared" si="4"/>
        <v/>
      </c>
    </row>
    <row r="1214" ht="14.25" customHeight="1">
      <c r="A1214" s="33">
        <f>HYPERLINK("https://app.hubspot.com/contacts/8748051/record/0-1/25878032054", 25878032054)</f>
        <v>25878032054</v>
      </c>
      <c r="B1214" s="24" t="s">
        <v>6318</v>
      </c>
      <c r="C1214" s="34"/>
      <c r="D1214" s="24" t="s">
        <v>6319</v>
      </c>
      <c r="E1214" s="28" t="s">
        <v>6320</v>
      </c>
      <c r="F1214" s="34"/>
      <c r="G1214" s="35">
        <v>45443.0</v>
      </c>
      <c r="H1214" s="34"/>
      <c r="I1214" s="34"/>
      <c r="J1214" s="34"/>
      <c r="K1214" s="34"/>
      <c r="L1214" s="34"/>
      <c r="M1214" s="33">
        <f>HYPERLINK("https://app.hubspot.com/contacts/8748051/record/0-2/7641549140", 7641549140)</f>
        <v>7641549140</v>
      </c>
      <c r="N1214" s="24" t="s">
        <v>6321</v>
      </c>
      <c r="O1214" s="34"/>
      <c r="P1214" s="34"/>
      <c r="Q1214" s="34"/>
      <c r="R1214" s="34"/>
      <c r="S1214" s="34"/>
      <c r="T1214" s="34" t="str">
        <f t="shared" ref="T1214:V1214" si="1219">IF(G1214&lt;&gt;"","Yes","")</f>
        <v>Yes</v>
      </c>
      <c r="U1214" s="34" t="str">
        <f t="shared" si="1219"/>
        <v/>
      </c>
      <c r="V1214" s="34" t="str">
        <f t="shared" si="1219"/>
        <v/>
      </c>
      <c r="W1214" s="34" t="str">
        <f t="shared" si="3"/>
        <v/>
      </c>
      <c r="X1214" s="24" t="str">
        <f t="shared" si="4"/>
        <v/>
      </c>
    </row>
    <row r="1215" ht="14.25" customHeight="1">
      <c r="A1215" s="33">
        <f>HYPERLINK("https://app.hubspot.com/contacts/8748051/record/0-1/25957524570", 25957524570)</f>
        <v>25957524570</v>
      </c>
      <c r="B1215" s="24" t="s">
        <v>6322</v>
      </c>
      <c r="C1215" s="34"/>
      <c r="D1215" s="24" t="s">
        <v>6323</v>
      </c>
      <c r="E1215" s="28" t="s">
        <v>6324</v>
      </c>
      <c r="F1215" s="34"/>
      <c r="G1215" s="35">
        <v>45443.0</v>
      </c>
      <c r="H1215" s="34"/>
      <c r="I1215" s="34"/>
      <c r="J1215" s="34"/>
      <c r="K1215" s="34"/>
      <c r="L1215" s="34"/>
      <c r="M1215" s="33">
        <f>HYPERLINK("https://app.hubspot.com/contacts/8748051/record/0-2/9546913342", 9546913342)</f>
        <v>9546913342</v>
      </c>
      <c r="N1215" s="24" t="s">
        <v>6325</v>
      </c>
      <c r="O1215" s="34"/>
      <c r="P1215" s="34"/>
      <c r="Q1215" s="34"/>
      <c r="R1215" s="34"/>
      <c r="S1215" s="34"/>
      <c r="T1215" s="34" t="str">
        <f t="shared" ref="T1215:V1215" si="1220">IF(G1215&lt;&gt;"","Yes","")</f>
        <v>Yes</v>
      </c>
      <c r="U1215" s="34" t="str">
        <f t="shared" si="1220"/>
        <v/>
      </c>
      <c r="V1215" s="34" t="str">
        <f t="shared" si="1220"/>
        <v/>
      </c>
      <c r="W1215" s="34" t="str">
        <f t="shared" si="3"/>
        <v/>
      </c>
      <c r="X1215" s="24" t="str">
        <f t="shared" si="4"/>
        <v/>
      </c>
    </row>
    <row r="1216" ht="14.25" customHeight="1">
      <c r="A1216" s="33">
        <f>HYPERLINK("https://app.hubspot.com/contacts/8748051/record/0-1/26233310858", 26233310858)</f>
        <v>26233310858</v>
      </c>
      <c r="B1216" s="24" t="s">
        <v>6326</v>
      </c>
      <c r="C1216" s="34"/>
      <c r="D1216" s="24" t="s">
        <v>6327</v>
      </c>
      <c r="E1216" s="28" t="s">
        <v>399</v>
      </c>
      <c r="F1216" s="34"/>
      <c r="G1216" s="35">
        <v>45446.0</v>
      </c>
      <c r="H1216" s="34"/>
      <c r="I1216" s="34"/>
      <c r="J1216" s="34"/>
      <c r="K1216" s="34"/>
      <c r="L1216" s="34"/>
      <c r="M1216" s="33">
        <f>HYPERLINK("https://app.hubspot.com/contacts/8748051/record/0-2/18382886215", 18382886215)</f>
        <v>18382886215</v>
      </c>
      <c r="N1216" s="24" t="s">
        <v>398</v>
      </c>
      <c r="O1216" s="34"/>
      <c r="P1216" s="34"/>
      <c r="Q1216" s="34"/>
      <c r="R1216" s="34"/>
      <c r="S1216" s="34"/>
      <c r="T1216" s="34" t="str">
        <f t="shared" ref="T1216:V1216" si="1221">IF(G1216&lt;&gt;"","Yes","")</f>
        <v>Yes</v>
      </c>
      <c r="U1216" s="34" t="str">
        <f t="shared" si="1221"/>
        <v/>
      </c>
      <c r="V1216" s="34" t="str">
        <f t="shared" si="1221"/>
        <v/>
      </c>
      <c r="W1216" s="34" t="str">
        <f t="shared" si="3"/>
        <v/>
      </c>
      <c r="X1216" s="24" t="str">
        <f t="shared" si="4"/>
        <v/>
      </c>
    </row>
    <row r="1217" ht="14.25" customHeight="1">
      <c r="A1217" s="33">
        <f>HYPERLINK("https://app.hubspot.com/contacts/8748051/record/0-1/26383764306", 26383764306)</f>
        <v>26383764306</v>
      </c>
      <c r="B1217" s="24" t="s">
        <v>6328</v>
      </c>
      <c r="C1217" s="34"/>
      <c r="D1217" s="24" t="s">
        <v>6329</v>
      </c>
      <c r="E1217" s="28" t="s">
        <v>6330</v>
      </c>
      <c r="F1217" s="34"/>
      <c r="G1217" s="35">
        <v>45446.0</v>
      </c>
      <c r="H1217" s="34"/>
      <c r="I1217" s="34"/>
      <c r="J1217" s="34"/>
      <c r="K1217" s="34"/>
      <c r="L1217" s="34"/>
      <c r="M1217" s="33">
        <f>HYPERLINK("https://app.hubspot.com/contacts/8748051/record/0-2/19176621365", 19176621365)</f>
        <v>19176621365</v>
      </c>
      <c r="N1217" s="24" t="s">
        <v>6331</v>
      </c>
      <c r="O1217" s="34"/>
      <c r="P1217" s="34"/>
      <c r="Q1217" s="34"/>
      <c r="R1217" s="34"/>
      <c r="S1217" s="34"/>
      <c r="T1217" s="34" t="str">
        <f t="shared" ref="T1217:V1217" si="1222">IF(G1217&lt;&gt;"","Yes","")</f>
        <v>Yes</v>
      </c>
      <c r="U1217" s="34" t="str">
        <f t="shared" si="1222"/>
        <v/>
      </c>
      <c r="V1217" s="34" t="str">
        <f t="shared" si="1222"/>
        <v/>
      </c>
      <c r="W1217" s="34" t="str">
        <f t="shared" si="3"/>
        <v/>
      </c>
      <c r="X1217" s="24" t="str">
        <f t="shared" si="4"/>
        <v/>
      </c>
    </row>
    <row r="1218" ht="14.25" customHeight="1">
      <c r="A1218" s="33">
        <f>HYPERLINK("https://app.hubspot.com/contacts/8748051/record/0-1/26479504988", 26479504988)</f>
        <v>26479504988</v>
      </c>
      <c r="B1218" s="24" t="s">
        <v>6332</v>
      </c>
      <c r="C1218" s="34"/>
      <c r="D1218" s="24" t="s">
        <v>6333</v>
      </c>
      <c r="E1218" s="28" t="s">
        <v>6334</v>
      </c>
      <c r="F1218" s="34"/>
      <c r="G1218" s="35">
        <v>45446.0</v>
      </c>
      <c r="H1218" s="34"/>
      <c r="I1218" s="34"/>
      <c r="J1218" s="34"/>
      <c r="K1218" s="34"/>
      <c r="L1218" s="34"/>
      <c r="M1218" s="33">
        <f>HYPERLINK("https://app.hubspot.com/contacts/8748051/record/0-2/8929822097", 8929822097)</f>
        <v>8929822097</v>
      </c>
      <c r="N1218" s="24" t="s">
        <v>6335</v>
      </c>
      <c r="O1218" s="34"/>
      <c r="P1218" s="34"/>
      <c r="Q1218" s="34"/>
      <c r="R1218" s="34"/>
      <c r="S1218" s="34"/>
      <c r="T1218" s="34" t="str">
        <f t="shared" ref="T1218:V1218" si="1223">IF(G1218&lt;&gt;"","Yes","")</f>
        <v>Yes</v>
      </c>
      <c r="U1218" s="34" t="str">
        <f t="shared" si="1223"/>
        <v/>
      </c>
      <c r="V1218" s="34" t="str">
        <f t="shared" si="1223"/>
        <v/>
      </c>
      <c r="W1218" s="34" t="str">
        <f t="shared" si="3"/>
        <v/>
      </c>
      <c r="X1218" s="24" t="str">
        <f t="shared" si="4"/>
        <v/>
      </c>
    </row>
    <row r="1219" ht="14.25" customHeight="1">
      <c r="A1219" s="33">
        <f>HYPERLINK("https://app.hubspot.com/contacts/8748051/record/0-1/26518110057", 26518110057)</f>
        <v>26518110057</v>
      </c>
      <c r="B1219" s="24" t="s">
        <v>6336</v>
      </c>
      <c r="C1219" s="34"/>
      <c r="D1219" s="24" t="s">
        <v>6337</v>
      </c>
      <c r="E1219" s="28" t="s">
        <v>6338</v>
      </c>
      <c r="F1219" s="34"/>
      <c r="G1219" s="35">
        <v>45446.0</v>
      </c>
      <c r="H1219" s="34"/>
      <c r="I1219" s="34"/>
      <c r="J1219" s="34"/>
      <c r="K1219" s="34"/>
      <c r="L1219" s="34"/>
      <c r="M1219" s="33">
        <f>HYPERLINK("https://app.hubspot.com/contacts/8748051/record/0-2/18382839619", 18382839619)</f>
        <v>18382839619</v>
      </c>
      <c r="N1219" s="24" t="s">
        <v>6339</v>
      </c>
      <c r="O1219" s="34"/>
      <c r="P1219" s="34"/>
      <c r="Q1219" s="34"/>
      <c r="R1219" s="34"/>
      <c r="S1219" s="34"/>
      <c r="T1219" s="34" t="str">
        <f t="shared" ref="T1219:V1219" si="1224">IF(G1219&lt;&gt;"","Yes","")</f>
        <v>Yes</v>
      </c>
      <c r="U1219" s="34" t="str">
        <f t="shared" si="1224"/>
        <v/>
      </c>
      <c r="V1219" s="34" t="str">
        <f t="shared" si="1224"/>
        <v/>
      </c>
      <c r="W1219" s="34" t="str">
        <f t="shared" si="3"/>
        <v/>
      </c>
      <c r="X1219" s="24" t="str">
        <f t="shared" si="4"/>
        <v/>
      </c>
    </row>
    <row r="1220" ht="14.25" customHeight="1">
      <c r="A1220" s="33">
        <f>HYPERLINK("https://app.hubspot.com/contacts/8748051/record/0-1/26608375710", 26608375710)</f>
        <v>26608375710</v>
      </c>
      <c r="B1220" s="24" t="s">
        <v>6340</v>
      </c>
      <c r="C1220" s="34"/>
      <c r="D1220" s="24" t="s">
        <v>6341</v>
      </c>
      <c r="E1220" s="28" t="s">
        <v>1618</v>
      </c>
      <c r="F1220" s="34"/>
      <c r="G1220" s="35">
        <v>45446.0</v>
      </c>
      <c r="H1220" s="35">
        <v>45461.0</v>
      </c>
      <c r="I1220" s="35">
        <v>45461.0</v>
      </c>
      <c r="J1220" s="34"/>
      <c r="K1220" s="34"/>
      <c r="L1220" s="34"/>
      <c r="M1220" s="33">
        <f>HYPERLINK("https://app.hubspot.com/contacts/8748051/record/0-2/19176317867", 19176317867)</f>
        <v>19176317867</v>
      </c>
      <c r="N1220" s="24" t="s">
        <v>1617</v>
      </c>
      <c r="O1220" s="33">
        <f>HYPERLINK("https://app.hubspot.com/contacts/8748051/record/0-3/20170334263", 20170334263)</f>
        <v>20170334263</v>
      </c>
      <c r="P1220" s="24" t="s">
        <v>1616</v>
      </c>
      <c r="Q1220" s="24" t="s">
        <v>73</v>
      </c>
      <c r="R1220" s="24">
        <v>4320.0</v>
      </c>
      <c r="S1220" s="34"/>
      <c r="T1220" s="34" t="str">
        <f t="shared" ref="T1220:V1220" si="1225">IF(G1220&lt;&gt;"","Yes","")</f>
        <v>Yes</v>
      </c>
      <c r="U1220" s="34" t="str">
        <f t="shared" si="1225"/>
        <v>Yes</v>
      </c>
      <c r="V1220" s="34" t="str">
        <f t="shared" si="1225"/>
        <v>Yes</v>
      </c>
      <c r="W1220" s="34" t="str">
        <f t="shared" si="3"/>
        <v/>
      </c>
      <c r="X1220" s="24" t="str">
        <f t="shared" si="4"/>
        <v/>
      </c>
    </row>
    <row r="1221" ht="14.25" customHeight="1">
      <c r="A1221" s="33">
        <f>HYPERLINK("https://app.hubspot.com/contacts/8748051/record/0-1/26615902265", 26615902265)</f>
        <v>26615902265</v>
      </c>
      <c r="B1221" s="24" t="s">
        <v>6342</v>
      </c>
      <c r="C1221" s="34"/>
      <c r="D1221" s="24" t="s">
        <v>6343</v>
      </c>
      <c r="E1221" s="28" t="s">
        <v>2670</v>
      </c>
      <c r="F1221" s="34"/>
      <c r="G1221" s="35">
        <v>45446.0</v>
      </c>
      <c r="H1221" s="34"/>
      <c r="I1221" s="34"/>
      <c r="J1221" s="34"/>
      <c r="K1221" s="34"/>
      <c r="L1221" s="34"/>
      <c r="M1221" s="33">
        <f>HYPERLINK("https://app.hubspot.com/contacts/8748051/record/0-2/7687434062", 7687434062)</f>
        <v>7687434062</v>
      </c>
      <c r="N1221" s="24" t="s">
        <v>2669</v>
      </c>
      <c r="O1221" s="34"/>
      <c r="P1221" s="34"/>
      <c r="Q1221" s="34"/>
      <c r="R1221" s="34"/>
      <c r="S1221" s="34"/>
      <c r="T1221" s="34" t="str">
        <f t="shared" ref="T1221:V1221" si="1226">IF(G1221&lt;&gt;"","Yes","")</f>
        <v>Yes</v>
      </c>
      <c r="U1221" s="34" t="str">
        <f t="shared" si="1226"/>
        <v/>
      </c>
      <c r="V1221" s="34" t="str">
        <f t="shared" si="1226"/>
        <v/>
      </c>
      <c r="W1221" s="34" t="str">
        <f t="shared" si="3"/>
        <v/>
      </c>
      <c r="X1221" s="24" t="str">
        <f t="shared" si="4"/>
        <v/>
      </c>
    </row>
    <row r="1222" ht="14.25" customHeight="1">
      <c r="A1222" s="33">
        <f>HYPERLINK("https://app.hubspot.com/contacts/8748051/record/0-1/26618353573", 26618353573)</f>
        <v>26618353573</v>
      </c>
      <c r="B1222" s="24" t="s">
        <v>6344</v>
      </c>
      <c r="C1222" s="34"/>
      <c r="D1222" s="24" t="s">
        <v>6345</v>
      </c>
      <c r="E1222" s="28" t="s">
        <v>5509</v>
      </c>
      <c r="F1222" s="34"/>
      <c r="G1222" s="35">
        <v>45446.0</v>
      </c>
      <c r="H1222" s="34"/>
      <c r="I1222" s="34"/>
      <c r="J1222" s="34"/>
      <c r="K1222" s="34"/>
      <c r="L1222" s="34"/>
      <c r="M1222" s="33">
        <f>HYPERLINK("https://app.hubspot.com/contacts/8748051/record/0-2/8341442344", 8341442344)</f>
        <v>8341442344</v>
      </c>
      <c r="N1222" s="24" t="s">
        <v>5510</v>
      </c>
      <c r="O1222" s="34"/>
      <c r="P1222" s="34"/>
      <c r="Q1222" s="34"/>
      <c r="R1222" s="34"/>
      <c r="S1222" s="34"/>
      <c r="T1222" s="34" t="str">
        <f t="shared" ref="T1222:V1222" si="1227">IF(G1222&lt;&gt;"","Yes","")</f>
        <v>Yes</v>
      </c>
      <c r="U1222" s="34" t="str">
        <f t="shared" si="1227"/>
        <v/>
      </c>
      <c r="V1222" s="34" t="str">
        <f t="shared" si="1227"/>
        <v/>
      </c>
      <c r="W1222" s="34" t="str">
        <f t="shared" si="3"/>
        <v/>
      </c>
      <c r="X1222" s="24" t="str">
        <f t="shared" si="4"/>
        <v/>
      </c>
    </row>
    <row r="1223" ht="14.25" customHeight="1">
      <c r="A1223" s="33">
        <f>HYPERLINK("https://app.hubspot.com/contacts/8748051/record/0-1/26642273872", 26642273872)</f>
        <v>26642273872</v>
      </c>
      <c r="B1223" s="24" t="s">
        <v>6346</v>
      </c>
      <c r="C1223" s="34"/>
      <c r="D1223" s="24" t="s">
        <v>6347</v>
      </c>
      <c r="E1223" s="28" t="s">
        <v>6348</v>
      </c>
      <c r="F1223" s="34"/>
      <c r="G1223" s="35">
        <v>45446.0</v>
      </c>
      <c r="H1223" s="34"/>
      <c r="I1223" s="34"/>
      <c r="J1223" s="34"/>
      <c r="K1223" s="34"/>
      <c r="L1223" s="34"/>
      <c r="M1223" s="33">
        <f>HYPERLINK("https://app.hubspot.com/contacts/8748051/record/0-2/19176688552", 19176688552)</f>
        <v>19176688552</v>
      </c>
      <c r="N1223" s="24" t="s">
        <v>6349</v>
      </c>
      <c r="O1223" s="34"/>
      <c r="P1223" s="34"/>
      <c r="Q1223" s="34"/>
      <c r="R1223" s="34"/>
      <c r="S1223" s="34"/>
      <c r="T1223" s="34" t="str">
        <f t="shared" ref="T1223:V1223" si="1228">IF(G1223&lt;&gt;"","Yes","")</f>
        <v>Yes</v>
      </c>
      <c r="U1223" s="34" t="str">
        <f t="shared" si="1228"/>
        <v/>
      </c>
      <c r="V1223" s="34" t="str">
        <f t="shared" si="1228"/>
        <v/>
      </c>
      <c r="W1223" s="34" t="str">
        <f t="shared" si="3"/>
        <v/>
      </c>
      <c r="X1223" s="24" t="str">
        <f t="shared" si="4"/>
        <v/>
      </c>
    </row>
    <row r="1224" ht="14.25" customHeight="1">
      <c r="A1224" s="33">
        <f>HYPERLINK("https://app.hubspot.com/contacts/8748051/record/0-1/26668269089", 26668269089)</f>
        <v>26668269089</v>
      </c>
      <c r="B1224" s="24" t="s">
        <v>6350</v>
      </c>
      <c r="C1224" s="34"/>
      <c r="D1224" s="24" t="s">
        <v>6351</v>
      </c>
      <c r="E1224" s="28" t="s">
        <v>1165</v>
      </c>
      <c r="F1224" s="34"/>
      <c r="G1224" s="35">
        <v>45446.0</v>
      </c>
      <c r="H1224" s="34"/>
      <c r="I1224" s="34"/>
      <c r="J1224" s="34"/>
      <c r="K1224" s="34"/>
      <c r="L1224" s="34"/>
      <c r="M1224" s="33">
        <f t="shared" ref="M1224:M1225" si="1230">HYPERLINK("https://app.hubspot.com/contacts/8748051/record/0-2/7914190947", 7914190947)</f>
        <v>7914190947</v>
      </c>
      <c r="N1224" s="24" t="s">
        <v>1164</v>
      </c>
      <c r="O1224" s="34"/>
      <c r="P1224" s="34"/>
      <c r="Q1224" s="34"/>
      <c r="R1224" s="34"/>
      <c r="S1224" s="34"/>
      <c r="T1224" s="34" t="str">
        <f t="shared" ref="T1224:V1224" si="1229">IF(G1224&lt;&gt;"","Yes","")</f>
        <v>Yes</v>
      </c>
      <c r="U1224" s="34" t="str">
        <f t="shared" si="1229"/>
        <v/>
      </c>
      <c r="V1224" s="34" t="str">
        <f t="shared" si="1229"/>
        <v/>
      </c>
      <c r="W1224" s="34" t="str">
        <f t="shared" si="3"/>
        <v/>
      </c>
      <c r="X1224" s="24" t="str">
        <f t="shared" si="4"/>
        <v/>
      </c>
    </row>
    <row r="1225" ht="14.25" customHeight="1">
      <c r="A1225" s="33">
        <f>HYPERLINK("https://app.hubspot.com/contacts/8748051/record/0-1/26750710854", 26750710854)</f>
        <v>26750710854</v>
      </c>
      <c r="B1225" s="24" t="s">
        <v>6352</v>
      </c>
      <c r="C1225" s="34"/>
      <c r="D1225" s="24" t="s">
        <v>6353</v>
      </c>
      <c r="E1225" s="28" t="s">
        <v>1165</v>
      </c>
      <c r="F1225" s="34"/>
      <c r="G1225" s="35">
        <v>45446.0</v>
      </c>
      <c r="H1225" s="34"/>
      <c r="I1225" s="34"/>
      <c r="J1225" s="34"/>
      <c r="K1225" s="34"/>
      <c r="L1225" s="34"/>
      <c r="M1225" s="33">
        <f t="shared" si="1230"/>
        <v>7914190947</v>
      </c>
      <c r="N1225" s="24" t="s">
        <v>1164</v>
      </c>
      <c r="O1225" s="34"/>
      <c r="P1225" s="34"/>
      <c r="Q1225" s="34"/>
      <c r="R1225" s="34"/>
      <c r="S1225" s="34"/>
      <c r="T1225" s="34" t="str">
        <f t="shared" ref="T1225:V1225" si="1231">IF(G1225&lt;&gt;"","Yes","")</f>
        <v>Yes</v>
      </c>
      <c r="U1225" s="34" t="str">
        <f t="shared" si="1231"/>
        <v/>
      </c>
      <c r="V1225" s="34" t="str">
        <f t="shared" si="1231"/>
        <v/>
      </c>
      <c r="W1225" s="34" t="str">
        <f t="shared" si="3"/>
        <v/>
      </c>
      <c r="X1225" s="24" t="str">
        <f t="shared" si="4"/>
        <v/>
      </c>
    </row>
    <row r="1226" ht="14.25" customHeight="1">
      <c r="A1226" s="33">
        <f>HYPERLINK("https://app.hubspot.com/contacts/8748051/record/0-1/26765935734", 26765935734)</f>
        <v>26765935734</v>
      </c>
      <c r="B1226" s="24" t="s">
        <v>6354</v>
      </c>
      <c r="C1226" s="34"/>
      <c r="D1226" s="24" t="s">
        <v>6355</v>
      </c>
      <c r="E1226" s="28" t="s">
        <v>2626</v>
      </c>
      <c r="F1226" s="34"/>
      <c r="G1226" s="35">
        <v>45446.0</v>
      </c>
      <c r="H1226" s="34"/>
      <c r="I1226" s="34"/>
      <c r="J1226" s="34"/>
      <c r="K1226" s="34"/>
      <c r="L1226" s="34"/>
      <c r="M1226" s="33">
        <f>HYPERLINK("https://app.hubspot.com/contacts/8748051/record/0-2/7946436488", 7946436488)</f>
        <v>7946436488</v>
      </c>
      <c r="N1226" s="24" t="s">
        <v>2625</v>
      </c>
      <c r="O1226" s="34"/>
      <c r="P1226" s="34"/>
      <c r="Q1226" s="34"/>
      <c r="R1226" s="34"/>
      <c r="S1226" s="34"/>
      <c r="T1226" s="34" t="str">
        <f t="shared" ref="T1226:V1226" si="1232">IF(G1226&lt;&gt;"","Yes","")</f>
        <v>Yes</v>
      </c>
      <c r="U1226" s="34" t="str">
        <f t="shared" si="1232"/>
        <v/>
      </c>
      <c r="V1226" s="34" t="str">
        <f t="shared" si="1232"/>
        <v/>
      </c>
      <c r="W1226" s="34" t="str">
        <f t="shared" si="3"/>
        <v/>
      </c>
      <c r="X1226" s="24" t="str">
        <f t="shared" si="4"/>
        <v/>
      </c>
    </row>
    <row r="1227" ht="14.25" customHeight="1">
      <c r="A1227" s="33">
        <f>HYPERLINK("https://app.hubspot.com/contacts/8748051/record/0-1/26783908259", 26783908259)</f>
        <v>26783908259</v>
      </c>
      <c r="B1227" s="24" t="s">
        <v>6356</v>
      </c>
      <c r="C1227" s="34"/>
      <c r="D1227" s="24" t="s">
        <v>6357</v>
      </c>
      <c r="E1227" s="28" t="s">
        <v>1639</v>
      </c>
      <c r="F1227" s="34"/>
      <c r="G1227" s="35">
        <v>45446.0</v>
      </c>
      <c r="H1227" s="35">
        <v>45455.0</v>
      </c>
      <c r="I1227" s="35">
        <v>45455.0</v>
      </c>
      <c r="J1227" s="34"/>
      <c r="K1227" s="34"/>
      <c r="L1227" s="34"/>
      <c r="M1227" s="33">
        <f>HYPERLINK("https://app.hubspot.com/contacts/8748051/record/0-2/9238276430", 9238276430)</f>
        <v>9238276430</v>
      </c>
      <c r="N1227" s="24" t="s">
        <v>1638</v>
      </c>
      <c r="O1227" s="33">
        <f>HYPERLINK("https://app.hubspot.com/contacts/8748051/record/0-3/20029394566", 20029394566)</f>
        <v>20029394566</v>
      </c>
      <c r="P1227" s="24" t="s">
        <v>1637</v>
      </c>
      <c r="Q1227" s="24" t="s">
        <v>73</v>
      </c>
      <c r="R1227" s="24">
        <v>164400.0</v>
      </c>
      <c r="S1227" s="34"/>
      <c r="T1227" s="34" t="str">
        <f t="shared" ref="T1227:V1227" si="1233">IF(G1227&lt;&gt;"","Yes","")</f>
        <v>Yes</v>
      </c>
      <c r="U1227" s="34" t="str">
        <f t="shared" si="1233"/>
        <v>Yes</v>
      </c>
      <c r="V1227" s="34" t="str">
        <f t="shared" si="1233"/>
        <v>Yes</v>
      </c>
      <c r="W1227" s="34" t="str">
        <f t="shared" si="3"/>
        <v/>
      </c>
      <c r="X1227" s="24" t="str">
        <f t="shared" si="4"/>
        <v/>
      </c>
    </row>
    <row r="1228" ht="14.25" customHeight="1">
      <c r="A1228" s="33">
        <f>HYPERLINK("https://app.hubspot.com/contacts/8748051/record/0-1/26861685941", 26861685941)</f>
        <v>26861685941</v>
      </c>
      <c r="B1228" s="24" t="s">
        <v>6358</v>
      </c>
      <c r="C1228" s="34"/>
      <c r="D1228" s="24" t="s">
        <v>6359</v>
      </c>
      <c r="E1228" s="28" t="s">
        <v>1674</v>
      </c>
      <c r="F1228" s="34"/>
      <c r="G1228" s="35">
        <v>45447.0</v>
      </c>
      <c r="H1228" s="35">
        <v>45448.0</v>
      </c>
      <c r="I1228" s="35">
        <v>45448.0</v>
      </c>
      <c r="J1228" s="34"/>
      <c r="K1228" s="34"/>
      <c r="L1228" s="34"/>
      <c r="M1228" s="33">
        <f>HYPERLINK("https://app.hubspot.com/contacts/8748051/record/0-2/8724318599", 8724318599)</f>
        <v>8724318599</v>
      </c>
      <c r="N1228" s="24" t="s">
        <v>1673</v>
      </c>
      <c r="O1228" s="33">
        <f>HYPERLINK("https://app.hubspot.com/contacts/8748051/record/0-3/19882762662", 19882762662)</f>
        <v>19882762662</v>
      </c>
      <c r="P1228" s="24" t="s">
        <v>1672</v>
      </c>
      <c r="Q1228" s="24" t="s">
        <v>73</v>
      </c>
      <c r="R1228" s="24">
        <v>17040.0</v>
      </c>
      <c r="S1228" s="34"/>
      <c r="T1228" s="34" t="str">
        <f t="shared" ref="T1228:V1228" si="1234">IF(G1228&lt;&gt;"","Yes","")</f>
        <v>Yes</v>
      </c>
      <c r="U1228" s="34" t="str">
        <f t="shared" si="1234"/>
        <v>Yes</v>
      </c>
      <c r="V1228" s="34" t="str">
        <f t="shared" si="1234"/>
        <v>Yes</v>
      </c>
      <c r="W1228" s="34" t="str">
        <f t="shared" si="3"/>
        <v/>
      </c>
      <c r="X1228" s="24" t="str">
        <f t="shared" si="4"/>
        <v/>
      </c>
    </row>
    <row r="1229" ht="14.25" customHeight="1">
      <c r="A1229" s="33">
        <f>HYPERLINK("https://app.hubspot.com/contacts/8748051/record/0-1/26863583852", 26863583852)</f>
        <v>26863583852</v>
      </c>
      <c r="B1229" s="24" t="s">
        <v>6360</v>
      </c>
      <c r="C1229" s="34"/>
      <c r="D1229" s="24" t="s">
        <v>6361</v>
      </c>
      <c r="E1229" s="28" t="s">
        <v>1651</v>
      </c>
      <c r="F1229" s="34"/>
      <c r="G1229" s="35">
        <v>45447.0</v>
      </c>
      <c r="H1229" s="34"/>
      <c r="I1229" s="34"/>
      <c r="J1229" s="34"/>
      <c r="K1229" s="34"/>
      <c r="L1229" s="34"/>
      <c r="M1229" s="33">
        <f>HYPERLINK("https://app.hubspot.com/contacts/8748051/record/0-2/8964769280", 8964769280)</f>
        <v>8964769280</v>
      </c>
      <c r="N1229" s="24" t="s">
        <v>1650</v>
      </c>
      <c r="O1229" s="34"/>
      <c r="P1229" s="34"/>
      <c r="Q1229" s="34"/>
      <c r="R1229" s="34"/>
      <c r="S1229" s="34"/>
      <c r="T1229" s="34" t="str">
        <f t="shared" ref="T1229:V1229" si="1235">IF(G1229&lt;&gt;"","Yes","")</f>
        <v>Yes</v>
      </c>
      <c r="U1229" s="34" t="str">
        <f t="shared" si="1235"/>
        <v/>
      </c>
      <c r="V1229" s="34" t="str">
        <f t="shared" si="1235"/>
        <v/>
      </c>
      <c r="W1229" s="34" t="str">
        <f t="shared" si="3"/>
        <v/>
      </c>
      <c r="X1229" s="24" t="str">
        <f t="shared" si="4"/>
        <v/>
      </c>
    </row>
    <row r="1230" ht="14.25" customHeight="1">
      <c r="A1230" s="33">
        <f>HYPERLINK("https://app.hubspot.com/contacts/8748051/record/0-1/27011443583", 27011443583)</f>
        <v>27011443583</v>
      </c>
      <c r="B1230" s="24" t="s">
        <v>6362</v>
      </c>
      <c r="C1230" s="34"/>
      <c r="D1230" s="24" t="s">
        <v>6363</v>
      </c>
      <c r="E1230" s="28" t="s">
        <v>6364</v>
      </c>
      <c r="F1230" s="34"/>
      <c r="G1230" s="35">
        <v>45447.0</v>
      </c>
      <c r="H1230" s="34"/>
      <c r="I1230" s="34"/>
      <c r="J1230" s="34"/>
      <c r="K1230" s="34"/>
      <c r="L1230" s="34"/>
      <c r="M1230" s="33">
        <f>HYPERLINK("https://app.hubspot.com/contacts/8748051/record/0-2/7752315397", 7752315397)</f>
        <v>7752315397</v>
      </c>
      <c r="N1230" s="24" t="s">
        <v>6365</v>
      </c>
      <c r="O1230" s="34"/>
      <c r="P1230" s="34"/>
      <c r="Q1230" s="34"/>
      <c r="R1230" s="34"/>
      <c r="S1230" s="34"/>
      <c r="T1230" s="34" t="str">
        <f t="shared" ref="T1230:V1230" si="1236">IF(G1230&lt;&gt;"","Yes","")</f>
        <v>Yes</v>
      </c>
      <c r="U1230" s="34" t="str">
        <f t="shared" si="1236"/>
        <v/>
      </c>
      <c r="V1230" s="34" t="str">
        <f t="shared" si="1236"/>
        <v/>
      </c>
      <c r="W1230" s="34" t="str">
        <f t="shared" si="3"/>
        <v/>
      </c>
      <c r="X1230" s="24" t="str">
        <f t="shared" si="4"/>
        <v/>
      </c>
    </row>
    <row r="1231" ht="14.25" customHeight="1">
      <c r="A1231" s="33">
        <f>HYPERLINK("https://app.hubspot.com/contacts/8748051/record/0-1/27020401292", 27020401292)</f>
        <v>27020401292</v>
      </c>
      <c r="B1231" s="24" t="s">
        <v>6366</v>
      </c>
      <c r="C1231" s="34"/>
      <c r="D1231" s="24" t="s">
        <v>6367</v>
      </c>
      <c r="E1231" s="28" t="s">
        <v>6368</v>
      </c>
      <c r="F1231" s="34"/>
      <c r="G1231" s="35">
        <v>45447.0</v>
      </c>
      <c r="H1231" s="34"/>
      <c r="I1231" s="34"/>
      <c r="J1231" s="34"/>
      <c r="K1231" s="34"/>
      <c r="L1231" s="34"/>
      <c r="M1231" s="33">
        <f>HYPERLINK("https://app.hubspot.com/contacts/8748051/record/0-2/6816534935", 6816534935)</f>
        <v>6816534935</v>
      </c>
      <c r="N1231" s="24" t="s">
        <v>6369</v>
      </c>
      <c r="O1231" s="34"/>
      <c r="P1231" s="34"/>
      <c r="Q1231" s="34"/>
      <c r="R1231" s="34"/>
      <c r="S1231" s="34"/>
      <c r="T1231" s="34" t="str">
        <f t="shared" ref="T1231:V1231" si="1237">IF(G1231&lt;&gt;"","Yes","")</f>
        <v>Yes</v>
      </c>
      <c r="U1231" s="34" t="str">
        <f t="shared" si="1237"/>
        <v/>
      </c>
      <c r="V1231" s="34" t="str">
        <f t="shared" si="1237"/>
        <v/>
      </c>
      <c r="W1231" s="34" t="str">
        <f t="shared" si="3"/>
        <v/>
      </c>
      <c r="X1231" s="24" t="str">
        <f t="shared" si="4"/>
        <v/>
      </c>
    </row>
    <row r="1232" ht="14.25" customHeight="1">
      <c r="A1232" s="33">
        <f>HYPERLINK("https://app.hubspot.com/contacts/8748051/record/0-1/27024652650", 27024652650)</f>
        <v>27024652650</v>
      </c>
      <c r="B1232" s="24" t="s">
        <v>6370</v>
      </c>
      <c r="C1232" s="34"/>
      <c r="D1232" s="24" t="s">
        <v>6371</v>
      </c>
      <c r="E1232" s="28" t="s">
        <v>6372</v>
      </c>
      <c r="F1232" s="34"/>
      <c r="G1232" s="35">
        <v>45447.0</v>
      </c>
      <c r="H1232" s="34"/>
      <c r="I1232" s="34"/>
      <c r="J1232" s="34"/>
      <c r="K1232" s="34"/>
      <c r="L1232" s="34"/>
      <c r="M1232" s="33">
        <f>HYPERLINK("https://app.hubspot.com/contacts/8748051/record/0-2/9238357896", 9238357896)</f>
        <v>9238357896</v>
      </c>
      <c r="N1232" s="24" t="s">
        <v>6373</v>
      </c>
      <c r="O1232" s="34"/>
      <c r="P1232" s="34"/>
      <c r="Q1232" s="34"/>
      <c r="R1232" s="34"/>
      <c r="S1232" s="34"/>
      <c r="T1232" s="34" t="str">
        <f t="shared" ref="T1232:V1232" si="1238">IF(G1232&lt;&gt;"","Yes","")</f>
        <v>Yes</v>
      </c>
      <c r="U1232" s="34" t="str">
        <f t="shared" si="1238"/>
        <v/>
      </c>
      <c r="V1232" s="34" t="str">
        <f t="shared" si="1238"/>
        <v/>
      </c>
      <c r="W1232" s="34" t="str">
        <f t="shared" si="3"/>
        <v/>
      </c>
      <c r="X1232" s="24" t="str">
        <f t="shared" si="4"/>
        <v/>
      </c>
    </row>
    <row r="1233" ht="14.25" customHeight="1">
      <c r="A1233" s="33">
        <f>HYPERLINK("https://app.hubspot.com/contacts/8748051/record/0-1/27377708970", 27377708970)</f>
        <v>27377708970</v>
      </c>
      <c r="B1233" s="24" t="s">
        <v>6374</v>
      </c>
      <c r="C1233" s="34"/>
      <c r="D1233" s="24" t="s">
        <v>6375</v>
      </c>
      <c r="E1233" s="28" t="s">
        <v>549</v>
      </c>
      <c r="F1233" s="34"/>
      <c r="G1233" s="35">
        <v>45449.0</v>
      </c>
      <c r="H1233" s="34"/>
      <c r="I1233" s="34"/>
      <c r="J1233" s="34"/>
      <c r="K1233" s="34"/>
      <c r="L1233" s="34"/>
      <c r="M1233" s="33">
        <f>HYPERLINK("https://app.hubspot.com/contacts/8748051/record/0-2/8142843932", 8142843932)</f>
        <v>8142843932</v>
      </c>
      <c r="N1233" s="24" t="s">
        <v>548</v>
      </c>
      <c r="O1233" s="34"/>
      <c r="P1233" s="34"/>
      <c r="Q1233" s="34"/>
      <c r="R1233" s="34"/>
      <c r="S1233" s="34"/>
      <c r="T1233" s="34" t="str">
        <f t="shared" ref="T1233:V1233" si="1239">IF(G1233&lt;&gt;"","Yes","")</f>
        <v>Yes</v>
      </c>
      <c r="U1233" s="34" t="str">
        <f t="shared" si="1239"/>
        <v/>
      </c>
      <c r="V1233" s="34" t="str">
        <f t="shared" si="1239"/>
        <v/>
      </c>
      <c r="W1233" s="34" t="str">
        <f t="shared" si="3"/>
        <v/>
      </c>
      <c r="X1233" s="24" t="str">
        <f t="shared" si="4"/>
        <v/>
      </c>
    </row>
    <row r="1234" ht="14.25" customHeight="1">
      <c r="A1234" s="33">
        <f>HYPERLINK("https://app.hubspot.com/contacts/8748051/record/0-1/27425270648", 27425270648)</f>
        <v>27425270648</v>
      </c>
      <c r="B1234" s="24" t="s">
        <v>6376</v>
      </c>
      <c r="C1234" s="34"/>
      <c r="D1234" s="24" t="s">
        <v>6377</v>
      </c>
      <c r="E1234" s="28" t="s">
        <v>3185</v>
      </c>
      <c r="F1234" s="34"/>
      <c r="G1234" s="35">
        <v>45449.0</v>
      </c>
      <c r="H1234" s="34"/>
      <c r="I1234" s="34"/>
      <c r="J1234" s="34"/>
      <c r="K1234" s="34"/>
      <c r="L1234" s="34"/>
      <c r="M1234" s="33">
        <f>HYPERLINK("https://app.hubspot.com/contacts/8748051/record/0-2/6262678349", 6262678349)</f>
        <v>6262678349</v>
      </c>
      <c r="N1234" s="28" t="s">
        <v>3183</v>
      </c>
      <c r="O1234" s="34"/>
      <c r="P1234" s="34"/>
      <c r="Q1234" s="34"/>
      <c r="R1234" s="34"/>
      <c r="S1234" s="34"/>
      <c r="T1234" s="34" t="str">
        <f t="shared" ref="T1234:V1234" si="1240">IF(G1234&lt;&gt;"","Yes","")</f>
        <v>Yes</v>
      </c>
      <c r="U1234" s="34" t="str">
        <f t="shared" si="1240"/>
        <v/>
      </c>
      <c r="V1234" s="34" t="str">
        <f t="shared" si="1240"/>
        <v/>
      </c>
      <c r="W1234" s="34" t="str">
        <f t="shared" si="3"/>
        <v/>
      </c>
      <c r="X1234" s="24" t="str">
        <f t="shared" si="4"/>
        <v/>
      </c>
    </row>
    <row r="1235" ht="14.25" customHeight="1">
      <c r="A1235" s="33">
        <f>HYPERLINK("https://app.hubspot.com/contacts/8748051/record/0-1/27450694982", 27450694982)</f>
        <v>27450694982</v>
      </c>
      <c r="B1235" s="24" t="s">
        <v>6378</v>
      </c>
      <c r="C1235" s="34"/>
      <c r="D1235" s="24" t="s">
        <v>6379</v>
      </c>
      <c r="E1235" s="28" t="s">
        <v>1642</v>
      </c>
      <c r="F1235" s="34"/>
      <c r="G1235" s="35">
        <v>45449.0</v>
      </c>
      <c r="H1235" s="35">
        <v>45455.0</v>
      </c>
      <c r="I1235" s="35">
        <v>45455.0</v>
      </c>
      <c r="J1235" s="34"/>
      <c r="K1235" s="34"/>
      <c r="L1235" s="34"/>
      <c r="M1235" s="33">
        <f>HYPERLINK("https://app.hubspot.com/contacts/8748051/record/0-2/8791664444", 8791664444)</f>
        <v>8791664444</v>
      </c>
      <c r="N1235" s="24" t="s">
        <v>1641</v>
      </c>
      <c r="O1235" s="33">
        <f>HYPERLINK("https://app.hubspot.com/contacts/8748051/record/0-3/20029087321", 20029087321)</f>
        <v>20029087321</v>
      </c>
      <c r="P1235" s="24" t="s">
        <v>1640</v>
      </c>
      <c r="Q1235" s="24" t="s">
        <v>73</v>
      </c>
      <c r="R1235" s="24">
        <v>57120.0</v>
      </c>
      <c r="S1235" s="34"/>
      <c r="T1235" s="34" t="str">
        <f t="shared" ref="T1235:V1235" si="1241">IF(G1235&lt;&gt;"","Yes","")</f>
        <v>Yes</v>
      </c>
      <c r="U1235" s="34" t="str">
        <f t="shared" si="1241"/>
        <v>Yes</v>
      </c>
      <c r="V1235" s="34" t="str">
        <f t="shared" si="1241"/>
        <v>Yes</v>
      </c>
      <c r="W1235" s="34" t="str">
        <f t="shared" si="3"/>
        <v/>
      </c>
      <c r="X1235" s="24" t="str">
        <f t="shared" si="4"/>
        <v/>
      </c>
    </row>
    <row r="1236" ht="14.25" customHeight="1">
      <c r="A1236" s="33">
        <f>HYPERLINK("https://app.hubspot.com/contacts/8748051/record/0-1/27476377989", 27476377989)</f>
        <v>27476377989</v>
      </c>
      <c r="B1236" s="24" t="s">
        <v>6380</v>
      </c>
      <c r="C1236" s="34"/>
      <c r="D1236" s="24" t="s">
        <v>6381</v>
      </c>
      <c r="E1236" s="28" t="s">
        <v>6382</v>
      </c>
      <c r="F1236" s="34"/>
      <c r="G1236" s="35">
        <v>45449.0</v>
      </c>
      <c r="H1236" s="34"/>
      <c r="I1236" s="34"/>
      <c r="J1236" s="34"/>
      <c r="K1236" s="34"/>
      <c r="L1236" s="34"/>
      <c r="M1236" s="33">
        <f>HYPERLINK("https://app.hubspot.com/contacts/8748051/record/0-2/8991006513", 8991006513)</f>
        <v>8991006513</v>
      </c>
      <c r="N1236" s="24" t="s">
        <v>6383</v>
      </c>
      <c r="O1236" s="34"/>
      <c r="P1236" s="34"/>
      <c r="Q1236" s="34"/>
      <c r="R1236" s="34"/>
      <c r="S1236" s="34"/>
      <c r="T1236" s="34" t="str">
        <f t="shared" ref="T1236:V1236" si="1242">IF(G1236&lt;&gt;"","Yes","")</f>
        <v>Yes</v>
      </c>
      <c r="U1236" s="34" t="str">
        <f t="shared" si="1242"/>
        <v/>
      </c>
      <c r="V1236" s="34" t="str">
        <f t="shared" si="1242"/>
        <v/>
      </c>
      <c r="W1236" s="34" t="str">
        <f t="shared" si="3"/>
        <v/>
      </c>
      <c r="X1236" s="24" t="str">
        <f t="shared" si="4"/>
        <v/>
      </c>
    </row>
    <row r="1237" ht="14.25" customHeight="1">
      <c r="A1237" s="33">
        <f>HYPERLINK("https://app.hubspot.com/contacts/8748051/record/0-1/27509346233", 27509346233)</f>
        <v>27509346233</v>
      </c>
      <c r="B1237" s="24" t="s">
        <v>6384</v>
      </c>
      <c r="C1237" s="34"/>
      <c r="D1237" s="24" t="s">
        <v>6385</v>
      </c>
      <c r="E1237" s="28" t="s">
        <v>6386</v>
      </c>
      <c r="F1237" s="34"/>
      <c r="G1237" s="35">
        <v>45449.0</v>
      </c>
      <c r="H1237" s="34"/>
      <c r="I1237" s="34"/>
      <c r="J1237" s="34"/>
      <c r="K1237" s="34"/>
      <c r="L1237" s="34"/>
      <c r="M1237" s="33">
        <f>HYPERLINK("https://app.hubspot.com/contacts/8748051/record/0-2/19176524584", 19176524584)</f>
        <v>19176524584</v>
      </c>
      <c r="N1237" s="24" t="s">
        <v>6387</v>
      </c>
      <c r="O1237" s="34"/>
      <c r="P1237" s="34"/>
      <c r="Q1237" s="34"/>
      <c r="R1237" s="34"/>
      <c r="S1237" s="34"/>
      <c r="T1237" s="34" t="str">
        <f t="shared" ref="T1237:V1237" si="1243">IF(G1237&lt;&gt;"","Yes","")</f>
        <v>Yes</v>
      </c>
      <c r="U1237" s="34" t="str">
        <f t="shared" si="1243"/>
        <v/>
      </c>
      <c r="V1237" s="34" t="str">
        <f t="shared" si="1243"/>
        <v/>
      </c>
      <c r="W1237" s="34" t="str">
        <f t="shared" si="3"/>
        <v/>
      </c>
      <c r="X1237" s="24" t="str">
        <f t="shared" si="4"/>
        <v/>
      </c>
    </row>
    <row r="1238" ht="14.25" customHeight="1">
      <c r="A1238" s="33">
        <f>HYPERLINK("https://app.hubspot.com/contacts/8748051/record/0-1/27599725639", 27599725639)</f>
        <v>27599725639</v>
      </c>
      <c r="B1238" s="24" t="s">
        <v>6388</v>
      </c>
      <c r="C1238" s="34"/>
      <c r="D1238" s="24" t="s">
        <v>6389</v>
      </c>
      <c r="E1238" s="28" t="s">
        <v>6390</v>
      </c>
      <c r="F1238" s="34"/>
      <c r="G1238" s="35">
        <v>45449.0</v>
      </c>
      <c r="H1238" s="34"/>
      <c r="I1238" s="34"/>
      <c r="J1238" s="34"/>
      <c r="K1238" s="34"/>
      <c r="L1238" s="34"/>
      <c r="M1238" s="33">
        <f>HYPERLINK("https://app.hubspot.com/contacts/8748051/record/0-2/30038830225", 30038830225)</f>
        <v>30038830225</v>
      </c>
      <c r="N1238" s="24" t="s">
        <v>6391</v>
      </c>
      <c r="O1238" s="34"/>
      <c r="P1238" s="34"/>
      <c r="Q1238" s="34"/>
      <c r="R1238" s="34"/>
      <c r="S1238" s="34"/>
      <c r="T1238" s="34" t="str">
        <f t="shared" ref="T1238:V1238" si="1244">IF(G1238&lt;&gt;"","Yes","")</f>
        <v>Yes</v>
      </c>
      <c r="U1238" s="34" t="str">
        <f t="shared" si="1244"/>
        <v/>
      </c>
      <c r="V1238" s="34" t="str">
        <f t="shared" si="1244"/>
        <v/>
      </c>
      <c r="W1238" s="34" t="str">
        <f t="shared" si="3"/>
        <v/>
      </c>
      <c r="X1238" s="24" t="str">
        <f t="shared" si="4"/>
        <v/>
      </c>
    </row>
    <row r="1239" ht="14.25" customHeight="1">
      <c r="A1239" s="33">
        <f>HYPERLINK("https://app.hubspot.com/contacts/8748051/record/0-1/27767007412", 27767007412)</f>
        <v>27767007412</v>
      </c>
      <c r="B1239" s="24" t="s">
        <v>6392</v>
      </c>
      <c r="C1239" s="34"/>
      <c r="D1239" s="24" t="s">
        <v>6393</v>
      </c>
      <c r="E1239" s="28" t="s">
        <v>6394</v>
      </c>
      <c r="F1239" s="34"/>
      <c r="G1239" s="35">
        <v>45449.0</v>
      </c>
      <c r="H1239" s="34"/>
      <c r="I1239" s="34"/>
      <c r="J1239" s="34"/>
      <c r="K1239" s="34"/>
      <c r="L1239" s="34"/>
      <c r="M1239" s="33">
        <f>HYPERLINK("https://app.hubspot.com/contacts/8748051/record/0-2/7823720021", 7823720021)</f>
        <v>7823720021</v>
      </c>
      <c r="N1239" s="24" t="s">
        <v>6395</v>
      </c>
      <c r="O1239" s="34"/>
      <c r="P1239" s="34"/>
      <c r="Q1239" s="34"/>
      <c r="R1239" s="34"/>
      <c r="S1239" s="34"/>
      <c r="T1239" s="34" t="str">
        <f t="shared" ref="T1239:V1239" si="1245">IF(G1239&lt;&gt;"","Yes","")</f>
        <v>Yes</v>
      </c>
      <c r="U1239" s="34" t="str">
        <f t="shared" si="1245"/>
        <v/>
      </c>
      <c r="V1239" s="34" t="str">
        <f t="shared" si="1245"/>
        <v/>
      </c>
      <c r="W1239" s="34" t="str">
        <f t="shared" si="3"/>
        <v/>
      </c>
      <c r="X1239" s="24" t="str">
        <f t="shared" si="4"/>
        <v/>
      </c>
    </row>
    <row r="1240" ht="14.25" customHeight="1">
      <c r="A1240" s="33">
        <f>HYPERLINK("https://app.hubspot.com/contacts/8748051/record/0-1/27783764042", 27783764042)</f>
        <v>27783764042</v>
      </c>
      <c r="B1240" s="24" t="s">
        <v>6396</v>
      </c>
      <c r="C1240" s="34"/>
      <c r="D1240" s="24" t="s">
        <v>6397</v>
      </c>
      <c r="E1240" s="28" t="s">
        <v>738</v>
      </c>
      <c r="F1240" s="34"/>
      <c r="G1240" s="35">
        <v>45449.0</v>
      </c>
      <c r="H1240" s="34"/>
      <c r="I1240" s="34"/>
      <c r="J1240" s="34"/>
      <c r="K1240" s="34"/>
      <c r="L1240" s="34"/>
      <c r="M1240" s="33">
        <f>HYPERLINK("https://app.hubspot.com/contacts/8748051/record/0-2/8816890039", 8816890039)</f>
        <v>8816890039</v>
      </c>
      <c r="N1240" s="24" t="s">
        <v>737</v>
      </c>
      <c r="O1240" s="34"/>
      <c r="P1240" s="34"/>
      <c r="Q1240" s="34"/>
      <c r="R1240" s="34"/>
      <c r="S1240" s="34"/>
      <c r="T1240" s="34" t="str">
        <f t="shared" ref="T1240:V1240" si="1246">IF(G1240&lt;&gt;"","Yes","")</f>
        <v>Yes</v>
      </c>
      <c r="U1240" s="34" t="str">
        <f t="shared" si="1246"/>
        <v/>
      </c>
      <c r="V1240" s="34" t="str">
        <f t="shared" si="1246"/>
        <v/>
      </c>
      <c r="W1240" s="34" t="str">
        <f t="shared" si="3"/>
        <v/>
      </c>
      <c r="X1240" s="24" t="str">
        <f t="shared" si="4"/>
        <v/>
      </c>
    </row>
    <row r="1241" ht="14.25" customHeight="1">
      <c r="A1241" s="33">
        <f>HYPERLINK("https://app.hubspot.com/contacts/8748051/record/0-1/27849576083", 27849576083)</f>
        <v>27849576083</v>
      </c>
      <c r="B1241" s="24" t="s">
        <v>6398</v>
      </c>
      <c r="C1241" s="34"/>
      <c r="D1241" s="24" t="s">
        <v>6399</v>
      </c>
      <c r="E1241" s="28" t="s">
        <v>6400</v>
      </c>
      <c r="F1241" s="34"/>
      <c r="G1241" s="35">
        <v>45450.0</v>
      </c>
      <c r="H1241" s="34"/>
      <c r="I1241" s="34"/>
      <c r="J1241" s="34"/>
      <c r="K1241" s="34"/>
      <c r="L1241" s="34"/>
      <c r="M1241" s="33">
        <f>HYPERLINK("https://app.hubspot.com/contacts/8748051/record/0-2/14810023055", 14810023055)</f>
        <v>14810023055</v>
      </c>
      <c r="N1241" s="24" t="s">
        <v>6401</v>
      </c>
      <c r="O1241" s="34"/>
      <c r="P1241" s="34"/>
      <c r="Q1241" s="34"/>
      <c r="R1241" s="34"/>
      <c r="S1241" s="34"/>
      <c r="T1241" s="34" t="str">
        <f t="shared" ref="T1241:V1241" si="1247">IF(G1241&lt;&gt;"","Yes","")</f>
        <v>Yes</v>
      </c>
      <c r="U1241" s="34" t="str">
        <f t="shared" si="1247"/>
        <v/>
      </c>
      <c r="V1241" s="34" t="str">
        <f t="shared" si="1247"/>
        <v/>
      </c>
      <c r="W1241" s="34" t="str">
        <f t="shared" si="3"/>
        <v/>
      </c>
      <c r="X1241" s="24" t="str">
        <f t="shared" si="4"/>
        <v/>
      </c>
    </row>
    <row r="1242" ht="14.25" customHeight="1">
      <c r="A1242" s="33">
        <f>HYPERLINK("https://app.hubspot.com/contacts/8748051/record/0-1/27854058928", 27854058928)</f>
        <v>27854058928</v>
      </c>
      <c r="B1242" s="24" t="s">
        <v>6402</v>
      </c>
      <c r="C1242" s="34"/>
      <c r="D1242" s="24" t="s">
        <v>6403</v>
      </c>
      <c r="E1242" s="28" t="s">
        <v>6404</v>
      </c>
      <c r="F1242" s="34"/>
      <c r="G1242" s="35">
        <v>45450.0</v>
      </c>
      <c r="H1242" s="34"/>
      <c r="I1242" s="34"/>
      <c r="J1242" s="34"/>
      <c r="K1242" s="34"/>
      <c r="L1242" s="34"/>
      <c r="M1242" s="33">
        <f>HYPERLINK("https://app.hubspot.com/contacts/8748051/record/0-2/7934439315", 7934439315)</f>
        <v>7934439315</v>
      </c>
      <c r="N1242" s="24" t="s">
        <v>6405</v>
      </c>
      <c r="O1242" s="34"/>
      <c r="P1242" s="34"/>
      <c r="Q1242" s="34"/>
      <c r="R1242" s="34"/>
      <c r="S1242" s="34"/>
      <c r="T1242" s="34" t="str">
        <f t="shared" ref="T1242:V1242" si="1248">IF(G1242&lt;&gt;"","Yes","")</f>
        <v>Yes</v>
      </c>
      <c r="U1242" s="34" t="str">
        <f t="shared" si="1248"/>
        <v/>
      </c>
      <c r="V1242" s="34" t="str">
        <f t="shared" si="1248"/>
        <v/>
      </c>
      <c r="W1242" s="34" t="str">
        <f t="shared" si="3"/>
        <v/>
      </c>
      <c r="X1242" s="24" t="str">
        <f t="shared" si="4"/>
        <v/>
      </c>
    </row>
    <row r="1243" ht="14.25" customHeight="1">
      <c r="A1243" s="33">
        <f>HYPERLINK("https://app.hubspot.com/contacts/8748051/record/0-1/27988345483", 27988345483)</f>
        <v>27988345483</v>
      </c>
      <c r="B1243" s="24" t="s">
        <v>6406</v>
      </c>
      <c r="C1243" s="34"/>
      <c r="D1243" s="24" t="s">
        <v>6407</v>
      </c>
      <c r="E1243" s="28" t="s">
        <v>1131</v>
      </c>
      <c r="F1243" s="34"/>
      <c r="G1243" s="35">
        <v>45450.0</v>
      </c>
      <c r="H1243" s="34"/>
      <c r="I1243" s="34"/>
      <c r="J1243" s="34"/>
      <c r="K1243" s="34"/>
      <c r="L1243" s="34"/>
      <c r="M1243" s="33">
        <f>HYPERLINK("https://app.hubspot.com/contacts/8748051/record/0-2/16376195482", 16376195482)</f>
        <v>16376195482</v>
      </c>
      <c r="N1243" s="24" t="s">
        <v>1130</v>
      </c>
      <c r="O1243" s="34"/>
      <c r="P1243" s="34"/>
      <c r="Q1243" s="34"/>
      <c r="R1243" s="34"/>
      <c r="S1243" s="34"/>
      <c r="T1243" s="34" t="str">
        <f t="shared" ref="T1243:V1243" si="1249">IF(G1243&lt;&gt;"","Yes","")</f>
        <v>Yes</v>
      </c>
      <c r="U1243" s="34" t="str">
        <f t="shared" si="1249"/>
        <v/>
      </c>
      <c r="V1243" s="34" t="str">
        <f t="shared" si="1249"/>
        <v/>
      </c>
      <c r="W1243" s="34" t="str">
        <f t="shared" si="3"/>
        <v/>
      </c>
      <c r="X1243" s="24" t="str">
        <f t="shared" si="4"/>
        <v/>
      </c>
    </row>
    <row r="1244" ht="14.25" customHeight="1">
      <c r="A1244" s="33">
        <f>HYPERLINK("https://app.hubspot.com/contacts/8748051/record/0-1/28022894614", 28022894614)</f>
        <v>28022894614</v>
      </c>
      <c r="B1244" s="24" t="s">
        <v>6408</v>
      </c>
      <c r="C1244" s="34"/>
      <c r="D1244" s="24" t="s">
        <v>6409</v>
      </c>
      <c r="E1244" s="28" t="s">
        <v>1946</v>
      </c>
      <c r="F1244" s="34"/>
      <c r="G1244" s="35">
        <v>45450.0</v>
      </c>
      <c r="H1244" s="34"/>
      <c r="I1244" s="34"/>
      <c r="J1244" s="34"/>
      <c r="K1244" s="34"/>
      <c r="L1244" s="34"/>
      <c r="M1244" s="33">
        <f>HYPERLINK("https://app.hubspot.com/contacts/8748051/record/0-2/7420318749", 7420318749)</f>
        <v>7420318749</v>
      </c>
      <c r="N1244" s="24" t="s">
        <v>1945</v>
      </c>
      <c r="O1244" s="33">
        <f>HYPERLINK("https://app.hubspot.com/contacts/8748051/record/0-3/18403770891", 18403770891)</f>
        <v>18403770891</v>
      </c>
      <c r="P1244" s="24" t="s">
        <v>1944</v>
      </c>
      <c r="Q1244" s="24" t="s">
        <v>127</v>
      </c>
      <c r="R1244" s="24">
        <v>75000.0</v>
      </c>
      <c r="S1244" s="24" t="b">
        <v>1</v>
      </c>
      <c r="T1244" s="34" t="str">
        <f t="shared" ref="T1244:V1244" si="1250">IF(G1244&lt;&gt;"","Yes","")</f>
        <v>Yes</v>
      </c>
      <c r="U1244" s="34" t="str">
        <f t="shared" si="1250"/>
        <v/>
      </c>
      <c r="V1244" s="34" t="str">
        <f t="shared" si="1250"/>
        <v/>
      </c>
      <c r="W1244" s="34" t="str">
        <f t="shared" si="3"/>
        <v/>
      </c>
      <c r="X1244" s="24" t="str">
        <f t="shared" si="4"/>
        <v/>
      </c>
    </row>
    <row r="1245" ht="14.25" customHeight="1">
      <c r="A1245" s="33">
        <f>HYPERLINK("https://app.hubspot.com/contacts/8748051/record/0-1/28073478942", 28073478942)</f>
        <v>28073478942</v>
      </c>
      <c r="B1245" s="24" t="s">
        <v>6410</v>
      </c>
      <c r="C1245" s="34"/>
      <c r="D1245" s="24" t="s">
        <v>6411</v>
      </c>
      <c r="E1245" s="28" t="s">
        <v>6412</v>
      </c>
      <c r="F1245" s="34"/>
      <c r="G1245" s="35">
        <v>45450.0</v>
      </c>
      <c r="H1245" s="34"/>
      <c r="I1245" s="34"/>
      <c r="J1245" s="34"/>
      <c r="K1245" s="34"/>
      <c r="L1245" s="34"/>
      <c r="M1245" s="33">
        <f>HYPERLINK("https://app.hubspot.com/contacts/8748051/record/0-2/6262832239", 6262832239)</f>
        <v>6262832239</v>
      </c>
      <c r="N1245" s="24" t="s">
        <v>6413</v>
      </c>
      <c r="O1245" s="34"/>
      <c r="P1245" s="34"/>
      <c r="Q1245" s="34"/>
      <c r="R1245" s="34"/>
      <c r="S1245" s="34"/>
      <c r="T1245" s="34" t="str">
        <f t="shared" ref="T1245:V1245" si="1251">IF(G1245&lt;&gt;"","Yes","")</f>
        <v>Yes</v>
      </c>
      <c r="U1245" s="34" t="str">
        <f t="shared" si="1251"/>
        <v/>
      </c>
      <c r="V1245" s="34" t="str">
        <f t="shared" si="1251"/>
        <v/>
      </c>
      <c r="W1245" s="34" t="str">
        <f t="shared" si="3"/>
        <v/>
      </c>
      <c r="X1245" s="24" t="str">
        <f t="shared" si="4"/>
        <v/>
      </c>
    </row>
    <row r="1246" ht="14.25" customHeight="1">
      <c r="A1246" s="33">
        <f>HYPERLINK("https://app.hubspot.com/contacts/8748051/record/0-1/28428611088", 28428611088)</f>
        <v>28428611088</v>
      </c>
      <c r="B1246" s="24" t="s">
        <v>6414</v>
      </c>
      <c r="C1246" s="34"/>
      <c r="D1246" s="24" t="s">
        <v>6415</v>
      </c>
      <c r="E1246" s="28" t="s">
        <v>1586</v>
      </c>
      <c r="F1246" s="34"/>
      <c r="G1246" s="35">
        <v>45453.0</v>
      </c>
      <c r="H1246" s="35">
        <v>45482.0</v>
      </c>
      <c r="I1246" s="35">
        <v>45482.0</v>
      </c>
      <c r="J1246" s="34"/>
      <c r="K1246" s="34"/>
      <c r="L1246" s="34"/>
      <c r="M1246" s="33">
        <f>HYPERLINK("https://app.hubspot.com/contacts/8748051/record/0-2/8142475653", 8142475653)</f>
        <v>8142475653</v>
      </c>
      <c r="N1246" s="24" t="s">
        <v>1585</v>
      </c>
      <c r="O1246" s="33">
        <f>HYPERLINK("https://app.hubspot.com/contacts/8748051/record/0-3/20464248171", 20464248171)</f>
        <v>20464248171</v>
      </c>
      <c r="P1246" s="24" t="s">
        <v>1584</v>
      </c>
      <c r="Q1246" s="24" t="s">
        <v>73</v>
      </c>
      <c r="R1246" s="24">
        <v>24720.0</v>
      </c>
      <c r="S1246" s="34"/>
      <c r="T1246" s="34" t="str">
        <f t="shared" ref="T1246:V1246" si="1252">IF(G1246&lt;&gt;"","Yes","")</f>
        <v>Yes</v>
      </c>
      <c r="U1246" s="34" t="str">
        <f t="shared" si="1252"/>
        <v>Yes</v>
      </c>
      <c r="V1246" s="34" t="str">
        <f t="shared" si="1252"/>
        <v>Yes</v>
      </c>
      <c r="W1246" s="34" t="str">
        <f t="shared" si="3"/>
        <v/>
      </c>
      <c r="X1246" s="24" t="str">
        <f t="shared" si="4"/>
        <v/>
      </c>
    </row>
    <row r="1247" ht="14.25" customHeight="1">
      <c r="A1247" s="33">
        <f>HYPERLINK("https://app.hubspot.com/contacts/8748051/record/0-1/28597511481", 28597511481)</f>
        <v>28597511481</v>
      </c>
      <c r="B1247" s="24" t="s">
        <v>6416</v>
      </c>
      <c r="C1247" s="34"/>
      <c r="D1247" s="24" t="s">
        <v>6417</v>
      </c>
      <c r="E1247" s="28" t="s">
        <v>6418</v>
      </c>
      <c r="F1247" s="34"/>
      <c r="G1247" s="35">
        <v>45453.0</v>
      </c>
      <c r="H1247" s="34"/>
      <c r="I1247" s="34"/>
      <c r="J1247" s="34"/>
      <c r="K1247" s="34"/>
      <c r="L1247" s="34"/>
      <c r="M1247" s="33">
        <f>HYPERLINK("https://app.hubspot.com/contacts/8748051/record/0-2/9132315719", 9132315719)</f>
        <v>9132315719</v>
      </c>
      <c r="N1247" s="24" t="s">
        <v>6419</v>
      </c>
      <c r="O1247" s="34"/>
      <c r="P1247" s="34"/>
      <c r="Q1247" s="34"/>
      <c r="R1247" s="34"/>
      <c r="S1247" s="34"/>
      <c r="T1247" s="34" t="str">
        <f t="shared" ref="T1247:V1247" si="1253">IF(G1247&lt;&gt;"","Yes","")</f>
        <v>Yes</v>
      </c>
      <c r="U1247" s="34" t="str">
        <f t="shared" si="1253"/>
        <v/>
      </c>
      <c r="V1247" s="34" t="str">
        <f t="shared" si="1253"/>
        <v/>
      </c>
      <c r="W1247" s="34" t="str">
        <f t="shared" si="3"/>
        <v/>
      </c>
      <c r="X1247" s="24" t="str">
        <f t="shared" si="4"/>
        <v/>
      </c>
    </row>
    <row r="1248" ht="14.25" customHeight="1">
      <c r="A1248" s="33">
        <f>HYPERLINK("https://app.hubspot.com/contacts/8748051/record/0-1/28682057303", 28682057303)</f>
        <v>28682057303</v>
      </c>
      <c r="B1248" s="24" t="s">
        <v>6420</v>
      </c>
      <c r="C1248" s="34"/>
      <c r="D1248" s="24" t="s">
        <v>6421</v>
      </c>
      <c r="E1248" s="28" t="s">
        <v>6422</v>
      </c>
      <c r="F1248" s="24" t="s">
        <v>6423</v>
      </c>
      <c r="G1248" s="34"/>
      <c r="H1248" s="34"/>
      <c r="I1248" s="34"/>
      <c r="J1248" s="34"/>
      <c r="K1248" s="34"/>
      <c r="L1248" s="34"/>
      <c r="M1248" s="33">
        <f>HYPERLINK("https://app.hubspot.com/contacts/8748051/record/0-2/9238407440", 9238407440)</f>
        <v>9238407440</v>
      </c>
      <c r="N1248" s="24" t="s">
        <v>6424</v>
      </c>
      <c r="O1248" s="34"/>
      <c r="P1248" s="34"/>
      <c r="Q1248" s="34"/>
      <c r="R1248" s="34"/>
      <c r="S1248" s="34"/>
      <c r="T1248" s="34" t="str">
        <f t="shared" ref="T1248:V1248" si="1254">IF(G1248&lt;&gt;"","Yes","")</f>
        <v/>
      </c>
      <c r="U1248" s="34" t="str">
        <f t="shared" si="1254"/>
        <v/>
      </c>
      <c r="V1248" s="34" t="str">
        <f t="shared" si="1254"/>
        <v/>
      </c>
      <c r="W1248" s="34" t="str">
        <f t="shared" si="3"/>
        <v/>
      </c>
      <c r="X1248" s="24" t="str">
        <f t="shared" si="4"/>
        <v/>
      </c>
    </row>
    <row r="1249" ht="14.25" customHeight="1">
      <c r="A1249" s="33">
        <f>HYPERLINK("https://app.hubspot.com/contacts/8748051/record/0-1/28721028644", 28721028644)</f>
        <v>28721028644</v>
      </c>
      <c r="B1249" s="24" t="s">
        <v>6425</v>
      </c>
      <c r="C1249" s="34"/>
      <c r="D1249" s="24" t="s">
        <v>6426</v>
      </c>
      <c r="E1249" s="28" t="s">
        <v>6427</v>
      </c>
      <c r="F1249" s="34"/>
      <c r="G1249" s="35">
        <v>45453.0</v>
      </c>
      <c r="H1249" s="34"/>
      <c r="I1249" s="34"/>
      <c r="J1249" s="34"/>
      <c r="K1249" s="34"/>
      <c r="L1249" s="34"/>
      <c r="M1249" s="33">
        <f>HYPERLINK("https://app.hubspot.com/contacts/8748051/record/0-2/7945070469", 7945070469)</f>
        <v>7945070469</v>
      </c>
      <c r="N1249" s="24" t="s">
        <v>6428</v>
      </c>
      <c r="O1249" s="34"/>
      <c r="P1249" s="34"/>
      <c r="Q1249" s="34"/>
      <c r="R1249" s="34"/>
      <c r="S1249" s="34"/>
      <c r="T1249" s="34" t="str">
        <f t="shared" ref="T1249:V1249" si="1255">IF(G1249&lt;&gt;"","Yes","")</f>
        <v>Yes</v>
      </c>
      <c r="U1249" s="34" t="str">
        <f t="shared" si="1255"/>
        <v/>
      </c>
      <c r="V1249" s="34" t="str">
        <f t="shared" si="1255"/>
        <v/>
      </c>
      <c r="W1249" s="34" t="str">
        <f t="shared" si="3"/>
        <v/>
      </c>
      <c r="X1249" s="24" t="str">
        <f t="shared" si="4"/>
        <v/>
      </c>
    </row>
    <row r="1250" ht="14.25" customHeight="1">
      <c r="A1250" s="33">
        <f>HYPERLINK("https://app.hubspot.com/contacts/8748051/record/0-1/28762622775", 28762622775)</f>
        <v>28762622775</v>
      </c>
      <c r="B1250" s="24" t="s">
        <v>6429</v>
      </c>
      <c r="C1250" s="34"/>
      <c r="D1250" s="24" t="s">
        <v>6430</v>
      </c>
      <c r="E1250" s="28" t="s">
        <v>5470</v>
      </c>
      <c r="F1250" s="34"/>
      <c r="G1250" s="35">
        <v>45453.0</v>
      </c>
      <c r="H1250" s="34"/>
      <c r="I1250" s="34"/>
      <c r="J1250" s="34"/>
      <c r="K1250" s="34"/>
      <c r="L1250" s="34"/>
      <c r="M1250" s="33">
        <f>HYPERLINK("https://app.hubspot.com/contacts/8748051/record/0-2/19176524566", 19176524566)</f>
        <v>19176524566</v>
      </c>
      <c r="N1250" s="28" t="s">
        <v>5471</v>
      </c>
      <c r="O1250" s="34"/>
      <c r="P1250" s="34"/>
      <c r="Q1250" s="34"/>
      <c r="R1250" s="34"/>
      <c r="S1250" s="34"/>
      <c r="T1250" s="34" t="str">
        <f t="shared" ref="T1250:V1250" si="1256">IF(G1250&lt;&gt;"","Yes","")</f>
        <v>Yes</v>
      </c>
      <c r="U1250" s="34" t="str">
        <f t="shared" si="1256"/>
        <v/>
      </c>
      <c r="V1250" s="34" t="str">
        <f t="shared" si="1256"/>
        <v/>
      </c>
      <c r="W1250" s="34" t="str">
        <f t="shared" si="3"/>
        <v/>
      </c>
      <c r="X1250" s="24" t="str">
        <f t="shared" si="4"/>
        <v/>
      </c>
    </row>
    <row r="1251" ht="14.25" customHeight="1">
      <c r="A1251" s="33">
        <f>HYPERLINK("https://app.hubspot.com/contacts/8748051/record/0-1/28771212153", 28771212153)</f>
        <v>28771212153</v>
      </c>
      <c r="B1251" s="24" t="s">
        <v>6431</v>
      </c>
      <c r="C1251" s="34"/>
      <c r="D1251" s="24" t="s">
        <v>6432</v>
      </c>
      <c r="E1251" s="28" t="s">
        <v>6433</v>
      </c>
      <c r="F1251" s="34"/>
      <c r="G1251" s="35">
        <v>45453.0</v>
      </c>
      <c r="H1251" s="34"/>
      <c r="I1251" s="34"/>
      <c r="J1251" s="34"/>
      <c r="K1251" s="34"/>
      <c r="L1251" s="34"/>
      <c r="M1251" s="33">
        <f>HYPERLINK("https://app.hubspot.com/contacts/8748051/record/0-2/19176558594", 19176558594)</f>
        <v>19176558594</v>
      </c>
      <c r="N1251" s="24" t="s">
        <v>6434</v>
      </c>
      <c r="O1251" s="34"/>
      <c r="P1251" s="34"/>
      <c r="Q1251" s="34"/>
      <c r="R1251" s="34"/>
      <c r="S1251" s="34"/>
      <c r="T1251" s="34" t="str">
        <f t="shared" ref="T1251:V1251" si="1257">IF(G1251&lt;&gt;"","Yes","")</f>
        <v>Yes</v>
      </c>
      <c r="U1251" s="34" t="str">
        <f t="shared" si="1257"/>
        <v/>
      </c>
      <c r="V1251" s="34" t="str">
        <f t="shared" si="1257"/>
        <v/>
      </c>
      <c r="W1251" s="34" t="str">
        <f t="shared" si="3"/>
        <v/>
      </c>
      <c r="X1251" s="24" t="str">
        <f t="shared" si="4"/>
        <v/>
      </c>
    </row>
    <row r="1252" ht="14.25" customHeight="1">
      <c r="A1252" s="33">
        <f>HYPERLINK("https://app.hubspot.com/contacts/8748051/record/0-1/28777164655", 28777164655)</f>
        <v>28777164655</v>
      </c>
      <c r="B1252" s="24" t="s">
        <v>6435</v>
      </c>
      <c r="C1252" s="34"/>
      <c r="D1252" s="24" t="s">
        <v>6436</v>
      </c>
      <c r="E1252" s="28" t="s">
        <v>1361</v>
      </c>
      <c r="F1252" s="34"/>
      <c r="G1252" s="35">
        <v>45453.0</v>
      </c>
      <c r="H1252" s="34"/>
      <c r="I1252" s="34"/>
      <c r="J1252" s="34"/>
      <c r="K1252" s="34"/>
      <c r="L1252" s="34"/>
      <c r="M1252" s="33">
        <f>HYPERLINK("https://app.hubspot.com/contacts/8748051/record/0-2/6266336884", 6266336884)</f>
        <v>6266336884</v>
      </c>
      <c r="N1252" s="24" t="s">
        <v>1360</v>
      </c>
      <c r="O1252" s="34"/>
      <c r="P1252" s="34"/>
      <c r="Q1252" s="34"/>
      <c r="R1252" s="34"/>
      <c r="S1252" s="34"/>
      <c r="T1252" s="34" t="str">
        <f t="shared" ref="T1252:V1252" si="1258">IF(G1252&lt;&gt;"","Yes","")</f>
        <v>Yes</v>
      </c>
      <c r="U1252" s="34" t="str">
        <f t="shared" si="1258"/>
        <v/>
      </c>
      <c r="V1252" s="34" t="str">
        <f t="shared" si="1258"/>
        <v/>
      </c>
      <c r="W1252" s="34" t="str">
        <f t="shared" si="3"/>
        <v/>
      </c>
      <c r="X1252" s="24" t="str">
        <f t="shared" si="4"/>
        <v/>
      </c>
    </row>
    <row r="1253" ht="14.25" customHeight="1">
      <c r="A1253" s="33">
        <f>HYPERLINK("https://app.hubspot.com/contacts/8748051/record/0-1/28823243945", 28823243945)</f>
        <v>28823243945</v>
      </c>
      <c r="B1253" s="24" t="s">
        <v>6437</v>
      </c>
      <c r="C1253" s="34"/>
      <c r="D1253" s="24" t="s">
        <v>6438</v>
      </c>
      <c r="E1253" s="28" t="s">
        <v>6439</v>
      </c>
      <c r="F1253" s="34"/>
      <c r="G1253" s="35">
        <v>45453.0</v>
      </c>
      <c r="H1253" s="34"/>
      <c r="I1253" s="34"/>
      <c r="J1253" s="34"/>
      <c r="K1253" s="34"/>
      <c r="L1253" s="34"/>
      <c r="M1253" s="33">
        <f>HYPERLINK("https://app.hubspot.com/contacts/8748051/record/0-2/8132179321", 8132179321)</f>
        <v>8132179321</v>
      </c>
      <c r="N1253" s="24" t="s">
        <v>6440</v>
      </c>
      <c r="O1253" s="34"/>
      <c r="P1253" s="34"/>
      <c r="Q1253" s="34"/>
      <c r="R1253" s="34"/>
      <c r="S1253" s="34"/>
      <c r="T1253" s="34" t="str">
        <f t="shared" ref="T1253:V1253" si="1259">IF(G1253&lt;&gt;"","Yes","")</f>
        <v>Yes</v>
      </c>
      <c r="U1253" s="34" t="str">
        <f t="shared" si="1259"/>
        <v/>
      </c>
      <c r="V1253" s="34" t="str">
        <f t="shared" si="1259"/>
        <v/>
      </c>
      <c r="W1253" s="34" t="str">
        <f t="shared" si="3"/>
        <v/>
      </c>
      <c r="X1253" s="24" t="str">
        <f t="shared" si="4"/>
        <v/>
      </c>
    </row>
    <row r="1254" ht="14.25" customHeight="1">
      <c r="A1254" s="33">
        <f>HYPERLINK("https://app.hubspot.com/contacts/8748051/record/0-1/28859568519", 28859568519)</f>
        <v>28859568519</v>
      </c>
      <c r="B1254" s="24" t="s">
        <v>6441</v>
      </c>
      <c r="C1254" s="34"/>
      <c r="D1254" s="24" t="s">
        <v>6442</v>
      </c>
      <c r="E1254" s="28" t="s">
        <v>6443</v>
      </c>
      <c r="F1254" s="34"/>
      <c r="G1254" s="35">
        <v>45453.0</v>
      </c>
      <c r="H1254" s="34"/>
      <c r="I1254" s="34"/>
      <c r="J1254" s="34"/>
      <c r="K1254" s="34"/>
      <c r="L1254" s="34"/>
      <c r="M1254" s="33">
        <f>HYPERLINK("https://app.hubspot.com/contacts/8748051/record/0-2/18002235649", 18002235649)</f>
        <v>18002235649</v>
      </c>
      <c r="N1254" s="24" t="s">
        <v>6444</v>
      </c>
      <c r="O1254" s="34"/>
      <c r="P1254" s="34"/>
      <c r="Q1254" s="34"/>
      <c r="R1254" s="34"/>
      <c r="S1254" s="34"/>
      <c r="T1254" s="34" t="str">
        <f t="shared" ref="T1254:V1254" si="1260">IF(G1254&lt;&gt;"","Yes","")</f>
        <v>Yes</v>
      </c>
      <c r="U1254" s="34" t="str">
        <f t="shared" si="1260"/>
        <v/>
      </c>
      <c r="V1254" s="34" t="str">
        <f t="shared" si="1260"/>
        <v/>
      </c>
      <c r="W1254" s="34" t="str">
        <f t="shared" si="3"/>
        <v/>
      </c>
      <c r="X1254" s="24" t="str">
        <f t="shared" si="4"/>
        <v/>
      </c>
    </row>
    <row r="1255" ht="14.25" customHeight="1">
      <c r="A1255" s="33">
        <f>HYPERLINK("https://app.hubspot.com/contacts/8748051/record/0-1/28884438946", 28884438946)</f>
        <v>28884438946</v>
      </c>
      <c r="B1255" s="24" t="s">
        <v>6445</v>
      </c>
      <c r="C1255" s="34"/>
      <c r="D1255" s="24" t="s">
        <v>6446</v>
      </c>
      <c r="E1255" s="28" t="s">
        <v>1622</v>
      </c>
      <c r="F1255" s="34"/>
      <c r="G1255" s="35">
        <v>45453.0</v>
      </c>
      <c r="H1255" s="35">
        <v>45460.0</v>
      </c>
      <c r="I1255" s="35">
        <v>45460.0</v>
      </c>
      <c r="J1255" s="34"/>
      <c r="K1255" s="34"/>
      <c r="L1255" s="34"/>
      <c r="M1255" s="33">
        <f>HYPERLINK("https://app.hubspot.com/contacts/8748051/record/0-2/9173832217", 9173832217)</f>
        <v>9173832217</v>
      </c>
      <c r="N1255" s="24" t="s">
        <v>1621</v>
      </c>
      <c r="O1255" s="33">
        <f>HYPERLINK("https://app.hubspot.com/contacts/8748051/record/0-3/20143381103", 20143381103)</f>
        <v>20143381103</v>
      </c>
      <c r="P1255" s="24" t="s">
        <v>1619</v>
      </c>
      <c r="Q1255" s="24" t="s">
        <v>149</v>
      </c>
      <c r="R1255" s="24">
        <v>30000.0</v>
      </c>
      <c r="S1255" s="24" t="b">
        <v>1</v>
      </c>
      <c r="T1255" s="34" t="str">
        <f t="shared" ref="T1255:V1255" si="1261">IF(G1255&lt;&gt;"","Yes","")</f>
        <v>Yes</v>
      </c>
      <c r="U1255" s="34" t="str">
        <f t="shared" si="1261"/>
        <v>Yes</v>
      </c>
      <c r="V1255" s="34" t="str">
        <f t="shared" si="1261"/>
        <v>Yes</v>
      </c>
      <c r="W1255" s="34" t="str">
        <f t="shared" si="3"/>
        <v/>
      </c>
      <c r="X1255" s="24" t="str">
        <f t="shared" si="4"/>
        <v>Yes</v>
      </c>
    </row>
    <row r="1256" ht="14.25" customHeight="1">
      <c r="A1256" s="33">
        <f>HYPERLINK("https://app.hubspot.com/contacts/8748051/record/0-1/28915605309", 28915605309)</f>
        <v>28915605309</v>
      </c>
      <c r="B1256" s="24" t="s">
        <v>6447</v>
      </c>
      <c r="C1256" s="34"/>
      <c r="D1256" s="24" t="s">
        <v>6448</v>
      </c>
      <c r="E1256" s="28" t="s">
        <v>6449</v>
      </c>
      <c r="F1256" s="34"/>
      <c r="G1256" s="35">
        <v>45454.0</v>
      </c>
      <c r="H1256" s="34"/>
      <c r="I1256" s="34"/>
      <c r="J1256" s="34"/>
      <c r="K1256" s="34"/>
      <c r="L1256" s="34"/>
      <c r="M1256" s="33">
        <f>HYPERLINK("https://app.hubspot.com/contacts/8748051/record/0-2/19176350242", 19176350242)</f>
        <v>19176350242</v>
      </c>
      <c r="N1256" s="24" t="s">
        <v>6450</v>
      </c>
      <c r="O1256" s="34"/>
      <c r="P1256" s="34"/>
      <c r="Q1256" s="34"/>
      <c r="R1256" s="34"/>
      <c r="S1256" s="34"/>
      <c r="T1256" s="34" t="str">
        <f t="shared" ref="T1256:V1256" si="1262">IF(G1256&lt;&gt;"","Yes","")</f>
        <v>Yes</v>
      </c>
      <c r="U1256" s="34" t="str">
        <f t="shared" si="1262"/>
        <v/>
      </c>
      <c r="V1256" s="34" t="str">
        <f t="shared" si="1262"/>
        <v/>
      </c>
      <c r="W1256" s="34" t="str">
        <f t="shared" si="3"/>
        <v/>
      </c>
      <c r="X1256" s="24" t="str">
        <f t="shared" si="4"/>
        <v/>
      </c>
    </row>
    <row r="1257" ht="14.25" customHeight="1">
      <c r="A1257" s="33">
        <f>HYPERLINK("https://app.hubspot.com/contacts/8748051/record/0-1/28927300747", 28927300747)</f>
        <v>28927300747</v>
      </c>
      <c r="B1257" s="24" t="s">
        <v>6451</v>
      </c>
      <c r="C1257" s="34"/>
      <c r="D1257" s="24" t="s">
        <v>6452</v>
      </c>
      <c r="E1257" s="28" t="s">
        <v>6453</v>
      </c>
      <c r="F1257" s="34"/>
      <c r="G1257" s="35">
        <v>45454.0</v>
      </c>
      <c r="H1257" s="34"/>
      <c r="I1257" s="34"/>
      <c r="J1257" s="34"/>
      <c r="K1257" s="34"/>
      <c r="L1257" s="34"/>
      <c r="M1257" s="33">
        <f>HYPERLINK("https://app.hubspot.com/contacts/8748051/record/0-2/9793589840", 9793589840)</f>
        <v>9793589840</v>
      </c>
      <c r="N1257" s="24" t="s">
        <v>6454</v>
      </c>
      <c r="O1257" s="34"/>
      <c r="P1257" s="34"/>
      <c r="Q1257" s="34"/>
      <c r="R1257" s="34"/>
      <c r="S1257" s="34"/>
      <c r="T1257" s="34" t="str">
        <f t="shared" ref="T1257:V1257" si="1263">IF(G1257&lt;&gt;"","Yes","")</f>
        <v>Yes</v>
      </c>
      <c r="U1257" s="34" t="str">
        <f t="shared" si="1263"/>
        <v/>
      </c>
      <c r="V1257" s="34" t="str">
        <f t="shared" si="1263"/>
        <v/>
      </c>
      <c r="W1257" s="34" t="str">
        <f t="shared" si="3"/>
        <v/>
      </c>
      <c r="X1257" s="24" t="str">
        <f t="shared" si="4"/>
        <v/>
      </c>
    </row>
    <row r="1258" ht="14.25" customHeight="1">
      <c r="A1258" s="33">
        <f>HYPERLINK("https://app.hubspot.com/contacts/8748051/record/0-1/28965588098", 28965588098)</f>
        <v>28965588098</v>
      </c>
      <c r="B1258" s="24" t="s">
        <v>6455</v>
      </c>
      <c r="C1258" s="34"/>
      <c r="D1258" s="24" t="s">
        <v>6456</v>
      </c>
      <c r="E1258" s="28" t="s">
        <v>63</v>
      </c>
      <c r="F1258" s="34"/>
      <c r="G1258" s="35">
        <v>45454.0</v>
      </c>
      <c r="H1258" s="34"/>
      <c r="I1258" s="34"/>
      <c r="J1258" s="34"/>
      <c r="K1258" s="34"/>
      <c r="L1258" s="34"/>
      <c r="M1258" s="33">
        <f>HYPERLINK("https://app.hubspot.com/contacts/8748051/record/0-2/37172738454", 37172738454)</f>
        <v>37172738454</v>
      </c>
      <c r="N1258" s="24" t="s">
        <v>62</v>
      </c>
      <c r="O1258" s="34"/>
      <c r="P1258" s="34"/>
      <c r="Q1258" s="34"/>
      <c r="R1258" s="34"/>
      <c r="S1258" s="34"/>
      <c r="T1258" s="34" t="str">
        <f t="shared" ref="T1258:V1258" si="1264">IF(G1258&lt;&gt;"","Yes","")</f>
        <v>Yes</v>
      </c>
      <c r="U1258" s="34" t="str">
        <f t="shared" si="1264"/>
        <v/>
      </c>
      <c r="V1258" s="34" t="str">
        <f t="shared" si="1264"/>
        <v/>
      </c>
      <c r="W1258" s="34" t="str">
        <f t="shared" si="3"/>
        <v/>
      </c>
      <c r="X1258" s="24" t="str">
        <f t="shared" si="4"/>
        <v/>
      </c>
    </row>
    <row r="1259" ht="14.25" customHeight="1">
      <c r="A1259" s="33">
        <f>HYPERLINK("https://app.hubspot.com/contacts/8748051/record/0-1/28967819376", 28967819376)</f>
        <v>28967819376</v>
      </c>
      <c r="B1259" s="24" t="s">
        <v>6457</v>
      </c>
      <c r="C1259" s="34"/>
      <c r="D1259" s="24" t="s">
        <v>6458</v>
      </c>
      <c r="E1259" s="28" t="s">
        <v>6459</v>
      </c>
      <c r="F1259" s="34"/>
      <c r="G1259" s="35">
        <v>45454.0</v>
      </c>
      <c r="H1259" s="34"/>
      <c r="I1259" s="34"/>
      <c r="J1259" s="34"/>
      <c r="K1259" s="34"/>
      <c r="L1259" s="34"/>
      <c r="M1259" s="33">
        <f>HYPERLINK("https://app.hubspot.com/contacts/8748051/record/0-2/8518275630", 8518275630)</f>
        <v>8518275630</v>
      </c>
      <c r="N1259" s="24" t="s">
        <v>6460</v>
      </c>
      <c r="O1259" s="34"/>
      <c r="P1259" s="34"/>
      <c r="Q1259" s="34"/>
      <c r="R1259" s="34"/>
      <c r="S1259" s="34"/>
      <c r="T1259" s="34" t="str">
        <f t="shared" ref="T1259:V1259" si="1265">IF(G1259&lt;&gt;"","Yes","")</f>
        <v>Yes</v>
      </c>
      <c r="U1259" s="34" t="str">
        <f t="shared" si="1265"/>
        <v/>
      </c>
      <c r="V1259" s="34" t="str">
        <f t="shared" si="1265"/>
        <v/>
      </c>
      <c r="W1259" s="34" t="str">
        <f t="shared" si="3"/>
        <v/>
      </c>
      <c r="X1259" s="24" t="str">
        <f t="shared" si="4"/>
        <v/>
      </c>
    </row>
    <row r="1260" ht="14.25" customHeight="1">
      <c r="A1260" s="33">
        <f>HYPERLINK("https://app.hubspot.com/contacts/8748051/record/0-1/29008140661", 29008140661)</f>
        <v>29008140661</v>
      </c>
      <c r="B1260" s="24" t="s">
        <v>6461</v>
      </c>
      <c r="C1260" s="34"/>
      <c r="D1260" s="24" t="s">
        <v>6462</v>
      </c>
      <c r="E1260" s="28" t="s">
        <v>6463</v>
      </c>
      <c r="F1260" s="34"/>
      <c r="G1260" s="35">
        <v>45454.0</v>
      </c>
      <c r="H1260" s="34"/>
      <c r="I1260" s="34"/>
      <c r="J1260" s="34"/>
      <c r="K1260" s="34"/>
      <c r="L1260" s="34"/>
      <c r="M1260" s="33">
        <f>HYPERLINK("https://app.hubspot.com/contacts/8748051/record/0-2/19176504421", 19176504421)</f>
        <v>19176504421</v>
      </c>
      <c r="N1260" s="24" t="s">
        <v>6464</v>
      </c>
      <c r="O1260" s="34"/>
      <c r="P1260" s="34"/>
      <c r="Q1260" s="34"/>
      <c r="R1260" s="34"/>
      <c r="S1260" s="34"/>
      <c r="T1260" s="34" t="str">
        <f t="shared" ref="T1260:V1260" si="1266">IF(G1260&lt;&gt;"","Yes","")</f>
        <v>Yes</v>
      </c>
      <c r="U1260" s="34" t="str">
        <f t="shared" si="1266"/>
        <v/>
      </c>
      <c r="V1260" s="34" t="str">
        <f t="shared" si="1266"/>
        <v/>
      </c>
      <c r="W1260" s="34" t="str">
        <f t="shared" si="3"/>
        <v/>
      </c>
      <c r="X1260" s="24" t="str">
        <f t="shared" si="4"/>
        <v/>
      </c>
    </row>
    <row r="1261" ht="14.25" customHeight="1">
      <c r="A1261" s="33">
        <f>HYPERLINK("https://app.hubspot.com/contacts/8748051/record/0-1/29133942598", 29133942598)</f>
        <v>29133942598</v>
      </c>
      <c r="B1261" s="24" t="s">
        <v>6465</v>
      </c>
      <c r="C1261" s="34"/>
      <c r="D1261" s="24" t="s">
        <v>6466</v>
      </c>
      <c r="E1261" s="28" t="s">
        <v>6467</v>
      </c>
      <c r="F1261" s="34"/>
      <c r="G1261" s="35">
        <v>45454.0</v>
      </c>
      <c r="H1261" s="34"/>
      <c r="I1261" s="34"/>
      <c r="J1261" s="34"/>
      <c r="K1261" s="34"/>
      <c r="L1261" s="34"/>
      <c r="M1261" s="33">
        <f>HYPERLINK("https://app.hubspot.com/contacts/8748051/record/0-2/7984214590", 7984214590)</f>
        <v>7984214590</v>
      </c>
      <c r="N1261" s="24" t="s">
        <v>6468</v>
      </c>
      <c r="O1261" s="34"/>
      <c r="P1261" s="34"/>
      <c r="Q1261" s="34"/>
      <c r="R1261" s="34"/>
      <c r="S1261" s="34"/>
      <c r="T1261" s="34" t="str">
        <f t="shared" ref="T1261:V1261" si="1267">IF(G1261&lt;&gt;"","Yes","")</f>
        <v>Yes</v>
      </c>
      <c r="U1261" s="34" t="str">
        <f t="shared" si="1267"/>
        <v/>
      </c>
      <c r="V1261" s="34" t="str">
        <f t="shared" si="1267"/>
        <v/>
      </c>
      <c r="W1261" s="34" t="str">
        <f t="shared" si="3"/>
        <v/>
      </c>
      <c r="X1261" s="24" t="str">
        <f t="shared" si="4"/>
        <v/>
      </c>
    </row>
    <row r="1262" ht="14.25" customHeight="1">
      <c r="A1262" s="33">
        <f>HYPERLINK("https://app.hubspot.com/contacts/8748051/record/0-1/29279659104", 29279659104)</f>
        <v>29279659104</v>
      </c>
      <c r="B1262" s="24" t="s">
        <v>6469</v>
      </c>
      <c r="C1262" s="34"/>
      <c r="D1262" s="24" t="s">
        <v>6470</v>
      </c>
      <c r="E1262" s="28" t="s">
        <v>1602</v>
      </c>
      <c r="F1262" s="34"/>
      <c r="G1262" s="35">
        <v>45455.0</v>
      </c>
      <c r="H1262" s="35">
        <v>45468.0</v>
      </c>
      <c r="I1262" s="35">
        <v>45468.0</v>
      </c>
      <c r="J1262" s="34"/>
      <c r="K1262" s="34"/>
      <c r="L1262" s="34"/>
      <c r="M1262" s="33">
        <f>HYPERLINK("https://app.hubspot.com/contacts/8748051/record/0-2/10368059213", 10368059213)</f>
        <v>10368059213</v>
      </c>
      <c r="N1262" s="24" t="s">
        <v>1601</v>
      </c>
      <c r="O1262" s="33">
        <f>HYPERLINK("https://app.hubspot.com/contacts/8748051/record/0-3/20322511797", 20322511797)</f>
        <v>20322511797</v>
      </c>
      <c r="P1262" s="24" t="s">
        <v>1600</v>
      </c>
      <c r="Q1262" s="24" t="s">
        <v>73</v>
      </c>
      <c r="R1262" s="24">
        <v>3600.0</v>
      </c>
      <c r="S1262" s="34"/>
      <c r="T1262" s="34" t="str">
        <f t="shared" ref="T1262:V1262" si="1268">IF(G1262&lt;&gt;"","Yes","")</f>
        <v>Yes</v>
      </c>
      <c r="U1262" s="34" t="str">
        <f t="shared" si="1268"/>
        <v>Yes</v>
      </c>
      <c r="V1262" s="34" t="str">
        <f t="shared" si="1268"/>
        <v>Yes</v>
      </c>
      <c r="W1262" s="34" t="str">
        <f t="shared" si="3"/>
        <v/>
      </c>
      <c r="X1262" s="24" t="str">
        <f t="shared" si="4"/>
        <v/>
      </c>
    </row>
    <row r="1263" ht="14.25" customHeight="1">
      <c r="A1263" s="33">
        <f>HYPERLINK("https://app.hubspot.com/contacts/8748051/record/0-1/29304023817", 29304023817)</f>
        <v>29304023817</v>
      </c>
      <c r="B1263" s="24" t="s">
        <v>6471</v>
      </c>
      <c r="C1263" s="34"/>
      <c r="D1263" s="24" t="s">
        <v>6472</v>
      </c>
      <c r="E1263" s="28" t="s">
        <v>6473</v>
      </c>
      <c r="F1263" s="34"/>
      <c r="G1263" s="35">
        <v>45455.0</v>
      </c>
      <c r="H1263" s="34"/>
      <c r="I1263" s="34"/>
      <c r="J1263" s="34"/>
      <c r="K1263" s="34"/>
      <c r="L1263" s="34"/>
      <c r="M1263" s="33">
        <f>HYPERLINK("https://app.hubspot.com/contacts/8748051/record/0-2/9186952984", 9186952984)</f>
        <v>9186952984</v>
      </c>
      <c r="N1263" s="24" t="s">
        <v>6474</v>
      </c>
      <c r="O1263" s="34"/>
      <c r="P1263" s="34"/>
      <c r="Q1263" s="34"/>
      <c r="R1263" s="34"/>
      <c r="S1263" s="34"/>
      <c r="T1263" s="34" t="str">
        <f t="shared" ref="T1263:V1263" si="1269">IF(G1263&lt;&gt;"","Yes","")</f>
        <v>Yes</v>
      </c>
      <c r="U1263" s="34" t="str">
        <f t="shared" si="1269"/>
        <v/>
      </c>
      <c r="V1263" s="34" t="str">
        <f t="shared" si="1269"/>
        <v/>
      </c>
      <c r="W1263" s="34" t="str">
        <f t="shared" si="3"/>
        <v/>
      </c>
      <c r="X1263" s="24" t="str">
        <f t="shared" si="4"/>
        <v/>
      </c>
    </row>
    <row r="1264" ht="14.25" customHeight="1">
      <c r="A1264" s="33">
        <f>HYPERLINK("https://app.hubspot.com/contacts/8748051/record/0-1/29350608554", 29350608554)</f>
        <v>29350608554</v>
      </c>
      <c r="B1264" s="24" t="s">
        <v>6475</v>
      </c>
      <c r="C1264" s="34"/>
      <c r="D1264" s="24" t="s">
        <v>6476</v>
      </c>
      <c r="E1264" s="28" t="s">
        <v>1615</v>
      </c>
      <c r="F1264" s="34"/>
      <c r="G1264" s="35">
        <v>45455.0</v>
      </c>
      <c r="H1264" s="35">
        <v>45461.0</v>
      </c>
      <c r="I1264" s="35">
        <v>45461.0</v>
      </c>
      <c r="J1264" s="34"/>
      <c r="K1264" s="34"/>
      <c r="L1264" s="34"/>
      <c r="M1264" s="33">
        <f>HYPERLINK("https://app.hubspot.com/contacts/8748051/record/0-2/8332581743", 8332581743)</f>
        <v>8332581743</v>
      </c>
      <c r="N1264" s="24" t="s">
        <v>1614</v>
      </c>
      <c r="O1264" s="33">
        <f>HYPERLINK("https://app.hubspot.com/contacts/8748051/record/0-3/20170334466", 20170334466)</f>
        <v>20170334466</v>
      </c>
      <c r="P1264" s="24" t="s">
        <v>1613</v>
      </c>
      <c r="Q1264" s="24" t="s">
        <v>73</v>
      </c>
      <c r="R1264" s="24">
        <v>52800.0</v>
      </c>
      <c r="S1264" s="34"/>
      <c r="T1264" s="34" t="str">
        <f t="shared" ref="T1264:V1264" si="1270">IF(G1264&lt;&gt;"","Yes","")</f>
        <v>Yes</v>
      </c>
      <c r="U1264" s="34" t="str">
        <f t="shared" si="1270"/>
        <v>Yes</v>
      </c>
      <c r="V1264" s="34" t="str">
        <f t="shared" si="1270"/>
        <v>Yes</v>
      </c>
      <c r="W1264" s="34" t="str">
        <f t="shared" si="3"/>
        <v/>
      </c>
      <c r="X1264" s="24" t="str">
        <f t="shared" si="4"/>
        <v/>
      </c>
    </row>
    <row r="1265" ht="14.25" customHeight="1">
      <c r="A1265" s="33">
        <f>HYPERLINK("https://app.hubspot.com/contacts/8748051/record/0-1/29418176580", 29418176580)</f>
        <v>29418176580</v>
      </c>
      <c r="B1265" s="24" t="s">
        <v>6477</v>
      </c>
      <c r="C1265" s="34"/>
      <c r="D1265" s="24" t="s">
        <v>6478</v>
      </c>
      <c r="E1265" s="28" t="s">
        <v>4705</v>
      </c>
      <c r="F1265" s="34"/>
      <c r="G1265" s="35">
        <v>45400.0</v>
      </c>
      <c r="H1265" s="34"/>
      <c r="I1265" s="34"/>
      <c r="J1265" s="34"/>
      <c r="K1265" s="34"/>
      <c r="L1265" s="34"/>
      <c r="M1265" s="33">
        <f>HYPERLINK("https://app.hubspot.com/contacts/8748051/record/0-2/8918741432", 8918741432)</f>
        <v>8918741432</v>
      </c>
      <c r="N1265" s="24" t="s">
        <v>4706</v>
      </c>
      <c r="O1265" s="34"/>
      <c r="P1265" s="34"/>
      <c r="Q1265" s="34"/>
      <c r="R1265" s="34"/>
      <c r="S1265" s="34"/>
      <c r="T1265" s="34" t="str">
        <f t="shared" ref="T1265:V1265" si="1271">IF(G1265&lt;&gt;"","Yes","")</f>
        <v>Yes</v>
      </c>
      <c r="U1265" s="34" t="str">
        <f t="shared" si="1271"/>
        <v/>
      </c>
      <c r="V1265" s="34" t="str">
        <f t="shared" si="1271"/>
        <v/>
      </c>
      <c r="W1265" s="34" t="str">
        <f t="shared" si="3"/>
        <v/>
      </c>
      <c r="X1265" s="24" t="str">
        <f t="shared" si="4"/>
        <v/>
      </c>
    </row>
    <row r="1266" ht="14.25" customHeight="1">
      <c r="A1266" s="33">
        <f>HYPERLINK("https://app.hubspot.com/contacts/8748051/record/0-1/29588504371", 29588504371)</f>
        <v>29588504371</v>
      </c>
      <c r="B1266" s="24" t="s">
        <v>6479</v>
      </c>
      <c r="C1266" s="34"/>
      <c r="D1266" s="24" t="s">
        <v>6480</v>
      </c>
      <c r="E1266" s="28" t="s">
        <v>1611</v>
      </c>
      <c r="F1266" s="34"/>
      <c r="G1266" s="34"/>
      <c r="H1266" s="34"/>
      <c r="I1266" s="34"/>
      <c r="J1266" s="34"/>
      <c r="K1266" s="34"/>
      <c r="L1266" s="34"/>
      <c r="M1266" s="33">
        <f>HYPERLINK("https://app.hubspot.com/contacts/8748051/record/0-2/8324013689", 8324013689)</f>
        <v>8324013689</v>
      </c>
      <c r="N1266" s="24" t="s">
        <v>1610</v>
      </c>
      <c r="O1266" s="34"/>
      <c r="P1266" s="34"/>
      <c r="Q1266" s="34"/>
      <c r="R1266" s="34"/>
      <c r="S1266" s="34"/>
      <c r="T1266" s="34" t="str">
        <f t="shared" ref="T1266:V1266" si="1272">IF(G1266&lt;&gt;"","Yes","")</f>
        <v/>
      </c>
      <c r="U1266" s="34" t="str">
        <f t="shared" si="1272"/>
        <v/>
      </c>
      <c r="V1266" s="34" t="str">
        <f t="shared" si="1272"/>
        <v/>
      </c>
      <c r="W1266" s="34" t="str">
        <f t="shared" si="3"/>
        <v/>
      </c>
      <c r="X1266" s="24" t="str">
        <f t="shared" si="4"/>
        <v/>
      </c>
    </row>
    <row r="1267" ht="14.25" customHeight="1">
      <c r="A1267" s="33">
        <f>HYPERLINK("https://app.hubspot.com/contacts/8748051/record/0-1/29655966640", 29655966640)</f>
        <v>29655966640</v>
      </c>
      <c r="B1267" s="24" t="s">
        <v>6481</v>
      </c>
      <c r="C1267" s="34"/>
      <c r="D1267" s="24" t="s">
        <v>6482</v>
      </c>
      <c r="E1267" s="28" t="s">
        <v>6483</v>
      </c>
      <c r="F1267" s="34"/>
      <c r="G1267" s="35">
        <v>45456.0</v>
      </c>
      <c r="H1267" s="34"/>
      <c r="I1267" s="34"/>
      <c r="J1267" s="34"/>
      <c r="K1267" s="34"/>
      <c r="L1267" s="34"/>
      <c r="M1267" s="33">
        <f>HYPERLINK("https://app.hubspot.com/contacts/8748051/record/0-2/9190012766", 9190012766)</f>
        <v>9190012766</v>
      </c>
      <c r="N1267" s="24" t="s">
        <v>6484</v>
      </c>
      <c r="O1267" s="34"/>
      <c r="P1267" s="34"/>
      <c r="Q1267" s="34"/>
      <c r="R1267" s="34"/>
      <c r="S1267" s="34"/>
      <c r="T1267" s="34" t="str">
        <f t="shared" ref="T1267:V1267" si="1273">IF(G1267&lt;&gt;"","Yes","")</f>
        <v>Yes</v>
      </c>
      <c r="U1267" s="34" t="str">
        <f t="shared" si="1273"/>
        <v/>
      </c>
      <c r="V1267" s="34" t="str">
        <f t="shared" si="1273"/>
        <v/>
      </c>
      <c r="W1267" s="34" t="str">
        <f t="shared" si="3"/>
        <v/>
      </c>
      <c r="X1267" s="24" t="str">
        <f t="shared" si="4"/>
        <v/>
      </c>
    </row>
    <row r="1268" ht="14.25" customHeight="1">
      <c r="A1268" s="33">
        <f>HYPERLINK("https://app.hubspot.com/contacts/8748051/record/0-1/29663064095", 29663064095)</f>
        <v>29663064095</v>
      </c>
      <c r="B1268" s="24" t="s">
        <v>6485</v>
      </c>
      <c r="C1268" s="34"/>
      <c r="D1268" s="24" t="s">
        <v>6486</v>
      </c>
      <c r="E1268" s="28" t="s">
        <v>4767</v>
      </c>
      <c r="F1268" s="34"/>
      <c r="G1268" s="35">
        <v>45456.0</v>
      </c>
      <c r="H1268" s="34"/>
      <c r="I1268" s="34"/>
      <c r="J1268" s="34"/>
      <c r="K1268" s="34"/>
      <c r="L1268" s="34"/>
      <c r="M1268" s="33">
        <f>HYPERLINK("https://app.hubspot.com/contacts/8748051/record/0-2/7026172814", 7026172814)</f>
        <v>7026172814</v>
      </c>
      <c r="N1268" s="24" t="s">
        <v>4768</v>
      </c>
      <c r="O1268" s="34"/>
      <c r="P1268" s="34"/>
      <c r="Q1268" s="34"/>
      <c r="R1268" s="34"/>
      <c r="S1268" s="34"/>
      <c r="T1268" s="34" t="str">
        <f t="shared" ref="T1268:V1268" si="1274">IF(G1268&lt;&gt;"","Yes","")</f>
        <v>Yes</v>
      </c>
      <c r="U1268" s="34" t="str">
        <f t="shared" si="1274"/>
        <v/>
      </c>
      <c r="V1268" s="34" t="str">
        <f t="shared" si="1274"/>
        <v/>
      </c>
      <c r="W1268" s="34" t="str">
        <f t="shared" si="3"/>
        <v/>
      </c>
      <c r="X1268" s="24" t="str">
        <f t="shared" si="4"/>
        <v/>
      </c>
    </row>
    <row r="1269" ht="14.25" customHeight="1">
      <c r="A1269" s="33">
        <f>HYPERLINK("https://app.hubspot.com/contacts/8748051/record/0-1/29694723909", 29694723909)</f>
        <v>29694723909</v>
      </c>
      <c r="B1269" s="24" t="s">
        <v>6487</v>
      </c>
      <c r="C1269" s="34"/>
      <c r="D1269" s="24" t="s">
        <v>6488</v>
      </c>
      <c r="E1269" s="28" t="s">
        <v>6489</v>
      </c>
      <c r="F1269" s="34"/>
      <c r="G1269" s="35">
        <v>45456.0</v>
      </c>
      <c r="H1269" s="34"/>
      <c r="I1269" s="34"/>
      <c r="J1269" s="34"/>
      <c r="K1269" s="34"/>
      <c r="L1269" s="34"/>
      <c r="M1269" s="33">
        <f>HYPERLINK("https://app.hubspot.com/contacts/8748051/record/0-2/7893539200", 7893539200)</f>
        <v>7893539200</v>
      </c>
      <c r="N1269" s="28" t="s">
        <v>6490</v>
      </c>
      <c r="O1269" s="34"/>
      <c r="P1269" s="34"/>
      <c r="Q1269" s="34"/>
      <c r="R1269" s="34"/>
      <c r="S1269" s="34"/>
      <c r="T1269" s="34" t="str">
        <f t="shared" ref="T1269:V1269" si="1275">IF(G1269&lt;&gt;"","Yes","")</f>
        <v>Yes</v>
      </c>
      <c r="U1269" s="34" t="str">
        <f t="shared" si="1275"/>
        <v/>
      </c>
      <c r="V1269" s="34" t="str">
        <f t="shared" si="1275"/>
        <v/>
      </c>
      <c r="W1269" s="34" t="str">
        <f t="shared" si="3"/>
        <v/>
      </c>
      <c r="X1269" s="24" t="str">
        <f t="shared" si="4"/>
        <v/>
      </c>
    </row>
    <row r="1270" ht="14.25" customHeight="1">
      <c r="A1270" s="33">
        <f>HYPERLINK("https://app.hubspot.com/contacts/8748051/record/0-1/29785187092", 29785187092)</f>
        <v>29785187092</v>
      </c>
      <c r="B1270" s="24" t="s">
        <v>6491</v>
      </c>
      <c r="C1270" s="34"/>
      <c r="D1270" s="24" t="s">
        <v>6492</v>
      </c>
      <c r="E1270" s="28" t="s">
        <v>6493</v>
      </c>
      <c r="F1270" s="34"/>
      <c r="G1270" s="35">
        <v>45456.0</v>
      </c>
      <c r="H1270" s="34"/>
      <c r="I1270" s="34"/>
      <c r="J1270" s="34"/>
      <c r="K1270" s="34"/>
      <c r="L1270" s="34"/>
      <c r="M1270" s="33">
        <f>HYPERLINK("https://app.hubspot.com/contacts/8748051/record/0-2/17721813937", 17721813937)</f>
        <v>17721813937</v>
      </c>
      <c r="N1270" s="24" t="s">
        <v>6494</v>
      </c>
      <c r="O1270" s="34"/>
      <c r="P1270" s="34"/>
      <c r="Q1270" s="34"/>
      <c r="R1270" s="34"/>
      <c r="S1270" s="34"/>
      <c r="T1270" s="34" t="str">
        <f t="shared" ref="T1270:V1270" si="1276">IF(G1270&lt;&gt;"","Yes","")</f>
        <v>Yes</v>
      </c>
      <c r="U1270" s="34" t="str">
        <f t="shared" si="1276"/>
        <v/>
      </c>
      <c r="V1270" s="34" t="str">
        <f t="shared" si="1276"/>
        <v/>
      </c>
      <c r="W1270" s="34" t="str">
        <f t="shared" si="3"/>
        <v/>
      </c>
      <c r="X1270" s="24" t="str">
        <f t="shared" si="4"/>
        <v/>
      </c>
    </row>
    <row r="1271" ht="14.25" customHeight="1">
      <c r="A1271" s="33">
        <f>HYPERLINK("https://app.hubspot.com/contacts/8748051/record/0-1/29800910171", 29800910171)</f>
        <v>29800910171</v>
      </c>
      <c r="B1271" s="24" t="s">
        <v>6495</v>
      </c>
      <c r="C1271" s="34"/>
      <c r="D1271" s="24" t="s">
        <v>6496</v>
      </c>
      <c r="E1271" s="28" t="s">
        <v>6497</v>
      </c>
      <c r="F1271" s="34"/>
      <c r="G1271" s="35">
        <v>45456.0</v>
      </c>
      <c r="H1271" s="34"/>
      <c r="I1271" s="34"/>
      <c r="J1271" s="34"/>
      <c r="K1271" s="34"/>
      <c r="L1271" s="34"/>
      <c r="M1271" s="33">
        <f>HYPERLINK("https://app.hubspot.com/contacts/8748051/record/0-2/19176652450", 19176652450)</f>
        <v>19176652450</v>
      </c>
      <c r="N1271" s="24" t="s">
        <v>6498</v>
      </c>
      <c r="O1271" s="34"/>
      <c r="P1271" s="34"/>
      <c r="Q1271" s="34"/>
      <c r="R1271" s="34"/>
      <c r="S1271" s="34"/>
      <c r="T1271" s="34" t="str">
        <f t="shared" ref="T1271:V1271" si="1277">IF(G1271&lt;&gt;"","Yes","")</f>
        <v>Yes</v>
      </c>
      <c r="U1271" s="34" t="str">
        <f t="shared" si="1277"/>
        <v/>
      </c>
      <c r="V1271" s="34" t="str">
        <f t="shared" si="1277"/>
        <v/>
      </c>
      <c r="W1271" s="34" t="str">
        <f t="shared" si="3"/>
        <v/>
      </c>
      <c r="X1271" s="24" t="str">
        <f t="shared" si="4"/>
        <v/>
      </c>
    </row>
    <row r="1272" ht="14.25" customHeight="1">
      <c r="A1272" s="33">
        <f>HYPERLINK("https://app.hubspot.com/contacts/8748051/record/0-1/29825554983", 29825554983)</f>
        <v>29825554983</v>
      </c>
      <c r="B1272" s="24" t="s">
        <v>6499</v>
      </c>
      <c r="C1272" s="34"/>
      <c r="D1272" s="24" t="s">
        <v>6500</v>
      </c>
      <c r="E1272" s="28" t="s">
        <v>6501</v>
      </c>
      <c r="F1272" s="34"/>
      <c r="G1272" s="35">
        <v>45456.0</v>
      </c>
      <c r="H1272" s="34"/>
      <c r="I1272" s="34"/>
      <c r="J1272" s="34"/>
      <c r="K1272" s="34"/>
      <c r="L1272" s="34"/>
      <c r="M1272" s="33">
        <f>HYPERLINK("https://app.hubspot.com/contacts/8748051/record/0-2/8922992697", 8922992697)</f>
        <v>8922992697</v>
      </c>
      <c r="N1272" s="24" t="s">
        <v>6502</v>
      </c>
      <c r="O1272" s="34"/>
      <c r="P1272" s="34"/>
      <c r="Q1272" s="34"/>
      <c r="R1272" s="34"/>
      <c r="S1272" s="34"/>
      <c r="T1272" s="34" t="str">
        <f t="shared" ref="T1272:V1272" si="1278">IF(G1272&lt;&gt;"","Yes","")</f>
        <v>Yes</v>
      </c>
      <c r="U1272" s="34" t="str">
        <f t="shared" si="1278"/>
        <v/>
      </c>
      <c r="V1272" s="34" t="str">
        <f t="shared" si="1278"/>
        <v/>
      </c>
      <c r="W1272" s="34" t="str">
        <f t="shared" si="3"/>
        <v/>
      </c>
      <c r="X1272" s="24" t="str">
        <f t="shared" si="4"/>
        <v/>
      </c>
    </row>
    <row r="1273" ht="14.25" customHeight="1">
      <c r="A1273" s="33">
        <f>HYPERLINK("https://app.hubspot.com/contacts/8748051/record/0-1/29826562579", 29826562579)</f>
        <v>29826562579</v>
      </c>
      <c r="B1273" s="24" t="s">
        <v>6503</v>
      </c>
      <c r="C1273" s="34"/>
      <c r="D1273" s="24" t="s">
        <v>6504</v>
      </c>
      <c r="E1273" s="28" t="s">
        <v>6505</v>
      </c>
      <c r="F1273" s="34"/>
      <c r="G1273" s="35">
        <v>45456.0</v>
      </c>
      <c r="H1273" s="34"/>
      <c r="I1273" s="34"/>
      <c r="J1273" s="34"/>
      <c r="K1273" s="34"/>
      <c r="L1273" s="34"/>
      <c r="M1273" s="33">
        <f>HYPERLINK("https://app.hubspot.com/contacts/8748051/record/0-2/9238257332", 9238257332)</f>
        <v>9238257332</v>
      </c>
      <c r="N1273" s="24" t="s">
        <v>6506</v>
      </c>
      <c r="O1273" s="34"/>
      <c r="P1273" s="34"/>
      <c r="Q1273" s="34"/>
      <c r="R1273" s="34"/>
      <c r="S1273" s="34"/>
      <c r="T1273" s="34" t="str">
        <f t="shared" ref="T1273:V1273" si="1279">IF(G1273&lt;&gt;"","Yes","")</f>
        <v>Yes</v>
      </c>
      <c r="U1273" s="34" t="str">
        <f t="shared" si="1279"/>
        <v/>
      </c>
      <c r="V1273" s="34" t="str">
        <f t="shared" si="1279"/>
        <v/>
      </c>
      <c r="W1273" s="34" t="str">
        <f t="shared" si="3"/>
        <v/>
      </c>
      <c r="X1273" s="24" t="str">
        <f t="shared" si="4"/>
        <v/>
      </c>
    </row>
    <row r="1274" ht="14.25" customHeight="1">
      <c r="A1274" s="33">
        <f>HYPERLINK("https://app.hubspot.com/contacts/8748051/record/0-1/30244516704", 30244516704)</f>
        <v>30244516704</v>
      </c>
      <c r="B1274" s="24" t="s">
        <v>6507</v>
      </c>
      <c r="C1274" s="34"/>
      <c r="D1274" s="24" t="s">
        <v>6508</v>
      </c>
      <c r="E1274" s="28" t="s">
        <v>6509</v>
      </c>
      <c r="F1274" s="34"/>
      <c r="G1274" s="35">
        <v>45461.0</v>
      </c>
      <c r="H1274" s="34"/>
      <c r="I1274" s="34"/>
      <c r="J1274" s="34"/>
      <c r="K1274" s="34"/>
      <c r="L1274" s="34"/>
      <c r="M1274" s="33">
        <f>HYPERLINK("https://app.hubspot.com/contacts/8748051/record/0-2/9068651959", 9068651959)</f>
        <v>9068651959</v>
      </c>
      <c r="N1274" s="24" t="s">
        <v>6510</v>
      </c>
      <c r="O1274" s="34"/>
      <c r="P1274" s="34"/>
      <c r="Q1274" s="34"/>
      <c r="R1274" s="34"/>
      <c r="S1274" s="34"/>
      <c r="T1274" s="34" t="str">
        <f t="shared" ref="T1274:V1274" si="1280">IF(G1274&lt;&gt;"","Yes","")</f>
        <v>Yes</v>
      </c>
      <c r="U1274" s="34" t="str">
        <f t="shared" si="1280"/>
        <v/>
      </c>
      <c r="V1274" s="34" t="str">
        <f t="shared" si="1280"/>
        <v/>
      </c>
      <c r="W1274" s="34" t="str">
        <f t="shared" si="3"/>
        <v/>
      </c>
      <c r="X1274" s="24" t="str">
        <f t="shared" si="4"/>
        <v/>
      </c>
    </row>
    <row r="1275" ht="14.25" customHeight="1">
      <c r="A1275" s="33">
        <f>HYPERLINK("https://app.hubspot.com/contacts/8748051/record/0-1/30383131721", 30383131721)</f>
        <v>30383131721</v>
      </c>
      <c r="B1275" s="24" t="s">
        <v>6511</v>
      </c>
      <c r="C1275" s="34"/>
      <c r="D1275" s="24" t="s">
        <v>6512</v>
      </c>
      <c r="E1275" s="28" t="s">
        <v>6513</v>
      </c>
      <c r="F1275" s="34"/>
      <c r="G1275" s="35">
        <v>45461.0</v>
      </c>
      <c r="H1275" s="35">
        <v>45463.0</v>
      </c>
      <c r="I1275" s="34"/>
      <c r="J1275" s="34"/>
      <c r="K1275" s="34"/>
      <c r="L1275" s="34"/>
      <c r="M1275" s="33">
        <f>HYPERLINK("https://app.hubspot.com/contacts/8748051/record/0-2/16376165935", 16376165935)</f>
        <v>16376165935</v>
      </c>
      <c r="N1275" s="24" t="s">
        <v>6514</v>
      </c>
      <c r="O1275" s="34"/>
      <c r="P1275" s="34"/>
      <c r="Q1275" s="34"/>
      <c r="R1275" s="34"/>
      <c r="S1275" s="34"/>
      <c r="T1275" s="34" t="str">
        <f t="shared" ref="T1275:V1275" si="1281">IF(G1275&lt;&gt;"","Yes","")</f>
        <v>Yes</v>
      </c>
      <c r="U1275" s="34" t="str">
        <f t="shared" si="1281"/>
        <v>Yes</v>
      </c>
      <c r="V1275" s="34" t="str">
        <f t="shared" si="1281"/>
        <v/>
      </c>
      <c r="W1275" s="34" t="str">
        <f t="shared" si="3"/>
        <v/>
      </c>
      <c r="X1275" s="24" t="str">
        <f t="shared" si="4"/>
        <v/>
      </c>
    </row>
    <row r="1276" ht="14.25" customHeight="1">
      <c r="A1276" s="33">
        <f>HYPERLINK("https://app.hubspot.com/contacts/8748051/record/0-1/30518646898", 30518646898)</f>
        <v>30518646898</v>
      </c>
      <c r="B1276" s="24" t="s">
        <v>6515</v>
      </c>
      <c r="C1276" s="34"/>
      <c r="D1276" s="24" t="s">
        <v>6516</v>
      </c>
      <c r="E1276" s="28" t="s">
        <v>6517</v>
      </c>
      <c r="F1276" s="34"/>
      <c r="G1276" s="35">
        <v>45461.0</v>
      </c>
      <c r="H1276" s="34"/>
      <c r="I1276" s="34"/>
      <c r="J1276" s="34"/>
      <c r="K1276" s="34"/>
      <c r="L1276" s="34"/>
      <c r="M1276" s="33">
        <f>HYPERLINK("https://app.hubspot.com/contacts/8748051/record/0-2/19176630099", 19176630099)</f>
        <v>19176630099</v>
      </c>
      <c r="N1276" s="24" t="s">
        <v>6518</v>
      </c>
      <c r="O1276" s="34"/>
      <c r="P1276" s="34"/>
      <c r="Q1276" s="34"/>
      <c r="R1276" s="34"/>
      <c r="S1276" s="34"/>
      <c r="T1276" s="34" t="str">
        <f t="shared" ref="T1276:V1276" si="1282">IF(G1276&lt;&gt;"","Yes","")</f>
        <v>Yes</v>
      </c>
      <c r="U1276" s="34" t="str">
        <f t="shared" si="1282"/>
        <v/>
      </c>
      <c r="V1276" s="34" t="str">
        <f t="shared" si="1282"/>
        <v/>
      </c>
      <c r="W1276" s="34" t="str">
        <f t="shared" si="3"/>
        <v/>
      </c>
      <c r="X1276" s="24" t="str">
        <f t="shared" si="4"/>
        <v/>
      </c>
    </row>
    <row r="1277" ht="14.25" customHeight="1">
      <c r="A1277" s="33">
        <f>HYPERLINK("https://app.hubspot.com/contacts/8748051/record/0-1/30660874555", 30660874555)</f>
        <v>30660874555</v>
      </c>
      <c r="B1277" s="24" t="s">
        <v>6519</v>
      </c>
      <c r="C1277" s="34"/>
      <c r="D1277" s="24" t="s">
        <v>6520</v>
      </c>
      <c r="E1277" s="28" t="s">
        <v>1596</v>
      </c>
      <c r="F1277" s="34"/>
      <c r="G1277" s="35">
        <v>45461.0</v>
      </c>
      <c r="H1277" s="35">
        <v>45474.0</v>
      </c>
      <c r="I1277" s="35">
        <v>45474.0</v>
      </c>
      <c r="J1277" s="34"/>
      <c r="K1277" s="34"/>
      <c r="L1277" s="34"/>
      <c r="M1277" s="33">
        <f>HYPERLINK("https://app.hubspot.com/contacts/8748051/record/0-2/19176644614", 19176644614)</f>
        <v>19176644614</v>
      </c>
      <c r="N1277" s="24" t="s">
        <v>1595</v>
      </c>
      <c r="O1277" s="33">
        <f>HYPERLINK("https://app.hubspot.com/contacts/8748051/record/0-3/20356153684", 20356153684)</f>
        <v>20356153684</v>
      </c>
      <c r="P1277" s="24" t="s">
        <v>1594</v>
      </c>
      <c r="Q1277" s="24" t="s">
        <v>127</v>
      </c>
      <c r="R1277" s="24">
        <v>3120.0</v>
      </c>
      <c r="S1277" s="24" t="b">
        <v>1</v>
      </c>
      <c r="T1277" s="34" t="str">
        <f t="shared" ref="T1277:V1277" si="1283">IF(G1277&lt;&gt;"","Yes","")</f>
        <v>Yes</v>
      </c>
      <c r="U1277" s="34" t="str">
        <f t="shared" si="1283"/>
        <v>Yes</v>
      </c>
      <c r="V1277" s="34" t="str">
        <f t="shared" si="1283"/>
        <v>Yes</v>
      </c>
      <c r="W1277" s="34" t="str">
        <f t="shared" si="3"/>
        <v/>
      </c>
      <c r="X1277" s="24" t="str">
        <f t="shared" si="4"/>
        <v/>
      </c>
    </row>
    <row r="1278" ht="14.25" customHeight="1">
      <c r="A1278" s="33">
        <f>HYPERLINK("https://app.hubspot.com/contacts/8748051/record/0-1/30801627715", 30801627715)</f>
        <v>30801627715</v>
      </c>
      <c r="B1278" s="24" t="s">
        <v>6521</v>
      </c>
      <c r="C1278" s="34"/>
      <c r="D1278" s="24" t="s">
        <v>6522</v>
      </c>
      <c r="E1278" s="28" t="s">
        <v>1583</v>
      </c>
      <c r="F1278" s="34"/>
      <c r="G1278" s="35">
        <v>45460.0</v>
      </c>
      <c r="H1278" s="35">
        <v>45474.0</v>
      </c>
      <c r="I1278" s="35">
        <v>45474.0</v>
      </c>
      <c r="J1278" s="34"/>
      <c r="K1278" s="34"/>
      <c r="L1278" s="34"/>
      <c r="M1278" s="33">
        <f>HYPERLINK("https://app.hubspot.com/contacts/8748051/record/0-2/9177829664", 9177829664)</f>
        <v>9177829664</v>
      </c>
      <c r="N1278" s="24" t="s">
        <v>1582</v>
      </c>
      <c r="O1278" s="33">
        <f>HYPERLINK("https://app.hubspot.com/contacts/8748051/record/0-3/20464474693", 20464474693)</f>
        <v>20464474693</v>
      </c>
      <c r="P1278" s="24" t="s">
        <v>1581</v>
      </c>
      <c r="Q1278" s="24" t="s">
        <v>73</v>
      </c>
      <c r="R1278" s="24">
        <v>11040.0</v>
      </c>
      <c r="S1278" s="34"/>
      <c r="T1278" s="34" t="str">
        <f t="shared" ref="T1278:V1278" si="1284">IF(G1278&lt;&gt;"","Yes","")</f>
        <v>Yes</v>
      </c>
      <c r="U1278" s="34" t="str">
        <f t="shared" si="1284"/>
        <v>Yes</v>
      </c>
      <c r="V1278" s="34" t="str">
        <f t="shared" si="1284"/>
        <v>Yes</v>
      </c>
      <c r="W1278" s="34" t="str">
        <f t="shared" si="3"/>
        <v/>
      </c>
      <c r="X1278" s="24" t="str">
        <f t="shared" si="4"/>
        <v/>
      </c>
    </row>
    <row r="1279" ht="14.25" customHeight="1">
      <c r="A1279" s="33">
        <f>HYPERLINK("https://app.hubspot.com/contacts/8748051/record/0-1/30826806369", 30826806369)</f>
        <v>30826806369</v>
      </c>
      <c r="B1279" s="24" t="s">
        <v>6523</v>
      </c>
      <c r="C1279" s="34"/>
      <c r="D1279" s="24" t="s">
        <v>6524</v>
      </c>
      <c r="E1279" s="28" t="s">
        <v>139</v>
      </c>
      <c r="F1279" s="34"/>
      <c r="G1279" s="35">
        <v>45461.0</v>
      </c>
      <c r="H1279" s="34"/>
      <c r="I1279" s="34"/>
      <c r="J1279" s="34"/>
      <c r="K1279" s="34"/>
      <c r="L1279" s="34"/>
      <c r="M1279" s="33">
        <f>HYPERLINK("https://app.hubspot.com/contacts/8748051/record/0-2/30623359770", 30623359770)</f>
        <v>30623359770</v>
      </c>
      <c r="N1279" s="24" t="s">
        <v>138</v>
      </c>
      <c r="O1279" s="34"/>
      <c r="P1279" s="34"/>
      <c r="Q1279" s="34"/>
      <c r="R1279" s="34"/>
      <c r="S1279" s="34"/>
      <c r="T1279" s="34" t="str">
        <f t="shared" ref="T1279:V1279" si="1285">IF(G1279&lt;&gt;"","Yes","")</f>
        <v>Yes</v>
      </c>
      <c r="U1279" s="34" t="str">
        <f t="shared" si="1285"/>
        <v/>
      </c>
      <c r="V1279" s="34" t="str">
        <f t="shared" si="1285"/>
        <v/>
      </c>
      <c r="W1279" s="34" t="str">
        <f t="shared" si="3"/>
        <v/>
      </c>
      <c r="X1279" s="24" t="str">
        <f t="shared" si="4"/>
        <v/>
      </c>
    </row>
    <row r="1280" ht="14.25" customHeight="1">
      <c r="A1280" s="33">
        <f>HYPERLINK("https://app.hubspot.com/contacts/8748051/record/0-1/30864938164", 30864938164)</f>
        <v>30864938164</v>
      </c>
      <c r="B1280" s="24" t="s">
        <v>6525</v>
      </c>
      <c r="C1280" s="34"/>
      <c r="D1280" s="24" t="s">
        <v>6526</v>
      </c>
      <c r="E1280" s="28" t="s">
        <v>1427</v>
      </c>
      <c r="F1280" s="34"/>
      <c r="G1280" s="35">
        <v>45461.0</v>
      </c>
      <c r="H1280" s="34"/>
      <c r="I1280" s="34"/>
      <c r="J1280" s="34"/>
      <c r="K1280" s="34"/>
      <c r="L1280" s="34"/>
      <c r="M1280" s="33">
        <f>HYPERLINK("https://app.hubspot.com/contacts/8748051/record/0-2/16065608240", 16065608240)</f>
        <v>16065608240</v>
      </c>
      <c r="N1280" s="24" t="s">
        <v>1426</v>
      </c>
      <c r="O1280" s="34"/>
      <c r="P1280" s="34"/>
      <c r="Q1280" s="34"/>
      <c r="R1280" s="34"/>
      <c r="S1280" s="34"/>
      <c r="T1280" s="34" t="str">
        <f t="shared" ref="T1280:V1280" si="1286">IF(G1280&lt;&gt;"","Yes","")</f>
        <v>Yes</v>
      </c>
      <c r="U1280" s="34" t="str">
        <f t="shared" si="1286"/>
        <v/>
      </c>
      <c r="V1280" s="34" t="str">
        <f t="shared" si="1286"/>
        <v/>
      </c>
      <c r="W1280" s="34" t="str">
        <f t="shared" si="3"/>
        <v/>
      </c>
      <c r="X1280" s="24" t="str">
        <f t="shared" si="4"/>
        <v/>
      </c>
    </row>
    <row r="1281" ht="14.25" customHeight="1">
      <c r="A1281" s="33">
        <f>HYPERLINK("https://app.hubspot.com/contacts/8748051/record/0-1/31381717366", 31381717366)</f>
        <v>31381717366</v>
      </c>
      <c r="B1281" s="24" t="s">
        <v>6527</v>
      </c>
      <c r="C1281" s="34"/>
      <c r="D1281" s="24" t="s">
        <v>6528</v>
      </c>
      <c r="E1281" s="28" t="s">
        <v>6529</v>
      </c>
      <c r="F1281" s="24" t="s">
        <v>6530</v>
      </c>
      <c r="G1281" s="34"/>
      <c r="H1281" s="34"/>
      <c r="I1281" s="34"/>
      <c r="J1281" s="34"/>
      <c r="K1281" s="34"/>
      <c r="L1281" s="34"/>
      <c r="M1281" s="33">
        <f>HYPERLINK("https://app.hubspot.com/contacts/8748051/record/0-2/14811102050", 14811102050)</f>
        <v>14811102050</v>
      </c>
      <c r="N1281" s="24" t="s">
        <v>6531</v>
      </c>
      <c r="O1281" s="34"/>
      <c r="P1281" s="34"/>
      <c r="Q1281" s="34"/>
      <c r="R1281" s="34"/>
      <c r="S1281" s="34"/>
      <c r="T1281" s="34" t="str">
        <f t="shared" ref="T1281:V1281" si="1287">IF(G1281&lt;&gt;"","Yes","")</f>
        <v/>
      </c>
      <c r="U1281" s="34" t="str">
        <f t="shared" si="1287"/>
        <v/>
      </c>
      <c r="V1281" s="34" t="str">
        <f t="shared" si="1287"/>
        <v/>
      </c>
      <c r="W1281" s="34" t="str">
        <f t="shared" si="3"/>
        <v/>
      </c>
      <c r="X1281" s="24" t="str">
        <f t="shared" si="4"/>
        <v/>
      </c>
    </row>
    <row r="1282" ht="14.25" customHeight="1">
      <c r="A1282" s="33">
        <f>HYPERLINK("https://app.hubspot.com/contacts/8748051/record/0-1/31594438179", 31594438179)</f>
        <v>31594438179</v>
      </c>
      <c r="B1282" s="24" t="s">
        <v>6532</v>
      </c>
      <c r="C1282" s="34"/>
      <c r="D1282" s="24" t="s">
        <v>6533</v>
      </c>
      <c r="E1282" s="28" t="s">
        <v>6534</v>
      </c>
      <c r="F1282" s="34"/>
      <c r="G1282" s="35">
        <v>45463.0</v>
      </c>
      <c r="H1282" s="34"/>
      <c r="I1282" s="34"/>
      <c r="J1282" s="34"/>
      <c r="K1282" s="34"/>
      <c r="L1282" s="34"/>
      <c r="M1282" s="33">
        <f>HYPERLINK("https://app.hubspot.com/contacts/8748051/record/0-2/19176228668", 19176228668)</f>
        <v>19176228668</v>
      </c>
      <c r="N1282" s="24" t="s">
        <v>6535</v>
      </c>
      <c r="O1282" s="34"/>
      <c r="P1282" s="34"/>
      <c r="Q1282" s="34"/>
      <c r="R1282" s="34"/>
      <c r="S1282" s="34"/>
      <c r="T1282" s="34" t="str">
        <f t="shared" ref="T1282:V1282" si="1288">IF(G1282&lt;&gt;"","Yes","")</f>
        <v>Yes</v>
      </c>
      <c r="U1282" s="34" t="str">
        <f t="shared" si="1288"/>
        <v/>
      </c>
      <c r="V1282" s="34" t="str">
        <f t="shared" si="1288"/>
        <v/>
      </c>
      <c r="W1282" s="34" t="str">
        <f t="shared" si="3"/>
        <v/>
      </c>
      <c r="X1282" s="24" t="str">
        <f t="shared" si="4"/>
        <v/>
      </c>
    </row>
    <row r="1283" ht="14.25" customHeight="1">
      <c r="A1283" s="33">
        <f>HYPERLINK("https://app.hubspot.com/contacts/8748051/record/0-1/31682524583", 31682524583)</f>
        <v>31682524583</v>
      </c>
      <c r="B1283" s="24" t="s">
        <v>6536</v>
      </c>
      <c r="C1283" s="34"/>
      <c r="D1283" s="24" t="s">
        <v>6537</v>
      </c>
      <c r="E1283" s="28" t="s">
        <v>6538</v>
      </c>
      <c r="F1283" s="34"/>
      <c r="G1283" s="35">
        <v>45463.0</v>
      </c>
      <c r="H1283" s="34"/>
      <c r="I1283" s="34"/>
      <c r="J1283" s="34"/>
      <c r="K1283" s="34"/>
      <c r="L1283" s="34"/>
      <c r="M1283" s="33">
        <f>HYPERLINK("https://app.hubspot.com/contacts/8748051/record/0-2/19176688641", 19176688641)</f>
        <v>19176688641</v>
      </c>
      <c r="N1283" s="24" t="s">
        <v>6539</v>
      </c>
      <c r="O1283" s="34"/>
      <c r="P1283" s="34"/>
      <c r="Q1283" s="34"/>
      <c r="R1283" s="34"/>
      <c r="S1283" s="34"/>
      <c r="T1283" s="34" t="str">
        <f t="shared" ref="T1283:V1283" si="1289">IF(G1283&lt;&gt;"","Yes","")</f>
        <v>Yes</v>
      </c>
      <c r="U1283" s="34" t="str">
        <f t="shared" si="1289"/>
        <v/>
      </c>
      <c r="V1283" s="34" t="str">
        <f t="shared" si="1289"/>
        <v/>
      </c>
      <c r="W1283" s="34" t="str">
        <f t="shared" si="3"/>
        <v/>
      </c>
      <c r="X1283" s="24" t="str">
        <f t="shared" si="4"/>
        <v/>
      </c>
    </row>
    <row r="1284" ht="14.25" customHeight="1">
      <c r="A1284" s="33">
        <f>HYPERLINK("https://app.hubspot.com/contacts/8748051/record/0-1/31774743873", 31774743873)</f>
        <v>31774743873</v>
      </c>
      <c r="B1284" s="24" t="s">
        <v>6540</v>
      </c>
      <c r="C1284" s="34"/>
      <c r="D1284" s="24" t="s">
        <v>6541</v>
      </c>
      <c r="E1284" s="28" t="s">
        <v>6542</v>
      </c>
      <c r="F1284" s="34"/>
      <c r="G1284" s="35">
        <v>45463.0</v>
      </c>
      <c r="H1284" s="34"/>
      <c r="I1284" s="34"/>
      <c r="J1284" s="34"/>
      <c r="K1284" s="34"/>
      <c r="L1284" s="34"/>
      <c r="M1284" s="33">
        <f>HYPERLINK("https://app.hubspot.com/contacts/8748051/record/0-2/19176356735", 19176356735)</f>
        <v>19176356735</v>
      </c>
      <c r="N1284" s="24" t="s">
        <v>6543</v>
      </c>
      <c r="O1284" s="34"/>
      <c r="P1284" s="34"/>
      <c r="Q1284" s="34"/>
      <c r="R1284" s="34"/>
      <c r="S1284" s="34"/>
      <c r="T1284" s="34" t="str">
        <f t="shared" ref="T1284:V1284" si="1290">IF(G1284&lt;&gt;"","Yes","")</f>
        <v>Yes</v>
      </c>
      <c r="U1284" s="34" t="str">
        <f t="shared" si="1290"/>
        <v/>
      </c>
      <c r="V1284" s="34" t="str">
        <f t="shared" si="1290"/>
        <v/>
      </c>
      <c r="W1284" s="34" t="str">
        <f t="shared" si="3"/>
        <v/>
      </c>
      <c r="X1284" s="24" t="str">
        <f t="shared" si="4"/>
        <v/>
      </c>
    </row>
    <row r="1285" ht="14.25" customHeight="1">
      <c r="A1285" s="33">
        <f>HYPERLINK("https://app.hubspot.com/contacts/8748051/record/0-1/31855558521", 31855558521)</f>
        <v>31855558521</v>
      </c>
      <c r="B1285" s="24" t="s">
        <v>6544</v>
      </c>
      <c r="C1285" s="34"/>
      <c r="D1285" s="24" t="s">
        <v>6545</v>
      </c>
      <c r="E1285" s="28" t="s">
        <v>6546</v>
      </c>
      <c r="F1285" s="34"/>
      <c r="G1285" s="35">
        <v>45464.0</v>
      </c>
      <c r="H1285" s="34"/>
      <c r="I1285" s="34"/>
      <c r="J1285" s="34"/>
      <c r="K1285" s="34"/>
      <c r="L1285" s="34"/>
      <c r="M1285" s="33">
        <f>HYPERLINK("https://app.hubspot.com/contacts/8748051/record/0-2/8922942767", 8922942767)</f>
        <v>8922942767</v>
      </c>
      <c r="N1285" s="24" t="s">
        <v>6547</v>
      </c>
      <c r="O1285" s="34"/>
      <c r="P1285" s="34"/>
      <c r="Q1285" s="34"/>
      <c r="R1285" s="34"/>
      <c r="S1285" s="34"/>
      <c r="T1285" s="34" t="str">
        <f t="shared" ref="T1285:V1285" si="1291">IF(G1285&lt;&gt;"","Yes","")</f>
        <v>Yes</v>
      </c>
      <c r="U1285" s="34" t="str">
        <f t="shared" si="1291"/>
        <v/>
      </c>
      <c r="V1285" s="34" t="str">
        <f t="shared" si="1291"/>
        <v/>
      </c>
      <c r="W1285" s="34" t="str">
        <f t="shared" si="3"/>
        <v/>
      </c>
      <c r="X1285" s="24" t="str">
        <f t="shared" si="4"/>
        <v/>
      </c>
    </row>
    <row r="1286" ht="14.25" customHeight="1">
      <c r="A1286" s="33">
        <f>HYPERLINK("https://app.hubspot.com/contacts/8748051/record/0-1/32065115395", 32065115395)</f>
        <v>32065115395</v>
      </c>
      <c r="B1286" s="24" t="s">
        <v>6548</v>
      </c>
      <c r="C1286" s="34"/>
      <c r="D1286" s="24" t="s">
        <v>6549</v>
      </c>
      <c r="E1286" s="28" t="s">
        <v>6550</v>
      </c>
      <c r="F1286" s="34"/>
      <c r="G1286" s="35">
        <v>45464.0</v>
      </c>
      <c r="H1286" s="34"/>
      <c r="I1286" s="34"/>
      <c r="J1286" s="34"/>
      <c r="K1286" s="34"/>
      <c r="L1286" s="34"/>
      <c r="M1286" s="33">
        <f>HYPERLINK("https://app.hubspot.com/contacts/8748051/record/0-2/9093416795", 9093416795)</f>
        <v>9093416795</v>
      </c>
      <c r="N1286" s="24" t="s">
        <v>6551</v>
      </c>
      <c r="O1286" s="34"/>
      <c r="P1286" s="34"/>
      <c r="Q1286" s="34"/>
      <c r="R1286" s="34"/>
      <c r="S1286" s="34"/>
      <c r="T1286" s="34" t="str">
        <f t="shared" ref="T1286:V1286" si="1292">IF(G1286&lt;&gt;"","Yes","")</f>
        <v>Yes</v>
      </c>
      <c r="U1286" s="34" t="str">
        <f t="shared" si="1292"/>
        <v/>
      </c>
      <c r="V1286" s="34" t="str">
        <f t="shared" si="1292"/>
        <v/>
      </c>
      <c r="W1286" s="34" t="str">
        <f t="shared" si="3"/>
        <v/>
      </c>
      <c r="X1286" s="24" t="str">
        <f t="shared" si="4"/>
        <v/>
      </c>
    </row>
    <row r="1287" ht="14.25" customHeight="1">
      <c r="A1287" s="33">
        <f>HYPERLINK("https://app.hubspot.com/contacts/8748051/record/0-1/32195058031", 32195058031)</f>
        <v>32195058031</v>
      </c>
      <c r="B1287" s="24" t="s">
        <v>6552</v>
      </c>
      <c r="C1287" s="34"/>
      <c r="D1287" s="24" t="s">
        <v>6553</v>
      </c>
      <c r="E1287" s="28" t="s">
        <v>1599</v>
      </c>
      <c r="F1287" s="34"/>
      <c r="G1287" s="35">
        <v>45467.0</v>
      </c>
      <c r="H1287" s="35">
        <v>45469.0</v>
      </c>
      <c r="I1287" s="35">
        <v>45469.0</v>
      </c>
      <c r="J1287" s="34"/>
      <c r="K1287" s="34"/>
      <c r="L1287" s="34"/>
      <c r="M1287" s="33">
        <f>HYPERLINK("https://app.hubspot.com/contacts/8748051/record/0-2/8142162853", 8142162853)</f>
        <v>8142162853</v>
      </c>
      <c r="N1287" s="24" t="s">
        <v>1598</v>
      </c>
      <c r="O1287" s="33">
        <f>HYPERLINK("https://app.hubspot.com/contacts/8748051/record/0-3/20351614614", 20351614614)</f>
        <v>20351614614</v>
      </c>
      <c r="P1287" s="24" t="s">
        <v>1597</v>
      </c>
      <c r="Q1287" s="24" t="s">
        <v>73</v>
      </c>
      <c r="R1287" s="24">
        <v>7920.0</v>
      </c>
      <c r="S1287" s="34"/>
      <c r="T1287" s="34" t="str">
        <f t="shared" ref="T1287:V1287" si="1293">IF(G1287&lt;&gt;"","Yes","")</f>
        <v>Yes</v>
      </c>
      <c r="U1287" s="34" t="str">
        <f t="shared" si="1293"/>
        <v>Yes</v>
      </c>
      <c r="V1287" s="34" t="str">
        <f t="shared" si="1293"/>
        <v>Yes</v>
      </c>
      <c r="W1287" s="34" t="str">
        <f t="shared" si="3"/>
        <v/>
      </c>
      <c r="X1287" s="24" t="str">
        <f t="shared" si="4"/>
        <v/>
      </c>
    </row>
    <row r="1288" ht="14.25" customHeight="1">
      <c r="A1288" s="33">
        <f>HYPERLINK("https://app.hubspot.com/contacts/8748051/record/0-1/32358414918", 32358414918)</f>
        <v>32358414918</v>
      </c>
      <c r="B1288" s="24" t="s">
        <v>6554</v>
      </c>
      <c r="C1288" s="34"/>
      <c r="D1288" s="24" t="s">
        <v>6555</v>
      </c>
      <c r="E1288" s="28" t="s">
        <v>1622</v>
      </c>
      <c r="F1288" s="34"/>
      <c r="G1288" s="35">
        <v>45467.0</v>
      </c>
      <c r="H1288" s="34"/>
      <c r="I1288" s="34"/>
      <c r="J1288" s="34"/>
      <c r="K1288" s="34"/>
      <c r="L1288" s="34"/>
      <c r="M1288" s="33">
        <f>HYPERLINK("https://app.hubspot.com/contacts/8748051/record/0-2/9173832217", 9173832217)</f>
        <v>9173832217</v>
      </c>
      <c r="N1288" s="24" t="s">
        <v>1621</v>
      </c>
      <c r="O1288" s="33">
        <f>HYPERLINK("https://app.hubspot.com/contacts/8748051/record/0-3/20143381103", 20143381103)</f>
        <v>20143381103</v>
      </c>
      <c r="P1288" s="24" t="s">
        <v>1619</v>
      </c>
      <c r="Q1288" s="24" t="s">
        <v>149</v>
      </c>
      <c r="R1288" s="24">
        <v>30000.0</v>
      </c>
      <c r="S1288" s="24" t="b">
        <v>1</v>
      </c>
      <c r="T1288" s="34" t="str">
        <f t="shared" ref="T1288:V1288" si="1294">IF(G1288&lt;&gt;"","Yes","")</f>
        <v>Yes</v>
      </c>
      <c r="U1288" s="34" t="str">
        <f t="shared" si="1294"/>
        <v/>
      </c>
      <c r="V1288" s="34" t="str">
        <f t="shared" si="1294"/>
        <v/>
      </c>
      <c r="W1288" s="34" t="str">
        <f t="shared" si="3"/>
        <v/>
      </c>
      <c r="X1288" s="24" t="str">
        <f t="shared" si="4"/>
        <v>Yes</v>
      </c>
    </row>
    <row r="1289" ht="14.25" customHeight="1">
      <c r="A1289" s="33">
        <f>HYPERLINK("https://app.hubspot.com/contacts/8748051/record/0-1/32462158849", 32462158849)</f>
        <v>32462158849</v>
      </c>
      <c r="B1289" s="24" t="s">
        <v>6556</v>
      </c>
      <c r="C1289" s="34"/>
      <c r="D1289" s="24" t="s">
        <v>6557</v>
      </c>
      <c r="E1289" s="28" t="s">
        <v>1570</v>
      </c>
      <c r="F1289" s="34"/>
      <c r="G1289" s="35">
        <v>45466.0</v>
      </c>
      <c r="H1289" s="35">
        <v>45481.0</v>
      </c>
      <c r="I1289" s="35">
        <v>45481.0</v>
      </c>
      <c r="J1289" s="34"/>
      <c r="K1289" s="34"/>
      <c r="L1289" s="34"/>
      <c r="M1289" s="33">
        <f>HYPERLINK("https://app.hubspot.com/contacts/8748051/record/0-2/19176601204", 19176601204)</f>
        <v>19176601204</v>
      </c>
      <c r="N1289" s="24" t="s">
        <v>1569</v>
      </c>
      <c r="O1289" s="33">
        <f>HYPERLINK("https://app.hubspot.com/contacts/8748051/record/0-3/20487492353", 20487492353)</f>
        <v>20487492353</v>
      </c>
      <c r="P1289" s="24" t="s">
        <v>1567</v>
      </c>
      <c r="Q1289" s="24" t="s">
        <v>127</v>
      </c>
      <c r="R1289" s="24">
        <v>30480.0</v>
      </c>
      <c r="S1289" s="24" t="b">
        <v>1</v>
      </c>
      <c r="T1289" s="34" t="str">
        <f t="shared" ref="T1289:V1289" si="1295">IF(G1289&lt;&gt;"","Yes","")</f>
        <v>Yes</v>
      </c>
      <c r="U1289" s="34" t="str">
        <f t="shared" si="1295"/>
        <v>Yes</v>
      </c>
      <c r="V1289" s="34" t="str">
        <f t="shared" si="1295"/>
        <v>Yes</v>
      </c>
      <c r="W1289" s="34" t="str">
        <f t="shared" si="3"/>
        <v/>
      </c>
      <c r="X1289" s="24" t="str">
        <f t="shared" si="4"/>
        <v/>
      </c>
    </row>
    <row r="1290" ht="14.25" customHeight="1">
      <c r="A1290" s="33">
        <f>HYPERLINK("https://app.hubspot.com/contacts/8748051/record/0-1/32541113387", 32541113387)</f>
        <v>32541113387</v>
      </c>
      <c r="B1290" s="24" t="s">
        <v>6558</v>
      </c>
      <c r="C1290" s="34"/>
      <c r="D1290" s="24" t="s">
        <v>6559</v>
      </c>
      <c r="E1290" s="28" t="s">
        <v>6302</v>
      </c>
      <c r="F1290" s="34"/>
      <c r="G1290" s="35">
        <v>45466.0</v>
      </c>
      <c r="H1290" s="34"/>
      <c r="I1290" s="34"/>
      <c r="J1290" s="34"/>
      <c r="K1290" s="34"/>
      <c r="L1290" s="34"/>
      <c r="M1290" s="33">
        <f>HYPERLINK("https://app.hubspot.com/contacts/8748051/record/0-2/8142329509", 8142329509)</f>
        <v>8142329509</v>
      </c>
      <c r="N1290" s="24" t="s">
        <v>6303</v>
      </c>
      <c r="O1290" s="34"/>
      <c r="P1290" s="34"/>
      <c r="Q1290" s="34"/>
      <c r="R1290" s="34"/>
      <c r="S1290" s="34"/>
      <c r="T1290" s="34" t="str">
        <f t="shared" ref="T1290:V1290" si="1296">IF(G1290&lt;&gt;"","Yes","")</f>
        <v>Yes</v>
      </c>
      <c r="U1290" s="34" t="str">
        <f t="shared" si="1296"/>
        <v/>
      </c>
      <c r="V1290" s="34" t="str">
        <f t="shared" si="1296"/>
        <v/>
      </c>
      <c r="W1290" s="34" t="str">
        <f t="shared" si="3"/>
        <v/>
      </c>
      <c r="X1290" s="24" t="str">
        <f t="shared" si="4"/>
        <v/>
      </c>
    </row>
    <row r="1291" ht="14.25" customHeight="1">
      <c r="A1291" s="33">
        <f>HYPERLINK("https://app.hubspot.com/contacts/8748051/record/0-1/32590247497", 32590247497)</f>
        <v>32590247497</v>
      </c>
      <c r="B1291" s="24" t="s">
        <v>6560</v>
      </c>
      <c r="C1291" s="34"/>
      <c r="D1291" s="24" t="s">
        <v>6561</v>
      </c>
      <c r="E1291" s="28" t="s">
        <v>1579</v>
      </c>
      <c r="F1291" s="34"/>
      <c r="G1291" s="35">
        <v>45467.0</v>
      </c>
      <c r="H1291" s="35">
        <v>45475.0</v>
      </c>
      <c r="I1291" s="35">
        <v>45475.0</v>
      </c>
      <c r="J1291" s="34"/>
      <c r="K1291" s="34"/>
      <c r="L1291" s="34"/>
      <c r="M1291" s="33">
        <f>HYPERLINK("https://app.hubspot.com/contacts/8748051/record/0-2/8724516529", 8724516529)</f>
        <v>8724516529</v>
      </c>
      <c r="N1291" s="24" t="s">
        <v>1578</v>
      </c>
      <c r="O1291" s="33">
        <f>HYPERLINK("https://app.hubspot.com/contacts/8748051/record/0-3/20470019342", 20470019342)</f>
        <v>20470019342</v>
      </c>
      <c r="P1291" s="24" t="s">
        <v>1577</v>
      </c>
      <c r="Q1291" s="24" t="s">
        <v>127</v>
      </c>
      <c r="R1291" s="24">
        <v>54480.0</v>
      </c>
      <c r="S1291" s="24" t="b">
        <v>1</v>
      </c>
      <c r="T1291" s="34" t="str">
        <f t="shared" ref="T1291:V1291" si="1297">IF(G1291&lt;&gt;"","Yes","")</f>
        <v>Yes</v>
      </c>
      <c r="U1291" s="34" t="str">
        <f t="shared" si="1297"/>
        <v>Yes</v>
      </c>
      <c r="V1291" s="34" t="str">
        <f t="shared" si="1297"/>
        <v>Yes</v>
      </c>
      <c r="W1291" s="34" t="str">
        <f t="shared" si="3"/>
        <v/>
      </c>
      <c r="X1291" s="24" t="str">
        <f t="shared" si="4"/>
        <v/>
      </c>
    </row>
    <row r="1292" ht="14.25" customHeight="1">
      <c r="A1292" s="33">
        <f>HYPERLINK("https://app.hubspot.com/contacts/8748051/record/0-1/32625568834", 32625568834)</f>
        <v>32625568834</v>
      </c>
      <c r="B1292" s="24" t="s">
        <v>6562</v>
      </c>
      <c r="C1292" s="34"/>
      <c r="D1292" s="24" t="s">
        <v>6563</v>
      </c>
      <c r="E1292" s="28" t="s">
        <v>6564</v>
      </c>
      <c r="F1292" s="34"/>
      <c r="G1292" s="35">
        <v>45467.0</v>
      </c>
      <c r="H1292" s="34"/>
      <c r="I1292" s="34"/>
      <c r="J1292" s="34"/>
      <c r="K1292" s="34"/>
      <c r="L1292" s="34"/>
      <c r="M1292" s="33">
        <f>HYPERLINK("https://app.hubspot.com/contacts/8748051/record/0-2/7794413596", 7794413596)</f>
        <v>7794413596</v>
      </c>
      <c r="N1292" s="24" t="s">
        <v>6565</v>
      </c>
      <c r="O1292" s="34"/>
      <c r="P1292" s="34"/>
      <c r="Q1292" s="34"/>
      <c r="R1292" s="34"/>
      <c r="S1292" s="34"/>
      <c r="T1292" s="34" t="str">
        <f t="shared" ref="T1292:V1292" si="1298">IF(G1292&lt;&gt;"","Yes","")</f>
        <v>Yes</v>
      </c>
      <c r="U1292" s="34" t="str">
        <f t="shared" si="1298"/>
        <v/>
      </c>
      <c r="V1292" s="34" t="str">
        <f t="shared" si="1298"/>
        <v/>
      </c>
      <c r="W1292" s="34" t="str">
        <f t="shared" si="3"/>
        <v/>
      </c>
      <c r="X1292" s="24" t="str">
        <f t="shared" si="4"/>
        <v/>
      </c>
    </row>
    <row r="1293" ht="14.25" customHeight="1">
      <c r="A1293" s="33">
        <f>HYPERLINK("https://app.hubspot.com/contacts/8748051/record/0-1/32826034034", 32826034034)</f>
        <v>32826034034</v>
      </c>
      <c r="B1293" s="24" t="s">
        <v>6566</v>
      </c>
      <c r="C1293" s="34"/>
      <c r="D1293" s="24" t="s">
        <v>6567</v>
      </c>
      <c r="E1293" s="28" t="s">
        <v>6568</v>
      </c>
      <c r="F1293" s="34"/>
      <c r="G1293" s="35">
        <v>45467.0</v>
      </c>
      <c r="H1293" s="34"/>
      <c r="I1293" s="34"/>
      <c r="J1293" s="34"/>
      <c r="K1293" s="34"/>
      <c r="L1293" s="34"/>
      <c r="M1293" s="33">
        <f>HYPERLINK("https://app.hubspot.com/contacts/8748051/record/0-2/19176617491", 19176617491)</f>
        <v>19176617491</v>
      </c>
      <c r="N1293" s="24" t="s">
        <v>6569</v>
      </c>
      <c r="O1293" s="34"/>
      <c r="P1293" s="34"/>
      <c r="Q1293" s="34"/>
      <c r="R1293" s="34"/>
      <c r="S1293" s="34"/>
      <c r="T1293" s="34" t="str">
        <f t="shared" ref="T1293:V1293" si="1299">IF(G1293&lt;&gt;"","Yes","")</f>
        <v>Yes</v>
      </c>
      <c r="U1293" s="34" t="str">
        <f t="shared" si="1299"/>
        <v/>
      </c>
      <c r="V1293" s="34" t="str">
        <f t="shared" si="1299"/>
        <v/>
      </c>
      <c r="W1293" s="34" t="str">
        <f t="shared" si="3"/>
        <v/>
      </c>
      <c r="X1293" s="24" t="str">
        <f t="shared" si="4"/>
        <v/>
      </c>
    </row>
    <row r="1294" ht="14.25" customHeight="1">
      <c r="A1294" s="33">
        <f>HYPERLINK("https://app.hubspot.com/contacts/8748051/record/0-1/32845109644", 32845109644)</f>
        <v>32845109644</v>
      </c>
      <c r="B1294" s="24" t="s">
        <v>6570</v>
      </c>
      <c r="C1294" s="34"/>
      <c r="D1294" s="24" t="s">
        <v>6571</v>
      </c>
      <c r="E1294" s="28" t="s">
        <v>6572</v>
      </c>
      <c r="F1294" s="34"/>
      <c r="G1294" s="35">
        <v>45467.0</v>
      </c>
      <c r="H1294" s="34"/>
      <c r="I1294" s="34"/>
      <c r="J1294" s="34"/>
      <c r="K1294" s="34"/>
      <c r="L1294" s="34"/>
      <c r="M1294" s="33">
        <f>HYPERLINK("https://app.hubspot.com/contacts/8748051/record/0-2/8923002126", 8923002126)</f>
        <v>8923002126</v>
      </c>
      <c r="N1294" s="24" t="s">
        <v>6573</v>
      </c>
      <c r="O1294" s="34"/>
      <c r="P1294" s="34"/>
      <c r="Q1294" s="34"/>
      <c r="R1294" s="34"/>
      <c r="S1294" s="34"/>
      <c r="T1294" s="34" t="str">
        <f t="shared" ref="T1294:V1294" si="1300">IF(G1294&lt;&gt;"","Yes","")</f>
        <v>Yes</v>
      </c>
      <c r="U1294" s="34" t="str">
        <f t="shared" si="1300"/>
        <v/>
      </c>
      <c r="V1294" s="34" t="str">
        <f t="shared" si="1300"/>
        <v/>
      </c>
      <c r="W1294" s="34" t="str">
        <f t="shared" si="3"/>
        <v/>
      </c>
      <c r="X1294" s="24" t="str">
        <f t="shared" si="4"/>
        <v/>
      </c>
    </row>
    <row r="1295" ht="14.25" customHeight="1">
      <c r="A1295" s="33">
        <f>HYPERLINK("https://app.hubspot.com/contacts/8748051/record/0-1/33127434671", 33127434671)</f>
        <v>33127434671</v>
      </c>
      <c r="B1295" s="24" t="s">
        <v>6574</v>
      </c>
      <c r="C1295" s="34"/>
      <c r="D1295" s="24" t="s">
        <v>6575</v>
      </c>
      <c r="E1295" s="28" t="s">
        <v>1478</v>
      </c>
      <c r="F1295" s="34"/>
      <c r="G1295" s="35">
        <v>45468.0</v>
      </c>
      <c r="H1295" s="34"/>
      <c r="I1295" s="34"/>
      <c r="J1295" s="34"/>
      <c r="K1295" s="34"/>
      <c r="L1295" s="34"/>
      <c r="M1295" s="33">
        <f>HYPERLINK("https://app.hubspot.com/contacts/8748051/record/0-2/7700389762", 7700389762)</f>
        <v>7700389762</v>
      </c>
      <c r="N1295" s="24" t="s">
        <v>1477</v>
      </c>
      <c r="O1295" s="34"/>
      <c r="P1295" s="34"/>
      <c r="Q1295" s="34"/>
      <c r="R1295" s="34"/>
      <c r="S1295" s="34"/>
      <c r="T1295" s="34" t="str">
        <f t="shared" ref="T1295:V1295" si="1301">IF(G1295&lt;&gt;"","Yes","")</f>
        <v>Yes</v>
      </c>
      <c r="U1295" s="34" t="str">
        <f t="shared" si="1301"/>
        <v/>
      </c>
      <c r="V1295" s="34" t="str">
        <f t="shared" si="1301"/>
        <v/>
      </c>
      <c r="W1295" s="34" t="str">
        <f t="shared" si="3"/>
        <v/>
      </c>
      <c r="X1295" s="24" t="str">
        <f t="shared" si="4"/>
        <v/>
      </c>
    </row>
    <row r="1296" ht="14.25" customHeight="1">
      <c r="A1296" s="33">
        <f>HYPERLINK("https://app.hubspot.com/contacts/8748051/record/0-1/33153307403", 33153307403)</f>
        <v>33153307403</v>
      </c>
      <c r="B1296" s="24" t="s">
        <v>6576</v>
      </c>
      <c r="C1296" s="34"/>
      <c r="D1296" s="24" t="s">
        <v>6577</v>
      </c>
      <c r="E1296" s="28" t="s">
        <v>6578</v>
      </c>
      <c r="F1296" s="34"/>
      <c r="G1296" s="35">
        <v>45468.0</v>
      </c>
      <c r="H1296" s="34"/>
      <c r="I1296" s="34"/>
      <c r="J1296" s="34"/>
      <c r="K1296" s="34"/>
      <c r="L1296" s="34"/>
      <c r="M1296" s="33">
        <f>HYPERLINK("https://app.hubspot.com/contacts/8748051/record/0-2/9174497443", 9174497443)</f>
        <v>9174497443</v>
      </c>
      <c r="N1296" s="24" t="s">
        <v>6579</v>
      </c>
      <c r="O1296" s="34"/>
      <c r="P1296" s="34"/>
      <c r="Q1296" s="34"/>
      <c r="R1296" s="34"/>
      <c r="S1296" s="34"/>
      <c r="T1296" s="34" t="str">
        <f t="shared" ref="T1296:V1296" si="1302">IF(G1296&lt;&gt;"","Yes","")</f>
        <v>Yes</v>
      </c>
      <c r="U1296" s="34" t="str">
        <f t="shared" si="1302"/>
        <v/>
      </c>
      <c r="V1296" s="34" t="str">
        <f t="shared" si="1302"/>
        <v/>
      </c>
      <c r="W1296" s="34" t="str">
        <f t="shared" si="3"/>
        <v/>
      </c>
      <c r="X1296" s="24" t="str">
        <f t="shared" si="4"/>
        <v/>
      </c>
    </row>
    <row r="1297" ht="14.25" customHeight="1">
      <c r="A1297" s="33">
        <f>HYPERLINK("https://app.hubspot.com/contacts/8748051/record/0-1/33165976992", 33165976992)</f>
        <v>33165976992</v>
      </c>
      <c r="B1297" s="24" t="s">
        <v>6580</v>
      </c>
      <c r="C1297" s="34"/>
      <c r="D1297" s="24" t="s">
        <v>6581</v>
      </c>
      <c r="E1297" s="28" t="s">
        <v>1519</v>
      </c>
      <c r="F1297" s="34"/>
      <c r="G1297" s="35">
        <v>45468.0</v>
      </c>
      <c r="H1297" s="34"/>
      <c r="I1297" s="34"/>
      <c r="J1297" s="34"/>
      <c r="K1297" s="34"/>
      <c r="L1297" s="34"/>
      <c r="M1297" s="33">
        <f>HYPERLINK("https://app.hubspot.com/contacts/8748051/record/0-2/9238339652", 9238339652)</f>
        <v>9238339652</v>
      </c>
      <c r="N1297" s="24" t="s">
        <v>1518</v>
      </c>
      <c r="O1297" s="34"/>
      <c r="P1297" s="34"/>
      <c r="Q1297" s="34"/>
      <c r="R1297" s="34"/>
      <c r="S1297" s="34"/>
      <c r="T1297" s="34" t="str">
        <f t="shared" ref="T1297:V1297" si="1303">IF(G1297&lt;&gt;"","Yes","")</f>
        <v>Yes</v>
      </c>
      <c r="U1297" s="34" t="str">
        <f t="shared" si="1303"/>
        <v/>
      </c>
      <c r="V1297" s="34" t="str">
        <f t="shared" si="1303"/>
        <v/>
      </c>
      <c r="W1297" s="34" t="str">
        <f t="shared" si="3"/>
        <v/>
      </c>
      <c r="X1297" s="24" t="str">
        <f t="shared" si="4"/>
        <v/>
      </c>
    </row>
    <row r="1298" ht="14.25" customHeight="1">
      <c r="A1298" s="33">
        <f>HYPERLINK("https://app.hubspot.com/contacts/8748051/record/0-1/33388653591", 33388653591)</f>
        <v>33388653591</v>
      </c>
      <c r="B1298" s="24" t="s">
        <v>6582</v>
      </c>
      <c r="C1298" s="34"/>
      <c r="D1298" s="24" t="s">
        <v>6583</v>
      </c>
      <c r="E1298" s="28" t="s">
        <v>6584</v>
      </c>
      <c r="F1298" s="34"/>
      <c r="G1298" s="35">
        <v>45469.0</v>
      </c>
      <c r="H1298" s="34"/>
      <c r="I1298" s="34"/>
      <c r="J1298" s="34"/>
      <c r="K1298" s="34"/>
      <c r="L1298" s="34"/>
      <c r="M1298" s="33">
        <f>HYPERLINK("https://app.hubspot.com/contacts/8748051/record/0-2/19177046544", 19177046544)</f>
        <v>19177046544</v>
      </c>
      <c r="N1298" s="24" t="s">
        <v>6585</v>
      </c>
      <c r="O1298" s="34"/>
      <c r="P1298" s="34"/>
      <c r="Q1298" s="34"/>
      <c r="R1298" s="34"/>
      <c r="S1298" s="34"/>
      <c r="T1298" s="34" t="str">
        <f t="shared" ref="T1298:V1298" si="1304">IF(G1298&lt;&gt;"","Yes","")</f>
        <v>Yes</v>
      </c>
      <c r="U1298" s="34" t="str">
        <f t="shared" si="1304"/>
        <v/>
      </c>
      <c r="V1298" s="34" t="str">
        <f t="shared" si="1304"/>
        <v/>
      </c>
      <c r="W1298" s="34" t="str">
        <f t="shared" si="3"/>
        <v/>
      </c>
      <c r="X1298" s="24" t="str">
        <f t="shared" si="4"/>
        <v/>
      </c>
    </row>
    <row r="1299" ht="14.25" customHeight="1">
      <c r="A1299" s="33">
        <f>HYPERLINK("https://app.hubspot.com/contacts/8748051/record/0-1/33469295400", 33469295400)</f>
        <v>33469295400</v>
      </c>
      <c r="B1299" s="24" t="s">
        <v>6586</v>
      </c>
      <c r="C1299" s="34"/>
      <c r="D1299" s="24" t="s">
        <v>6587</v>
      </c>
      <c r="E1299" s="28" t="s">
        <v>1573</v>
      </c>
      <c r="F1299" s="34"/>
      <c r="G1299" s="35">
        <v>45469.0</v>
      </c>
      <c r="H1299" s="35">
        <v>45482.0</v>
      </c>
      <c r="I1299" s="35">
        <v>45482.0</v>
      </c>
      <c r="J1299" s="34"/>
      <c r="K1299" s="34"/>
      <c r="L1299" s="34"/>
      <c r="M1299" s="33">
        <f>HYPERLINK("https://app.hubspot.com/contacts/8748051/record/0-2/19176688712", 19176688712)</f>
        <v>19176688712</v>
      </c>
      <c r="N1299" s="24" t="s">
        <v>1572</v>
      </c>
      <c r="O1299" s="33">
        <f>HYPERLINK("https://app.hubspot.com/contacts/8748051/record/0-3/20484752740", 20484752740)</f>
        <v>20484752740</v>
      </c>
      <c r="P1299" s="24" t="s">
        <v>1571</v>
      </c>
      <c r="Q1299" s="24" t="s">
        <v>73</v>
      </c>
      <c r="R1299" s="24">
        <v>25200.0</v>
      </c>
      <c r="S1299" s="24" t="b">
        <v>1</v>
      </c>
      <c r="T1299" s="34" t="str">
        <f t="shared" ref="T1299:V1299" si="1305">IF(G1299&lt;&gt;"","Yes","")</f>
        <v>Yes</v>
      </c>
      <c r="U1299" s="34" t="str">
        <f t="shared" si="1305"/>
        <v>Yes</v>
      </c>
      <c r="V1299" s="34" t="str">
        <f t="shared" si="1305"/>
        <v>Yes</v>
      </c>
      <c r="W1299" s="34" t="str">
        <f t="shared" si="3"/>
        <v/>
      </c>
      <c r="X1299" s="24" t="str">
        <f t="shared" si="4"/>
        <v/>
      </c>
    </row>
    <row r="1300" ht="14.25" customHeight="1">
      <c r="A1300" s="33">
        <f>HYPERLINK("https://app.hubspot.com/contacts/8748051/record/0-1/33558819872", 33558819872)</f>
        <v>33558819872</v>
      </c>
      <c r="B1300" s="24" t="s">
        <v>6588</v>
      </c>
      <c r="C1300" s="34"/>
      <c r="D1300" s="24" t="s">
        <v>6589</v>
      </c>
      <c r="E1300" s="28" t="s">
        <v>6590</v>
      </c>
      <c r="F1300" s="34"/>
      <c r="G1300" s="35">
        <v>45470.0</v>
      </c>
      <c r="H1300" s="34"/>
      <c r="I1300" s="34"/>
      <c r="J1300" s="34"/>
      <c r="K1300" s="34"/>
      <c r="L1300" s="34"/>
      <c r="M1300" s="33">
        <f>HYPERLINK("https://app.hubspot.com/contacts/8748051/record/0-2/8923284027", 8923284027)</f>
        <v>8923284027</v>
      </c>
      <c r="N1300" s="24" t="s">
        <v>6591</v>
      </c>
      <c r="O1300" s="34"/>
      <c r="P1300" s="34"/>
      <c r="Q1300" s="34"/>
      <c r="R1300" s="34"/>
      <c r="S1300" s="34"/>
      <c r="T1300" s="34" t="str">
        <f t="shared" ref="T1300:V1300" si="1306">IF(G1300&lt;&gt;"","Yes","")</f>
        <v>Yes</v>
      </c>
      <c r="U1300" s="34" t="str">
        <f t="shared" si="1306"/>
        <v/>
      </c>
      <c r="V1300" s="34" t="str">
        <f t="shared" si="1306"/>
        <v/>
      </c>
      <c r="W1300" s="34" t="str">
        <f t="shared" si="3"/>
        <v/>
      </c>
      <c r="X1300" s="24" t="str">
        <f t="shared" si="4"/>
        <v/>
      </c>
    </row>
    <row r="1301" ht="14.25" customHeight="1">
      <c r="A1301" s="33">
        <f>HYPERLINK("https://app.hubspot.com/contacts/8748051/record/0-1/33573615279", 33573615279)</f>
        <v>33573615279</v>
      </c>
      <c r="B1301" s="24" t="s">
        <v>6592</v>
      </c>
      <c r="C1301" s="34"/>
      <c r="D1301" s="24" t="s">
        <v>6593</v>
      </c>
      <c r="E1301" s="28" t="s">
        <v>6594</v>
      </c>
      <c r="F1301" s="34"/>
      <c r="G1301" s="35">
        <v>45470.0</v>
      </c>
      <c r="H1301" s="34"/>
      <c r="I1301" s="34"/>
      <c r="J1301" s="34"/>
      <c r="K1301" s="34"/>
      <c r="L1301" s="34"/>
      <c r="M1301" s="33">
        <f>HYPERLINK("https://app.hubspot.com/contacts/8748051/record/0-2/8142372258", 8142372258)</f>
        <v>8142372258</v>
      </c>
      <c r="N1301" s="28" t="s">
        <v>6595</v>
      </c>
      <c r="O1301" s="34"/>
      <c r="P1301" s="34"/>
      <c r="Q1301" s="34"/>
      <c r="R1301" s="34"/>
      <c r="S1301" s="34"/>
      <c r="T1301" s="34" t="str">
        <f t="shared" ref="T1301:V1301" si="1307">IF(G1301&lt;&gt;"","Yes","")</f>
        <v>Yes</v>
      </c>
      <c r="U1301" s="34" t="str">
        <f t="shared" si="1307"/>
        <v/>
      </c>
      <c r="V1301" s="34" t="str">
        <f t="shared" si="1307"/>
        <v/>
      </c>
      <c r="W1301" s="34" t="str">
        <f t="shared" si="3"/>
        <v/>
      </c>
      <c r="X1301" s="24" t="str">
        <f t="shared" si="4"/>
        <v/>
      </c>
    </row>
    <row r="1302" ht="14.25" customHeight="1">
      <c r="A1302" s="33">
        <f>HYPERLINK("https://app.hubspot.com/contacts/8748051/record/0-1/33729258088", 33729258088)</f>
        <v>33729258088</v>
      </c>
      <c r="B1302" s="24" t="s">
        <v>6596</v>
      </c>
      <c r="C1302" s="34"/>
      <c r="D1302" s="24" t="s">
        <v>6597</v>
      </c>
      <c r="E1302" s="28" t="s">
        <v>6598</v>
      </c>
      <c r="F1302" s="34"/>
      <c r="G1302" s="35">
        <v>45470.0</v>
      </c>
      <c r="H1302" s="34"/>
      <c r="I1302" s="34"/>
      <c r="J1302" s="34"/>
      <c r="K1302" s="34"/>
      <c r="L1302" s="34"/>
      <c r="M1302" s="33">
        <f>HYPERLINK("https://app.hubspot.com/contacts/8748051/record/0-2/19176511904", 19176511904)</f>
        <v>19176511904</v>
      </c>
      <c r="N1302" s="24" t="s">
        <v>6599</v>
      </c>
      <c r="O1302" s="34"/>
      <c r="P1302" s="34"/>
      <c r="Q1302" s="34"/>
      <c r="R1302" s="34"/>
      <c r="S1302" s="34"/>
      <c r="T1302" s="34" t="str">
        <f t="shared" ref="T1302:V1302" si="1308">IF(G1302&lt;&gt;"","Yes","")</f>
        <v>Yes</v>
      </c>
      <c r="U1302" s="34" t="str">
        <f t="shared" si="1308"/>
        <v/>
      </c>
      <c r="V1302" s="34" t="str">
        <f t="shared" si="1308"/>
        <v/>
      </c>
      <c r="W1302" s="34" t="str">
        <f t="shared" si="3"/>
        <v/>
      </c>
      <c r="X1302" s="24" t="str">
        <f t="shared" si="4"/>
        <v/>
      </c>
    </row>
    <row r="1303" ht="14.25" customHeight="1">
      <c r="A1303" s="33">
        <f>HYPERLINK("https://app.hubspot.com/contacts/8748051/record/0-1/33788463881", 33788463881)</f>
        <v>33788463881</v>
      </c>
      <c r="B1303" s="24" t="s">
        <v>6600</v>
      </c>
      <c r="C1303" s="34"/>
      <c r="D1303" s="24" t="s">
        <v>6601</v>
      </c>
      <c r="E1303" s="28" t="s">
        <v>6071</v>
      </c>
      <c r="F1303" s="34"/>
      <c r="G1303" s="35">
        <v>45470.0</v>
      </c>
      <c r="H1303" s="34"/>
      <c r="I1303" s="34"/>
      <c r="J1303" s="34"/>
      <c r="K1303" s="34"/>
      <c r="L1303" s="34"/>
      <c r="M1303" s="33">
        <f>HYPERLINK("https://app.hubspot.com/contacts/8748051/record/0-2/6266342978", 6266342978)</f>
        <v>6266342978</v>
      </c>
      <c r="N1303" s="24" t="s">
        <v>6072</v>
      </c>
      <c r="O1303" s="34"/>
      <c r="P1303" s="34"/>
      <c r="Q1303" s="34"/>
      <c r="R1303" s="34"/>
      <c r="S1303" s="34"/>
      <c r="T1303" s="34" t="str">
        <f t="shared" ref="T1303:V1303" si="1309">IF(G1303&lt;&gt;"","Yes","")</f>
        <v>Yes</v>
      </c>
      <c r="U1303" s="34" t="str">
        <f t="shared" si="1309"/>
        <v/>
      </c>
      <c r="V1303" s="34" t="str">
        <f t="shared" si="1309"/>
        <v/>
      </c>
      <c r="W1303" s="34" t="str">
        <f t="shared" si="3"/>
        <v/>
      </c>
      <c r="X1303" s="24" t="str">
        <f t="shared" si="4"/>
        <v/>
      </c>
    </row>
    <row r="1304" ht="14.25" customHeight="1">
      <c r="A1304" s="33">
        <f>HYPERLINK("https://app.hubspot.com/contacts/8748051/record/0-1/33896300871", 33896300871)</f>
        <v>33896300871</v>
      </c>
      <c r="B1304" s="24" t="s">
        <v>6602</v>
      </c>
      <c r="C1304" s="34"/>
      <c r="D1304" s="24" t="s">
        <v>6603</v>
      </c>
      <c r="E1304" s="28" t="s">
        <v>6604</v>
      </c>
      <c r="F1304" s="34"/>
      <c r="G1304" s="35">
        <v>45470.0</v>
      </c>
      <c r="H1304" s="34"/>
      <c r="I1304" s="34"/>
      <c r="J1304" s="34"/>
      <c r="K1304" s="34"/>
      <c r="L1304" s="34"/>
      <c r="M1304" s="33">
        <f>HYPERLINK("https://app.hubspot.com/contacts/8748051/record/0-2/10630273556", 10630273556)</f>
        <v>10630273556</v>
      </c>
      <c r="N1304" s="24" t="s">
        <v>6605</v>
      </c>
      <c r="O1304" s="34"/>
      <c r="P1304" s="34"/>
      <c r="Q1304" s="34"/>
      <c r="R1304" s="34"/>
      <c r="S1304" s="34"/>
      <c r="T1304" s="34" t="str">
        <f t="shared" ref="T1304:V1304" si="1310">IF(G1304&lt;&gt;"","Yes","")</f>
        <v>Yes</v>
      </c>
      <c r="U1304" s="34" t="str">
        <f t="shared" si="1310"/>
        <v/>
      </c>
      <c r="V1304" s="34" t="str">
        <f t="shared" si="1310"/>
        <v/>
      </c>
      <c r="W1304" s="34" t="str">
        <f t="shared" si="3"/>
        <v/>
      </c>
      <c r="X1304" s="24" t="str">
        <f t="shared" si="4"/>
        <v/>
      </c>
    </row>
    <row r="1305" ht="14.25" customHeight="1">
      <c r="A1305" s="33">
        <f>HYPERLINK("https://app.hubspot.com/contacts/8748051/record/0-1/34115346030", 34115346030)</f>
        <v>34115346030</v>
      </c>
      <c r="B1305" s="24" t="s">
        <v>6606</v>
      </c>
      <c r="C1305" s="34"/>
      <c r="D1305" s="24" t="s">
        <v>6607</v>
      </c>
      <c r="E1305" s="28" t="s">
        <v>1563</v>
      </c>
      <c r="F1305" s="34"/>
      <c r="G1305" s="35">
        <v>45471.0</v>
      </c>
      <c r="H1305" s="35">
        <v>45482.0</v>
      </c>
      <c r="I1305" s="35">
        <v>45482.0</v>
      </c>
      <c r="J1305" s="34"/>
      <c r="K1305" s="34"/>
      <c r="L1305" s="34"/>
      <c r="M1305" s="33">
        <f>HYPERLINK("https://app.hubspot.com/contacts/8748051/record/0-2/19176601210", 19176601210)</f>
        <v>19176601210</v>
      </c>
      <c r="N1305" s="24" t="s">
        <v>1562</v>
      </c>
      <c r="O1305" s="33">
        <f>HYPERLINK("https://app.hubspot.com/contacts/8748051/record/0-3/20608745328", 20608745328)</f>
        <v>20608745328</v>
      </c>
      <c r="P1305" s="24" t="s">
        <v>1561</v>
      </c>
      <c r="Q1305" s="24" t="s">
        <v>73</v>
      </c>
      <c r="R1305" s="24">
        <v>23760.0</v>
      </c>
      <c r="S1305" s="34"/>
      <c r="T1305" s="34" t="str">
        <f t="shared" ref="T1305:V1305" si="1311">IF(G1305&lt;&gt;"","Yes","")</f>
        <v>Yes</v>
      </c>
      <c r="U1305" s="34" t="str">
        <f t="shared" si="1311"/>
        <v>Yes</v>
      </c>
      <c r="V1305" s="34" t="str">
        <f t="shared" si="1311"/>
        <v>Yes</v>
      </c>
      <c r="W1305" s="34" t="str">
        <f t="shared" si="3"/>
        <v/>
      </c>
      <c r="X1305" s="24" t="str">
        <f t="shared" si="4"/>
        <v/>
      </c>
    </row>
    <row r="1306" ht="14.25" customHeight="1">
      <c r="A1306" s="33">
        <f>HYPERLINK("https://app.hubspot.com/contacts/8748051/record/0-1/34420630095", 34420630095)</f>
        <v>34420630095</v>
      </c>
      <c r="B1306" s="24" t="s">
        <v>6608</v>
      </c>
      <c r="C1306" s="34"/>
      <c r="D1306" s="24" t="s">
        <v>6609</v>
      </c>
      <c r="E1306" s="28" t="s">
        <v>6610</v>
      </c>
      <c r="F1306" s="34"/>
      <c r="G1306" s="35">
        <v>45474.0</v>
      </c>
      <c r="H1306" s="34"/>
      <c r="I1306" s="34"/>
      <c r="J1306" s="34"/>
      <c r="K1306" s="34"/>
      <c r="L1306" s="34"/>
      <c r="M1306" s="33">
        <f>HYPERLINK("https://app.hubspot.com/contacts/8748051/record/0-2/19176255769", 19176255769)</f>
        <v>19176255769</v>
      </c>
      <c r="N1306" s="24" t="s">
        <v>6611</v>
      </c>
      <c r="O1306" s="34"/>
      <c r="P1306" s="34"/>
      <c r="Q1306" s="34"/>
      <c r="R1306" s="34"/>
      <c r="S1306" s="34"/>
      <c r="T1306" s="34" t="str">
        <f t="shared" ref="T1306:V1306" si="1312">IF(G1306&lt;&gt;"","Yes","")</f>
        <v>Yes</v>
      </c>
      <c r="U1306" s="34" t="str">
        <f t="shared" si="1312"/>
        <v/>
      </c>
      <c r="V1306" s="34" t="str">
        <f t="shared" si="1312"/>
        <v/>
      </c>
      <c r="W1306" s="34" t="str">
        <f t="shared" si="3"/>
        <v/>
      </c>
      <c r="X1306" s="24" t="str">
        <f t="shared" si="4"/>
        <v/>
      </c>
    </row>
    <row r="1307" ht="14.25" customHeight="1">
      <c r="A1307" s="33">
        <f>HYPERLINK("https://app.hubspot.com/contacts/8748051/record/0-1/35143232557", 35143232557)</f>
        <v>35143232557</v>
      </c>
      <c r="B1307" s="24" t="s">
        <v>6612</v>
      </c>
      <c r="C1307" s="34"/>
      <c r="D1307" s="24" t="s">
        <v>6613</v>
      </c>
      <c r="E1307" s="28" t="s">
        <v>5787</v>
      </c>
      <c r="F1307" s="34"/>
      <c r="G1307" s="35">
        <v>45475.0</v>
      </c>
      <c r="H1307" s="34"/>
      <c r="I1307" s="34"/>
      <c r="J1307" s="34"/>
      <c r="K1307" s="34"/>
      <c r="L1307" s="34"/>
      <c r="M1307" s="33">
        <f>HYPERLINK("https://app.hubspot.com/contacts/8748051/record/0-2/19176292664", 19176292664)</f>
        <v>19176292664</v>
      </c>
      <c r="N1307" s="24" t="s">
        <v>5788</v>
      </c>
      <c r="O1307" s="34"/>
      <c r="P1307" s="34"/>
      <c r="Q1307" s="34"/>
      <c r="R1307" s="34"/>
      <c r="S1307" s="34"/>
      <c r="T1307" s="34" t="str">
        <f t="shared" ref="T1307:V1307" si="1313">IF(G1307&lt;&gt;"","Yes","")</f>
        <v>Yes</v>
      </c>
      <c r="U1307" s="34" t="str">
        <f t="shared" si="1313"/>
        <v/>
      </c>
      <c r="V1307" s="34" t="str">
        <f t="shared" si="1313"/>
        <v/>
      </c>
      <c r="W1307" s="34" t="str">
        <f t="shared" si="3"/>
        <v/>
      </c>
      <c r="X1307" s="24" t="str">
        <f t="shared" si="4"/>
        <v/>
      </c>
    </row>
    <row r="1308" ht="14.25" customHeight="1">
      <c r="A1308" s="33">
        <f>HYPERLINK("https://app.hubspot.com/contacts/8748051/record/0-1/36364192804", 36364192804)</f>
        <v>36364192804</v>
      </c>
      <c r="B1308" s="24" t="s">
        <v>6614</v>
      </c>
      <c r="C1308" s="34"/>
      <c r="D1308" s="24" t="s">
        <v>6615</v>
      </c>
      <c r="E1308" s="28" t="s">
        <v>1352</v>
      </c>
      <c r="F1308" s="34"/>
      <c r="G1308" s="35">
        <v>45478.0</v>
      </c>
      <c r="H1308" s="34"/>
      <c r="I1308" s="34"/>
      <c r="J1308" s="34"/>
      <c r="K1308" s="34"/>
      <c r="L1308" s="34"/>
      <c r="M1308" s="33">
        <f>HYPERLINK("https://app.hubspot.com/contacts/8748051/record/0-2/15869602939", 15869602939)</f>
        <v>15869602939</v>
      </c>
      <c r="N1308" s="24" t="s">
        <v>1351</v>
      </c>
      <c r="O1308" s="34"/>
      <c r="P1308" s="34"/>
      <c r="Q1308" s="34"/>
      <c r="R1308" s="34"/>
      <c r="S1308" s="34"/>
      <c r="T1308" s="34" t="str">
        <f t="shared" ref="T1308:V1308" si="1314">IF(G1308&lt;&gt;"","Yes","")</f>
        <v>Yes</v>
      </c>
      <c r="U1308" s="34" t="str">
        <f t="shared" si="1314"/>
        <v/>
      </c>
      <c r="V1308" s="34" t="str">
        <f t="shared" si="1314"/>
        <v/>
      </c>
      <c r="W1308" s="34" t="str">
        <f t="shared" si="3"/>
        <v/>
      </c>
      <c r="X1308" s="24" t="str">
        <f t="shared" si="4"/>
        <v/>
      </c>
    </row>
    <row r="1309" ht="14.25" customHeight="1">
      <c r="A1309" s="33">
        <f>HYPERLINK("https://app.hubspot.com/contacts/8748051/record/0-1/37936595637", 37936595637)</f>
        <v>37936595637</v>
      </c>
      <c r="B1309" s="24" t="s">
        <v>6616</v>
      </c>
      <c r="C1309" s="34"/>
      <c r="D1309" s="24" t="s">
        <v>6617</v>
      </c>
      <c r="E1309" s="28" t="s">
        <v>6618</v>
      </c>
      <c r="F1309" s="34"/>
      <c r="G1309" s="35">
        <v>45484.0</v>
      </c>
      <c r="H1309" s="34"/>
      <c r="I1309" s="34"/>
      <c r="J1309" s="34"/>
      <c r="K1309" s="34"/>
      <c r="L1309" s="34"/>
      <c r="M1309" s="33">
        <f>HYPERLINK("https://app.hubspot.com/contacts/8748051/record/0-2/9960126561", 9960126561)</f>
        <v>9960126561</v>
      </c>
      <c r="N1309" s="24" t="s">
        <v>6619</v>
      </c>
      <c r="O1309" s="34"/>
      <c r="P1309" s="34"/>
      <c r="Q1309" s="34"/>
      <c r="R1309" s="34"/>
      <c r="S1309" s="34"/>
      <c r="T1309" s="34" t="str">
        <f t="shared" ref="T1309:V1309" si="1315">IF(G1309&lt;&gt;"","Yes","")</f>
        <v>Yes</v>
      </c>
      <c r="U1309" s="34" t="str">
        <f t="shared" si="1315"/>
        <v/>
      </c>
      <c r="V1309" s="34" t="str">
        <f t="shared" si="1315"/>
        <v/>
      </c>
      <c r="W1309" s="34" t="str">
        <f t="shared" si="3"/>
        <v/>
      </c>
      <c r="X1309" s="24" t="str">
        <f t="shared" si="4"/>
        <v/>
      </c>
    </row>
    <row r="1310" ht="14.25" customHeight="1">
      <c r="A1310" s="33">
        <f>HYPERLINK("https://app.hubspot.com/contacts/8748051/record/0-1/100685794109", 100685794109)</f>
        <v>100685794109</v>
      </c>
      <c r="B1310" s="24" t="s">
        <v>6620</v>
      </c>
      <c r="C1310" s="34"/>
      <c r="D1310" s="24" t="s">
        <v>6621</v>
      </c>
      <c r="E1310" s="28" t="s">
        <v>6622</v>
      </c>
      <c r="F1310" s="24" t="s">
        <v>3304</v>
      </c>
      <c r="G1310" s="34"/>
      <c r="H1310" s="34"/>
      <c r="I1310" s="34"/>
      <c r="J1310" s="34"/>
      <c r="K1310" s="34"/>
      <c r="L1310" s="34"/>
      <c r="M1310" s="33">
        <f>HYPERLINK("https://app.hubspot.com/contacts/8748051/record/0-2/8142278828", 8142278828)</f>
        <v>8142278828</v>
      </c>
      <c r="N1310" s="24" t="s">
        <v>6623</v>
      </c>
      <c r="O1310" s="34"/>
      <c r="P1310" s="34"/>
      <c r="Q1310" s="34"/>
      <c r="R1310" s="34"/>
      <c r="S1310" s="34"/>
      <c r="T1310" s="34" t="str">
        <f t="shared" ref="T1310:V1310" si="1316">IF(G1310&lt;&gt;"","Yes","")</f>
        <v/>
      </c>
      <c r="U1310" s="34" t="str">
        <f t="shared" si="1316"/>
        <v/>
      </c>
      <c r="V1310" s="34" t="str">
        <f t="shared" si="1316"/>
        <v/>
      </c>
      <c r="W1310" s="34" t="str">
        <f t="shared" si="3"/>
        <v/>
      </c>
      <c r="X1310" s="24" t="str">
        <f t="shared" si="4"/>
        <v/>
      </c>
    </row>
    <row r="1311" ht="14.25" customHeight="1">
      <c r="A1311" s="33">
        <f>HYPERLINK("https://app.hubspot.com/contacts/8748051/record/0-1/101697475239", 101697475239)</f>
        <v>101697475239</v>
      </c>
      <c r="B1311" s="24" t="s">
        <v>6624</v>
      </c>
      <c r="C1311" s="34"/>
      <c r="D1311" s="24" t="s">
        <v>6625</v>
      </c>
      <c r="E1311" s="28" t="s">
        <v>6626</v>
      </c>
      <c r="F1311" s="34"/>
      <c r="G1311" s="35">
        <v>45756.0</v>
      </c>
      <c r="H1311" s="34"/>
      <c r="I1311" s="34"/>
      <c r="J1311" s="34"/>
      <c r="K1311" s="34"/>
      <c r="L1311" s="34"/>
      <c r="M1311" s="33">
        <f>HYPERLINK("https://app.hubspot.com/contacts/8748051/record/0-2/7934296464", 7934296464)</f>
        <v>7934296464</v>
      </c>
      <c r="N1311" s="24" t="s">
        <v>6627</v>
      </c>
      <c r="O1311" s="34"/>
      <c r="P1311" s="34"/>
      <c r="Q1311" s="34"/>
      <c r="R1311" s="34"/>
      <c r="S1311" s="34"/>
      <c r="T1311" s="34" t="str">
        <f t="shared" ref="T1311:V1311" si="1317">IF(G1311&lt;&gt;"","Yes","")</f>
        <v>Yes</v>
      </c>
      <c r="U1311" s="34" t="str">
        <f t="shared" si="1317"/>
        <v/>
      </c>
      <c r="V1311" s="34" t="str">
        <f t="shared" si="1317"/>
        <v/>
      </c>
      <c r="W1311" s="34" t="str">
        <f t="shared" si="3"/>
        <v/>
      </c>
      <c r="X1311" s="24" t="str">
        <f t="shared" si="4"/>
        <v/>
      </c>
    </row>
    <row r="1312" ht="14.25" customHeight="1">
      <c r="A1312" s="33">
        <f>HYPERLINK("https://app.hubspot.com/contacts/8748051/record/0-1/103948760706", 103948760706)</f>
        <v>103948760706</v>
      </c>
      <c r="B1312" s="24" t="s">
        <v>6628</v>
      </c>
      <c r="C1312" s="34"/>
      <c r="D1312" s="24" t="s">
        <v>6629</v>
      </c>
      <c r="E1312" s="28" t="s">
        <v>6630</v>
      </c>
      <c r="F1312" s="34"/>
      <c r="G1312" s="35">
        <v>45721.0</v>
      </c>
      <c r="H1312" s="34"/>
      <c r="I1312" s="34"/>
      <c r="J1312" s="34"/>
      <c r="K1312" s="34"/>
      <c r="L1312" s="34"/>
      <c r="M1312" s="33">
        <f>HYPERLINK("https://app.hubspot.com/contacts/8748051/record/0-2/17746939465", 17746939465)</f>
        <v>17746939465</v>
      </c>
      <c r="N1312" s="28" t="s">
        <v>6631</v>
      </c>
      <c r="O1312" s="34"/>
      <c r="P1312" s="34"/>
      <c r="Q1312" s="34"/>
      <c r="R1312" s="34"/>
      <c r="S1312" s="34"/>
      <c r="T1312" s="34" t="str">
        <f t="shared" ref="T1312:V1312" si="1318">IF(G1312&lt;&gt;"","Yes","")</f>
        <v>Yes</v>
      </c>
      <c r="U1312" s="34" t="str">
        <f t="shared" si="1318"/>
        <v/>
      </c>
      <c r="V1312" s="34" t="str">
        <f t="shared" si="1318"/>
        <v/>
      </c>
      <c r="W1312" s="34" t="str">
        <f t="shared" si="3"/>
        <v/>
      </c>
      <c r="X1312" s="24" t="str">
        <f t="shared" si="4"/>
        <v/>
      </c>
    </row>
    <row r="1313" ht="14.25" customHeight="1">
      <c r="A1313" s="33">
        <f>HYPERLINK("https://app.hubspot.com/contacts/8748051/record/0-1/158279635727", 158279635727)</f>
        <v>158279635727</v>
      </c>
      <c r="B1313" s="24" t="s">
        <v>6632</v>
      </c>
      <c r="C1313" s="34"/>
      <c r="D1313" s="24" t="s">
        <v>6633</v>
      </c>
      <c r="E1313" s="28" t="s">
        <v>6129</v>
      </c>
      <c r="F1313" s="34"/>
      <c r="G1313" s="35">
        <v>45467.0</v>
      </c>
      <c r="H1313" s="34"/>
      <c r="I1313" s="34"/>
      <c r="J1313" s="34"/>
      <c r="K1313" s="34"/>
      <c r="L1313" s="34"/>
      <c r="M1313" s="33">
        <f>HYPERLINK("https://app.hubspot.com/contacts/8748051/record/0-2/18003071072", 18003071072)</f>
        <v>18003071072</v>
      </c>
      <c r="N1313" s="28" t="s">
        <v>6130</v>
      </c>
      <c r="O1313" s="34"/>
      <c r="P1313" s="34"/>
      <c r="Q1313" s="34"/>
      <c r="R1313" s="34"/>
      <c r="S1313" s="34"/>
      <c r="T1313" s="34" t="str">
        <f t="shared" ref="T1313:V1313" si="1319">IF(G1313&lt;&gt;"","Yes","")</f>
        <v>Yes</v>
      </c>
      <c r="U1313" s="34" t="str">
        <f t="shared" si="1319"/>
        <v/>
      </c>
      <c r="V1313" s="34" t="str">
        <f t="shared" si="1319"/>
        <v/>
      </c>
      <c r="W1313" s="34" t="str">
        <f t="shared" si="3"/>
        <v/>
      </c>
      <c r="X1313" s="24" t="str">
        <f t="shared" si="4"/>
        <v/>
      </c>
    </row>
    <row r="1314" ht="14.25" customHeight="1">
      <c r="A1314" s="33">
        <f>HYPERLINK("https://app.hubspot.com/contacts/8748051/record/0-1/170458798913", 170458798913)</f>
        <v>170458798913</v>
      </c>
      <c r="B1314" s="24" t="s">
        <v>6634</v>
      </c>
      <c r="C1314" s="34"/>
      <c r="D1314" s="24" t="s">
        <v>6635</v>
      </c>
      <c r="E1314" s="28" t="s">
        <v>562</v>
      </c>
      <c r="F1314" s="34"/>
      <c r="G1314" s="35">
        <v>45961.0</v>
      </c>
      <c r="H1314" s="34"/>
      <c r="I1314" s="34"/>
      <c r="J1314" s="34"/>
      <c r="K1314" s="34"/>
      <c r="L1314" s="34"/>
      <c r="M1314" s="33">
        <f>HYPERLINK("https://app.hubspot.com/contacts/8748051/record/0-2/38263558413", 38263558413)</f>
        <v>38263558413</v>
      </c>
      <c r="N1314" s="24" t="s">
        <v>561</v>
      </c>
      <c r="O1314" s="33">
        <f>HYPERLINK("https://app.hubspot.com/contacts/8748051/record/0-3/48124338192", 48124338192)</f>
        <v>48124338192</v>
      </c>
      <c r="P1314" s="24" t="s">
        <v>558</v>
      </c>
      <c r="Q1314" s="24" t="s">
        <v>127</v>
      </c>
      <c r="R1314" s="24">
        <v>10000.0</v>
      </c>
      <c r="S1314" s="24" t="b">
        <v>1</v>
      </c>
      <c r="T1314" s="34" t="str">
        <f t="shared" ref="T1314:V1314" si="1320">IF(G1314&lt;&gt;"","Yes","")</f>
        <v>Yes</v>
      </c>
      <c r="U1314" s="34" t="str">
        <f t="shared" si="1320"/>
        <v/>
      </c>
      <c r="V1314" s="34" t="str">
        <f t="shared" si="1320"/>
        <v/>
      </c>
      <c r="W1314" s="34" t="str">
        <f t="shared" si="3"/>
        <v/>
      </c>
      <c r="X1314" s="24" t="str">
        <f t="shared" si="4"/>
        <v/>
      </c>
    </row>
    <row r="1315" ht="14.25" customHeight="1">
      <c r="A1315" s="33">
        <f>HYPERLINK("https://app.hubspot.com/contacts/8748051/record/0-1/205664453923", 205664453923)</f>
        <v>205664453923</v>
      </c>
      <c r="B1315" s="24" t="s">
        <v>6636</v>
      </c>
      <c r="C1315" s="34"/>
      <c r="D1315" s="24" t="s">
        <v>6637</v>
      </c>
      <c r="E1315" s="28" t="s">
        <v>2424</v>
      </c>
      <c r="F1315" s="34"/>
      <c r="G1315" s="35">
        <v>46080.0</v>
      </c>
      <c r="H1315" s="34"/>
      <c r="I1315" s="34"/>
      <c r="J1315" s="34"/>
      <c r="K1315" s="34"/>
      <c r="L1315" s="34"/>
      <c r="M1315" s="33">
        <f>HYPERLINK("https://app.hubspot.com/contacts/8748051/record/0-2/14811203588", 14811203588)</f>
        <v>14811203588</v>
      </c>
      <c r="N1315" s="24" t="s">
        <v>2423</v>
      </c>
      <c r="O1315" s="34"/>
      <c r="P1315" s="34"/>
      <c r="Q1315" s="34"/>
      <c r="R1315" s="34"/>
      <c r="S1315" s="34"/>
      <c r="T1315" s="34" t="str">
        <f t="shared" ref="T1315:V1315" si="1321">IF(G1315&lt;&gt;"","Yes","")</f>
        <v>Yes</v>
      </c>
      <c r="U1315" s="34" t="str">
        <f t="shared" si="1321"/>
        <v/>
      </c>
      <c r="V1315" s="34" t="str">
        <f t="shared" si="1321"/>
        <v/>
      </c>
      <c r="W1315" s="34" t="str">
        <f t="shared" si="3"/>
        <v/>
      </c>
      <c r="X1315" s="24" t="str">
        <f t="shared" si="4"/>
        <v/>
      </c>
    </row>
    <row r="1316" ht="14.25" customHeight="1">
      <c r="A1316" s="33">
        <f>HYPERLINK("https://app.hubspot.com/contacts/8748051/record/0-1/207741056822", 207741056822)</f>
        <v>207741056822</v>
      </c>
      <c r="B1316" s="24" t="s">
        <v>6638</v>
      </c>
      <c r="C1316" s="34"/>
      <c r="D1316" s="24" t="s">
        <v>6639</v>
      </c>
      <c r="E1316" s="28" t="s">
        <v>2170</v>
      </c>
      <c r="F1316" s="34"/>
      <c r="G1316" s="35">
        <v>46089.0</v>
      </c>
      <c r="H1316" s="34"/>
      <c r="I1316" s="34"/>
      <c r="J1316" s="34"/>
      <c r="K1316" s="34"/>
      <c r="L1316" s="34"/>
      <c r="M1316" s="33">
        <f>HYPERLINK("https://app.hubspot.com/contacts/8748051/record/0-2/16065681050", 16065681050)</f>
        <v>16065681050</v>
      </c>
      <c r="N1316" s="24" t="s">
        <v>2169</v>
      </c>
      <c r="O1316" s="34"/>
      <c r="P1316" s="34"/>
      <c r="Q1316" s="34"/>
      <c r="R1316" s="34"/>
      <c r="S1316" s="34"/>
      <c r="T1316" s="34" t="str">
        <f t="shared" ref="T1316:V1316" si="1322">IF(G1316&lt;&gt;"","Yes","")</f>
        <v>Yes</v>
      </c>
      <c r="U1316" s="34" t="str">
        <f t="shared" si="1322"/>
        <v/>
      </c>
      <c r="V1316" s="34" t="str">
        <f t="shared" si="1322"/>
        <v/>
      </c>
      <c r="W1316" s="34" t="str">
        <f t="shared" si="3"/>
        <v/>
      </c>
      <c r="X1316" s="24" t="str">
        <f t="shared" si="4"/>
        <v/>
      </c>
    </row>
  </sheetData>
  <conditionalFormatting sqref="M1:M1316">
    <cfRule type="expression" dxfId="0" priority="1">
      <formula>COUNTIF(M:M, M1)&gt;1</formula>
    </cfRule>
  </conditionalFormatting>
  <conditionalFormatting sqref="O1:O1316">
    <cfRule type="expression" dxfId="0" priority="2">
      <formula>COUNTIF(O:O, O1)&gt;1</formula>
    </cfRule>
  </conditionalFormatting>
  <conditionalFormatting sqref="A1:A1316">
    <cfRule type="expression" dxfId="0" priority="3">
      <formula>COUNTIF(A:A, A1)&gt;1</formula>
    </cfRule>
  </conditionalFormatting>
  <hyperlinks>
    <hyperlink r:id="rId2" ref="E3"/>
    <hyperlink r:id="rId3" ref="E4"/>
    <hyperlink r:id="rId4" ref="E5"/>
    <hyperlink r:id="rId5" ref="N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N31"/>
    <hyperlink r:id="rId33" ref="E32"/>
    <hyperlink r:id="rId34" ref="E33"/>
    <hyperlink r:id="rId35" ref="E34"/>
    <hyperlink r:id="rId36" ref="E35"/>
    <hyperlink r:id="rId37" ref="E36"/>
    <hyperlink r:id="rId38" ref="E37"/>
    <hyperlink r:id="rId39" ref="E38"/>
    <hyperlink r:id="rId40" ref="E39"/>
    <hyperlink r:id="rId41" ref="E40"/>
    <hyperlink r:id="rId42" ref="E41"/>
    <hyperlink r:id="rId43" ref="E42"/>
    <hyperlink r:id="rId44" ref="E43"/>
    <hyperlink r:id="rId45" ref="E44"/>
    <hyperlink r:id="rId46" ref="E45"/>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 r:id="rId60" ref="E61"/>
    <hyperlink r:id="rId61" ref="E62"/>
    <hyperlink r:id="rId62" ref="E63"/>
    <hyperlink r:id="rId63" ref="E64"/>
    <hyperlink r:id="rId64" ref="E65"/>
    <hyperlink r:id="rId65" ref="E66"/>
    <hyperlink r:id="rId66" ref="E67"/>
    <hyperlink r:id="rId67" ref="E68"/>
    <hyperlink r:id="rId68" ref="E69"/>
    <hyperlink r:id="rId69" ref="E70"/>
    <hyperlink r:id="rId70" ref="E71"/>
    <hyperlink r:id="rId71" ref="E72"/>
    <hyperlink r:id="rId72" ref="E73"/>
    <hyperlink r:id="rId73" ref="E74"/>
    <hyperlink r:id="rId74" ref="E75"/>
    <hyperlink r:id="rId75" ref="E76"/>
    <hyperlink r:id="rId76" ref="E77"/>
    <hyperlink r:id="rId77" ref="E78"/>
    <hyperlink r:id="rId78" ref="E79"/>
    <hyperlink r:id="rId79" ref="E80"/>
    <hyperlink r:id="rId80" ref="E81"/>
    <hyperlink r:id="rId81" ref="E82"/>
    <hyperlink r:id="rId82" ref="E83"/>
    <hyperlink r:id="rId83" ref="E84"/>
    <hyperlink r:id="rId84" ref="E85"/>
    <hyperlink r:id="rId85" ref="E86"/>
    <hyperlink r:id="rId86" ref="E88"/>
    <hyperlink r:id="rId87" ref="E89"/>
    <hyperlink r:id="rId88" ref="E90"/>
    <hyperlink r:id="rId89" ref="E91"/>
    <hyperlink r:id="rId90" ref="E92"/>
    <hyperlink r:id="rId91" ref="E93"/>
    <hyperlink r:id="rId92" ref="E94"/>
    <hyperlink r:id="rId93" ref="E95"/>
    <hyperlink r:id="rId94" ref="E96"/>
    <hyperlink r:id="rId95" ref="E97"/>
    <hyperlink r:id="rId96" ref="E99"/>
    <hyperlink r:id="rId97" ref="E100"/>
    <hyperlink r:id="rId98" ref="E101"/>
    <hyperlink r:id="rId99" ref="E102"/>
    <hyperlink r:id="rId100" ref="E103"/>
    <hyperlink r:id="rId101" ref="E104"/>
    <hyperlink r:id="rId102" ref="E105"/>
    <hyperlink r:id="rId103" ref="E106"/>
    <hyperlink r:id="rId104" ref="E107"/>
    <hyperlink r:id="rId105" ref="E108"/>
    <hyperlink r:id="rId106" ref="E109"/>
    <hyperlink r:id="rId107" ref="E110"/>
    <hyperlink r:id="rId108" ref="E111"/>
    <hyperlink r:id="rId109" ref="E112"/>
    <hyperlink r:id="rId110" ref="E113"/>
    <hyperlink r:id="rId111" ref="E114"/>
    <hyperlink r:id="rId112" ref="E115"/>
    <hyperlink r:id="rId113" ref="E116"/>
    <hyperlink r:id="rId114" ref="E117"/>
    <hyperlink r:id="rId115" ref="E118"/>
    <hyperlink r:id="rId116" ref="E119"/>
    <hyperlink r:id="rId117" ref="E120"/>
    <hyperlink r:id="rId118" ref="E121"/>
    <hyperlink r:id="rId119" ref="E122"/>
    <hyperlink r:id="rId120" ref="E123"/>
    <hyperlink r:id="rId121" ref="E124"/>
    <hyperlink r:id="rId122" ref="E125"/>
    <hyperlink r:id="rId123" ref="N125"/>
    <hyperlink r:id="rId124" ref="E126"/>
    <hyperlink r:id="rId125" ref="E127"/>
    <hyperlink r:id="rId126" ref="E129"/>
    <hyperlink r:id="rId127" ref="E130"/>
    <hyperlink r:id="rId128" ref="E131"/>
    <hyperlink r:id="rId129" ref="E132"/>
    <hyperlink r:id="rId130" ref="E133"/>
    <hyperlink r:id="rId131" ref="E134"/>
    <hyperlink r:id="rId132" ref="E135"/>
    <hyperlink r:id="rId133" ref="E136"/>
    <hyperlink r:id="rId134" ref="E137"/>
    <hyperlink r:id="rId135" ref="E138"/>
    <hyperlink r:id="rId136" ref="E139"/>
    <hyperlink r:id="rId137" ref="E140"/>
    <hyperlink r:id="rId138" ref="E141"/>
    <hyperlink r:id="rId139" ref="E142"/>
    <hyperlink r:id="rId140" ref="E143"/>
    <hyperlink r:id="rId141" ref="E144"/>
    <hyperlink r:id="rId142" ref="E145"/>
    <hyperlink r:id="rId143" ref="E146"/>
    <hyperlink r:id="rId144" ref="E147"/>
    <hyperlink r:id="rId145" ref="E148"/>
    <hyperlink r:id="rId146" ref="E149"/>
    <hyperlink r:id="rId147" ref="E150"/>
    <hyperlink r:id="rId148" ref="E151"/>
    <hyperlink r:id="rId149" ref="E152"/>
    <hyperlink r:id="rId150" ref="E153"/>
    <hyperlink r:id="rId151" ref="E154"/>
    <hyperlink r:id="rId152" ref="E155"/>
    <hyperlink r:id="rId153" ref="E156"/>
    <hyperlink r:id="rId154" ref="E157"/>
    <hyperlink r:id="rId155" ref="E158"/>
    <hyperlink r:id="rId156" ref="E159"/>
    <hyperlink r:id="rId157" ref="E160"/>
    <hyperlink r:id="rId158" ref="E161"/>
    <hyperlink r:id="rId159" ref="E162"/>
    <hyperlink r:id="rId160" ref="E163"/>
    <hyperlink r:id="rId161" ref="E164"/>
    <hyperlink r:id="rId162" ref="E165"/>
    <hyperlink r:id="rId163" ref="E166"/>
    <hyperlink r:id="rId164" ref="E167"/>
    <hyperlink r:id="rId165" ref="E168"/>
    <hyperlink r:id="rId166" ref="E169"/>
    <hyperlink r:id="rId167" ref="E170"/>
    <hyperlink r:id="rId168" ref="E171"/>
    <hyperlink r:id="rId169" ref="E172"/>
    <hyperlink r:id="rId170" ref="E173"/>
    <hyperlink r:id="rId171" ref="E174"/>
    <hyperlink r:id="rId172" ref="E175"/>
    <hyperlink r:id="rId173" ref="E176"/>
    <hyperlink r:id="rId174" ref="N176"/>
    <hyperlink r:id="rId175" ref="E177"/>
    <hyperlink r:id="rId176" ref="E178"/>
    <hyperlink r:id="rId177" ref="E179"/>
    <hyperlink r:id="rId178" ref="E180"/>
    <hyperlink r:id="rId179" ref="E181"/>
    <hyperlink r:id="rId180" ref="E182"/>
    <hyperlink r:id="rId181" ref="E183"/>
    <hyperlink r:id="rId182" ref="E184"/>
    <hyperlink r:id="rId183" ref="E186"/>
    <hyperlink r:id="rId184" ref="E187"/>
    <hyperlink r:id="rId185" ref="E188"/>
    <hyperlink r:id="rId186" ref="E189"/>
    <hyperlink r:id="rId187" ref="E190"/>
    <hyperlink r:id="rId188" ref="E191"/>
    <hyperlink r:id="rId189" ref="E192"/>
    <hyperlink r:id="rId190" ref="E193"/>
    <hyperlink r:id="rId191" ref="E194"/>
    <hyperlink r:id="rId192" ref="E195"/>
    <hyperlink r:id="rId193" ref="E196"/>
    <hyperlink r:id="rId194" ref="E197"/>
    <hyperlink r:id="rId195" ref="E198"/>
    <hyperlink r:id="rId196" ref="E199"/>
    <hyperlink r:id="rId197" ref="E200"/>
    <hyperlink r:id="rId198" ref="E201"/>
    <hyperlink r:id="rId199" ref="E202"/>
    <hyperlink r:id="rId200" ref="E203"/>
    <hyperlink r:id="rId201" ref="E204"/>
    <hyperlink r:id="rId202" ref="E205"/>
    <hyperlink r:id="rId203" ref="E206"/>
    <hyperlink r:id="rId204" ref="E207"/>
    <hyperlink r:id="rId205" ref="N207"/>
    <hyperlink r:id="rId206" ref="E208"/>
    <hyperlink r:id="rId207" ref="E209"/>
    <hyperlink r:id="rId208" ref="E210"/>
    <hyperlink r:id="rId209" ref="E211"/>
    <hyperlink r:id="rId210" ref="E212"/>
    <hyperlink r:id="rId211" ref="E213"/>
    <hyperlink r:id="rId212" ref="E214"/>
    <hyperlink r:id="rId213" ref="E215"/>
    <hyperlink r:id="rId214" ref="E216"/>
    <hyperlink r:id="rId215" ref="E217"/>
    <hyperlink r:id="rId216" ref="E218"/>
    <hyperlink r:id="rId217" ref="E219"/>
    <hyperlink r:id="rId218" ref="E220"/>
    <hyperlink r:id="rId219" ref="E221"/>
    <hyperlink r:id="rId220" ref="N221"/>
    <hyperlink r:id="rId221" ref="E222"/>
    <hyperlink r:id="rId222" ref="E223"/>
    <hyperlink r:id="rId223" ref="E224"/>
    <hyperlink r:id="rId224" ref="N224"/>
    <hyperlink r:id="rId225" ref="E225"/>
    <hyperlink r:id="rId226" ref="E226"/>
    <hyperlink r:id="rId227" ref="E227"/>
    <hyperlink r:id="rId228" ref="E228"/>
    <hyperlink r:id="rId229" ref="E229"/>
    <hyperlink r:id="rId230" ref="E230"/>
    <hyperlink r:id="rId231" ref="E231"/>
    <hyperlink r:id="rId232" ref="E232"/>
    <hyperlink r:id="rId233" ref="E233"/>
    <hyperlink r:id="rId234" ref="E234"/>
    <hyperlink r:id="rId235" ref="E235"/>
    <hyperlink r:id="rId236" ref="E236"/>
    <hyperlink r:id="rId237" ref="E237"/>
    <hyperlink r:id="rId238" ref="E238"/>
    <hyperlink r:id="rId239" ref="E239"/>
    <hyperlink r:id="rId240" ref="E240"/>
    <hyperlink r:id="rId241" ref="E241"/>
    <hyperlink r:id="rId242" ref="E242"/>
    <hyperlink r:id="rId243" ref="E243"/>
    <hyperlink r:id="rId244" ref="E244"/>
    <hyperlink r:id="rId245" ref="E246"/>
    <hyperlink r:id="rId246" ref="E247"/>
    <hyperlink r:id="rId247" ref="E248"/>
    <hyperlink r:id="rId248" ref="E251"/>
    <hyperlink r:id="rId249" ref="E252"/>
    <hyperlink r:id="rId250" ref="E253"/>
    <hyperlink r:id="rId251" ref="N253"/>
    <hyperlink r:id="rId252" ref="E254"/>
    <hyperlink r:id="rId253" ref="E255"/>
    <hyperlink r:id="rId254" ref="E256"/>
    <hyperlink r:id="rId255" ref="E257"/>
    <hyperlink r:id="rId256" ref="E258"/>
    <hyperlink r:id="rId257" ref="E259"/>
    <hyperlink r:id="rId258" ref="E260"/>
    <hyperlink r:id="rId259" ref="E261"/>
    <hyperlink r:id="rId260" ref="N261"/>
    <hyperlink r:id="rId261" ref="E262"/>
    <hyperlink r:id="rId262" ref="E263"/>
    <hyperlink r:id="rId263" ref="E264"/>
    <hyperlink r:id="rId264" ref="E265"/>
    <hyperlink r:id="rId265" ref="E266"/>
    <hyperlink r:id="rId266" ref="E267"/>
    <hyperlink r:id="rId267" ref="E268"/>
    <hyperlink r:id="rId268" ref="E269"/>
    <hyperlink r:id="rId269" ref="E270"/>
    <hyperlink r:id="rId270" ref="E271"/>
    <hyperlink r:id="rId271" ref="E272"/>
    <hyperlink r:id="rId272" ref="E273"/>
    <hyperlink r:id="rId273" ref="E274"/>
    <hyperlink r:id="rId274" ref="E275"/>
    <hyperlink r:id="rId275" ref="E276"/>
    <hyperlink r:id="rId276" ref="E277"/>
    <hyperlink r:id="rId277" ref="E278"/>
    <hyperlink r:id="rId278" ref="E279"/>
    <hyperlink r:id="rId279" ref="E280"/>
    <hyperlink r:id="rId280" ref="N280"/>
    <hyperlink r:id="rId281" ref="E281"/>
    <hyperlink r:id="rId282" ref="E282"/>
    <hyperlink r:id="rId283" ref="E283"/>
    <hyperlink r:id="rId284" ref="E284"/>
    <hyperlink r:id="rId285" ref="E285"/>
    <hyperlink r:id="rId286" ref="E286"/>
    <hyperlink r:id="rId287" ref="E287"/>
    <hyperlink r:id="rId288" ref="E288"/>
    <hyperlink r:id="rId289" ref="E289"/>
    <hyperlink r:id="rId290" ref="E290"/>
    <hyperlink r:id="rId291" ref="E291"/>
    <hyperlink r:id="rId292" ref="E292"/>
    <hyperlink r:id="rId293" ref="E293"/>
    <hyperlink r:id="rId294" ref="E294"/>
    <hyperlink r:id="rId295" ref="E295"/>
    <hyperlink r:id="rId296" ref="E296"/>
    <hyperlink r:id="rId297" ref="N296"/>
    <hyperlink r:id="rId298" ref="E297"/>
    <hyperlink r:id="rId299" ref="E298"/>
    <hyperlink r:id="rId300" ref="E299"/>
    <hyperlink r:id="rId301" ref="E300"/>
    <hyperlink r:id="rId302" ref="E301"/>
    <hyperlink r:id="rId303" ref="E302"/>
    <hyperlink r:id="rId304" ref="E303"/>
    <hyperlink r:id="rId305" ref="E304"/>
    <hyperlink r:id="rId306" ref="E305"/>
    <hyperlink r:id="rId307" ref="E306"/>
    <hyperlink r:id="rId308" ref="E307"/>
    <hyperlink r:id="rId309" ref="E308"/>
    <hyperlink r:id="rId310" ref="E309"/>
    <hyperlink r:id="rId311" ref="N309"/>
    <hyperlink r:id="rId312" ref="E310"/>
    <hyperlink r:id="rId313" ref="E311"/>
    <hyperlink r:id="rId314" ref="E312"/>
    <hyperlink r:id="rId315" ref="E313"/>
    <hyperlink r:id="rId316" ref="E314"/>
    <hyperlink r:id="rId317" ref="E315"/>
    <hyperlink r:id="rId318" ref="E318"/>
    <hyperlink r:id="rId319" ref="E319"/>
    <hyperlink r:id="rId320" ref="E320"/>
    <hyperlink r:id="rId321" ref="E321"/>
    <hyperlink r:id="rId322" ref="E322"/>
    <hyperlink r:id="rId323" ref="E323"/>
    <hyperlink r:id="rId324" ref="E324"/>
    <hyperlink r:id="rId325" ref="E325"/>
    <hyperlink r:id="rId326" ref="E326"/>
    <hyperlink r:id="rId327" ref="E327"/>
    <hyperlink r:id="rId328" ref="E328"/>
    <hyperlink r:id="rId329" ref="E329"/>
    <hyperlink r:id="rId330" ref="E330"/>
    <hyperlink r:id="rId331" ref="E331"/>
    <hyperlink r:id="rId332" ref="E332"/>
    <hyperlink r:id="rId333" ref="E333"/>
    <hyperlink r:id="rId334" ref="E334"/>
    <hyperlink r:id="rId335" ref="E335"/>
    <hyperlink r:id="rId336" ref="E336"/>
    <hyperlink r:id="rId337" ref="E337"/>
    <hyperlink r:id="rId338" ref="N337"/>
    <hyperlink r:id="rId339" ref="E338"/>
    <hyperlink r:id="rId340" ref="E340"/>
    <hyperlink r:id="rId341" ref="E341"/>
    <hyperlink r:id="rId342" ref="E342"/>
    <hyperlink r:id="rId343" ref="E343"/>
    <hyperlink r:id="rId344" ref="N343"/>
    <hyperlink r:id="rId345" ref="E344"/>
    <hyperlink r:id="rId346" ref="E345"/>
    <hyperlink r:id="rId347" ref="E346"/>
    <hyperlink r:id="rId348" ref="E347"/>
    <hyperlink r:id="rId349" ref="E349"/>
    <hyperlink r:id="rId350" ref="E350"/>
    <hyperlink r:id="rId351" ref="E351"/>
    <hyperlink r:id="rId352" ref="E352"/>
    <hyperlink r:id="rId353" ref="E353"/>
    <hyperlink r:id="rId354" ref="E354"/>
    <hyperlink r:id="rId355" ref="E355"/>
    <hyperlink r:id="rId356" ref="E356"/>
    <hyperlink r:id="rId357" ref="E357"/>
    <hyperlink r:id="rId358" ref="E358"/>
    <hyperlink r:id="rId359" ref="N358"/>
    <hyperlink r:id="rId360" ref="E359"/>
    <hyperlink r:id="rId361" ref="E360"/>
    <hyperlink r:id="rId362" ref="N360"/>
    <hyperlink r:id="rId363" ref="E361"/>
    <hyperlink r:id="rId364" ref="E362"/>
    <hyperlink r:id="rId365" ref="E363"/>
    <hyperlink r:id="rId366" ref="N363"/>
    <hyperlink r:id="rId367" ref="E364"/>
    <hyperlink r:id="rId368" ref="E365"/>
    <hyperlink r:id="rId369" ref="E366"/>
    <hyperlink r:id="rId370" ref="E367"/>
    <hyperlink r:id="rId371" ref="E368"/>
    <hyperlink r:id="rId372" ref="E369"/>
    <hyperlink r:id="rId373" ref="E370"/>
    <hyperlink r:id="rId374" ref="E371"/>
    <hyperlink r:id="rId375" ref="N371"/>
    <hyperlink r:id="rId376" ref="E372"/>
    <hyperlink r:id="rId377" ref="E373"/>
    <hyperlink r:id="rId378" ref="E374"/>
    <hyperlink r:id="rId379" ref="E375"/>
    <hyperlink r:id="rId380" ref="E376"/>
    <hyperlink r:id="rId381" ref="E377"/>
    <hyperlink r:id="rId382" ref="E379"/>
    <hyperlink r:id="rId383" ref="E380"/>
    <hyperlink r:id="rId384" ref="E381"/>
    <hyperlink r:id="rId385" ref="E382"/>
    <hyperlink r:id="rId386" ref="E383"/>
    <hyperlink r:id="rId387" ref="N383"/>
    <hyperlink r:id="rId388" ref="E384"/>
    <hyperlink r:id="rId389" ref="E385"/>
    <hyperlink r:id="rId390" ref="N385"/>
    <hyperlink r:id="rId391" ref="E386"/>
    <hyperlink r:id="rId392" ref="E387"/>
    <hyperlink r:id="rId393" ref="E388"/>
    <hyperlink r:id="rId394" ref="N388"/>
    <hyperlink r:id="rId395" ref="E389"/>
    <hyperlink r:id="rId396" ref="E391"/>
    <hyperlink r:id="rId397" ref="E392"/>
    <hyperlink r:id="rId398" ref="E393"/>
    <hyperlink r:id="rId399" ref="N393"/>
    <hyperlink r:id="rId400" ref="E394"/>
    <hyperlink r:id="rId401" ref="E395"/>
    <hyperlink r:id="rId402" ref="E396"/>
    <hyperlink r:id="rId403" ref="E397"/>
    <hyperlink r:id="rId404" ref="E399"/>
    <hyperlink r:id="rId405" ref="E401"/>
    <hyperlink r:id="rId406" ref="E402"/>
    <hyperlink r:id="rId407" ref="E403"/>
    <hyperlink r:id="rId408" ref="E404"/>
    <hyperlink r:id="rId409" ref="N404"/>
    <hyperlink r:id="rId410" ref="E405"/>
    <hyperlink r:id="rId411" ref="N405"/>
    <hyperlink r:id="rId412" ref="E406"/>
    <hyperlink r:id="rId413" ref="N406"/>
    <hyperlink r:id="rId414" ref="E407"/>
    <hyperlink r:id="rId415" ref="E409"/>
    <hyperlink r:id="rId416" ref="E410"/>
    <hyperlink r:id="rId417" ref="E411"/>
    <hyperlink r:id="rId418" ref="E412"/>
    <hyperlink r:id="rId419" ref="E413"/>
    <hyperlink r:id="rId420" ref="E414"/>
    <hyperlink r:id="rId421" ref="E415"/>
    <hyperlink r:id="rId422" ref="E417"/>
    <hyperlink r:id="rId423" ref="E418"/>
    <hyperlink r:id="rId424" ref="E419"/>
    <hyperlink r:id="rId425" ref="E420"/>
    <hyperlink r:id="rId426" ref="E421"/>
    <hyperlink r:id="rId427" ref="E422"/>
    <hyperlink r:id="rId428" ref="N422"/>
    <hyperlink r:id="rId429" ref="E423"/>
    <hyperlink r:id="rId430" ref="E424"/>
    <hyperlink r:id="rId431" ref="E425"/>
    <hyperlink r:id="rId432" ref="E426"/>
    <hyperlink r:id="rId433" ref="E427"/>
    <hyperlink r:id="rId434" ref="E428"/>
    <hyperlink r:id="rId435" ref="E429"/>
    <hyperlink r:id="rId436" ref="E430"/>
    <hyperlink r:id="rId437" ref="E432"/>
    <hyperlink r:id="rId438" ref="E433"/>
    <hyperlink r:id="rId439" ref="E434"/>
    <hyperlink r:id="rId440" ref="E435"/>
    <hyperlink r:id="rId441" ref="E436"/>
    <hyperlink r:id="rId442" ref="E437"/>
    <hyperlink r:id="rId443" ref="N437"/>
    <hyperlink r:id="rId444" ref="E438"/>
    <hyperlink r:id="rId445" ref="E439"/>
    <hyperlink r:id="rId446" ref="E440"/>
    <hyperlink r:id="rId447" ref="E441"/>
    <hyperlink r:id="rId448" ref="N441"/>
    <hyperlink r:id="rId449" ref="E442"/>
    <hyperlink r:id="rId450" ref="N442"/>
    <hyperlink r:id="rId451" ref="E443"/>
    <hyperlink r:id="rId452" ref="E444"/>
    <hyperlink r:id="rId453" ref="E445"/>
    <hyperlink r:id="rId454" ref="N445"/>
    <hyperlink r:id="rId455" ref="E446"/>
    <hyperlink r:id="rId456" ref="E447"/>
    <hyperlink r:id="rId457" ref="E448"/>
    <hyperlink r:id="rId458" ref="E449"/>
    <hyperlink r:id="rId459" ref="E450"/>
    <hyperlink r:id="rId460" ref="E451"/>
    <hyperlink r:id="rId461" ref="E452"/>
    <hyperlink r:id="rId462" ref="E453"/>
    <hyperlink r:id="rId463" ref="E454"/>
    <hyperlink r:id="rId464" ref="E455"/>
    <hyperlink r:id="rId465" ref="E456"/>
    <hyperlink r:id="rId466" ref="E457"/>
    <hyperlink r:id="rId467" ref="E458"/>
    <hyperlink r:id="rId468" ref="E459"/>
    <hyperlink r:id="rId469" ref="E461"/>
    <hyperlink r:id="rId470" ref="E462"/>
    <hyperlink r:id="rId471" ref="E463"/>
    <hyperlink r:id="rId472" ref="E464"/>
    <hyperlink r:id="rId473" ref="E465"/>
    <hyperlink r:id="rId474" ref="E466"/>
    <hyperlink r:id="rId475" ref="N466"/>
    <hyperlink r:id="rId476" ref="E468"/>
    <hyperlink r:id="rId477" ref="E470"/>
    <hyperlink r:id="rId478" ref="E471"/>
    <hyperlink r:id="rId479" ref="E472"/>
    <hyperlink r:id="rId480" ref="E473"/>
    <hyperlink r:id="rId481" ref="E474"/>
    <hyperlink r:id="rId482" ref="E475"/>
    <hyperlink r:id="rId483" ref="E476"/>
    <hyperlink r:id="rId484" ref="E477"/>
    <hyperlink r:id="rId485" ref="N477"/>
    <hyperlink r:id="rId486" ref="E478"/>
    <hyperlink r:id="rId487" ref="E479"/>
    <hyperlink r:id="rId488" ref="E480"/>
    <hyperlink r:id="rId489" ref="E481"/>
    <hyperlink r:id="rId490" ref="N481"/>
    <hyperlink r:id="rId491" ref="E482"/>
    <hyperlink r:id="rId492" ref="E483"/>
    <hyperlink r:id="rId493" ref="E484"/>
    <hyperlink r:id="rId494" ref="E485"/>
    <hyperlink r:id="rId495" ref="E486"/>
    <hyperlink r:id="rId496" ref="E487"/>
    <hyperlink r:id="rId497" ref="E489"/>
    <hyperlink r:id="rId498" ref="E490"/>
    <hyperlink r:id="rId499" ref="E491"/>
    <hyperlink r:id="rId500" ref="E492"/>
    <hyperlink r:id="rId501" ref="E493"/>
    <hyperlink r:id="rId502" ref="E494"/>
    <hyperlink r:id="rId503" ref="E495"/>
    <hyperlink r:id="rId504" ref="E496"/>
    <hyperlink r:id="rId505" ref="E497"/>
    <hyperlink r:id="rId506" ref="N497"/>
    <hyperlink r:id="rId507" ref="E498"/>
    <hyperlink r:id="rId508" ref="E499"/>
    <hyperlink r:id="rId509" ref="N499"/>
    <hyperlink r:id="rId510" ref="E500"/>
    <hyperlink r:id="rId511" ref="N500"/>
    <hyperlink r:id="rId512" ref="E501"/>
    <hyperlink r:id="rId513" ref="E502"/>
    <hyperlink r:id="rId514" ref="E503"/>
    <hyperlink r:id="rId515" ref="E504"/>
    <hyperlink r:id="rId516" ref="E505"/>
    <hyperlink r:id="rId517" ref="N505"/>
    <hyperlink r:id="rId518" ref="E506"/>
    <hyperlink r:id="rId519" ref="E507"/>
    <hyperlink r:id="rId520" ref="E508"/>
    <hyperlink r:id="rId521" ref="E509"/>
    <hyperlink r:id="rId522" ref="E510"/>
    <hyperlink r:id="rId523" ref="E511"/>
    <hyperlink r:id="rId524" ref="E512"/>
    <hyperlink r:id="rId525" ref="E513"/>
    <hyperlink r:id="rId526" ref="E514"/>
    <hyperlink r:id="rId527" ref="E515"/>
    <hyperlink r:id="rId528" ref="E516"/>
    <hyperlink r:id="rId529" ref="E517"/>
    <hyperlink r:id="rId530" ref="E518"/>
    <hyperlink r:id="rId531" ref="E519"/>
    <hyperlink r:id="rId532" ref="E520"/>
    <hyperlink r:id="rId533" ref="E521"/>
    <hyperlink r:id="rId534" ref="E522"/>
    <hyperlink r:id="rId535" ref="E523"/>
    <hyperlink r:id="rId536" ref="E524"/>
    <hyperlink r:id="rId537" ref="E525"/>
    <hyperlink r:id="rId538" ref="E526"/>
    <hyperlink r:id="rId539" ref="N526"/>
    <hyperlink r:id="rId540" ref="E527"/>
    <hyperlink r:id="rId541" ref="E528"/>
    <hyperlink r:id="rId542" ref="E529"/>
    <hyperlink r:id="rId543" ref="E530"/>
    <hyperlink r:id="rId544" ref="E531"/>
    <hyperlink r:id="rId545" ref="N531"/>
    <hyperlink r:id="rId546" ref="E532"/>
    <hyperlink r:id="rId547" ref="E533"/>
    <hyperlink r:id="rId548" ref="E534"/>
    <hyperlink r:id="rId549" ref="E535"/>
    <hyperlink r:id="rId550" ref="E536"/>
    <hyperlink r:id="rId551" ref="E537"/>
    <hyperlink r:id="rId552" ref="E538"/>
    <hyperlink r:id="rId553" ref="E539"/>
    <hyperlink r:id="rId554" ref="E540"/>
    <hyperlink r:id="rId555" ref="E541"/>
    <hyperlink r:id="rId556" ref="E542"/>
    <hyperlink r:id="rId557" ref="E543"/>
    <hyperlink r:id="rId558" ref="E544"/>
    <hyperlink r:id="rId559" ref="E545"/>
    <hyperlink r:id="rId560" ref="E546"/>
    <hyperlink r:id="rId561" ref="E547"/>
    <hyperlink r:id="rId562" ref="E548"/>
    <hyperlink r:id="rId563" ref="E549"/>
    <hyperlink r:id="rId564" ref="E550"/>
    <hyperlink r:id="rId565" ref="N550"/>
    <hyperlink r:id="rId566" ref="E551"/>
    <hyperlink r:id="rId567" ref="E552"/>
    <hyperlink r:id="rId568" ref="E553"/>
    <hyperlink r:id="rId569" ref="E554"/>
    <hyperlink r:id="rId570" ref="E555"/>
    <hyperlink r:id="rId571" ref="E556"/>
    <hyperlink r:id="rId572" ref="N556"/>
    <hyperlink r:id="rId573" ref="E557"/>
    <hyperlink r:id="rId574" ref="E558"/>
    <hyperlink r:id="rId575" ref="E559"/>
    <hyperlink r:id="rId576" ref="E560"/>
    <hyperlink r:id="rId577" ref="E561"/>
    <hyperlink r:id="rId578" ref="E562"/>
    <hyperlink r:id="rId579" ref="N562"/>
    <hyperlink r:id="rId580" ref="E564"/>
    <hyperlink r:id="rId581" ref="E565"/>
    <hyperlink r:id="rId582" ref="E566"/>
    <hyperlink r:id="rId583" ref="E567"/>
    <hyperlink r:id="rId584" ref="E568"/>
    <hyperlink r:id="rId585" ref="N568"/>
    <hyperlink r:id="rId586" ref="E569"/>
    <hyperlink r:id="rId587" ref="E570"/>
    <hyperlink r:id="rId588" ref="E571"/>
    <hyperlink r:id="rId589" ref="N571"/>
    <hyperlink r:id="rId590" ref="E572"/>
    <hyperlink r:id="rId591" ref="N572"/>
    <hyperlink r:id="rId592" ref="E573"/>
    <hyperlink r:id="rId593" ref="E574"/>
    <hyperlink r:id="rId594" ref="E575"/>
    <hyperlink r:id="rId595" ref="E576"/>
    <hyperlink r:id="rId596" ref="E577"/>
    <hyperlink r:id="rId597" ref="E578"/>
    <hyperlink r:id="rId598" ref="E579"/>
    <hyperlink r:id="rId599" ref="E580"/>
    <hyperlink r:id="rId600" ref="E581"/>
    <hyperlink r:id="rId601" ref="E582"/>
    <hyperlink r:id="rId602" ref="E583"/>
    <hyperlink r:id="rId603" ref="E584"/>
    <hyperlink r:id="rId604" ref="E585"/>
    <hyperlink r:id="rId605" ref="E586"/>
    <hyperlink r:id="rId606" ref="E587"/>
    <hyperlink r:id="rId607" ref="E588"/>
    <hyperlink r:id="rId608" ref="E589"/>
    <hyperlink r:id="rId609" ref="E590"/>
    <hyperlink r:id="rId610" ref="E591"/>
    <hyperlink r:id="rId611" ref="E592"/>
    <hyperlink r:id="rId612" ref="E593"/>
    <hyperlink r:id="rId613" ref="E594"/>
    <hyperlink r:id="rId614" ref="E596"/>
    <hyperlink r:id="rId615" ref="E597"/>
    <hyperlink r:id="rId616" ref="E598"/>
    <hyperlink r:id="rId617" ref="E599"/>
    <hyperlink r:id="rId618" ref="E600"/>
    <hyperlink r:id="rId619" ref="E601"/>
    <hyperlink r:id="rId620" ref="E602"/>
    <hyperlink r:id="rId621" ref="E603"/>
    <hyperlink r:id="rId622" ref="E605"/>
    <hyperlink r:id="rId623" ref="E606"/>
    <hyperlink r:id="rId624" ref="E607"/>
    <hyperlink r:id="rId625" ref="E608"/>
    <hyperlink r:id="rId626" ref="E610"/>
    <hyperlink r:id="rId627" ref="E611"/>
    <hyperlink r:id="rId628" ref="E612"/>
    <hyperlink r:id="rId629" ref="E613"/>
    <hyperlink r:id="rId630" ref="E614"/>
    <hyperlink r:id="rId631" ref="N614"/>
    <hyperlink r:id="rId632" ref="E615"/>
    <hyperlink r:id="rId633" ref="E616"/>
    <hyperlink r:id="rId634" ref="E617"/>
    <hyperlink r:id="rId635" ref="E618"/>
    <hyperlink r:id="rId636" ref="E619"/>
    <hyperlink r:id="rId637" ref="E620"/>
    <hyperlink r:id="rId638" ref="N620"/>
    <hyperlink r:id="rId639" ref="E621"/>
    <hyperlink r:id="rId640" ref="E622"/>
    <hyperlink r:id="rId641" ref="E624"/>
    <hyperlink r:id="rId642" ref="E625"/>
    <hyperlink r:id="rId643" ref="E626"/>
    <hyperlink r:id="rId644" ref="N626"/>
    <hyperlink r:id="rId645" ref="E627"/>
    <hyperlink r:id="rId646" ref="E628"/>
    <hyperlink r:id="rId647" ref="E629"/>
    <hyperlink r:id="rId648" ref="E630"/>
    <hyperlink r:id="rId649" ref="E631"/>
    <hyperlink r:id="rId650" ref="E632"/>
    <hyperlink r:id="rId651" ref="E633"/>
    <hyperlink r:id="rId652" ref="E634"/>
    <hyperlink r:id="rId653" ref="E635"/>
    <hyperlink r:id="rId654" ref="E636"/>
    <hyperlink r:id="rId655" ref="E637"/>
    <hyperlink r:id="rId656" ref="E638"/>
    <hyperlink r:id="rId657" ref="E639"/>
    <hyperlink r:id="rId658" ref="E640"/>
    <hyperlink r:id="rId659" ref="E641"/>
    <hyperlink r:id="rId660" ref="E642"/>
    <hyperlink r:id="rId661" ref="E643"/>
    <hyperlink r:id="rId662" ref="E644"/>
    <hyperlink r:id="rId663" ref="E645"/>
    <hyperlink r:id="rId664" ref="E646"/>
    <hyperlink r:id="rId665" ref="E647"/>
    <hyperlink r:id="rId666" ref="E648"/>
    <hyperlink r:id="rId667" ref="E649"/>
    <hyperlink r:id="rId668" ref="E650"/>
    <hyperlink r:id="rId669" ref="E651"/>
    <hyperlink r:id="rId670" ref="E652"/>
    <hyperlink r:id="rId671" ref="E653"/>
    <hyperlink r:id="rId672" ref="E654"/>
    <hyperlink r:id="rId673" ref="E655"/>
    <hyperlink r:id="rId674" ref="E656"/>
    <hyperlink r:id="rId675" ref="E657"/>
    <hyperlink r:id="rId676" ref="E658"/>
    <hyperlink r:id="rId677" ref="E659"/>
    <hyperlink r:id="rId678" ref="E661"/>
    <hyperlink r:id="rId679" ref="E662"/>
    <hyperlink r:id="rId680" ref="E663"/>
    <hyperlink r:id="rId681" ref="E664"/>
    <hyperlink r:id="rId682" ref="E665"/>
    <hyperlink r:id="rId683" ref="E666"/>
    <hyperlink r:id="rId684" ref="E667"/>
    <hyperlink r:id="rId685" ref="E668"/>
    <hyperlink r:id="rId686" ref="E669"/>
    <hyperlink r:id="rId687" ref="E670"/>
    <hyperlink r:id="rId688" ref="E671"/>
    <hyperlink r:id="rId689" ref="E672"/>
    <hyperlink r:id="rId690" ref="E673"/>
    <hyperlink r:id="rId691" ref="E674"/>
    <hyperlink r:id="rId692" ref="E675"/>
    <hyperlink r:id="rId693" ref="E676"/>
    <hyperlink r:id="rId694" ref="E677"/>
    <hyperlink r:id="rId695" ref="N677"/>
    <hyperlink r:id="rId696" ref="E678"/>
    <hyperlink r:id="rId697" ref="E679"/>
    <hyperlink r:id="rId698" ref="E680"/>
    <hyperlink r:id="rId699" ref="E681"/>
    <hyperlink r:id="rId700" ref="E682"/>
    <hyperlink r:id="rId701" ref="E683"/>
    <hyperlink r:id="rId702" ref="E684"/>
    <hyperlink r:id="rId703" ref="E685"/>
    <hyperlink r:id="rId704" ref="E686"/>
    <hyperlink r:id="rId705" ref="E687"/>
    <hyperlink r:id="rId706" ref="E688"/>
    <hyperlink r:id="rId707" ref="E689"/>
    <hyperlink r:id="rId708" ref="E691"/>
    <hyperlink r:id="rId709" ref="E693"/>
    <hyperlink r:id="rId710" ref="E694"/>
    <hyperlink r:id="rId711" ref="E695"/>
    <hyperlink r:id="rId712" ref="E697"/>
    <hyperlink r:id="rId713" ref="E701"/>
    <hyperlink r:id="rId714" ref="E705"/>
    <hyperlink r:id="rId715" ref="E706"/>
    <hyperlink r:id="rId716" ref="E707"/>
    <hyperlink r:id="rId717" ref="E708"/>
    <hyperlink r:id="rId718" ref="E709"/>
    <hyperlink r:id="rId719" ref="E710"/>
    <hyperlink r:id="rId720" ref="E711"/>
    <hyperlink r:id="rId721" ref="E712"/>
    <hyperlink r:id="rId722" ref="E713"/>
    <hyperlink r:id="rId723" ref="E714"/>
    <hyperlink r:id="rId724" ref="E715"/>
    <hyperlink r:id="rId725" ref="E716"/>
    <hyperlink r:id="rId726" ref="E717"/>
    <hyperlink r:id="rId727" ref="E718"/>
    <hyperlink r:id="rId728" ref="E719"/>
    <hyperlink r:id="rId729" ref="E720"/>
    <hyperlink r:id="rId730" ref="E721"/>
    <hyperlink r:id="rId731" ref="E722"/>
    <hyperlink r:id="rId732" ref="E723"/>
    <hyperlink r:id="rId733" ref="E724"/>
    <hyperlink r:id="rId734" ref="E725"/>
    <hyperlink r:id="rId735" ref="E726"/>
    <hyperlink r:id="rId736" ref="E727"/>
    <hyperlink r:id="rId737" ref="E728"/>
    <hyperlink r:id="rId738" ref="E729"/>
    <hyperlink r:id="rId739" ref="E730"/>
    <hyperlink r:id="rId740" ref="E731"/>
    <hyperlink r:id="rId741" ref="E732"/>
    <hyperlink r:id="rId742" ref="E733"/>
    <hyperlink r:id="rId743" ref="E734"/>
    <hyperlink r:id="rId744" ref="E735"/>
    <hyperlink r:id="rId745" ref="E736"/>
    <hyperlink r:id="rId746" ref="E737"/>
    <hyperlink r:id="rId747" ref="E738"/>
    <hyperlink r:id="rId748" ref="E739"/>
    <hyperlink r:id="rId749" ref="E740"/>
    <hyperlink r:id="rId750" ref="E741"/>
    <hyperlink r:id="rId751" ref="E742"/>
    <hyperlink r:id="rId752" ref="E743"/>
    <hyperlink r:id="rId753" ref="E744"/>
    <hyperlink r:id="rId754" ref="E745"/>
    <hyperlink r:id="rId755" ref="E746"/>
    <hyperlink r:id="rId756" ref="E747"/>
    <hyperlink r:id="rId757" ref="E748"/>
    <hyperlink r:id="rId758" ref="E749"/>
    <hyperlink r:id="rId759" ref="E750"/>
    <hyperlink r:id="rId760" ref="E751"/>
    <hyperlink r:id="rId761" ref="E752"/>
    <hyperlink r:id="rId762" ref="E753"/>
    <hyperlink r:id="rId763" ref="E754"/>
    <hyperlink r:id="rId764" ref="E755"/>
    <hyperlink r:id="rId765" ref="E756"/>
    <hyperlink r:id="rId766" ref="E757"/>
    <hyperlink r:id="rId767" ref="E758"/>
    <hyperlink r:id="rId768" ref="E759"/>
    <hyperlink r:id="rId769" ref="E760"/>
    <hyperlink r:id="rId770" ref="E761"/>
    <hyperlink r:id="rId771" ref="E762"/>
    <hyperlink r:id="rId772" ref="E763"/>
    <hyperlink r:id="rId773" ref="E764"/>
    <hyperlink r:id="rId774" ref="E765"/>
    <hyperlink r:id="rId775" ref="E766"/>
    <hyperlink r:id="rId776" ref="E767"/>
    <hyperlink r:id="rId777" ref="E768"/>
    <hyperlink r:id="rId778" ref="E769"/>
    <hyperlink r:id="rId779" ref="E770"/>
    <hyperlink r:id="rId780" ref="E771"/>
    <hyperlink r:id="rId781" ref="E772"/>
    <hyperlink r:id="rId782" ref="E773"/>
    <hyperlink r:id="rId783" ref="E774"/>
    <hyperlink r:id="rId784" ref="E775"/>
    <hyperlink r:id="rId785" ref="E776"/>
    <hyperlink r:id="rId786" ref="N776"/>
    <hyperlink r:id="rId787" ref="E777"/>
    <hyperlink r:id="rId788" ref="E778"/>
    <hyperlink r:id="rId789" ref="E779"/>
    <hyperlink r:id="rId790" ref="E780"/>
    <hyperlink r:id="rId791" ref="E781"/>
    <hyperlink r:id="rId792" ref="E782"/>
    <hyperlink r:id="rId793" ref="E783"/>
    <hyperlink r:id="rId794" ref="E784"/>
    <hyperlink r:id="rId795" ref="E785"/>
    <hyperlink r:id="rId796" ref="E786"/>
    <hyperlink r:id="rId797" ref="E787"/>
    <hyperlink r:id="rId798" ref="E788"/>
    <hyperlink r:id="rId799" ref="E789"/>
    <hyperlink r:id="rId800" ref="E790"/>
    <hyperlink r:id="rId801" ref="E791"/>
    <hyperlink r:id="rId802" ref="E792"/>
    <hyperlink r:id="rId803" ref="E793"/>
    <hyperlink r:id="rId804" ref="E794"/>
    <hyperlink r:id="rId805" ref="E795"/>
    <hyperlink r:id="rId806" ref="E796"/>
    <hyperlink r:id="rId807" ref="E797"/>
    <hyperlink r:id="rId808" ref="E798"/>
    <hyperlink r:id="rId809" ref="E799"/>
    <hyperlink r:id="rId810" ref="E800"/>
    <hyperlink r:id="rId811" ref="E801"/>
    <hyperlink r:id="rId812" ref="E802"/>
    <hyperlink r:id="rId813" ref="E803"/>
    <hyperlink r:id="rId814" ref="E804"/>
    <hyperlink r:id="rId815" ref="E805"/>
    <hyperlink r:id="rId816" ref="E806"/>
    <hyperlink r:id="rId817" ref="E807"/>
    <hyperlink r:id="rId818" ref="E808"/>
    <hyperlink r:id="rId819" ref="E809"/>
    <hyperlink r:id="rId820" ref="E810"/>
    <hyperlink r:id="rId821" ref="E811"/>
    <hyperlink r:id="rId822" ref="E812"/>
    <hyperlink r:id="rId823" ref="E813"/>
    <hyperlink r:id="rId824" ref="E814"/>
    <hyperlink r:id="rId825" ref="E815"/>
    <hyperlink r:id="rId826" ref="E816"/>
    <hyperlink r:id="rId827" ref="E817"/>
    <hyperlink r:id="rId828" ref="N817"/>
    <hyperlink r:id="rId829" ref="E818"/>
    <hyperlink r:id="rId830" ref="E819"/>
    <hyperlink r:id="rId831" ref="E820"/>
    <hyperlink r:id="rId832" ref="E821"/>
    <hyperlink r:id="rId833" ref="E822"/>
    <hyperlink r:id="rId834" ref="E823"/>
    <hyperlink r:id="rId835" ref="E824"/>
    <hyperlink r:id="rId836" ref="E825"/>
    <hyperlink r:id="rId837" ref="E826"/>
    <hyperlink r:id="rId838" ref="E827"/>
    <hyperlink r:id="rId839" ref="E828"/>
    <hyperlink r:id="rId840" ref="E829"/>
    <hyperlink r:id="rId841" ref="E830"/>
    <hyperlink r:id="rId842" ref="E831"/>
    <hyperlink r:id="rId843" ref="E832"/>
    <hyperlink r:id="rId844" ref="E833"/>
    <hyperlink r:id="rId845" ref="E834"/>
    <hyperlink r:id="rId846" ref="E835"/>
    <hyperlink r:id="rId847" ref="E836"/>
    <hyperlink r:id="rId848" ref="E837"/>
    <hyperlink r:id="rId849" ref="E838"/>
    <hyperlink r:id="rId850" ref="E839"/>
    <hyperlink r:id="rId851" ref="E840"/>
    <hyperlink r:id="rId852" ref="E841"/>
    <hyperlink r:id="rId853" ref="E842"/>
    <hyperlink r:id="rId854" ref="E843"/>
    <hyperlink r:id="rId855" ref="E844"/>
    <hyperlink r:id="rId856" ref="E845"/>
    <hyperlink r:id="rId857" ref="N845"/>
    <hyperlink r:id="rId858" ref="E846"/>
    <hyperlink r:id="rId859" ref="E847"/>
    <hyperlink r:id="rId860" ref="E848"/>
    <hyperlink r:id="rId861" ref="E849"/>
    <hyperlink r:id="rId862" ref="E850"/>
    <hyperlink r:id="rId863" ref="E851"/>
    <hyperlink r:id="rId864" ref="E852"/>
    <hyperlink r:id="rId865" ref="E853"/>
    <hyperlink r:id="rId866" ref="E854"/>
    <hyperlink r:id="rId867" ref="E855"/>
    <hyperlink r:id="rId868" ref="E856"/>
    <hyperlink r:id="rId869" ref="E857"/>
    <hyperlink r:id="rId870" ref="E858"/>
    <hyperlink r:id="rId871" ref="E859"/>
    <hyperlink r:id="rId872" ref="E860"/>
    <hyperlink r:id="rId873" ref="E861"/>
    <hyperlink r:id="rId874" ref="E862"/>
    <hyperlink r:id="rId875" ref="E863"/>
    <hyperlink r:id="rId876" ref="E864"/>
    <hyperlink r:id="rId877" ref="E865"/>
    <hyperlink r:id="rId878" ref="E866"/>
    <hyperlink r:id="rId879" ref="E867"/>
    <hyperlink r:id="rId880" ref="E868"/>
    <hyperlink r:id="rId881" ref="E869"/>
    <hyperlink r:id="rId882" ref="E870"/>
    <hyperlink r:id="rId883" ref="E871"/>
    <hyperlink r:id="rId884" ref="E872"/>
    <hyperlink r:id="rId885" ref="E873"/>
    <hyperlink r:id="rId886" ref="E874"/>
    <hyperlink r:id="rId887" ref="E875"/>
    <hyperlink r:id="rId888" ref="E876"/>
    <hyperlink r:id="rId889" ref="E877"/>
    <hyperlink r:id="rId890" ref="E878"/>
    <hyperlink r:id="rId891" ref="E879"/>
    <hyperlink r:id="rId892" ref="E880"/>
    <hyperlink r:id="rId893" ref="E881"/>
    <hyperlink r:id="rId894" ref="E882"/>
    <hyperlink r:id="rId895" ref="E883"/>
    <hyperlink r:id="rId896" ref="E884"/>
    <hyperlink r:id="rId897" ref="E885"/>
    <hyperlink r:id="rId898" ref="N885"/>
    <hyperlink r:id="rId899" ref="E886"/>
    <hyperlink r:id="rId900" ref="E887"/>
    <hyperlink r:id="rId901" ref="E888"/>
    <hyperlink r:id="rId902" ref="E889"/>
    <hyperlink r:id="rId903" ref="E890"/>
    <hyperlink r:id="rId904" ref="E891"/>
    <hyperlink r:id="rId905" ref="E892"/>
    <hyperlink r:id="rId906" ref="E893"/>
    <hyperlink r:id="rId907" ref="E894"/>
    <hyperlink r:id="rId908" ref="E895"/>
    <hyperlink r:id="rId909" ref="E896"/>
    <hyperlink r:id="rId910" ref="E897"/>
    <hyperlink r:id="rId911" ref="E898"/>
    <hyperlink r:id="rId912" ref="E899"/>
    <hyperlink r:id="rId913" ref="E900"/>
    <hyperlink r:id="rId914" ref="E901"/>
    <hyperlink r:id="rId915" ref="E902"/>
    <hyperlink r:id="rId916" ref="E903"/>
    <hyperlink r:id="rId917" ref="E904"/>
    <hyperlink r:id="rId918" ref="E905"/>
    <hyperlink r:id="rId919" ref="E906"/>
    <hyperlink r:id="rId920" ref="E907"/>
    <hyperlink r:id="rId921" ref="E908"/>
    <hyperlink r:id="rId922" ref="E909"/>
    <hyperlink r:id="rId923" ref="E910"/>
    <hyperlink r:id="rId924" ref="E911"/>
    <hyperlink r:id="rId925" ref="E912"/>
    <hyperlink r:id="rId926" ref="E913"/>
    <hyperlink r:id="rId927" ref="E914"/>
    <hyperlink r:id="rId928" ref="E915"/>
    <hyperlink r:id="rId929" ref="E916"/>
    <hyperlink r:id="rId930" ref="E917"/>
    <hyperlink r:id="rId931" ref="E918"/>
    <hyperlink r:id="rId932" ref="E919"/>
    <hyperlink r:id="rId933" ref="E920"/>
    <hyperlink r:id="rId934" ref="E921"/>
    <hyperlink r:id="rId935" ref="E922"/>
    <hyperlink r:id="rId936" ref="E923"/>
    <hyperlink r:id="rId937" ref="E924"/>
    <hyperlink r:id="rId938" ref="E925"/>
    <hyperlink r:id="rId939" ref="N925"/>
    <hyperlink r:id="rId940" ref="E927"/>
    <hyperlink r:id="rId941" ref="E928"/>
    <hyperlink r:id="rId942" ref="E929"/>
    <hyperlink r:id="rId943" ref="E930"/>
    <hyperlink r:id="rId944" ref="E931"/>
    <hyperlink r:id="rId945" ref="E932"/>
    <hyperlink r:id="rId946" ref="E933"/>
    <hyperlink r:id="rId947" ref="E934"/>
    <hyperlink r:id="rId948" ref="E935"/>
    <hyperlink r:id="rId949" ref="E936"/>
    <hyperlink r:id="rId950" ref="E937"/>
    <hyperlink r:id="rId951" ref="E938"/>
    <hyperlink r:id="rId952" ref="E939"/>
    <hyperlink r:id="rId953" ref="E940"/>
    <hyperlink r:id="rId954" ref="N940"/>
    <hyperlink r:id="rId955" ref="E941"/>
    <hyperlink r:id="rId956" ref="E942"/>
    <hyperlink r:id="rId957" ref="E943"/>
    <hyperlink r:id="rId958" ref="E944"/>
    <hyperlink r:id="rId959" ref="E945"/>
    <hyperlink r:id="rId960" ref="N945"/>
    <hyperlink r:id="rId961" ref="E946"/>
    <hyperlink r:id="rId962" ref="E947"/>
    <hyperlink r:id="rId963" ref="E948"/>
    <hyperlink r:id="rId964" ref="E949"/>
    <hyperlink r:id="rId965" ref="E950"/>
    <hyperlink r:id="rId966" ref="E951"/>
    <hyperlink r:id="rId967" ref="E952"/>
    <hyperlink r:id="rId968" ref="E953"/>
    <hyperlink r:id="rId969" ref="E954"/>
    <hyperlink r:id="rId970" ref="E955"/>
    <hyperlink r:id="rId971" ref="E956"/>
    <hyperlink r:id="rId972" ref="E957"/>
    <hyperlink r:id="rId973" ref="E958"/>
    <hyperlink r:id="rId974" ref="E959"/>
    <hyperlink r:id="rId975" ref="E960"/>
    <hyperlink r:id="rId976" ref="E961"/>
    <hyperlink r:id="rId977" ref="E962"/>
    <hyperlink r:id="rId978" ref="E963"/>
    <hyperlink r:id="rId979" ref="E964"/>
    <hyperlink r:id="rId980" ref="E965"/>
    <hyperlink r:id="rId981" ref="E966"/>
    <hyperlink r:id="rId982" ref="E967"/>
    <hyperlink r:id="rId983" ref="E968"/>
    <hyperlink r:id="rId984" ref="N968"/>
    <hyperlink r:id="rId985" ref="E969"/>
    <hyperlink r:id="rId986" ref="E970"/>
    <hyperlink r:id="rId987" ref="E971"/>
    <hyperlink r:id="rId988" ref="E972"/>
    <hyperlink r:id="rId989" ref="E973"/>
    <hyperlink r:id="rId990" ref="E974"/>
    <hyperlink r:id="rId991" ref="E975"/>
    <hyperlink r:id="rId992" ref="E976"/>
    <hyperlink r:id="rId993" ref="E977"/>
    <hyperlink r:id="rId994" ref="E978"/>
    <hyperlink r:id="rId995" ref="E979"/>
    <hyperlink r:id="rId996" ref="E980"/>
    <hyperlink r:id="rId997" ref="E981"/>
    <hyperlink r:id="rId998" ref="E982"/>
    <hyperlink r:id="rId999" ref="E983"/>
    <hyperlink r:id="rId1000" ref="E984"/>
    <hyperlink r:id="rId1001" ref="E985"/>
    <hyperlink r:id="rId1002" ref="E986"/>
    <hyperlink r:id="rId1003" ref="E987"/>
    <hyperlink r:id="rId1004" ref="E988"/>
    <hyperlink r:id="rId1005" ref="E989"/>
    <hyperlink r:id="rId1006" ref="E990"/>
    <hyperlink r:id="rId1007" ref="E991"/>
    <hyperlink r:id="rId1008" ref="E992"/>
    <hyperlink r:id="rId1009" ref="E993"/>
    <hyperlink r:id="rId1010" ref="E994"/>
    <hyperlink r:id="rId1011" ref="E995"/>
    <hyperlink r:id="rId1012" ref="E996"/>
    <hyperlink r:id="rId1013" ref="E997"/>
    <hyperlink r:id="rId1014" ref="E998"/>
    <hyperlink r:id="rId1015" ref="E1000"/>
    <hyperlink r:id="rId1016" ref="E1001"/>
    <hyperlink r:id="rId1017" ref="E1002"/>
    <hyperlink r:id="rId1018" ref="N1002"/>
    <hyperlink r:id="rId1019" ref="E1003"/>
    <hyperlink r:id="rId1020" ref="E1004"/>
    <hyperlink r:id="rId1021" ref="E1005"/>
    <hyperlink r:id="rId1022" ref="E1006"/>
    <hyperlink r:id="rId1023" ref="E1007"/>
    <hyperlink r:id="rId1024" ref="E1008"/>
    <hyperlink r:id="rId1025" ref="E1009"/>
    <hyperlink r:id="rId1026" ref="E1010"/>
    <hyperlink r:id="rId1027" ref="E1011"/>
    <hyperlink r:id="rId1028" ref="E1012"/>
    <hyperlink r:id="rId1029" ref="E1013"/>
    <hyperlink r:id="rId1030" ref="E1014"/>
    <hyperlink r:id="rId1031" ref="E1015"/>
    <hyperlink r:id="rId1032" ref="E1016"/>
    <hyperlink r:id="rId1033" ref="E1017"/>
    <hyperlink r:id="rId1034" ref="E1018"/>
    <hyperlink r:id="rId1035" ref="E1019"/>
    <hyperlink r:id="rId1036" ref="E1020"/>
    <hyperlink r:id="rId1037" ref="E1021"/>
    <hyperlink r:id="rId1038" ref="E1022"/>
    <hyperlink r:id="rId1039" ref="E1023"/>
    <hyperlink r:id="rId1040" ref="E1024"/>
    <hyperlink r:id="rId1041" ref="E1025"/>
    <hyperlink r:id="rId1042" ref="E1026"/>
    <hyperlink r:id="rId1043" ref="E1027"/>
    <hyperlink r:id="rId1044" ref="E1028"/>
    <hyperlink r:id="rId1045" ref="N1028"/>
    <hyperlink r:id="rId1046" ref="E1029"/>
    <hyperlink r:id="rId1047" ref="E1030"/>
    <hyperlink r:id="rId1048" ref="E1031"/>
    <hyperlink r:id="rId1049" ref="E1032"/>
    <hyperlink r:id="rId1050" ref="E1033"/>
    <hyperlink r:id="rId1051" ref="E1034"/>
    <hyperlink r:id="rId1052" ref="E1035"/>
    <hyperlink r:id="rId1053" ref="E1036"/>
    <hyperlink r:id="rId1054" ref="E1037"/>
    <hyperlink r:id="rId1055" ref="E1038"/>
    <hyperlink r:id="rId1056" ref="E1039"/>
    <hyperlink r:id="rId1057" ref="E1040"/>
    <hyperlink r:id="rId1058" ref="E1041"/>
    <hyperlink r:id="rId1059" ref="E1042"/>
    <hyperlink r:id="rId1060" ref="E1043"/>
    <hyperlink r:id="rId1061" ref="E1044"/>
    <hyperlink r:id="rId1062" ref="E1045"/>
    <hyperlink r:id="rId1063" ref="E1046"/>
    <hyperlink r:id="rId1064" ref="E1047"/>
    <hyperlink r:id="rId1065" ref="E1048"/>
    <hyperlink r:id="rId1066" ref="N1048"/>
    <hyperlink r:id="rId1067" ref="E1049"/>
    <hyperlink r:id="rId1068" ref="E1050"/>
    <hyperlink r:id="rId1069" ref="E1051"/>
    <hyperlink r:id="rId1070" ref="E1052"/>
    <hyperlink r:id="rId1071" ref="E1053"/>
    <hyperlink r:id="rId1072" ref="E1054"/>
    <hyperlink r:id="rId1073" ref="E1055"/>
    <hyperlink r:id="rId1074" ref="E1056"/>
    <hyperlink r:id="rId1075" ref="E1058"/>
    <hyperlink r:id="rId1076" ref="E1059"/>
    <hyperlink r:id="rId1077" ref="E1060"/>
    <hyperlink r:id="rId1078" ref="E1061"/>
    <hyperlink r:id="rId1079" ref="E1062"/>
    <hyperlink r:id="rId1080" ref="E1063"/>
    <hyperlink r:id="rId1081" ref="E1064"/>
    <hyperlink r:id="rId1082" ref="E1065"/>
    <hyperlink r:id="rId1083" ref="E1066"/>
    <hyperlink r:id="rId1084" ref="N1066"/>
    <hyperlink r:id="rId1085" ref="E1067"/>
    <hyperlink r:id="rId1086" ref="E1068"/>
    <hyperlink r:id="rId1087" ref="E1069"/>
    <hyperlink r:id="rId1088" ref="E1070"/>
    <hyperlink r:id="rId1089" ref="E1071"/>
    <hyperlink r:id="rId1090" ref="E1072"/>
    <hyperlink r:id="rId1091" ref="E1073"/>
    <hyperlink r:id="rId1092" ref="E1074"/>
    <hyperlink r:id="rId1093" ref="E1075"/>
    <hyperlink r:id="rId1094" ref="E1076"/>
    <hyperlink r:id="rId1095" ref="E1077"/>
    <hyperlink r:id="rId1096" ref="E1078"/>
    <hyperlink r:id="rId1097" ref="E1079"/>
    <hyperlink r:id="rId1098" ref="E1080"/>
    <hyperlink r:id="rId1099" ref="E1081"/>
    <hyperlink r:id="rId1100" ref="E1082"/>
    <hyperlink r:id="rId1101" ref="E1083"/>
    <hyperlink r:id="rId1102" ref="E1084"/>
    <hyperlink r:id="rId1103" ref="E1085"/>
    <hyperlink r:id="rId1104" ref="E1086"/>
    <hyperlink r:id="rId1105" ref="E1087"/>
    <hyperlink r:id="rId1106" ref="E1088"/>
    <hyperlink r:id="rId1107" ref="E1089"/>
    <hyperlink r:id="rId1108" ref="E1090"/>
    <hyperlink r:id="rId1109" ref="E1091"/>
    <hyperlink r:id="rId1110" ref="E1092"/>
    <hyperlink r:id="rId1111" ref="E1093"/>
    <hyperlink r:id="rId1112" ref="E1094"/>
    <hyperlink r:id="rId1113" ref="E1095"/>
    <hyperlink r:id="rId1114" ref="E1096"/>
    <hyperlink r:id="rId1115" ref="E1097"/>
    <hyperlink r:id="rId1116" ref="E1098"/>
    <hyperlink r:id="rId1117" ref="E1099"/>
    <hyperlink r:id="rId1118" ref="E1100"/>
    <hyperlink r:id="rId1119" ref="E1101"/>
    <hyperlink r:id="rId1120" ref="E1102"/>
    <hyperlink r:id="rId1121" ref="E1103"/>
    <hyperlink r:id="rId1122" ref="E1104"/>
    <hyperlink r:id="rId1123" ref="E1105"/>
    <hyperlink r:id="rId1124" ref="E1106"/>
    <hyperlink r:id="rId1125" ref="E1107"/>
    <hyperlink r:id="rId1126" ref="E1108"/>
    <hyperlink r:id="rId1127" ref="E1109"/>
    <hyperlink r:id="rId1128" ref="E1110"/>
    <hyperlink r:id="rId1129" ref="E1111"/>
    <hyperlink r:id="rId1130" ref="E1112"/>
    <hyperlink r:id="rId1131" ref="E1113"/>
    <hyperlink r:id="rId1132" ref="E1114"/>
    <hyperlink r:id="rId1133" ref="E1115"/>
    <hyperlink r:id="rId1134" ref="E1116"/>
    <hyperlink r:id="rId1135" ref="E1117"/>
    <hyperlink r:id="rId1136" ref="E1118"/>
    <hyperlink r:id="rId1137" ref="E1119"/>
    <hyperlink r:id="rId1138" ref="E1120"/>
    <hyperlink r:id="rId1139" ref="E1121"/>
    <hyperlink r:id="rId1140" ref="E1122"/>
    <hyperlink r:id="rId1141" ref="E1123"/>
    <hyperlink r:id="rId1142" ref="E1124"/>
    <hyperlink r:id="rId1143" ref="E1125"/>
    <hyperlink r:id="rId1144" ref="N1125"/>
    <hyperlink r:id="rId1145" ref="E1126"/>
    <hyperlink r:id="rId1146" ref="E1127"/>
    <hyperlink r:id="rId1147" ref="E1128"/>
    <hyperlink r:id="rId1148" ref="E1129"/>
    <hyperlink r:id="rId1149" ref="E1130"/>
    <hyperlink r:id="rId1150" ref="E1131"/>
    <hyperlink r:id="rId1151" ref="E1132"/>
    <hyperlink r:id="rId1152" ref="E1133"/>
    <hyperlink r:id="rId1153" ref="E1134"/>
    <hyperlink r:id="rId1154" ref="E1135"/>
    <hyperlink r:id="rId1155" ref="E1136"/>
    <hyperlink r:id="rId1156" ref="E1137"/>
    <hyperlink r:id="rId1157" ref="E1138"/>
    <hyperlink r:id="rId1158" ref="E1139"/>
    <hyperlink r:id="rId1159" ref="E1140"/>
    <hyperlink r:id="rId1160" ref="E1141"/>
    <hyperlink r:id="rId1161" ref="E1142"/>
    <hyperlink r:id="rId1162" ref="E1143"/>
    <hyperlink r:id="rId1163" ref="E1144"/>
    <hyperlink r:id="rId1164" ref="E1145"/>
    <hyperlink r:id="rId1165" ref="E1146"/>
    <hyperlink r:id="rId1166" ref="E1147"/>
    <hyperlink r:id="rId1167" ref="N1147"/>
    <hyperlink r:id="rId1168" ref="E1148"/>
    <hyperlink r:id="rId1169" ref="E1149"/>
    <hyperlink r:id="rId1170" ref="E1150"/>
    <hyperlink r:id="rId1171" ref="N1150"/>
    <hyperlink r:id="rId1172" ref="E1151"/>
    <hyperlink r:id="rId1173" ref="E1152"/>
    <hyperlink r:id="rId1174" ref="E1153"/>
    <hyperlink r:id="rId1175" ref="E1154"/>
    <hyperlink r:id="rId1176" ref="E1155"/>
    <hyperlink r:id="rId1177" ref="E1156"/>
    <hyperlink r:id="rId1178" ref="E1157"/>
    <hyperlink r:id="rId1179" ref="E1158"/>
    <hyperlink r:id="rId1180" ref="E1159"/>
    <hyperlink r:id="rId1181" ref="E1160"/>
    <hyperlink r:id="rId1182" ref="E1161"/>
    <hyperlink r:id="rId1183" ref="E1162"/>
    <hyperlink r:id="rId1184" ref="E1163"/>
    <hyperlink r:id="rId1185" ref="E1164"/>
    <hyperlink r:id="rId1186" ref="E1165"/>
    <hyperlink r:id="rId1187" ref="E1166"/>
    <hyperlink r:id="rId1188" ref="E1167"/>
    <hyperlink r:id="rId1189" ref="E1168"/>
    <hyperlink r:id="rId1190" ref="E1169"/>
    <hyperlink r:id="rId1191" ref="E1170"/>
    <hyperlink r:id="rId1192" ref="E1171"/>
    <hyperlink r:id="rId1193" ref="E1172"/>
    <hyperlink r:id="rId1194" ref="E1173"/>
    <hyperlink r:id="rId1195" ref="E1174"/>
    <hyperlink r:id="rId1196" ref="E1175"/>
    <hyperlink r:id="rId1197" ref="E1176"/>
    <hyperlink r:id="rId1198" ref="E1177"/>
    <hyperlink r:id="rId1199" ref="N1177"/>
    <hyperlink r:id="rId1200" ref="E1178"/>
    <hyperlink r:id="rId1201" ref="E1179"/>
    <hyperlink r:id="rId1202" ref="E1180"/>
    <hyperlink r:id="rId1203" ref="E1181"/>
    <hyperlink r:id="rId1204" ref="E1182"/>
    <hyperlink r:id="rId1205" ref="E1183"/>
    <hyperlink r:id="rId1206" ref="E1184"/>
    <hyperlink r:id="rId1207" ref="E1185"/>
    <hyperlink r:id="rId1208" ref="E1186"/>
    <hyperlink r:id="rId1209" ref="E1187"/>
    <hyperlink r:id="rId1210" ref="E1188"/>
    <hyperlink r:id="rId1211" ref="E1189"/>
    <hyperlink r:id="rId1212" ref="E1190"/>
    <hyperlink r:id="rId1213" ref="E1191"/>
    <hyperlink r:id="rId1214" ref="E1192"/>
    <hyperlink r:id="rId1215" ref="E1193"/>
    <hyperlink r:id="rId1216" ref="E1194"/>
    <hyperlink r:id="rId1217" ref="E1195"/>
    <hyperlink r:id="rId1218" ref="E1196"/>
    <hyperlink r:id="rId1219" ref="E1197"/>
    <hyperlink r:id="rId1220" ref="E1198"/>
    <hyperlink r:id="rId1221" ref="E1199"/>
    <hyperlink r:id="rId1222" ref="E1200"/>
    <hyperlink r:id="rId1223" ref="E1201"/>
    <hyperlink r:id="rId1224" ref="E1202"/>
    <hyperlink r:id="rId1225" ref="E1203"/>
    <hyperlink r:id="rId1226" ref="E1204"/>
    <hyperlink r:id="rId1227" ref="E1205"/>
    <hyperlink r:id="rId1228" ref="E1206"/>
    <hyperlink r:id="rId1229" ref="E1207"/>
    <hyperlink r:id="rId1230" ref="E1208"/>
    <hyperlink r:id="rId1231" ref="E1209"/>
    <hyperlink r:id="rId1232" ref="E1210"/>
    <hyperlink r:id="rId1233" ref="E1211"/>
    <hyperlink r:id="rId1234" ref="E1212"/>
    <hyperlink r:id="rId1235" ref="E1213"/>
    <hyperlink r:id="rId1236" ref="E1214"/>
    <hyperlink r:id="rId1237" ref="E1215"/>
    <hyperlink r:id="rId1238" ref="E1216"/>
    <hyperlink r:id="rId1239" ref="E1217"/>
    <hyperlink r:id="rId1240" ref="E1218"/>
    <hyperlink r:id="rId1241" ref="E1219"/>
    <hyperlink r:id="rId1242" ref="E1220"/>
    <hyperlink r:id="rId1243" ref="E1221"/>
    <hyperlink r:id="rId1244" ref="E1222"/>
    <hyperlink r:id="rId1245" ref="E1223"/>
    <hyperlink r:id="rId1246" ref="E1224"/>
    <hyperlink r:id="rId1247" ref="E1225"/>
    <hyperlink r:id="rId1248" ref="E1226"/>
    <hyperlink r:id="rId1249" ref="E1227"/>
    <hyperlink r:id="rId1250" ref="E1228"/>
    <hyperlink r:id="rId1251" ref="E1229"/>
    <hyperlink r:id="rId1252" ref="E1230"/>
    <hyperlink r:id="rId1253" ref="E1231"/>
    <hyperlink r:id="rId1254" ref="E1232"/>
    <hyperlink r:id="rId1255" ref="E1233"/>
    <hyperlink r:id="rId1256" ref="E1234"/>
    <hyperlink r:id="rId1257" ref="N1234"/>
    <hyperlink r:id="rId1258" ref="E1235"/>
    <hyperlink r:id="rId1259" ref="E1236"/>
    <hyperlink r:id="rId1260" ref="E1237"/>
    <hyperlink r:id="rId1261" ref="E1238"/>
    <hyperlink r:id="rId1262" ref="E1239"/>
    <hyperlink r:id="rId1263" ref="E1240"/>
    <hyperlink r:id="rId1264" ref="E1241"/>
    <hyperlink r:id="rId1265" ref="E1242"/>
    <hyperlink r:id="rId1266" ref="E1243"/>
    <hyperlink r:id="rId1267" ref="E1244"/>
    <hyperlink r:id="rId1268" ref="E1245"/>
    <hyperlink r:id="rId1269" ref="E1246"/>
    <hyperlink r:id="rId1270" ref="E1247"/>
    <hyperlink r:id="rId1271" ref="E1248"/>
    <hyperlink r:id="rId1272" ref="E1249"/>
    <hyperlink r:id="rId1273" ref="E1250"/>
    <hyperlink r:id="rId1274" ref="N1250"/>
    <hyperlink r:id="rId1275" ref="E1251"/>
    <hyperlink r:id="rId1276" ref="E1252"/>
    <hyperlink r:id="rId1277" ref="E1253"/>
    <hyperlink r:id="rId1278" ref="E1254"/>
    <hyperlink r:id="rId1279" ref="E1255"/>
    <hyperlink r:id="rId1280" ref="E1256"/>
    <hyperlink r:id="rId1281" ref="E1257"/>
    <hyperlink r:id="rId1282" ref="E1258"/>
    <hyperlink r:id="rId1283" ref="E1259"/>
    <hyperlink r:id="rId1284" ref="E1260"/>
    <hyperlink r:id="rId1285" ref="E1261"/>
    <hyperlink r:id="rId1286" ref="E1262"/>
    <hyperlink r:id="rId1287" ref="E1263"/>
    <hyperlink r:id="rId1288" ref="E1264"/>
    <hyperlink r:id="rId1289" ref="E1265"/>
    <hyperlink r:id="rId1290" ref="E1266"/>
    <hyperlink r:id="rId1291" ref="E1267"/>
    <hyperlink r:id="rId1292" ref="E1268"/>
    <hyperlink r:id="rId1293" ref="E1269"/>
    <hyperlink r:id="rId1294" ref="N1269"/>
    <hyperlink r:id="rId1295" ref="E1270"/>
    <hyperlink r:id="rId1296" ref="E1271"/>
    <hyperlink r:id="rId1297" ref="E1272"/>
    <hyperlink r:id="rId1298" ref="E1273"/>
    <hyperlink r:id="rId1299" ref="E1274"/>
    <hyperlink r:id="rId1300" ref="E1275"/>
    <hyperlink r:id="rId1301" ref="E1276"/>
    <hyperlink r:id="rId1302" ref="E1277"/>
    <hyperlink r:id="rId1303" ref="E1278"/>
    <hyperlink r:id="rId1304" ref="E1279"/>
    <hyperlink r:id="rId1305" ref="E1280"/>
    <hyperlink r:id="rId1306" ref="E1281"/>
    <hyperlink r:id="rId1307" ref="E1282"/>
    <hyperlink r:id="rId1308" ref="E1283"/>
    <hyperlink r:id="rId1309" ref="E1284"/>
    <hyperlink r:id="rId1310" ref="E1285"/>
    <hyperlink r:id="rId1311" ref="E1286"/>
    <hyperlink r:id="rId1312" ref="E1287"/>
    <hyperlink r:id="rId1313" ref="E1288"/>
    <hyperlink r:id="rId1314" ref="E1289"/>
    <hyperlink r:id="rId1315" ref="E1290"/>
    <hyperlink r:id="rId1316" ref="E1291"/>
    <hyperlink r:id="rId1317" ref="E1292"/>
    <hyperlink r:id="rId1318" ref="E1293"/>
    <hyperlink r:id="rId1319" ref="E1294"/>
    <hyperlink r:id="rId1320" ref="E1295"/>
    <hyperlink r:id="rId1321" ref="E1296"/>
    <hyperlink r:id="rId1322" ref="E1297"/>
    <hyperlink r:id="rId1323" ref="E1298"/>
    <hyperlink r:id="rId1324" ref="E1299"/>
    <hyperlink r:id="rId1325" ref="E1300"/>
    <hyperlink r:id="rId1326" ref="E1301"/>
    <hyperlink r:id="rId1327" ref="N1301"/>
    <hyperlink r:id="rId1328" ref="E1302"/>
    <hyperlink r:id="rId1329" ref="E1303"/>
    <hyperlink r:id="rId1330" ref="E1304"/>
    <hyperlink r:id="rId1331" ref="E1305"/>
    <hyperlink r:id="rId1332" ref="E1306"/>
    <hyperlink r:id="rId1333" ref="E1307"/>
    <hyperlink r:id="rId1334" ref="E1308"/>
    <hyperlink r:id="rId1335" ref="E1309"/>
    <hyperlink r:id="rId1336" ref="E1310"/>
    <hyperlink r:id="rId1337" ref="E1311"/>
    <hyperlink r:id="rId1338" ref="E1312"/>
    <hyperlink r:id="rId1339" ref="N1312"/>
    <hyperlink r:id="rId1340" ref="E1313"/>
    <hyperlink r:id="rId1341" ref="N1313"/>
    <hyperlink r:id="rId1342" ref="E1314"/>
    <hyperlink r:id="rId1343" ref="E1315"/>
    <hyperlink r:id="rId1344" ref="E1316"/>
  </hyperlinks>
  <drawing r:id="rId1345"/>
  <legacyDrawing r:id="rId134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0" width="14.38"/>
  </cols>
  <sheetData>
    <row r="1" ht="33.75" customHeight="1">
      <c r="A1" s="43" t="str">
        <f>CONCATENATE(
            "              ", "LinkedIn Ads Import", char(10),
            "              ", "",
            IFERROR(IFS(
                (now()-"2026/04/08 21:49") &lt;= 0,
                    "",
                AND((now()-"2026/04/08 21:49") * 1440 &gt;= 0, (now()-"2026/04/08 21:49") * 1440 &lt;= 5),
                    "Last updated just now",
                (now()-"2026/04/08 21:49") * 1440 &lt;= 60,
                    "Last updated "&amp;FLOOR((now()-"2026/04/08 21:49")*1440,1)&amp;" minutes ago",
                (now()-"2026/04/08 21:49") * 24 &lt;= 24,
                    "Last updated "&amp;FLOOR((now()-"2026/04/08 21:49")*24,1) &amp;
                        IF(FLOOR((now()-"2026/04/08 21:49")*24,1) &lt;= 1, " hour ago", " hours ago"),
                (now()-"2026/04/08 21:49") &lt;= 30,
                    "Last updated "&amp;FLOOR((now()-"2026/04/08 21:49"),1) &amp;
                        IF(FLOOR((now()-"2026/04/08 21:49"),1) &lt;= 1, " day ago", " days ago"),
                (now()-"2026/04/08 21:49") &gt; 30,
                    "Last updated " &amp;
                        FLOOR((now()-"2026/04/08 21:49")/7,1) &amp;
                        IF(FLOOR((now()-"2026/04/08 21:49"),1) &lt;= 1, " week ago", " weeks ago")
            ),"Last updated on 2026/04/08 21:49")
        )</f>
        <v>              LinkedIn Ads Import
              Last updated 22 minutes ago</v>
      </c>
      <c r="B1" s="43" t="s">
        <v>0</v>
      </c>
      <c r="C1" s="43" t="str">
        <f>IFERROR(IF(NOW(), _COEFF_ssop()),"")</f>
        <v/>
      </c>
      <c r="D1" s="43" t="s">
        <v>0</v>
      </c>
      <c r="E1" s="43" t="s">
        <v>0</v>
      </c>
      <c r="F1" s="43" t="s">
        <v>0</v>
      </c>
      <c r="G1" s="43" t="s">
        <v>0</v>
      </c>
      <c r="H1" s="43" t="s">
        <v>0</v>
      </c>
      <c r="I1" s="43" t="s">
        <v>0</v>
      </c>
      <c r="J1" s="43" t="s">
        <v>0</v>
      </c>
    </row>
    <row r="2" ht="22.5" customHeight="1">
      <c r="A2" s="41" t="s">
        <v>6640</v>
      </c>
      <c r="B2" s="41" t="s">
        <v>6641</v>
      </c>
      <c r="C2" s="41" t="s">
        <v>6642</v>
      </c>
      <c r="D2" s="41" t="s">
        <v>6643</v>
      </c>
      <c r="E2" s="41" t="s">
        <v>6644</v>
      </c>
      <c r="F2" s="41" t="s">
        <v>6645</v>
      </c>
      <c r="G2" s="41" t="s">
        <v>6646</v>
      </c>
      <c r="H2" s="41" t="s">
        <v>11</v>
      </c>
      <c r="I2" s="41" t="s">
        <v>6647</v>
      </c>
      <c r="J2" s="41" t="s">
        <v>6648</v>
      </c>
    </row>
    <row r="3">
      <c r="A3" s="24">
        <v>2170.0</v>
      </c>
      <c r="B3" s="24">
        <v>4.0</v>
      </c>
      <c r="C3" s="44">
        <v>30.0</v>
      </c>
      <c r="D3" s="45">
        <v>44604.0</v>
      </c>
      <c r="E3" s="24">
        <v>7.5</v>
      </c>
      <c r="F3" s="24">
        <v>13.82</v>
      </c>
      <c r="G3" s="24">
        <v>0.18</v>
      </c>
      <c r="H3" s="24" t="s">
        <v>6649</v>
      </c>
      <c r="I3" s="24" t="s">
        <v>6650</v>
      </c>
      <c r="J3" s="24">
        <v>0.0</v>
      </c>
    </row>
    <row r="4">
      <c r="A4" s="24">
        <v>629.0</v>
      </c>
      <c r="B4" s="24">
        <v>0.0</v>
      </c>
      <c r="C4" s="44">
        <v>9.09</v>
      </c>
      <c r="D4" s="45">
        <v>44605.0</v>
      </c>
      <c r="E4" s="24" t="s">
        <v>6650</v>
      </c>
      <c r="F4" s="24">
        <v>14.45</v>
      </c>
      <c r="G4" s="24">
        <v>0.0</v>
      </c>
      <c r="H4" s="24" t="s">
        <v>6649</v>
      </c>
      <c r="I4" s="24" t="s">
        <v>6650</v>
      </c>
      <c r="J4" s="24">
        <v>0.0</v>
      </c>
    </row>
    <row r="5">
      <c r="A5" s="24">
        <v>1391.0</v>
      </c>
      <c r="B5" s="24">
        <v>0.0</v>
      </c>
      <c r="C5" s="44">
        <v>20.01</v>
      </c>
      <c r="D5" s="45">
        <v>44606.0</v>
      </c>
      <c r="E5" s="24" t="s">
        <v>6650</v>
      </c>
      <c r="F5" s="24">
        <v>14.39</v>
      </c>
      <c r="G5" s="24">
        <v>0.0</v>
      </c>
      <c r="H5" s="24" t="s">
        <v>6649</v>
      </c>
      <c r="I5" s="24" t="s">
        <v>6650</v>
      </c>
      <c r="J5" s="24">
        <v>0.0</v>
      </c>
    </row>
    <row r="6">
      <c r="A6" s="24">
        <v>1601.0</v>
      </c>
      <c r="B6" s="24">
        <v>0.0</v>
      </c>
      <c r="C6" s="44">
        <v>23.02</v>
      </c>
      <c r="D6" s="45">
        <v>44607.0</v>
      </c>
      <c r="E6" s="24" t="s">
        <v>6650</v>
      </c>
      <c r="F6" s="24">
        <v>14.38</v>
      </c>
      <c r="G6" s="24">
        <v>0.0</v>
      </c>
      <c r="H6" s="24" t="s">
        <v>6649</v>
      </c>
      <c r="I6" s="24" t="s">
        <v>6650</v>
      </c>
      <c r="J6" s="24">
        <v>0.0</v>
      </c>
    </row>
    <row r="7">
      <c r="A7" s="24">
        <v>2592.0</v>
      </c>
      <c r="B7" s="24">
        <v>0.0</v>
      </c>
      <c r="C7" s="44">
        <v>35.64</v>
      </c>
      <c r="D7" s="45">
        <v>44608.0</v>
      </c>
      <c r="E7" s="24" t="s">
        <v>6650</v>
      </c>
      <c r="F7" s="24">
        <v>13.75</v>
      </c>
      <c r="G7" s="24">
        <v>0.0</v>
      </c>
      <c r="H7" s="24" t="s">
        <v>6651</v>
      </c>
      <c r="I7" s="24" t="s">
        <v>6650</v>
      </c>
      <c r="J7" s="24">
        <v>0.0</v>
      </c>
    </row>
    <row r="8">
      <c r="A8" s="24">
        <v>1957.0</v>
      </c>
      <c r="B8" s="24">
        <v>1.0</v>
      </c>
      <c r="C8" s="44">
        <v>23.67</v>
      </c>
      <c r="D8" s="45">
        <v>44608.0</v>
      </c>
      <c r="E8" s="24">
        <v>23.67</v>
      </c>
      <c r="F8" s="24">
        <v>12.1</v>
      </c>
      <c r="G8" s="24">
        <v>0.05</v>
      </c>
      <c r="H8" s="24" t="s">
        <v>6649</v>
      </c>
      <c r="I8" s="24">
        <v>23.67</v>
      </c>
      <c r="J8" s="24">
        <v>0.0</v>
      </c>
    </row>
    <row r="9">
      <c r="A9" s="24">
        <v>872.0</v>
      </c>
      <c r="B9" s="24">
        <v>0.0</v>
      </c>
      <c r="C9" s="44">
        <v>12.16</v>
      </c>
      <c r="D9" s="45">
        <v>44608.0</v>
      </c>
      <c r="E9" s="24" t="s">
        <v>6650</v>
      </c>
      <c r="F9" s="24">
        <v>13.94</v>
      </c>
      <c r="G9" s="24">
        <v>0.0</v>
      </c>
      <c r="H9" s="24" t="s">
        <v>6652</v>
      </c>
      <c r="I9" s="24" t="s">
        <v>6650</v>
      </c>
      <c r="J9" s="24">
        <v>0.0</v>
      </c>
    </row>
    <row r="10">
      <c r="A10" s="24">
        <v>505.0</v>
      </c>
      <c r="B10" s="24">
        <v>1.0</v>
      </c>
      <c r="C10" s="44">
        <v>7.04</v>
      </c>
      <c r="D10" s="45">
        <v>44609.0</v>
      </c>
      <c r="E10" s="24">
        <v>7.04</v>
      </c>
      <c r="F10" s="24">
        <v>13.94</v>
      </c>
      <c r="G10" s="24">
        <v>0.2</v>
      </c>
      <c r="H10" s="24" t="s">
        <v>6652</v>
      </c>
      <c r="I10" s="24">
        <v>7.04</v>
      </c>
      <c r="J10" s="24">
        <v>0.0</v>
      </c>
    </row>
    <row r="11">
      <c r="A11" s="24">
        <v>402.0</v>
      </c>
      <c r="B11" s="24">
        <v>0.0</v>
      </c>
      <c r="C11" s="44">
        <v>5.95</v>
      </c>
      <c r="D11" s="45">
        <v>44609.0</v>
      </c>
      <c r="E11" s="24" t="s">
        <v>6650</v>
      </c>
      <c r="F11" s="24">
        <v>14.8</v>
      </c>
      <c r="G11" s="24">
        <v>0.0</v>
      </c>
      <c r="H11" s="24" t="s">
        <v>6653</v>
      </c>
      <c r="I11" s="24" t="s">
        <v>6650</v>
      </c>
      <c r="J11" s="24">
        <v>0.0</v>
      </c>
    </row>
    <row r="12">
      <c r="A12" s="24">
        <v>1553.0</v>
      </c>
      <c r="B12" s="24">
        <v>2.0</v>
      </c>
      <c r="C12" s="44">
        <v>19.64</v>
      </c>
      <c r="D12" s="45">
        <v>44609.0</v>
      </c>
      <c r="E12" s="24">
        <v>9.82</v>
      </c>
      <c r="F12" s="24">
        <v>12.65</v>
      </c>
      <c r="G12" s="24">
        <v>0.13</v>
      </c>
      <c r="H12" s="24" t="s">
        <v>6654</v>
      </c>
      <c r="I12" s="24">
        <v>19.64</v>
      </c>
      <c r="J12" s="24">
        <v>0.0</v>
      </c>
    </row>
    <row r="13">
      <c r="A13" s="24">
        <v>1644.0</v>
      </c>
      <c r="B13" s="24">
        <v>2.0</v>
      </c>
      <c r="C13" s="44">
        <v>19.34</v>
      </c>
      <c r="D13" s="45">
        <v>44609.0</v>
      </c>
      <c r="E13" s="24">
        <v>9.67</v>
      </c>
      <c r="F13" s="24">
        <v>11.76</v>
      </c>
      <c r="G13" s="24">
        <v>0.12</v>
      </c>
      <c r="H13" s="24" t="s">
        <v>6649</v>
      </c>
      <c r="I13" s="24">
        <v>9.67</v>
      </c>
      <c r="J13" s="24">
        <v>0.0</v>
      </c>
    </row>
    <row r="14">
      <c r="A14" s="24">
        <v>1293.0</v>
      </c>
      <c r="B14" s="24">
        <v>0.0</v>
      </c>
      <c r="C14" s="44">
        <v>17.78</v>
      </c>
      <c r="D14" s="45">
        <v>44609.0</v>
      </c>
      <c r="E14" s="24" t="s">
        <v>6650</v>
      </c>
      <c r="F14" s="24">
        <v>13.75</v>
      </c>
      <c r="G14" s="24">
        <v>0.0</v>
      </c>
      <c r="H14" s="24" t="s">
        <v>6651</v>
      </c>
      <c r="I14" s="24" t="s">
        <v>6650</v>
      </c>
      <c r="J14" s="24">
        <v>0.0</v>
      </c>
    </row>
    <row r="15">
      <c r="A15" s="24">
        <v>2200.0</v>
      </c>
      <c r="B15" s="24">
        <v>1.0</v>
      </c>
      <c r="C15" s="44">
        <v>30.36</v>
      </c>
      <c r="D15" s="45">
        <v>44609.0</v>
      </c>
      <c r="E15" s="24">
        <v>30.36</v>
      </c>
      <c r="F15" s="24">
        <v>13.8</v>
      </c>
      <c r="G15" s="24">
        <v>0.05</v>
      </c>
      <c r="H15" s="24" t="s">
        <v>6655</v>
      </c>
      <c r="I15" s="24">
        <v>30.36</v>
      </c>
      <c r="J15" s="24">
        <v>0.0</v>
      </c>
    </row>
    <row r="16">
      <c r="A16" s="24">
        <v>1731.0</v>
      </c>
      <c r="B16" s="24">
        <v>0.0</v>
      </c>
      <c r="C16" s="44">
        <v>20.42</v>
      </c>
      <c r="D16" s="45">
        <v>44610.0</v>
      </c>
      <c r="E16" s="24" t="s">
        <v>6650</v>
      </c>
      <c r="F16" s="24">
        <v>11.8</v>
      </c>
      <c r="G16" s="24">
        <v>0.0</v>
      </c>
      <c r="H16" s="24" t="s">
        <v>6649</v>
      </c>
      <c r="I16" s="24">
        <v>10.21</v>
      </c>
      <c r="J16" s="24">
        <v>0.0</v>
      </c>
    </row>
    <row r="17">
      <c r="A17" s="24">
        <v>1697.0</v>
      </c>
      <c r="B17" s="24">
        <v>1.0</v>
      </c>
      <c r="C17" s="44">
        <v>21.46</v>
      </c>
      <c r="D17" s="45">
        <v>44610.0</v>
      </c>
      <c r="E17" s="24">
        <v>21.46</v>
      </c>
      <c r="F17" s="24">
        <v>12.65</v>
      </c>
      <c r="G17" s="24">
        <v>0.06</v>
      </c>
      <c r="H17" s="24" t="s">
        <v>6654</v>
      </c>
      <c r="I17" s="24">
        <v>21.46</v>
      </c>
      <c r="J17" s="24">
        <v>0.0</v>
      </c>
    </row>
    <row r="18">
      <c r="A18" s="24">
        <v>207.0</v>
      </c>
      <c r="B18" s="24">
        <v>0.0</v>
      </c>
      <c r="C18" s="44">
        <v>0.0</v>
      </c>
      <c r="D18" s="45">
        <v>44610.0</v>
      </c>
      <c r="E18" s="24" t="s">
        <v>6650</v>
      </c>
      <c r="F18" s="24">
        <v>0.0</v>
      </c>
      <c r="G18" s="24">
        <v>0.0</v>
      </c>
      <c r="H18" s="24" t="s">
        <v>6656</v>
      </c>
      <c r="I18" s="24" t="s">
        <v>6650</v>
      </c>
      <c r="J18" s="24">
        <v>0.0</v>
      </c>
    </row>
    <row r="19">
      <c r="A19" s="24">
        <v>474.0</v>
      </c>
      <c r="B19" s="24">
        <v>0.0</v>
      </c>
      <c r="C19" s="44">
        <v>7.01</v>
      </c>
      <c r="D19" s="45">
        <v>44610.0</v>
      </c>
      <c r="E19" s="24" t="s">
        <v>6650</v>
      </c>
      <c r="F19" s="24">
        <v>14.79</v>
      </c>
      <c r="G19" s="24">
        <v>0.0</v>
      </c>
      <c r="H19" s="24" t="s">
        <v>6653</v>
      </c>
      <c r="I19" s="24" t="s">
        <v>6650</v>
      </c>
      <c r="J19" s="24">
        <v>0.0</v>
      </c>
    </row>
    <row r="20">
      <c r="A20" s="24">
        <v>3171.0</v>
      </c>
      <c r="B20" s="24">
        <v>0.0</v>
      </c>
      <c r="C20" s="44">
        <v>43.68</v>
      </c>
      <c r="D20" s="45">
        <v>44610.0</v>
      </c>
      <c r="E20" s="24" t="s">
        <v>6650</v>
      </c>
      <c r="F20" s="24">
        <v>13.77</v>
      </c>
      <c r="G20" s="24">
        <v>0.0</v>
      </c>
      <c r="H20" s="24" t="s">
        <v>6655</v>
      </c>
      <c r="I20" s="24" t="s">
        <v>6650</v>
      </c>
      <c r="J20" s="24">
        <v>0.0</v>
      </c>
    </row>
    <row r="21">
      <c r="A21" s="24">
        <v>672.0</v>
      </c>
      <c r="B21" s="24">
        <v>0.0</v>
      </c>
      <c r="C21" s="44">
        <v>7.53</v>
      </c>
      <c r="D21" s="45">
        <v>44610.0</v>
      </c>
      <c r="E21" s="24" t="s">
        <v>6650</v>
      </c>
      <c r="F21" s="24">
        <v>11.21</v>
      </c>
      <c r="G21" s="24">
        <v>0.0</v>
      </c>
      <c r="H21" s="24" t="s">
        <v>6652</v>
      </c>
      <c r="I21" s="24" t="s">
        <v>6650</v>
      </c>
      <c r="J21" s="24">
        <v>0.0</v>
      </c>
    </row>
    <row r="22">
      <c r="A22" s="24">
        <v>1494.0</v>
      </c>
      <c r="B22" s="24">
        <v>1.0</v>
      </c>
      <c r="C22" s="44">
        <v>18.62</v>
      </c>
      <c r="D22" s="45">
        <v>44611.0</v>
      </c>
      <c r="E22" s="24">
        <v>18.62</v>
      </c>
      <c r="F22" s="24">
        <v>12.46</v>
      </c>
      <c r="G22" s="24">
        <v>0.07</v>
      </c>
      <c r="H22" s="24" t="s">
        <v>6649</v>
      </c>
      <c r="I22" s="24" t="s">
        <v>6650</v>
      </c>
      <c r="J22" s="24">
        <v>0.0</v>
      </c>
    </row>
    <row r="23">
      <c r="A23" s="24">
        <v>24.0</v>
      </c>
      <c r="B23" s="24">
        <v>0.0</v>
      </c>
      <c r="C23" s="44">
        <v>0.0</v>
      </c>
      <c r="D23" s="45">
        <v>44611.0</v>
      </c>
      <c r="E23" s="24" t="s">
        <v>6650</v>
      </c>
      <c r="F23" s="24">
        <v>0.0</v>
      </c>
      <c r="G23" s="24">
        <v>0.0</v>
      </c>
      <c r="H23" s="24" t="s">
        <v>6656</v>
      </c>
      <c r="I23" s="24" t="s">
        <v>6650</v>
      </c>
      <c r="J23" s="24">
        <v>0.0</v>
      </c>
    </row>
    <row r="24">
      <c r="A24" s="24">
        <v>1137.0</v>
      </c>
      <c r="B24" s="24">
        <v>0.0</v>
      </c>
      <c r="C24" s="44">
        <v>15.68</v>
      </c>
      <c r="D24" s="45">
        <v>44611.0</v>
      </c>
      <c r="E24" s="24" t="s">
        <v>6650</v>
      </c>
      <c r="F24" s="24">
        <v>13.79</v>
      </c>
      <c r="G24" s="24">
        <v>0.0</v>
      </c>
      <c r="H24" s="24" t="s">
        <v>6655</v>
      </c>
      <c r="I24" s="24" t="s">
        <v>6650</v>
      </c>
      <c r="J24" s="24">
        <v>0.0</v>
      </c>
    </row>
    <row r="25">
      <c r="A25" s="24">
        <v>159.0</v>
      </c>
      <c r="B25" s="24">
        <v>0.0</v>
      </c>
      <c r="C25" s="44">
        <v>1.9</v>
      </c>
      <c r="D25" s="45">
        <v>44611.0</v>
      </c>
      <c r="E25" s="24" t="s">
        <v>6650</v>
      </c>
      <c r="F25" s="24">
        <v>11.95</v>
      </c>
      <c r="G25" s="24">
        <v>0.0</v>
      </c>
      <c r="H25" s="24" t="s">
        <v>6652</v>
      </c>
      <c r="I25" s="24" t="s">
        <v>6650</v>
      </c>
      <c r="J25" s="24">
        <v>0.0</v>
      </c>
    </row>
    <row r="26">
      <c r="A26" s="24">
        <v>81.0</v>
      </c>
      <c r="B26" s="24">
        <v>0.0</v>
      </c>
      <c r="C26" s="44">
        <v>1.19</v>
      </c>
      <c r="D26" s="45">
        <v>44611.0</v>
      </c>
      <c r="E26" s="24" t="s">
        <v>6650</v>
      </c>
      <c r="F26" s="24">
        <v>14.69</v>
      </c>
      <c r="G26" s="24">
        <v>0.0</v>
      </c>
      <c r="H26" s="24" t="s">
        <v>6653</v>
      </c>
      <c r="I26" s="24" t="s">
        <v>6650</v>
      </c>
      <c r="J26" s="24">
        <v>0.0</v>
      </c>
    </row>
    <row r="27">
      <c r="A27" s="24">
        <v>85.0</v>
      </c>
      <c r="B27" s="24">
        <v>0.0</v>
      </c>
      <c r="C27" s="44">
        <v>1.08</v>
      </c>
      <c r="D27" s="45">
        <v>44611.0</v>
      </c>
      <c r="E27" s="24" t="s">
        <v>6650</v>
      </c>
      <c r="F27" s="24">
        <v>12.71</v>
      </c>
      <c r="G27" s="24">
        <v>0.0</v>
      </c>
      <c r="H27" s="24" t="s">
        <v>6654</v>
      </c>
      <c r="I27" s="24" t="s">
        <v>6650</v>
      </c>
      <c r="J27" s="24">
        <v>0.0</v>
      </c>
    </row>
    <row r="28">
      <c r="A28" s="24">
        <v>149.0</v>
      </c>
      <c r="B28" s="24">
        <v>0.0</v>
      </c>
      <c r="C28" s="44">
        <v>1.76</v>
      </c>
      <c r="D28" s="45">
        <v>44612.0</v>
      </c>
      <c r="E28" s="24" t="s">
        <v>6650</v>
      </c>
      <c r="F28" s="24">
        <v>11.81</v>
      </c>
      <c r="G28" s="24">
        <v>0.0</v>
      </c>
      <c r="H28" s="24" t="s">
        <v>6652</v>
      </c>
      <c r="I28" s="24" t="s">
        <v>6650</v>
      </c>
      <c r="J28" s="24">
        <v>0.0</v>
      </c>
    </row>
    <row r="29">
      <c r="A29" s="24">
        <v>1170.0</v>
      </c>
      <c r="B29" s="24">
        <v>0.0</v>
      </c>
      <c r="C29" s="44">
        <v>14.92</v>
      </c>
      <c r="D29" s="45">
        <v>44612.0</v>
      </c>
      <c r="E29" s="24" t="s">
        <v>6650</v>
      </c>
      <c r="F29" s="24">
        <v>12.75</v>
      </c>
      <c r="G29" s="24">
        <v>0.0</v>
      </c>
      <c r="H29" s="24" t="s">
        <v>6649</v>
      </c>
      <c r="I29" s="24" t="s">
        <v>6650</v>
      </c>
      <c r="J29" s="24">
        <v>0.0</v>
      </c>
    </row>
    <row r="30">
      <c r="A30" s="24">
        <v>125.0</v>
      </c>
      <c r="B30" s="24">
        <v>0.0</v>
      </c>
      <c r="C30" s="44">
        <v>1.58</v>
      </c>
      <c r="D30" s="45">
        <v>44612.0</v>
      </c>
      <c r="E30" s="24" t="s">
        <v>6650</v>
      </c>
      <c r="F30" s="24">
        <v>12.64</v>
      </c>
      <c r="G30" s="24">
        <v>0.0</v>
      </c>
      <c r="H30" s="24" t="s">
        <v>6654</v>
      </c>
      <c r="I30" s="24">
        <v>1.58</v>
      </c>
      <c r="J30" s="24">
        <v>0.0</v>
      </c>
    </row>
    <row r="31">
      <c r="A31" s="24">
        <v>79.0</v>
      </c>
      <c r="B31" s="24">
        <v>0.0</v>
      </c>
      <c r="C31" s="44">
        <v>1.17</v>
      </c>
      <c r="D31" s="45">
        <v>44612.0</v>
      </c>
      <c r="E31" s="24" t="s">
        <v>6650</v>
      </c>
      <c r="F31" s="24">
        <v>14.81</v>
      </c>
      <c r="G31" s="24">
        <v>0.0</v>
      </c>
      <c r="H31" s="24" t="s">
        <v>6653</v>
      </c>
      <c r="I31" s="24" t="s">
        <v>6650</v>
      </c>
      <c r="J31" s="24">
        <v>0.0</v>
      </c>
    </row>
    <row r="32">
      <c r="A32" s="24">
        <v>963.0</v>
      </c>
      <c r="B32" s="24">
        <v>1.0</v>
      </c>
      <c r="C32" s="44">
        <v>13.29</v>
      </c>
      <c r="D32" s="45">
        <v>44612.0</v>
      </c>
      <c r="E32" s="24">
        <v>13.29</v>
      </c>
      <c r="F32" s="24">
        <v>13.8</v>
      </c>
      <c r="G32" s="24">
        <v>0.1</v>
      </c>
      <c r="H32" s="24" t="s">
        <v>6655</v>
      </c>
      <c r="I32" s="24">
        <v>13.29</v>
      </c>
      <c r="J32" s="24">
        <v>0.0</v>
      </c>
    </row>
    <row r="33">
      <c r="A33" s="24">
        <v>19.0</v>
      </c>
      <c r="B33" s="24">
        <v>0.0</v>
      </c>
      <c r="C33" s="44">
        <v>0.0</v>
      </c>
      <c r="D33" s="45">
        <v>44612.0</v>
      </c>
      <c r="E33" s="24" t="s">
        <v>6650</v>
      </c>
      <c r="F33" s="24">
        <v>0.0</v>
      </c>
      <c r="G33" s="24">
        <v>0.0</v>
      </c>
      <c r="H33" s="24" t="s">
        <v>6656</v>
      </c>
      <c r="I33" s="24" t="s">
        <v>6650</v>
      </c>
      <c r="J33" s="24">
        <v>0.0</v>
      </c>
    </row>
    <row r="34">
      <c r="A34" s="24">
        <v>2255.0</v>
      </c>
      <c r="B34" s="24">
        <v>1.0</v>
      </c>
      <c r="C34" s="44">
        <v>28.53</v>
      </c>
      <c r="D34" s="45">
        <v>44613.0</v>
      </c>
      <c r="E34" s="24">
        <v>28.53</v>
      </c>
      <c r="F34" s="24">
        <v>12.65</v>
      </c>
      <c r="G34" s="24">
        <v>0.04</v>
      </c>
      <c r="H34" s="24" t="s">
        <v>6654</v>
      </c>
      <c r="I34" s="24">
        <v>28.53</v>
      </c>
      <c r="J34" s="24">
        <v>0.0</v>
      </c>
    </row>
    <row r="35">
      <c r="A35" s="24">
        <v>383.0</v>
      </c>
      <c r="B35" s="24">
        <v>0.0</v>
      </c>
      <c r="C35" s="44">
        <v>0.0</v>
      </c>
      <c r="D35" s="45">
        <v>44613.0</v>
      </c>
      <c r="E35" s="24" t="s">
        <v>6650</v>
      </c>
      <c r="F35" s="24">
        <v>0.0</v>
      </c>
      <c r="G35" s="24">
        <v>0.0</v>
      </c>
      <c r="H35" s="24" t="s">
        <v>6656</v>
      </c>
      <c r="I35" s="24">
        <v>0.0</v>
      </c>
      <c r="J35" s="24">
        <v>0.0</v>
      </c>
    </row>
    <row r="36">
      <c r="A36" s="24">
        <v>3532.0</v>
      </c>
      <c r="B36" s="24">
        <v>0.0</v>
      </c>
      <c r="C36" s="44">
        <v>48.74</v>
      </c>
      <c r="D36" s="45">
        <v>44613.0</v>
      </c>
      <c r="E36" s="24" t="s">
        <v>6650</v>
      </c>
      <c r="F36" s="24">
        <v>13.8</v>
      </c>
      <c r="G36" s="24">
        <v>0.0</v>
      </c>
      <c r="H36" s="24" t="s">
        <v>6655</v>
      </c>
      <c r="I36" s="24">
        <v>48.74</v>
      </c>
      <c r="J36" s="24">
        <v>0.0</v>
      </c>
    </row>
    <row r="37">
      <c r="A37" s="24">
        <v>969.0</v>
      </c>
      <c r="B37" s="24">
        <v>0.0</v>
      </c>
      <c r="C37" s="44">
        <v>10.92</v>
      </c>
      <c r="D37" s="45">
        <v>44613.0</v>
      </c>
      <c r="E37" s="24" t="s">
        <v>6650</v>
      </c>
      <c r="F37" s="24">
        <v>11.27</v>
      </c>
      <c r="G37" s="24">
        <v>0.0</v>
      </c>
      <c r="H37" s="24" t="s">
        <v>6652</v>
      </c>
      <c r="I37" s="24" t="s">
        <v>6650</v>
      </c>
      <c r="J37" s="24">
        <v>0.0</v>
      </c>
    </row>
    <row r="38">
      <c r="A38" s="24">
        <v>630.0</v>
      </c>
      <c r="B38" s="24">
        <v>0.0</v>
      </c>
      <c r="C38" s="44">
        <v>9.32</v>
      </c>
      <c r="D38" s="45">
        <v>44613.0</v>
      </c>
      <c r="E38" s="24" t="s">
        <v>6650</v>
      </c>
      <c r="F38" s="24">
        <v>14.79</v>
      </c>
      <c r="G38" s="24">
        <v>0.0</v>
      </c>
      <c r="H38" s="24" t="s">
        <v>6653</v>
      </c>
      <c r="I38" s="24">
        <v>9.32</v>
      </c>
      <c r="J38" s="24">
        <v>0.0</v>
      </c>
    </row>
    <row r="39">
      <c r="A39" s="24">
        <v>1651.0</v>
      </c>
      <c r="B39" s="24">
        <v>1.0</v>
      </c>
      <c r="C39" s="44">
        <v>19.45</v>
      </c>
      <c r="D39" s="45">
        <v>44613.0</v>
      </c>
      <c r="E39" s="24">
        <v>19.45</v>
      </c>
      <c r="F39" s="24">
        <v>11.78</v>
      </c>
      <c r="G39" s="24">
        <v>0.06</v>
      </c>
      <c r="H39" s="24" t="s">
        <v>6649</v>
      </c>
      <c r="I39" s="24">
        <v>19.45</v>
      </c>
      <c r="J39" s="24">
        <v>0.0</v>
      </c>
    </row>
    <row r="40">
      <c r="A40" s="24">
        <v>4915.0</v>
      </c>
      <c r="B40" s="24">
        <v>1.0</v>
      </c>
      <c r="C40" s="44">
        <v>62.17</v>
      </c>
      <c r="D40" s="45">
        <v>44614.0</v>
      </c>
      <c r="E40" s="24">
        <v>62.17</v>
      </c>
      <c r="F40" s="24">
        <v>12.65</v>
      </c>
      <c r="G40" s="24">
        <v>0.02</v>
      </c>
      <c r="H40" s="24" t="s">
        <v>6654</v>
      </c>
      <c r="I40" s="24">
        <v>62.17</v>
      </c>
      <c r="J40" s="24">
        <v>0.0</v>
      </c>
    </row>
    <row r="41">
      <c r="A41" s="24">
        <v>4248.0</v>
      </c>
      <c r="B41" s="24">
        <v>0.0</v>
      </c>
      <c r="C41" s="44">
        <v>58.62</v>
      </c>
      <c r="D41" s="45">
        <v>44614.0</v>
      </c>
      <c r="E41" s="24" t="s">
        <v>6650</v>
      </c>
      <c r="F41" s="24">
        <v>13.8</v>
      </c>
      <c r="G41" s="24">
        <v>0.0</v>
      </c>
      <c r="H41" s="24" t="s">
        <v>6655</v>
      </c>
      <c r="I41" s="24">
        <v>29.31</v>
      </c>
      <c r="J41" s="24">
        <v>0.0</v>
      </c>
    </row>
    <row r="42">
      <c r="A42" s="24">
        <v>1380.0</v>
      </c>
      <c r="B42" s="24">
        <v>0.0</v>
      </c>
      <c r="C42" s="44">
        <v>20.42</v>
      </c>
      <c r="D42" s="45">
        <v>44614.0</v>
      </c>
      <c r="E42" s="24" t="s">
        <v>6650</v>
      </c>
      <c r="F42" s="24">
        <v>14.8</v>
      </c>
      <c r="G42" s="24">
        <v>0.0</v>
      </c>
      <c r="H42" s="24" t="s">
        <v>6653</v>
      </c>
      <c r="I42" s="24">
        <v>20.42</v>
      </c>
      <c r="J42" s="24">
        <v>0.0</v>
      </c>
    </row>
    <row r="43">
      <c r="A43" s="24">
        <v>948.0</v>
      </c>
      <c r="B43" s="24">
        <v>0.0</v>
      </c>
      <c r="C43" s="44">
        <v>0.0</v>
      </c>
      <c r="D43" s="45">
        <v>44614.0</v>
      </c>
      <c r="E43" s="24" t="s">
        <v>6650</v>
      </c>
      <c r="F43" s="24">
        <v>0.0</v>
      </c>
      <c r="G43" s="24">
        <v>0.0</v>
      </c>
      <c r="H43" s="24" t="s">
        <v>6656</v>
      </c>
      <c r="I43" s="24">
        <v>0.0</v>
      </c>
      <c r="J43" s="24">
        <v>0.0</v>
      </c>
    </row>
    <row r="44">
      <c r="A44" s="24">
        <v>1218.0</v>
      </c>
      <c r="B44" s="24">
        <v>1.0</v>
      </c>
      <c r="C44" s="44">
        <v>13.56</v>
      </c>
      <c r="D44" s="45">
        <v>44614.0</v>
      </c>
      <c r="E44" s="24">
        <v>13.56</v>
      </c>
      <c r="F44" s="24">
        <v>11.13</v>
      </c>
      <c r="G44" s="24">
        <v>0.08</v>
      </c>
      <c r="H44" s="24" t="s">
        <v>6652</v>
      </c>
      <c r="I44" s="24">
        <v>6.78</v>
      </c>
      <c r="J44" s="24">
        <v>0.0</v>
      </c>
    </row>
    <row r="45">
      <c r="A45" s="24">
        <v>1974.0</v>
      </c>
      <c r="B45" s="24">
        <v>2.0</v>
      </c>
      <c r="C45" s="44">
        <v>23.32</v>
      </c>
      <c r="D45" s="45">
        <v>44614.0</v>
      </c>
      <c r="E45" s="24">
        <v>11.66</v>
      </c>
      <c r="F45" s="24">
        <v>11.81</v>
      </c>
      <c r="G45" s="24">
        <v>0.1</v>
      </c>
      <c r="H45" s="24" t="s">
        <v>6649</v>
      </c>
      <c r="I45" s="24">
        <v>7.77</v>
      </c>
      <c r="J45" s="24">
        <v>0.0</v>
      </c>
    </row>
    <row r="46">
      <c r="A46" s="24">
        <v>1174.0</v>
      </c>
      <c r="B46" s="24">
        <v>0.0</v>
      </c>
      <c r="C46" s="44">
        <v>13.04</v>
      </c>
      <c r="D46" s="45">
        <v>44615.0</v>
      </c>
      <c r="E46" s="24" t="s">
        <v>6650</v>
      </c>
      <c r="F46" s="24">
        <v>11.11</v>
      </c>
      <c r="G46" s="24">
        <v>0.0</v>
      </c>
      <c r="H46" s="24" t="s">
        <v>6652</v>
      </c>
      <c r="I46" s="24">
        <v>4.35</v>
      </c>
      <c r="J46" s="24">
        <v>0.0</v>
      </c>
    </row>
    <row r="47">
      <c r="A47" s="24">
        <v>1995.0</v>
      </c>
      <c r="B47" s="24">
        <v>0.0</v>
      </c>
      <c r="C47" s="44">
        <v>23.49</v>
      </c>
      <c r="D47" s="45">
        <v>44615.0</v>
      </c>
      <c r="E47" s="24" t="s">
        <v>6650</v>
      </c>
      <c r="F47" s="24">
        <v>11.77</v>
      </c>
      <c r="G47" s="24">
        <v>0.0</v>
      </c>
      <c r="H47" s="24" t="s">
        <v>6649</v>
      </c>
      <c r="I47" s="24">
        <v>7.83</v>
      </c>
      <c r="J47" s="24">
        <v>0.0</v>
      </c>
    </row>
    <row r="48">
      <c r="A48" s="24">
        <v>1456.0</v>
      </c>
      <c r="B48" s="24">
        <v>0.0</v>
      </c>
      <c r="C48" s="44">
        <v>21.55</v>
      </c>
      <c r="D48" s="45">
        <v>44615.0</v>
      </c>
      <c r="E48" s="24" t="s">
        <v>6650</v>
      </c>
      <c r="F48" s="24">
        <v>14.8</v>
      </c>
      <c r="G48" s="24">
        <v>0.0</v>
      </c>
      <c r="H48" s="24" t="s">
        <v>6653</v>
      </c>
      <c r="I48" s="24" t="s">
        <v>6650</v>
      </c>
      <c r="J48" s="24">
        <v>0.0</v>
      </c>
    </row>
    <row r="49">
      <c r="A49" s="24">
        <v>4246.0</v>
      </c>
      <c r="B49" s="24">
        <v>3.0</v>
      </c>
      <c r="C49" s="44">
        <v>58.59</v>
      </c>
      <c r="D49" s="45">
        <v>44615.0</v>
      </c>
      <c r="E49" s="24">
        <v>19.53</v>
      </c>
      <c r="F49" s="24">
        <v>13.8</v>
      </c>
      <c r="G49" s="24">
        <v>0.07</v>
      </c>
      <c r="H49" s="24" t="s">
        <v>6655</v>
      </c>
      <c r="I49" s="24">
        <v>11.72</v>
      </c>
      <c r="J49" s="24">
        <v>0.0</v>
      </c>
    </row>
    <row r="50">
      <c r="A50" s="24">
        <v>4951.0</v>
      </c>
      <c r="B50" s="24">
        <v>4.0</v>
      </c>
      <c r="C50" s="44">
        <v>62.63</v>
      </c>
      <c r="D50" s="45">
        <v>44615.0</v>
      </c>
      <c r="E50" s="24">
        <v>15.66</v>
      </c>
      <c r="F50" s="24">
        <v>12.65</v>
      </c>
      <c r="G50" s="24">
        <v>0.08</v>
      </c>
      <c r="H50" s="24" t="s">
        <v>6654</v>
      </c>
      <c r="I50" s="24">
        <v>15.66</v>
      </c>
      <c r="J50" s="24">
        <v>0.0</v>
      </c>
    </row>
    <row r="51">
      <c r="A51" s="24">
        <v>1093.0</v>
      </c>
      <c r="B51" s="24">
        <v>1.0</v>
      </c>
      <c r="C51" s="44">
        <v>6.35</v>
      </c>
      <c r="D51" s="45">
        <v>44615.0</v>
      </c>
      <c r="E51" s="24">
        <v>6.35</v>
      </c>
      <c r="F51" s="24">
        <v>5.81</v>
      </c>
      <c r="G51" s="24">
        <v>0.09</v>
      </c>
      <c r="H51" s="24" t="s">
        <v>6656</v>
      </c>
      <c r="I51" s="24">
        <v>3.18</v>
      </c>
      <c r="J51" s="24">
        <v>0.0</v>
      </c>
    </row>
    <row r="52">
      <c r="A52" s="24">
        <v>4393.0</v>
      </c>
      <c r="B52" s="24">
        <v>0.0</v>
      </c>
      <c r="C52" s="44">
        <v>60.62</v>
      </c>
      <c r="D52" s="45">
        <v>44616.0</v>
      </c>
      <c r="E52" s="24" t="s">
        <v>6650</v>
      </c>
      <c r="F52" s="24">
        <v>13.8</v>
      </c>
      <c r="G52" s="24">
        <v>0.0</v>
      </c>
      <c r="H52" s="24" t="s">
        <v>6655</v>
      </c>
      <c r="I52" s="24">
        <v>30.31</v>
      </c>
      <c r="J52" s="24">
        <v>0.0</v>
      </c>
    </row>
    <row r="53">
      <c r="A53" s="24">
        <v>1192.0</v>
      </c>
      <c r="B53" s="24">
        <v>2.0</v>
      </c>
      <c r="C53" s="44">
        <v>13.08</v>
      </c>
      <c r="D53" s="45">
        <v>44616.0</v>
      </c>
      <c r="E53" s="24">
        <v>6.54</v>
      </c>
      <c r="F53" s="24">
        <v>10.97</v>
      </c>
      <c r="G53" s="24">
        <v>0.17</v>
      </c>
      <c r="H53" s="24" t="s">
        <v>6656</v>
      </c>
      <c r="I53" s="24">
        <v>4.36</v>
      </c>
      <c r="J53" s="24">
        <v>0.0</v>
      </c>
    </row>
    <row r="54">
      <c r="A54" s="24">
        <v>4492.0</v>
      </c>
      <c r="B54" s="24">
        <v>0.0</v>
      </c>
      <c r="C54" s="44">
        <v>56.82</v>
      </c>
      <c r="D54" s="45">
        <v>44616.0</v>
      </c>
      <c r="E54" s="24" t="s">
        <v>6650</v>
      </c>
      <c r="F54" s="24">
        <v>12.65</v>
      </c>
      <c r="G54" s="24">
        <v>0.0</v>
      </c>
      <c r="H54" s="24" t="s">
        <v>6654</v>
      </c>
      <c r="I54" s="24" t="s">
        <v>6650</v>
      </c>
      <c r="J54" s="24">
        <v>0.0</v>
      </c>
    </row>
    <row r="55">
      <c r="A55" s="24">
        <v>2114.0</v>
      </c>
      <c r="B55" s="24">
        <v>0.0</v>
      </c>
      <c r="C55" s="44">
        <v>24.85</v>
      </c>
      <c r="D55" s="45">
        <v>44616.0</v>
      </c>
      <c r="E55" s="24" t="s">
        <v>6650</v>
      </c>
      <c r="F55" s="24">
        <v>11.75</v>
      </c>
      <c r="G55" s="24">
        <v>0.0</v>
      </c>
      <c r="H55" s="24" t="s">
        <v>6649</v>
      </c>
      <c r="I55" s="24">
        <v>12.42</v>
      </c>
      <c r="J55" s="24">
        <v>0.0</v>
      </c>
    </row>
    <row r="56">
      <c r="A56" s="24">
        <v>1160.0</v>
      </c>
      <c r="B56" s="24">
        <v>1.0</v>
      </c>
      <c r="C56" s="44">
        <v>12.86</v>
      </c>
      <c r="D56" s="45">
        <v>44616.0</v>
      </c>
      <c r="E56" s="24">
        <v>12.86</v>
      </c>
      <c r="F56" s="24">
        <v>11.09</v>
      </c>
      <c r="G56" s="24">
        <v>0.09</v>
      </c>
      <c r="H56" s="24" t="s">
        <v>6652</v>
      </c>
      <c r="I56" s="24">
        <v>12.86</v>
      </c>
      <c r="J56" s="24">
        <v>0.0</v>
      </c>
    </row>
    <row r="57">
      <c r="A57" s="24">
        <v>1347.0</v>
      </c>
      <c r="B57" s="24">
        <v>0.0</v>
      </c>
      <c r="C57" s="44">
        <v>19.94</v>
      </c>
      <c r="D57" s="45">
        <v>44616.0</v>
      </c>
      <c r="E57" s="24" t="s">
        <v>6650</v>
      </c>
      <c r="F57" s="24">
        <v>14.8</v>
      </c>
      <c r="G57" s="24">
        <v>0.0</v>
      </c>
      <c r="H57" s="24" t="s">
        <v>6653</v>
      </c>
      <c r="I57" s="24">
        <v>9.97</v>
      </c>
      <c r="J57" s="24">
        <v>0.0</v>
      </c>
    </row>
    <row r="58">
      <c r="A58" s="24">
        <v>1065.0</v>
      </c>
      <c r="B58" s="24">
        <v>0.0</v>
      </c>
      <c r="C58" s="44">
        <v>11.82</v>
      </c>
      <c r="D58" s="45">
        <v>44617.0</v>
      </c>
      <c r="E58" s="24" t="s">
        <v>6650</v>
      </c>
      <c r="F58" s="24">
        <v>11.1</v>
      </c>
      <c r="G58" s="24">
        <v>0.0</v>
      </c>
      <c r="H58" s="24" t="s">
        <v>6652</v>
      </c>
      <c r="I58" s="24" t="s">
        <v>6650</v>
      </c>
      <c r="J58" s="24">
        <v>0.0</v>
      </c>
    </row>
    <row r="59">
      <c r="A59" s="24">
        <v>1236.0</v>
      </c>
      <c r="B59" s="24">
        <v>0.0</v>
      </c>
      <c r="C59" s="44">
        <v>18.29</v>
      </c>
      <c r="D59" s="45">
        <v>44617.0</v>
      </c>
      <c r="E59" s="24" t="s">
        <v>6650</v>
      </c>
      <c r="F59" s="24">
        <v>14.8</v>
      </c>
      <c r="G59" s="24">
        <v>0.0</v>
      </c>
      <c r="H59" s="24" t="s">
        <v>6653</v>
      </c>
      <c r="I59" s="24">
        <v>18.29</v>
      </c>
      <c r="J59" s="24">
        <v>0.0</v>
      </c>
    </row>
    <row r="60">
      <c r="A60" s="24">
        <v>1240.0</v>
      </c>
      <c r="B60" s="24">
        <v>2.0</v>
      </c>
      <c r="C60" s="44">
        <v>13.11</v>
      </c>
      <c r="D60" s="45">
        <v>44617.0</v>
      </c>
      <c r="E60" s="24">
        <v>6.56</v>
      </c>
      <c r="F60" s="24">
        <v>10.57</v>
      </c>
      <c r="G60" s="24">
        <v>0.16</v>
      </c>
      <c r="H60" s="24" t="s">
        <v>6656</v>
      </c>
      <c r="I60" s="24">
        <v>6.56</v>
      </c>
      <c r="J60" s="24">
        <v>0.0</v>
      </c>
    </row>
    <row r="61">
      <c r="A61" s="24">
        <v>4340.0</v>
      </c>
      <c r="B61" s="24">
        <v>2.0</v>
      </c>
      <c r="C61" s="44">
        <v>59.89</v>
      </c>
      <c r="D61" s="45">
        <v>44617.0</v>
      </c>
      <c r="E61" s="24">
        <v>29.94</v>
      </c>
      <c r="F61" s="24">
        <v>13.8</v>
      </c>
      <c r="G61" s="24">
        <v>0.05</v>
      </c>
      <c r="H61" s="24" t="s">
        <v>6655</v>
      </c>
      <c r="I61" s="24">
        <v>14.97</v>
      </c>
      <c r="J61" s="24">
        <v>0.0</v>
      </c>
    </row>
    <row r="62">
      <c r="A62" s="24">
        <v>2062.0</v>
      </c>
      <c r="B62" s="24">
        <v>0.0</v>
      </c>
      <c r="C62" s="44">
        <v>24.25</v>
      </c>
      <c r="D62" s="45">
        <v>44617.0</v>
      </c>
      <c r="E62" s="24" t="s">
        <v>6650</v>
      </c>
      <c r="F62" s="24">
        <v>11.76</v>
      </c>
      <c r="G62" s="24">
        <v>0.0</v>
      </c>
      <c r="H62" s="24" t="s">
        <v>6649</v>
      </c>
      <c r="I62" s="24">
        <v>8.08</v>
      </c>
      <c r="J62" s="24">
        <v>0.0</v>
      </c>
    </row>
    <row r="63">
      <c r="A63" s="24">
        <v>4063.0</v>
      </c>
      <c r="B63" s="24">
        <v>5.0</v>
      </c>
      <c r="C63" s="44">
        <v>51.39</v>
      </c>
      <c r="D63" s="45">
        <v>44617.0</v>
      </c>
      <c r="E63" s="24">
        <v>10.28</v>
      </c>
      <c r="F63" s="24">
        <v>12.65</v>
      </c>
      <c r="G63" s="24">
        <v>0.12</v>
      </c>
      <c r="H63" s="24" t="s">
        <v>6654</v>
      </c>
      <c r="I63" s="24">
        <v>12.85</v>
      </c>
      <c r="J63" s="24">
        <v>0.0</v>
      </c>
    </row>
    <row r="64">
      <c r="A64" s="24">
        <v>4.0</v>
      </c>
      <c r="B64" s="24">
        <v>0.0</v>
      </c>
      <c r="C64" s="44">
        <v>0.05</v>
      </c>
      <c r="D64" s="45">
        <v>44618.0</v>
      </c>
      <c r="E64" s="24" t="s">
        <v>6650</v>
      </c>
      <c r="F64" s="24">
        <v>12.5</v>
      </c>
      <c r="G64" s="24">
        <v>0.0</v>
      </c>
      <c r="H64" s="24" t="s">
        <v>6652</v>
      </c>
      <c r="I64" s="24" t="s">
        <v>6650</v>
      </c>
      <c r="J64" s="24">
        <v>0.0</v>
      </c>
    </row>
    <row r="65">
      <c r="A65" s="24">
        <v>1525.0</v>
      </c>
      <c r="B65" s="24">
        <v>2.0</v>
      </c>
      <c r="C65" s="44">
        <v>21.05</v>
      </c>
      <c r="D65" s="45">
        <v>44618.0</v>
      </c>
      <c r="E65" s="24">
        <v>10.52</v>
      </c>
      <c r="F65" s="24">
        <v>13.8</v>
      </c>
      <c r="G65" s="24">
        <v>0.13</v>
      </c>
      <c r="H65" s="24" t="s">
        <v>6655</v>
      </c>
      <c r="I65" s="24">
        <v>21.05</v>
      </c>
      <c r="J65" s="24">
        <v>0.0</v>
      </c>
    </row>
    <row r="66">
      <c r="A66" s="24">
        <v>123.0</v>
      </c>
      <c r="B66" s="24">
        <v>0.0</v>
      </c>
      <c r="C66" s="44">
        <v>1.56</v>
      </c>
      <c r="D66" s="45">
        <v>44618.0</v>
      </c>
      <c r="E66" s="24" t="s">
        <v>6650</v>
      </c>
      <c r="F66" s="24">
        <v>12.68</v>
      </c>
      <c r="G66" s="24">
        <v>0.0</v>
      </c>
      <c r="H66" s="24" t="s">
        <v>6654</v>
      </c>
      <c r="I66" s="24" t="s">
        <v>6650</v>
      </c>
      <c r="J66" s="24">
        <v>0.0</v>
      </c>
    </row>
    <row r="67">
      <c r="A67" s="24">
        <v>88.0</v>
      </c>
      <c r="B67" s="24">
        <v>0.0</v>
      </c>
      <c r="C67" s="44">
        <v>1.3</v>
      </c>
      <c r="D67" s="45">
        <v>44618.0</v>
      </c>
      <c r="E67" s="24" t="s">
        <v>6650</v>
      </c>
      <c r="F67" s="24">
        <v>14.77</v>
      </c>
      <c r="G67" s="24">
        <v>0.0</v>
      </c>
      <c r="H67" s="24" t="s">
        <v>6653</v>
      </c>
      <c r="I67" s="24" t="s">
        <v>6650</v>
      </c>
      <c r="J67" s="24">
        <v>0.0</v>
      </c>
    </row>
    <row r="68">
      <c r="A68" s="24">
        <v>1070.0</v>
      </c>
      <c r="B68" s="24">
        <v>1.0</v>
      </c>
      <c r="C68" s="44">
        <v>13.28</v>
      </c>
      <c r="D68" s="45">
        <v>44618.0</v>
      </c>
      <c r="E68" s="24">
        <v>13.28</v>
      </c>
      <c r="F68" s="24">
        <v>12.41</v>
      </c>
      <c r="G68" s="24">
        <v>0.09</v>
      </c>
      <c r="H68" s="24" t="s">
        <v>6649</v>
      </c>
      <c r="I68" s="24" t="s">
        <v>6650</v>
      </c>
      <c r="J68" s="24">
        <v>0.0</v>
      </c>
    </row>
    <row r="69">
      <c r="A69" s="24">
        <v>212.0</v>
      </c>
      <c r="B69" s="24">
        <v>0.0</v>
      </c>
      <c r="C69" s="44">
        <v>2.68</v>
      </c>
      <c r="D69" s="45">
        <v>44619.0</v>
      </c>
      <c r="E69" s="24" t="s">
        <v>6650</v>
      </c>
      <c r="F69" s="24">
        <v>12.64</v>
      </c>
      <c r="G69" s="24">
        <v>0.0</v>
      </c>
      <c r="H69" s="24" t="s">
        <v>6654</v>
      </c>
      <c r="I69" s="24">
        <v>2.68</v>
      </c>
      <c r="J69" s="24">
        <v>0.0</v>
      </c>
    </row>
    <row r="70">
      <c r="A70" s="24">
        <v>1471.0</v>
      </c>
      <c r="B70" s="24">
        <v>2.0</v>
      </c>
      <c r="C70" s="44">
        <v>20.29</v>
      </c>
      <c r="D70" s="45">
        <v>44619.0</v>
      </c>
      <c r="E70" s="24">
        <v>10.14</v>
      </c>
      <c r="F70" s="24">
        <v>13.79</v>
      </c>
      <c r="G70" s="24">
        <v>0.14</v>
      </c>
      <c r="H70" s="24" t="s">
        <v>6655</v>
      </c>
      <c r="I70" s="24">
        <v>6.76</v>
      </c>
      <c r="J70" s="24">
        <v>0.0</v>
      </c>
    </row>
    <row r="71">
      <c r="A71" s="24">
        <v>893.0</v>
      </c>
      <c r="B71" s="24">
        <v>1.0</v>
      </c>
      <c r="C71" s="44">
        <v>11.36</v>
      </c>
      <c r="D71" s="45">
        <v>44619.0</v>
      </c>
      <c r="E71" s="24">
        <v>11.36</v>
      </c>
      <c r="F71" s="24">
        <v>12.72</v>
      </c>
      <c r="G71" s="24">
        <v>0.11</v>
      </c>
      <c r="H71" s="24" t="s">
        <v>6649</v>
      </c>
      <c r="I71" s="24">
        <v>3.79</v>
      </c>
      <c r="J71" s="24">
        <v>0.0</v>
      </c>
    </row>
    <row r="72">
      <c r="A72" s="24">
        <v>92.0</v>
      </c>
      <c r="B72" s="24">
        <v>0.0</v>
      </c>
      <c r="C72" s="44">
        <v>1.36</v>
      </c>
      <c r="D72" s="45">
        <v>44619.0</v>
      </c>
      <c r="E72" s="24" t="s">
        <v>6650</v>
      </c>
      <c r="F72" s="24">
        <v>14.78</v>
      </c>
      <c r="G72" s="24">
        <v>0.0</v>
      </c>
      <c r="H72" s="24" t="s">
        <v>6653</v>
      </c>
      <c r="I72" s="24" t="s">
        <v>6650</v>
      </c>
      <c r="J72" s="24">
        <v>0.0</v>
      </c>
    </row>
    <row r="73">
      <c r="A73" s="24">
        <v>3718.0</v>
      </c>
      <c r="B73" s="24">
        <v>1.0</v>
      </c>
      <c r="C73" s="44">
        <v>47.03</v>
      </c>
      <c r="D73" s="45">
        <v>44620.0</v>
      </c>
      <c r="E73" s="24">
        <v>47.03</v>
      </c>
      <c r="F73" s="24">
        <v>12.65</v>
      </c>
      <c r="G73" s="24">
        <v>0.03</v>
      </c>
      <c r="H73" s="24" t="s">
        <v>6654</v>
      </c>
      <c r="I73" s="24">
        <v>47.03</v>
      </c>
      <c r="J73" s="24">
        <v>0.0</v>
      </c>
    </row>
    <row r="74">
      <c r="A74" s="24">
        <v>3463.0</v>
      </c>
      <c r="B74" s="24">
        <v>1.0</v>
      </c>
      <c r="C74" s="44">
        <v>47.79</v>
      </c>
      <c r="D74" s="45">
        <v>44620.0</v>
      </c>
      <c r="E74" s="24">
        <v>47.79</v>
      </c>
      <c r="F74" s="24">
        <v>13.8</v>
      </c>
      <c r="G74" s="24">
        <v>0.03</v>
      </c>
      <c r="H74" s="24" t="s">
        <v>6655</v>
      </c>
      <c r="I74" s="24">
        <v>15.93</v>
      </c>
      <c r="J74" s="24">
        <v>0.0</v>
      </c>
    </row>
    <row r="75">
      <c r="A75" s="24">
        <v>0.0</v>
      </c>
      <c r="B75" s="24">
        <v>0.0</v>
      </c>
      <c r="C75" s="44"/>
      <c r="D75" s="45">
        <v>44620.0</v>
      </c>
      <c r="E75" s="24" t="s">
        <v>6650</v>
      </c>
      <c r="F75" s="24" t="s">
        <v>6650</v>
      </c>
      <c r="G75" s="24" t="s">
        <v>6650</v>
      </c>
      <c r="H75" s="24" t="s">
        <v>6652</v>
      </c>
      <c r="I75" s="24" t="s">
        <v>6650</v>
      </c>
      <c r="J75" s="24"/>
    </row>
    <row r="76">
      <c r="A76" s="24">
        <v>1615.0</v>
      </c>
      <c r="B76" s="24">
        <v>0.0</v>
      </c>
      <c r="C76" s="44">
        <v>19.17</v>
      </c>
      <c r="D76" s="45">
        <v>44620.0</v>
      </c>
      <c r="E76" s="24" t="s">
        <v>6650</v>
      </c>
      <c r="F76" s="24">
        <v>11.87</v>
      </c>
      <c r="G76" s="24">
        <v>0.0</v>
      </c>
      <c r="H76" s="24" t="s">
        <v>6649</v>
      </c>
      <c r="I76" s="24">
        <v>19.17</v>
      </c>
      <c r="J76" s="24">
        <v>0.0</v>
      </c>
    </row>
    <row r="77">
      <c r="A77" s="24">
        <v>1559.0</v>
      </c>
      <c r="B77" s="24">
        <v>0.0</v>
      </c>
      <c r="C77" s="44">
        <v>23.07</v>
      </c>
      <c r="D77" s="45">
        <v>44620.0</v>
      </c>
      <c r="E77" s="24" t="s">
        <v>6650</v>
      </c>
      <c r="F77" s="24">
        <v>14.8</v>
      </c>
      <c r="G77" s="24">
        <v>0.0</v>
      </c>
      <c r="H77" s="24" t="s">
        <v>6653</v>
      </c>
      <c r="I77" s="24" t="s">
        <v>6650</v>
      </c>
      <c r="J77" s="24">
        <v>0.0</v>
      </c>
    </row>
    <row r="78">
      <c r="A78" s="24">
        <v>3913.0</v>
      </c>
      <c r="B78" s="24">
        <v>3.0</v>
      </c>
      <c r="C78" s="44">
        <v>54.0</v>
      </c>
      <c r="D78" s="45">
        <v>44621.0</v>
      </c>
      <c r="E78" s="24">
        <v>18.0</v>
      </c>
      <c r="F78" s="24">
        <v>13.8</v>
      </c>
      <c r="G78" s="24">
        <v>0.08</v>
      </c>
      <c r="H78" s="24" t="s">
        <v>6655</v>
      </c>
      <c r="I78" s="24">
        <v>54.0</v>
      </c>
      <c r="J78" s="24">
        <v>0.0</v>
      </c>
    </row>
    <row r="79">
      <c r="A79" s="24">
        <v>4002.0</v>
      </c>
      <c r="B79" s="24">
        <v>4.0</v>
      </c>
      <c r="C79" s="44">
        <v>58.49</v>
      </c>
      <c r="D79" s="45">
        <v>44621.0</v>
      </c>
      <c r="E79" s="24">
        <v>14.62</v>
      </c>
      <c r="F79" s="24">
        <v>14.62</v>
      </c>
      <c r="G79" s="24">
        <v>0.1</v>
      </c>
      <c r="H79" s="24" t="s">
        <v>6653</v>
      </c>
      <c r="I79" s="24">
        <v>19.5</v>
      </c>
      <c r="J79" s="24">
        <v>0.0</v>
      </c>
    </row>
    <row r="80">
      <c r="A80" s="24">
        <v>4254.0</v>
      </c>
      <c r="B80" s="24">
        <v>0.0</v>
      </c>
      <c r="C80" s="44">
        <v>54.12</v>
      </c>
      <c r="D80" s="45">
        <v>44621.0</v>
      </c>
      <c r="E80" s="24" t="s">
        <v>6650</v>
      </c>
      <c r="F80" s="24">
        <v>12.72</v>
      </c>
      <c r="G80" s="24">
        <v>0.0</v>
      </c>
      <c r="H80" s="24" t="s">
        <v>6654</v>
      </c>
      <c r="I80" s="24" t="s">
        <v>6650</v>
      </c>
      <c r="J80" s="24">
        <v>0.0</v>
      </c>
    </row>
    <row r="81">
      <c r="A81" s="24">
        <v>1838.0</v>
      </c>
      <c r="B81" s="24">
        <v>0.0</v>
      </c>
      <c r="C81" s="44">
        <v>21.6</v>
      </c>
      <c r="D81" s="45">
        <v>44621.0</v>
      </c>
      <c r="E81" s="24" t="s">
        <v>6650</v>
      </c>
      <c r="F81" s="24">
        <v>11.75</v>
      </c>
      <c r="G81" s="24">
        <v>0.0</v>
      </c>
      <c r="H81" s="24" t="s">
        <v>6649</v>
      </c>
      <c r="I81" s="24" t="s">
        <v>6650</v>
      </c>
      <c r="J81" s="24">
        <v>0.0</v>
      </c>
    </row>
    <row r="82">
      <c r="A82" s="24">
        <v>4650.0</v>
      </c>
      <c r="B82" s="24">
        <v>3.0</v>
      </c>
      <c r="C82" s="44">
        <v>59.29</v>
      </c>
      <c r="D82" s="45">
        <v>44622.0</v>
      </c>
      <c r="E82" s="24">
        <v>19.76</v>
      </c>
      <c r="F82" s="24">
        <v>12.75</v>
      </c>
      <c r="G82" s="24">
        <v>0.06</v>
      </c>
      <c r="H82" s="24" t="s">
        <v>6654</v>
      </c>
      <c r="I82" s="24">
        <v>29.64</v>
      </c>
      <c r="J82" s="24">
        <v>0.0</v>
      </c>
    </row>
    <row r="83">
      <c r="A83" s="24">
        <v>4216.0</v>
      </c>
      <c r="B83" s="24">
        <v>1.0</v>
      </c>
      <c r="C83" s="44">
        <v>58.18</v>
      </c>
      <c r="D83" s="45">
        <v>44622.0</v>
      </c>
      <c r="E83" s="24">
        <v>58.18</v>
      </c>
      <c r="F83" s="24">
        <v>13.8</v>
      </c>
      <c r="G83" s="24">
        <v>0.02</v>
      </c>
      <c r="H83" s="24" t="s">
        <v>6655</v>
      </c>
      <c r="I83" s="24">
        <v>29.09</v>
      </c>
      <c r="J83" s="24">
        <v>0.0</v>
      </c>
    </row>
    <row r="84">
      <c r="A84" s="24">
        <v>2001.0</v>
      </c>
      <c r="B84" s="24">
        <v>0.0</v>
      </c>
      <c r="C84" s="44">
        <v>23.44</v>
      </c>
      <c r="D84" s="45">
        <v>44622.0</v>
      </c>
      <c r="E84" s="24" t="s">
        <v>6650</v>
      </c>
      <c r="F84" s="24">
        <v>11.71</v>
      </c>
      <c r="G84" s="24">
        <v>0.0</v>
      </c>
      <c r="H84" s="24" t="s">
        <v>6649</v>
      </c>
      <c r="I84" s="24" t="s">
        <v>6650</v>
      </c>
      <c r="J84" s="24">
        <v>0.0</v>
      </c>
    </row>
    <row r="85">
      <c r="A85" s="24">
        <v>4322.0</v>
      </c>
      <c r="B85" s="24">
        <v>1.0</v>
      </c>
      <c r="C85" s="44">
        <v>63.1</v>
      </c>
      <c r="D85" s="45">
        <v>44622.0</v>
      </c>
      <c r="E85" s="24">
        <v>63.1</v>
      </c>
      <c r="F85" s="24">
        <v>14.6</v>
      </c>
      <c r="G85" s="24">
        <v>0.02</v>
      </c>
      <c r="H85" s="24" t="s">
        <v>6653</v>
      </c>
      <c r="I85" s="24">
        <v>63.1</v>
      </c>
      <c r="J85" s="24">
        <v>0.0</v>
      </c>
    </row>
    <row r="86">
      <c r="A86" s="24">
        <v>4472.0</v>
      </c>
      <c r="B86" s="24">
        <v>2.0</v>
      </c>
      <c r="C86" s="44">
        <v>65.29</v>
      </c>
      <c r="D86" s="45">
        <v>44623.0</v>
      </c>
      <c r="E86" s="24">
        <v>32.65</v>
      </c>
      <c r="F86" s="24">
        <v>14.6</v>
      </c>
      <c r="G86" s="24">
        <v>0.04</v>
      </c>
      <c r="H86" s="24" t="s">
        <v>6653</v>
      </c>
      <c r="I86" s="24">
        <v>21.76</v>
      </c>
      <c r="J86" s="24">
        <v>0.0</v>
      </c>
    </row>
    <row r="87">
      <c r="A87" s="24">
        <v>2093.0</v>
      </c>
      <c r="B87" s="24">
        <v>1.0</v>
      </c>
      <c r="C87" s="44">
        <v>24.5</v>
      </c>
      <c r="D87" s="45">
        <v>44623.0</v>
      </c>
      <c r="E87" s="24">
        <v>24.5</v>
      </c>
      <c r="F87" s="24">
        <v>11.71</v>
      </c>
      <c r="G87" s="24">
        <v>0.05</v>
      </c>
      <c r="H87" s="24" t="s">
        <v>6649</v>
      </c>
      <c r="I87" s="24">
        <v>12.25</v>
      </c>
      <c r="J87" s="24">
        <v>0.0</v>
      </c>
    </row>
    <row r="88">
      <c r="A88" s="24">
        <v>4413.0</v>
      </c>
      <c r="B88" s="24">
        <v>1.0</v>
      </c>
      <c r="C88" s="44">
        <v>60.9</v>
      </c>
      <c r="D88" s="45">
        <v>44623.0</v>
      </c>
      <c r="E88" s="24">
        <v>60.9</v>
      </c>
      <c r="F88" s="24">
        <v>13.8</v>
      </c>
      <c r="G88" s="24">
        <v>0.02</v>
      </c>
      <c r="H88" s="24" t="s">
        <v>6655</v>
      </c>
      <c r="I88" s="24">
        <v>30.45</v>
      </c>
      <c r="J88" s="24">
        <v>0.0</v>
      </c>
    </row>
    <row r="89">
      <c r="A89" s="24">
        <v>4731.0</v>
      </c>
      <c r="B89" s="24">
        <v>5.0</v>
      </c>
      <c r="C89" s="44">
        <v>60.32</v>
      </c>
      <c r="D89" s="45">
        <v>44623.0</v>
      </c>
      <c r="E89" s="24">
        <v>12.06</v>
      </c>
      <c r="F89" s="24">
        <v>12.75</v>
      </c>
      <c r="G89" s="24">
        <v>0.11</v>
      </c>
      <c r="H89" s="24" t="s">
        <v>6654</v>
      </c>
      <c r="I89" s="24">
        <v>30.16</v>
      </c>
      <c r="J89" s="24">
        <v>0.0</v>
      </c>
    </row>
    <row r="90">
      <c r="A90" s="24">
        <v>4608.0</v>
      </c>
      <c r="B90" s="24">
        <v>2.0</v>
      </c>
      <c r="C90" s="44">
        <v>67.28</v>
      </c>
      <c r="D90" s="45">
        <v>44624.0</v>
      </c>
      <c r="E90" s="24">
        <v>33.64</v>
      </c>
      <c r="F90" s="24">
        <v>14.6</v>
      </c>
      <c r="G90" s="24">
        <v>0.04</v>
      </c>
      <c r="H90" s="24" t="s">
        <v>6653</v>
      </c>
      <c r="I90" s="24">
        <v>16.82</v>
      </c>
      <c r="J90" s="24">
        <v>0.0</v>
      </c>
    </row>
    <row r="91">
      <c r="A91" s="24">
        <v>2104.0</v>
      </c>
      <c r="B91" s="24">
        <v>1.0</v>
      </c>
      <c r="C91" s="44">
        <v>24.68</v>
      </c>
      <c r="D91" s="45">
        <v>44624.0</v>
      </c>
      <c r="E91" s="24">
        <v>24.68</v>
      </c>
      <c r="F91" s="24">
        <v>11.73</v>
      </c>
      <c r="G91" s="24">
        <v>0.05</v>
      </c>
      <c r="H91" s="24" t="s">
        <v>6649</v>
      </c>
      <c r="I91" s="24">
        <v>24.68</v>
      </c>
      <c r="J91" s="24">
        <v>0.0</v>
      </c>
    </row>
    <row r="92">
      <c r="A92" s="24">
        <v>4872.0</v>
      </c>
      <c r="B92" s="24">
        <v>2.0</v>
      </c>
      <c r="C92" s="44">
        <v>62.12</v>
      </c>
      <c r="D92" s="45">
        <v>44624.0</v>
      </c>
      <c r="E92" s="24">
        <v>31.06</v>
      </c>
      <c r="F92" s="24">
        <v>12.75</v>
      </c>
      <c r="G92" s="24">
        <v>0.04</v>
      </c>
      <c r="H92" s="24" t="s">
        <v>6654</v>
      </c>
      <c r="I92" s="24">
        <v>31.06</v>
      </c>
      <c r="J92" s="24">
        <v>0.0</v>
      </c>
    </row>
    <row r="93">
      <c r="A93" s="24">
        <v>4495.0</v>
      </c>
      <c r="B93" s="24">
        <v>2.0</v>
      </c>
      <c r="C93" s="44">
        <v>62.03</v>
      </c>
      <c r="D93" s="45">
        <v>44624.0</v>
      </c>
      <c r="E93" s="24">
        <v>31.02</v>
      </c>
      <c r="F93" s="24">
        <v>13.8</v>
      </c>
      <c r="G93" s="24">
        <v>0.04</v>
      </c>
      <c r="H93" s="24" t="s">
        <v>6655</v>
      </c>
      <c r="I93" s="24">
        <v>20.68</v>
      </c>
      <c r="J93" s="24">
        <v>0.0</v>
      </c>
    </row>
    <row r="94">
      <c r="A94" s="24">
        <v>2631.0</v>
      </c>
      <c r="B94" s="24">
        <v>4.0</v>
      </c>
      <c r="C94" s="44">
        <v>36.31</v>
      </c>
      <c r="D94" s="45">
        <v>44625.0</v>
      </c>
      <c r="E94" s="24">
        <v>9.08</v>
      </c>
      <c r="F94" s="24">
        <v>13.8</v>
      </c>
      <c r="G94" s="24">
        <v>0.15</v>
      </c>
      <c r="H94" s="24" t="s">
        <v>6655</v>
      </c>
      <c r="I94" s="24">
        <v>36.31</v>
      </c>
      <c r="J94" s="24">
        <v>0.0</v>
      </c>
    </row>
    <row r="95">
      <c r="A95" s="24">
        <v>2849.0</v>
      </c>
      <c r="B95" s="24">
        <v>4.0</v>
      </c>
      <c r="C95" s="44">
        <v>36.32</v>
      </c>
      <c r="D95" s="45">
        <v>44625.0</v>
      </c>
      <c r="E95" s="24">
        <v>9.08</v>
      </c>
      <c r="F95" s="24">
        <v>12.75</v>
      </c>
      <c r="G95" s="24">
        <v>0.14</v>
      </c>
      <c r="H95" s="24" t="s">
        <v>6654</v>
      </c>
      <c r="I95" s="24">
        <v>12.11</v>
      </c>
      <c r="J95" s="24">
        <v>0.0</v>
      </c>
    </row>
    <row r="96">
      <c r="A96" s="24">
        <v>1167.0</v>
      </c>
      <c r="B96" s="24">
        <v>0.0</v>
      </c>
      <c r="C96" s="44">
        <v>14.38</v>
      </c>
      <c r="D96" s="45">
        <v>44625.0</v>
      </c>
      <c r="E96" s="24" t="s">
        <v>6650</v>
      </c>
      <c r="F96" s="24">
        <v>12.32</v>
      </c>
      <c r="G96" s="24">
        <v>0.0</v>
      </c>
      <c r="H96" s="24" t="s">
        <v>6649</v>
      </c>
      <c r="I96" s="24" t="s">
        <v>6650</v>
      </c>
      <c r="J96" s="24">
        <v>0.0</v>
      </c>
    </row>
    <row r="97">
      <c r="A97" s="24">
        <v>1415.0</v>
      </c>
      <c r="B97" s="24">
        <v>3.0</v>
      </c>
      <c r="C97" s="44">
        <v>20.67</v>
      </c>
      <c r="D97" s="45">
        <v>44625.0</v>
      </c>
      <c r="E97" s="24">
        <v>6.89</v>
      </c>
      <c r="F97" s="24">
        <v>14.61</v>
      </c>
      <c r="G97" s="24">
        <v>0.21</v>
      </c>
      <c r="H97" s="24" t="s">
        <v>6653</v>
      </c>
      <c r="I97" s="24">
        <v>20.67</v>
      </c>
      <c r="J97" s="24">
        <v>0.0</v>
      </c>
    </row>
    <row r="98">
      <c r="A98" s="24">
        <v>2232.0</v>
      </c>
      <c r="B98" s="24">
        <v>3.0</v>
      </c>
      <c r="C98" s="44">
        <v>30.79</v>
      </c>
      <c r="D98" s="45">
        <v>44626.0</v>
      </c>
      <c r="E98" s="24">
        <v>10.26</v>
      </c>
      <c r="F98" s="24">
        <v>13.79</v>
      </c>
      <c r="G98" s="24">
        <v>0.13</v>
      </c>
      <c r="H98" s="24" t="s">
        <v>6655</v>
      </c>
      <c r="I98" s="24">
        <v>30.79</v>
      </c>
      <c r="J98" s="24">
        <v>0.0</v>
      </c>
    </row>
    <row r="99">
      <c r="A99" s="24">
        <v>2416.0</v>
      </c>
      <c r="B99" s="24">
        <v>1.0</v>
      </c>
      <c r="C99" s="44">
        <v>30.8</v>
      </c>
      <c r="D99" s="45">
        <v>44626.0</v>
      </c>
      <c r="E99" s="24">
        <v>30.8</v>
      </c>
      <c r="F99" s="24">
        <v>12.75</v>
      </c>
      <c r="G99" s="24">
        <v>0.04</v>
      </c>
      <c r="H99" s="24" t="s">
        <v>6654</v>
      </c>
      <c r="I99" s="24" t="s">
        <v>6650</v>
      </c>
      <c r="J99" s="24">
        <v>0.0</v>
      </c>
    </row>
    <row r="100">
      <c r="A100" s="24">
        <v>1113.0</v>
      </c>
      <c r="B100" s="24">
        <v>1.0</v>
      </c>
      <c r="C100" s="44">
        <v>16.25</v>
      </c>
      <c r="D100" s="45">
        <v>44626.0</v>
      </c>
      <c r="E100" s="24">
        <v>16.25</v>
      </c>
      <c r="F100" s="24">
        <v>14.6</v>
      </c>
      <c r="G100" s="24">
        <v>0.09</v>
      </c>
      <c r="H100" s="24" t="s">
        <v>6653</v>
      </c>
      <c r="I100" s="24">
        <v>16.25</v>
      </c>
      <c r="J100" s="24">
        <v>0.0</v>
      </c>
    </row>
    <row r="101">
      <c r="A101" s="24">
        <v>970.0</v>
      </c>
      <c r="B101" s="24">
        <v>0.0</v>
      </c>
      <c r="C101" s="44">
        <v>12.23</v>
      </c>
      <c r="D101" s="45">
        <v>44626.0</v>
      </c>
      <c r="E101" s="24" t="s">
        <v>6650</v>
      </c>
      <c r="F101" s="24">
        <v>12.61</v>
      </c>
      <c r="G101" s="24">
        <v>0.0</v>
      </c>
      <c r="H101" s="24" t="s">
        <v>6649</v>
      </c>
      <c r="I101" s="24" t="s">
        <v>6650</v>
      </c>
      <c r="J101" s="24">
        <v>0.0</v>
      </c>
    </row>
    <row r="102">
      <c r="A102" s="24">
        <v>1594.0</v>
      </c>
      <c r="B102" s="24">
        <v>1.0</v>
      </c>
      <c r="C102" s="44">
        <v>18.83</v>
      </c>
      <c r="D102" s="45">
        <v>44627.0</v>
      </c>
      <c r="E102" s="24">
        <v>18.83</v>
      </c>
      <c r="F102" s="24">
        <v>11.81</v>
      </c>
      <c r="G102" s="24">
        <v>0.06</v>
      </c>
      <c r="H102" s="24" t="s">
        <v>6649</v>
      </c>
      <c r="I102" s="24">
        <v>18.83</v>
      </c>
      <c r="J102" s="24">
        <v>0.0</v>
      </c>
    </row>
    <row r="103">
      <c r="A103" s="24">
        <v>3416.0</v>
      </c>
      <c r="B103" s="24">
        <v>3.0</v>
      </c>
      <c r="C103" s="44">
        <v>47.14</v>
      </c>
      <c r="D103" s="45">
        <v>44627.0</v>
      </c>
      <c r="E103" s="24">
        <v>15.71</v>
      </c>
      <c r="F103" s="24">
        <v>13.8</v>
      </c>
      <c r="G103" s="24">
        <v>0.09</v>
      </c>
      <c r="H103" s="24" t="s">
        <v>6655</v>
      </c>
      <c r="I103" s="24">
        <v>7.86</v>
      </c>
      <c r="J103" s="24">
        <v>0.0</v>
      </c>
    </row>
    <row r="104">
      <c r="A104" s="24">
        <v>3681.0</v>
      </c>
      <c r="B104" s="24">
        <v>0.0</v>
      </c>
      <c r="C104" s="44">
        <v>46.93</v>
      </c>
      <c r="D104" s="45">
        <v>44627.0</v>
      </c>
      <c r="E104" s="24" t="s">
        <v>6650</v>
      </c>
      <c r="F104" s="24">
        <v>12.75</v>
      </c>
      <c r="G104" s="24">
        <v>0.0</v>
      </c>
      <c r="H104" s="24" t="s">
        <v>6654</v>
      </c>
      <c r="I104" s="24">
        <v>46.93</v>
      </c>
      <c r="J104" s="24">
        <v>0.0</v>
      </c>
    </row>
    <row r="105">
      <c r="A105" s="24">
        <v>3213.0</v>
      </c>
      <c r="B105" s="24">
        <v>0.0</v>
      </c>
      <c r="C105" s="44">
        <v>46.91</v>
      </c>
      <c r="D105" s="45">
        <v>44627.0</v>
      </c>
      <c r="E105" s="24" t="s">
        <v>6650</v>
      </c>
      <c r="F105" s="24">
        <v>14.6</v>
      </c>
      <c r="G105" s="24">
        <v>0.0</v>
      </c>
      <c r="H105" s="24" t="s">
        <v>6653</v>
      </c>
      <c r="I105" s="24" t="s">
        <v>6650</v>
      </c>
      <c r="J105" s="24">
        <v>0.0</v>
      </c>
    </row>
    <row r="106">
      <c r="A106" s="24">
        <v>4260.0</v>
      </c>
      <c r="B106" s="24">
        <v>3.0</v>
      </c>
      <c r="C106" s="44">
        <v>54.31</v>
      </c>
      <c r="D106" s="45">
        <v>44628.0</v>
      </c>
      <c r="E106" s="24">
        <v>18.1</v>
      </c>
      <c r="F106" s="24">
        <v>12.75</v>
      </c>
      <c r="G106" s="24">
        <v>0.07</v>
      </c>
      <c r="H106" s="24" t="s">
        <v>6654</v>
      </c>
      <c r="I106" s="24">
        <v>27.16</v>
      </c>
      <c r="J106" s="24">
        <v>0.0</v>
      </c>
    </row>
    <row r="107">
      <c r="A107" s="24">
        <v>1846.0</v>
      </c>
      <c r="B107" s="24">
        <v>1.0</v>
      </c>
      <c r="C107" s="44">
        <v>21.73</v>
      </c>
      <c r="D107" s="45">
        <v>44628.0</v>
      </c>
      <c r="E107" s="24">
        <v>21.73</v>
      </c>
      <c r="F107" s="24">
        <v>11.77</v>
      </c>
      <c r="G107" s="24">
        <v>0.05</v>
      </c>
      <c r="H107" s="24" t="s">
        <v>6649</v>
      </c>
      <c r="I107" s="24">
        <v>21.73</v>
      </c>
      <c r="J107" s="24">
        <v>0.0</v>
      </c>
    </row>
    <row r="108">
      <c r="A108" s="24">
        <v>3931.0</v>
      </c>
      <c r="B108" s="24">
        <v>4.0</v>
      </c>
      <c r="C108" s="44">
        <v>54.25</v>
      </c>
      <c r="D108" s="45">
        <v>44628.0</v>
      </c>
      <c r="E108" s="24">
        <v>13.56</v>
      </c>
      <c r="F108" s="24">
        <v>13.8</v>
      </c>
      <c r="G108" s="24">
        <v>0.1</v>
      </c>
      <c r="H108" s="24" t="s">
        <v>6655</v>
      </c>
      <c r="I108" s="24">
        <v>27.12</v>
      </c>
      <c r="J108" s="24">
        <v>0.0</v>
      </c>
    </row>
    <row r="109">
      <c r="A109" s="24">
        <v>3724.0</v>
      </c>
      <c r="B109" s="24">
        <v>3.0</v>
      </c>
      <c r="C109" s="44">
        <v>54.37</v>
      </c>
      <c r="D109" s="45">
        <v>44628.0</v>
      </c>
      <c r="E109" s="24">
        <v>18.12</v>
      </c>
      <c r="F109" s="24">
        <v>14.6</v>
      </c>
      <c r="G109" s="24">
        <v>0.08</v>
      </c>
      <c r="H109" s="24" t="s">
        <v>6653</v>
      </c>
      <c r="I109" s="24">
        <v>27.18</v>
      </c>
      <c r="J109" s="24">
        <v>0.0</v>
      </c>
    </row>
    <row r="110">
      <c r="A110" s="24">
        <v>1934.0</v>
      </c>
      <c r="B110" s="24">
        <v>0.0</v>
      </c>
      <c r="C110" s="44">
        <v>22.72</v>
      </c>
      <c r="D110" s="45">
        <v>44629.0</v>
      </c>
      <c r="E110" s="24" t="s">
        <v>6650</v>
      </c>
      <c r="F110" s="24">
        <v>11.75</v>
      </c>
      <c r="G110" s="24">
        <v>0.0</v>
      </c>
      <c r="H110" s="24" t="s">
        <v>6649</v>
      </c>
      <c r="I110" s="24" t="s">
        <v>6650</v>
      </c>
      <c r="J110" s="24">
        <v>0.0</v>
      </c>
    </row>
    <row r="111">
      <c r="A111" s="24">
        <v>3893.0</v>
      </c>
      <c r="B111" s="24">
        <v>1.0</v>
      </c>
      <c r="C111" s="44">
        <v>56.84</v>
      </c>
      <c r="D111" s="45">
        <v>44629.0</v>
      </c>
      <c r="E111" s="24">
        <v>56.84</v>
      </c>
      <c r="F111" s="24">
        <v>14.6</v>
      </c>
      <c r="G111" s="24">
        <v>0.03</v>
      </c>
      <c r="H111" s="24" t="s">
        <v>6653</v>
      </c>
      <c r="I111" s="24">
        <v>28.42</v>
      </c>
      <c r="J111" s="24">
        <v>0.0</v>
      </c>
    </row>
    <row r="112">
      <c r="A112" s="24">
        <v>4123.0</v>
      </c>
      <c r="B112" s="24">
        <v>4.0</v>
      </c>
      <c r="C112" s="44">
        <v>56.9</v>
      </c>
      <c r="D112" s="45">
        <v>44629.0</v>
      </c>
      <c r="E112" s="24">
        <v>14.22</v>
      </c>
      <c r="F112" s="24">
        <v>13.8</v>
      </c>
      <c r="G112" s="24">
        <v>0.1</v>
      </c>
      <c r="H112" s="24" t="s">
        <v>6655</v>
      </c>
      <c r="I112" s="24">
        <v>14.22</v>
      </c>
      <c r="J112" s="24">
        <v>0.0</v>
      </c>
    </row>
    <row r="113">
      <c r="A113" s="24">
        <v>4459.0</v>
      </c>
      <c r="B113" s="24">
        <v>5.0</v>
      </c>
      <c r="C113" s="44">
        <v>56.85</v>
      </c>
      <c r="D113" s="45">
        <v>44629.0</v>
      </c>
      <c r="E113" s="24">
        <v>11.37</v>
      </c>
      <c r="F113" s="24">
        <v>12.75</v>
      </c>
      <c r="G113" s="24">
        <v>0.11</v>
      </c>
      <c r="H113" s="24" t="s">
        <v>6654</v>
      </c>
      <c r="I113" s="24">
        <v>11.37</v>
      </c>
      <c r="J113" s="24">
        <v>0.0</v>
      </c>
    </row>
    <row r="114">
      <c r="A114" s="24">
        <v>4720.0</v>
      </c>
      <c r="B114" s="24">
        <v>1.0</v>
      </c>
      <c r="C114" s="44">
        <v>60.18</v>
      </c>
      <c r="D114" s="45">
        <v>44630.0</v>
      </c>
      <c r="E114" s="24">
        <v>60.18</v>
      </c>
      <c r="F114" s="24">
        <v>12.75</v>
      </c>
      <c r="G114" s="24">
        <v>0.02</v>
      </c>
      <c r="H114" s="24" t="s">
        <v>6654</v>
      </c>
      <c r="I114" s="24">
        <v>60.18</v>
      </c>
      <c r="J114" s="24">
        <v>0.0</v>
      </c>
    </row>
    <row r="115">
      <c r="A115" s="24">
        <v>4360.0</v>
      </c>
      <c r="B115" s="24">
        <v>0.0</v>
      </c>
      <c r="C115" s="44">
        <v>60.17</v>
      </c>
      <c r="D115" s="45">
        <v>44630.0</v>
      </c>
      <c r="E115" s="24" t="s">
        <v>6650</v>
      </c>
      <c r="F115" s="24">
        <v>13.8</v>
      </c>
      <c r="G115" s="24">
        <v>0.0</v>
      </c>
      <c r="H115" s="24" t="s">
        <v>6655</v>
      </c>
      <c r="I115" s="24" t="s">
        <v>6650</v>
      </c>
      <c r="J115" s="24">
        <v>0.0</v>
      </c>
    </row>
    <row r="116">
      <c r="A116" s="24">
        <v>2122.0</v>
      </c>
      <c r="B116" s="24">
        <v>0.0</v>
      </c>
      <c r="C116" s="44">
        <v>25.07</v>
      </c>
      <c r="D116" s="45">
        <v>44630.0</v>
      </c>
      <c r="E116" s="24" t="s">
        <v>6650</v>
      </c>
      <c r="F116" s="24">
        <v>11.81</v>
      </c>
      <c r="G116" s="24">
        <v>0.0</v>
      </c>
      <c r="H116" s="24" t="s">
        <v>6649</v>
      </c>
      <c r="I116" s="24" t="s">
        <v>6650</v>
      </c>
      <c r="J116" s="24">
        <v>0.0</v>
      </c>
    </row>
    <row r="117">
      <c r="A117" s="24">
        <v>4115.0</v>
      </c>
      <c r="B117" s="24">
        <v>0.0</v>
      </c>
      <c r="C117" s="44">
        <v>60.08</v>
      </c>
      <c r="D117" s="45">
        <v>44630.0</v>
      </c>
      <c r="E117" s="24" t="s">
        <v>6650</v>
      </c>
      <c r="F117" s="24">
        <v>14.6</v>
      </c>
      <c r="G117" s="24">
        <v>0.0</v>
      </c>
      <c r="H117" s="24" t="s">
        <v>6653</v>
      </c>
      <c r="I117" s="24">
        <v>60.08</v>
      </c>
      <c r="J117" s="24">
        <v>0.0</v>
      </c>
    </row>
    <row r="118">
      <c r="A118" s="24">
        <v>4620.0</v>
      </c>
      <c r="B118" s="24">
        <v>3.0</v>
      </c>
      <c r="C118" s="44">
        <v>63.76</v>
      </c>
      <c r="D118" s="45">
        <v>44631.0</v>
      </c>
      <c r="E118" s="24">
        <v>21.25</v>
      </c>
      <c r="F118" s="24">
        <v>13.8</v>
      </c>
      <c r="G118" s="24">
        <v>0.06</v>
      </c>
      <c r="H118" s="24" t="s">
        <v>6655</v>
      </c>
      <c r="I118" s="24">
        <v>31.88</v>
      </c>
      <c r="J118" s="24">
        <v>0.0</v>
      </c>
    </row>
    <row r="119">
      <c r="A119" s="24">
        <v>455.0</v>
      </c>
      <c r="B119" s="24">
        <v>0.0</v>
      </c>
      <c r="C119" s="44">
        <v>1.46</v>
      </c>
      <c r="D119" s="45">
        <v>44631.0</v>
      </c>
      <c r="E119" s="24" t="s">
        <v>6650</v>
      </c>
      <c r="F119" s="24">
        <v>3.21</v>
      </c>
      <c r="G119" s="24">
        <v>0.0</v>
      </c>
      <c r="H119" s="24" t="s">
        <v>6657</v>
      </c>
      <c r="I119" s="24" t="s">
        <v>6650</v>
      </c>
      <c r="J119" s="24">
        <v>0.0</v>
      </c>
    </row>
    <row r="120">
      <c r="A120" s="24">
        <v>4997.0</v>
      </c>
      <c r="B120" s="24">
        <v>3.0</v>
      </c>
      <c r="C120" s="44">
        <v>63.71</v>
      </c>
      <c r="D120" s="45">
        <v>44631.0</v>
      </c>
      <c r="E120" s="24">
        <v>21.24</v>
      </c>
      <c r="F120" s="24">
        <v>12.75</v>
      </c>
      <c r="G120" s="24">
        <v>0.06</v>
      </c>
      <c r="H120" s="24" t="s">
        <v>6654</v>
      </c>
      <c r="I120" s="24">
        <v>21.24</v>
      </c>
      <c r="J120" s="24">
        <v>0.0</v>
      </c>
    </row>
    <row r="121">
      <c r="A121" s="24">
        <v>6945.0</v>
      </c>
      <c r="B121" s="24">
        <v>7.0</v>
      </c>
      <c r="C121" s="44">
        <v>21.18</v>
      </c>
      <c r="D121" s="45">
        <v>44631.0</v>
      </c>
      <c r="E121" s="24">
        <v>3.03</v>
      </c>
      <c r="F121" s="24">
        <v>3.05</v>
      </c>
      <c r="G121" s="24">
        <v>0.1</v>
      </c>
      <c r="H121" s="24" t="s">
        <v>6658</v>
      </c>
      <c r="I121" s="24">
        <v>3.53</v>
      </c>
      <c r="J121" s="24">
        <v>0.0</v>
      </c>
    </row>
    <row r="122">
      <c r="A122" s="24">
        <v>3673.0</v>
      </c>
      <c r="B122" s="24">
        <v>2.0</v>
      </c>
      <c r="C122" s="44">
        <v>53.63</v>
      </c>
      <c r="D122" s="45">
        <v>44631.0</v>
      </c>
      <c r="E122" s="24">
        <v>26.82</v>
      </c>
      <c r="F122" s="24">
        <v>14.6</v>
      </c>
      <c r="G122" s="24">
        <v>0.05</v>
      </c>
      <c r="H122" s="24" t="s">
        <v>6653</v>
      </c>
      <c r="I122" s="24" t="s">
        <v>6650</v>
      </c>
      <c r="J122" s="24">
        <v>0.0</v>
      </c>
    </row>
    <row r="123">
      <c r="A123" s="24">
        <v>7601.0</v>
      </c>
      <c r="B123" s="24">
        <v>15.0</v>
      </c>
      <c r="C123" s="44">
        <v>21.28</v>
      </c>
      <c r="D123" s="45">
        <v>44631.0</v>
      </c>
      <c r="E123" s="24">
        <v>1.42</v>
      </c>
      <c r="F123" s="24">
        <v>2.8</v>
      </c>
      <c r="G123" s="24">
        <v>0.2</v>
      </c>
      <c r="H123" s="24" t="s">
        <v>6659</v>
      </c>
      <c r="I123" s="24">
        <v>3.55</v>
      </c>
      <c r="J123" s="24">
        <v>0.0</v>
      </c>
    </row>
    <row r="124">
      <c r="A124" s="24">
        <v>2139.0</v>
      </c>
      <c r="B124" s="24">
        <v>1.0</v>
      </c>
      <c r="C124" s="44">
        <v>25.02</v>
      </c>
      <c r="D124" s="45">
        <v>44631.0</v>
      </c>
      <c r="E124" s="24">
        <v>25.02</v>
      </c>
      <c r="F124" s="24">
        <v>11.7</v>
      </c>
      <c r="G124" s="24">
        <v>0.05</v>
      </c>
      <c r="H124" s="24" t="s">
        <v>6649</v>
      </c>
      <c r="I124" s="24">
        <v>12.51</v>
      </c>
      <c r="J124" s="24">
        <v>0.0</v>
      </c>
    </row>
    <row r="125">
      <c r="A125" s="24">
        <v>4315.0</v>
      </c>
      <c r="B125" s="24">
        <v>3.0</v>
      </c>
      <c r="C125" s="44">
        <v>13.16</v>
      </c>
      <c r="D125" s="45">
        <v>44632.0</v>
      </c>
      <c r="E125" s="24">
        <v>4.39</v>
      </c>
      <c r="F125" s="24">
        <v>3.05</v>
      </c>
      <c r="G125" s="24">
        <v>0.07</v>
      </c>
      <c r="H125" s="24" t="s">
        <v>6658</v>
      </c>
      <c r="I125" s="24">
        <v>6.58</v>
      </c>
      <c r="J125" s="24">
        <v>0.0</v>
      </c>
    </row>
    <row r="126">
      <c r="A126" s="24">
        <v>133.0</v>
      </c>
      <c r="B126" s="24">
        <v>0.0</v>
      </c>
      <c r="C126" s="44">
        <v>0.43</v>
      </c>
      <c r="D126" s="45">
        <v>44632.0</v>
      </c>
      <c r="E126" s="24" t="s">
        <v>6650</v>
      </c>
      <c r="F126" s="24">
        <v>3.23</v>
      </c>
      <c r="G126" s="24">
        <v>0.0</v>
      </c>
      <c r="H126" s="24" t="s">
        <v>6657</v>
      </c>
      <c r="I126" s="24" t="s">
        <v>6650</v>
      </c>
      <c r="J126" s="24">
        <v>0.0</v>
      </c>
    </row>
    <row r="127">
      <c r="A127" s="24">
        <v>2931.0</v>
      </c>
      <c r="B127" s="24">
        <v>3.0</v>
      </c>
      <c r="C127" s="44">
        <v>37.37</v>
      </c>
      <c r="D127" s="45">
        <v>44632.0</v>
      </c>
      <c r="E127" s="24">
        <v>12.46</v>
      </c>
      <c r="F127" s="24">
        <v>12.75</v>
      </c>
      <c r="G127" s="24">
        <v>0.1</v>
      </c>
      <c r="H127" s="24" t="s">
        <v>6654</v>
      </c>
      <c r="I127" s="24">
        <v>18.68</v>
      </c>
      <c r="J127" s="24">
        <v>0.0</v>
      </c>
    </row>
    <row r="128">
      <c r="A128" s="24">
        <v>2697.0</v>
      </c>
      <c r="B128" s="24">
        <v>2.0</v>
      </c>
      <c r="C128" s="44">
        <v>37.22</v>
      </c>
      <c r="D128" s="45">
        <v>44632.0</v>
      </c>
      <c r="E128" s="24">
        <v>18.61</v>
      </c>
      <c r="F128" s="24">
        <v>13.8</v>
      </c>
      <c r="G128" s="24">
        <v>0.07</v>
      </c>
      <c r="H128" s="24" t="s">
        <v>6655</v>
      </c>
      <c r="I128" s="24">
        <v>18.61</v>
      </c>
      <c r="J128" s="24">
        <v>0.0</v>
      </c>
    </row>
    <row r="129">
      <c r="A129" s="24">
        <v>1177.0</v>
      </c>
      <c r="B129" s="24">
        <v>1.0</v>
      </c>
      <c r="C129" s="44">
        <v>14.63</v>
      </c>
      <c r="D129" s="45">
        <v>44632.0</v>
      </c>
      <c r="E129" s="24">
        <v>14.63</v>
      </c>
      <c r="F129" s="24">
        <v>12.43</v>
      </c>
      <c r="G129" s="24">
        <v>0.08</v>
      </c>
      <c r="H129" s="24" t="s">
        <v>6649</v>
      </c>
      <c r="I129" s="24" t="s">
        <v>6650</v>
      </c>
      <c r="J129" s="24">
        <v>0.0</v>
      </c>
    </row>
    <row r="130">
      <c r="A130" s="24">
        <v>4580.0</v>
      </c>
      <c r="B130" s="24">
        <v>8.0</v>
      </c>
      <c r="C130" s="44">
        <v>12.82</v>
      </c>
      <c r="D130" s="45">
        <v>44632.0</v>
      </c>
      <c r="E130" s="24">
        <v>1.6</v>
      </c>
      <c r="F130" s="24">
        <v>2.8</v>
      </c>
      <c r="G130" s="24">
        <v>0.17</v>
      </c>
      <c r="H130" s="24" t="s">
        <v>6659</v>
      </c>
      <c r="I130" s="24">
        <v>4.27</v>
      </c>
      <c r="J130" s="24">
        <v>0.0</v>
      </c>
    </row>
    <row r="131">
      <c r="A131" s="24">
        <v>1699.0</v>
      </c>
      <c r="B131" s="24">
        <v>3.0</v>
      </c>
      <c r="C131" s="44">
        <v>24.8</v>
      </c>
      <c r="D131" s="45">
        <v>44632.0</v>
      </c>
      <c r="E131" s="24">
        <v>8.27</v>
      </c>
      <c r="F131" s="24">
        <v>14.6</v>
      </c>
      <c r="G131" s="24">
        <v>0.18</v>
      </c>
      <c r="H131" s="24" t="s">
        <v>6653</v>
      </c>
      <c r="I131" s="24">
        <v>12.4</v>
      </c>
      <c r="J131" s="24">
        <v>0.0</v>
      </c>
    </row>
    <row r="132">
      <c r="A132" s="24">
        <v>3002.0</v>
      </c>
      <c r="B132" s="24">
        <v>4.0</v>
      </c>
      <c r="C132" s="44">
        <v>9.16</v>
      </c>
      <c r="D132" s="45">
        <v>44633.0</v>
      </c>
      <c r="E132" s="24">
        <v>2.29</v>
      </c>
      <c r="F132" s="24">
        <v>3.05</v>
      </c>
      <c r="G132" s="24">
        <v>0.13</v>
      </c>
      <c r="H132" s="24" t="s">
        <v>6658</v>
      </c>
      <c r="I132" s="24">
        <v>3.05</v>
      </c>
      <c r="J132" s="24">
        <v>0.0</v>
      </c>
    </row>
    <row r="133">
      <c r="A133" s="24">
        <v>950.0</v>
      </c>
      <c r="B133" s="24">
        <v>0.0</v>
      </c>
      <c r="C133" s="44">
        <v>12.0</v>
      </c>
      <c r="D133" s="45">
        <v>44633.0</v>
      </c>
      <c r="E133" s="24" t="s">
        <v>6650</v>
      </c>
      <c r="F133" s="24">
        <v>12.63</v>
      </c>
      <c r="G133" s="24">
        <v>0.0</v>
      </c>
      <c r="H133" s="24" t="s">
        <v>6649</v>
      </c>
      <c r="I133" s="24" t="s">
        <v>6650</v>
      </c>
      <c r="J133" s="24">
        <v>0.0</v>
      </c>
    </row>
    <row r="134">
      <c r="A134" s="24">
        <v>2218.0</v>
      </c>
      <c r="B134" s="24">
        <v>5.0</v>
      </c>
      <c r="C134" s="44">
        <v>30.56</v>
      </c>
      <c r="D134" s="45">
        <v>44633.0</v>
      </c>
      <c r="E134" s="24">
        <v>6.11</v>
      </c>
      <c r="F134" s="24">
        <v>13.78</v>
      </c>
      <c r="G134" s="24">
        <v>0.23</v>
      </c>
      <c r="H134" s="24" t="s">
        <v>6655</v>
      </c>
      <c r="I134" s="24">
        <v>10.19</v>
      </c>
      <c r="J134" s="24">
        <v>0.0</v>
      </c>
    </row>
    <row r="135">
      <c r="A135" s="24">
        <v>1058.0</v>
      </c>
      <c r="B135" s="24">
        <v>0.0</v>
      </c>
      <c r="C135" s="44">
        <v>15.45</v>
      </c>
      <c r="D135" s="45">
        <v>44633.0</v>
      </c>
      <c r="E135" s="24" t="s">
        <v>6650</v>
      </c>
      <c r="F135" s="24">
        <v>14.6</v>
      </c>
      <c r="G135" s="24">
        <v>0.0</v>
      </c>
      <c r="H135" s="24" t="s">
        <v>6653</v>
      </c>
      <c r="I135" s="24" t="s">
        <v>6650</v>
      </c>
      <c r="J135" s="24">
        <v>0.0</v>
      </c>
    </row>
    <row r="136">
      <c r="A136" s="24">
        <v>97.0</v>
      </c>
      <c r="B136" s="24">
        <v>0.0</v>
      </c>
      <c r="C136" s="44">
        <v>0.31</v>
      </c>
      <c r="D136" s="45">
        <v>44633.0</v>
      </c>
      <c r="E136" s="24" t="s">
        <v>6650</v>
      </c>
      <c r="F136" s="24">
        <v>3.2</v>
      </c>
      <c r="G136" s="24">
        <v>0.0</v>
      </c>
      <c r="H136" s="24" t="s">
        <v>6657</v>
      </c>
      <c r="I136" s="24" t="s">
        <v>6650</v>
      </c>
      <c r="J136" s="24">
        <v>0.0</v>
      </c>
    </row>
    <row r="137">
      <c r="A137" s="24">
        <v>2404.0</v>
      </c>
      <c r="B137" s="24">
        <v>2.0</v>
      </c>
      <c r="C137" s="44">
        <v>30.65</v>
      </c>
      <c r="D137" s="45">
        <v>44633.0</v>
      </c>
      <c r="E137" s="24">
        <v>15.32</v>
      </c>
      <c r="F137" s="24">
        <v>12.75</v>
      </c>
      <c r="G137" s="24">
        <v>0.08</v>
      </c>
      <c r="H137" s="24" t="s">
        <v>6654</v>
      </c>
      <c r="I137" s="24">
        <v>30.65</v>
      </c>
      <c r="J137" s="24">
        <v>0.0</v>
      </c>
    </row>
    <row r="138">
      <c r="A138" s="24">
        <v>2139.0</v>
      </c>
      <c r="B138" s="24">
        <v>0.0</v>
      </c>
      <c r="C138" s="44">
        <v>5.99</v>
      </c>
      <c r="D138" s="45">
        <v>44633.0</v>
      </c>
      <c r="E138" s="24" t="s">
        <v>6650</v>
      </c>
      <c r="F138" s="24">
        <v>2.8</v>
      </c>
      <c r="G138" s="24">
        <v>0.0</v>
      </c>
      <c r="H138" s="24" t="s">
        <v>6659</v>
      </c>
      <c r="I138" s="24" t="s">
        <v>6650</v>
      </c>
      <c r="J138" s="24">
        <v>0.0</v>
      </c>
    </row>
    <row r="139">
      <c r="A139" s="24">
        <v>930.0</v>
      </c>
      <c r="B139" s="24">
        <v>2.0</v>
      </c>
      <c r="C139" s="44">
        <v>2.98</v>
      </c>
      <c r="D139" s="45">
        <v>44634.0</v>
      </c>
      <c r="E139" s="24">
        <v>1.49</v>
      </c>
      <c r="F139" s="24">
        <v>3.2</v>
      </c>
      <c r="G139" s="24">
        <v>0.22</v>
      </c>
      <c r="H139" s="24" t="s">
        <v>6657</v>
      </c>
      <c r="I139" s="24" t="s">
        <v>6650</v>
      </c>
      <c r="J139" s="24">
        <v>0.0</v>
      </c>
    </row>
    <row r="140">
      <c r="A140" s="24">
        <v>1734.0</v>
      </c>
      <c r="B140" s="24">
        <v>0.0</v>
      </c>
      <c r="C140" s="44">
        <v>20.36</v>
      </c>
      <c r="D140" s="45">
        <v>44634.0</v>
      </c>
      <c r="E140" s="24" t="s">
        <v>6650</v>
      </c>
      <c r="F140" s="24">
        <v>11.74</v>
      </c>
      <c r="G140" s="24">
        <v>0.0</v>
      </c>
      <c r="H140" s="24" t="s">
        <v>6649</v>
      </c>
      <c r="I140" s="24" t="s">
        <v>6650</v>
      </c>
      <c r="J140" s="24">
        <v>0.0</v>
      </c>
    </row>
    <row r="141">
      <c r="A141" s="24">
        <v>4651.0</v>
      </c>
      <c r="B141" s="24">
        <v>5.0</v>
      </c>
      <c r="C141" s="44">
        <v>14.19</v>
      </c>
      <c r="D141" s="45">
        <v>44634.0</v>
      </c>
      <c r="E141" s="24">
        <v>2.84</v>
      </c>
      <c r="F141" s="24">
        <v>3.05</v>
      </c>
      <c r="G141" s="24">
        <v>0.11</v>
      </c>
      <c r="H141" s="24" t="s">
        <v>6658</v>
      </c>
      <c r="I141" s="24">
        <v>3.55</v>
      </c>
      <c r="J141" s="24">
        <v>0.0</v>
      </c>
    </row>
    <row r="142">
      <c r="A142" s="24">
        <v>3992.0</v>
      </c>
      <c r="B142" s="24">
        <v>2.0</v>
      </c>
      <c r="C142" s="44">
        <v>50.9</v>
      </c>
      <c r="D142" s="45">
        <v>44634.0</v>
      </c>
      <c r="E142" s="24">
        <v>25.45</v>
      </c>
      <c r="F142" s="24">
        <v>12.75</v>
      </c>
      <c r="G142" s="24">
        <v>0.05</v>
      </c>
      <c r="H142" s="24" t="s">
        <v>6654</v>
      </c>
      <c r="I142" s="24">
        <v>50.9</v>
      </c>
      <c r="J142" s="24">
        <v>0.0</v>
      </c>
    </row>
    <row r="143">
      <c r="A143" s="24">
        <v>5068.0</v>
      </c>
      <c r="B143" s="24">
        <v>8.0</v>
      </c>
      <c r="C143" s="44">
        <v>14.19</v>
      </c>
      <c r="D143" s="45">
        <v>44634.0</v>
      </c>
      <c r="E143" s="24">
        <v>1.77</v>
      </c>
      <c r="F143" s="24">
        <v>2.8</v>
      </c>
      <c r="G143" s="24">
        <v>0.16</v>
      </c>
      <c r="H143" s="24" t="s">
        <v>6659</v>
      </c>
      <c r="I143" s="24">
        <v>4.73</v>
      </c>
      <c r="J143" s="24">
        <v>0.0</v>
      </c>
    </row>
    <row r="144">
      <c r="A144" s="24">
        <v>3691.0</v>
      </c>
      <c r="B144" s="24">
        <v>1.0</v>
      </c>
      <c r="C144" s="44">
        <v>50.94</v>
      </c>
      <c r="D144" s="45">
        <v>44634.0</v>
      </c>
      <c r="E144" s="24">
        <v>50.94</v>
      </c>
      <c r="F144" s="24">
        <v>13.8</v>
      </c>
      <c r="G144" s="24">
        <v>0.03</v>
      </c>
      <c r="H144" s="24" t="s">
        <v>6655</v>
      </c>
      <c r="I144" s="24" t="s">
        <v>6650</v>
      </c>
      <c r="J144" s="24">
        <v>0.0</v>
      </c>
    </row>
    <row r="145">
      <c r="A145" s="24">
        <v>3491.0</v>
      </c>
      <c r="B145" s="24">
        <v>0.0</v>
      </c>
      <c r="C145" s="44">
        <v>50.97</v>
      </c>
      <c r="D145" s="45">
        <v>44634.0</v>
      </c>
      <c r="E145" s="24" t="s">
        <v>6650</v>
      </c>
      <c r="F145" s="24">
        <v>14.6</v>
      </c>
      <c r="G145" s="24">
        <v>0.0</v>
      </c>
      <c r="H145" s="24" t="s">
        <v>6653</v>
      </c>
      <c r="I145" s="24">
        <v>50.97</v>
      </c>
      <c r="J145" s="24">
        <v>0.0</v>
      </c>
    </row>
    <row r="146">
      <c r="A146" s="24">
        <v>5017.0</v>
      </c>
      <c r="B146" s="24">
        <v>6.0</v>
      </c>
      <c r="C146" s="44">
        <v>14.05</v>
      </c>
      <c r="D146" s="45">
        <v>44635.0</v>
      </c>
      <c r="E146" s="24">
        <v>2.34</v>
      </c>
      <c r="F146" s="24">
        <v>2.8</v>
      </c>
      <c r="G146" s="24">
        <v>0.12</v>
      </c>
      <c r="H146" s="24" t="s">
        <v>6659</v>
      </c>
      <c r="I146" s="24">
        <v>4.68</v>
      </c>
      <c r="J146" s="24">
        <v>0.0</v>
      </c>
    </row>
    <row r="147">
      <c r="A147" s="24">
        <v>4677.0</v>
      </c>
      <c r="B147" s="24">
        <v>4.0</v>
      </c>
      <c r="C147" s="44">
        <v>14.26</v>
      </c>
      <c r="D147" s="45">
        <v>44635.0</v>
      </c>
      <c r="E147" s="24">
        <v>3.56</v>
      </c>
      <c r="F147" s="24">
        <v>3.05</v>
      </c>
      <c r="G147" s="24">
        <v>0.09</v>
      </c>
      <c r="H147" s="24" t="s">
        <v>6658</v>
      </c>
      <c r="I147" s="24">
        <v>2.38</v>
      </c>
      <c r="J147" s="24">
        <v>0.0</v>
      </c>
    </row>
    <row r="148">
      <c r="A148" s="24">
        <v>3843.0</v>
      </c>
      <c r="B148" s="24">
        <v>1.0</v>
      </c>
      <c r="C148" s="44">
        <v>49.0</v>
      </c>
      <c r="D148" s="45">
        <v>44635.0</v>
      </c>
      <c r="E148" s="24">
        <v>49.0</v>
      </c>
      <c r="F148" s="24">
        <v>12.75</v>
      </c>
      <c r="G148" s="24">
        <v>0.03</v>
      </c>
      <c r="H148" s="24" t="s">
        <v>6654</v>
      </c>
      <c r="I148" s="24" t="s">
        <v>6650</v>
      </c>
      <c r="J148" s="24">
        <v>0.0</v>
      </c>
    </row>
    <row r="149">
      <c r="A149" s="24">
        <v>1884.0</v>
      </c>
      <c r="B149" s="24">
        <v>2.0</v>
      </c>
      <c r="C149" s="44">
        <v>22.19</v>
      </c>
      <c r="D149" s="45">
        <v>44635.0</v>
      </c>
      <c r="E149" s="24">
        <v>11.1</v>
      </c>
      <c r="F149" s="24">
        <v>11.78</v>
      </c>
      <c r="G149" s="24">
        <v>0.11</v>
      </c>
      <c r="H149" s="24" t="s">
        <v>6649</v>
      </c>
      <c r="I149" s="24">
        <v>22.19</v>
      </c>
      <c r="J149" s="24">
        <v>0.0</v>
      </c>
    </row>
    <row r="150">
      <c r="A150" s="24">
        <v>2829.0</v>
      </c>
      <c r="B150" s="24">
        <v>4.0</v>
      </c>
      <c r="C150" s="44">
        <v>41.31</v>
      </c>
      <c r="D150" s="45">
        <v>44635.0</v>
      </c>
      <c r="E150" s="24">
        <v>10.33</v>
      </c>
      <c r="F150" s="24">
        <v>14.6</v>
      </c>
      <c r="G150" s="24">
        <v>0.14</v>
      </c>
      <c r="H150" s="24" t="s">
        <v>6653</v>
      </c>
      <c r="I150" s="24">
        <v>10.33</v>
      </c>
      <c r="J150" s="24">
        <v>0.0</v>
      </c>
    </row>
    <row r="151">
      <c r="A151" s="24">
        <v>809.0</v>
      </c>
      <c r="B151" s="24">
        <v>0.0</v>
      </c>
      <c r="C151" s="44">
        <v>2.59</v>
      </c>
      <c r="D151" s="45">
        <v>44635.0</v>
      </c>
      <c r="E151" s="24" t="s">
        <v>6650</v>
      </c>
      <c r="F151" s="24">
        <v>3.2</v>
      </c>
      <c r="G151" s="24">
        <v>0.0</v>
      </c>
      <c r="H151" s="24" t="s">
        <v>6657</v>
      </c>
      <c r="I151" s="24" t="s">
        <v>6650</v>
      </c>
      <c r="J151" s="24">
        <v>0.0</v>
      </c>
    </row>
    <row r="152">
      <c r="A152" s="24">
        <v>4016.0</v>
      </c>
      <c r="B152" s="24">
        <v>0.0</v>
      </c>
      <c r="C152" s="44">
        <v>55.42</v>
      </c>
      <c r="D152" s="45">
        <v>44635.0</v>
      </c>
      <c r="E152" s="24" t="s">
        <v>6650</v>
      </c>
      <c r="F152" s="24">
        <v>13.8</v>
      </c>
      <c r="G152" s="24">
        <v>0.0</v>
      </c>
      <c r="H152" s="24" t="s">
        <v>6655</v>
      </c>
      <c r="I152" s="24" t="s">
        <v>6650</v>
      </c>
      <c r="J152" s="24">
        <v>0.0</v>
      </c>
    </row>
    <row r="153">
      <c r="A153" s="24">
        <v>4138.0</v>
      </c>
      <c r="B153" s="24">
        <v>0.0</v>
      </c>
      <c r="C153" s="44">
        <v>59.88</v>
      </c>
      <c r="D153" s="45">
        <v>44636.0</v>
      </c>
      <c r="E153" s="24" t="s">
        <v>6650</v>
      </c>
      <c r="F153" s="24">
        <v>14.47</v>
      </c>
      <c r="G153" s="24">
        <v>0.0</v>
      </c>
      <c r="H153" s="24" t="s">
        <v>6653</v>
      </c>
      <c r="I153" s="24">
        <v>59.88</v>
      </c>
      <c r="J153" s="24">
        <v>0.0</v>
      </c>
    </row>
    <row r="154">
      <c r="A154" s="24">
        <v>4637.0</v>
      </c>
      <c r="B154" s="24">
        <v>0.0</v>
      </c>
      <c r="C154" s="44">
        <v>13.0</v>
      </c>
      <c r="D154" s="45">
        <v>44636.0</v>
      </c>
      <c r="E154" s="24" t="s">
        <v>6650</v>
      </c>
      <c r="F154" s="24">
        <v>2.8</v>
      </c>
      <c r="G154" s="24">
        <v>0.0</v>
      </c>
      <c r="H154" s="24" t="s">
        <v>6659</v>
      </c>
      <c r="I154" s="24" t="s">
        <v>6650</v>
      </c>
      <c r="J154" s="24">
        <v>0.0</v>
      </c>
    </row>
    <row r="155">
      <c r="A155" s="24">
        <v>558.0</v>
      </c>
      <c r="B155" s="24">
        <v>0.0</v>
      </c>
      <c r="C155" s="44">
        <v>1.79</v>
      </c>
      <c r="D155" s="45">
        <v>44636.0</v>
      </c>
      <c r="E155" s="24" t="s">
        <v>6650</v>
      </c>
      <c r="F155" s="24">
        <v>3.21</v>
      </c>
      <c r="G155" s="24">
        <v>0.0</v>
      </c>
      <c r="H155" s="24" t="s">
        <v>6657</v>
      </c>
      <c r="I155" s="24">
        <v>0.6</v>
      </c>
      <c r="J155" s="24">
        <v>0.0</v>
      </c>
    </row>
    <row r="156">
      <c r="A156" s="24">
        <v>5520.0</v>
      </c>
      <c r="B156" s="24">
        <v>3.0</v>
      </c>
      <c r="C156" s="44">
        <v>16.84</v>
      </c>
      <c r="D156" s="45">
        <v>44636.0</v>
      </c>
      <c r="E156" s="24">
        <v>5.61</v>
      </c>
      <c r="F156" s="24">
        <v>3.05</v>
      </c>
      <c r="G156" s="24">
        <v>0.05</v>
      </c>
      <c r="H156" s="24" t="s">
        <v>6658</v>
      </c>
      <c r="I156" s="24">
        <v>5.61</v>
      </c>
      <c r="J156" s="24">
        <v>0.0</v>
      </c>
    </row>
    <row r="157">
      <c r="A157" s="24">
        <v>178.0</v>
      </c>
      <c r="B157" s="24">
        <v>0.0</v>
      </c>
      <c r="C157" s="44">
        <v>2.19</v>
      </c>
      <c r="D157" s="45">
        <v>44636.0</v>
      </c>
      <c r="E157" s="24" t="s">
        <v>6650</v>
      </c>
      <c r="F157" s="24">
        <v>12.3</v>
      </c>
      <c r="G157" s="24">
        <v>0.0</v>
      </c>
      <c r="H157" s="24" t="s">
        <v>6649</v>
      </c>
      <c r="I157" s="24" t="s">
        <v>6650</v>
      </c>
      <c r="J157" s="24">
        <v>0.0</v>
      </c>
    </row>
    <row r="158">
      <c r="A158" s="24">
        <v>4558.0</v>
      </c>
      <c r="B158" s="24">
        <v>1.0</v>
      </c>
      <c r="C158" s="44">
        <v>58.11</v>
      </c>
      <c r="D158" s="45">
        <v>44636.0</v>
      </c>
      <c r="E158" s="24">
        <v>58.11</v>
      </c>
      <c r="F158" s="24">
        <v>12.75</v>
      </c>
      <c r="G158" s="24">
        <v>0.02</v>
      </c>
      <c r="H158" s="24" t="s">
        <v>6654</v>
      </c>
      <c r="I158" s="24" t="s">
        <v>6650</v>
      </c>
      <c r="J158" s="24">
        <v>0.0</v>
      </c>
    </row>
    <row r="159">
      <c r="A159" s="24">
        <v>4102.0</v>
      </c>
      <c r="B159" s="24">
        <v>0.0</v>
      </c>
      <c r="C159" s="44">
        <v>56.61</v>
      </c>
      <c r="D159" s="45">
        <v>44636.0</v>
      </c>
      <c r="E159" s="24" t="s">
        <v>6650</v>
      </c>
      <c r="F159" s="24">
        <v>13.8</v>
      </c>
      <c r="G159" s="24">
        <v>0.0</v>
      </c>
      <c r="H159" s="24" t="s">
        <v>6655</v>
      </c>
      <c r="I159" s="24">
        <v>18.87</v>
      </c>
      <c r="J159" s="24">
        <v>0.0</v>
      </c>
    </row>
    <row r="160">
      <c r="A160" s="24">
        <v>4822.0</v>
      </c>
      <c r="B160" s="24">
        <v>2.0</v>
      </c>
      <c r="C160" s="44">
        <v>61.48</v>
      </c>
      <c r="D160" s="45">
        <v>44637.0</v>
      </c>
      <c r="E160" s="24">
        <v>30.74</v>
      </c>
      <c r="F160" s="24">
        <v>12.75</v>
      </c>
      <c r="G160" s="24">
        <v>0.04</v>
      </c>
      <c r="H160" s="24" t="s">
        <v>6654</v>
      </c>
      <c r="I160" s="24">
        <v>61.48</v>
      </c>
      <c r="J160" s="24">
        <v>0.0</v>
      </c>
    </row>
    <row r="161">
      <c r="A161" s="24">
        <v>4386.0</v>
      </c>
      <c r="B161" s="24">
        <v>1.0</v>
      </c>
      <c r="C161" s="44">
        <v>63.38</v>
      </c>
      <c r="D161" s="45">
        <v>44637.0</v>
      </c>
      <c r="E161" s="24">
        <v>63.38</v>
      </c>
      <c r="F161" s="24">
        <v>14.45</v>
      </c>
      <c r="G161" s="24">
        <v>0.02</v>
      </c>
      <c r="H161" s="24" t="s">
        <v>6653</v>
      </c>
      <c r="I161" s="24">
        <v>21.13</v>
      </c>
      <c r="J161" s="24">
        <v>0.0</v>
      </c>
    </row>
    <row r="162">
      <c r="A162" s="24">
        <v>814.0</v>
      </c>
      <c r="B162" s="24">
        <v>0.0</v>
      </c>
      <c r="C162" s="44">
        <v>2.32</v>
      </c>
      <c r="D162" s="45">
        <v>44637.0</v>
      </c>
      <c r="E162" s="24" t="s">
        <v>6650</v>
      </c>
      <c r="F162" s="24">
        <v>2.85</v>
      </c>
      <c r="G162" s="24">
        <v>0.0</v>
      </c>
      <c r="H162" s="24" t="s">
        <v>6659</v>
      </c>
      <c r="I162" s="24" t="s">
        <v>6650</v>
      </c>
      <c r="J162" s="24">
        <v>0.0</v>
      </c>
    </row>
    <row r="163">
      <c r="A163" s="24">
        <v>5897.0</v>
      </c>
      <c r="B163" s="24">
        <v>4.0</v>
      </c>
      <c r="C163" s="44">
        <v>17.99</v>
      </c>
      <c r="D163" s="45">
        <v>44637.0</v>
      </c>
      <c r="E163" s="24">
        <v>4.5</v>
      </c>
      <c r="F163" s="24">
        <v>3.05</v>
      </c>
      <c r="G163" s="24">
        <v>0.07</v>
      </c>
      <c r="H163" s="24" t="s">
        <v>6658</v>
      </c>
      <c r="I163" s="24">
        <v>6.0</v>
      </c>
      <c r="J163" s="24">
        <v>0.0</v>
      </c>
    </row>
    <row r="164">
      <c r="A164" s="24">
        <v>144.0</v>
      </c>
      <c r="B164" s="24">
        <v>0.0</v>
      </c>
      <c r="C164" s="44">
        <v>0.47</v>
      </c>
      <c r="D164" s="45">
        <v>44637.0</v>
      </c>
      <c r="E164" s="24" t="s">
        <v>6650</v>
      </c>
      <c r="F164" s="24">
        <v>3.26</v>
      </c>
      <c r="G164" s="24">
        <v>0.0</v>
      </c>
      <c r="H164" s="24" t="s">
        <v>6657</v>
      </c>
      <c r="I164" s="24">
        <v>0.47</v>
      </c>
      <c r="J164" s="24">
        <v>0.0</v>
      </c>
    </row>
    <row r="165">
      <c r="A165" s="24">
        <v>4343.0</v>
      </c>
      <c r="B165" s="24">
        <v>1.0</v>
      </c>
      <c r="C165" s="44">
        <v>59.93</v>
      </c>
      <c r="D165" s="45">
        <v>44637.0</v>
      </c>
      <c r="E165" s="24">
        <v>59.93</v>
      </c>
      <c r="F165" s="24">
        <v>13.8</v>
      </c>
      <c r="G165" s="24">
        <v>0.02</v>
      </c>
      <c r="H165" s="24" t="s">
        <v>6655</v>
      </c>
      <c r="I165" s="24">
        <v>59.93</v>
      </c>
      <c r="J165" s="24">
        <v>0.0</v>
      </c>
    </row>
    <row r="166">
      <c r="A166" s="24">
        <v>3397.0</v>
      </c>
      <c r="B166" s="24">
        <v>2.0</v>
      </c>
      <c r="C166" s="44">
        <v>49.1</v>
      </c>
      <c r="D166" s="45">
        <v>44638.0</v>
      </c>
      <c r="E166" s="24">
        <v>24.55</v>
      </c>
      <c r="F166" s="24">
        <v>14.45</v>
      </c>
      <c r="G166" s="24">
        <v>0.06</v>
      </c>
      <c r="H166" s="24" t="s">
        <v>6653</v>
      </c>
      <c r="I166" s="24">
        <v>24.55</v>
      </c>
      <c r="J166" s="24">
        <v>0.0</v>
      </c>
    </row>
    <row r="167">
      <c r="A167" s="24">
        <v>245.0</v>
      </c>
      <c r="B167" s="24">
        <v>0.0</v>
      </c>
      <c r="C167" s="44">
        <v>0.7</v>
      </c>
      <c r="D167" s="45">
        <v>44638.0</v>
      </c>
      <c r="E167" s="24" t="s">
        <v>6650</v>
      </c>
      <c r="F167" s="24">
        <v>2.86</v>
      </c>
      <c r="G167" s="24">
        <v>0.0</v>
      </c>
      <c r="H167" s="24" t="s">
        <v>6659</v>
      </c>
      <c r="I167" s="24" t="s">
        <v>6650</v>
      </c>
      <c r="J167" s="24">
        <v>0.0</v>
      </c>
    </row>
    <row r="168">
      <c r="A168" s="24">
        <v>4644.0</v>
      </c>
      <c r="B168" s="24">
        <v>3.0</v>
      </c>
      <c r="C168" s="44">
        <v>59.21</v>
      </c>
      <c r="D168" s="45">
        <v>44638.0</v>
      </c>
      <c r="E168" s="24">
        <v>19.74</v>
      </c>
      <c r="F168" s="24">
        <v>12.75</v>
      </c>
      <c r="G168" s="24">
        <v>0.06</v>
      </c>
      <c r="H168" s="24" t="s">
        <v>6654</v>
      </c>
      <c r="I168" s="24">
        <v>29.6</v>
      </c>
      <c r="J168" s="24">
        <v>0.0</v>
      </c>
    </row>
    <row r="169">
      <c r="A169" s="24">
        <v>35.0</v>
      </c>
      <c r="B169" s="24">
        <v>0.0</v>
      </c>
      <c r="C169" s="44">
        <v>0.11</v>
      </c>
      <c r="D169" s="45">
        <v>44638.0</v>
      </c>
      <c r="E169" s="24" t="s">
        <v>6650</v>
      </c>
      <c r="F169" s="24">
        <v>3.14</v>
      </c>
      <c r="G169" s="24">
        <v>0.0</v>
      </c>
      <c r="H169" s="24" t="s">
        <v>6657</v>
      </c>
      <c r="I169" s="24" t="s">
        <v>6650</v>
      </c>
      <c r="J169" s="24">
        <v>0.0</v>
      </c>
    </row>
    <row r="170">
      <c r="A170" s="24">
        <v>0.0</v>
      </c>
      <c r="B170" s="24">
        <v>0.0</v>
      </c>
      <c r="C170" s="44"/>
      <c r="D170" s="45">
        <v>44638.0</v>
      </c>
      <c r="E170" s="24" t="s">
        <v>6650</v>
      </c>
      <c r="F170" s="24" t="s">
        <v>6650</v>
      </c>
      <c r="G170" s="24" t="s">
        <v>6650</v>
      </c>
      <c r="H170" s="24" t="s">
        <v>6649</v>
      </c>
      <c r="I170" s="24" t="s">
        <v>6650</v>
      </c>
      <c r="J170" s="24"/>
    </row>
    <row r="171">
      <c r="A171" s="24">
        <v>4179.0</v>
      </c>
      <c r="B171" s="24">
        <v>1.0</v>
      </c>
      <c r="C171" s="44">
        <v>57.67</v>
      </c>
      <c r="D171" s="45">
        <v>44638.0</v>
      </c>
      <c r="E171" s="24">
        <v>57.67</v>
      </c>
      <c r="F171" s="24">
        <v>13.8</v>
      </c>
      <c r="G171" s="24">
        <v>0.02</v>
      </c>
      <c r="H171" s="24" t="s">
        <v>6655</v>
      </c>
      <c r="I171" s="24">
        <v>28.84</v>
      </c>
      <c r="J171" s="24">
        <v>0.0</v>
      </c>
    </row>
    <row r="172">
      <c r="A172" s="24">
        <v>5489.0</v>
      </c>
      <c r="B172" s="24">
        <v>3.0</v>
      </c>
      <c r="C172" s="44">
        <v>16.74</v>
      </c>
      <c r="D172" s="45">
        <v>44638.0</v>
      </c>
      <c r="E172" s="24">
        <v>5.58</v>
      </c>
      <c r="F172" s="24">
        <v>3.05</v>
      </c>
      <c r="G172" s="24">
        <v>0.05</v>
      </c>
      <c r="H172" s="24" t="s">
        <v>6658</v>
      </c>
      <c r="I172" s="24">
        <v>8.37</v>
      </c>
      <c r="J172" s="24">
        <v>0.0</v>
      </c>
    </row>
    <row r="173">
      <c r="A173" s="24">
        <v>2673.0</v>
      </c>
      <c r="B173" s="24">
        <v>2.0</v>
      </c>
      <c r="C173" s="44">
        <v>36.89</v>
      </c>
      <c r="D173" s="45">
        <v>44639.0</v>
      </c>
      <c r="E173" s="24">
        <v>18.44</v>
      </c>
      <c r="F173" s="24">
        <v>13.8</v>
      </c>
      <c r="G173" s="24">
        <v>0.07</v>
      </c>
      <c r="H173" s="24" t="s">
        <v>6655</v>
      </c>
      <c r="I173" s="24">
        <v>36.89</v>
      </c>
      <c r="J173" s="24">
        <v>0.0</v>
      </c>
    </row>
    <row r="174">
      <c r="A174" s="24">
        <v>13.0</v>
      </c>
      <c r="B174" s="24">
        <v>0.0</v>
      </c>
      <c r="C174" s="44">
        <v>0.04</v>
      </c>
      <c r="D174" s="45">
        <v>44639.0</v>
      </c>
      <c r="E174" s="24" t="s">
        <v>6650</v>
      </c>
      <c r="F174" s="24">
        <v>3.08</v>
      </c>
      <c r="G174" s="24">
        <v>0.0</v>
      </c>
      <c r="H174" s="24" t="s">
        <v>6657</v>
      </c>
      <c r="I174" s="24" t="s">
        <v>6650</v>
      </c>
      <c r="J174" s="24">
        <v>0.0</v>
      </c>
    </row>
    <row r="175">
      <c r="A175" s="24">
        <v>172.0</v>
      </c>
      <c r="B175" s="24">
        <v>0.0</v>
      </c>
      <c r="C175" s="44">
        <v>0.49</v>
      </c>
      <c r="D175" s="45">
        <v>44639.0</v>
      </c>
      <c r="E175" s="24" t="s">
        <v>6650</v>
      </c>
      <c r="F175" s="24">
        <v>2.85</v>
      </c>
      <c r="G175" s="24">
        <v>0.0</v>
      </c>
      <c r="H175" s="24" t="s">
        <v>6659</v>
      </c>
      <c r="I175" s="24" t="s">
        <v>6650</v>
      </c>
      <c r="J175" s="24">
        <v>0.0</v>
      </c>
    </row>
    <row r="176">
      <c r="A176" s="24">
        <v>3169.0</v>
      </c>
      <c r="B176" s="24">
        <v>5.0</v>
      </c>
      <c r="C176" s="44">
        <v>9.67</v>
      </c>
      <c r="D176" s="45">
        <v>44639.0</v>
      </c>
      <c r="E176" s="24">
        <v>1.93</v>
      </c>
      <c r="F176" s="24">
        <v>3.05</v>
      </c>
      <c r="G176" s="24">
        <v>0.16</v>
      </c>
      <c r="H176" s="24" t="s">
        <v>6658</v>
      </c>
      <c r="I176" s="24">
        <v>3.22</v>
      </c>
      <c r="J176" s="24">
        <v>0.0</v>
      </c>
    </row>
    <row r="177">
      <c r="A177" s="24">
        <v>2973.0</v>
      </c>
      <c r="B177" s="24">
        <v>1.0</v>
      </c>
      <c r="C177" s="44">
        <v>37.91</v>
      </c>
      <c r="D177" s="45">
        <v>44639.0</v>
      </c>
      <c r="E177" s="24">
        <v>37.91</v>
      </c>
      <c r="F177" s="24">
        <v>12.75</v>
      </c>
      <c r="G177" s="24">
        <v>0.03</v>
      </c>
      <c r="H177" s="24" t="s">
        <v>6654</v>
      </c>
      <c r="I177" s="24" t="s">
        <v>6650</v>
      </c>
      <c r="J177" s="24">
        <v>0.0</v>
      </c>
    </row>
    <row r="178">
      <c r="A178" s="24">
        <v>305.0</v>
      </c>
      <c r="B178" s="24">
        <v>0.0</v>
      </c>
      <c r="C178" s="44">
        <v>4.42</v>
      </c>
      <c r="D178" s="45">
        <v>44639.0</v>
      </c>
      <c r="E178" s="24" t="s">
        <v>6650</v>
      </c>
      <c r="F178" s="24">
        <v>14.49</v>
      </c>
      <c r="G178" s="24">
        <v>0.0</v>
      </c>
      <c r="H178" s="24" t="s">
        <v>6653</v>
      </c>
      <c r="I178" s="24" t="s">
        <v>6650</v>
      </c>
      <c r="J178" s="24">
        <v>0.0</v>
      </c>
    </row>
    <row r="179">
      <c r="A179" s="24">
        <v>2619.0</v>
      </c>
      <c r="B179" s="24">
        <v>5.0</v>
      </c>
      <c r="C179" s="44">
        <v>33.39</v>
      </c>
      <c r="D179" s="45">
        <v>44640.0</v>
      </c>
      <c r="E179" s="24">
        <v>6.68</v>
      </c>
      <c r="F179" s="24">
        <v>12.75</v>
      </c>
      <c r="G179" s="24">
        <v>0.19</v>
      </c>
      <c r="H179" s="24" t="s">
        <v>6654</v>
      </c>
      <c r="I179" s="24">
        <v>8.35</v>
      </c>
      <c r="J179" s="24">
        <v>0.0</v>
      </c>
    </row>
    <row r="180">
      <c r="A180" s="24">
        <v>17.0</v>
      </c>
      <c r="B180" s="24">
        <v>0.0</v>
      </c>
      <c r="C180" s="44">
        <v>0.06</v>
      </c>
      <c r="D180" s="45">
        <v>44640.0</v>
      </c>
      <c r="E180" s="24" t="s">
        <v>6650</v>
      </c>
      <c r="F180" s="24">
        <v>3.53</v>
      </c>
      <c r="G180" s="24">
        <v>0.0</v>
      </c>
      <c r="H180" s="24" t="s">
        <v>6657</v>
      </c>
      <c r="I180" s="24" t="s">
        <v>6650</v>
      </c>
      <c r="J180" s="24">
        <v>0.0</v>
      </c>
    </row>
    <row r="181">
      <c r="A181" s="24">
        <v>2323.0</v>
      </c>
      <c r="B181" s="24">
        <v>2.0</v>
      </c>
      <c r="C181" s="44">
        <v>7.09</v>
      </c>
      <c r="D181" s="45">
        <v>44640.0</v>
      </c>
      <c r="E181" s="24">
        <v>3.54</v>
      </c>
      <c r="F181" s="24">
        <v>3.05</v>
      </c>
      <c r="G181" s="24">
        <v>0.09</v>
      </c>
      <c r="H181" s="24" t="s">
        <v>6658</v>
      </c>
      <c r="I181" s="24">
        <v>7.09</v>
      </c>
      <c r="J181" s="24">
        <v>0.0</v>
      </c>
    </row>
    <row r="182">
      <c r="A182" s="24">
        <v>322.0</v>
      </c>
      <c r="B182" s="24">
        <v>0.0</v>
      </c>
      <c r="C182" s="44">
        <v>4.67</v>
      </c>
      <c r="D182" s="45">
        <v>44640.0</v>
      </c>
      <c r="E182" s="24" t="s">
        <v>6650</v>
      </c>
      <c r="F182" s="24">
        <v>14.5</v>
      </c>
      <c r="G182" s="24">
        <v>0.0</v>
      </c>
      <c r="H182" s="24" t="s">
        <v>6653</v>
      </c>
      <c r="I182" s="24" t="s">
        <v>6650</v>
      </c>
      <c r="J182" s="24">
        <v>0.0</v>
      </c>
    </row>
    <row r="183">
      <c r="A183" s="24">
        <v>2362.0</v>
      </c>
      <c r="B183" s="24">
        <v>4.0</v>
      </c>
      <c r="C183" s="44">
        <v>32.54</v>
      </c>
      <c r="D183" s="45">
        <v>44640.0</v>
      </c>
      <c r="E183" s="24">
        <v>8.14</v>
      </c>
      <c r="F183" s="24">
        <v>13.78</v>
      </c>
      <c r="G183" s="24">
        <v>0.17</v>
      </c>
      <c r="H183" s="24" t="s">
        <v>6655</v>
      </c>
      <c r="I183" s="24">
        <v>10.85</v>
      </c>
      <c r="J183" s="24">
        <v>0.0</v>
      </c>
    </row>
    <row r="184">
      <c r="A184" s="24">
        <v>90.0</v>
      </c>
      <c r="B184" s="24">
        <v>0.0</v>
      </c>
      <c r="C184" s="44">
        <v>0.26</v>
      </c>
      <c r="D184" s="45">
        <v>44640.0</v>
      </c>
      <c r="E184" s="24" t="s">
        <v>6650</v>
      </c>
      <c r="F184" s="24">
        <v>2.89</v>
      </c>
      <c r="G184" s="24">
        <v>0.0</v>
      </c>
      <c r="H184" s="24" t="s">
        <v>6659</v>
      </c>
      <c r="I184" s="24" t="s">
        <v>6650</v>
      </c>
      <c r="J184" s="24">
        <v>0.0</v>
      </c>
    </row>
    <row r="185">
      <c r="A185" s="24">
        <v>1158.0</v>
      </c>
      <c r="B185" s="24">
        <v>2.0</v>
      </c>
      <c r="C185" s="44">
        <v>3.3</v>
      </c>
      <c r="D185" s="45">
        <v>44641.0</v>
      </c>
      <c r="E185" s="24">
        <v>1.65</v>
      </c>
      <c r="F185" s="24">
        <v>2.85</v>
      </c>
      <c r="G185" s="24">
        <v>0.17</v>
      </c>
      <c r="H185" s="24" t="s">
        <v>6659</v>
      </c>
      <c r="I185" s="24">
        <v>1.65</v>
      </c>
      <c r="J185" s="24">
        <v>0.0</v>
      </c>
    </row>
    <row r="186">
      <c r="A186" s="24">
        <v>3625.0</v>
      </c>
      <c r="B186" s="24">
        <v>1.0</v>
      </c>
      <c r="C186" s="44">
        <v>52.39</v>
      </c>
      <c r="D186" s="45">
        <v>44641.0</v>
      </c>
      <c r="E186" s="24">
        <v>52.39</v>
      </c>
      <c r="F186" s="24">
        <v>14.45</v>
      </c>
      <c r="G186" s="24">
        <v>0.03</v>
      </c>
      <c r="H186" s="24" t="s">
        <v>6653</v>
      </c>
      <c r="I186" s="24">
        <v>17.46</v>
      </c>
      <c r="J186" s="24">
        <v>0.0</v>
      </c>
    </row>
    <row r="187">
      <c r="A187" s="24">
        <v>0.0</v>
      </c>
      <c r="B187" s="24">
        <v>0.0</v>
      </c>
      <c r="C187" s="44"/>
      <c r="D187" s="45">
        <v>44641.0</v>
      </c>
      <c r="E187" s="24" t="s">
        <v>6650</v>
      </c>
      <c r="F187" s="24" t="s">
        <v>6650</v>
      </c>
      <c r="G187" s="24" t="s">
        <v>6650</v>
      </c>
      <c r="H187" s="24" t="s">
        <v>6649</v>
      </c>
      <c r="I187" s="24" t="s">
        <v>6650</v>
      </c>
      <c r="J187" s="24"/>
    </row>
    <row r="188">
      <c r="A188" s="24">
        <v>3811.0</v>
      </c>
      <c r="B188" s="24">
        <v>1.0</v>
      </c>
      <c r="C188" s="44">
        <v>52.59</v>
      </c>
      <c r="D188" s="45">
        <v>44641.0</v>
      </c>
      <c r="E188" s="24">
        <v>52.59</v>
      </c>
      <c r="F188" s="24">
        <v>13.8</v>
      </c>
      <c r="G188" s="24">
        <v>0.03</v>
      </c>
      <c r="H188" s="24" t="s">
        <v>6655</v>
      </c>
      <c r="I188" s="24">
        <v>17.53</v>
      </c>
      <c r="J188" s="24">
        <v>0.0</v>
      </c>
    </row>
    <row r="189">
      <c r="A189" s="24">
        <v>4776.0</v>
      </c>
      <c r="B189" s="24">
        <v>5.0</v>
      </c>
      <c r="C189" s="44">
        <v>14.57</v>
      </c>
      <c r="D189" s="45">
        <v>44641.0</v>
      </c>
      <c r="E189" s="24">
        <v>2.91</v>
      </c>
      <c r="F189" s="24">
        <v>3.05</v>
      </c>
      <c r="G189" s="24">
        <v>0.1</v>
      </c>
      <c r="H189" s="24" t="s">
        <v>6658</v>
      </c>
      <c r="I189" s="24">
        <v>3.64</v>
      </c>
      <c r="J189" s="24">
        <v>0.0</v>
      </c>
    </row>
    <row r="190">
      <c r="A190" s="24">
        <v>207.0</v>
      </c>
      <c r="B190" s="24">
        <v>0.0</v>
      </c>
      <c r="C190" s="44">
        <v>0.67</v>
      </c>
      <c r="D190" s="45">
        <v>44641.0</v>
      </c>
      <c r="E190" s="24" t="s">
        <v>6650</v>
      </c>
      <c r="F190" s="24">
        <v>3.24</v>
      </c>
      <c r="G190" s="24">
        <v>0.0</v>
      </c>
      <c r="H190" s="24" t="s">
        <v>6657</v>
      </c>
      <c r="I190" s="24" t="s">
        <v>6650</v>
      </c>
      <c r="J190" s="24">
        <v>0.0</v>
      </c>
    </row>
    <row r="191">
      <c r="A191" s="24">
        <v>4126.0</v>
      </c>
      <c r="B191" s="24">
        <v>2.0</v>
      </c>
      <c r="C191" s="44">
        <v>52.61</v>
      </c>
      <c r="D191" s="45">
        <v>44641.0</v>
      </c>
      <c r="E191" s="24">
        <v>26.3</v>
      </c>
      <c r="F191" s="24">
        <v>12.75</v>
      </c>
      <c r="G191" s="24">
        <v>0.05</v>
      </c>
      <c r="H191" s="24" t="s">
        <v>6654</v>
      </c>
      <c r="I191" s="24">
        <v>17.54</v>
      </c>
      <c r="J191" s="24">
        <v>0.0</v>
      </c>
    </row>
    <row r="192">
      <c r="A192" s="24">
        <v>4094.0</v>
      </c>
      <c r="B192" s="24">
        <v>1.0</v>
      </c>
      <c r="C192" s="44">
        <v>56.5</v>
      </c>
      <c r="D192" s="45">
        <v>44642.0</v>
      </c>
      <c r="E192" s="24">
        <v>56.5</v>
      </c>
      <c r="F192" s="24">
        <v>13.8</v>
      </c>
      <c r="G192" s="24">
        <v>0.02</v>
      </c>
      <c r="H192" s="24" t="s">
        <v>6655</v>
      </c>
      <c r="I192" s="24">
        <v>28.25</v>
      </c>
      <c r="J192" s="24">
        <v>0.0</v>
      </c>
    </row>
    <row r="193">
      <c r="A193" s="24">
        <v>3901.0</v>
      </c>
      <c r="B193" s="24">
        <v>2.0</v>
      </c>
      <c r="C193" s="44">
        <v>56.38</v>
      </c>
      <c r="D193" s="45">
        <v>44642.0</v>
      </c>
      <c r="E193" s="24">
        <v>28.19</v>
      </c>
      <c r="F193" s="24">
        <v>14.45</v>
      </c>
      <c r="G193" s="24">
        <v>0.05</v>
      </c>
      <c r="H193" s="24" t="s">
        <v>6653</v>
      </c>
      <c r="I193" s="24">
        <v>28.19</v>
      </c>
      <c r="J193" s="24">
        <v>0.0</v>
      </c>
    </row>
    <row r="194">
      <c r="A194" s="24">
        <v>173.0</v>
      </c>
      <c r="B194" s="24">
        <v>0.0</v>
      </c>
      <c r="C194" s="44">
        <v>0.56</v>
      </c>
      <c r="D194" s="45">
        <v>44642.0</v>
      </c>
      <c r="E194" s="24" t="s">
        <v>6650</v>
      </c>
      <c r="F194" s="24">
        <v>3.24</v>
      </c>
      <c r="G194" s="24">
        <v>0.0</v>
      </c>
      <c r="H194" s="24" t="s">
        <v>6657</v>
      </c>
      <c r="I194" s="24" t="s">
        <v>6650</v>
      </c>
      <c r="J194" s="24">
        <v>0.0</v>
      </c>
    </row>
    <row r="195">
      <c r="A195" s="24">
        <v>1092.0</v>
      </c>
      <c r="B195" s="24">
        <v>0.0</v>
      </c>
      <c r="C195" s="44">
        <v>3.11</v>
      </c>
      <c r="D195" s="45">
        <v>44642.0</v>
      </c>
      <c r="E195" s="24" t="s">
        <v>6650</v>
      </c>
      <c r="F195" s="24">
        <v>2.85</v>
      </c>
      <c r="G195" s="24">
        <v>0.0</v>
      </c>
      <c r="H195" s="24" t="s">
        <v>6659</v>
      </c>
      <c r="I195" s="24" t="s">
        <v>6650</v>
      </c>
      <c r="J195" s="24">
        <v>0.0</v>
      </c>
    </row>
    <row r="196">
      <c r="A196" s="24">
        <v>5219.0</v>
      </c>
      <c r="B196" s="24">
        <v>6.0</v>
      </c>
      <c r="C196" s="44">
        <v>15.92</v>
      </c>
      <c r="D196" s="45">
        <v>44642.0</v>
      </c>
      <c r="E196" s="24">
        <v>2.65</v>
      </c>
      <c r="F196" s="24">
        <v>3.05</v>
      </c>
      <c r="G196" s="24">
        <v>0.11</v>
      </c>
      <c r="H196" s="24" t="s">
        <v>6658</v>
      </c>
      <c r="I196" s="24">
        <v>7.96</v>
      </c>
      <c r="J196" s="24">
        <v>0.0</v>
      </c>
    </row>
    <row r="197">
      <c r="A197" s="24">
        <v>4422.0</v>
      </c>
      <c r="B197" s="24">
        <v>2.0</v>
      </c>
      <c r="C197" s="44">
        <v>56.38</v>
      </c>
      <c r="D197" s="45">
        <v>44642.0</v>
      </c>
      <c r="E197" s="24">
        <v>28.19</v>
      </c>
      <c r="F197" s="24">
        <v>12.75</v>
      </c>
      <c r="G197" s="24">
        <v>0.05</v>
      </c>
      <c r="H197" s="24" t="s">
        <v>6654</v>
      </c>
      <c r="I197" s="24">
        <v>28.19</v>
      </c>
      <c r="J197" s="24">
        <v>0.0</v>
      </c>
    </row>
    <row r="198">
      <c r="A198" s="24">
        <v>4288.0</v>
      </c>
      <c r="B198" s="24">
        <v>1.0</v>
      </c>
      <c r="C198" s="44">
        <v>59.17</v>
      </c>
      <c r="D198" s="45">
        <v>44643.0</v>
      </c>
      <c r="E198" s="24">
        <v>59.17</v>
      </c>
      <c r="F198" s="24">
        <v>13.8</v>
      </c>
      <c r="G198" s="24">
        <v>0.02</v>
      </c>
      <c r="H198" s="24" t="s">
        <v>6655</v>
      </c>
      <c r="I198" s="24">
        <v>29.58</v>
      </c>
      <c r="J198" s="24">
        <v>0.0</v>
      </c>
    </row>
    <row r="199">
      <c r="A199" s="24">
        <v>1035.0</v>
      </c>
      <c r="B199" s="24">
        <v>0.0</v>
      </c>
      <c r="C199" s="44">
        <v>2.95</v>
      </c>
      <c r="D199" s="45">
        <v>44643.0</v>
      </c>
      <c r="E199" s="24" t="s">
        <v>6650</v>
      </c>
      <c r="F199" s="24">
        <v>2.85</v>
      </c>
      <c r="G199" s="24">
        <v>0.0</v>
      </c>
      <c r="H199" s="24" t="s">
        <v>6659</v>
      </c>
      <c r="I199" s="24" t="s">
        <v>6650</v>
      </c>
      <c r="J199" s="24">
        <v>0.0</v>
      </c>
    </row>
    <row r="200">
      <c r="A200" s="24">
        <v>5519.0</v>
      </c>
      <c r="B200" s="24">
        <v>7.0</v>
      </c>
      <c r="C200" s="44">
        <v>16.83</v>
      </c>
      <c r="D200" s="45">
        <v>44643.0</v>
      </c>
      <c r="E200" s="24">
        <v>2.4</v>
      </c>
      <c r="F200" s="24">
        <v>3.05</v>
      </c>
      <c r="G200" s="24">
        <v>0.13</v>
      </c>
      <c r="H200" s="24" t="s">
        <v>6658</v>
      </c>
      <c r="I200" s="24">
        <v>8.41</v>
      </c>
      <c r="J200" s="24">
        <v>0.0</v>
      </c>
    </row>
    <row r="201">
      <c r="A201" s="24">
        <v>184.0</v>
      </c>
      <c r="B201" s="24">
        <v>0.0</v>
      </c>
      <c r="C201" s="44">
        <v>0.6</v>
      </c>
      <c r="D201" s="45">
        <v>44643.0</v>
      </c>
      <c r="E201" s="24" t="s">
        <v>6650</v>
      </c>
      <c r="F201" s="24">
        <v>3.26</v>
      </c>
      <c r="G201" s="24">
        <v>0.0</v>
      </c>
      <c r="H201" s="24" t="s">
        <v>6657</v>
      </c>
      <c r="I201" s="24" t="s">
        <v>6650</v>
      </c>
      <c r="J201" s="24">
        <v>0.0</v>
      </c>
    </row>
    <row r="202">
      <c r="A202" s="24">
        <v>4023.0</v>
      </c>
      <c r="B202" s="24">
        <v>6.0</v>
      </c>
      <c r="C202" s="44">
        <v>58.14</v>
      </c>
      <c r="D202" s="45">
        <v>44643.0</v>
      </c>
      <c r="E202" s="24">
        <v>9.69</v>
      </c>
      <c r="F202" s="24">
        <v>14.45</v>
      </c>
      <c r="G202" s="24">
        <v>0.15</v>
      </c>
      <c r="H202" s="24" t="s">
        <v>6653</v>
      </c>
      <c r="I202" s="24">
        <v>9.69</v>
      </c>
      <c r="J202" s="24">
        <v>0.0</v>
      </c>
    </row>
    <row r="203">
      <c r="A203" s="24">
        <v>4556.0</v>
      </c>
      <c r="B203" s="24">
        <v>3.0</v>
      </c>
      <c r="C203" s="44">
        <v>58.09</v>
      </c>
      <c r="D203" s="45">
        <v>44643.0</v>
      </c>
      <c r="E203" s="24">
        <v>19.36</v>
      </c>
      <c r="F203" s="24">
        <v>12.75</v>
      </c>
      <c r="G203" s="24">
        <v>0.07</v>
      </c>
      <c r="H203" s="24" t="s">
        <v>6654</v>
      </c>
      <c r="I203" s="24">
        <v>11.62</v>
      </c>
      <c r="J203" s="24">
        <v>0.0</v>
      </c>
    </row>
    <row r="204">
      <c r="A204" s="24">
        <v>5916.0</v>
      </c>
      <c r="B204" s="24">
        <v>3.0</v>
      </c>
      <c r="C204" s="44">
        <v>18.04</v>
      </c>
      <c r="D204" s="45">
        <v>44644.0</v>
      </c>
      <c r="E204" s="24">
        <v>6.01</v>
      </c>
      <c r="F204" s="24">
        <v>3.05</v>
      </c>
      <c r="G204" s="24">
        <v>0.05</v>
      </c>
      <c r="H204" s="24" t="s">
        <v>6658</v>
      </c>
      <c r="I204" s="24">
        <v>18.04</v>
      </c>
      <c r="J204" s="24">
        <v>0.0</v>
      </c>
    </row>
    <row r="205">
      <c r="A205" s="24">
        <v>124.0</v>
      </c>
      <c r="B205" s="24">
        <v>0.0</v>
      </c>
      <c r="C205" s="44">
        <v>0.4</v>
      </c>
      <c r="D205" s="45">
        <v>44644.0</v>
      </c>
      <c r="E205" s="24" t="s">
        <v>6650</v>
      </c>
      <c r="F205" s="24">
        <v>3.23</v>
      </c>
      <c r="G205" s="24">
        <v>0.0</v>
      </c>
      <c r="H205" s="24" t="s">
        <v>6657</v>
      </c>
      <c r="I205" s="24" t="s">
        <v>6650</v>
      </c>
      <c r="J205" s="24">
        <v>0.0</v>
      </c>
    </row>
    <row r="206">
      <c r="A206" s="24">
        <v>4745.0</v>
      </c>
      <c r="B206" s="24">
        <v>1.0</v>
      </c>
      <c r="C206" s="44">
        <v>60.5</v>
      </c>
      <c r="D206" s="45">
        <v>44644.0</v>
      </c>
      <c r="E206" s="24">
        <v>60.5</v>
      </c>
      <c r="F206" s="24">
        <v>12.75</v>
      </c>
      <c r="G206" s="24">
        <v>0.02</v>
      </c>
      <c r="H206" s="24" t="s">
        <v>6654</v>
      </c>
      <c r="I206" s="24">
        <v>60.5</v>
      </c>
      <c r="J206" s="24">
        <v>0.0</v>
      </c>
    </row>
    <row r="207">
      <c r="A207" s="24">
        <v>1047.0</v>
      </c>
      <c r="B207" s="24">
        <v>0.0</v>
      </c>
      <c r="C207" s="44">
        <v>2.98</v>
      </c>
      <c r="D207" s="45">
        <v>44644.0</v>
      </c>
      <c r="E207" s="24" t="s">
        <v>6650</v>
      </c>
      <c r="F207" s="24">
        <v>2.85</v>
      </c>
      <c r="G207" s="24">
        <v>0.0</v>
      </c>
      <c r="H207" s="24" t="s">
        <v>6659</v>
      </c>
      <c r="I207" s="24" t="s">
        <v>6650</v>
      </c>
      <c r="J207" s="24">
        <v>0.0</v>
      </c>
    </row>
    <row r="208">
      <c r="A208" s="24">
        <v>4358.0</v>
      </c>
      <c r="B208" s="24">
        <v>2.0</v>
      </c>
      <c r="C208" s="44">
        <v>60.14</v>
      </c>
      <c r="D208" s="45">
        <v>44644.0</v>
      </c>
      <c r="E208" s="24">
        <v>30.07</v>
      </c>
      <c r="F208" s="24">
        <v>13.8</v>
      </c>
      <c r="G208" s="24">
        <v>0.05</v>
      </c>
      <c r="H208" s="24" t="s">
        <v>6655</v>
      </c>
      <c r="I208" s="24">
        <v>15.04</v>
      </c>
      <c r="J208" s="24">
        <v>0.0</v>
      </c>
    </row>
    <row r="209">
      <c r="A209" s="24">
        <v>4192.0</v>
      </c>
      <c r="B209" s="24">
        <v>4.0</v>
      </c>
      <c r="C209" s="44">
        <v>60.58</v>
      </c>
      <c r="D209" s="45">
        <v>44644.0</v>
      </c>
      <c r="E209" s="24">
        <v>15.14</v>
      </c>
      <c r="F209" s="24">
        <v>14.45</v>
      </c>
      <c r="G209" s="24">
        <v>0.1</v>
      </c>
      <c r="H209" s="24" t="s">
        <v>6653</v>
      </c>
      <c r="I209" s="24">
        <v>15.14</v>
      </c>
      <c r="J209" s="24">
        <v>0.0</v>
      </c>
    </row>
    <row r="210">
      <c r="A210" s="24">
        <v>4602.0</v>
      </c>
      <c r="B210" s="24">
        <v>5.0</v>
      </c>
      <c r="C210" s="44">
        <v>63.51</v>
      </c>
      <c r="D210" s="45">
        <v>44645.0</v>
      </c>
      <c r="E210" s="24">
        <v>12.7</v>
      </c>
      <c r="F210" s="24">
        <v>13.8</v>
      </c>
      <c r="G210" s="24">
        <v>0.11</v>
      </c>
      <c r="H210" s="24" t="s">
        <v>6655</v>
      </c>
      <c r="I210" s="24">
        <v>21.17</v>
      </c>
      <c r="J210" s="24">
        <v>0.0</v>
      </c>
    </row>
    <row r="211">
      <c r="A211" s="24">
        <v>6073.0</v>
      </c>
      <c r="B211" s="24">
        <v>5.0</v>
      </c>
      <c r="C211" s="44">
        <v>18.52</v>
      </c>
      <c r="D211" s="45">
        <v>44645.0</v>
      </c>
      <c r="E211" s="24">
        <v>3.7</v>
      </c>
      <c r="F211" s="24">
        <v>3.05</v>
      </c>
      <c r="G211" s="24">
        <v>0.08</v>
      </c>
      <c r="H211" s="24" t="s">
        <v>6658</v>
      </c>
      <c r="I211" s="24">
        <v>6.17</v>
      </c>
      <c r="J211" s="24">
        <v>0.0</v>
      </c>
    </row>
    <row r="212">
      <c r="A212" s="24">
        <v>114.0</v>
      </c>
      <c r="B212" s="24">
        <v>0.0</v>
      </c>
      <c r="C212" s="44">
        <v>0.37</v>
      </c>
      <c r="D212" s="45">
        <v>44645.0</v>
      </c>
      <c r="E212" s="24" t="s">
        <v>6650</v>
      </c>
      <c r="F212" s="24">
        <v>3.25</v>
      </c>
      <c r="G212" s="24">
        <v>0.0</v>
      </c>
      <c r="H212" s="24" t="s">
        <v>6657</v>
      </c>
      <c r="I212" s="24" t="s">
        <v>6650</v>
      </c>
      <c r="J212" s="24">
        <v>0.0</v>
      </c>
    </row>
    <row r="213">
      <c r="A213" s="24">
        <v>854.0</v>
      </c>
      <c r="B213" s="24">
        <v>0.0</v>
      </c>
      <c r="C213" s="44">
        <v>2.43</v>
      </c>
      <c r="D213" s="45">
        <v>44645.0</v>
      </c>
      <c r="E213" s="24" t="s">
        <v>6650</v>
      </c>
      <c r="F213" s="24">
        <v>2.85</v>
      </c>
      <c r="G213" s="24">
        <v>0.0</v>
      </c>
      <c r="H213" s="24" t="s">
        <v>6659</v>
      </c>
      <c r="I213" s="24" t="s">
        <v>6650</v>
      </c>
      <c r="J213" s="24">
        <v>0.0</v>
      </c>
    </row>
    <row r="214">
      <c r="A214" s="24">
        <v>3807.0</v>
      </c>
      <c r="B214" s="24">
        <v>1.0</v>
      </c>
      <c r="C214" s="44">
        <v>55.03</v>
      </c>
      <c r="D214" s="45">
        <v>44645.0</v>
      </c>
      <c r="E214" s="24">
        <v>55.03</v>
      </c>
      <c r="F214" s="24">
        <v>14.45</v>
      </c>
      <c r="G214" s="24">
        <v>0.03</v>
      </c>
      <c r="H214" s="24" t="s">
        <v>6653</v>
      </c>
      <c r="I214" s="24">
        <v>55.03</v>
      </c>
      <c r="J214" s="24">
        <v>0.0</v>
      </c>
    </row>
    <row r="215">
      <c r="A215" s="24">
        <v>5016.0</v>
      </c>
      <c r="B215" s="24">
        <v>2.0</v>
      </c>
      <c r="C215" s="44">
        <v>63.95</v>
      </c>
      <c r="D215" s="45">
        <v>44645.0</v>
      </c>
      <c r="E215" s="24">
        <v>31.98</v>
      </c>
      <c r="F215" s="24">
        <v>12.75</v>
      </c>
      <c r="G215" s="24">
        <v>0.04</v>
      </c>
      <c r="H215" s="24" t="s">
        <v>6654</v>
      </c>
      <c r="I215" s="24" t="s">
        <v>6650</v>
      </c>
      <c r="J215" s="24">
        <v>0.0</v>
      </c>
    </row>
    <row r="216">
      <c r="A216" s="24">
        <v>13.0</v>
      </c>
      <c r="B216" s="24">
        <v>0.0</v>
      </c>
      <c r="C216" s="44">
        <v>0.04</v>
      </c>
      <c r="D216" s="45">
        <v>44646.0</v>
      </c>
      <c r="E216" s="24" t="s">
        <v>6650</v>
      </c>
      <c r="F216" s="24">
        <v>3.08</v>
      </c>
      <c r="G216" s="24">
        <v>0.0</v>
      </c>
      <c r="H216" s="24" t="s">
        <v>6657</v>
      </c>
      <c r="I216" s="24" t="s">
        <v>6650</v>
      </c>
      <c r="J216" s="24">
        <v>0.0</v>
      </c>
    </row>
    <row r="217">
      <c r="A217" s="24">
        <v>247.0</v>
      </c>
      <c r="B217" s="24">
        <v>0.0</v>
      </c>
      <c r="C217" s="44">
        <v>0.7</v>
      </c>
      <c r="D217" s="45">
        <v>44646.0</v>
      </c>
      <c r="E217" s="24" t="s">
        <v>6650</v>
      </c>
      <c r="F217" s="24">
        <v>2.83</v>
      </c>
      <c r="G217" s="24">
        <v>0.0</v>
      </c>
      <c r="H217" s="24" t="s">
        <v>6659</v>
      </c>
      <c r="I217" s="24" t="s">
        <v>6650</v>
      </c>
      <c r="J217" s="24">
        <v>0.0</v>
      </c>
    </row>
    <row r="218">
      <c r="A218" s="24">
        <v>3532.0</v>
      </c>
      <c r="B218" s="24">
        <v>4.0</v>
      </c>
      <c r="C218" s="44">
        <v>10.77</v>
      </c>
      <c r="D218" s="45">
        <v>44646.0</v>
      </c>
      <c r="E218" s="24">
        <v>2.69</v>
      </c>
      <c r="F218" s="24">
        <v>3.05</v>
      </c>
      <c r="G218" s="24">
        <v>0.11</v>
      </c>
      <c r="H218" s="24" t="s">
        <v>6658</v>
      </c>
      <c r="I218" s="24">
        <v>10.77</v>
      </c>
      <c r="J218" s="24">
        <v>0.0</v>
      </c>
    </row>
    <row r="219">
      <c r="A219" s="24">
        <v>2516.0</v>
      </c>
      <c r="B219" s="24">
        <v>1.0</v>
      </c>
      <c r="C219" s="44">
        <v>32.08</v>
      </c>
      <c r="D219" s="45">
        <v>44646.0</v>
      </c>
      <c r="E219" s="24">
        <v>32.08</v>
      </c>
      <c r="F219" s="24">
        <v>12.75</v>
      </c>
      <c r="G219" s="24">
        <v>0.04</v>
      </c>
      <c r="H219" s="24" t="s">
        <v>6654</v>
      </c>
      <c r="I219" s="24">
        <v>32.08</v>
      </c>
      <c r="J219" s="24">
        <v>0.0</v>
      </c>
    </row>
    <row r="220">
      <c r="A220" s="24">
        <v>252.0</v>
      </c>
      <c r="B220" s="24">
        <v>0.0</v>
      </c>
      <c r="C220" s="44">
        <v>3.65</v>
      </c>
      <c r="D220" s="45">
        <v>44646.0</v>
      </c>
      <c r="E220" s="24" t="s">
        <v>6650</v>
      </c>
      <c r="F220" s="24">
        <v>14.48</v>
      </c>
      <c r="G220" s="24">
        <v>0.0</v>
      </c>
      <c r="H220" s="24" t="s">
        <v>6653</v>
      </c>
      <c r="I220" s="24" t="s">
        <v>6650</v>
      </c>
      <c r="J220" s="24">
        <v>0.0</v>
      </c>
    </row>
    <row r="221">
      <c r="A221" s="24">
        <v>2308.0</v>
      </c>
      <c r="B221" s="24">
        <v>1.0</v>
      </c>
      <c r="C221" s="44">
        <v>31.85</v>
      </c>
      <c r="D221" s="45">
        <v>44646.0</v>
      </c>
      <c r="E221" s="24">
        <v>31.85</v>
      </c>
      <c r="F221" s="24">
        <v>13.8</v>
      </c>
      <c r="G221" s="24">
        <v>0.04</v>
      </c>
      <c r="H221" s="24" t="s">
        <v>6655</v>
      </c>
      <c r="I221" s="24" t="s">
        <v>6650</v>
      </c>
      <c r="J221" s="24">
        <v>0.0</v>
      </c>
    </row>
    <row r="222">
      <c r="A222" s="24">
        <v>2398.0</v>
      </c>
      <c r="B222" s="24">
        <v>4.0</v>
      </c>
      <c r="C222" s="44">
        <v>7.31</v>
      </c>
      <c r="D222" s="45">
        <v>44647.0</v>
      </c>
      <c r="E222" s="24">
        <v>1.83</v>
      </c>
      <c r="F222" s="24">
        <v>3.05</v>
      </c>
      <c r="G222" s="24">
        <v>0.17</v>
      </c>
      <c r="H222" s="24" t="s">
        <v>6658</v>
      </c>
      <c r="I222" s="24">
        <v>7.31</v>
      </c>
      <c r="J222" s="24">
        <v>0.0</v>
      </c>
    </row>
    <row r="223">
      <c r="A223" s="24">
        <v>13.0</v>
      </c>
      <c r="B223" s="24">
        <v>0.0</v>
      </c>
      <c r="C223" s="44">
        <v>0.04</v>
      </c>
      <c r="D223" s="45">
        <v>44647.0</v>
      </c>
      <c r="E223" s="24" t="s">
        <v>6650</v>
      </c>
      <c r="F223" s="24">
        <v>3.08</v>
      </c>
      <c r="G223" s="24">
        <v>0.0</v>
      </c>
      <c r="H223" s="24" t="s">
        <v>6657</v>
      </c>
      <c r="I223" s="24" t="s">
        <v>6650</v>
      </c>
      <c r="J223" s="24">
        <v>0.0</v>
      </c>
    </row>
    <row r="224">
      <c r="A224" s="24">
        <v>1902.0</v>
      </c>
      <c r="B224" s="24">
        <v>2.0</v>
      </c>
      <c r="C224" s="44">
        <v>26.24</v>
      </c>
      <c r="D224" s="45">
        <v>44647.0</v>
      </c>
      <c r="E224" s="24">
        <v>13.12</v>
      </c>
      <c r="F224" s="24">
        <v>13.8</v>
      </c>
      <c r="G224" s="24">
        <v>0.11</v>
      </c>
      <c r="H224" s="24" t="s">
        <v>6655</v>
      </c>
      <c r="I224" s="24">
        <v>26.24</v>
      </c>
      <c r="J224" s="24">
        <v>0.0</v>
      </c>
    </row>
    <row r="225">
      <c r="A225" s="24">
        <v>69.0</v>
      </c>
      <c r="B225" s="24">
        <v>0.0</v>
      </c>
      <c r="C225" s="44">
        <v>0.2</v>
      </c>
      <c r="D225" s="45">
        <v>44647.0</v>
      </c>
      <c r="E225" s="24" t="s">
        <v>6650</v>
      </c>
      <c r="F225" s="24">
        <v>2.9</v>
      </c>
      <c r="G225" s="24">
        <v>0.0</v>
      </c>
      <c r="H225" s="24" t="s">
        <v>6659</v>
      </c>
      <c r="I225" s="24" t="s">
        <v>6650</v>
      </c>
      <c r="J225" s="24">
        <v>0.0</v>
      </c>
    </row>
    <row r="226">
      <c r="A226" s="24">
        <v>349.0</v>
      </c>
      <c r="B226" s="24">
        <v>0.0</v>
      </c>
      <c r="C226" s="44">
        <v>5.05</v>
      </c>
      <c r="D226" s="45">
        <v>44647.0</v>
      </c>
      <c r="E226" s="24" t="s">
        <v>6650</v>
      </c>
      <c r="F226" s="24">
        <v>14.47</v>
      </c>
      <c r="G226" s="24">
        <v>0.0</v>
      </c>
      <c r="H226" s="24" t="s">
        <v>6653</v>
      </c>
      <c r="I226" s="24">
        <v>5.05</v>
      </c>
      <c r="J226" s="24">
        <v>0.0</v>
      </c>
    </row>
    <row r="227">
      <c r="A227" s="24">
        <v>2073.0</v>
      </c>
      <c r="B227" s="24">
        <v>2.0</v>
      </c>
      <c r="C227" s="44">
        <v>26.39</v>
      </c>
      <c r="D227" s="45">
        <v>44647.0</v>
      </c>
      <c r="E227" s="24">
        <v>13.2</v>
      </c>
      <c r="F227" s="24">
        <v>12.73</v>
      </c>
      <c r="G227" s="24">
        <v>0.1</v>
      </c>
      <c r="H227" s="24" t="s">
        <v>6654</v>
      </c>
      <c r="I227" s="24">
        <v>8.8</v>
      </c>
      <c r="J227" s="24">
        <v>0.0</v>
      </c>
    </row>
    <row r="228">
      <c r="A228" s="24">
        <v>4857.0</v>
      </c>
      <c r="B228" s="24">
        <v>6.0</v>
      </c>
      <c r="C228" s="44">
        <v>14.81</v>
      </c>
      <c r="D228" s="45">
        <v>44648.0</v>
      </c>
      <c r="E228" s="24">
        <v>2.47</v>
      </c>
      <c r="F228" s="24">
        <v>3.05</v>
      </c>
      <c r="G228" s="24">
        <v>0.12</v>
      </c>
      <c r="H228" s="24" t="s">
        <v>6658</v>
      </c>
      <c r="I228" s="24">
        <v>2.96</v>
      </c>
      <c r="J228" s="24">
        <v>0.0</v>
      </c>
    </row>
    <row r="229">
      <c r="A229" s="24">
        <v>3801.0</v>
      </c>
      <c r="B229" s="24">
        <v>2.0</v>
      </c>
      <c r="C229" s="44">
        <v>52.45</v>
      </c>
      <c r="D229" s="45">
        <v>44648.0</v>
      </c>
      <c r="E229" s="24">
        <v>26.22</v>
      </c>
      <c r="F229" s="24">
        <v>13.8</v>
      </c>
      <c r="G229" s="24">
        <v>0.05</v>
      </c>
      <c r="H229" s="24" t="s">
        <v>6655</v>
      </c>
      <c r="I229" s="24">
        <v>52.45</v>
      </c>
      <c r="J229" s="24">
        <v>0.0</v>
      </c>
    </row>
    <row r="230">
      <c r="A230" s="24">
        <v>147.0</v>
      </c>
      <c r="B230" s="24">
        <v>1.0</v>
      </c>
      <c r="C230" s="44">
        <v>0.48</v>
      </c>
      <c r="D230" s="45">
        <v>44648.0</v>
      </c>
      <c r="E230" s="24">
        <v>0.48</v>
      </c>
      <c r="F230" s="24">
        <v>3.27</v>
      </c>
      <c r="G230" s="24">
        <v>0.68</v>
      </c>
      <c r="H230" s="24" t="s">
        <v>6657</v>
      </c>
      <c r="I230" s="24" t="s">
        <v>6650</v>
      </c>
      <c r="J230" s="24">
        <v>0.0</v>
      </c>
    </row>
    <row r="231">
      <c r="A231" s="24">
        <v>3628.0</v>
      </c>
      <c r="B231" s="24">
        <v>3.0</v>
      </c>
      <c r="C231" s="44">
        <v>52.43</v>
      </c>
      <c r="D231" s="45">
        <v>44648.0</v>
      </c>
      <c r="E231" s="24">
        <v>17.48</v>
      </c>
      <c r="F231" s="24">
        <v>14.45</v>
      </c>
      <c r="G231" s="24">
        <v>0.08</v>
      </c>
      <c r="H231" s="24" t="s">
        <v>6653</v>
      </c>
      <c r="I231" s="24">
        <v>17.48</v>
      </c>
      <c r="J231" s="24">
        <v>0.0</v>
      </c>
    </row>
    <row r="232">
      <c r="A232" s="24">
        <v>4110.0</v>
      </c>
      <c r="B232" s="24">
        <v>1.0</v>
      </c>
      <c r="C232" s="44">
        <v>52.4</v>
      </c>
      <c r="D232" s="45">
        <v>44648.0</v>
      </c>
      <c r="E232" s="24">
        <v>52.4</v>
      </c>
      <c r="F232" s="24">
        <v>12.75</v>
      </c>
      <c r="G232" s="24">
        <v>0.02</v>
      </c>
      <c r="H232" s="24" t="s">
        <v>6654</v>
      </c>
      <c r="I232" s="24">
        <v>52.4</v>
      </c>
      <c r="J232" s="24">
        <v>0.0</v>
      </c>
    </row>
    <row r="233">
      <c r="A233" s="24">
        <v>1126.0</v>
      </c>
      <c r="B233" s="24">
        <v>2.0</v>
      </c>
      <c r="C233" s="44">
        <v>3.21</v>
      </c>
      <c r="D233" s="45">
        <v>44648.0</v>
      </c>
      <c r="E233" s="24">
        <v>1.6</v>
      </c>
      <c r="F233" s="24">
        <v>2.85</v>
      </c>
      <c r="G233" s="24">
        <v>0.18</v>
      </c>
      <c r="H233" s="24" t="s">
        <v>6659</v>
      </c>
      <c r="I233" s="24" t="s">
        <v>6650</v>
      </c>
      <c r="J233" s="24">
        <v>0.0</v>
      </c>
    </row>
    <row r="234">
      <c r="A234" s="24">
        <v>5028.0</v>
      </c>
      <c r="B234" s="24">
        <v>6.0</v>
      </c>
      <c r="C234" s="44">
        <v>15.34</v>
      </c>
      <c r="D234" s="45">
        <v>44649.0</v>
      </c>
      <c r="E234" s="24">
        <v>2.56</v>
      </c>
      <c r="F234" s="24">
        <v>3.05</v>
      </c>
      <c r="G234" s="24">
        <v>0.12</v>
      </c>
      <c r="H234" s="24" t="s">
        <v>6658</v>
      </c>
      <c r="I234" s="24">
        <v>5.11</v>
      </c>
      <c r="J234" s="24">
        <v>0.0</v>
      </c>
    </row>
    <row r="235">
      <c r="A235" s="24">
        <v>135.0</v>
      </c>
      <c r="B235" s="24">
        <v>0.0</v>
      </c>
      <c r="C235" s="44">
        <v>0.44</v>
      </c>
      <c r="D235" s="45">
        <v>44649.0</v>
      </c>
      <c r="E235" s="24" t="s">
        <v>6650</v>
      </c>
      <c r="F235" s="24">
        <v>3.26</v>
      </c>
      <c r="G235" s="24">
        <v>0.0</v>
      </c>
      <c r="H235" s="24" t="s">
        <v>6657</v>
      </c>
      <c r="I235" s="24" t="s">
        <v>6650</v>
      </c>
      <c r="J235" s="24">
        <v>0.0</v>
      </c>
    </row>
    <row r="236">
      <c r="A236" s="24">
        <v>3960.0</v>
      </c>
      <c r="B236" s="24">
        <v>1.0</v>
      </c>
      <c r="C236" s="44">
        <v>57.23</v>
      </c>
      <c r="D236" s="45">
        <v>44649.0</v>
      </c>
      <c r="E236" s="24">
        <v>57.23</v>
      </c>
      <c r="F236" s="24">
        <v>14.45</v>
      </c>
      <c r="G236" s="24">
        <v>0.03</v>
      </c>
      <c r="H236" s="24" t="s">
        <v>6653</v>
      </c>
      <c r="I236" s="24" t="s">
        <v>6650</v>
      </c>
      <c r="J236" s="24">
        <v>0.0</v>
      </c>
    </row>
    <row r="237">
      <c r="A237" s="24">
        <v>4490.0</v>
      </c>
      <c r="B237" s="24">
        <v>1.0</v>
      </c>
      <c r="C237" s="44">
        <v>57.25</v>
      </c>
      <c r="D237" s="45">
        <v>44649.0</v>
      </c>
      <c r="E237" s="24">
        <v>57.25</v>
      </c>
      <c r="F237" s="24">
        <v>12.75</v>
      </c>
      <c r="G237" s="24">
        <v>0.02</v>
      </c>
      <c r="H237" s="24" t="s">
        <v>6654</v>
      </c>
      <c r="I237" s="24" t="s">
        <v>6650</v>
      </c>
      <c r="J237" s="24">
        <v>0.0</v>
      </c>
    </row>
    <row r="238">
      <c r="A238" s="24">
        <v>4153.0</v>
      </c>
      <c r="B238" s="24">
        <v>2.0</v>
      </c>
      <c r="C238" s="44">
        <v>57.31</v>
      </c>
      <c r="D238" s="45">
        <v>44649.0</v>
      </c>
      <c r="E238" s="24">
        <v>28.66</v>
      </c>
      <c r="F238" s="24">
        <v>13.8</v>
      </c>
      <c r="G238" s="24">
        <v>0.05</v>
      </c>
      <c r="H238" s="24" t="s">
        <v>6655</v>
      </c>
      <c r="I238" s="24">
        <v>57.31</v>
      </c>
      <c r="J238" s="24">
        <v>0.0</v>
      </c>
    </row>
    <row r="239">
      <c r="A239" s="24">
        <v>1165.0</v>
      </c>
      <c r="B239" s="24">
        <v>3.0</v>
      </c>
      <c r="C239" s="44">
        <v>3.32</v>
      </c>
      <c r="D239" s="45">
        <v>44649.0</v>
      </c>
      <c r="E239" s="24">
        <v>1.11</v>
      </c>
      <c r="F239" s="24">
        <v>2.85</v>
      </c>
      <c r="G239" s="24">
        <v>0.26</v>
      </c>
      <c r="H239" s="24" t="s">
        <v>6659</v>
      </c>
      <c r="I239" s="24">
        <v>3.32</v>
      </c>
      <c r="J239" s="24">
        <v>0.0</v>
      </c>
    </row>
    <row r="240">
      <c r="A240" s="24">
        <v>4293.0</v>
      </c>
      <c r="B240" s="24">
        <v>2.0</v>
      </c>
      <c r="C240" s="44">
        <v>59.24</v>
      </c>
      <c r="D240" s="45">
        <v>44650.0</v>
      </c>
      <c r="E240" s="24">
        <v>29.62</v>
      </c>
      <c r="F240" s="24">
        <v>13.8</v>
      </c>
      <c r="G240" s="24">
        <v>0.05</v>
      </c>
      <c r="H240" s="24" t="s">
        <v>6655</v>
      </c>
      <c r="I240" s="24" t="s">
        <v>6650</v>
      </c>
      <c r="J240" s="24">
        <v>0.0</v>
      </c>
    </row>
    <row r="241">
      <c r="A241" s="24">
        <v>4643.0</v>
      </c>
      <c r="B241" s="24">
        <v>0.0</v>
      </c>
      <c r="C241" s="44">
        <v>59.2</v>
      </c>
      <c r="D241" s="45">
        <v>44650.0</v>
      </c>
      <c r="E241" s="24" t="s">
        <v>6650</v>
      </c>
      <c r="F241" s="24">
        <v>12.75</v>
      </c>
      <c r="G241" s="24">
        <v>0.0</v>
      </c>
      <c r="H241" s="24" t="s">
        <v>6654</v>
      </c>
      <c r="I241" s="24" t="s">
        <v>6650</v>
      </c>
      <c r="J241" s="24">
        <v>0.0</v>
      </c>
    </row>
    <row r="242">
      <c r="A242" s="24">
        <v>5412.0</v>
      </c>
      <c r="B242" s="24">
        <v>2.0</v>
      </c>
      <c r="C242" s="44">
        <v>16.51</v>
      </c>
      <c r="D242" s="45">
        <v>44650.0</v>
      </c>
      <c r="E242" s="24">
        <v>8.26</v>
      </c>
      <c r="F242" s="24">
        <v>3.05</v>
      </c>
      <c r="G242" s="24">
        <v>0.04</v>
      </c>
      <c r="H242" s="24" t="s">
        <v>6658</v>
      </c>
      <c r="I242" s="24">
        <v>8.26</v>
      </c>
      <c r="J242" s="24">
        <v>0.0</v>
      </c>
    </row>
    <row r="243">
      <c r="A243" s="24">
        <v>158.0</v>
      </c>
      <c r="B243" s="24">
        <v>0.0</v>
      </c>
      <c r="C243" s="44">
        <v>0.51</v>
      </c>
      <c r="D243" s="45">
        <v>44650.0</v>
      </c>
      <c r="E243" s="24" t="s">
        <v>6650</v>
      </c>
      <c r="F243" s="24">
        <v>3.23</v>
      </c>
      <c r="G243" s="24">
        <v>0.0</v>
      </c>
      <c r="H243" s="24" t="s">
        <v>6657</v>
      </c>
      <c r="I243" s="24" t="s">
        <v>6650</v>
      </c>
      <c r="J243" s="24">
        <v>0.0</v>
      </c>
    </row>
    <row r="244">
      <c r="A244" s="24">
        <v>1115.0</v>
      </c>
      <c r="B244" s="24">
        <v>0.0</v>
      </c>
      <c r="C244" s="44">
        <v>3.18</v>
      </c>
      <c r="D244" s="45">
        <v>44650.0</v>
      </c>
      <c r="E244" s="24" t="s">
        <v>6650</v>
      </c>
      <c r="F244" s="24">
        <v>2.85</v>
      </c>
      <c r="G244" s="24">
        <v>0.0</v>
      </c>
      <c r="H244" s="24" t="s">
        <v>6659</v>
      </c>
      <c r="I244" s="24" t="s">
        <v>6650</v>
      </c>
      <c r="J244" s="24">
        <v>0.0</v>
      </c>
    </row>
    <row r="245">
      <c r="A245" s="24">
        <v>4091.0</v>
      </c>
      <c r="B245" s="24">
        <v>1.0</v>
      </c>
      <c r="C245" s="44">
        <v>59.12</v>
      </c>
      <c r="D245" s="45">
        <v>44650.0</v>
      </c>
      <c r="E245" s="24">
        <v>59.12</v>
      </c>
      <c r="F245" s="24">
        <v>14.45</v>
      </c>
      <c r="G245" s="24">
        <v>0.02</v>
      </c>
      <c r="H245" s="24" t="s">
        <v>6653</v>
      </c>
      <c r="I245" s="24">
        <v>59.12</v>
      </c>
      <c r="J245" s="24">
        <v>0.0</v>
      </c>
    </row>
    <row r="246">
      <c r="A246" s="24">
        <v>4851.0</v>
      </c>
      <c r="B246" s="24">
        <v>2.0</v>
      </c>
      <c r="C246" s="44">
        <v>61.85</v>
      </c>
      <c r="D246" s="45">
        <v>44651.0</v>
      </c>
      <c r="E246" s="24">
        <v>30.92</v>
      </c>
      <c r="F246" s="24">
        <v>12.75</v>
      </c>
      <c r="G246" s="24">
        <v>0.04</v>
      </c>
      <c r="H246" s="24" t="s">
        <v>6654</v>
      </c>
      <c r="I246" s="24">
        <v>30.92</v>
      </c>
      <c r="J246" s="24">
        <v>0.0</v>
      </c>
    </row>
    <row r="247">
      <c r="A247" s="24">
        <v>4479.0</v>
      </c>
      <c r="B247" s="24">
        <v>3.0</v>
      </c>
      <c r="C247" s="44">
        <v>61.81</v>
      </c>
      <c r="D247" s="45">
        <v>44651.0</v>
      </c>
      <c r="E247" s="24">
        <v>20.6</v>
      </c>
      <c r="F247" s="24">
        <v>13.8</v>
      </c>
      <c r="G247" s="24">
        <v>0.07</v>
      </c>
      <c r="H247" s="24" t="s">
        <v>6655</v>
      </c>
      <c r="I247" s="24">
        <v>10.3</v>
      </c>
      <c r="J247" s="24">
        <v>0.0</v>
      </c>
    </row>
    <row r="248">
      <c r="A248" s="24">
        <v>1106.0</v>
      </c>
      <c r="B248" s="24">
        <v>1.0</v>
      </c>
      <c r="C248" s="44">
        <v>3.15</v>
      </c>
      <c r="D248" s="45">
        <v>44651.0</v>
      </c>
      <c r="E248" s="24">
        <v>3.15</v>
      </c>
      <c r="F248" s="24">
        <v>2.85</v>
      </c>
      <c r="G248" s="24">
        <v>0.09</v>
      </c>
      <c r="H248" s="24" t="s">
        <v>6659</v>
      </c>
      <c r="I248" s="24">
        <v>1.58</v>
      </c>
      <c r="J248" s="24">
        <v>0.0</v>
      </c>
    </row>
    <row r="249">
      <c r="A249" s="24">
        <v>4282.0</v>
      </c>
      <c r="B249" s="24">
        <v>3.0</v>
      </c>
      <c r="C249" s="44">
        <v>61.88</v>
      </c>
      <c r="D249" s="45">
        <v>44651.0</v>
      </c>
      <c r="E249" s="24">
        <v>20.63</v>
      </c>
      <c r="F249" s="24">
        <v>14.45</v>
      </c>
      <c r="G249" s="24">
        <v>0.07</v>
      </c>
      <c r="H249" s="24" t="s">
        <v>6653</v>
      </c>
      <c r="I249" s="24">
        <v>15.47</v>
      </c>
      <c r="J249" s="24">
        <v>0.0</v>
      </c>
    </row>
    <row r="250">
      <c r="A250" s="24">
        <v>36.0</v>
      </c>
      <c r="B250" s="24">
        <v>4.0</v>
      </c>
      <c r="C250" s="44">
        <v>0.54</v>
      </c>
      <c r="D250" s="45">
        <v>44651.0</v>
      </c>
      <c r="E250" s="24">
        <v>0.14</v>
      </c>
      <c r="F250" s="24">
        <v>15.0</v>
      </c>
      <c r="G250" s="24">
        <v>11.11</v>
      </c>
      <c r="H250" s="24" t="s">
        <v>6660</v>
      </c>
      <c r="I250" s="24">
        <v>0.08</v>
      </c>
      <c r="J250" s="24">
        <v>0.0</v>
      </c>
    </row>
    <row r="251">
      <c r="A251" s="24">
        <v>153.0</v>
      </c>
      <c r="B251" s="24">
        <v>0.0</v>
      </c>
      <c r="C251" s="44">
        <v>0.5</v>
      </c>
      <c r="D251" s="45">
        <v>44651.0</v>
      </c>
      <c r="E251" s="24" t="s">
        <v>6650</v>
      </c>
      <c r="F251" s="24">
        <v>3.27</v>
      </c>
      <c r="G251" s="24">
        <v>0.0</v>
      </c>
      <c r="H251" s="24" t="s">
        <v>6657</v>
      </c>
      <c r="I251" s="24" t="s">
        <v>6650</v>
      </c>
      <c r="J251" s="24">
        <v>0.0</v>
      </c>
    </row>
    <row r="252">
      <c r="A252" s="24">
        <v>5.0</v>
      </c>
      <c r="B252" s="24">
        <v>2.0</v>
      </c>
      <c r="C252" s="44">
        <v>0.08</v>
      </c>
      <c r="D252" s="45">
        <v>44651.0</v>
      </c>
      <c r="E252" s="24">
        <v>0.04</v>
      </c>
      <c r="F252" s="24">
        <v>16.0</v>
      </c>
      <c r="G252" s="24">
        <v>40.0</v>
      </c>
      <c r="H252" s="24" t="s">
        <v>6661</v>
      </c>
      <c r="I252" s="24">
        <v>0.04</v>
      </c>
      <c r="J252" s="24">
        <v>0.0</v>
      </c>
    </row>
    <row r="253">
      <c r="A253" s="24">
        <v>5642.0</v>
      </c>
      <c r="B253" s="24">
        <v>12.0</v>
      </c>
      <c r="C253" s="44">
        <v>17.21</v>
      </c>
      <c r="D253" s="45">
        <v>44651.0</v>
      </c>
      <c r="E253" s="24">
        <v>1.43</v>
      </c>
      <c r="F253" s="24">
        <v>3.05</v>
      </c>
      <c r="G253" s="24">
        <v>0.21</v>
      </c>
      <c r="H253" s="24" t="s">
        <v>6658</v>
      </c>
      <c r="I253" s="24">
        <v>2.87</v>
      </c>
      <c r="J253" s="24">
        <v>0.0</v>
      </c>
    </row>
    <row r="254">
      <c r="A254" s="24">
        <v>159.0</v>
      </c>
      <c r="B254" s="24">
        <v>0.0</v>
      </c>
      <c r="C254" s="44">
        <v>0.52</v>
      </c>
      <c r="D254" s="45">
        <v>44652.0</v>
      </c>
      <c r="E254" s="24" t="s">
        <v>6650</v>
      </c>
      <c r="F254" s="24">
        <v>3.27</v>
      </c>
      <c r="G254" s="24">
        <v>0.0</v>
      </c>
      <c r="H254" s="24" t="s">
        <v>6657</v>
      </c>
      <c r="I254" s="24" t="s">
        <v>6650</v>
      </c>
      <c r="J254" s="24">
        <v>0.0</v>
      </c>
    </row>
    <row r="255">
      <c r="A255" s="24">
        <v>4142.0</v>
      </c>
      <c r="B255" s="24">
        <v>52.0</v>
      </c>
      <c r="C255" s="44">
        <v>26.25</v>
      </c>
      <c r="D255" s="45">
        <v>44652.0</v>
      </c>
      <c r="E255" s="24">
        <v>0.5</v>
      </c>
      <c r="F255" s="24">
        <v>6.34</v>
      </c>
      <c r="G255" s="24">
        <v>1.26</v>
      </c>
      <c r="H255" s="24" t="s">
        <v>6660</v>
      </c>
      <c r="I255" s="24">
        <v>0.5</v>
      </c>
      <c r="J255" s="24">
        <v>0.0</v>
      </c>
    </row>
    <row r="256">
      <c r="A256" s="24">
        <v>859.0</v>
      </c>
      <c r="B256" s="24">
        <v>0.0</v>
      </c>
      <c r="C256" s="44">
        <v>2.45</v>
      </c>
      <c r="D256" s="45">
        <v>44652.0</v>
      </c>
      <c r="E256" s="24" t="s">
        <v>6650</v>
      </c>
      <c r="F256" s="24">
        <v>2.85</v>
      </c>
      <c r="G256" s="24">
        <v>0.0</v>
      </c>
      <c r="H256" s="24" t="s">
        <v>6659</v>
      </c>
      <c r="I256" s="24" t="s">
        <v>6650</v>
      </c>
      <c r="J256" s="24">
        <v>0.0</v>
      </c>
    </row>
    <row r="257">
      <c r="A257" s="24">
        <v>4638.0</v>
      </c>
      <c r="B257" s="24">
        <v>1.0</v>
      </c>
      <c r="C257" s="44">
        <v>64.0</v>
      </c>
      <c r="D257" s="45">
        <v>44652.0</v>
      </c>
      <c r="E257" s="24">
        <v>64.0</v>
      </c>
      <c r="F257" s="24">
        <v>13.8</v>
      </c>
      <c r="G257" s="24">
        <v>0.02</v>
      </c>
      <c r="H257" s="24" t="s">
        <v>6655</v>
      </c>
      <c r="I257" s="24">
        <v>64.0</v>
      </c>
      <c r="J257" s="24">
        <v>0.0</v>
      </c>
    </row>
    <row r="258">
      <c r="A258" s="24">
        <v>3881.0</v>
      </c>
      <c r="B258" s="24">
        <v>1.0</v>
      </c>
      <c r="C258" s="44">
        <v>56.09</v>
      </c>
      <c r="D258" s="45">
        <v>44652.0</v>
      </c>
      <c r="E258" s="24">
        <v>56.09</v>
      </c>
      <c r="F258" s="24">
        <v>14.45</v>
      </c>
      <c r="G258" s="24">
        <v>0.03</v>
      </c>
      <c r="H258" s="24" t="s">
        <v>6653</v>
      </c>
      <c r="I258" s="24">
        <v>18.7</v>
      </c>
      <c r="J258" s="24">
        <v>0.0</v>
      </c>
    </row>
    <row r="259">
      <c r="A259" s="24">
        <v>6118.0</v>
      </c>
      <c r="B259" s="24">
        <v>6.0</v>
      </c>
      <c r="C259" s="44">
        <v>18.66</v>
      </c>
      <c r="D259" s="45">
        <v>44652.0</v>
      </c>
      <c r="E259" s="24">
        <v>3.11</v>
      </c>
      <c r="F259" s="24">
        <v>3.05</v>
      </c>
      <c r="G259" s="24">
        <v>0.1</v>
      </c>
      <c r="H259" s="24" t="s">
        <v>6658</v>
      </c>
      <c r="I259" s="24">
        <v>9.33</v>
      </c>
      <c r="J259" s="24">
        <v>0.0</v>
      </c>
    </row>
    <row r="260">
      <c r="A260" s="24">
        <v>5023.0</v>
      </c>
      <c r="B260" s="24">
        <v>1.0</v>
      </c>
      <c r="C260" s="44">
        <v>64.04</v>
      </c>
      <c r="D260" s="45">
        <v>44652.0</v>
      </c>
      <c r="E260" s="24">
        <v>64.04</v>
      </c>
      <c r="F260" s="24">
        <v>12.75</v>
      </c>
      <c r="G260" s="24">
        <v>0.02</v>
      </c>
      <c r="H260" s="24" t="s">
        <v>6654</v>
      </c>
      <c r="I260" s="24">
        <v>64.04</v>
      </c>
      <c r="J260" s="24">
        <v>0.0</v>
      </c>
    </row>
    <row r="261">
      <c r="A261" s="24">
        <v>225.0</v>
      </c>
      <c r="B261" s="24">
        <v>0.0</v>
      </c>
      <c r="C261" s="44">
        <v>0.64</v>
      </c>
      <c r="D261" s="45">
        <v>44653.0</v>
      </c>
      <c r="E261" s="24" t="s">
        <v>6650</v>
      </c>
      <c r="F261" s="24">
        <v>2.84</v>
      </c>
      <c r="G261" s="24">
        <v>0.0</v>
      </c>
      <c r="H261" s="24" t="s">
        <v>6659</v>
      </c>
      <c r="I261" s="24" t="s">
        <v>6650</v>
      </c>
      <c r="J261" s="24">
        <v>0.0</v>
      </c>
    </row>
    <row r="262">
      <c r="A262" s="24">
        <v>2385.0</v>
      </c>
      <c r="B262" s="24">
        <v>3.0</v>
      </c>
      <c r="C262" s="44">
        <v>30.41</v>
      </c>
      <c r="D262" s="45">
        <v>44653.0</v>
      </c>
      <c r="E262" s="24">
        <v>10.14</v>
      </c>
      <c r="F262" s="24">
        <v>12.75</v>
      </c>
      <c r="G262" s="24">
        <v>0.13</v>
      </c>
      <c r="H262" s="24" t="s">
        <v>6654</v>
      </c>
      <c r="I262" s="24">
        <v>10.14</v>
      </c>
      <c r="J262" s="24">
        <v>0.0</v>
      </c>
    </row>
    <row r="263">
      <c r="A263" s="24">
        <v>3776.0</v>
      </c>
      <c r="B263" s="24">
        <v>8.0</v>
      </c>
      <c r="C263" s="44">
        <v>11.52</v>
      </c>
      <c r="D263" s="45">
        <v>44653.0</v>
      </c>
      <c r="E263" s="24">
        <v>1.44</v>
      </c>
      <c r="F263" s="24">
        <v>3.05</v>
      </c>
      <c r="G263" s="24">
        <v>0.21</v>
      </c>
      <c r="H263" s="24" t="s">
        <v>6658</v>
      </c>
      <c r="I263" s="24">
        <v>2.88</v>
      </c>
      <c r="J263" s="24">
        <v>0.0</v>
      </c>
    </row>
    <row r="264">
      <c r="A264" s="24">
        <v>2203.0</v>
      </c>
      <c r="B264" s="24">
        <v>0.0</v>
      </c>
      <c r="C264" s="44">
        <v>30.4</v>
      </c>
      <c r="D264" s="45">
        <v>44653.0</v>
      </c>
      <c r="E264" s="24" t="s">
        <v>6650</v>
      </c>
      <c r="F264" s="24">
        <v>13.8</v>
      </c>
      <c r="G264" s="24">
        <v>0.0</v>
      </c>
      <c r="H264" s="24" t="s">
        <v>6655</v>
      </c>
      <c r="I264" s="24">
        <v>15.2</v>
      </c>
      <c r="J264" s="24">
        <v>0.0</v>
      </c>
    </row>
    <row r="265">
      <c r="A265" s="24">
        <v>3027.0</v>
      </c>
      <c r="B265" s="24">
        <v>10.0</v>
      </c>
      <c r="C265" s="44">
        <v>23.11</v>
      </c>
      <c r="D265" s="45">
        <v>44653.0</v>
      </c>
      <c r="E265" s="24">
        <v>2.31</v>
      </c>
      <c r="F265" s="24">
        <v>7.63</v>
      </c>
      <c r="G265" s="24">
        <v>0.33</v>
      </c>
      <c r="H265" s="24" t="s">
        <v>6660</v>
      </c>
      <c r="I265" s="24">
        <v>2.31</v>
      </c>
      <c r="J265" s="24">
        <v>0.0</v>
      </c>
    </row>
    <row r="266">
      <c r="A266" s="24">
        <v>281.0</v>
      </c>
      <c r="B266" s="24">
        <v>0.0</v>
      </c>
      <c r="C266" s="44">
        <v>4.07</v>
      </c>
      <c r="D266" s="45">
        <v>44653.0</v>
      </c>
      <c r="E266" s="24" t="s">
        <v>6650</v>
      </c>
      <c r="F266" s="24">
        <v>14.48</v>
      </c>
      <c r="G266" s="24">
        <v>0.0</v>
      </c>
      <c r="H266" s="24" t="s">
        <v>6653</v>
      </c>
      <c r="I266" s="24" t="s">
        <v>6650</v>
      </c>
      <c r="J266" s="24">
        <v>0.0</v>
      </c>
    </row>
    <row r="267">
      <c r="A267" s="24">
        <v>32.0</v>
      </c>
      <c r="B267" s="24">
        <v>0.0</v>
      </c>
      <c r="C267" s="44">
        <v>0.1</v>
      </c>
      <c r="D267" s="45">
        <v>44653.0</v>
      </c>
      <c r="E267" s="24" t="s">
        <v>6650</v>
      </c>
      <c r="F267" s="24">
        <v>3.12</v>
      </c>
      <c r="G267" s="24">
        <v>0.0</v>
      </c>
      <c r="H267" s="24" t="s">
        <v>6657</v>
      </c>
      <c r="I267" s="24" t="s">
        <v>6650</v>
      </c>
      <c r="J267" s="24">
        <v>0.0</v>
      </c>
    </row>
    <row r="268">
      <c r="A268" s="24">
        <v>1798.0</v>
      </c>
      <c r="B268" s="24">
        <v>0.0</v>
      </c>
      <c r="C268" s="44">
        <v>24.79</v>
      </c>
      <c r="D268" s="45">
        <v>44654.0</v>
      </c>
      <c r="E268" s="24" t="s">
        <v>6650</v>
      </c>
      <c r="F268" s="24">
        <v>13.79</v>
      </c>
      <c r="G268" s="24">
        <v>0.0</v>
      </c>
      <c r="H268" s="24" t="s">
        <v>6655</v>
      </c>
      <c r="I268" s="24" t="s">
        <v>6650</v>
      </c>
      <c r="J268" s="24">
        <v>0.0</v>
      </c>
    </row>
    <row r="269">
      <c r="A269" s="24">
        <v>28.0</v>
      </c>
      <c r="B269" s="24">
        <v>0.0</v>
      </c>
      <c r="C269" s="44">
        <v>0.09</v>
      </c>
      <c r="D269" s="45">
        <v>44654.0</v>
      </c>
      <c r="E269" s="24" t="s">
        <v>6650</v>
      </c>
      <c r="F269" s="24">
        <v>3.21</v>
      </c>
      <c r="G269" s="24">
        <v>0.0</v>
      </c>
      <c r="H269" s="24" t="s">
        <v>6657</v>
      </c>
      <c r="I269" s="24" t="s">
        <v>6650</v>
      </c>
      <c r="J269" s="24">
        <v>0.0</v>
      </c>
    </row>
    <row r="270">
      <c r="A270" s="24">
        <v>2803.0</v>
      </c>
      <c r="B270" s="24">
        <v>9.0</v>
      </c>
      <c r="C270" s="44">
        <v>20.1</v>
      </c>
      <c r="D270" s="45">
        <v>44654.0</v>
      </c>
      <c r="E270" s="24">
        <v>2.23</v>
      </c>
      <c r="F270" s="24">
        <v>7.17</v>
      </c>
      <c r="G270" s="24">
        <v>0.32</v>
      </c>
      <c r="H270" s="24" t="s">
        <v>6660</v>
      </c>
      <c r="I270" s="24">
        <v>2.51</v>
      </c>
      <c r="J270" s="24">
        <v>0.0</v>
      </c>
    </row>
    <row r="271">
      <c r="A271" s="24">
        <v>368.0</v>
      </c>
      <c r="B271" s="24">
        <v>0.0</v>
      </c>
      <c r="C271" s="44">
        <v>5.33</v>
      </c>
      <c r="D271" s="45">
        <v>44654.0</v>
      </c>
      <c r="E271" s="24" t="s">
        <v>6650</v>
      </c>
      <c r="F271" s="24">
        <v>14.48</v>
      </c>
      <c r="G271" s="24">
        <v>0.0</v>
      </c>
      <c r="H271" s="24" t="s">
        <v>6653</v>
      </c>
      <c r="I271" s="24" t="s">
        <v>6650</v>
      </c>
      <c r="J271" s="24">
        <v>0.0</v>
      </c>
    </row>
    <row r="272">
      <c r="A272" s="24">
        <v>1953.0</v>
      </c>
      <c r="B272" s="24">
        <v>0.0</v>
      </c>
      <c r="C272" s="44">
        <v>24.85</v>
      </c>
      <c r="D272" s="45">
        <v>44654.0</v>
      </c>
      <c r="E272" s="24" t="s">
        <v>6650</v>
      </c>
      <c r="F272" s="24">
        <v>12.72</v>
      </c>
      <c r="G272" s="24">
        <v>0.0</v>
      </c>
      <c r="H272" s="24" t="s">
        <v>6654</v>
      </c>
      <c r="I272" s="24" t="s">
        <v>6650</v>
      </c>
      <c r="J272" s="24">
        <v>0.0</v>
      </c>
    </row>
    <row r="273">
      <c r="A273" s="24">
        <v>91.0</v>
      </c>
      <c r="B273" s="24">
        <v>0.0</v>
      </c>
      <c r="C273" s="44">
        <v>0.26</v>
      </c>
      <c r="D273" s="45">
        <v>44654.0</v>
      </c>
      <c r="E273" s="24" t="s">
        <v>6650</v>
      </c>
      <c r="F273" s="24">
        <v>2.86</v>
      </c>
      <c r="G273" s="24">
        <v>0.0</v>
      </c>
      <c r="H273" s="24" t="s">
        <v>6659</v>
      </c>
      <c r="I273" s="24" t="s">
        <v>6650</v>
      </c>
      <c r="J273" s="24">
        <v>0.0</v>
      </c>
    </row>
    <row r="274">
      <c r="A274" s="24">
        <v>3031.0</v>
      </c>
      <c r="B274" s="24">
        <v>5.0</v>
      </c>
      <c r="C274" s="44">
        <v>9.24</v>
      </c>
      <c r="D274" s="45">
        <v>44654.0</v>
      </c>
      <c r="E274" s="24">
        <v>1.85</v>
      </c>
      <c r="F274" s="24">
        <v>3.05</v>
      </c>
      <c r="G274" s="24">
        <v>0.16</v>
      </c>
      <c r="H274" s="24" t="s">
        <v>6658</v>
      </c>
      <c r="I274" s="24">
        <v>2.31</v>
      </c>
      <c r="J274" s="24">
        <v>0.0</v>
      </c>
    </row>
    <row r="275">
      <c r="A275" s="24">
        <v>3620.0</v>
      </c>
      <c r="B275" s="24">
        <v>2.0</v>
      </c>
      <c r="C275" s="44">
        <v>52.32</v>
      </c>
      <c r="D275" s="45">
        <v>44655.0</v>
      </c>
      <c r="E275" s="24">
        <v>26.16</v>
      </c>
      <c r="F275" s="24">
        <v>14.45</v>
      </c>
      <c r="G275" s="24">
        <v>0.06</v>
      </c>
      <c r="H275" s="24" t="s">
        <v>6653</v>
      </c>
      <c r="I275" s="24">
        <v>52.32</v>
      </c>
      <c r="J275" s="24">
        <v>0.0</v>
      </c>
    </row>
    <row r="276">
      <c r="A276" s="24">
        <v>247.0</v>
      </c>
      <c r="B276" s="24">
        <v>0.0</v>
      </c>
      <c r="C276" s="44">
        <v>0.8</v>
      </c>
      <c r="D276" s="45">
        <v>44655.0</v>
      </c>
      <c r="E276" s="24" t="s">
        <v>6650</v>
      </c>
      <c r="F276" s="24">
        <v>3.24</v>
      </c>
      <c r="G276" s="24">
        <v>0.0</v>
      </c>
      <c r="H276" s="24" t="s">
        <v>6657</v>
      </c>
      <c r="I276" s="24" t="s">
        <v>6650</v>
      </c>
      <c r="J276" s="24">
        <v>0.0</v>
      </c>
    </row>
    <row r="277">
      <c r="A277" s="24">
        <v>4105.0</v>
      </c>
      <c r="B277" s="24">
        <v>2.0</v>
      </c>
      <c r="C277" s="44">
        <v>52.34</v>
      </c>
      <c r="D277" s="45">
        <v>44655.0</v>
      </c>
      <c r="E277" s="24">
        <v>26.17</v>
      </c>
      <c r="F277" s="24">
        <v>12.75</v>
      </c>
      <c r="G277" s="24">
        <v>0.05</v>
      </c>
      <c r="H277" s="24" t="s">
        <v>6654</v>
      </c>
      <c r="I277" s="24">
        <v>10.47</v>
      </c>
      <c r="J277" s="24">
        <v>0.0</v>
      </c>
    </row>
    <row r="278">
      <c r="A278" s="24">
        <v>1233.0</v>
      </c>
      <c r="B278" s="24">
        <v>4.0</v>
      </c>
      <c r="C278" s="44">
        <v>3.51</v>
      </c>
      <c r="D278" s="45">
        <v>44655.0</v>
      </c>
      <c r="E278" s="24">
        <v>0.88</v>
      </c>
      <c r="F278" s="24">
        <v>2.85</v>
      </c>
      <c r="G278" s="24">
        <v>0.32</v>
      </c>
      <c r="H278" s="24" t="s">
        <v>6659</v>
      </c>
      <c r="I278" s="24">
        <v>1.76</v>
      </c>
      <c r="J278" s="24">
        <v>0.0</v>
      </c>
    </row>
    <row r="279">
      <c r="A279" s="24">
        <v>3803.0</v>
      </c>
      <c r="B279" s="24">
        <v>4.0</v>
      </c>
      <c r="C279" s="44">
        <v>52.48</v>
      </c>
      <c r="D279" s="45">
        <v>44655.0</v>
      </c>
      <c r="E279" s="24">
        <v>13.12</v>
      </c>
      <c r="F279" s="24">
        <v>13.8</v>
      </c>
      <c r="G279" s="24">
        <v>0.11</v>
      </c>
      <c r="H279" s="24" t="s">
        <v>6655</v>
      </c>
      <c r="I279" s="24">
        <v>17.49</v>
      </c>
      <c r="J279" s="24">
        <v>0.0</v>
      </c>
    </row>
    <row r="280">
      <c r="A280" s="24">
        <v>4857.0</v>
      </c>
      <c r="B280" s="24">
        <v>5.0</v>
      </c>
      <c r="C280" s="44">
        <v>14.81</v>
      </c>
      <c r="D280" s="45">
        <v>44655.0</v>
      </c>
      <c r="E280" s="24">
        <v>2.96</v>
      </c>
      <c r="F280" s="24">
        <v>3.05</v>
      </c>
      <c r="G280" s="24">
        <v>0.1</v>
      </c>
      <c r="H280" s="24" t="s">
        <v>6658</v>
      </c>
      <c r="I280" s="24">
        <v>4.94</v>
      </c>
      <c r="J280" s="24">
        <v>0.0</v>
      </c>
    </row>
    <row r="281">
      <c r="A281" s="24">
        <v>3305.0</v>
      </c>
      <c r="B281" s="24">
        <v>2.0</v>
      </c>
      <c r="C281" s="44">
        <v>19.21</v>
      </c>
      <c r="D281" s="45">
        <v>44655.0</v>
      </c>
      <c r="E281" s="24">
        <v>9.6</v>
      </c>
      <c r="F281" s="24">
        <v>5.81</v>
      </c>
      <c r="G281" s="24">
        <v>0.06</v>
      </c>
      <c r="H281" s="24" t="s">
        <v>6660</v>
      </c>
      <c r="I281" s="24">
        <v>9.6</v>
      </c>
      <c r="J281" s="24">
        <v>0.0</v>
      </c>
    </row>
    <row r="282">
      <c r="A282" s="24">
        <v>161.0</v>
      </c>
      <c r="B282" s="24">
        <v>0.0</v>
      </c>
      <c r="C282" s="44">
        <v>0.52</v>
      </c>
      <c r="D282" s="45">
        <v>44656.0</v>
      </c>
      <c r="E282" s="24" t="s">
        <v>6650</v>
      </c>
      <c r="F282" s="24">
        <v>3.23</v>
      </c>
      <c r="G282" s="24">
        <v>0.0</v>
      </c>
      <c r="H282" s="24" t="s">
        <v>6657</v>
      </c>
      <c r="I282" s="24" t="s">
        <v>6650</v>
      </c>
      <c r="J282" s="24">
        <v>0.0</v>
      </c>
    </row>
    <row r="283">
      <c r="A283" s="24">
        <v>1101.0</v>
      </c>
      <c r="B283" s="24">
        <v>5.0</v>
      </c>
      <c r="C283" s="44">
        <v>3.14</v>
      </c>
      <c r="D283" s="45">
        <v>44656.0</v>
      </c>
      <c r="E283" s="24">
        <v>0.63</v>
      </c>
      <c r="F283" s="24">
        <v>2.85</v>
      </c>
      <c r="G283" s="24">
        <v>0.45</v>
      </c>
      <c r="H283" s="24" t="s">
        <v>6659</v>
      </c>
      <c r="I283" s="24">
        <v>3.14</v>
      </c>
      <c r="J283" s="24">
        <v>0.0</v>
      </c>
    </row>
    <row r="284">
      <c r="A284" s="24">
        <v>3600.0</v>
      </c>
      <c r="B284" s="24">
        <v>4.0</v>
      </c>
      <c r="C284" s="44">
        <v>21.68</v>
      </c>
      <c r="D284" s="45">
        <v>44656.0</v>
      </c>
      <c r="E284" s="24">
        <v>5.42</v>
      </c>
      <c r="F284" s="24">
        <v>6.02</v>
      </c>
      <c r="G284" s="24">
        <v>0.11</v>
      </c>
      <c r="H284" s="24" t="s">
        <v>6660</v>
      </c>
      <c r="I284" s="24">
        <v>5.42</v>
      </c>
      <c r="J284" s="24">
        <v>0.0</v>
      </c>
    </row>
    <row r="285">
      <c r="A285" s="24">
        <v>4591.0</v>
      </c>
      <c r="B285" s="24">
        <v>3.0</v>
      </c>
      <c r="C285" s="44">
        <v>58.54</v>
      </c>
      <c r="D285" s="45">
        <v>44656.0</v>
      </c>
      <c r="E285" s="24">
        <v>19.51</v>
      </c>
      <c r="F285" s="24">
        <v>12.75</v>
      </c>
      <c r="G285" s="24">
        <v>0.07</v>
      </c>
      <c r="H285" s="24" t="s">
        <v>6654</v>
      </c>
      <c r="I285" s="24">
        <v>29.27</v>
      </c>
      <c r="J285" s="24">
        <v>0.0</v>
      </c>
    </row>
    <row r="286">
      <c r="A286" s="24">
        <v>4248.0</v>
      </c>
      <c r="B286" s="24">
        <v>2.0</v>
      </c>
      <c r="C286" s="44">
        <v>58.62</v>
      </c>
      <c r="D286" s="45">
        <v>44656.0</v>
      </c>
      <c r="E286" s="24">
        <v>29.31</v>
      </c>
      <c r="F286" s="24">
        <v>13.8</v>
      </c>
      <c r="G286" s="24">
        <v>0.05</v>
      </c>
      <c r="H286" s="24" t="s">
        <v>6655</v>
      </c>
      <c r="I286" s="24">
        <v>29.31</v>
      </c>
      <c r="J286" s="24">
        <v>0.0</v>
      </c>
    </row>
    <row r="287">
      <c r="A287" s="24">
        <v>4045.0</v>
      </c>
      <c r="B287" s="24">
        <v>4.0</v>
      </c>
      <c r="C287" s="44">
        <v>58.46</v>
      </c>
      <c r="D287" s="45">
        <v>44656.0</v>
      </c>
      <c r="E287" s="24">
        <v>14.62</v>
      </c>
      <c r="F287" s="24">
        <v>14.45</v>
      </c>
      <c r="G287" s="24">
        <v>0.1</v>
      </c>
      <c r="H287" s="24" t="s">
        <v>6653</v>
      </c>
      <c r="I287" s="24">
        <v>29.23</v>
      </c>
      <c r="J287" s="24">
        <v>0.0</v>
      </c>
    </row>
    <row r="288">
      <c r="A288" s="24">
        <v>5039.0</v>
      </c>
      <c r="B288" s="24">
        <v>5.0</v>
      </c>
      <c r="C288" s="44">
        <v>15.37</v>
      </c>
      <c r="D288" s="45">
        <v>44656.0</v>
      </c>
      <c r="E288" s="24">
        <v>3.07</v>
      </c>
      <c r="F288" s="24">
        <v>3.05</v>
      </c>
      <c r="G288" s="24">
        <v>0.1</v>
      </c>
      <c r="H288" s="24" t="s">
        <v>6658</v>
      </c>
      <c r="I288" s="24">
        <v>3.07</v>
      </c>
      <c r="J288" s="24">
        <v>0.0</v>
      </c>
    </row>
    <row r="289">
      <c r="A289" s="24">
        <v>134.0</v>
      </c>
      <c r="B289" s="24">
        <v>0.0</v>
      </c>
      <c r="C289" s="44">
        <v>0.44</v>
      </c>
      <c r="D289" s="45">
        <v>44657.0</v>
      </c>
      <c r="E289" s="24" t="s">
        <v>6650</v>
      </c>
      <c r="F289" s="24">
        <v>3.28</v>
      </c>
      <c r="G289" s="24">
        <v>0.0</v>
      </c>
      <c r="H289" s="24" t="s">
        <v>6657</v>
      </c>
      <c r="I289" s="24">
        <v>0.44</v>
      </c>
      <c r="J289" s="24">
        <v>0.0</v>
      </c>
    </row>
    <row r="290">
      <c r="A290" s="24">
        <v>2529.0</v>
      </c>
      <c r="B290" s="24">
        <v>2.0</v>
      </c>
      <c r="C290" s="44">
        <v>34.9</v>
      </c>
      <c r="D290" s="45">
        <v>44657.0</v>
      </c>
      <c r="E290" s="24">
        <v>17.45</v>
      </c>
      <c r="F290" s="24">
        <v>13.8</v>
      </c>
      <c r="G290" s="24">
        <v>0.08</v>
      </c>
      <c r="H290" s="24" t="s">
        <v>6655</v>
      </c>
      <c r="I290" s="24">
        <v>8.72</v>
      </c>
      <c r="J290" s="24">
        <v>0.0</v>
      </c>
    </row>
    <row r="291">
      <c r="A291" s="24">
        <v>4856.0</v>
      </c>
      <c r="B291" s="24">
        <v>6.0</v>
      </c>
      <c r="C291" s="44">
        <v>14.81</v>
      </c>
      <c r="D291" s="45">
        <v>44657.0</v>
      </c>
      <c r="E291" s="24">
        <v>2.47</v>
      </c>
      <c r="F291" s="24">
        <v>3.05</v>
      </c>
      <c r="G291" s="24">
        <v>0.12</v>
      </c>
      <c r="H291" s="24" t="s">
        <v>6658</v>
      </c>
      <c r="I291" s="24">
        <v>3.7</v>
      </c>
      <c r="J291" s="24">
        <v>0.0</v>
      </c>
    </row>
    <row r="292">
      <c r="A292" s="24">
        <v>3681.0</v>
      </c>
      <c r="B292" s="24">
        <v>4.0</v>
      </c>
      <c r="C292" s="44">
        <v>26.44</v>
      </c>
      <c r="D292" s="45">
        <v>44657.0</v>
      </c>
      <c r="E292" s="24">
        <v>6.61</v>
      </c>
      <c r="F292" s="24">
        <v>7.18</v>
      </c>
      <c r="G292" s="24">
        <v>0.11</v>
      </c>
      <c r="H292" s="24" t="s">
        <v>6660</v>
      </c>
      <c r="I292" s="24">
        <v>5.29</v>
      </c>
      <c r="J292" s="24">
        <v>0.0</v>
      </c>
    </row>
    <row r="293">
      <c r="A293" s="24">
        <v>2101.0</v>
      </c>
      <c r="B293" s="24">
        <v>1.0</v>
      </c>
      <c r="C293" s="44">
        <v>26.79</v>
      </c>
      <c r="D293" s="45">
        <v>44657.0</v>
      </c>
      <c r="E293" s="24">
        <v>26.79</v>
      </c>
      <c r="F293" s="24">
        <v>12.75</v>
      </c>
      <c r="G293" s="24">
        <v>0.05</v>
      </c>
      <c r="H293" s="24" t="s">
        <v>6654</v>
      </c>
      <c r="I293" s="24">
        <v>26.79</v>
      </c>
      <c r="J293" s="24">
        <v>0.0</v>
      </c>
    </row>
    <row r="294">
      <c r="A294" s="24">
        <v>981.0</v>
      </c>
      <c r="B294" s="24">
        <v>0.0</v>
      </c>
      <c r="C294" s="44">
        <v>14.18</v>
      </c>
      <c r="D294" s="45">
        <v>44657.0</v>
      </c>
      <c r="E294" s="24" t="s">
        <v>6650</v>
      </c>
      <c r="F294" s="24">
        <v>14.45</v>
      </c>
      <c r="G294" s="24">
        <v>0.0</v>
      </c>
      <c r="H294" s="24" t="s">
        <v>6653</v>
      </c>
      <c r="I294" s="24" t="s">
        <v>6650</v>
      </c>
      <c r="J294" s="24">
        <v>0.0</v>
      </c>
    </row>
    <row r="295">
      <c r="A295" s="24">
        <v>933.0</v>
      </c>
      <c r="B295" s="24">
        <v>0.0</v>
      </c>
      <c r="C295" s="44">
        <v>2.66</v>
      </c>
      <c r="D295" s="45">
        <v>44657.0</v>
      </c>
      <c r="E295" s="24" t="s">
        <v>6650</v>
      </c>
      <c r="F295" s="24">
        <v>2.85</v>
      </c>
      <c r="G295" s="24">
        <v>0.0</v>
      </c>
      <c r="H295" s="24" t="s">
        <v>6659</v>
      </c>
      <c r="I295" s="24" t="s">
        <v>6650</v>
      </c>
      <c r="J295" s="24">
        <v>0.0</v>
      </c>
    </row>
    <row r="296">
      <c r="A296" s="24">
        <v>0.0</v>
      </c>
      <c r="B296" s="24">
        <v>0.0</v>
      </c>
      <c r="C296" s="44"/>
      <c r="D296" s="45">
        <v>44658.0</v>
      </c>
      <c r="E296" s="24" t="s">
        <v>6650</v>
      </c>
      <c r="F296" s="24" t="s">
        <v>6650</v>
      </c>
      <c r="G296" s="24" t="s">
        <v>6650</v>
      </c>
      <c r="H296" s="24" t="s">
        <v>6655</v>
      </c>
      <c r="I296" s="24" t="s">
        <v>6650</v>
      </c>
      <c r="J296" s="24"/>
    </row>
    <row r="297">
      <c r="A297" s="24">
        <v>4034.0</v>
      </c>
      <c r="B297" s="24">
        <v>8.0</v>
      </c>
      <c r="C297" s="44">
        <v>29.78</v>
      </c>
      <c r="D297" s="45">
        <v>44658.0</v>
      </c>
      <c r="E297" s="24">
        <v>3.72</v>
      </c>
      <c r="F297" s="24">
        <v>7.38</v>
      </c>
      <c r="G297" s="24">
        <v>0.2</v>
      </c>
      <c r="H297" s="24" t="s">
        <v>6660</v>
      </c>
      <c r="I297" s="24">
        <v>4.96</v>
      </c>
      <c r="J297" s="24">
        <v>0.0</v>
      </c>
    </row>
    <row r="298">
      <c r="A298" s="24">
        <v>0.0</v>
      </c>
      <c r="B298" s="24">
        <v>0.0</v>
      </c>
      <c r="C298" s="44"/>
      <c r="D298" s="45">
        <v>44658.0</v>
      </c>
      <c r="E298" s="24" t="s">
        <v>6650</v>
      </c>
      <c r="F298" s="24" t="s">
        <v>6650</v>
      </c>
      <c r="G298" s="24" t="s">
        <v>6650</v>
      </c>
      <c r="H298" s="24" t="s">
        <v>6658</v>
      </c>
      <c r="I298" s="24" t="s">
        <v>6650</v>
      </c>
      <c r="J298" s="24"/>
    </row>
    <row r="299">
      <c r="A299" s="24">
        <v>0.0</v>
      </c>
      <c r="B299" s="24">
        <v>0.0</v>
      </c>
      <c r="C299" s="44"/>
      <c r="D299" s="45">
        <v>44658.0</v>
      </c>
      <c r="E299" s="24" t="s">
        <v>6650</v>
      </c>
      <c r="F299" s="24" t="s">
        <v>6650</v>
      </c>
      <c r="G299" s="24" t="s">
        <v>6650</v>
      </c>
      <c r="H299" s="24" t="s">
        <v>6654</v>
      </c>
      <c r="I299" s="24" t="s">
        <v>6650</v>
      </c>
      <c r="J299" s="24"/>
    </row>
    <row r="300">
      <c r="A300" s="24">
        <v>1356.0</v>
      </c>
      <c r="B300" s="24">
        <v>49.0</v>
      </c>
      <c r="C300" s="44">
        <v>37.32</v>
      </c>
      <c r="D300" s="45">
        <v>44658.0</v>
      </c>
      <c r="E300" s="24">
        <v>0.76</v>
      </c>
      <c r="F300" s="24">
        <v>27.52</v>
      </c>
      <c r="G300" s="24">
        <v>3.61</v>
      </c>
      <c r="H300" s="24" t="s">
        <v>6662</v>
      </c>
      <c r="I300" s="24">
        <v>0.54</v>
      </c>
      <c r="J300" s="24">
        <v>0.0</v>
      </c>
    </row>
    <row r="301">
      <c r="A301" s="24">
        <v>0.0</v>
      </c>
      <c r="B301" s="24">
        <v>0.0</v>
      </c>
      <c r="C301" s="44"/>
      <c r="D301" s="45">
        <v>44659.0</v>
      </c>
      <c r="E301" s="24" t="s">
        <v>6650</v>
      </c>
      <c r="F301" s="24" t="s">
        <v>6650</v>
      </c>
      <c r="G301" s="24" t="s">
        <v>6650</v>
      </c>
      <c r="H301" s="24" t="s">
        <v>6658</v>
      </c>
      <c r="I301" s="24" t="s">
        <v>6650</v>
      </c>
      <c r="J301" s="24"/>
    </row>
    <row r="302">
      <c r="A302" s="24">
        <v>4228.0</v>
      </c>
      <c r="B302" s="24">
        <v>14.0</v>
      </c>
      <c r="C302" s="44">
        <v>26.8</v>
      </c>
      <c r="D302" s="45">
        <v>44659.0</v>
      </c>
      <c r="E302" s="24">
        <v>1.91</v>
      </c>
      <c r="F302" s="24">
        <v>6.34</v>
      </c>
      <c r="G302" s="24">
        <v>0.33</v>
      </c>
      <c r="H302" s="24" t="s">
        <v>6660</v>
      </c>
      <c r="I302" s="24">
        <v>6.7</v>
      </c>
      <c r="J302" s="24">
        <v>0.0</v>
      </c>
    </row>
    <row r="303">
      <c r="A303" s="24">
        <v>302.0</v>
      </c>
      <c r="B303" s="24">
        <v>12.0</v>
      </c>
      <c r="C303" s="44">
        <v>22.5</v>
      </c>
      <c r="D303" s="45">
        <v>44659.0</v>
      </c>
      <c r="E303" s="24">
        <v>1.88</v>
      </c>
      <c r="F303" s="24">
        <v>74.5</v>
      </c>
      <c r="G303" s="24">
        <v>3.97</v>
      </c>
      <c r="H303" s="24" t="s">
        <v>6663</v>
      </c>
      <c r="I303" s="24">
        <v>2.05</v>
      </c>
      <c r="J303" s="24">
        <v>0.0</v>
      </c>
    </row>
    <row r="304">
      <c r="A304" s="24">
        <v>0.0</v>
      </c>
      <c r="B304" s="24">
        <v>0.0</v>
      </c>
      <c r="C304" s="44"/>
      <c r="D304" s="45">
        <v>44659.0</v>
      </c>
      <c r="E304" s="24" t="s">
        <v>6650</v>
      </c>
      <c r="F304" s="24" t="s">
        <v>6650</v>
      </c>
      <c r="G304" s="24" t="s">
        <v>6650</v>
      </c>
      <c r="H304" s="24" t="s">
        <v>6654</v>
      </c>
      <c r="I304" s="24" t="s">
        <v>6650</v>
      </c>
      <c r="J304" s="24"/>
    </row>
    <row r="305">
      <c r="A305" s="24">
        <v>0.0</v>
      </c>
      <c r="B305" s="24">
        <v>0.0</v>
      </c>
      <c r="C305" s="44"/>
      <c r="D305" s="45">
        <v>44659.0</v>
      </c>
      <c r="E305" s="24" t="s">
        <v>6650</v>
      </c>
      <c r="F305" s="24" t="s">
        <v>6650</v>
      </c>
      <c r="G305" s="24" t="s">
        <v>6650</v>
      </c>
      <c r="H305" s="24" t="s">
        <v>6659</v>
      </c>
      <c r="I305" s="24" t="s">
        <v>6650</v>
      </c>
      <c r="J305" s="24"/>
    </row>
    <row r="306">
      <c r="A306" s="24">
        <v>439.0</v>
      </c>
      <c r="B306" s="24">
        <v>5.0</v>
      </c>
      <c r="C306" s="44">
        <v>19.36</v>
      </c>
      <c r="D306" s="45">
        <v>44659.0</v>
      </c>
      <c r="E306" s="24">
        <v>3.87</v>
      </c>
      <c r="F306" s="24">
        <v>44.1</v>
      </c>
      <c r="G306" s="24">
        <v>1.14</v>
      </c>
      <c r="H306" s="24" t="s">
        <v>6662</v>
      </c>
      <c r="I306" s="24">
        <v>4.84</v>
      </c>
      <c r="J306" s="24">
        <v>0.0</v>
      </c>
    </row>
    <row r="307">
      <c r="A307" s="24">
        <v>0.0</v>
      </c>
      <c r="B307" s="24">
        <v>0.0</v>
      </c>
      <c r="C307" s="44"/>
      <c r="D307" s="45">
        <v>44660.0</v>
      </c>
      <c r="E307" s="24" t="s">
        <v>6650</v>
      </c>
      <c r="F307" s="24" t="s">
        <v>6650</v>
      </c>
      <c r="G307" s="24" t="s">
        <v>6650</v>
      </c>
      <c r="H307" s="24" t="s">
        <v>6654</v>
      </c>
      <c r="I307" s="24" t="s">
        <v>6650</v>
      </c>
      <c r="J307" s="24"/>
    </row>
    <row r="308">
      <c r="A308" s="24">
        <v>973.0</v>
      </c>
      <c r="B308" s="24">
        <v>21.0</v>
      </c>
      <c r="C308" s="44">
        <v>19.81</v>
      </c>
      <c r="D308" s="45">
        <v>44660.0</v>
      </c>
      <c r="E308" s="24">
        <v>0.94</v>
      </c>
      <c r="F308" s="24">
        <v>20.36</v>
      </c>
      <c r="G308" s="24">
        <v>2.16</v>
      </c>
      <c r="H308" s="24" t="s">
        <v>6663</v>
      </c>
      <c r="I308" s="24">
        <v>1.32</v>
      </c>
      <c r="J308" s="24">
        <v>0.0</v>
      </c>
    </row>
    <row r="309">
      <c r="A309" s="24">
        <v>0.0</v>
      </c>
      <c r="B309" s="24">
        <v>0.0</v>
      </c>
      <c r="C309" s="44"/>
      <c r="D309" s="45">
        <v>44660.0</v>
      </c>
      <c r="E309" s="24" t="s">
        <v>6650</v>
      </c>
      <c r="F309" s="24" t="s">
        <v>6650</v>
      </c>
      <c r="G309" s="24" t="s">
        <v>6650</v>
      </c>
      <c r="H309" s="24" t="s">
        <v>6653</v>
      </c>
      <c r="I309" s="24" t="s">
        <v>6650</v>
      </c>
      <c r="J309" s="24"/>
    </row>
    <row r="310">
      <c r="A310" s="24">
        <v>2181.0</v>
      </c>
      <c r="B310" s="24">
        <v>9.0</v>
      </c>
      <c r="C310" s="44">
        <v>13.75</v>
      </c>
      <c r="D310" s="45">
        <v>44660.0</v>
      </c>
      <c r="E310" s="24">
        <v>1.53</v>
      </c>
      <c r="F310" s="24">
        <v>6.3</v>
      </c>
      <c r="G310" s="24">
        <v>0.41</v>
      </c>
      <c r="H310" s="24" t="s">
        <v>6660</v>
      </c>
      <c r="I310" s="24">
        <v>1.15</v>
      </c>
      <c r="J310" s="24">
        <v>0.0</v>
      </c>
    </row>
    <row r="311">
      <c r="A311" s="24">
        <v>290.0</v>
      </c>
      <c r="B311" s="24">
        <v>5.0</v>
      </c>
      <c r="C311" s="44">
        <v>30.5</v>
      </c>
      <c r="D311" s="45">
        <v>44660.0</v>
      </c>
      <c r="E311" s="24">
        <v>6.1</v>
      </c>
      <c r="F311" s="24">
        <v>105.17</v>
      </c>
      <c r="G311" s="24">
        <v>1.72</v>
      </c>
      <c r="H311" s="24" t="s">
        <v>6662</v>
      </c>
      <c r="I311" s="24">
        <v>5.08</v>
      </c>
      <c r="J311" s="24">
        <v>0.0</v>
      </c>
    </row>
    <row r="312">
      <c r="A312" s="24">
        <v>0.0</v>
      </c>
      <c r="B312" s="24">
        <v>0.0</v>
      </c>
      <c r="C312" s="44"/>
      <c r="D312" s="45">
        <v>44660.0</v>
      </c>
      <c r="E312" s="24" t="s">
        <v>6650</v>
      </c>
      <c r="F312" s="24" t="s">
        <v>6650</v>
      </c>
      <c r="G312" s="24" t="s">
        <v>6650</v>
      </c>
      <c r="H312" s="24" t="s">
        <v>6655</v>
      </c>
      <c r="I312" s="24" t="s">
        <v>6650</v>
      </c>
      <c r="J312" s="24"/>
    </row>
    <row r="313">
      <c r="A313" s="24">
        <v>0.0</v>
      </c>
      <c r="B313" s="24">
        <v>0.0</v>
      </c>
      <c r="C313" s="44"/>
      <c r="D313" s="45">
        <v>44660.0</v>
      </c>
      <c r="E313" s="24" t="s">
        <v>6650</v>
      </c>
      <c r="F313" s="24" t="s">
        <v>6650</v>
      </c>
      <c r="G313" s="24" t="s">
        <v>6650</v>
      </c>
      <c r="H313" s="24" t="s">
        <v>6659</v>
      </c>
      <c r="I313" s="24" t="s">
        <v>6650</v>
      </c>
      <c r="J313" s="24"/>
    </row>
    <row r="314">
      <c r="A314" s="24">
        <v>398.0</v>
      </c>
      <c r="B314" s="24">
        <v>6.0</v>
      </c>
      <c r="C314" s="44">
        <v>30.73</v>
      </c>
      <c r="D314" s="45">
        <v>44661.0</v>
      </c>
      <c r="E314" s="24">
        <v>5.12</v>
      </c>
      <c r="F314" s="24">
        <v>77.21</v>
      </c>
      <c r="G314" s="24">
        <v>1.51</v>
      </c>
      <c r="H314" s="24" t="s">
        <v>6662</v>
      </c>
      <c r="I314" s="24">
        <v>3.84</v>
      </c>
      <c r="J314" s="24">
        <v>0.0</v>
      </c>
    </row>
    <row r="315">
      <c r="A315" s="24">
        <v>1151.0</v>
      </c>
      <c r="B315" s="24">
        <v>13.0</v>
      </c>
      <c r="C315" s="44">
        <v>17.69</v>
      </c>
      <c r="D315" s="45">
        <v>44661.0</v>
      </c>
      <c r="E315" s="24">
        <v>1.36</v>
      </c>
      <c r="F315" s="24">
        <v>15.37</v>
      </c>
      <c r="G315" s="24">
        <v>1.13</v>
      </c>
      <c r="H315" s="24" t="s">
        <v>6663</v>
      </c>
      <c r="I315" s="24">
        <v>3.54</v>
      </c>
      <c r="J315" s="24">
        <v>0.0</v>
      </c>
    </row>
    <row r="316">
      <c r="A316" s="24">
        <v>1918.0</v>
      </c>
      <c r="B316" s="24">
        <v>1.0</v>
      </c>
      <c r="C316" s="44">
        <v>12.12</v>
      </c>
      <c r="D316" s="45">
        <v>44661.0</v>
      </c>
      <c r="E316" s="24">
        <v>12.12</v>
      </c>
      <c r="F316" s="24">
        <v>6.32</v>
      </c>
      <c r="G316" s="24">
        <v>0.05</v>
      </c>
      <c r="H316" s="24" t="s">
        <v>6660</v>
      </c>
      <c r="I316" s="24" t="s">
        <v>6650</v>
      </c>
      <c r="J316" s="24">
        <v>0.0</v>
      </c>
    </row>
    <row r="317">
      <c r="A317" s="24">
        <v>3624.0</v>
      </c>
      <c r="B317" s="24">
        <v>6.0</v>
      </c>
      <c r="C317" s="44">
        <v>23.86</v>
      </c>
      <c r="D317" s="45">
        <v>44662.0</v>
      </c>
      <c r="E317" s="24">
        <v>3.98</v>
      </c>
      <c r="F317" s="24">
        <v>6.58</v>
      </c>
      <c r="G317" s="24">
        <v>0.17</v>
      </c>
      <c r="H317" s="24" t="s">
        <v>6660</v>
      </c>
      <c r="I317" s="24">
        <v>5.96</v>
      </c>
      <c r="J317" s="24">
        <v>0.0</v>
      </c>
    </row>
    <row r="318">
      <c r="A318" s="24">
        <v>0.0</v>
      </c>
      <c r="B318" s="24">
        <v>0.0</v>
      </c>
      <c r="C318" s="44"/>
      <c r="D318" s="45">
        <v>44662.0</v>
      </c>
      <c r="E318" s="24" t="s">
        <v>6650</v>
      </c>
      <c r="F318" s="24" t="s">
        <v>6650</v>
      </c>
      <c r="G318" s="24" t="s">
        <v>6650</v>
      </c>
      <c r="H318" s="24" t="s">
        <v>6658</v>
      </c>
      <c r="I318" s="24" t="s">
        <v>6650</v>
      </c>
      <c r="J318" s="24"/>
    </row>
    <row r="319">
      <c r="A319" s="24">
        <v>1077.0</v>
      </c>
      <c r="B319" s="24">
        <v>16.0</v>
      </c>
      <c r="C319" s="44">
        <v>27.41</v>
      </c>
      <c r="D319" s="45">
        <v>44662.0</v>
      </c>
      <c r="E319" s="24">
        <v>1.71</v>
      </c>
      <c r="F319" s="24">
        <v>25.45</v>
      </c>
      <c r="G319" s="24">
        <v>1.49</v>
      </c>
      <c r="H319" s="24" t="s">
        <v>6663</v>
      </c>
      <c r="I319" s="24">
        <v>1.71</v>
      </c>
      <c r="J319" s="24">
        <v>0.0</v>
      </c>
    </row>
    <row r="320">
      <c r="A320" s="24">
        <v>1390.0</v>
      </c>
      <c r="B320" s="24">
        <v>10.0</v>
      </c>
      <c r="C320" s="44">
        <v>34.4</v>
      </c>
      <c r="D320" s="45">
        <v>44662.0</v>
      </c>
      <c r="E320" s="24">
        <v>3.44</v>
      </c>
      <c r="F320" s="24">
        <v>24.75</v>
      </c>
      <c r="G320" s="24">
        <v>0.72</v>
      </c>
      <c r="H320" s="24" t="s">
        <v>6662</v>
      </c>
      <c r="I320" s="24">
        <v>4.91</v>
      </c>
      <c r="J320" s="24">
        <v>0.0</v>
      </c>
    </row>
    <row r="321">
      <c r="A321" s="24">
        <v>0.0</v>
      </c>
      <c r="B321" s="24">
        <v>0.0</v>
      </c>
      <c r="C321" s="44"/>
      <c r="D321" s="45">
        <v>44662.0</v>
      </c>
      <c r="E321" s="24" t="s">
        <v>6650</v>
      </c>
      <c r="F321" s="24" t="s">
        <v>6650</v>
      </c>
      <c r="G321" s="24" t="s">
        <v>6650</v>
      </c>
      <c r="H321" s="24" t="s">
        <v>6657</v>
      </c>
      <c r="I321" s="24" t="s">
        <v>6650</v>
      </c>
      <c r="J321" s="24"/>
    </row>
    <row r="322">
      <c r="A322" s="24">
        <v>0.0</v>
      </c>
      <c r="B322" s="24">
        <v>0.0</v>
      </c>
      <c r="C322" s="44"/>
      <c r="D322" s="45">
        <v>44662.0</v>
      </c>
      <c r="E322" s="24" t="s">
        <v>6650</v>
      </c>
      <c r="F322" s="24" t="s">
        <v>6650</v>
      </c>
      <c r="G322" s="24" t="s">
        <v>6650</v>
      </c>
      <c r="H322" s="24" t="s">
        <v>6659</v>
      </c>
      <c r="I322" s="24" t="s">
        <v>6650</v>
      </c>
      <c r="J322" s="24"/>
    </row>
    <row r="323">
      <c r="A323" s="24">
        <v>0.0</v>
      </c>
      <c r="B323" s="24">
        <v>0.0</v>
      </c>
      <c r="C323" s="44"/>
      <c r="D323" s="45">
        <v>44662.0</v>
      </c>
      <c r="E323" s="24" t="s">
        <v>6650</v>
      </c>
      <c r="F323" s="24" t="s">
        <v>6650</v>
      </c>
      <c r="G323" s="24" t="s">
        <v>6650</v>
      </c>
      <c r="H323" s="24" t="s">
        <v>6653</v>
      </c>
      <c r="I323" s="24" t="s">
        <v>6650</v>
      </c>
      <c r="J323" s="24"/>
    </row>
    <row r="324">
      <c r="A324" s="24">
        <v>1782.0</v>
      </c>
      <c r="B324" s="24">
        <v>84.0</v>
      </c>
      <c r="C324" s="44">
        <v>38.54</v>
      </c>
      <c r="D324" s="45">
        <v>44663.0</v>
      </c>
      <c r="E324" s="24">
        <v>0.46</v>
      </c>
      <c r="F324" s="24">
        <v>21.63</v>
      </c>
      <c r="G324" s="24">
        <v>4.71</v>
      </c>
      <c r="H324" s="24" t="s">
        <v>6662</v>
      </c>
      <c r="I324" s="24">
        <v>0.41</v>
      </c>
      <c r="J324" s="24">
        <v>0.0</v>
      </c>
    </row>
    <row r="325">
      <c r="A325" s="24">
        <v>0.0</v>
      </c>
      <c r="B325" s="24">
        <v>0.0</v>
      </c>
      <c r="C325" s="44"/>
      <c r="D325" s="45">
        <v>44663.0</v>
      </c>
      <c r="E325" s="24" t="s">
        <v>6650</v>
      </c>
      <c r="F325" s="24" t="s">
        <v>6650</v>
      </c>
      <c r="G325" s="24" t="s">
        <v>6650</v>
      </c>
      <c r="H325" s="24" t="s">
        <v>6659</v>
      </c>
      <c r="I325" s="24" t="s">
        <v>6650</v>
      </c>
      <c r="J325" s="24"/>
    </row>
    <row r="326">
      <c r="A326" s="24">
        <v>2949.0</v>
      </c>
      <c r="B326" s="24">
        <v>69.0</v>
      </c>
      <c r="C326" s="44">
        <v>24.6</v>
      </c>
      <c r="D326" s="45">
        <v>44663.0</v>
      </c>
      <c r="E326" s="24">
        <v>0.36</v>
      </c>
      <c r="F326" s="24">
        <v>8.34</v>
      </c>
      <c r="G326" s="24">
        <v>2.34</v>
      </c>
      <c r="H326" s="24" t="s">
        <v>6660</v>
      </c>
      <c r="I326" s="24">
        <v>0.24</v>
      </c>
      <c r="J326" s="24">
        <v>0.0</v>
      </c>
    </row>
    <row r="327">
      <c r="A327" s="24">
        <v>0.0</v>
      </c>
      <c r="B327" s="24">
        <v>0.0</v>
      </c>
      <c r="C327" s="44"/>
      <c r="D327" s="45">
        <v>44663.0</v>
      </c>
      <c r="E327" s="24" t="s">
        <v>6650</v>
      </c>
      <c r="F327" s="24" t="s">
        <v>6650</v>
      </c>
      <c r="G327" s="24" t="s">
        <v>6650</v>
      </c>
      <c r="H327" s="24" t="s">
        <v>6657</v>
      </c>
      <c r="I327" s="24" t="s">
        <v>6650</v>
      </c>
      <c r="J327" s="24"/>
    </row>
    <row r="328">
      <c r="A328" s="24">
        <v>0.0</v>
      </c>
      <c r="B328" s="24">
        <v>0.0</v>
      </c>
      <c r="C328" s="44"/>
      <c r="D328" s="45">
        <v>44663.0</v>
      </c>
      <c r="E328" s="24" t="s">
        <v>6650</v>
      </c>
      <c r="F328" s="24" t="s">
        <v>6650</v>
      </c>
      <c r="G328" s="24" t="s">
        <v>6650</v>
      </c>
      <c r="H328" s="24" t="s">
        <v>6655</v>
      </c>
      <c r="I328" s="24" t="s">
        <v>6650</v>
      </c>
      <c r="J328" s="24"/>
    </row>
    <row r="329">
      <c r="A329" s="24">
        <v>1047.0</v>
      </c>
      <c r="B329" s="24">
        <v>24.0</v>
      </c>
      <c r="C329" s="44">
        <v>23.12</v>
      </c>
      <c r="D329" s="45">
        <v>44663.0</v>
      </c>
      <c r="E329" s="24">
        <v>0.96</v>
      </c>
      <c r="F329" s="24">
        <v>22.08</v>
      </c>
      <c r="G329" s="24">
        <v>2.29</v>
      </c>
      <c r="H329" s="24" t="s">
        <v>6664</v>
      </c>
      <c r="I329" s="24">
        <v>1.36</v>
      </c>
      <c r="J329" s="24">
        <v>0.0</v>
      </c>
    </row>
    <row r="330">
      <c r="A330" s="24">
        <v>0.0</v>
      </c>
      <c r="B330" s="24">
        <v>0.0</v>
      </c>
      <c r="C330" s="44"/>
      <c r="D330" s="45">
        <v>44663.0</v>
      </c>
      <c r="E330" s="24" t="s">
        <v>6650</v>
      </c>
      <c r="F330" s="24" t="s">
        <v>6650</v>
      </c>
      <c r="G330" s="24" t="s">
        <v>6650</v>
      </c>
      <c r="H330" s="24" t="s">
        <v>6653</v>
      </c>
      <c r="I330" s="24" t="s">
        <v>6650</v>
      </c>
      <c r="J330" s="24"/>
    </row>
    <row r="331">
      <c r="A331" s="24">
        <v>0.0</v>
      </c>
      <c r="B331" s="24">
        <v>0.0</v>
      </c>
      <c r="C331" s="44"/>
      <c r="D331" s="45">
        <v>44663.0</v>
      </c>
      <c r="E331" s="24" t="s">
        <v>6650</v>
      </c>
      <c r="F331" s="24" t="s">
        <v>6650</v>
      </c>
      <c r="G331" s="24" t="s">
        <v>6650</v>
      </c>
      <c r="H331" s="24" t="s">
        <v>6654</v>
      </c>
      <c r="I331" s="24" t="s">
        <v>6650</v>
      </c>
      <c r="J331" s="24"/>
    </row>
    <row r="332">
      <c r="A332" s="24">
        <v>213.0</v>
      </c>
      <c r="B332" s="24">
        <v>8.0</v>
      </c>
      <c r="C332" s="44">
        <v>7.19</v>
      </c>
      <c r="D332" s="45">
        <v>44663.0</v>
      </c>
      <c r="E332" s="24">
        <v>0.9</v>
      </c>
      <c r="F332" s="24">
        <v>33.76</v>
      </c>
      <c r="G332" s="24">
        <v>3.76</v>
      </c>
      <c r="H332" s="24" t="s">
        <v>6663</v>
      </c>
      <c r="I332" s="24">
        <v>0.29</v>
      </c>
      <c r="J332" s="24">
        <v>0.0</v>
      </c>
    </row>
    <row r="333">
      <c r="A333" s="24">
        <v>0.0</v>
      </c>
      <c r="B333" s="24">
        <v>0.0</v>
      </c>
      <c r="C333" s="44"/>
      <c r="D333" s="45">
        <v>44663.0</v>
      </c>
      <c r="E333" s="24" t="s">
        <v>6650</v>
      </c>
      <c r="F333" s="24" t="s">
        <v>6650</v>
      </c>
      <c r="G333" s="24" t="s">
        <v>6650</v>
      </c>
      <c r="H333" s="24" t="s">
        <v>6658</v>
      </c>
      <c r="I333" s="24" t="s">
        <v>6650</v>
      </c>
      <c r="J333" s="24"/>
    </row>
    <row r="334">
      <c r="A334" s="24">
        <v>0.0</v>
      </c>
      <c r="B334" s="24">
        <v>0.0</v>
      </c>
      <c r="C334" s="44"/>
      <c r="D334" s="45">
        <v>44664.0</v>
      </c>
      <c r="E334" s="24" t="s">
        <v>6650</v>
      </c>
      <c r="F334" s="24" t="s">
        <v>6650</v>
      </c>
      <c r="G334" s="24" t="s">
        <v>6650</v>
      </c>
      <c r="H334" s="24" t="s">
        <v>6663</v>
      </c>
      <c r="I334" s="24" t="s">
        <v>6650</v>
      </c>
      <c r="J334" s="24"/>
    </row>
    <row r="335">
      <c r="A335" s="24">
        <v>1261.0</v>
      </c>
      <c r="B335" s="24">
        <v>35.0</v>
      </c>
      <c r="C335" s="44">
        <v>37.07</v>
      </c>
      <c r="D335" s="45">
        <v>44664.0</v>
      </c>
      <c r="E335" s="24">
        <v>1.06</v>
      </c>
      <c r="F335" s="24">
        <v>29.4</v>
      </c>
      <c r="G335" s="24">
        <v>2.78</v>
      </c>
      <c r="H335" s="24" t="s">
        <v>6662</v>
      </c>
      <c r="I335" s="24">
        <v>1.09</v>
      </c>
      <c r="J335" s="24">
        <v>0.0</v>
      </c>
    </row>
    <row r="336">
      <c r="A336" s="24">
        <v>3467.0</v>
      </c>
      <c r="B336" s="24">
        <v>32.0</v>
      </c>
      <c r="C336" s="44">
        <v>26.19</v>
      </c>
      <c r="D336" s="45">
        <v>44664.0</v>
      </c>
      <c r="E336" s="24">
        <v>0.82</v>
      </c>
      <c r="F336" s="24">
        <v>7.55</v>
      </c>
      <c r="G336" s="24">
        <v>0.92</v>
      </c>
      <c r="H336" s="24" t="s">
        <v>6660</v>
      </c>
      <c r="I336" s="24">
        <v>0.73</v>
      </c>
      <c r="J336" s="24">
        <v>0.0</v>
      </c>
    </row>
    <row r="337">
      <c r="A337" s="24">
        <v>771.0</v>
      </c>
      <c r="B337" s="24">
        <v>19.0</v>
      </c>
      <c r="C337" s="44">
        <v>26.95</v>
      </c>
      <c r="D337" s="45">
        <v>44664.0</v>
      </c>
      <c r="E337" s="24">
        <v>1.42</v>
      </c>
      <c r="F337" s="24">
        <v>34.95</v>
      </c>
      <c r="G337" s="24">
        <v>2.46</v>
      </c>
      <c r="H337" s="24" t="s">
        <v>6664</v>
      </c>
      <c r="I337" s="24">
        <v>2.07</v>
      </c>
      <c r="J337" s="24">
        <v>0.0</v>
      </c>
    </row>
    <row r="338">
      <c r="A338" s="24">
        <v>0.0</v>
      </c>
      <c r="B338" s="24">
        <v>0.0</v>
      </c>
      <c r="C338" s="44"/>
      <c r="D338" s="45">
        <v>44664.0</v>
      </c>
      <c r="E338" s="24" t="s">
        <v>6650</v>
      </c>
      <c r="F338" s="24" t="s">
        <v>6650</v>
      </c>
      <c r="G338" s="24" t="s">
        <v>6650</v>
      </c>
      <c r="H338" s="24" t="s">
        <v>6654</v>
      </c>
      <c r="I338" s="24" t="s">
        <v>6650</v>
      </c>
      <c r="J338" s="24"/>
    </row>
    <row r="339">
      <c r="A339" s="24">
        <v>333.0</v>
      </c>
      <c r="B339" s="24">
        <v>9.0</v>
      </c>
      <c r="C339" s="44">
        <v>30.63</v>
      </c>
      <c r="D339" s="45">
        <v>44665.0</v>
      </c>
      <c r="E339" s="24">
        <v>3.4</v>
      </c>
      <c r="F339" s="24">
        <v>91.98</v>
      </c>
      <c r="G339" s="24">
        <v>2.7</v>
      </c>
      <c r="H339" s="24" t="s">
        <v>6662</v>
      </c>
      <c r="I339" s="24">
        <v>1.8</v>
      </c>
      <c r="J339" s="24">
        <v>0.0</v>
      </c>
    </row>
    <row r="340">
      <c r="A340" s="24">
        <v>0.0</v>
      </c>
      <c r="B340" s="24">
        <v>0.0</v>
      </c>
      <c r="C340" s="44"/>
      <c r="D340" s="45">
        <v>44665.0</v>
      </c>
      <c r="E340" s="24" t="s">
        <v>6650</v>
      </c>
      <c r="F340" s="24" t="s">
        <v>6650</v>
      </c>
      <c r="G340" s="24" t="s">
        <v>6650</v>
      </c>
      <c r="H340" s="24" t="s">
        <v>6663</v>
      </c>
      <c r="I340" s="24" t="s">
        <v>6650</v>
      </c>
      <c r="J340" s="24"/>
    </row>
    <row r="341">
      <c r="A341" s="24">
        <v>3548.0</v>
      </c>
      <c r="B341" s="24">
        <v>19.0</v>
      </c>
      <c r="C341" s="44">
        <v>24.93</v>
      </c>
      <c r="D341" s="45">
        <v>44665.0</v>
      </c>
      <c r="E341" s="24">
        <v>1.31</v>
      </c>
      <c r="F341" s="24">
        <v>7.03</v>
      </c>
      <c r="G341" s="24">
        <v>0.54</v>
      </c>
      <c r="H341" s="24" t="s">
        <v>6660</v>
      </c>
      <c r="I341" s="24">
        <v>1.13</v>
      </c>
      <c r="J341" s="24">
        <v>0.0</v>
      </c>
    </row>
    <row r="342">
      <c r="A342" s="24">
        <v>1374.0</v>
      </c>
      <c r="B342" s="24">
        <v>23.0</v>
      </c>
      <c r="C342" s="44">
        <v>26.39</v>
      </c>
      <c r="D342" s="45">
        <v>44665.0</v>
      </c>
      <c r="E342" s="24">
        <v>1.15</v>
      </c>
      <c r="F342" s="24">
        <v>19.21</v>
      </c>
      <c r="G342" s="24">
        <v>1.67</v>
      </c>
      <c r="H342" s="24" t="s">
        <v>6664</v>
      </c>
      <c r="I342" s="24">
        <v>1.88</v>
      </c>
      <c r="J342" s="24">
        <v>0.0</v>
      </c>
    </row>
    <row r="343">
      <c r="A343" s="24">
        <v>2794.0</v>
      </c>
      <c r="B343" s="24">
        <v>14.0</v>
      </c>
      <c r="C343" s="44">
        <v>21.53</v>
      </c>
      <c r="D343" s="45">
        <v>44666.0</v>
      </c>
      <c r="E343" s="24">
        <v>1.54</v>
      </c>
      <c r="F343" s="24">
        <v>7.71</v>
      </c>
      <c r="G343" s="24">
        <v>0.5</v>
      </c>
      <c r="H343" s="24" t="s">
        <v>6660</v>
      </c>
      <c r="I343" s="24">
        <v>1.79</v>
      </c>
      <c r="J343" s="24">
        <v>0.0</v>
      </c>
    </row>
    <row r="344">
      <c r="A344" s="24">
        <v>0.0</v>
      </c>
      <c r="B344" s="24">
        <v>0.0</v>
      </c>
      <c r="C344" s="44"/>
      <c r="D344" s="45">
        <v>44666.0</v>
      </c>
      <c r="E344" s="24" t="s">
        <v>6650</v>
      </c>
      <c r="F344" s="24" t="s">
        <v>6650</v>
      </c>
      <c r="G344" s="24" t="s">
        <v>6650</v>
      </c>
      <c r="H344" s="24" t="s">
        <v>6663</v>
      </c>
      <c r="I344" s="24" t="s">
        <v>6650</v>
      </c>
      <c r="J344" s="24"/>
    </row>
    <row r="345">
      <c r="A345" s="24">
        <v>607.0</v>
      </c>
      <c r="B345" s="24">
        <v>18.0</v>
      </c>
      <c r="C345" s="44">
        <v>21.59</v>
      </c>
      <c r="D345" s="45">
        <v>44666.0</v>
      </c>
      <c r="E345" s="24">
        <v>1.2</v>
      </c>
      <c r="F345" s="24">
        <v>35.57</v>
      </c>
      <c r="G345" s="24">
        <v>2.97</v>
      </c>
      <c r="H345" s="24" t="s">
        <v>6664</v>
      </c>
      <c r="I345" s="24">
        <v>1.03</v>
      </c>
      <c r="J345" s="24">
        <v>0.0</v>
      </c>
    </row>
    <row r="346">
      <c r="A346" s="24">
        <v>506.0</v>
      </c>
      <c r="B346" s="24">
        <v>21.0</v>
      </c>
      <c r="C346" s="44">
        <v>30.06</v>
      </c>
      <c r="D346" s="45">
        <v>44666.0</v>
      </c>
      <c r="E346" s="24">
        <v>1.43</v>
      </c>
      <c r="F346" s="24">
        <v>59.41</v>
      </c>
      <c r="G346" s="24">
        <v>4.15</v>
      </c>
      <c r="H346" s="24" t="s">
        <v>6662</v>
      </c>
      <c r="I346" s="24">
        <v>1.04</v>
      </c>
      <c r="J346" s="24">
        <v>0.0</v>
      </c>
    </row>
    <row r="347">
      <c r="A347" s="24">
        <v>1395.0</v>
      </c>
      <c r="B347" s="24">
        <v>8.0</v>
      </c>
      <c r="C347" s="44">
        <v>9.41</v>
      </c>
      <c r="D347" s="45">
        <v>44667.0</v>
      </c>
      <c r="E347" s="24">
        <v>1.18</v>
      </c>
      <c r="F347" s="24">
        <v>6.75</v>
      </c>
      <c r="G347" s="24">
        <v>0.57</v>
      </c>
      <c r="H347" s="24" t="s">
        <v>6660</v>
      </c>
      <c r="I347" s="24">
        <v>1.34</v>
      </c>
      <c r="J347" s="24">
        <v>0.0</v>
      </c>
    </row>
    <row r="348">
      <c r="A348" s="24">
        <v>322.0</v>
      </c>
      <c r="B348" s="24">
        <v>8.0</v>
      </c>
      <c r="C348" s="44">
        <v>10.91</v>
      </c>
      <c r="D348" s="45">
        <v>44667.0</v>
      </c>
      <c r="E348" s="24">
        <v>1.36</v>
      </c>
      <c r="F348" s="24">
        <v>33.88</v>
      </c>
      <c r="G348" s="24">
        <v>2.48</v>
      </c>
      <c r="H348" s="24" t="s">
        <v>6664</v>
      </c>
      <c r="I348" s="24">
        <v>10.91</v>
      </c>
      <c r="J348" s="24">
        <v>0.0</v>
      </c>
    </row>
    <row r="349">
      <c r="A349" s="24">
        <v>573.0</v>
      </c>
      <c r="B349" s="24">
        <v>13.0</v>
      </c>
      <c r="C349" s="44">
        <v>17.21</v>
      </c>
      <c r="D349" s="45">
        <v>44667.0</v>
      </c>
      <c r="E349" s="24">
        <v>1.32</v>
      </c>
      <c r="F349" s="24">
        <v>30.03</v>
      </c>
      <c r="G349" s="24">
        <v>2.27</v>
      </c>
      <c r="H349" s="24" t="s">
        <v>6662</v>
      </c>
      <c r="I349" s="24">
        <v>1.15</v>
      </c>
      <c r="J349" s="24">
        <v>0.0</v>
      </c>
    </row>
    <row r="350">
      <c r="A350" s="24">
        <v>0.0</v>
      </c>
      <c r="B350" s="24">
        <v>0.0</v>
      </c>
      <c r="C350" s="44"/>
      <c r="D350" s="45">
        <v>44668.0</v>
      </c>
      <c r="E350" s="24" t="s">
        <v>6650</v>
      </c>
      <c r="F350" s="24" t="s">
        <v>6650</v>
      </c>
      <c r="G350" s="24" t="s">
        <v>6650</v>
      </c>
      <c r="H350" s="24" t="s">
        <v>6663</v>
      </c>
      <c r="I350" s="24" t="s">
        <v>6650</v>
      </c>
      <c r="J350" s="24"/>
    </row>
    <row r="351">
      <c r="A351" s="24">
        <v>1409.0</v>
      </c>
      <c r="B351" s="24">
        <v>7.0</v>
      </c>
      <c r="C351" s="44">
        <v>9.48</v>
      </c>
      <c r="D351" s="45">
        <v>44668.0</v>
      </c>
      <c r="E351" s="24">
        <v>1.35</v>
      </c>
      <c r="F351" s="24">
        <v>6.73</v>
      </c>
      <c r="G351" s="24">
        <v>0.5</v>
      </c>
      <c r="H351" s="24" t="s">
        <v>6660</v>
      </c>
      <c r="I351" s="24">
        <v>1.18</v>
      </c>
      <c r="J351" s="24">
        <v>0.0</v>
      </c>
    </row>
    <row r="352">
      <c r="A352" s="24">
        <v>315.0</v>
      </c>
      <c r="B352" s="24">
        <v>8.0</v>
      </c>
      <c r="C352" s="44">
        <v>11.04</v>
      </c>
      <c r="D352" s="45">
        <v>44668.0</v>
      </c>
      <c r="E352" s="24">
        <v>1.38</v>
      </c>
      <c r="F352" s="24">
        <v>35.05</v>
      </c>
      <c r="G352" s="24">
        <v>2.54</v>
      </c>
      <c r="H352" s="24" t="s">
        <v>6664</v>
      </c>
      <c r="I352" s="24">
        <v>2.21</v>
      </c>
      <c r="J352" s="24">
        <v>0.0</v>
      </c>
    </row>
    <row r="353">
      <c r="A353" s="24">
        <v>1257.0</v>
      </c>
      <c r="B353" s="24">
        <v>19.0</v>
      </c>
      <c r="C353" s="44">
        <v>19.94</v>
      </c>
      <c r="D353" s="45">
        <v>44668.0</v>
      </c>
      <c r="E353" s="24">
        <v>1.05</v>
      </c>
      <c r="F353" s="24">
        <v>15.86</v>
      </c>
      <c r="G353" s="24">
        <v>1.51</v>
      </c>
      <c r="H353" s="24" t="s">
        <v>6662</v>
      </c>
      <c r="I353" s="24">
        <v>0.91</v>
      </c>
      <c r="J353" s="24">
        <v>0.0</v>
      </c>
    </row>
    <row r="354">
      <c r="A354" s="24">
        <v>3098.0</v>
      </c>
      <c r="B354" s="24">
        <v>14.0</v>
      </c>
      <c r="C354" s="44">
        <v>22.4</v>
      </c>
      <c r="D354" s="45">
        <v>44669.0</v>
      </c>
      <c r="E354" s="24">
        <v>1.6</v>
      </c>
      <c r="F354" s="24">
        <v>7.23</v>
      </c>
      <c r="G354" s="24">
        <v>0.45</v>
      </c>
      <c r="H354" s="24" t="s">
        <v>6660</v>
      </c>
      <c r="I354" s="24">
        <v>1.4</v>
      </c>
      <c r="J354" s="24">
        <v>0.0</v>
      </c>
    </row>
    <row r="355">
      <c r="A355" s="24">
        <v>376.0</v>
      </c>
      <c r="B355" s="24">
        <v>13.0</v>
      </c>
      <c r="C355" s="44">
        <v>29.83</v>
      </c>
      <c r="D355" s="45">
        <v>44669.0</v>
      </c>
      <c r="E355" s="24">
        <v>2.29</v>
      </c>
      <c r="F355" s="24">
        <v>79.34</v>
      </c>
      <c r="G355" s="24">
        <v>3.46</v>
      </c>
      <c r="H355" s="24" t="s">
        <v>6662</v>
      </c>
      <c r="I355" s="24">
        <v>2.29</v>
      </c>
      <c r="J355" s="24">
        <v>0.0</v>
      </c>
    </row>
    <row r="356">
      <c r="A356" s="24">
        <v>480.0</v>
      </c>
      <c r="B356" s="24">
        <v>9.0</v>
      </c>
      <c r="C356" s="44">
        <v>23.92</v>
      </c>
      <c r="D356" s="45">
        <v>44669.0</v>
      </c>
      <c r="E356" s="24">
        <v>2.66</v>
      </c>
      <c r="F356" s="24">
        <v>49.83</v>
      </c>
      <c r="G356" s="24">
        <v>1.88</v>
      </c>
      <c r="H356" s="24" t="s">
        <v>6664</v>
      </c>
      <c r="I356" s="24">
        <v>7.97</v>
      </c>
      <c r="J356" s="24">
        <v>0.0</v>
      </c>
    </row>
    <row r="357">
      <c r="A357" s="24">
        <v>953.0</v>
      </c>
      <c r="B357" s="24">
        <v>13.0</v>
      </c>
      <c r="C357" s="44">
        <v>22.73</v>
      </c>
      <c r="D357" s="45">
        <v>44670.0</v>
      </c>
      <c r="E357" s="24">
        <v>1.75</v>
      </c>
      <c r="F357" s="24">
        <v>23.85</v>
      </c>
      <c r="G357" s="24">
        <v>1.36</v>
      </c>
      <c r="H357" s="24" t="s">
        <v>6664</v>
      </c>
      <c r="I357" s="24">
        <v>5.68</v>
      </c>
      <c r="J357" s="24">
        <v>0.0</v>
      </c>
    </row>
    <row r="358">
      <c r="A358" s="24">
        <v>1205.0</v>
      </c>
      <c r="B358" s="24">
        <v>15.0</v>
      </c>
      <c r="C358" s="44">
        <v>37.48</v>
      </c>
      <c r="D358" s="45">
        <v>44670.0</v>
      </c>
      <c r="E358" s="24">
        <v>2.5</v>
      </c>
      <c r="F358" s="24">
        <v>31.1</v>
      </c>
      <c r="G358" s="24">
        <v>1.24</v>
      </c>
      <c r="H358" s="24" t="s">
        <v>6662</v>
      </c>
      <c r="I358" s="24">
        <v>2.5</v>
      </c>
      <c r="J358" s="24">
        <v>0.0</v>
      </c>
    </row>
    <row r="359">
      <c r="A359" s="24">
        <v>0.0</v>
      </c>
      <c r="B359" s="24">
        <v>0.0</v>
      </c>
      <c r="C359" s="44"/>
      <c r="D359" s="45">
        <v>44670.0</v>
      </c>
      <c r="E359" s="24" t="s">
        <v>6650</v>
      </c>
      <c r="F359" s="24" t="s">
        <v>6650</v>
      </c>
      <c r="G359" s="24" t="s">
        <v>6650</v>
      </c>
      <c r="H359" s="24" t="s">
        <v>6663</v>
      </c>
      <c r="I359" s="24" t="s">
        <v>6650</v>
      </c>
      <c r="J359" s="24"/>
    </row>
    <row r="360">
      <c r="A360" s="24">
        <v>2977.0</v>
      </c>
      <c r="B360" s="24">
        <v>5.0</v>
      </c>
      <c r="C360" s="44">
        <v>24.11</v>
      </c>
      <c r="D360" s="45">
        <v>44670.0</v>
      </c>
      <c r="E360" s="24">
        <v>4.82</v>
      </c>
      <c r="F360" s="24">
        <v>8.1</v>
      </c>
      <c r="G360" s="24">
        <v>0.17</v>
      </c>
      <c r="H360" s="24" t="s">
        <v>6660</v>
      </c>
      <c r="I360" s="24">
        <v>6.03</v>
      </c>
      <c r="J360" s="24">
        <v>0.0</v>
      </c>
    </row>
    <row r="361">
      <c r="A361" s="24">
        <v>3154.0</v>
      </c>
      <c r="B361" s="24">
        <v>18.0</v>
      </c>
      <c r="C361" s="44">
        <v>24.58</v>
      </c>
      <c r="D361" s="45">
        <v>44671.0</v>
      </c>
      <c r="E361" s="24">
        <v>1.37</v>
      </c>
      <c r="F361" s="24">
        <v>7.79</v>
      </c>
      <c r="G361" s="24">
        <v>0.57</v>
      </c>
      <c r="H361" s="24" t="s">
        <v>6660</v>
      </c>
      <c r="I361" s="24">
        <v>1.02</v>
      </c>
      <c r="J361" s="24">
        <v>0.0</v>
      </c>
    </row>
    <row r="362">
      <c r="A362" s="24">
        <v>821.0</v>
      </c>
      <c r="B362" s="24">
        <v>11.0</v>
      </c>
      <c r="C362" s="44">
        <v>24.4</v>
      </c>
      <c r="D362" s="45">
        <v>44671.0</v>
      </c>
      <c r="E362" s="24">
        <v>2.22</v>
      </c>
      <c r="F362" s="24">
        <v>29.72</v>
      </c>
      <c r="G362" s="24">
        <v>1.34</v>
      </c>
      <c r="H362" s="24" t="s">
        <v>6664</v>
      </c>
      <c r="I362" s="24">
        <v>2.03</v>
      </c>
      <c r="J362" s="24">
        <v>0.0</v>
      </c>
    </row>
    <row r="363">
      <c r="A363" s="24">
        <v>402.0</v>
      </c>
      <c r="B363" s="24">
        <v>16.0</v>
      </c>
      <c r="C363" s="44">
        <v>29.69</v>
      </c>
      <c r="D363" s="45">
        <v>44671.0</v>
      </c>
      <c r="E363" s="24">
        <v>1.86</v>
      </c>
      <c r="F363" s="24">
        <v>73.86</v>
      </c>
      <c r="G363" s="24">
        <v>3.98</v>
      </c>
      <c r="H363" s="24" t="s">
        <v>6662</v>
      </c>
      <c r="I363" s="24">
        <v>2.12</v>
      </c>
      <c r="J363" s="24">
        <v>0.0</v>
      </c>
    </row>
    <row r="364">
      <c r="A364" s="24">
        <v>1098.0</v>
      </c>
      <c r="B364" s="24">
        <v>10.0</v>
      </c>
      <c r="C364" s="44">
        <v>23.46</v>
      </c>
      <c r="D364" s="45">
        <v>44672.0</v>
      </c>
      <c r="E364" s="24">
        <v>2.35</v>
      </c>
      <c r="F364" s="24">
        <v>21.37</v>
      </c>
      <c r="G364" s="24">
        <v>0.91</v>
      </c>
      <c r="H364" s="24" t="s">
        <v>6664</v>
      </c>
      <c r="I364" s="24">
        <v>3.91</v>
      </c>
      <c r="J364" s="24">
        <v>0.0</v>
      </c>
    </row>
    <row r="365">
      <c r="A365" s="24">
        <v>707.0</v>
      </c>
      <c r="B365" s="24">
        <v>15.0</v>
      </c>
      <c r="C365" s="44">
        <v>40.51</v>
      </c>
      <c r="D365" s="45">
        <v>44672.0</v>
      </c>
      <c r="E365" s="24">
        <v>2.7</v>
      </c>
      <c r="F365" s="24">
        <v>57.3</v>
      </c>
      <c r="G365" s="24">
        <v>2.12</v>
      </c>
      <c r="H365" s="24" t="s">
        <v>6662</v>
      </c>
      <c r="I365" s="24">
        <v>1.56</v>
      </c>
      <c r="J365" s="24">
        <v>0.0</v>
      </c>
    </row>
    <row r="366">
      <c r="A366" s="24">
        <v>3148.0</v>
      </c>
      <c r="B366" s="24">
        <v>7.0</v>
      </c>
      <c r="C366" s="44">
        <v>28.69</v>
      </c>
      <c r="D366" s="45">
        <v>44672.0</v>
      </c>
      <c r="E366" s="24">
        <v>4.1</v>
      </c>
      <c r="F366" s="24">
        <v>9.11</v>
      </c>
      <c r="G366" s="24">
        <v>0.22</v>
      </c>
      <c r="H366" s="24" t="s">
        <v>6660</v>
      </c>
      <c r="I366" s="24">
        <v>5.74</v>
      </c>
      <c r="J366" s="24">
        <v>0.0</v>
      </c>
    </row>
    <row r="367">
      <c r="A367" s="24">
        <v>1824.0</v>
      </c>
      <c r="B367" s="24">
        <v>29.0</v>
      </c>
      <c r="C367" s="44">
        <v>34.54</v>
      </c>
      <c r="D367" s="45">
        <v>44673.0</v>
      </c>
      <c r="E367" s="24">
        <v>1.19</v>
      </c>
      <c r="F367" s="24">
        <v>18.94</v>
      </c>
      <c r="G367" s="24">
        <v>1.59</v>
      </c>
      <c r="H367" s="24" t="s">
        <v>6662</v>
      </c>
      <c r="I367" s="24">
        <v>1.82</v>
      </c>
      <c r="J367" s="24">
        <v>0.0</v>
      </c>
    </row>
    <row r="368">
      <c r="A368" s="24">
        <v>705.0</v>
      </c>
      <c r="B368" s="24">
        <v>9.0</v>
      </c>
      <c r="C368" s="44">
        <v>21.78</v>
      </c>
      <c r="D368" s="45">
        <v>44673.0</v>
      </c>
      <c r="E368" s="24">
        <v>2.42</v>
      </c>
      <c r="F368" s="24">
        <v>30.89</v>
      </c>
      <c r="G368" s="24">
        <v>1.28</v>
      </c>
      <c r="H368" s="24" t="s">
        <v>6664</v>
      </c>
      <c r="I368" s="24">
        <v>3.63</v>
      </c>
      <c r="J368" s="24">
        <v>0.0</v>
      </c>
    </row>
    <row r="369">
      <c r="A369" s="24">
        <v>2776.0</v>
      </c>
      <c r="B369" s="24">
        <v>6.0</v>
      </c>
      <c r="C369" s="44">
        <v>20.54</v>
      </c>
      <c r="D369" s="45">
        <v>44673.0</v>
      </c>
      <c r="E369" s="24">
        <v>3.42</v>
      </c>
      <c r="F369" s="24">
        <v>7.4</v>
      </c>
      <c r="G369" s="24">
        <v>0.22</v>
      </c>
      <c r="H369" s="24" t="s">
        <v>6660</v>
      </c>
      <c r="I369" s="24">
        <v>4.11</v>
      </c>
      <c r="J369" s="24">
        <v>0.0</v>
      </c>
    </row>
    <row r="370">
      <c r="A370" s="24">
        <v>957.0</v>
      </c>
      <c r="B370" s="24">
        <v>21.0</v>
      </c>
      <c r="C370" s="44">
        <v>18.22</v>
      </c>
      <c r="D370" s="45">
        <v>44674.0</v>
      </c>
      <c r="E370" s="24">
        <v>0.87</v>
      </c>
      <c r="F370" s="24">
        <v>19.04</v>
      </c>
      <c r="G370" s="24">
        <v>2.19</v>
      </c>
      <c r="H370" s="24" t="s">
        <v>6662</v>
      </c>
      <c r="I370" s="24">
        <v>1.07</v>
      </c>
      <c r="J370" s="24">
        <v>0.0</v>
      </c>
    </row>
    <row r="371">
      <c r="A371" s="24">
        <v>373.0</v>
      </c>
      <c r="B371" s="24">
        <v>4.0</v>
      </c>
      <c r="C371" s="44">
        <v>12.46</v>
      </c>
      <c r="D371" s="45">
        <v>44674.0</v>
      </c>
      <c r="E371" s="24">
        <v>3.12</v>
      </c>
      <c r="F371" s="24">
        <v>33.4</v>
      </c>
      <c r="G371" s="24">
        <v>1.07</v>
      </c>
      <c r="H371" s="24" t="s">
        <v>6664</v>
      </c>
      <c r="I371" s="24">
        <v>12.46</v>
      </c>
      <c r="J371" s="24">
        <v>0.0</v>
      </c>
    </row>
    <row r="372">
      <c r="A372" s="24">
        <v>1434.0</v>
      </c>
      <c r="B372" s="24">
        <v>12.0</v>
      </c>
      <c r="C372" s="44">
        <v>10.31</v>
      </c>
      <c r="D372" s="45">
        <v>44674.0</v>
      </c>
      <c r="E372" s="24">
        <v>0.86</v>
      </c>
      <c r="F372" s="24">
        <v>7.19</v>
      </c>
      <c r="G372" s="24">
        <v>0.84</v>
      </c>
      <c r="H372" s="24" t="s">
        <v>6660</v>
      </c>
      <c r="I372" s="24">
        <v>3.44</v>
      </c>
      <c r="J372" s="24">
        <v>0.0</v>
      </c>
    </row>
    <row r="373">
      <c r="A373" s="24">
        <v>298.0</v>
      </c>
      <c r="B373" s="24">
        <v>3.0</v>
      </c>
      <c r="C373" s="44">
        <v>11.25</v>
      </c>
      <c r="D373" s="45">
        <v>44675.0</v>
      </c>
      <c r="E373" s="24">
        <v>3.75</v>
      </c>
      <c r="F373" s="24">
        <v>37.75</v>
      </c>
      <c r="G373" s="24">
        <v>1.01</v>
      </c>
      <c r="H373" s="24" t="s">
        <v>6664</v>
      </c>
      <c r="I373" s="24">
        <v>11.25</v>
      </c>
      <c r="J373" s="24">
        <v>0.0</v>
      </c>
    </row>
    <row r="374">
      <c r="A374" s="24">
        <v>1335.0</v>
      </c>
      <c r="B374" s="24">
        <v>6.0</v>
      </c>
      <c r="C374" s="44">
        <v>9.37</v>
      </c>
      <c r="D374" s="45">
        <v>44675.0</v>
      </c>
      <c r="E374" s="24">
        <v>1.56</v>
      </c>
      <c r="F374" s="24">
        <v>7.02</v>
      </c>
      <c r="G374" s="24">
        <v>0.45</v>
      </c>
      <c r="H374" s="24" t="s">
        <v>6660</v>
      </c>
      <c r="I374" s="24">
        <v>1.56</v>
      </c>
      <c r="J374" s="24">
        <v>0.0</v>
      </c>
    </row>
    <row r="375">
      <c r="A375" s="24">
        <v>959.0</v>
      </c>
      <c r="B375" s="24">
        <v>14.0</v>
      </c>
      <c r="C375" s="44">
        <v>18.32</v>
      </c>
      <c r="D375" s="45">
        <v>44675.0</v>
      </c>
      <c r="E375" s="24">
        <v>1.31</v>
      </c>
      <c r="F375" s="24">
        <v>19.1</v>
      </c>
      <c r="G375" s="24">
        <v>1.46</v>
      </c>
      <c r="H375" s="24" t="s">
        <v>6662</v>
      </c>
      <c r="I375" s="24">
        <v>1.53</v>
      </c>
      <c r="J375" s="24">
        <v>0.0</v>
      </c>
    </row>
    <row r="376">
      <c r="A376" s="24">
        <v>3365.0</v>
      </c>
      <c r="B376" s="24">
        <v>11.0</v>
      </c>
      <c r="C376" s="44">
        <v>24.83</v>
      </c>
      <c r="D376" s="45">
        <v>44676.0</v>
      </c>
      <c r="E376" s="24">
        <v>2.26</v>
      </c>
      <c r="F376" s="24">
        <v>7.38</v>
      </c>
      <c r="G376" s="24">
        <v>0.33</v>
      </c>
      <c r="H376" s="24" t="s">
        <v>6660</v>
      </c>
      <c r="I376" s="24">
        <v>2.26</v>
      </c>
      <c r="J376" s="24">
        <v>0.0</v>
      </c>
    </row>
    <row r="377">
      <c r="A377" s="24">
        <v>1498.0</v>
      </c>
      <c r="B377" s="24">
        <v>23.0</v>
      </c>
      <c r="C377" s="44">
        <v>37.95</v>
      </c>
      <c r="D377" s="45">
        <v>44676.0</v>
      </c>
      <c r="E377" s="24">
        <v>1.65</v>
      </c>
      <c r="F377" s="24">
        <v>25.33</v>
      </c>
      <c r="G377" s="24">
        <v>1.54</v>
      </c>
      <c r="H377" s="24" t="s">
        <v>6662</v>
      </c>
      <c r="I377" s="24">
        <v>2.23</v>
      </c>
      <c r="J377" s="24">
        <v>0.0</v>
      </c>
    </row>
    <row r="378">
      <c r="A378" s="24">
        <v>644.0</v>
      </c>
      <c r="B378" s="24">
        <v>10.0</v>
      </c>
      <c r="C378" s="44">
        <v>26.24</v>
      </c>
      <c r="D378" s="45">
        <v>44676.0</v>
      </c>
      <c r="E378" s="24">
        <v>2.62</v>
      </c>
      <c r="F378" s="24">
        <v>40.75</v>
      </c>
      <c r="G378" s="24">
        <v>1.55</v>
      </c>
      <c r="H378" s="24" t="s">
        <v>6664</v>
      </c>
      <c r="I378" s="24">
        <v>6.56</v>
      </c>
      <c r="J378" s="24">
        <v>0.0</v>
      </c>
    </row>
    <row r="379">
      <c r="A379" s="24">
        <v>702.0</v>
      </c>
      <c r="B379" s="24">
        <v>6.0</v>
      </c>
      <c r="C379" s="44">
        <v>24.97</v>
      </c>
      <c r="D379" s="45">
        <v>44677.0</v>
      </c>
      <c r="E379" s="24">
        <v>4.16</v>
      </c>
      <c r="F379" s="24">
        <v>35.57</v>
      </c>
      <c r="G379" s="24">
        <v>0.85</v>
      </c>
      <c r="H379" s="24" t="s">
        <v>6664</v>
      </c>
      <c r="I379" s="24">
        <v>8.32</v>
      </c>
      <c r="J379" s="24">
        <v>0.0</v>
      </c>
    </row>
    <row r="380">
      <c r="A380" s="24">
        <v>2921.0</v>
      </c>
      <c r="B380" s="24">
        <v>12.0</v>
      </c>
      <c r="C380" s="44">
        <v>26.11</v>
      </c>
      <c r="D380" s="45">
        <v>44677.0</v>
      </c>
      <c r="E380" s="24">
        <v>2.18</v>
      </c>
      <c r="F380" s="24">
        <v>8.94</v>
      </c>
      <c r="G380" s="24">
        <v>0.41</v>
      </c>
      <c r="H380" s="24" t="s">
        <v>6660</v>
      </c>
      <c r="I380" s="24">
        <v>8.7</v>
      </c>
      <c r="J380" s="24">
        <v>0.0</v>
      </c>
    </row>
    <row r="381">
      <c r="A381" s="24">
        <v>2222.0</v>
      </c>
      <c r="B381" s="24">
        <v>23.0</v>
      </c>
      <c r="C381" s="44">
        <v>38.28</v>
      </c>
      <c r="D381" s="45">
        <v>44677.0</v>
      </c>
      <c r="E381" s="24">
        <v>1.66</v>
      </c>
      <c r="F381" s="24">
        <v>17.23</v>
      </c>
      <c r="G381" s="24">
        <v>1.04</v>
      </c>
      <c r="H381" s="24" t="s">
        <v>6662</v>
      </c>
      <c r="I381" s="24">
        <v>2.73</v>
      </c>
      <c r="J381" s="24">
        <v>0.0</v>
      </c>
    </row>
    <row r="382">
      <c r="A382" s="24">
        <v>874.0</v>
      </c>
      <c r="B382" s="24">
        <v>8.0</v>
      </c>
      <c r="C382" s="44">
        <v>25.26</v>
      </c>
      <c r="D382" s="45">
        <v>44678.0</v>
      </c>
      <c r="E382" s="24">
        <v>3.16</v>
      </c>
      <c r="F382" s="24">
        <v>28.9</v>
      </c>
      <c r="G382" s="24">
        <v>0.92</v>
      </c>
      <c r="H382" s="24" t="s">
        <v>6664</v>
      </c>
      <c r="I382" s="24">
        <v>6.32</v>
      </c>
      <c r="J382" s="24">
        <v>0.0</v>
      </c>
    </row>
    <row r="383">
      <c r="A383" s="24">
        <v>2411.0</v>
      </c>
      <c r="B383" s="24">
        <v>36.0</v>
      </c>
      <c r="C383" s="44">
        <v>36.3</v>
      </c>
      <c r="D383" s="45">
        <v>44678.0</v>
      </c>
      <c r="E383" s="24">
        <v>1.01</v>
      </c>
      <c r="F383" s="24">
        <v>15.06</v>
      </c>
      <c r="G383" s="24">
        <v>1.49</v>
      </c>
      <c r="H383" s="24" t="s">
        <v>6662</v>
      </c>
      <c r="I383" s="24">
        <v>1.17</v>
      </c>
      <c r="J383" s="24">
        <v>0.0</v>
      </c>
    </row>
    <row r="384">
      <c r="A384" s="24">
        <v>3206.0</v>
      </c>
      <c r="B384" s="24">
        <v>6.0</v>
      </c>
      <c r="C384" s="44">
        <v>25.53</v>
      </c>
      <c r="D384" s="45">
        <v>44678.0</v>
      </c>
      <c r="E384" s="24">
        <v>4.26</v>
      </c>
      <c r="F384" s="24">
        <v>7.96</v>
      </c>
      <c r="G384" s="24">
        <v>0.19</v>
      </c>
      <c r="H384" s="24" t="s">
        <v>6660</v>
      </c>
      <c r="I384" s="24">
        <v>1.82</v>
      </c>
      <c r="J384" s="24">
        <v>0.0</v>
      </c>
    </row>
    <row r="385">
      <c r="A385" s="24">
        <v>3112.0</v>
      </c>
      <c r="B385" s="24">
        <v>14.0</v>
      </c>
      <c r="C385" s="44">
        <v>24.9</v>
      </c>
      <c r="D385" s="45">
        <v>44679.0</v>
      </c>
      <c r="E385" s="24">
        <v>1.78</v>
      </c>
      <c r="F385" s="24">
        <v>8.0</v>
      </c>
      <c r="G385" s="24">
        <v>0.45</v>
      </c>
      <c r="H385" s="24" t="s">
        <v>6660</v>
      </c>
      <c r="I385" s="24">
        <v>1.04</v>
      </c>
      <c r="J385" s="24">
        <v>0.0</v>
      </c>
    </row>
    <row r="386">
      <c r="A386" s="24">
        <v>935.0</v>
      </c>
      <c r="B386" s="24">
        <v>7.0</v>
      </c>
      <c r="C386" s="44">
        <v>23.4</v>
      </c>
      <c r="D386" s="45">
        <v>44679.0</v>
      </c>
      <c r="E386" s="24">
        <v>3.34</v>
      </c>
      <c r="F386" s="24">
        <v>25.03</v>
      </c>
      <c r="G386" s="24">
        <v>0.75</v>
      </c>
      <c r="H386" s="24" t="s">
        <v>6664</v>
      </c>
      <c r="I386" s="24">
        <v>5.85</v>
      </c>
      <c r="J386" s="24">
        <v>0.0</v>
      </c>
    </row>
    <row r="387">
      <c r="A387" s="24">
        <v>2422.0</v>
      </c>
      <c r="B387" s="24">
        <v>23.0</v>
      </c>
      <c r="C387" s="44">
        <v>35.89</v>
      </c>
      <c r="D387" s="45">
        <v>44679.0</v>
      </c>
      <c r="E387" s="24">
        <v>1.56</v>
      </c>
      <c r="F387" s="24">
        <v>14.82</v>
      </c>
      <c r="G387" s="24">
        <v>0.95</v>
      </c>
      <c r="H387" s="24" t="s">
        <v>6662</v>
      </c>
      <c r="I387" s="24">
        <v>1.99</v>
      </c>
      <c r="J387" s="24">
        <v>0.0</v>
      </c>
    </row>
    <row r="388">
      <c r="A388" s="24">
        <v>705.0</v>
      </c>
      <c r="B388" s="24">
        <v>9.0</v>
      </c>
      <c r="C388" s="44">
        <v>20.52</v>
      </c>
      <c r="D388" s="45">
        <v>44680.0</v>
      </c>
      <c r="E388" s="24">
        <v>2.28</v>
      </c>
      <c r="F388" s="24">
        <v>29.11</v>
      </c>
      <c r="G388" s="24">
        <v>1.28</v>
      </c>
      <c r="H388" s="24" t="s">
        <v>6664</v>
      </c>
      <c r="I388" s="24">
        <v>5.13</v>
      </c>
      <c r="J388" s="24">
        <v>0.0</v>
      </c>
    </row>
    <row r="389">
      <c r="A389" s="24">
        <v>0.0</v>
      </c>
      <c r="B389" s="24">
        <v>0.0</v>
      </c>
      <c r="C389" s="44"/>
      <c r="D389" s="45">
        <v>44680.0</v>
      </c>
      <c r="E389" s="24" t="s">
        <v>6650</v>
      </c>
      <c r="F389" s="24" t="s">
        <v>6650</v>
      </c>
      <c r="G389" s="24" t="s">
        <v>6650</v>
      </c>
      <c r="H389" s="24" t="s">
        <v>6663</v>
      </c>
      <c r="I389" s="24" t="s">
        <v>6650</v>
      </c>
      <c r="J389" s="24"/>
    </row>
    <row r="390">
      <c r="A390" s="24">
        <v>2796.0</v>
      </c>
      <c r="B390" s="24">
        <v>7.0</v>
      </c>
      <c r="C390" s="44">
        <v>21.07</v>
      </c>
      <c r="D390" s="45">
        <v>44680.0</v>
      </c>
      <c r="E390" s="24">
        <v>3.01</v>
      </c>
      <c r="F390" s="24">
        <v>7.54</v>
      </c>
      <c r="G390" s="24">
        <v>0.25</v>
      </c>
      <c r="H390" s="24" t="s">
        <v>6660</v>
      </c>
      <c r="I390" s="24">
        <v>4.21</v>
      </c>
      <c r="J390" s="24">
        <v>0.0</v>
      </c>
    </row>
    <row r="391">
      <c r="A391" s="24">
        <v>1784.0</v>
      </c>
      <c r="B391" s="24">
        <v>20.0</v>
      </c>
      <c r="C391" s="44">
        <v>26.31</v>
      </c>
      <c r="D391" s="45">
        <v>44680.0</v>
      </c>
      <c r="E391" s="24">
        <v>1.32</v>
      </c>
      <c r="F391" s="24">
        <v>14.75</v>
      </c>
      <c r="G391" s="24">
        <v>1.12</v>
      </c>
      <c r="H391" s="24" t="s">
        <v>6662</v>
      </c>
      <c r="I391" s="24">
        <v>1.32</v>
      </c>
      <c r="J391" s="24">
        <v>0.0</v>
      </c>
    </row>
    <row r="392">
      <c r="A392" s="24">
        <v>523.0</v>
      </c>
      <c r="B392" s="24">
        <v>14.0</v>
      </c>
      <c r="C392" s="44">
        <v>17.12</v>
      </c>
      <c r="D392" s="45">
        <v>44681.0</v>
      </c>
      <c r="E392" s="24">
        <v>1.22</v>
      </c>
      <c r="F392" s="24">
        <v>32.73</v>
      </c>
      <c r="G392" s="24">
        <v>2.68</v>
      </c>
      <c r="H392" s="24" t="s">
        <v>6662</v>
      </c>
      <c r="I392" s="24">
        <v>1.01</v>
      </c>
      <c r="J392" s="24">
        <v>0.0</v>
      </c>
    </row>
    <row r="393">
      <c r="A393" s="24">
        <v>416.0</v>
      </c>
      <c r="B393" s="24">
        <v>5.0</v>
      </c>
      <c r="C393" s="44">
        <v>10.78</v>
      </c>
      <c r="D393" s="45">
        <v>44681.0</v>
      </c>
      <c r="E393" s="24">
        <v>2.16</v>
      </c>
      <c r="F393" s="24">
        <v>25.91</v>
      </c>
      <c r="G393" s="24">
        <v>1.2</v>
      </c>
      <c r="H393" s="24" t="s">
        <v>6664</v>
      </c>
      <c r="I393" s="24">
        <v>2.16</v>
      </c>
      <c r="J393" s="24">
        <v>0.0</v>
      </c>
    </row>
    <row r="394">
      <c r="A394" s="24">
        <v>0.0</v>
      </c>
      <c r="B394" s="24">
        <v>0.0</v>
      </c>
      <c r="C394" s="44"/>
      <c r="D394" s="45">
        <v>44681.0</v>
      </c>
      <c r="E394" s="24" t="s">
        <v>6650</v>
      </c>
      <c r="F394" s="24" t="s">
        <v>6650</v>
      </c>
      <c r="G394" s="24" t="s">
        <v>6650</v>
      </c>
      <c r="H394" s="24" t="s">
        <v>6663</v>
      </c>
      <c r="I394" s="24" t="s">
        <v>6650</v>
      </c>
      <c r="J394" s="24"/>
    </row>
    <row r="395">
      <c r="A395" s="24">
        <v>1473.0</v>
      </c>
      <c r="B395" s="24">
        <v>9.0</v>
      </c>
      <c r="C395" s="44">
        <v>9.57</v>
      </c>
      <c r="D395" s="45">
        <v>44681.0</v>
      </c>
      <c r="E395" s="24">
        <v>1.06</v>
      </c>
      <c r="F395" s="24">
        <v>6.5</v>
      </c>
      <c r="G395" s="24">
        <v>0.61</v>
      </c>
      <c r="H395" s="24" t="s">
        <v>6660</v>
      </c>
      <c r="I395" s="24">
        <v>3.19</v>
      </c>
      <c r="J395" s="24">
        <v>0.0</v>
      </c>
    </row>
    <row r="396">
      <c r="A396" s="24">
        <v>1476.0</v>
      </c>
      <c r="B396" s="24">
        <v>1.0</v>
      </c>
      <c r="C396" s="44">
        <v>7.99</v>
      </c>
      <c r="D396" s="45">
        <v>44682.0</v>
      </c>
      <c r="E396" s="24">
        <v>7.99</v>
      </c>
      <c r="F396" s="24">
        <v>5.41</v>
      </c>
      <c r="G396" s="24">
        <v>0.07</v>
      </c>
      <c r="H396" s="24" t="s">
        <v>6660</v>
      </c>
      <c r="I396" s="24">
        <v>4.0</v>
      </c>
      <c r="J396" s="24">
        <v>0.0</v>
      </c>
    </row>
    <row r="397">
      <c r="A397" s="24">
        <v>1220.0</v>
      </c>
      <c r="B397" s="24">
        <v>18.0</v>
      </c>
      <c r="C397" s="44">
        <v>16.41</v>
      </c>
      <c r="D397" s="45">
        <v>44682.0</v>
      </c>
      <c r="E397" s="24">
        <v>0.91</v>
      </c>
      <c r="F397" s="24">
        <v>13.45</v>
      </c>
      <c r="G397" s="24">
        <v>1.48</v>
      </c>
      <c r="H397" s="24" t="s">
        <v>6662</v>
      </c>
      <c r="I397" s="24">
        <v>0.91</v>
      </c>
      <c r="J397" s="24">
        <v>0.0</v>
      </c>
    </row>
    <row r="398">
      <c r="A398" s="24">
        <v>400.0</v>
      </c>
      <c r="B398" s="24">
        <v>9.0</v>
      </c>
      <c r="C398" s="44">
        <v>8.83</v>
      </c>
      <c r="D398" s="45">
        <v>44682.0</v>
      </c>
      <c r="E398" s="24">
        <v>0.98</v>
      </c>
      <c r="F398" s="24">
        <v>22.08</v>
      </c>
      <c r="G398" s="24">
        <v>2.25</v>
      </c>
      <c r="H398" s="24" t="s">
        <v>6664</v>
      </c>
      <c r="I398" s="24">
        <v>1.77</v>
      </c>
      <c r="J398" s="24">
        <v>0.0</v>
      </c>
    </row>
    <row r="399">
      <c r="A399" s="24">
        <v>3773.0</v>
      </c>
      <c r="B399" s="24">
        <v>21.0</v>
      </c>
      <c r="C399" s="44">
        <v>22.56</v>
      </c>
      <c r="D399" s="45">
        <v>44683.0</v>
      </c>
      <c r="E399" s="24">
        <v>1.07</v>
      </c>
      <c r="F399" s="24">
        <v>5.98</v>
      </c>
      <c r="G399" s="24">
        <v>0.56</v>
      </c>
      <c r="H399" s="24" t="s">
        <v>6660</v>
      </c>
      <c r="I399" s="24">
        <v>1.74</v>
      </c>
      <c r="J399" s="24">
        <v>0.0</v>
      </c>
    </row>
    <row r="400">
      <c r="A400" s="24">
        <v>600.0</v>
      </c>
      <c r="B400" s="24">
        <v>13.0</v>
      </c>
      <c r="C400" s="44">
        <v>31.64</v>
      </c>
      <c r="D400" s="45">
        <v>44683.0</v>
      </c>
      <c r="E400" s="24">
        <v>2.43</v>
      </c>
      <c r="F400" s="24">
        <v>52.73</v>
      </c>
      <c r="G400" s="24">
        <v>2.17</v>
      </c>
      <c r="H400" s="24" t="s">
        <v>6662</v>
      </c>
      <c r="I400" s="24">
        <v>2.11</v>
      </c>
      <c r="J400" s="24">
        <v>0.0</v>
      </c>
    </row>
    <row r="401">
      <c r="A401" s="24">
        <v>621.0</v>
      </c>
      <c r="B401" s="24">
        <v>12.0</v>
      </c>
      <c r="C401" s="44">
        <v>23.59</v>
      </c>
      <c r="D401" s="46">
        <v>44683.0</v>
      </c>
      <c r="E401" s="24">
        <v>1.97</v>
      </c>
      <c r="F401" s="24">
        <v>37.99</v>
      </c>
      <c r="G401" s="24">
        <v>1.93</v>
      </c>
      <c r="H401" s="24" t="s">
        <v>6664</v>
      </c>
      <c r="I401" s="24">
        <v>4.72</v>
      </c>
      <c r="J401" s="24">
        <v>0.0</v>
      </c>
    </row>
    <row r="402">
      <c r="A402" s="24">
        <v>2447.0</v>
      </c>
      <c r="B402" s="24">
        <v>27.0</v>
      </c>
      <c r="C402" s="44">
        <v>38.61</v>
      </c>
      <c r="D402" s="46">
        <v>44684.0</v>
      </c>
      <c r="E402" s="24">
        <v>1.43</v>
      </c>
      <c r="F402" s="24">
        <v>15.78</v>
      </c>
      <c r="G402" s="24">
        <v>1.1</v>
      </c>
      <c r="H402" s="24" t="s">
        <v>6662</v>
      </c>
      <c r="I402" s="24">
        <v>1.21</v>
      </c>
      <c r="J402" s="24">
        <v>0.0</v>
      </c>
    </row>
    <row r="403">
      <c r="A403" s="24">
        <v>3539.0</v>
      </c>
      <c r="B403" s="24">
        <v>12.0</v>
      </c>
      <c r="C403" s="44">
        <v>24.99</v>
      </c>
      <c r="D403" s="46">
        <v>44684.0</v>
      </c>
      <c r="E403" s="24">
        <v>2.08</v>
      </c>
      <c r="F403" s="24">
        <v>7.06</v>
      </c>
      <c r="G403" s="24">
        <v>0.34</v>
      </c>
      <c r="H403" s="24" t="s">
        <v>6660</v>
      </c>
      <c r="I403" s="24">
        <v>2.08</v>
      </c>
      <c r="J403" s="24">
        <v>0.0</v>
      </c>
    </row>
    <row r="404">
      <c r="A404" s="24">
        <v>704.0</v>
      </c>
      <c r="B404" s="24">
        <v>6.0</v>
      </c>
      <c r="C404" s="44">
        <v>25.36</v>
      </c>
      <c r="D404" s="46">
        <v>44684.0</v>
      </c>
      <c r="E404" s="24">
        <v>4.23</v>
      </c>
      <c r="F404" s="24">
        <v>36.02</v>
      </c>
      <c r="G404" s="24">
        <v>0.85</v>
      </c>
      <c r="H404" s="24" t="s">
        <v>6664</v>
      </c>
      <c r="I404" s="24">
        <v>8.45</v>
      </c>
      <c r="J404" s="24">
        <v>0.0</v>
      </c>
    </row>
    <row r="405">
      <c r="A405" s="24">
        <v>1886.0</v>
      </c>
      <c r="B405" s="24">
        <v>20.0</v>
      </c>
      <c r="C405" s="44">
        <v>35.44</v>
      </c>
      <c r="D405" s="46">
        <v>44685.0</v>
      </c>
      <c r="E405" s="24">
        <v>1.77</v>
      </c>
      <c r="F405" s="24">
        <v>18.79</v>
      </c>
      <c r="G405" s="24">
        <v>1.06</v>
      </c>
      <c r="H405" s="24" t="s">
        <v>6662</v>
      </c>
      <c r="I405" s="24">
        <v>1.27</v>
      </c>
      <c r="J405" s="24">
        <v>0.0</v>
      </c>
    </row>
    <row r="406">
      <c r="A406" s="24">
        <v>816.0</v>
      </c>
      <c r="B406" s="24">
        <v>12.0</v>
      </c>
      <c r="C406" s="44">
        <v>23.69</v>
      </c>
      <c r="D406" s="46">
        <v>44685.0</v>
      </c>
      <c r="E406" s="24">
        <v>1.97</v>
      </c>
      <c r="F406" s="24">
        <v>29.03</v>
      </c>
      <c r="G406" s="24">
        <v>1.47</v>
      </c>
      <c r="H406" s="24" t="s">
        <v>6664</v>
      </c>
      <c r="I406" s="24">
        <v>2.96</v>
      </c>
      <c r="J406" s="24">
        <v>0.0</v>
      </c>
    </row>
    <row r="407">
      <c r="A407" s="24">
        <v>3293.0</v>
      </c>
      <c r="B407" s="24">
        <v>10.0</v>
      </c>
      <c r="C407" s="44">
        <v>24.56</v>
      </c>
      <c r="D407" s="46">
        <v>44685.0</v>
      </c>
      <c r="E407" s="24">
        <v>2.46</v>
      </c>
      <c r="F407" s="24">
        <v>7.46</v>
      </c>
      <c r="G407" s="24">
        <v>0.3</v>
      </c>
      <c r="H407" s="24" t="s">
        <v>6660</v>
      </c>
      <c r="I407" s="24">
        <v>4.09</v>
      </c>
      <c r="J407" s="24">
        <v>0.0</v>
      </c>
    </row>
    <row r="408">
      <c r="A408" s="24">
        <v>1000.0</v>
      </c>
      <c r="B408" s="24">
        <v>8.0</v>
      </c>
      <c r="C408" s="44">
        <v>22.96</v>
      </c>
      <c r="D408" s="46">
        <v>44686.0</v>
      </c>
      <c r="E408" s="24">
        <v>2.87</v>
      </c>
      <c r="F408" s="24">
        <v>22.96</v>
      </c>
      <c r="G408" s="24">
        <v>0.8</v>
      </c>
      <c r="H408" s="24" t="s">
        <v>6664</v>
      </c>
      <c r="I408" s="24">
        <v>2.3</v>
      </c>
      <c r="J408" s="24">
        <v>0.0</v>
      </c>
    </row>
    <row r="409">
      <c r="A409" s="24">
        <v>2432.0</v>
      </c>
      <c r="B409" s="24">
        <v>20.0</v>
      </c>
      <c r="C409" s="44">
        <v>37.74</v>
      </c>
      <c r="D409" s="46">
        <v>44686.0</v>
      </c>
      <c r="E409" s="24">
        <v>1.89</v>
      </c>
      <c r="F409" s="24">
        <v>15.52</v>
      </c>
      <c r="G409" s="24">
        <v>0.82</v>
      </c>
      <c r="H409" s="24" t="s">
        <v>6662</v>
      </c>
      <c r="I409" s="24">
        <v>2.1</v>
      </c>
      <c r="J409" s="24">
        <v>0.0</v>
      </c>
    </row>
    <row r="410">
      <c r="A410" s="24">
        <v>3041.0</v>
      </c>
      <c r="B410" s="24">
        <v>14.0</v>
      </c>
      <c r="C410" s="44">
        <v>24.29</v>
      </c>
      <c r="D410" s="46">
        <v>44686.0</v>
      </c>
      <c r="E410" s="24">
        <v>1.74</v>
      </c>
      <c r="F410" s="24">
        <v>7.99</v>
      </c>
      <c r="G410" s="24">
        <v>0.46</v>
      </c>
      <c r="H410" s="24" t="s">
        <v>6660</v>
      </c>
      <c r="I410" s="24">
        <v>2.21</v>
      </c>
      <c r="J410" s="24">
        <v>0.0</v>
      </c>
    </row>
    <row r="411">
      <c r="A411" s="24">
        <v>2750.0</v>
      </c>
      <c r="B411" s="24">
        <v>20.0</v>
      </c>
      <c r="C411" s="44">
        <v>34.86</v>
      </c>
      <c r="D411" s="46">
        <v>44687.0</v>
      </c>
      <c r="E411" s="24">
        <v>1.74</v>
      </c>
      <c r="F411" s="24">
        <v>12.68</v>
      </c>
      <c r="G411" s="24">
        <v>0.73</v>
      </c>
      <c r="H411" s="24" t="s">
        <v>6662</v>
      </c>
      <c r="I411" s="24">
        <v>2.49</v>
      </c>
      <c r="J411" s="24">
        <v>0.0</v>
      </c>
    </row>
    <row r="412">
      <c r="A412" s="24">
        <v>3106.0</v>
      </c>
      <c r="B412" s="24">
        <v>26.0</v>
      </c>
      <c r="C412" s="44">
        <v>22.63</v>
      </c>
      <c r="D412" s="46">
        <v>44687.0</v>
      </c>
      <c r="E412" s="24">
        <v>0.87</v>
      </c>
      <c r="F412" s="24">
        <v>7.29</v>
      </c>
      <c r="G412" s="24">
        <v>0.84</v>
      </c>
      <c r="H412" s="24" t="s">
        <v>6660</v>
      </c>
      <c r="I412" s="24">
        <v>0.98</v>
      </c>
      <c r="J412" s="24">
        <v>0.0</v>
      </c>
    </row>
    <row r="413">
      <c r="A413" s="24">
        <v>777.0</v>
      </c>
      <c r="B413" s="24">
        <v>7.0</v>
      </c>
      <c r="C413" s="44">
        <v>21.47</v>
      </c>
      <c r="D413" s="46">
        <v>44687.0</v>
      </c>
      <c r="E413" s="24">
        <v>3.07</v>
      </c>
      <c r="F413" s="24">
        <v>27.63</v>
      </c>
      <c r="G413" s="24">
        <v>0.9</v>
      </c>
      <c r="H413" s="24" t="s">
        <v>6664</v>
      </c>
      <c r="I413" s="24">
        <v>3.58</v>
      </c>
      <c r="J413" s="24">
        <v>0.0</v>
      </c>
    </row>
    <row r="414">
      <c r="A414" s="24">
        <v>1317.0</v>
      </c>
      <c r="B414" s="24">
        <v>24.0</v>
      </c>
      <c r="C414" s="44">
        <v>16.27</v>
      </c>
      <c r="D414" s="46">
        <v>44688.0</v>
      </c>
      <c r="E414" s="24">
        <v>0.68</v>
      </c>
      <c r="F414" s="24">
        <v>12.35</v>
      </c>
      <c r="G414" s="24">
        <v>1.82</v>
      </c>
      <c r="H414" s="24" t="s">
        <v>6662</v>
      </c>
      <c r="I414" s="24">
        <v>0.71</v>
      </c>
      <c r="J414" s="24">
        <v>0.0</v>
      </c>
    </row>
    <row r="415">
      <c r="A415" s="24">
        <v>471.0</v>
      </c>
      <c r="B415" s="24">
        <v>6.0</v>
      </c>
      <c r="C415" s="44">
        <v>12.01</v>
      </c>
      <c r="D415" s="46">
        <v>44688.0</v>
      </c>
      <c r="E415" s="24">
        <v>2.0</v>
      </c>
      <c r="F415" s="24">
        <v>25.5</v>
      </c>
      <c r="G415" s="24">
        <v>1.27</v>
      </c>
      <c r="H415" s="24" t="s">
        <v>6664</v>
      </c>
      <c r="I415" s="24">
        <v>2.4</v>
      </c>
      <c r="J415" s="24">
        <v>0.0</v>
      </c>
    </row>
    <row r="416">
      <c r="A416" s="24">
        <v>1632.0</v>
      </c>
      <c r="B416" s="24">
        <v>10.0</v>
      </c>
      <c r="C416" s="44">
        <v>11.19</v>
      </c>
      <c r="D416" s="46">
        <v>44688.0</v>
      </c>
      <c r="E416" s="24">
        <v>1.12</v>
      </c>
      <c r="F416" s="24">
        <v>6.86</v>
      </c>
      <c r="G416" s="24">
        <v>0.61</v>
      </c>
      <c r="H416" s="24" t="s">
        <v>6660</v>
      </c>
      <c r="I416" s="24">
        <v>0.86</v>
      </c>
      <c r="J416" s="24">
        <v>0.0</v>
      </c>
    </row>
    <row r="417">
      <c r="A417" s="24">
        <v>419.0</v>
      </c>
      <c r="B417" s="24">
        <v>4.0</v>
      </c>
      <c r="C417" s="44">
        <v>10.92</v>
      </c>
      <c r="D417" s="46">
        <v>44689.0</v>
      </c>
      <c r="E417" s="24">
        <v>2.73</v>
      </c>
      <c r="F417" s="24">
        <v>26.06</v>
      </c>
      <c r="G417" s="24">
        <v>0.95</v>
      </c>
      <c r="H417" s="24" t="s">
        <v>6664</v>
      </c>
      <c r="I417" s="24">
        <v>5.46</v>
      </c>
      <c r="J417" s="24">
        <v>0.0</v>
      </c>
    </row>
    <row r="418">
      <c r="A418" s="24">
        <v>0.0</v>
      </c>
      <c r="B418" s="24">
        <v>0.0</v>
      </c>
      <c r="C418" s="44"/>
      <c r="D418" s="46">
        <v>44689.0</v>
      </c>
      <c r="E418" s="24" t="s">
        <v>6650</v>
      </c>
      <c r="F418" s="24" t="s">
        <v>6650</v>
      </c>
      <c r="G418" s="24" t="s">
        <v>6650</v>
      </c>
      <c r="H418" s="24" t="s">
        <v>6663</v>
      </c>
      <c r="I418" s="24" t="s">
        <v>6650</v>
      </c>
      <c r="J418" s="24"/>
    </row>
    <row r="419">
      <c r="A419" s="24">
        <v>1411.0</v>
      </c>
      <c r="B419" s="24">
        <v>12.0</v>
      </c>
      <c r="C419" s="44">
        <v>9.78</v>
      </c>
      <c r="D419" s="46">
        <v>44689.0</v>
      </c>
      <c r="E419" s="24">
        <v>0.82</v>
      </c>
      <c r="F419" s="24">
        <v>6.93</v>
      </c>
      <c r="G419" s="24">
        <v>0.85</v>
      </c>
      <c r="H419" s="24" t="s">
        <v>6660</v>
      </c>
      <c r="I419" s="24">
        <v>1.09</v>
      </c>
      <c r="J419" s="24">
        <v>0.0</v>
      </c>
    </row>
    <row r="420">
      <c r="A420" s="24">
        <v>1137.0</v>
      </c>
      <c r="B420" s="24">
        <v>20.0</v>
      </c>
      <c r="C420" s="44">
        <v>15.44</v>
      </c>
      <c r="D420" s="46">
        <v>44689.0</v>
      </c>
      <c r="E420" s="24">
        <v>0.77</v>
      </c>
      <c r="F420" s="24">
        <v>13.58</v>
      </c>
      <c r="G420" s="24">
        <v>1.76</v>
      </c>
      <c r="H420" s="24" t="s">
        <v>6662</v>
      </c>
      <c r="I420" s="24">
        <v>0.59</v>
      </c>
      <c r="J420" s="24">
        <v>0.0</v>
      </c>
    </row>
    <row r="421">
      <c r="A421" s="24">
        <v>3444.0</v>
      </c>
      <c r="B421" s="24">
        <v>15.0</v>
      </c>
      <c r="C421" s="44">
        <v>23.93</v>
      </c>
      <c r="D421" s="46">
        <v>44690.0</v>
      </c>
      <c r="E421" s="24">
        <v>1.6</v>
      </c>
      <c r="F421" s="24">
        <v>6.95</v>
      </c>
      <c r="G421" s="24">
        <v>0.44</v>
      </c>
      <c r="H421" s="24" t="s">
        <v>6660</v>
      </c>
      <c r="I421" s="24">
        <v>1.99</v>
      </c>
      <c r="J421" s="24">
        <v>0.0</v>
      </c>
    </row>
    <row r="422">
      <c r="A422" s="24">
        <v>3149.0</v>
      </c>
      <c r="B422" s="24">
        <v>39.0</v>
      </c>
      <c r="C422" s="44">
        <v>37.2</v>
      </c>
      <c r="D422" s="46">
        <v>44690.0</v>
      </c>
      <c r="E422" s="24">
        <v>0.95</v>
      </c>
      <c r="F422" s="24">
        <v>11.81</v>
      </c>
      <c r="G422" s="24">
        <v>1.24</v>
      </c>
      <c r="H422" s="24" t="s">
        <v>6662</v>
      </c>
      <c r="I422" s="24">
        <v>0.95</v>
      </c>
      <c r="J422" s="24">
        <v>0.0</v>
      </c>
    </row>
    <row r="423">
      <c r="A423" s="24">
        <v>737.0</v>
      </c>
      <c r="B423" s="24">
        <v>9.0</v>
      </c>
      <c r="C423" s="44">
        <v>25.05</v>
      </c>
      <c r="D423" s="46">
        <v>44690.0</v>
      </c>
      <c r="E423" s="24">
        <v>2.78</v>
      </c>
      <c r="F423" s="24">
        <v>33.99</v>
      </c>
      <c r="G423" s="24">
        <v>1.22</v>
      </c>
      <c r="H423" s="24" t="s">
        <v>6664</v>
      </c>
      <c r="I423" s="24">
        <v>3.58</v>
      </c>
      <c r="J423" s="24">
        <v>0.0</v>
      </c>
    </row>
    <row r="424">
      <c r="A424" s="24">
        <v>3473.0</v>
      </c>
      <c r="B424" s="24">
        <v>35.0</v>
      </c>
      <c r="C424" s="44">
        <v>36.08</v>
      </c>
      <c r="D424" s="46">
        <v>44691.0</v>
      </c>
      <c r="E424" s="24">
        <v>1.03</v>
      </c>
      <c r="F424" s="24">
        <v>10.39</v>
      </c>
      <c r="G424" s="24">
        <v>1.01</v>
      </c>
      <c r="H424" s="24" t="s">
        <v>6662</v>
      </c>
      <c r="I424" s="24">
        <v>1.39</v>
      </c>
      <c r="J424" s="24">
        <v>0.0</v>
      </c>
    </row>
    <row r="425">
      <c r="A425" s="24">
        <v>741.0</v>
      </c>
      <c r="B425" s="24">
        <v>11.0</v>
      </c>
      <c r="C425" s="44">
        <v>22.92</v>
      </c>
      <c r="D425" s="46">
        <v>44691.0</v>
      </c>
      <c r="E425" s="24">
        <v>2.08</v>
      </c>
      <c r="F425" s="24">
        <v>30.93</v>
      </c>
      <c r="G425" s="24">
        <v>1.48</v>
      </c>
      <c r="H425" s="24" t="s">
        <v>6664</v>
      </c>
      <c r="I425" s="24">
        <v>2.86</v>
      </c>
      <c r="J425" s="24">
        <v>0.0</v>
      </c>
    </row>
    <row r="426">
      <c r="A426" s="24">
        <v>3494.0</v>
      </c>
      <c r="B426" s="24">
        <v>10.0</v>
      </c>
      <c r="C426" s="44">
        <v>25.49</v>
      </c>
      <c r="D426" s="46">
        <v>44691.0</v>
      </c>
      <c r="E426" s="24">
        <v>2.55</v>
      </c>
      <c r="F426" s="24">
        <v>7.3</v>
      </c>
      <c r="G426" s="24">
        <v>0.29</v>
      </c>
      <c r="H426" s="24" t="s">
        <v>6660</v>
      </c>
      <c r="I426" s="24">
        <v>2.55</v>
      </c>
      <c r="J426" s="24">
        <v>0.0</v>
      </c>
    </row>
    <row r="427">
      <c r="A427" s="24">
        <v>866.0</v>
      </c>
      <c r="B427" s="24">
        <v>4.0</v>
      </c>
      <c r="C427" s="44">
        <v>25.12</v>
      </c>
      <c r="D427" s="46">
        <v>44692.0</v>
      </c>
      <c r="E427" s="24">
        <v>6.28</v>
      </c>
      <c r="F427" s="24">
        <v>29.01</v>
      </c>
      <c r="G427" s="24">
        <v>0.46</v>
      </c>
      <c r="H427" s="24" t="s">
        <v>6664</v>
      </c>
      <c r="I427" s="24">
        <v>12.56</v>
      </c>
      <c r="J427" s="24">
        <v>0.0</v>
      </c>
    </row>
    <row r="428">
      <c r="A428" s="24">
        <v>3097.0</v>
      </c>
      <c r="B428" s="24">
        <v>14.0</v>
      </c>
      <c r="C428" s="44">
        <v>24.75</v>
      </c>
      <c r="D428" s="46">
        <v>44692.0</v>
      </c>
      <c r="E428" s="24">
        <v>1.77</v>
      </c>
      <c r="F428" s="24">
        <v>7.99</v>
      </c>
      <c r="G428" s="24">
        <v>0.45</v>
      </c>
      <c r="H428" s="24" t="s">
        <v>6660</v>
      </c>
      <c r="I428" s="24">
        <v>2.75</v>
      </c>
      <c r="J428" s="24">
        <v>0.0</v>
      </c>
    </row>
    <row r="429">
      <c r="A429" s="24">
        <v>3827.0</v>
      </c>
      <c r="B429" s="24">
        <v>33.0</v>
      </c>
      <c r="C429" s="44">
        <v>37.58</v>
      </c>
      <c r="D429" s="46">
        <v>44692.0</v>
      </c>
      <c r="E429" s="24">
        <v>1.14</v>
      </c>
      <c r="F429" s="24">
        <v>9.82</v>
      </c>
      <c r="G429" s="24">
        <v>0.86</v>
      </c>
      <c r="H429" s="24" t="s">
        <v>6662</v>
      </c>
      <c r="I429" s="24">
        <v>2.09</v>
      </c>
      <c r="J429" s="24">
        <v>0.0</v>
      </c>
    </row>
    <row r="430">
      <c r="A430" s="24">
        <v>884.0</v>
      </c>
      <c r="B430" s="24">
        <v>11.0</v>
      </c>
      <c r="C430" s="44">
        <v>23.02</v>
      </c>
      <c r="D430" s="46">
        <v>44693.0</v>
      </c>
      <c r="E430" s="24">
        <v>2.09</v>
      </c>
      <c r="F430" s="24">
        <v>26.04</v>
      </c>
      <c r="G430" s="24">
        <v>1.24</v>
      </c>
      <c r="H430" s="24" t="s">
        <v>6664</v>
      </c>
      <c r="I430" s="24">
        <v>3.84</v>
      </c>
      <c r="J430" s="24">
        <v>0.0</v>
      </c>
    </row>
    <row r="431">
      <c r="A431" s="24">
        <v>2897.0</v>
      </c>
      <c r="B431" s="24">
        <v>26.0</v>
      </c>
      <c r="C431" s="44">
        <v>34.79</v>
      </c>
      <c r="D431" s="46">
        <v>44693.0</v>
      </c>
      <c r="E431" s="24">
        <v>1.34</v>
      </c>
      <c r="F431" s="24">
        <v>12.01</v>
      </c>
      <c r="G431" s="24">
        <v>0.9</v>
      </c>
      <c r="H431" s="24" t="s">
        <v>6662</v>
      </c>
      <c r="I431" s="24">
        <v>2.32</v>
      </c>
      <c r="J431" s="24">
        <v>0.0</v>
      </c>
    </row>
    <row r="432">
      <c r="A432" s="24">
        <v>3032.0</v>
      </c>
      <c r="B432" s="24">
        <v>9.0</v>
      </c>
      <c r="C432" s="44">
        <v>24.43</v>
      </c>
      <c r="D432" s="46">
        <v>44693.0</v>
      </c>
      <c r="E432" s="24">
        <v>2.71</v>
      </c>
      <c r="F432" s="24">
        <v>8.06</v>
      </c>
      <c r="G432" s="24">
        <v>0.3</v>
      </c>
      <c r="H432" s="24" t="s">
        <v>6660</v>
      </c>
      <c r="I432" s="24">
        <v>4.89</v>
      </c>
      <c r="J432" s="24">
        <v>0.0</v>
      </c>
    </row>
    <row r="433">
      <c r="A433" s="24">
        <v>2920.0</v>
      </c>
      <c r="B433" s="24">
        <v>35.0</v>
      </c>
      <c r="C433" s="44">
        <v>30.85</v>
      </c>
      <c r="D433" s="46">
        <v>44694.0</v>
      </c>
      <c r="E433" s="24">
        <v>0.88</v>
      </c>
      <c r="F433" s="24">
        <v>10.57</v>
      </c>
      <c r="G433" s="24">
        <v>1.2</v>
      </c>
      <c r="H433" s="24" t="s">
        <v>6662</v>
      </c>
      <c r="I433" s="24">
        <v>1.54</v>
      </c>
      <c r="J433" s="24">
        <v>0.0</v>
      </c>
    </row>
    <row r="434">
      <c r="A434" s="24">
        <v>2810.0</v>
      </c>
      <c r="B434" s="24">
        <v>15.0</v>
      </c>
      <c r="C434" s="44">
        <v>21.98</v>
      </c>
      <c r="D434" s="46">
        <v>44694.0</v>
      </c>
      <c r="E434" s="24">
        <v>1.47</v>
      </c>
      <c r="F434" s="24">
        <v>7.82</v>
      </c>
      <c r="G434" s="24">
        <v>0.53</v>
      </c>
      <c r="H434" s="24" t="s">
        <v>6660</v>
      </c>
      <c r="I434" s="24">
        <v>2.75</v>
      </c>
      <c r="J434" s="24">
        <v>0.0</v>
      </c>
    </row>
    <row r="435">
      <c r="A435" s="24">
        <v>746.0</v>
      </c>
      <c r="B435" s="24">
        <v>3.0</v>
      </c>
      <c r="C435" s="44">
        <v>21.15</v>
      </c>
      <c r="D435" s="46">
        <v>44694.0</v>
      </c>
      <c r="E435" s="24">
        <v>7.05</v>
      </c>
      <c r="F435" s="24">
        <v>28.35</v>
      </c>
      <c r="G435" s="24">
        <v>0.4</v>
      </c>
      <c r="H435" s="24" t="s">
        <v>6664</v>
      </c>
      <c r="I435" s="24">
        <v>10.58</v>
      </c>
      <c r="J435" s="24">
        <v>0.0</v>
      </c>
    </row>
    <row r="436">
      <c r="A436" s="24">
        <v>497.0</v>
      </c>
      <c r="B436" s="24">
        <v>4.0</v>
      </c>
      <c r="C436" s="44">
        <v>11.76</v>
      </c>
      <c r="D436" s="46">
        <v>44695.0</v>
      </c>
      <c r="E436" s="24">
        <v>2.94</v>
      </c>
      <c r="F436" s="24">
        <v>23.66</v>
      </c>
      <c r="G436" s="24">
        <v>0.8</v>
      </c>
      <c r="H436" s="24" t="s">
        <v>6664</v>
      </c>
      <c r="I436" s="24">
        <v>2.35</v>
      </c>
      <c r="J436" s="24">
        <v>0.0</v>
      </c>
    </row>
    <row r="437">
      <c r="A437" s="24">
        <v>1423.0</v>
      </c>
      <c r="B437" s="24">
        <v>13.0</v>
      </c>
      <c r="C437" s="44">
        <v>10.3</v>
      </c>
      <c r="D437" s="46">
        <v>44695.0</v>
      </c>
      <c r="E437" s="24">
        <v>0.79</v>
      </c>
      <c r="F437" s="24">
        <v>7.24</v>
      </c>
      <c r="G437" s="24">
        <v>0.91</v>
      </c>
      <c r="H437" s="24" t="s">
        <v>6660</v>
      </c>
      <c r="I437" s="24">
        <v>0.61</v>
      </c>
      <c r="J437" s="24">
        <v>0.0</v>
      </c>
    </row>
    <row r="438">
      <c r="A438" s="24">
        <v>1528.0</v>
      </c>
      <c r="B438" s="24">
        <v>18.0</v>
      </c>
      <c r="C438" s="44">
        <v>18.4</v>
      </c>
      <c r="D438" s="46">
        <v>44695.0</v>
      </c>
      <c r="E438" s="24">
        <v>1.02</v>
      </c>
      <c r="F438" s="24">
        <v>12.04</v>
      </c>
      <c r="G438" s="24">
        <v>1.18</v>
      </c>
      <c r="H438" s="24" t="s">
        <v>6662</v>
      </c>
      <c r="I438" s="24">
        <v>1.84</v>
      </c>
      <c r="J438" s="24">
        <v>0.0</v>
      </c>
    </row>
    <row r="439">
      <c r="A439" s="24">
        <v>1379.0</v>
      </c>
      <c r="B439" s="24">
        <v>8.0</v>
      </c>
      <c r="C439" s="44">
        <v>9.12</v>
      </c>
      <c r="D439" s="46">
        <v>44696.0</v>
      </c>
      <c r="E439" s="24">
        <v>1.14</v>
      </c>
      <c r="F439" s="24">
        <v>6.61</v>
      </c>
      <c r="G439" s="24">
        <v>0.58</v>
      </c>
      <c r="H439" s="24" t="s">
        <v>6660</v>
      </c>
      <c r="I439" s="24">
        <v>1.82</v>
      </c>
      <c r="J439" s="24">
        <v>0.0</v>
      </c>
    </row>
    <row r="440">
      <c r="A440" s="24">
        <v>1491.0</v>
      </c>
      <c r="B440" s="24">
        <v>21.0</v>
      </c>
      <c r="C440" s="44">
        <v>15.1</v>
      </c>
      <c r="D440" s="46">
        <v>44696.0</v>
      </c>
      <c r="E440" s="24">
        <v>0.72</v>
      </c>
      <c r="F440" s="24">
        <v>10.13</v>
      </c>
      <c r="G440" s="24">
        <v>1.41</v>
      </c>
      <c r="H440" s="24" t="s">
        <v>6662</v>
      </c>
      <c r="I440" s="24">
        <v>0.6</v>
      </c>
      <c r="J440" s="24">
        <v>0.0</v>
      </c>
    </row>
    <row r="441">
      <c r="A441" s="24">
        <v>418.0</v>
      </c>
      <c r="B441" s="24">
        <v>6.0</v>
      </c>
      <c r="C441" s="44">
        <v>10.98</v>
      </c>
      <c r="D441" s="46">
        <v>44696.0</v>
      </c>
      <c r="E441" s="24">
        <v>1.83</v>
      </c>
      <c r="F441" s="24">
        <v>26.27</v>
      </c>
      <c r="G441" s="24">
        <v>1.44</v>
      </c>
      <c r="H441" s="24" t="s">
        <v>6664</v>
      </c>
      <c r="I441" s="24">
        <v>2.74</v>
      </c>
      <c r="J441" s="24">
        <v>0.0</v>
      </c>
    </row>
    <row r="442">
      <c r="A442" s="24">
        <v>3387.0</v>
      </c>
      <c r="B442" s="24">
        <v>30.0</v>
      </c>
      <c r="C442" s="44">
        <v>38.34</v>
      </c>
      <c r="D442" s="46">
        <v>44697.0</v>
      </c>
      <c r="E442" s="24">
        <v>1.28</v>
      </c>
      <c r="F442" s="24">
        <v>11.32</v>
      </c>
      <c r="G442" s="24">
        <v>0.89</v>
      </c>
      <c r="H442" s="24" t="s">
        <v>6662</v>
      </c>
      <c r="I442" s="24">
        <v>1.67</v>
      </c>
      <c r="J442" s="24">
        <v>0.0</v>
      </c>
    </row>
    <row r="443">
      <c r="A443" s="24">
        <v>755.0</v>
      </c>
      <c r="B443" s="24">
        <v>13.0</v>
      </c>
      <c r="C443" s="44">
        <v>25.8</v>
      </c>
      <c r="D443" s="46">
        <v>44697.0</v>
      </c>
      <c r="E443" s="24">
        <v>1.98</v>
      </c>
      <c r="F443" s="24">
        <v>34.17</v>
      </c>
      <c r="G443" s="24">
        <v>1.72</v>
      </c>
      <c r="H443" s="24" t="s">
        <v>6664</v>
      </c>
      <c r="I443" s="24">
        <v>4.3</v>
      </c>
      <c r="J443" s="24">
        <v>0.0</v>
      </c>
    </row>
    <row r="444">
      <c r="A444" s="24">
        <v>3365.0</v>
      </c>
      <c r="B444" s="24">
        <v>8.0</v>
      </c>
      <c r="C444" s="44">
        <v>24.61</v>
      </c>
      <c r="D444" s="46">
        <v>44697.0</v>
      </c>
      <c r="E444" s="24">
        <v>3.08</v>
      </c>
      <c r="F444" s="24">
        <v>7.31</v>
      </c>
      <c r="G444" s="24">
        <v>0.24</v>
      </c>
      <c r="H444" s="24" t="s">
        <v>6660</v>
      </c>
      <c r="I444" s="24">
        <v>2.24</v>
      </c>
      <c r="J444" s="24">
        <v>0.0</v>
      </c>
    </row>
    <row r="445">
      <c r="A445" s="24">
        <v>3481.0</v>
      </c>
      <c r="B445" s="24">
        <v>22.0</v>
      </c>
      <c r="C445" s="44">
        <v>38.23</v>
      </c>
      <c r="D445" s="46">
        <v>44698.0</v>
      </c>
      <c r="E445" s="24">
        <v>1.74</v>
      </c>
      <c r="F445" s="24">
        <v>10.98</v>
      </c>
      <c r="G445" s="24">
        <v>0.63</v>
      </c>
      <c r="H445" s="24" t="s">
        <v>6662</v>
      </c>
      <c r="I445" s="24">
        <v>2.25</v>
      </c>
      <c r="J445" s="24">
        <v>0.0</v>
      </c>
    </row>
    <row r="446">
      <c r="A446" s="24">
        <v>3243.0</v>
      </c>
      <c r="B446" s="24">
        <v>12.0</v>
      </c>
      <c r="C446" s="44">
        <v>25.89</v>
      </c>
      <c r="D446" s="46">
        <v>44698.0</v>
      </c>
      <c r="E446" s="24">
        <v>2.16</v>
      </c>
      <c r="F446" s="24">
        <v>7.98</v>
      </c>
      <c r="G446" s="24">
        <v>0.37</v>
      </c>
      <c r="H446" s="24" t="s">
        <v>6660</v>
      </c>
      <c r="I446" s="24">
        <v>2.59</v>
      </c>
      <c r="J446" s="24">
        <v>0.0</v>
      </c>
    </row>
    <row r="447">
      <c r="A447" s="24">
        <v>743.0</v>
      </c>
      <c r="B447" s="24">
        <v>4.0</v>
      </c>
      <c r="C447" s="44">
        <v>23.21</v>
      </c>
      <c r="D447" s="46">
        <v>44698.0</v>
      </c>
      <c r="E447" s="24">
        <v>5.8</v>
      </c>
      <c r="F447" s="24">
        <v>31.24</v>
      </c>
      <c r="G447" s="24">
        <v>0.54</v>
      </c>
      <c r="H447" s="24" t="s">
        <v>6664</v>
      </c>
      <c r="I447" s="24" t="s">
        <v>6650</v>
      </c>
      <c r="J447" s="24">
        <v>0.0</v>
      </c>
    </row>
    <row r="448">
      <c r="A448" s="24">
        <v>3504.0</v>
      </c>
      <c r="B448" s="24">
        <v>48.0</v>
      </c>
      <c r="C448" s="44">
        <v>38.48</v>
      </c>
      <c r="D448" s="46">
        <v>44699.0</v>
      </c>
      <c r="E448" s="24">
        <v>0.8</v>
      </c>
      <c r="F448" s="24">
        <v>10.98</v>
      </c>
      <c r="G448" s="24">
        <v>1.37</v>
      </c>
      <c r="H448" s="24" t="s">
        <v>6662</v>
      </c>
      <c r="I448" s="24">
        <v>1.07</v>
      </c>
      <c r="J448" s="24">
        <v>0.0</v>
      </c>
    </row>
    <row r="449">
      <c r="A449" s="24">
        <v>812.0</v>
      </c>
      <c r="B449" s="24">
        <v>14.0</v>
      </c>
      <c r="C449" s="44">
        <v>24.31</v>
      </c>
      <c r="D449" s="46">
        <v>44699.0</v>
      </c>
      <c r="E449" s="24">
        <v>1.74</v>
      </c>
      <c r="F449" s="24">
        <v>29.94</v>
      </c>
      <c r="G449" s="24">
        <v>1.72</v>
      </c>
      <c r="H449" s="24" t="s">
        <v>6664</v>
      </c>
      <c r="I449" s="24">
        <v>3.47</v>
      </c>
      <c r="J449" s="24">
        <v>0.0</v>
      </c>
    </row>
    <row r="450">
      <c r="A450" s="24">
        <v>3117.0</v>
      </c>
      <c r="B450" s="24">
        <v>12.0</v>
      </c>
      <c r="C450" s="44">
        <v>24.71</v>
      </c>
      <c r="D450" s="46">
        <v>44699.0</v>
      </c>
      <c r="E450" s="24">
        <v>2.06</v>
      </c>
      <c r="F450" s="24">
        <v>7.93</v>
      </c>
      <c r="G450" s="24">
        <v>0.38</v>
      </c>
      <c r="H450" s="24" t="s">
        <v>6660</v>
      </c>
      <c r="I450" s="24">
        <v>2.75</v>
      </c>
      <c r="J450" s="24">
        <v>0.0</v>
      </c>
    </row>
    <row r="451">
      <c r="A451" s="24">
        <v>3179.0</v>
      </c>
      <c r="B451" s="24">
        <v>35.0</v>
      </c>
      <c r="C451" s="44">
        <v>34.15</v>
      </c>
      <c r="D451" s="46">
        <v>44700.0</v>
      </c>
      <c r="E451" s="24">
        <v>0.98</v>
      </c>
      <c r="F451" s="24">
        <v>10.74</v>
      </c>
      <c r="G451" s="24">
        <v>1.1</v>
      </c>
      <c r="H451" s="24" t="s">
        <v>6662</v>
      </c>
      <c r="I451" s="24">
        <v>2.13</v>
      </c>
      <c r="J451" s="24">
        <v>0.0</v>
      </c>
    </row>
    <row r="452">
      <c r="A452" s="24">
        <v>2946.0</v>
      </c>
      <c r="B452" s="24">
        <v>6.0</v>
      </c>
      <c r="C452" s="44">
        <v>24.09</v>
      </c>
      <c r="D452" s="46">
        <v>44700.0</v>
      </c>
      <c r="E452" s="24">
        <v>4.01</v>
      </c>
      <c r="F452" s="24">
        <v>8.18</v>
      </c>
      <c r="G452" s="24">
        <v>0.2</v>
      </c>
      <c r="H452" s="24" t="s">
        <v>6660</v>
      </c>
      <c r="I452" s="24">
        <v>2.41</v>
      </c>
      <c r="J452" s="24">
        <v>0.0</v>
      </c>
    </row>
    <row r="453">
      <c r="A453" s="24">
        <v>851.0</v>
      </c>
      <c r="B453" s="24">
        <v>16.0</v>
      </c>
      <c r="C453" s="44">
        <v>23.15</v>
      </c>
      <c r="D453" s="46">
        <v>44700.0</v>
      </c>
      <c r="E453" s="24">
        <v>1.45</v>
      </c>
      <c r="F453" s="24">
        <v>27.2</v>
      </c>
      <c r="G453" s="24">
        <v>1.88</v>
      </c>
      <c r="H453" s="24" t="s">
        <v>6664</v>
      </c>
      <c r="I453" s="24">
        <v>2.32</v>
      </c>
      <c r="J453" s="24">
        <v>0.0</v>
      </c>
    </row>
    <row r="454">
      <c r="A454" s="24">
        <v>2928.0</v>
      </c>
      <c r="B454" s="24">
        <v>32.0</v>
      </c>
      <c r="C454" s="44">
        <v>32.21</v>
      </c>
      <c r="D454" s="46">
        <v>44701.0</v>
      </c>
      <c r="E454" s="24">
        <v>1.01</v>
      </c>
      <c r="F454" s="24">
        <v>11.0</v>
      </c>
      <c r="G454" s="24">
        <v>1.09</v>
      </c>
      <c r="H454" s="24" t="s">
        <v>6662</v>
      </c>
      <c r="I454" s="24">
        <v>1.79</v>
      </c>
      <c r="J454" s="24">
        <v>0.0</v>
      </c>
    </row>
    <row r="455">
      <c r="A455" s="24">
        <v>2583.0</v>
      </c>
      <c r="B455" s="24">
        <v>16.0</v>
      </c>
      <c r="C455" s="44">
        <v>21.53</v>
      </c>
      <c r="D455" s="46">
        <v>44701.0</v>
      </c>
      <c r="E455" s="24">
        <v>1.35</v>
      </c>
      <c r="F455" s="24">
        <v>8.34</v>
      </c>
      <c r="G455" s="24">
        <v>0.62</v>
      </c>
      <c r="H455" s="24" t="s">
        <v>6660</v>
      </c>
      <c r="I455" s="24">
        <v>1.54</v>
      </c>
      <c r="J455" s="24">
        <v>0.0</v>
      </c>
    </row>
    <row r="456">
      <c r="A456" s="24">
        <v>794.0</v>
      </c>
      <c r="B456" s="24">
        <v>17.0</v>
      </c>
      <c r="C456" s="44">
        <v>21.2</v>
      </c>
      <c r="D456" s="46">
        <v>44701.0</v>
      </c>
      <c r="E456" s="24">
        <v>1.25</v>
      </c>
      <c r="F456" s="24">
        <v>26.7</v>
      </c>
      <c r="G456" s="24">
        <v>2.14</v>
      </c>
      <c r="H456" s="24" t="s">
        <v>6664</v>
      </c>
      <c r="I456" s="24">
        <v>1.63</v>
      </c>
      <c r="J456" s="24">
        <v>0.0</v>
      </c>
    </row>
    <row r="457">
      <c r="A457" s="24">
        <v>457.0</v>
      </c>
      <c r="B457" s="24">
        <v>12.0</v>
      </c>
      <c r="C457" s="44">
        <v>11.51</v>
      </c>
      <c r="D457" s="46">
        <v>44702.0</v>
      </c>
      <c r="E457" s="24">
        <v>0.96</v>
      </c>
      <c r="F457" s="24">
        <v>25.19</v>
      </c>
      <c r="G457" s="24">
        <v>2.63</v>
      </c>
      <c r="H457" s="24" t="s">
        <v>6664</v>
      </c>
      <c r="I457" s="24">
        <v>1.44</v>
      </c>
      <c r="J457" s="24">
        <v>0.0</v>
      </c>
    </row>
    <row r="458">
      <c r="A458" s="24">
        <v>1497.0</v>
      </c>
      <c r="B458" s="24">
        <v>18.0</v>
      </c>
      <c r="C458" s="44">
        <v>14.78</v>
      </c>
      <c r="D458" s="46">
        <v>44702.0</v>
      </c>
      <c r="E458" s="24">
        <v>0.82</v>
      </c>
      <c r="F458" s="24">
        <v>9.87</v>
      </c>
      <c r="G458" s="24">
        <v>1.2</v>
      </c>
      <c r="H458" s="24" t="s">
        <v>6662</v>
      </c>
      <c r="I458" s="24">
        <v>0.92</v>
      </c>
      <c r="J458" s="24">
        <v>0.0</v>
      </c>
    </row>
    <row r="459">
      <c r="A459" s="24">
        <v>1339.0</v>
      </c>
      <c r="B459" s="24">
        <v>10.0</v>
      </c>
      <c r="C459" s="44">
        <v>10.16</v>
      </c>
      <c r="D459" s="46">
        <v>44702.0</v>
      </c>
      <c r="E459" s="24">
        <v>1.02</v>
      </c>
      <c r="F459" s="24">
        <v>7.59</v>
      </c>
      <c r="G459" s="24">
        <v>0.75</v>
      </c>
      <c r="H459" s="24" t="s">
        <v>6660</v>
      </c>
      <c r="I459" s="24">
        <v>1.13</v>
      </c>
      <c r="J459" s="24">
        <v>0.0</v>
      </c>
    </row>
    <row r="460">
      <c r="A460" s="24">
        <v>398.0</v>
      </c>
      <c r="B460" s="24">
        <v>15.0</v>
      </c>
      <c r="C460" s="44">
        <v>10.82</v>
      </c>
      <c r="D460" s="46">
        <v>44703.0</v>
      </c>
      <c r="E460" s="24">
        <v>0.72</v>
      </c>
      <c r="F460" s="24">
        <v>27.19</v>
      </c>
      <c r="G460" s="24">
        <v>3.77</v>
      </c>
      <c r="H460" s="24" t="s">
        <v>6664</v>
      </c>
      <c r="I460" s="24">
        <v>5.41</v>
      </c>
      <c r="J460" s="24">
        <v>0.0</v>
      </c>
    </row>
    <row r="461">
      <c r="A461" s="24">
        <v>1179.0</v>
      </c>
      <c r="B461" s="24">
        <v>12.0</v>
      </c>
      <c r="C461" s="44">
        <v>8.3</v>
      </c>
      <c r="D461" s="46">
        <v>44703.0</v>
      </c>
      <c r="E461" s="24">
        <v>0.69</v>
      </c>
      <c r="F461" s="24">
        <v>7.04</v>
      </c>
      <c r="G461" s="24">
        <v>1.02</v>
      </c>
      <c r="H461" s="24" t="s">
        <v>6660</v>
      </c>
      <c r="I461" s="24">
        <v>0.75</v>
      </c>
      <c r="J461" s="24">
        <v>0.0</v>
      </c>
    </row>
    <row r="462">
      <c r="A462" s="24">
        <v>1167.0</v>
      </c>
      <c r="B462" s="24">
        <v>12.0</v>
      </c>
      <c r="C462" s="44">
        <v>13.81</v>
      </c>
      <c r="D462" s="46">
        <v>44703.0</v>
      </c>
      <c r="E462" s="24">
        <v>1.15</v>
      </c>
      <c r="F462" s="24">
        <v>11.83</v>
      </c>
      <c r="G462" s="24">
        <v>1.03</v>
      </c>
      <c r="H462" s="24" t="s">
        <v>6662</v>
      </c>
      <c r="I462" s="24">
        <v>1.97</v>
      </c>
      <c r="J462" s="24">
        <v>0.0</v>
      </c>
    </row>
    <row r="463">
      <c r="A463" s="24">
        <v>3518.0</v>
      </c>
      <c r="B463" s="24">
        <v>36.0</v>
      </c>
      <c r="C463" s="44">
        <v>37.51</v>
      </c>
      <c r="D463" s="46">
        <v>44704.0</v>
      </c>
      <c r="E463" s="24">
        <v>1.04</v>
      </c>
      <c r="F463" s="24">
        <v>10.66</v>
      </c>
      <c r="G463" s="24">
        <v>1.02</v>
      </c>
      <c r="H463" s="24" t="s">
        <v>6662</v>
      </c>
      <c r="I463" s="24">
        <v>0.96</v>
      </c>
      <c r="J463" s="24">
        <v>0.0</v>
      </c>
    </row>
    <row r="464">
      <c r="A464" s="24">
        <v>2692.0</v>
      </c>
      <c r="B464" s="24">
        <v>13.0</v>
      </c>
      <c r="C464" s="44">
        <v>24.18</v>
      </c>
      <c r="D464" s="46">
        <v>44704.0</v>
      </c>
      <c r="E464" s="24">
        <v>1.86</v>
      </c>
      <c r="F464" s="24">
        <v>8.98</v>
      </c>
      <c r="G464" s="24">
        <v>0.48</v>
      </c>
      <c r="H464" s="24" t="s">
        <v>6660</v>
      </c>
      <c r="I464" s="24">
        <v>1.73</v>
      </c>
      <c r="J464" s="24">
        <v>0.0</v>
      </c>
    </row>
    <row r="465">
      <c r="A465" s="24">
        <v>757.0</v>
      </c>
      <c r="B465" s="24">
        <v>29.0</v>
      </c>
      <c r="C465" s="44">
        <v>24.44</v>
      </c>
      <c r="D465" s="46">
        <v>44704.0</v>
      </c>
      <c r="E465" s="24">
        <v>0.84</v>
      </c>
      <c r="F465" s="24">
        <v>32.29</v>
      </c>
      <c r="G465" s="24">
        <v>3.83</v>
      </c>
      <c r="H465" s="24" t="s">
        <v>6664</v>
      </c>
      <c r="I465" s="24">
        <v>3.06</v>
      </c>
      <c r="J465" s="24">
        <v>0.0</v>
      </c>
    </row>
    <row r="466">
      <c r="A466" s="24">
        <v>3112.0</v>
      </c>
      <c r="B466" s="24">
        <v>6.0</v>
      </c>
      <c r="C466" s="44">
        <v>25.75</v>
      </c>
      <c r="D466" s="46">
        <v>44705.0</v>
      </c>
      <c r="E466" s="24">
        <v>4.29</v>
      </c>
      <c r="F466" s="24">
        <v>8.27</v>
      </c>
      <c r="G466" s="24">
        <v>0.19</v>
      </c>
      <c r="H466" s="24" t="s">
        <v>6660</v>
      </c>
      <c r="I466" s="24">
        <v>4.29</v>
      </c>
      <c r="J466" s="24">
        <v>0.0</v>
      </c>
    </row>
    <row r="467">
      <c r="A467" s="24">
        <v>1796.0</v>
      </c>
      <c r="B467" s="24">
        <v>69.0</v>
      </c>
      <c r="C467" s="44">
        <v>60.88</v>
      </c>
      <c r="D467" s="46">
        <v>44705.0</v>
      </c>
      <c r="E467" s="24">
        <v>0.88</v>
      </c>
      <c r="F467" s="24">
        <v>33.9</v>
      </c>
      <c r="G467" s="24">
        <v>3.84</v>
      </c>
      <c r="H467" s="24" t="s">
        <v>6665</v>
      </c>
      <c r="I467" s="24">
        <v>0.83</v>
      </c>
      <c r="J467" s="24">
        <v>0.0</v>
      </c>
    </row>
    <row r="468">
      <c r="A468" s="24">
        <v>3042.0</v>
      </c>
      <c r="B468" s="24">
        <v>25.0</v>
      </c>
      <c r="C468" s="44">
        <v>34.39</v>
      </c>
      <c r="D468" s="46">
        <v>44705.0</v>
      </c>
      <c r="E468" s="24">
        <v>1.38</v>
      </c>
      <c r="F468" s="24">
        <v>11.31</v>
      </c>
      <c r="G468" s="24">
        <v>0.82</v>
      </c>
      <c r="H468" s="24" t="s">
        <v>6662</v>
      </c>
      <c r="I468" s="24">
        <v>1.56</v>
      </c>
      <c r="J468" s="24">
        <v>0.0</v>
      </c>
    </row>
    <row r="469">
      <c r="A469" s="24">
        <v>791.0</v>
      </c>
      <c r="B469" s="24">
        <v>19.0</v>
      </c>
      <c r="C469" s="44">
        <v>23.2</v>
      </c>
      <c r="D469" s="46">
        <v>44705.0</v>
      </c>
      <c r="E469" s="24">
        <v>1.22</v>
      </c>
      <c r="F469" s="24">
        <v>29.33</v>
      </c>
      <c r="G469" s="24">
        <v>2.4</v>
      </c>
      <c r="H469" s="24" t="s">
        <v>6664</v>
      </c>
      <c r="I469" s="24">
        <v>2.32</v>
      </c>
      <c r="J469" s="24">
        <v>0.0</v>
      </c>
    </row>
    <row r="470">
      <c r="A470" s="24">
        <v>1073.0</v>
      </c>
      <c r="B470" s="24">
        <v>42.0</v>
      </c>
      <c r="C470" s="44">
        <v>28.28</v>
      </c>
      <c r="D470" s="46">
        <v>44705.0</v>
      </c>
      <c r="E470" s="24">
        <v>0.67</v>
      </c>
      <c r="F470" s="24">
        <v>26.36</v>
      </c>
      <c r="G470" s="24">
        <v>3.91</v>
      </c>
      <c r="H470" s="24" t="s">
        <v>6666</v>
      </c>
      <c r="I470" s="24">
        <v>1.77</v>
      </c>
      <c r="J470" s="24">
        <v>0.0</v>
      </c>
    </row>
    <row r="471">
      <c r="A471" s="24">
        <v>1368.0</v>
      </c>
      <c r="B471" s="24">
        <v>27.0</v>
      </c>
      <c r="C471" s="44">
        <v>67.15</v>
      </c>
      <c r="D471" s="46">
        <v>44706.0</v>
      </c>
      <c r="E471" s="24">
        <v>2.49</v>
      </c>
      <c r="F471" s="24">
        <v>49.09</v>
      </c>
      <c r="G471" s="24">
        <v>1.97</v>
      </c>
      <c r="H471" s="24" t="s">
        <v>6665</v>
      </c>
      <c r="I471" s="24">
        <v>2.24</v>
      </c>
      <c r="J471" s="24">
        <v>0.0</v>
      </c>
    </row>
    <row r="472">
      <c r="A472" s="24">
        <v>2400.0</v>
      </c>
      <c r="B472" s="24">
        <v>16.0</v>
      </c>
      <c r="C472" s="44">
        <v>19.42</v>
      </c>
      <c r="D472" s="46">
        <v>44706.0</v>
      </c>
      <c r="E472" s="24">
        <v>1.21</v>
      </c>
      <c r="F472" s="24">
        <v>8.09</v>
      </c>
      <c r="G472" s="24">
        <v>0.67</v>
      </c>
      <c r="H472" s="24" t="s">
        <v>6660</v>
      </c>
      <c r="I472" s="24">
        <v>1.29</v>
      </c>
      <c r="J472" s="24">
        <v>0.0</v>
      </c>
    </row>
    <row r="473">
      <c r="A473" s="24">
        <v>763.0</v>
      </c>
      <c r="B473" s="24">
        <v>17.0</v>
      </c>
      <c r="C473" s="44">
        <v>20.88</v>
      </c>
      <c r="D473" s="46">
        <v>44706.0</v>
      </c>
      <c r="E473" s="24">
        <v>1.23</v>
      </c>
      <c r="F473" s="24">
        <v>27.37</v>
      </c>
      <c r="G473" s="24">
        <v>2.23</v>
      </c>
      <c r="H473" s="24" t="s">
        <v>6664</v>
      </c>
      <c r="I473" s="24">
        <v>10.44</v>
      </c>
      <c r="J473" s="24">
        <v>0.0</v>
      </c>
    </row>
    <row r="474">
      <c r="A474" s="24">
        <v>2948.0</v>
      </c>
      <c r="B474" s="24">
        <v>19.0</v>
      </c>
      <c r="C474" s="44">
        <v>37.32</v>
      </c>
      <c r="D474" s="46">
        <v>44706.0</v>
      </c>
      <c r="E474" s="24">
        <v>1.96</v>
      </c>
      <c r="F474" s="24">
        <v>12.66</v>
      </c>
      <c r="G474" s="24">
        <v>0.64</v>
      </c>
      <c r="H474" s="24" t="s">
        <v>6662</v>
      </c>
      <c r="I474" s="24">
        <v>1.87</v>
      </c>
      <c r="J474" s="24">
        <v>0.0</v>
      </c>
    </row>
    <row r="475">
      <c r="A475" s="24">
        <v>982.0</v>
      </c>
      <c r="B475" s="24">
        <v>28.0</v>
      </c>
      <c r="C475" s="44">
        <v>34.69</v>
      </c>
      <c r="D475" s="46">
        <v>44706.0</v>
      </c>
      <c r="E475" s="24">
        <v>1.24</v>
      </c>
      <c r="F475" s="24">
        <v>35.33</v>
      </c>
      <c r="G475" s="24">
        <v>2.85</v>
      </c>
      <c r="H475" s="24" t="s">
        <v>6666</v>
      </c>
      <c r="I475" s="24">
        <v>2.48</v>
      </c>
      <c r="J475" s="24">
        <v>0.0</v>
      </c>
    </row>
    <row r="476">
      <c r="A476" s="24">
        <v>767.0</v>
      </c>
      <c r="B476" s="24">
        <v>14.0</v>
      </c>
      <c r="C476" s="44">
        <v>20.18</v>
      </c>
      <c r="D476" s="46">
        <v>44707.0</v>
      </c>
      <c r="E476" s="24">
        <v>1.44</v>
      </c>
      <c r="F476" s="24">
        <v>26.31</v>
      </c>
      <c r="G476" s="24">
        <v>1.83</v>
      </c>
      <c r="H476" s="24" t="s">
        <v>6664</v>
      </c>
      <c r="I476" s="24">
        <v>4.04</v>
      </c>
      <c r="J476" s="24">
        <v>0.0</v>
      </c>
    </row>
    <row r="477">
      <c r="A477" s="24">
        <v>1039.0</v>
      </c>
      <c r="B477" s="24">
        <v>6.0</v>
      </c>
      <c r="C477" s="44">
        <v>59.95</v>
      </c>
      <c r="D477" s="46">
        <v>44707.0</v>
      </c>
      <c r="E477" s="24">
        <v>9.99</v>
      </c>
      <c r="F477" s="24">
        <v>57.7</v>
      </c>
      <c r="G477" s="24">
        <v>0.58</v>
      </c>
      <c r="H477" s="24" t="s">
        <v>6667</v>
      </c>
      <c r="I477" s="24">
        <v>6.66</v>
      </c>
      <c r="J477" s="24">
        <v>0.0</v>
      </c>
    </row>
    <row r="478">
      <c r="A478" s="24">
        <v>611.0</v>
      </c>
      <c r="B478" s="24">
        <v>12.0</v>
      </c>
      <c r="C478" s="44">
        <v>26.82</v>
      </c>
      <c r="D478" s="46">
        <v>44707.0</v>
      </c>
      <c r="E478" s="24">
        <v>2.24</v>
      </c>
      <c r="F478" s="24">
        <v>43.9</v>
      </c>
      <c r="G478" s="24">
        <v>1.96</v>
      </c>
      <c r="H478" s="24" t="s">
        <v>6668</v>
      </c>
      <c r="I478" s="24">
        <v>26.82</v>
      </c>
      <c r="J478" s="24">
        <v>0.0</v>
      </c>
    </row>
    <row r="479">
      <c r="A479" s="24">
        <v>943.0</v>
      </c>
      <c r="B479" s="24">
        <v>21.0</v>
      </c>
      <c r="C479" s="44">
        <v>60.02</v>
      </c>
      <c r="D479" s="46">
        <v>44707.0</v>
      </c>
      <c r="E479" s="24">
        <v>2.86</v>
      </c>
      <c r="F479" s="24">
        <v>63.65</v>
      </c>
      <c r="G479" s="24">
        <v>2.23</v>
      </c>
      <c r="H479" s="24" t="s">
        <v>6665</v>
      </c>
      <c r="I479" s="24">
        <v>2.5</v>
      </c>
      <c r="J479" s="24">
        <v>0.0</v>
      </c>
    </row>
    <row r="480">
      <c r="A480" s="24">
        <v>3178.0</v>
      </c>
      <c r="B480" s="24">
        <v>34.0</v>
      </c>
      <c r="C480" s="44">
        <v>37.22</v>
      </c>
      <c r="D480" s="46">
        <v>44707.0</v>
      </c>
      <c r="E480" s="24">
        <v>1.09</v>
      </c>
      <c r="F480" s="24">
        <v>11.71</v>
      </c>
      <c r="G480" s="24">
        <v>1.07</v>
      </c>
      <c r="H480" s="24" t="s">
        <v>6662</v>
      </c>
      <c r="I480" s="24">
        <v>1.49</v>
      </c>
      <c r="J480" s="24">
        <v>0.0</v>
      </c>
    </row>
    <row r="481">
      <c r="A481" s="24">
        <v>2694.0</v>
      </c>
      <c r="B481" s="24">
        <v>10.0</v>
      </c>
      <c r="C481" s="44">
        <v>22.54</v>
      </c>
      <c r="D481" s="46">
        <v>44707.0</v>
      </c>
      <c r="E481" s="24">
        <v>2.25</v>
      </c>
      <c r="F481" s="24">
        <v>8.37</v>
      </c>
      <c r="G481" s="24">
        <v>0.37</v>
      </c>
      <c r="H481" s="24" t="s">
        <v>6660</v>
      </c>
      <c r="I481" s="24">
        <v>2.25</v>
      </c>
      <c r="J481" s="24">
        <v>0.0</v>
      </c>
    </row>
    <row r="482">
      <c r="A482" s="24">
        <v>1256.0</v>
      </c>
      <c r="B482" s="24">
        <v>20.0</v>
      </c>
      <c r="C482" s="44">
        <v>33.99</v>
      </c>
      <c r="D482" s="46">
        <v>44707.0</v>
      </c>
      <c r="E482" s="24">
        <v>1.7</v>
      </c>
      <c r="F482" s="24">
        <v>27.06</v>
      </c>
      <c r="G482" s="24">
        <v>1.59</v>
      </c>
      <c r="H482" s="24" t="s">
        <v>6666</v>
      </c>
      <c r="I482" s="24">
        <v>4.25</v>
      </c>
      <c r="J482" s="24">
        <v>0.0</v>
      </c>
    </row>
    <row r="483">
      <c r="A483" s="24">
        <v>699.0</v>
      </c>
      <c r="B483" s="24">
        <v>23.0</v>
      </c>
      <c r="C483" s="44">
        <v>32.44</v>
      </c>
      <c r="D483" s="46">
        <v>44708.0</v>
      </c>
      <c r="E483" s="24">
        <v>1.41</v>
      </c>
      <c r="F483" s="24">
        <v>46.41</v>
      </c>
      <c r="G483" s="24">
        <v>3.29</v>
      </c>
      <c r="H483" s="24" t="s">
        <v>6666</v>
      </c>
      <c r="I483" s="24">
        <v>2.03</v>
      </c>
      <c r="J483" s="24">
        <v>0.0</v>
      </c>
    </row>
    <row r="484">
      <c r="A484" s="24">
        <v>479.0</v>
      </c>
      <c r="B484" s="24">
        <v>3.0</v>
      </c>
      <c r="C484" s="44">
        <v>26.8</v>
      </c>
      <c r="D484" s="46">
        <v>44708.0</v>
      </c>
      <c r="E484" s="24">
        <v>8.93</v>
      </c>
      <c r="F484" s="24">
        <v>55.95</v>
      </c>
      <c r="G484" s="24">
        <v>0.63</v>
      </c>
      <c r="H484" s="24" t="s">
        <v>6668</v>
      </c>
      <c r="I484" s="24">
        <v>2.68</v>
      </c>
      <c r="J484" s="24">
        <v>0.0</v>
      </c>
    </row>
    <row r="485">
      <c r="A485" s="24">
        <v>655.0</v>
      </c>
      <c r="B485" s="24">
        <v>5.0</v>
      </c>
      <c r="C485" s="44">
        <v>56.95</v>
      </c>
      <c r="D485" s="46">
        <v>44708.0</v>
      </c>
      <c r="E485" s="24">
        <v>11.39</v>
      </c>
      <c r="F485" s="24">
        <v>86.95</v>
      </c>
      <c r="G485" s="24">
        <v>0.76</v>
      </c>
      <c r="H485" s="24" t="s">
        <v>6665</v>
      </c>
      <c r="I485" s="24">
        <v>8.14</v>
      </c>
      <c r="J485" s="24">
        <v>0.0</v>
      </c>
    </row>
    <row r="486">
      <c r="A486" s="24">
        <v>2742.0</v>
      </c>
      <c r="B486" s="24">
        <v>16.0</v>
      </c>
      <c r="C486" s="44">
        <v>31.18</v>
      </c>
      <c r="D486" s="46">
        <v>44708.0</v>
      </c>
      <c r="E486" s="24">
        <v>1.95</v>
      </c>
      <c r="F486" s="24">
        <v>11.37</v>
      </c>
      <c r="G486" s="24">
        <v>0.58</v>
      </c>
      <c r="H486" s="24" t="s">
        <v>6662</v>
      </c>
      <c r="I486" s="24">
        <v>2.4</v>
      </c>
      <c r="J486" s="24">
        <v>0.0</v>
      </c>
    </row>
    <row r="487">
      <c r="A487" s="24">
        <v>2382.0</v>
      </c>
      <c r="B487" s="24">
        <v>8.0</v>
      </c>
      <c r="C487" s="44">
        <v>21.11</v>
      </c>
      <c r="D487" s="46">
        <v>44708.0</v>
      </c>
      <c r="E487" s="24">
        <v>2.64</v>
      </c>
      <c r="F487" s="24">
        <v>8.86</v>
      </c>
      <c r="G487" s="24">
        <v>0.34</v>
      </c>
      <c r="H487" s="24" t="s">
        <v>6660</v>
      </c>
      <c r="I487" s="24">
        <v>3.52</v>
      </c>
      <c r="J487" s="24">
        <v>0.0</v>
      </c>
    </row>
    <row r="488">
      <c r="A488" s="24">
        <v>1075.0</v>
      </c>
      <c r="B488" s="24">
        <v>2.0</v>
      </c>
      <c r="C488" s="44">
        <v>63.08</v>
      </c>
      <c r="D488" s="46">
        <v>44708.0</v>
      </c>
      <c r="E488" s="24">
        <v>31.54</v>
      </c>
      <c r="F488" s="24">
        <v>58.68</v>
      </c>
      <c r="G488" s="24">
        <v>0.19</v>
      </c>
      <c r="H488" s="24" t="s">
        <v>6667</v>
      </c>
      <c r="I488" s="24">
        <v>31.54</v>
      </c>
      <c r="J488" s="24">
        <v>0.0</v>
      </c>
    </row>
    <row r="489">
      <c r="A489" s="24">
        <v>741.0</v>
      </c>
      <c r="B489" s="24">
        <v>9.0</v>
      </c>
      <c r="C489" s="44">
        <v>20.61</v>
      </c>
      <c r="D489" s="46">
        <v>44708.0</v>
      </c>
      <c r="E489" s="24">
        <v>2.29</v>
      </c>
      <c r="F489" s="24">
        <v>27.81</v>
      </c>
      <c r="G489" s="24">
        <v>1.21</v>
      </c>
      <c r="H489" s="24" t="s">
        <v>6664</v>
      </c>
      <c r="I489" s="24">
        <v>4.12</v>
      </c>
      <c r="J489" s="24">
        <v>0.0</v>
      </c>
    </row>
    <row r="490">
      <c r="A490" s="24">
        <v>1387.0</v>
      </c>
      <c r="B490" s="24">
        <v>6.0</v>
      </c>
      <c r="C490" s="44">
        <v>14.06</v>
      </c>
      <c r="D490" s="46">
        <v>44709.0</v>
      </c>
      <c r="E490" s="24">
        <v>2.34</v>
      </c>
      <c r="F490" s="24">
        <v>10.14</v>
      </c>
      <c r="G490" s="24">
        <v>0.43</v>
      </c>
      <c r="H490" s="24" t="s">
        <v>6660</v>
      </c>
      <c r="I490" s="24">
        <v>1.08</v>
      </c>
      <c r="J490" s="24">
        <v>0.0</v>
      </c>
    </row>
    <row r="491">
      <c r="A491" s="24">
        <v>3465.0</v>
      </c>
      <c r="B491" s="24">
        <v>94.0</v>
      </c>
      <c r="C491" s="44">
        <v>35.8</v>
      </c>
      <c r="D491" s="46">
        <v>44709.0</v>
      </c>
      <c r="E491" s="24">
        <v>0.38</v>
      </c>
      <c r="F491" s="24">
        <v>10.33</v>
      </c>
      <c r="G491" s="24">
        <v>2.71</v>
      </c>
      <c r="H491" s="24" t="s">
        <v>6669</v>
      </c>
      <c r="I491" s="24">
        <v>0.31</v>
      </c>
      <c r="J491" s="24">
        <v>0.0</v>
      </c>
    </row>
    <row r="492">
      <c r="A492" s="24">
        <v>628.0</v>
      </c>
      <c r="B492" s="24">
        <v>7.0</v>
      </c>
      <c r="C492" s="44">
        <v>24.88</v>
      </c>
      <c r="D492" s="46">
        <v>44709.0</v>
      </c>
      <c r="E492" s="24">
        <v>3.55</v>
      </c>
      <c r="F492" s="24">
        <v>39.62</v>
      </c>
      <c r="G492" s="24">
        <v>1.11</v>
      </c>
      <c r="H492" s="24" t="s">
        <v>6668</v>
      </c>
      <c r="I492" s="24">
        <v>4.98</v>
      </c>
      <c r="J492" s="24">
        <v>0.0</v>
      </c>
    </row>
    <row r="493">
      <c r="A493" s="24">
        <v>1010.0</v>
      </c>
      <c r="B493" s="24">
        <v>3.0</v>
      </c>
      <c r="C493" s="44">
        <v>51.04</v>
      </c>
      <c r="D493" s="46">
        <v>44709.0</v>
      </c>
      <c r="E493" s="24">
        <v>17.01</v>
      </c>
      <c r="F493" s="24">
        <v>50.53</v>
      </c>
      <c r="G493" s="24">
        <v>0.3</v>
      </c>
      <c r="H493" s="24" t="s">
        <v>6667</v>
      </c>
      <c r="I493" s="24">
        <v>51.04</v>
      </c>
      <c r="J493" s="24">
        <v>0.0</v>
      </c>
    </row>
    <row r="494">
      <c r="A494" s="24">
        <v>463.0</v>
      </c>
      <c r="B494" s="24">
        <v>15.0</v>
      </c>
      <c r="C494" s="44">
        <v>15.97</v>
      </c>
      <c r="D494" s="46">
        <v>44709.0</v>
      </c>
      <c r="E494" s="24">
        <v>1.06</v>
      </c>
      <c r="F494" s="24">
        <v>34.49</v>
      </c>
      <c r="G494" s="24">
        <v>3.24</v>
      </c>
      <c r="H494" s="24" t="s">
        <v>6664</v>
      </c>
      <c r="I494" s="24">
        <v>2.66</v>
      </c>
      <c r="J494" s="24">
        <v>0.0</v>
      </c>
    </row>
    <row r="495">
      <c r="A495" s="24">
        <v>968.0</v>
      </c>
      <c r="B495" s="24">
        <v>24.0</v>
      </c>
      <c r="C495" s="44">
        <v>39.63</v>
      </c>
      <c r="D495" s="46">
        <v>44709.0</v>
      </c>
      <c r="E495" s="24">
        <v>1.65</v>
      </c>
      <c r="F495" s="24">
        <v>40.94</v>
      </c>
      <c r="G495" s="24">
        <v>2.48</v>
      </c>
      <c r="H495" s="24" t="s">
        <v>6670</v>
      </c>
      <c r="I495" s="24">
        <v>2.83</v>
      </c>
      <c r="J495" s="24">
        <v>0.0</v>
      </c>
    </row>
    <row r="496">
      <c r="A496" s="24">
        <v>463.0</v>
      </c>
      <c r="B496" s="24">
        <v>7.0</v>
      </c>
      <c r="C496" s="44">
        <v>15.95</v>
      </c>
      <c r="D496" s="46">
        <v>44709.0</v>
      </c>
      <c r="E496" s="24">
        <v>2.28</v>
      </c>
      <c r="F496" s="24">
        <v>34.45</v>
      </c>
      <c r="G496" s="24">
        <v>1.51</v>
      </c>
      <c r="H496" s="24" t="s">
        <v>6671</v>
      </c>
      <c r="I496" s="24">
        <v>15.95</v>
      </c>
      <c r="J496" s="24">
        <v>0.0</v>
      </c>
    </row>
    <row r="497">
      <c r="A497" s="24">
        <v>361.0</v>
      </c>
      <c r="B497" s="24">
        <v>13.0</v>
      </c>
      <c r="C497" s="44">
        <v>18.16</v>
      </c>
      <c r="D497" s="46">
        <v>44709.0</v>
      </c>
      <c r="E497" s="24">
        <v>1.4</v>
      </c>
      <c r="F497" s="24">
        <v>50.3</v>
      </c>
      <c r="G497" s="24">
        <v>3.6</v>
      </c>
      <c r="H497" s="24" t="s">
        <v>6666</v>
      </c>
      <c r="I497" s="24">
        <v>2.59</v>
      </c>
      <c r="J497" s="24">
        <v>0.0</v>
      </c>
    </row>
    <row r="498">
      <c r="A498" s="24">
        <v>981.0</v>
      </c>
      <c r="B498" s="24">
        <v>2.0</v>
      </c>
      <c r="C498" s="44">
        <v>51.65</v>
      </c>
      <c r="D498" s="46">
        <v>44709.0</v>
      </c>
      <c r="E498" s="24">
        <v>25.82</v>
      </c>
      <c r="F498" s="24">
        <v>52.65</v>
      </c>
      <c r="G498" s="24">
        <v>0.2</v>
      </c>
      <c r="H498" s="24" t="s">
        <v>6672</v>
      </c>
      <c r="I498" s="24">
        <v>25.82</v>
      </c>
      <c r="J498" s="24">
        <v>0.0</v>
      </c>
    </row>
    <row r="499">
      <c r="A499" s="24">
        <v>1311.0</v>
      </c>
      <c r="B499" s="24">
        <v>21.0</v>
      </c>
      <c r="C499" s="44">
        <v>16.29</v>
      </c>
      <c r="D499" s="46">
        <v>44709.0</v>
      </c>
      <c r="E499" s="24">
        <v>0.78</v>
      </c>
      <c r="F499" s="24">
        <v>12.43</v>
      </c>
      <c r="G499" s="24">
        <v>1.6</v>
      </c>
      <c r="H499" s="24" t="s">
        <v>6662</v>
      </c>
      <c r="I499" s="24">
        <v>1.36</v>
      </c>
      <c r="J499" s="24">
        <v>0.0</v>
      </c>
    </row>
    <row r="500">
      <c r="A500" s="24">
        <v>666.0</v>
      </c>
      <c r="B500" s="24">
        <v>9.0</v>
      </c>
      <c r="C500" s="44">
        <v>51.68</v>
      </c>
      <c r="D500" s="46">
        <v>44709.0</v>
      </c>
      <c r="E500" s="24">
        <v>5.74</v>
      </c>
      <c r="F500" s="24">
        <v>77.6</v>
      </c>
      <c r="G500" s="24">
        <v>1.35</v>
      </c>
      <c r="H500" s="24" t="s">
        <v>6665</v>
      </c>
      <c r="I500" s="24">
        <v>25.84</v>
      </c>
      <c r="J500" s="24">
        <v>0.0</v>
      </c>
    </row>
    <row r="501">
      <c r="A501" s="24">
        <v>649.0</v>
      </c>
      <c r="B501" s="24">
        <v>3.0</v>
      </c>
      <c r="C501" s="44">
        <v>37.17</v>
      </c>
      <c r="D501" s="46">
        <v>44710.0</v>
      </c>
      <c r="E501" s="24">
        <v>12.39</v>
      </c>
      <c r="F501" s="24">
        <v>57.27</v>
      </c>
      <c r="G501" s="24">
        <v>0.46</v>
      </c>
      <c r="H501" s="24" t="s">
        <v>6667</v>
      </c>
      <c r="I501" s="24" t="s">
        <v>6650</v>
      </c>
      <c r="J501" s="24">
        <v>0.0</v>
      </c>
    </row>
    <row r="502">
      <c r="A502" s="24">
        <v>449.0</v>
      </c>
      <c r="B502" s="24">
        <v>16.0</v>
      </c>
      <c r="C502" s="44">
        <v>14.72</v>
      </c>
      <c r="D502" s="46">
        <v>44710.0</v>
      </c>
      <c r="E502" s="24">
        <v>0.92</v>
      </c>
      <c r="F502" s="24">
        <v>32.78</v>
      </c>
      <c r="G502" s="24">
        <v>3.56</v>
      </c>
      <c r="H502" s="24" t="s">
        <v>6664</v>
      </c>
      <c r="I502" s="24">
        <v>1.84</v>
      </c>
      <c r="J502" s="24">
        <v>0.0</v>
      </c>
    </row>
    <row r="503">
      <c r="A503" s="24">
        <v>662.0</v>
      </c>
      <c r="B503" s="24">
        <v>14.0</v>
      </c>
      <c r="C503" s="44">
        <v>35.67</v>
      </c>
      <c r="D503" s="46">
        <v>44710.0</v>
      </c>
      <c r="E503" s="24">
        <v>2.55</v>
      </c>
      <c r="F503" s="24">
        <v>53.88</v>
      </c>
      <c r="G503" s="24">
        <v>2.11</v>
      </c>
      <c r="H503" s="24" t="s">
        <v>6670</v>
      </c>
      <c r="I503" s="24">
        <v>3.24</v>
      </c>
      <c r="J503" s="24">
        <v>0.0</v>
      </c>
    </row>
    <row r="504">
      <c r="A504" s="24">
        <v>1222.0</v>
      </c>
      <c r="B504" s="24">
        <v>23.0</v>
      </c>
      <c r="C504" s="44">
        <v>16.09</v>
      </c>
      <c r="D504" s="46">
        <v>44710.0</v>
      </c>
      <c r="E504" s="24">
        <v>0.7</v>
      </c>
      <c r="F504" s="24">
        <v>13.17</v>
      </c>
      <c r="G504" s="24">
        <v>1.88</v>
      </c>
      <c r="H504" s="24" t="s">
        <v>6662</v>
      </c>
      <c r="I504" s="24">
        <v>0.95</v>
      </c>
      <c r="J504" s="24">
        <v>0.0</v>
      </c>
    </row>
    <row r="505">
      <c r="A505" s="24">
        <v>2378.0</v>
      </c>
      <c r="B505" s="24">
        <v>17.0</v>
      </c>
      <c r="C505" s="44">
        <v>34.52</v>
      </c>
      <c r="D505" s="46">
        <v>44710.0</v>
      </c>
      <c r="E505" s="24">
        <v>2.03</v>
      </c>
      <c r="F505" s="24">
        <v>14.52</v>
      </c>
      <c r="G505" s="24">
        <v>0.71</v>
      </c>
      <c r="H505" s="24" t="s">
        <v>6669</v>
      </c>
      <c r="I505" s="24">
        <v>2.16</v>
      </c>
      <c r="J505" s="24">
        <v>0.0</v>
      </c>
    </row>
    <row r="506">
      <c r="A506" s="24">
        <v>1300.0</v>
      </c>
      <c r="B506" s="24">
        <v>10.0</v>
      </c>
      <c r="C506" s="44">
        <v>12.94</v>
      </c>
      <c r="D506" s="46">
        <v>44710.0</v>
      </c>
      <c r="E506" s="24">
        <v>1.29</v>
      </c>
      <c r="F506" s="24">
        <v>9.95</v>
      </c>
      <c r="G506" s="24">
        <v>0.77</v>
      </c>
      <c r="H506" s="24" t="s">
        <v>6660</v>
      </c>
      <c r="I506" s="24">
        <v>1.85</v>
      </c>
      <c r="J506" s="24">
        <v>0.0</v>
      </c>
    </row>
    <row r="507">
      <c r="A507" s="24">
        <v>315.0</v>
      </c>
      <c r="B507" s="24">
        <v>10.0</v>
      </c>
      <c r="C507" s="44">
        <v>16.52</v>
      </c>
      <c r="D507" s="46">
        <v>44710.0</v>
      </c>
      <c r="E507" s="24">
        <v>1.65</v>
      </c>
      <c r="F507" s="24">
        <v>52.44</v>
      </c>
      <c r="G507" s="24">
        <v>3.17</v>
      </c>
      <c r="H507" s="24" t="s">
        <v>6666</v>
      </c>
      <c r="I507" s="24">
        <v>16.52</v>
      </c>
      <c r="J507" s="24">
        <v>0.0</v>
      </c>
    </row>
    <row r="508">
      <c r="A508" s="24">
        <v>474.0</v>
      </c>
      <c r="B508" s="24">
        <v>8.0</v>
      </c>
      <c r="C508" s="44">
        <v>45.76</v>
      </c>
      <c r="D508" s="46">
        <v>44710.0</v>
      </c>
      <c r="E508" s="24">
        <v>5.72</v>
      </c>
      <c r="F508" s="24">
        <v>96.54</v>
      </c>
      <c r="G508" s="24">
        <v>1.69</v>
      </c>
      <c r="H508" s="24" t="s">
        <v>6665</v>
      </c>
      <c r="I508" s="24">
        <v>15.25</v>
      </c>
      <c r="J508" s="24">
        <v>0.0</v>
      </c>
    </row>
    <row r="509">
      <c r="A509" s="24">
        <v>465.0</v>
      </c>
      <c r="B509" s="24">
        <v>12.0</v>
      </c>
      <c r="C509" s="44">
        <v>21.4</v>
      </c>
      <c r="D509" s="46">
        <v>44710.0</v>
      </c>
      <c r="E509" s="24">
        <v>1.78</v>
      </c>
      <c r="F509" s="24">
        <v>46.02</v>
      </c>
      <c r="G509" s="24">
        <v>2.58</v>
      </c>
      <c r="H509" s="24" t="s">
        <v>6668</v>
      </c>
      <c r="I509" s="24">
        <v>21.4</v>
      </c>
      <c r="J509" s="24">
        <v>0.0</v>
      </c>
    </row>
    <row r="510">
      <c r="A510" s="24">
        <v>461.0</v>
      </c>
      <c r="B510" s="24">
        <v>3.0</v>
      </c>
      <c r="C510" s="44">
        <v>15.56</v>
      </c>
      <c r="D510" s="46">
        <v>44710.0</v>
      </c>
      <c r="E510" s="24">
        <v>5.19</v>
      </c>
      <c r="F510" s="24">
        <v>33.75</v>
      </c>
      <c r="G510" s="24">
        <v>0.65</v>
      </c>
      <c r="H510" s="24" t="s">
        <v>6671</v>
      </c>
      <c r="I510" s="24">
        <v>2.59</v>
      </c>
      <c r="J510" s="24">
        <v>0.0</v>
      </c>
    </row>
    <row r="511">
      <c r="A511" s="24">
        <v>788.0</v>
      </c>
      <c r="B511" s="24">
        <v>1.0</v>
      </c>
      <c r="C511" s="44">
        <v>48.35</v>
      </c>
      <c r="D511" s="46">
        <v>44710.0</v>
      </c>
      <c r="E511" s="24">
        <v>48.35</v>
      </c>
      <c r="F511" s="24">
        <v>61.36</v>
      </c>
      <c r="G511" s="24">
        <v>0.13</v>
      </c>
      <c r="H511" s="24" t="s">
        <v>6672</v>
      </c>
      <c r="I511" s="24">
        <v>24.18</v>
      </c>
      <c r="J511" s="24">
        <v>0.0</v>
      </c>
    </row>
    <row r="512">
      <c r="A512" s="24">
        <v>2714.0</v>
      </c>
      <c r="B512" s="24">
        <v>19.0</v>
      </c>
      <c r="C512" s="44">
        <v>35.76</v>
      </c>
      <c r="D512" s="46">
        <v>44711.0</v>
      </c>
      <c r="E512" s="24">
        <v>1.88</v>
      </c>
      <c r="F512" s="24">
        <v>13.18</v>
      </c>
      <c r="G512" s="24">
        <v>0.7</v>
      </c>
      <c r="H512" s="24" t="s">
        <v>6662</v>
      </c>
      <c r="I512" s="24">
        <v>1.88</v>
      </c>
      <c r="J512" s="24">
        <v>0.0</v>
      </c>
    </row>
    <row r="513">
      <c r="A513" s="24">
        <v>683.0</v>
      </c>
      <c r="B513" s="24">
        <v>11.0</v>
      </c>
      <c r="C513" s="44">
        <v>21.26</v>
      </c>
      <c r="D513" s="46">
        <v>44711.0</v>
      </c>
      <c r="E513" s="24">
        <v>1.93</v>
      </c>
      <c r="F513" s="24">
        <v>31.13</v>
      </c>
      <c r="G513" s="24">
        <v>1.61</v>
      </c>
      <c r="H513" s="24" t="s">
        <v>6664</v>
      </c>
      <c r="I513" s="24">
        <v>7.09</v>
      </c>
      <c r="J513" s="24">
        <v>0.0</v>
      </c>
    </row>
    <row r="514">
      <c r="A514" s="24">
        <v>867.0</v>
      </c>
      <c r="B514" s="24">
        <v>1.0</v>
      </c>
      <c r="C514" s="44">
        <v>66.32</v>
      </c>
      <c r="D514" s="46">
        <v>44711.0</v>
      </c>
      <c r="E514" s="24">
        <v>66.32</v>
      </c>
      <c r="F514" s="24">
        <v>76.49</v>
      </c>
      <c r="G514" s="24">
        <v>0.12</v>
      </c>
      <c r="H514" s="24" t="s">
        <v>6667</v>
      </c>
      <c r="I514" s="24">
        <v>33.16</v>
      </c>
      <c r="J514" s="24">
        <v>0.0</v>
      </c>
    </row>
    <row r="515">
      <c r="A515" s="24">
        <v>2150.0</v>
      </c>
      <c r="B515" s="24">
        <v>10.0</v>
      </c>
      <c r="C515" s="44">
        <v>48.23</v>
      </c>
      <c r="D515" s="46">
        <v>44711.0</v>
      </c>
      <c r="E515" s="24">
        <v>4.82</v>
      </c>
      <c r="F515" s="24">
        <v>22.43</v>
      </c>
      <c r="G515" s="24">
        <v>0.47</v>
      </c>
      <c r="H515" s="24" t="s">
        <v>6669</v>
      </c>
      <c r="I515" s="24">
        <v>4.82</v>
      </c>
      <c r="J515" s="24">
        <v>0.0</v>
      </c>
    </row>
    <row r="516">
      <c r="A516" s="24">
        <v>391.0</v>
      </c>
      <c r="B516" s="24">
        <v>9.0</v>
      </c>
      <c r="C516" s="44">
        <v>46.24</v>
      </c>
      <c r="D516" s="46">
        <v>44711.0</v>
      </c>
      <c r="E516" s="24">
        <v>5.14</v>
      </c>
      <c r="F516" s="24">
        <v>118.26</v>
      </c>
      <c r="G516" s="24">
        <v>2.3</v>
      </c>
      <c r="H516" s="24" t="s">
        <v>6665</v>
      </c>
      <c r="I516" s="24">
        <v>6.61</v>
      </c>
      <c r="J516" s="24">
        <v>0.0</v>
      </c>
    </row>
    <row r="517">
      <c r="A517" s="24">
        <v>1603.0</v>
      </c>
      <c r="B517" s="24">
        <v>27.0</v>
      </c>
      <c r="C517" s="44">
        <v>54.81</v>
      </c>
      <c r="D517" s="46">
        <v>44711.0</v>
      </c>
      <c r="E517" s="24">
        <v>2.03</v>
      </c>
      <c r="F517" s="24">
        <v>34.19</v>
      </c>
      <c r="G517" s="24">
        <v>1.68</v>
      </c>
      <c r="H517" s="24" t="s">
        <v>6670</v>
      </c>
      <c r="I517" s="24">
        <v>2.88</v>
      </c>
      <c r="J517" s="24">
        <v>0.0</v>
      </c>
    </row>
    <row r="518">
      <c r="A518" s="24">
        <v>758.0</v>
      </c>
      <c r="B518" s="24">
        <v>8.0</v>
      </c>
      <c r="C518" s="44">
        <v>22.42</v>
      </c>
      <c r="D518" s="46">
        <v>44711.0</v>
      </c>
      <c r="E518" s="24">
        <v>2.8</v>
      </c>
      <c r="F518" s="24">
        <v>29.58</v>
      </c>
      <c r="G518" s="24">
        <v>1.06</v>
      </c>
      <c r="H518" s="24" t="s">
        <v>6671</v>
      </c>
      <c r="I518" s="24">
        <v>2.24</v>
      </c>
      <c r="J518" s="24">
        <v>0.0</v>
      </c>
    </row>
    <row r="519">
      <c r="A519" s="24">
        <v>659.0</v>
      </c>
      <c r="B519" s="24">
        <v>4.0</v>
      </c>
      <c r="C519" s="44">
        <v>30.22</v>
      </c>
      <c r="D519" s="46">
        <v>44711.0</v>
      </c>
      <c r="E519" s="24">
        <v>7.56</v>
      </c>
      <c r="F519" s="24">
        <v>45.86</v>
      </c>
      <c r="G519" s="24">
        <v>0.61</v>
      </c>
      <c r="H519" s="24" t="s">
        <v>6668</v>
      </c>
      <c r="I519" s="24">
        <v>6.04</v>
      </c>
      <c r="J519" s="24">
        <v>0.0</v>
      </c>
    </row>
    <row r="520">
      <c r="A520" s="24">
        <v>1487.0</v>
      </c>
      <c r="B520" s="24">
        <v>18.0</v>
      </c>
      <c r="C520" s="44">
        <v>19.34</v>
      </c>
      <c r="D520" s="46">
        <v>44711.0</v>
      </c>
      <c r="E520" s="24">
        <v>1.07</v>
      </c>
      <c r="F520" s="24">
        <v>13.01</v>
      </c>
      <c r="G520" s="24">
        <v>1.21</v>
      </c>
      <c r="H520" s="24" t="s">
        <v>6660</v>
      </c>
      <c r="I520" s="24">
        <v>1.02</v>
      </c>
      <c r="J520" s="24">
        <v>0.0</v>
      </c>
    </row>
    <row r="521">
      <c r="A521" s="24">
        <v>645.0</v>
      </c>
      <c r="B521" s="24">
        <v>14.0</v>
      </c>
      <c r="C521" s="44">
        <v>31.02</v>
      </c>
      <c r="D521" s="46">
        <v>44711.0</v>
      </c>
      <c r="E521" s="24">
        <v>2.22</v>
      </c>
      <c r="F521" s="24">
        <v>48.09</v>
      </c>
      <c r="G521" s="24">
        <v>2.17</v>
      </c>
      <c r="H521" s="24" t="s">
        <v>6666</v>
      </c>
      <c r="I521" s="24">
        <v>4.43</v>
      </c>
      <c r="J521" s="24">
        <v>0.0</v>
      </c>
    </row>
    <row r="522">
      <c r="A522" s="24">
        <v>826.0</v>
      </c>
      <c r="B522" s="24">
        <v>4.0</v>
      </c>
      <c r="C522" s="44">
        <v>54.62</v>
      </c>
      <c r="D522" s="46">
        <v>44711.0</v>
      </c>
      <c r="E522" s="24">
        <v>13.66</v>
      </c>
      <c r="F522" s="24">
        <v>66.13</v>
      </c>
      <c r="G522" s="24">
        <v>0.48</v>
      </c>
      <c r="H522" s="24" t="s">
        <v>6672</v>
      </c>
      <c r="I522" s="24">
        <v>18.21</v>
      </c>
      <c r="J522" s="24">
        <v>0.0</v>
      </c>
    </row>
    <row r="523">
      <c r="A523" s="24">
        <v>997.0</v>
      </c>
      <c r="B523" s="24">
        <v>8.0</v>
      </c>
      <c r="C523" s="44">
        <v>67.42</v>
      </c>
      <c r="D523" s="46">
        <v>44712.0</v>
      </c>
      <c r="E523" s="24">
        <v>8.43</v>
      </c>
      <c r="F523" s="24">
        <v>67.62</v>
      </c>
      <c r="G523" s="24">
        <v>0.8</v>
      </c>
      <c r="H523" s="24" t="s">
        <v>6665</v>
      </c>
      <c r="I523" s="24">
        <v>16.86</v>
      </c>
      <c r="J523" s="24">
        <v>0.0</v>
      </c>
    </row>
    <row r="524">
      <c r="A524" s="24">
        <v>1138.0</v>
      </c>
      <c r="B524" s="24">
        <v>4.0</v>
      </c>
      <c r="C524" s="44">
        <v>58.72</v>
      </c>
      <c r="D524" s="46">
        <v>44712.0</v>
      </c>
      <c r="E524" s="24">
        <v>14.68</v>
      </c>
      <c r="F524" s="24">
        <v>51.6</v>
      </c>
      <c r="G524" s="24">
        <v>0.35</v>
      </c>
      <c r="H524" s="24" t="s">
        <v>6672</v>
      </c>
      <c r="I524" s="24">
        <v>58.72</v>
      </c>
      <c r="J524" s="24">
        <v>0.0</v>
      </c>
    </row>
    <row r="525">
      <c r="A525" s="24">
        <v>2615.0</v>
      </c>
      <c r="B525" s="24">
        <v>12.0</v>
      </c>
      <c r="C525" s="44">
        <v>20.78</v>
      </c>
      <c r="D525" s="46">
        <v>44712.0</v>
      </c>
      <c r="E525" s="24">
        <v>1.73</v>
      </c>
      <c r="F525" s="24">
        <v>7.95</v>
      </c>
      <c r="G525" s="24">
        <v>0.46</v>
      </c>
      <c r="H525" s="24" t="s">
        <v>6660</v>
      </c>
      <c r="I525" s="24">
        <v>1.73</v>
      </c>
      <c r="J525" s="24">
        <v>0.0</v>
      </c>
    </row>
    <row r="526">
      <c r="A526" s="24">
        <v>863.0</v>
      </c>
      <c r="B526" s="24">
        <v>1.0</v>
      </c>
      <c r="C526" s="44">
        <v>63.41</v>
      </c>
      <c r="D526" s="46">
        <v>44712.0</v>
      </c>
      <c r="E526" s="24">
        <v>63.41</v>
      </c>
      <c r="F526" s="24">
        <v>73.48</v>
      </c>
      <c r="G526" s="24">
        <v>0.12</v>
      </c>
      <c r="H526" s="24" t="s">
        <v>6667</v>
      </c>
      <c r="I526" s="24">
        <v>63.41</v>
      </c>
      <c r="J526" s="24">
        <v>0.0</v>
      </c>
    </row>
    <row r="527">
      <c r="A527" s="24">
        <v>721.0</v>
      </c>
      <c r="B527" s="24">
        <v>7.0</v>
      </c>
      <c r="C527" s="44">
        <v>20.51</v>
      </c>
      <c r="D527" s="46">
        <v>44712.0</v>
      </c>
      <c r="E527" s="24">
        <v>2.93</v>
      </c>
      <c r="F527" s="24">
        <v>28.45</v>
      </c>
      <c r="G527" s="24">
        <v>0.97</v>
      </c>
      <c r="H527" s="24" t="s">
        <v>6671</v>
      </c>
      <c r="I527" s="24">
        <v>3.42</v>
      </c>
      <c r="J527" s="24">
        <v>0.0</v>
      </c>
    </row>
    <row r="528">
      <c r="A528" s="24">
        <v>941.0</v>
      </c>
      <c r="B528" s="24">
        <v>17.0</v>
      </c>
      <c r="C528" s="44">
        <v>31.47</v>
      </c>
      <c r="D528" s="46">
        <v>44712.0</v>
      </c>
      <c r="E528" s="24">
        <v>1.85</v>
      </c>
      <c r="F528" s="24">
        <v>33.44</v>
      </c>
      <c r="G528" s="24">
        <v>1.81</v>
      </c>
      <c r="H528" s="24" t="s">
        <v>6666</v>
      </c>
      <c r="I528" s="24">
        <v>3.15</v>
      </c>
      <c r="J528" s="24">
        <v>0.0</v>
      </c>
    </row>
    <row r="529">
      <c r="A529" s="24">
        <v>2188.0</v>
      </c>
      <c r="B529" s="24">
        <v>11.0</v>
      </c>
      <c r="C529" s="44">
        <v>47.54</v>
      </c>
      <c r="D529" s="46">
        <v>44712.0</v>
      </c>
      <c r="E529" s="24">
        <v>4.32</v>
      </c>
      <c r="F529" s="24">
        <v>21.73</v>
      </c>
      <c r="G529" s="24">
        <v>0.5</v>
      </c>
      <c r="H529" s="24" t="s">
        <v>6669</v>
      </c>
      <c r="I529" s="24">
        <v>3.96</v>
      </c>
      <c r="J529" s="24">
        <v>0.0</v>
      </c>
    </row>
    <row r="530">
      <c r="A530" s="24">
        <v>1220.0</v>
      </c>
      <c r="B530" s="24">
        <v>20.0</v>
      </c>
      <c r="C530" s="44">
        <v>48.89</v>
      </c>
      <c r="D530" s="46">
        <v>44712.0</v>
      </c>
      <c r="E530" s="24">
        <v>2.44</v>
      </c>
      <c r="F530" s="24">
        <v>40.07</v>
      </c>
      <c r="G530" s="24">
        <v>1.64</v>
      </c>
      <c r="H530" s="24" t="s">
        <v>6670</v>
      </c>
      <c r="I530" s="24">
        <v>3.76</v>
      </c>
      <c r="J530" s="24">
        <v>0.0</v>
      </c>
    </row>
    <row r="531">
      <c r="A531" s="24">
        <v>654.0</v>
      </c>
      <c r="B531" s="24">
        <v>6.0</v>
      </c>
      <c r="C531" s="44">
        <v>29.64</v>
      </c>
      <c r="D531" s="46">
        <v>44712.0</v>
      </c>
      <c r="E531" s="24">
        <v>4.94</v>
      </c>
      <c r="F531" s="24">
        <v>45.32</v>
      </c>
      <c r="G531" s="24">
        <v>0.92</v>
      </c>
      <c r="H531" s="24" t="s">
        <v>6668</v>
      </c>
      <c r="I531" s="24">
        <v>4.94</v>
      </c>
      <c r="J531" s="24">
        <v>0.0</v>
      </c>
    </row>
    <row r="532">
      <c r="A532" s="24">
        <v>578.0</v>
      </c>
      <c r="B532" s="24">
        <v>7.0</v>
      </c>
      <c r="C532" s="44">
        <v>19.97</v>
      </c>
      <c r="D532" s="46">
        <v>44712.0</v>
      </c>
      <c r="E532" s="24">
        <v>2.85</v>
      </c>
      <c r="F532" s="24">
        <v>34.55</v>
      </c>
      <c r="G532" s="24">
        <v>1.21</v>
      </c>
      <c r="H532" s="24" t="s">
        <v>6664</v>
      </c>
      <c r="I532" s="24">
        <v>6.66</v>
      </c>
      <c r="J532" s="24">
        <v>0.0</v>
      </c>
    </row>
    <row r="533">
      <c r="A533" s="24">
        <v>2891.0</v>
      </c>
      <c r="B533" s="24">
        <v>35.0</v>
      </c>
      <c r="C533" s="44">
        <v>36.85</v>
      </c>
      <c r="D533" s="46">
        <v>44712.0</v>
      </c>
      <c r="E533" s="24">
        <v>1.05</v>
      </c>
      <c r="F533" s="24">
        <v>12.75</v>
      </c>
      <c r="G533" s="24">
        <v>1.21</v>
      </c>
      <c r="H533" s="24" t="s">
        <v>6662</v>
      </c>
      <c r="I533" s="24">
        <v>1.19</v>
      </c>
      <c r="J533" s="24">
        <v>0.0</v>
      </c>
    </row>
    <row r="534">
      <c r="A534" s="24">
        <v>743.0</v>
      </c>
      <c r="B534" s="24">
        <v>13.0</v>
      </c>
      <c r="C534" s="44">
        <v>22.63</v>
      </c>
      <c r="D534" s="46">
        <v>44713.0</v>
      </c>
      <c r="E534" s="24">
        <v>1.74</v>
      </c>
      <c r="F534" s="24">
        <v>30.46</v>
      </c>
      <c r="G534" s="24">
        <v>1.75</v>
      </c>
      <c r="H534" s="24" t="s">
        <v>6664</v>
      </c>
      <c r="I534" s="24">
        <v>2.51</v>
      </c>
      <c r="J534" s="24">
        <v>0.0</v>
      </c>
    </row>
    <row r="535">
      <c r="A535" s="24">
        <v>1417.0</v>
      </c>
      <c r="B535" s="24">
        <v>2.0</v>
      </c>
      <c r="C535" s="44">
        <v>90.27</v>
      </c>
      <c r="D535" s="46">
        <v>44713.0</v>
      </c>
      <c r="E535" s="24">
        <v>45.14</v>
      </c>
      <c r="F535" s="24">
        <v>63.71</v>
      </c>
      <c r="G535" s="24">
        <v>0.14</v>
      </c>
      <c r="H535" s="24" t="s">
        <v>6667</v>
      </c>
      <c r="I535" s="24">
        <v>6.45</v>
      </c>
      <c r="J535" s="24">
        <v>0.0</v>
      </c>
    </row>
    <row r="536">
      <c r="A536" s="24">
        <v>1602.0</v>
      </c>
      <c r="B536" s="24">
        <v>30.0</v>
      </c>
      <c r="C536" s="44">
        <v>95.67</v>
      </c>
      <c r="D536" s="46">
        <v>44713.0</v>
      </c>
      <c r="E536" s="24">
        <v>3.19</v>
      </c>
      <c r="F536" s="24">
        <v>59.72</v>
      </c>
      <c r="G536" s="24">
        <v>1.87</v>
      </c>
      <c r="H536" s="24" t="s">
        <v>6665</v>
      </c>
      <c r="I536" s="24">
        <v>3.54</v>
      </c>
      <c r="J536" s="24">
        <v>0.0</v>
      </c>
    </row>
    <row r="537">
      <c r="A537" s="24">
        <v>874.0</v>
      </c>
      <c r="B537" s="24">
        <v>18.0</v>
      </c>
      <c r="C537" s="44">
        <v>48.51</v>
      </c>
      <c r="D537" s="46">
        <v>44713.0</v>
      </c>
      <c r="E537" s="24">
        <v>2.7</v>
      </c>
      <c r="F537" s="24">
        <v>55.5</v>
      </c>
      <c r="G537" s="24">
        <v>2.06</v>
      </c>
      <c r="H537" s="24" t="s">
        <v>6670</v>
      </c>
      <c r="I537" s="24">
        <v>6.06</v>
      </c>
      <c r="J537" s="24">
        <v>0.0</v>
      </c>
    </row>
    <row r="538">
      <c r="A538" s="24">
        <v>3408.0</v>
      </c>
      <c r="B538" s="24">
        <v>12.0</v>
      </c>
      <c r="C538" s="44">
        <v>27.89</v>
      </c>
      <c r="D538" s="46">
        <v>44713.0</v>
      </c>
      <c r="E538" s="24">
        <v>2.32</v>
      </c>
      <c r="F538" s="24">
        <v>8.18</v>
      </c>
      <c r="G538" s="24">
        <v>0.35</v>
      </c>
      <c r="H538" s="24" t="s">
        <v>6660</v>
      </c>
      <c r="I538" s="24">
        <v>2.54</v>
      </c>
      <c r="J538" s="24">
        <v>0.0</v>
      </c>
    </row>
    <row r="539">
      <c r="A539" s="24">
        <v>948.0</v>
      </c>
      <c r="B539" s="24">
        <v>21.0</v>
      </c>
      <c r="C539" s="44">
        <v>34.18</v>
      </c>
      <c r="D539" s="46">
        <v>44713.0</v>
      </c>
      <c r="E539" s="24">
        <v>1.63</v>
      </c>
      <c r="F539" s="24">
        <v>36.05</v>
      </c>
      <c r="G539" s="24">
        <v>2.22</v>
      </c>
      <c r="H539" s="24" t="s">
        <v>6666</v>
      </c>
      <c r="I539" s="24">
        <v>5.7</v>
      </c>
      <c r="J539" s="24">
        <v>0.0</v>
      </c>
    </row>
    <row r="540">
      <c r="A540" s="24">
        <v>606.0</v>
      </c>
      <c r="B540" s="24">
        <v>5.0</v>
      </c>
      <c r="C540" s="44">
        <v>33.19</v>
      </c>
      <c r="D540" s="46">
        <v>44713.0</v>
      </c>
      <c r="E540" s="24">
        <v>6.64</v>
      </c>
      <c r="F540" s="24">
        <v>54.77</v>
      </c>
      <c r="G540" s="24">
        <v>0.83</v>
      </c>
      <c r="H540" s="24" t="s">
        <v>6668</v>
      </c>
      <c r="I540" s="24">
        <v>5.53</v>
      </c>
      <c r="J540" s="24">
        <v>0.0</v>
      </c>
    </row>
    <row r="541">
      <c r="A541" s="24">
        <v>1895.0</v>
      </c>
      <c r="B541" s="24">
        <v>5.0</v>
      </c>
      <c r="C541" s="44">
        <v>65.78</v>
      </c>
      <c r="D541" s="46">
        <v>44713.0</v>
      </c>
      <c r="E541" s="24">
        <v>13.16</v>
      </c>
      <c r="F541" s="24">
        <v>34.71</v>
      </c>
      <c r="G541" s="24">
        <v>0.26</v>
      </c>
      <c r="H541" s="24" t="s">
        <v>6669</v>
      </c>
      <c r="I541" s="24">
        <v>16.44</v>
      </c>
      <c r="J541" s="24">
        <v>0.0</v>
      </c>
    </row>
    <row r="542">
      <c r="A542" s="24">
        <v>3276.0</v>
      </c>
      <c r="B542" s="24">
        <v>22.0</v>
      </c>
      <c r="C542" s="44">
        <v>36.74</v>
      </c>
      <c r="D542" s="46">
        <v>44713.0</v>
      </c>
      <c r="E542" s="24">
        <v>1.67</v>
      </c>
      <c r="F542" s="24">
        <v>11.21</v>
      </c>
      <c r="G542" s="24">
        <v>0.67</v>
      </c>
      <c r="H542" s="24" t="s">
        <v>6662</v>
      </c>
      <c r="I542" s="24">
        <v>1.67</v>
      </c>
      <c r="J542" s="24">
        <v>0.0</v>
      </c>
    </row>
    <row r="543">
      <c r="A543" s="24">
        <v>811.0</v>
      </c>
      <c r="B543" s="24">
        <v>5.0</v>
      </c>
      <c r="C543" s="44">
        <v>22.91</v>
      </c>
      <c r="D543" s="46">
        <v>44713.0</v>
      </c>
      <c r="E543" s="24">
        <v>4.58</v>
      </c>
      <c r="F543" s="24">
        <v>28.25</v>
      </c>
      <c r="G543" s="24">
        <v>0.62</v>
      </c>
      <c r="H543" s="24" t="s">
        <v>6671</v>
      </c>
      <c r="I543" s="24">
        <v>5.73</v>
      </c>
      <c r="J543" s="24">
        <v>0.0</v>
      </c>
    </row>
    <row r="544">
      <c r="A544" s="24">
        <v>1225.0</v>
      </c>
      <c r="B544" s="24">
        <v>5.0</v>
      </c>
      <c r="C544" s="44">
        <v>64.22</v>
      </c>
      <c r="D544" s="46">
        <v>44713.0</v>
      </c>
      <c r="E544" s="24">
        <v>12.84</v>
      </c>
      <c r="F544" s="24">
        <v>52.42</v>
      </c>
      <c r="G544" s="24">
        <v>0.41</v>
      </c>
      <c r="H544" s="24" t="s">
        <v>6672</v>
      </c>
      <c r="I544" s="24" t="s">
        <v>6650</v>
      </c>
      <c r="J544" s="24">
        <v>0.0</v>
      </c>
    </row>
    <row r="545">
      <c r="A545" s="24">
        <v>760.0</v>
      </c>
      <c r="B545" s="24">
        <v>10.0</v>
      </c>
      <c r="C545" s="44">
        <v>30.42</v>
      </c>
      <c r="D545" s="46">
        <v>44714.0</v>
      </c>
      <c r="E545" s="24">
        <v>3.04</v>
      </c>
      <c r="F545" s="24">
        <v>40.03</v>
      </c>
      <c r="G545" s="24">
        <v>1.32</v>
      </c>
      <c r="H545" s="24" t="s">
        <v>6666</v>
      </c>
      <c r="I545" s="24">
        <v>2.54</v>
      </c>
      <c r="J545" s="24">
        <v>0.0</v>
      </c>
    </row>
    <row r="546">
      <c r="A546" s="24">
        <v>579.0</v>
      </c>
      <c r="B546" s="24">
        <v>7.0</v>
      </c>
      <c r="C546" s="44">
        <v>22.74</v>
      </c>
      <c r="D546" s="46">
        <v>44714.0</v>
      </c>
      <c r="E546" s="24">
        <v>3.25</v>
      </c>
      <c r="F546" s="24">
        <v>39.27</v>
      </c>
      <c r="G546" s="24">
        <v>1.21</v>
      </c>
      <c r="H546" s="24" t="s">
        <v>6671</v>
      </c>
      <c r="I546" s="24">
        <v>2.53</v>
      </c>
      <c r="J546" s="24">
        <v>0.0</v>
      </c>
    </row>
    <row r="547">
      <c r="A547" s="24">
        <v>819.0</v>
      </c>
      <c r="B547" s="24">
        <v>12.0</v>
      </c>
      <c r="C547" s="44">
        <v>28.21</v>
      </c>
      <c r="D547" s="46">
        <v>44714.0</v>
      </c>
      <c r="E547" s="24">
        <v>2.35</v>
      </c>
      <c r="F547" s="24">
        <v>34.44</v>
      </c>
      <c r="G547" s="24">
        <v>1.47</v>
      </c>
      <c r="H547" s="24" t="s">
        <v>6664</v>
      </c>
      <c r="I547" s="24">
        <v>2.02</v>
      </c>
      <c r="J547" s="24">
        <v>0.0</v>
      </c>
    </row>
    <row r="548">
      <c r="A548" s="24">
        <v>3353.0</v>
      </c>
      <c r="B548" s="24">
        <v>31.0</v>
      </c>
      <c r="C548" s="44">
        <v>37.31</v>
      </c>
      <c r="D548" s="46">
        <v>44714.0</v>
      </c>
      <c r="E548" s="24">
        <v>1.2</v>
      </c>
      <c r="F548" s="24">
        <v>11.13</v>
      </c>
      <c r="G548" s="24">
        <v>0.92</v>
      </c>
      <c r="H548" s="24" t="s">
        <v>6662</v>
      </c>
      <c r="I548" s="24">
        <v>1.33</v>
      </c>
      <c r="J548" s="24">
        <v>0.0</v>
      </c>
    </row>
    <row r="549">
      <c r="A549" s="24">
        <v>1101.0</v>
      </c>
      <c r="B549" s="24">
        <v>0.0</v>
      </c>
      <c r="C549" s="44">
        <v>85.78</v>
      </c>
      <c r="D549" s="46">
        <v>44714.0</v>
      </c>
      <c r="E549" s="24" t="s">
        <v>6650</v>
      </c>
      <c r="F549" s="24">
        <v>77.91</v>
      </c>
      <c r="G549" s="24">
        <v>0.0</v>
      </c>
      <c r="H549" s="24" t="s">
        <v>6667</v>
      </c>
      <c r="I549" s="24">
        <v>5.36</v>
      </c>
      <c r="J549" s="24">
        <v>0.0</v>
      </c>
    </row>
    <row r="550">
      <c r="A550" s="24">
        <v>1019.0</v>
      </c>
      <c r="B550" s="24">
        <v>18.0</v>
      </c>
      <c r="C550" s="44">
        <v>84.44</v>
      </c>
      <c r="D550" s="46">
        <v>44714.0</v>
      </c>
      <c r="E550" s="24">
        <v>4.69</v>
      </c>
      <c r="F550" s="24">
        <v>82.87</v>
      </c>
      <c r="G550" s="24">
        <v>1.77</v>
      </c>
      <c r="H550" s="24" t="s">
        <v>6665</v>
      </c>
      <c r="I550" s="24">
        <v>4.44</v>
      </c>
      <c r="J550" s="24">
        <v>0.0</v>
      </c>
    </row>
    <row r="551">
      <c r="A551" s="24">
        <v>3550.0</v>
      </c>
      <c r="B551" s="24">
        <v>27.0</v>
      </c>
      <c r="C551" s="44">
        <v>27.45</v>
      </c>
      <c r="D551" s="46">
        <v>44714.0</v>
      </c>
      <c r="E551" s="24">
        <v>1.02</v>
      </c>
      <c r="F551" s="24">
        <v>7.73</v>
      </c>
      <c r="G551" s="24">
        <v>0.76</v>
      </c>
      <c r="H551" s="24" t="s">
        <v>6660</v>
      </c>
      <c r="I551" s="24">
        <v>1.19</v>
      </c>
      <c r="J551" s="24">
        <v>0.0</v>
      </c>
    </row>
    <row r="552">
      <c r="A552" s="24">
        <v>1760.0</v>
      </c>
      <c r="B552" s="24">
        <v>3.0</v>
      </c>
      <c r="C552" s="44">
        <v>47.92</v>
      </c>
      <c r="D552" s="46">
        <v>44714.0</v>
      </c>
      <c r="E552" s="24">
        <v>15.97</v>
      </c>
      <c r="F552" s="24">
        <v>27.23</v>
      </c>
      <c r="G552" s="24">
        <v>0.17</v>
      </c>
      <c r="H552" s="24" t="s">
        <v>6673</v>
      </c>
      <c r="I552" s="24">
        <v>47.92</v>
      </c>
      <c r="J552" s="24">
        <v>0.0</v>
      </c>
    </row>
    <row r="553">
      <c r="A553" s="24">
        <v>53.0</v>
      </c>
      <c r="B553" s="24">
        <v>0.0</v>
      </c>
      <c r="C553" s="44">
        <v>7.1</v>
      </c>
      <c r="D553" s="46">
        <v>44714.0</v>
      </c>
      <c r="E553" s="24" t="s">
        <v>6650</v>
      </c>
      <c r="F553" s="24">
        <v>133.96</v>
      </c>
      <c r="G553" s="24">
        <v>0.0</v>
      </c>
      <c r="H553" s="24" t="s">
        <v>6674</v>
      </c>
      <c r="I553" s="24" t="s">
        <v>6650</v>
      </c>
      <c r="J553" s="24">
        <v>0.0</v>
      </c>
    </row>
    <row r="554">
      <c r="A554" s="24">
        <v>1471.0</v>
      </c>
      <c r="B554" s="24">
        <v>9.0</v>
      </c>
      <c r="C554" s="44">
        <v>61.55</v>
      </c>
      <c r="D554" s="46">
        <v>44714.0</v>
      </c>
      <c r="E554" s="24">
        <v>6.84</v>
      </c>
      <c r="F554" s="24">
        <v>41.84</v>
      </c>
      <c r="G554" s="24">
        <v>0.61</v>
      </c>
      <c r="H554" s="24" t="s">
        <v>6669</v>
      </c>
      <c r="I554" s="24">
        <v>4.4</v>
      </c>
      <c r="J554" s="24">
        <v>0.0</v>
      </c>
    </row>
    <row r="555">
      <c r="A555" s="24">
        <v>552.0</v>
      </c>
      <c r="B555" s="24">
        <v>14.0</v>
      </c>
      <c r="C555" s="44">
        <v>24.39</v>
      </c>
      <c r="D555" s="46">
        <v>44714.0</v>
      </c>
      <c r="E555" s="24">
        <v>1.74</v>
      </c>
      <c r="F555" s="24">
        <v>44.18</v>
      </c>
      <c r="G555" s="24">
        <v>2.54</v>
      </c>
      <c r="H555" s="24" t="s">
        <v>6675</v>
      </c>
      <c r="I555" s="24">
        <v>24.39</v>
      </c>
      <c r="J555" s="24">
        <v>0.0</v>
      </c>
    </row>
    <row r="556">
      <c r="A556" s="24">
        <v>532.0</v>
      </c>
      <c r="B556" s="24">
        <v>2.0</v>
      </c>
      <c r="C556" s="44">
        <v>30.41</v>
      </c>
      <c r="D556" s="46">
        <v>44714.0</v>
      </c>
      <c r="E556" s="24">
        <v>15.2</v>
      </c>
      <c r="F556" s="24">
        <v>57.16</v>
      </c>
      <c r="G556" s="24">
        <v>0.38</v>
      </c>
      <c r="H556" s="24" t="s">
        <v>6668</v>
      </c>
      <c r="I556" s="24">
        <v>3.38</v>
      </c>
      <c r="J556" s="24">
        <v>0.0</v>
      </c>
    </row>
    <row r="557">
      <c r="A557" s="24">
        <v>852.0</v>
      </c>
      <c r="B557" s="24">
        <v>4.0</v>
      </c>
      <c r="C557" s="44">
        <v>35.74</v>
      </c>
      <c r="D557" s="46">
        <v>44714.0</v>
      </c>
      <c r="E557" s="24">
        <v>8.94</v>
      </c>
      <c r="F557" s="24">
        <v>41.95</v>
      </c>
      <c r="G557" s="24">
        <v>0.47</v>
      </c>
      <c r="H557" s="24" t="s">
        <v>6676</v>
      </c>
      <c r="I557" s="24">
        <v>7.15</v>
      </c>
      <c r="J557" s="24">
        <v>0.0</v>
      </c>
    </row>
    <row r="558">
      <c r="A558" s="24">
        <v>972.0</v>
      </c>
      <c r="B558" s="24">
        <v>5.0</v>
      </c>
      <c r="C558" s="44">
        <v>56.4</v>
      </c>
      <c r="D558" s="46">
        <v>44714.0</v>
      </c>
      <c r="E558" s="24">
        <v>11.28</v>
      </c>
      <c r="F558" s="24">
        <v>58.02</v>
      </c>
      <c r="G558" s="24">
        <v>0.51</v>
      </c>
      <c r="H558" s="24" t="s">
        <v>6672</v>
      </c>
      <c r="I558" s="24">
        <v>11.28</v>
      </c>
      <c r="J558" s="24">
        <v>0.0</v>
      </c>
    </row>
    <row r="559">
      <c r="A559" s="24">
        <v>612.0</v>
      </c>
      <c r="B559" s="24">
        <v>7.0</v>
      </c>
      <c r="C559" s="44">
        <v>38.89</v>
      </c>
      <c r="D559" s="46">
        <v>44714.0</v>
      </c>
      <c r="E559" s="24">
        <v>5.56</v>
      </c>
      <c r="F559" s="24">
        <v>63.55</v>
      </c>
      <c r="G559" s="24">
        <v>1.14</v>
      </c>
      <c r="H559" s="24" t="s">
        <v>6670</v>
      </c>
      <c r="I559" s="24">
        <v>2.59</v>
      </c>
      <c r="J559" s="24">
        <v>0.0</v>
      </c>
    </row>
    <row r="560">
      <c r="A560" s="24">
        <v>278.0</v>
      </c>
      <c r="B560" s="24">
        <v>5.0</v>
      </c>
      <c r="C560" s="44">
        <v>13.67</v>
      </c>
      <c r="D560" s="46">
        <v>44714.0</v>
      </c>
      <c r="E560" s="24">
        <v>2.73</v>
      </c>
      <c r="F560" s="24">
        <v>49.17</v>
      </c>
      <c r="G560" s="24">
        <v>1.8</v>
      </c>
      <c r="H560" s="24" t="s">
        <v>6677</v>
      </c>
      <c r="I560" s="24">
        <v>13.67</v>
      </c>
      <c r="J560" s="24">
        <v>0.0</v>
      </c>
    </row>
    <row r="561">
      <c r="A561" s="24">
        <v>3102.0</v>
      </c>
      <c r="B561" s="24">
        <v>35.0</v>
      </c>
      <c r="C561" s="44">
        <v>31.92</v>
      </c>
      <c r="D561" s="46">
        <v>44715.0</v>
      </c>
      <c r="E561" s="24">
        <v>0.91</v>
      </c>
      <c r="F561" s="24">
        <v>10.29</v>
      </c>
      <c r="G561" s="24">
        <v>1.13</v>
      </c>
      <c r="H561" s="24" t="s">
        <v>6662</v>
      </c>
      <c r="I561" s="24">
        <v>1.14</v>
      </c>
      <c r="J561" s="24">
        <v>0.0</v>
      </c>
    </row>
    <row r="562">
      <c r="A562" s="24">
        <v>1505.0</v>
      </c>
      <c r="B562" s="24">
        <v>3.0</v>
      </c>
      <c r="C562" s="44">
        <v>43.17</v>
      </c>
      <c r="D562" s="46">
        <v>44715.0</v>
      </c>
      <c r="E562" s="24">
        <v>14.39</v>
      </c>
      <c r="F562" s="24">
        <v>28.68</v>
      </c>
      <c r="G562" s="24">
        <v>0.2</v>
      </c>
      <c r="H562" s="24" t="s">
        <v>6673</v>
      </c>
      <c r="I562" s="24">
        <v>43.17</v>
      </c>
      <c r="J562" s="24">
        <v>0.0</v>
      </c>
    </row>
    <row r="563">
      <c r="A563" s="24">
        <v>406.0</v>
      </c>
      <c r="B563" s="24">
        <v>3.0</v>
      </c>
      <c r="C563" s="44">
        <v>27.38</v>
      </c>
      <c r="D563" s="46">
        <v>44715.0</v>
      </c>
      <c r="E563" s="24">
        <v>9.13</v>
      </c>
      <c r="F563" s="24">
        <v>67.44</v>
      </c>
      <c r="G563" s="24">
        <v>0.74</v>
      </c>
      <c r="H563" s="24" t="s">
        <v>6674</v>
      </c>
      <c r="I563" s="24">
        <v>27.38</v>
      </c>
      <c r="J563" s="24">
        <v>0.0</v>
      </c>
    </row>
    <row r="564">
      <c r="A564" s="24">
        <v>1253.0</v>
      </c>
      <c r="B564" s="24">
        <v>7.0</v>
      </c>
      <c r="C564" s="44">
        <v>56.46</v>
      </c>
      <c r="D564" s="46">
        <v>44715.0</v>
      </c>
      <c r="E564" s="24">
        <v>8.07</v>
      </c>
      <c r="F564" s="24">
        <v>45.06</v>
      </c>
      <c r="G564" s="24">
        <v>0.56</v>
      </c>
      <c r="H564" s="24" t="s">
        <v>6669</v>
      </c>
      <c r="I564" s="24">
        <v>7.06</v>
      </c>
      <c r="J564" s="24">
        <v>0.0</v>
      </c>
    </row>
    <row r="565">
      <c r="A565" s="24">
        <v>734.0</v>
      </c>
      <c r="B565" s="24">
        <v>7.0</v>
      </c>
      <c r="C565" s="44">
        <v>24.03</v>
      </c>
      <c r="D565" s="46">
        <v>44715.0</v>
      </c>
      <c r="E565" s="24">
        <v>3.43</v>
      </c>
      <c r="F565" s="24">
        <v>32.74</v>
      </c>
      <c r="G565" s="24">
        <v>0.95</v>
      </c>
      <c r="H565" s="24" t="s">
        <v>6664</v>
      </c>
      <c r="I565" s="24">
        <v>12.02</v>
      </c>
      <c r="J565" s="24">
        <v>0.0</v>
      </c>
    </row>
    <row r="566">
      <c r="A566" s="24">
        <v>1096.0</v>
      </c>
      <c r="B566" s="24">
        <v>3.0</v>
      </c>
      <c r="C566" s="44">
        <v>43.58</v>
      </c>
      <c r="D566" s="46">
        <v>44715.0</v>
      </c>
      <c r="E566" s="24">
        <v>14.53</v>
      </c>
      <c r="F566" s="24">
        <v>39.76</v>
      </c>
      <c r="G566" s="24">
        <v>0.27</v>
      </c>
      <c r="H566" s="24" t="s">
        <v>6676</v>
      </c>
      <c r="I566" s="24">
        <v>7.26</v>
      </c>
      <c r="J566" s="24">
        <v>0.0</v>
      </c>
    </row>
    <row r="567">
      <c r="A567" s="24">
        <v>419.0</v>
      </c>
      <c r="B567" s="24">
        <v>7.0</v>
      </c>
      <c r="C567" s="44">
        <v>30.24</v>
      </c>
      <c r="D567" s="46">
        <v>44715.0</v>
      </c>
      <c r="E567" s="24">
        <v>4.32</v>
      </c>
      <c r="F567" s="24">
        <v>72.17</v>
      </c>
      <c r="G567" s="24">
        <v>1.67</v>
      </c>
      <c r="H567" s="24" t="s">
        <v>6668</v>
      </c>
      <c r="I567" s="24">
        <v>2.75</v>
      </c>
      <c r="J567" s="24">
        <v>0.0</v>
      </c>
    </row>
    <row r="568">
      <c r="A568" s="24">
        <v>445.0</v>
      </c>
      <c r="B568" s="24">
        <v>2.0</v>
      </c>
      <c r="C568" s="44">
        <v>21.16</v>
      </c>
      <c r="D568" s="46">
        <v>44715.0</v>
      </c>
      <c r="E568" s="24">
        <v>10.58</v>
      </c>
      <c r="F568" s="24">
        <v>47.55</v>
      </c>
      <c r="G568" s="24">
        <v>0.45</v>
      </c>
      <c r="H568" s="24" t="s">
        <v>6671</v>
      </c>
      <c r="I568" s="24">
        <v>3.02</v>
      </c>
      <c r="J568" s="24">
        <v>0.0</v>
      </c>
    </row>
    <row r="569">
      <c r="A569" s="24">
        <v>1147.0</v>
      </c>
      <c r="B569" s="24">
        <v>0.0</v>
      </c>
      <c r="C569" s="44">
        <v>77.88</v>
      </c>
      <c r="D569" s="46">
        <v>44715.0</v>
      </c>
      <c r="E569" s="24" t="s">
        <v>6650</v>
      </c>
      <c r="F569" s="24">
        <v>67.9</v>
      </c>
      <c r="G569" s="24">
        <v>0.0</v>
      </c>
      <c r="H569" s="24" t="s">
        <v>6667</v>
      </c>
      <c r="I569" s="24">
        <v>19.47</v>
      </c>
      <c r="J569" s="24">
        <v>0.0</v>
      </c>
    </row>
    <row r="570">
      <c r="A570" s="24">
        <v>580.0</v>
      </c>
      <c r="B570" s="24">
        <v>16.0</v>
      </c>
      <c r="C570" s="44">
        <v>40.15</v>
      </c>
      <c r="D570" s="46">
        <v>44715.0</v>
      </c>
      <c r="E570" s="24">
        <v>2.51</v>
      </c>
      <c r="F570" s="24">
        <v>69.22</v>
      </c>
      <c r="G570" s="24">
        <v>2.76</v>
      </c>
      <c r="H570" s="24" t="s">
        <v>6677</v>
      </c>
      <c r="I570" s="24">
        <v>4.46</v>
      </c>
      <c r="J570" s="24">
        <v>0.0</v>
      </c>
    </row>
    <row r="571">
      <c r="A571" s="24">
        <v>768.0</v>
      </c>
      <c r="B571" s="24">
        <v>7.0</v>
      </c>
      <c r="C571" s="44">
        <v>51.43</v>
      </c>
      <c r="D571" s="46">
        <v>44715.0</v>
      </c>
      <c r="E571" s="24">
        <v>7.35</v>
      </c>
      <c r="F571" s="24">
        <v>66.97</v>
      </c>
      <c r="G571" s="24">
        <v>0.91</v>
      </c>
      <c r="H571" s="24" t="s">
        <v>6672</v>
      </c>
      <c r="I571" s="24">
        <v>8.57</v>
      </c>
      <c r="J571" s="24">
        <v>0.0</v>
      </c>
    </row>
    <row r="572">
      <c r="A572" s="24">
        <v>533.0</v>
      </c>
      <c r="B572" s="24">
        <v>11.0</v>
      </c>
      <c r="C572" s="44">
        <v>28.0</v>
      </c>
      <c r="D572" s="46">
        <v>44715.0</v>
      </c>
      <c r="E572" s="24">
        <v>2.55</v>
      </c>
      <c r="F572" s="24">
        <v>52.53</v>
      </c>
      <c r="G572" s="24">
        <v>2.06</v>
      </c>
      <c r="H572" s="24" t="s">
        <v>6666</v>
      </c>
      <c r="I572" s="24">
        <v>3.11</v>
      </c>
      <c r="J572" s="24">
        <v>0.0</v>
      </c>
    </row>
    <row r="573">
      <c r="A573" s="24">
        <v>465.0</v>
      </c>
      <c r="B573" s="24">
        <v>8.0</v>
      </c>
      <c r="C573" s="44">
        <v>38.52</v>
      </c>
      <c r="D573" s="46">
        <v>44715.0</v>
      </c>
      <c r="E573" s="24">
        <v>4.82</v>
      </c>
      <c r="F573" s="24">
        <v>82.84</v>
      </c>
      <c r="G573" s="24">
        <v>1.72</v>
      </c>
      <c r="H573" s="24" t="s">
        <v>6670</v>
      </c>
      <c r="I573" s="24">
        <v>6.42</v>
      </c>
      <c r="J573" s="24">
        <v>0.0</v>
      </c>
    </row>
    <row r="574">
      <c r="A574" s="24">
        <v>2900.0</v>
      </c>
      <c r="B574" s="24">
        <v>13.0</v>
      </c>
      <c r="C574" s="44">
        <v>23.54</v>
      </c>
      <c r="D574" s="46">
        <v>44715.0</v>
      </c>
      <c r="E574" s="24">
        <v>1.81</v>
      </c>
      <c r="F574" s="24">
        <v>8.12</v>
      </c>
      <c r="G574" s="24">
        <v>0.45</v>
      </c>
      <c r="H574" s="24" t="s">
        <v>6660</v>
      </c>
      <c r="I574" s="24">
        <v>1.68</v>
      </c>
      <c r="J574" s="24">
        <v>0.0</v>
      </c>
    </row>
    <row r="575">
      <c r="A575" s="24">
        <v>774.0</v>
      </c>
      <c r="B575" s="24">
        <v>16.0</v>
      </c>
      <c r="C575" s="44">
        <v>30.23</v>
      </c>
      <c r="D575" s="46">
        <v>44715.0</v>
      </c>
      <c r="E575" s="24">
        <v>1.89</v>
      </c>
      <c r="F575" s="24">
        <v>39.06</v>
      </c>
      <c r="G575" s="24">
        <v>2.07</v>
      </c>
      <c r="H575" s="24" t="s">
        <v>6675</v>
      </c>
      <c r="I575" s="24">
        <v>3.78</v>
      </c>
      <c r="J575" s="24">
        <v>0.0</v>
      </c>
    </row>
    <row r="576">
      <c r="A576" s="24">
        <v>862.0</v>
      </c>
      <c r="B576" s="24">
        <v>9.0</v>
      </c>
      <c r="C576" s="44">
        <v>79.81</v>
      </c>
      <c r="D576" s="46">
        <v>44715.0</v>
      </c>
      <c r="E576" s="24">
        <v>8.87</v>
      </c>
      <c r="F576" s="24">
        <v>92.59</v>
      </c>
      <c r="G576" s="24">
        <v>1.04</v>
      </c>
      <c r="H576" s="24" t="s">
        <v>6665</v>
      </c>
      <c r="I576" s="24">
        <v>9.98</v>
      </c>
      <c r="J576" s="24">
        <v>0.0</v>
      </c>
    </row>
    <row r="577">
      <c r="A577" s="24">
        <v>1838.0</v>
      </c>
      <c r="B577" s="24">
        <v>9.0</v>
      </c>
      <c r="C577" s="44">
        <v>37.52</v>
      </c>
      <c r="D577" s="46">
        <v>44716.0</v>
      </c>
      <c r="E577" s="24">
        <v>4.17</v>
      </c>
      <c r="F577" s="24">
        <v>20.41</v>
      </c>
      <c r="G577" s="24">
        <v>0.49</v>
      </c>
      <c r="H577" s="24" t="s">
        <v>6669</v>
      </c>
      <c r="I577" s="24">
        <v>7.5</v>
      </c>
      <c r="J577" s="24">
        <v>0.0</v>
      </c>
    </row>
    <row r="578">
      <c r="A578" s="24">
        <v>776.0</v>
      </c>
      <c r="B578" s="24">
        <v>1.0</v>
      </c>
      <c r="C578" s="44">
        <v>52.01</v>
      </c>
      <c r="D578" s="46">
        <v>44716.0</v>
      </c>
      <c r="E578" s="24">
        <v>52.01</v>
      </c>
      <c r="F578" s="24">
        <v>67.02</v>
      </c>
      <c r="G578" s="24">
        <v>0.13</v>
      </c>
      <c r="H578" s="24" t="s">
        <v>6667</v>
      </c>
      <c r="I578" s="24">
        <v>26.0</v>
      </c>
      <c r="J578" s="24">
        <v>0.0</v>
      </c>
    </row>
    <row r="579">
      <c r="A579" s="24">
        <v>411.0</v>
      </c>
      <c r="B579" s="24">
        <v>4.0</v>
      </c>
      <c r="C579" s="44">
        <v>12.49</v>
      </c>
      <c r="D579" s="46">
        <v>44716.0</v>
      </c>
      <c r="E579" s="24">
        <v>3.12</v>
      </c>
      <c r="F579" s="24">
        <v>30.39</v>
      </c>
      <c r="G579" s="24">
        <v>0.97</v>
      </c>
      <c r="H579" s="24" t="s">
        <v>6664</v>
      </c>
      <c r="I579" s="24">
        <v>6.24</v>
      </c>
      <c r="J579" s="24">
        <v>0.0</v>
      </c>
    </row>
    <row r="580">
      <c r="A580" s="24">
        <v>436.0</v>
      </c>
      <c r="B580" s="24">
        <v>2.0</v>
      </c>
      <c r="C580" s="44">
        <v>34.39</v>
      </c>
      <c r="D580" s="46">
        <v>44716.0</v>
      </c>
      <c r="E580" s="24">
        <v>17.2</v>
      </c>
      <c r="F580" s="24">
        <v>78.88</v>
      </c>
      <c r="G580" s="24">
        <v>0.46</v>
      </c>
      <c r="H580" s="24" t="s">
        <v>6672</v>
      </c>
      <c r="I580" s="24" t="s">
        <v>6650</v>
      </c>
      <c r="J580" s="24">
        <v>0.0</v>
      </c>
    </row>
    <row r="581">
      <c r="A581" s="24">
        <v>742.0</v>
      </c>
      <c r="B581" s="24">
        <v>6.0</v>
      </c>
      <c r="C581" s="44">
        <v>39.16</v>
      </c>
      <c r="D581" s="46">
        <v>44716.0</v>
      </c>
      <c r="E581" s="24">
        <v>6.53</v>
      </c>
      <c r="F581" s="24">
        <v>52.78</v>
      </c>
      <c r="G581" s="24">
        <v>0.81</v>
      </c>
      <c r="H581" s="24" t="s">
        <v>6670</v>
      </c>
      <c r="I581" s="24">
        <v>9.79</v>
      </c>
      <c r="J581" s="24">
        <v>0.0</v>
      </c>
    </row>
    <row r="582">
      <c r="A582" s="24">
        <v>629.0</v>
      </c>
      <c r="B582" s="24">
        <v>12.0</v>
      </c>
      <c r="C582" s="44">
        <v>24.52</v>
      </c>
      <c r="D582" s="46">
        <v>44716.0</v>
      </c>
      <c r="E582" s="24">
        <v>2.04</v>
      </c>
      <c r="F582" s="24">
        <v>38.98</v>
      </c>
      <c r="G582" s="24">
        <v>1.91</v>
      </c>
      <c r="H582" s="24" t="s">
        <v>6675</v>
      </c>
      <c r="I582" s="24">
        <v>8.17</v>
      </c>
      <c r="J582" s="24">
        <v>0.0</v>
      </c>
    </row>
    <row r="583">
      <c r="A583" s="24">
        <v>329.0</v>
      </c>
      <c r="B583" s="24">
        <v>4.0</v>
      </c>
      <c r="C583" s="44">
        <v>20.45</v>
      </c>
      <c r="D583" s="46">
        <v>44716.0</v>
      </c>
      <c r="E583" s="24">
        <v>5.11</v>
      </c>
      <c r="F583" s="24">
        <v>62.16</v>
      </c>
      <c r="G583" s="24">
        <v>1.22</v>
      </c>
      <c r="H583" s="24" t="s">
        <v>6666</v>
      </c>
      <c r="I583" s="24">
        <v>20.45</v>
      </c>
      <c r="J583" s="24">
        <v>0.0</v>
      </c>
    </row>
    <row r="584">
      <c r="A584" s="24">
        <v>634.0</v>
      </c>
      <c r="B584" s="24">
        <v>10.0</v>
      </c>
      <c r="C584" s="44">
        <v>21.66</v>
      </c>
      <c r="D584" s="46">
        <v>44716.0</v>
      </c>
      <c r="E584" s="24">
        <v>2.17</v>
      </c>
      <c r="F584" s="24">
        <v>34.16</v>
      </c>
      <c r="G584" s="24">
        <v>1.58</v>
      </c>
      <c r="H584" s="24" t="s">
        <v>6674</v>
      </c>
      <c r="I584" s="24">
        <v>3.09</v>
      </c>
      <c r="J584" s="24">
        <v>0.0</v>
      </c>
    </row>
    <row r="585">
      <c r="A585" s="24">
        <v>363.0</v>
      </c>
      <c r="B585" s="24">
        <v>9.0</v>
      </c>
      <c r="C585" s="44">
        <v>16.66</v>
      </c>
      <c r="D585" s="46">
        <v>44716.0</v>
      </c>
      <c r="E585" s="24">
        <v>1.85</v>
      </c>
      <c r="F585" s="24">
        <v>45.9</v>
      </c>
      <c r="G585" s="24">
        <v>2.48</v>
      </c>
      <c r="H585" s="24" t="s">
        <v>6671</v>
      </c>
      <c r="I585" s="24">
        <v>5.55</v>
      </c>
      <c r="J585" s="24">
        <v>0.0</v>
      </c>
    </row>
    <row r="586">
      <c r="A586" s="24">
        <v>523.0</v>
      </c>
      <c r="B586" s="24">
        <v>6.0</v>
      </c>
      <c r="C586" s="44">
        <v>32.84</v>
      </c>
      <c r="D586" s="46">
        <v>44716.0</v>
      </c>
      <c r="E586" s="24">
        <v>5.47</v>
      </c>
      <c r="F586" s="24">
        <v>62.79</v>
      </c>
      <c r="G586" s="24">
        <v>1.15</v>
      </c>
      <c r="H586" s="24" t="s">
        <v>6677</v>
      </c>
      <c r="I586" s="24">
        <v>32.84</v>
      </c>
      <c r="J586" s="24">
        <v>0.0</v>
      </c>
    </row>
    <row r="587">
      <c r="A587" s="24">
        <v>556.0</v>
      </c>
      <c r="B587" s="24">
        <v>4.0</v>
      </c>
      <c r="C587" s="44">
        <v>53.49</v>
      </c>
      <c r="D587" s="46">
        <v>44716.0</v>
      </c>
      <c r="E587" s="24">
        <v>13.37</v>
      </c>
      <c r="F587" s="24">
        <v>96.21</v>
      </c>
      <c r="G587" s="24">
        <v>0.72</v>
      </c>
      <c r="H587" s="24" t="s">
        <v>6665</v>
      </c>
      <c r="I587" s="24">
        <v>17.83</v>
      </c>
      <c r="J587" s="24">
        <v>0.0</v>
      </c>
    </row>
    <row r="588">
      <c r="A588" s="24">
        <v>1875.0</v>
      </c>
      <c r="B588" s="24">
        <v>23.0</v>
      </c>
      <c r="C588" s="44">
        <v>16.81</v>
      </c>
      <c r="D588" s="46">
        <v>44716.0</v>
      </c>
      <c r="E588" s="24">
        <v>0.73</v>
      </c>
      <c r="F588" s="24">
        <v>8.97</v>
      </c>
      <c r="G588" s="24">
        <v>1.23</v>
      </c>
      <c r="H588" s="24" t="s">
        <v>6662</v>
      </c>
      <c r="I588" s="24">
        <v>1.29</v>
      </c>
      <c r="J588" s="24">
        <v>0.0</v>
      </c>
    </row>
    <row r="589">
      <c r="A589" s="24">
        <v>327.0</v>
      </c>
      <c r="B589" s="24">
        <v>0.0</v>
      </c>
      <c r="C589" s="44">
        <v>24.61</v>
      </c>
      <c r="D589" s="46">
        <v>44716.0</v>
      </c>
      <c r="E589" s="24" t="s">
        <v>6650</v>
      </c>
      <c r="F589" s="24">
        <v>75.26</v>
      </c>
      <c r="G589" s="24">
        <v>0.0</v>
      </c>
      <c r="H589" s="24" t="s">
        <v>6668</v>
      </c>
      <c r="I589" s="24">
        <v>24.61</v>
      </c>
      <c r="J589" s="24">
        <v>0.0</v>
      </c>
    </row>
    <row r="590">
      <c r="A590" s="24">
        <v>579.0</v>
      </c>
      <c r="B590" s="24">
        <v>0.0</v>
      </c>
      <c r="C590" s="44">
        <v>29.12</v>
      </c>
      <c r="D590" s="46">
        <v>44716.0</v>
      </c>
      <c r="E590" s="24" t="s">
        <v>6650</v>
      </c>
      <c r="F590" s="24">
        <v>50.29</v>
      </c>
      <c r="G590" s="24">
        <v>0.0</v>
      </c>
      <c r="H590" s="24" t="s">
        <v>6676</v>
      </c>
      <c r="I590" s="24">
        <v>29.12</v>
      </c>
      <c r="J590" s="24">
        <v>0.0</v>
      </c>
    </row>
    <row r="591">
      <c r="A591" s="24">
        <v>911.0</v>
      </c>
      <c r="B591" s="24">
        <v>4.0</v>
      </c>
      <c r="C591" s="44">
        <v>29.08</v>
      </c>
      <c r="D591" s="46">
        <v>44716.0</v>
      </c>
      <c r="E591" s="24">
        <v>7.27</v>
      </c>
      <c r="F591" s="24">
        <v>31.92</v>
      </c>
      <c r="G591" s="24">
        <v>0.44</v>
      </c>
      <c r="H591" s="24" t="s">
        <v>6673</v>
      </c>
      <c r="I591" s="24">
        <v>7.27</v>
      </c>
      <c r="J591" s="24">
        <v>0.0</v>
      </c>
    </row>
    <row r="592">
      <c r="A592" s="24">
        <v>1409.0</v>
      </c>
      <c r="B592" s="24">
        <v>3.0</v>
      </c>
      <c r="C592" s="44">
        <v>11.19</v>
      </c>
      <c r="D592" s="46">
        <v>44716.0</v>
      </c>
      <c r="E592" s="24">
        <v>3.73</v>
      </c>
      <c r="F592" s="24">
        <v>7.94</v>
      </c>
      <c r="G592" s="24">
        <v>0.21</v>
      </c>
      <c r="H592" s="24" t="s">
        <v>6660</v>
      </c>
      <c r="I592" s="24">
        <v>11.19</v>
      </c>
      <c r="J592" s="24">
        <v>0.0</v>
      </c>
    </row>
    <row r="593">
      <c r="A593" s="24">
        <v>242.0</v>
      </c>
      <c r="B593" s="24">
        <v>1.0</v>
      </c>
      <c r="C593" s="44">
        <v>13.1</v>
      </c>
      <c r="D593" s="46">
        <v>44717.0</v>
      </c>
      <c r="E593" s="24">
        <v>13.1</v>
      </c>
      <c r="F593" s="24">
        <v>54.13</v>
      </c>
      <c r="G593" s="24">
        <v>0.41</v>
      </c>
      <c r="H593" s="24" t="s">
        <v>6671</v>
      </c>
      <c r="I593" s="24">
        <v>2.62</v>
      </c>
      <c r="J593" s="24">
        <v>0.0</v>
      </c>
    </row>
    <row r="594">
      <c r="A594" s="24">
        <v>510.0</v>
      </c>
      <c r="B594" s="24">
        <v>1.0</v>
      </c>
      <c r="C594" s="44">
        <v>38.22</v>
      </c>
      <c r="D594" s="46">
        <v>44717.0</v>
      </c>
      <c r="E594" s="24">
        <v>38.22</v>
      </c>
      <c r="F594" s="24">
        <v>74.94</v>
      </c>
      <c r="G594" s="24">
        <v>0.2</v>
      </c>
      <c r="H594" s="24" t="s">
        <v>6667</v>
      </c>
      <c r="I594" s="24">
        <v>19.11</v>
      </c>
      <c r="J594" s="24">
        <v>0.0</v>
      </c>
    </row>
    <row r="595">
      <c r="A595" s="24">
        <v>410.0</v>
      </c>
      <c r="B595" s="24">
        <v>11.0</v>
      </c>
      <c r="C595" s="44">
        <v>11.38</v>
      </c>
      <c r="D595" s="46">
        <v>44717.0</v>
      </c>
      <c r="E595" s="24">
        <v>1.03</v>
      </c>
      <c r="F595" s="24">
        <v>27.76</v>
      </c>
      <c r="G595" s="24">
        <v>2.68</v>
      </c>
      <c r="H595" s="24" t="s">
        <v>6664</v>
      </c>
      <c r="I595" s="24">
        <v>1.9</v>
      </c>
      <c r="J595" s="24">
        <v>0.0</v>
      </c>
    </row>
    <row r="596">
      <c r="A596" s="24">
        <v>287.0</v>
      </c>
      <c r="B596" s="24">
        <v>2.0</v>
      </c>
      <c r="C596" s="44">
        <v>18.48</v>
      </c>
      <c r="D596" s="46">
        <v>44717.0</v>
      </c>
      <c r="E596" s="24">
        <v>9.24</v>
      </c>
      <c r="F596" s="24">
        <v>64.39</v>
      </c>
      <c r="G596" s="24">
        <v>0.7</v>
      </c>
      <c r="H596" s="24" t="s">
        <v>6668</v>
      </c>
      <c r="I596" s="24">
        <v>6.16</v>
      </c>
      <c r="J596" s="24">
        <v>0.0</v>
      </c>
    </row>
    <row r="597">
      <c r="A597" s="24">
        <v>539.0</v>
      </c>
      <c r="B597" s="24">
        <v>5.0</v>
      </c>
      <c r="C597" s="44">
        <v>30.22</v>
      </c>
      <c r="D597" s="46">
        <v>44717.0</v>
      </c>
      <c r="E597" s="24">
        <v>6.04</v>
      </c>
      <c r="F597" s="24">
        <v>56.07</v>
      </c>
      <c r="G597" s="24">
        <v>0.93</v>
      </c>
      <c r="H597" s="24" t="s">
        <v>6672</v>
      </c>
      <c r="I597" s="24">
        <v>5.04</v>
      </c>
      <c r="J597" s="24">
        <v>0.0</v>
      </c>
    </row>
    <row r="598">
      <c r="A598" s="24">
        <v>426.0</v>
      </c>
      <c r="B598" s="24">
        <v>0.0</v>
      </c>
      <c r="C598" s="44">
        <v>26.22</v>
      </c>
      <c r="D598" s="46">
        <v>44717.0</v>
      </c>
      <c r="E598" s="24" t="s">
        <v>6650</v>
      </c>
      <c r="F598" s="24">
        <v>61.55</v>
      </c>
      <c r="G598" s="24">
        <v>0.0</v>
      </c>
      <c r="H598" s="24" t="s">
        <v>6676</v>
      </c>
      <c r="I598" s="24">
        <v>26.22</v>
      </c>
      <c r="J598" s="24">
        <v>0.0</v>
      </c>
    </row>
    <row r="599">
      <c r="A599" s="24">
        <v>298.0</v>
      </c>
      <c r="B599" s="24">
        <v>6.0</v>
      </c>
      <c r="C599" s="44">
        <v>18.48</v>
      </c>
      <c r="D599" s="46">
        <v>44717.0</v>
      </c>
      <c r="E599" s="24">
        <v>3.08</v>
      </c>
      <c r="F599" s="24">
        <v>62.01</v>
      </c>
      <c r="G599" s="24">
        <v>2.01</v>
      </c>
      <c r="H599" s="24" t="s">
        <v>6666</v>
      </c>
      <c r="I599" s="24">
        <v>3.7</v>
      </c>
      <c r="J599" s="24">
        <v>0.0</v>
      </c>
    </row>
    <row r="600">
      <c r="A600" s="24">
        <v>435.0</v>
      </c>
      <c r="B600" s="24">
        <v>8.0</v>
      </c>
      <c r="C600" s="44">
        <v>16.64</v>
      </c>
      <c r="D600" s="46">
        <v>44717.0</v>
      </c>
      <c r="E600" s="24">
        <v>2.08</v>
      </c>
      <c r="F600" s="24">
        <v>38.25</v>
      </c>
      <c r="G600" s="24">
        <v>1.84</v>
      </c>
      <c r="H600" s="24" t="s">
        <v>6675</v>
      </c>
      <c r="I600" s="24">
        <v>3.33</v>
      </c>
      <c r="J600" s="24">
        <v>0.0</v>
      </c>
    </row>
    <row r="601">
      <c r="A601" s="24">
        <v>408.0</v>
      </c>
      <c r="B601" s="24">
        <v>3.0</v>
      </c>
      <c r="C601" s="44">
        <v>36.87</v>
      </c>
      <c r="D601" s="46">
        <v>44717.0</v>
      </c>
      <c r="E601" s="24">
        <v>12.29</v>
      </c>
      <c r="F601" s="24">
        <v>90.37</v>
      </c>
      <c r="G601" s="24">
        <v>0.74</v>
      </c>
      <c r="H601" s="24" t="s">
        <v>6665</v>
      </c>
      <c r="I601" s="24">
        <v>12.29</v>
      </c>
      <c r="J601" s="24">
        <v>0.0</v>
      </c>
    </row>
    <row r="602">
      <c r="A602" s="24">
        <v>622.0</v>
      </c>
      <c r="B602" s="24">
        <v>12.0</v>
      </c>
      <c r="C602" s="44">
        <v>27.33</v>
      </c>
      <c r="D602" s="46">
        <v>44717.0</v>
      </c>
      <c r="E602" s="24">
        <v>2.28</v>
      </c>
      <c r="F602" s="24">
        <v>43.94</v>
      </c>
      <c r="G602" s="24">
        <v>1.93</v>
      </c>
      <c r="H602" s="24" t="s">
        <v>6670</v>
      </c>
      <c r="I602" s="24">
        <v>3.42</v>
      </c>
      <c r="J602" s="24">
        <v>0.0</v>
      </c>
    </row>
    <row r="603">
      <c r="A603" s="24">
        <v>1523.0</v>
      </c>
      <c r="B603" s="24">
        <v>20.0</v>
      </c>
      <c r="C603" s="44">
        <v>14.61</v>
      </c>
      <c r="D603" s="46">
        <v>44717.0</v>
      </c>
      <c r="E603" s="24">
        <v>0.73</v>
      </c>
      <c r="F603" s="24">
        <v>9.59</v>
      </c>
      <c r="G603" s="24">
        <v>1.31</v>
      </c>
      <c r="H603" s="24" t="s">
        <v>6662</v>
      </c>
      <c r="I603" s="24">
        <v>0.91</v>
      </c>
      <c r="J603" s="24">
        <v>0.0</v>
      </c>
    </row>
    <row r="604">
      <c r="A604" s="24">
        <v>1324.0</v>
      </c>
      <c r="B604" s="24">
        <v>4.0</v>
      </c>
      <c r="C604" s="44">
        <v>9.81</v>
      </c>
      <c r="D604" s="46">
        <v>44717.0</v>
      </c>
      <c r="E604" s="24">
        <v>2.45</v>
      </c>
      <c r="F604" s="24">
        <v>7.41</v>
      </c>
      <c r="G604" s="24">
        <v>0.3</v>
      </c>
      <c r="H604" s="24" t="s">
        <v>6660</v>
      </c>
      <c r="I604" s="24">
        <v>1.64</v>
      </c>
      <c r="J604" s="24">
        <v>0.0</v>
      </c>
    </row>
    <row r="605">
      <c r="A605" s="24">
        <v>537.0</v>
      </c>
      <c r="B605" s="24">
        <v>0.0</v>
      </c>
      <c r="C605" s="44">
        <v>25.6</v>
      </c>
      <c r="D605" s="46">
        <v>44717.0</v>
      </c>
      <c r="E605" s="24" t="s">
        <v>6650</v>
      </c>
      <c r="F605" s="24">
        <v>47.67</v>
      </c>
      <c r="G605" s="24">
        <v>0.0</v>
      </c>
      <c r="H605" s="24" t="s">
        <v>6673</v>
      </c>
      <c r="I605" s="24">
        <v>3.66</v>
      </c>
      <c r="J605" s="24">
        <v>0.0</v>
      </c>
    </row>
    <row r="606">
      <c r="A606" s="24">
        <v>337.0</v>
      </c>
      <c r="B606" s="24">
        <v>9.0</v>
      </c>
      <c r="C606" s="44">
        <v>22.38</v>
      </c>
      <c r="D606" s="46">
        <v>44717.0</v>
      </c>
      <c r="E606" s="24">
        <v>2.49</v>
      </c>
      <c r="F606" s="24">
        <v>66.41</v>
      </c>
      <c r="G606" s="24">
        <v>2.67</v>
      </c>
      <c r="H606" s="24" t="s">
        <v>6677</v>
      </c>
      <c r="I606" s="24">
        <v>11.19</v>
      </c>
      <c r="J606" s="24">
        <v>0.0</v>
      </c>
    </row>
    <row r="607">
      <c r="A607" s="24">
        <v>1267.0</v>
      </c>
      <c r="B607" s="24">
        <v>14.0</v>
      </c>
      <c r="C607" s="44">
        <v>30.6</v>
      </c>
      <c r="D607" s="46">
        <v>44717.0</v>
      </c>
      <c r="E607" s="24">
        <v>2.19</v>
      </c>
      <c r="F607" s="24">
        <v>24.15</v>
      </c>
      <c r="G607" s="24">
        <v>1.1</v>
      </c>
      <c r="H607" s="24" t="s">
        <v>6669</v>
      </c>
      <c r="I607" s="24">
        <v>2.55</v>
      </c>
      <c r="J607" s="24">
        <v>0.0</v>
      </c>
    </row>
    <row r="608">
      <c r="A608" s="24">
        <v>610.0</v>
      </c>
      <c r="B608" s="24">
        <v>4.0</v>
      </c>
      <c r="C608" s="44">
        <v>21.65</v>
      </c>
      <c r="D608" s="46">
        <v>44717.0</v>
      </c>
      <c r="E608" s="24">
        <v>5.41</v>
      </c>
      <c r="F608" s="24">
        <v>35.49</v>
      </c>
      <c r="G608" s="24">
        <v>0.66</v>
      </c>
      <c r="H608" s="24" t="s">
        <v>6674</v>
      </c>
      <c r="I608" s="24">
        <v>3.61</v>
      </c>
      <c r="J608" s="24">
        <v>0.0</v>
      </c>
    </row>
    <row r="609">
      <c r="A609" s="24">
        <v>704.0</v>
      </c>
      <c r="B609" s="24">
        <v>3.0</v>
      </c>
      <c r="C609" s="44">
        <v>52.07</v>
      </c>
      <c r="D609" s="46">
        <v>44718.0</v>
      </c>
      <c r="E609" s="24">
        <v>17.36</v>
      </c>
      <c r="F609" s="24">
        <v>73.96</v>
      </c>
      <c r="G609" s="24">
        <v>0.43</v>
      </c>
      <c r="H609" s="24" t="s">
        <v>6672</v>
      </c>
      <c r="I609" s="24">
        <v>17.36</v>
      </c>
      <c r="J609" s="24">
        <v>0.0</v>
      </c>
    </row>
    <row r="610">
      <c r="A610" s="24">
        <v>1311.0</v>
      </c>
      <c r="B610" s="24">
        <v>18.0</v>
      </c>
      <c r="C610" s="44">
        <v>66.03</v>
      </c>
      <c r="D610" s="46">
        <v>44718.0</v>
      </c>
      <c r="E610" s="24">
        <v>3.67</v>
      </c>
      <c r="F610" s="24">
        <v>50.37</v>
      </c>
      <c r="G610" s="24">
        <v>1.37</v>
      </c>
      <c r="H610" s="24" t="s">
        <v>6670</v>
      </c>
      <c r="I610" s="24">
        <v>7.34</v>
      </c>
      <c r="J610" s="24">
        <v>0.0</v>
      </c>
    </row>
    <row r="611">
      <c r="A611" s="24">
        <v>1107.0</v>
      </c>
      <c r="B611" s="24">
        <v>0.0</v>
      </c>
      <c r="C611" s="44">
        <v>40.43</v>
      </c>
      <c r="D611" s="46">
        <v>44718.0</v>
      </c>
      <c r="E611" s="24" t="s">
        <v>6650</v>
      </c>
      <c r="F611" s="24">
        <v>36.52</v>
      </c>
      <c r="G611" s="24">
        <v>0.0</v>
      </c>
      <c r="H611" s="24" t="s">
        <v>6676</v>
      </c>
      <c r="I611" s="24">
        <v>40.43</v>
      </c>
      <c r="J611" s="24">
        <v>0.0</v>
      </c>
    </row>
    <row r="612">
      <c r="A612" s="24">
        <v>3086.0</v>
      </c>
      <c r="B612" s="24">
        <v>15.0</v>
      </c>
      <c r="C612" s="44">
        <v>53.84</v>
      </c>
      <c r="D612" s="46">
        <v>44718.0</v>
      </c>
      <c r="E612" s="24">
        <v>3.59</v>
      </c>
      <c r="F612" s="24">
        <v>17.45</v>
      </c>
      <c r="G612" s="24">
        <v>0.49</v>
      </c>
      <c r="H612" s="24" t="s">
        <v>6669</v>
      </c>
      <c r="I612" s="24">
        <v>4.89</v>
      </c>
      <c r="J612" s="24">
        <v>0.0</v>
      </c>
    </row>
    <row r="613">
      <c r="A613" s="24">
        <v>904.0</v>
      </c>
      <c r="B613" s="24">
        <v>16.0</v>
      </c>
      <c r="C613" s="44">
        <v>36.22</v>
      </c>
      <c r="D613" s="46">
        <v>44718.0</v>
      </c>
      <c r="E613" s="24">
        <v>2.26</v>
      </c>
      <c r="F613" s="24">
        <v>40.07</v>
      </c>
      <c r="G613" s="24">
        <v>1.77</v>
      </c>
      <c r="H613" s="24" t="s">
        <v>6675</v>
      </c>
      <c r="I613" s="24">
        <v>7.24</v>
      </c>
      <c r="J613" s="24">
        <v>0.0</v>
      </c>
    </row>
    <row r="614">
      <c r="A614" s="24">
        <v>1027.0</v>
      </c>
      <c r="B614" s="24">
        <v>13.0</v>
      </c>
      <c r="C614" s="44">
        <v>74.56</v>
      </c>
      <c r="D614" s="46">
        <v>44718.0</v>
      </c>
      <c r="E614" s="24">
        <v>5.74</v>
      </c>
      <c r="F614" s="24">
        <v>72.6</v>
      </c>
      <c r="G614" s="24">
        <v>1.27</v>
      </c>
      <c r="H614" s="24" t="s">
        <v>6665</v>
      </c>
      <c r="I614" s="24">
        <v>18.64</v>
      </c>
      <c r="J614" s="24">
        <v>0.0</v>
      </c>
    </row>
    <row r="615">
      <c r="A615" s="24">
        <v>588.0</v>
      </c>
      <c r="B615" s="24">
        <v>6.0</v>
      </c>
      <c r="C615" s="44">
        <v>25.55</v>
      </c>
      <c r="D615" s="46">
        <v>44718.0</v>
      </c>
      <c r="E615" s="24">
        <v>4.26</v>
      </c>
      <c r="F615" s="24">
        <v>43.45</v>
      </c>
      <c r="G615" s="24">
        <v>1.02</v>
      </c>
      <c r="H615" s="24" t="s">
        <v>6671</v>
      </c>
      <c r="I615" s="24">
        <v>4.26</v>
      </c>
      <c r="J615" s="24">
        <v>0.0</v>
      </c>
    </row>
    <row r="616">
      <c r="A616" s="24">
        <v>2687.0</v>
      </c>
      <c r="B616" s="24">
        <v>10.0</v>
      </c>
      <c r="C616" s="44">
        <v>20.94</v>
      </c>
      <c r="D616" s="46">
        <v>44718.0</v>
      </c>
      <c r="E616" s="24">
        <v>2.09</v>
      </c>
      <c r="F616" s="24">
        <v>7.79</v>
      </c>
      <c r="G616" s="24">
        <v>0.37</v>
      </c>
      <c r="H616" s="24" t="s">
        <v>6660</v>
      </c>
      <c r="I616" s="24">
        <v>1.9</v>
      </c>
      <c r="J616" s="24">
        <v>0.0</v>
      </c>
    </row>
    <row r="617">
      <c r="A617" s="24">
        <v>552.0</v>
      </c>
      <c r="B617" s="24">
        <v>9.0</v>
      </c>
      <c r="C617" s="44">
        <v>35.95</v>
      </c>
      <c r="D617" s="46">
        <v>44718.0</v>
      </c>
      <c r="E617" s="24">
        <v>3.99</v>
      </c>
      <c r="F617" s="24">
        <v>65.13</v>
      </c>
      <c r="G617" s="24">
        <v>1.63</v>
      </c>
      <c r="H617" s="24" t="s">
        <v>6666</v>
      </c>
      <c r="I617" s="24">
        <v>8.99</v>
      </c>
      <c r="J617" s="24">
        <v>0.0</v>
      </c>
    </row>
    <row r="618">
      <c r="A618" s="24">
        <v>1582.0</v>
      </c>
      <c r="B618" s="24">
        <v>2.0</v>
      </c>
      <c r="C618" s="44">
        <v>72.71</v>
      </c>
      <c r="D618" s="46">
        <v>44718.0</v>
      </c>
      <c r="E618" s="24">
        <v>36.35</v>
      </c>
      <c r="F618" s="24">
        <v>45.96</v>
      </c>
      <c r="G618" s="24">
        <v>0.13</v>
      </c>
      <c r="H618" s="24" t="s">
        <v>6667</v>
      </c>
      <c r="I618" s="24">
        <v>18.18</v>
      </c>
      <c r="J618" s="24">
        <v>0.0</v>
      </c>
    </row>
    <row r="619">
      <c r="A619" s="24">
        <v>635.0</v>
      </c>
      <c r="B619" s="24">
        <v>4.0</v>
      </c>
      <c r="C619" s="44">
        <v>43.26</v>
      </c>
      <c r="D619" s="46">
        <v>44718.0</v>
      </c>
      <c r="E619" s="24">
        <v>10.82</v>
      </c>
      <c r="F619" s="24">
        <v>68.13</v>
      </c>
      <c r="G619" s="24">
        <v>0.63</v>
      </c>
      <c r="H619" s="24" t="s">
        <v>6677</v>
      </c>
      <c r="I619" s="24">
        <v>10.82</v>
      </c>
      <c r="J619" s="24">
        <v>0.0</v>
      </c>
    </row>
    <row r="620">
      <c r="A620" s="24">
        <v>1395.0</v>
      </c>
      <c r="B620" s="24">
        <v>1.0</v>
      </c>
      <c r="C620" s="44">
        <v>41.07</v>
      </c>
      <c r="D620" s="46">
        <v>44718.0</v>
      </c>
      <c r="E620" s="24">
        <v>41.07</v>
      </c>
      <c r="F620" s="24">
        <v>29.44</v>
      </c>
      <c r="G620" s="24">
        <v>0.07</v>
      </c>
      <c r="H620" s="24" t="s">
        <v>6673</v>
      </c>
      <c r="I620" s="24">
        <v>6.84</v>
      </c>
      <c r="J620" s="24">
        <v>0.0</v>
      </c>
    </row>
    <row r="621">
      <c r="A621" s="24">
        <v>673.0</v>
      </c>
      <c r="B621" s="24">
        <v>6.0</v>
      </c>
      <c r="C621" s="44">
        <v>23.52</v>
      </c>
      <c r="D621" s="46">
        <v>44718.0</v>
      </c>
      <c r="E621" s="24">
        <v>3.92</v>
      </c>
      <c r="F621" s="24">
        <v>34.95</v>
      </c>
      <c r="G621" s="24">
        <v>0.89</v>
      </c>
      <c r="H621" s="24" t="s">
        <v>6664</v>
      </c>
      <c r="I621" s="24">
        <v>5.88</v>
      </c>
      <c r="J621" s="24">
        <v>0.0</v>
      </c>
    </row>
    <row r="622">
      <c r="A622" s="24">
        <v>2945.0</v>
      </c>
      <c r="B622" s="24">
        <v>37.0</v>
      </c>
      <c r="C622" s="44">
        <v>32.4</v>
      </c>
      <c r="D622" s="46">
        <v>44718.0</v>
      </c>
      <c r="E622" s="24">
        <v>0.88</v>
      </c>
      <c r="F622" s="24">
        <v>11.0</v>
      </c>
      <c r="G622" s="24">
        <v>1.26</v>
      </c>
      <c r="H622" s="24" t="s">
        <v>6662</v>
      </c>
      <c r="I622" s="24">
        <v>1.12</v>
      </c>
      <c r="J622" s="24">
        <v>0.0</v>
      </c>
    </row>
    <row r="623">
      <c r="A623" s="24">
        <v>697.0</v>
      </c>
      <c r="B623" s="24">
        <v>4.0</v>
      </c>
      <c r="C623" s="44">
        <v>19.75</v>
      </c>
      <c r="D623" s="46">
        <v>44718.0</v>
      </c>
      <c r="E623" s="24">
        <v>4.94</v>
      </c>
      <c r="F623" s="24">
        <v>28.34</v>
      </c>
      <c r="G623" s="24">
        <v>0.57</v>
      </c>
      <c r="H623" s="24" t="s">
        <v>6674</v>
      </c>
      <c r="I623" s="24">
        <v>1.98</v>
      </c>
      <c r="J623" s="24">
        <v>0.0</v>
      </c>
    </row>
    <row r="624">
      <c r="A624" s="24">
        <v>516.0</v>
      </c>
      <c r="B624" s="24">
        <v>1.0</v>
      </c>
      <c r="C624" s="44">
        <v>36.57</v>
      </c>
      <c r="D624" s="46">
        <v>44718.0</v>
      </c>
      <c r="E624" s="24">
        <v>36.57</v>
      </c>
      <c r="F624" s="24">
        <v>70.87</v>
      </c>
      <c r="G624" s="24">
        <v>0.19</v>
      </c>
      <c r="H624" s="24" t="s">
        <v>6668</v>
      </c>
      <c r="I624" s="24">
        <v>9.14</v>
      </c>
      <c r="J624" s="24">
        <v>0.0</v>
      </c>
    </row>
    <row r="625">
      <c r="A625" s="24">
        <v>3443.0</v>
      </c>
      <c r="B625" s="24">
        <v>24.0</v>
      </c>
      <c r="C625" s="44">
        <v>38.62</v>
      </c>
      <c r="D625" s="46">
        <v>44719.0</v>
      </c>
      <c r="E625" s="24">
        <v>1.61</v>
      </c>
      <c r="F625" s="24">
        <v>11.22</v>
      </c>
      <c r="G625" s="24">
        <v>0.7</v>
      </c>
      <c r="H625" s="24" t="s">
        <v>6662</v>
      </c>
      <c r="I625" s="24">
        <v>2.97</v>
      </c>
      <c r="J625" s="24">
        <v>0.0</v>
      </c>
    </row>
    <row r="626">
      <c r="A626" s="24">
        <v>660.0</v>
      </c>
      <c r="B626" s="24">
        <v>3.0</v>
      </c>
      <c r="C626" s="44">
        <v>23.3</v>
      </c>
      <c r="D626" s="46">
        <v>44719.0</v>
      </c>
      <c r="E626" s="24">
        <v>7.77</v>
      </c>
      <c r="F626" s="24">
        <v>35.3</v>
      </c>
      <c r="G626" s="24">
        <v>0.45</v>
      </c>
      <c r="H626" s="24" t="s">
        <v>6674</v>
      </c>
      <c r="I626" s="24">
        <v>5.82</v>
      </c>
      <c r="J626" s="24">
        <v>0.0</v>
      </c>
    </row>
    <row r="627">
      <c r="A627" s="24">
        <v>1019.0</v>
      </c>
      <c r="B627" s="24">
        <v>2.0</v>
      </c>
      <c r="C627" s="44">
        <v>49.12</v>
      </c>
      <c r="D627" s="46">
        <v>44719.0</v>
      </c>
      <c r="E627" s="24">
        <v>24.56</v>
      </c>
      <c r="F627" s="24">
        <v>48.2</v>
      </c>
      <c r="G627" s="24">
        <v>0.2</v>
      </c>
      <c r="H627" s="24" t="s">
        <v>6673</v>
      </c>
      <c r="I627" s="24">
        <v>12.28</v>
      </c>
      <c r="J627" s="24">
        <v>0.0</v>
      </c>
    </row>
    <row r="628">
      <c r="A628" s="24">
        <v>1241.0</v>
      </c>
      <c r="B628" s="24">
        <v>17.0</v>
      </c>
      <c r="C628" s="44">
        <v>89.99</v>
      </c>
      <c r="D628" s="46">
        <v>44719.0</v>
      </c>
      <c r="E628" s="24">
        <v>5.29</v>
      </c>
      <c r="F628" s="24">
        <v>72.51</v>
      </c>
      <c r="G628" s="24">
        <v>1.37</v>
      </c>
      <c r="H628" s="24" t="s">
        <v>6665</v>
      </c>
      <c r="I628" s="24">
        <v>11.25</v>
      </c>
      <c r="J628" s="24">
        <v>0.0</v>
      </c>
    </row>
    <row r="629">
      <c r="A629" s="24">
        <v>1562.0</v>
      </c>
      <c r="B629" s="24">
        <v>1.0</v>
      </c>
      <c r="C629" s="44">
        <v>86.03</v>
      </c>
      <c r="D629" s="46">
        <v>44719.0</v>
      </c>
      <c r="E629" s="24">
        <v>86.03</v>
      </c>
      <c r="F629" s="24">
        <v>55.08</v>
      </c>
      <c r="G629" s="24">
        <v>0.06</v>
      </c>
      <c r="H629" s="24" t="s">
        <v>6667</v>
      </c>
      <c r="I629" s="24">
        <v>21.51</v>
      </c>
      <c r="J629" s="24">
        <v>0.0</v>
      </c>
    </row>
    <row r="630">
      <c r="A630" s="24">
        <v>1249.0</v>
      </c>
      <c r="B630" s="24">
        <v>13.0</v>
      </c>
      <c r="C630" s="44">
        <v>64.11</v>
      </c>
      <c r="D630" s="46">
        <v>44719.0</v>
      </c>
      <c r="E630" s="24">
        <v>4.93</v>
      </c>
      <c r="F630" s="24">
        <v>51.33</v>
      </c>
      <c r="G630" s="24">
        <v>1.04</v>
      </c>
      <c r="H630" s="24" t="s">
        <v>6670</v>
      </c>
      <c r="I630" s="24">
        <v>5.34</v>
      </c>
      <c r="J630" s="24">
        <v>0.0</v>
      </c>
    </row>
    <row r="631">
      <c r="A631" s="24">
        <v>2110.0</v>
      </c>
      <c r="B631" s="24">
        <v>10.0</v>
      </c>
      <c r="C631" s="44">
        <v>25.38</v>
      </c>
      <c r="D631" s="46">
        <v>44719.0</v>
      </c>
      <c r="E631" s="24">
        <v>2.54</v>
      </c>
      <c r="F631" s="24">
        <v>12.03</v>
      </c>
      <c r="G631" s="24">
        <v>0.47</v>
      </c>
      <c r="H631" s="24" t="s">
        <v>6660</v>
      </c>
      <c r="I631" s="24">
        <v>1.27</v>
      </c>
      <c r="J631" s="24">
        <v>0.0</v>
      </c>
    </row>
    <row r="632">
      <c r="A632" s="24">
        <v>706.0</v>
      </c>
      <c r="B632" s="24">
        <v>4.0</v>
      </c>
      <c r="C632" s="44">
        <v>25.37</v>
      </c>
      <c r="D632" s="46">
        <v>44719.0</v>
      </c>
      <c r="E632" s="24">
        <v>6.34</v>
      </c>
      <c r="F632" s="24">
        <v>35.93</v>
      </c>
      <c r="G632" s="24">
        <v>0.57</v>
      </c>
      <c r="H632" s="24" t="s">
        <v>6671</v>
      </c>
      <c r="I632" s="24">
        <v>3.62</v>
      </c>
      <c r="J632" s="24">
        <v>0.0</v>
      </c>
    </row>
    <row r="633">
      <c r="A633" s="24">
        <v>972.0</v>
      </c>
      <c r="B633" s="24">
        <v>2.0</v>
      </c>
      <c r="C633" s="44">
        <v>48.9</v>
      </c>
      <c r="D633" s="46">
        <v>44719.0</v>
      </c>
      <c r="E633" s="24">
        <v>24.45</v>
      </c>
      <c r="F633" s="24">
        <v>50.31</v>
      </c>
      <c r="G633" s="24">
        <v>0.21</v>
      </c>
      <c r="H633" s="24" t="s">
        <v>6676</v>
      </c>
      <c r="I633" s="24">
        <v>9.78</v>
      </c>
      <c r="J633" s="24">
        <v>0.0</v>
      </c>
    </row>
    <row r="634">
      <c r="A634" s="24">
        <v>659.0</v>
      </c>
      <c r="B634" s="24">
        <v>4.0</v>
      </c>
      <c r="C634" s="44">
        <v>37.99</v>
      </c>
      <c r="D634" s="46">
        <v>44719.0</v>
      </c>
      <c r="E634" s="24">
        <v>9.5</v>
      </c>
      <c r="F634" s="24">
        <v>57.65</v>
      </c>
      <c r="G634" s="24">
        <v>0.61</v>
      </c>
      <c r="H634" s="24" t="s">
        <v>6668</v>
      </c>
      <c r="I634" s="24">
        <v>7.6</v>
      </c>
      <c r="J634" s="24">
        <v>0.0</v>
      </c>
    </row>
    <row r="635">
      <c r="A635" s="24">
        <v>690.0</v>
      </c>
      <c r="B635" s="24">
        <v>7.0</v>
      </c>
      <c r="C635" s="44">
        <v>36.52</v>
      </c>
      <c r="D635" s="46">
        <v>44719.0</v>
      </c>
      <c r="E635" s="24">
        <v>5.22</v>
      </c>
      <c r="F635" s="24">
        <v>52.93</v>
      </c>
      <c r="G635" s="24">
        <v>1.01</v>
      </c>
      <c r="H635" s="24" t="s">
        <v>6675</v>
      </c>
      <c r="I635" s="24">
        <v>6.09</v>
      </c>
      <c r="J635" s="24">
        <v>0.0</v>
      </c>
    </row>
    <row r="636">
      <c r="A636" s="24">
        <v>2428.0</v>
      </c>
      <c r="B636" s="24">
        <v>10.0</v>
      </c>
      <c r="C636" s="44">
        <v>64.31</v>
      </c>
      <c r="D636" s="46">
        <v>44719.0</v>
      </c>
      <c r="E636" s="24">
        <v>6.43</v>
      </c>
      <c r="F636" s="24">
        <v>26.49</v>
      </c>
      <c r="G636" s="24">
        <v>0.41</v>
      </c>
      <c r="H636" s="24" t="s">
        <v>6669</v>
      </c>
      <c r="I636" s="24">
        <v>6.43</v>
      </c>
      <c r="J636" s="24">
        <v>0.0</v>
      </c>
    </row>
    <row r="637">
      <c r="A637" s="24">
        <v>1398.0</v>
      </c>
      <c r="B637" s="24">
        <v>4.0</v>
      </c>
      <c r="C637" s="44">
        <v>62.52</v>
      </c>
      <c r="D637" s="46">
        <v>44719.0</v>
      </c>
      <c r="E637" s="24">
        <v>15.63</v>
      </c>
      <c r="F637" s="24">
        <v>44.72</v>
      </c>
      <c r="G637" s="24">
        <v>0.29</v>
      </c>
      <c r="H637" s="24" t="s">
        <v>6672</v>
      </c>
      <c r="I637" s="24">
        <v>62.52</v>
      </c>
      <c r="J637" s="24">
        <v>0.0</v>
      </c>
    </row>
    <row r="638">
      <c r="A638" s="24">
        <v>663.0</v>
      </c>
      <c r="B638" s="24">
        <v>14.0</v>
      </c>
      <c r="C638" s="44">
        <v>25.19</v>
      </c>
      <c r="D638" s="46">
        <v>44719.0</v>
      </c>
      <c r="E638" s="24">
        <v>1.8</v>
      </c>
      <c r="F638" s="24">
        <v>37.99</v>
      </c>
      <c r="G638" s="24">
        <v>2.11</v>
      </c>
      <c r="H638" s="24" t="s">
        <v>6664</v>
      </c>
      <c r="I638" s="24">
        <v>3.15</v>
      </c>
      <c r="J638" s="24">
        <v>0.0</v>
      </c>
    </row>
    <row r="639">
      <c r="A639" s="24">
        <v>877.0</v>
      </c>
      <c r="B639" s="24">
        <v>11.0</v>
      </c>
      <c r="C639" s="44">
        <v>38.14</v>
      </c>
      <c r="D639" s="46">
        <v>44719.0</v>
      </c>
      <c r="E639" s="24">
        <v>3.47</v>
      </c>
      <c r="F639" s="24">
        <v>43.49</v>
      </c>
      <c r="G639" s="24">
        <v>1.25</v>
      </c>
      <c r="H639" s="24" t="s">
        <v>6666</v>
      </c>
      <c r="I639" s="24">
        <v>5.45</v>
      </c>
      <c r="J639" s="24">
        <v>0.0</v>
      </c>
    </row>
    <row r="640">
      <c r="A640" s="24">
        <v>488.0</v>
      </c>
      <c r="B640" s="24">
        <v>8.0</v>
      </c>
      <c r="C640" s="44">
        <v>37.71</v>
      </c>
      <c r="D640" s="46">
        <v>44719.0</v>
      </c>
      <c r="E640" s="24">
        <v>4.71</v>
      </c>
      <c r="F640" s="24">
        <v>77.27</v>
      </c>
      <c r="G640" s="24">
        <v>1.64</v>
      </c>
      <c r="H640" s="24" t="s">
        <v>6677</v>
      </c>
      <c r="I640" s="24">
        <v>6.28</v>
      </c>
      <c r="J640" s="24">
        <v>0.0</v>
      </c>
    </row>
    <row r="641">
      <c r="A641" s="24">
        <v>687.0</v>
      </c>
      <c r="B641" s="24">
        <v>9.0</v>
      </c>
      <c r="C641" s="44">
        <v>23.77</v>
      </c>
      <c r="D641" s="46">
        <v>44720.0</v>
      </c>
      <c r="E641" s="24">
        <v>2.64</v>
      </c>
      <c r="F641" s="24">
        <v>34.6</v>
      </c>
      <c r="G641" s="24">
        <v>1.31</v>
      </c>
      <c r="H641" s="24" t="s">
        <v>6664</v>
      </c>
      <c r="I641" s="24">
        <v>7.92</v>
      </c>
      <c r="J641" s="24">
        <v>0.0</v>
      </c>
    </row>
    <row r="642">
      <c r="A642" s="24">
        <v>1273.0</v>
      </c>
      <c r="B642" s="24">
        <v>1.0</v>
      </c>
      <c r="C642" s="44">
        <v>92.37</v>
      </c>
      <c r="D642" s="46">
        <v>44720.0</v>
      </c>
      <c r="E642" s="24">
        <v>92.37</v>
      </c>
      <c r="F642" s="24">
        <v>72.56</v>
      </c>
      <c r="G642" s="24">
        <v>0.08</v>
      </c>
      <c r="H642" s="24" t="s">
        <v>6667</v>
      </c>
      <c r="I642" s="24">
        <v>92.37</v>
      </c>
      <c r="J642" s="24">
        <v>0.0</v>
      </c>
    </row>
    <row r="643">
      <c r="A643" s="24">
        <v>718.0</v>
      </c>
      <c r="B643" s="24">
        <v>5.0</v>
      </c>
      <c r="C643" s="44">
        <v>26.24</v>
      </c>
      <c r="D643" s="46">
        <v>44720.0</v>
      </c>
      <c r="E643" s="24">
        <v>5.25</v>
      </c>
      <c r="F643" s="24">
        <v>36.55</v>
      </c>
      <c r="G643" s="24">
        <v>0.7</v>
      </c>
      <c r="H643" s="24" t="s">
        <v>6671</v>
      </c>
      <c r="I643" s="24">
        <v>8.75</v>
      </c>
      <c r="J643" s="24">
        <v>0.0</v>
      </c>
    </row>
    <row r="644">
      <c r="A644" s="24">
        <v>1064.0</v>
      </c>
      <c r="B644" s="24">
        <v>14.0</v>
      </c>
      <c r="C644" s="44">
        <v>54.84</v>
      </c>
      <c r="D644" s="46">
        <v>44720.0</v>
      </c>
      <c r="E644" s="24">
        <v>3.92</v>
      </c>
      <c r="F644" s="24">
        <v>51.54</v>
      </c>
      <c r="G644" s="24">
        <v>1.32</v>
      </c>
      <c r="H644" s="24" t="s">
        <v>6670</v>
      </c>
      <c r="I644" s="24">
        <v>10.97</v>
      </c>
      <c r="J644" s="24">
        <v>0.0</v>
      </c>
    </row>
    <row r="645">
      <c r="A645" s="24">
        <v>2607.0</v>
      </c>
      <c r="B645" s="24">
        <v>12.0</v>
      </c>
      <c r="C645" s="44">
        <v>25.88</v>
      </c>
      <c r="D645" s="46">
        <v>44720.0</v>
      </c>
      <c r="E645" s="24">
        <v>2.16</v>
      </c>
      <c r="F645" s="24">
        <v>9.93</v>
      </c>
      <c r="G645" s="24">
        <v>0.46</v>
      </c>
      <c r="H645" s="24" t="s">
        <v>6660</v>
      </c>
      <c r="I645" s="24">
        <v>2.35</v>
      </c>
      <c r="J645" s="24">
        <v>0.0</v>
      </c>
    </row>
    <row r="646">
      <c r="A646" s="24">
        <v>1362.0</v>
      </c>
      <c r="B646" s="24">
        <v>5.0</v>
      </c>
      <c r="C646" s="44">
        <v>57.34</v>
      </c>
      <c r="D646" s="46">
        <v>44720.0</v>
      </c>
      <c r="E646" s="24">
        <v>11.47</v>
      </c>
      <c r="F646" s="24">
        <v>42.1</v>
      </c>
      <c r="G646" s="24">
        <v>0.37</v>
      </c>
      <c r="H646" s="24" t="s">
        <v>6672</v>
      </c>
      <c r="I646" s="24">
        <v>11.47</v>
      </c>
      <c r="J646" s="24">
        <v>0.0</v>
      </c>
    </row>
    <row r="647">
      <c r="A647" s="24">
        <v>1307.0</v>
      </c>
      <c r="B647" s="24">
        <v>3.0</v>
      </c>
      <c r="C647" s="44">
        <v>65.73</v>
      </c>
      <c r="D647" s="46">
        <v>44720.0</v>
      </c>
      <c r="E647" s="24">
        <v>21.91</v>
      </c>
      <c r="F647" s="24">
        <v>50.29</v>
      </c>
      <c r="G647" s="24">
        <v>0.23</v>
      </c>
      <c r="H647" s="24" t="s">
        <v>6669</v>
      </c>
      <c r="I647" s="24">
        <v>10.96</v>
      </c>
      <c r="J647" s="24">
        <v>0.0</v>
      </c>
    </row>
    <row r="648">
      <c r="A648" s="24">
        <v>365.0</v>
      </c>
      <c r="B648" s="24">
        <v>6.0</v>
      </c>
      <c r="C648" s="44">
        <v>31.12</v>
      </c>
      <c r="D648" s="46">
        <v>44720.0</v>
      </c>
      <c r="E648" s="24">
        <v>5.19</v>
      </c>
      <c r="F648" s="24">
        <v>85.26</v>
      </c>
      <c r="G648" s="24">
        <v>1.64</v>
      </c>
      <c r="H648" s="24" t="s">
        <v>6677</v>
      </c>
      <c r="I648" s="24">
        <v>15.56</v>
      </c>
      <c r="J648" s="24">
        <v>0.0</v>
      </c>
    </row>
    <row r="649">
      <c r="A649" s="24">
        <v>676.0</v>
      </c>
      <c r="B649" s="24">
        <v>5.0</v>
      </c>
      <c r="C649" s="44">
        <v>52.48</v>
      </c>
      <c r="D649" s="46">
        <v>44720.0</v>
      </c>
      <c r="E649" s="24">
        <v>10.5</v>
      </c>
      <c r="F649" s="24">
        <v>77.63</v>
      </c>
      <c r="G649" s="24">
        <v>0.74</v>
      </c>
      <c r="H649" s="24" t="s">
        <v>6673</v>
      </c>
      <c r="I649" s="24">
        <v>10.5</v>
      </c>
      <c r="J649" s="24">
        <v>0.0</v>
      </c>
    </row>
    <row r="650">
      <c r="A650" s="24">
        <v>566.0</v>
      </c>
      <c r="B650" s="24">
        <v>2.0</v>
      </c>
      <c r="C650" s="44">
        <v>39.7</v>
      </c>
      <c r="D650" s="46">
        <v>44720.0</v>
      </c>
      <c r="E650" s="24">
        <v>19.85</v>
      </c>
      <c r="F650" s="24">
        <v>70.14</v>
      </c>
      <c r="G650" s="24">
        <v>0.35</v>
      </c>
      <c r="H650" s="24" t="s">
        <v>6668</v>
      </c>
      <c r="I650" s="24">
        <v>9.93</v>
      </c>
      <c r="J650" s="24">
        <v>0.0</v>
      </c>
    </row>
    <row r="651">
      <c r="A651" s="24">
        <v>3524.0</v>
      </c>
      <c r="B651" s="24">
        <v>30.0</v>
      </c>
      <c r="C651" s="44">
        <v>38.22</v>
      </c>
      <c r="D651" s="46">
        <v>44720.0</v>
      </c>
      <c r="E651" s="24">
        <v>1.27</v>
      </c>
      <c r="F651" s="24">
        <v>10.85</v>
      </c>
      <c r="G651" s="24">
        <v>0.85</v>
      </c>
      <c r="H651" s="24" t="s">
        <v>6662</v>
      </c>
      <c r="I651" s="24">
        <v>1.59</v>
      </c>
      <c r="J651" s="24">
        <v>0.0</v>
      </c>
    </row>
    <row r="652">
      <c r="A652" s="24">
        <v>1257.0</v>
      </c>
      <c r="B652" s="24">
        <v>7.0</v>
      </c>
      <c r="C652" s="44">
        <v>95.34</v>
      </c>
      <c r="D652" s="46">
        <v>44720.0</v>
      </c>
      <c r="E652" s="24">
        <v>13.62</v>
      </c>
      <c r="F652" s="24">
        <v>75.85</v>
      </c>
      <c r="G652" s="24">
        <v>0.56</v>
      </c>
      <c r="H652" s="24" t="s">
        <v>6665</v>
      </c>
      <c r="I652" s="24">
        <v>31.78</v>
      </c>
      <c r="J652" s="24">
        <v>0.0</v>
      </c>
    </row>
    <row r="653">
      <c r="A653" s="24">
        <v>483.0</v>
      </c>
      <c r="B653" s="24">
        <v>4.0</v>
      </c>
      <c r="C653" s="44">
        <v>24.39</v>
      </c>
      <c r="D653" s="46">
        <v>44720.0</v>
      </c>
      <c r="E653" s="24">
        <v>6.1</v>
      </c>
      <c r="F653" s="24">
        <v>50.5</v>
      </c>
      <c r="G653" s="24">
        <v>0.83</v>
      </c>
      <c r="H653" s="24" t="s">
        <v>6674</v>
      </c>
      <c r="I653" s="24">
        <v>4.07</v>
      </c>
      <c r="J653" s="24">
        <v>0.0</v>
      </c>
    </row>
    <row r="654">
      <c r="A654" s="24">
        <v>717.0</v>
      </c>
      <c r="B654" s="24">
        <v>2.0</v>
      </c>
      <c r="C654" s="44">
        <v>52.08</v>
      </c>
      <c r="D654" s="46">
        <v>44720.0</v>
      </c>
      <c r="E654" s="24">
        <v>26.04</v>
      </c>
      <c r="F654" s="24">
        <v>72.64</v>
      </c>
      <c r="G654" s="24">
        <v>0.28</v>
      </c>
      <c r="H654" s="24" t="s">
        <v>6676</v>
      </c>
      <c r="I654" s="24">
        <v>52.08</v>
      </c>
      <c r="J654" s="24">
        <v>0.0</v>
      </c>
    </row>
    <row r="655">
      <c r="A655" s="24">
        <v>583.0</v>
      </c>
      <c r="B655" s="24">
        <v>8.0</v>
      </c>
      <c r="C655" s="44">
        <v>28.76</v>
      </c>
      <c r="D655" s="46">
        <v>44720.0</v>
      </c>
      <c r="E655" s="24">
        <v>3.6</v>
      </c>
      <c r="F655" s="24">
        <v>49.33</v>
      </c>
      <c r="G655" s="24">
        <v>1.37</v>
      </c>
      <c r="H655" s="24" t="s">
        <v>6675</v>
      </c>
      <c r="I655" s="24">
        <v>5.75</v>
      </c>
      <c r="J655" s="24">
        <v>0.0</v>
      </c>
    </row>
    <row r="656">
      <c r="A656" s="24">
        <v>920.0</v>
      </c>
      <c r="B656" s="24">
        <v>15.0</v>
      </c>
      <c r="C656" s="44">
        <v>32.75</v>
      </c>
      <c r="D656" s="46">
        <v>44720.0</v>
      </c>
      <c r="E656" s="24">
        <v>2.18</v>
      </c>
      <c r="F656" s="24">
        <v>35.6</v>
      </c>
      <c r="G656" s="24">
        <v>1.63</v>
      </c>
      <c r="H656" s="24" t="s">
        <v>6666</v>
      </c>
      <c r="I656" s="24">
        <v>5.46</v>
      </c>
      <c r="J656" s="24">
        <v>0.0</v>
      </c>
    </row>
    <row r="657">
      <c r="A657" s="24">
        <v>1020.0</v>
      </c>
      <c r="B657" s="24">
        <v>2.0</v>
      </c>
      <c r="C657" s="44">
        <v>40.33</v>
      </c>
      <c r="D657" s="46">
        <v>44721.0</v>
      </c>
      <c r="E657" s="24">
        <v>20.16</v>
      </c>
      <c r="F657" s="24">
        <v>39.54</v>
      </c>
      <c r="G657" s="24">
        <v>0.2</v>
      </c>
      <c r="H657" s="24" t="s">
        <v>6668</v>
      </c>
      <c r="I657" s="24">
        <v>20.16</v>
      </c>
      <c r="J657" s="24">
        <v>0.0</v>
      </c>
    </row>
    <row r="658">
      <c r="A658" s="24">
        <v>2641.0</v>
      </c>
      <c r="B658" s="24">
        <v>7.0</v>
      </c>
      <c r="C658" s="44">
        <v>25.48</v>
      </c>
      <c r="D658" s="46">
        <v>44721.0</v>
      </c>
      <c r="E658" s="24">
        <v>3.64</v>
      </c>
      <c r="F658" s="24">
        <v>9.65</v>
      </c>
      <c r="G658" s="24">
        <v>0.27</v>
      </c>
      <c r="H658" s="24" t="s">
        <v>6660</v>
      </c>
      <c r="I658" s="24">
        <v>1.96</v>
      </c>
      <c r="J658" s="24">
        <v>0.0</v>
      </c>
    </row>
    <row r="659">
      <c r="A659" s="24">
        <v>1119.0</v>
      </c>
      <c r="B659" s="24">
        <v>1.0</v>
      </c>
      <c r="C659" s="44">
        <v>52.64</v>
      </c>
      <c r="D659" s="46">
        <v>44721.0</v>
      </c>
      <c r="E659" s="24">
        <v>52.64</v>
      </c>
      <c r="F659" s="24">
        <v>47.04</v>
      </c>
      <c r="G659" s="24">
        <v>0.09</v>
      </c>
      <c r="H659" s="24" t="s">
        <v>6673</v>
      </c>
      <c r="I659" s="24">
        <v>52.64</v>
      </c>
      <c r="J659" s="24">
        <v>0.0</v>
      </c>
    </row>
    <row r="660">
      <c r="A660" s="24">
        <v>2279.0</v>
      </c>
      <c r="B660" s="24">
        <v>24.0</v>
      </c>
      <c r="C660" s="44">
        <v>23.27</v>
      </c>
      <c r="D660" s="46">
        <v>44721.0</v>
      </c>
      <c r="E660" s="24">
        <v>0.97</v>
      </c>
      <c r="F660" s="24">
        <v>10.21</v>
      </c>
      <c r="G660" s="24">
        <v>1.05</v>
      </c>
      <c r="H660" s="24" t="s">
        <v>6662</v>
      </c>
      <c r="I660" s="24">
        <v>1.22</v>
      </c>
      <c r="J660" s="24">
        <v>0.0</v>
      </c>
    </row>
    <row r="661">
      <c r="A661" s="24">
        <v>1178.0</v>
      </c>
      <c r="B661" s="24">
        <v>13.0</v>
      </c>
      <c r="C661" s="44">
        <v>95.65</v>
      </c>
      <c r="D661" s="46">
        <v>44721.0</v>
      </c>
      <c r="E661" s="24">
        <v>7.36</v>
      </c>
      <c r="F661" s="24">
        <v>81.2</v>
      </c>
      <c r="G661" s="24">
        <v>1.1</v>
      </c>
      <c r="H661" s="24" t="s">
        <v>6665</v>
      </c>
      <c r="I661" s="24">
        <v>11.96</v>
      </c>
      <c r="J661" s="24">
        <v>0.0</v>
      </c>
    </row>
    <row r="662">
      <c r="A662" s="24">
        <v>734.0</v>
      </c>
      <c r="B662" s="24">
        <v>12.0</v>
      </c>
      <c r="C662" s="44">
        <v>23.94</v>
      </c>
      <c r="D662" s="46">
        <v>44721.0</v>
      </c>
      <c r="E662" s="24">
        <v>2.0</v>
      </c>
      <c r="F662" s="24">
        <v>32.62</v>
      </c>
      <c r="G662" s="24">
        <v>1.63</v>
      </c>
      <c r="H662" s="24" t="s">
        <v>6664</v>
      </c>
      <c r="I662" s="24">
        <v>2.99</v>
      </c>
      <c r="J662" s="24">
        <v>0.0</v>
      </c>
    </row>
    <row r="663">
      <c r="A663" s="24">
        <v>856.0</v>
      </c>
      <c r="B663" s="24">
        <v>2.0</v>
      </c>
      <c r="C663" s="44">
        <v>51.15</v>
      </c>
      <c r="D663" s="46">
        <v>44721.0</v>
      </c>
      <c r="E663" s="24">
        <v>25.58</v>
      </c>
      <c r="F663" s="24">
        <v>59.75</v>
      </c>
      <c r="G663" s="24">
        <v>0.23</v>
      </c>
      <c r="H663" s="24" t="s">
        <v>6676</v>
      </c>
      <c r="I663" s="24">
        <v>6.39</v>
      </c>
      <c r="J663" s="24">
        <v>0.0</v>
      </c>
    </row>
    <row r="664">
      <c r="A664" s="24">
        <v>417.0</v>
      </c>
      <c r="B664" s="24">
        <v>7.0</v>
      </c>
      <c r="C664" s="44">
        <v>36.79</v>
      </c>
      <c r="D664" s="46">
        <v>44721.0</v>
      </c>
      <c r="E664" s="24">
        <v>5.26</v>
      </c>
      <c r="F664" s="24">
        <v>88.23</v>
      </c>
      <c r="G664" s="24">
        <v>1.68</v>
      </c>
      <c r="H664" s="24" t="s">
        <v>6677</v>
      </c>
      <c r="I664" s="24">
        <v>6.13</v>
      </c>
      <c r="J664" s="24">
        <v>0.0</v>
      </c>
    </row>
    <row r="665">
      <c r="A665" s="24">
        <v>1519.0</v>
      </c>
      <c r="B665" s="24">
        <v>3.0</v>
      </c>
      <c r="C665" s="44">
        <v>66.1</v>
      </c>
      <c r="D665" s="46">
        <v>44721.0</v>
      </c>
      <c r="E665" s="24">
        <v>22.03</v>
      </c>
      <c r="F665" s="24">
        <v>43.52</v>
      </c>
      <c r="G665" s="24">
        <v>0.2</v>
      </c>
      <c r="H665" s="24" t="s">
        <v>6669</v>
      </c>
      <c r="I665" s="24">
        <v>13.22</v>
      </c>
      <c r="J665" s="24">
        <v>0.0</v>
      </c>
    </row>
    <row r="666">
      <c r="A666" s="24">
        <v>305.0</v>
      </c>
      <c r="B666" s="24">
        <v>2.0</v>
      </c>
      <c r="C666" s="44">
        <v>14.86</v>
      </c>
      <c r="D666" s="46">
        <v>44721.0</v>
      </c>
      <c r="E666" s="24">
        <v>7.43</v>
      </c>
      <c r="F666" s="24">
        <v>48.72</v>
      </c>
      <c r="G666" s="24">
        <v>0.66</v>
      </c>
      <c r="H666" s="24" t="s">
        <v>6674</v>
      </c>
      <c r="I666" s="24">
        <v>1.65</v>
      </c>
      <c r="J666" s="24">
        <v>0.0</v>
      </c>
    </row>
    <row r="667">
      <c r="A667" s="24">
        <v>772.0</v>
      </c>
      <c r="B667" s="24">
        <v>6.0</v>
      </c>
      <c r="C667" s="44">
        <v>18.39</v>
      </c>
      <c r="D667" s="46">
        <v>44721.0</v>
      </c>
      <c r="E667" s="24">
        <v>3.06</v>
      </c>
      <c r="F667" s="24">
        <v>23.82</v>
      </c>
      <c r="G667" s="24">
        <v>0.78</v>
      </c>
      <c r="H667" s="24" t="s">
        <v>6666</v>
      </c>
      <c r="I667" s="24">
        <v>3.68</v>
      </c>
      <c r="J667" s="24">
        <v>0.0</v>
      </c>
    </row>
    <row r="668">
      <c r="A668" s="24">
        <v>969.0</v>
      </c>
      <c r="B668" s="24">
        <v>14.0</v>
      </c>
      <c r="C668" s="44">
        <v>36.44</v>
      </c>
      <c r="D668" s="46">
        <v>44721.0</v>
      </c>
      <c r="E668" s="24">
        <v>2.6</v>
      </c>
      <c r="F668" s="24">
        <v>37.61</v>
      </c>
      <c r="G668" s="24">
        <v>1.44</v>
      </c>
      <c r="H668" s="24" t="s">
        <v>6670</v>
      </c>
      <c r="I668" s="24">
        <v>12.15</v>
      </c>
      <c r="J668" s="24">
        <v>0.0</v>
      </c>
    </row>
    <row r="669">
      <c r="A669" s="24">
        <v>1142.0</v>
      </c>
      <c r="B669" s="24">
        <v>5.0</v>
      </c>
      <c r="C669" s="44">
        <v>26.77</v>
      </c>
      <c r="D669" s="46">
        <v>44721.0</v>
      </c>
      <c r="E669" s="24">
        <v>5.35</v>
      </c>
      <c r="F669" s="24">
        <v>23.44</v>
      </c>
      <c r="G669" s="24">
        <v>0.44</v>
      </c>
      <c r="H669" s="24" t="s">
        <v>6671</v>
      </c>
      <c r="I669" s="24">
        <v>26.77</v>
      </c>
      <c r="J669" s="24">
        <v>0.0</v>
      </c>
    </row>
    <row r="670">
      <c r="A670" s="24">
        <v>1681.0</v>
      </c>
      <c r="B670" s="24">
        <v>2.0</v>
      </c>
      <c r="C670" s="44">
        <v>91.51</v>
      </c>
      <c r="D670" s="46">
        <v>44721.0</v>
      </c>
      <c r="E670" s="24">
        <v>45.76</v>
      </c>
      <c r="F670" s="24">
        <v>54.44</v>
      </c>
      <c r="G670" s="24">
        <v>0.12</v>
      </c>
      <c r="H670" s="24" t="s">
        <v>6667</v>
      </c>
      <c r="I670" s="24">
        <v>13.07</v>
      </c>
      <c r="J670" s="24">
        <v>0.0</v>
      </c>
    </row>
    <row r="671">
      <c r="A671" s="24">
        <v>534.0</v>
      </c>
      <c r="B671" s="24">
        <v>7.0</v>
      </c>
      <c r="C671" s="44">
        <v>20.04</v>
      </c>
      <c r="D671" s="46">
        <v>44721.0</v>
      </c>
      <c r="E671" s="24">
        <v>2.86</v>
      </c>
      <c r="F671" s="24">
        <v>37.53</v>
      </c>
      <c r="G671" s="24">
        <v>1.31</v>
      </c>
      <c r="H671" s="24" t="s">
        <v>6675</v>
      </c>
      <c r="I671" s="24">
        <v>10.02</v>
      </c>
      <c r="J671" s="24">
        <v>0.0</v>
      </c>
    </row>
    <row r="672">
      <c r="A672" s="24">
        <v>1156.0</v>
      </c>
      <c r="B672" s="24">
        <v>2.0</v>
      </c>
      <c r="C672" s="44">
        <v>57.44</v>
      </c>
      <c r="D672" s="46">
        <v>44721.0</v>
      </c>
      <c r="E672" s="24">
        <v>28.72</v>
      </c>
      <c r="F672" s="24">
        <v>49.69</v>
      </c>
      <c r="G672" s="24">
        <v>0.17</v>
      </c>
      <c r="H672" s="24" t="s">
        <v>6672</v>
      </c>
      <c r="I672" s="24">
        <v>28.72</v>
      </c>
      <c r="J672" s="24">
        <v>0.0</v>
      </c>
    </row>
    <row r="673">
      <c r="A673" s="24">
        <v>576.0</v>
      </c>
      <c r="B673" s="24">
        <v>2.0</v>
      </c>
      <c r="C673" s="44">
        <v>35.5</v>
      </c>
      <c r="D673" s="46">
        <v>44722.0</v>
      </c>
      <c r="E673" s="24">
        <v>17.75</v>
      </c>
      <c r="F673" s="24">
        <v>61.63</v>
      </c>
      <c r="G673" s="24">
        <v>0.35</v>
      </c>
      <c r="H673" s="24" t="s">
        <v>6668</v>
      </c>
      <c r="I673" s="24">
        <v>11.83</v>
      </c>
      <c r="J673" s="24">
        <v>0.0</v>
      </c>
    </row>
    <row r="674">
      <c r="A674" s="24">
        <v>404.0</v>
      </c>
      <c r="B674" s="24">
        <v>8.0</v>
      </c>
      <c r="C674" s="44">
        <v>6.14</v>
      </c>
      <c r="D674" s="46">
        <v>44722.0</v>
      </c>
      <c r="E674" s="24">
        <v>0.77</v>
      </c>
      <c r="F674" s="24">
        <v>15.2</v>
      </c>
      <c r="G674" s="24">
        <v>1.98</v>
      </c>
      <c r="H674" s="24" t="s">
        <v>6666</v>
      </c>
      <c r="I674" s="24">
        <v>1.23</v>
      </c>
      <c r="J674" s="24">
        <v>0.0</v>
      </c>
    </row>
    <row r="675">
      <c r="A675" s="24">
        <v>61.0</v>
      </c>
      <c r="B675" s="24">
        <v>0.0</v>
      </c>
      <c r="C675" s="44">
        <v>6.58</v>
      </c>
      <c r="D675" s="46">
        <v>44722.0</v>
      </c>
      <c r="E675" s="24" t="s">
        <v>6650</v>
      </c>
      <c r="F675" s="24">
        <v>107.87</v>
      </c>
      <c r="G675" s="24">
        <v>0.0</v>
      </c>
      <c r="H675" s="24" t="s">
        <v>6674</v>
      </c>
      <c r="I675" s="24">
        <v>2.19</v>
      </c>
      <c r="J675" s="24">
        <v>0.0</v>
      </c>
    </row>
    <row r="676">
      <c r="A676" s="24">
        <v>787.0</v>
      </c>
      <c r="B676" s="24">
        <v>17.0</v>
      </c>
      <c r="C676" s="44">
        <v>16.76</v>
      </c>
      <c r="D676" s="46">
        <v>44722.0</v>
      </c>
      <c r="E676" s="24">
        <v>0.99</v>
      </c>
      <c r="F676" s="24">
        <v>21.3</v>
      </c>
      <c r="G676" s="24">
        <v>2.16</v>
      </c>
      <c r="H676" s="24" t="s">
        <v>6670</v>
      </c>
      <c r="I676" s="24">
        <v>1.86</v>
      </c>
      <c r="J676" s="24">
        <v>0.0</v>
      </c>
    </row>
    <row r="677">
      <c r="A677" s="24">
        <v>633.0</v>
      </c>
      <c r="B677" s="24">
        <v>7.0</v>
      </c>
      <c r="C677" s="44">
        <v>26.25</v>
      </c>
      <c r="D677" s="46">
        <v>44722.0</v>
      </c>
      <c r="E677" s="24">
        <v>3.75</v>
      </c>
      <c r="F677" s="24">
        <v>41.47</v>
      </c>
      <c r="G677" s="24">
        <v>1.11</v>
      </c>
      <c r="H677" s="24" t="s">
        <v>6671</v>
      </c>
      <c r="I677" s="24">
        <v>2.92</v>
      </c>
      <c r="J677" s="24">
        <v>0.0</v>
      </c>
    </row>
    <row r="678">
      <c r="A678" s="24">
        <v>1507.0</v>
      </c>
      <c r="B678" s="24">
        <v>0.0</v>
      </c>
      <c r="C678" s="44">
        <v>80.06</v>
      </c>
      <c r="D678" s="46">
        <v>44722.0</v>
      </c>
      <c r="E678" s="24" t="s">
        <v>6650</v>
      </c>
      <c r="F678" s="24">
        <v>53.13</v>
      </c>
      <c r="G678" s="24">
        <v>0.0</v>
      </c>
      <c r="H678" s="24" t="s">
        <v>6667</v>
      </c>
      <c r="I678" s="24">
        <v>26.69</v>
      </c>
      <c r="J678" s="24">
        <v>0.0</v>
      </c>
    </row>
    <row r="679">
      <c r="A679" s="24">
        <v>2483.0</v>
      </c>
      <c r="B679" s="24">
        <v>11.0</v>
      </c>
      <c r="C679" s="44">
        <v>22.44</v>
      </c>
      <c r="D679" s="46">
        <v>44722.0</v>
      </c>
      <c r="E679" s="24">
        <v>2.04</v>
      </c>
      <c r="F679" s="24">
        <v>9.04</v>
      </c>
      <c r="G679" s="24">
        <v>0.44</v>
      </c>
      <c r="H679" s="24" t="s">
        <v>6660</v>
      </c>
      <c r="I679" s="24">
        <v>0.72</v>
      </c>
      <c r="J679" s="24">
        <v>0.0</v>
      </c>
    </row>
    <row r="680">
      <c r="A680" s="24">
        <v>388.0</v>
      </c>
      <c r="B680" s="24">
        <v>6.0</v>
      </c>
      <c r="C680" s="44">
        <v>28.71</v>
      </c>
      <c r="D680" s="46">
        <v>44722.0</v>
      </c>
      <c r="E680" s="24">
        <v>4.78</v>
      </c>
      <c r="F680" s="24">
        <v>73.99</v>
      </c>
      <c r="G680" s="24">
        <v>1.55</v>
      </c>
      <c r="H680" s="24" t="s">
        <v>6677</v>
      </c>
      <c r="I680" s="24">
        <v>28.71</v>
      </c>
      <c r="J680" s="24">
        <v>0.0</v>
      </c>
    </row>
    <row r="681">
      <c r="A681" s="24">
        <v>909.0</v>
      </c>
      <c r="B681" s="24">
        <v>2.0</v>
      </c>
      <c r="C681" s="44">
        <v>44.91</v>
      </c>
      <c r="D681" s="46">
        <v>44722.0</v>
      </c>
      <c r="E681" s="24">
        <v>22.46</v>
      </c>
      <c r="F681" s="24">
        <v>49.41</v>
      </c>
      <c r="G681" s="24">
        <v>0.22</v>
      </c>
      <c r="H681" s="24" t="s">
        <v>6676</v>
      </c>
      <c r="I681" s="24">
        <v>14.97</v>
      </c>
      <c r="J681" s="24">
        <v>0.0</v>
      </c>
    </row>
    <row r="682">
      <c r="A682" s="24">
        <v>419.0</v>
      </c>
      <c r="B682" s="24">
        <v>4.0</v>
      </c>
      <c r="C682" s="44">
        <v>9.6</v>
      </c>
      <c r="D682" s="46">
        <v>44722.0</v>
      </c>
      <c r="E682" s="24">
        <v>2.4</v>
      </c>
      <c r="F682" s="24">
        <v>22.91</v>
      </c>
      <c r="G682" s="24">
        <v>0.95</v>
      </c>
      <c r="H682" s="24" t="s">
        <v>6675</v>
      </c>
      <c r="I682" s="24">
        <v>4.8</v>
      </c>
      <c r="J682" s="24">
        <v>0.0</v>
      </c>
    </row>
    <row r="683">
      <c r="A683" s="24">
        <v>743.0</v>
      </c>
      <c r="B683" s="24">
        <v>15.0</v>
      </c>
      <c r="C683" s="44">
        <v>8.88</v>
      </c>
      <c r="D683" s="46">
        <v>44722.0</v>
      </c>
      <c r="E683" s="24">
        <v>0.59</v>
      </c>
      <c r="F683" s="24">
        <v>11.95</v>
      </c>
      <c r="G683" s="24">
        <v>2.02</v>
      </c>
      <c r="H683" s="24" t="s">
        <v>6662</v>
      </c>
      <c r="I683" s="24">
        <v>0.68</v>
      </c>
      <c r="J683" s="24">
        <v>0.0</v>
      </c>
    </row>
    <row r="684">
      <c r="A684" s="24">
        <v>720.0</v>
      </c>
      <c r="B684" s="24">
        <v>8.0</v>
      </c>
      <c r="C684" s="44">
        <v>22.28</v>
      </c>
      <c r="D684" s="46">
        <v>44722.0</v>
      </c>
      <c r="E684" s="24">
        <v>2.78</v>
      </c>
      <c r="F684" s="24">
        <v>30.94</v>
      </c>
      <c r="G684" s="24">
        <v>1.11</v>
      </c>
      <c r="H684" s="24" t="s">
        <v>6664</v>
      </c>
      <c r="I684" s="24">
        <v>11.14</v>
      </c>
      <c r="J684" s="24">
        <v>0.0</v>
      </c>
    </row>
    <row r="685">
      <c r="A685" s="24">
        <v>956.0</v>
      </c>
      <c r="B685" s="24">
        <v>12.0</v>
      </c>
      <c r="C685" s="44">
        <v>82.58</v>
      </c>
      <c r="D685" s="46">
        <v>44722.0</v>
      </c>
      <c r="E685" s="24">
        <v>6.88</v>
      </c>
      <c r="F685" s="24">
        <v>86.38</v>
      </c>
      <c r="G685" s="24">
        <v>1.26</v>
      </c>
      <c r="H685" s="24" t="s">
        <v>6665</v>
      </c>
      <c r="I685" s="24">
        <v>20.64</v>
      </c>
      <c r="J685" s="24">
        <v>0.0</v>
      </c>
    </row>
    <row r="686">
      <c r="A686" s="24">
        <v>1134.0</v>
      </c>
      <c r="B686" s="24">
        <v>3.0</v>
      </c>
      <c r="C686" s="44">
        <v>58.44</v>
      </c>
      <c r="D686" s="46">
        <v>44722.0</v>
      </c>
      <c r="E686" s="24">
        <v>19.48</v>
      </c>
      <c r="F686" s="24">
        <v>51.53</v>
      </c>
      <c r="G686" s="24">
        <v>0.26</v>
      </c>
      <c r="H686" s="24" t="s">
        <v>6669</v>
      </c>
      <c r="I686" s="24">
        <v>19.48</v>
      </c>
      <c r="J686" s="24">
        <v>0.0</v>
      </c>
    </row>
    <row r="687">
      <c r="A687" s="24">
        <v>736.0</v>
      </c>
      <c r="B687" s="24">
        <v>0.0</v>
      </c>
      <c r="C687" s="44">
        <v>45.25</v>
      </c>
      <c r="D687" s="46">
        <v>44722.0</v>
      </c>
      <c r="E687" s="24" t="s">
        <v>6650</v>
      </c>
      <c r="F687" s="24">
        <v>61.48</v>
      </c>
      <c r="G687" s="24">
        <v>0.0</v>
      </c>
      <c r="H687" s="24" t="s">
        <v>6673</v>
      </c>
      <c r="I687" s="24">
        <v>45.25</v>
      </c>
      <c r="J687" s="24">
        <v>0.0</v>
      </c>
    </row>
    <row r="688">
      <c r="A688" s="24">
        <v>900.0</v>
      </c>
      <c r="B688" s="24">
        <v>3.0</v>
      </c>
      <c r="C688" s="44">
        <v>62.32</v>
      </c>
      <c r="D688" s="46">
        <v>44722.0</v>
      </c>
      <c r="E688" s="24">
        <v>20.77</v>
      </c>
      <c r="F688" s="24">
        <v>69.24</v>
      </c>
      <c r="G688" s="24">
        <v>0.33</v>
      </c>
      <c r="H688" s="24" t="s">
        <v>6672</v>
      </c>
      <c r="I688" s="24">
        <v>62.32</v>
      </c>
      <c r="J688" s="24">
        <v>0.0</v>
      </c>
    </row>
    <row r="689">
      <c r="A689" s="24">
        <v>1272.0</v>
      </c>
      <c r="B689" s="24">
        <v>7.0</v>
      </c>
      <c r="C689" s="44">
        <v>10.51</v>
      </c>
      <c r="D689" s="46">
        <v>44723.0</v>
      </c>
      <c r="E689" s="24">
        <v>1.5</v>
      </c>
      <c r="F689" s="24">
        <v>8.26</v>
      </c>
      <c r="G689" s="24">
        <v>0.55</v>
      </c>
      <c r="H689" s="24" t="s">
        <v>6660</v>
      </c>
      <c r="I689" s="24">
        <v>0.88</v>
      </c>
      <c r="J689" s="24">
        <v>0.0</v>
      </c>
    </row>
    <row r="690">
      <c r="A690" s="24">
        <v>2084.0</v>
      </c>
      <c r="B690" s="24">
        <v>24.0</v>
      </c>
      <c r="C690" s="44">
        <v>34.28</v>
      </c>
      <c r="D690" s="46">
        <v>44723.0</v>
      </c>
      <c r="E690" s="24">
        <v>1.43</v>
      </c>
      <c r="F690" s="24">
        <v>16.45</v>
      </c>
      <c r="G690" s="24">
        <v>1.15</v>
      </c>
      <c r="H690" s="24" t="s">
        <v>6662</v>
      </c>
      <c r="I690" s="24">
        <v>1.32</v>
      </c>
      <c r="J690" s="24">
        <v>0.0</v>
      </c>
    </row>
    <row r="691">
      <c r="A691" s="24">
        <v>1065.0</v>
      </c>
      <c r="B691" s="24">
        <v>12.0</v>
      </c>
      <c r="C691" s="44">
        <v>45.0</v>
      </c>
      <c r="D691" s="46">
        <v>44723.0</v>
      </c>
      <c r="E691" s="24">
        <v>3.75</v>
      </c>
      <c r="F691" s="24">
        <v>42.25</v>
      </c>
      <c r="G691" s="24">
        <v>1.13</v>
      </c>
      <c r="H691" s="24" t="s">
        <v>6675</v>
      </c>
      <c r="I691" s="24">
        <v>7.5</v>
      </c>
      <c r="J691" s="24">
        <v>0.0</v>
      </c>
    </row>
    <row r="692">
      <c r="A692" s="24">
        <v>834.0</v>
      </c>
      <c r="B692" s="24">
        <v>8.0</v>
      </c>
      <c r="C692" s="44">
        <v>39.41</v>
      </c>
      <c r="D692" s="46">
        <v>44723.0</v>
      </c>
      <c r="E692" s="24">
        <v>4.93</v>
      </c>
      <c r="F692" s="24">
        <v>47.25</v>
      </c>
      <c r="G692" s="24">
        <v>0.96</v>
      </c>
      <c r="H692" s="24" t="s">
        <v>6674</v>
      </c>
      <c r="I692" s="24">
        <v>2.63</v>
      </c>
      <c r="J692" s="24">
        <v>0.0</v>
      </c>
    </row>
    <row r="693">
      <c r="A693" s="24">
        <v>406.0</v>
      </c>
      <c r="B693" s="24">
        <v>0.0</v>
      </c>
      <c r="C693" s="44">
        <v>21.09</v>
      </c>
      <c r="D693" s="46">
        <v>44723.0</v>
      </c>
      <c r="E693" s="24" t="s">
        <v>6650</v>
      </c>
      <c r="F693" s="24">
        <v>51.95</v>
      </c>
      <c r="G693" s="24">
        <v>0.0</v>
      </c>
      <c r="H693" s="24" t="s">
        <v>6676</v>
      </c>
      <c r="I693" s="24">
        <v>21.09</v>
      </c>
      <c r="J693" s="24">
        <v>0.0</v>
      </c>
    </row>
    <row r="694">
      <c r="A694" s="24">
        <v>486.0</v>
      </c>
      <c r="B694" s="24">
        <v>4.0</v>
      </c>
      <c r="C694" s="44">
        <v>39.53</v>
      </c>
      <c r="D694" s="46">
        <v>44723.0</v>
      </c>
      <c r="E694" s="24">
        <v>9.88</v>
      </c>
      <c r="F694" s="24">
        <v>81.34</v>
      </c>
      <c r="G694" s="24">
        <v>0.82</v>
      </c>
      <c r="H694" s="24" t="s">
        <v>6665</v>
      </c>
      <c r="I694" s="24">
        <v>39.53</v>
      </c>
      <c r="J694" s="24">
        <v>0.0</v>
      </c>
    </row>
    <row r="695">
      <c r="A695" s="24">
        <v>1411.0</v>
      </c>
      <c r="B695" s="24">
        <v>8.0</v>
      </c>
      <c r="C695" s="44">
        <v>42.07</v>
      </c>
      <c r="D695" s="46">
        <v>44723.0</v>
      </c>
      <c r="E695" s="24">
        <v>5.26</v>
      </c>
      <c r="F695" s="24">
        <v>29.82</v>
      </c>
      <c r="G695" s="24">
        <v>0.57</v>
      </c>
      <c r="H695" s="24" t="s">
        <v>6669</v>
      </c>
      <c r="I695" s="24">
        <v>2.34</v>
      </c>
      <c r="J695" s="24">
        <v>0.0</v>
      </c>
    </row>
    <row r="696">
      <c r="A696" s="24">
        <v>866.0</v>
      </c>
      <c r="B696" s="24">
        <v>2.0</v>
      </c>
      <c r="C696" s="44">
        <v>34.05</v>
      </c>
      <c r="D696" s="46">
        <v>44723.0</v>
      </c>
      <c r="E696" s="24">
        <v>17.02</v>
      </c>
      <c r="F696" s="24">
        <v>39.32</v>
      </c>
      <c r="G696" s="24">
        <v>0.23</v>
      </c>
      <c r="H696" s="24" t="s">
        <v>6673</v>
      </c>
      <c r="I696" s="24">
        <v>3.78</v>
      </c>
      <c r="J696" s="24">
        <v>0.0</v>
      </c>
    </row>
    <row r="697">
      <c r="A697" s="24">
        <v>629.0</v>
      </c>
      <c r="B697" s="24">
        <v>10.0</v>
      </c>
      <c r="C697" s="44">
        <v>19.21</v>
      </c>
      <c r="D697" s="46">
        <v>44723.0</v>
      </c>
      <c r="E697" s="24">
        <v>1.92</v>
      </c>
      <c r="F697" s="24">
        <v>30.54</v>
      </c>
      <c r="G697" s="24">
        <v>1.59</v>
      </c>
      <c r="H697" s="24" t="s">
        <v>6666</v>
      </c>
      <c r="I697" s="24">
        <v>2.13</v>
      </c>
      <c r="J697" s="24">
        <v>0.0</v>
      </c>
    </row>
    <row r="698">
      <c r="A698" s="24">
        <v>406.0</v>
      </c>
      <c r="B698" s="24">
        <v>3.0</v>
      </c>
      <c r="C698" s="44">
        <v>30.46</v>
      </c>
      <c r="D698" s="46">
        <v>44723.0</v>
      </c>
      <c r="E698" s="24">
        <v>10.15</v>
      </c>
      <c r="F698" s="24">
        <v>75.02</v>
      </c>
      <c r="G698" s="24">
        <v>0.74</v>
      </c>
      <c r="H698" s="24" t="s">
        <v>6672</v>
      </c>
      <c r="I698" s="24">
        <v>4.35</v>
      </c>
      <c r="J698" s="24">
        <v>0.0</v>
      </c>
    </row>
    <row r="699">
      <c r="A699" s="24">
        <v>926.0</v>
      </c>
      <c r="B699" s="24">
        <v>4.0</v>
      </c>
      <c r="C699" s="44">
        <v>17.9</v>
      </c>
      <c r="D699" s="46">
        <v>44723.0</v>
      </c>
      <c r="E699" s="24">
        <v>4.47</v>
      </c>
      <c r="F699" s="24">
        <v>19.33</v>
      </c>
      <c r="G699" s="24">
        <v>0.43</v>
      </c>
      <c r="H699" s="24" t="s">
        <v>6671</v>
      </c>
      <c r="I699" s="24">
        <v>3.58</v>
      </c>
      <c r="J699" s="24">
        <v>0.0</v>
      </c>
    </row>
    <row r="700">
      <c r="A700" s="24">
        <v>833.0</v>
      </c>
      <c r="B700" s="24">
        <v>2.0</v>
      </c>
      <c r="C700" s="44">
        <v>38.19</v>
      </c>
      <c r="D700" s="46">
        <v>44723.0</v>
      </c>
      <c r="E700" s="24">
        <v>19.1</v>
      </c>
      <c r="F700" s="24">
        <v>45.85</v>
      </c>
      <c r="G700" s="24">
        <v>0.24</v>
      </c>
      <c r="H700" s="24" t="s">
        <v>6667</v>
      </c>
      <c r="I700" s="24">
        <v>38.19</v>
      </c>
      <c r="J700" s="24">
        <v>0.0</v>
      </c>
    </row>
    <row r="701">
      <c r="A701" s="24">
        <v>1807.0</v>
      </c>
      <c r="B701" s="24">
        <v>41.0</v>
      </c>
      <c r="C701" s="44">
        <v>75.0</v>
      </c>
      <c r="D701" s="46">
        <v>44723.0</v>
      </c>
      <c r="E701" s="24">
        <v>1.83</v>
      </c>
      <c r="F701" s="24">
        <v>41.51</v>
      </c>
      <c r="G701" s="24">
        <v>2.27</v>
      </c>
      <c r="H701" s="24" t="s">
        <v>6670</v>
      </c>
      <c r="I701" s="24">
        <v>6.25</v>
      </c>
      <c r="J701" s="24">
        <v>0.0</v>
      </c>
    </row>
    <row r="702">
      <c r="A702" s="24">
        <v>867.0</v>
      </c>
      <c r="B702" s="24">
        <v>2.0</v>
      </c>
      <c r="C702" s="44">
        <v>29.02</v>
      </c>
      <c r="D702" s="46">
        <v>44723.0</v>
      </c>
      <c r="E702" s="24">
        <v>14.51</v>
      </c>
      <c r="F702" s="24">
        <v>33.47</v>
      </c>
      <c r="G702" s="24">
        <v>0.23</v>
      </c>
      <c r="H702" s="24" t="s">
        <v>6668</v>
      </c>
      <c r="I702" s="24">
        <v>3.22</v>
      </c>
      <c r="J702" s="24">
        <v>0.0</v>
      </c>
    </row>
    <row r="703">
      <c r="A703" s="24">
        <v>548.0</v>
      </c>
      <c r="B703" s="24">
        <v>4.0</v>
      </c>
      <c r="C703" s="44">
        <v>11.2</v>
      </c>
      <c r="D703" s="46">
        <v>44723.0</v>
      </c>
      <c r="E703" s="24">
        <v>2.8</v>
      </c>
      <c r="F703" s="24">
        <v>20.44</v>
      </c>
      <c r="G703" s="24">
        <v>0.73</v>
      </c>
      <c r="H703" s="24" t="s">
        <v>6664</v>
      </c>
      <c r="I703" s="24">
        <v>5.6</v>
      </c>
      <c r="J703" s="24">
        <v>0.0</v>
      </c>
    </row>
    <row r="704">
      <c r="A704" s="24">
        <v>709.0</v>
      </c>
      <c r="B704" s="24">
        <v>13.0</v>
      </c>
      <c r="C704" s="44">
        <v>54.45</v>
      </c>
      <c r="D704" s="46">
        <v>44723.0</v>
      </c>
      <c r="E704" s="24">
        <v>4.19</v>
      </c>
      <c r="F704" s="24">
        <v>76.8</v>
      </c>
      <c r="G704" s="24">
        <v>1.83</v>
      </c>
      <c r="H704" s="24" t="s">
        <v>6677</v>
      </c>
      <c r="I704" s="24">
        <v>10.89</v>
      </c>
      <c r="J704" s="24">
        <v>0.0</v>
      </c>
    </row>
    <row r="705">
      <c r="A705" s="24">
        <v>1298.0</v>
      </c>
      <c r="B705" s="24">
        <v>15.0</v>
      </c>
      <c r="C705" s="44">
        <v>50.99</v>
      </c>
      <c r="D705" s="46">
        <v>44723.0</v>
      </c>
      <c r="E705" s="24">
        <v>3.4</v>
      </c>
      <c r="F705" s="24">
        <v>39.28</v>
      </c>
      <c r="G705" s="24">
        <v>1.16</v>
      </c>
      <c r="H705" s="24" t="s">
        <v>6678</v>
      </c>
      <c r="I705" s="24">
        <v>50.99</v>
      </c>
      <c r="J705" s="24">
        <v>0.0</v>
      </c>
    </row>
    <row r="706">
      <c r="A706" s="24">
        <v>1212.0</v>
      </c>
      <c r="B706" s="24">
        <v>14.0</v>
      </c>
      <c r="C706" s="44">
        <v>50.95</v>
      </c>
      <c r="D706" s="46">
        <v>44723.0</v>
      </c>
      <c r="E706" s="24">
        <v>3.64</v>
      </c>
      <c r="F706" s="24">
        <v>42.04</v>
      </c>
      <c r="G706" s="24">
        <v>1.16</v>
      </c>
      <c r="H706" s="24" t="s">
        <v>6679</v>
      </c>
      <c r="I706" s="24" t="s">
        <v>6650</v>
      </c>
      <c r="J706" s="24">
        <v>0.0</v>
      </c>
    </row>
    <row r="707">
      <c r="A707" s="24">
        <v>331.0</v>
      </c>
      <c r="B707" s="24">
        <v>7.0</v>
      </c>
      <c r="C707" s="44">
        <v>27.85</v>
      </c>
      <c r="D707" s="46">
        <v>44724.0</v>
      </c>
      <c r="E707" s="24">
        <v>3.98</v>
      </c>
      <c r="F707" s="24">
        <v>84.14</v>
      </c>
      <c r="G707" s="24">
        <v>2.11</v>
      </c>
      <c r="H707" s="24" t="s">
        <v>6672</v>
      </c>
      <c r="I707" s="24">
        <v>9.28</v>
      </c>
      <c r="J707" s="24">
        <v>0.0</v>
      </c>
    </row>
    <row r="708">
      <c r="A708" s="24">
        <v>525.0</v>
      </c>
      <c r="B708" s="24">
        <v>10.0</v>
      </c>
      <c r="C708" s="44">
        <v>36.22</v>
      </c>
      <c r="D708" s="46">
        <v>44724.0</v>
      </c>
      <c r="E708" s="24">
        <v>3.62</v>
      </c>
      <c r="F708" s="24">
        <v>68.99</v>
      </c>
      <c r="G708" s="24">
        <v>1.9</v>
      </c>
      <c r="H708" s="24" t="s">
        <v>6665</v>
      </c>
      <c r="I708" s="24">
        <v>6.04</v>
      </c>
      <c r="J708" s="24">
        <v>0.0</v>
      </c>
    </row>
    <row r="709">
      <c r="A709" s="24">
        <v>1026.0</v>
      </c>
      <c r="B709" s="24">
        <v>8.0</v>
      </c>
      <c r="C709" s="44">
        <v>40.52</v>
      </c>
      <c r="D709" s="46">
        <v>44724.0</v>
      </c>
      <c r="E709" s="24">
        <v>5.07</v>
      </c>
      <c r="F709" s="24">
        <v>39.49</v>
      </c>
      <c r="G709" s="24">
        <v>0.78</v>
      </c>
      <c r="H709" s="24" t="s">
        <v>6674</v>
      </c>
      <c r="I709" s="24">
        <v>10.13</v>
      </c>
      <c r="J709" s="24">
        <v>0.0</v>
      </c>
    </row>
    <row r="710">
      <c r="A710" s="24">
        <v>2812.0</v>
      </c>
      <c r="B710" s="24">
        <v>14.0</v>
      </c>
      <c r="C710" s="44">
        <v>34.33</v>
      </c>
      <c r="D710" s="46">
        <v>44724.0</v>
      </c>
      <c r="E710" s="24">
        <v>2.45</v>
      </c>
      <c r="F710" s="24">
        <v>12.21</v>
      </c>
      <c r="G710" s="24">
        <v>0.5</v>
      </c>
      <c r="H710" s="24" t="s">
        <v>6662</v>
      </c>
      <c r="I710" s="24">
        <v>2.45</v>
      </c>
      <c r="J710" s="24">
        <v>0.0</v>
      </c>
    </row>
    <row r="711">
      <c r="A711" s="24">
        <v>934.0</v>
      </c>
      <c r="B711" s="24">
        <v>3.0</v>
      </c>
      <c r="C711" s="44">
        <v>17.42</v>
      </c>
      <c r="D711" s="46">
        <v>44724.0</v>
      </c>
      <c r="E711" s="24">
        <v>5.81</v>
      </c>
      <c r="F711" s="24">
        <v>18.65</v>
      </c>
      <c r="G711" s="24">
        <v>0.32</v>
      </c>
      <c r="H711" s="24" t="s">
        <v>6671</v>
      </c>
      <c r="I711" s="24">
        <v>1.94</v>
      </c>
      <c r="J711" s="24">
        <v>0.0</v>
      </c>
    </row>
    <row r="712">
      <c r="A712" s="24">
        <v>1254.0</v>
      </c>
      <c r="B712" s="24">
        <v>3.0</v>
      </c>
      <c r="C712" s="44">
        <v>9.37</v>
      </c>
      <c r="D712" s="46">
        <v>44724.0</v>
      </c>
      <c r="E712" s="24">
        <v>3.12</v>
      </c>
      <c r="F712" s="24">
        <v>7.47</v>
      </c>
      <c r="G712" s="24">
        <v>0.24</v>
      </c>
      <c r="H712" s="24" t="s">
        <v>6660</v>
      </c>
      <c r="I712" s="24">
        <v>1.34</v>
      </c>
      <c r="J712" s="24">
        <v>0.0</v>
      </c>
    </row>
    <row r="713">
      <c r="A713" s="24">
        <v>1293.0</v>
      </c>
      <c r="B713" s="24">
        <v>11.0</v>
      </c>
      <c r="C713" s="44">
        <v>49.05</v>
      </c>
      <c r="D713" s="46">
        <v>44724.0</v>
      </c>
      <c r="E713" s="24">
        <v>4.46</v>
      </c>
      <c r="F713" s="24">
        <v>37.94</v>
      </c>
      <c r="G713" s="24">
        <v>0.85</v>
      </c>
      <c r="H713" s="24" t="s">
        <v>6679</v>
      </c>
      <c r="I713" s="24">
        <v>24.52</v>
      </c>
      <c r="J713" s="24">
        <v>0.0</v>
      </c>
    </row>
    <row r="714">
      <c r="A714" s="24">
        <v>1721.0</v>
      </c>
      <c r="B714" s="24">
        <v>6.0</v>
      </c>
      <c r="C714" s="44">
        <v>38.38</v>
      </c>
      <c r="D714" s="46">
        <v>44724.0</v>
      </c>
      <c r="E714" s="24">
        <v>6.4</v>
      </c>
      <c r="F714" s="24">
        <v>22.3</v>
      </c>
      <c r="G714" s="24">
        <v>0.35</v>
      </c>
      <c r="H714" s="24" t="s">
        <v>6669</v>
      </c>
      <c r="I714" s="24">
        <v>3.49</v>
      </c>
      <c r="J714" s="24">
        <v>0.0</v>
      </c>
    </row>
    <row r="715">
      <c r="A715" s="24">
        <v>708.0</v>
      </c>
      <c r="B715" s="24">
        <v>12.0</v>
      </c>
      <c r="C715" s="44">
        <v>18.96</v>
      </c>
      <c r="D715" s="46">
        <v>44724.0</v>
      </c>
      <c r="E715" s="24">
        <v>1.58</v>
      </c>
      <c r="F715" s="24">
        <v>26.78</v>
      </c>
      <c r="G715" s="24">
        <v>1.69</v>
      </c>
      <c r="H715" s="24" t="s">
        <v>6666</v>
      </c>
      <c r="I715" s="24">
        <v>3.16</v>
      </c>
      <c r="J715" s="24">
        <v>0.0</v>
      </c>
    </row>
    <row r="716">
      <c r="A716" s="24">
        <v>437.0</v>
      </c>
      <c r="B716" s="24">
        <v>6.0</v>
      </c>
      <c r="C716" s="44">
        <v>10.1</v>
      </c>
      <c r="D716" s="46">
        <v>44724.0</v>
      </c>
      <c r="E716" s="24">
        <v>1.68</v>
      </c>
      <c r="F716" s="24">
        <v>23.11</v>
      </c>
      <c r="G716" s="24">
        <v>1.37</v>
      </c>
      <c r="H716" s="24" t="s">
        <v>6664</v>
      </c>
      <c r="I716" s="24">
        <v>10.1</v>
      </c>
      <c r="J716" s="24">
        <v>0.0</v>
      </c>
    </row>
    <row r="717">
      <c r="A717" s="24">
        <v>1034.0</v>
      </c>
      <c r="B717" s="24">
        <v>5.0</v>
      </c>
      <c r="C717" s="44">
        <v>31.04</v>
      </c>
      <c r="D717" s="46">
        <v>44724.0</v>
      </c>
      <c r="E717" s="24">
        <v>6.21</v>
      </c>
      <c r="F717" s="24">
        <v>30.02</v>
      </c>
      <c r="G717" s="24">
        <v>0.48</v>
      </c>
      <c r="H717" s="24" t="s">
        <v>6673</v>
      </c>
      <c r="I717" s="24">
        <v>4.43</v>
      </c>
      <c r="J717" s="24">
        <v>0.0</v>
      </c>
    </row>
    <row r="718">
      <c r="A718" s="24">
        <v>1306.0</v>
      </c>
      <c r="B718" s="24">
        <v>20.0</v>
      </c>
      <c r="C718" s="44">
        <v>45.0</v>
      </c>
      <c r="D718" s="46">
        <v>44724.0</v>
      </c>
      <c r="E718" s="24">
        <v>2.25</v>
      </c>
      <c r="F718" s="24">
        <v>34.46</v>
      </c>
      <c r="G718" s="24">
        <v>1.53</v>
      </c>
      <c r="H718" s="24" t="s">
        <v>6675</v>
      </c>
      <c r="I718" s="24">
        <v>6.43</v>
      </c>
      <c r="J718" s="24">
        <v>0.0</v>
      </c>
    </row>
    <row r="719">
      <c r="A719" s="24">
        <v>1712.0</v>
      </c>
      <c r="B719" s="24">
        <v>21.0</v>
      </c>
      <c r="C719" s="44">
        <v>49.01</v>
      </c>
      <c r="D719" s="46">
        <v>44724.0</v>
      </c>
      <c r="E719" s="24">
        <v>2.33</v>
      </c>
      <c r="F719" s="24">
        <v>28.63</v>
      </c>
      <c r="G719" s="24">
        <v>1.23</v>
      </c>
      <c r="H719" s="24" t="s">
        <v>6678</v>
      </c>
      <c r="I719" s="24">
        <v>16.34</v>
      </c>
      <c r="J719" s="24">
        <v>0.0</v>
      </c>
    </row>
    <row r="720">
      <c r="A720" s="24">
        <v>863.0</v>
      </c>
      <c r="B720" s="24">
        <v>1.0</v>
      </c>
      <c r="C720" s="44">
        <v>35.01</v>
      </c>
      <c r="D720" s="46">
        <v>44724.0</v>
      </c>
      <c r="E720" s="24">
        <v>35.01</v>
      </c>
      <c r="F720" s="24">
        <v>40.57</v>
      </c>
      <c r="G720" s="24">
        <v>0.12</v>
      </c>
      <c r="H720" s="24" t="s">
        <v>6667</v>
      </c>
      <c r="I720" s="24">
        <v>7.0</v>
      </c>
      <c r="J720" s="24">
        <v>0.0</v>
      </c>
    </row>
    <row r="721">
      <c r="A721" s="24">
        <v>2183.0</v>
      </c>
      <c r="B721" s="24">
        <v>23.0</v>
      </c>
      <c r="C721" s="44">
        <v>75.0</v>
      </c>
      <c r="D721" s="46">
        <v>44724.0</v>
      </c>
      <c r="E721" s="24">
        <v>3.26</v>
      </c>
      <c r="F721" s="24">
        <v>34.36</v>
      </c>
      <c r="G721" s="24">
        <v>1.05</v>
      </c>
      <c r="H721" s="24" t="s">
        <v>6670</v>
      </c>
      <c r="I721" s="24">
        <v>6.25</v>
      </c>
      <c r="J721" s="24">
        <v>0.0</v>
      </c>
    </row>
    <row r="722">
      <c r="A722" s="24">
        <v>1031.0</v>
      </c>
      <c r="B722" s="24">
        <v>21.0</v>
      </c>
      <c r="C722" s="44">
        <v>60.0</v>
      </c>
      <c r="D722" s="46">
        <v>44724.0</v>
      </c>
      <c r="E722" s="24">
        <v>2.86</v>
      </c>
      <c r="F722" s="24">
        <v>58.2</v>
      </c>
      <c r="G722" s="24">
        <v>2.04</v>
      </c>
      <c r="H722" s="24" t="s">
        <v>6677</v>
      </c>
      <c r="I722" s="24">
        <v>12.0</v>
      </c>
      <c r="J722" s="24">
        <v>0.0</v>
      </c>
    </row>
    <row r="723">
      <c r="A723" s="24">
        <v>365.0</v>
      </c>
      <c r="B723" s="24">
        <v>0.0</v>
      </c>
      <c r="C723" s="44">
        <v>19.26</v>
      </c>
      <c r="D723" s="46">
        <v>44724.0</v>
      </c>
      <c r="E723" s="24" t="s">
        <v>6650</v>
      </c>
      <c r="F723" s="24">
        <v>52.77</v>
      </c>
      <c r="G723" s="24">
        <v>0.0</v>
      </c>
      <c r="H723" s="24" t="s">
        <v>6676</v>
      </c>
      <c r="I723" s="24">
        <v>19.26</v>
      </c>
      <c r="J723" s="24">
        <v>0.0</v>
      </c>
    </row>
    <row r="724">
      <c r="A724" s="24">
        <v>852.0</v>
      </c>
      <c r="B724" s="24">
        <v>3.0</v>
      </c>
      <c r="C724" s="44">
        <v>29.28</v>
      </c>
      <c r="D724" s="46">
        <v>44724.0</v>
      </c>
      <c r="E724" s="24">
        <v>9.76</v>
      </c>
      <c r="F724" s="24">
        <v>34.37</v>
      </c>
      <c r="G724" s="24">
        <v>0.35</v>
      </c>
      <c r="H724" s="24" t="s">
        <v>6668</v>
      </c>
      <c r="I724" s="24">
        <v>5.86</v>
      </c>
      <c r="J724" s="24">
        <v>0.0</v>
      </c>
    </row>
    <row r="725">
      <c r="A725" s="24">
        <v>1065.0</v>
      </c>
      <c r="B725" s="24">
        <v>6.0</v>
      </c>
      <c r="C725" s="44">
        <v>41.14</v>
      </c>
      <c r="D725" s="46">
        <v>44725.0</v>
      </c>
      <c r="E725" s="24">
        <v>6.86</v>
      </c>
      <c r="F725" s="24">
        <v>38.63</v>
      </c>
      <c r="G725" s="24">
        <v>0.56</v>
      </c>
      <c r="H725" s="24" t="s">
        <v>6679</v>
      </c>
      <c r="I725" s="24">
        <v>41.14</v>
      </c>
      <c r="J725" s="24">
        <v>0.0</v>
      </c>
    </row>
    <row r="726">
      <c r="A726" s="24">
        <v>924.0</v>
      </c>
      <c r="B726" s="24">
        <v>1.0</v>
      </c>
      <c r="C726" s="44">
        <v>31.89</v>
      </c>
      <c r="D726" s="46">
        <v>44725.0</v>
      </c>
      <c r="E726" s="24">
        <v>31.89</v>
      </c>
      <c r="F726" s="24">
        <v>34.51</v>
      </c>
      <c r="G726" s="24">
        <v>0.11</v>
      </c>
      <c r="H726" s="24" t="s">
        <v>6668</v>
      </c>
      <c r="I726" s="24">
        <v>4.56</v>
      </c>
      <c r="J726" s="24">
        <v>0.0</v>
      </c>
    </row>
    <row r="727">
      <c r="A727" s="24">
        <v>1179.0</v>
      </c>
      <c r="B727" s="24">
        <v>1.0</v>
      </c>
      <c r="C727" s="44">
        <v>34.45</v>
      </c>
      <c r="D727" s="46">
        <v>44725.0</v>
      </c>
      <c r="E727" s="24">
        <v>34.45</v>
      </c>
      <c r="F727" s="24">
        <v>29.22</v>
      </c>
      <c r="G727" s="24">
        <v>0.08</v>
      </c>
      <c r="H727" s="24" t="s">
        <v>6673</v>
      </c>
      <c r="I727" s="24">
        <v>2.65</v>
      </c>
      <c r="J727" s="24">
        <v>0.0</v>
      </c>
    </row>
    <row r="728">
      <c r="A728" s="24">
        <v>1218.0</v>
      </c>
      <c r="B728" s="24">
        <v>22.0</v>
      </c>
      <c r="C728" s="44">
        <v>31.35</v>
      </c>
      <c r="D728" s="46">
        <v>44725.0</v>
      </c>
      <c r="E728" s="24">
        <v>1.42</v>
      </c>
      <c r="F728" s="24">
        <v>25.74</v>
      </c>
      <c r="G728" s="24">
        <v>1.81</v>
      </c>
      <c r="H728" s="24" t="s">
        <v>6675</v>
      </c>
      <c r="I728" s="24">
        <v>7.84</v>
      </c>
      <c r="J728" s="24">
        <v>0.0</v>
      </c>
    </row>
    <row r="729">
      <c r="A729" s="24">
        <v>565.0</v>
      </c>
      <c r="B729" s="24">
        <v>9.0</v>
      </c>
      <c r="C729" s="44">
        <v>16.55</v>
      </c>
      <c r="D729" s="46">
        <v>44725.0</v>
      </c>
      <c r="E729" s="24">
        <v>1.84</v>
      </c>
      <c r="F729" s="24">
        <v>29.29</v>
      </c>
      <c r="G729" s="24">
        <v>1.59</v>
      </c>
      <c r="H729" s="24" t="s">
        <v>6674</v>
      </c>
      <c r="I729" s="24">
        <v>2.76</v>
      </c>
      <c r="J729" s="24">
        <v>0.0</v>
      </c>
    </row>
    <row r="730">
      <c r="A730" s="24">
        <v>992.0</v>
      </c>
      <c r="B730" s="24">
        <v>21.0</v>
      </c>
      <c r="C730" s="44">
        <v>46.74</v>
      </c>
      <c r="D730" s="46">
        <v>44725.0</v>
      </c>
      <c r="E730" s="24">
        <v>2.23</v>
      </c>
      <c r="F730" s="24">
        <v>47.12</v>
      </c>
      <c r="G730" s="24">
        <v>2.12</v>
      </c>
      <c r="H730" s="24" t="s">
        <v>6678</v>
      </c>
      <c r="I730" s="24">
        <v>9.35</v>
      </c>
      <c r="J730" s="24">
        <v>0.0</v>
      </c>
    </row>
    <row r="731">
      <c r="A731" s="24">
        <v>554.0</v>
      </c>
      <c r="B731" s="24">
        <v>2.0</v>
      </c>
      <c r="C731" s="44">
        <v>52.21</v>
      </c>
      <c r="D731" s="46">
        <v>44725.0</v>
      </c>
      <c r="E731" s="24">
        <v>26.1</v>
      </c>
      <c r="F731" s="24">
        <v>94.24</v>
      </c>
      <c r="G731" s="24">
        <v>0.36</v>
      </c>
      <c r="H731" s="24" t="s">
        <v>6672</v>
      </c>
      <c r="I731" s="24">
        <v>10.44</v>
      </c>
      <c r="J731" s="24">
        <v>0.0</v>
      </c>
    </row>
    <row r="732">
      <c r="A732" s="24">
        <v>1204.0</v>
      </c>
      <c r="B732" s="24">
        <v>3.0</v>
      </c>
      <c r="C732" s="44">
        <v>20.65</v>
      </c>
      <c r="D732" s="46">
        <v>44725.0</v>
      </c>
      <c r="E732" s="24">
        <v>6.88</v>
      </c>
      <c r="F732" s="24">
        <v>17.15</v>
      </c>
      <c r="G732" s="24">
        <v>0.25</v>
      </c>
      <c r="H732" s="24" t="s">
        <v>6671</v>
      </c>
      <c r="I732" s="24">
        <v>5.16</v>
      </c>
      <c r="J732" s="24">
        <v>0.0</v>
      </c>
    </row>
    <row r="733">
      <c r="A733" s="24">
        <v>2341.0</v>
      </c>
      <c r="B733" s="24">
        <v>39.0</v>
      </c>
      <c r="C733" s="44">
        <v>24.17</v>
      </c>
      <c r="D733" s="46">
        <v>44725.0</v>
      </c>
      <c r="E733" s="24">
        <v>0.62</v>
      </c>
      <c r="F733" s="24">
        <v>10.32</v>
      </c>
      <c r="G733" s="24">
        <v>1.67</v>
      </c>
      <c r="H733" s="24" t="s">
        <v>6662</v>
      </c>
      <c r="I733" s="24">
        <v>1.73</v>
      </c>
      <c r="J733" s="24">
        <v>0.0</v>
      </c>
    </row>
    <row r="734">
      <c r="A734" s="24">
        <v>693.0</v>
      </c>
      <c r="B734" s="24">
        <v>12.0</v>
      </c>
      <c r="C734" s="44">
        <v>55.18</v>
      </c>
      <c r="D734" s="46">
        <v>44725.0</v>
      </c>
      <c r="E734" s="24">
        <v>4.6</v>
      </c>
      <c r="F734" s="24">
        <v>79.62</v>
      </c>
      <c r="G734" s="24">
        <v>1.73</v>
      </c>
      <c r="H734" s="24" t="s">
        <v>6665</v>
      </c>
      <c r="I734" s="24">
        <v>6.13</v>
      </c>
      <c r="J734" s="24">
        <v>0.0</v>
      </c>
    </row>
    <row r="735">
      <c r="A735" s="24">
        <v>1309.0</v>
      </c>
      <c r="B735" s="24">
        <v>1.0</v>
      </c>
      <c r="C735" s="44">
        <v>57.93</v>
      </c>
      <c r="D735" s="46">
        <v>44725.0</v>
      </c>
      <c r="E735" s="24">
        <v>57.93</v>
      </c>
      <c r="F735" s="24">
        <v>44.26</v>
      </c>
      <c r="G735" s="24">
        <v>0.08</v>
      </c>
      <c r="H735" s="24" t="s">
        <v>6667</v>
      </c>
      <c r="I735" s="24">
        <v>14.48</v>
      </c>
      <c r="J735" s="24">
        <v>0.0</v>
      </c>
    </row>
    <row r="736">
      <c r="A736" s="24">
        <v>2028.0</v>
      </c>
      <c r="B736" s="24">
        <v>15.0</v>
      </c>
      <c r="C736" s="44">
        <v>51.41</v>
      </c>
      <c r="D736" s="46">
        <v>44725.0</v>
      </c>
      <c r="E736" s="24">
        <v>3.43</v>
      </c>
      <c r="F736" s="24">
        <v>25.35</v>
      </c>
      <c r="G736" s="24">
        <v>0.74</v>
      </c>
      <c r="H736" s="24" t="s">
        <v>6670</v>
      </c>
      <c r="I736" s="24">
        <v>8.57</v>
      </c>
      <c r="J736" s="24">
        <v>0.0</v>
      </c>
    </row>
    <row r="737">
      <c r="A737" s="24">
        <v>1037.0</v>
      </c>
      <c r="B737" s="24">
        <v>15.0</v>
      </c>
      <c r="C737" s="44">
        <v>21.68</v>
      </c>
      <c r="D737" s="46">
        <v>44725.0</v>
      </c>
      <c r="E737" s="24">
        <v>1.45</v>
      </c>
      <c r="F737" s="24">
        <v>20.91</v>
      </c>
      <c r="G737" s="24">
        <v>1.45</v>
      </c>
      <c r="H737" s="24" t="s">
        <v>6664</v>
      </c>
      <c r="I737" s="24">
        <v>2.41</v>
      </c>
      <c r="J737" s="24">
        <v>0.0</v>
      </c>
    </row>
    <row r="738">
      <c r="A738" s="24">
        <v>782.0</v>
      </c>
      <c r="B738" s="24">
        <v>7.0</v>
      </c>
      <c r="C738" s="44">
        <v>42.02</v>
      </c>
      <c r="D738" s="46">
        <v>44725.0</v>
      </c>
      <c r="E738" s="24">
        <v>6.0</v>
      </c>
      <c r="F738" s="24">
        <v>53.73</v>
      </c>
      <c r="G738" s="24">
        <v>0.9</v>
      </c>
      <c r="H738" s="24" t="s">
        <v>6677</v>
      </c>
      <c r="I738" s="24">
        <v>7.0</v>
      </c>
      <c r="J738" s="24">
        <v>0.0</v>
      </c>
    </row>
    <row r="739">
      <c r="A739" s="24">
        <v>2669.0</v>
      </c>
      <c r="B739" s="24">
        <v>12.0</v>
      </c>
      <c r="C739" s="44">
        <v>18.3</v>
      </c>
      <c r="D739" s="46">
        <v>44725.0</v>
      </c>
      <c r="E739" s="24">
        <v>1.52</v>
      </c>
      <c r="F739" s="24">
        <v>6.86</v>
      </c>
      <c r="G739" s="24">
        <v>0.45</v>
      </c>
      <c r="H739" s="24" t="s">
        <v>6660</v>
      </c>
      <c r="I739" s="24">
        <v>1.52</v>
      </c>
      <c r="J739" s="24">
        <v>0.0</v>
      </c>
    </row>
    <row r="740">
      <c r="A740" s="24">
        <v>647.0</v>
      </c>
      <c r="B740" s="24">
        <v>1.0</v>
      </c>
      <c r="C740" s="44">
        <v>33.51</v>
      </c>
      <c r="D740" s="46">
        <v>44725.0</v>
      </c>
      <c r="E740" s="24">
        <v>33.51</v>
      </c>
      <c r="F740" s="24">
        <v>51.79</v>
      </c>
      <c r="G740" s="24">
        <v>0.15</v>
      </c>
      <c r="H740" s="24" t="s">
        <v>6676</v>
      </c>
      <c r="I740" s="24">
        <v>11.17</v>
      </c>
      <c r="J740" s="24">
        <v>0.0</v>
      </c>
    </row>
    <row r="741">
      <c r="A741" s="24">
        <v>2259.0</v>
      </c>
      <c r="B741" s="24">
        <v>11.0</v>
      </c>
      <c r="C741" s="44">
        <v>42.62</v>
      </c>
      <c r="D741" s="46">
        <v>44725.0</v>
      </c>
      <c r="E741" s="24">
        <v>3.87</v>
      </c>
      <c r="F741" s="24">
        <v>18.87</v>
      </c>
      <c r="G741" s="24">
        <v>0.49</v>
      </c>
      <c r="H741" s="24" t="s">
        <v>6669</v>
      </c>
      <c r="I741" s="24">
        <v>2.24</v>
      </c>
      <c r="J741" s="24">
        <v>0.0</v>
      </c>
    </row>
    <row r="742">
      <c r="A742" s="24">
        <v>1079.0</v>
      </c>
      <c r="B742" s="24">
        <v>19.0</v>
      </c>
      <c r="C742" s="44">
        <v>37.35</v>
      </c>
      <c r="D742" s="46">
        <v>44725.0</v>
      </c>
      <c r="E742" s="24">
        <v>1.97</v>
      </c>
      <c r="F742" s="24">
        <v>34.62</v>
      </c>
      <c r="G742" s="24">
        <v>1.76</v>
      </c>
      <c r="H742" s="24" t="s">
        <v>6666</v>
      </c>
      <c r="I742" s="24">
        <v>4.67</v>
      </c>
      <c r="J742" s="24">
        <v>0.0</v>
      </c>
    </row>
    <row r="743">
      <c r="A743" s="24">
        <v>33.0</v>
      </c>
      <c r="B743" s="24">
        <v>0.0</v>
      </c>
      <c r="C743" s="44">
        <v>1.93</v>
      </c>
      <c r="D743" s="46">
        <v>44726.0</v>
      </c>
      <c r="E743" s="24" t="s">
        <v>6650</v>
      </c>
      <c r="F743" s="24">
        <v>58.48</v>
      </c>
      <c r="G743" s="24">
        <v>0.0</v>
      </c>
      <c r="H743" s="24" t="s">
        <v>6680</v>
      </c>
      <c r="I743" s="24" t="s">
        <v>6650</v>
      </c>
      <c r="J743" s="24">
        <v>0.0</v>
      </c>
    </row>
    <row r="744">
      <c r="A744" s="24">
        <v>504.0</v>
      </c>
      <c r="B744" s="24">
        <v>13.0</v>
      </c>
      <c r="C744" s="44">
        <v>11.54</v>
      </c>
      <c r="D744" s="46">
        <v>44726.0</v>
      </c>
      <c r="E744" s="24">
        <v>0.89</v>
      </c>
      <c r="F744" s="24">
        <v>22.9</v>
      </c>
      <c r="G744" s="24">
        <v>2.58</v>
      </c>
      <c r="H744" s="24" t="s">
        <v>6666</v>
      </c>
      <c r="I744" s="24">
        <v>1.05</v>
      </c>
      <c r="J744" s="24">
        <v>0.0</v>
      </c>
    </row>
    <row r="745">
      <c r="A745" s="24">
        <v>1336.0</v>
      </c>
      <c r="B745" s="24">
        <v>10.0</v>
      </c>
      <c r="C745" s="44">
        <v>48.16</v>
      </c>
      <c r="D745" s="46">
        <v>44726.0</v>
      </c>
      <c r="E745" s="24">
        <v>4.82</v>
      </c>
      <c r="F745" s="24">
        <v>36.05</v>
      </c>
      <c r="G745" s="24">
        <v>0.75</v>
      </c>
      <c r="H745" s="24" t="s">
        <v>6669</v>
      </c>
      <c r="I745" s="24">
        <v>3.44</v>
      </c>
      <c r="J745" s="24">
        <v>0.0</v>
      </c>
    </row>
    <row r="746">
      <c r="A746" s="24">
        <v>197.0</v>
      </c>
      <c r="B746" s="24">
        <v>3.0</v>
      </c>
      <c r="C746" s="44">
        <v>8.98</v>
      </c>
      <c r="D746" s="46">
        <v>44726.0</v>
      </c>
      <c r="E746" s="24">
        <v>2.99</v>
      </c>
      <c r="F746" s="24">
        <v>45.58</v>
      </c>
      <c r="G746" s="24">
        <v>1.52</v>
      </c>
      <c r="H746" s="24" t="s">
        <v>6677</v>
      </c>
      <c r="I746" s="24">
        <v>1.0</v>
      </c>
      <c r="J746" s="24">
        <v>0.0</v>
      </c>
    </row>
    <row r="747">
      <c r="A747" s="24">
        <v>723.0</v>
      </c>
      <c r="B747" s="24">
        <v>4.0</v>
      </c>
      <c r="C747" s="44">
        <v>15.71</v>
      </c>
      <c r="D747" s="46">
        <v>44726.0</v>
      </c>
      <c r="E747" s="24">
        <v>3.93</v>
      </c>
      <c r="F747" s="24">
        <v>21.73</v>
      </c>
      <c r="G747" s="24">
        <v>0.55</v>
      </c>
      <c r="H747" s="24" t="s">
        <v>6670</v>
      </c>
      <c r="I747" s="24">
        <v>15.71</v>
      </c>
      <c r="J747" s="24">
        <v>0.0</v>
      </c>
    </row>
    <row r="748">
      <c r="A748" s="24">
        <v>1064.0</v>
      </c>
      <c r="B748" s="24">
        <v>13.0</v>
      </c>
      <c r="C748" s="44">
        <v>16.84</v>
      </c>
      <c r="D748" s="46">
        <v>44726.0</v>
      </c>
      <c r="E748" s="24">
        <v>1.3</v>
      </c>
      <c r="F748" s="24">
        <v>15.83</v>
      </c>
      <c r="G748" s="24">
        <v>1.22</v>
      </c>
      <c r="H748" s="24" t="s">
        <v>6664</v>
      </c>
      <c r="I748" s="24">
        <v>1.68</v>
      </c>
      <c r="J748" s="24">
        <v>0.0</v>
      </c>
    </row>
    <row r="749">
      <c r="A749" s="24">
        <v>290.0</v>
      </c>
      <c r="B749" s="24">
        <v>7.0</v>
      </c>
      <c r="C749" s="44">
        <v>26.72</v>
      </c>
      <c r="D749" s="46">
        <v>44726.0</v>
      </c>
      <c r="E749" s="24">
        <v>3.82</v>
      </c>
      <c r="F749" s="24">
        <v>92.14</v>
      </c>
      <c r="G749" s="24">
        <v>2.41</v>
      </c>
      <c r="H749" s="24" t="s">
        <v>6676</v>
      </c>
      <c r="I749" s="24">
        <v>2.67</v>
      </c>
      <c r="J749" s="24">
        <v>0.0</v>
      </c>
    </row>
    <row r="750">
      <c r="A750" s="24">
        <v>343.0</v>
      </c>
      <c r="B750" s="24">
        <v>4.0</v>
      </c>
      <c r="C750" s="44">
        <v>12.51</v>
      </c>
      <c r="D750" s="46">
        <v>44726.0</v>
      </c>
      <c r="E750" s="24">
        <v>3.13</v>
      </c>
      <c r="F750" s="24">
        <v>36.47</v>
      </c>
      <c r="G750" s="24">
        <v>1.17</v>
      </c>
      <c r="H750" s="24" t="s">
        <v>6675</v>
      </c>
      <c r="I750" s="24">
        <v>12.51</v>
      </c>
      <c r="J750" s="24">
        <v>0.0</v>
      </c>
    </row>
    <row r="751">
      <c r="A751" s="24">
        <v>383.0</v>
      </c>
      <c r="B751" s="24">
        <v>3.0</v>
      </c>
      <c r="C751" s="44">
        <v>6.24</v>
      </c>
      <c r="D751" s="46">
        <v>44726.0</v>
      </c>
      <c r="E751" s="24">
        <v>2.08</v>
      </c>
      <c r="F751" s="24">
        <v>16.29</v>
      </c>
      <c r="G751" s="24">
        <v>0.78</v>
      </c>
      <c r="H751" s="24" t="s">
        <v>6671</v>
      </c>
      <c r="I751" s="24">
        <v>6.24</v>
      </c>
      <c r="J751" s="24">
        <v>0.0</v>
      </c>
    </row>
    <row r="752">
      <c r="A752" s="24">
        <v>548.0</v>
      </c>
      <c r="B752" s="24">
        <v>5.0</v>
      </c>
      <c r="C752" s="44">
        <v>24.35</v>
      </c>
      <c r="D752" s="46">
        <v>44726.0</v>
      </c>
      <c r="E752" s="24">
        <v>4.87</v>
      </c>
      <c r="F752" s="24">
        <v>44.43</v>
      </c>
      <c r="G752" s="24">
        <v>0.91</v>
      </c>
      <c r="H752" s="24" t="s">
        <v>6678</v>
      </c>
      <c r="I752" s="24">
        <v>24.35</v>
      </c>
      <c r="J752" s="24">
        <v>0.0</v>
      </c>
    </row>
    <row r="753">
      <c r="A753" s="24">
        <v>506.0</v>
      </c>
      <c r="B753" s="24">
        <v>4.0</v>
      </c>
      <c r="C753" s="44">
        <v>18.33</v>
      </c>
      <c r="D753" s="46">
        <v>44726.0</v>
      </c>
      <c r="E753" s="24">
        <v>4.58</v>
      </c>
      <c r="F753" s="24">
        <v>36.23</v>
      </c>
      <c r="G753" s="24">
        <v>0.79</v>
      </c>
      <c r="H753" s="24" t="s">
        <v>6679</v>
      </c>
      <c r="I753" s="24" t="s">
        <v>6650</v>
      </c>
      <c r="J753" s="24">
        <v>0.0</v>
      </c>
    </row>
    <row r="754">
      <c r="A754" s="24">
        <v>266.0</v>
      </c>
      <c r="B754" s="24">
        <v>0.0</v>
      </c>
      <c r="C754" s="44">
        <v>4.85</v>
      </c>
      <c r="D754" s="46">
        <v>44726.0</v>
      </c>
      <c r="E754" s="24" t="s">
        <v>6650</v>
      </c>
      <c r="F754" s="24">
        <v>18.23</v>
      </c>
      <c r="G754" s="24">
        <v>0.0</v>
      </c>
      <c r="H754" s="24" t="s">
        <v>6668</v>
      </c>
      <c r="I754" s="24">
        <v>0.54</v>
      </c>
      <c r="J754" s="24">
        <v>0.0</v>
      </c>
    </row>
    <row r="755">
      <c r="A755" s="24">
        <v>1135.0</v>
      </c>
      <c r="B755" s="24">
        <v>7.0</v>
      </c>
      <c r="C755" s="44">
        <v>58.45</v>
      </c>
      <c r="D755" s="46">
        <v>44726.0</v>
      </c>
      <c r="E755" s="24">
        <v>8.35</v>
      </c>
      <c r="F755" s="24">
        <v>51.5</v>
      </c>
      <c r="G755" s="24">
        <v>0.62</v>
      </c>
      <c r="H755" s="24" t="s">
        <v>6672</v>
      </c>
      <c r="I755" s="24">
        <v>8.35</v>
      </c>
      <c r="J755" s="24">
        <v>0.0</v>
      </c>
    </row>
    <row r="756">
      <c r="A756" s="24">
        <v>678.0</v>
      </c>
      <c r="B756" s="24">
        <v>18.0</v>
      </c>
      <c r="C756" s="44">
        <v>51.51</v>
      </c>
      <c r="D756" s="46">
        <v>44726.0</v>
      </c>
      <c r="E756" s="24">
        <v>2.86</v>
      </c>
      <c r="F756" s="24">
        <v>75.97</v>
      </c>
      <c r="G756" s="24">
        <v>2.65</v>
      </c>
      <c r="H756" s="24" t="s">
        <v>6665</v>
      </c>
      <c r="I756" s="24">
        <v>3.96</v>
      </c>
      <c r="J756" s="24">
        <v>0.0</v>
      </c>
    </row>
    <row r="757">
      <c r="A757" s="24">
        <v>514.0</v>
      </c>
      <c r="B757" s="24">
        <v>7.0</v>
      </c>
      <c r="C757" s="44">
        <v>6.01</v>
      </c>
      <c r="D757" s="46">
        <v>44726.0</v>
      </c>
      <c r="E757" s="24">
        <v>0.86</v>
      </c>
      <c r="F757" s="24">
        <v>11.69</v>
      </c>
      <c r="G757" s="24">
        <v>1.36</v>
      </c>
      <c r="H757" s="24" t="s">
        <v>6662</v>
      </c>
      <c r="I757" s="24">
        <v>0.75</v>
      </c>
      <c r="J757" s="24">
        <v>0.0</v>
      </c>
    </row>
    <row r="758">
      <c r="A758" s="24">
        <v>580.0</v>
      </c>
      <c r="B758" s="24">
        <v>2.0</v>
      </c>
      <c r="C758" s="44">
        <v>30.41</v>
      </c>
      <c r="D758" s="46">
        <v>44726.0</v>
      </c>
      <c r="E758" s="24">
        <v>15.2</v>
      </c>
      <c r="F758" s="24">
        <v>52.43</v>
      </c>
      <c r="G758" s="24">
        <v>0.34</v>
      </c>
      <c r="H758" s="24" t="s">
        <v>6673</v>
      </c>
      <c r="I758" s="24">
        <v>3.8</v>
      </c>
      <c r="J758" s="24">
        <v>0.0</v>
      </c>
    </row>
    <row r="759">
      <c r="A759" s="24">
        <v>816.0</v>
      </c>
      <c r="B759" s="24">
        <v>0.0</v>
      </c>
      <c r="C759" s="44">
        <v>51.56</v>
      </c>
      <c r="D759" s="46">
        <v>44726.0</v>
      </c>
      <c r="E759" s="24" t="s">
        <v>6650</v>
      </c>
      <c r="F759" s="24">
        <v>63.19</v>
      </c>
      <c r="G759" s="24">
        <v>0.0</v>
      </c>
      <c r="H759" s="24" t="s">
        <v>6667</v>
      </c>
      <c r="I759" s="24">
        <v>5.73</v>
      </c>
      <c r="J759" s="24">
        <v>0.0</v>
      </c>
    </row>
    <row r="760">
      <c r="A760" s="24">
        <v>310.0</v>
      </c>
      <c r="B760" s="24">
        <v>3.0</v>
      </c>
      <c r="C760" s="44">
        <v>11.64</v>
      </c>
      <c r="D760" s="46">
        <v>44726.0</v>
      </c>
      <c r="E760" s="24">
        <v>3.88</v>
      </c>
      <c r="F760" s="24">
        <v>37.55</v>
      </c>
      <c r="G760" s="24">
        <v>0.97</v>
      </c>
      <c r="H760" s="24" t="s">
        <v>6674</v>
      </c>
      <c r="I760" s="24">
        <v>11.64</v>
      </c>
      <c r="J760" s="24">
        <v>0.0</v>
      </c>
    </row>
    <row r="761">
      <c r="A761" s="24">
        <v>2238.0</v>
      </c>
      <c r="B761" s="24">
        <v>11.0</v>
      </c>
      <c r="C761" s="44">
        <v>21.26</v>
      </c>
      <c r="D761" s="46">
        <v>44726.0</v>
      </c>
      <c r="E761" s="24">
        <v>1.93</v>
      </c>
      <c r="F761" s="24">
        <v>9.5</v>
      </c>
      <c r="G761" s="24">
        <v>0.49</v>
      </c>
      <c r="H761" s="24" t="s">
        <v>6660</v>
      </c>
      <c r="I761" s="24">
        <v>1.25</v>
      </c>
      <c r="J761" s="24">
        <v>0.0</v>
      </c>
    </row>
    <row r="762">
      <c r="A762" s="24">
        <v>1051.0</v>
      </c>
      <c r="B762" s="24">
        <v>5.0</v>
      </c>
      <c r="C762" s="44">
        <v>84.3</v>
      </c>
      <c r="D762" s="46">
        <v>44727.0</v>
      </c>
      <c r="E762" s="24">
        <v>16.86</v>
      </c>
      <c r="F762" s="24">
        <v>80.21</v>
      </c>
      <c r="G762" s="24">
        <v>0.48</v>
      </c>
      <c r="H762" s="24" t="s">
        <v>6667</v>
      </c>
      <c r="I762" s="24">
        <v>14.05</v>
      </c>
      <c r="J762" s="24">
        <v>0.0</v>
      </c>
    </row>
    <row r="763">
      <c r="A763" s="24">
        <v>399.0</v>
      </c>
      <c r="B763" s="24">
        <v>8.0</v>
      </c>
      <c r="C763" s="44">
        <v>35.25</v>
      </c>
      <c r="D763" s="46">
        <v>44727.0</v>
      </c>
      <c r="E763" s="24">
        <v>4.41</v>
      </c>
      <c r="F763" s="24">
        <v>88.35</v>
      </c>
      <c r="G763" s="24">
        <v>2.01</v>
      </c>
      <c r="H763" s="24" t="s">
        <v>6677</v>
      </c>
      <c r="I763" s="24">
        <v>4.41</v>
      </c>
      <c r="J763" s="24">
        <v>0.0</v>
      </c>
    </row>
    <row r="764">
      <c r="A764" s="24">
        <v>3669.0</v>
      </c>
      <c r="B764" s="24">
        <v>206.0</v>
      </c>
      <c r="C764" s="44">
        <v>100.65</v>
      </c>
      <c r="D764" s="46">
        <v>44727.0</v>
      </c>
      <c r="E764" s="24">
        <v>0.49</v>
      </c>
      <c r="F764" s="24">
        <v>27.43</v>
      </c>
      <c r="G764" s="24">
        <v>5.61</v>
      </c>
      <c r="H764" s="24" t="s">
        <v>6681</v>
      </c>
      <c r="I764" s="24">
        <v>0.48</v>
      </c>
      <c r="J764" s="24">
        <v>0.0</v>
      </c>
    </row>
    <row r="765">
      <c r="A765" s="24">
        <v>772.0</v>
      </c>
      <c r="B765" s="24">
        <v>8.0</v>
      </c>
      <c r="C765" s="44">
        <v>37.81</v>
      </c>
      <c r="D765" s="46">
        <v>44727.0</v>
      </c>
      <c r="E765" s="24">
        <v>4.73</v>
      </c>
      <c r="F765" s="24">
        <v>48.98</v>
      </c>
      <c r="G765" s="24">
        <v>1.04</v>
      </c>
      <c r="H765" s="24" t="s">
        <v>6668</v>
      </c>
      <c r="I765" s="24">
        <v>4.2</v>
      </c>
      <c r="J765" s="24">
        <v>0.0</v>
      </c>
    </row>
    <row r="766">
      <c r="A766" s="24">
        <v>2277.0</v>
      </c>
      <c r="B766" s="24">
        <v>11.0</v>
      </c>
      <c r="C766" s="44">
        <v>24.18</v>
      </c>
      <c r="D766" s="46">
        <v>44727.0</v>
      </c>
      <c r="E766" s="24">
        <v>2.2</v>
      </c>
      <c r="F766" s="24">
        <v>10.62</v>
      </c>
      <c r="G766" s="24">
        <v>0.48</v>
      </c>
      <c r="H766" s="24" t="s">
        <v>6660</v>
      </c>
      <c r="I766" s="24">
        <v>1.15</v>
      </c>
      <c r="J766" s="24">
        <v>0.0</v>
      </c>
    </row>
    <row r="767">
      <c r="A767" s="24">
        <v>613.0</v>
      </c>
      <c r="B767" s="24">
        <v>6.0</v>
      </c>
      <c r="C767" s="44">
        <v>59.67</v>
      </c>
      <c r="D767" s="46">
        <v>44727.0</v>
      </c>
      <c r="E767" s="24">
        <v>9.94</v>
      </c>
      <c r="F767" s="24">
        <v>97.34</v>
      </c>
      <c r="G767" s="24">
        <v>0.98</v>
      </c>
      <c r="H767" s="24" t="s">
        <v>6680</v>
      </c>
      <c r="I767" s="24">
        <v>11.93</v>
      </c>
      <c r="J767" s="24">
        <v>0.0</v>
      </c>
    </row>
    <row r="768">
      <c r="A768" s="24">
        <v>874.0</v>
      </c>
      <c r="B768" s="24">
        <v>7.0</v>
      </c>
      <c r="C768" s="44">
        <v>79.9</v>
      </c>
      <c r="D768" s="46">
        <v>44727.0</v>
      </c>
      <c r="E768" s="24">
        <v>11.41</v>
      </c>
      <c r="F768" s="24">
        <v>91.42</v>
      </c>
      <c r="G768" s="24">
        <v>0.8</v>
      </c>
      <c r="H768" s="24" t="s">
        <v>6665</v>
      </c>
      <c r="I768" s="24">
        <v>15.98</v>
      </c>
      <c r="J768" s="24">
        <v>0.0</v>
      </c>
    </row>
    <row r="769">
      <c r="A769" s="24">
        <v>844.0</v>
      </c>
      <c r="B769" s="24">
        <v>6.0</v>
      </c>
      <c r="C769" s="44">
        <v>40.71</v>
      </c>
      <c r="D769" s="46">
        <v>44727.0</v>
      </c>
      <c r="E769" s="24">
        <v>6.78</v>
      </c>
      <c r="F769" s="24">
        <v>48.23</v>
      </c>
      <c r="G769" s="24">
        <v>0.71</v>
      </c>
      <c r="H769" s="24" t="s">
        <v>6675</v>
      </c>
      <c r="I769" s="24">
        <v>4.52</v>
      </c>
      <c r="J769" s="24">
        <v>0.0</v>
      </c>
    </row>
    <row r="770">
      <c r="A770" s="24">
        <v>474.0</v>
      </c>
      <c r="B770" s="24">
        <v>4.0</v>
      </c>
      <c r="C770" s="44">
        <v>59.13</v>
      </c>
      <c r="D770" s="46">
        <v>44727.0</v>
      </c>
      <c r="E770" s="24">
        <v>14.78</v>
      </c>
      <c r="F770" s="24">
        <v>124.75</v>
      </c>
      <c r="G770" s="24">
        <v>0.84</v>
      </c>
      <c r="H770" s="24" t="s">
        <v>6672</v>
      </c>
      <c r="I770" s="24">
        <v>9.86</v>
      </c>
      <c r="J770" s="24">
        <v>0.0</v>
      </c>
    </row>
    <row r="771">
      <c r="A771" s="24">
        <v>1086.0</v>
      </c>
      <c r="B771" s="24">
        <v>10.0</v>
      </c>
      <c r="C771" s="44">
        <v>68.85</v>
      </c>
      <c r="D771" s="46">
        <v>44727.0</v>
      </c>
      <c r="E771" s="24">
        <v>6.88</v>
      </c>
      <c r="F771" s="24">
        <v>63.4</v>
      </c>
      <c r="G771" s="24">
        <v>0.92</v>
      </c>
      <c r="H771" s="24" t="s">
        <v>6678</v>
      </c>
      <c r="I771" s="24" t="s">
        <v>6650</v>
      </c>
      <c r="J771" s="24">
        <v>0.0</v>
      </c>
    </row>
    <row r="772">
      <c r="A772" s="24">
        <v>1307.0</v>
      </c>
      <c r="B772" s="24">
        <v>15.0</v>
      </c>
      <c r="C772" s="44">
        <v>24.96</v>
      </c>
      <c r="D772" s="46">
        <v>44727.0</v>
      </c>
      <c r="E772" s="24">
        <v>1.66</v>
      </c>
      <c r="F772" s="24">
        <v>19.1</v>
      </c>
      <c r="G772" s="24">
        <v>1.15</v>
      </c>
      <c r="H772" s="24" t="s">
        <v>6664</v>
      </c>
      <c r="I772" s="24">
        <v>2.5</v>
      </c>
      <c r="J772" s="24">
        <v>0.0</v>
      </c>
    </row>
    <row r="773">
      <c r="A773" s="24">
        <v>1620.0</v>
      </c>
      <c r="B773" s="24">
        <v>4.0</v>
      </c>
      <c r="C773" s="44">
        <v>60.37</v>
      </c>
      <c r="D773" s="46">
        <v>44727.0</v>
      </c>
      <c r="E773" s="24">
        <v>15.09</v>
      </c>
      <c r="F773" s="24">
        <v>37.27</v>
      </c>
      <c r="G773" s="24">
        <v>0.25</v>
      </c>
      <c r="H773" s="24" t="s">
        <v>6669</v>
      </c>
      <c r="I773" s="24">
        <v>3.55</v>
      </c>
      <c r="J773" s="24">
        <v>0.0</v>
      </c>
    </row>
    <row r="774">
      <c r="A774" s="24">
        <v>1083.0</v>
      </c>
      <c r="B774" s="24">
        <v>16.0</v>
      </c>
      <c r="C774" s="44">
        <v>36.58</v>
      </c>
      <c r="D774" s="46">
        <v>44727.0</v>
      </c>
      <c r="E774" s="24">
        <v>2.29</v>
      </c>
      <c r="F774" s="24">
        <v>33.78</v>
      </c>
      <c r="G774" s="24">
        <v>1.48</v>
      </c>
      <c r="H774" s="24" t="s">
        <v>6666</v>
      </c>
      <c r="I774" s="24">
        <v>2.81</v>
      </c>
      <c r="J774" s="24">
        <v>0.0</v>
      </c>
    </row>
    <row r="775">
      <c r="A775" s="24">
        <v>468.0</v>
      </c>
      <c r="B775" s="24">
        <v>1.0</v>
      </c>
      <c r="C775" s="44">
        <v>45.62</v>
      </c>
      <c r="D775" s="46">
        <v>44727.0</v>
      </c>
      <c r="E775" s="24">
        <v>45.62</v>
      </c>
      <c r="F775" s="24">
        <v>97.48</v>
      </c>
      <c r="G775" s="24">
        <v>0.21</v>
      </c>
      <c r="H775" s="24" t="s">
        <v>6676</v>
      </c>
      <c r="I775" s="24">
        <v>11.4</v>
      </c>
      <c r="J775" s="24">
        <v>0.0</v>
      </c>
    </row>
    <row r="776">
      <c r="A776" s="24">
        <v>741.0</v>
      </c>
      <c r="B776" s="24">
        <v>5.0</v>
      </c>
      <c r="C776" s="44">
        <v>37.54</v>
      </c>
      <c r="D776" s="46">
        <v>44727.0</v>
      </c>
      <c r="E776" s="24">
        <v>7.51</v>
      </c>
      <c r="F776" s="24">
        <v>50.66</v>
      </c>
      <c r="G776" s="24">
        <v>0.67</v>
      </c>
      <c r="H776" s="24" t="s">
        <v>6674</v>
      </c>
      <c r="I776" s="24">
        <v>0.85</v>
      </c>
      <c r="J776" s="24">
        <v>0.0</v>
      </c>
    </row>
    <row r="777">
      <c r="A777" s="24">
        <v>0.0</v>
      </c>
      <c r="B777" s="24">
        <v>0.0</v>
      </c>
      <c r="C777" s="44"/>
      <c r="D777" s="46">
        <v>44727.0</v>
      </c>
      <c r="E777" s="24" t="s">
        <v>6650</v>
      </c>
      <c r="F777" s="24" t="s">
        <v>6650</v>
      </c>
      <c r="G777" s="24" t="s">
        <v>6650</v>
      </c>
      <c r="H777" s="24" t="s">
        <v>6662</v>
      </c>
      <c r="I777" s="24" t="s">
        <v>6650</v>
      </c>
      <c r="J777" s="24"/>
    </row>
    <row r="778">
      <c r="A778" s="24">
        <v>1597.0</v>
      </c>
      <c r="B778" s="24">
        <v>22.0</v>
      </c>
      <c r="C778" s="44">
        <v>66.73</v>
      </c>
      <c r="D778" s="46">
        <v>44727.0</v>
      </c>
      <c r="E778" s="24">
        <v>3.03</v>
      </c>
      <c r="F778" s="24">
        <v>41.78</v>
      </c>
      <c r="G778" s="24">
        <v>1.38</v>
      </c>
      <c r="H778" s="24" t="s">
        <v>6670</v>
      </c>
      <c r="I778" s="24">
        <v>4.77</v>
      </c>
      <c r="J778" s="24">
        <v>0.0</v>
      </c>
    </row>
    <row r="779">
      <c r="A779" s="24">
        <v>808.0</v>
      </c>
      <c r="B779" s="24">
        <v>5.0</v>
      </c>
      <c r="C779" s="44">
        <v>48.53</v>
      </c>
      <c r="D779" s="46">
        <v>44727.0</v>
      </c>
      <c r="E779" s="24">
        <v>9.71</v>
      </c>
      <c r="F779" s="24">
        <v>60.06</v>
      </c>
      <c r="G779" s="24">
        <v>0.62</v>
      </c>
      <c r="H779" s="24" t="s">
        <v>6673</v>
      </c>
      <c r="I779" s="24">
        <v>6.07</v>
      </c>
      <c r="J779" s="24">
        <v>0.0</v>
      </c>
    </row>
    <row r="780">
      <c r="A780" s="24">
        <v>1071.0</v>
      </c>
      <c r="B780" s="24">
        <v>4.0</v>
      </c>
      <c r="C780" s="44">
        <v>65.99</v>
      </c>
      <c r="D780" s="46">
        <v>44727.0</v>
      </c>
      <c r="E780" s="24">
        <v>16.5</v>
      </c>
      <c r="F780" s="24">
        <v>61.62</v>
      </c>
      <c r="G780" s="24">
        <v>0.37</v>
      </c>
      <c r="H780" s="24" t="s">
        <v>6679</v>
      </c>
      <c r="I780" s="24">
        <v>65.99</v>
      </c>
      <c r="J780" s="24">
        <v>0.0</v>
      </c>
    </row>
    <row r="781">
      <c r="A781" s="24">
        <v>706.0</v>
      </c>
      <c r="B781" s="24">
        <v>6.0</v>
      </c>
      <c r="C781" s="44">
        <v>26.15</v>
      </c>
      <c r="D781" s="46">
        <v>44727.0</v>
      </c>
      <c r="E781" s="24">
        <v>4.36</v>
      </c>
      <c r="F781" s="24">
        <v>37.04</v>
      </c>
      <c r="G781" s="24">
        <v>0.85</v>
      </c>
      <c r="H781" s="24" t="s">
        <v>6671</v>
      </c>
      <c r="I781" s="24">
        <v>2.91</v>
      </c>
      <c r="J781" s="24">
        <v>0.0</v>
      </c>
    </row>
    <row r="782">
      <c r="A782" s="24">
        <v>1270.0</v>
      </c>
      <c r="B782" s="24">
        <v>4.0</v>
      </c>
      <c r="C782" s="44">
        <v>42.76</v>
      </c>
      <c r="D782" s="46">
        <v>44728.0</v>
      </c>
      <c r="E782" s="24">
        <v>10.69</v>
      </c>
      <c r="F782" s="24">
        <v>33.67</v>
      </c>
      <c r="G782" s="24">
        <v>0.31</v>
      </c>
      <c r="H782" s="24" t="s">
        <v>6668</v>
      </c>
      <c r="I782" s="24">
        <v>7.13</v>
      </c>
      <c r="J782" s="24">
        <v>0.0</v>
      </c>
    </row>
    <row r="783">
      <c r="A783" s="24">
        <v>606.0</v>
      </c>
      <c r="B783" s="24">
        <v>3.0</v>
      </c>
      <c r="C783" s="44">
        <v>42.52</v>
      </c>
      <c r="D783" s="46">
        <v>44728.0</v>
      </c>
      <c r="E783" s="24">
        <v>14.17</v>
      </c>
      <c r="F783" s="24">
        <v>70.17</v>
      </c>
      <c r="G783" s="24">
        <v>0.5</v>
      </c>
      <c r="H783" s="24" t="s">
        <v>6676</v>
      </c>
      <c r="I783" s="24">
        <v>5.32</v>
      </c>
      <c r="J783" s="24">
        <v>0.0</v>
      </c>
    </row>
    <row r="784">
      <c r="A784" s="24">
        <v>998.0</v>
      </c>
      <c r="B784" s="24">
        <v>1.0</v>
      </c>
      <c r="C784" s="44">
        <v>28.12</v>
      </c>
      <c r="D784" s="46">
        <v>44728.0</v>
      </c>
      <c r="E784" s="24">
        <v>28.12</v>
      </c>
      <c r="F784" s="24">
        <v>28.18</v>
      </c>
      <c r="G784" s="24">
        <v>0.1</v>
      </c>
      <c r="H784" s="24" t="s">
        <v>6671</v>
      </c>
      <c r="I784" s="24">
        <v>4.69</v>
      </c>
      <c r="J784" s="24">
        <v>0.0</v>
      </c>
    </row>
    <row r="785">
      <c r="A785" s="24">
        <v>1241.0</v>
      </c>
      <c r="B785" s="24">
        <v>0.0</v>
      </c>
      <c r="C785" s="44">
        <v>78.37</v>
      </c>
      <c r="D785" s="46">
        <v>44728.0</v>
      </c>
      <c r="E785" s="24" t="s">
        <v>6650</v>
      </c>
      <c r="F785" s="24">
        <v>63.15</v>
      </c>
      <c r="G785" s="24">
        <v>0.0</v>
      </c>
      <c r="H785" s="24" t="s">
        <v>6667</v>
      </c>
      <c r="I785" s="24">
        <v>11.2</v>
      </c>
      <c r="J785" s="24">
        <v>0.0</v>
      </c>
    </row>
    <row r="786">
      <c r="A786" s="24">
        <v>1216.0</v>
      </c>
      <c r="B786" s="24">
        <v>11.0</v>
      </c>
      <c r="C786" s="44">
        <v>35.24</v>
      </c>
      <c r="D786" s="46">
        <v>44728.0</v>
      </c>
      <c r="E786" s="24">
        <v>3.2</v>
      </c>
      <c r="F786" s="24">
        <v>28.98</v>
      </c>
      <c r="G786" s="24">
        <v>0.9</v>
      </c>
      <c r="H786" s="24" t="s">
        <v>6674</v>
      </c>
      <c r="I786" s="24">
        <v>1.96</v>
      </c>
      <c r="J786" s="24">
        <v>0.0</v>
      </c>
    </row>
    <row r="787">
      <c r="A787" s="24">
        <v>1895.0</v>
      </c>
      <c r="B787" s="24">
        <v>3.0</v>
      </c>
      <c r="C787" s="44">
        <v>57.44</v>
      </c>
      <c r="D787" s="46">
        <v>44728.0</v>
      </c>
      <c r="E787" s="24">
        <v>19.15</v>
      </c>
      <c r="F787" s="24">
        <v>30.31</v>
      </c>
      <c r="G787" s="24">
        <v>0.16</v>
      </c>
      <c r="H787" s="24" t="s">
        <v>6669</v>
      </c>
      <c r="I787" s="24">
        <v>8.21</v>
      </c>
      <c r="J787" s="24">
        <v>0.0</v>
      </c>
    </row>
    <row r="788">
      <c r="A788" s="24">
        <v>27.0</v>
      </c>
      <c r="B788" s="24">
        <v>7.0</v>
      </c>
      <c r="C788" s="44">
        <v>0.28</v>
      </c>
      <c r="D788" s="46">
        <v>44728.0</v>
      </c>
      <c r="E788" s="24">
        <v>0.04</v>
      </c>
      <c r="F788" s="24">
        <v>10.37</v>
      </c>
      <c r="G788" s="24">
        <v>25.93</v>
      </c>
      <c r="H788" s="24" t="s">
        <v>6682</v>
      </c>
      <c r="I788" s="24">
        <v>0.06</v>
      </c>
      <c r="J788" s="24">
        <v>0.0</v>
      </c>
    </row>
    <row r="789">
      <c r="A789" s="24">
        <v>552.0</v>
      </c>
      <c r="B789" s="24">
        <v>5.0</v>
      </c>
      <c r="C789" s="44">
        <v>52.31</v>
      </c>
      <c r="D789" s="46">
        <v>44728.0</v>
      </c>
      <c r="E789" s="24">
        <v>10.46</v>
      </c>
      <c r="F789" s="24">
        <v>94.76</v>
      </c>
      <c r="G789" s="24">
        <v>0.91</v>
      </c>
      <c r="H789" s="24" t="s">
        <v>6680</v>
      </c>
      <c r="I789" s="24">
        <v>6.54</v>
      </c>
      <c r="J789" s="24">
        <v>0.0</v>
      </c>
    </row>
    <row r="790">
      <c r="A790" s="24">
        <v>971.0</v>
      </c>
      <c r="B790" s="24">
        <v>14.0</v>
      </c>
      <c r="C790" s="44">
        <v>79.2</v>
      </c>
      <c r="D790" s="46">
        <v>44728.0</v>
      </c>
      <c r="E790" s="24">
        <v>5.66</v>
      </c>
      <c r="F790" s="24">
        <v>81.57</v>
      </c>
      <c r="G790" s="24">
        <v>1.44</v>
      </c>
      <c r="H790" s="24" t="s">
        <v>6665</v>
      </c>
      <c r="I790" s="24">
        <v>8.8</v>
      </c>
      <c r="J790" s="24">
        <v>0.0</v>
      </c>
    </row>
    <row r="791">
      <c r="A791" s="24">
        <v>1090.0</v>
      </c>
      <c r="B791" s="24">
        <v>1.0</v>
      </c>
      <c r="C791" s="44">
        <v>48.7</v>
      </c>
      <c r="D791" s="46">
        <v>44728.0</v>
      </c>
      <c r="E791" s="24">
        <v>48.7</v>
      </c>
      <c r="F791" s="24">
        <v>44.68</v>
      </c>
      <c r="G791" s="24">
        <v>0.09</v>
      </c>
      <c r="H791" s="24" t="s">
        <v>6673</v>
      </c>
      <c r="I791" s="24">
        <v>8.12</v>
      </c>
      <c r="J791" s="24">
        <v>0.0</v>
      </c>
    </row>
    <row r="792">
      <c r="A792" s="24">
        <v>909.0</v>
      </c>
      <c r="B792" s="24">
        <v>3.0</v>
      </c>
      <c r="C792" s="44">
        <v>53.48</v>
      </c>
      <c r="D792" s="46">
        <v>44728.0</v>
      </c>
      <c r="E792" s="24">
        <v>17.83</v>
      </c>
      <c r="F792" s="24">
        <v>58.83</v>
      </c>
      <c r="G792" s="24">
        <v>0.33</v>
      </c>
      <c r="H792" s="24" t="s">
        <v>6672</v>
      </c>
      <c r="I792" s="24">
        <v>53.48</v>
      </c>
      <c r="J792" s="24">
        <v>0.0</v>
      </c>
    </row>
    <row r="793">
      <c r="A793" s="24">
        <v>5054.0</v>
      </c>
      <c r="B793" s="24">
        <v>89.0</v>
      </c>
      <c r="C793" s="44">
        <v>101.29</v>
      </c>
      <c r="D793" s="46">
        <v>44728.0</v>
      </c>
      <c r="E793" s="24">
        <v>1.14</v>
      </c>
      <c r="F793" s="24">
        <v>20.04</v>
      </c>
      <c r="G793" s="24">
        <v>1.76</v>
      </c>
      <c r="H793" s="24" t="s">
        <v>6681</v>
      </c>
      <c r="I793" s="24">
        <v>1.21</v>
      </c>
      <c r="J793" s="24">
        <v>0.0</v>
      </c>
    </row>
    <row r="794">
      <c r="A794" s="24">
        <v>912.0</v>
      </c>
      <c r="B794" s="24">
        <v>17.0</v>
      </c>
      <c r="C794" s="44">
        <v>54.06</v>
      </c>
      <c r="D794" s="46">
        <v>44728.0</v>
      </c>
      <c r="E794" s="24">
        <v>3.18</v>
      </c>
      <c r="F794" s="24">
        <v>59.28</v>
      </c>
      <c r="G794" s="24">
        <v>1.86</v>
      </c>
      <c r="H794" s="24" t="s">
        <v>6677</v>
      </c>
      <c r="I794" s="24">
        <v>9.01</v>
      </c>
      <c r="J794" s="24">
        <v>0.0</v>
      </c>
    </row>
    <row r="795">
      <c r="A795" s="24">
        <v>1212.0</v>
      </c>
      <c r="B795" s="24">
        <v>16.0</v>
      </c>
      <c r="C795" s="44">
        <v>42.83</v>
      </c>
      <c r="D795" s="46">
        <v>44728.0</v>
      </c>
      <c r="E795" s="24">
        <v>2.68</v>
      </c>
      <c r="F795" s="24">
        <v>35.34</v>
      </c>
      <c r="G795" s="24">
        <v>1.32</v>
      </c>
      <c r="H795" s="24" t="s">
        <v>6666</v>
      </c>
      <c r="I795" s="24">
        <v>4.28</v>
      </c>
      <c r="J795" s="24">
        <v>0.0</v>
      </c>
    </row>
    <row r="796">
      <c r="A796" s="24">
        <v>1244.0</v>
      </c>
      <c r="B796" s="24">
        <v>20.0</v>
      </c>
      <c r="C796" s="44">
        <v>23.79</v>
      </c>
      <c r="D796" s="46">
        <v>44728.0</v>
      </c>
      <c r="E796" s="24">
        <v>1.19</v>
      </c>
      <c r="F796" s="24">
        <v>19.12</v>
      </c>
      <c r="G796" s="24">
        <v>1.61</v>
      </c>
      <c r="H796" s="24" t="s">
        <v>6664</v>
      </c>
      <c r="I796" s="24">
        <v>1.83</v>
      </c>
      <c r="J796" s="24">
        <v>0.0</v>
      </c>
    </row>
    <row r="797">
      <c r="A797" s="24">
        <v>889.0</v>
      </c>
      <c r="B797" s="24">
        <v>13.0</v>
      </c>
      <c r="C797" s="44">
        <v>40.94</v>
      </c>
      <c r="D797" s="46">
        <v>44728.0</v>
      </c>
      <c r="E797" s="24">
        <v>3.15</v>
      </c>
      <c r="F797" s="24">
        <v>46.05</v>
      </c>
      <c r="G797" s="24">
        <v>1.46</v>
      </c>
      <c r="H797" s="24" t="s">
        <v>6675</v>
      </c>
      <c r="I797" s="24">
        <v>13.65</v>
      </c>
      <c r="J797" s="24">
        <v>0.0</v>
      </c>
    </row>
    <row r="798">
      <c r="A798" s="24">
        <v>1948.0</v>
      </c>
      <c r="B798" s="24">
        <v>7.0</v>
      </c>
      <c r="C798" s="44">
        <v>24.43</v>
      </c>
      <c r="D798" s="46">
        <v>44728.0</v>
      </c>
      <c r="E798" s="24">
        <v>3.49</v>
      </c>
      <c r="F798" s="24">
        <v>12.54</v>
      </c>
      <c r="G798" s="24">
        <v>0.36</v>
      </c>
      <c r="H798" s="24" t="s">
        <v>6660</v>
      </c>
      <c r="I798" s="24">
        <v>1.44</v>
      </c>
      <c r="J798" s="24">
        <v>0.0</v>
      </c>
    </row>
    <row r="799">
      <c r="A799" s="24">
        <v>1548.0</v>
      </c>
      <c r="B799" s="24">
        <v>14.0</v>
      </c>
      <c r="C799" s="44">
        <v>62.8</v>
      </c>
      <c r="D799" s="46">
        <v>44728.0</v>
      </c>
      <c r="E799" s="24">
        <v>4.49</v>
      </c>
      <c r="F799" s="24">
        <v>40.57</v>
      </c>
      <c r="G799" s="24">
        <v>0.9</v>
      </c>
      <c r="H799" s="24" t="s">
        <v>6679</v>
      </c>
      <c r="I799" s="24">
        <v>62.8</v>
      </c>
      <c r="J799" s="24">
        <v>0.0</v>
      </c>
    </row>
    <row r="800">
      <c r="A800" s="24">
        <v>1877.0</v>
      </c>
      <c r="B800" s="24">
        <v>14.0</v>
      </c>
      <c r="C800" s="44">
        <v>70.1</v>
      </c>
      <c r="D800" s="46">
        <v>44728.0</v>
      </c>
      <c r="E800" s="24">
        <v>5.01</v>
      </c>
      <c r="F800" s="24">
        <v>37.35</v>
      </c>
      <c r="G800" s="24">
        <v>0.75</v>
      </c>
      <c r="H800" s="24" t="s">
        <v>6670</v>
      </c>
      <c r="I800" s="24">
        <v>11.68</v>
      </c>
      <c r="J800" s="24">
        <v>0.0</v>
      </c>
    </row>
    <row r="801">
      <c r="A801" s="24">
        <v>0.0</v>
      </c>
      <c r="B801" s="24">
        <v>0.0</v>
      </c>
      <c r="C801" s="44"/>
      <c r="D801" s="46">
        <v>44728.0</v>
      </c>
      <c r="E801" s="24" t="s">
        <v>6650</v>
      </c>
      <c r="F801" s="24" t="s">
        <v>6650</v>
      </c>
      <c r="G801" s="24" t="s">
        <v>6650</v>
      </c>
      <c r="H801" s="24" t="s">
        <v>6662</v>
      </c>
      <c r="I801" s="24" t="s">
        <v>6650</v>
      </c>
      <c r="J801" s="24"/>
    </row>
    <row r="802">
      <c r="A802" s="24">
        <v>1583.0</v>
      </c>
      <c r="B802" s="24">
        <v>7.0</v>
      </c>
      <c r="C802" s="44">
        <v>62.58</v>
      </c>
      <c r="D802" s="46">
        <v>44728.0</v>
      </c>
      <c r="E802" s="24">
        <v>8.94</v>
      </c>
      <c r="F802" s="24">
        <v>39.53</v>
      </c>
      <c r="G802" s="24">
        <v>0.44</v>
      </c>
      <c r="H802" s="24" t="s">
        <v>6678</v>
      </c>
      <c r="I802" s="24">
        <v>31.29</v>
      </c>
      <c r="J802" s="24">
        <v>0.0</v>
      </c>
    </row>
    <row r="803">
      <c r="A803" s="24">
        <v>392.0</v>
      </c>
      <c r="B803" s="24">
        <v>3.0</v>
      </c>
      <c r="C803" s="44">
        <v>41.41</v>
      </c>
      <c r="D803" s="46">
        <v>44729.0</v>
      </c>
      <c r="E803" s="24">
        <v>13.8</v>
      </c>
      <c r="F803" s="24">
        <v>105.64</v>
      </c>
      <c r="G803" s="24">
        <v>0.77</v>
      </c>
      <c r="H803" s="24" t="s">
        <v>6680</v>
      </c>
      <c r="I803" s="24">
        <v>3.76</v>
      </c>
      <c r="J803" s="24">
        <v>0.0</v>
      </c>
    </row>
    <row r="804">
      <c r="A804" s="24">
        <v>1119.0</v>
      </c>
      <c r="B804" s="24">
        <v>10.0</v>
      </c>
      <c r="C804" s="44">
        <v>33.11</v>
      </c>
      <c r="D804" s="46">
        <v>44729.0</v>
      </c>
      <c r="E804" s="24">
        <v>3.31</v>
      </c>
      <c r="F804" s="24">
        <v>29.59</v>
      </c>
      <c r="G804" s="24">
        <v>0.89</v>
      </c>
      <c r="H804" s="24" t="s">
        <v>6674</v>
      </c>
      <c r="I804" s="24">
        <v>1.32</v>
      </c>
      <c r="J804" s="24">
        <v>0.0</v>
      </c>
    </row>
    <row r="805">
      <c r="A805" s="24">
        <v>29.0</v>
      </c>
      <c r="B805" s="24">
        <v>3.0</v>
      </c>
      <c r="C805" s="44">
        <v>0.57</v>
      </c>
      <c r="D805" s="46">
        <v>44729.0</v>
      </c>
      <c r="E805" s="24">
        <v>0.19</v>
      </c>
      <c r="F805" s="24">
        <v>19.66</v>
      </c>
      <c r="G805" s="24">
        <v>10.34</v>
      </c>
      <c r="H805" s="24" t="s">
        <v>6683</v>
      </c>
      <c r="I805" s="24" t="s">
        <v>6650</v>
      </c>
      <c r="J805" s="24">
        <v>0.0</v>
      </c>
    </row>
    <row r="806">
      <c r="A806" s="24">
        <v>1004.0</v>
      </c>
      <c r="B806" s="24">
        <v>7.0</v>
      </c>
      <c r="C806" s="44">
        <v>25.51</v>
      </c>
      <c r="D806" s="46">
        <v>44729.0</v>
      </c>
      <c r="E806" s="24">
        <v>3.64</v>
      </c>
      <c r="F806" s="24">
        <v>25.41</v>
      </c>
      <c r="G806" s="24">
        <v>0.7</v>
      </c>
      <c r="H806" s="24" t="s">
        <v>6664</v>
      </c>
      <c r="I806" s="24">
        <v>12.76</v>
      </c>
      <c r="J806" s="24">
        <v>0.0</v>
      </c>
    </row>
    <row r="807">
      <c r="A807" s="24">
        <v>1234.0</v>
      </c>
      <c r="B807" s="24">
        <v>8.0</v>
      </c>
      <c r="C807" s="44">
        <v>46.65</v>
      </c>
      <c r="D807" s="46">
        <v>44729.0</v>
      </c>
      <c r="E807" s="24">
        <v>5.83</v>
      </c>
      <c r="F807" s="24">
        <v>37.8</v>
      </c>
      <c r="G807" s="24">
        <v>0.65</v>
      </c>
      <c r="H807" s="24" t="s">
        <v>6673</v>
      </c>
      <c r="I807" s="24">
        <v>5.83</v>
      </c>
      <c r="J807" s="24">
        <v>0.0</v>
      </c>
    </row>
    <row r="808">
      <c r="A808" s="24">
        <v>449.0</v>
      </c>
      <c r="B808" s="24">
        <v>2.0</v>
      </c>
      <c r="C808" s="44">
        <v>27.11</v>
      </c>
      <c r="D808" s="46">
        <v>44729.0</v>
      </c>
      <c r="E808" s="24">
        <v>13.56</v>
      </c>
      <c r="F808" s="24">
        <v>60.38</v>
      </c>
      <c r="G808" s="24">
        <v>0.45</v>
      </c>
      <c r="H808" s="24" t="s">
        <v>6679</v>
      </c>
      <c r="I808" s="24" t="s">
        <v>6650</v>
      </c>
      <c r="J808" s="24">
        <v>0.0</v>
      </c>
    </row>
    <row r="809">
      <c r="A809" s="24">
        <v>1455.0</v>
      </c>
      <c r="B809" s="24">
        <v>9.0</v>
      </c>
      <c r="C809" s="44">
        <v>59.69</v>
      </c>
      <c r="D809" s="46">
        <v>44729.0</v>
      </c>
      <c r="E809" s="24">
        <v>6.63</v>
      </c>
      <c r="F809" s="24">
        <v>41.02</v>
      </c>
      <c r="G809" s="24">
        <v>0.62</v>
      </c>
      <c r="H809" s="24" t="s">
        <v>6669</v>
      </c>
      <c r="I809" s="24">
        <v>5.97</v>
      </c>
      <c r="J809" s="24">
        <v>0.0</v>
      </c>
    </row>
    <row r="810">
      <c r="A810" s="24">
        <v>4692.0</v>
      </c>
      <c r="B810" s="24">
        <v>74.0</v>
      </c>
      <c r="C810" s="44">
        <v>113.87</v>
      </c>
      <c r="D810" s="46">
        <v>44729.0</v>
      </c>
      <c r="E810" s="24">
        <v>1.54</v>
      </c>
      <c r="F810" s="24">
        <v>24.27</v>
      </c>
      <c r="G810" s="24">
        <v>1.58</v>
      </c>
      <c r="H810" s="24" t="s">
        <v>6681</v>
      </c>
      <c r="I810" s="24">
        <v>1.42</v>
      </c>
      <c r="J810" s="24">
        <v>0.0</v>
      </c>
    </row>
    <row r="811">
      <c r="A811" s="24">
        <v>620.0</v>
      </c>
      <c r="B811" s="24">
        <v>2.0</v>
      </c>
      <c r="C811" s="44">
        <v>38.78</v>
      </c>
      <c r="D811" s="46">
        <v>44729.0</v>
      </c>
      <c r="E811" s="24">
        <v>19.39</v>
      </c>
      <c r="F811" s="24">
        <v>62.55</v>
      </c>
      <c r="G811" s="24">
        <v>0.32</v>
      </c>
      <c r="H811" s="24" t="s">
        <v>6676</v>
      </c>
      <c r="I811" s="24">
        <v>12.93</v>
      </c>
      <c r="J811" s="24">
        <v>0.0</v>
      </c>
    </row>
    <row r="812">
      <c r="A812" s="24">
        <v>999.0</v>
      </c>
      <c r="B812" s="24">
        <v>4.0</v>
      </c>
      <c r="C812" s="44">
        <v>42.82</v>
      </c>
      <c r="D812" s="46">
        <v>44729.0</v>
      </c>
      <c r="E812" s="24">
        <v>10.7</v>
      </c>
      <c r="F812" s="24">
        <v>42.86</v>
      </c>
      <c r="G812" s="24">
        <v>0.4</v>
      </c>
      <c r="H812" s="24" t="s">
        <v>6668</v>
      </c>
      <c r="I812" s="24">
        <v>7.14</v>
      </c>
      <c r="J812" s="24">
        <v>0.0</v>
      </c>
    </row>
    <row r="813">
      <c r="A813" s="24">
        <v>168.0</v>
      </c>
      <c r="B813" s="24">
        <v>2.0</v>
      </c>
      <c r="C813" s="44">
        <v>27.62</v>
      </c>
      <c r="D813" s="46">
        <v>44729.0</v>
      </c>
      <c r="E813" s="24">
        <v>13.81</v>
      </c>
      <c r="F813" s="24">
        <v>164.4</v>
      </c>
      <c r="G813" s="24">
        <v>1.19</v>
      </c>
      <c r="H813" s="24" t="s">
        <v>6660</v>
      </c>
      <c r="I813" s="24">
        <v>9.21</v>
      </c>
      <c r="J813" s="24">
        <v>0.0</v>
      </c>
    </row>
    <row r="814">
      <c r="A814" s="24">
        <v>826.0</v>
      </c>
      <c r="B814" s="24">
        <v>2.0</v>
      </c>
      <c r="C814" s="44">
        <v>27.82</v>
      </c>
      <c r="D814" s="46">
        <v>44729.0</v>
      </c>
      <c r="E814" s="24">
        <v>13.91</v>
      </c>
      <c r="F814" s="24">
        <v>33.68</v>
      </c>
      <c r="G814" s="24">
        <v>0.24</v>
      </c>
      <c r="H814" s="24" t="s">
        <v>6671</v>
      </c>
      <c r="I814" s="24">
        <v>4.64</v>
      </c>
      <c r="J814" s="24">
        <v>0.0</v>
      </c>
    </row>
    <row r="815">
      <c r="A815" s="24">
        <v>1173.0</v>
      </c>
      <c r="B815" s="24">
        <v>1.0</v>
      </c>
      <c r="C815" s="44">
        <v>70.37</v>
      </c>
      <c r="D815" s="46">
        <v>44729.0</v>
      </c>
      <c r="E815" s="24">
        <v>70.37</v>
      </c>
      <c r="F815" s="24">
        <v>59.99</v>
      </c>
      <c r="G815" s="24">
        <v>0.09</v>
      </c>
      <c r="H815" s="24" t="s">
        <v>6667</v>
      </c>
      <c r="I815" s="24">
        <v>7.82</v>
      </c>
      <c r="J815" s="24">
        <v>0.0</v>
      </c>
    </row>
    <row r="816">
      <c r="A816" s="24">
        <v>461.0</v>
      </c>
      <c r="B816" s="24">
        <v>6.0</v>
      </c>
      <c r="C816" s="44">
        <v>19.22</v>
      </c>
      <c r="D816" s="46">
        <v>44729.0</v>
      </c>
      <c r="E816" s="24">
        <v>3.2</v>
      </c>
      <c r="F816" s="24">
        <v>41.69</v>
      </c>
      <c r="G816" s="24">
        <v>1.3</v>
      </c>
      <c r="H816" s="24" t="s">
        <v>6678</v>
      </c>
      <c r="I816" s="24" t="s">
        <v>6650</v>
      </c>
      <c r="J816" s="24">
        <v>0.0</v>
      </c>
    </row>
    <row r="817">
      <c r="A817" s="24">
        <v>1357.0</v>
      </c>
      <c r="B817" s="24">
        <v>6.0</v>
      </c>
      <c r="C817" s="44">
        <v>46.79</v>
      </c>
      <c r="D817" s="46">
        <v>44729.0</v>
      </c>
      <c r="E817" s="24">
        <v>7.8</v>
      </c>
      <c r="F817" s="24">
        <v>34.48</v>
      </c>
      <c r="G817" s="24">
        <v>0.44</v>
      </c>
      <c r="H817" s="24" t="s">
        <v>6684</v>
      </c>
      <c r="I817" s="24">
        <v>23.4</v>
      </c>
      <c r="J817" s="24">
        <v>3.0</v>
      </c>
    </row>
    <row r="818">
      <c r="A818" s="24">
        <v>815.0</v>
      </c>
      <c r="B818" s="24">
        <v>50.0</v>
      </c>
      <c r="C818" s="44">
        <v>48.44</v>
      </c>
      <c r="D818" s="46">
        <v>44729.0</v>
      </c>
      <c r="E818" s="24">
        <v>0.97</v>
      </c>
      <c r="F818" s="24">
        <v>59.44</v>
      </c>
      <c r="G818" s="24">
        <v>6.13</v>
      </c>
      <c r="H818" s="24" t="s">
        <v>6682</v>
      </c>
      <c r="I818" s="24">
        <v>1.35</v>
      </c>
      <c r="J818" s="24">
        <v>0.0</v>
      </c>
    </row>
    <row r="819">
      <c r="A819" s="24">
        <v>0.0</v>
      </c>
      <c r="B819" s="24">
        <v>0.0</v>
      </c>
      <c r="C819" s="44"/>
      <c r="D819" s="46">
        <v>44729.0</v>
      </c>
      <c r="E819" s="24" t="s">
        <v>6650</v>
      </c>
      <c r="F819" s="24" t="s">
        <v>6650</v>
      </c>
      <c r="G819" s="24" t="s">
        <v>6650</v>
      </c>
      <c r="H819" s="24" t="s">
        <v>6662</v>
      </c>
      <c r="I819" s="24" t="s">
        <v>6650</v>
      </c>
      <c r="J819" s="24"/>
    </row>
    <row r="820">
      <c r="A820" s="24">
        <v>881.0</v>
      </c>
      <c r="B820" s="24">
        <v>9.0</v>
      </c>
      <c r="C820" s="44">
        <v>39.75</v>
      </c>
      <c r="D820" s="46">
        <v>44729.0</v>
      </c>
      <c r="E820" s="24">
        <v>4.42</v>
      </c>
      <c r="F820" s="24">
        <v>45.12</v>
      </c>
      <c r="G820" s="24">
        <v>1.02</v>
      </c>
      <c r="H820" s="24" t="s">
        <v>6675</v>
      </c>
      <c r="I820" s="24">
        <v>3.98</v>
      </c>
      <c r="J820" s="24">
        <v>0.0</v>
      </c>
    </row>
    <row r="821">
      <c r="A821" s="24">
        <v>703.0</v>
      </c>
      <c r="B821" s="24">
        <v>10.0</v>
      </c>
      <c r="C821" s="44">
        <v>51.82</v>
      </c>
      <c r="D821" s="46">
        <v>44729.0</v>
      </c>
      <c r="E821" s="24">
        <v>5.18</v>
      </c>
      <c r="F821" s="24">
        <v>73.71</v>
      </c>
      <c r="G821" s="24">
        <v>1.42</v>
      </c>
      <c r="H821" s="24" t="s">
        <v>6677</v>
      </c>
      <c r="I821" s="24">
        <v>6.48</v>
      </c>
      <c r="J821" s="24">
        <v>0.0</v>
      </c>
    </row>
    <row r="822">
      <c r="A822" s="24">
        <v>897.0</v>
      </c>
      <c r="B822" s="24">
        <v>17.0</v>
      </c>
      <c r="C822" s="44">
        <v>73.67</v>
      </c>
      <c r="D822" s="46">
        <v>44729.0</v>
      </c>
      <c r="E822" s="24">
        <v>4.33</v>
      </c>
      <c r="F822" s="24">
        <v>82.13</v>
      </c>
      <c r="G822" s="24">
        <v>1.9</v>
      </c>
      <c r="H822" s="24" t="s">
        <v>6665</v>
      </c>
      <c r="I822" s="24">
        <v>8.19</v>
      </c>
      <c r="J822" s="24">
        <v>0.0</v>
      </c>
    </row>
    <row r="823">
      <c r="A823" s="24">
        <v>860.0</v>
      </c>
      <c r="B823" s="24">
        <v>22.0</v>
      </c>
      <c r="C823" s="44">
        <v>42.78</v>
      </c>
      <c r="D823" s="46">
        <v>44729.0</v>
      </c>
      <c r="E823" s="24">
        <v>1.94</v>
      </c>
      <c r="F823" s="24">
        <v>49.74</v>
      </c>
      <c r="G823" s="24">
        <v>2.56</v>
      </c>
      <c r="H823" s="24" t="s">
        <v>6666</v>
      </c>
      <c r="I823" s="24">
        <v>3.29</v>
      </c>
      <c r="J823" s="24">
        <v>0.0</v>
      </c>
    </row>
    <row r="824">
      <c r="A824" s="24">
        <v>884.0</v>
      </c>
      <c r="B824" s="24">
        <v>3.0</v>
      </c>
      <c r="C824" s="44">
        <v>54.29</v>
      </c>
      <c r="D824" s="46">
        <v>44729.0</v>
      </c>
      <c r="E824" s="24">
        <v>18.1</v>
      </c>
      <c r="F824" s="24">
        <v>61.41</v>
      </c>
      <c r="G824" s="24">
        <v>0.34</v>
      </c>
      <c r="H824" s="24" t="s">
        <v>6672</v>
      </c>
      <c r="I824" s="24">
        <v>18.1</v>
      </c>
      <c r="J824" s="24">
        <v>0.0</v>
      </c>
    </row>
    <row r="825">
      <c r="A825" s="24">
        <v>1740.0</v>
      </c>
      <c r="B825" s="24">
        <v>22.0</v>
      </c>
      <c r="C825" s="44">
        <v>69.4</v>
      </c>
      <c r="D825" s="46">
        <v>44729.0</v>
      </c>
      <c r="E825" s="24">
        <v>3.15</v>
      </c>
      <c r="F825" s="24">
        <v>39.89</v>
      </c>
      <c r="G825" s="24">
        <v>1.26</v>
      </c>
      <c r="H825" s="24" t="s">
        <v>6670</v>
      </c>
      <c r="I825" s="24">
        <v>5.78</v>
      </c>
      <c r="J825" s="24">
        <v>0.0</v>
      </c>
    </row>
    <row r="826">
      <c r="A826" s="24">
        <v>1281.0</v>
      </c>
      <c r="B826" s="24">
        <v>18.0</v>
      </c>
      <c r="C826" s="44">
        <v>38.77</v>
      </c>
      <c r="D826" s="46">
        <v>44730.0</v>
      </c>
      <c r="E826" s="24">
        <v>2.15</v>
      </c>
      <c r="F826" s="24">
        <v>30.27</v>
      </c>
      <c r="G826" s="24">
        <v>1.41</v>
      </c>
      <c r="H826" s="24" t="s">
        <v>6670</v>
      </c>
      <c r="I826" s="24">
        <v>2.77</v>
      </c>
      <c r="J826" s="24">
        <v>0.0</v>
      </c>
    </row>
    <row r="827">
      <c r="A827" s="24">
        <v>578.0</v>
      </c>
      <c r="B827" s="24">
        <v>7.0</v>
      </c>
      <c r="C827" s="44">
        <v>15.69</v>
      </c>
      <c r="D827" s="46">
        <v>44730.0</v>
      </c>
      <c r="E827" s="24">
        <v>2.24</v>
      </c>
      <c r="F827" s="24">
        <v>27.15</v>
      </c>
      <c r="G827" s="24">
        <v>1.21</v>
      </c>
      <c r="H827" s="24" t="s">
        <v>6671</v>
      </c>
      <c r="I827" s="24">
        <v>3.14</v>
      </c>
      <c r="J827" s="24">
        <v>0.0</v>
      </c>
    </row>
    <row r="828">
      <c r="A828" s="24">
        <v>597.0</v>
      </c>
      <c r="B828" s="24">
        <v>0.0</v>
      </c>
      <c r="C828" s="44">
        <v>37.12</v>
      </c>
      <c r="D828" s="46">
        <v>44730.0</v>
      </c>
      <c r="E828" s="24" t="s">
        <v>6650</v>
      </c>
      <c r="F828" s="24">
        <v>62.18</v>
      </c>
      <c r="G828" s="24">
        <v>0.0</v>
      </c>
      <c r="H828" s="24" t="s">
        <v>6684</v>
      </c>
      <c r="I828" s="24">
        <v>6.19</v>
      </c>
      <c r="J828" s="24">
        <v>0.0</v>
      </c>
    </row>
    <row r="829">
      <c r="A829" s="24">
        <v>994.0</v>
      </c>
      <c r="B829" s="24">
        <v>15.0</v>
      </c>
      <c r="C829" s="44">
        <v>12.8</v>
      </c>
      <c r="D829" s="46">
        <v>44730.0</v>
      </c>
      <c r="E829" s="24">
        <v>0.85</v>
      </c>
      <c r="F829" s="24">
        <v>12.88</v>
      </c>
      <c r="G829" s="24">
        <v>1.51</v>
      </c>
      <c r="H829" s="24" t="s">
        <v>6664</v>
      </c>
      <c r="I829" s="24">
        <v>1.6</v>
      </c>
      <c r="J829" s="24">
        <v>0.0</v>
      </c>
    </row>
    <row r="830">
      <c r="A830" s="24">
        <v>467.0</v>
      </c>
      <c r="B830" s="24">
        <v>3.0</v>
      </c>
      <c r="C830" s="44">
        <v>60.98</v>
      </c>
      <c r="D830" s="46">
        <v>44730.0</v>
      </c>
      <c r="E830" s="24">
        <v>20.33</v>
      </c>
      <c r="F830" s="24">
        <v>130.58</v>
      </c>
      <c r="G830" s="24">
        <v>0.64</v>
      </c>
      <c r="H830" s="24" t="s">
        <v>6680</v>
      </c>
      <c r="I830" s="24">
        <v>4.36</v>
      </c>
      <c r="J830" s="24">
        <v>0.0</v>
      </c>
    </row>
    <row r="831">
      <c r="A831" s="24">
        <v>697.0</v>
      </c>
      <c r="B831" s="24">
        <v>10.0</v>
      </c>
      <c r="C831" s="44">
        <v>51.13</v>
      </c>
      <c r="D831" s="46">
        <v>44730.0</v>
      </c>
      <c r="E831" s="24">
        <v>5.11</v>
      </c>
      <c r="F831" s="24">
        <v>73.36</v>
      </c>
      <c r="G831" s="24">
        <v>1.43</v>
      </c>
      <c r="H831" s="24" t="s">
        <v>6665</v>
      </c>
      <c r="I831" s="24">
        <v>7.3</v>
      </c>
      <c r="J831" s="24">
        <v>0.0</v>
      </c>
    </row>
    <row r="832">
      <c r="A832" s="24">
        <v>1008.0</v>
      </c>
      <c r="B832" s="24">
        <v>6.0</v>
      </c>
      <c r="C832" s="44">
        <v>36.74</v>
      </c>
      <c r="D832" s="46">
        <v>44730.0</v>
      </c>
      <c r="E832" s="24">
        <v>6.12</v>
      </c>
      <c r="F832" s="24">
        <v>36.45</v>
      </c>
      <c r="G832" s="24">
        <v>0.6</v>
      </c>
      <c r="H832" s="24" t="s">
        <v>6674</v>
      </c>
      <c r="I832" s="24">
        <v>2.16</v>
      </c>
      <c r="J832" s="24">
        <v>0.0</v>
      </c>
    </row>
    <row r="833">
      <c r="A833" s="24">
        <v>428.0</v>
      </c>
      <c r="B833" s="24">
        <v>2.0</v>
      </c>
      <c r="C833" s="44">
        <v>22.74</v>
      </c>
      <c r="D833" s="46">
        <v>44730.0</v>
      </c>
      <c r="E833" s="24">
        <v>11.37</v>
      </c>
      <c r="F833" s="24">
        <v>53.13</v>
      </c>
      <c r="G833" s="24">
        <v>0.47</v>
      </c>
      <c r="H833" s="24" t="s">
        <v>6676</v>
      </c>
      <c r="I833" s="24">
        <v>3.79</v>
      </c>
      <c r="J833" s="24">
        <v>0.0</v>
      </c>
    </row>
    <row r="834">
      <c r="A834" s="24">
        <v>1591.0</v>
      </c>
      <c r="B834" s="24">
        <v>5.0</v>
      </c>
      <c r="C834" s="44">
        <v>12.77</v>
      </c>
      <c r="D834" s="46">
        <v>44730.0</v>
      </c>
      <c r="E834" s="24">
        <v>2.55</v>
      </c>
      <c r="F834" s="24">
        <v>8.03</v>
      </c>
      <c r="G834" s="24">
        <v>0.31</v>
      </c>
      <c r="H834" s="24" t="s">
        <v>6660</v>
      </c>
      <c r="I834" s="24">
        <v>0.98</v>
      </c>
      <c r="J834" s="24">
        <v>0.0</v>
      </c>
    </row>
    <row r="835">
      <c r="A835" s="24">
        <v>492.0</v>
      </c>
      <c r="B835" s="24">
        <v>7.0</v>
      </c>
      <c r="C835" s="44">
        <v>61.97</v>
      </c>
      <c r="D835" s="46">
        <v>44730.0</v>
      </c>
      <c r="E835" s="24">
        <v>8.85</v>
      </c>
      <c r="F835" s="24">
        <v>125.96</v>
      </c>
      <c r="G835" s="24">
        <v>1.42</v>
      </c>
      <c r="H835" s="24" t="s">
        <v>6679</v>
      </c>
      <c r="I835" s="24">
        <v>30.98</v>
      </c>
      <c r="J835" s="24">
        <v>0.0</v>
      </c>
    </row>
    <row r="836">
      <c r="A836" s="24">
        <v>2311.0</v>
      </c>
      <c r="B836" s="24">
        <v>62.0</v>
      </c>
      <c r="C836" s="44">
        <v>38.03</v>
      </c>
      <c r="D836" s="46">
        <v>44730.0</v>
      </c>
      <c r="E836" s="24">
        <v>0.61</v>
      </c>
      <c r="F836" s="24">
        <v>16.46</v>
      </c>
      <c r="G836" s="24">
        <v>2.68</v>
      </c>
      <c r="H836" s="24" t="s">
        <v>6683</v>
      </c>
      <c r="I836" s="24">
        <v>38.03</v>
      </c>
      <c r="J836" s="24">
        <v>0.0</v>
      </c>
    </row>
    <row r="837">
      <c r="A837" s="24">
        <v>723.0</v>
      </c>
      <c r="B837" s="24">
        <v>20.0</v>
      </c>
      <c r="C837" s="44">
        <v>23.05</v>
      </c>
      <c r="D837" s="46">
        <v>44730.0</v>
      </c>
      <c r="E837" s="24">
        <v>1.15</v>
      </c>
      <c r="F837" s="24">
        <v>31.88</v>
      </c>
      <c r="G837" s="24">
        <v>2.77</v>
      </c>
      <c r="H837" s="24" t="s">
        <v>6666</v>
      </c>
      <c r="I837" s="24">
        <v>1.44</v>
      </c>
      <c r="J837" s="24">
        <v>0.0</v>
      </c>
    </row>
    <row r="838">
      <c r="A838" s="24">
        <v>228.0</v>
      </c>
      <c r="B838" s="24">
        <v>1.0</v>
      </c>
      <c r="C838" s="44">
        <v>37.86</v>
      </c>
      <c r="D838" s="46">
        <v>44730.0</v>
      </c>
      <c r="E838" s="24">
        <v>37.86</v>
      </c>
      <c r="F838" s="24">
        <v>166.05</v>
      </c>
      <c r="G838" s="24">
        <v>0.44</v>
      </c>
      <c r="H838" s="24" t="s">
        <v>6672</v>
      </c>
      <c r="I838" s="24">
        <v>9.46</v>
      </c>
      <c r="J838" s="24">
        <v>0.0</v>
      </c>
    </row>
    <row r="839">
      <c r="A839" s="24">
        <v>4593.0</v>
      </c>
      <c r="B839" s="24">
        <v>54.0</v>
      </c>
      <c r="C839" s="44">
        <v>85.12</v>
      </c>
      <c r="D839" s="46">
        <v>44730.0</v>
      </c>
      <c r="E839" s="24">
        <v>1.58</v>
      </c>
      <c r="F839" s="24">
        <v>18.53</v>
      </c>
      <c r="G839" s="24">
        <v>1.18</v>
      </c>
      <c r="H839" s="24" t="s">
        <v>6681</v>
      </c>
      <c r="I839" s="24">
        <v>1.09</v>
      </c>
      <c r="J839" s="24">
        <v>0.0</v>
      </c>
    </row>
    <row r="840">
      <c r="A840" s="24">
        <v>847.0</v>
      </c>
      <c r="B840" s="24">
        <v>12.0</v>
      </c>
      <c r="C840" s="44">
        <v>22.58</v>
      </c>
      <c r="D840" s="46">
        <v>44730.0</v>
      </c>
      <c r="E840" s="24">
        <v>1.88</v>
      </c>
      <c r="F840" s="24">
        <v>26.66</v>
      </c>
      <c r="G840" s="24">
        <v>1.42</v>
      </c>
      <c r="H840" s="24" t="s">
        <v>6675</v>
      </c>
      <c r="I840" s="24">
        <v>2.82</v>
      </c>
      <c r="J840" s="24">
        <v>0.0</v>
      </c>
    </row>
    <row r="841">
      <c r="A841" s="24">
        <v>622.0</v>
      </c>
      <c r="B841" s="24">
        <v>7.0</v>
      </c>
      <c r="C841" s="44">
        <v>45.22</v>
      </c>
      <c r="D841" s="46">
        <v>44730.0</v>
      </c>
      <c r="E841" s="24">
        <v>6.46</v>
      </c>
      <c r="F841" s="24">
        <v>72.7</v>
      </c>
      <c r="G841" s="24">
        <v>1.13</v>
      </c>
      <c r="H841" s="24" t="s">
        <v>6677</v>
      </c>
      <c r="I841" s="24">
        <v>7.54</v>
      </c>
      <c r="J841" s="24">
        <v>0.0</v>
      </c>
    </row>
    <row r="842">
      <c r="A842" s="24">
        <v>706.0</v>
      </c>
      <c r="B842" s="24">
        <v>4.0</v>
      </c>
      <c r="C842" s="44">
        <v>24.88</v>
      </c>
      <c r="D842" s="46">
        <v>44730.0</v>
      </c>
      <c r="E842" s="24">
        <v>6.22</v>
      </c>
      <c r="F842" s="24">
        <v>35.24</v>
      </c>
      <c r="G842" s="24">
        <v>0.57</v>
      </c>
      <c r="H842" s="24" t="s">
        <v>6668</v>
      </c>
      <c r="I842" s="24">
        <v>3.55</v>
      </c>
      <c r="J842" s="24">
        <v>0.0</v>
      </c>
    </row>
    <row r="843">
      <c r="A843" s="24">
        <v>928.0</v>
      </c>
      <c r="B843" s="24">
        <v>6.0</v>
      </c>
      <c r="C843" s="44">
        <v>65.74</v>
      </c>
      <c r="D843" s="46">
        <v>44730.0</v>
      </c>
      <c r="E843" s="24">
        <v>10.96</v>
      </c>
      <c r="F843" s="24">
        <v>70.84</v>
      </c>
      <c r="G843" s="24">
        <v>0.65</v>
      </c>
      <c r="H843" s="24" t="s">
        <v>6678</v>
      </c>
      <c r="I843" s="24">
        <v>32.87</v>
      </c>
      <c r="J843" s="24">
        <v>0.0</v>
      </c>
    </row>
    <row r="844">
      <c r="A844" s="24">
        <v>1022.0</v>
      </c>
      <c r="B844" s="24">
        <v>4.0</v>
      </c>
      <c r="C844" s="44">
        <v>36.83</v>
      </c>
      <c r="D844" s="46">
        <v>44730.0</v>
      </c>
      <c r="E844" s="24">
        <v>9.21</v>
      </c>
      <c r="F844" s="24">
        <v>36.04</v>
      </c>
      <c r="G844" s="24">
        <v>0.39</v>
      </c>
      <c r="H844" s="24" t="s">
        <v>6673</v>
      </c>
      <c r="I844" s="24">
        <v>3.07</v>
      </c>
      <c r="J844" s="24">
        <v>0.0</v>
      </c>
    </row>
    <row r="845">
      <c r="A845" s="24">
        <v>894.0</v>
      </c>
      <c r="B845" s="24">
        <v>1.0</v>
      </c>
      <c r="C845" s="44">
        <v>43.99</v>
      </c>
      <c r="D845" s="46">
        <v>44730.0</v>
      </c>
      <c r="E845" s="24">
        <v>43.99</v>
      </c>
      <c r="F845" s="24">
        <v>49.21</v>
      </c>
      <c r="G845" s="24">
        <v>0.11</v>
      </c>
      <c r="H845" s="24" t="s">
        <v>6667</v>
      </c>
      <c r="I845" s="24">
        <v>8.8</v>
      </c>
      <c r="J845" s="24">
        <v>0.0</v>
      </c>
    </row>
    <row r="846">
      <c r="A846" s="24">
        <v>0.0</v>
      </c>
      <c r="B846" s="24">
        <v>0.0</v>
      </c>
      <c r="C846" s="44"/>
      <c r="D846" s="46">
        <v>44730.0</v>
      </c>
      <c r="E846" s="24" t="s">
        <v>6650</v>
      </c>
      <c r="F846" s="24" t="s">
        <v>6650</v>
      </c>
      <c r="G846" s="24" t="s">
        <v>6650</v>
      </c>
      <c r="H846" s="24" t="s">
        <v>6662</v>
      </c>
      <c r="I846" s="24" t="s">
        <v>6650</v>
      </c>
      <c r="J846" s="24"/>
    </row>
    <row r="847">
      <c r="A847" s="24">
        <v>1197.0</v>
      </c>
      <c r="B847" s="24">
        <v>8.0</v>
      </c>
      <c r="C847" s="44">
        <v>42.3</v>
      </c>
      <c r="D847" s="46">
        <v>44730.0</v>
      </c>
      <c r="E847" s="24">
        <v>5.29</v>
      </c>
      <c r="F847" s="24">
        <v>35.34</v>
      </c>
      <c r="G847" s="24">
        <v>0.67</v>
      </c>
      <c r="H847" s="24" t="s">
        <v>6669</v>
      </c>
      <c r="I847" s="24">
        <v>3.02</v>
      </c>
      <c r="J847" s="24">
        <v>0.0</v>
      </c>
    </row>
    <row r="848">
      <c r="A848" s="24">
        <v>1287.0</v>
      </c>
      <c r="B848" s="24">
        <v>46.0</v>
      </c>
      <c r="C848" s="44">
        <v>70.36</v>
      </c>
      <c r="D848" s="46">
        <v>44730.0</v>
      </c>
      <c r="E848" s="24">
        <v>1.53</v>
      </c>
      <c r="F848" s="24">
        <v>54.67</v>
      </c>
      <c r="G848" s="24">
        <v>3.57</v>
      </c>
      <c r="H848" s="24" t="s">
        <v>6682</v>
      </c>
      <c r="I848" s="24">
        <v>1.3</v>
      </c>
      <c r="J848" s="24">
        <v>0.0</v>
      </c>
    </row>
    <row r="849">
      <c r="A849" s="24">
        <v>880.0</v>
      </c>
      <c r="B849" s="24">
        <v>0.0</v>
      </c>
      <c r="C849" s="44">
        <v>40.62</v>
      </c>
      <c r="D849" s="46">
        <v>44731.0</v>
      </c>
      <c r="E849" s="24" t="s">
        <v>6650</v>
      </c>
      <c r="F849" s="24">
        <v>46.16</v>
      </c>
      <c r="G849" s="24">
        <v>0.0</v>
      </c>
      <c r="H849" s="24" t="s">
        <v>6667</v>
      </c>
      <c r="I849" s="24">
        <v>20.31</v>
      </c>
      <c r="J849" s="24">
        <v>0.0</v>
      </c>
    </row>
    <row r="850">
      <c r="A850" s="24">
        <v>580.0</v>
      </c>
      <c r="B850" s="24">
        <v>7.0</v>
      </c>
      <c r="C850" s="44">
        <v>46.48</v>
      </c>
      <c r="D850" s="46">
        <v>44731.0</v>
      </c>
      <c r="E850" s="24">
        <v>6.64</v>
      </c>
      <c r="F850" s="24">
        <v>80.14</v>
      </c>
      <c r="G850" s="24">
        <v>1.21</v>
      </c>
      <c r="H850" s="24" t="s">
        <v>6665</v>
      </c>
      <c r="I850" s="24">
        <v>11.62</v>
      </c>
      <c r="J850" s="24">
        <v>0.0</v>
      </c>
    </row>
    <row r="851">
      <c r="A851" s="24">
        <v>349.0</v>
      </c>
      <c r="B851" s="24">
        <v>2.0</v>
      </c>
      <c r="C851" s="44">
        <v>72.66</v>
      </c>
      <c r="D851" s="46">
        <v>44731.0</v>
      </c>
      <c r="E851" s="24">
        <v>36.33</v>
      </c>
      <c r="F851" s="24">
        <v>208.19</v>
      </c>
      <c r="G851" s="24">
        <v>0.57</v>
      </c>
      <c r="H851" s="24" t="s">
        <v>6679</v>
      </c>
      <c r="I851" s="24">
        <v>72.66</v>
      </c>
      <c r="J851" s="24">
        <v>0.0</v>
      </c>
    </row>
    <row r="852">
      <c r="A852" s="24">
        <v>1078.0</v>
      </c>
      <c r="B852" s="24">
        <v>15.0</v>
      </c>
      <c r="C852" s="44">
        <v>14.42</v>
      </c>
      <c r="D852" s="46">
        <v>44731.0</v>
      </c>
      <c r="E852" s="24">
        <v>0.96</v>
      </c>
      <c r="F852" s="24">
        <v>13.38</v>
      </c>
      <c r="G852" s="24">
        <v>1.39</v>
      </c>
      <c r="H852" s="24" t="s">
        <v>6664</v>
      </c>
      <c r="I852" s="24">
        <v>1.44</v>
      </c>
      <c r="J852" s="24">
        <v>0.0</v>
      </c>
    </row>
    <row r="853">
      <c r="A853" s="24">
        <v>771.0</v>
      </c>
      <c r="B853" s="24">
        <v>9.0</v>
      </c>
      <c r="C853" s="44">
        <v>22.16</v>
      </c>
      <c r="D853" s="46">
        <v>44731.0</v>
      </c>
      <c r="E853" s="24">
        <v>2.46</v>
      </c>
      <c r="F853" s="24">
        <v>28.74</v>
      </c>
      <c r="G853" s="24">
        <v>1.17</v>
      </c>
      <c r="H853" s="24" t="s">
        <v>6675</v>
      </c>
      <c r="I853" s="24">
        <v>3.17</v>
      </c>
      <c r="J853" s="24">
        <v>0.0</v>
      </c>
    </row>
    <row r="854">
      <c r="A854" s="24">
        <v>340.0</v>
      </c>
      <c r="B854" s="24">
        <v>3.0</v>
      </c>
      <c r="C854" s="44">
        <v>34.58</v>
      </c>
      <c r="D854" s="46">
        <v>44731.0</v>
      </c>
      <c r="E854" s="24">
        <v>11.53</v>
      </c>
      <c r="F854" s="24">
        <v>101.71</v>
      </c>
      <c r="G854" s="24">
        <v>0.88</v>
      </c>
      <c r="H854" s="24" t="s">
        <v>6672</v>
      </c>
      <c r="I854" s="24">
        <v>5.76</v>
      </c>
      <c r="J854" s="24">
        <v>0.0</v>
      </c>
    </row>
    <row r="855">
      <c r="A855" s="24">
        <v>670.0</v>
      </c>
      <c r="B855" s="24">
        <v>12.0</v>
      </c>
      <c r="C855" s="44">
        <v>22.89</v>
      </c>
      <c r="D855" s="46">
        <v>44731.0</v>
      </c>
      <c r="E855" s="24">
        <v>1.91</v>
      </c>
      <c r="F855" s="24">
        <v>34.16</v>
      </c>
      <c r="G855" s="24">
        <v>1.79</v>
      </c>
      <c r="H855" s="24" t="s">
        <v>6666</v>
      </c>
      <c r="I855" s="24">
        <v>1.91</v>
      </c>
      <c r="J855" s="24">
        <v>0.0</v>
      </c>
    </row>
    <row r="856">
      <c r="A856" s="24">
        <v>655.0</v>
      </c>
      <c r="B856" s="24">
        <v>0.0</v>
      </c>
      <c r="C856" s="44">
        <v>15.33</v>
      </c>
      <c r="D856" s="46">
        <v>44731.0</v>
      </c>
      <c r="E856" s="24" t="s">
        <v>6650</v>
      </c>
      <c r="F856" s="24">
        <v>23.4</v>
      </c>
      <c r="G856" s="24">
        <v>0.0</v>
      </c>
      <c r="H856" s="24" t="s">
        <v>6671</v>
      </c>
      <c r="I856" s="24">
        <v>2.56</v>
      </c>
      <c r="J856" s="24">
        <v>0.0</v>
      </c>
    </row>
    <row r="857">
      <c r="A857" s="24">
        <v>1034.0</v>
      </c>
      <c r="B857" s="24">
        <v>8.0</v>
      </c>
      <c r="C857" s="44">
        <v>62.52</v>
      </c>
      <c r="D857" s="46">
        <v>44731.0</v>
      </c>
      <c r="E857" s="24">
        <v>7.82</v>
      </c>
      <c r="F857" s="24">
        <v>60.46</v>
      </c>
      <c r="G857" s="24">
        <v>0.77</v>
      </c>
      <c r="H857" s="24" t="s">
        <v>6678</v>
      </c>
      <c r="I857" s="24">
        <v>15.63</v>
      </c>
      <c r="J857" s="24">
        <v>0.0</v>
      </c>
    </row>
    <row r="858">
      <c r="A858" s="24">
        <v>731.0</v>
      </c>
      <c r="B858" s="24">
        <v>5.0</v>
      </c>
      <c r="C858" s="44">
        <v>36.18</v>
      </c>
      <c r="D858" s="46">
        <v>44731.0</v>
      </c>
      <c r="E858" s="24">
        <v>7.24</v>
      </c>
      <c r="F858" s="24">
        <v>49.49</v>
      </c>
      <c r="G858" s="24">
        <v>0.68</v>
      </c>
      <c r="H858" s="24" t="s">
        <v>6684</v>
      </c>
      <c r="I858" s="24">
        <v>12.06</v>
      </c>
      <c r="J858" s="24">
        <v>0.0</v>
      </c>
    </row>
    <row r="859">
      <c r="A859" s="24">
        <v>0.0</v>
      </c>
      <c r="B859" s="24">
        <v>0.0</v>
      </c>
      <c r="C859" s="44"/>
      <c r="D859" s="46">
        <v>44731.0</v>
      </c>
      <c r="E859" s="24" t="s">
        <v>6650</v>
      </c>
      <c r="F859" s="24" t="s">
        <v>6650</v>
      </c>
      <c r="G859" s="24" t="s">
        <v>6650</v>
      </c>
      <c r="H859" s="24" t="s">
        <v>6662</v>
      </c>
      <c r="I859" s="24" t="s">
        <v>6650</v>
      </c>
      <c r="J859" s="24"/>
    </row>
    <row r="860">
      <c r="A860" s="24">
        <v>1673.0</v>
      </c>
      <c r="B860" s="24">
        <v>4.0</v>
      </c>
      <c r="C860" s="44">
        <v>39.42</v>
      </c>
      <c r="D860" s="46">
        <v>44731.0</v>
      </c>
      <c r="E860" s="24">
        <v>9.86</v>
      </c>
      <c r="F860" s="24">
        <v>23.56</v>
      </c>
      <c r="G860" s="24">
        <v>0.24</v>
      </c>
      <c r="H860" s="24" t="s">
        <v>6669</v>
      </c>
      <c r="I860" s="24">
        <v>6.57</v>
      </c>
      <c r="J860" s="24">
        <v>0.0</v>
      </c>
    </row>
    <row r="861">
      <c r="A861" s="24">
        <v>289.0</v>
      </c>
      <c r="B861" s="24">
        <v>1.0</v>
      </c>
      <c r="C861" s="44">
        <v>68.0</v>
      </c>
      <c r="D861" s="46">
        <v>44731.0</v>
      </c>
      <c r="E861" s="24">
        <v>68.0</v>
      </c>
      <c r="F861" s="24">
        <v>235.29</v>
      </c>
      <c r="G861" s="24">
        <v>0.35</v>
      </c>
      <c r="H861" s="24" t="s">
        <v>6680</v>
      </c>
      <c r="I861" s="24">
        <v>9.71</v>
      </c>
      <c r="J861" s="24">
        <v>0.0</v>
      </c>
    </row>
    <row r="862">
      <c r="A862" s="24">
        <v>706.0</v>
      </c>
      <c r="B862" s="24">
        <v>5.0</v>
      </c>
      <c r="C862" s="44">
        <v>24.99</v>
      </c>
      <c r="D862" s="46">
        <v>44731.0</v>
      </c>
      <c r="E862" s="24">
        <v>5.0</v>
      </c>
      <c r="F862" s="24">
        <v>35.4</v>
      </c>
      <c r="G862" s="24">
        <v>0.71</v>
      </c>
      <c r="H862" s="24" t="s">
        <v>6668</v>
      </c>
      <c r="I862" s="24">
        <v>2.5</v>
      </c>
      <c r="J862" s="24">
        <v>0.0</v>
      </c>
    </row>
    <row r="863">
      <c r="A863" s="24">
        <v>851.0</v>
      </c>
      <c r="B863" s="24">
        <v>2.0</v>
      </c>
      <c r="C863" s="44">
        <v>34.43</v>
      </c>
      <c r="D863" s="46">
        <v>44731.0</v>
      </c>
      <c r="E863" s="24">
        <v>17.22</v>
      </c>
      <c r="F863" s="24">
        <v>40.46</v>
      </c>
      <c r="G863" s="24">
        <v>0.24</v>
      </c>
      <c r="H863" s="24" t="s">
        <v>6673</v>
      </c>
      <c r="I863" s="24">
        <v>11.48</v>
      </c>
      <c r="J863" s="24">
        <v>0.0</v>
      </c>
    </row>
    <row r="864">
      <c r="A864" s="24">
        <v>679.0</v>
      </c>
      <c r="B864" s="24">
        <v>16.0</v>
      </c>
      <c r="C864" s="44">
        <v>42.65</v>
      </c>
      <c r="D864" s="46">
        <v>44731.0</v>
      </c>
      <c r="E864" s="24">
        <v>2.67</v>
      </c>
      <c r="F864" s="24">
        <v>62.81</v>
      </c>
      <c r="G864" s="24">
        <v>2.36</v>
      </c>
      <c r="H864" s="24" t="s">
        <v>6677</v>
      </c>
      <c r="I864" s="24">
        <v>4.74</v>
      </c>
      <c r="J864" s="24">
        <v>0.0</v>
      </c>
    </row>
    <row r="865">
      <c r="A865" s="24">
        <v>1314.0</v>
      </c>
      <c r="B865" s="24">
        <v>25.0</v>
      </c>
      <c r="C865" s="44">
        <v>67.82</v>
      </c>
      <c r="D865" s="46">
        <v>44731.0</v>
      </c>
      <c r="E865" s="24">
        <v>2.71</v>
      </c>
      <c r="F865" s="24">
        <v>51.61</v>
      </c>
      <c r="G865" s="24">
        <v>1.9</v>
      </c>
      <c r="H865" s="24" t="s">
        <v>6682</v>
      </c>
      <c r="I865" s="24">
        <v>2.71</v>
      </c>
      <c r="J865" s="24">
        <v>0.0</v>
      </c>
    </row>
    <row r="866">
      <c r="A866" s="24">
        <v>1482.0</v>
      </c>
      <c r="B866" s="24">
        <v>13.0</v>
      </c>
      <c r="C866" s="44">
        <v>37.88</v>
      </c>
      <c r="D866" s="46">
        <v>44731.0</v>
      </c>
      <c r="E866" s="24">
        <v>2.91</v>
      </c>
      <c r="F866" s="24">
        <v>25.56</v>
      </c>
      <c r="G866" s="24">
        <v>0.88</v>
      </c>
      <c r="H866" s="24" t="s">
        <v>6670</v>
      </c>
      <c r="I866" s="24">
        <v>4.74</v>
      </c>
      <c r="J866" s="24">
        <v>0.0</v>
      </c>
    </row>
    <row r="867">
      <c r="A867" s="24">
        <v>2618.0</v>
      </c>
      <c r="B867" s="24">
        <v>21.0</v>
      </c>
      <c r="C867" s="44">
        <v>34.36</v>
      </c>
      <c r="D867" s="46">
        <v>44731.0</v>
      </c>
      <c r="E867" s="24">
        <v>1.64</v>
      </c>
      <c r="F867" s="24">
        <v>13.12</v>
      </c>
      <c r="G867" s="24">
        <v>0.8</v>
      </c>
      <c r="H867" s="24" t="s">
        <v>6683</v>
      </c>
      <c r="I867" s="24" t="s">
        <v>6650</v>
      </c>
      <c r="J867" s="24">
        <v>0.0</v>
      </c>
    </row>
    <row r="868">
      <c r="A868" s="24">
        <v>1018.0</v>
      </c>
      <c r="B868" s="24">
        <v>9.0</v>
      </c>
      <c r="C868" s="44">
        <v>35.31</v>
      </c>
      <c r="D868" s="46">
        <v>44731.0</v>
      </c>
      <c r="E868" s="24">
        <v>3.92</v>
      </c>
      <c r="F868" s="24">
        <v>34.69</v>
      </c>
      <c r="G868" s="24">
        <v>0.88</v>
      </c>
      <c r="H868" s="24" t="s">
        <v>6674</v>
      </c>
      <c r="I868" s="24">
        <v>2.21</v>
      </c>
      <c r="J868" s="24">
        <v>0.0</v>
      </c>
    </row>
    <row r="869">
      <c r="A869" s="24">
        <v>5122.0</v>
      </c>
      <c r="B869" s="24">
        <v>46.0</v>
      </c>
      <c r="C869" s="44">
        <v>89.27</v>
      </c>
      <c r="D869" s="46">
        <v>44731.0</v>
      </c>
      <c r="E869" s="24">
        <v>1.94</v>
      </c>
      <c r="F869" s="24">
        <v>17.43</v>
      </c>
      <c r="G869" s="24">
        <v>0.9</v>
      </c>
      <c r="H869" s="24" t="s">
        <v>6681</v>
      </c>
      <c r="I869" s="24">
        <v>1.65</v>
      </c>
      <c r="J869" s="24">
        <v>0.0</v>
      </c>
    </row>
    <row r="870">
      <c r="A870" s="24">
        <v>435.0</v>
      </c>
      <c r="B870" s="24">
        <v>2.0</v>
      </c>
      <c r="C870" s="44">
        <v>20.82</v>
      </c>
      <c r="D870" s="46">
        <v>44731.0</v>
      </c>
      <c r="E870" s="24">
        <v>10.41</v>
      </c>
      <c r="F870" s="24">
        <v>47.86</v>
      </c>
      <c r="G870" s="24">
        <v>0.46</v>
      </c>
      <c r="H870" s="24" t="s">
        <v>6676</v>
      </c>
      <c r="I870" s="24">
        <v>10.41</v>
      </c>
      <c r="J870" s="24">
        <v>0.0</v>
      </c>
    </row>
    <row r="871">
      <c r="A871" s="24">
        <v>1610.0</v>
      </c>
      <c r="B871" s="24">
        <v>6.0</v>
      </c>
      <c r="C871" s="44">
        <v>11.44</v>
      </c>
      <c r="D871" s="46">
        <v>44731.0</v>
      </c>
      <c r="E871" s="24">
        <v>1.91</v>
      </c>
      <c r="F871" s="24">
        <v>7.11</v>
      </c>
      <c r="G871" s="24">
        <v>0.37</v>
      </c>
      <c r="H871" s="24" t="s">
        <v>6660</v>
      </c>
      <c r="I871" s="24">
        <v>1.27</v>
      </c>
      <c r="J871" s="24">
        <v>0.0</v>
      </c>
    </row>
    <row r="872">
      <c r="A872" s="24">
        <v>900.0</v>
      </c>
      <c r="B872" s="24">
        <v>14.0</v>
      </c>
      <c r="C872" s="44">
        <v>50.81</v>
      </c>
      <c r="D872" s="46">
        <v>44732.0</v>
      </c>
      <c r="E872" s="24">
        <v>3.63</v>
      </c>
      <c r="F872" s="24">
        <v>56.46</v>
      </c>
      <c r="G872" s="24">
        <v>1.56</v>
      </c>
      <c r="H872" s="24" t="s">
        <v>6677</v>
      </c>
      <c r="I872" s="24">
        <v>4.23</v>
      </c>
      <c r="J872" s="24">
        <v>0.0</v>
      </c>
    </row>
    <row r="873">
      <c r="A873" s="24">
        <v>1376.0</v>
      </c>
      <c r="B873" s="24">
        <v>3.0</v>
      </c>
      <c r="C873" s="44">
        <v>43.09</v>
      </c>
      <c r="D873" s="46">
        <v>44732.0</v>
      </c>
      <c r="E873" s="24">
        <v>14.36</v>
      </c>
      <c r="F873" s="24">
        <v>31.32</v>
      </c>
      <c r="G873" s="24">
        <v>0.22</v>
      </c>
      <c r="H873" s="24" t="s">
        <v>6673</v>
      </c>
      <c r="I873" s="24">
        <v>8.62</v>
      </c>
      <c r="J873" s="24">
        <v>0.0</v>
      </c>
    </row>
    <row r="874">
      <c r="A874" s="24">
        <v>1013.0</v>
      </c>
      <c r="B874" s="24">
        <v>4.0</v>
      </c>
      <c r="C874" s="44">
        <v>38.08</v>
      </c>
      <c r="D874" s="46">
        <v>44732.0</v>
      </c>
      <c r="E874" s="24">
        <v>9.52</v>
      </c>
      <c r="F874" s="24">
        <v>37.59</v>
      </c>
      <c r="G874" s="24">
        <v>0.39</v>
      </c>
      <c r="H874" s="24" t="s">
        <v>6668</v>
      </c>
      <c r="I874" s="24">
        <v>3.81</v>
      </c>
      <c r="J874" s="24">
        <v>0.0</v>
      </c>
    </row>
    <row r="875">
      <c r="A875" s="24">
        <v>1298.0</v>
      </c>
      <c r="B875" s="24">
        <v>19.0</v>
      </c>
      <c r="C875" s="44">
        <v>37.64</v>
      </c>
      <c r="D875" s="46">
        <v>44732.0</v>
      </c>
      <c r="E875" s="24">
        <v>1.98</v>
      </c>
      <c r="F875" s="24">
        <v>29.0</v>
      </c>
      <c r="G875" s="24">
        <v>1.46</v>
      </c>
      <c r="H875" s="24" t="s">
        <v>6675</v>
      </c>
      <c r="I875" s="24">
        <v>9.41</v>
      </c>
      <c r="J875" s="24">
        <v>0.0</v>
      </c>
    </row>
    <row r="876">
      <c r="A876" s="24">
        <v>1501.0</v>
      </c>
      <c r="B876" s="24">
        <v>2.0</v>
      </c>
      <c r="C876" s="44">
        <v>59.86</v>
      </c>
      <c r="D876" s="46">
        <v>44732.0</v>
      </c>
      <c r="E876" s="24">
        <v>29.93</v>
      </c>
      <c r="F876" s="24">
        <v>39.88</v>
      </c>
      <c r="G876" s="24">
        <v>0.13</v>
      </c>
      <c r="H876" s="24" t="s">
        <v>6684</v>
      </c>
      <c r="I876" s="24">
        <v>14.96</v>
      </c>
      <c r="J876" s="24">
        <v>0.0</v>
      </c>
    </row>
    <row r="877">
      <c r="A877" s="24">
        <v>1991.0</v>
      </c>
      <c r="B877" s="24">
        <v>10.0</v>
      </c>
      <c r="C877" s="44">
        <v>25.04</v>
      </c>
      <c r="D877" s="46">
        <v>44732.0</v>
      </c>
      <c r="E877" s="24">
        <v>2.5</v>
      </c>
      <c r="F877" s="24">
        <v>12.58</v>
      </c>
      <c r="G877" s="24">
        <v>0.5</v>
      </c>
      <c r="H877" s="24" t="s">
        <v>6664</v>
      </c>
      <c r="I877" s="24">
        <v>8.35</v>
      </c>
      <c r="J877" s="24">
        <v>0.0</v>
      </c>
    </row>
    <row r="878">
      <c r="A878" s="24">
        <v>1512.0</v>
      </c>
      <c r="B878" s="24">
        <v>1.0</v>
      </c>
      <c r="C878" s="44">
        <v>88.55</v>
      </c>
      <c r="D878" s="46">
        <v>44732.0</v>
      </c>
      <c r="E878" s="24">
        <v>88.55</v>
      </c>
      <c r="F878" s="24">
        <v>58.56</v>
      </c>
      <c r="G878" s="24">
        <v>0.07</v>
      </c>
      <c r="H878" s="24" t="s">
        <v>6667</v>
      </c>
      <c r="I878" s="24">
        <v>22.14</v>
      </c>
      <c r="J878" s="24">
        <v>0.0</v>
      </c>
    </row>
    <row r="879">
      <c r="A879" s="24">
        <v>6323.0</v>
      </c>
      <c r="B879" s="24">
        <v>46.0</v>
      </c>
      <c r="C879" s="44">
        <v>107.93</v>
      </c>
      <c r="D879" s="46">
        <v>44732.0</v>
      </c>
      <c r="E879" s="24">
        <v>2.35</v>
      </c>
      <c r="F879" s="24">
        <v>17.07</v>
      </c>
      <c r="G879" s="24">
        <v>0.73</v>
      </c>
      <c r="H879" s="24" t="s">
        <v>6681</v>
      </c>
      <c r="I879" s="24">
        <v>2.84</v>
      </c>
      <c r="J879" s="24">
        <v>0.0</v>
      </c>
    </row>
    <row r="880">
      <c r="A880" s="24">
        <v>1083.0</v>
      </c>
      <c r="B880" s="24">
        <v>7.0</v>
      </c>
      <c r="C880" s="44">
        <v>56.74</v>
      </c>
      <c r="D880" s="46">
        <v>44732.0</v>
      </c>
      <c r="E880" s="24">
        <v>8.11</v>
      </c>
      <c r="F880" s="24">
        <v>52.39</v>
      </c>
      <c r="G880" s="24">
        <v>0.65</v>
      </c>
      <c r="H880" s="24" t="s">
        <v>6678</v>
      </c>
      <c r="I880" s="24">
        <v>28.37</v>
      </c>
      <c r="J880" s="24">
        <v>0.0</v>
      </c>
    </row>
    <row r="881">
      <c r="A881" s="24">
        <v>954.0</v>
      </c>
      <c r="B881" s="24">
        <v>4.0</v>
      </c>
      <c r="C881" s="44">
        <v>53.88</v>
      </c>
      <c r="D881" s="46">
        <v>44732.0</v>
      </c>
      <c r="E881" s="24">
        <v>13.47</v>
      </c>
      <c r="F881" s="24">
        <v>56.48</v>
      </c>
      <c r="G881" s="24">
        <v>0.42</v>
      </c>
      <c r="H881" s="24" t="s">
        <v>6672</v>
      </c>
      <c r="I881" s="24">
        <v>26.94</v>
      </c>
      <c r="J881" s="24">
        <v>0.0</v>
      </c>
    </row>
    <row r="882">
      <c r="A882" s="24">
        <v>959.0</v>
      </c>
      <c r="B882" s="24">
        <v>17.0</v>
      </c>
      <c r="C882" s="44">
        <v>101.45</v>
      </c>
      <c r="D882" s="46">
        <v>44732.0</v>
      </c>
      <c r="E882" s="24">
        <v>5.97</v>
      </c>
      <c r="F882" s="24">
        <v>105.79</v>
      </c>
      <c r="G882" s="24">
        <v>1.77</v>
      </c>
      <c r="H882" s="24" t="s">
        <v>6665</v>
      </c>
      <c r="I882" s="24">
        <v>8.45</v>
      </c>
      <c r="J882" s="24">
        <v>0.0</v>
      </c>
    </row>
    <row r="883">
      <c r="A883" s="24">
        <v>2878.0</v>
      </c>
      <c r="B883" s="24">
        <v>6.0</v>
      </c>
      <c r="C883" s="44">
        <v>22.0</v>
      </c>
      <c r="D883" s="46">
        <v>44732.0</v>
      </c>
      <c r="E883" s="24">
        <v>3.67</v>
      </c>
      <c r="F883" s="24">
        <v>7.64</v>
      </c>
      <c r="G883" s="24">
        <v>0.21</v>
      </c>
      <c r="H883" s="24" t="s">
        <v>6660</v>
      </c>
      <c r="I883" s="24">
        <v>2.2</v>
      </c>
      <c r="J883" s="24">
        <v>0.0</v>
      </c>
    </row>
    <row r="884">
      <c r="A884" s="24">
        <v>466.0</v>
      </c>
      <c r="B884" s="24">
        <v>5.0</v>
      </c>
      <c r="C884" s="44">
        <v>56.56</v>
      </c>
      <c r="D884" s="46">
        <v>44732.0</v>
      </c>
      <c r="E884" s="24">
        <v>11.31</v>
      </c>
      <c r="F884" s="24">
        <v>121.37</v>
      </c>
      <c r="G884" s="24">
        <v>1.07</v>
      </c>
      <c r="H884" s="24" t="s">
        <v>6679</v>
      </c>
      <c r="I884" s="24">
        <v>28.28</v>
      </c>
      <c r="J884" s="24">
        <v>0.0</v>
      </c>
    </row>
    <row r="885">
      <c r="A885" s="24">
        <v>995.0</v>
      </c>
      <c r="B885" s="24">
        <v>4.0</v>
      </c>
      <c r="C885" s="44">
        <v>25.08</v>
      </c>
      <c r="D885" s="46">
        <v>44732.0</v>
      </c>
      <c r="E885" s="24">
        <v>6.27</v>
      </c>
      <c r="F885" s="24">
        <v>25.21</v>
      </c>
      <c r="G885" s="24">
        <v>0.4</v>
      </c>
      <c r="H885" s="24" t="s">
        <v>6671</v>
      </c>
      <c r="I885" s="24">
        <v>5.02</v>
      </c>
      <c r="J885" s="24">
        <v>0.0</v>
      </c>
    </row>
    <row r="886">
      <c r="A886" s="24">
        <v>2157.0</v>
      </c>
      <c r="B886" s="24">
        <v>12.0</v>
      </c>
      <c r="C886" s="44">
        <v>62.52</v>
      </c>
      <c r="D886" s="46">
        <v>44732.0</v>
      </c>
      <c r="E886" s="24">
        <v>5.21</v>
      </c>
      <c r="F886" s="24">
        <v>28.98</v>
      </c>
      <c r="G886" s="24">
        <v>0.56</v>
      </c>
      <c r="H886" s="24" t="s">
        <v>6670</v>
      </c>
      <c r="I886" s="24">
        <v>7.82</v>
      </c>
      <c r="J886" s="24">
        <v>0.0</v>
      </c>
    </row>
    <row r="887">
      <c r="A887" s="24">
        <v>1324.0</v>
      </c>
      <c r="B887" s="24">
        <v>17.0</v>
      </c>
      <c r="C887" s="44">
        <v>55.9</v>
      </c>
      <c r="D887" s="46">
        <v>44732.0</v>
      </c>
      <c r="E887" s="24">
        <v>3.29</v>
      </c>
      <c r="F887" s="24">
        <v>42.22</v>
      </c>
      <c r="G887" s="24">
        <v>1.28</v>
      </c>
      <c r="H887" s="24" t="s">
        <v>6682</v>
      </c>
      <c r="I887" s="24">
        <v>4.3</v>
      </c>
      <c r="J887" s="24">
        <v>0.0</v>
      </c>
    </row>
    <row r="888">
      <c r="A888" s="24">
        <v>2368.0</v>
      </c>
      <c r="B888" s="24">
        <v>3.0</v>
      </c>
      <c r="C888" s="44">
        <v>53.84</v>
      </c>
      <c r="D888" s="46">
        <v>44732.0</v>
      </c>
      <c r="E888" s="24">
        <v>17.95</v>
      </c>
      <c r="F888" s="24">
        <v>22.74</v>
      </c>
      <c r="G888" s="24">
        <v>0.13</v>
      </c>
      <c r="H888" s="24" t="s">
        <v>6669</v>
      </c>
      <c r="I888" s="24">
        <v>7.69</v>
      </c>
      <c r="J888" s="24">
        <v>0.0</v>
      </c>
    </row>
    <row r="889">
      <c r="A889" s="24">
        <v>603.0</v>
      </c>
      <c r="B889" s="24">
        <v>6.0</v>
      </c>
      <c r="C889" s="44">
        <v>55.08</v>
      </c>
      <c r="D889" s="46">
        <v>44732.0</v>
      </c>
      <c r="E889" s="24">
        <v>9.18</v>
      </c>
      <c r="F889" s="24">
        <v>91.34</v>
      </c>
      <c r="G889" s="24">
        <v>1.0</v>
      </c>
      <c r="H889" s="24" t="s">
        <v>6680</v>
      </c>
      <c r="I889" s="24">
        <v>4.59</v>
      </c>
      <c r="J889" s="24">
        <v>0.0</v>
      </c>
    </row>
    <row r="890">
      <c r="A890" s="24">
        <v>0.0</v>
      </c>
      <c r="B890" s="24">
        <v>0.0</v>
      </c>
      <c r="C890" s="44"/>
      <c r="D890" s="46">
        <v>44732.0</v>
      </c>
      <c r="E890" s="24" t="s">
        <v>6650</v>
      </c>
      <c r="F890" s="24" t="s">
        <v>6650</v>
      </c>
      <c r="G890" s="24" t="s">
        <v>6650</v>
      </c>
      <c r="H890" s="24" t="s">
        <v>6662</v>
      </c>
      <c r="I890" s="24" t="s">
        <v>6650</v>
      </c>
      <c r="J890" s="24"/>
    </row>
    <row r="891">
      <c r="A891" s="24">
        <v>999.0</v>
      </c>
      <c r="B891" s="24">
        <v>7.0</v>
      </c>
      <c r="C891" s="44">
        <v>32.51</v>
      </c>
      <c r="D891" s="46">
        <v>44732.0</v>
      </c>
      <c r="E891" s="24">
        <v>4.64</v>
      </c>
      <c r="F891" s="24">
        <v>32.54</v>
      </c>
      <c r="G891" s="24">
        <v>0.7</v>
      </c>
      <c r="H891" s="24" t="s">
        <v>6674</v>
      </c>
      <c r="I891" s="24">
        <v>2.96</v>
      </c>
      <c r="J891" s="24">
        <v>0.0</v>
      </c>
    </row>
    <row r="892">
      <c r="A892" s="24">
        <v>1138.0</v>
      </c>
      <c r="B892" s="24">
        <v>22.0</v>
      </c>
      <c r="C892" s="44">
        <v>45.0</v>
      </c>
      <c r="D892" s="46">
        <v>44732.0</v>
      </c>
      <c r="E892" s="24">
        <v>2.05</v>
      </c>
      <c r="F892" s="24">
        <v>39.54</v>
      </c>
      <c r="G892" s="24">
        <v>1.93</v>
      </c>
      <c r="H892" s="24" t="s">
        <v>6666</v>
      </c>
      <c r="I892" s="24">
        <v>3.46</v>
      </c>
      <c r="J892" s="24">
        <v>0.0</v>
      </c>
    </row>
    <row r="893">
      <c r="A893" s="24">
        <v>828.0</v>
      </c>
      <c r="B893" s="24">
        <v>4.0</v>
      </c>
      <c r="C893" s="44">
        <v>46.38</v>
      </c>
      <c r="D893" s="46">
        <v>44732.0</v>
      </c>
      <c r="E893" s="24">
        <v>11.6</v>
      </c>
      <c r="F893" s="24">
        <v>56.01</v>
      </c>
      <c r="G893" s="24">
        <v>0.48</v>
      </c>
      <c r="H893" s="24" t="s">
        <v>6676</v>
      </c>
      <c r="I893" s="24">
        <v>11.6</v>
      </c>
      <c r="J893" s="24">
        <v>0.0</v>
      </c>
    </row>
    <row r="894">
      <c r="A894" s="24">
        <v>5367.0</v>
      </c>
      <c r="B894" s="24">
        <v>20.0</v>
      </c>
      <c r="C894" s="44">
        <v>61.03</v>
      </c>
      <c r="D894" s="46">
        <v>44732.0</v>
      </c>
      <c r="E894" s="24">
        <v>3.05</v>
      </c>
      <c r="F894" s="24">
        <v>11.37</v>
      </c>
      <c r="G894" s="24">
        <v>0.37</v>
      </c>
      <c r="H894" s="24" t="s">
        <v>6683</v>
      </c>
      <c r="I894" s="24" t="s">
        <v>6650</v>
      </c>
      <c r="J894" s="24">
        <v>0.0</v>
      </c>
    </row>
    <row r="895">
      <c r="A895" s="24">
        <v>1406.0</v>
      </c>
      <c r="B895" s="24">
        <v>3.0</v>
      </c>
      <c r="C895" s="44">
        <v>50.59</v>
      </c>
      <c r="D895" s="46">
        <v>44733.0</v>
      </c>
      <c r="E895" s="24">
        <v>16.86</v>
      </c>
      <c r="F895" s="24">
        <v>35.98</v>
      </c>
      <c r="G895" s="24">
        <v>0.21</v>
      </c>
      <c r="H895" s="24" t="s">
        <v>6673</v>
      </c>
      <c r="I895" s="24">
        <v>5.06</v>
      </c>
      <c r="J895" s="24">
        <v>0.0</v>
      </c>
    </row>
    <row r="896">
      <c r="A896" s="24">
        <v>5252.0</v>
      </c>
      <c r="B896" s="24">
        <v>22.0</v>
      </c>
      <c r="C896" s="44">
        <v>65.86</v>
      </c>
      <c r="D896" s="46">
        <v>44733.0</v>
      </c>
      <c r="E896" s="24">
        <v>2.99</v>
      </c>
      <c r="F896" s="24">
        <v>12.54</v>
      </c>
      <c r="G896" s="24">
        <v>0.42</v>
      </c>
      <c r="H896" s="24" t="s">
        <v>6683</v>
      </c>
      <c r="I896" s="24" t="s">
        <v>6650</v>
      </c>
      <c r="J896" s="24">
        <v>0.0</v>
      </c>
    </row>
    <row r="897">
      <c r="A897" s="24">
        <v>827.0</v>
      </c>
      <c r="B897" s="24">
        <v>3.0</v>
      </c>
      <c r="C897" s="44">
        <v>36.27</v>
      </c>
      <c r="D897" s="46">
        <v>44733.0</v>
      </c>
      <c r="E897" s="24">
        <v>12.09</v>
      </c>
      <c r="F897" s="24">
        <v>43.86</v>
      </c>
      <c r="G897" s="24">
        <v>0.36</v>
      </c>
      <c r="H897" s="24" t="s">
        <v>6668</v>
      </c>
      <c r="I897" s="24">
        <v>4.03</v>
      </c>
      <c r="J897" s="24">
        <v>0.0</v>
      </c>
    </row>
    <row r="898">
      <c r="A898" s="24">
        <v>2517.0</v>
      </c>
      <c r="B898" s="24">
        <v>8.0</v>
      </c>
      <c r="C898" s="44">
        <v>63.24</v>
      </c>
      <c r="D898" s="46">
        <v>44733.0</v>
      </c>
      <c r="E898" s="24">
        <v>7.9</v>
      </c>
      <c r="F898" s="24">
        <v>25.13</v>
      </c>
      <c r="G898" s="24">
        <v>0.32</v>
      </c>
      <c r="H898" s="24" t="s">
        <v>6669</v>
      </c>
      <c r="I898" s="24">
        <v>3.72</v>
      </c>
      <c r="J898" s="24">
        <v>0.0</v>
      </c>
    </row>
    <row r="899">
      <c r="A899" s="24">
        <v>706.0</v>
      </c>
      <c r="B899" s="24">
        <v>16.0</v>
      </c>
      <c r="C899" s="44">
        <v>48.23</v>
      </c>
      <c r="D899" s="46">
        <v>44733.0</v>
      </c>
      <c r="E899" s="24">
        <v>3.01</v>
      </c>
      <c r="F899" s="24">
        <v>68.31</v>
      </c>
      <c r="G899" s="24">
        <v>2.27</v>
      </c>
      <c r="H899" s="24" t="s">
        <v>6677</v>
      </c>
      <c r="I899" s="24">
        <v>5.36</v>
      </c>
      <c r="J899" s="24">
        <v>0.0</v>
      </c>
    </row>
    <row r="900">
      <c r="A900" s="24">
        <v>518.0</v>
      </c>
      <c r="B900" s="24">
        <v>4.0</v>
      </c>
      <c r="C900" s="44">
        <v>59.56</v>
      </c>
      <c r="D900" s="46">
        <v>44733.0</v>
      </c>
      <c r="E900" s="24">
        <v>14.89</v>
      </c>
      <c r="F900" s="24">
        <v>114.98</v>
      </c>
      <c r="G900" s="24">
        <v>0.77</v>
      </c>
      <c r="H900" s="24" t="s">
        <v>6679</v>
      </c>
      <c r="I900" s="24">
        <v>59.56</v>
      </c>
      <c r="J900" s="24">
        <v>0.0</v>
      </c>
    </row>
    <row r="901">
      <c r="A901" s="24">
        <v>0.0</v>
      </c>
      <c r="B901" s="24">
        <v>0.0</v>
      </c>
      <c r="C901" s="44"/>
      <c r="D901" s="46">
        <v>44733.0</v>
      </c>
      <c r="E901" s="24" t="s">
        <v>6650</v>
      </c>
      <c r="F901" s="24" t="s">
        <v>6650</v>
      </c>
      <c r="G901" s="24" t="s">
        <v>6650</v>
      </c>
      <c r="H901" s="24" t="s">
        <v>6662</v>
      </c>
      <c r="I901" s="24" t="s">
        <v>6650</v>
      </c>
      <c r="J901" s="24"/>
    </row>
    <row r="902">
      <c r="A902" s="24">
        <v>6711.0</v>
      </c>
      <c r="B902" s="24">
        <v>47.0</v>
      </c>
      <c r="C902" s="44">
        <v>118.48</v>
      </c>
      <c r="D902" s="46">
        <v>44733.0</v>
      </c>
      <c r="E902" s="24">
        <v>2.52</v>
      </c>
      <c r="F902" s="24">
        <v>17.65</v>
      </c>
      <c r="G902" s="24">
        <v>0.7</v>
      </c>
      <c r="H902" s="24" t="s">
        <v>6681</v>
      </c>
      <c r="I902" s="24">
        <v>3.04</v>
      </c>
      <c r="J902" s="24">
        <v>0.0</v>
      </c>
    </row>
    <row r="903">
      <c r="A903" s="24">
        <v>1154.0</v>
      </c>
      <c r="B903" s="24">
        <v>10.0</v>
      </c>
      <c r="C903" s="44">
        <v>64.39</v>
      </c>
      <c r="D903" s="46">
        <v>44733.0</v>
      </c>
      <c r="E903" s="24">
        <v>6.44</v>
      </c>
      <c r="F903" s="24">
        <v>55.8</v>
      </c>
      <c r="G903" s="24">
        <v>0.87</v>
      </c>
      <c r="H903" s="24" t="s">
        <v>6678</v>
      </c>
      <c r="I903" s="24">
        <v>64.39</v>
      </c>
      <c r="J903" s="24">
        <v>0.0</v>
      </c>
    </row>
    <row r="904">
      <c r="A904" s="24">
        <v>645.0</v>
      </c>
      <c r="B904" s="24">
        <v>2.0</v>
      </c>
      <c r="C904" s="44">
        <v>60.28</v>
      </c>
      <c r="D904" s="46">
        <v>44733.0</v>
      </c>
      <c r="E904" s="24">
        <v>30.14</v>
      </c>
      <c r="F904" s="24">
        <v>93.46</v>
      </c>
      <c r="G904" s="24">
        <v>0.31</v>
      </c>
      <c r="H904" s="24" t="s">
        <v>6680</v>
      </c>
      <c r="I904" s="24">
        <v>7.54</v>
      </c>
      <c r="J904" s="24">
        <v>0.0</v>
      </c>
    </row>
    <row r="905">
      <c r="A905" s="24">
        <v>988.0</v>
      </c>
      <c r="B905" s="24">
        <v>15.0</v>
      </c>
      <c r="C905" s="44">
        <v>92.58</v>
      </c>
      <c r="D905" s="46">
        <v>44733.0</v>
      </c>
      <c r="E905" s="24">
        <v>6.17</v>
      </c>
      <c r="F905" s="24">
        <v>93.7</v>
      </c>
      <c r="G905" s="24">
        <v>1.52</v>
      </c>
      <c r="H905" s="24" t="s">
        <v>6665</v>
      </c>
      <c r="I905" s="24">
        <v>7.72</v>
      </c>
      <c r="J905" s="24">
        <v>0.0</v>
      </c>
    </row>
    <row r="906">
      <c r="A906" s="24">
        <v>1521.0</v>
      </c>
      <c r="B906" s="24">
        <v>2.0</v>
      </c>
      <c r="C906" s="44">
        <v>102.21</v>
      </c>
      <c r="D906" s="46">
        <v>44733.0</v>
      </c>
      <c r="E906" s="24">
        <v>51.1</v>
      </c>
      <c r="F906" s="24">
        <v>67.2</v>
      </c>
      <c r="G906" s="24">
        <v>0.13</v>
      </c>
      <c r="H906" s="24" t="s">
        <v>6667</v>
      </c>
      <c r="I906" s="24">
        <v>14.6</v>
      </c>
      <c r="J906" s="24">
        <v>0.0</v>
      </c>
    </row>
    <row r="907">
      <c r="A907" s="24">
        <v>1113.0</v>
      </c>
      <c r="B907" s="24">
        <v>4.0</v>
      </c>
      <c r="C907" s="44">
        <v>63.28</v>
      </c>
      <c r="D907" s="46">
        <v>44733.0</v>
      </c>
      <c r="E907" s="24">
        <v>15.82</v>
      </c>
      <c r="F907" s="24">
        <v>56.86</v>
      </c>
      <c r="G907" s="24">
        <v>0.36</v>
      </c>
      <c r="H907" s="24" t="s">
        <v>6672</v>
      </c>
      <c r="I907" s="24">
        <v>15.82</v>
      </c>
      <c r="J907" s="24">
        <v>0.0</v>
      </c>
    </row>
    <row r="908">
      <c r="A908" s="24">
        <v>1288.0</v>
      </c>
      <c r="B908" s="24">
        <v>25.0</v>
      </c>
      <c r="C908" s="44">
        <v>37.02</v>
      </c>
      <c r="D908" s="46">
        <v>44733.0</v>
      </c>
      <c r="E908" s="24">
        <v>1.48</v>
      </c>
      <c r="F908" s="24">
        <v>28.74</v>
      </c>
      <c r="G908" s="24">
        <v>1.94</v>
      </c>
      <c r="H908" s="24" t="s">
        <v>6675</v>
      </c>
      <c r="I908" s="24">
        <v>37.02</v>
      </c>
      <c r="J908" s="24">
        <v>0.0</v>
      </c>
    </row>
    <row r="909">
      <c r="A909" s="24">
        <v>1911.0</v>
      </c>
      <c r="B909" s="24">
        <v>15.0</v>
      </c>
      <c r="C909" s="44">
        <v>61.66</v>
      </c>
      <c r="D909" s="46">
        <v>44733.0</v>
      </c>
      <c r="E909" s="24">
        <v>4.11</v>
      </c>
      <c r="F909" s="24">
        <v>32.27</v>
      </c>
      <c r="G909" s="24">
        <v>0.78</v>
      </c>
      <c r="H909" s="24" t="s">
        <v>6670</v>
      </c>
      <c r="I909" s="24">
        <v>12.33</v>
      </c>
      <c r="J909" s="24">
        <v>0.0</v>
      </c>
    </row>
    <row r="910">
      <c r="A910" s="24">
        <v>898.0</v>
      </c>
      <c r="B910" s="24">
        <v>0.0</v>
      </c>
      <c r="C910" s="44">
        <v>53.85</v>
      </c>
      <c r="D910" s="46">
        <v>44733.0</v>
      </c>
      <c r="E910" s="24" t="s">
        <v>6650</v>
      </c>
      <c r="F910" s="24">
        <v>59.97</v>
      </c>
      <c r="G910" s="24">
        <v>0.0</v>
      </c>
      <c r="H910" s="24" t="s">
        <v>6676</v>
      </c>
      <c r="I910" s="24">
        <v>10.77</v>
      </c>
      <c r="J910" s="24">
        <v>0.0</v>
      </c>
    </row>
    <row r="911">
      <c r="A911" s="24">
        <v>1502.0</v>
      </c>
      <c r="B911" s="24">
        <v>9.0</v>
      </c>
      <c r="C911" s="44">
        <v>64.43</v>
      </c>
      <c r="D911" s="46">
        <v>44733.0</v>
      </c>
      <c r="E911" s="24">
        <v>7.16</v>
      </c>
      <c r="F911" s="24">
        <v>42.9</v>
      </c>
      <c r="G911" s="24">
        <v>0.6</v>
      </c>
      <c r="H911" s="24" t="s">
        <v>6684</v>
      </c>
      <c r="I911" s="24">
        <v>64.43</v>
      </c>
      <c r="J911" s="24">
        <v>3.0</v>
      </c>
    </row>
    <row r="912">
      <c r="A912" s="24">
        <v>861.0</v>
      </c>
      <c r="B912" s="24">
        <v>2.0</v>
      </c>
      <c r="C912" s="44">
        <v>24.63</v>
      </c>
      <c r="D912" s="46">
        <v>44733.0</v>
      </c>
      <c r="E912" s="24">
        <v>12.32</v>
      </c>
      <c r="F912" s="24">
        <v>28.61</v>
      </c>
      <c r="G912" s="24">
        <v>0.23</v>
      </c>
      <c r="H912" s="24" t="s">
        <v>6671</v>
      </c>
      <c r="I912" s="24">
        <v>8.21</v>
      </c>
      <c r="J912" s="24">
        <v>0.0</v>
      </c>
    </row>
    <row r="913">
      <c r="A913" s="24">
        <v>1007.0</v>
      </c>
      <c r="B913" s="24">
        <v>11.0</v>
      </c>
      <c r="C913" s="44">
        <v>40.4</v>
      </c>
      <c r="D913" s="46">
        <v>44733.0</v>
      </c>
      <c r="E913" s="24">
        <v>3.67</v>
      </c>
      <c r="F913" s="24">
        <v>40.12</v>
      </c>
      <c r="G913" s="24">
        <v>1.09</v>
      </c>
      <c r="H913" s="24" t="s">
        <v>6666</v>
      </c>
      <c r="I913" s="24">
        <v>3.11</v>
      </c>
      <c r="J913" s="24">
        <v>0.0</v>
      </c>
    </row>
    <row r="914">
      <c r="A914" s="24">
        <v>3159.0</v>
      </c>
      <c r="B914" s="24">
        <v>8.0</v>
      </c>
      <c r="C914" s="44">
        <v>25.38</v>
      </c>
      <c r="D914" s="46">
        <v>44733.0</v>
      </c>
      <c r="E914" s="24">
        <v>3.17</v>
      </c>
      <c r="F914" s="24">
        <v>8.03</v>
      </c>
      <c r="G914" s="24">
        <v>0.25</v>
      </c>
      <c r="H914" s="24" t="s">
        <v>6660</v>
      </c>
      <c r="I914" s="24">
        <v>2.82</v>
      </c>
      <c r="J914" s="24">
        <v>0.0</v>
      </c>
    </row>
    <row r="915">
      <c r="A915" s="24">
        <v>1397.0</v>
      </c>
      <c r="B915" s="24">
        <v>14.0</v>
      </c>
      <c r="C915" s="44">
        <v>61.53</v>
      </c>
      <c r="D915" s="46">
        <v>44733.0</v>
      </c>
      <c r="E915" s="24">
        <v>4.4</v>
      </c>
      <c r="F915" s="24">
        <v>44.04</v>
      </c>
      <c r="G915" s="24">
        <v>1.0</v>
      </c>
      <c r="H915" s="24" t="s">
        <v>6682</v>
      </c>
      <c r="I915" s="24">
        <v>3.42</v>
      </c>
      <c r="J915" s="24">
        <v>0.0</v>
      </c>
    </row>
    <row r="916">
      <c r="A916" s="24">
        <v>1782.0</v>
      </c>
      <c r="B916" s="24">
        <v>18.0</v>
      </c>
      <c r="C916" s="44">
        <v>25.89</v>
      </c>
      <c r="D916" s="46">
        <v>44733.0</v>
      </c>
      <c r="E916" s="24">
        <v>1.44</v>
      </c>
      <c r="F916" s="24">
        <v>14.53</v>
      </c>
      <c r="G916" s="24">
        <v>1.01</v>
      </c>
      <c r="H916" s="24" t="s">
        <v>6664</v>
      </c>
      <c r="I916" s="24">
        <v>2.88</v>
      </c>
      <c r="J916" s="24">
        <v>0.0</v>
      </c>
    </row>
    <row r="917">
      <c r="A917" s="24">
        <v>1036.0</v>
      </c>
      <c r="B917" s="24">
        <v>8.0</v>
      </c>
      <c r="C917" s="44">
        <v>35.91</v>
      </c>
      <c r="D917" s="46">
        <v>44733.0</v>
      </c>
      <c r="E917" s="24">
        <v>4.49</v>
      </c>
      <c r="F917" s="24">
        <v>34.66</v>
      </c>
      <c r="G917" s="24">
        <v>0.77</v>
      </c>
      <c r="H917" s="24" t="s">
        <v>6674</v>
      </c>
      <c r="I917" s="24">
        <v>2.39</v>
      </c>
      <c r="J917" s="24">
        <v>0.0</v>
      </c>
    </row>
    <row r="918">
      <c r="A918" s="24">
        <v>1108.0</v>
      </c>
      <c r="B918" s="24">
        <v>5.0</v>
      </c>
      <c r="C918" s="44">
        <v>61.87</v>
      </c>
      <c r="D918" s="46">
        <v>44734.0</v>
      </c>
      <c r="E918" s="24">
        <v>12.37</v>
      </c>
      <c r="F918" s="24">
        <v>55.84</v>
      </c>
      <c r="G918" s="24">
        <v>0.45</v>
      </c>
      <c r="H918" s="24" t="s">
        <v>6672</v>
      </c>
      <c r="I918" s="24">
        <v>15.47</v>
      </c>
      <c r="J918" s="24">
        <v>0.0</v>
      </c>
    </row>
    <row r="919">
      <c r="A919" s="24">
        <v>1409.0</v>
      </c>
      <c r="B919" s="24">
        <v>9.0</v>
      </c>
      <c r="C919" s="44">
        <v>63.01</v>
      </c>
      <c r="D919" s="46">
        <v>44734.0</v>
      </c>
      <c r="E919" s="24">
        <v>7.0</v>
      </c>
      <c r="F919" s="24">
        <v>44.72</v>
      </c>
      <c r="G919" s="24">
        <v>0.64</v>
      </c>
      <c r="H919" s="24" t="s">
        <v>6684</v>
      </c>
      <c r="I919" s="24">
        <v>10.5</v>
      </c>
      <c r="J919" s="24">
        <v>1.0</v>
      </c>
    </row>
    <row r="920">
      <c r="A920" s="24">
        <v>1063.0</v>
      </c>
      <c r="B920" s="24">
        <v>14.0</v>
      </c>
      <c r="C920" s="44">
        <v>95.51</v>
      </c>
      <c r="D920" s="46">
        <v>44734.0</v>
      </c>
      <c r="E920" s="24">
        <v>6.82</v>
      </c>
      <c r="F920" s="24">
        <v>89.85</v>
      </c>
      <c r="G920" s="24">
        <v>1.32</v>
      </c>
      <c r="H920" s="24" t="s">
        <v>6665</v>
      </c>
      <c r="I920" s="24">
        <v>9.55</v>
      </c>
      <c r="J920" s="24">
        <v>0.0</v>
      </c>
    </row>
    <row r="921">
      <c r="A921" s="24">
        <v>1069.0</v>
      </c>
      <c r="B921" s="24">
        <v>7.0</v>
      </c>
      <c r="C921" s="44">
        <v>35.21</v>
      </c>
      <c r="D921" s="46">
        <v>44734.0</v>
      </c>
      <c r="E921" s="24">
        <v>5.03</v>
      </c>
      <c r="F921" s="24">
        <v>32.94</v>
      </c>
      <c r="G921" s="24">
        <v>0.65</v>
      </c>
      <c r="H921" s="24" t="s">
        <v>6674</v>
      </c>
      <c r="I921" s="24">
        <v>3.52</v>
      </c>
      <c r="J921" s="24">
        <v>0.0</v>
      </c>
    </row>
    <row r="922">
      <c r="A922" s="24">
        <v>762.0</v>
      </c>
      <c r="B922" s="24">
        <v>0.0</v>
      </c>
      <c r="C922" s="44">
        <v>24.3</v>
      </c>
      <c r="D922" s="46">
        <v>44734.0</v>
      </c>
      <c r="E922" s="24" t="s">
        <v>6650</v>
      </c>
      <c r="F922" s="24">
        <v>31.89</v>
      </c>
      <c r="G922" s="24">
        <v>0.0</v>
      </c>
      <c r="H922" s="24" t="s">
        <v>6671</v>
      </c>
      <c r="I922" s="24">
        <v>3.47</v>
      </c>
      <c r="J922" s="24">
        <v>0.0</v>
      </c>
    </row>
    <row r="923">
      <c r="A923" s="24">
        <v>3032.0</v>
      </c>
      <c r="B923" s="24">
        <v>5.0</v>
      </c>
      <c r="C923" s="44">
        <v>25.33</v>
      </c>
      <c r="D923" s="46">
        <v>44734.0</v>
      </c>
      <c r="E923" s="24">
        <v>5.07</v>
      </c>
      <c r="F923" s="24">
        <v>8.35</v>
      </c>
      <c r="G923" s="24">
        <v>0.16</v>
      </c>
      <c r="H923" s="24" t="s">
        <v>6660</v>
      </c>
      <c r="I923" s="24">
        <v>3.17</v>
      </c>
      <c r="J923" s="24">
        <v>0.0</v>
      </c>
    </row>
    <row r="924">
      <c r="A924" s="24">
        <v>0.0</v>
      </c>
      <c r="B924" s="24">
        <v>0.0</v>
      </c>
      <c r="C924" s="44"/>
      <c r="D924" s="46">
        <v>44734.0</v>
      </c>
      <c r="E924" s="24" t="s">
        <v>6650</v>
      </c>
      <c r="F924" s="24" t="s">
        <v>6650</v>
      </c>
      <c r="G924" s="24" t="s">
        <v>6650</v>
      </c>
      <c r="H924" s="24" t="s">
        <v>6662</v>
      </c>
      <c r="I924" s="24" t="s">
        <v>6650</v>
      </c>
      <c r="J924" s="24"/>
    </row>
    <row r="925">
      <c r="A925" s="24">
        <v>1877.0</v>
      </c>
      <c r="B925" s="24">
        <v>17.0</v>
      </c>
      <c r="C925" s="44">
        <v>60.72</v>
      </c>
      <c r="D925" s="46">
        <v>44734.0</v>
      </c>
      <c r="E925" s="24">
        <v>3.57</v>
      </c>
      <c r="F925" s="24">
        <v>32.35</v>
      </c>
      <c r="G925" s="24">
        <v>0.91</v>
      </c>
      <c r="H925" s="24" t="s">
        <v>6670</v>
      </c>
      <c r="I925" s="24">
        <v>5.52</v>
      </c>
      <c r="J925" s="24">
        <v>0.0</v>
      </c>
    </row>
    <row r="926">
      <c r="A926" s="24">
        <v>717.0</v>
      </c>
      <c r="B926" s="24">
        <v>15.0</v>
      </c>
      <c r="C926" s="44">
        <v>47.39</v>
      </c>
      <c r="D926" s="46">
        <v>44734.0</v>
      </c>
      <c r="E926" s="24">
        <v>3.16</v>
      </c>
      <c r="F926" s="24">
        <v>66.09</v>
      </c>
      <c r="G926" s="24">
        <v>2.09</v>
      </c>
      <c r="H926" s="24" t="s">
        <v>6677</v>
      </c>
      <c r="I926" s="24">
        <v>23.7</v>
      </c>
      <c r="J926" s="24">
        <v>0.0</v>
      </c>
    </row>
    <row r="927">
      <c r="A927" s="24">
        <v>1135.0</v>
      </c>
      <c r="B927" s="24">
        <v>7.0</v>
      </c>
      <c r="C927" s="44">
        <v>36.49</v>
      </c>
      <c r="D927" s="46">
        <v>44734.0</v>
      </c>
      <c r="E927" s="24">
        <v>5.21</v>
      </c>
      <c r="F927" s="24">
        <v>32.15</v>
      </c>
      <c r="G927" s="24">
        <v>0.62</v>
      </c>
      <c r="H927" s="24" t="s">
        <v>6675</v>
      </c>
      <c r="I927" s="24">
        <v>9.12</v>
      </c>
      <c r="J927" s="24">
        <v>0.0</v>
      </c>
    </row>
    <row r="928">
      <c r="A928" s="24">
        <v>1611.0</v>
      </c>
      <c r="B928" s="24">
        <v>15.0</v>
      </c>
      <c r="C928" s="44">
        <v>23.43</v>
      </c>
      <c r="D928" s="46">
        <v>44734.0</v>
      </c>
      <c r="E928" s="24">
        <v>1.56</v>
      </c>
      <c r="F928" s="24">
        <v>14.54</v>
      </c>
      <c r="G928" s="24">
        <v>0.93</v>
      </c>
      <c r="H928" s="24" t="s">
        <v>6664</v>
      </c>
      <c r="I928" s="24">
        <v>2.6</v>
      </c>
      <c r="J928" s="24">
        <v>0.0</v>
      </c>
    </row>
    <row r="929">
      <c r="A929" s="24">
        <v>1293.0</v>
      </c>
      <c r="B929" s="24">
        <v>16.0</v>
      </c>
      <c r="C929" s="44">
        <v>60.95</v>
      </c>
      <c r="D929" s="46">
        <v>44734.0</v>
      </c>
      <c r="E929" s="24">
        <v>3.81</v>
      </c>
      <c r="F929" s="24">
        <v>47.14</v>
      </c>
      <c r="G929" s="24">
        <v>1.24</v>
      </c>
      <c r="H929" s="24" t="s">
        <v>6682</v>
      </c>
      <c r="I929" s="24">
        <v>4.06</v>
      </c>
      <c r="J929" s="24">
        <v>0.0</v>
      </c>
    </row>
    <row r="930">
      <c r="A930" s="24">
        <v>1082.0</v>
      </c>
      <c r="B930" s="24">
        <v>13.0</v>
      </c>
      <c r="C930" s="44">
        <v>39.83</v>
      </c>
      <c r="D930" s="46">
        <v>44734.0</v>
      </c>
      <c r="E930" s="24">
        <v>3.06</v>
      </c>
      <c r="F930" s="24">
        <v>36.81</v>
      </c>
      <c r="G930" s="24">
        <v>1.2</v>
      </c>
      <c r="H930" s="24" t="s">
        <v>6666</v>
      </c>
      <c r="I930" s="24">
        <v>6.64</v>
      </c>
      <c r="J930" s="24">
        <v>0.0</v>
      </c>
    </row>
    <row r="931">
      <c r="A931" s="24">
        <v>402.0</v>
      </c>
      <c r="B931" s="24">
        <v>6.0</v>
      </c>
      <c r="C931" s="44">
        <v>59.36</v>
      </c>
      <c r="D931" s="46">
        <v>44734.0</v>
      </c>
      <c r="E931" s="24">
        <v>9.89</v>
      </c>
      <c r="F931" s="24">
        <v>147.66</v>
      </c>
      <c r="G931" s="24">
        <v>1.49</v>
      </c>
      <c r="H931" s="24" t="s">
        <v>6679</v>
      </c>
      <c r="I931" s="24">
        <v>29.68</v>
      </c>
      <c r="J931" s="24">
        <v>0.0</v>
      </c>
    </row>
    <row r="932">
      <c r="A932" s="24">
        <v>1036.0</v>
      </c>
      <c r="B932" s="24">
        <v>3.0</v>
      </c>
      <c r="C932" s="44">
        <v>62.98</v>
      </c>
      <c r="D932" s="46">
        <v>44734.0</v>
      </c>
      <c r="E932" s="24">
        <v>20.99</v>
      </c>
      <c r="F932" s="24">
        <v>60.79</v>
      </c>
      <c r="G932" s="24">
        <v>0.29</v>
      </c>
      <c r="H932" s="24" t="s">
        <v>6678</v>
      </c>
      <c r="I932" s="24" t="s">
        <v>6650</v>
      </c>
      <c r="J932" s="24">
        <v>0.0</v>
      </c>
    </row>
    <row r="933">
      <c r="A933" s="24">
        <v>4770.0</v>
      </c>
      <c r="B933" s="24">
        <v>24.0</v>
      </c>
      <c r="C933" s="44">
        <v>64.29</v>
      </c>
      <c r="D933" s="46">
        <v>44734.0</v>
      </c>
      <c r="E933" s="24">
        <v>2.68</v>
      </c>
      <c r="F933" s="24">
        <v>13.48</v>
      </c>
      <c r="G933" s="24">
        <v>0.5</v>
      </c>
      <c r="H933" s="24" t="s">
        <v>6683</v>
      </c>
      <c r="I933" s="24">
        <v>32.15</v>
      </c>
      <c r="J933" s="24">
        <v>0.0</v>
      </c>
    </row>
    <row r="934">
      <c r="A934" s="24">
        <v>1112.0</v>
      </c>
      <c r="B934" s="24">
        <v>2.0</v>
      </c>
      <c r="C934" s="44">
        <v>90.69</v>
      </c>
      <c r="D934" s="46">
        <v>44734.0</v>
      </c>
      <c r="E934" s="24">
        <v>45.34</v>
      </c>
      <c r="F934" s="24">
        <v>81.56</v>
      </c>
      <c r="G934" s="24">
        <v>0.18</v>
      </c>
      <c r="H934" s="24" t="s">
        <v>6667</v>
      </c>
      <c r="I934" s="24">
        <v>10.08</v>
      </c>
      <c r="J934" s="24">
        <v>0.0</v>
      </c>
    </row>
    <row r="935">
      <c r="A935" s="24">
        <v>754.0</v>
      </c>
      <c r="B935" s="24">
        <v>3.0</v>
      </c>
      <c r="C935" s="44">
        <v>55.84</v>
      </c>
      <c r="D935" s="46">
        <v>44734.0</v>
      </c>
      <c r="E935" s="24">
        <v>18.61</v>
      </c>
      <c r="F935" s="24">
        <v>74.06</v>
      </c>
      <c r="G935" s="24">
        <v>0.4</v>
      </c>
      <c r="H935" s="24" t="s">
        <v>6676</v>
      </c>
      <c r="I935" s="24">
        <v>7.98</v>
      </c>
      <c r="J935" s="24">
        <v>0.0</v>
      </c>
    </row>
    <row r="936">
      <c r="A936" s="24">
        <v>887.0</v>
      </c>
      <c r="B936" s="24">
        <v>2.0</v>
      </c>
      <c r="C936" s="44">
        <v>35.74</v>
      </c>
      <c r="D936" s="46">
        <v>44734.0</v>
      </c>
      <c r="E936" s="24">
        <v>17.87</v>
      </c>
      <c r="F936" s="24">
        <v>40.29</v>
      </c>
      <c r="G936" s="24">
        <v>0.23</v>
      </c>
      <c r="H936" s="24" t="s">
        <v>6668</v>
      </c>
      <c r="I936" s="24">
        <v>8.94</v>
      </c>
      <c r="J936" s="24">
        <v>0.0</v>
      </c>
    </row>
    <row r="937">
      <c r="A937" s="24">
        <v>1246.0</v>
      </c>
      <c r="B937" s="24">
        <v>1.0</v>
      </c>
      <c r="C937" s="44">
        <v>49.5</v>
      </c>
      <c r="D937" s="46">
        <v>44734.0</v>
      </c>
      <c r="E937" s="24">
        <v>49.5</v>
      </c>
      <c r="F937" s="24">
        <v>39.73</v>
      </c>
      <c r="G937" s="24">
        <v>0.08</v>
      </c>
      <c r="H937" s="24" t="s">
        <v>6673</v>
      </c>
      <c r="I937" s="24">
        <v>12.38</v>
      </c>
      <c r="J937" s="24">
        <v>0.0</v>
      </c>
    </row>
    <row r="938">
      <c r="A938" s="24">
        <v>6844.0</v>
      </c>
      <c r="B938" s="24">
        <v>36.0</v>
      </c>
      <c r="C938" s="44">
        <v>118.59</v>
      </c>
      <c r="D938" s="46">
        <v>44734.0</v>
      </c>
      <c r="E938" s="24">
        <v>3.29</v>
      </c>
      <c r="F938" s="24">
        <v>17.33</v>
      </c>
      <c r="G938" s="24">
        <v>0.53</v>
      </c>
      <c r="H938" s="24" t="s">
        <v>6681</v>
      </c>
      <c r="I938" s="24">
        <v>3.71</v>
      </c>
      <c r="J938" s="24">
        <v>0.0</v>
      </c>
    </row>
    <row r="939">
      <c r="A939" s="24">
        <v>2142.0</v>
      </c>
      <c r="B939" s="24">
        <v>8.0</v>
      </c>
      <c r="C939" s="44">
        <v>61.82</v>
      </c>
      <c r="D939" s="46">
        <v>44734.0</v>
      </c>
      <c r="E939" s="24">
        <v>7.73</v>
      </c>
      <c r="F939" s="24">
        <v>28.86</v>
      </c>
      <c r="G939" s="24">
        <v>0.37</v>
      </c>
      <c r="H939" s="24" t="s">
        <v>6669</v>
      </c>
      <c r="I939" s="24">
        <v>8.83</v>
      </c>
      <c r="J939" s="24">
        <v>0.0</v>
      </c>
    </row>
    <row r="940">
      <c r="A940" s="24">
        <v>649.0</v>
      </c>
      <c r="B940" s="24">
        <v>4.0</v>
      </c>
      <c r="C940" s="44">
        <v>58.36</v>
      </c>
      <c r="D940" s="46">
        <v>44734.0</v>
      </c>
      <c r="E940" s="24">
        <v>14.59</v>
      </c>
      <c r="F940" s="24">
        <v>89.92</v>
      </c>
      <c r="G940" s="24">
        <v>0.62</v>
      </c>
      <c r="H940" s="24" t="s">
        <v>6680</v>
      </c>
      <c r="I940" s="24">
        <v>7.3</v>
      </c>
      <c r="J940" s="24">
        <v>0.0</v>
      </c>
    </row>
    <row r="941">
      <c r="A941" s="24">
        <v>710.0</v>
      </c>
      <c r="B941" s="24">
        <v>1.0</v>
      </c>
      <c r="C941" s="44">
        <v>23.52</v>
      </c>
      <c r="D941" s="46">
        <v>44735.0</v>
      </c>
      <c r="E941" s="24">
        <v>23.52</v>
      </c>
      <c r="F941" s="24">
        <v>33.13</v>
      </c>
      <c r="G941" s="24">
        <v>0.14</v>
      </c>
      <c r="H941" s="24" t="s">
        <v>6671</v>
      </c>
      <c r="I941" s="24">
        <v>7.84</v>
      </c>
      <c r="J941" s="24">
        <v>0.0</v>
      </c>
    </row>
    <row r="942">
      <c r="A942" s="24">
        <v>901.0</v>
      </c>
      <c r="B942" s="24">
        <v>5.0</v>
      </c>
      <c r="C942" s="44">
        <v>35.43</v>
      </c>
      <c r="D942" s="46">
        <v>44735.0</v>
      </c>
      <c r="E942" s="24">
        <v>7.09</v>
      </c>
      <c r="F942" s="24">
        <v>39.32</v>
      </c>
      <c r="G942" s="24">
        <v>0.55</v>
      </c>
      <c r="H942" s="24" t="s">
        <v>6675</v>
      </c>
      <c r="I942" s="24">
        <v>8.86</v>
      </c>
      <c r="J942" s="24">
        <v>0.0</v>
      </c>
    </row>
    <row r="943">
      <c r="A943" s="24">
        <v>786.0</v>
      </c>
      <c r="B943" s="24">
        <v>1.0</v>
      </c>
      <c r="C943" s="44">
        <v>54.25</v>
      </c>
      <c r="D943" s="46">
        <v>44735.0</v>
      </c>
      <c r="E943" s="24">
        <v>54.25</v>
      </c>
      <c r="F943" s="24">
        <v>69.02</v>
      </c>
      <c r="G943" s="24">
        <v>0.13</v>
      </c>
      <c r="H943" s="24" t="s">
        <v>6676</v>
      </c>
      <c r="I943" s="24">
        <v>54.25</v>
      </c>
      <c r="J943" s="24">
        <v>0.0</v>
      </c>
    </row>
    <row r="944">
      <c r="A944" s="24">
        <v>496.0</v>
      </c>
      <c r="B944" s="24">
        <v>10.0</v>
      </c>
      <c r="C944" s="44">
        <v>34.77</v>
      </c>
      <c r="D944" s="46">
        <v>44735.0</v>
      </c>
      <c r="E944" s="24">
        <v>3.48</v>
      </c>
      <c r="F944" s="24">
        <v>70.1</v>
      </c>
      <c r="G944" s="24">
        <v>2.02</v>
      </c>
      <c r="H944" s="24" t="s">
        <v>6677</v>
      </c>
      <c r="I944" s="24">
        <v>3.86</v>
      </c>
      <c r="J944" s="24">
        <v>0.0</v>
      </c>
    </row>
    <row r="945">
      <c r="A945" s="24">
        <v>1290.0</v>
      </c>
      <c r="B945" s="24">
        <v>1.0</v>
      </c>
      <c r="C945" s="44">
        <v>49.82</v>
      </c>
      <c r="D945" s="46">
        <v>44735.0</v>
      </c>
      <c r="E945" s="24">
        <v>49.82</v>
      </c>
      <c r="F945" s="24">
        <v>38.62</v>
      </c>
      <c r="G945" s="24">
        <v>0.08</v>
      </c>
      <c r="H945" s="24" t="s">
        <v>6673</v>
      </c>
      <c r="I945" s="24">
        <v>7.12</v>
      </c>
      <c r="J945" s="24">
        <v>0.0</v>
      </c>
    </row>
    <row r="946">
      <c r="A946" s="24">
        <v>0.0</v>
      </c>
      <c r="B946" s="24">
        <v>0.0</v>
      </c>
      <c r="C946" s="44"/>
      <c r="D946" s="46">
        <v>44735.0</v>
      </c>
      <c r="E946" s="24" t="s">
        <v>6650</v>
      </c>
      <c r="F946" s="24" t="s">
        <v>6650</v>
      </c>
      <c r="G946" s="24" t="s">
        <v>6650</v>
      </c>
      <c r="H946" s="24" t="s">
        <v>6662</v>
      </c>
      <c r="I946" s="24" t="s">
        <v>6650</v>
      </c>
      <c r="J946" s="24"/>
    </row>
    <row r="947">
      <c r="A947" s="24">
        <v>0.0</v>
      </c>
      <c r="B947" s="24">
        <v>0.0</v>
      </c>
      <c r="C947" s="44"/>
      <c r="D947" s="46">
        <v>44735.0</v>
      </c>
      <c r="E947" s="24" t="s">
        <v>6650</v>
      </c>
      <c r="F947" s="24" t="s">
        <v>6650</v>
      </c>
      <c r="G947" s="24" t="s">
        <v>6650</v>
      </c>
      <c r="H947" s="24" t="s">
        <v>6667</v>
      </c>
      <c r="I947" s="24" t="s">
        <v>6650</v>
      </c>
      <c r="J947" s="24"/>
    </row>
    <row r="948">
      <c r="A948" s="24">
        <v>1208.0</v>
      </c>
      <c r="B948" s="24">
        <v>6.0</v>
      </c>
      <c r="C948" s="44">
        <v>61.57</v>
      </c>
      <c r="D948" s="46">
        <v>44735.0</v>
      </c>
      <c r="E948" s="24">
        <v>10.26</v>
      </c>
      <c r="F948" s="24">
        <v>50.97</v>
      </c>
      <c r="G948" s="24">
        <v>0.5</v>
      </c>
      <c r="H948" s="24" t="s">
        <v>6684</v>
      </c>
      <c r="I948" s="24">
        <v>6.84</v>
      </c>
      <c r="J948" s="24">
        <v>2.0</v>
      </c>
    </row>
    <row r="949">
      <c r="A949" s="24">
        <v>647.0</v>
      </c>
      <c r="B949" s="24">
        <v>1.0</v>
      </c>
      <c r="C949" s="44">
        <v>63.1</v>
      </c>
      <c r="D949" s="46">
        <v>44735.0</v>
      </c>
      <c r="E949" s="24">
        <v>63.1</v>
      </c>
      <c r="F949" s="24">
        <v>97.53</v>
      </c>
      <c r="G949" s="24">
        <v>0.15</v>
      </c>
      <c r="H949" s="24" t="s">
        <v>6680</v>
      </c>
      <c r="I949" s="24">
        <v>5.74</v>
      </c>
      <c r="J949" s="24">
        <v>0.0</v>
      </c>
    </row>
    <row r="950">
      <c r="A950" s="24">
        <v>1210.0</v>
      </c>
      <c r="B950" s="24">
        <v>5.0</v>
      </c>
      <c r="C950" s="44">
        <v>62.86</v>
      </c>
      <c r="D950" s="46">
        <v>44735.0</v>
      </c>
      <c r="E950" s="24">
        <v>12.57</v>
      </c>
      <c r="F950" s="24">
        <v>51.95</v>
      </c>
      <c r="G950" s="24">
        <v>0.41</v>
      </c>
      <c r="H950" s="24" t="s">
        <v>6678</v>
      </c>
      <c r="I950" s="24" t="s">
        <v>6650</v>
      </c>
      <c r="J950" s="24">
        <v>0.0</v>
      </c>
    </row>
    <row r="951">
      <c r="A951" s="24">
        <v>443.0</v>
      </c>
      <c r="B951" s="24">
        <v>7.0</v>
      </c>
      <c r="C951" s="44">
        <v>46.52</v>
      </c>
      <c r="D951" s="46">
        <v>44735.0</v>
      </c>
      <c r="E951" s="24">
        <v>6.65</v>
      </c>
      <c r="F951" s="24">
        <v>105.01</v>
      </c>
      <c r="G951" s="24">
        <v>1.58</v>
      </c>
      <c r="H951" s="24" t="s">
        <v>6679</v>
      </c>
      <c r="I951" s="24">
        <v>23.26</v>
      </c>
      <c r="J951" s="24">
        <v>0.0</v>
      </c>
    </row>
    <row r="952">
      <c r="A952" s="24">
        <v>965.0</v>
      </c>
      <c r="B952" s="24">
        <v>7.0</v>
      </c>
      <c r="C952" s="44">
        <v>40.86</v>
      </c>
      <c r="D952" s="46">
        <v>44735.0</v>
      </c>
      <c r="E952" s="24">
        <v>5.84</v>
      </c>
      <c r="F952" s="24">
        <v>42.34</v>
      </c>
      <c r="G952" s="24">
        <v>0.73</v>
      </c>
      <c r="H952" s="24" t="s">
        <v>6674</v>
      </c>
      <c r="I952" s="24">
        <v>3.4</v>
      </c>
      <c r="J952" s="24">
        <v>0.0</v>
      </c>
    </row>
    <row r="953">
      <c r="A953" s="24">
        <v>2120.0</v>
      </c>
      <c r="B953" s="24">
        <v>7.0</v>
      </c>
      <c r="C953" s="44">
        <v>62.2</v>
      </c>
      <c r="D953" s="46">
        <v>44735.0</v>
      </c>
      <c r="E953" s="24">
        <v>8.89</v>
      </c>
      <c r="F953" s="24">
        <v>29.34</v>
      </c>
      <c r="G953" s="24">
        <v>0.33</v>
      </c>
      <c r="H953" s="24" t="s">
        <v>6669</v>
      </c>
      <c r="I953" s="24">
        <v>6.22</v>
      </c>
      <c r="J953" s="24">
        <v>0.0</v>
      </c>
    </row>
    <row r="954">
      <c r="A954" s="24">
        <v>860.0</v>
      </c>
      <c r="B954" s="24">
        <v>14.0</v>
      </c>
      <c r="C954" s="44">
        <v>33.46</v>
      </c>
      <c r="D954" s="46">
        <v>44735.0</v>
      </c>
      <c r="E954" s="24">
        <v>2.39</v>
      </c>
      <c r="F954" s="24">
        <v>38.91</v>
      </c>
      <c r="G954" s="24">
        <v>1.63</v>
      </c>
      <c r="H954" s="24" t="s">
        <v>6666</v>
      </c>
      <c r="I954" s="24">
        <v>2.79</v>
      </c>
      <c r="J954" s="24">
        <v>0.0</v>
      </c>
    </row>
    <row r="955">
      <c r="A955" s="24">
        <v>801.0</v>
      </c>
      <c r="B955" s="24">
        <v>2.0</v>
      </c>
      <c r="C955" s="44">
        <v>31.48</v>
      </c>
      <c r="D955" s="46">
        <v>44735.0</v>
      </c>
      <c r="E955" s="24">
        <v>15.74</v>
      </c>
      <c r="F955" s="24">
        <v>39.3</v>
      </c>
      <c r="G955" s="24">
        <v>0.25</v>
      </c>
      <c r="H955" s="24" t="s">
        <v>6668</v>
      </c>
      <c r="I955" s="24">
        <v>3.15</v>
      </c>
      <c r="J955" s="24">
        <v>0.0</v>
      </c>
    </row>
    <row r="956">
      <c r="A956" s="24">
        <v>939.0</v>
      </c>
      <c r="B956" s="24">
        <v>2.0</v>
      </c>
      <c r="C956" s="44">
        <v>62.66</v>
      </c>
      <c r="D956" s="46">
        <v>44735.0</v>
      </c>
      <c r="E956" s="24">
        <v>31.33</v>
      </c>
      <c r="F956" s="24">
        <v>66.73</v>
      </c>
      <c r="G956" s="24">
        <v>0.21</v>
      </c>
      <c r="H956" s="24" t="s">
        <v>6672</v>
      </c>
      <c r="I956" s="24">
        <v>20.89</v>
      </c>
      <c r="J956" s="24">
        <v>0.0</v>
      </c>
    </row>
    <row r="957">
      <c r="A957" s="24">
        <v>1058.0</v>
      </c>
      <c r="B957" s="24">
        <v>12.0</v>
      </c>
      <c r="C957" s="44">
        <v>86.23</v>
      </c>
      <c r="D957" s="46">
        <v>44735.0</v>
      </c>
      <c r="E957" s="24">
        <v>7.19</v>
      </c>
      <c r="F957" s="24">
        <v>81.5</v>
      </c>
      <c r="G957" s="24">
        <v>1.13</v>
      </c>
      <c r="H957" s="24" t="s">
        <v>6665</v>
      </c>
      <c r="I957" s="24">
        <v>17.25</v>
      </c>
      <c r="J957" s="24">
        <v>0.0</v>
      </c>
    </row>
    <row r="958">
      <c r="A958" s="24">
        <v>1461.0</v>
      </c>
      <c r="B958" s="24">
        <v>11.0</v>
      </c>
      <c r="C958" s="44">
        <v>58.84</v>
      </c>
      <c r="D958" s="46">
        <v>44735.0</v>
      </c>
      <c r="E958" s="24">
        <v>5.35</v>
      </c>
      <c r="F958" s="24">
        <v>40.27</v>
      </c>
      <c r="G958" s="24">
        <v>0.75</v>
      </c>
      <c r="H958" s="24" t="s">
        <v>6670</v>
      </c>
      <c r="I958" s="24">
        <v>14.71</v>
      </c>
      <c r="J958" s="24">
        <v>0.0</v>
      </c>
    </row>
    <row r="959">
      <c r="A959" s="24">
        <v>2648.0</v>
      </c>
      <c r="B959" s="24">
        <v>13.0</v>
      </c>
      <c r="C959" s="44">
        <v>25.19</v>
      </c>
      <c r="D959" s="46">
        <v>44735.0</v>
      </c>
      <c r="E959" s="24">
        <v>1.94</v>
      </c>
      <c r="F959" s="24">
        <v>9.51</v>
      </c>
      <c r="G959" s="24">
        <v>0.49</v>
      </c>
      <c r="H959" s="24" t="s">
        <v>6660</v>
      </c>
      <c r="I959" s="24">
        <v>2.52</v>
      </c>
      <c r="J959" s="24">
        <v>0.0</v>
      </c>
    </row>
    <row r="960">
      <c r="A960" s="24">
        <v>1427.0</v>
      </c>
      <c r="B960" s="24">
        <v>16.0</v>
      </c>
      <c r="C960" s="44">
        <v>22.56</v>
      </c>
      <c r="D960" s="46">
        <v>44735.0</v>
      </c>
      <c r="E960" s="24">
        <v>1.41</v>
      </c>
      <c r="F960" s="24">
        <v>15.81</v>
      </c>
      <c r="G960" s="24">
        <v>1.12</v>
      </c>
      <c r="H960" s="24" t="s">
        <v>6664</v>
      </c>
      <c r="I960" s="24">
        <v>3.22</v>
      </c>
      <c r="J960" s="24">
        <v>0.0</v>
      </c>
    </row>
    <row r="961">
      <c r="A961" s="24">
        <v>1197.0</v>
      </c>
      <c r="B961" s="24">
        <v>8.0</v>
      </c>
      <c r="C961" s="44">
        <v>64.03</v>
      </c>
      <c r="D961" s="46">
        <v>44735.0</v>
      </c>
      <c r="E961" s="24">
        <v>8.0</v>
      </c>
      <c r="F961" s="24">
        <v>53.49</v>
      </c>
      <c r="G961" s="24">
        <v>0.67</v>
      </c>
      <c r="H961" s="24" t="s">
        <v>6682</v>
      </c>
      <c r="I961" s="24">
        <v>4.57</v>
      </c>
      <c r="J961" s="24">
        <v>0.0</v>
      </c>
    </row>
    <row r="962">
      <c r="A962" s="24">
        <v>4670.0</v>
      </c>
      <c r="B962" s="24">
        <v>22.0</v>
      </c>
      <c r="C962" s="44">
        <v>62.98</v>
      </c>
      <c r="D962" s="46">
        <v>44735.0</v>
      </c>
      <c r="E962" s="24">
        <v>2.86</v>
      </c>
      <c r="F962" s="24">
        <v>13.49</v>
      </c>
      <c r="G962" s="24">
        <v>0.47</v>
      </c>
      <c r="H962" s="24" t="s">
        <v>6683</v>
      </c>
      <c r="I962" s="24" t="s">
        <v>6650</v>
      </c>
      <c r="J962" s="24">
        <v>0.0</v>
      </c>
    </row>
    <row r="963">
      <c r="A963" s="24">
        <v>5801.0</v>
      </c>
      <c r="B963" s="24">
        <v>68.0</v>
      </c>
      <c r="C963" s="44">
        <v>136.11</v>
      </c>
      <c r="D963" s="46">
        <v>44735.0</v>
      </c>
      <c r="E963" s="24">
        <v>2.0</v>
      </c>
      <c r="F963" s="24">
        <v>23.46</v>
      </c>
      <c r="G963" s="24">
        <v>1.17</v>
      </c>
      <c r="H963" s="24" t="s">
        <v>6681</v>
      </c>
      <c r="I963" s="24">
        <v>2.96</v>
      </c>
      <c r="J963" s="24">
        <v>0.0</v>
      </c>
    </row>
    <row r="964">
      <c r="A964" s="24">
        <v>0.0</v>
      </c>
      <c r="B964" s="24">
        <v>0.0</v>
      </c>
      <c r="C964" s="44"/>
      <c r="D964" s="46">
        <v>44736.0</v>
      </c>
      <c r="E964" s="24" t="s">
        <v>6650</v>
      </c>
      <c r="F964" s="24" t="s">
        <v>6650</v>
      </c>
      <c r="G964" s="24" t="s">
        <v>6650</v>
      </c>
      <c r="H964" s="24" t="s">
        <v>6662</v>
      </c>
      <c r="I964" s="24" t="s">
        <v>6650</v>
      </c>
      <c r="J964" s="24"/>
    </row>
    <row r="965">
      <c r="A965" s="24">
        <v>775.0</v>
      </c>
      <c r="B965" s="24">
        <v>2.0</v>
      </c>
      <c r="C965" s="44">
        <v>43.24</v>
      </c>
      <c r="D965" s="46">
        <v>44736.0</v>
      </c>
      <c r="E965" s="24">
        <v>21.62</v>
      </c>
      <c r="F965" s="24">
        <v>55.79</v>
      </c>
      <c r="G965" s="24">
        <v>0.26</v>
      </c>
      <c r="H965" s="24" t="s">
        <v>6675</v>
      </c>
      <c r="I965" s="24">
        <v>5.4</v>
      </c>
      <c r="J965" s="24">
        <v>0.0</v>
      </c>
    </row>
    <row r="966">
      <c r="A966" s="24">
        <v>931.0</v>
      </c>
      <c r="B966" s="24">
        <v>1.0</v>
      </c>
      <c r="C966" s="44">
        <v>53.39</v>
      </c>
      <c r="D966" s="46">
        <v>44736.0</v>
      </c>
      <c r="E966" s="24">
        <v>53.39</v>
      </c>
      <c r="F966" s="24">
        <v>57.35</v>
      </c>
      <c r="G966" s="24">
        <v>0.11</v>
      </c>
      <c r="H966" s="24" t="s">
        <v>6684</v>
      </c>
      <c r="I966" s="24">
        <v>13.35</v>
      </c>
      <c r="J966" s="24">
        <v>0.0</v>
      </c>
    </row>
    <row r="967">
      <c r="A967" s="24">
        <v>187.0</v>
      </c>
      <c r="B967" s="24">
        <v>2.0</v>
      </c>
      <c r="C967" s="44">
        <v>9.45</v>
      </c>
      <c r="D967" s="46">
        <v>44736.0</v>
      </c>
      <c r="E967" s="24">
        <v>4.72</v>
      </c>
      <c r="F967" s="24">
        <v>50.53</v>
      </c>
      <c r="G967" s="24">
        <v>1.07</v>
      </c>
      <c r="H967" s="24" t="s">
        <v>6668</v>
      </c>
      <c r="I967" s="24">
        <v>1.58</v>
      </c>
      <c r="J967" s="24">
        <v>0.0</v>
      </c>
    </row>
    <row r="968">
      <c r="A968" s="24">
        <v>292.0</v>
      </c>
      <c r="B968" s="24">
        <v>1.0</v>
      </c>
      <c r="C968" s="44">
        <v>7.77</v>
      </c>
      <c r="D968" s="46">
        <v>44736.0</v>
      </c>
      <c r="E968" s="24">
        <v>7.77</v>
      </c>
      <c r="F968" s="24">
        <v>26.61</v>
      </c>
      <c r="G968" s="24">
        <v>0.34</v>
      </c>
      <c r="H968" s="24" t="s">
        <v>6671</v>
      </c>
      <c r="I968" s="24">
        <v>1.11</v>
      </c>
      <c r="J968" s="24">
        <v>0.0</v>
      </c>
    </row>
    <row r="969">
      <c r="A969" s="24">
        <v>66.0</v>
      </c>
      <c r="B969" s="24">
        <v>0.0</v>
      </c>
      <c r="C969" s="44">
        <v>14.67</v>
      </c>
      <c r="D969" s="46">
        <v>44736.0</v>
      </c>
      <c r="E969" s="24" t="s">
        <v>6650</v>
      </c>
      <c r="F969" s="24">
        <v>222.27</v>
      </c>
      <c r="G969" s="24">
        <v>0.0</v>
      </c>
      <c r="H969" s="24" t="s">
        <v>6679</v>
      </c>
      <c r="I969" s="24" t="s">
        <v>6650</v>
      </c>
      <c r="J969" s="24">
        <v>0.0</v>
      </c>
    </row>
    <row r="970">
      <c r="A970" s="24">
        <v>179.0</v>
      </c>
      <c r="B970" s="24">
        <v>1.0</v>
      </c>
      <c r="C970" s="44">
        <v>11.57</v>
      </c>
      <c r="D970" s="46">
        <v>44736.0</v>
      </c>
      <c r="E970" s="24">
        <v>11.57</v>
      </c>
      <c r="F970" s="24">
        <v>64.64</v>
      </c>
      <c r="G970" s="24">
        <v>0.56</v>
      </c>
      <c r="H970" s="24" t="s">
        <v>6678</v>
      </c>
      <c r="I970" s="24" t="s">
        <v>6650</v>
      </c>
      <c r="J970" s="24">
        <v>0.0</v>
      </c>
    </row>
    <row r="971">
      <c r="A971" s="24">
        <v>369.0</v>
      </c>
      <c r="B971" s="24">
        <v>1.0</v>
      </c>
      <c r="C971" s="44">
        <v>6.78</v>
      </c>
      <c r="D971" s="46">
        <v>44736.0</v>
      </c>
      <c r="E971" s="24">
        <v>6.78</v>
      </c>
      <c r="F971" s="24">
        <v>18.37</v>
      </c>
      <c r="G971" s="24">
        <v>0.27</v>
      </c>
      <c r="H971" s="24" t="s">
        <v>6664</v>
      </c>
      <c r="I971" s="24">
        <v>6.78</v>
      </c>
      <c r="J971" s="24">
        <v>0.0</v>
      </c>
    </row>
    <row r="972">
      <c r="A972" s="24">
        <v>499.0</v>
      </c>
      <c r="B972" s="24">
        <v>4.0</v>
      </c>
      <c r="C972" s="44">
        <v>5.4</v>
      </c>
      <c r="D972" s="46">
        <v>44736.0</v>
      </c>
      <c r="E972" s="24">
        <v>1.35</v>
      </c>
      <c r="F972" s="24">
        <v>10.82</v>
      </c>
      <c r="G972" s="24">
        <v>0.8</v>
      </c>
      <c r="H972" s="24" t="s">
        <v>6660</v>
      </c>
      <c r="I972" s="24">
        <v>1.8</v>
      </c>
      <c r="J972" s="24">
        <v>0.0</v>
      </c>
    </row>
    <row r="973">
      <c r="A973" s="24">
        <v>947.0</v>
      </c>
      <c r="B973" s="24">
        <v>18.0</v>
      </c>
      <c r="C973" s="44">
        <v>43.87</v>
      </c>
      <c r="D973" s="46">
        <v>44736.0</v>
      </c>
      <c r="E973" s="24">
        <v>2.44</v>
      </c>
      <c r="F973" s="24">
        <v>46.33</v>
      </c>
      <c r="G973" s="24">
        <v>1.9</v>
      </c>
      <c r="H973" s="24" t="s">
        <v>6670</v>
      </c>
      <c r="I973" s="24">
        <v>3.99</v>
      </c>
      <c r="J973" s="24">
        <v>0.0</v>
      </c>
    </row>
    <row r="974">
      <c r="A974" s="24">
        <v>292.0</v>
      </c>
      <c r="B974" s="24">
        <v>0.0</v>
      </c>
      <c r="C974" s="44">
        <v>20.27</v>
      </c>
      <c r="D974" s="46">
        <v>44736.0</v>
      </c>
      <c r="E974" s="24" t="s">
        <v>6650</v>
      </c>
      <c r="F974" s="24">
        <v>69.42</v>
      </c>
      <c r="G974" s="24">
        <v>0.0</v>
      </c>
      <c r="H974" s="24" t="s">
        <v>6680</v>
      </c>
      <c r="I974" s="24">
        <v>4.05</v>
      </c>
      <c r="J974" s="24">
        <v>0.0</v>
      </c>
    </row>
    <row r="975">
      <c r="A975" s="24">
        <v>1382.0</v>
      </c>
      <c r="B975" s="24">
        <v>2.0</v>
      </c>
      <c r="C975" s="44">
        <v>50.36</v>
      </c>
      <c r="D975" s="46">
        <v>44736.0</v>
      </c>
      <c r="E975" s="24">
        <v>25.18</v>
      </c>
      <c r="F975" s="24">
        <v>36.44</v>
      </c>
      <c r="G975" s="24">
        <v>0.14</v>
      </c>
      <c r="H975" s="24" t="s">
        <v>6673</v>
      </c>
      <c r="I975" s="24">
        <v>50.36</v>
      </c>
      <c r="J975" s="24">
        <v>0.0</v>
      </c>
    </row>
    <row r="976">
      <c r="A976" s="24">
        <v>860.0</v>
      </c>
      <c r="B976" s="24">
        <v>8.0</v>
      </c>
      <c r="C976" s="44">
        <v>52.5</v>
      </c>
      <c r="D976" s="46">
        <v>44736.0</v>
      </c>
      <c r="E976" s="24">
        <v>6.56</v>
      </c>
      <c r="F976" s="24">
        <v>61.05</v>
      </c>
      <c r="G976" s="24">
        <v>0.93</v>
      </c>
      <c r="H976" s="24" t="s">
        <v>6665</v>
      </c>
      <c r="I976" s="24">
        <v>52.5</v>
      </c>
      <c r="J976" s="24">
        <v>0.0</v>
      </c>
    </row>
    <row r="977">
      <c r="A977" s="24">
        <v>396.0</v>
      </c>
      <c r="B977" s="24">
        <v>6.0</v>
      </c>
      <c r="C977" s="44">
        <v>33.79</v>
      </c>
      <c r="D977" s="46">
        <v>44736.0</v>
      </c>
      <c r="E977" s="24">
        <v>5.63</v>
      </c>
      <c r="F977" s="24">
        <v>85.33</v>
      </c>
      <c r="G977" s="24">
        <v>1.52</v>
      </c>
      <c r="H977" s="24" t="s">
        <v>6677</v>
      </c>
      <c r="I977" s="24">
        <v>6.76</v>
      </c>
      <c r="J977" s="24">
        <v>0.0</v>
      </c>
    </row>
    <row r="978">
      <c r="A978" s="24">
        <v>509.0</v>
      </c>
      <c r="B978" s="24">
        <v>10.0</v>
      </c>
      <c r="C978" s="44">
        <v>20.46</v>
      </c>
      <c r="D978" s="46">
        <v>44736.0</v>
      </c>
      <c r="E978" s="24">
        <v>2.05</v>
      </c>
      <c r="F978" s="24">
        <v>40.2</v>
      </c>
      <c r="G978" s="24">
        <v>1.96</v>
      </c>
      <c r="H978" s="24" t="s">
        <v>6682</v>
      </c>
      <c r="I978" s="24">
        <v>4.09</v>
      </c>
      <c r="J978" s="24">
        <v>0.0</v>
      </c>
    </row>
    <row r="979">
      <c r="A979" s="24">
        <v>121.0</v>
      </c>
      <c r="B979" s="24">
        <v>2.0</v>
      </c>
      <c r="C979" s="44">
        <v>18.43</v>
      </c>
      <c r="D979" s="46">
        <v>44736.0</v>
      </c>
      <c r="E979" s="24">
        <v>9.22</v>
      </c>
      <c r="F979" s="24">
        <v>152.31</v>
      </c>
      <c r="G979" s="24">
        <v>1.65</v>
      </c>
      <c r="H979" s="24" t="s">
        <v>6672</v>
      </c>
      <c r="I979" s="24">
        <v>6.14</v>
      </c>
      <c r="J979" s="24">
        <v>0.0</v>
      </c>
    </row>
    <row r="980">
      <c r="A980" s="24">
        <v>1743.0</v>
      </c>
      <c r="B980" s="24">
        <v>18.0</v>
      </c>
      <c r="C980" s="44">
        <v>32.32</v>
      </c>
      <c r="D980" s="46">
        <v>44736.0</v>
      </c>
      <c r="E980" s="24">
        <v>1.8</v>
      </c>
      <c r="F980" s="24">
        <v>18.54</v>
      </c>
      <c r="G980" s="24">
        <v>1.03</v>
      </c>
      <c r="H980" s="24" t="s">
        <v>6681</v>
      </c>
      <c r="I980" s="24">
        <v>2.15</v>
      </c>
      <c r="J980" s="24">
        <v>0.0</v>
      </c>
    </row>
    <row r="981">
      <c r="A981" s="24">
        <v>0.0</v>
      </c>
      <c r="B981" s="24">
        <v>0.0</v>
      </c>
      <c r="C981" s="44"/>
      <c r="D981" s="46">
        <v>44736.0</v>
      </c>
      <c r="E981" s="24" t="s">
        <v>6650</v>
      </c>
      <c r="F981" s="24" t="s">
        <v>6650</v>
      </c>
      <c r="G981" s="24" t="s">
        <v>6650</v>
      </c>
      <c r="H981" s="24" t="s">
        <v>6667</v>
      </c>
      <c r="I981" s="24" t="s">
        <v>6650</v>
      </c>
      <c r="J981" s="24"/>
    </row>
    <row r="982">
      <c r="A982" s="24">
        <v>752.0</v>
      </c>
      <c r="B982" s="24">
        <v>16.0</v>
      </c>
      <c r="C982" s="44">
        <v>41.16</v>
      </c>
      <c r="D982" s="46">
        <v>44736.0</v>
      </c>
      <c r="E982" s="24">
        <v>2.57</v>
      </c>
      <c r="F982" s="24">
        <v>54.73</v>
      </c>
      <c r="G982" s="24">
        <v>2.13</v>
      </c>
      <c r="H982" s="24" t="s">
        <v>6666</v>
      </c>
      <c r="I982" s="24">
        <v>6.86</v>
      </c>
      <c r="J982" s="24">
        <v>0.0</v>
      </c>
    </row>
    <row r="983">
      <c r="A983" s="24">
        <v>214.0</v>
      </c>
      <c r="B983" s="24">
        <v>0.0</v>
      </c>
      <c r="C983" s="44">
        <v>9.13</v>
      </c>
      <c r="D983" s="46">
        <v>44736.0</v>
      </c>
      <c r="E983" s="24" t="s">
        <v>6650</v>
      </c>
      <c r="F983" s="24">
        <v>42.66</v>
      </c>
      <c r="G983" s="24">
        <v>0.0</v>
      </c>
      <c r="H983" s="24" t="s">
        <v>6674</v>
      </c>
      <c r="I983" s="24">
        <v>1.52</v>
      </c>
      <c r="J983" s="24">
        <v>0.0</v>
      </c>
    </row>
    <row r="984">
      <c r="A984" s="24">
        <v>606.0</v>
      </c>
      <c r="B984" s="24">
        <v>0.0</v>
      </c>
      <c r="C984" s="44">
        <v>40.8</v>
      </c>
      <c r="D984" s="46">
        <v>44736.0</v>
      </c>
      <c r="E984" s="24" t="s">
        <v>6650</v>
      </c>
      <c r="F984" s="24">
        <v>67.33</v>
      </c>
      <c r="G984" s="24">
        <v>0.0</v>
      </c>
      <c r="H984" s="24" t="s">
        <v>6676</v>
      </c>
      <c r="I984" s="24" t="s">
        <v>6650</v>
      </c>
      <c r="J984" s="24">
        <v>0.0</v>
      </c>
    </row>
    <row r="985">
      <c r="A985" s="24">
        <v>2560.0</v>
      </c>
      <c r="B985" s="24">
        <v>8.0</v>
      </c>
      <c r="C985" s="44">
        <v>21.09</v>
      </c>
      <c r="D985" s="46">
        <v>44736.0</v>
      </c>
      <c r="E985" s="24">
        <v>2.64</v>
      </c>
      <c r="F985" s="24">
        <v>8.24</v>
      </c>
      <c r="G985" s="24">
        <v>0.31</v>
      </c>
      <c r="H985" s="24" t="s">
        <v>6683</v>
      </c>
      <c r="I985" s="24" t="s">
        <v>6650</v>
      </c>
      <c r="J985" s="24">
        <v>0.0</v>
      </c>
    </row>
    <row r="986">
      <c r="A986" s="24">
        <v>1810.0</v>
      </c>
      <c r="B986" s="24">
        <v>32.0</v>
      </c>
      <c r="C986" s="44">
        <v>52.38</v>
      </c>
      <c r="D986" s="46">
        <v>44736.0</v>
      </c>
      <c r="E986" s="24">
        <v>1.64</v>
      </c>
      <c r="F986" s="24">
        <v>28.94</v>
      </c>
      <c r="G986" s="24">
        <v>1.77</v>
      </c>
      <c r="H986" s="24" t="s">
        <v>6669</v>
      </c>
      <c r="I986" s="24">
        <v>17.46</v>
      </c>
      <c r="J986" s="24">
        <v>0.0</v>
      </c>
    </row>
    <row r="987">
      <c r="A987" s="24">
        <v>930.0</v>
      </c>
      <c r="B987" s="24">
        <v>8.0</v>
      </c>
      <c r="C987" s="44">
        <v>33.36</v>
      </c>
      <c r="D987" s="46">
        <v>44737.0</v>
      </c>
      <c r="E987" s="24">
        <v>4.17</v>
      </c>
      <c r="F987" s="24">
        <v>35.87</v>
      </c>
      <c r="G987" s="24">
        <v>0.86</v>
      </c>
      <c r="H987" s="24" t="s">
        <v>6673</v>
      </c>
      <c r="I987" s="24">
        <v>6.67</v>
      </c>
      <c r="J987" s="24">
        <v>0.0</v>
      </c>
    </row>
    <row r="988">
      <c r="A988" s="24">
        <v>0.0</v>
      </c>
      <c r="B988" s="24">
        <v>0.0</v>
      </c>
      <c r="C988" s="44"/>
      <c r="D988" s="46">
        <v>44737.0</v>
      </c>
      <c r="E988" s="24" t="s">
        <v>6650</v>
      </c>
      <c r="F988" s="24" t="s">
        <v>6650</v>
      </c>
      <c r="G988" s="24" t="s">
        <v>6650</v>
      </c>
      <c r="H988" s="24" t="s">
        <v>6668</v>
      </c>
      <c r="I988" s="24" t="s">
        <v>6650</v>
      </c>
      <c r="J988" s="24"/>
    </row>
    <row r="989">
      <c r="A989" s="24">
        <v>1291.0</v>
      </c>
      <c r="B989" s="24">
        <v>15.0</v>
      </c>
      <c r="C989" s="44">
        <v>33.09</v>
      </c>
      <c r="D989" s="46">
        <v>44737.0</v>
      </c>
      <c r="E989" s="24">
        <v>2.21</v>
      </c>
      <c r="F989" s="24">
        <v>25.63</v>
      </c>
      <c r="G989" s="24">
        <v>1.16</v>
      </c>
      <c r="H989" s="24" t="s">
        <v>6669</v>
      </c>
      <c r="I989" s="24">
        <v>4.73</v>
      </c>
      <c r="J989" s="24">
        <v>0.0</v>
      </c>
    </row>
    <row r="990">
      <c r="A990" s="24">
        <v>765.0</v>
      </c>
      <c r="B990" s="24">
        <v>3.0</v>
      </c>
      <c r="C990" s="44">
        <v>36.73</v>
      </c>
      <c r="D990" s="46">
        <v>44737.0</v>
      </c>
      <c r="E990" s="24">
        <v>12.24</v>
      </c>
      <c r="F990" s="24">
        <v>48.01</v>
      </c>
      <c r="G990" s="24">
        <v>0.39</v>
      </c>
      <c r="H990" s="24" t="s">
        <v>6684</v>
      </c>
      <c r="I990" s="24">
        <v>36.73</v>
      </c>
      <c r="J990" s="24">
        <v>2.0</v>
      </c>
    </row>
    <row r="991">
      <c r="A991" s="24">
        <v>222.0</v>
      </c>
      <c r="B991" s="24">
        <v>3.0</v>
      </c>
      <c r="C991" s="44">
        <v>17.67</v>
      </c>
      <c r="D991" s="46">
        <v>44737.0</v>
      </c>
      <c r="E991" s="24">
        <v>5.89</v>
      </c>
      <c r="F991" s="24">
        <v>79.59</v>
      </c>
      <c r="G991" s="24">
        <v>1.35</v>
      </c>
      <c r="H991" s="24" t="s">
        <v>6680</v>
      </c>
      <c r="I991" s="24">
        <v>5.89</v>
      </c>
      <c r="J991" s="24">
        <v>0.0</v>
      </c>
    </row>
    <row r="992">
      <c r="A992" s="24">
        <v>920.0</v>
      </c>
      <c r="B992" s="24">
        <v>17.0</v>
      </c>
      <c r="C992" s="44">
        <v>29.58</v>
      </c>
      <c r="D992" s="46">
        <v>44737.0</v>
      </c>
      <c r="E992" s="24">
        <v>1.74</v>
      </c>
      <c r="F992" s="24">
        <v>32.15</v>
      </c>
      <c r="G992" s="24">
        <v>1.85</v>
      </c>
      <c r="H992" s="24" t="s">
        <v>6666</v>
      </c>
      <c r="I992" s="24">
        <v>4.23</v>
      </c>
      <c r="J992" s="24">
        <v>0.0</v>
      </c>
    </row>
    <row r="993">
      <c r="A993" s="24">
        <v>0.0</v>
      </c>
      <c r="B993" s="24">
        <v>0.0</v>
      </c>
      <c r="C993" s="44"/>
      <c r="D993" s="46">
        <v>44737.0</v>
      </c>
      <c r="E993" s="24" t="s">
        <v>6650</v>
      </c>
      <c r="F993" s="24" t="s">
        <v>6650</v>
      </c>
      <c r="G993" s="24" t="s">
        <v>6650</v>
      </c>
      <c r="H993" s="24" t="s">
        <v>6667</v>
      </c>
      <c r="I993" s="24" t="s">
        <v>6650</v>
      </c>
      <c r="J993" s="24"/>
    </row>
    <row r="994">
      <c r="A994" s="24">
        <v>612.0</v>
      </c>
      <c r="B994" s="24">
        <v>6.0</v>
      </c>
      <c r="C994" s="44">
        <v>33.97</v>
      </c>
      <c r="D994" s="46">
        <v>44737.0</v>
      </c>
      <c r="E994" s="24">
        <v>5.66</v>
      </c>
      <c r="F994" s="24">
        <v>55.51</v>
      </c>
      <c r="G994" s="24">
        <v>0.98</v>
      </c>
      <c r="H994" s="24" t="s">
        <v>6674</v>
      </c>
      <c r="I994" s="24">
        <v>5.66</v>
      </c>
      <c r="J994" s="24">
        <v>0.0</v>
      </c>
    </row>
    <row r="995">
      <c r="A995" s="24">
        <v>499.0</v>
      </c>
      <c r="B995" s="24">
        <v>1.0</v>
      </c>
      <c r="C995" s="44">
        <v>26.12</v>
      </c>
      <c r="D995" s="46">
        <v>44737.0</v>
      </c>
      <c r="E995" s="24">
        <v>26.12</v>
      </c>
      <c r="F995" s="24">
        <v>52.34</v>
      </c>
      <c r="G995" s="24">
        <v>0.2</v>
      </c>
      <c r="H995" s="24" t="s">
        <v>6676</v>
      </c>
      <c r="I995" s="24">
        <v>6.53</v>
      </c>
      <c r="J995" s="24">
        <v>0.0</v>
      </c>
    </row>
    <row r="996">
      <c r="A996" s="24">
        <v>590.0</v>
      </c>
      <c r="B996" s="24">
        <v>10.0</v>
      </c>
      <c r="C996" s="44">
        <v>32.41</v>
      </c>
      <c r="D996" s="46">
        <v>44737.0</v>
      </c>
      <c r="E996" s="24">
        <v>3.24</v>
      </c>
      <c r="F996" s="24">
        <v>54.93</v>
      </c>
      <c r="G996" s="24">
        <v>1.69</v>
      </c>
      <c r="H996" s="24" t="s">
        <v>6677</v>
      </c>
      <c r="I996" s="24">
        <v>6.48</v>
      </c>
      <c r="J996" s="24">
        <v>0.0</v>
      </c>
    </row>
    <row r="997">
      <c r="A997" s="24">
        <v>1221.0</v>
      </c>
      <c r="B997" s="24">
        <v>20.0</v>
      </c>
      <c r="C997" s="44">
        <v>33.21</v>
      </c>
      <c r="D997" s="46">
        <v>44737.0</v>
      </c>
      <c r="E997" s="24">
        <v>1.66</v>
      </c>
      <c r="F997" s="24">
        <v>27.2</v>
      </c>
      <c r="G997" s="24">
        <v>1.64</v>
      </c>
      <c r="H997" s="24" t="s">
        <v>6681</v>
      </c>
      <c r="I997" s="24">
        <v>3.02</v>
      </c>
      <c r="J997" s="24">
        <v>0.0</v>
      </c>
    </row>
    <row r="998">
      <c r="A998" s="24">
        <v>697.0</v>
      </c>
      <c r="B998" s="24">
        <v>15.0</v>
      </c>
      <c r="C998" s="44">
        <v>20.5</v>
      </c>
      <c r="D998" s="46">
        <v>44737.0</v>
      </c>
      <c r="E998" s="24">
        <v>1.37</v>
      </c>
      <c r="F998" s="24">
        <v>29.41</v>
      </c>
      <c r="G998" s="24">
        <v>2.15</v>
      </c>
      <c r="H998" s="24" t="s">
        <v>6682</v>
      </c>
      <c r="I998" s="24">
        <v>4.1</v>
      </c>
      <c r="J998" s="24">
        <v>0.0</v>
      </c>
    </row>
    <row r="999">
      <c r="A999" s="24">
        <v>1167.0</v>
      </c>
      <c r="B999" s="24">
        <v>20.0</v>
      </c>
      <c r="C999" s="44">
        <v>30.28</v>
      </c>
      <c r="D999" s="46">
        <v>44737.0</v>
      </c>
      <c r="E999" s="24">
        <v>1.51</v>
      </c>
      <c r="F999" s="24">
        <v>25.95</v>
      </c>
      <c r="G999" s="24">
        <v>1.71</v>
      </c>
      <c r="H999" s="24" t="s">
        <v>6670</v>
      </c>
      <c r="I999" s="24">
        <v>7.57</v>
      </c>
      <c r="J999" s="24">
        <v>0.0</v>
      </c>
    </row>
    <row r="1000">
      <c r="A1000" s="24">
        <v>0.0</v>
      </c>
      <c r="B1000" s="24">
        <v>0.0</v>
      </c>
      <c r="C1000" s="44"/>
      <c r="D1000" s="46">
        <v>44737.0</v>
      </c>
      <c r="E1000" s="24" t="s">
        <v>6650</v>
      </c>
      <c r="F1000" s="24" t="s">
        <v>6650</v>
      </c>
      <c r="G1000" s="24" t="s">
        <v>6650</v>
      </c>
      <c r="H1000" s="24" t="s">
        <v>6671</v>
      </c>
      <c r="I1000" s="24" t="s">
        <v>6650</v>
      </c>
      <c r="J1000" s="24"/>
    </row>
    <row r="1001">
      <c r="A1001" s="24">
        <v>0.0</v>
      </c>
      <c r="B1001" s="24">
        <v>0.0</v>
      </c>
      <c r="C1001" s="44"/>
      <c r="D1001" s="46">
        <v>44737.0</v>
      </c>
      <c r="E1001" s="24" t="s">
        <v>6650</v>
      </c>
      <c r="F1001" s="24" t="s">
        <v>6650</v>
      </c>
      <c r="G1001" s="24" t="s">
        <v>6650</v>
      </c>
      <c r="H1001" s="24" t="s">
        <v>6672</v>
      </c>
      <c r="I1001" s="24" t="s">
        <v>6650</v>
      </c>
      <c r="J1001" s="24"/>
    </row>
    <row r="1002">
      <c r="A1002" s="24">
        <v>622.0</v>
      </c>
      <c r="B1002" s="24">
        <v>11.0</v>
      </c>
      <c r="C1002" s="44">
        <v>37.34</v>
      </c>
      <c r="D1002" s="46">
        <v>44737.0</v>
      </c>
      <c r="E1002" s="24">
        <v>3.39</v>
      </c>
      <c r="F1002" s="24">
        <v>60.03</v>
      </c>
      <c r="G1002" s="24">
        <v>1.77</v>
      </c>
      <c r="H1002" s="24" t="s">
        <v>6665</v>
      </c>
      <c r="I1002" s="24">
        <v>4.67</v>
      </c>
      <c r="J1002" s="24">
        <v>0.0</v>
      </c>
    </row>
    <row r="1003">
      <c r="A1003" s="24">
        <v>778.0</v>
      </c>
      <c r="B1003" s="24">
        <v>10.0</v>
      </c>
      <c r="C1003" s="44">
        <v>28.3</v>
      </c>
      <c r="D1003" s="46">
        <v>44737.0</v>
      </c>
      <c r="E1003" s="24">
        <v>2.83</v>
      </c>
      <c r="F1003" s="24">
        <v>36.38</v>
      </c>
      <c r="G1003" s="24">
        <v>1.29</v>
      </c>
      <c r="H1003" s="24" t="s">
        <v>6675</v>
      </c>
      <c r="I1003" s="24">
        <v>7.08</v>
      </c>
      <c r="J1003" s="24">
        <v>0.0</v>
      </c>
    </row>
    <row r="1004">
      <c r="A1004" s="24">
        <v>824.0</v>
      </c>
      <c r="B1004" s="24">
        <v>0.0</v>
      </c>
      <c r="C1004" s="44">
        <v>30.4</v>
      </c>
      <c r="D1004" s="46">
        <v>44738.0</v>
      </c>
      <c r="E1004" s="24" t="s">
        <v>6650</v>
      </c>
      <c r="F1004" s="24">
        <v>36.89</v>
      </c>
      <c r="G1004" s="24">
        <v>0.0</v>
      </c>
      <c r="H1004" s="24" t="s">
        <v>6673</v>
      </c>
      <c r="I1004" s="24">
        <v>7.6</v>
      </c>
      <c r="J1004" s="24">
        <v>0.0</v>
      </c>
    </row>
    <row r="1005">
      <c r="A1005" s="24">
        <v>915.0</v>
      </c>
      <c r="B1005" s="24">
        <v>16.0</v>
      </c>
      <c r="C1005" s="44">
        <v>28.97</v>
      </c>
      <c r="D1005" s="46">
        <v>44738.0</v>
      </c>
      <c r="E1005" s="24">
        <v>1.81</v>
      </c>
      <c r="F1005" s="24">
        <v>31.66</v>
      </c>
      <c r="G1005" s="24">
        <v>1.75</v>
      </c>
      <c r="H1005" s="24" t="s">
        <v>6666</v>
      </c>
      <c r="I1005" s="24">
        <v>4.14</v>
      </c>
      <c r="J1005" s="24">
        <v>0.0</v>
      </c>
    </row>
    <row r="1006">
      <c r="A1006" s="24">
        <v>800.0</v>
      </c>
      <c r="B1006" s="24">
        <v>3.0</v>
      </c>
      <c r="C1006" s="44">
        <v>35.41</v>
      </c>
      <c r="D1006" s="46">
        <v>44738.0</v>
      </c>
      <c r="E1006" s="24">
        <v>11.8</v>
      </c>
      <c r="F1006" s="24">
        <v>44.26</v>
      </c>
      <c r="G1006" s="24">
        <v>0.38</v>
      </c>
      <c r="H1006" s="24" t="s">
        <v>6684</v>
      </c>
      <c r="I1006" s="24" t="s">
        <v>6650</v>
      </c>
      <c r="J1006" s="24">
        <v>0.0</v>
      </c>
    </row>
    <row r="1007">
      <c r="A1007" s="24">
        <v>307.0</v>
      </c>
      <c r="B1007" s="24">
        <v>1.0</v>
      </c>
      <c r="C1007" s="44">
        <v>20.22</v>
      </c>
      <c r="D1007" s="46">
        <v>44738.0</v>
      </c>
      <c r="E1007" s="24">
        <v>20.22</v>
      </c>
      <c r="F1007" s="24">
        <v>65.86</v>
      </c>
      <c r="G1007" s="24">
        <v>0.33</v>
      </c>
      <c r="H1007" s="24" t="s">
        <v>6676</v>
      </c>
      <c r="I1007" s="24">
        <v>10.11</v>
      </c>
      <c r="J1007" s="24">
        <v>0.0</v>
      </c>
    </row>
    <row r="1008">
      <c r="A1008" s="24">
        <v>0.0</v>
      </c>
      <c r="B1008" s="24">
        <v>0.0</v>
      </c>
      <c r="C1008" s="44"/>
      <c r="D1008" s="46">
        <v>44738.0</v>
      </c>
      <c r="E1008" s="24" t="s">
        <v>6650</v>
      </c>
      <c r="F1008" s="24" t="s">
        <v>6650</v>
      </c>
      <c r="G1008" s="24" t="s">
        <v>6650</v>
      </c>
      <c r="H1008" s="24" t="s">
        <v>6671</v>
      </c>
      <c r="I1008" s="24" t="s">
        <v>6650</v>
      </c>
      <c r="J1008" s="24"/>
    </row>
    <row r="1009">
      <c r="A1009" s="24">
        <v>597.0</v>
      </c>
      <c r="B1009" s="24">
        <v>3.0</v>
      </c>
      <c r="C1009" s="44">
        <v>34.02</v>
      </c>
      <c r="D1009" s="46">
        <v>44738.0</v>
      </c>
      <c r="E1009" s="24">
        <v>11.34</v>
      </c>
      <c r="F1009" s="24">
        <v>56.98</v>
      </c>
      <c r="G1009" s="24">
        <v>0.5</v>
      </c>
      <c r="H1009" s="24" t="s">
        <v>6674</v>
      </c>
      <c r="I1009" s="24">
        <v>34.02</v>
      </c>
      <c r="J1009" s="24">
        <v>0.0</v>
      </c>
    </row>
    <row r="1010">
      <c r="A1010" s="24">
        <v>657.0</v>
      </c>
      <c r="B1010" s="24">
        <v>7.0</v>
      </c>
      <c r="C1010" s="44">
        <v>21.32</v>
      </c>
      <c r="D1010" s="46">
        <v>44738.0</v>
      </c>
      <c r="E1010" s="24">
        <v>3.05</v>
      </c>
      <c r="F1010" s="24">
        <v>32.45</v>
      </c>
      <c r="G1010" s="24">
        <v>1.07</v>
      </c>
      <c r="H1010" s="24" t="s">
        <v>6682</v>
      </c>
      <c r="I1010" s="24">
        <v>7.11</v>
      </c>
      <c r="J1010" s="24">
        <v>0.0</v>
      </c>
    </row>
    <row r="1011">
      <c r="A1011" s="24">
        <v>0.0</v>
      </c>
      <c r="B1011" s="24">
        <v>0.0</v>
      </c>
      <c r="C1011" s="44"/>
      <c r="D1011" s="46">
        <v>44738.0</v>
      </c>
      <c r="E1011" s="24" t="s">
        <v>6650</v>
      </c>
      <c r="F1011" s="24" t="s">
        <v>6650</v>
      </c>
      <c r="G1011" s="24" t="s">
        <v>6650</v>
      </c>
      <c r="H1011" s="24" t="s">
        <v>6668</v>
      </c>
      <c r="I1011" s="24" t="s">
        <v>6650</v>
      </c>
      <c r="J1011" s="24"/>
    </row>
    <row r="1012">
      <c r="A1012" s="24">
        <v>0.0</v>
      </c>
      <c r="B1012" s="24">
        <v>0.0</v>
      </c>
      <c r="C1012" s="44"/>
      <c r="D1012" s="46">
        <v>44738.0</v>
      </c>
      <c r="E1012" s="24" t="s">
        <v>6650</v>
      </c>
      <c r="F1012" s="24" t="s">
        <v>6650</v>
      </c>
      <c r="G1012" s="24" t="s">
        <v>6650</v>
      </c>
      <c r="H1012" s="24" t="s">
        <v>6667</v>
      </c>
      <c r="I1012" s="24" t="s">
        <v>6650</v>
      </c>
      <c r="J1012" s="24"/>
    </row>
    <row r="1013">
      <c r="A1013" s="24">
        <v>527.0</v>
      </c>
      <c r="B1013" s="24">
        <v>6.0</v>
      </c>
      <c r="C1013" s="44">
        <v>34.09</v>
      </c>
      <c r="D1013" s="46">
        <v>44738.0</v>
      </c>
      <c r="E1013" s="24">
        <v>5.68</v>
      </c>
      <c r="F1013" s="24">
        <v>64.69</v>
      </c>
      <c r="G1013" s="24">
        <v>1.14</v>
      </c>
      <c r="H1013" s="24" t="s">
        <v>6665</v>
      </c>
      <c r="I1013" s="24">
        <v>34.09</v>
      </c>
      <c r="J1013" s="24">
        <v>0.0</v>
      </c>
    </row>
    <row r="1014">
      <c r="A1014" s="24">
        <v>255.0</v>
      </c>
      <c r="B1014" s="24">
        <v>1.0</v>
      </c>
      <c r="C1014" s="44">
        <v>17.59</v>
      </c>
      <c r="D1014" s="46">
        <v>44738.0</v>
      </c>
      <c r="E1014" s="24">
        <v>17.59</v>
      </c>
      <c r="F1014" s="24">
        <v>68.98</v>
      </c>
      <c r="G1014" s="24">
        <v>0.39</v>
      </c>
      <c r="H1014" s="24" t="s">
        <v>6680</v>
      </c>
      <c r="I1014" s="24">
        <v>5.86</v>
      </c>
      <c r="J1014" s="24">
        <v>0.0</v>
      </c>
    </row>
    <row r="1015">
      <c r="A1015" s="24">
        <v>1614.0</v>
      </c>
      <c r="B1015" s="24">
        <v>17.0</v>
      </c>
      <c r="C1015" s="44">
        <v>33.78</v>
      </c>
      <c r="D1015" s="46">
        <v>44738.0</v>
      </c>
      <c r="E1015" s="24">
        <v>1.99</v>
      </c>
      <c r="F1015" s="24">
        <v>20.93</v>
      </c>
      <c r="G1015" s="24">
        <v>1.05</v>
      </c>
      <c r="H1015" s="24" t="s">
        <v>6681</v>
      </c>
      <c r="I1015" s="24">
        <v>4.83</v>
      </c>
      <c r="J1015" s="24">
        <v>0.0</v>
      </c>
    </row>
    <row r="1016">
      <c r="A1016" s="24">
        <v>806.0</v>
      </c>
      <c r="B1016" s="24">
        <v>9.0</v>
      </c>
      <c r="C1016" s="44">
        <v>27.95</v>
      </c>
      <c r="D1016" s="46">
        <v>44738.0</v>
      </c>
      <c r="E1016" s="24">
        <v>3.11</v>
      </c>
      <c r="F1016" s="24">
        <v>34.68</v>
      </c>
      <c r="G1016" s="24">
        <v>1.12</v>
      </c>
      <c r="H1016" s="24" t="s">
        <v>6675</v>
      </c>
      <c r="I1016" s="24">
        <v>13.98</v>
      </c>
      <c r="J1016" s="24">
        <v>0.0</v>
      </c>
    </row>
    <row r="1017">
      <c r="A1017" s="24">
        <v>565.0</v>
      </c>
      <c r="B1017" s="24">
        <v>5.0</v>
      </c>
      <c r="C1017" s="44">
        <v>32.11</v>
      </c>
      <c r="D1017" s="46">
        <v>44738.0</v>
      </c>
      <c r="E1017" s="24">
        <v>6.42</v>
      </c>
      <c r="F1017" s="24">
        <v>56.83</v>
      </c>
      <c r="G1017" s="24">
        <v>0.88</v>
      </c>
      <c r="H1017" s="24" t="s">
        <v>6677</v>
      </c>
      <c r="I1017" s="24">
        <v>8.03</v>
      </c>
      <c r="J1017" s="24">
        <v>0.0</v>
      </c>
    </row>
    <row r="1018">
      <c r="A1018" s="24">
        <v>1202.0</v>
      </c>
      <c r="B1018" s="24">
        <v>22.0</v>
      </c>
      <c r="C1018" s="44">
        <v>29.84</v>
      </c>
      <c r="D1018" s="46">
        <v>44738.0</v>
      </c>
      <c r="E1018" s="24">
        <v>1.36</v>
      </c>
      <c r="F1018" s="24">
        <v>24.83</v>
      </c>
      <c r="G1018" s="24">
        <v>1.83</v>
      </c>
      <c r="H1018" s="24" t="s">
        <v>6670</v>
      </c>
      <c r="I1018" s="24">
        <v>9.95</v>
      </c>
      <c r="J1018" s="24">
        <v>0.0</v>
      </c>
    </row>
    <row r="1019">
      <c r="A1019" s="24">
        <v>1389.0</v>
      </c>
      <c r="B1019" s="24">
        <v>8.0</v>
      </c>
      <c r="C1019" s="44">
        <v>30.24</v>
      </c>
      <c r="D1019" s="46">
        <v>44738.0</v>
      </c>
      <c r="E1019" s="24">
        <v>3.78</v>
      </c>
      <c r="F1019" s="24">
        <v>21.77</v>
      </c>
      <c r="G1019" s="24">
        <v>0.58</v>
      </c>
      <c r="H1019" s="24" t="s">
        <v>6669</v>
      </c>
      <c r="I1019" s="24">
        <v>7.56</v>
      </c>
      <c r="J1019" s="24">
        <v>0.0</v>
      </c>
    </row>
    <row r="1020">
      <c r="A1020" s="24">
        <v>1687.0</v>
      </c>
      <c r="B1020" s="24">
        <v>13.0</v>
      </c>
      <c r="C1020" s="44">
        <v>25.07</v>
      </c>
      <c r="D1020" s="46">
        <v>44739.0</v>
      </c>
      <c r="E1020" s="24">
        <v>1.93</v>
      </c>
      <c r="F1020" s="24">
        <v>14.86</v>
      </c>
      <c r="G1020" s="24">
        <v>0.77</v>
      </c>
      <c r="H1020" s="24" t="s">
        <v>6681</v>
      </c>
      <c r="I1020" s="24">
        <v>8.36</v>
      </c>
      <c r="J1020" s="24">
        <v>0.0</v>
      </c>
    </row>
    <row r="1021">
      <c r="A1021" s="24">
        <v>796.0</v>
      </c>
      <c r="B1021" s="24">
        <v>5.0</v>
      </c>
      <c r="C1021" s="44">
        <v>28.62</v>
      </c>
      <c r="D1021" s="46">
        <v>44739.0</v>
      </c>
      <c r="E1021" s="24">
        <v>5.72</v>
      </c>
      <c r="F1021" s="24">
        <v>35.95</v>
      </c>
      <c r="G1021" s="24">
        <v>0.63</v>
      </c>
      <c r="H1021" s="24" t="s">
        <v>6676</v>
      </c>
      <c r="I1021" s="24">
        <v>7.16</v>
      </c>
      <c r="J1021" s="24">
        <v>0.0</v>
      </c>
    </row>
    <row r="1022">
      <c r="A1022" s="24">
        <v>499.0</v>
      </c>
      <c r="B1022" s="24">
        <v>4.0</v>
      </c>
      <c r="C1022" s="44">
        <v>25.07</v>
      </c>
      <c r="D1022" s="46">
        <v>44739.0</v>
      </c>
      <c r="E1022" s="24">
        <v>6.27</v>
      </c>
      <c r="F1022" s="24">
        <v>50.24</v>
      </c>
      <c r="G1022" s="24">
        <v>0.8</v>
      </c>
      <c r="H1022" s="24" t="s">
        <v>6674</v>
      </c>
      <c r="I1022" s="24">
        <v>12.54</v>
      </c>
      <c r="J1022" s="24">
        <v>0.0</v>
      </c>
    </row>
    <row r="1023">
      <c r="A1023" s="24">
        <v>0.0</v>
      </c>
      <c r="B1023" s="24">
        <v>0.0</v>
      </c>
      <c r="C1023" s="44"/>
      <c r="D1023" s="46">
        <v>44739.0</v>
      </c>
      <c r="E1023" s="24" t="s">
        <v>6650</v>
      </c>
      <c r="F1023" s="24" t="s">
        <v>6650</v>
      </c>
      <c r="G1023" s="24" t="s">
        <v>6650</v>
      </c>
      <c r="H1023" s="24" t="s">
        <v>6668</v>
      </c>
      <c r="I1023" s="24" t="s">
        <v>6650</v>
      </c>
      <c r="J1023" s="24"/>
    </row>
    <row r="1024">
      <c r="A1024" s="24">
        <v>0.0</v>
      </c>
      <c r="B1024" s="24">
        <v>0.0</v>
      </c>
      <c r="C1024" s="44"/>
      <c r="D1024" s="46">
        <v>44739.0</v>
      </c>
      <c r="E1024" s="24" t="s">
        <v>6650</v>
      </c>
      <c r="F1024" s="24" t="s">
        <v>6650</v>
      </c>
      <c r="G1024" s="24" t="s">
        <v>6650</v>
      </c>
      <c r="H1024" s="24" t="s">
        <v>6660</v>
      </c>
      <c r="I1024" s="24" t="s">
        <v>6650</v>
      </c>
      <c r="J1024" s="24"/>
    </row>
    <row r="1025">
      <c r="A1025" s="24">
        <v>396.0</v>
      </c>
      <c r="B1025" s="24">
        <v>3.0</v>
      </c>
      <c r="C1025" s="44">
        <v>10.49</v>
      </c>
      <c r="D1025" s="46">
        <v>44739.0</v>
      </c>
      <c r="E1025" s="24">
        <v>3.5</v>
      </c>
      <c r="F1025" s="24">
        <v>26.49</v>
      </c>
      <c r="G1025" s="24">
        <v>0.76</v>
      </c>
      <c r="H1025" s="24" t="s">
        <v>6666</v>
      </c>
      <c r="I1025" s="24">
        <v>3.5</v>
      </c>
      <c r="J1025" s="24">
        <v>0.0</v>
      </c>
    </row>
    <row r="1026">
      <c r="A1026" s="24">
        <v>193.0</v>
      </c>
      <c r="B1026" s="24">
        <v>6.0</v>
      </c>
      <c r="C1026" s="44">
        <v>12.0</v>
      </c>
      <c r="D1026" s="46">
        <v>44739.0</v>
      </c>
      <c r="E1026" s="24">
        <v>2.0</v>
      </c>
      <c r="F1026" s="24">
        <v>62.18</v>
      </c>
      <c r="G1026" s="24">
        <v>3.11</v>
      </c>
      <c r="H1026" s="24" t="s">
        <v>6677</v>
      </c>
      <c r="I1026" s="24">
        <v>4.0</v>
      </c>
      <c r="J1026" s="24">
        <v>0.0</v>
      </c>
    </row>
    <row r="1027">
      <c r="A1027" s="24">
        <v>312.0</v>
      </c>
      <c r="B1027" s="24">
        <v>2.0</v>
      </c>
      <c r="C1027" s="44">
        <v>13.25</v>
      </c>
      <c r="D1027" s="46">
        <v>44739.0</v>
      </c>
      <c r="E1027" s="24">
        <v>6.62</v>
      </c>
      <c r="F1027" s="24">
        <v>42.47</v>
      </c>
      <c r="G1027" s="24">
        <v>0.64</v>
      </c>
      <c r="H1027" s="24" t="s">
        <v>6675</v>
      </c>
      <c r="I1027" s="24">
        <v>6.62</v>
      </c>
      <c r="J1027" s="24">
        <v>0.0</v>
      </c>
    </row>
    <row r="1028">
      <c r="A1028" s="24">
        <v>678.0</v>
      </c>
      <c r="B1028" s="24">
        <v>7.0</v>
      </c>
      <c r="C1028" s="44">
        <v>12.34</v>
      </c>
      <c r="D1028" s="46">
        <v>44739.0</v>
      </c>
      <c r="E1028" s="24">
        <v>1.76</v>
      </c>
      <c r="F1028" s="24">
        <v>18.2</v>
      </c>
      <c r="G1028" s="24">
        <v>1.03</v>
      </c>
      <c r="H1028" s="24" t="s">
        <v>6670</v>
      </c>
      <c r="I1028" s="24">
        <v>6.17</v>
      </c>
      <c r="J1028" s="24">
        <v>0.0</v>
      </c>
    </row>
    <row r="1029">
      <c r="A1029" s="24">
        <v>1106.0</v>
      </c>
      <c r="B1029" s="24">
        <v>5.0</v>
      </c>
      <c r="C1029" s="44">
        <v>58.0</v>
      </c>
      <c r="D1029" s="46">
        <v>44739.0</v>
      </c>
      <c r="E1029" s="24">
        <v>11.6</v>
      </c>
      <c r="F1029" s="24">
        <v>52.44</v>
      </c>
      <c r="G1029" s="24">
        <v>0.45</v>
      </c>
      <c r="H1029" s="24" t="s">
        <v>6684</v>
      </c>
      <c r="I1029" s="24">
        <v>58.0</v>
      </c>
      <c r="J1029" s="24">
        <v>1.0</v>
      </c>
    </row>
    <row r="1030">
      <c r="A1030" s="24">
        <v>934.0</v>
      </c>
      <c r="B1030" s="24">
        <v>11.0</v>
      </c>
      <c r="C1030" s="44">
        <v>26.52</v>
      </c>
      <c r="D1030" s="46">
        <v>44739.0</v>
      </c>
      <c r="E1030" s="24">
        <v>2.41</v>
      </c>
      <c r="F1030" s="24">
        <v>28.39</v>
      </c>
      <c r="G1030" s="24">
        <v>1.18</v>
      </c>
      <c r="H1030" s="24" t="s">
        <v>6665</v>
      </c>
      <c r="I1030" s="24">
        <v>4.42</v>
      </c>
      <c r="J1030" s="24">
        <v>0.0</v>
      </c>
    </row>
    <row r="1031">
      <c r="A1031" s="24">
        <v>600.0</v>
      </c>
      <c r="B1031" s="24">
        <v>7.0</v>
      </c>
      <c r="C1031" s="44">
        <v>15.83</v>
      </c>
      <c r="D1031" s="46">
        <v>44739.0</v>
      </c>
      <c r="E1031" s="24">
        <v>2.26</v>
      </c>
      <c r="F1031" s="24">
        <v>26.38</v>
      </c>
      <c r="G1031" s="24">
        <v>1.17</v>
      </c>
      <c r="H1031" s="24" t="s">
        <v>6682</v>
      </c>
      <c r="I1031" s="24">
        <v>7.92</v>
      </c>
      <c r="J1031" s="24">
        <v>0.0</v>
      </c>
    </row>
    <row r="1032">
      <c r="A1032" s="24">
        <v>1271.0</v>
      </c>
      <c r="B1032" s="24">
        <v>1.0</v>
      </c>
      <c r="C1032" s="44">
        <v>27.3</v>
      </c>
      <c r="D1032" s="46">
        <v>44739.0</v>
      </c>
      <c r="E1032" s="24">
        <v>27.3</v>
      </c>
      <c r="F1032" s="24">
        <v>21.48</v>
      </c>
      <c r="G1032" s="24">
        <v>0.08</v>
      </c>
      <c r="H1032" s="24" t="s">
        <v>6673</v>
      </c>
      <c r="I1032" s="24">
        <v>5.46</v>
      </c>
      <c r="J1032" s="24">
        <v>0.0</v>
      </c>
    </row>
    <row r="1033">
      <c r="A1033" s="24">
        <v>0.0</v>
      </c>
      <c r="B1033" s="24">
        <v>0.0</v>
      </c>
      <c r="C1033" s="44"/>
      <c r="D1033" s="46">
        <v>44739.0</v>
      </c>
      <c r="E1033" s="24" t="s">
        <v>6650</v>
      </c>
      <c r="F1033" s="24" t="s">
        <v>6650</v>
      </c>
      <c r="G1033" s="24" t="s">
        <v>6650</v>
      </c>
      <c r="H1033" s="24" t="s">
        <v>6671</v>
      </c>
      <c r="I1033" s="24" t="s">
        <v>6650</v>
      </c>
      <c r="J1033" s="24"/>
    </row>
    <row r="1034">
      <c r="A1034" s="24">
        <v>0.0</v>
      </c>
      <c r="B1034" s="24">
        <v>0.0</v>
      </c>
      <c r="C1034" s="44"/>
      <c r="D1034" s="46">
        <v>44739.0</v>
      </c>
      <c r="E1034" s="24" t="s">
        <v>6650</v>
      </c>
      <c r="F1034" s="24" t="s">
        <v>6650</v>
      </c>
      <c r="G1034" s="24" t="s">
        <v>6650</v>
      </c>
      <c r="H1034" s="24" t="s">
        <v>6667</v>
      </c>
      <c r="I1034" s="24" t="s">
        <v>6650</v>
      </c>
      <c r="J1034" s="24"/>
    </row>
    <row r="1035">
      <c r="A1035" s="24">
        <v>2260.0</v>
      </c>
      <c r="B1035" s="24">
        <v>8.0</v>
      </c>
      <c r="C1035" s="44">
        <v>25.71</v>
      </c>
      <c r="D1035" s="46">
        <v>44739.0</v>
      </c>
      <c r="E1035" s="24">
        <v>3.21</v>
      </c>
      <c r="F1035" s="24">
        <v>11.38</v>
      </c>
      <c r="G1035" s="24">
        <v>0.35</v>
      </c>
      <c r="H1035" s="24" t="s">
        <v>6669</v>
      </c>
      <c r="I1035" s="24">
        <v>5.14</v>
      </c>
      <c r="J1035" s="24">
        <v>0.0</v>
      </c>
    </row>
    <row r="1036">
      <c r="A1036" s="24">
        <v>262.0</v>
      </c>
      <c r="B1036" s="24">
        <v>3.0</v>
      </c>
      <c r="C1036" s="44">
        <v>15.48</v>
      </c>
      <c r="D1036" s="46">
        <v>44739.0</v>
      </c>
      <c r="E1036" s="24">
        <v>5.16</v>
      </c>
      <c r="F1036" s="24">
        <v>59.08</v>
      </c>
      <c r="G1036" s="24">
        <v>1.15</v>
      </c>
      <c r="H1036" s="24" t="s">
        <v>6680</v>
      </c>
      <c r="I1036" s="24">
        <v>15.48</v>
      </c>
      <c r="J1036" s="24">
        <v>0.0</v>
      </c>
    </row>
    <row r="1037">
      <c r="A1037" s="24">
        <v>0.0</v>
      </c>
      <c r="B1037" s="24">
        <v>0.0</v>
      </c>
      <c r="C1037" s="44"/>
      <c r="D1037" s="46">
        <v>44739.0</v>
      </c>
      <c r="E1037" s="24" t="s">
        <v>6650</v>
      </c>
      <c r="F1037" s="24" t="s">
        <v>6650</v>
      </c>
      <c r="G1037" s="24" t="s">
        <v>6650</v>
      </c>
      <c r="H1037" s="24" t="s">
        <v>6664</v>
      </c>
      <c r="I1037" s="24" t="s">
        <v>6650</v>
      </c>
      <c r="J1037" s="24"/>
    </row>
    <row r="1038">
      <c r="A1038" s="24">
        <v>0.0</v>
      </c>
      <c r="B1038" s="24">
        <v>0.0</v>
      </c>
      <c r="C1038" s="44"/>
      <c r="D1038" s="46">
        <v>44740.0</v>
      </c>
      <c r="E1038" s="24" t="s">
        <v>6650</v>
      </c>
      <c r="F1038" s="24" t="s">
        <v>6650</v>
      </c>
      <c r="G1038" s="24" t="s">
        <v>6650</v>
      </c>
      <c r="H1038" s="24" t="s">
        <v>6662</v>
      </c>
      <c r="I1038" s="24" t="s">
        <v>6650</v>
      </c>
      <c r="J1038" s="24"/>
    </row>
    <row r="1039">
      <c r="A1039" s="24">
        <v>528.0</v>
      </c>
      <c r="B1039" s="24">
        <v>3.0</v>
      </c>
      <c r="C1039" s="44">
        <v>29.71</v>
      </c>
      <c r="D1039" s="46">
        <v>44740.0</v>
      </c>
      <c r="E1039" s="24">
        <v>9.9</v>
      </c>
      <c r="F1039" s="24">
        <v>56.27</v>
      </c>
      <c r="G1039" s="24">
        <v>0.57</v>
      </c>
      <c r="H1039" s="24" t="s">
        <v>6674</v>
      </c>
      <c r="I1039" s="24">
        <v>5.94</v>
      </c>
      <c r="J1039" s="24">
        <v>0.0</v>
      </c>
    </row>
    <row r="1040">
      <c r="A1040" s="24">
        <v>1292.0</v>
      </c>
      <c r="B1040" s="24">
        <v>3.0</v>
      </c>
      <c r="C1040" s="44">
        <v>64.0</v>
      </c>
      <c r="D1040" s="46">
        <v>44740.0</v>
      </c>
      <c r="E1040" s="24">
        <v>21.33</v>
      </c>
      <c r="F1040" s="24">
        <v>49.54</v>
      </c>
      <c r="G1040" s="24">
        <v>0.23</v>
      </c>
      <c r="H1040" s="24" t="s">
        <v>6684</v>
      </c>
      <c r="I1040" s="24">
        <v>64.0</v>
      </c>
      <c r="J1040" s="24">
        <v>0.0</v>
      </c>
    </row>
    <row r="1041">
      <c r="A1041" s="24">
        <v>1355.0</v>
      </c>
      <c r="B1041" s="24">
        <v>34.0</v>
      </c>
      <c r="C1041" s="44">
        <v>42.22</v>
      </c>
      <c r="D1041" s="46">
        <v>44740.0</v>
      </c>
      <c r="E1041" s="24">
        <v>1.24</v>
      </c>
      <c r="F1041" s="24">
        <v>31.16</v>
      </c>
      <c r="G1041" s="24">
        <v>2.51</v>
      </c>
      <c r="H1041" s="24" t="s">
        <v>6670</v>
      </c>
      <c r="I1041" s="24">
        <v>6.03</v>
      </c>
      <c r="J1041" s="24">
        <v>0.0</v>
      </c>
    </row>
    <row r="1042">
      <c r="A1042" s="24">
        <v>1077.0</v>
      </c>
      <c r="B1042" s="24">
        <v>3.0</v>
      </c>
      <c r="C1042" s="44">
        <v>46.08</v>
      </c>
      <c r="D1042" s="46">
        <v>44740.0</v>
      </c>
      <c r="E1042" s="24">
        <v>15.36</v>
      </c>
      <c r="F1042" s="24">
        <v>42.79</v>
      </c>
      <c r="G1042" s="24">
        <v>0.28</v>
      </c>
      <c r="H1042" s="24" t="s">
        <v>6673</v>
      </c>
      <c r="I1042" s="24">
        <v>46.08</v>
      </c>
      <c r="J1042" s="24">
        <v>0.0</v>
      </c>
    </row>
    <row r="1043">
      <c r="A1043" s="24">
        <v>1741.0</v>
      </c>
      <c r="B1043" s="24">
        <v>15.0</v>
      </c>
      <c r="C1043" s="44">
        <v>29.62</v>
      </c>
      <c r="D1043" s="46">
        <v>44740.0</v>
      </c>
      <c r="E1043" s="24">
        <v>1.97</v>
      </c>
      <c r="F1043" s="24">
        <v>17.01</v>
      </c>
      <c r="G1043" s="24">
        <v>0.86</v>
      </c>
      <c r="H1043" s="24" t="s">
        <v>6681</v>
      </c>
      <c r="I1043" s="24">
        <v>3.29</v>
      </c>
      <c r="J1043" s="24">
        <v>0.0</v>
      </c>
    </row>
    <row r="1044">
      <c r="A1044" s="24">
        <v>885.0</v>
      </c>
      <c r="B1044" s="24">
        <v>2.0</v>
      </c>
      <c r="C1044" s="44">
        <v>45.16</v>
      </c>
      <c r="D1044" s="46">
        <v>44740.0</v>
      </c>
      <c r="E1044" s="24">
        <v>22.58</v>
      </c>
      <c r="F1044" s="24">
        <v>51.03</v>
      </c>
      <c r="G1044" s="24">
        <v>0.23</v>
      </c>
      <c r="H1044" s="24" t="s">
        <v>6676</v>
      </c>
      <c r="I1044" s="24">
        <v>22.58</v>
      </c>
      <c r="J1044" s="24">
        <v>0.0</v>
      </c>
    </row>
    <row r="1045">
      <c r="A1045" s="24">
        <v>738.0</v>
      </c>
      <c r="B1045" s="24">
        <v>6.0</v>
      </c>
      <c r="C1045" s="44">
        <v>26.41</v>
      </c>
      <c r="D1045" s="46">
        <v>44740.0</v>
      </c>
      <c r="E1045" s="24">
        <v>4.4</v>
      </c>
      <c r="F1045" s="24">
        <v>35.79</v>
      </c>
      <c r="G1045" s="24">
        <v>0.81</v>
      </c>
      <c r="H1045" s="24" t="s">
        <v>6665</v>
      </c>
      <c r="I1045" s="24">
        <v>8.8</v>
      </c>
      <c r="J1045" s="24">
        <v>0.0</v>
      </c>
    </row>
    <row r="1046">
      <c r="A1046" s="24">
        <v>0.0</v>
      </c>
      <c r="B1046" s="24">
        <v>0.0</v>
      </c>
      <c r="C1046" s="44"/>
      <c r="D1046" s="46">
        <v>44740.0</v>
      </c>
      <c r="E1046" s="24" t="s">
        <v>6650</v>
      </c>
      <c r="F1046" s="24" t="s">
        <v>6650</v>
      </c>
      <c r="G1046" s="24" t="s">
        <v>6650</v>
      </c>
      <c r="H1046" s="24" t="s">
        <v>6668</v>
      </c>
      <c r="I1046" s="24" t="s">
        <v>6650</v>
      </c>
      <c r="J1046" s="24"/>
    </row>
    <row r="1047">
      <c r="A1047" s="24">
        <v>410.0</v>
      </c>
      <c r="B1047" s="24">
        <v>4.0</v>
      </c>
      <c r="C1047" s="44">
        <v>8.7</v>
      </c>
      <c r="D1047" s="46">
        <v>44740.0</v>
      </c>
      <c r="E1047" s="24">
        <v>2.17</v>
      </c>
      <c r="F1047" s="24">
        <v>21.22</v>
      </c>
      <c r="G1047" s="24">
        <v>0.98</v>
      </c>
      <c r="H1047" s="24" t="s">
        <v>6666</v>
      </c>
      <c r="I1047" s="24">
        <v>2.17</v>
      </c>
      <c r="J1047" s="24">
        <v>0.0</v>
      </c>
    </row>
    <row r="1048">
      <c r="A1048" s="24">
        <v>0.0</v>
      </c>
      <c r="B1048" s="24">
        <v>0.0</v>
      </c>
      <c r="C1048" s="44"/>
      <c r="D1048" s="46">
        <v>44740.0</v>
      </c>
      <c r="E1048" s="24" t="s">
        <v>6650</v>
      </c>
      <c r="F1048" s="24" t="s">
        <v>6650</v>
      </c>
      <c r="G1048" s="24" t="s">
        <v>6650</v>
      </c>
      <c r="H1048" s="24" t="s">
        <v>6678</v>
      </c>
      <c r="I1048" s="24" t="s">
        <v>6650</v>
      </c>
      <c r="J1048" s="24"/>
    </row>
    <row r="1049">
      <c r="A1049" s="24">
        <v>0.0</v>
      </c>
      <c r="B1049" s="24">
        <v>0.0</v>
      </c>
      <c r="C1049" s="44"/>
      <c r="D1049" s="46">
        <v>44740.0</v>
      </c>
      <c r="E1049" s="24" t="s">
        <v>6650</v>
      </c>
      <c r="F1049" s="24" t="s">
        <v>6650</v>
      </c>
      <c r="G1049" s="24" t="s">
        <v>6650</v>
      </c>
      <c r="H1049" s="24" t="s">
        <v>6667</v>
      </c>
      <c r="I1049" s="24" t="s">
        <v>6650</v>
      </c>
      <c r="J1049" s="24"/>
    </row>
    <row r="1050">
      <c r="A1050" s="24">
        <v>719.0</v>
      </c>
      <c r="B1050" s="24">
        <v>10.0</v>
      </c>
      <c r="C1050" s="44">
        <v>40.94</v>
      </c>
      <c r="D1050" s="46">
        <v>44740.0</v>
      </c>
      <c r="E1050" s="24">
        <v>4.09</v>
      </c>
      <c r="F1050" s="24">
        <v>56.94</v>
      </c>
      <c r="G1050" s="24">
        <v>1.39</v>
      </c>
      <c r="H1050" s="24" t="s">
        <v>6675</v>
      </c>
      <c r="I1050" s="24">
        <v>5.85</v>
      </c>
      <c r="J1050" s="24">
        <v>0.0</v>
      </c>
    </row>
    <row r="1051">
      <c r="A1051" s="24">
        <v>717.0</v>
      </c>
      <c r="B1051" s="24">
        <v>5.0</v>
      </c>
      <c r="C1051" s="44">
        <v>17.88</v>
      </c>
      <c r="D1051" s="46">
        <v>44740.0</v>
      </c>
      <c r="E1051" s="24">
        <v>3.58</v>
      </c>
      <c r="F1051" s="24">
        <v>24.94</v>
      </c>
      <c r="G1051" s="24">
        <v>0.7</v>
      </c>
      <c r="H1051" s="24" t="s">
        <v>6682</v>
      </c>
      <c r="I1051" s="24">
        <v>17.88</v>
      </c>
      <c r="J1051" s="24">
        <v>0.0</v>
      </c>
    </row>
    <row r="1052">
      <c r="A1052" s="24">
        <v>224.0</v>
      </c>
      <c r="B1052" s="24">
        <v>4.0</v>
      </c>
      <c r="C1052" s="44">
        <v>13.34</v>
      </c>
      <c r="D1052" s="46">
        <v>44740.0</v>
      </c>
      <c r="E1052" s="24">
        <v>3.34</v>
      </c>
      <c r="F1052" s="24">
        <v>59.55</v>
      </c>
      <c r="G1052" s="24">
        <v>1.79</v>
      </c>
      <c r="H1052" s="24" t="s">
        <v>6677</v>
      </c>
      <c r="I1052" s="24">
        <v>13.34</v>
      </c>
      <c r="J1052" s="24">
        <v>0.0</v>
      </c>
    </row>
    <row r="1053">
      <c r="A1053" s="24">
        <v>312.0</v>
      </c>
      <c r="B1053" s="24">
        <v>1.0</v>
      </c>
      <c r="C1053" s="44">
        <v>17.69</v>
      </c>
      <c r="D1053" s="46">
        <v>44740.0</v>
      </c>
      <c r="E1053" s="24">
        <v>17.69</v>
      </c>
      <c r="F1053" s="24">
        <v>56.7</v>
      </c>
      <c r="G1053" s="24">
        <v>0.32</v>
      </c>
      <c r="H1053" s="24" t="s">
        <v>6680</v>
      </c>
      <c r="I1053" s="24">
        <v>17.69</v>
      </c>
      <c r="J1053" s="24">
        <v>0.0</v>
      </c>
    </row>
    <row r="1054">
      <c r="A1054" s="24">
        <v>2009.0</v>
      </c>
      <c r="B1054" s="24">
        <v>9.0</v>
      </c>
      <c r="C1054" s="44">
        <v>41.69</v>
      </c>
      <c r="D1054" s="46">
        <v>44740.0</v>
      </c>
      <c r="E1054" s="24">
        <v>4.63</v>
      </c>
      <c r="F1054" s="24">
        <v>20.75</v>
      </c>
      <c r="G1054" s="24">
        <v>0.45</v>
      </c>
      <c r="H1054" s="24" t="s">
        <v>6669</v>
      </c>
      <c r="I1054" s="24">
        <v>41.69</v>
      </c>
      <c r="J1054" s="24">
        <v>0.0</v>
      </c>
    </row>
    <row r="1055">
      <c r="A1055" s="24">
        <v>0.0</v>
      </c>
      <c r="B1055" s="24">
        <v>0.0</v>
      </c>
      <c r="C1055" s="44"/>
      <c r="D1055" s="46">
        <v>44740.0</v>
      </c>
      <c r="E1055" s="24" t="s">
        <v>6650</v>
      </c>
      <c r="F1055" s="24" t="s">
        <v>6650</v>
      </c>
      <c r="G1055" s="24" t="s">
        <v>6650</v>
      </c>
      <c r="H1055" s="24" t="s">
        <v>6671</v>
      </c>
      <c r="I1055" s="24" t="s">
        <v>6650</v>
      </c>
      <c r="J1055" s="24"/>
    </row>
    <row r="1056">
      <c r="A1056" s="24">
        <v>0.0</v>
      </c>
      <c r="B1056" s="24">
        <v>0.0</v>
      </c>
      <c r="C1056" s="44"/>
      <c r="D1056" s="46">
        <v>44741.0</v>
      </c>
      <c r="E1056" s="24" t="s">
        <v>6650</v>
      </c>
      <c r="F1056" s="24" t="s">
        <v>6650</v>
      </c>
      <c r="G1056" s="24" t="s">
        <v>6650</v>
      </c>
      <c r="H1056" s="24" t="s">
        <v>6672</v>
      </c>
      <c r="I1056" s="24" t="s">
        <v>6650</v>
      </c>
      <c r="J1056" s="24"/>
    </row>
    <row r="1057">
      <c r="A1057" s="24">
        <v>2618.0</v>
      </c>
      <c r="B1057" s="24">
        <v>10.0</v>
      </c>
      <c r="C1057" s="44">
        <v>44.84</v>
      </c>
      <c r="D1057" s="46">
        <v>44741.0</v>
      </c>
      <c r="E1057" s="24">
        <v>4.48</v>
      </c>
      <c r="F1057" s="24">
        <v>17.13</v>
      </c>
      <c r="G1057" s="24">
        <v>0.38</v>
      </c>
      <c r="H1057" s="24" t="s">
        <v>6669</v>
      </c>
      <c r="I1057" s="24">
        <v>14.95</v>
      </c>
      <c r="J1057" s="24">
        <v>0.0</v>
      </c>
    </row>
    <row r="1058">
      <c r="A1058" s="24">
        <v>1646.0</v>
      </c>
      <c r="B1058" s="24">
        <v>3.0</v>
      </c>
      <c r="C1058" s="44">
        <v>46.75</v>
      </c>
      <c r="D1058" s="46">
        <v>44741.0</v>
      </c>
      <c r="E1058" s="24">
        <v>15.58</v>
      </c>
      <c r="F1058" s="24">
        <v>28.4</v>
      </c>
      <c r="G1058" s="24">
        <v>0.18</v>
      </c>
      <c r="H1058" s="24" t="s">
        <v>6673</v>
      </c>
      <c r="I1058" s="24">
        <v>11.69</v>
      </c>
      <c r="J1058" s="24">
        <v>0.0</v>
      </c>
    </row>
    <row r="1059">
      <c r="A1059" s="24">
        <v>984.0</v>
      </c>
      <c r="B1059" s="24">
        <v>12.0</v>
      </c>
      <c r="C1059" s="44">
        <v>48.3</v>
      </c>
      <c r="D1059" s="46">
        <v>44741.0</v>
      </c>
      <c r="E1059" s="24">
        <v>4.02</v>
      </c>
      <c r="F1059" s="24">
        <v>49.09</v>
      </c>
      <c r="G1059" s="24">
        <v>1.22</v>
      </c>
      <c r="H1059" s="24" t="s">
        <v>6665</v>
      </c>
      <c r="I1059" s="24">
        <v>5.37</v>
      </c>
      <c r="J1059" s="24">
        <v>0.0</v>
      </c>
    </row>
    <row r="1060">
      <c r="A1060" s="24">
        <v>0.0</v>
      </c>
      <c r="B1060" s="24">
        <v>0.0</v>
      </c>
      <c r="C1060" s="44"/>
      <c r="D1060" s="46">
        <v>44741.0</v>
      </c>
      <c r="E1060" s="24" t="s">
        <v>6650</v>
      </c>
      <c r="F1060" s="24" t="s">
        <v>6650</v>
      </c>
      <c r="G1060" s="24" t="s">
        <v>6650</v>
      </c>
      <c r="H1060" s="24" t="s">
        <v>6679</v>
      </c>
      <c r="I1060" s="24" t="s">
        <v>6650</v>
      </c>
      <c r="J1060" s="24"/>
    </row>
    <row r="1061">
      <c r="A1061" s="24">
        <v>1202.0</v>
      </c>
      <c r="B1061" s="24">
        <v>20.0</v>
      </c>
      <c r="C1061" s="44">
        <v>45.0</v>
      </c>
      <c r="D1061" s="46">
        <v>44741.0</v>
      </c>
      <c r="E1061" s="24">
        <v>2.25</v>
      </c>
      <c r="F1061" s="24">
        <v>37.44</v>
      </c>
      <c r="G1061" s="24">
        <v>1.66</v>
      </c>
      <c r="H1061" s="24" t="s">
        <v>6666</v>
      </c>
      <c r="I1061" s="24">
        <v>7.5</v>
      </c>
      <c r="J1061" s="24">
        <v>0.0</v>
      </c>
    </row>
    <row r="1062">
      <c r="A1062" s="24">
        <v>0.0</v>
      </c>
      <c r="B1062" s="24">
        <v>0.0</v>
      </c>
      <c r="C1062" s="44"/>
      <c r="D1062" s="46">
        <v>44741.0</v>
      </c>
      <c r="E1062" s="24" t="s">
        <v>6650</v>
      </c>
      <c r="F1062" s="24" t="s">
        <v>6650</v>
      </c>
      <c r="G1062" s="24" t="s">
        <v>6650</v>
      </c>
      <c r="H1062" s="24" t="s">
        <v>6671</v>
      </c>
      <c r="I1062" s="24" t="s">
        <v>6650</v>
      </c>
      <c r="J1062" s="24"/>
    </row>
    <row r="1063">
      <c r="A1063" s="24">
        <v>274.0</v>
      </c>
      <c r="B1063" s="24">
        <v>2.0</v>
      </c>
      <c r="C1063" s="44">
        <v>18.05</v>
      </c>
      <c r="D1063" s="46">
        <v>44741.0</v>
      </c>
      <c r="E1063" s="24">
        <v>9.02</v>
      </c>
      <c r="F1063" s="24">
        <v>65.88</v>
      </c>
      <c r="G1063" s="24">
        <v>0.73</v>
      </c>
      <c r="H1063" s="24" t="s">
        <v>6680</v>
      </c>
      <c r="I1063" s="24">
        <v>6.02</v>
      </c>
      <c r="J1063" s="24">
        <v>0.0</v>
      </c>
    </row>
    <row r="1064">
      <c r="A1064" s="24">
        <v>1266.0</v>
      </c>
      <c r="B1064" s="24">
        <v>32.0</v>
      </c>
      <c r="C1064" s="44">
        <v>42.64</v>
      </c>
      <c r="D1064" s="46">
        <v>44741.0</v>
      </c>
      <c r="E1064" s="24">
        <v>1.33</v>
      </c>
      <c r="F1064" s="24">
        <v>33.68</v>
      </c>
      <c r="G1064" s="24">
        <v>2.53</v>
      </c>
      <c r="H1064" s="24" t="s">
        <v>6670</v>
      </c>
      <c r="I1064" s="24">
        <v>21.32</v>
      </c>
      <c r="J1064" s="24">
        <v>0.0</v>
      </c>
    </row>
    <row r="1065">
      <c r="A1065" s="24">
        <v>688.0</v>
      </c>
      <c r="B1065" s="24">
        <v>8.0</v>
      </c>
      <c r="C1065" s="44">
        <v>45.0</v>
      </c>
      <c r="D1065" s="46">
        <v>44741.0</v>
      </c>
      <c r="E1065" s="24">
        <v>5.62</v>
      </c>
      <c r="F1065" s="24">
        <v>65.41</v>
      </c>
      <c r="G1065" s="24">
        <v>1.16</v>
      </c>
      <c r="H1065" s="24" t="s">
        <v>6677</v>
      </c>
      <c r="I1065" s="24">
        <v>9.0</v>
      </c>
      <c r="J1065" s="24">
        <v>0.0</v>
      </c>
    </row>
    <row r="1066">
      <c r="A1066" s="24">
        <v>1193.0</v>
      </c>
      <c r="B1066" s="24">
        <v>9.0</v>
      </c>
      <c r="C1066" s="44">
        <v>42.78</v>
      </c>
      <c r="D1066" s="46">
        <v>44741.0</v>
      </c>
      <c r="E1066" s="24">
        <v>4.75</v>
      </c>
      <c r="F1066" s="24">
        <v>35.86</v>
      </c>
      <c r="G1066" s="24">
        <v>0.75</v>
      </c>
      <c r="H1066" s="24" t="s">
        <v>6675</v>
      </c>
      <c r="I1066" s="24">
        <v>21.39</v>
      </c>
      <c r="J1066" s="24">
        <v>0.0</v>
      </c>
    </row>
    <row r="1067">
      <c r="A1067" s="24">
        <v>839.0</v>
      </c>
      <c r="B1067" s="24">
        <v>1.0</v>
      </c>
      <c r="C1067" s="44">
        <v>44.44</v>
      </c>
      <c r="D1067" s="46">
        <v>44741.0</v>
      </c>
      <c r="E1067" s="24">
        <v>44.44</v>
      </c>
      <c r="F1067" s="24">
        <v>52.97</v>
      </c>
      <c r="G1067" s="24">
        <v>0.12</v>
      </c>
      <c r="H1067" s="24" t="s">
        <v>6684</v>
      </c>
      <c r="I1067" s="24">
        <v>14.81</v>
      </c>
      <c r="J1067" s="24">
        <v>1.0</v>
      </c>
    </row>
    <row r="1068">
      <c r="A1068" s="24">
        <v>1579.0</v>
      </c>
      <c r="B1068" s="24">
        <v>12.0</v>
      </c>
      <c r="C1068" s="44">
        <v>30.43</v>
      </c>
      <c r="D1068" s="46">
        <v>44741.0</v>
      </c>
      <c r="E1068" s="24">
        <v>2.54</v>
      </c>
      <c r="F1068" s="24">
        <v>19.27</v>
      </c>
      <c r="G1068" s="24">
        <v>0.76</v>
      </c>
      <c r="H1068" s="24" t="s">
        <v>6681</v>
      </c>
      <c r="I1068" s="24">
        <v>3.04</v>
      </c>
      <c r="J1068" s="24">
        <v>0.0</v>
      </c>
    </row>
    <row r="1069">
      <c r="A1069" s="24">
        <v>442.0</v>
      </c>
      <c r="B1069" s="24">
        <v>4.0</v>
      </c>
      <c r="C1069" s="44">
        <v>18.92</v>
      </c>
      <c r="D1069" s="46">
        <v>44741.0</v>
      </c>
      <c r="E1069" s="24">
        <v>4.73</v>
      </c>
      <c r="F1069" s="24">
        <v>42.81</v>
      </c>
      <c r="G1069" s="24">
        <v>0.9</v>
      </c>
      <c r="H1069" s="24" t="s">
        <v>6682</v>
      </c>
      <c r="I1069" s="24">
        <v>4.73</v>
      </c>
      <c r="J1069" s="24">
        <v>0.0</v>
      </c>
    </row>
    <row r="1070">
      <c r="A1070" s="24">
        <v>0.0</v>
      </c>
      <c r="B1070" s="24">
        <v>0.0</v>
      </c>
      <c r="C1070" s="44"/>
      <c r="D1070" s="46">
        <v>44741.0</v>
      </c>
      <c r="E1070" s="24" t="s">
        <v>6650</v>
      </c>
      <c r="F1070" s="24" t="s">
        <v>6650</v>
      </c>
      <c r="G1070" s="24" t="s">
        <v>6650</v>
      </c>
      <c r="H1070" s="24" t="s">
        <v>6678</v>
      </c>
      <c r="I1070" s="24" t="s">
        <v>6650</v>
      </c>
      <c r="J1070" s="24"/>
    </row>
    <row r="1071">
      <c r="A1071" s="24">
        <v>1157.0</v>
      </c>
      <c r="B1071" s="24">
        <v>2.0</v>
      </c>
      <c r="C1071" s="44">
        <v>52.5</v>
      </c>
      <c r="D1071" s="46">
        <v>44741.0</v>
      </c>
      <c r="E1071" s="24">
        <v>26.25</v>
      </c>
      <c r="F1071" s="24">
        <v>45.38</v>
      </c>
      <c r="G1071" s="24">
        <v>0.17</v>
      </c>
      <c r="H1071" s="24" t="s">
        <v>6676</v>
      </c>
      <c r="I1071" s="24">
        <v>10.5</v>
      </c>
      <c r="J1071" s="24">
        <v>0.0</v>
      </c>
    </row>
    <row r="1072">
      <c r="A1072" s="24">
        <v>0.0</v>
      </c>
      <c r="B1072" s="24">
        <v>0.0</v>
      </c>
      <c r="C1072" s="44"/>
      <c r="D1072" s="46">
        <v>44741.0</v>
      </c>
      <c r="E1072" s="24" t="s">
        <v>6650</v>
      </c>
      <c r="F1072" s="24" t="s">
        <v>6650</v>
      </c>
      <c r="G1072" s="24" t="s">
        <v>6650</v>
      </c>
      <c r="H1072" s="24" t="s">
        <v>6662</v>
      </c>
      <c r="I1072" s="24" t="s">
        <v>6650</v>
      </c>
      <c r="J1072" s="24"/>
    </row>
    <row r="1073">
      <c r="A1073" s="24">
        <v>570.0</v>
      </c>
      <c r="B1073" s="24">
        <v>3.0</v>
      </c>
      <c r="C1073" s="44">
        <v>30.64</v>
      </c>
      <c r="D1073" s="46">
        <v>44741.0</v>
      </c>
      <c r="E1073" s="24">
        <v>10.21</v>
      </c>
      <c r="F1073" s="24">
        <v>53.75</v>
      </c>
      <c r="G1073" s="24">
        <v>0.53</v>
      </c>
      <c r="H1073" s="24" t="s">
        <v>6674</v>
      </c>
      <c r="I1073" s="24">
        <v>5.11</v>
      </c>
      <c r="J1073" s="24">
        <v>0.0</v>
      </c>
    </row>
    <row r="1074">
      <c r="A1074" s="24">
        <v>0.0</v>
      </c>
      <c r="B1074" s="24">
        <v>0.0</v>
      </c>
      <c r="C1074" s="44"/>
      <c r="D1074" s="46">
        <v>44741.0</v>
      </c>
      <c r="E1074" s="24" t="s">
        <v>6650</v>
      </c>
      <c r="F1074" s="24" t="s">
        <v>6650</v>
      </c>
      <c r="G1074" s="24" t="s">
        <v>6650</v>
      </c>
      <c r="H1074" s="24" t="s">
        <v>6667</v>
      </c>
      <c r="I1074" s="24" t="s">
        <v>6650</v>
      </c>
      <c r="J1074" s="24"/>
    </row>
    <row r="1075">
      <c r="A1075" s="24">
        <v>0.0</v>
      </c>
      <c r="B1075" s="24">
        <v>0.0</v>
      </c>
      <c r="C1075" s="44"/>
      <c r="D1075" s="46">
        <v>44742.0</v>
      </c>
      <c r="E1075" s="24" t="s">
        <v>6650</v>
      </c>
      <c r="F1075" s="24" t="s">
        <v>6650</v>
      </c>
      <c r="G1075" s="24" t="s">
        <v>6650</v>
      </c>
      <c r="H1075" s="24" t="s">
        <v>6662</v>
      </c>
      <c r="I1075" s="24" t="s">
        <v>6650</v>
      </c>
      <c r="J1075" s="24"/>
    </row>
    <row r="1076">
      <c r="A1076" s="24">
        <v>0.0</v>
      </c>
      <c r="B1076" s="24">
        <v>0.0</v>
      </c>
      <c r="C1076" s="44"/>
      <c r="D1076" s="46">
        <v>44742.0</v>
      </c>
      <c r="E1076" s="24" t="s">
        <v>6650</v>
      </c>
      <c r="F1076" s="24" t="s">
        <v>6650</v>
      </c>
      <c r="G1076" s="24" t="s">
        <v>6650</v>
      </c>
      <c r="H1076" s="24" t="s">
        <v>6684</v>
      </c>
      <c r="I1076" s="24" t="s">
        <v>6650</v>
      </c>
      <c r="J1076" s="24"/>
    </row>
    <row r="1077">
      <c r="A1077" s="24">
        <v>1379.0</v>
      </c>
      <c r="B1077" s="24">
        <v>25.0</v>
      </c>
      <c r="C1077" s="44">
        <v>45.0</v>
      </c>
      <c r="D1077" s="46">
        <v>44742.0</v>
      </c>
      <c r="E1077" s="24">
        <v>1.8</v>
      </c>
      <c r="F1077" s="24">
        <v>32.63</v>
      </c>
      <c r="G1077" s="24">
        <v>1.81</v>
      </c>
      <c r="H1077" s="24" t="s">
        <v>6666</v>
      </c>
      <c r="I1077" s="24">
        <v>5.0</v>
      </c>
      <c r="J1077" s="24">
        <v>0.0</v>
      </c>
    </row>
    <row r="1078">
      <c r="A1078" s="24">
        <v>1646.0</v>
      </c>
      <c r="B1078" s="24">
        <v>0.0</v>
      </c>
      <c r="C1078" s="44">
        <v>46.2</v>
      </c>
      <c r="D1078" s="46">
        <v>44742.0</v>
      </c>
      <c r="E1078" s="24" t="s">
        <v>6650</v>
      </c>
      <c r="F1078" s="24">
        <v>28.07</v>
      </c>
      <c r="G1078" s="24">
        <v>0.0</v>
      </c>
      <c r="H1078" s="24" t="s">
        <v>6673</v>
      </c>
      <c r="I1078" s="24">
        <v>15.4</v>
      </c>
      <c r="J1078" s="24">
        <v>0.0</v>
      </c>
    </row>
    <row r="1079">
      <c r="A1079" s="24">
        <v>1086.0</v>
      </c>
      <c r="B1079" s="24">
        <v>3.0</v>
      </c>
      <c r="C1079" s="44">
        <v>52.5</v>
      </c>
      <c r="D1079" s="46">
        <v>44742.0</v>
      </c>
      <c r="E1079" s="24">
        <v>17.5</v>
      </c>
      <c r="F1079" s="24">
        <v>48.34</v>
      </c>
      <c r="G1079" s="24">
        <v>0.28</v>
      </c>
      <c r="H1079" s="24" t="s">
        <v>6676</v>
      </c>
      <c r="I1079" s="24">
        <v>17.5</v>
      </c>
      <c r="J1079" s="24">
        <v>0.0</v>
      </c>
    </row>
    <row r="1080">
      <c r="A1080" s="24">
        <v>0.0</v>
      </c>
      <c r="B1080" s="24">
        <v>0.0</v>
      </c>
      <c r="C1080" s="44"/>
      <c r="D1080" s="46">
        <v>44742.0</v>
      </c>
      <c r="E1080" s="24" t="s">
        <v>6650</v>
      </c>
      <c r="F1080" s="24" t="s">
        <v>6650</v>
      </c>
      <c r="G1080" s="24" t="s">
        <v>6650</v>
      </c>
      <c r="H1080" s="24" t="s">
        <v>6668</v>
      </c>
      <c r="I1080" s="24" t="s">
        <v>6650</v>
      </c>
      <c r="J1080" s="24"/>
    </row>
    <row r="1081">
      <c r="A1081" s="24">
        <v>2388.0</v>
      </c>
      <c r="B1081" s="24">
        <v>12.0</v>
      </c>
      <c r="C1081" s="44">
        <v>44.12</v>
      </c>
      <c r="D1081" s="46">
        <v>44742.0</v>
      </c>
      <c r="E1081" s="24">
        <v>3.68</v>
      </c>
      <c r="F1081" s="24">
        <v>18.48</v>
      </c>
      <c r="G1081" s="24">
        <v>0.5</v>
      </c>
      <c r="H1081" s="24" t="s">
        <v>6669</v>
      </c>
      <c r="I1081" s="24">
        <v>7.35</v>
      </c>
      <c r="J1081" s="24">
        <v>0.0</v>
      </c>
    </row>
    <row r="1082">
      <c r="A1082" s="24">
        <v>0.0</v>
      </c>
      <c r="B1082" s="24">
        <v>0.0</v>
      </c>
      <c r="C1082" s="44"/>
      <c r="D1082" s="46">
        <v>44742.0</v>
      </c>
      <c r="E1082" s="24" t="s">
        <v>6650</v>
      </c>
      <c r="F1082" s="24" t="s">
        <v>6650</v>
      </c>
      <c r="G1082" s="24" t="s">
        <v>6650</v>
      </c>
      <c r="H1082" s="24" t="s">
        <v>6664</v>
      </c>
      <c r="I1082" s="24" t="s">
        <v>6650</v>
      </c>
      <c r="J1082" s="24"/>
    </row>
    <row r="1083">
      <c r="A1083" s="24">
        <v>325.0</v>
      </c>
      <c r="B1083" s="24">
        <v>1.0</v>
      </c>
      <c r="C1083" s="44">
        <v>18.95</v>
      </c>
      <c r="D1083" s="46">
        <v>44742.0</v>
      </c>
      <c r="E1083" s="24">
        <v>18.95</v>
      </c>
      <c r="F1083" s="24">
        <v>58.31</v>
      </c>
      <c r="G1083" s="24">
        <v>0.31</v>
      </c>
      <c r="H1083" s="24" t="s">
        <v>6680</v>
      </c>
      <c r="I1083" s="24">
        <v>3.16</v>
      </c>
      <c r="J1083" s="24">
        <v>0.0</v>
      </c>
    </row>
    <row r="1084">
      <c r="A1084" s="24">
        <v>0.0</v>
      </c>
      <c r="B1084" s="24">
        <v>0.0</v>
      </c>
      <c r="C1084" s="44"/>
      <c r="D1084" s="46">
        <v>44742.0</v>
      </c>
      <c r="E1084" s="24" t="s">
        <v>6650</v>
      </c>
      <c r="F1084" s="24" t="s">
        <v>6650</v>
      </c>
      <c r="G1084" s="24" t="s">
        <v>6650</v>
      </c>
      <c r="H1084" s="24" t="s">
        <v>6671</v>
      </c>
      <c r="I1084" s="24" t="s">
        <v>6650</v>
      </c>
      <c r="J1084" s="24"/>
    </row>
    <row r="1085">
      <c r="A1085" s="24">
        <v>709.0</v>
      </c>
      <c r="B1085" s="24">
        <v>8.0</v>
      </c>
      <c r="C1085" s="44">
        <v>19.81</v>
      </c>
      <c r="D1085" s="46">
        <v>44742.0</v>
      </c>
      <c r="E1085" s="24">
        <v>2.48</v>
      </c>
      <c r="F1085" s="24">
        <v>27.94</v>
      </c>
      <c r="G1085" s="24">
        <v>1.13</v>
      </c>
      <c r="H1085" s="24" t="s">
        <v>6682</v>
      </c>
      <c r="I1085" s="24">
        <v>3.96</v>
      </c>
      <c r="J1085" s="24">
        <v>0.0</v>
      </c>
    </row>
    <row r="1086">
      <c r="A1086" s="24">
        <v>1204.0</v>
      </c>
      <c r="B1086" s="24">
        <v>10.0</v>
      </c>
      <c r="C1086" s="44">
        <v>40.97</v>
      </c>
      <c r="D1086" s="46">
        <v>44742.0</v>
      </c>
      <c r="E1086" s="24">
        <v>4.1</v>
      </c>
      <c r="F1086" s="24">
        <v>34.03</v>
      </c>
      <c r="G1086" s="24">
        <v>0.83</v>
      </c>
      <c r="H1086" s="24" t="s">
        <v>6675</v>
      </c>
      <c r="I1086" s="24">
        <v>6.83</v>
      </c>
      <c r="J1086" s="24">
        <v>0.0</v>
      </c>
    </row>
    <row r="1087">
      <c r="A1087" s="24">
        <v>0.0</v>
      </c>
      <c r="B1087" s="24">
        <v>0.0</v>
      </c>
      <c r="C1087" s="44"/>
      <c r="D1087" s="46">
        <v>44742.0</v>
      </c>
      <c r="E1087" s="24" t="s">
        <v>6650</v>
      </c>
      <c r="F1087" s="24" t="s">
        <v>6650</v>
      </c>
      <c r="G1087" s="24" t="s">
        <v>6650</v>
      </c>
      <c r="H1087" s="24" t="s">
        <v>6672</v>
      </c>
      <c r="I1087" s="24" t="s">
        <v>6650</v>
      </c>
      <c r="J1087" s="24"/>
    </row>
    <row r="1088">
      <c r="A1088" s="24">
        <v>819.0</v>
      </c>
      <c r="B1088" s="24">
        <v>11.0</v>
      </c>
      <c r="C1088" s="44">
        <v>45.0</v>
      </c>
      <c r="D1088" s="46">
        <v>44742.0</v>
      </c>
      <c r="E1088" s="24">
        <v>4.09</v>
      </c>
      <c r="F1088" s="24">
        <v>54.95</v>
      </c>
      <c r="G1088" s="24">
        <v>1.34</v>
      </c>
      <c r="H1088" s="24" t="s">
        <v>6677</v>
      </c>
      <c r="I1088" s="24">
        <v>6.43</v>
      </c>
      <c r="J1088" s="24">
        <v>0.0</v>
      </c>
    </row>
    <row r="1089">
      <c r="A1089" s="24">
        <v>1748.0</v>
      </c>
      <c r="B1089" s="24">
        <v>15.0</v>
      </c>
      <c r="C1089" s="44">
        <v>30.31</v>
      </c>
      <c r="D1089" s="46">
        <v>44742.0</v>
      </c>
      <c r="E1089" s="24">
        <v>2.02</v>
      </c>
      <c r="F1089" s="24">
        <v>17.34</v>
      </c>
      <c r="G1089" s="24">
        <v>0.86</v>
      </c>
      <c r="H1089" s="24" t="s">
        <v>6681</v>
      </c>
      <c r="I1089" s="24">
        <v>5.05</v>
      </c>
      <c r="J1089" s="24">
        <v>0.0</v>
      </c>
    </row>
    <row r="1090">
      <c r="A1090" s="24">
        <v>1270.0</v>
      </c>
      <c r="B1090" s="24">
        <v>7.0</v>
      </c>
      <c r="C1090" s="44">
        <v>47.27</v>
      </c>
      <c r="D1090" s="46">
        <v>44742.0</v>
      </c>
      <c r="E1090" s="24">
        <v>6.75</v>
      </c>
      <c r="F1090" s="24">
        <v>37.22</v>
      </c>
      <c r="G1090" s="24">
        <v>0.55</v>
      </c>
      <c r="H1090" s="24" t="s">
        <v>6665</v>
      </c>
      <c r="I1090" s="24">
        <v>11.82</v>
      </c>
      <c r="J1090" s="24">
        <v>0.0</v>
      </c>
    </row>
    <row r="1091">
      <c r="A1091" s="24">
        <v>478.0</v>
      </c>
      <c r="B1091" s="24">
        <v>5.0</v>
      </c>
      <c r="C1091" s="44">
        <v>30.27</v>
      </c>
      <c r="D1091" s="46">
        <v>44742.0</v>
      </c>
      <c r="E1091" s="24">
        <v>6.05</v>
      </c>
      <c r="F1091" s="24">
        <v>63.33</v>
      </c>
      <c r="G1091" s="24">
        <v>1.05</v>
      </c>
      <c r="H1091" s="24" t="s">
        <v>6674</v>
      </c>
      <c r="I1091" s="24">
        <v>7.57</v>
      </c>
      <c r="J1091" s="24">
        <v>0.0</v>
      </c>
    </row>
    <row r="1092">
      <c r="A1092" s="24">
        <v>0.0</v>
      </c>
      <c r="B1092" s="24">
        <v>0.0</v>
      </c>
      <c r="C1092" s="44"/>
      <c r="D1092" s="46">
        <v>44742.0</v>
      </c>
      <c r="E1092" s="24" t="s">
        <v>6650</v>
      </c>
      <c r="F1092" s="24" t="s">
        <v>6650</v>
      </c>
      <c r="G1092" s="24" t="s">
        <v>6650</v>
      </c>
      <c r="H1092" s="24" t="s">
        <v>6678</v>
      </c>
      <c r="I1092" s="24" t="s">
        <v>6650</v>
      </c>
      <c r="J1092" s="24"/>
    </row>
    <row r="1093">
      <c r="A1093" s="24">
        <v>1222.0</v>
      </c>
      <c r="B1093" s="24">
        <v>33.0</v>
      </c>
      <c r="C1093" s="44">
        <v>40.89</v>
      </c>
      <c r="D1093" s="46">
        <v>44742.0</v>
      </c>
      <c r="E1093" s="24">
        <v>1.24</v>
      </c>
      <c r="F1093" s="24">
        <v>33.46</v>
      </c>
      <c r="G1093" s="24">
        <v>2.7</v>
      </c>
      <c r="H1093" s="24" t="s">
        <v>6670</v>
      </c>
      <c r="I1093" s="24">
        <v>3.72</v>
      </c>
      <c r="J1093" s="24">
        <v>0.0</v>
      </c>
    </row>
    <row r="1094">
      <c r="A1094" s="24">
        <v>0.0</v>
      </c>
      <c r="B1094" s="24">
        <v>0.0</v>
      </c>
      <c r="C1094" s="44"/>
      <c r="D1094" s="46">
        <v>44743.0</v>
      </c>
      <c r="E1094" s="24" t="s">
        <v>6650</v>
      </c>
      <c r="F1094" s="24" t="s">
        <v>6650</v>
      </c>
      <c r="G1094" s="24" t="s">
        <v>6650</v>
      </c>
      <c r="H1094" s="24" t="s">
        <v>6668</v>
      </c>
      <c r="I1094" s="24" t="s">
        <v>6650</v>
      </c>
      <c r="J1094" s="24"/>
    </row>
    <row r="1095">
      <c r="A1095" s="24">
        <v>708.0</v>
      </c>
      <c r="B1095" s="24">
        <v>9.0</v>
      </c>
      <c r="C1095" s="44">
        <v>16.85</v>
      </c>
      <c r="D1095" s="46">
        <v>44743.0</v>
      </c>
      <c r="E1095" s="24">
        <v>1.87</v>
      </c>
      <c r="F1095" s="24">
        <v>23.8</v>
      </c>
      <c r="G1095" s="24">
        <v>1.27</v>
      </c>
      <c r="H1095" s="24" t="s">
        <v>6682</v>
      </c>
      <c r="I1095" s="24">
        <v>2.11</v>
      </c>
      <c r="J1095" s="24">
        <v>0.0</v>
      </c>
    </row>
    <row r="1096">
      <c r="A1096" s="24">
        <v>2039.0</v>
      </c>
      <c r="B1096" s="24">
        <v>31.0</v>
      </c>
      <c r="C1096" s="44">
        <v>29.19</v>
      </c>
      <c r="D1096" s="46">
        <v>44743.0</v>
      </c>
      <c r="E1096" s="24">
        <v>0.94</v>
      </c>
      <c r="F1096" s="24">
        <v>14.32</v>
      </c>
      <c r="G1096" s="24">
        <v>1.52</v>
      </c>
      <c r="H1096" s="24" t="s">
        <v>6681</v>
      </c>
      <c r="I1096" s="24">
        <v>1.82</v>
      </c>
      <c r="J1096" s="24">
        <v>0.0</v>
      </c>
    </row>
    <row r="1097">
      <c r="A1097" s="24">
        <v>347.0</v>
      </c>
      <c r="B1097" s="24">
        <v>2.0</v>
      </c>
      <c r="C1097" s="44">
        <v>17.03</v>
      </c>
      <c r="D1097" s="46">
        <v>44743.0</v>
      </c>
      <c r="E1097" s="24">
        <v>8.52</v>
      </c>
      <c r="F1097" s="24">
        <v>49.08</v>
      </c>
      <c r="G1097" s="24">
        <v>0.58</v>
      </c>
      <c r="H1097" s="24" t="s">
        <v>6680</v>
      </c>
      <c r="I1097" s="24">
        <v>3.41</v>
      </c>
      <c r="J1097" s="24">
        <v>0.0</v>
      </c>
    </row>
    <row r="1098">
      <c r="A1098" s="24">
        <v>2271.0</v>
      </c>
      <c r="B1098" s="24">
        <v>10.0</v>
      </c>
      <c r="C1098" s="44">
        <v>42.05</v>
      </c>
      <c r="D1098" s="46">
        <v>44743.0</v>
      </c>
      <c r="E1098" s="24">
        <v>4.2</v>
      </c>
      <c r="F1098" s="24">
        <v>18.52</v>
      </c>
      <c r="G1098" s="24">
        <v>0.44</v>
      </c>
      <c r="H1098" s="24" t="s">
        <v>6669</v>
      </c>
      <c r="I1098" s="24">
        <v>42.05</v>
      </c>
      <c r="J1098" s="24">
        <v>0.0</v>
      </c>
    </row>
    <row r="1099">
      <c r="A1099" s="24">
        <v>1161.0</v>
      </c>
      <c r="B1099" s="24">
        <v>12.0</v>
      </c>
      <c r="C1099" s="44">
        <v>45.16</v>
      </c>
      <c r="D1099" s="46">
        <v>44743.0</v>
      </c>
      <c r="E1099" s="24">
        <v>3.76</v>
      </c>
      <c r="F1099" s="24">
        <v>38.9</v>
      </c>
      <c r="G1099" s="24">
        <v>1.03</v>
      </c>
      <c r="H1099" s="24" t="s">
        <v>6665</v>
      </c>
      <c r="I1099" s="24">
        <v>3.47</v>
      </c>
      <c r="J1099" s="24">
        <v>0.0</v>
      </c>
    </row>
    <row r="1100">
      <c r="A1100" s="24">
        <v>0.0</v>
      </c>
      <c r="B1100" s="24">
        <v>0.0</v>
      </c>
      <c r="C1100" s="44"/>
      <c r="D1100" s="46">
        <v>44743.0</v>
      </c>
      <c r="E1100" s="24" t="s">
        <v>6650</v>
      </c>
      <c r="F1100" s="24" t="s">
        <v>6650</v>
      </c>
      <c r="G1100" s="24" t="s">
        <v>6650</v>
      </c>
      <c r="H1100" s="24" t="s">
        <v>6678</v>
      </c>
      <c r="I1100" s="24" t="s">
        <v>6650</v>
      </c>
      <c r="J1100" s="24"/>
    </row>
    <row r="1101">
      <c r="A1101" s="24">
        <v>0.0</v>
      </c>
      <c r="B1101" s="24">
        <v>0.0</v>
      </c>
      <c r="C1101" s="44"/>
      <c r="D1101" s="46">
        <v>44743.0</v>
      </c>
      <c r="E1101" s="24" t="s">
        <v>6650</v>
      </c>
      <c r="F1101" s="24" t="s">
        <v>6650</v>
      </c>
      <c r="G1101" s="24" t="s">
        <v>6650</v>
      </c>
      <c r="H1101" s="24" t="s">
        <v>6684</v>
      </c>
      <c r="I1101" s="24" t="s">
        <v>6650</v>
      </c>
      <c r="J1101" s="24"/>
    </row>
    <row r="1102">
      <c r="A1102" s="24">
        <v>1108.0</v>
      </c>
      <c r="B1102" s="24">
        <v>5.0</v>
      </c>
      <c r="C1102" s="44">
        <v>36.74</v>
      </c>
      <c r="D1102" s="46">
        <v>44743.0</v>
      </c>
      <c r="E1102" s="24">
        <v>7.35</v>
      </c>
      <c r="F1102" s="24">
        <v>33.16</v>
      </c>
      <c r="G1102" s="24">
        <v>0.45</v>
      </c>
      <c r="H1102" s="24" t="s">
        <v>6675</v>
      </c>
      <c r="I1102" s="24">
        <v>9.18</v>
      </c>
      <c r="J1102" s="24">
        <v>0.0</v>
      </c>
    </row>
    <row r="1103">
      <c r="A1103" s="24">
        <v>785.0</v>
      </c>
      <c r="B1103" s="24">
        <v>12.0</v>
      </c>
      <c r="C1103" s="44">
        <v>45.0</v>
      </c>
      <c r="D1103" s="46">
        <v>44743.0</v>
      </c>
      <c r="E1103" s="24">
        <v>3.75</v>
      </c>
      <c r="F1103" s="24">
        <v>57.32</v>
      </c>
      <c r="G1103" s="24">
        <v>1.53</v>
      </c>
      <c r="H1103" s="24" t="s">
        <v>6677</v>
      </c>
      <c r="I1103" s="24">
        <v>5.62</v>
      </c>
      <c r="J1103" s="24">
        <v>0.0</v>
      </c>
    </row>
    <row r="1104">
      <c r="A1104" s="24">
        <v>1106.0</v>
      </c>
      <c r="B1104" s="24">
        <v>33.0</v>
      </c>
      <c r="C1104" s="44">
        <v>36.61</v>
      </c>
      <c r="D1104" s="46">
        <v>44743.0</v>
      </c>
      <c r="E1104" s="24">
        <v>1.11</v>
      </c>
      <c r="F1104" s="24">
        <v>33.1</v>
      </c>
      <c r="G1104" s="24">
        <v>2.98</v>
      </c>
      <c r="H1104" s="24" t="s">
        <v>6670</v>
      </c>
      <c r="I1104" s="24">
        <v>6.1</v>
      </c>
      <c r="J1104" s="24">
        <v>0.0</v>
      </c>
    </row>
    <row r="1105">
      <c r="A1105" s="24">
        <v>1123.0</v>
      </c>
      <c r="B1105" s="24">
        <v>7.0</v>
      </c>
      <c r="C1105" s="44">
        <v>51.7</v>
      </c>
      <c r="D1105" s="46">
        <v>44743.0</v>
      </c>
      <c r="E1105" s="24">
        <v>7.39</v>
      </c>
      <c r="F1105" s="24">
        <v>46.04</v>
      </c>
      <c r="G1105" s="24">
        <v>0.62</v>
      </c>
      <c r="H1105" s="24" t="s">
        <v>6676</v>
      </c>
      <c r="I1105" s="24">
        <v>8.62</v>
      </c>
      <c r="J1105" s="24">
        <v>0.0</v>
      </c>
    </row>
    <row r="1106">
      <c r="A1106" s="24">
        <v>483.0</v>
      </c>
      <c r="B1106" s="24">
        <v>7.0</v>
      </c>
      <c r="C1106" s="44">
        <v>29.04</v>
      </c>
      <c r="D1106" s="46">
        <v>44743.0</v>
      </c>
      <c r="E1106" s="24">
        <v>4.15</v>
      </c>
      <c r="F1106" s="24">
        <v>60.12</v>
      </c>
      <c r="G1106" s="24">
        <v>1.45</v>
      </c>
      <c r="H1106" s="24" t="s">
        <v>6674</v>
      </c>
      <c r="I1106" s="24">
        <v>2.64</v>
      </c>
      <c r="J1106" s="24">
        <v>0.0</v>
      </c>
    </row>
    <row r="1107">
      <c r="A1107" s="24">
        <v>1627.0</v>
      </c>
      <c r="B1107" s="24">
        <v>3.0</v>
      </c>
      <c r="C1107" s="44">
        <v>41.56</v>
      </c>
      <c r="D1107" s="46">
        <v>44743.0</v>
      </c>
      <c r="E1107" s="24">
        <v>13.85</v>
      </c>
      <c r="F1107" s="24">
        <v>25.54</v>
      </c>
      <c r="G1107" s="24">
        <v>0.18</v>
      </c>
      <c r="H1107" s="24" t="s">
        <v>6673</v>
      </c>
      <c r="I1107" s="24">
        <v>10.39</v>
      </c>
      <c r="J1107" s="24">
        <v>0.0</v>
      </c>
    </row>
    <row r="1108">
      <c r="A1108" s="24">
        <v>1167.0</v>
      </c>
      <c r="B1108" s="24">
        <v>26.0</v>
      </c>
      <c r="C1108" s="44">
        <v>45.0</v>
      </c>
      <c r="D1108" s="46">
        <v>44743.0</v>
      </c>
      <c r="E1108" s="24">
        <v>1.73</v>
      </c>
      <c r="F1108" s="24">
        <v>38.56</v>
      </c>
      <c r="G1108" s="24">
        <v>2.23</v>
      </c>
      <c r="H1108" s="24" t="s">
        <v>6666</v>
      </c>
      <c r="I1108" s="24">
        <v>5.0</v>
      </c>
      <c r="J1108" s="24">
        <v>0.0</v>
      </c>
    </row>
    <row r="1109">
      <c r="A1109" s="24">
        <v>1196.0</v>
      </c>
      <c r="B1109" s="24">
        <v>25.0</v>
      </c>
      <c r="C1109" s="44">
        <v>14.38</v>
      </c>
      <c r="D1109" s="46">
        <v>44744.0</v>
      </c>
      <c r="E1109" s="24">
        <v>0.58</v>
      </c>
      <c r="F1109" s="24">
        <v>12.02</v>
      </c>
      <c r="G1109" s="24">
        <v>2.09</v>
      </c>
      <c r="H1109" s="24" t="s">
        <v>6681</v>
      </c>
      <c r="I1109" s="24">
        <v>0.9</v>
      </c>
      <c r="J1109" s="24">
        <v>0.0</v>
      </c>
    </row>
    <row r="1110">
      <c r="A1110" s="24">
        <v>277.0</v>
      </c>
      <c r="B1110" s="24">
        <v>5.0</v>
      </c>
      <c r="C1110" s="44">
        <v>7.85</v>
      </c>
      <c r="D1110" s="46">
        <v>44744.0</v>
      </c>
      <c r="E1110" s="24">
        <v>1.57</v>
      </c>
      <c r="F1110" s="24">
        <v>28.34</v>
      </c>
      <c r="G1110" s="24">
        <v>1.81</v>
      </c>
      <c r="H1110" s="24" t="s">
        <v>6682</v>
      </c>
      <c r="I1110" s="24">
        <v>3.92</v>
      </c>
      <c r="J1110" s="24">
        <v>0.0</v>
      </c>
    </row>
    <row r="1111">
      <c r="A1111" s="24">
        <v>0.0</v>
      </c>
      <c r="B1111" s="24">
        <v>0.0</v>
      </c>
      <c r="C1111" s="44"/>
      <c r="D1111" s="46">
        <v>44744.0</v>
      </c>
      <c r="E1111" s="24" t="s">
        <v>6650</v>
      </c>
      <c r="F1111" s="24" t="s">
        <v>6650</v>
      </c>
      <c r="G1111" s="24" t="s">
        <v>6650</v>
      </c>
      <c r="H1111" s="24" t="s">
        <v>6662</v>
      </c>
      <c r="I1111" s="24" t="s">
        <v>6650</v>
      </c>
      <c r="J1111" s="24"/>
    </row>
    <row r="1112">
      <c r="A1112" s="24">
        <v>590.0</v>
      </c>
      <c r="B1112" s="24">
        <v>0.0</v>
      </c>
      <c r="C1112" s="44">
        <v>17.77</v>
      </c>
      <c r="D1112" s="46">
        <v>44744.0</v>
      </c>
      <c r="E1112" s="24" t="s">
        <v>6650</v>
      </c>
      <c r="F1112" s="24">
        <v>30.12</v>
      </c>
      <c r="G1112" s="24">
        <v>0.0</v>
      </c>
      <c r="H1112" s="24" t="s">
        <v>6675</v>
      </c>
      <c r="I1112" s="24">
        <v>8.88</v>
      </c>
      <c r="J1112" s="24">
        <v>0.0</v>
      </c>
    </row>
    <row r="1113">
      <c r="A1113" s="24">
        <v>630.0</v>
      </c>
      <c r="B1113" s="24">
        <v>8.0</v>
      </c>
      <c r="C1113" s="44">
        <v>24.09</v>
      </c>
      <c r="D1113" s="46">
        <v>44744.0</v>
      </c>
      <c r="E1113" s="24">
        <v>3.01</v>
      </c>
      <c r="F1113" s="24">
        <v>38.24</v>
      </c>
      <c r="G1113" s="24">
        <v>1.27</v>
      </c>
      <c r="H1113" s="24" t="s">
        <v>6665</v>
      </c>
      <c r="I1113" s="24">
        <v>8.03</v>
      </c>
      <c r="J1113" s="24">
        <v>0.0</v>
      </c>
    </row>
    <row r="1114">
      <c r="A1114" s="24">
        <v>708.0</v>
      </c>
      <c r="B1114" s="24">
        <v>12.0</v>
      </c>
      <c r="C1114" s="44">
        <v>17.78</v>
      </c>
      <c r="D1114" s="46">
        <v>44744.0</v>
      </c>
      <c r="E1114" s="24">
        <v>1.48</v>
      </c>
      <c r="F1114" s="24">
        <v>25.11</v>
      </c>
      <c r="G1114" s="24">
        <v>1.69</v>
      </c>
      <c r="H1114" s="24" t="s">
        <v>6670</v>
      </c>
      <c r="I1114" s="24">
        <v>2.22</v>
      </c>
      <c r="J1114" s="24">
        <v>0.0</v>
      </c>
    </row>
    <row r="1115">
      <c r="A1115" s="24">
        <v>595.0</v>
      </c>
      <c r="B1115" s="24">
        <v>0.0</v>
      </c>
      <c r="C1115" s="44">
        <v>24.68</v>
      </c>
      <c r="D1115" s="46">
        <v>44744.0</v>
      </c>
      <c r="E1115" s="24" t="s">
        <v>6650</v>
      </c>
      <c r="F1115" s="24">
        <v>41.48</v>
      </c>
      <c r="G1115" s="24">
        <v>0.0</v>
      </c>
      <c r="H1115" s="24" t="s">
        <v>6676</v>
      </c>
      <c r="I1115" s="24">
        <v>12.34</v>
      </c>
      <c r="J1115" s="24">
        <v>0.0</v>
      </c>
    </row>
    <row r="1116">
      <c r="A1116" s="24">
        <v>878.0</v>
      </c>
      <c r="B1116" s="24">
        <v>15.0</v>
      </c>
      <c r="C1116" s="44">
        <v>28.55</v>
      </c>
      <c r="D1116" s="46">
        <v>44744.0</v>
      </c>
      <c r="E1116" s="24">
        <v>1.9</v>
      </c>
      <c r="F1116" s="24">
        <v>32.52</v>
      </c>
      <c r="G1116" s="24">
        <v>1.71</v>
      </c>
      <c r="H1116" s="24" t="s">
        <v>6666</v>
      </c>
      <c r="I1116" s="24">
        <v>9.52</v>
      </c>
      <c r="J1116" s="24">
        <v>0.0</v>
      </c>
    </row>
    <row r="1117">
      <c r="A1117" s="24">
        <v>480.0</v>
      </c>
      <c r="B1117" s="24">
        <v>5.0</v>
      </c>
      <c r="C1117" s="44">
        <v>25.56</v>
      </c>
      <c r="D1117" s="46">
        <v>44744.0</v>
      </c>
      <c r="E1117" s="24">
        <v>5.11</v>
      </c>
      <c r="F1117" s="24">
        <v>53.25</v>
      </c>
      <c r="G1117" s="24">
        <v>1.04</v>
      </c>
      <c r="H1117" s="24" t="s">
        <v>6677</v>
      </c>
      <c r="I1117" s="24">
        <v>8.52</v>
      </c>
      <c r="J1117" s="24">
        <v>0.0</v>
      </c>
    </row>
    <row r="1118">
      <c r="A1118" s="24">
        <v>775.0</v>
      </c>
      <c r="B1118" s="24">
        <v>0.0</v>
      </c>
      <c r="C1118" s="44">
        <v>19.32</v>
      </c>
      <c r="D1118" s="46">
        <v>44744.0</v>
      </c>
      <c r="E1118" s="24" t="s">
        <v>6650</v>
      </c>
      <c r="F1118" s="24">
        <v>24.93</v>
      </c>
      <c r="G1118" s="24">
        <v>0.0</v>
      </c>
      <c r="H1118" s="24" t="s">
        <v>6673</v>
      </c>
      <c r="I1118" s="24">
        <v>19.32</v>
      </c>
      <c r="J1118" s="24">
        <v>0.0</v>
      </c>
    </row>
    <row r="1119">
      <c r="A1119" s="24">
        <v>134.0</v>
      </c>
      <c r="B1119" s="24">
        <v>0.0</v>
      </c>
      <c r="C1119" s="44">
        <v>8.35</v>
      </c>
      <c r="D1119" s="46">
        <v>44744.0</v>
      </c>
      <c r="E1119" s="24" t="s">
        <v>6650</v>
      </c>
      <c r="F1119" s="24">
        <v>62.31</v>
      </c>
      <c r="G1119" s="24">
        <v>0.0</v>
      </c>
      <c r="H1119" s="24" t="s">
        <v>6680</v>
      </c>
      <c r="I1119" s="24">
        <v>8.35</v>
      </c>
      <c r="J1119" s="24">
        <v>0.0</v>
      </c>
    </row>
    <row r="1120">
      <c r="A1120" s="24">
        <v>289.0</v>
      </c>
      <c r="B1120" s="24">
        <v>6.0</v>
      </c>
      <c r="C1120" s="44">
        <v>14.2</v>
      </c>
      <c r="D1120" s="46">
        <v>44744.0</v>
      </c>
      <c r="E1120" s="24">
        <v>2.37</v>
      </c>
      <c r="F1120" s="24">
        <v>49.13</v>
      </c>
      <c r="G1120" s="24">
        <v>2.08</v>
      </c>
      <c r="H1120" s="24" t="s">
        <v>6674</v>
      </c>
      <c r="I1120" s="24">
        <v>1.58</v>
      </c>
      <c r="J1120" s="24">
        <v>0.0</v>
      </c>
    </row>
    <row r="1121">
      <c r="A1121" s="24">
        <v>1275.0</v>
      </c>
      <c r="B1121" s="24">
        <v>10.0</v>
      </c>
      <c r="C1121" s="44">
        <v>21.81</v>
      </c>
      <c r="D1121" s="46">
        <v>44744.0</v>
      </c>
      <c r="E1121" s="24">
        <v>2.18</v>
      </c>
      <c r="F1121" s="24">
        <v>17.11</v>
      </c>
      <c r="G1121" s="24">
        <v>0.78</v>
      </c>
      <c r="H1121" s="24" t="s">
        <v>6669</v>
      </c>
      <c r="I1121" s="24">
        <v>21.81</v>
      </c>
      <c r="J1121" s="24">
        <v>0.0</v>
      </c>
    </row>
    <row r="1122">
      <c r="A1122" s="24">
        <v>1267.0</v>
      </c>
      <c r="B1122" s="24">
        <v>20.0</v>
      </c>
      <c r="C1122" s="44">
        <v>14.49</v>
      </c>
      <c r="D1122" s="46">
        <v>44745.0</v>
      </c>
      <c r="E1122" s="24">
        <v>0.72</v>
      </c>
      <c r="F1122" s="24">
        <v>11.44</v>
      </c>
      <c r="G1122" s="24">
        <v>1.58</v>
      </c>
      <c r="H1122" s="24" t="s">
        <v>6681</v>
      </c>
      <c r="I1122" s="24">
        <v>1.61</v>
      </c>
      <c r="J1122" s="24">
        <v>0.0</v>
      </c>
    </row>
    <row r="1123">
      <c r="A1123" s="24">
        <v>728.0</v>
      </c>
      <c r="B1123" s="24">
        <v>12.0</v>
      </c>
      <c r="C1123" s="44">
        <v>17.52</v>
      </c>
      <c r="D1123" s="46">
        <v>44745.0</v>
      </c>
      <c r="E1123" s="24">
        <v>1.46</v>
      </c>
      <c r="F1123" s="24">
        <v>24.07</v>
      </c>
      <c r="G1123" s="24">
        <v>1.65</v>
      </c>
      <c r="H1123" s="24" t="s">
        <v>6670</v>
      </c>
      <c r="I1123" s="24">
        <v>3.5</v>
      </c>
      <c r="J1123" s="24">
        <v>0.0</v>
      </c>
    </row>
    <row r="1124">
      <c r="A1124" s="24">
        <v>752.0</v>
      </c>
      <c r="B1124" s="24">
        <v>4.0</v>
      </c>
      <c r="C1124" s="44">
        <v>17.79</v>
      </c>
      <c r="D1124" s="46">
        <v>44745.0</v>
      </c>
      <c r="E1124" s="24">
        <v>4.45</v>
      </c>
      <c r="F1124" s="24">
        <v>23.66</v>
      </c>
      <c r="G1124" s="24">
        <v>0.53</v>
      </c>
      <c r="H1124" s="24" t="s">
        <v>6673</v>
      </c>
      <c r="I1124" s="24">
        <v>17.79</v>
      </c>
      <c r="J1124" s="24">
        <v>0.0</v>
      </c>
    </row>
    <row r="1125">
      <c r="A1125" s="24">
        <v>292.0</v>
      </c>
      <c r="B1125" s="24">
        <v>0.0</v>
      </c>
      <c r="C1125" s="44">
        <v>14.52</v>
      </c>
      <c r="D1125" s="46">
        <v>44745.0</v>
      </c>
      <c r="E1125" s="24" t="s">
        <v>6650</v>
      </c>
      <c r="F1125" s="24">
        <v>49.73</v>
      </c>
      <c r="G1125" s="24">
        <v>0.0</v>
      </c>
      <c r="H1125" s="24" t="s">
        <v>6674</v>
      </c>
      <c r="I1125" s="24">
        <v>7.26</v>
      </c>
      <c r="J1125" s="24">
        <v>0.0</v>
      </c>
    </row>
    <row r="1126">
      <c r="A1126" s="24">
        <v>428.0</v>
      </c>
      <c r="B1126" s="24">
        <v>7.0</v>
      </c>
      <c r="C1126" s="44">
        <v>24.1</v>
      </c>
      <c r="D1126" s="46">
        <v>44745.0</v>
      </c>
      <c r="E1126" s="24">
        <v>3.44</v>
      </c>
      <c r="F1126" s="24">
        <v>56.31</v>
      </c>
      <c r="G1126" s="24">
        <v>1.64</v>
      </c>
      <c r="H1126" s="24" t="s">
        <v>6677</v>
      </c>
      <c r="I1126" s="24">
        <v>4.02</v>
      </c>
      <c r="J1126" s="24">
        <v>0.0</v>
      </c>
    </row>
    <row r="1127">
      <c r="A1127" s="24">
        <v>350.0</v>
      </c>
      <c r="B1127" s="24">
        <v>8.0</v>
      </c>
      <c r="C1127" s="44">
        <v>7.64</v>
      </c>
      <c r="D1127" s="46">
        <v>44745.0</v>
      </c>
      <c r="E1127" s="24">
        <v>0.96</v>
      </c>
      <c r="F1127" s="24">
        <v>21.83</v>
      </c>
      <c r="G1127" s="24">
        <v>2.29</v>
      </c>
      <c r="H1127" s="24" t="s">
        <v>6682</v>
      </c>
      <c r="I1127" s="24">
        <v>1.91</v>
      </c>
      <c r="J1127" s="24">
        <v>0.0</v>
      </c>
    </row>
    <row r="1128">
      <c r="A1128" s="24">
        <v>546.0</v>
      </c>
      <c r="B1128" s="24">
        <v>6.0</v>
      </c>
      <c r="C1128" s="44">
        <v>17.55</v>
      </c>
      <c r="D1128" s="46">
        <v>44745.0</v>
      </c>
      <c r="E1128" s="24">
        <v>2.92</v>
      </c>
      <c r="F1128" s="24">
        <v>32.14</v>
      </c>
      <c r="G1128" s="24">
        <v>1.1</v>
      </c>
      <c r="H1128" s="24" t="s">
        <v>6675</v>
      </c>
      <c r="I1128" s="24">
        <v>4.39</v>
      </c>
      <c r="J1128" s="24">
        <v>0.0</v>
      </c>
    </row>
    <row r="1129">
      <c r="A1129" s="24">
        <v>456.0</v>
      </c>
      <c r="B1129" s="24">
        <v>1.0</v>
      </c>
      <c r="C1129" s="44">
        <v>22.8</v>
      </c>
      <c r="D1129" s="46">
        <v>44745.0</v>
      </c>
      <c r="E1129" s="24">
        <v>22.8</v>
      </c>
      <c r="F1129" s="24">
        <v>50.0</v>
      </c>
      <c r="G1129" s="24">
        <v>0.22</v>
      </c>
      <c r="H1129" s="24" t="s">
        <v>6676</v>
      </c>
      <c r="I1129" s="24">
        <v>7.6</v>
      </c>
      <c r="J1129" s="24">
        <v>0.0</v>
      </c>
    </row>
    <row r="1130">
      <c r="A1130" s="24">
        <v>864.0</v>
      </c>
      <c r="B1130" s="24">
        <v>11.0</v>
      </c>
      <c r="C1130" s="44">
        <v>27.26</v>
      </c>
      <c r="D1130" s="46">
        <v>44745.0</v>
      </c>
      <c r="E1130" s="24">
        <v>2.48</v>
      </c>
      <c r="F1130" s="24">
        <v>31.55</v>
      </c>
      <c r="G1130" s="24">
        <v>1.27</v>
      </c>
      <c r="H1130" s="24" t="s">
        <v>6666</v>
      </c>
      <c r="I1130" s="24">
        <v>4.54</v>
      </c>
      <c r="J1130" s="24">
        <v>0.0</v>
      </c>
    </row>
    <row r="1131">
      <c r="A1131" s="24">
        <v>618.0</v>
      </c>
      <c r="B1131" s="24">
        <v>10.0</v>
      </c>
      <c r="C1131" s="44">
        <v>24.55</v>
      </c>
      <c r="D1131" s="46">
        <v>44745.0</v>
      </c>
      <c r="E1131" s="24">
        <v>2.46</v>
      </c>
      <c r="F1131" s="24">
        <v>39.72</v>
      </c>
      <c r="G1131" s="24">
        <v>1.62</v>
      </c>
      <c r="H1131" s="24" t="s">
        <v>6665</v>
      </c>
      <c r="I1131" s="24">
        <v>6.14</v>
      </c>
      <c r="J1131" s="24">
        <v>0.0</v>
      </c>
    </row>
    <row r="1132">
      <c r="A1132" s="24">
        <v>153.0</v>
      </c>
      <c r="B1132" s="24">
        <v>0.0</v>
      </c>
      <c r="C1132" s="44">
        <v>8.65</v>
      </c>
      <c r="D1132" s="46">
        <v>44745.0</v>
      </c>
      <c r="E1132" s="24" t="s">
        <v>6650</v>
      </c>
      <c r="F1132" s="24">
        <v>56.54</v>
      </c>
      <c r="G1132" s="24">
        <v>0.0</v>
      </c>
      <c r="H1132" s="24" t="s">
        <v>6680</v>
      </c>
      <c r="I1132" s="24">
        <v>2.88</v>
      </c>
      <c r="J1132" s="24">
        <v>0.0</v>
      </c>
    </row>
    <row r="1133">
      <c r="A1133" s="24">
        <v>1401.0</v>
      </c>
      <c r="B1133" s="24">
        <v>6.0</v>
      </c>
      <c r="C1133" s="44">
        <v>22.32</v>
      </c>
      <c r="D1133" s="46">
        <v>44745.0</v>
      </c>
      <c r="E1133" s="24">
        <v>3.72</v>
      </c>
      <c r="F1133" s="24">
        <v>15.93</v>
      </c>
      <c r="G1133" s="24">
        <v>0.43</v>
      </c>
      <c r="H1133" s="24" t="s">
        <v>6669</v>
      </c>
      <c r="I1133" s="24">
        <v>22.32</v>
      </c>
      <c r="J1133" s="24">
        <v>0.0</v>
      </c>
    </row>
    <row r="1134">
      <c r="A1134" s="24">
        <v>513.0</v>
      </c>
      <c r="B1134" s="24">
        <v>3.0</v>
      </c>
      <c r="C1134" s="44">
        <v>17.2</v>
      </c>
      <c r="D1134" s="46">
        <v>44746.0</v>
      </c>
      <c r="E1134" s="24">
        <v>5.73</v>
      </c>
      <c r="F1134" s="24">
        <v>33.53</v>
      </c>
      <c r="G1134" s="24">
        <v>0.58</v>
      </c>
      <c r="H1134" s="24" t="s">
        <v>6682</v>
      </c>
      <c r="I1134" s="24" t="s">
        <v>6650</v>
      </c>
      <c r="J1134" s="24">
        <v>0.0</v>
      </c>
    </row>
    <row r="1135">
      <c r="A1135" s="24">
        <v>269.0</v>
      </c>
      <c r="B1135" s="24">
        <v>2.0</v>
      </c>
      <c r="C1135" s="44">
        <v>16.45</v>
      </c>
      <c r="D1135" s="46">
        <v>44746.0</v>
      </c>
      <c r="E1135" s="24">
        <v>8.22</v>
      </c>
      <c r="F1135" s="24">
        <v>61.15</v>
      </c>
      <c r="G1135" s="24">
        <v>0.74</v>
      </c>
      <c r="H1135" s="24" t="s">
        <v>6680</v>
      </c>
      <c r="I1135" s="24" t="s">
        <v>6650</v>
      </c>
      <c r="J1135" s="24">
        <v>0.0</v>
      </c>
    </row>
    <row r="1136">
      <c r="A1136" s="24">
        <v>2023.0</v>
      </c>
      <c r="B1136" s="24">
        <v>5.0</v>
      </c>
      <c r="C1136" s="44">
        <v>36.3</v>
      </c>
      <c r="D1136" s="46">
        <v>44746.0</v>
      </c>
      <c r="E1136" s="24">
        <v>7.26</v>
      </c>
      <c r="F1136" s="24">
        <v>17.94</v>
      </c>
      <c r="G1136" s="24">
        <v>0.25</v>
      </c>
      <c r="H1136" s="24" t="s">
        <v>6669</v>
      </c>
      <c r="I1136" s="24">
        <v>18.15</v>
      </c>
      <c r="J1136" s="24">
        <v>0.0</v>
      </c>
    </row>
    <row r="1137">
      <c r="A1137" s="24">
        <v>1460.0</v>
      </c>
      <c r="B1137" s="24">
        <v>31.0</v>
      </c>
      <c r="C1137" s="44">
        <v>36.92</v>
      </c>
      <c r="D1137" s="46">
        <v>44746.0</v>
      </c>
      <c r="E1137" s="24">
        <v>1.19</v>
      </c>
      <c r="F1137" s="24">
        <v>25.29</v>
      </c>
      <c r="G1137" s="24">
        <v>2.12</v>
      </c>
      <c r="H1137" s="24" t="s">
        <v>6670</v>
      </c>
      <c r="I1137" s="24">
        <v>5.27</v>
      </c>
      <c r="J1137" s="24">
        <v>0.0</v>
      </c>
    </row>
    <row r="1138">
      <c r="A1138" s="24">
        <v>566.0</v>
      </c>
      <c r="B1138" s="24">
        <v>3.0</v>
      </c>
      <c r="C1138" s="44">
        <v>27.31</v>
      </c>
      <c r="D1138" s="46">
        <v>44746.0</v>
      </c>
      <c r="E1138" s="24">
        <v>9.1</v>
      </c>
      <c r="F1138" s="24">
        <v>48.25</v>
      </c>
      <c r="G1138" s="24">
        <v>0.53</v>
      </c>
      <c r="H1138" s="24" t="s">
        <v>6674</v>
      </c>
      <c r="I1138" s="24">
        <v>13.66</v>
      </c>
      <c r="J1138" s="24">
        <v>0.0</v>
      </c>
    </row>
    <row r="1139">
      <c r="A1139" s="24">
        <v>1107.0</v>
      </c>
      <c r="B1139" s="24">
        <v>25.0</v>
      </c>
      <c r="C1139" s="44">
        <v>37.19</v>
      </c>
      <c r="D1139" s="46">
        <v>44746.0</v>
      </c>
      <c r="E1139" s="24">
        <v>1.49</v>
      </c>
      <c r="F1139" s="24">
        <v>33.6</v>
      </c>
      <c r="G1139" s="24">
        <v>2.26</v>
      </c>
      <c r="H1139" s="24" t="s">
        <v>6666</v>
      </c>
      <c r="I1139" s="24">
        <v>7.44</v>
      </c>
      <c r="J1139" s="24">
        <v>0.0</v>
      </c>
    </row>
    <row r="1140">
      <c r="A1140" s="24">
        <v>850.0</v>
      </c>
      <c r="B1140" s="24">
        <v>6.0</v>
      </c>
      <c r="C1140" s="44">
        <v>36.04</v>
      </c>
      <c r="D1140" s="46">
        <v>44746.0</v>
      </c>
      <c r="E1140" s="24">
        <v>6.01</v>
      </c>
      <c r="F1140" s="24">
        <v>42.4</v>
      </c>
      <c r="G1140" s="24">
        <v>0.71</v>
      </c>
      <c r="H1140" s="24" t="s">
        <v>6665</v>
      </c>
      <c r="I1140" s="24">
        <v>9.01</v>
      </c>
      <c r="J1140" s="24">
        <v>0.0</v>
      </c>
    </row>
    <row r="1141">
      <c r="A1141" s="24">
        <v>1262.0</v>
      </c>
      <c r="B1141" s="24">
        <v>9.0</v>
      </c>
      <c r="C1141" s="44">
        <v>36.97</v>
      </c>
      <c r="D1141" s="46">
        <v>44746.0</v>
      </c>
      <c r="E1141" s="24">
        <v>4.11</v>
      </c>
      <c r="F1141" s="24">
        <v>29.29</v>
      </c>
      <c r="G1141" s="24">
        <v>0.71</v>
      </c>
      <c r="H1141" s="24" t="s">
        <v>6675</v>
      </c>
      <c r="I1141" s="24" t="s">
        <v>6650</v>
      </c>
      <c r="J1141" s="24">
        <v>0.0</v>
      </c>
    </row>
    <row r="1142">
      <c r="A1142" s="24">
        <v>826.0</v>
      </c>
      <c r="B1142" s="24">
        <v>2.0</v>
      </c>
      <c r="C1142" s="44">
        <v>39.78</v>
      </c>
      <c r="D1142" s="46">
        <v>44746.0</v>
      </c>
      <c r="E1142" s="24">
        <v>19.89</v>
      </c>
      <c r="F1142" s="24">
        <v>48.16</v>
      </c>
      <c r="G1142" s="24">
        <v>0.24</v>
      </c>
      <c r="H1142" s="24" t="s">
        <v>6676</v>
      </c>
      <c r="I1142" s="24">
        <v>13.26</v>
      </c>
      <c r="J1142" s="24">
        <v>0.0</v>
      </c>
    </row>
    <row r="1143">
      <c r="A1143" s="24">
        <v>803.0</v>
      </c>
      <c r="B1143" s="24">
        <v>13.0</v>
      </c>
      <c r="C1143" s="44">
        <v>37.02</v>
      </c>
      <c r="D1143" s="46">
        <v>44746.0</v>
      </c>
      <c r="E1143" s="24">
        <v>2.85</v>
      </c>
      <c r="F1143" s="24">
        <v>46.1</v>
      </c>
      <c r="G1143" s="24">
        <v>1.62</v>
      </c>
      <c r="H1143" s="24" t="s">
        <v>6677</v>
      </c>
      <c r="I1143" s="24">
        <v>12.34</v>
      </c>
      <c r="J1143" s="24">
        <v>0.0</v>
      </c>
    </row>
    <row r="1144">
      <c r="A1144" s="24">
        <v>0.0</v>
      </c>
      <c r="B1144" s="24">
        <v>0.0</v>
      </c>
      <c r="C1144" s="44"/>
      <c r="D1144" s="46">
        <v>44746.0</v>
      </c>
      <c r="E1144" s="24" t="s">
        <v>6650</v>
      </c>
      <c r="F1144" s="24" t="s">
        <v>6650</v>
      </c>
      <c r="G1144" s="24" t="s">
        <v>6650</v>
      </c>
      <c r="H1144" s="24" t="s">
        <v>6671</v>
      </c>
      <c r="I1144" s="24" t="s">
        <v>6650</v>
      </c>
      <c r="J1144" s="24"/>
    </row>
    <row r="1145">
      <c r="A1145" s="24">
        <v>1314.0</v>
      </c>
      <c r="B1145" s="24">
        <v>3.0</v>
      </c>
      <c r="C1145" s="44">
        <v>40.42</v>
      </c>
      <c r="D1145" s="46">
        <v>44746.0</v>
      </c>
      <c r="E1145" s="24">
        <v>13.47</v>
      </c>
      <c r="F1145" s="24">
        <v>30.76</v>
      </c>
      <c r="G1145" s="24">
        <v>0.23</v>
      </c>
      <c r="H1145" s="24" t="s">
        <v>6673</v>
      </c>
      <c r="I1145" s="24">
        <v>20.21</v>
      </c>
      <c r="J1145" s="24">
        <v>0.0</v>
      </c>
    </row>
    <row r="1146">
      <c r="A1146" s="24">
        <v>2063.0</v>
      </c>
      <c r="B1146" s="24">
        <v>13.0</v>
      </c>
      <c r="C1146" s="44">
        <v>27.31</v>
      </c>
      <c r="D1146" s="46">
        <v>44746.0</v>
      </c>
      <c r="E1146" s="24">
        <v>2.1</v>
      </c>
      <c r="F1146" s="24">
        <v>13.24</v>
      </c>
      <c r="G1146" s="24">
        <v>0.63</v>
      </c>
      <c r="H1146" s="24" t="s">
        <v>6681</v>
      </c>
      <c r="I1146" s="24">
        <v>5.46</v>
      </c>
      <c r="J1146" s="24">
        <v>0.0</v>
      </c>
    </row>
    <row r="1147">
      <c r="A1147" s="24">
        <v>2212.0</v>
      </c>
      <c r="B1147" s="24">
        <v>18.0</v>
      </c>
      <c r="C1147" s="44">
        <v>30.28</v>
      </c>
      <c r="D1147" s="46">
        <v>44747.0</v>
      </c>
      <c r="E1147" s="24">
        <v>1.68</v>
      </c>
      <c r="F1147" s="24">
        <v>13.69</v>
      </c>
      <c r="G1147" s="24">
        <v>0.81</v>
      </c>
      <c r="H1147" s="24" t="s">
        <v>6681</v>
      </c>
      <c r="I1147" s="24">
        <v>2.16</v>
      </c>
      <c r="J1147" s="24">
        <v>0.0</v>
      </c>
    </row>
    <row r="1148">
      <c r="A1148" s="24">
        <v>0.0</v>
      </c>
      <c r="B1148" s="24">
        <v>0.0</v>
      </c>
      <c r="C1148" s="44"/>
      <c r="D1148" s="46">
        <v>44747.0</v>
      </c>
      <c r="E1148" s="24" t="s">
        <v>6650</v>
      </c>
      <c r="F1148" s="24" t="s">
        <v>6650</v>
      </c>
      <c r="G1148" s="24" t="s">
        <v>6650</v>
      </c>
      <c r="H1148" s="24" t="s">
        <v>6662</v>
      </c>
      <c r="I1148" s="24" t="s">
        <v>6650</v>
      </c>
      <c r="J1148" s="24"/>
    </row>
    <row r="1149">
      <c r="A1149" s="24">
        <v>609.0</v>
      </c>
      <c r="B1149" s="24">
        <v>6.0</v>
      </c>
      <c r="C1149" s="44">
        <v>18.83</v>
      </c>
      <c r="D1149" s="46">
        <v>44747.0</v>
      </c>
      <c r="E1149" s="24">
        <v>3.14</v>
      </c>
      <c r="F1149" s="24">
        <v>30.92</v>
      </c>
      <c r="G1149" s="24">
        <v>0.99</v>
      </c>
      <c r="H1149" s="24" t="s">
        <v>6682</v>
      </c>
      <c r="I1149" s="24">
        <v>4.71</v>
      </c>
      <c r="J1149" s="24">
        <v>0.0</v>
      </c>
    </row>
    <row r="1150">
      <c r="A1150" s="24">
        <v>1248.0</v>
      </c>
      <c r="B1150" s="24">
        <v>6.0</v>
      </c>
      <c r="C1150" s="44">
        <v>41.58</v>
      </c>
      <c r="D1150" s="46">
        <v>44747.0</v>
      </c>
      <c r="E1150" s="24">
        <v>6.93</v>
      </c>
      <c r="F1150" s="24">
        <v>33.32</v>
      </c>
      <c r="G1150" s="24">
        <v>0.48</v>
      </c>
      <c r="H1150" s="24" t="s">
        <v>6665</v>
      </c>
      <c r="I1150" s="24">
        <v>13.86</v>
      </c>
      <c r="J1150" s="24">
        <v>0.0</v>
      </c>
    </row>
    <row r="1151">
      <c r="A1151" s="24">
        <v>364.0</v>
      </c>
      <c r="B1151" s="24">
        <v>2.0</v>
      </c>
      <c r="C1151" s="44">
        <v>17.77</v>
      </c>
      <c r="D1151" s="46">
        <v>44747.0</v>
      </c>
      <c r="E1151" s="24">
        <v>8.88</v>
      </c>
      <c r="F1151" s="24">
        <v>48.82</v>
      </c>
      <c r="G1151" s="24">
        <v>0.55</v>
      </c>
      <c r="H1151" s="24" t="s">
        <v>6680</v>
      </c>
      <c r="I1151" s="24">
        <v>17.77</v>
      </c>
      <c r="J1151" s="24">
        <v>0.0</v>
      </c>
    </row>
    <row r="1152">
      <c r="A1152" s="24">
        <v>1281.0</v>
      </c>
      <c r="B1152" s="24">
        <v>9.0</v>
      </c>
      <c r="C1152" s="44">
        <v>37.47</v>
      </c>
      <c r="D1152" s="46">
        <v>44747.0</v>
      </c>
      <c r="E1152" s="24">
        <v>4.16</v>
      </c>
      <c r="F1152" s="24">
        <v>29.25</v>
      </c>
      <c r="G1152" s="24">
        <v>0.7</v>
      </c>
      <c r="H1152" s="24" t="s">
        <v>6675</v>
      </c>
      <c r="I1152" s="24">
        <v>18.74</v>
      </c>
      <c r="J1152" s="24">
        <v>0.0</v>
      </c>
    </row>
    <row r="1153">
      <c r="A1153" s="24">
        <v>1176.0</v>
      </c>
      <c r="B1153" s="24">
        <v>4.0</v>
      </c>
      <c r="C1153" s="44">
        <v>44.68</v>
      </c>
      <c r="D1153" s="46">
        <v>44747.0</v>
      </c>
      <c r="E1153" s="24">
        <v>11.17</v>
      </c>
      <c r="F1153" s="24">
        <v>37.99</v>
      </c>
      <c r="G1153" s="24">
        <v>0.34</v>
      </c>
      <c r="H1153" s="24" t="s">
        <v>6676</v>
      </c>
      <c r="I1153" s="24">
        <v>22.34</v>
      </c>
      <c r="J1153" s="24">
        <v>0.0</v>
      </c>
    </row>
    <row r="1154">
      <c r="A1154" s="24">
        <v>772.0</v>
      </c>
      <c r="B1154" s="24">
        <v>11.0</v>
      </c>
      <c r="C1154" s="44">
        <v>36.32</v>
      </c>
      <c r="D1154" s="46">
        <v>44747.0</v>
      </c>
      <c r="E1154" s="24">
        <v>3.3</v>
      </c>
      <c r="F1154" s="24">
        <v>47.05</v>
      </c>
      <c r="G1154" s="24">
        <v>1.42</v>
      </c>
      <c r="H1154" s="24" t="s">
        <v>6677</v>
      </c>
      <c r="I1154" s="24">
        <v>12.11</v>
      </c>
      <c r="J1154" s="24">
        <v>0.0</v>
      </c>
    </row>
    <row r="1155">
      <c r="A1155" s="24">
        <v>2899.0</v>
      </c>
      <c r="B1155" s="24">
        <v>13.0</v>
      </c>
      <c r="C1155" s="44">
        <v>40.98</v>
      </c>
      <c r="D1155" s="46">
        <v>44747.0</v>
      </c>
      <c r="E1155" s="24">
        <v>3.15</v>
      </c>
      <c r="F1155" s="24">
        <v>14.14</v>
      </c>
      <c r="G1155" s="24">
        <v>0.45</v>
      </c>
      <c r="H1155" s="24" t="s">
        <v>6669</v>
      </c>
      <c r="I1155" s="24">
        <v>8.2</v>
      </c>
      <c r="J1155" s="24">
        <v>0.0</v>
      </c>
    </row>
    <row r="1156">
      <c r="A1156" s="24">
        <v>1005.0</v>
      </c>
      <c r="B1156" s="24">
        <v>28.0</v>
      </c>
      <c r="C1156" s="44">
        <v>36.23</v>
      </c>
      <c r="D1156" s="46">
        <v>44747.0</v>
      </c>
      <c r="E1156" s="24">
        <v>1.29</v>
      </c>
      <c r="F1156" s="24">
        <v>36.05</v>
      </c>
      <c r="G1156" s="24">
        <v>2.79</v>
      </c>
      <c r="H1156" s="24" t="s">
        <v>6666</v>
      </c>
      <c r="I1156" s="24">
        <v>6.04</v>
      </c>
      <c r="J1156" s="24">
        <v>0.0</v>
      </c>
    </row>
    <row r="1157">
      <c r="A1157" s="24">
        <v>1480.0</v>
      </c>
      <c r="B1157" s="24">
        <v>19.0</v>
      </c>
      <c r="C1157" s="44">
        <v>37.22</v>
      </c>
      <c r="D1157" s="46">
        <v>44747.0</v>
      </c>
      <c r="E1157" s="24">
        <v>1.96</v>
      </c>
      <c r="F1157" s="24">
        <v>25.15</v>
      </c>
      <c r="G1157" s="24">
        <v>1.28</v>
      </c>
      <c r="H1157" s="24" t="s">
        <v>6670</v>
      </c>
      <c r="I1157" s="24">
        <v>18.61</v>
      </c>
      <c r="J1157" s="24">
        <v>0.0</v>
      </c>
    </row>
    <row r="1158">
      <c r="A1158" s="24">
        <v>0.0</v>
      </c>
      <c r="B1158" s="24">
        <v>0.0</v>
      </c>
      <c r="C1158" s="44"/>
      <c r="D1158" s="46">
        <v>44747.0</v>
      </c>
      <c r="E1158" s="24" t="s">
        <v>6650</v>
      </c>
      <c r="F1158" s="24" t="s">
        <v>6650</v>
      </c>
      <c r="G1158" s="24" t="s">
        <v>6650</v>
      </c>
      <c r="H1158" s="24" t="s">
        <v>6684</v>
      </c>
      <c r="I1158" s="24" t="s">
        <v>6650</v>
      </c>
      <c r="J1158" s="24"/>
    </row>
    <row r="1159">
      <c r="A1159" s="24">
        <v>0.0</v>
      </c>
      <c r="B1159" s="24">
        <v>0.0</v>
      </c>
      <c r="C1159" s="44"/>
      <c r="D1159" s="46">
        <v>44747.0</v>
      </c>
      <c r="E1159" s="24" t="s">
        <v>6650</v>
      </c>
      <c r="F1159" s="24" t="s">
        <v>6650</v>
      </c>
      <c r="G1159" s="24" t="s">
        <v>6650</v>
      </c>
      <c r="H1159" s="24" t="s">
        <v>6664</v>
      </c>
      <c r="I1159" s="24" t="s">
        <v>6650</v>
      </c>
      <c r="J1159" s="24"/>
    </row>
    <row r="1160">
      <c r="A1160" s="24">
        <v>586.0</v>
      </c>
      <c r="B1160" s="24">
        <v>6.0</v>
      </c>
      <c r="C1160" s="44">
        <v>30.31</v>
      </c>
      <c r="D1160" s="46">
        <v>44747.0</v>
      </c>
      <c r="E1160" s="24">
        <v>5.05</v>
      </c>
      <c r="F1160" s="24">
        <v>51.72</v>
      </c>
      <c r="G1160" s="24">
        <v>1.02</v>
      </c>
      <c r="H1160" s="24" t="s">
        <v>6674</v>
      </c>
      <c r="I1160" s="24">
        <v>3.79</v>
      </c>
      <c r="J1160" s="24">
        <v>0.0</v>
      </c>
    </row>
    <row r="1161">
      <c r="A1161" s="24">
        <v>2014.0</v>
      </c>
      <c r="B1161" s="24">
        <v>2.0</v>
      </c>
      <c r="C1161" s="44">
        <v>44.56</v>
      </c>
      <c r="D1161" s="46">
        <v>44747.0</v>
      </c>
      <c r="E1161" s="24">
        <v>22.28</v>
      </c>
      <c r="F1161" s="24">
        <v>22.13</v>
      </c>
      <c r="G1161" s="24">
        <v>0.1</v>
      </c>
      <c r="H1161" s="24" t="s">
        <v>6673</v>
      </c>
      <c r="I1161" s="24">
        <v>11.14</v>
      </c>
      <c r="J1161" s="24">
        <v>0.0</v>
      </c>
    </row>
    <row r="1162">
      <c r="A1162" s="24">
        <v>2802.0</v>
      </c>
      <c r="B1162" s="24">
        <v>12.0</v>
      </c>
      <c r="C1162" s="44">
        <v>42.88</v>
      </c>
      <c r="D1162" s="46">
        <v>44748.0</v>
      </c>
      <c r="E1162" s="24">
        <v>3.57</v>
      </c>
      <c r="F1162" s="24">
        <v>15.3</v>
      </c>
      <c r="G1162" s="24">
        <v>0.43</v>
      </c>
      <c r="H1162" s="24" t="s">
        <v>6669</v>
      </c>
      <c r="I1162" s="24">
        <v>14.29</v>
      </c>
      <c r="J1162" s="24">
        <v>0.0</v>
      </c>
    </row>
    <row r="1163">
      <c r="A1163" s="24">
        <v>652.0</v>
      </c>
      <c r="B1163" s="24">
        <v>4.0</v>
      </c>
      <c r="C1163" s="44">
        <v>30.73</v>
      </c>
      <c r="D1163" s="46">
        <v>44748.0</v>
      </c>
      <c r="E1163" s="24">
        <v>7.68</v>
      </c>
      <c r="F1163" s="24">
        <v>47.13</v>
      </c>
      <c r="G1163" s="24">
        <v>0.61</v>
      </c>
      <c r="H1163" s="24" t="s">
        <v>6674</v>
      </c>
      <c r="I1163" s="24">
        <v>3.84</v>
      </c>
      <c r="J1163" s="24">
        <v>0.0</v>
      </c>
    </row>
    <row r="1164">
      <c r="A1164" s="24">
        <v>1184.0</v>
      </c>
      <c r="B1164" s="24">
        <v>0.0</v>
      </c>
      <c r="C1164" s="44">
        <v>44.75</v>
      </c>
      <c r="D1164" s="46">
        <v>44748.0</v>
      </c>
      <c r="E1164" s="24" t="s">
        <v>6650</v>
      </c>
      <c r="F1164" s="24">
        <v>37.8</v>
      </c>
      <c r="G1164" s="24">
        <v>0.0</v>
      </c>
      <c r="H1164" s="24" t="s">
        <v>6676</v>
      </c>
      <c r="I1164" s="24">
        <v>22.38</v>
      </c>
      <c r="J1164" s="24">
        <v>0.0</v>
      </c>
    </row>
    <row r="1165">
      <c r="A1165" s="24">
        <v>2175.0</v>
      </c>
      <c r="B1165" s="24">
        <v>16.0</v>
      </c>
      <c r="C1165" s="44">
        <v>30.59</v>
      </c>
      <c r="D1165" s="46">
        <v>44748.0</v>
      </c>
      <c r="E1165" s="24">
        <v>1.91</v>
      </c>
      <c r="F1165" s="24">
        <v>14.06</v>
      </c>
      <c r="G1165" s="24">
        <v>0.74</v>
      </c>
      <c r="H1165" s="24" t="s">
        <v>6681</v>
      </c>
      <c r="I1165" s="24">
        <v>2.18</v>
      </c>
      <c r="J1165" s="24">
        <v>0.0</v>
      </c>
    </row>
    <row r="1166">
      <c r="A1166" s="24">
        <v>1455.0</v>
      </c>
      <c r="B1166" s="24">
        <v>29.0</v>
      </c>
      <c r="C1166" s="44">
        <v>37.54</v>
      </c>
      <c r="D1166" s="46">
        <v>44748.0</v>
      </c>
      <c r="E1166" s="24">
        <v>1.29</v>
      </c>
      <c r="F1166" s="24">
        <v>25.8</v>
      </c>
      <c r="G1166" s="24">
        <v>1.99</v>
      </c>
      <c r="H1166" s="24" t="s">
        <v>6670</v>
      </c>
      <c r="I1166" s="24">
        <v>4.17</v>
      </c>
      <c r="J1166" s="24">
        <v>0.0</v>
      </c>
    </row>
    <row r="1167">
      <c r="A1167" s="24">
        <v>707.0</v>
      </c>
      <c r="B1167" s="24">
        <v>7.0</v>
      </c>
      <c r="C1167" s="44">
        <v>18.71</v>
      </c>
      <c r="D1167" s="46">
        <v>44748.0</v>
      </c>
      <c r="E1167" s="24">
        <v>2.67</v>
      </c>
      <c r="F1167" s="24">
        <v>26.46</v>
      </c>
      <c r="G1167" s="24">
        <v>0.99</v>
      </c>
      <c r="H1167" s="24" t="s">
        <v>6682</v>
      </c>
      <c r="I1167" s="24">
        <v>3.74</v>
      </c>
      <c r="J1167" s="24">
        <v>0.0</v>
      </c>
    </row>
    <row r="1168">
      <c r="A1168" s="24">
        <v>386.0</v>
      </c>
      <c r="B1168" s="24">
        <v>1.0</v>
      </c>
      <c r="C1168" s="44">
        <v>19.19</v>
      </c>
      <c r="D1168" s="46">
        <v>44748.0</v>
      </c>
      <c r="E1168" s="24">
        <v>19.19</v>
      </c>
      <c r="F1168" s="24">
        <v>49.72</v>
      </c>
      <c r="G1168" s="24">
        <v>0.26</v>
      </c>
      <c r="H1168" s="24" t="s">
        <v>6680</v>
      </c>
      <c r="I1168" s="24">
        <v>6.4</v>
      </c>
      <c r="J1168" s="24">
        <v>0.0</v>
      </c>
    </row>
    <row r="1169">
      <c r="A1169" s="24">
        <v>1206.0</v>
      </c>
      <c r="B1169" s="24">
        <v>13.0</v>
      </c>
      <c r="C1169" s="44">
        <v>43.92</v>
      </c>
      <c r="D1169" s="46">
        <v>44748.0</v>
      </c>
      <c r="E1169" s="24">
        <v>3.38</v>
      </c>
      <c r="F1169" s="24">
        <v>36.42</v>
      </c>
      <c r="G1169" s="24">
        <v>1.08</v>
      </c>
      <c r="H1169" s="24" t="s">
        <v>6665</v>
      </c>
      <c r="I1169" s="24">
        <v>10.98</v>
      </c>
      <c r="J1169" s="24">
        <v>0.0</v>
      </c>
    </row>
    <row r="1170">
      <c r="A1170" s="24">
        <v>1738.0</v>
      </c>
      <c r="B1170" s="24">
        <v>0.0</v>
      </c>
      <c r="C1170" s="44">
        <v>44.63</v>
      </c>
      <c r="D1170" s="46">
        <v>44748.0</v>
      </c>
      <c r="E1170" s="24" t="s">
        <v>6650</v>
      </c>
      <c r="F1170" s="24">
        <v>25.68</v>
      </c>
      <c r="G1170" s="24">
        <v>0.0</v>
      </c>
      <c r="H1170" s="24" t="s">
        <v>6673</v>
      </c>
      <c r="I1170" s="24" t="s">
        <v>6650</v>
      </c>
      <c r="J1170" s="24">
        <v>0.0</v>
      </c>
    </row>
    <row r="1171">
      <c r="A1171" s="24">
        <v>1165.0</v>
      </c>
      <c r="B1171" s="24">
        <v>23.0</v>
      </c>
      <c r="C1171" s="44">
        <v>36.76</v>
      </c>
      <c r="D1171" s="46">
        <v>44748.0</v>
      </c>
      <c r="E1171" s="24">
        <v>1.6</v>
      </c>
      <c r="F1171" s="24">
        <v>31.55</v>
      </c>
      <c r="G1171" s="24">
        <v>1.97</v>
      </c>
      <c r="H1171" s="24" t="s">
        <v>6666</v>
      </c>
      <c r="I1171" s="24">
        <v>5.25</v>
      </c>
      <c r="J1171" s="24">
        <v>0.0</v>
      </c>
    </row>
    <row r="1172">
      <c r="A1172" s="24">
        <v>800.0</v>
      </c>
      <c r="B1172" s="24">
        <v>6.0</v>
      </c>
      <c r="C1172" s="44">
        <v>37.11</v>
      </c>
      <c r="D1172" s="46">
        <v>44748.0</v>
      </c>
      <c r="E1172" s="24">
        <v>6.18</v>
      </c>
      <c r="F1172" s="24">
        <v>46.39</v>
      </c>
      <c r="G1172" s="24">
        <v>0.75</v>
      </c>
      <c r="H1172" s="24" t="s">
        <v>6677</v>
      </c>
      <c r="I1172" s="24">
        <v>7.42</v>
      </c>
      <c r="J1172" s="24">
        <v>0.0</v>
      </c>
    </row>
    <row r="1173">
      <c r="A1173" s="24">
        <v>0.0</v>
      </c>
      <c r="B1173" s="24">
        <v>0.0</v>
      </c>
      <c r="C1173" s="44"/>
      <c r="D1173" s="46">
        <v>44748.0</v>
      </c>
      <c r="E1173" s="24" t="s">
        <v>6650</v>
      </c>
      <c r="F1173" s="24" t="s">
        <v>6650</v>
      </c>
      <c r="G1173" s="24" t="s">
        <v>6650</v>
      </c>
      <c r="H1173" s="24" t="s">
        <v>6678</v>
      </c>
      <c r="I1173" s="24" t="s">
        <v>6650</v>
      </c>
      <c r="J1173" s="24"/>
    </row>
    <row r="1174">
      <c r="A1174" s="24">
        <v>1420.0</v>
      </c>
      <c r="B1174" s="24">
        <v>11.0</v>
      </c>
      <c r="C1174" s="44">
        <v>37.42</v>
      </c>
      <c r="D1174" s="46">
        <v>44748.0</v>
      </c>
      <c r="E1174" s="24">
        <v>3.4</v>
      </c>
      <c r="F1174" s="24">
        <v>26.35</v>
      </c>
      <c r="G1174" s="24">
        <v>0.77</v>
      </c>
      <c r="H1174" s="24" t="s">
        <v>6675</v>
      </c>
      <c r="I1174" s="24">
        <v>5.35</v>
      </c>
      <c r="J1174" s="24">
        <v>0.0</v>
      </c>
    </row>
    <row r="1175">
      <c r="A1175" s="24">
        <v>492.0</v>
      </c>
      <c r="B1175" s="24">
        <v>2.0</v>
      </c>
      <c r="C1175" s="44">
        <v>18.58</v>
      </c>
      <c r="D1175" s="46">
        <v>44749.0</v>
      </c>
      <c r="E1175" s="24">
        <v>9.29</v>
      </c>
      <c r="F1175" s="24">
        <v>37.76</v>
      </c>
      <c r="G1175" s="24">
        <v>0.41</v>
      </c>
      <c r="H1175" s="24" t="s">
        <v>6682</v>
      </c>
      <c r="I1175" s="24">
        <v>9.29</v>
      </c>
      <c r="J1175" s="24">
        <v>0.0</v>
      </c>
    </row>
    <row r="1176">
      <c r="A1176" s="24">
        <v>563.0</v>
      </c>
      <c r="B1176" s="24">
        <v>7.0</v>
      </c>
      <c r="C1176" s="44">
        <v>29.68</v>
      </c>
      <c r="D1176" s="46">
        <v>44749.0</v>
      </c>
      <c r="E1176" s="24">
        <v>4.24</v>
      </c>
      <c r="F1176" s="24">
        <v>52.72</v>
      </c>
      <c r="G1176" s="24">
        <v>1.24</v>
      </c>
      <c r="H1176" s="24" t="s">
        <v>6674</v>
      </c>
      <c r="I1176" s="24">
        <v>7.42</v>
      </c>
      <c r="J1176" s="24">
        <v>0.0</v>
      </c>
    </row>
    <row r="1177">
      <c r="A1177" s="24">
        <v>1291.0</v>
      </c>
      <c r="B1177" s="24">
        <v>21.0</v>
      </c>
      <c r="C1177" s="44">
        <v>36.34</v>
      </c>
      <c r="D1177" s="46">
        <v>44749.0</v>
      </c>
      <c r="E1177" s="24">
        <v>1.73</v>
      </c>
      <c r="F1177" s="24">
        <v>28.15</v>
      </c>
      <c r="G1177" s="24">
        <v>1.63</v>
      </c>
      <c r="H1177" s="24" t="s">
        <v>6670</v>
      </c>
      <c r="I1177" s="24">
        <v>36.34</v>
      </c>
      <c r="J1177" s="24">
        <v>0.0</v>
      </c>
    </row>
    <row r="1178">
      <c r="A1178" s="24">
        <v>771.0</v>
      </c>
      <c r="B1178" s="24">
        <v>9.0</v>
      </c>
      <c r="C1178" s="44">
        <v>35.5</v>
      </c>
      <c r="D1178" s="46">
        <v>44749.0</v>
      </c>
      <c r="E1178" s="24">
        <v>3.94</v>
      </c>
      <c r="F1178" s="24">
        <v>46.04</v>
      </c>
      <c r="G1178" s="24">
        <v>1.17</v>
      </c>
      <c r="H1178" s="24" t="s">
        <v>6677</v>
      </c>
      <c r="I1178" s="24">
        <v>7.1</v>
      </c>
      <c r="J1178" s="24">
        <v>0.0</v>
      </c>
    </row>
    <row r="1179">
      <c r="A1179" s="24">
        <v>2410.0</v>
      </c>
      <c r="B1179" s="24">
        <v>15.0</v>
      </c>
      <c r="C1179" s="44">
        <v>29.62</v>
      </c>
      <c r="D1179" s="46">
        <v>44749.0</v>
      </c>
      <c r="E1179" s="24">
        <v>1.97</v>
      </c>
      <c r="F1179" s="24">
        <v>12.29</v>
      </c>
      <c r="G1179" s="24">
        <v>0.62</v>
      </c>
      <c r="H1179" s="24" t="s">
        <v>6681</v>
      </c>
      <c r="I1179" s="24">
        <v>4.94</v>
      </c>
      <c r="J1179" s="24">
        <v>0.0</v>
      </c>
    </row>
    <row r="1180">
      <c r="A1180" s="24">
        <v>1202.0</v>
      </c>
      <c r="B1180" s="24">
        <v>18.0</v>
      </c>
      <c r="C1180" s="44">
        <v>35.19</v>
      </c>
      <c r="D1180" s="46">
        <v>44749.0</v>
      </c>
      <c r="E1180" s="24">
        <v>1.95</v>
      </c>
      <c r="F1180" s="24">
        <v>29.28</v>
      </c>
      <c r="G1180" s="24">
        <v>1.5</v>
      </c>
      <c r="H1180" s="24" t="s">
        <v>6666</v>
      </c>
      <c r="I1180" s="24">
        <v>8.8</v>
      </c>
      <c r="J1180" s="24">
        <v>0.0</v>
      </c>
    </row>
    <row r="1181">
      <c r="A1181" s="24">
        <v>1691.0</v>
      </c>
      <c r="B1181" s="24">
        <v>3.0</v>
      </c>
      <c r="C1181" s="44">
        <v>43.44</v>
      </c>
      <c r="D1181" s="46">
        <v>44749.0</v>
      </c>
      <c r="E1181" s="24">
        <v>14.48</v>
      </c>
      <c r="F1181" s="24">
        <v>25.69</v>
      </c>
      <c r="G1181" s="24">
        <v>0.18</v>
      </c>
      <c r="H1181" s="24" t="s">
        <v>6673</v>
      </c>
      <c r="I1181" s="24">
        <v>10.86</v>
      </c>
      <c r="J1181" s="24">
        <v>0.0</v>
      </c>
    </row>
    <row r="1182">
      <c r="A1182" s="24">
        <v>1125.0</v>
      </c>
      <c r="B1182" s="24">
        <v>3.0</v>
      </c>
      <c r="C1182" s="44">
        <v>43.16</v>
      </c>
      <c r="D1182" s="46">
        <v>44749.0</v>
      </c>
      <c r="E1182" s="24">
        <v>14.39</v>
      </c>
      <c r="F1182" s="24">
        <v>38.36</v>
      </c>
      <c r="G1182" s="24">
        <v>0.27</v>
      </c>
      <c r="H1182" s="24" t="s">
        <v>6676</v>
      </c>
      <c r="I1182" s="24">
        <v>43.16</v>
      </c>
      <c r="J1182" s="24">
        <v>0.0</v>
      </c>
    </row>
    <row r="1183">
      <c r="A1183" s="24">
        <v>2587.0</v>
      </c>
      <c r="B1183" s="24">
        <v>10.0</v>
      </c>
      <c r="C1183" s="44">
        <v>42.36</v>
      </c>
      <c r="D1183" s="46">
        <v>44749.0</v>
      </c>
      <c r="E1183" s="24">
        <v>4.24</v>
      </c>
      <c r="F1183" s="24">
        <v>16.37</v>
      </c>
      <c r="G1183" s="24">
        <v>0.39</v>
      </c>
      <c r="H1183" s="24" t="s">
        <v>6669</v>
      </c>
      <c r="I1183" s="24">
        <v>8.47</v>
      </c>
      <c r="J1183" s="24">
        <v>0.0</v>
      </c>
    </row>
    <row r="1184">
      <c r="A1184" s="24">
        <v>377.0</v>
      </c>
      <c r="B1184" s="24">
        <v>2.0</v>
      </c>
      <c r="C1184" s="44">
        <v>19.1</v>
      </c>
      <c r="D1184" s="46">
        <v>44749.0</v>
      </c>
      <c r="E1184" s="24">
        <v>9.55</v>
      </c>
      <c r="F1184" s="24">
        <v>50.66</v>
      </c>
      <c r="G1184" s="24">
        <v>0.53</v>
      </c>
      <c r="H1184" s="24" t="s">
        <v>6680</v>
      </c>
      <c r="I1184" s="24">
        <v>19.1</v>
      </c>
      <c r="J1184" s="24">
        <v>0.0</v>
      </c>
    </row>
    <row r="1185">
      <c r="A1185" s="24">
        <v>1241.0</v>
      </c>
      <c r="B1185" s="24">
        <v>5.0</v>
      </c>
      <c r="C1185" s="44">
        <v>42.07</v>
      </c>
      <c r="D1185" s="46">
        <v>44749.0</v>
      </c>
      <c r="E1185" s="24">
        <v>8.41</v>
      </c>
      <c r="F1185" s="24">
        <v>33.9</v>
      </c>
      <c r="G1185" s="24">
        <v>0.4</v>
      </c>
      <c r="H1185" s="24" t="s">
        <v>6665</v>
      </c>
      <c r="I1185" s="24">
        <v>10.52</v>
      </c>
      <c r="J1185" s="24">
        <v>0.0</v>
      </c>
    </row>
    <row r="1186">
      <c r="A1186" s="24">
        <v>1222.0</v>
      </c>
      <c r="B1186" s="24">
        <v>7.0</v>
      </c>
      <c r="C1186" s="44">
        <v>36.29</v>
      </c>
      <c r="D1186" s="46">
        <v>44749.0</v>
      </c>
      <c r="E1186" s="24">
        <v>5.18</v>
      </c>
      <c r="F1186" s="24">
        <v>29.7</v>
      </c>
      <c r="G1186" s="24">
        <v>0.57</v>
      </c>
      <c r="H1186" s="24" t="s">
        <v>6675</v>
      </c>
      <c r="I1186" s="24">
        <v>36.29</v>
      </c>
      <c r="J1186" s="24">
        <v>0.0</v>
      </c>
    </row>
    <row r="1187">
      <c r="A1187" s="24">
        <v>573.0</v>
      </c>
      <c r="B1187" s="24">
        <v>5.0</v>
      </c>
      <c r="C1187" s="44">
        <v>16.75</v>
      </c>
      <c r="D1187" s="46">
        <v>44750.0</v>
      </c>
      <c r="E1187" s="24">
        <v>3.35</v>
      </c>
      <c r="F1187" s="24">
        <v>29.23</v>
      </c>
      <c r="G1187" s="24">
        <v>0.87</v>
      </c>
      <c r="H1187" s="24" t="s">
        <v>6682</v>
      </c>
      <c r="I1187" s="24">
        <v>5.58</v>
      </c>
      <c r="J1187" s="24">
        <v>0.0</v>
      </c>
    </row>
    <row r="1188">
      <c r="A1188" s="24">
        <v>705.0</v>
      </c>
      <c r="B1188" s="24">
        <v>9.0</v>
      </c>
      <c r="C1188" s="44">
        <v>23.71</v>
      </c>
      <c r="D1188" s="46">
        <v>44750.0</v>
      </c>
      <c r="E1188" s="24">
        <v>2.63</v>
      </c>
      <c r="F1188" s="24">
        <v>33.63</v>
      </c>
      <c r="G1188" s="24">
        <v>1.28</v>
      </c>
      <c r="H1188" s="24" t="s">
        <v>6665</v>
      </c>
      <c r="I1188" s="24">
        <v>11.86</v>
      </c>
      <c r="J1188" s="24">
        <v>0.0</v>
      </c>
    </row>
    <row r="1189">
      <c r="A1189" s="24">
        <v>1601.0</v>
      </c>
      <c r="B1189" s="24">
        <v>0.0</v>
      </c>
      <c r="C1189" s="44">
        <v>37.56</v>
      </c>
      <c r="D1189" s="46">
        <v>44750.0</v>
      </c>
      <c r="E1189" s="24" t="s">
        <v>6650</v>
      </c>
      <c r="F1189" s="24">
        <v>23.46</v>
      </c>
      <c r="G1189" s="24">
        <v>0.0</v>
      </c>
      <c r="H1189" s="24" t="s">
        <v>6673</v>
      </c>
      <c r="I1189" s="24">
        <v>37.56</v>
      </c>
      <c r="J1189" s="24">
        <v>0.0</v>
      </c>
    </row>
    <row r="1190">
      <c r="A1190" s="24">
        <v>1047.0</v>
      </c>
      <c r="B1190" s="24">
        <v>26.0</v>
      </c>
      <c r="C1190" s="44">
        <v>31.85</v>
      </c>
      <c r="D1190" s="46">
        <v>44750.0</v>
      </c>
      <c r="E1190" s="24">
        <v>1.23</v>
      </c>
      <c r="F1190" s="24">
        <v>30.42</v>
      </c>
      <c r="G1190" s="24">
        <v>2.48</v>
      </c>
      <c r="H1190" s="24" t="s">
        <v>6670</v>
      </c>
      <c r="I1190" s="24">
        <v>5.31</v>
      </c>
      <c r="J1190" s="24">
        <v>0.0</v>
      </c>
    </row>
    <row r="1191">
      <c r="A1191" s="24">
        <v>323.0</v>
      </c>
      <c r="B1191" s="24">
        <v>2.0</v>
      </c>
      <c r="C1191" s="44">
        <v>17.28</v>
      </c>
      <c r="D1191" s="46">
        <v>44750.0</v>
      </c>
      <c r="E1191" s="24">
        <v>8.64</v>
      </c>
      <c r="F1191" s="24">
        <v>53.5</v>
      </c>
      <c r="G1191" s="24">
        <v>0.62</v>
      </c>
      <c r="H1191" s="24" t="s">
        <v>6680</v>
      </c>
      <c r="I1191" s="24">
        <v>8.64</v>
      </c>
      <c r="J1191" s="24">
        <v>0.0</v>
      </c>
    </row>
    <row r="1192">
      <c r="A1192" s="24">
        <v>657.0</v>
      </c>
      <c r="B1192" s="24">
        <v>12.0</v>
      </c>
      <c r="C1192" s="44">
        <v>32.62</v>
      </c>
      <c r="D1192" s="46">
        <v>44750.0</v>
      </c>
      <c r="E1192" s="24">
        <v>2.72</v>
      </c>
      <c r="F1192" s="24">
        <v>49.65</v>
      </c>
      <c r="G1192" s="24">
        <v>1.83</v>
      </c>
      <c r="H1192" s="24" t="s">
        <v>6677</v>
      </c>
      <c r="I1192" s="24" t="s">
        <v>6650</v>
      </c>
      <c r="J1192" s="24">
        <v>0.0</v>
      </c>
    </row>
    <row r="1193">
      <c r="A1193" s="24">
        <v>2267.0</v>
      </c>
      <c r="B1193" s="24">
        <v>5.0</v>
      </c>
      <c r="C1193" s="44">
        <v>38.75</v>
      </c>
      <c r="D1193" s="46">
        <v>44750.0</v>
      </c>
      <c r="E1193" s="24">
        <v>7.75</v>
      </c>
      <c r="F1193" s="24">
        <v>17.09</v>
      </c>
      <c r="G1193" s="24">
        <v>0.22</v>
      </c>
      <c r="H1193" s="24" t="s">
        <v>6669</v>
      </c>
      <c r="I1193" s="24">
        <v>38.75</v>
      </c>
      <c r="J1193" s="24">
        <v>0.0</v>
      </c>
    </row>
    <row r="1194">
      <c r="A1194" s="24">
        <v>1945.0</v>
      </c>
      <c r="B1194" s="24">
        <v>4.0</v>
      </c>
      <c r="C1194" s="44">
        <v>27.63</v>
      </c>
      <c r="D1194" s="46">
        <v>44750.0</v>
      </c>
      <c r="E1194" s="24">
        <v>6.91</v>
      </c>
      <c r="F1194" s="24">
        <v>14.21</v>
      </c>
      <c r="G1194" s="24">
        <v>0.21</v>
      </c>
      <c r="H1194" s="24" t="s">
        <v>6681</v>
      </c>
      <c r="I1194" s="24">
        <v>4.6</v>
      </c>
      <c r="J1194" s="24">
        <v>0.0</v>
      </c>
    </row>
    <row r="1195">
      <c r="A1195" s="24">
        <v>992.0</v>
      </c>
      <c r="B1195" s="24">
        <v>12.0</v>
      </c>
      <c r="C1195" s="44">
        <v>32.37</v>
      </c>
      <c r="D1195" s="46">
        <v>44750.0</v>
      </c>
      <c r="E1195" s="24">
        <v>2.7</v>
      </c>
      <c r="F1195" s="24">
        <v>32.63</v>
      </c>
      <c r="G1195" s="24">
        <v>1.21</v>
      </c>
      <c r="H1195" s="24" t="s">
        <v>6666</v>
      </c>
      <c r="I1195" s="24">
        <v>32.37</v>
      </c>
      <c r="J1195" s="24">
        <v>0.0</v>
      </c>
    </row>
    <row r="1196">
      <c r="A1196" s="24">
        <v>954.0</v>
      </c>
      <c r="B1196" s="24">
        <v>0.0</v>
      </c>
      <c r="C1196" s="44">
        <v>37.26</v>
      </c>
      <c r="D1196" s="46">
        <v>44750.0</v>
      </c>
      <c r="E1196" s="24" t="s">
        <v>6650</v>
      </c>
      <c r="F1196" s="24">
        <v>39.06</v>
      </c>
      <c r="G1196" s="24">
        <v>0.0</v>
      </c>
      <c r="H1196" s="24" t="s">
        <v>6676</v>
      </c>
      <c r="I1196" s="24">
        <v>37.26</v>
      </c>
      <c r="J1196" s="24">
        <v>0.0</v>
      </c>
    </row>
    <row r="1197">
      <c r="A1197" s="24">
        <v>1055.0</v>
      </c>
      <c r="B1197" s="24">
        <v>7.0</v>
      </c>
      <c r="C1197" s="44">
        <v>31.77</v>
      </c>
      <c r="D1197" s="46">
        <v>44750.0</v>
      </c>
      <c r="E1197" s="24">
        <v>4.54</v>
      </c>
      <c r="F1197" s="24">
        <v>30.11</v>
      </c>
      <c r="G1197" s="24">
        <v>0.66</v>
      </c>
      <c r="H1197" s="24" t="s">
        <v>6675</v>
      </c>
      <c r="I1197" s="24">
        <v>6.35</v>
      </c>
      <c r="J1197" s="24">
        <v>0.0</v>
      </c>
    </row>
    <row r="1198">
      <c r="A1198" s="24">
        <v>0.0</v>
      </c>
      <c r="B1198" s="24">
        <v>0.0</v>
      </c>
      <c r="C1198" s="44"/>
      <c r="D1198" s="46">
        <v>44750.0</v>
      </c>
      <c r="E1198" s="24" t="s">
        <v>6650</v>
      </c>
      <c r="F1198" s="24" t="s">
        <v>6650</v>
      </c>
      <c r="G1198" s="24" t="s">
        <v>6650</v>
      </c>
      <c r="H1198" s="24" t="s">
        <v>6684</v>
      </c>
      <c r="I1198" s="24" t="s">
        <v>6650</v>
      </c>
      <c r="J1198" s="24"/>
    </row>
    <row r="1199">
      <c r="A1199" s="24">
        <v>521.0</v>
      </c>
      <c r="B1199" s="24">
        <v>6.0</v>
      </c>
      <c r="C1199" s="44">
        <v>27.54</v>
      </c>
      <c r="D1199" s="46">
        <v>44750.0</v>
      </c>
      <c r="E1199" s="24">
        <v>4.59</v>
      </c>
      <c r="F1199" s="24">
        <v>52.86</v>
      </c>
      <c r="G1199" s="24">
        <v>1.15</v>
      </c>
      <c r="H1199" s="24" t="s">
        <v>6674</v>
      </c>
      <c r="I1199" s="24">
        <v>5.51</v>
      </c>
      <c r="J1199" s="24">
        <v>0.0</v>
      </c>
    </row>
    <row r="1200">
      <c r="A1200" s="24">
        <v>568.0</v>
      </c>
      <c r="B1200" s="24">
        <v>9.0</v>
      </c>
      <c r="C1200" s="44">
        <v>16.25</v>
      </c>
      <c r="D1200" s="46">
        <v>44751.0</v>
      </c>
      <c r="E1200" s="24">
        <v>1.81</v>
      </c>
      <c r="F1200" s="24">
        <v>28.61</v>
      </c>
      <c r="G1200" s="24">
        <v>1.58</v>
      </c>
      <c r="H1200" s="24" t="s">
        <v>6666</v>
      </c>
      <c r="I1200" s="24" t="s">
        <v>6650</v>
      </c>
      <c r="J1200" s="24">
        <v>0.0</v>
      </c>
    </row>
    <row r="1201">
      <c r="A1201" s="24">
        <v>335.0</v>
      </c>
      <c r="B1201" s="24">
        <v>2.0</v>
      </c>
      <c r="C1201" s="44">
        <v>14.03</v>
      </c>
      <c r="D1201" s="46">
        <v>44751.0</v>
      </c>
      <c r="E1201" s="24">
        <v>7.02</v>
      </c>
      <c r="F1201" s="24">
        <v>41.88</v>
      </c>
      <c r="G1201" s="24">
        <v>0.6</v>
      </c>
      <c r="H1201" s="24" t="s">
        <v>6674</v>
      </c>
      <c r="I1201" s="24" t="s">
        <v>6650</v>
      </c>
      <c r="J1201" s="24">
        <v>0.0</v>
      </c>
    </row>
    <row r="1202">
      <c r="A1202" s="24">
        <v>534.0</v>
      </c>
      <c r="B1202" s="24">
        <v>13.0</v>
      </c>
      <c r="C1202" s="44">
        <v>14.19</v>
      </c>
      <c r="D1202" s="46">
        <v>44751.0</v>
      </c>
      <c r="E1202" s="24">
        <v>1.09</v>
      </c>
      <c r="F1202" s="24">
        <v>26.57</v>
      </c>
      <c r="G1202" s="24">
        <v>2.43</v>
      </c>
      <c r="H1202" s="24" t="s">
        <v>6670</v>
      </c>
      <c r="I1202" s="24">
        <v>3.55</v>
      </c>
      <c r="J1202" s="24">
        <v>0.0</v>
      </c>
    </row>
    <row r="1203">
      <c r="A1203" s="24">
        <v>466.0</v>
      </c>
      <c r="B1203" s="24">
        <v>6.0</v>
      </c>
      <c r="C1203" s="44">
        <v>14.38</v>
      </c>
      <c r="D1203" s="46">
        <v>44751.0</v>
      </c>
      <c r="E1203" s="24">
        <v>2.4</v>
      </c>
      <c r="F1203" s="24">
        <v>30.86</v>
      </c>
      <c r="G1203" s="24">
        <v>1.29</v>
      </c>
      <c r="H1203" s="24" t="s">
        <v>6675</v>
      </c>
      <c r="I1203" s="24">
        <v>4.79</v>
      </c>
      <c r="J1203" s="24">
        <v>0.0</v>
      </c>
    </row>
    <row r="1204">
      <c r="A1204" s="24">
        <v>139.0</v>
      </c>
      <c r="B1204" s="24">
        <v>1.0</v>
      </c>
      <c r="C1204" s="44">
        <v>7.76</v>
      </c>
      <c r="D1204" s="46">
        <v>44751.0</v>
      </c>
      <c r="E1204" s="24">
        <v>7.76</v>
      </c>
      <c r="F1204" s="24">
        <v>55.83</v>
      </c>
      <c r="G1204" s="24">
        <v>0.72</v>
      </c>
      <c r="H1204" s="24" t="s">
        <v>6680</v>
      </c>
      <c r="I1204" s="24" t="s">
        <v>6650</v>
      </c>
      <c r="J1204" s="24">
        <v>0.0</v>
      </c>
    </row>
    <row r="1205">
      <c r="A1205" s="24">
        <v>393.0</v>
      </c>
      <c r="B1205" s="24">
        <v>2.0</v>
      </c>
      <c r="C1205" s="44">
        <v>17.46</v>
      </c>
      <c r="D1205" s="46">
        <v>44751.0</v>
      </c>
      <c r="E1205" s="24">
        <v>8.73</v>
      </c>
      <c r="F1205" s="24">
        <v>44.43</v>
      </c>
      <c r="G1205" s="24">
        <v>0.51</v>
      </c>
      <c r="H1205" s="24" t="s">
        <v>6676</v>
      </c>
      <c r="I1205" s="24">
        <v>8.73</v>
      </c>
      <c r="J1205" s="24">
        <v>0.0</v>
      </c>
    </row>
    <row r="1206">
      <c r="A1206" s="24">
        <v>1270.0</v>
      </c>
      <c r="B1206" s="24">
        <v>9.0</v>
      </c>
      <c r="C1206" s="44">
        <v>14.07</v>
      </c>
      <c r="D1206" s="46">
        <v>44751.0</v>
      </c>
      <c r="E1206" s="24">
        <v>1.56</v>
      </c>
      <c r="F1206" s="24">
        <v>11.08</v>
      </c>
      <c r="G1206" s="24">
        <v>0.71</v>
      </c>
      <c r="H1206" s="24" t="s">
        <v>6681</v>
      </c>
      <c r="I1206" s="24">
        <v>3.52</v>
      </c>
      <c r="J1206" s="24">
        <v>0.0</v>
      </c>
    </row>
    <row r="1207">
      <c r="A1207" s="24">
        <v>978.0</v>
      </c>
      <c r="B1207" s="24">
        <v>3.0</v>
      </c>
      <c r="C1207" s="44">
        <v>17.66</v>
      </c>
      <c r="D1207" s="46">
        <v>44751.0</v>
      </c>
      <c r="E1207" s="24">
        <v>5.89</v>
      </c>
      <c r="F1207" s="24">
        <v>18.06</v>
      </c>
      <c r="G1207" s="24">
        <v>0.31</v>
      </c>
      <c r="H1207" s="24" t="s">
        <v>6669</v>
      </c>
      <c r="I1207" s="24">
        <v>2.94</v>
      </c>
      <c r="J1207" s="24">
        <v>0.0</v>
      </c>
    </row>
    <row r="1208">
      <c r="A1208" s="24">
        <v>584.0</v>
      </c>
      <c r="B1208" s="24">
        <v>1.0</v>
      </c>
      <c r="C1208" s="44">
        <v>16.23</v>
      </c>
      <c r="D1208" s="46">
        <v>44751.0</v>
      </c>
      <c r="E1208" s="24">
        <v>16.23</v>
      </c>
      <c r="F1208" s="24">
        <v>27.79</v>
      </c>
      <c r="G1208" s="24">
        <v>0.17</v>
      </c>
      <c r="H1208" s="24" t="s">
        <v>6673</v>
      </c>
      <c r="I1208" s="24">
        <v>5.41</v>
      </c>
      <c r="J1208" s="24">
        <v>0.0</v>
      </c>
    </row>
    <row r="1209">
      <c r="A1209" s="24">
        <v>340.0</v>
      </c>
      <c r="B1209" s="24">
        <v>3.0</v>
      </c>
      <c r="C1209" s="44">
        <v>15.82</v>
      </c>
      <c r="D1209" s="46">
        <v>44751.0</v>
      </c>
      <c r="E1209" s="24">
        <v>5.27</v>
      </c>
      <c r="F1209" s="24">
        <v>46.53</v>
      </c>
      <c r="G1209" s="24">
        <v>0.88</v>
      </c>
      <c r="H1209" s="24" t="s">
        <v>6677</v>
      </c>
      <c r="I1209" s="24" t="s">
        <v>6650</v>
      </c>
      <c r="J1209" s="24">
        <v>0.0</v>
      </c>
    </row>
    <row r="1210">
      <c r="A1210" s="24">
        <v>450.0</v>
      </c>
      <c r="B1210" s="24">
        <v>6.0</v>
      </c>
      <c r="C1210" s="44">
        <v>20.76</v>
      </c>
      <c r="D1210" s="46">
        <v>44751.0</v>
      </c>
      <c r="E1210" s="24">
        <v>3.46</v>
      </c>
      <c r="F1210" s="24">
        <v>46.13</v>
      </c>
      <c r="G1210" s="24">
        <v>1.33</v>
      </c>
      <c r="H1210" s="24" t="s">
        <v>6665</v>
      </c>
      <c r="I1210" s="24">
        <v>20.76</v>
      </c>
      <c r="J1210" s="24">
        <v>0.0</v>
      </c>
    </row>
    <row r="1211">
      <c r="A1211" s="24">
        <v>0.0</v>
      </c>
      <c r="B1211" s="24">
        <v>0.0</v>
      </c>
      <c r="C1211" s="44"/>
      <c r="D1211" s="46">
        <v>44751.0</v>
      </c>
      <c r="E1211" s="24" t="s">
        <v>6650</v>
      </c>
      <c r="F1211" s="24" t="s">
        <v>6650</v>
      </c>
      <c r="G1211" s="24" t="s">
        <v>6650</v>
      </c>
      <c r="H1211" s="24" t="s">
        <v>6667</v>
      </c>
      <c r="I1211" s="24" t="s">
        <v>6650</v>
      </c>
      <c r="J1211" s="24"/>
    </row>
    <row r="1212">
      <c r="A1212" s="24">
        <v>247.0</v>
      </c>
      <c r="B1212" s="24">
        <v>1.0</v>
      </c>
      <c r="C1212" s="44">
        <v>7.59</v>
      </c>
      <c r="D1212" s="46">
        <v>44751.0</v>
      </c>
      <c r="E1212" s="24">
        <v>7.59</v>
      </c>
      <c r="F1212" s="24">
        <v>30.73</v>
      </c>
      <c r="G1212" s="24">
        <v>0.4</v>
      </c>
      <c r="H1212" s="24" t="s">
        <v>6682</v>
      </c>
      <c r="I1212" s="24" t="s">
        <v>6650</v>
      </c>
      <c r="J1212" s="24">
        <v>0.0</v>
      </c>
    </row>
    <row r="1213">
      <c r="A1213" s="24">
        <v>1410.0</v>
      </c>
      <c r="B1213" s="24">
        <v>16.0</v>
      </c>
      <c r="C1213" s="44">
        <v>14.05</v>
      </c>
      <c r="D1213" s="46">
        <v>44752.0</v>
      </c>
      <c r="E1213" s="24">
        <v>0.88</v>
      </c>
      <c r="F1213" s="24">
        <v>9.96</v>
      </c>
      <c r="G1213" s="24">
        <v>1.13</v>
      </c>
      <c r="H1213" s="24" t="s">
        <v>6681</v>
      </c>
      <c r="I1213" s="24">
        <v>1.76</v>
      </c>
      <c r="J1213" s="24">
        <v>0.0</v>
      </c>
    </row>
    <row r="1214">
      <c r="A1214" s="24">
        <v>296.0</v>
      </c>
      <c r="B1214" s="24">
        <v>6.0</v>
      </c>
      <c r="C1214" s="44">
        <v>13.88</v>
      </c>
      <c r="D1214" s="46">
        <v>44752.0</v>
      </c>
      <c r="E1214" s="24">
        <v>2.31</v>
      </c>
      <c r="F1214" s="24">
        <v>46.89</v>
      </c>
      <c r="G1214" s="24">
        <v>2.03</v>
      </c>
      <c r="H1214" s="24" t="s">
        <v>6674</v>
      </c>
      <c r="I1214" s="24">
        <v>2.31</v>
      </c>
      <c r="J1214" s="24">
        <v>0.0</v>
      </c>
    </row>
    <row r="1215">
      <c r="A1215" s="24">
        <v>337.0</v>
      </c>
      <c r="B1215" s="24">
        <v>3.0</v>
      </c>
      <c r="C1215" s="44">
        <v>7.34</v>
      </c>
      <c r="D1215" s="46">
        <v>44752.0</v>
      </c>
      <c r="E1215" s="24">
        <v>2.45</v>
      </c>
      <c r="F1215" s="24">
        <v>21.78</v>
      </c>
      <c r="G1215" s="24">
        <v>0.89</v>
      </c>
      <c r="H1215" s="24" t="s">
        <v>6682</v>
      </c>
      <c r="I1215" s="24">
        <v>7.34</v>
      </c>
      <c r="J1215" s="24">
        <v>0.0</v>
      </c>
    </row>
    <row r="1216">
      <c r="A1216" s="24">
        <v>154.0</v>
      </c>
      <c r="B1216" s="24">
        <v>1.0</v>
      </c>
      <c r="C1216" s="44">
        <v>7.34</v>
      </c>
      <c r="D1216" s="46">
        <v>44752.0</v>
      </c>
      <c r="E1216" s="24">
        <v>7.34</v>
      </c>
      <c r="F1216" s="24">
        <v>47.66</v>
      </c>
      <c r="G1216" s="24">
        <v>0.65</v>
      </c>
      <c r="H1216" s="24" t="s">
        <v>6680</v>
      </c>
      <c r="I1216" s="24">
        <v>7.34</v>
      </c>
      <c r="J1216" s="24">
        <v>0.0</v>
      </c>
    </row>
    <row r="1217">
      <c r="A1217" s="24">
        <v>0.0</v>
      </c>
      <c r="B1217" s="24">
        <v>0.0</v>
      </c>
      <c r="C1217" s="34"/>
      <c r="D1217" s="46">
        <v>44753.0</v>
      </c>
      <c r="E1217" s="24" t="s">
        <v>6650</v>
      </c>
      <c r="F1217" s="24" t="s">
        <v>6650</v>
      </c>
      <c r="G1217" s="24" t="s">
        <v>6650</v>
      </c>
      <c r="H1217" s="24" t="s">
        <v>6666</v>
      </c>
      <c r="I1217" s="24" t="s">
        <v>6650</v>
      </c>
      <c r="J1217" s="34"/>
    </row>
    <row r="1218">
      <c r="A1218" s="24">
        <v>2069.0</v>
      </c>
      <c r="B1218" s="24">
        <v>25.0</v>
      </c>
      <c r="C1218" s="44">
        <v>27.04</v>
      </c>
      <c r="D1218" s="46">
        <v>44753.0</v>
      </c>
      <c r="E1218" s="24">
        <v>1.08</v>
      </c>
      <c r="F1218" s="24">
        <v>13.07</v>
      </c>
      <c r="G1218" s="24">
        <v>1.21</v>
      </c>
      <c r="H1218" s="24" t="s">
        <v>6681</v>
      </c>
      <c r="I1218" s="24">
        <v>1.8</v>
      </c>
      <c r="J1218" s="24">
        <v>0.0</v>
      </c>
    </row>
    <row r="1219">
      <c r="A1219" s="24">
        <v>0.0</v>
      </c>
      <c r="B1219" s="24">
        <v>0.0</v>
      </c>
      <c r="C1219" s="44"/>
      <c r="D1219" s="46">
        <v>44753.0</v>
      </c>
      <c r="E1219" s="24" t="s">
        <v>6650</v>
      </c>
      <c r="F1219" s="24" t="s">
        <v>6650</v>
      </c>
      <c r="G1219" s="24" t="s">
        <v>6650</v>
      </c>
      <c r="H1219" s="24" t="s">
        <v>6678</v>
      </c>
      <c r="I1219" s="24" t="s">
        <v>6650</v>
      </c>
      <c r="J1219" s="24"/>
    </row>
    <row r="1220">
      <c r="A1220" s="24">
        <v>0.0</v>
      </c>
      <c r="B1220" s="24">
        <v>0.0</v>
      </c>
      <c r="C1220" s="44"/>
      <c r="D1220" s="46">
        <v>44753.0</v>
      </c>
      <c r="E1220" s="24" t="s">
        <v>6650</v>
      </c>
      <c r="F1220" s="24" t="s">
        <v>6650</v>
      </c>
      <c r="G1220" s="24" t="s">
        <v>6650</v>
      </c>
      <c r="H1220" s="24" t="s">
        <v>6665</v>
      </c>
      <c r="I1220" s="24" t="s">
        <v>6650</v>
      </c>
      <c r="J1220" s="24"/>
    </row>
    <row r="1221">
      <c r="A1221" s="24">
        <v>176.0</v>
      </c>
      <c r="B1221" s="24">
        <v>1.0</v>
      </c>
      <c r="C1221" s="44">
        <v>8.94</v>
      </c>
      <c r="D1221" s="46">
        <v>44753.0</v>
      </c>
      <c r="E1221" s="24">
        <v>8.94</v>
      </c>
      <c r="F1221" s="24">
        <v>50.8</v>
      </c>
      <c r="G1221" s="24">
        <v>0.57</v>
      </c>
      <c r="H1221" s="24" t="s">
        <v>6680</v>
      </c>
      <c r="I1221" s="24">
        <v>8.94</v>
      </c>
      <c r="J1221" s="24">
        <v>0.0</v>
      </c>
    </row>
    <row r="1222">
      <c r="A1222" s="24">
        <v>0.0</v>
      </c>
      <c r="B1222" s="24">
        <v>0.0</v>
      </c>
      <c r="C1222" s="44"/>
      <c r="D1222" s="46">
        <v>44753.0</v>
      </c>
      <c r="E1222" s="24" t="s">
        <v>6650</v>
      </c>
      <c r="F1222" s="24" t="s">
        <v>6650</v>
      </c>
      <c r="G1222" s="24" t="s">
        <v>6650</v>
      </c>
      <c r="H1222" s="24" t="s">
        <v>6684</v>
      </c>
      <c r="I1222" s="24" t="s">
        <v>6650</v>
      </c>
      <c r="J1222" s="24"/>
    </row>
    <row r="1223">
      <c r="A1223" s="24">
        <v>340.0</v>
      </c>
      <c r="B1223" s="24">
        <v>2.0</v>
      </c>
      <c r="C1223" s="44">
        <v>10.93</v>
      </c>
      <c r="D1223" s="46">
        <v>44753.0</v>
      </c>
      <c r="E1223" s="24">
        <v>5.46</v>
      </c>
      <c r="F1223" s="24">
        <v>32.15</v>
      </c>
      <c r="G1223" s="24">
        <v>0.59</v>
      </c>
      <c r="H1223" s="24" t="s">
        <v>6682</v>
      </c>
      <c r="I1223" s="24">
        <v>10.93</v>
      </c>
      <c r="J1223" s="24">
        <v>0.0</v>
      </c>
    </row>
    <row r="1224">
      <c r="A1224" s="24">
        <v>582.0</v>
      </c>
      <c r="B1224" s="24">
        <v>6.0</v>
      </c>
      <c r="C1224" s="44">
        <v>25.59</v>
      </c>
      <c r="D1224" s="46">
        <v>44753.0</v>
      </c>
      <c r="E1224" s="24">
        <v>4.26</v>
      </c>
      <c r="F1224" s="24">
        <v>43.97</v>
      </c>
      <c r="G1224" s="24">
        <v>1.03</v>
      </c>
      <c r="H1224" s="24" t="s">
        <v>6674</v>
      </c>
      <c r="I1224" s="24">
        <v>3.66</v>
      </c>
      <c r="J1224" s="24">
        <v>0.0</v>
      </c>
    </row>
    <row r="1225">
      <c r="A1225" s="24">
        <v>673.0</v>
      </c>
      <c r="B1225" s="24">
        <v>4.0</v>
      </c>
      <c r="C1225" s="44">
        <v>31.53</v>
      </c>
      <c r="D1225" s="46">
        <v>44754.0</v>
      </c>
      <c r="E1225" s="24">
        <v>7.88</v>
      </c>
      <c r="F1225" s="24">
        <v>46.85</v>
      </c>
      <c r="G1225" s="24">
        <v>0.59</v>
      </c>
      <c r="H1225" s="24" t="s">
        <v>6674</v>
      </c>
      <c r="I1225" s="24">
        <v>3.5</v>
      </c>
      <c r="J1225" s="24">
        <v>0.0</v>
      </c>
    </row>
    <row r="1226">
      <c r="A1226" s="24">
        <v>417.0</v>
      </c>
      <c r="B1226" s="24">
        <v>1.0</v>
      </c>
      <c r="C1226" s="44">
        <v>19.91</v>
      </c>
      <c r="D1226" s="46">
        <v>44754.0</v>
      </c>
      <c r="E1226" s="24">
        <v>19.91</v>
      </c>
      <c r="F1226" s="24">
        <v>47.75</v>
      </c>
      <c r="G1226" s="24">
        <v>0.24</v>
      </c>
      <c r="H1226" s="24" t="s">
        <v>6680</v>
      </c>
      <c r="I1226" s="24">
        <v>9.96</v>
      </c>
      <c r="J1226" s="24">
        <v>0.0</v>
      </c>
    </row>
    <row r="1227">
      <c r="A1227" s="24">
        <v>0.0</v>
      </c>
      <c r="B1227" s="24">
        <v>0.0</v>
      </c>
      <c r="C1227" s="44"/>
      <c r="D1227" s="46">
        <v>44754.0</v>
      </c>
      <c r="E1227" s="24" t="s">
        <v>6650</v>
      </c>
      <c r="F1227" s="24" t="s">
        <v>6650</v>
      </c>
      <c r="G1227" s="24" t="s">
        <v>6650</v>
      </c>
      <c r="H1227" s="24" t="s">
        <v>6676</v>
      </c>
      <c r="I1227" s="24" t="s">
        <v>6650</v>
      </c>
      <c r="J1227" s="24"/>
    </row>
    <row r="1228">
      <c r="A1228" s="24">
        <v>0.0</v>
      </c>
      <c r="B1228" s="24">
        <v>0.0</v>
      </c>
      <c r="C1228" s="44"/>
      <c r="D1228" s="46">
        <v>44754.0</v>
      </c>
      <c r="E1228" s="24" t="s">
        <v>6650</v>
      </c>
      <c r="F1228" s="24" t="s">
        <v>6650</v>
      </c>
      <c r="G1228" s="24" t="s">
        <v>6650</v>
      </c>
      <c r="H1228" s="24" t="s">
        <v>6666</v>
      </c>
      <c r="I1228" s="24" t="s">
        <v>6650</v>
      </c>
      <c r="J1228" s="24"/>
    </row>
    <row r="1229">
      <c r="A1229" s="24">
        <v>0.0</v>
      </c>
      <c r="B1229" s="24">
        <v>0.0</v>
      </c>
      <c r="C1229" s="44"/>
      <c r="D1229" s="46">
        <v>44754.0</v>
      </c>
      <c r="E1229" s="24" t="s">
        <v>6650</v>
      </c>
      <c r="F1229" s="24" t="s">
        <v>6650</v>
      </c>
      <c r="G1229" s="24" t="s">
        <v>6650</v>
      </c>
      <c r="H1229" s="24" t="s">
        <v>6677</v>
      </c>
      <c r="I1229" s="24" t="s">
        <v>6650</v>
      </c>
      <c r="J1229" s="24"/>
    </row>
    <row r="1230">
      <c r="A1230" s="24">
        <v>0.0</v>
      </c>
      <c r="B1230" s="24">
        <v>0.0</v>
      </c>
      <c r="C1230" s="44"/>
      <c r="D1230" s="46">
        <v>44754.0</v>
      </c>
      <c r="E1230" s="24" t="s">
        <v>6650</v>
      </c>
      <c r="F1230" s="24" t="s">
        <v>6650</v>
      </c>
      <c r="G1230" s="24" t="s">
        <v>6650</v>
      </c>
      <c r="H1230" s="24" t="s">
        <v>6665</v>
      </c>
      <c r="I1230" s="24" t="s">
        <v>6650</v>
      </c>
      <c r="J1230" s="24"/>
    </row>
    <row r="1231">
      <c r="A1231" s="24">
        <v>1988.0</v>
      </c>
      <c r="B1231" s="24">
        <v>17.0</v>
      </c>
      <c r="C1231" s="44">
        <v>31.14</v>
      </c>
      <c r="D1231" s="46">
        <v>44754.0</v>
      </c>
      <c r="E1231" s="24">
        <v>1.83</v>
      </c>
      <c r="F1231" s="24">
        <v>15.66</v>
      </c>
      <c r="G1231" s="24">
        <v>0.86</v>
      </c>
      <c r="H1231" s="24" t="s">
        <v>6681</v>
      </c>
      <c r="I1231" s="24">
        <v>1.95</v>
      </c>
      <c r="J1231" s="24">
        <v>0.0</v>
      </c>
    </row>
    <row r="1232">
      <c r="A1232" s="24">
        <v>1154.0</v>
      </c>
      <c r="B1232" s="24">
        <v>16.0</v>
      </c>
      <c r="C1232" s="44">
        <v>20.91</v>
      </c>
      <c r="D1232" s="46">
        <v>44754.0</v>
      </c>
      <c r="E1232" s="24">
        <v>1.31</v>
      </c>
      <c r="F1232" s="24">
        <v>18.12</v>
      </c>
      <c r="G1232" s="24">
        <v>1.39</v>
      </c>
      <c r="H1232" s="24" t="s">
        <v>6682</v>
      </c>
      <c r="I1232" s="24">
        <v>4.18</v>
      </c>
      <c r="J1232" s="24">
        <v>0.0</v>
      </c>
    </row>
    <row r="1233">
      <c r="A1233" s="24">
        <v>0.0</v>
      </c>
      <c r="B1233" s="24">
        <v>0.0</v>
      </c>
      <c r="C1233" s="44"/>
      <c r="D1233" s="46">
        <v>44755.0</v>
      </c>
      <c r="E1233" s="24" t="s">
        <v>6650</v>
      </c>
      <c r="F1233" s="24" t="s">
        <v>6650</v>
      </c>
      <c r="G1233" s="24" t="s">
        <v>6650</v>
      </c>
      <c r="H1233" s="24" t="s">
        <v>6676</v>
      </c>
      <c r="I1233" s="24" t="s">
        <v>6650</v>
      </c>
      <c r="J1233" s="24"/>
    </row>
    <row r="1234">
      <c r="A1234" s="24">
        <v>0.0</v>
      </c>
      <c r="B1234" s="24">
        <v>0.0</v>
      </c>
      <c r="C1234" s="44"/>
      <c r="D1234" s="46">
        <v>44755.0</v>
      </c>
      <c r="E1234" s="24" t="s">
        <v>6650</v>
      </c>
      <c r="F1234" s="24" t="s">
        <v>6650</v>
      </c>
      <c r="G1234" s="24" t="s">
        <v>6650</v>
      </c>
      <c r="H1234" s="24" t="s">
        <v>6670</v>
      </c>
      <c r="I1234" s="24" t="s">
        <v>6650</v>
      </c>
      <c r="J1234" s="24"/>
    </row>
    <row r="1235">
      <c r="A1235" s="24">
        <v>2252.0</v>
      </c>
      <c r="B1235" s="24">
        <v>15.0</v>
      </c>
      <c r="C1235" s="44">
        <v>32.31</v>
      </c>
      <c r="D1235" s="46">
        <v>44755.0</v>
      </c>
      <c r="E1235" s="24">
        <v>2.15</v>
      </c>
      <c r="F1235" s="24">
        <v>14.35</v>
      </c>
      <c r="G1235" s="24">
        <v>0.67</v>
      </c>
      <c r="H1235" s="24" t="s">
        <v>6681</v>
      </c>
      <c r="I1235" s="24">
        <v>1.8</v>
      </c>
      <c r="J1235" s="24">
        <v>0.0</v>
      </c>
    </row>
    <row r="1236">
      <c r="A1236" s="24">
        <v>0.0</v>
      </c>
      <c r="B1236" s="24">
        <v>0.0</v>
      </c>
      <c r="C1236" s="44"/>
      <c r="D1236" s="46">
        <v>44755.0</v>
      </c>
      <c r="E1236" s="24" t="s">
        <v>6650</v>
      </c>
      <c r="F1236" s="24" t="s">
        <v>6650</v>
      </c>
      <c r="G1236" s="24" t="s">
        <v>6650</v>
      </c>
      <c r="H1236" s="24" t="s">
        <v>6666</v>
      </c>
      <c r="I1236" s="24" t="s">
        <v>6650</v>
      </c>
      <c r="J1236" s="24"/>
    </row>
    <row r="1237">
      <c r="A1237" s="24">
        <v>355.0</v>
      </c>
      <c r="B1237" s="24">
        <v>2.0</v>
      </c>
      <c r="C1237" s="44">
        <v>22.5</v>
      </c>
      <c r="D1237" s="46">
        <v>44755.0</v>
      </c>
      <c r="E1237" s="24">
        <v>11.25</v>
      </c>
      <c r="F1237" s="24">
        <v>63.38</v>
      </c>
      <c r="G1237" s="24">
        <v>0.56</v>
      </c>
      <c r="H1237" s="24" t="s">
        <v>6680</v>
      </c>
      <c r="I1237" s="24">
        <v>7.5</v>
      </c>
      <c r="J1237" s="24">
        <v>0.0</v>
      </c>
    </row>
    <row r="1238">
      <c r="A1238" s="24">
        <v>0.0</v>
      </c>
      <c r="B1238" s="24">
        <v>0.0</v>
      </c>
      <c r="C1238" s="44"/>
      <c r="D1238" s="46">
        <v>44755.0</v>
      </c>
      <c r="E1238" s="24" t="s">
        <v>6650</v>
      </c>
      <c r="F1238" s="24" t="s">
        <v>6650</v>
      </c>
      <c r="G1238" s="24" t="s">
        <v>6650</v>
      </c>
      <c r="H1238" s="24" t="s">
        <v>6677</v>
      </c>
      <c r="I1238" s="24" t="s">
        <v>6650</v>
      </c>
      <c r="J1238" s="24"/>
    </row>
    <row r="1239">
      <c r="A1239" s="24">
        <v>859.0</v>
      </c>
      <c r="B1239" s="24">
        <v>12.0</v>
      </c>
      <c r="C1239" s="44">
        <v>21.27</v>
      </c>
      <c r="D1239" s="46">
        <v>44755.0</v>
      </c>
      <c r="E1239" s="24">
        <v>1.77</v>
      </c>
      <c r="F1239" s="24">
        <v>24.76</v>
      </c>
      <c r="G1239" s="24">
        <v>1.4</v>
      </c>
      <c r="H1239" s="24" t="s">
        <v>6682</v>
      </c>
      <c r="I1239" s="24">
        <v>5.32</v>
      </c>
      <c r="J1239" s="24">
        <v>0.0</v>
      </c>
    </row>
    <row r="1240">
      <c r="A1240" s="24">
        <v>0.0</v>
      </c>
      <c r="B1240" s="24">
        <v>0.0</v>
      </c>
      <c r="C1240" s="44"/>
      <c r="D1240" s="46">
        <v>44755.0</v>
      </c>
      <c r="E1240" s="24" t="s">
        <v>6650</v>
      </c>
      <c r="F1240" s="24" t="s">
        <v>6650</v>
      </c>
      <c r="G1240" s="24" t="s">
        <v>6650</v>
      </c>
      <c r="H1240" s="24" t="s">
        <v>6675</v>
      </c>
      <c r="I1240" s="24" t="s">
        <v>6650</v>
      </c>
      <c r="J1240" s="24"/>
    </row>
    <row r="1241">
      <c r="A1241" s="24">
        <v>0.0</v>
      </c>
      <c r="B1241" s="24">
        <v>0.0</v>
      </c>
      <c r="C1241" s="44"/>
      <c r="D1241" s="46">
        <v>44755.0</v>
      </c>
      <c r="E1241" s="24" t="s">
        <v>6650</v>
      </c>
      <c r="F1241" s="24" t="s">
        <v>6650</v>
      </c>
      <c r="G1241" s="24" t="s">
        <v>6650</v>
      </c>
      <c r="H1241" s="24" t="s">
        <v>6665</v>
      </c>
      <c r="I1241" s="24" t="s">
        <v>6650</v>
      </c>
      <c r="J1241" s="24"/>
    </row>
    <row r="1242">
      <c r="A1242" s="24">
        <v>610.0</v>
      </c>
      <c r="B1242" s="24">
        <v>2.0</v>
      </c>
      <c r="C1242" s="44">
        <v>32.58</v>
      </c>
      <c r="D1242" s="46">
        <v>44755.0</v>
      </c>
      <c r="E1242" s="24">
        <v>16.29</v>
      </c>
      <c r="F1242" s="24">
        <v>53.41</v>
      </c>
      <c r="G1242" s="24">
        <v>0.33</v>
      </c>
      <c r="H1242" s="24" t="s">
        <v>6674</v>
      </c>
      <c r="I1242" s="24">
        <v>4.07</v>
      </c>
      <c r="J1242" s="24">
        <v>0.0</v>
      </c>
    </row>
    <row r="1243">
      <c r="A1243" s="24">
        <v>0.0</v>
      </c>
      <c r="B1243" s="24">
        <v>0.0</v>
      </c>
      <c r="C1243" s="44"/>
      <c r="D1243" s="46">
        <v>44756.0</v>
      </c>
      <c r="E1243" s="24" t="s">
        <v>6650</v>
      </c>
      <c r="F1243" s="24" t="s">
        <v>6650</v>
      </c>
      <c r="G1243" s="24" t="s">
        <v>6650</v>
      </c>
      <c r="H1243" s="24" t="s">
        <v>6675</v>
      </c>
      <c r="I1243" s="24" t="s">
        <v>6650</v>
      </c>
      <c r="J1243" s="24"/>
    </row>
    <row r="1244">
      <c r="A1244" s="24">
        <v>815.0</v>
      </c>
      <c r="B1244" s="24">
        <v>6.0</v>
      </c>
      <c r="C1244" s="44">
        <v>31.17</v>
      </c>
      <c r="D1244" s="46">
        <v>44756.0</v>
      </c>
      <c r="E1244" s="24">
        <v>5.2</v>
      </c>
      <c r="F1244" s="24">
        <v>38.25</v>
      </c>
      <c r="G1244" s="24">
        <v>0.74</v>
      </c>
      <c r="H1244" s="24" t="s">
        <v>6674</v>
      </c>
      <c r="I1244" s="24">
        <v>15.58</v>
      </c>
      <c r="J1244" s="24">
        <v>0.0</v>
      </c>
    </row>
    <row r="1245">
      <c r="A1245" s="24">
        <v>2224.0</v>
      </c>
      <c r="B1245" s="24">
        <v>17.0</v>
      </c>
      <c r="C1245" s="44">
        <v>30.8</v>
      </c>
      <c r="D1245" s="46">
        <v>44756.0</v>
      </c>
      <c r="E1245" s="24">
        <v>1.81</v>
      </c>
      <c r="F1245" s="24">
        <v>13.85</v>
      </c>
      <c r="G1245" s="24">
        <v>0.76</v>
      </c>
      <c r="H1245" s="24" t="s">
        <v>6681</v>
      </c>
      <c r="I1245" s="24">
        <v>4.4</v>
      </c>
      <c r="J1245" s="24">
        <v>0.0</v>
      </c>
    </row>
    <row r="1246">
      <c r="A1246" s="24">
        <v>0.0</v>
      </c>
      <c r="B1246" s="24">
        <v>0.0</v>
      </c>
      <c r="C1246" s="44"/>
      <c r="D1246" s="46">
        <v>44756.0</v>
      </c>
      <c r="E1246" s="24" t="s">
        <v>6650</v>
      </c>
      <c r="F1246" s="24" t="s">
        <v>6650</v>
      </c>
      <c r="G1246" s="24" t="s">
        <v>6650</v>
      </c>
      <c r="H1246" s="24" t="s">
        <v>6669</v>
      </c>
      <c r="I1246" s="24" t="s">
        <v>6650</v>
      </c>
      <c r="J1246" s="24"/>
    </row>
    <row r="1247">
      <c r="A1247" s="24">
        <v>809.0</v>
      </c>
      <c r="B1247" s="24">
        <v>11.0</v>
      </c>
      <c r="C1247" s="44">
        <v>19.9</v>
      </c>
      <c r="D1247" s="46">
        <v>44756.0</v>
      </c>
      <c r="E1247" s="24">
        <v>1.81</v>
      </c>
      <c r="F1247" s="24">
        <v>24.6</v>
      </c>
      <c r="G1247" s="24">
        <v>1.36</v>
      </c>
      <c r="H1247" s="24" t="s">
        <v>6682</v>
      </c>
      <c r="I1247" s="24">
        <v>3.98</v>
      </c>
      <c r="J1247" s="24">
        <v>0.0</v>
      </c>
    </row>
    <row r="1248">
      <c r="A1248" s="24">
        <v>0.0</v>
      </c>
      <c r="B1248" s="24">
        <v>0.0</v>
      </c>
      <c r="C1248" s="44"/>
      <c r="D1248" s="46">
        <v>44756.0</v>
      </c>
      <c r="E1248" s="24" t="s">
        <v>6650</v>
      </c>
      <c r="F1248" s="24" t="s">
        <v>6650</v>
      </c>
      <c r="G1248" s="24" t="s">
        <v>6650</v>
      </c>
      <c r="H1248" s="24" t="s">
        <v>6666</v>
      </c>
      <c r="I1248" s="24" t="s">
        <v>6650</v>
      </c>
      <c r="J1248" s="24"/>
    </row>
    <row r="1249">
      <c r="A1249" s="24">
        <v>383.0</v>
      </c>
      <c r="B1249" s="24">
        <v>1.0</v>
      </c>
      <c r="C1249" s="44">
        <v>21.22</v>
      </c>
      <c r="D1249" s="46">
        <v>44756.0</v>
      </c>
      <c r="E1249" s="24">
        <v>21.22</v>
      </c>
      <c r="F1249" s="24">
        <v>55.4</v>
      </c>
      <c r="G1249" s="24">
        <v>0.26</v>
      </c>
      <c r="H1249" s="24" t="s">
        <v>6680</v>
      </c>
      <c r="I1249" s="24">
        <v>7.07</v>
      </c>
      <c r="J1249" s="24">
        <v>0.0</v>
      </c>
    </row>
    <row r="1250">
      <c r="A1250" s="24">
        <v>0.0</v>
      </c>
      <c r="B1250" s="24">
        <v>0.0</v>
      </c>
      <c r="C1250" s="34"/>
      <c r="D1250" s="46">
        <v>44756.0</v>
      </c>
      <c r="E1250" s="24" t="s">
        <v>6650</v>
      </c>
      <c r="F1250" s="24" t="s">
        <v>6650</v>
      </c>
      <c r="G1250" s="24" t="s">
        <v>6650</v>
      </c>
      <c r="H1250" s="24" t="s">
        <v>6677</v>
      </c>
      <c r="I1250" s="24" t="s">
        <v>6650</v>
      </c>
      <c r="J1250" s="34"/>
    </row>
    <row r="1251">
      <c r="A1251" s="24">
        <v>0.0</v>
      </c>
      <c r="B1251" s="24">
        <v>0.0</v>
      </c>
      <c r="C1251" s="44"/>
      <c r="D1251" s="46">
        <v>44757.0</v>
      </c>
      <c r="E1251" s="24" t="s">
        <v>6650</v>
      </c>
      <c r="F1251" s="24" t="s">
        <v>6650</v>
      </c>
      <c r="G1251" s="24" t="s">
        <v>6650</v>
      </c>
      <c r="H1251" s="24" t="s">
        <v>6666</v>
      </c>
      <c r="I1251" s="24" t="s">
        <v>6650</v>
      </c>
      <c r="J1251" s="24"/>
    </row>
    <row r="1252">
      <c r="A1252" s="24">
        <v>610.0</v>
      </c>
      <c r="B1252" s="24">
        <v>14.0</v>
      </c>
      <c r="C1252" s="44">
        <v>17.55</v>
      </c>
      <c r="D1252" s="46">
        <v>44757.0</v>
      </c>
      <c r="E1252" s="24">
        <v>1.25</v>
      </c>
      <c r="F1252" s="24">
        <v>28.77</v>
      </c>
      <c r="G1252" s="24">
        <v>2.3</v>
      </c>
      <c r="H1252" s="24" t="s">
        <v>6682</v>
      </c>
      <c r="I1252" s="24">
        <v>4.39</v>
      </c>
      <c r="J1252" s="24">
        <v>0.0</v>
      </c>
    </row>
    <row r="1253">
      <c r="A1253" s="24">
        <v>2300.0</v>
      </c>
      <c r="B1253" s="24">
        <v>17.0</v>
      </c>
      <c r="C1253" s="44">
        <v>27.23</v>
      </c>
      <c r="D1253" s="46">
        <v>44757.0</v>
      </c>
      <c r="E1253" s="24">
        <v>1.6</v>
      </c>
      <c r="F1253" s="24">
        <v>11.84</v>
      </c>
      <c r="G1253" s="24">
        <v>0.74</v>
      </c>
      <c r="H1253" s="24" t="s">
        <v>6681</v>
      </c>
      <c r="I1253" s="24">
        <v>1.3</v>
      </c>
      <c r="J1253" s="24">
        <v>0.0</v>
      </c>
    </row>
    <row r="1254">
      <c r="A1254" s="24">
        <v>373.0</v>
      </c>
      <c r="B1254" s="24">
        <v>3.0</v>
      </c>
      <c r="C1254" s="44">
        <v>17.25</v>
      </c>
      <c r="D1254" s="46">
        <v>44757.0</v>
      </c>
      <c r="E1254" s="24">
        <v>5.75</v>
      </c>
      <c r="F1254" s="24">
        <v>46.25</v>
      </c>
      <c r="G1254" s="24">
        <v>0.8</v>
      </c>
      <c r="H1254" s="24" t="s">
        <v>6680</v>
      </c>
      <c r="I1254" s="24">
        <v>8.62</v>
      </c>
      <c r="J1254" s="24">
        <v>0.0</v>
      </c>
    </row>
    <row r="1255">
      <c r="A1255" s="24">
        <v>515.0</v>
      </c>
      <c r="B1255" s="24">
        <v>3.0</v>
      </c>
      <c r="C1255" s="44">
        <v>27.41</v>
      </c>
      <c r="D1255" s="46">
        <v>44757.0</v>
      </c>
      <c r="E1255" s="24">
        <v>9.14</v>
      </c>
      <c r="F1255" s="24">
        <v>53.22</v>
      </c>
      <c r="G1255" s="24">
        <v>0.58</v>
      </c>
      <c r="H1255" s="24" t="s">
        <v>6674</v>
      </c>
      <c r="I1255" s="24">
        <v>3.05</v>
      </c>
      <c r="J1255" s="24">
        <v>0.0</v>
      </c>
    </row>
    <row r="1256">
      <c r="A1256" s="24">
        <v>344.0</v>
      </c>
      <c r="B1256" s="24">
        <v>6.0</v>
      </c>
      <c r="C1256" s="44">
        <v>7.64</v>
      </c>
      <c r="D1256" s="46">
        <v>44758.0</v>
      </c>
      <c r="E1256" s="24">
        <v>1.27</v>
      </c>
      <c r="F1256" s="24">
        <v>22.21</v>
      </c>
      <c r="G1256" s="24">
        <v>1.74</v>
      </c>
      <c r="H1256" s="24" t="s">
        <v>6682</v>
      </c>
      <c r="I1256" s="24">
        <v>3.82</v>
      </c>
      <c r="J1256" s="24">
        <v>0.0</v>
      </c>
    </row>
    <row r="1257">
      <c r="A1257" s="24">
        <v>112.0</v>
      </c>
      <c r="B1257" s="24">
        <v>2.0</v>
      </c>
      <c r="C1257" s="44">
        <v>7.96</v>
      </c>
      <c r="D1257" s="46">
        <v>44758.0</v>
      </c>
      <c r="E1257" s="24">
        <v>3.98</v>
      </c>
      <c r="F1257" s="24">
        <v>71.07</v>
      </c>
      <c r="G1257" s="24">
        <v>1.79</v>
      </c>
      <c r="H1257" s="24" t="s">
        <v>6680</v>
      </c>
      <c r="I1257" s="24">
        <v>3.98</v>
      </c>
      <c r="J1257" s="24">
        <v>0.0</v>
      </c>
    </row>
    <row r="1258">
      <c r="A1258" s="24">
        <v>1454.0</v>
      </c>
      <c r="B1258" s="24">
        <v>6.0</v>
      </c>
      <c r="C1258" s="44">
        <v>13.0</v>
      </c>
      <c r="D1258" s="46">
        <v>44758.0</v>
      </c>
      <c r="E1258" s="24">
        <v>2.17</v>
      </c>
      <c r="F1258" s="24">
        <v>8.94</v>
      </c>
      <c r="G1258" s="24">
        <v>0.41</v>
      </c>
      <c r="H1258" s="24" t="s">
        <v>6681</v>
      </c>
      <c r="I1258" s="24">
        <v>1.62</v>
      </c>
      <c r="J1258" s="24">
        <v>0.0</v>
      </c>
    </row>
    <row r="1259">
      <c r="A1259" s="24">
        <v>330.0</v>
      </c>
      <c r="B1259" s="24">
        <v>3.0</v>
      </c>
      <c r="C1259" s="44">
        <v>13.03</v>
      </c>
      <c r="D1259" s="46">
        <v>44758.0</v>
      </c>
      <c r="E1259" s="24">
        <v>4.34</v>
      </c>
      <c r="F1259" s="24">
        <v>39.48</v>
      </c>
      <c r="G1259" s="24">
        <v>0.91</v>
      </c>
      <c r="H1259" s="24" t="s">
        <v>6674</v>
      </c>
      <c r="I1259" s="24">
        <v>4.34</v>
      </c>
      <c r="J1259" s="24">
        <v>0.0</v>
      </c>
    </row>
    <row r="1260">
      <c r="A1260" s="24">
        <v>128.0</v>
      </c>
      <c r="B1260" s="24">
        <v>2.0</v>
      </c>
      <c r="C1260" s="44">
        <v>7.22</v>
      </c>
      <c r="D1260" s="46">
        <v>44759.0</v>
      </c>
      <c r="E1260" s="24">
        <v>3.61</v>
      </c>
      <c r="F1260" s="24">
        <v>56.41</v>
      </c>
      <c r="G1260" s="24">
        <v>1.56</v>
      </c>
      <c r="H1260" s="24" t="s">
        <v>6680</v>
      </c>
      <c r="I1260" s="24">
        <v>1.44</v>
      </c>
      <c r="J1260" s="24">
        <v>0.0</v>
      </c>
    </row>
    <row r="1261">
      <c r="A1261" s="24">
        <v>358.0</v>
      </c>
      <c r="B1261" s="24">
        <v>6.0</v>
      </c>
      <c r="C1261" s="44">
        <v>6.8</v>
      </c>
      <c r="D1261" s="46">
        <v>44759.0</v>
      </c>
      <c r="E1261" s="24">
        <v>1.13</v>
      </c>
      <c r="F1261" s="24">
        <v>18.99</v>
      </c>
      <c r="G1261" s="24">
        <v>1.68</v>
      </c>
      <c r="H1261" s="24" t="s">
        <v>6682</v>
      </c>
      <c r="I1261" s="24">
        <v>0.76</v>
      </c>
      <c r="J1261" s="24">
        <v>0.0</v>
      </c>
    </row>
    <row r="1262">
      <c r="A1262" s="24">
        <v>1327.0</v>
      </c>
      <c r="B1262" s="24">
        <v>10.0</v>
      </c>
      <c r="C1262" s="44">
        <v>12.84</v>
      </c>
      <c r="D1262" s="46">
        <v>44759.0</v>
      </c>
      <c r="E1262" s="24">
        <v>1.28</v>
      </c>
      <c r="F1262" s="24">
        <v>9.68</v>
      </c>
      <c r="G1262" s="24">
        <v>0.75</v>
      </c>
      <c r="H1262" s="24" t="s">
        <v>6681</v>
      </c>
      <c r="I1262" s="24">
        <v>1.83</v>
      </c>
      <c r="J1262" s="24">
        <v>0.0</v>
      </c>
    </row>
    <row r="1263">
      <c r="A1263" s="24">
        <v>315.0</v>
      </c>
      <c r="B1263" s="24">
        <v>2.0</v>
      </c>
      <c r="C1263" s="44">
        <v>13.24</v>
      </c>
      <c r="D1263" s="46">
        <v>44759.0</v>
      </c>
      <c r="E1263" s="24">
        <v>6.62</v>
      </c>
      <c r="F1263" s="24">
        <v>42.03</v>
      </c>
      <c r="G1263" s="24">
        <v>0.63</v>
      </c>
      <c r="H1263" s="24" t="s">
        <v>6674</v>
      </c>
      <c r="I1263" s="24">
        <v>3.31</v>
      </c>
      <c r="J1263" s="24">
        <v>0.0</v>
      </c>
    </row>
    <row r="1264">
      <c r="A1264" s="24">
        <v>399.0</v>
      </c>
      <c r="B1264" s="24">
        <v>3.0</v>
      </c>
      <c r="C1264" s="44">
        <v>16.68</v>
      </c>
      <c r="D1264" s="46">
        <v>44760.0</v>
      </c>
      <c r="E1264" s="24">
        <v>5.56</v>
      </c>
      <c r="F1264" s="24">
        <v>41.8</v>
      </c>
      <c r="G1264" s="24">
        <v>0.75</v>
      </c>
      <c r="H1264" s="24" t="s">
        <v>6680</v>
      </c>
      <c r="I1264" s="24">
        <v>16.68</v>
      </c>
      <c r="J1264" s="24">
        <v>0.0</v>
      </c>
    </row>
    <row r="1265">
      <c r="A1265" s="24">
        <v>790.0</v>
      </c>
      <c r="B1265" s="24">
        <v>4.0</v>
      </c>
      <c r="C1265" s="44">
        <v>25.99</v>
      </c>
      <c r="D1265" s="46">
        <v>44760.0</v>
      </c>
      <c r="E1265" s="24">
        <v>6.5</v>
      </c>
      <c r="F1265" s="24">
        <v>32.9</v>
      </c>
      <c r="G1265" s="24">
        <v>0.51</v>
      </c>
      <c r="H1265" s="24" t="s">
        <v>6674</v>
      </c>
      <c r="I1265" s="24">
        <v>5.2</v>
      </c>
      <c r="J1265" s="24">
        <v>0.0</v>
      </c>
    </row>
    <row r="1266">
      <c r="A1266" s="24">
        <v>783.0</v>
      </c>
      <c r="B1266" s="24">
        <v>4.0</v>
      </c>
      <c r="C1266" s="44">
        <v>16.93</v>
      </c>
      <c r="D1266" s="46">
        <v>44760.0</v>
      </c>
      <c r="E1266" s="24">
        <v>4.23</v>
      </c>
      <c r="F1266" s="24">
        <v>21.62</v>
      </c>
      <c r="G1266" s="24">
        <v>0.51</v>
      </c>
      <c r="H1266" s="24" t="s">
        <v>6682</v>
      </c>
      <c r="I1266" s="24">
        <v>8.46</v>
      </c>
      <c r="J1266" s="24">
        <v>0.0</v>
      </c>
    </row>
    <row r="1267">
      <c r="A1267" s="24">
        <v>0.0</v>
      </c>
      <c r="B1267" s="24">
        <v>0.0</v>
      </c>
      <c r="C1267" s="44"/>
      <c r="D1267" s="46">
        <v>44760.0</v>
      </c>
      <c r="E1267" s="24" t="s">
        <v>6650</v>
      </c>
      <c r="F1267" s="24" t="s">
        <v>6650</v>
      </c>
      <c r="G1267" s="24" t="s">
        <v>6650</v>
      </c>
      <c r="H1267" s="24" t="s">
        <v>6664</v>
      </c>
      <c r="I1267" s="24" t="s">
        <v>6650</v>
      </c>
      <c r="J1267" s="24"/>
    </row>
    <row r="1268">
      <c r="A1268" s="24">
        <v>1481.0</v>
      </c>
      <c r="B1268" s="24">
        <v>5.0</v>
      </c>
      <c r="C1268" s="44">
        <v>14.24</v>
      </c>
      <c r="D1268" s="46">
        <v>44760.0</v>
      </c>
      <c r="E1268" s="24">
        <v>2.85</v>
      </c>
      <c r="F1268" s="24">
        <v>9.62</v>
      </c>
      <c r="G1268" s="24">
        <v>0.34</v>
      </c>
      <c r="H1268" s="24" t="s">
        <v>6681</v>
      </c>
      <c r="I1268" s="24">
        <v>4.75</v>
      </c>
      <c r="J1268" s="24">
        <v>0.0</v>
      </c>
    </row>
    <row r="1269">
      <c r="A1269" s="24">
        <v>301.0</v>
      </c>
      <c r="B1269" s="24">
        <v>2.0</v>
      </c>
      <c r="C1269" s="44">
        <v>7.28</v>
      </c>
      <c r="D1269" s="46">
        <v>44761.0</v>
      </c>
      <c r="E1269" s="24">
        <v>3.64</v>
      </c>
      <c r="F1269" s="24">
        <v>24.19</v>
      </c>
      <c r="G1269" s="24">
        <v>0.66</v>
      </c>
      <c r="H1269" s="24" t="s">
        <v>6682</v>
      </c>
      <c r="I1269" s="24">
        <v>3.64</v>
      </c>
      <c r="J1269" s="24">
        <v>0.0</v>
      </c>
    </row>
    <row r="1270">
      <c r="A1270" s="24">
        <v>390.0</v>
      </c>
      <c r="B1270" s="24">
        <v>2.0</v>
      </c>
      <c r="C1270" s="44">
        <v>19.01</v>
      </c>
      <c r="D1270" s="46">
        <v>44761.0</v>
      </c>
      <c r="E1270" s="24">
        <v>9.51</v>
      </c>
      <c r="F1270" s="24">
        <v>48.74</v>
      </c>
      <c r="G1270" s="24">
        <v>0.51</v>
      </c>
      <c r="H1270" s="24" t="s">
        <v>6680</v>
      </c>
      <c r="I1270" s="24">
        <v>9.51</v>
      </c>
      <c r="J1270" s="24">
        <v>0.0</v>
      </c>
    </row>
    <row r="1271">
      <c r="A1271" s="24">
        <v>0.0</v>
      </c>
      <c r="B1271" s="24">
        <v>0.0</v>
      </c>
      <c r="C1271" s="44"/>
      <c r="D1271" s="46">
        <v>44761.0</v>
      </c>
      <c r="E1271" s="24" t="s">
        <v>6650</v>
      </c>
      <c r="F1271" s="24" t="s">
        <v>6650</v>
      </c>
      <c r="G1271" s="24" t="s">
        <v>6650</v>
      </c>
      <c r="H1271" s="24" t="s">
        <v>6681</v>
      </c>
      <c r="I1271" s="24" t="s">
        <v>6650</v>
      </c>
      <c r="J1271" s="24"/>
    </row>
    <row r="1272">
      <c r="A1272" s="24">
        <v>805.0</v>
      </c>
      <c r="B1272" s="24">
        <v>3.0</v>
      </c>
      <c r="C1272" s="44">
        <v>31.22</v>
      </c>
      <c r="D1272" s="46">
        <v>44761.0</v>
      </c>
      <c r="E1272" s="24">
        <v>10.41</v>
      </c>
      <c r="F1272" s="24">
        <v>38.78</v>
      </c>
      <c r="G1272" s="24">
        <v>0.37</v>
      </c>
      <c r="H1272" s="24" t="s">
        <v>6674</v>
      </c>
      <c r="I1272" s="24">
        <v>10.41</v>
      </c>
      <c r="J1272" s="24">
        <v>0.0</v>
      </c>
    </row>
    <row r="1273">
      <c r="A1273" s="24">
        <v>0.0</v>
      </c>
      <c r="B1273" s="24">
        <v>0.0</v>
      </c>
      <c r="C1273" s="44"/>
      <c r="D1273" s="46">
        <v>44762.0</v>
      </c>
      <c r="E1273" s="24" t="s">
        <v>6650</v>
      </c>
      <c r="F1273" s="24" t="s">
        <v>6650</v>
      </c>
      <c r="G1273" s="24" t="s">
        <v>6650</v>
      </c>
      <c r="H1273" s="24" t="s">
        <v>6681</v>
      </c>
      <c r="I1273" s="24" t="s">
        <v>6650</v>
      </c>
      <c r="J1273" s="24"/>
    </row>
    <row r="1274">
      <c r="A1274" s="24">
        <v>700.0</v>
      </c>
      <c r="B1274" s="24">
        <v>4.0</v>
      </c>
      <c r="C1274" s="44">
        <v>32.25</v>
      </c>
      <c r="D1274" s="46">
        <v>44762.0</v>
      </c>
      <c r="E1274" s="24">
        <v>8.06</v>
      </c>
      <c r="F1274" s="24">
        <v>46.07</v>
      </c>
      <c r="G1274" s="24">
        <v>0.57</v>
      </c>
      <c r="H1274" s="24" t="s">
        <v>6674</v>
      </c>
      <c r="I1274" s="24">
        <v>32.25</v>
      </c>
      <c r="J1274" s="24">
        <v>0.0</v>
      </c>
    </row>
    <row r="1275">
      <c r="A1275" s="24">
        <v>449.0</v>
      </c>
      <c r="B1275" s="24">
        <v>0.0</v>
      </c>
      <c r="C1275" s="44">
        <v>20.38</v>
      </c>
      <c r="D1275" s="46">
        <v>44762.0</v>
      </c>
      <c r="E1275" s="24" t="s">
        <v>6650</v>
      </c>
      <c r="F1275" s="24">
        <v>45.39</v>
      </c>
      <c r="G1275" s="24">
        <v>0.0</v>
      </c>
      <c r="H1275" s="24" t="s">
        <v>6680</v>
      </c>
      <c r="I1275" s="24" t="s">
        <v>6650</v>
      </c>
      <c r="J1275" s="24">
        <v>0.0</v>
      </c>
    </row>
    <row r="1276">
      <c r="A1276" s="24">
        <v>322.0</v>
      </c>
      <c r="B1276" s="24">
        <v>4.0</v>
      </c>
      <c r="C1276" s="44">
        <v>18.43</v>
      </c>
      <c r="D1276" s="46">
        <v>44763.0</v>
      </c>
      <c r="E1276" s="24">
        <v>4.61</v>
      </c>
      <c r="F1276" s="24">
        <v>57.24</v>
      </c>
      <c r="G1276" s="24">
        <v>1.24</v>
      </c>
      <c r="H1276" s="24" t="s">
        <v>6680</v>
      </c>
      <c r="I1276" s="24" t="s">
        <v>6650</v>
      </c>
      <c r="J1276" s="24">
        <v>0.0</v>
      </c>
    </row>
    <row r="1277">
      <c r="A1277" s="24">
        <v>719.0</v>
      </c>
      <c r="B1277" s="24">
        <v>7.0</v>
      </c>
      <c r="C1277" s="44">
        <v>31.29</v>
      </c>
      <c r="D1277" s="46">
        <v>44763.0</v>
      </c>
      <c r="E1277" s="24">
        <v>4.47</v>
      </c>
      <c r="F1277" s="24">
        <v>43.52</v>
      </c>
      <c r="G1277" s="24">
        <v>0.97</v>
      </c>
      <c r="H1277" s="24" t="s">
        <v>6674</v>
      </c>
      <c r="I1277" s="24">
        <v>10.43</v>
      </c>
      <c r="J1277" s="24">
        <v>0.0</v>
      </c>
    </row>
    <row r="1278">
      <c r="A1278" s="24">
        <v>0.0</v>
      </c>
      <c r="B1278" s="24">
        <v>0.0</v>
      </c>
      <c r="C1278" s="44"/>
      <c r="D1278" s="46">
        <v>44763.0</v>
      </c>
      <c r="E1278" s="24" t="s">
        <v>6650</v>
      </c>
      <c r="F1278" s="24" t="s">
        <v>6650</v>
      </c>
      <c r="G1278" s="24" t="s">
        <v>6650</v>
      </c>
      <c r="H1278" s="24" t="s">
        <v>6681</v>
      </c>
      <c r="I1278" s="24" t="s">
        <v>6650</v>
      </c>
      <c r="J1278" s="24"/>
    </row>
    <row r="1279">
      <c r="A1279" s="24">
        <v>0.0</v>
      </c>
      <c r="B1279" s="24">
        <v>0.0</v>
      </c>
      <c r="C1279" s="34"/>
      <c r="D1279" s="46">
        <v>44763.0</v>
      </c>
      <c r="E1279" s="24" t="s">
        <v>6650</v>
      </c>
      <c r="F1279" s="24" t="s">
        <v>6650</v>
      </c>
      <c r="G1279" s="24" t="s">
        <v>6650</v>
      </c>
      <c r="H1279" s="24" t="s">
        <v>6676</v>
      </c>
      <c r="I1279" s="24" t="s">
        <v>6650</v>
      </c>
      <c r="J1279" s="34"/>
    </row>
    <row r="1280">
      <c r="A1280" s="24">
        <v>665.0</v>
      </c>
      <c r="B1280" s="24">
        <v>3.0</v>
      </c>
      <c r="C1280" s="44">
        <v>27.82</v>
      </c>
      <c r="D1280" s="46">
        <v>44764.0</v>
      </c>
      <c r="E1280" s="24">
        <v>9.27</v>
      </c>
      <c r="F1280" s="24">
        <v>41.83</v>
      </c>
      <c r="G1280" s="24">
        <v>0.45</v>
      </c>
      <c r="H1280" s="24" t="s">
        <v>6674</v>
      </c>
      <c r="I1280" s="24">
        <v>27.82</v>
      </c>
      <c r="J1280" s="24">
        <v>0.0</v>
      </c>
    </row>
    <row r="1281">
      <c r="A1281" s="24">
        <v>0.0</v>
      </c>
      <c r="B1281" s="24">
        <v>0.0</v>
      </c>
      <c r="C1281" s="44"/>
      <c r="D1281" s="46">
        <v>44764.0</v>
      </c>
      <c r="E1281" s="24" t="s">
        <v>6650</v>
      </c>
      <c r="F1281" s="24" t="s">
        <v>6650</v>
      </c>
      <c r="G1281" s="24" t="s">
        <v>6650</v>
      </c>
      <c r="H1281" s="24" t="s">
        <v>6681</v>
      </c>
      <c r="I1281" s="24" t="s">
        <v>6650</v>
      </c>
      <c r="J1281" s="24"/>
    </row>
    <row r="1282">
      <c r="A1282" s="24">
        <v>320.0</v>
      </c>
      <c r="B1282" s="24">
        <v>4.0</v>
      </c>
      <c r="C1282" s="44">
        <v>16.85</v>
      </c>
      <c r="D1282" s="46">
        <v>44764.0</v>
      </c>
      <c r="E1282" s="24">
        <v>4.21</v>
      </c>
      <c r="F1282" s="24">
        <v>52.66</v>
      </c>
      <c r="G1282" s="24">
        <v>1.25</v>
      </c>
      <c r="H1282" s="24" t="s">
        <v>6680</v>
      </c>
      <c r="I1282" s="24">
        <v>5.62</v>
      </c>
      <c r="J1282" s="24">
        <v>0.0</v>
      </c>
    </row>
    <row r="1283">
      <c r="A1283" s="24">
        <v>0.0</v>
      </c>
      <c r="B1283" s="24">
        <v>0.0</v>
      </c>
      <c r="C1283" s="44"/>
      <c r="D1283" s="46">
        <v>44764.0</v>
      </c>
      <c r="E1283" s="24" t="s">
        <v>6650</v>
      </c>
      <c r="F1283" s="24" t="s">
        <v>6650</v>
      </c>
      <c r="G1283" s="24" t="s">
        <v>6650</v>
      </c>
      <c r="H1283" s="24" t="s">
        <v>6682</v>
      </c>
      <c r="I1283" s="24" t="s">
        <v>6650</v>
      </c>
      <c r="J1283" s="24"/>
    </row>
    <row r="1284">
      <c r="A1284" s="24">
        <v>184.0</v>
      </c>
      <c r="B1284" s="24">
        <v>2.0</v>
      </c>
      <c r="C1284" s="44">
        <v>7.07</v>
      </c>
      <c r="D1284" s="46">
        <v>44765.0</v>
      </c>
      <c r="E1284" s="24">
        <v>3.54</v>
      </c>
      <c r="F1284" s="24">
        <v>38.42</v>
      </c>
      <c r="G1284" s="24">
        <v>1.09</v>
      </c>
      <c r="H1284" s="24" t="s">
        <v>6680</v>
      </c>
      <c r="I1284" s="24">
        <v>7.07</v>
      </c>
      <c r="J1284" s="24">
        <v>0.0</v>
      </c>
    </row>
    <row r="1285">
      <c r="A1285" s="24">
        <v>353.0</v>
      </c>
      <c r="B1285" s="24">
        <v>4.0</v>
      </c>
      <c r="C1285" s="44">
        <v>13.06</v>
      </c>
      <c r="D1285" s="46">
        <v>44765.0</v>
      </c>
      <c r="E1285" s="24">
        <v>3.26</v>
      </c>
      <c r="F1285" s="24">
        <v>37.0</v>
      </c>
      <c r="G1285" s="24">
        <v>1.13</v>
      </c>
      <c r="H1285" s="24" t="s">
        <v>6674</v>
      </c>
      <c r="I1285" s="24">
        <v>6.53</v>
      </c>
      <c r="J1285" s="24">
        <v>0.0</v>
      </c>
    </row>
    <row r="1286">
      <c r="A1286" s="24">
        <v>0.0</v>
      </c>
      <c r="B1286" s="24">
        <v>0.0</v>
      </c>
      <c r="C1286" s="44"/>
      <c r="D1286" s="46">
        <v>44765.0</v>
      </c>
      <c r="E1286" s="24" t="s">
        <v>6650</v>
      </c>
      <c r="F1286" s="24" t="s">
        <v>6650</v>
      </c>
      <c r="G1286" s="24" t="s">
        <v>6650</v>
      </c>
      <c r="H1286" s="24" t="s">
        <v>6681</v>
      </c>
      <c r="I1286" s="24" t="s">
        <v>6650</v>
      </c>
      <c r="J1286" s="24"/>
    </row>
    <row r="1287">
      <c r="A1287" s="24">
        <v>0.0</v>
      </c>
      <c r="B1287" s="24">
        <v>0.0</v>
      </c>
      <c r="C1287" s="34"/>
      <c r="D1287" s="46">
        <v>44765.0</v>
      </c>
      <c r="E1287" s="24" t="s">
        <v>6650</v>
      </c>
      <c r="F1287" s="24" t="s">
        <v>6650</v>
      </c>
      <c r="G1287" s="24" t="s">
        <v>6650</v>
      </c>
      <c r="H1287" s="24" t="s">
        <v>6682</v>
      </c>
      <c r="I1287" s="24" t="s">
        <v>6650</v>
      </c>
      <c r="J1287" s="34"/>
    </row>
    <row r="1288">
      <c r="A1288" s="24">
        <v>402.0</v>
      </c>
      <c r="B1288" s="24">
        <v>2.0</v>
      </c>
      <c r="C1288" s="44">
        <v>12.79</v>
      </c>
      <c r="D1288" s="46">
        <v>44766.0</v>
      </c>
      <c r="E1288" s="24">
        <v>6.4</v>
      </c>
      <c r="F1288" s="24">
        <v>31.82</v>
      </c>
      <c r="G1288" s="24">
        <v>0.5</v>
      </c>
      <c r="H1288" s="24" t="s">
        <v>6674</v>
      </c>
      <c r="I1288" s="24" t="s">
        <v>6650</v>
      </c>
      <c r="J1288" s="24">
        <v>0.0</v>
      </c>
    </row>
    <row r="1289">
      <c r="A1289" s="24">
        <v>145.0</v>
      </c>
      <c r="B1289" s="24">
        <v>1.0</v>
      </c>
      <c r="C1289" s="44">
        <v>6.58</v>
      </c>
      <c r="D1289" s="46">
        <v>44766.0</v>
      </c>
      <c r="E1289" s="24">
        <v>6.58</v>
      </c>
      <c r="F1289" s="24">
        <v>45.38</v>
      </c>
      <c r="G1289" s="24">
        <v>0.69</v>
      </c>
      <c r="H1289" s="24" t="s">
        <v>6680</v>
      </c>
      <c r="I1289" s="24">
        <v>6.58</v>
      </c>
      <c r="J1289" s="24">
        <v>0.0</v>
      </c>
    </row>
    <row r="1290">
      <c r="A1290" s="24">
        <v>0.0</v>
      </c>
      <c r="B1290" s="24">
        <v>0.0</v>
      </c>
      <c r="C1290" s="44"/>
      <c r="D1290" s="46">
        <v>44766.0</v>
      </c>
      <c r="E1290" s="24" t="s">
        <v>6650</v>
      </c>
      <c r="F1290" s="24" t="s">
        <v>6650</v>
      </c>
      <c r="G1290" s="24" t="s">
        <v>6650</v>
      </c>
      <c r="H1290" s="24" t="s">
        <v>6682</v>
      </c>
      <c r="I1290" s="24" t="s">
        <v>6650</v>
      </c>
      <c r="J1290" s="24"/>
    </row>
    <row r="1291">
      <c r="A1291" s="24">
        <v>0.0</v>
      </c>
      <c r="B1291" s="24">
        <v>0.0</v>
      </c>
      <c r="C1291" s="44"/>
      <c r="D1291" s="46">
        <v>44767.0</v>
      </c>
      <c r="E1291" s="24" t="s">
        <v>6650</v>
      </c>
      <c r="F1291" s="24" t="s">
        <v>6650</v>
      </c>
      <c r="G1291" s="24" t="s">
        <v>6650</v>
      </c>
      <c r="H1291" s="24" t="s">
        <v>6682</v>
      </c>
      <c r="I1291" s="24" t="s">
        <v>6650</v>
      </c>
      <c r="J1291" s="24"/>
    </row>
    <row r="1292">
      <c r="A1292" s="24">
        <v>685.0</v>
      </c>
      <c r="B1292" s="24">
        <v>2.0</v>
      </c>
      <c r="C1292" s="44">
        <v>27.32</v>
      </c>
      <c r="D1292" s="46">
        <v>44767.0</v>
      </c>
      <c r="E1292" s="24">
        <v>13.66</v>
      </c>
      <c r="F1292" s="24">
        <v>39.88</v>
      </c>
      <c r="G1292" s="24">
        <v>0.29</v>
      </c>
      <c r="H1292" s="24" t="s">
        <v>6674</v>
      </c>
      <c r="I1292" s="24">
        <v>6.83</v>
      </c>
      <c r="J1292" s="24">
        <v>0.0</v>
      </c>
    </row>
    <row r="1293">
      <c r="A1293" s="24">
        <v>0.0</v>
      </c>
      <c r="B1293" s="24">
        <v>0.0</v>
      </c>
      <c r="C1293" s="44"/>
      <c r="D1293" s="46">
        <v>44767.0</v>
      </c>
      <c r="E1293" s="24" t="s">
        <v>6650</v>
      </c>
      <c r="F1293" s="24" t="s">
        <v>6650</v>
      </c>
      <c r="G1293" s="24" t="s">
        <v>6650</v>
      </c>
      <c r="H1293" s="24" t="s">
        <v>6675</v>
      </c>
      <c r="I1293" s="24" t="s">
        <v>6650</v>
      </c>
      <c r="J1293" s="24"/>
    </row>
    <row r="1294">
      <c r="A1294" s="24">
        <v>0.0</v>
      </c>
      <c r="B1294" s="24">
        <v>0.0</v>
      </c>
      <c r="C1294" s="44"/>
      <c r="D1294" s="46">
        <v>44767.0</v>
      </c>
      <c r="E1294" s="24" t="s">
        <v>6650</v>
      </c>
      <c r="F1294" s="24" t="s">
        <v>6650</v>
      </c>
      <c r="G1294" s="24" t="s">
        <v>6650</v>
      </c>
      <c r="H1294" s="24" t="s">
        <v>6670</v>
      </c>
      <c r="I1294" s="24" t="s">
        <v>6650</v>
      </c>
      <c r="J1294" s="24"/>
    </row>
    <row r="1295">
      <c r="A1295" s="24">
        <v>0.0</v>
      </c>
      <c r="B1295" s="24">
        <v>0.0</v>
      </c>
      <c r="C1295" s="44"/>
      <c r="D1295" s="46">
        <v>44767.0</v>
      </c>
      <c r="E1295" s="24" t="s">
        <v>6650</v>
      </c>
      <c r="F1295" s="24" t="s">
        <v>6650</v>
      </c>
      <c r="G1295" s="24" t="s">
        <v>6650</v>
      </c>
      <c r="H1295" s="24" t="s">
        <v>6681</v>
      </c>
      <c r="I1295" s="24" t="s">
        <v>6650</v>
      </c>
      <c r="J1295" s="24"/>
    </row>
    <row r="1296">
      <c r="A1296" s="24">
        <v>354.0</v>
      </c>
      <c r="B1296" s="24">
        <v>4.0</v>
      </c>
      <c r="C1296" s="44">
        <v>16.83</v>
      </c>
      <c r="D1296" s="46">
        <v>44767.0</v>
      </c>
      <c r="E1296" s="24">
        <v>4.21</v>
      </c>
      <c r="F1296" s="24">
        <v>47.54</v>
      </c>
      <c r="G1296" s="24">
        <v>1.13</v>
      </c>
      <c r="H1296" s="24" t="s">
        <v>6680</v>
      </c>
      <c r="I1296" s="24">
        <v>16.83</v>
      </c>
      <c r="J1296" s="24">
        <v>0.0</v>
      </c>
    </row>
    <row r="1297">
      <c r="A1297" s="24">
        <v>0.0</v>
      </c>
      <c r="B1297" s="24">
        <v>0.0</v>
      </c>
      <c r="C1297" s="44"/>
      <c r="D1297" s="46">
        <v>44768.0</v>
      </c>
      <c r="E1297" s="24" t="s">
        <v>6650</v>
      </c>
      <c r="F1297" s="24" t="s">
        <v>6650</v>
      </c>
      <c r="G1297" s="24" t="s">
        <v>6650</v>
      </c>
      <c r="H1297" s="24" t="s">
        <v>6666</v>
      </c>
      <c r="I1297" s="24" t="s">
        <v>6650</v>
      </c>
      <c r="J1297" s="24"/>
    </row>
    <row r="1298">
      <c r="A1298" s="24">
        <v>0.0</v>
      </c>
      <c r="B1298" s="24">
        <v>0.0</v>
      </c>
      <c r="C1298" s="44"/>
      <c r="D1298" s="46">
        <v>44768.0</v>
      </c>
      <c r="E1298" s="24" t="s">
        <v>6650</v>
      </c>
      <c r="F1298" s="24" t="s">
        <v>6650</v>
      </c>
      <c r="G1298" s="24" t="s">
        <v>6650</v>
      </c>
      <c r="H1298" s="24" t="s">
        <v>6677</v>
      </c>
      <c r="I1298" s="24" t="s">
        <v>6650</v>
      </c>
      <c r="J1298" s="24"/>
    </row>
    <row r="1299">
      <c r="A1299" s="24">
        <v>302.0</v>
      </c>
      <c r="B1299" s="24">
        <v>0.0</v>
      </c>
      <c r="C1299" s="44">
        <v>17.2</v>
      </c>
      <c r="D1299" s="46">
        <v>44768.0</v>
      </c>
      <c r="E1299" s="24" t="s">
        <v>6650</v>
      </c>
      <c r="F1299" s="24">
        <v>56.95</v>
      </c>
      <c r="G1299" s="24">
        <v>0.0</v>
      </c>
      <c r="H1299" s="24" t="s">
        <v>6680</v>
      </c>
      <c r="I1299" s="24" t="s">
        <v>6650</v>
      </c>
      <c r="J1299" s="24">
        <v>0.0</v>
      </c>
    </row>
    <row r="1300">
      <c r="A1300" s="24">
        <v>754.0</v>
      </c>
      <c r="B1300" s="24">
        <v>4.0</v>
      </c>
      <c r="C1300" s="44">
        <v>29.82</v>
      </c>
      <c r="D1300" s="46">
        <v>44768.0</v>
      </c>
      <c r="E1300" s="24">
        <v>7.46</v>
      </c>
      <c r="F1300" s="24">
        <v>39.55</v>
      </c>
      <c r="G1300" s="24">
        <v>0.53</v>
      </c>
      <c r="H1300" s="24" t="s">
        <v>6674</v>
      </c>
      <c r="I1300" s="24">
        <v>29.82</v>
      </c>
      <c r="J1300" s="24">
        <v>0.0</v>
      </c>
    </row>
    <row r="1301">
      <c r="A1301" s="24">
        <v>2972.0</v>
      </c>
      <c r="B1301" s="24">
        <v>4.0</v>
      </c>
      <c r="C1301" s="44">
        <v>34.47</v>
      </c>
      <c r="D1301" s="46">
        <v>44769.0</v>
      </c>
      <c r="E1301" s="24">
        <v>8.62</v>
      </c>
      <c r="F1301" s="24">
        <v>11.6</v>
      </c>
      <c r="G1301" s="24">
        <v>0.13</v>
      </c>
      <c r="H1301" s="24" t="s">
        <v>6673</v>
      </c>
      <c r="I1301" s="24" t="s">
        <v>6650</v>
      </c>
      <c r="J1301" s="24">
        <v>0.0</v>
      </c>
    </row>
    <row r="1302">
      <c r="A1302" s="24">
        <v>410.0</v>
      </c>
      <c r="B1302" s="24">
        <v>0.0</v>
      </c>
      <c r="C1302" s="44">
        <v>17.94</v>
      </c>
      <c r="D1302" s="46">
        <v>44769.0</v>
      </c>
      <c r="E1302" s="24" t="s">
        <v>6650</v>
      </c>
      <c r="F1302" s="24">
        <v>43.76</v>
      </c>
      <c r="G1302" s="24">
        <v>0.0</v>
      </c>
      <c r="H1302" s="24" t="s">
        <v>6680</v>
      </c>
      <c r="I1302" s="24" t="s">
        <v>6650</v>
      </c>
      <c r="J1302" s="24">
        <v>0.0</v>
      </c>
    </row>
    <row r="1303">
      <c r="A1303" s="24">
        <v>743.0</v>
      </c>
      <c r="B1303" s="24">
        <v>3.0</v>
      </c>
      <c r="C1303" s="44">
        <v>30.48</v>
      </c>
      <c r="D1303" s="46">
        <v>44769.0</v>
      </c>
      <c r="E1303" s="24">
        <v>10.16</v>
      </c>
      <c r="F1303" s="24">
        <v>41.02</v>
      </c>
      <c r="G1303" s="24">
        <v>0.4</v>
      </c>
      <c r="H1303" s="24" t="s">
        <v>6674</v>
      </c>
      <c r="I1303" s="24" t="s">
        <v>6650</v>
      </c>
      <c r="J1303" s="24">
        <v>0.0</v>
      </c>
    </row>
    <row r="1304">
      <c r="A1304" s="24">
        <v>13.0</v>
      </c>
      <c r="B1304" s="24">
        <v>0.0</v>
      </c>
      <c r="C1304" s="44">
        <v>0.18</v>
      </c>
      <c r="D1304" s="46">
        <v>44769.0</v>
      </c>
      <c r="E1304" s="24" t="s">
        <v>6650</v>
      </c>
      <c r="F1304" s="24">
        <v>13.85</v>
      </c>
      <c r="G1304" s="24">
        <v>0.0</v>
      </c>
      <c r="H1304" s="24" t="s">
        <v>6677</v>
      </c>
      <c r="I1304" s="24">
        <v>0.09</v>
      </c>
      <c r="J1304" s="24">
        <v>0.0</v>
      </c>
    </row>
    <row r="1305">
      <c r="A1305" s="24">
        <v>1184.0</v>
      </c>
      <c r="B1305" s="24">
        <v>3.0</v>
      </c>
      <c r="C1305" s="44">
        <v>35.29</v>
      </c>
      <c r="D1305" s="46">
        <v>44769.0</v>
      </c>
      <c r="E1305" s="24">
        <v>11.76</v>
      </c>
      <c r="F1305" s="24">
        <v>29.81</v>
      </c>
      <c r="G1305" s="24">
        <v>0.25</v>
      </c>
      <c r="H1305" s="24" t="s">
        <v>6676</v>
      </c>
      <c r="I1305" s="24" t="s">
        <v>6650</v>
      </c>
      <c r="J1305" s="24">
        <v>0.0</v>
      </c>
    </row>
    <row r="1306">
      <c r="A1306" s="24">
        <v>111.0</v>
      </c>
      <c r="B1306" s="24">
        <v>2.0</v>
      </c>
      <c r="C1306" s="44">
        <v>1.6</v>
      </c>
      <c r="D1306" s="46">
        <v>44769.0</v>
      </c>
      <c r="E1306" s="24">
        <v>0.8</v>
      </c>
      <c r="F1306" s="24">
        <v>14.41</v>
      </c>
      <c r="G1306" s="24">
        <v>1.8</v>
      </c>
      <c r="H1306" s="24" t="s">
        <v>6675</v>
      </c>
      <c r="I1306" s="24" t="s">
        <v>6650</v>
      </c>
      <c r="J1306" s="24">
        <v>0.0</v>
      </c>
    </row>
    <row r="1307">
      <c r="A1307" s="24">
        <v>0.0</v>
      </c>
      <c r="B1307" s="24">
        <v>0.0</v>
      </c>
      <c r="C1307" s="44"/>
      <c r="D1307" s="46">
        <v>44769.0</v>
      </c>
      <c r="E1307" s="24" t="s">
        <v>6650</v>
      </c>
      <c r="F1307" s="24" t="s">
        <v>6650</v>
      </c>
      <c r="G1307" s="24" t="s">
        <v>6650</v>
      </c>
      <c r="H1307" s="24" t="s">
        <v>6666</v>
      </c>
      <c r="I1307" s="24" t="s">
        <v>6650</v>
      </c>
      <c r="J1307" s="24"/>
    </row>
    <row r="1308">
      <c r="A1308" s="24">
        <v>2518.0</v>
      </c>
      <c r="B1308" s="24">
        <v>5.0</v>
      </c>
      <c r="C1308" s="44">
        <v>47.3</v>
      </c>
      <c r="D1308" s="46">
        <v>44770.0</v>
      </c>
      <c r="E1308" s="24">
        <v>9.46</v>
      </c>
      <c r="F1308" s="24">
        <v>18.78</v>
      </c>
      <c r="G1308" s="24">
        <v>0.2</v>
      </c>
      <c r="H1308" s="24" t="s">
        <v>6673</v>
      </c>
      <c r="I1308" s="24">
        <v>47.3</v>
      </c>
      <c r="J1308" s="24">
        <v>0.0</v>
      </c>
    </row>
    <row r="1309">
      <c r="A1309" s="24">
        <v>841.0</v>
      </c>
      <c r="B1309" s="24">
        <v>12.0</v>
      </c>
      <c r="C1309" s="44">
        <v>45.0</v>
      </c>
      <c r="D1309" s="46">
        <v>44770.0</v>
      </c>
      <c r="E1309" s="24">
        <v>3.75</v>
      </c>
      <c r="F1309" s="24">
        <v>53.51</v>
      </c>
      <c r="G1309" s="24">
        <v>1.43</v>
      </c>
      <c r="H1309" s="24" t="s">
        <v>6677</v>
      </c>
      <c r="I1309" s="24">
        <v>22.5</v>
      </c>
      <c r="J1309" s="24">
        <v>0.0</v>
      </c>
    </row>
    <row r="1310">
      <c r="A1310" s="24">
        <v>1283.0</v>
      </c>
      <c r="B1310" s="24">
        <v>4.0</v>
      </c>
      <c r="C1310" s="44">
        <v>47.4</v>
      </c>
      <c r="D1310" s="46">
        <v>44770.0</v>
      </c>
      <c r="E1310" s="24">
        <v>11.85</v>
      </c>
      <c r="F1310" s="24">
        <v>36.94</v>
      </c>
      <c r="G1310" s="24">
        <v>0.31</v>
      </c>
      <c r="H1310" s="24" t="s">
        <v>6676</v>
      </c>
      <c r="I1310" s="24">
        <v>47.4</v>
      </c>
      <c r="J1310" s="24">
        <v>0.0</v>
      </c>
    </row>
    <row r="1311">
      <c r="A1311" s="24">
        <v>1150.0</v>
      </c>
      <c r="B1311" s="24">
        <v>8.0</v>
      </c>
      <c r="C1311" s="44">
        <v>45.0</v>
      </c>
      <c r="D1311" s="46">
        <v>44770.0</v>
      </c>
      <c r="E1311" s="24">
        <v>5.62</v>
      </c>
      <c r="F1311" s="24">
        <v>39.13</v>
      </c>
      <c r="G1311" s="24">
        <v>0.7</v>
      </c>
      <c r="H1311" s="24" t="s">
        <v>6675</v>
      </c>
      <c r="I1311" s="24" t="s">
        <v>6650</v>
      </c>
      <c r="J1311" s="24">
        <v>0.0</v>
      </c>
    </row>
    <row r="1312">
      <c r="A1312" s="24">
        <v>660.0</v>
      </c>
      <c r="B1312" s="24">
        <v>6.0</v>
      </c>
      <c r="C1312" s="44">
        <v>30.96</v>
      </c>
      <c r="D1312" s="46">
        <v>44770.0</v>
      </c>
      <c r="E1312" s="24">
        <v>5.16</v>
      </c>
      <c r="F1312" s="24">
        <v>46.91</v>
      </c>
      <c r="G1312" s="24">
        <v>0.91</v>
      </c>
      <c r="H1312" s="24" t="s">
        <v>6674</v>
      </c>
      <c r="I1312" s="24">
        <v>15.48</v>
      </c>
      <c r="J1312" s="24">
        <v>0.0</v>
      </c>
    </row>
    <row r="1313">
      <c r="A1313" s="24">
        <v>324.0</v>
      </c>
      <c r="B1313" s="24">
        <v>3.0</v>
      </c>
      <c r="C1313" s="44">
        <v>18.2</v>
      </c>
      <c r="D1313" s="46">
        <v>44770.0</v>
      </c>
      <c r="E1313" s="24">
        <v>6.07</v>
      </c>
      <c r="F1313" s="24">
        <v>56.17</v>
      </c>
      <c r="G1313" s="24">
        <v>0.93</v>
      </c>
      <c r="H1313" s="24" t="s">
        <v>6680</v>
      </c>
      <c r="I1313" s="24">
        <v>18.2</v>
      </c>
      <c r="J1313" s="24">
        <v>0.0</v>
      </c>
    </row>
    <row r="1314">
      <c r="A1314" s="24">
        <v>2110.0</v>
      </c>
      <c r="B1314" s="24">
        <v>14.0</v>
      </c>
      <c r="C1314" s="44">
        <v>45.0</v>
      </c>
      <c r="D1314" s="46">
        <v>44771.0</v>
      </c>
      <c r="E1314" s="24">
        <v>3.21</v>
      </c>
      <c r="F1314" s="24">
        <v>21.33</v>
      </c>
      <c r="G1314" s="24">
        <v>0.66</v>
      </c>
      <c r="H1314" s="24" t="s">
        <v>6675</v>
      </c>
      <c r="I1314" s="24" t="s">
        <v>6650</v>
      </c>
      <c r="J1314" s="24">
        <v>0.0</v>
      </c>
    </row>
    <row r="1315">
      <c r="A1315" s="24">
        <v>315.0</v>
      </c>
      <c r="B1315" s="24">
        <v>1.0</v>
      </c>
      <c r="C1315" s="44">
        <v>17.27</v>
      </c>
      <c r="D1315" s="46">
        <v>44771.0</v>
      </c>
      <c r="E1315" s="24">
        <v>17.27</v>
      </c>
      <c r="F1315" s="24">
        <v>54.83</v>
      </c>
      <c r="G1315" s="24">
        <v>0.32</v>
      </c>
      <c r="H1315" s="24" t="s">
        <v>6680</v>
      </c>
      <c r="I1315" s="24" t="s">
        <v>6650</v>
      </c>
      <c r="J1315" s="24">
        <v>0.0</v>
      </c>
    </row>
    <row r="1316">
      <c r="A1316" s="24">
        <v>2654.0</v>
      </c>
      <c r="B1316" s="24">
        <v>1.0</v>
      </c>
      <c r="C1316" s="44">
        <v>47.62</v>
      </c>
      <c r="D1316" s="46">
        <v>44771.0</v>
      </c>
      <c r="E1316" s="24">
        <v>47.62</v>
      </c>
      <c r="F1316" s="24">
        <v>17.94</v>
      </c>
      <c r="G1316" s="24">
        <v>0.04</v>
      </c>
      <c r="H1316" s="24" t="s">
        <v>6673</v>
      </c>
      <c r="I1316" s="24">
        <v>23.81</v>
      </c>
      <c r="J1316" s="24">
        <v>0.0</v>
      </c>
    </row>
    <row r="1317">
      <c r="A1317" s="24">
        <v>1148.0</v>
      </c>
      <c r="B1317" s="24">
        <v>15.0</v>
      </c>
      <c r="C1317" s="44">
        <v>45.0</v>
      </c>
      <c r="D1317" s="46">
        <v>44771.0</v>
      </c>
      <c r="E1317" s="24">
        <v>3.0</v>
      </c>
      <c r="F1317" s="24">
        <v>39.2</v>
      </c>
      <c r="G1317" s="24">
        <v>1.31</v>
      </c>
      <c r="H1317" s="24" t="s">
        <v>6677</v>
      </c>
      <c r="I1317" s="24" t="s">
        <v>6650</v>
      </c>
      <c r="J1317" s="24">
        <v>0.0</v>
      </c>
    </row>
    <row r="1318">
      <c r="A1318" s="24">
        <v>616.0</v>
      </c>
      <c r="B1318" s="24">
        <v>4.0</v>
      </c>
      <c r="C1318" s="44">
        <v>27.76</v>
      </c>
      <c r="D1318" s="46">
        <v>44771.0</v>
      </c>
      <c r="E1318" s="24">
        <v>6.94</v>
      </c>
      <c r="F1318" s="24">
        <v>45.06</v>
      </c>
      <c r="G1318" s="24">
        <v>0.65</v>
      </c>
      <c r="H1318" s="24" t="s">
        <v>6674</v>
      </c>
      <c r="I1318" s="24" t="s">
        <v>6650</v>
      </c>
      <c r="J1318" s="24">
        <v>0.0</v>
      </c>
    </row>
    <row r="1319">
      <c r="A1319" s="24">
        <v>1136.0</v>
      </c>
      <c r="B1319" s="24">
        <v>1.0</v>
      </c>
      <c r="C1319" s="44">
        <v>47.16</v>
      </c>
      <c r="D1319" s="46">
        <v>44771.0</v>
      </c>
      <c r="E1319" s="24">
        <v>47.16</v>
      </c>
      <c r="F1319" s="24">
        <v>41.51</v>
      </c>
      <c r="G1319" s="24">
        <v>0.09</v>
      </c>
      <c r="H1319" s="24" t="s">
        <v>6676</v>
      </c>
      <c r="I1319" s="24" t="s">
        <v>6650</v>
      </c>
      <c r="J1319" s="24">
        <v>0.0</v>
      </c>
    </row>
    <row r="1320">
      <c r="A1320" s="24">
        <v>858.0</v>
      </c>
      <c r="B1320" s="24">
        <v>3.0</v>
      </c>
      <c r="C1320" s="44">
        <v>47.4</v>
      </c>
      <c r="D1320" s="46">
        <v>44772.0</v>
      </c>
      <c r="E1320" s="24">
        <v>15.8</v>
      </c>
      <c r="F1320" s="24">
        <v>55.24</v>
      </c>
      <c r="G1320" s="24">
        <v>0.35</v>
      </c>
      <c r="H1320" s="24" t="s">
        <v>6676</v>
      </c>
      <c r="I1320" s="24">
        <v>23.7</v>
      </c>
      <c r="J1320" s="24">
        <v>0.0</v>
      </c>
    </row>
    <row r="1321">
      <c r="A1321" s="24">
        <v>182.0</v>
      </c>
      <c r="B1321" s="24">
        <v>1.0</v>
      </c>
      <c r="C1321" s="44">
        <v>8.49</v>
      </c>
      <c r="D1321" s="46">
        <v>44772.0</v>
      </c>
      <c r="E1321" s="24">
        <v>8.49</v>
      </c>
      <c r="F1321" s="24">
        <v>46.65</v>
      </c>
      <c r="G1321" s="24">
        <v>0.55</v>
      </c>
      <c r="H1321" s="24" t="s">
        <v>6680</v>
      </c>
      <c r="I1321" s="24" t="s">
        <v>6650</v>
      </c>
      <c r="J1321" s="24">
        <v>0.0</v>
      </c>
    </row>
    <row r="1322">
      <c r="A1322" s="24">
        <v>970.0</v>
      </c>
      <c r="B1322" s="24">
        <v>7.0</v>
      </c>
      <c r="C1322" s="44">
        <v>45.0</v>
      </c>
      <c r="D1322" s="46">
        <v>44772.0</v>
      </c>
      <c r="E1322" s="24">
        <v>6.43</v>
      </c>
      <c r="F1322" s="24">
        <v>46.39</v>
      </c>
      <c r="G1322" s="24">
        <v>0.72</v>
      </c>
      <c r="H1322" s="24" t="s">
        <v>6677</v>
      </c>
      <c r="I1322" s="24">
        <v>45.0</v>
      </c>
      <c r="J1322" s="24">
        <v>0.0</v>
      </c>
    </row>
    <row r="1323">
      <c r="A1323" s="24">
        <v>305.0</v>
      </c>
      <c r="B1323" s="24">
        <v>4.0</v>
      </c>
      <c r="C1323" s="44">
        <v>13.37</v>
      </c>
      <c r="D1323" s="46">
        <v>44772.0</v>
      </c>
      <c r="E1323" s="24">
        <v>3.34</v>
      </c>
      <c r="F1323" s="24">
        <v>43.84</v>
      </c>
      <c r="G1323" s="24">
        <v>1.31</v>
      </c>
      <c r="H1323" s="24" t="s">
        <v>6674</v>
      </c>
      <c r="I1323" s="24">
        <v>13.37</v>
      </c>
      <c r="J1323" s="24">
        <v>0.0</v>
      </c>
    </row>
    <row r="1324">
      <c r="A1324" s="24">
        <v>1877.0</v>
      </c>
      <c r="B1324" s="24">
        <v>1.0</v>
      </c>
      <c r="C1324" s="44">
        <v>47.48</v>
      </c>
      <c r="D1324" s="46">
        <v>44772.0</v>
      </c>
      <c r="E1324" s="24">
        <v>47.48</v>
      </c>
      <c r="F1324" s="24">
        <v>25.3</v>
      </c>
      <c r="G1324" s="24">
        <v>0.05</v>
      </c>
      <c r="H1324" s="24" t="s">
        <v>6673</v>
      </c>
      <c r="I1324" s="24" t="s">
        <v>6650</v>
      </c>
      <c r="J1324" s="24">
        <v>0.0</v>
      </c>
    </row>
    <row r="1325">
      <c r="A1325" s="24">
        <v>1937.0</v>
      </c>
      <c r="B1325" s="24">
        <v>12.0</v>
      </c>
      <c r="C1325" s="44">
        <v>45.0</v>
      </c>
      <c r="D1325" s="46">
        <v>44772.0</v>
      </c>
      <c r="E1325" s="24">
        <v>3.75</v>
      </c>
      <c r="F1325" s="24">
        <v>23.23</v>
      </c>
      <c r="G1325" s="24">
        <v>0.62</v>
      </c>
      <c r="H1325" s="24" t="s">
        <v>6675</v>
      </c>
      <c r="I1325" s="24">
        <v>45.0</v>
      </c>
      <c r="J1325" s="24">
        <v>0.0</v>
      </c>
    </row>
    <row r="1326">
      <c r="A1326" s="24">
        <v>2108.0</v>
      </c>
      <c r="B1326" s="24">
        <v>7.0</v>
      </c>
      <c r="C1326" s="44">
        <v>44.98</v>
      </c>
      <c r="D1326" s="46">
        <v>44773.0</v>
      </c>
      <c r="E1326" s="24">
        <v>6.43</v>
      </c>
      <c r="F1326" s="24">
        <v>21.34</v>
      </c>
      <c r="G1326" s="24">
        <v>0.33</v>
      </c>
      <c r="H1326" s="24" t="s">
        <v>6675</v>
      </c>
      <c r="I1326" s="24" t="s">
        <v>6650</v>
      </c>
      <c r="J1326" s="24">
        <v>0.0</v>
      </c>
    </row>
    <row r="1327">
      <c r="A1327" s="24">
        <v>225.0</v>
      </c>
      <c r="B1327" s="24">
        <v>0.0</v>
      </c>
      <c r="C1327" s="44">
        <v>9.07</v>
      </c>
      <c r="D1327" s="46">
        <v>44773.0</v>
      </c>
      <c r="E1327" s="24" t="s">
        <v>6650</v>
      </c>
      <c r="F1327" s="24">
        <v>40.31</v>
      </c>
      <c r="G1327" s="24">
        <v>0.0</v>
      </c>
      <c r="H1327" s="24" t="s">
        <v>6680</v>
      </c>
      <c r="I1327" s="24" t="s">
        <v>6650</v>
      </c>
      <c r="J1327" s="24">
        <v>0.0</v>
      </c>
    </row>
    <row r="1328">
      <c r="A1328" s="24">
        <v>1209.0</v>
      </c>
      <c r="B1328" s="24">
        <v>1.0</v>
      </c>
      <c r="C1328" s="44">
        <v>47.23</v>
      </c>
      <c r="D1328" s="46">
        <v>44773.0</v>
      </c>
      <c r="E1328" s="24">
        <v>47.23</v>
      </c>
      <c r="F1328" s="24">
        <v>39.07</v>
      </c>
      <c r="G1328" s="24">
        <v>0.08</v>
      </c>
      <c r="H1328" s="24" t="s">
        <v>6676</v>
      </c>
      <c r="I1328" s="24">
        <v>15.74</v>
      </c>
      <c r="J1328" s="24">
        <v>0.0</v>
      </c>
    </row>
    <row r="1329">
      <c r="A1329" s="24">
        <v>1886.0</v>
      </c>
      <c r="B1329" s="24">
        <v>4.0</v>
      </c>
      <c r="C1329" s="44">
        <v>47.29</v>
      </c>
      <c r="D1329" s="46">
        <v>44773.0</v>
      </c>
      <c r="E1329" s="24">
        <v>11.82</v>
      </c>
      <c r="F1329" s="24">
        <v>25.07</v>
      </c>
      <c r="G1329" s="24">
        <v>0.21</v>
      </c>
      <c r="H1329" s="24" t="s">
        <v>6673</v>
      </c>
      <c r="I1329" s="24">
        <v>47.29</v>
      </c>
      <c r="J1329" s="24">
        <v>0.0</v>
      </c>
    </row>
    <row r="1330">
      <c r="A1330" s="24">
        <v>962.0</v>
      </c>
      <c r="B1330" s="24">
        <v>14.0</v>
      </c>
      <c r="C1330" s="44">
        <v>45.0</v>
      </c>
      <c r="D1330" s="46">
        <v>44773.0</v>
      </c>
      <c r="E1330" s="24">
        <v>3.21</v>
      </c>
      <c r="F1330" s="24">
        <v>46.78</v>
      </c>
      <c r="G1330" s="24">
        <v>1.46</v>
      </c>
      <c r="H1330" s="24" t="s">
        <v>6677</v>
      </c>
      <c r="I1330" s="24">
        <v>22.5</v>
      </c>
      <c r="J1330" s="24">
        <v>0.0</v>
      </c>
    </row>
    <row r="1331">
      <c r="A1331" s="24">
        <v>366.0</v>
      </c>
      <c r="B1331" s="24">
        <v>3.0</v>
      </c>
      <c r="C1331" s="44">
        <v>13.85</v>
      </c>
      <c r="D1331" s="46">
        <v>44773.0</v>
      </c>
      <c r="E1331" s="24">
        <v>4.62</v>
      </c>
      <c r="F1331" s="24">
        <v>37.84</v>
      </c>
      <c r="G1331" s="24">
        <v>0.82</v>
      </c>
      <c r="H1331" s="24" t="s">
        <v>6674</v>
      </c>
      <c r="I1331" s="24">
        <v>13.85</v>
      </c>
      <c r="J1331" s="24">
        <v>0.0</v>
      </c>
    </row>
    <row r="1332">
      <c r="A1332" s="24">
        <v>630.0</v>
      </c>
      <c r="B1332" s="24">
        <v>3.0</v>
      </c>
      <c r="C1332" s="44">
        <v>24.94</v>
      </c>
      <c r="D1332" s="46">
        <v>44774.0</v>
      </c>
      <c r="E1332" s="24">
        <v>8.31</v>
      </c>
      <c r="F1332" s="24">
        <v>39.59</v>
      </c>
      <c r="G1332" s="24">
        <v>0.48</v>
      </c>
      <c r="H1332" s="24" t="s">
        <v>6674</v>
      </c>
      <c r="I1332" s="24">
        <v>12.47</v>
      </c>
      <c r="J1332" s="24">
        <v>0.0</v>
      </c>
    </row>
    <row r="1333">
      <c r="A1333" s="24">
        <v>1934.0</v>
      </c>
      <c r="B1333" s="24">
        <v>11.0</v>
      </c>
      <c r="C1333" s="44">
        <v>35.83</v>
      </c>
      <c r="D1333" s="46">
        <v>44774.0</v>
      </c>
      <c r="E1333" s="24">
        <v>3.26</v>
      </c>
      <c r="F1333" s="24">
        <v>18.53</v>
      </c>
      <c r="G1333" s="24">
        <v>0.57</v>
      </c>
      <c r="H1333" s="24" t="s">
        <v>6675</v>
      </c>
      <c r="I1333" s="24">
        <v>35.83</v>
      </c>
      <c r="J1333" s="24">
        <v>0.0</v>
      </c>
    </row>
    <row r="1334">
      <c r="A1334" s="24">
        <v>476.0</v>
      </c>
      <c r="B1334" s="24">
        <v>3.0</v>
      </c>
      <c r="C1334" s="44">
        <v>16.05</v>
      </c>
      <c r="D1334" s="46">
        <v>44774.0</v>
      </c>
      <c r="E1334" s="24">
        <v>5.35</v>
      </c>
      <c r="F1334" s="24">
        <v>33.72</v>
      </c>
      <c r="G1334" s="24">
        <v>0.63</v>
      </c>
      <c r="H1334" s="24" t="s">
        <v>6680</v>
      </c>
      <c r="I1334" s="24" t="s">
        <v>6650</v>
      </c>
      <c r="J1334" s="24">
        <v>0.0</v>
      </c>
    </row>
    <row r="1335">
      <c r="A1335" s="24">
        <v>1561.0</v>
      </c>
      <c r="B1335" s="24">
        <v>2.0</v>
      </c>
      <c r="C1335" s="44">
        <v>33.46</v>
      </c>
      <c r="D1335" s="46">
        <v>44774.0</v>
      </c>
      <c r="E1335" s="24">
        <v>16.73</v>
      </c>
      <c r="F1335" s="24">
        <v>21.43</v>
      </c>
      <c r="G1335" s="24">
        <v>0.13</v>
      </c>
      <c r="H1335" s="24" t="s">
        <v>6676</v>
      </c>
      <c r="I1335" s="24">
        <v>33.46</v>
      </c>
      <c r="J1335" s="24">
        <v>0.0</v>
      </c>
    </row>
    <row r="1336">
      <c r="A1336" s="24">
        <v>1848.0</v>
      </c>
      <c r="B1336" s="24">
        <v>2.0</v>
      </c>
      <c r="C1336" s="44">
        <v>33.58</v>
      </c>
      <c r="D1336" s="46">
        <v>44774.0</v>
      </c>
      <c r="E1336" s="24">
        <v>16.79</v>
      </c>
      <c r="F1336" s="24">
        <v>18.17</v>
      </c>
      <c r="G1336" s="24">
        <v>0.11</v>
      </c>
      <c r="H1336" s="24" t="s">
        <v>6673</v>
      </c>
      <c r="I1336" s="24" t="s">
        <v>6650</v>
      </c>
      <c r="J1336" s="24">
        <v>0.0</v>
      </c>
    </row>
    <row r="1337">
      <c r="A1337" s="24">
        <v>930.0</v>
      </c>
      <c r="B1337" s="24">
        <v>7.0</v>
      </c>
      <c r="C1337" s="44">
        <v>35.74</v>
      </c>
      <c r="D1337" s="46">
        <v>44774.0</v>
      </c>
      <c r="E1337" s="24">
        <v>5.11</v>
      </c>
      <c r="F1337" s="24">
        <v>38.43</v>
      </c>
      <c r="G1337" s="24">
        <v>0.75</v>
      </c>
      <c r="H1337" s="24" t="s">
        <v>6677</v>
      </c>
      <c r="I1337" s="24">
        <v>17.87</v>
      </c>
      <c r="J1337" s="24">
        <v>0.0</v>
      </c>
    </row>
    <row r="1338">
      <c r="A1338" s="24">
        <v>398.0</v>
      </c>
      <c r="B1338" s="24">
        <v>4.0</v>
      </c>
      <c r="C1338" s="44">
        <v>19.1</v>
      </c>
      <c r="D1338" s="46">
        <v>44775.0</v>
      </c>
      <c r="E1338" s="24">
        <v>4.78</v>
      </c>
      <c r="F1338" s="24">
        <v>47.99</v>
      </c>
      <c r="G1338" s="24">
        <v>1.01</v>
      </c>
      <c r="H1338" s="24" t="s">
        <v>6677</v>
      </c>
      <c r="I1338" s="24">
        <v>19.1</v>
      </c>
      <c r="J1338" s="24">
        <v>0.0</v>
      </c>
    </row>
    <row r="1339">
      <c r="A1339" s="24">
        <v>165.0</v>
      </c>
      <c r="B1339" s="24">
        <v>1.0</v>
      </c>
      <c r="C1339" s="44">
        <v>8.22</v>
      </c>
      <c r="D1339" s="46">
        <v>44775.0</v>
      </c>
      <c r="E1339" s="24">
        <v>8.22</v>
      </c>
      <c r="F1339" s="24">
        <v>49.82</v>
      </c>
      <c r="G1339" s="24">
        <v>0.61</v>
      </c>
      <c r="H1339" s="24" t="s">
        <v>6674</v>
      </c>
      <c r="I1339" s="24">
        <v>8.22</v>
      </c>
      <c r="J1339" s="24">
        <v>0.0</v>
      </c>
    </row>
    <row r="1340">
      <c r="A1340" s="24">
        <v>920.0</v>
      </c>
      <c r="B1340" s="24">
        <v>1.0</v>
      </c>
      <c r="C1340" s="44">
        <v>29.24</v>
      </c>
      <c r="D1340" s="46">
        <v>44775.0</v>
      </c>
      <c r="E1340" s="24">
        <v>29.24</v>
      </c>
      <c r="F1340" s="24">
        <v>31.78</v>
      </c>
      <c r="G1340" s="24">
        <v>0.11</v>
      </c>
      <c r="H1340" s="24" t="s">
        <v>6676</v>
      </c>
      <c r="I1340" s="24">
        <v>9.75</v>
      </c>
      <c r="J1340" s="24">
        <v>0.0</v>
      </c>
    </row>
    <row r="1341">
      <c r="A1341" s="24">
        <v>805.0</v>
      </c>
      <c r="B1341" s="24">
        <v>2.0</v>
      </c>
      <c r="C1341" s="44">
        <v>18.01</v>
      </c>
      <c r="D1341" s="46">
        <v>44775.0</v>
      </c>
      <c r="E1341" s="24">
        <v>9.01</v>
      </c>
      <c r="F1341" s="24">
        <v>22.37</v>
      </c>
      <c r="G1341" s="24">
        <v>0.25</v>
      </c>
      <c r="H1341" s="24" t="s">
        <v>6675</v>
      </c>
      <c r="I1341" s="24">
        <v>18.01</v>
      </c>
      <c r="J1341" s="24">
        <v>0.0</v>
      </c>
    </row>
    <row r="1342">
      <c r="A1342" s="24">
        <v>377.0</v>
      </c>
      <c r="B1342" s="24">
        <v>3.0</v>
      </c>
      <c r="C1342" s="44">
        <v>18.41</v>
      </c>
      <c r="D1342" s="46">
        <v>44775.0</v>
      </c>
      <c r="E1342" s="24">
        <v>6.14</v>
      </c>
      <c r="F1342" s="24">
        <v>48.83</v>
      </c>
      <c r="G1342" s="24">
        <v>0.8</v>
      </c>
      <c r="H1342" s="24" t="s">
        <v>6680</v>
      </c>
      <c r="I1342" s="24" t="s">
        <v>6650</v>
      </c>
      <c r="J1342" s="24">
        <v>0.0</v>
      </c>
    </row>
    <row r="1343">
      <c r="A1343" s="24">
        <v>1578.0</v>
      </c>
      <c r="B1343" s="24">
        <v>7.0</v>
      </c>
      <c r="C1343" s="44">
        <v>27.04</v>
      </c>
      <c r="D1343" s="46">
        <v>44775.0</v>
      </c>
      <c r="E1343" s="24">
        <v>3.86</v>
      </c>
      <c r="F1343" s="24">
        <v>17.14</v>
      </c>
      <c r="G1343" s="24">
        <v>0.44</v>
      </c>
      <c r="H1343" s="24" t="s">
        <v>6673</v>
      </c>
      <c r="I1343" s="24" t="s">
        <v>6650</v>
      </c>
      <c r="J1343" s="24">
        <v>0.0</v>
      </c>
    </row>
    <row r="1344">
      <c r="A1344" s="24">
        <v>424.0</v>
      </c>
      <c r="B1344" s="24">
        <v>4.0</v>
      </c>
      <c r="C1344" s="44">
        <v>10.03</v>
      </c>
      <c r="D1344" s="46">
        <v>44776.0</v>
      </c>
      <c r="E1344" s="24">
        <v>2.51</v>
      </c>
      <c r="F1344" s="24">
        <v>23.66</v>
      </c>
      <c r="G1344" s="24">
        <v>0.94</v>
      </c>
      <c r="H1344" s="24" t="s">
        <v>6675</v>
      </c>
      <c r="I1344" s="24" t="s">
        <v>6650</v>
      </c>
      <c r="J1344" s="24">
        <v>0.0</v>
      </c>
    </row>
    <row r="1345">
      <c r="A1345" s="24">
        <v>848.0</v>
      </c>
      <c r="B1345" s="24">
        <v>1.0</v>
      </c>
      <c r="C1345" s="44">
        <v>26.7</v>
      </c>
      <c r="D1345" s="46">
        <v>44776.0</v>
      </c>
      <c r="E1345" s="24">
        <v>26.7</v>
      </c>
      <c r="F1345" s="24">
        <v>31.49</v>
      </c>
      <c r="G1345" s="24">
        <v>0.12</v>
      </c>
      <c r="H1345" s="24" t="s">
        <v>6676</v>
      </c>
      <c r="I1345" s="24">
        <v>8.9</v>
      </c>
      <c r="J1345" s="24">
        <v>0.0</v>
      </c>
    </row>
    <row r="1346">
      <c r="A1346" s="24">
        <v>1870.0</v>
      </c>
      <c r="B1346" s="24">
        <v>0.0</v>
      </c>
      <c r="C1346" s="44">
        <v>26.42</v>
      </c>
      <c r="D1346" s="46">
        <v>44776.0</v>
      </c>
      <c r="E1346" s="24" t="s">
        <v>6650</v>
      </c>
      <c r="F1346" s="24">
        <v>14.13</v>
      </c>
      <c r="G1346" s="24">
        <v>0.0</v>
      </c>
      <c r="H1346" s="24" t="s">
        <v>6673</v>
      </c>
      <c r="I1346" s="24" t="s">
        <v>6650</v>
      </c>
      <c r="J1346" s="24">
        <v>0.0</v>
      </c>
    </row>
    <row r="1347">
      <c r="A1347" s="24">
        <v>195.0</v>
      </c>
      <c r="B1347" s="24">
        <v>4.0</v>
      </c>
      <c r="C1347" s="44">
        <v>9.79</v>
      </c>
      <c r="D1347" s="46">
        <v>44776.0</v>
      </c>
      <c r="E1347" s="24">
        <v>2.45</v>
      </c>
      <c r="F1347" s="24">
        <v>50.21</v>
      </c>
      <c r="G1347" s="24">
        <v>2.05</v>
      </c>
      <c r="H1347" s="24" t="s">
        <v>6677</v>
      </c>
      <c r="I1347" s="24">
        <v>1.4</v>
      </c>
      <c r="J1347" s="24">
        <v>0.0</v>
      </c>
    </row>
    <row r="1348">
      <c r="A1348" s="24">
        <v>14.0</v>
      </c>
      <c r="B1348" s="24">
        <v>0.0</v>
      </c>
      <c r="C1348" s="44">
        <v>0.23</v>
      </c>
      <c r="D1348" s="46">
        <v>44776.0</v>
      </c>
      <c r="E1348" s="24" t="s">
        <v>6650</v>
      </c>
      <c r="F1348" s="24">
        <v>16.43</v>
      </c>
      <c r="G1348" s="24">
        <v>0.0</v>
      </c>
      <c r="H1348" s="24" t="s">
        <v>6674</v>
      </c>
      <c r="I1348" s="24">
        <v>0.23</v>
      </c>
      <c r="J1348" s="24">
        <v>0.0</v>
      </c>
    </row>
    <row r="1349">
      <c r="A1349" s="24">
        <v>343.0</v>
      </c>
      <c r="B1349" s="24">
        <v>2.0</v>
      </c>
      <c r="C1349" s="44">
        <v>18.94</v>
      </c>
      <c r="D1349" s="46">
        <v>44776.0</v>
      </c>
      <c r="E1349" s="24">
        <v>9.47</v>
      </c>
      <c r="F1349" s="24">
        <v>55.22</v>
      </c>
      <c r="G1349" s="24">
        <v>0.58</v>
      </c>
      <c r="H1349" s="24" t="s">
        <v>6680</v>
      </c>
      <c r="I1349" s="24" t="s">
        <v>6650</v>
      </c>
      <c r="J1349" s="24">
        <v>0.0</v>
      </c>
    </row>
    <row r="1350">
      <c r="A1350" s="24">
        <v>1041.0</v>
      </c>
      <c r="B1350" s="24">
        <v>12.0</v>
      </c>
      <c r="C1350" s="44">
        <v>51.44</v>
      </c>
      <c r="D1350" s="46">
        <v>44776.0</v>
      </c>
      <c r="E1350" s="24">
        <v>4.29</v>
      </c>
      <c r="F1350" s="24">
        <v>49.41</v>
      </c>
      <c r="G1350" s="24">
        <v>1.15</v>
      </c>
      <c r="H1350" s="24" t="s">
        <v>6685</v>
      </c>
      <c r="I1350" s="24">
        <v>17.15</v>
      </c>
      <c r="J1350" s="24">
        <v>0.0</v>
      </c>
    </row>
    <row r="1351">
      <c r="A1351" s="24">
        <v>240.0</v>
      </c>
      <c r="B1351" s="24">
        <v>5.0</v>
      </c>
      <c r="C1351" s="44">
        <v>11.49</v>
      </c>
      <c r="D1351" s="46">
        <v>44777.0</v>
      </c>
      <c r="E1351" s="24">
        <v>2.3</v>
      </c>
      <c r="F1351" s="24">
        <v>47.88</v>
      </c>
      <c r="G1351" s="24">
        <v>2.08</v>
      </c>
      <c r="H1351" s="24" t="s">
        <v>6677</v>
      </c>
      <c r="I1351" s="24">
        <v>5.74</v>
      </c>
      <c r="J1351" s="24">
        <v>0.0</v>
      </c>
    </row>
    <row r="1352">
      <c r="A1352" s="24">
        <v>426.0</v>
      </c>
      <c r="B1352" s="24">
        <v>7.0</v>
      </c>
      <c r="C1352" s="44">
        <v>21.48</v>
      </c>
      <c r="D1352" s="46">
        <v>44777.0</v>
      </c>
      <c r="E1352" s="24">
        <v>3.07</v>
      </c>
      <c r="F1352" s="24">
        <v>50.42</v>
      </c>
      <c r="G1352" s="24">
        <v>1.64</v>
      </c>
      <c r="H1352" s="24" t="s">
        <v>6685</v>
      </c>
      <c r="I1352" s="24" t="s">
        <v>6650</v>
      </c>
      <c r="J1352" s="24">
        <v>0.0</v>
      </c>
    </row>
    <row r="1353">
      <c r="A1353" s="24">
        <v>366.0</v>
      </c>
      <c r="B1353" s="24">
        <v>2.0</v>
      </c>
      <c r="C1353" s="44">
        <v>18.87</v>
      </c>
      <c r="D1353" s="46">
        <v>44777.0</v>
      </c>
      <c r="E1353" s="24">
        <v>9.44</v>
      </c>
      <c r="F1353" s="24">
        <v>51.56</v>
      </c>
      <c r="G1353" s="24">
        <v>0.55</v>
      </c>
      <c r="H1353" s="24" t="s">
        <v>6680</v>
      </c>
      <c r="I1353" s="24">
        <v>18.87</v>
      </c>
      <c r="J1353" s="24">
        <v>0.0</v>
      </c>
    </row>
    <row r="1354">
      <c r="A1354" s="24">
        <v>653.0</v>
      </c>
      <c r="B1354" s="24">
        <v>1.0</v>
      </c>
      <c r="C1354" s="44">
        <v>30.53</v>
      </c>
      <c r="D1354" s="46">
        <v>44777.0</v>
      </c>
      <c r="E1354" s="24">
        <v>30.53</v>
      </c>
      <c r="F1354" s="24">
        <v>46.75</v>
      </c>
      <c r="G1354" s="24">
        <v>0.15</v>
      </c>
      <c r="H1354" s="24" t="s">
        <v>6676</v>
      </c>
      <c r="I1354" s="24" t="s">
        <v>6650</v>
      </c>
      <c r="J1354" s="24">
        <v>0.0</v>
      </c>
    </row>
    <row r="1355">
      <c r="A1355" s="24">
        <v>503.0</v>
      </c>
      <c r="B1355" s="24">
        <v>1.0</v>
      </c>
      <c r="C1355" s="44">
        <v>11.26</v>
      </c>
      <c r="D1355" s="46">
        <v>44777.0</v>
      </c>
      <c r="E1355" s="24">
        <v>11.26</v>
      </c>
      <c r="F1355" s="24">
        <v>22.39</v>
      </c>
      <c r="G1355" s="24">
        <v>0.2</v>
      </c>
      <c r="H1355" s="24" t="s">
        <v>6675</v>
      </c>
      <c r="I1355" s="24">
        <v>5.63</v>
      </c>
      <c r="J1355" s="24">
        <v>0.0</v>
      </c>
    </row>
    <row r="1356">
      <c r="A1356" s="24">
        <v>1908.0</v>
      </c>
      <c r="B1356" s="24">
        <v>0.0</v>
      </c>
      <c r="C1356" s="44">
        <v>30.51</v>
      </c>
      <c r="D1356" s="46">
        <v>44777.0</v>
      </c>
      <c r="E1356" s="24" t="s">
        <v>6650</v>
      </c>
      <c r="F1356" s="24">
        <v>15.99</v>
      </c>
      <c r="G1356" s="24">
        <v>0.0</v>
      </c>
      <c r="H1356" s="24" t="s">
        <v>6673</v>
      </c>
      <c r="I1356" s="24">
        <v>15.26</v>
      </c>
      <c r="J1356" s="24">
        <v>0.0</v>
      </c>
    </row>
    <row r="1357">
      <c r="A1357" s="24">
        <v>14.0</v>
      </c>
      <c r="B1357" s="24">
        <v>0.0</v>
      </c>
      <c r="C1357" s="44">
        <v>0.21</v>
      </c>
      <c r="D1357" s="46">
        <v>44777.0</v>
      </c>
      <c r="E1357" s="24" t="s">
        <v>6650</v>
      </c>
      <c r="F1357" s="24">
        <v>15.0</v>
      </c>
      <c r="G1357" s="24">
        <v>0.0</v>
      </c>
      <c r="H1357" s="24" t="s">
        <v>6674</v>
      </c>
      <c r="I1357" s="24">
        <v>0.1</v>
      </c>
      <c r="J1357" s="24">
        <v>0.0</v>
      </c>
    </row>
    <row r="1358">
      <c r="A1358" s="24">
        <v>295.0</v>
      </c>
      <c r="B1358" s="24">
        <v>1.0</v>
      </c>
      <c r="C1358" s="44">
        <v>17.02</v>
      </c>
      <c r="D1358" s="46">
        <v>44778.0</v>
      </c>
      <c r="E1358" s="24">
        <v>17.02</v>
      </c>
      <c r="F1358" s="24">
        <v>57.69</v>
      </c>
      <c r="G1358" s="24">
        <v>0.34</v>
      </c>
      <c r="H1358" s="24" t="s">
        <v>6680</v>
      </c>
      <c r="I1358" s="24" t="s">
        <v>6650</v>
      </c>
      <c r="J1358" s="24">
        <v>0.0</v>
      </c>
    </row>
    <row r="1359">
      <c r="A1359" s="24">
        <v>1529.0</v>
      </c>
      <c r="B1359" s="24">
        <v>2.0</v>
      </c>
      <c r="C1359" s="44">
        <v>33.71</v>
      </c>
      <c r="D1359" s="46">
        <v>44778.0</v>
      </c>
      <c r="E1359" s="24">
        <v>16.86</v>
      </c>
      <c r="F1359" s="24">
        <v>22.05</v>
      </c>
      <c r="G1359" s="24">
        <v>0.13</v>
      </c>
      <c r="H1359" s="24" t="s">
        <v>6673</v>
      </c>
      <c r="I1359" s="24">
        <v>33.71</v>
      </c>
      <c r="J1359" s="24">
        <v>0.0</v>
      </c>
    </row>
    <row r="1360">
      <c r="A1360" s="24">
        <v>6.0</v>
      </c>
      <c r="B1360" s="24">
        <v>0.0</v>
      </c>
      <c r="C1360" s="44">
        <v>0.36</v>
      </c>
      <c r="D1360" s="46">
        <v>44778.0</v>
      </c>
      <c r="E1360" s="24" t="s">
        <v>6650</v>
      </c>
      <c r="F1360" s="24">
        <v>60.0</v>
      </c>
      <c r="G1360" s="24">
        <v>0.0</v>
      </c>
      <c r="H1360" s="24" t="s">
        <v>6674</v>
      </c>
      <c r="I1360" s="24">
        <v>0.36</v>
      </c>
      <c r="J1360" s="24">
        <v>0.0</v>
      </c>
    </row>
    <row r="1361">
      <c r="A1361" s="24">
        <v>498.0</v>
      </c>
      <c r="B1361" s="24">
        <v>6.0</v>
      </c>
      <c r="C1361" s="44">
        <v>12.91</v>
      </c>
      <c r="D1361" s="46">
        <v>44778.0</v>
      </c>
      <c r="E1361" s="24">
        <v>2.15</v>
      </c>
      <c r="F1361" s="24">
        <v>25.92</v>
      </c>
      <c r="G1361" s="24">
        <v>1.2</v>
      </c>
      <c r="H1361" s="24" t="s">
        <v>6675</v>
      </c>
      <c r="I1361" s="24">
        <v>6.46</v>
      </c>
      <c r="J1361" s="24">
        <v>0.0</v>
      </c>
    </row>
    <row r="1362">
      <c r="A1362" s="24">
        <v>681.0</v>
      </c>
      <c r="B1362" s="24">
        <v>2.0</v>
      </c>
      <c r="C1362" s="44">
        <v>38.08</v>
      </c>
      <c r="D1362" s="46">
        <v>44778.0</v>
      </c>
      <c r="E1362" s="24">
        <v>19.04</v>
      </c>
      <c r="F1362" s="24">
        <v>55.92</v>
      </c>
      <c r="G1362" s="24">
        <v>0.29</v>
      </c>
      <c r="H1362" s="24" t="s">
        <v>6676</v>
      </c>
      <c r="I1362" s="24">
        <v>19.04</v>
      </c>
      <c r="J1362" s="24">
        <v>0.0</v>
      </c>
    </row>
    <row r="1363">
      <c r="A1363" s="24">
        <v>270.0</v>
      </c>
      <c r="B1363" s="24">
        <v>3.0</v>
      </c>
      <c r="C1363" s="44">
        <v>11.18</v>
      </c>
      <c r="D1363" s="46">
        <v>44778.0</v>
      </c>
      <c r="E1363" s="24">
        <v>3.73</v>
      </c>
      <c r="F1363" s="24">
        <v>41.41</v>
      </c>
      <c r="G1363" s="24">
        <v>1.11</v>
      </c>
      <c r="H1363" s="24" t="s">
        <v>6677</v>
      </c>
      <c r="I1363" s="24">
        <v>11.18</v>
      </c>
      <c r="J1363" s="24">
        <v>0.0</v>
      </c>
    </row>
    <row r="1364">
      <c r="A1364" s="24">
        <v>762.0</v>
      </c>
      <c r="B1364" s="24">
        <v>4.0</v>
      </c>
      <c r="C1364" s="44">
        <v>40.87</v>
      </c>
      <c r="D1364" s="46">
        <v>44779.0</v>
      </c>
      <c r="E1364" s="24">
        <v>10.22</v>
      </c>
      <c r="F1364" s="24">
        <v>53.64</v>
      </c>
      <c r="G1364" s="24">
        <v>0.52</v>
      </c>
      <c r="H1364" s="24" t="s">
        <v>6676</v>
      </c>
      <c r="I1364" s="24">
        <v>20.43</v>
      </c>
      <c r="J1364" s="24">
        <v>0.0</v>
      </c>
    </row>
    <row r="1365">
      <c r="A1365" s="24">
        <v>819.0</v>
      </c>
      <c r="B1365" s="24">
        <v>12.0</v>
      </c>
      <c r="C1365" s="44">
        <v>45.0</v>
      </c>
      <c r="D1365" s="46">
        <v>44779.0</v>
      </c>
      <c r="E1365" s="24">
        <v>3.75</v>
      </c>
      <c r="F1365" s="24">
        <v>54.95</v>
      </c>
      <c r="G1365" s="24">
        <v>1.47</v>
      </c>
      <c r="H1365" s="24" t="s">
        <v>6677</v>
      </c>
      <c r="I1365" s="24">
        <v>15.0</v>
      </c>
      <c r="J1365" s="24">
        <v>0.0</v>
      </c>
    </row>
    <row r="1366">
      <c r="A1366" s="24">
        <v>1358.0</v>
      </c>
      <c r="B1366" s="24">
        <v>11.0</v>
      </c>
      <c r="C1366" s="44">
        <v>44.96</v>
      </c>
      <c r="D1366" s="46">
        <v>44779.0</v>
      </c>
      <c r="E1366" s="24">
        <v>4.09</v>
      </c>
      <c r="F1366" s="24">
        <v>33.11</v>
      </c>
      <c r="G1366" s="24">
        <v>0.81</v>
      </c>
      <c r="H1366" s="24" t="s">
        <v>6675</v>
      </c>
      <c r="I1366" s="24" t="s">
        <v>6650</v>
      </c>
      <c r="J1366" s="24">
        <v>0.0</v>
      </c>
    </row>
    <row r="1367">
      <c r="A1367" s="24">
        <v>1529.0</v>
      </c>
      <c r="B1367" s="24">
        <v>3.0</v>
      </c>
      <c r="C1367" s="44">
        <v>43.78</v>
      </c>
      <c r="D1367" s="46">
        <v>44779.0</v>
      </c>
      <c r="E1367" s="24">
        <v>14.59</v>
      </c>
      <c r="F1367" s="24">
        <v>28.63</v>
      </c>
      <c r="G1367" s="24">
        <v>0.2</v>
      </c>
      <c r="H1367" s="24" t="s">
        <v>6673</v>
      </c>
      <c r="I1367" s="24">
        <v>21.89</v>
      </c>
      <c r="J1367" s="24">
        <v>0.0</v>
      </c>
    </row>
    <row r="1368">
      <c r="A1368" s="24">
        <v>484.0</v>
      </c>
      <c r="B1368" s="24">
        <v>5.0</v>
      </c>
      <c r="C1368" s="44">
        <v>33.78</v>
      </c>
      <c r="D1368" s="46">
        <v>44779.0</v>
      </c>
      <c r="E1368" s="24">
        <v>6.76</v>
      </c>
      <c r="F1368" s="24">
        <v>69.79</v>
      </c>
      <c r="G1368" s="24">
        <v>1.03</v>
      </c>
      <c r="H1368" s="24" t="s">
        <v>6674</v>
      </c>
      <c r="I1368" s="24">
        <v>16.89</v>
      </c>
      <c r="J1368" s="24">
        <v>0.0</v>
      </c>
    </row>
    <row r="1369">
      <c r="A1369" s="24">
        <v>178.0</v>
      </c>
      <c r="B1369" s="24">
        <v>1.0</v>
      </c>
      <c r="C1369" s="44">
        <v>8.25</v>
      </c>
      <c r="D1369" s="46">
        <v>44779.0</v>
      </c>
      <c r="E1369" s="24">
        <v>8.25</v>
      </c>
      <c r="F1369" s="24">
        <v>46.35</v>
      </c>
      <c r="G1369" s="24">
        <v>0.56</v>
      </c>
      <c r="H1369" s="24" t="s">
        <v>6680</v>
      </c>
      <c r="I1369" s="24" t="s">
        <v>6650</v>
      </c>
      <c r="J1369" s="24">
        <v>0.0</v>
      </c>
    </row>
    <row r="1370">
      <c r="A1370" s="24">
        <v>2354.0</v>
      </c>
      <c r="B1370" s="24">
        <v>25.0</v>
      </c>
      <c r="C1370" s="44">
        <v>45.0</v>
      </c>
      <c r="D1370" s="46">
        <v>44780.0</v>
      </c>
      <c r="E1370" s="24">
        <v>1.8</v>
      </c>
      <c r="F1370" s="24">
        <v>19.12</v>
      </c>
      <c r="G1370" s="24">
        <v>1.06</v>
      </c>
      <c r="H1370" s="24" t="s">
        <v>6675</v>
      </c>
      <c r="I1370" s="24" t="s">
        <v>6650</v>
      </c>
      <c r="J1370" s="24">
        <v>0.0</v>
      </c>
    </row>
    <row r="1371">
      <c r="A1371" s="24">
        <v>150.0</v>
      </c>
      <c r="B1371" s="24">
        <v>0.0</v>
      </c>
      <c r="C1371" s="44">
        <v>7.32</v>
      </c>
      <c r="D1371" s="46">
        <v>44780.0</v>
      </c>
      <c r="E1371" s="24" t="s">
        <v>6650</v>
      </c>
      <c r="F1371" s="24">
        <v>48.8</v>
      </c>
      <c r="G1371" s="24">
        <v>0.0</v>
      </c>
      <c r="H1371" s="24" t="s">
        <v>6680</v>
      </c>
      <c r="I1371" s="24" t="s">
        <v>6650</v>
      </c>
      <c r="J1371" s="24">
        <v>0.0</v>
      </c>
    </row>
    <row r="1372">
      <c r="A1372" s="24">
        <v>1063.0</v>
      </c>
      <c r="B1372" s="24">
        <v>19.0</v>
      </c>
      <c r="C1372" s="44">
        <v>45.0</v>
      </c>
      <c r="D1372" s="46">
        <v>44780.0</v>
      </c>
      <c r="E1372" s="24">
        <v>2.37</v>
      </c>
      <c r="F1372" s="24">
        <v>42.33</v>
      </c>
      <c r="G1372" s="24">
        <v>1.79</v>
      </c>
      <c r="H1372" s="24" t="s">
        <v>6677</v>
      </c>
      <c r="I1372" s="24">
        <v>11.25</v>
      </c>
      <c r="J1372" s="24">
        <v>0.0</v>
      </c>
    </row>
    <row r="1373">
      <c r="A1373" s="24">
        <v>2094.0</v>
      </c>
      <c r="B1373" s="24">
        <v>4.0</v>
      </c>
      <c r="C1373" s="44">
        <v>46.34</v>
      </c>
      <c r="D1373" s="46">
        <v>44780.0</v>
      </c>
      <c r="E1373" s="24">
        <v>11.58</v>
      </c>
      <c r="F1373" s="24">
        <v>22.13</v>
      </c>
      <c r="G1373" s="24">
        <v>0.19</v>
      </c>
      <c r="H1373" s="24" t="s">
        <v>6673</v>
      </c>
      <c r="I1373" s="24">
        <v>46.34</v>
      </c>
      <c r="J1373" s="24">
        <v>0.0</v>
      </c>
    </row>
    <row r="1374">
      <c r="A1374" s="24">
        <v>0.0</v>
      </c>
      <c r="B1374" s="24">
        <v>0.0</v>
      </c>
      <c r="C1374" s="44"/>
      <c r="D1374" s="46">
        <v>44780.0</v>
      </c>
      <c r="E1374" s="24" t="s">
        <v>6650</v>
      </c>
      <c r="F1374" s="24" t="s">
        <v>6650</v>
      </c>
      <c r="G1374" s="24" t="s">
        <v>6650</v>
      </c>
      <c r="H1374" s="24" t="s">
        <v>6681</v>
      </c>
      <c r="I1374" s="24" t="s">
        <v>6650</v>
      </c>
      <c r="J1374" s="24"/>
    </row>
    <row r="1375">
      <c r="A1375" s="24">
        <v>821.0</v>
      </c>
      <c r="B1375" s="24">
        <v>2.0</v>
      </c>
      <c r="C1375" s="44">
        <v>41.55</v>
      </c>
      <c r="D1375" s="46">
        <v>44780.0</v>
      </c>
      <c r="E1375" s="24">
        <v>20.78</v>
      </c>
      <c r="F1375" s="24">
        <v>50.61</v>
      </c>
      <c r="G1375" s="24">
        <v>0.24</v>
      </c>
      <c r="H1375" s="24" t="s">
        <v>6676</v>
      </c>
      <c r="I1375" s="24" t="s">
        <v>6650</v>
      </c>
      <c r="J1375" s="24">
        <v>0.0</v>
      </c>
    </row>
    <row r="1376">
      <c r="A1376" s="24">
        <v>660.0</v>
      </c>
      <c r="B1376" s="24">
        <v>6.0</v>
      </c>
      <c r="C1376" s="44">
        <v>33.83</v>
      </c>
      <c r="D1376" s="46">
        <v>44780.0</v>
      </c>
      <c r="E1376" s="24">
        <v>5.64</v>
      </c>
      <c r="F1376" s="24">
        <v>51.26</v>
      </c>
      <c r="G1376" s="24">
        <v>0.91</v>
      </c>
      <c r="H1376" s="24" t="s">
        <v>6674</v>
      </c>
      <c r="I1376" s="24">
        <v>8.46</v>
      </c>
      <c r="J1376" s="24">
        <v>0.0</v>
      </c>
    </row>
    <row r="1377">
      <c r="A1377" s="24">
        <v>1342.0</v>
      </c>
      <c r="B1377" s="24">
        <v>1.0</v>
      </c>
      <c r="C1377" s="44">
        <v>35.78</v>
      </c>
      <c r="D1377" s="46">
        <v>44781.0</v>
      </c>
      <c r="E1377" s="24">
        <v>35.78</v>
      </c>
      <c r="F1377" s="24">
        <v>26.66</v>
      </c>
      <c r="G1377" s="24">
        <v>0.07</v>
      </c>
      <c r="H1377" s="24" t="s">
        <v>6676</v>
      </c>
      <c r="I1377" s="24">
        <v>35.78</v>
      </c>
      <c r="J1377" s="24">
        <v>0.0</v>
      </c>
    </row>
    <row r="1378">
      <c r="A1378" s="24">
        <v>2549.0</v>
      </c>
      <c r="B1378" s="24">
        <v>2.0</v>
      </c>
      <c r="C1378" s="44">
        <v>36.43</v>
      </c>
      <c r="D1378" s="46">
        <v>44781.0</v>
      </c>
      <c r="E1378" s="24">
        <v>18.22</v>
      </c>
      <c r="F1378" s="24">
        <v>14.29</v>
      </c>
      <c r="G1378" s="24">
        <v>0.08</v>
      </c>
      <c r="H1378" s="24" t="s">
        <v>6673</v>
      </c>
      <c r="I1378" s="24">
        <v>36.43</v>
      </c>
      <c r="J1378" s="24">
        <v>0.0</v>
      </c>
    </row>
    <row r="1379">
      <c r="A1379" s="24">
        <v>379.0</v>
      </c>
      <c r="B1379" s="24">
        <v>0.0</v>
      </c>
      <c r="C1379" s="44">
        <v>15.81</v>
      </c>
      <c r="D1379" s="46">
        <v>44781.0</v>
      </c>
      <c r="E1379" s="24" t="s">
        <v>6650</v>
      </c>
      <c r="F1379" s="24">
        <v>41.72</v>
      </c>
      <c r="G1379" s="24">
        <v>0.0</v>
      </c>
      <c r="H1379" s="24" t="s">
        <v>6680</v>
      </c>
      <c r="I1379" s="24" t="s">
        <v>6650</v>
      </c>
      <c r="J1379" s="24">
        <v>0.0</v>
      </c>
    </row>
    <row r="1380">
      <c r="A1380" s="24">
        <v>595.0</v>
      </c>
      <c r="B1380" s="24">
        <v>4.0</v>
      </c>
      <c r="C1380" s="44">
        <v>26.26</v>
      </c>
      <c r="D1380" s="46">
        <v>44781.0</v>
      </c>
      <c r="E1380" s="24">
        <v>6.56</v>
      </c>
      <c r="F1380" s="24">
        <v>44.13</v>
      </c>
      <c r="G1380" s="24">
        <v>0.67</v>
      </c>
      <c r="H1380" s="24" t="s">
        <v>6674</v>
      </c>
      <c r="I1380" s="24">
        <v>26.26</v>
      </c>
      <c r="J1380" s="24">
        <v>0.0</v>
      </c>
    </row>
    <row r="1381">
      <c r="A1381" s="24">
        <v>0.0</v>
      </c>
      <c r="B1381" s="24">
        <v>0.0</v>
      </c>
      <c r="C1381" s="44"/>
      <c r="D1381" s="46">
        <v>44781.0</v>
      </c>
      <c r="E1381" s="24" t="s">
        <v>6650</v>
      </c>
      <c r="F1381" s="24" t="s">
        <v>6650</v>
      </c>
      <c r="G1381" s="24" t="s">
        <v>6650</v>
      </c>
      <c r="H1381" s="24" t="s">
        <v>6685</v>
      </c>
      <c r="I1381" s="24" t="s">
        <v>6650</v>
      </c>
      <c r="J1381" s="24"/>
    </row>
    <row r="1382">
      <c r="A1382" s="24">
        <v>2160.0</v>
      </c>
      <c r="B1382" s="24">
        <v>7.0</v>
      </c>
      <c r="C1382" s="44">
        <v>35.36</v>
      </c>
      <c r="D1382" s="46">
        <v>44781.0</v>
      </c>
      <c r="E1382" s="24">
        <v>5.05</v>
      </c>
      <c r="F1382" s="24">
        <v>16.37</v>
      </c>
      <c r="G1382" s="24">
        <v>0.32</v>
      </c>
      <c r="H1382" s="24" t="s">
        <v>6675</v>
      </c>
      <c r="I1382" s="24" t="s">
        <v>6650</v>
      </c>
      <c r="J1382" s="24">
        <v>0.0</v>
      </c>
    </row>
    <row r="1383">
      <c r="A1383" s="24">
        <v>1133.0</v>
      </c>
      <c r="B1383" s="24">
        <v>14.0</v>
      </c>
      <c r="C1383" s="44">
        <v>34.41</v>
      </c>
      <c r="D1383" s="46">
        <v>44781.0</v>
      </c>
      <c r="E1383" s="24">
        <v>2.46</v>
      </c>
      <c r="F1383" s="24">
        <v>30.37</v>
      </c>
      <c r="G1383" s="24">
        <v>1.24</v>
      </c>
      <c r="H1383" s="24" t="s">
        <v>6677</v>
      </c>
      <c r="I1383" s="24">
        <v>11.47</v>
      </c>
      <c r="J1383" s="24">
        <v>0.0</v>
      </c>
    </row>
    <row r="1384">
      <c r="A1384" s="24">
        <v>1033.0</v>
      </c>
      <c r="B1384" s="24">
        <v>13.0</v>
      </c>
      <c r="C1384" s="44">
        <v>36.79</v>
      </c>
      <c r="D1384" s="46">
        <v>44782.0</v>
      </c>
      <c r="E1384" s="24">
        <v>2.83</v>
      </c>
      <c r="F1384" s="24">
        <v>35.61</v>
      </c>
      <c r="G1384" s="24">
        <v>1.26</v>
      </c>
      <c r="H1384" s="24" t="s">
        <v>6677</v>
      </c>
      <c r="I1384" s="24">
        <v>9.2</v>
      </c>
      <c r="J1384" s="24">
        <v>0.0</v>
      </c>
    </row>
    <row r="1385">
      <c r="A1385" s="24">
        <v>815.0</v>
      </c>
      <c r="B1385" s="24">
        <v>7.0</v>
      </c>
      <c r="C1385" s="44">
        <v>29.58</v>
      </c>
      <c r="D1385" s="46">
        <v>44782.0</v>
      </c>
      <c r="E1385" s="24">
        <v>4.23</v>
      </c>
      <c r="F1385" s="24">
        <v>36.29</v>
      </c>
      <c r="G1385" s="24">
        <v>0.86</v>
      </c>
      <c r="H1385" s="24" t="s">
        <v>6674</v>
      </c>
      <c r="I1385" s="24" t="s">
        <v>6650</v>
      </c>
      <c r="J1385" s="24">
        <v>0.0</v>
      </c>
    </row>
    <row r="1386">
      <c r="A1386" s="24">
        <v>0.0</v>
      </c>
      <c r="B1386" s="24">
        <v>0.0</v>
      </c>
      <c r="C1386" s="44"/>
      <c r="D1386" s="46">
        <v>44782.0</v>
      </c>
      <c r="E1386" s="24" t="s">
        <v>6650</v>
      </c>
      <c r="F1386" s="24" t="s">
        <v>6650</v>
      </c>
      <c r="G1386" s="24" t="s">
        <v>6650</v>
      </c>
      <c r="H1386" s="24" t="s">
        <v>6685</v>
      </c>
      <c r="I1386" s="24" t="s">
        <v>6650</v>
      </c>
      <c r="J1386" s="24"/>
    </row>
    <row r="1387">
      <c r="A1387" s="24">
        <v>441.0</v>
      </c>
      <c r="B1387" s="24">
        <v>0.0</v>
      </c>
      <c r="C1387" s="44">
        <v>18.37</v>
      </c>
      <c r="D1387" s="46">
        <v>44782.0</v>
      </c>
      <c r="E1387" s="24" t="s">
        <v>6650</v>
      </c>
      <c r="F1387" s="24">
        <v>41.66</v>
      </c>
      <c r="G1387" s="24">
        <v>0.0</v>
      </c>
      <c r="H1387" s="24" t="s">
        <v>6680</v>
      </c>
      <c r="I1387" s="24">
        <v>18.37</v>
      </c>
      <c r="J1387" s="24">
        <v>0.0</v>
      </c>
    </row>
    <row r="1388">
      <c r="A1388" s="24">
        <v>1996.0</v>
      </c>
      <c r="B1388" s="24">
        <v>10.0</v>
      </c>
      <c r="C1388" s="44">
        <v>35.93</v>
      </c>
      <c r="D1388" s="46">
        <v>44782.0</v>
      </c>
      <c r="E1388" s="24">
        <v>3.59</v>
      </c>
      <c r="F1388" s="24">
        <v>18.0</v>
      </c>
      <c r="G1388" s="24">
        <v>0.5</v>
      </c>
      <c r="H1388" s="24" t="s">
        <v>6675</v>
      </c>
      <c r="I1388" s="24">
        <v>11.98</v>
      </c>
      <c r="J1388" s="24">
        <v>0.0</v>
      </c>
    </row>
    <row r="1389">
      <c r="A1389" s="24">
        <v>1281.0</v>
      </c>
      <c r="B1389" s="24">
        <v>3.0</v>
      </c>
      <c r="C1389" s="44">
        <v>41.77</v>
      </c>
      <c r="D1389" s="46">
        <v>44782.0</v>
      </c>
      <c r="E1389" s="24">
        <v>13.92</v>
      </c>
      <c r="F1389" s="24">
        <v>32.61</v>
      </c>
      <c r="G1389" s="24">
        <v>0.23</v>
      </c>
      <c r="H1389" s="24" t="s">
        <v>6676</v>
      </c>
      <c r="I1389" s="24">
        <v>20.88</v>
      </c>
      <c r="J1389" s="24">
        <v>0.0</v>
      </c>
    </row>
    <row r="1390">
      <c r="A1390" s="24">
        <v>2450.0</v>
      </c>
      <c r="B1390" s="24">
        <v>2.0</v>
      </c>
      <c r="C1390" s="44">
        <v>45.54</v>
      </c>
      <c r="D1390" s="46">
        <v>44782.0</v>
      </c>
      <c r="E1390" s="24">
        <v>22.77</v>
      </c>
      <c r="F1390" s="24">
        <v>18.59</v>
      </c>
      <c r="G1390" s="24">
        <v>0.08</v>
      </c>
      <c r="H1390" s="24" t="s">
        <v>6673</v>
      </c>
      <c r="I1390" s="24">
        <v>45.54</v>
      </c>
      <c r="J1390" s="24">
        <v>0.0</v>
      </c>
    </row>
    <row r="1391">
      <c r="A1391" s="24">
        <v>0.0</v>
      </c>
      <c r="B1391" s="24">
        <v>0.0</v>
      </c>
      <c r="C1391" s="44"/>
      <c r="D1391" s="46">
        <v>44783.0</v>
      </c>
      <c r="E1391" s="24" t="s">
        <v>6650</v>
      </c>
      <c r="F1391" s="24" t="s">
        <v>6650</v>
      </c>
      <c r="G1391" s="24" t="s">
        <v>6650</v>
      </c>
      <c r="H1391" s="24" t="s">
        <v>6685</v>
      </c>
      <c r="I1391" s="24" t="s">
        <v>6650</v>
      </c>
      <c r="J1391" s="24"/>
    </row>
    <row r="1392">
      <c r="A1392" s="24">
        <v>1874.0</v>
      </c>
      <c r="B1392" s="24">
        <v>11.0</v>
      </c>
      <c r="C1392" s="44">
        <v>36.4</v>
      </c>
      <c r="D1392" s="46">
        <v>44783.0</v>
      </c>
      <c r="E1392" s="24">
        <v>3.31</v>
      </c>
      <c r="F1392" s="24">
        <v>19.42</v>
      </c>
      <c r="G1392" s="24">
        <v>0.59</v>
      </c>
      <c r="H1392" s="24" t="s">
        <v>6675</v>
      </c>
      <c r="I1392" s="24">
        <v>9.1</v>
      </c>
      <c r="J1392" s="24">
        <v>0.0</v>
      </c>
    </row>
    <row r="1393">
      <c r="A1393" s="24">
        <v>1091.0</v>
      </c>
      <c r="B1393" s="24">
        <v>1.0</v>
      </c>
      <c r="C1393" s="44">
        <v>41.53</v>
      </c>
      <c r="D1393" s="46">
        <v>44783.0</v>
      </c>
      <c r="E1393" s="24">
        <v>41.53</v>
      </c>
      <c r="F1393" s="24">
        <v>38.07</v>
      </c>
      <c r="G1393" s="24">
        <v>0.09</v>
      </c>
      <c r="H1393" s="24" t="s">
        <v>6676</v>
      </c>
      <c r="I1393" s="24">
        <v>20.76</v>
      </c>
      <c r="J1393" s="24">
        <v>0.0</v>
      </c>
    </row>
    <row r="1394">
      <c r="A1394" s="24">
        <v>0.0</v>
      </c>
      <c r="B1394" s="24">
        <v>0.0</v>
      </c>
      <c r="C1394" s="44"/>
      <c r="D1394" s="46">
        <v>44783.0</v>
      </c>
      <c r="E1394" s="24" t="s">
        <v>6650</v>
      </c>
      <c r="F1394" s="24" t="s">
        <v>6650</v>
      </c>
      <c r="G1394" s="24" t="s">
        <v>6650</v>
      </c>
      <c r="H1394" s="24" t="s">
        <v>6681</v>
      </c>
      <c r="I1394" s="24" t="s">
        <v>6650</v>
      </c>
      <c r="J1394" s="24"/>
    </row>
    <row r="1395">
      <c r="A1395" s="24">
        <v>1623.0</v>
      </c>
      <c r="B1395" s="24">
        <v>2.0</v>
      </c>
      <c r="C1395" s="44">
        <v>40.83</v>
      </c>
      <c r="D1395" s="46">
        <v>44783.0</v>
      </c>
      <c r="E1395" s="24">
        <v>20.42</v>
      </c>
      <c r="F1395" s="24">
        <v>25.16</v>
      </c>
      <c r="G1395" s="24">
        <v>0.12</v>
      </c>
      <c r="H1395" s="24" t="s">
        <v>6673</v>
      </c>
      <c r="I1395" s="24">
        <v>40.83</v>
      </c>
      <c r="J1395" s="24">
        <v>0.0</v>
      </c>
    </row>
    <row r="1396">
      <c r="A1396" s="24">
        <v>862.0</v>
      </c>
      <c r="B1396" s="24">
        <v>8.0</v>
      </c>
      <c r="C1396" s="44">
        <v>30.82</v>
      </c>
      <c r="D1396" s="46">
        <v>44783.0</v>
      </c>
      <c r="E1396" s="24">
        <v>3.85</v>
      </c>
      <c r="F1396" s="24">
        <v>35.75</v>
      </c>
      <c r="G1396" s="24">
        <v>0.93</v>
      </c>
      <c r="H1396" s="24" t="s">
        <v>6674</v>
      </c>
      <c r="I1396" s="24">
        <v>5.14</v>
      </c>
      <c r="J1396" s="24">
        <v>0.0</v>
      </c>
    </row>
    <row r="1397">
      <c r="A1397" s="24">
        <v>440.0</v>
      </c>
      <c r="B1397" s="24">
        <v>0.0</v>
      </c>
      <c r="C1397" s="44">
        <v>18.39</v>
      </c>
      <c r="D1397" s="46">
        <v>44783.0</v>
      </c>
      <c r="E1397" s="24" t="s">
        <v>6650</v>
      </c>
      <c r="F1397" s="24">
        <v>41.8</v>
      </c>
      <c r="G1397" s="24">
        <v>0.0</v>
      </c>
      <c r="H1397" s="24" t="s">
        <v>6680</v>
      </c>
      <c r="I1397" s="24">
        <v>18.39</v>
      </c>
      <c r="J1397" s="24">
        <v>0.0</v>
      </c>
    </row>
    <row r="1398">
      <c r="A1398" s="24">
        <v>953.0</v>
      </c>
      <c r="B1398" s="24">
        <v>4.0</v>
      </c>
      <c r="C1398" s="44">
        <v>37.06</v>
      </c>
      <c r="D1398" s="46">
        <v>44783.0</v>
      </c>
      <c r="E1398" s="24">
        <v>9.26</v>
      </c>
      <c r="F1398" s="24">
        <v>38.89</v>
      </c>
      <c r="G1398" s="24">
        <v>0.42</v>
      </c>
      <c r="H1398" s="24" t="s">
        <v>6677</v>
      </c>
      <c r="I1398" s="24">
        <v>12.35</v>
      </c>
      <c r="J1398" s="24">
        <v>0.0</v>
      </c>
    </row>
    <row r="1399">
      <c r="A1399" s="24">
        <v>906.0</v>
      </c>
      <c r="B1399" s="24">
        <v>7.0</v>
      </c>
      <c r="C1399" s="44">
        <v>36.68</v>
      </c>
      <c r="D1399" s="46">
        <v>44784.0</v>
      </c>
      <c r="E1399" s="24">
        <v>5.24</v>
      </c>
      <c r="F1399" s="24">
        <v>40.49</v>
      </c>
      <c r="G1399" s="24">
        <v>0.77</v>
      </c>
      <c r="H1399" s="24" t="s">
        <v>6677</v>
      </c>
      <c r="I1399" s="24">
        <v>12.23</v>
      </c>
      <c r="J1399" s="24">
        <v>0.0</v>
      </c>
    </row>
    <row r="1400">
      <c r="A1400" s="24">
        <v>1103.0</v>
      </c>
      <c r="B1400" s="24">
        <v>1.0</v>
      </c>
      <c r="C1400" s="44">
        <v>41.85</v>
      </c>
      <c r="D1400" s="46">
        <v>44784.0</v>
      </c>
      <c r="E1400" s="24">
        <v>41.85</v>
      </c>
      <c r="F1400" s="24">
        <v>37.94</v>
      </c>
      <c r="G1400" s="24">
        <v>0.09</v>
      </c>
      <c r="H1400" s="24" t="s">
        <v>6676</v>
      </c>
      <c r="I1400" s="24">
        <v>13.95</v>
      </c>
      <c r="J1400" s="24">
        <v>0.0</v>
      </c>
    </row>
    <row r="1401">
      <c r="A1401" s="24">
        <v>434.0</v>
      </c>
      <c r="B1401" s="24">
        <v>2.0</v>
      </c>
      <c r="C1401" s="44">
        <v>19.16</v>
      </c>
      <c r="D1401" s="46">
        <v>44784.0</v>
      </c>
      <c r="E1401" s="24">
        <v>9.58</v>
      </c>
      <c r="F1401" s="24">
        <v>44.15</v>
      </c>
      <c r="G1401" s="24">
        <v>0.46</v>
      </c>
      <c r="H1401" s="24" t="s">
        <v>6680</v>
      </c>
      <c r="I1401" s="24" t="s">
        <v>6650</v>
      </c>
      <c r="J1401" s="24">
        <v>0.0</v>
      </c>
    </row>
    <row r="1402">
      <c r="A1402" s="24">
        <v>811.0</v>
      </c>
      <c r="B1402" s="24">
        <v>8.0</v>
      </c>
      <c r="C1402" s="44">
        <v>30.75</v>
      </c>
      <c r="D1402" s="46">
        <v>44784.0</v>
      </c>
      <c r="E1402" s="24">
        <v>3.84</v>
      </c>
      <c r="F1402" s="24">
        <v>37.92</v>
      </c>
      <c r="G1402" s="24">
        <v>0.99</v>
      </c>
      <c r="H1402" s="24" t="s">
        <v>6674</v>
      </c>
      <c r="I1402" s="24">
        <v>15.38</v>
      </c>
      <c r="J1402" s="24">
        <v>0.0</v>
      </c>
    </row>
    <row r="1403">
      <c r="A1403" s="24">
        <v>2471.0</v>
      </c>
      <c r="B1403" s="24">
        <v>3.0</v>
      </c>
      <c r="C1403" s="44">
        <v>40.69</v>
      </c>
      <c r="D1403" s="46">
        <v>44784.0</v>
      </c>
      <c r="E1403" s="24">
        <v>13.56</v>
      </c>
      <c r="F1403" s="24">
        <v>16.47</v>
      </c>
      <c r="G1403" s="24">
        <v>0.12</v>
      </c>
      <c r="H1403" s="24" t="s">
        <v>6673</v>
      </c>
      <c r="I1403" s="24">
        <v>10.17</v>
      </c>
      <c r="J1403" s="24">
        <v>0.0</v>
      </c>
    </row>
    <row r="1404">
      <c r="A1404" s="24">
        <v>1763.0</v>
      </c>
      <c r="B1404" s="24">
        <v>10.0</v>
      </c>
      <c r="C1404" s="44">
        <v>36.3</v>
      </c>
      <c r="D1404" s="46">
        <v>44784.0</v>
      </c>
      <c r="E1404" s="24">
        <v>3.63</v>
      </c>
      <c r="F1404" s="24">
        <v>20.59</v>
      </c>
      <c r="G1404" s="24">
        <v>0.57</v>
      </c>
      <c r="H1404" s="24" t="s">
        <v>6675</v>
      </c>
      <c r="I1404" s="24">
        <v>7.26</v>
      </c>
      <c r="J1404" s="24">
        <v>0.0</v>
      </c>
    </row>
    <row r="1405">
      <c r="A1405" s="24">
        <v>845.0</v>
      </c>
      <c r="B1405" s="24">
        <v>2.0</v>
      </c>
      <c r="C1405" s="44">
        <v>40.13</v>
      </c>
      <c r="D1405" s="46">
        <v>44785.0</v>
      </c>
      <c r="E1405" s="24">
        <v>20.07</v>
      </c>
      <c r="F1405" s="24">
        <v>47.49</v>
      </c>
      <c r="G1405" s="24">
        <v>0.24</v>
      </c>
      <c r="H1405" s="24" t="s">
        <v>6676</v>
      </c>
      <c r="I1405" s="24">
        <v>20.07</v>
      </c>
      <c r="J1405" s="24">
        <v>0.0</v>
      </c>
    </row>
    <row r="1406">
      <c r="A1406" s="24">
        <v>688.0</v>
      </c>
      <c r="B1406" s="24">
        <v>8.0</v>
      </c>
      <c r="C1406" s="44">
        <v>31.76</v>
      </c>
      <c r="D1406" s="46">
        <v>44785.0</v>
      </c>
      <c r="E1406" s="24">
        <v>3.97</v>
      </c>
      <c r="F1406" s="24">
        <v>46.16</v>
      </c>
      <c r="G1406" s="24">
        <v>1.16</v>
      </c>
      <c r="H1406" s="24" t="s">
        <v>6677</v>
      </c>
      <c r="I1406" s="24">
        <v>15.88</v>
      </c>
      <c r="J1406" s="24">
        <v>0.0</v>
      </c>
    </row>
    <row r="1407">
      <c r="A1407" s="24">
        <v>1494.0</v>
      </c>
      <c r="B1407" s="24">
        <v>9.0</v>
      </c>
      <c r="C1407" s="44">
        <v>33.14</v>
      </c>
      <c r="D1407" s="46">
        <v>44785.0</v>
      </c>
      <c r="E1407" s="24">
        <v>3.68</v>
      </c>
      <c r="F1407" s="24">
        <v>22.18</v>
      </c>
      <c r="G1407" s="24">
        <v>0.6</v>
      </c>
      <c r="H1407" s="24" t="s">
        <v>6675</v>
      </c>
      <c r="I1407" s="24">
        <v>11.05</v>
      </c>
      <c r="J1407" s="24">
        <v>0.0</v>
      </c>
    </row>
    <row r="1408">
      <c r="A1408" s="24">
        <v>456.0</v>
      </c>
      <c r="B1408" s="24">
        <v>6.0</v>
      </c>
      <c r="C1408" s="44">
        <v>18.24</v>
      </c>
      <c r="D1408" s="46">
        <v>44785.0</v>
      </c>
      <c r="E1408" s="24">
        <v>3.04</v>
      </c>
      <c r="F1408" s="24">
        <v>40.0</v>
      </c>
      <c r="G1408" s="24">
        <v>1.32</v>
      </c>
      <c r="H1408" s="24" t="s">
        <v>6680</v>
      </c>
      <c r="I1408" s="24">
        <v>4.56</v>
      </c>
      <c r="J1408" s="24">
        <v>0.0</v>
      </c>
    </row>
    <row r="1409">
      <c r="A1409" s="24">
        <v>651.0</v>
      </c>
      <c r="B1409" s="24">
        <v>2.0</v>
      </c>
      <c r="C1409" s="44">
        <v>28.25</v>
      </c>
      <c r="D1409" s="46">
        <v>44785.0</v>
      </c>
      <c r="E1409" s="24">
        <v>14.12</v>
      </c>
      <c r="F1409" s="24">
        <v>43.39</v>
      </c>
      <c r="G1409" s="24">
        <v>0.31</v>
      </c>
      <c r="H1409" s="24" t="s">
        <v>6674</v>
      </c>
      <c r="I1409" s="24">
        <v>28.25</v>
      </c>
      <c r="J1409" s="24">
        <v>0.0</v>
      </c>
    </row>
    <row r="1410">
      <c r="A1410" s="24">
        <v>2311.0</v>
      </c>
      <c r="B1410" s="24">
        <v>1.0</v>
      </c>
      <c r="C1410" s="44">
        <v>38.34</v>
      </c>
      <c r="D1410" s="46">
        <v>44785.0</v>
      </c>
      <c r="E1410" s="24">
        <v>38.34</v>
      </c>
      <c r="F1410" s="24">
        <v>16.59</v>
      </c>
      <c r="G1410" s="24">
        <v>0.04</v>
      </c>
      <c r="H1410" s="24" t="s">
        <v>6673</v>
      </c>
      <c r="I1410" s="24">
        <v>19.17</v>
      </c>
      <c r="J1410" s="24">
        <v>0.0</v>
      </c>
    </row>
    <row r="1411">
      <c r="A1411" s="24">
        <v>157.0</v>
      </c>
      <c r="B1411" s="24">
        <v>1.0</v>
      </c>
      <c r="C1411" s="44">
        <v>7.08</v>
      </c>
      <c r="D1411" s="46">
        <v>44786.0</v>
      </c>
      <c r="E1411" s="24">
        <v>7.08</v>
      </c>
      <c r="F1411" s="24">
        <v>45.1</v>
      </c>
      <c r="G1411" s="24">
        <v>0.64</v>
      </c>
      <c r="H1411" s="24" t="s">
        <v>6680</v>
      </c>
      <c r="I1411" s="24" t="s">
        <v>6650</v>
      </c>
      <c r="J1411" s="24">
        <v>0.0</v>
      </c>
    </row>
    <row r="1412">
      <c r="A1412" s="24">
        <v>436.0</v>
      </c>
      <c r="B1412" s="24">
        <v>6.0</v>
      </c>
      <c r="C1412" s="44">
        <v>16.39</v>
      </c>
      <c r="D1412" s="46">
        <v>44786.0</v>
      </c>
      <c r="E1412" s="24">
        <v>2.73</v>
      </c>
      <c r="F1412" s="24">
        <v>37.59</v>
      </c>
      <c r="G1412" s="24">
        <v>1.38</v>
      </c>
      <c r="H1412" s="24" t="s">
        <v>6677</v>
      </c>
      <c r="I1412" s="24" t="s">
        <v>6650</v>
      </c>
      <c r="J1412" s="24">
        <v>0.0</v>
      </c>
    </row>
    <row r="1413">
      <c r="A1413" s="24">
        <v>889.0</v>
      </c>
      <c r="B1413" s="24">
        <v>8.0</v>
      </c>
      <c r="C1413" s="44">
        <v>16.36</v>
      </c>
      <c r="D1413" s="46">
        <v>44786.0</v>
      </c>
      <c r="E1413" s="24">
        <v>2.04</v>
      </c>
      <c r="F1413" s="24">
        <v>18.4</v>
      </c>
      <c r="G1413" s="24">
        <v>0.9</v>
      </c>
      <c r="H1413" s="24" t="s">
        <v>6675</v>
      </c>
      <c r="I1413" s="24">
        <v>5.45</v>
      </c>
      <c r="J1413" s="24">
        <v>0.0</v>
      </c>
    </row>
    <row r="1414">
      <c r="A1414" s="24">
        <v>494.0</v>
      </c>
      <c r="B1414" s="24">
        <v>1.0</v>
      </c>
      <c r="C1414" s="44">
        <v>20.69</v>
      </c>
      <c r="D1414" s="46">
        <v>44786.0</v>
      </c>
      <c r="E1414" s="24">
        <v>20.69</v>
      </c>
      <c r="F1414" s="24">
        <v>41.88</v>
      </c>
      <c r="G1414" s="24">
        <v>0.2</v>
      </c>
      <c r="H1414" s="24" t="s">
        <v>6676</v>
      </c>
      <c r="I1414" s="24">
        <v>20.69</v>
      </c>
      <c r="J1414" s="24">
        <v>0.0</v>
      </c>
    </row>
    <row r="1415">
      <c r="A1415" s="24">
        <v>1312.0</v>
      </c>
      <c r="B1415" s="24">
        <v>0.0</v>
      </c>
      <c r="C1415" s="44">
        <v>20.37</v>
      </c>
      <c r="D1415" s="46">
        <v>44786.0</v>
      </c>
      <c r="E1415" s="24" t="s">
        <v>6650</v>
      </c>
      <c r="F1415" s="24">
        <v>15.53</v>
      </c>
      <c r="G1415" s="24">
        <v>0.0</v>
      </c>
      <c r="H1415" s="24" t="s">
        <v>6673</v>
      </c>
      <c r="I1415" s="24" t="s">
        <v>6650</v>
      </c>
      <c r="J1415" s="24">
        <v>0.0</v>
      </c>
    </row>
    <row r="1416">
      <c r="A1416" s="24">
        <v>456.0</v>
      </c>
      <c r="B1416" s="24">
        <v>0.0</v>
      </c>
      <c r="C1416" s="44">
        <v>13.51</v>
      </c>
      <c r="D1416" s="46">
        <v>44786.0</v>
      </c>
      <c r="E1416" s="24" t="s">
        <v>6650</v>
      </c>
      <c r="F1416" s="24">
        <v>29.63</v>
      </c>
      <c r="G1416" s="24">
        <v>0.0</v>
      </c>
      <c r="H1416" s="24" t="s">
        <v>6674</v>
      </c>
      <c r="I1416" s="24" t="s">
        <v>6650</v>
      </c>
      <c r="J1416" s="24">
        <v>0.0</v>
      </c>
    </row>
    <row r="1417">
      <c r="A1417" s="24">
        <v>182.0</v>
      </c>
      <c r="B1417" s="24">
        <v>0.0</v>
      </c>
      <c r="C1417" s="44">
        <v>7.17</v>
      </c>
      <c r="D1417" s="46">
        <v>44787.0</v>
      </c>
      <c r="E1417" s="24" t="s">
        <v>6650</v>
      </c>
      <c r="F1417" s="24">
        <v>39.4</v>
      </c>
      <c r="G1417" s="24">
        <v>0.0</v>
      </c>
      <c r="H1417" s="24" t="s">
        <v>6680</v>
      </c>
      <c r="I1417" s="24" t="s">
        <v>6650</v>
      </c>
      <c r="J1417" s="24">
        <v>0.0</v>
      </c>
    </row>
    <row r="1418">
      <c r="A1418" s="24">
        <v>485.0</v>
      </c>
      <c r="B1418" s="24">
        <v>8.0</v>
      </c>
      <c r="C1418" s="44">
        <v>16.91</v>
      </c>
      <c r="D1418" s="46">
        <v>44787.0</v>
      </c>
      <c r="E1418" s="24">
        <v>2.11</v>
      </c>
      <c r="F1418" s="24">
        <v>34.87</v>
      </c>
      <c r="G1418" s="24">
        <v>1.65</v>
      </c>
      <c r="H1418" s="24" t="s">
        <v>6677</v>
      </c>
      <c r="I1418" s="24">
        <v>8.46</v>
      </c>
      <c r="J1418" s="24">
        <v>0.0</v>
      </c>
    </row>
    <row r="1419">
      <c r="A1419" s="24">
        <v>1330.0</v>
      </c>
      <c r="B1419" s="24">
        <v>1.0</v>
      </c>
      <c r="C1419" s="44">
        <v>20.52</v>
      </c>
      <c r="D1419" s="46">
        <v>44787.0</v>
      </c>
      <c r="E1419" s="24">
        <v>20.52</v>
      </c>
      <c r="F1419" s="24">
        <v>15.43</v>
      </c>
      <c r="G1419" s="24">
        <v>0.08</v>
      </c>
      <c r="H1419" s="24" t="s">
        <v>6673</v>
      </c>
      <c r="I1419" s="24">
        <v>20.52</v>
      </c>
      <c r="J1419" s="24">
        <v>0.0</v>
      </c>
    </row>
    <row r="1420">
      <c r="A1420" s="24">
        <v>915.0</v>
      </c>
      <c r="B1420" s="24">
        <v>3.0</v>
      </c>
      <c r="C1420" s="44">
        <v>16.51</v>
      </c>
      <c r="D1420" s="46">
        <v>44787.0</v>
      </c>
      <c r="E1420" s="24">
        <v>5.5</v>
      </c>
      <c r="F1420" s="24">
        <v>18.04</v>
      </c>
      <c r="G1420" s="24">
        <v>0.33</v>
      </c>
      <c r="H1420" s="24" t="s">
        <v>6675</v>
      </c>
      <c r="I1420" s="24">
        <v>16.51</v>
      </c>
      <c r="J1420" s="24">
        <v>0.0</v>
      </c>
    </row>
    <row r="1421">
      <c r="A1421" s="24">
        <v>530.0</v>
      </c>
      <c r="B1421" s="24">
        <v>2.0</v>
      </c>
      <c r="C1421" s="44">
        <v>20.94</v>
      </c>
      <c r="D1421" s="46">
        <v>44787.0</v>
      </c>
      <c r="E1421" s="24">
        <v>10.47</v>
      </c>
      <c r="F1421" s="24">
        <v>39.51</v>
      </c>
      <c r="G1421" s="24">
        <v>0.38</v>
      </c>
      <c r="H1421" s="24" t="s">
        <v>6676</v>
      </c>
      <c r="I1421" s="24" t="s">
        <v>6650</v>
      </c>
      <c r="J1421" s="24">
        <v>0.0</v>
      </c>
    </row>
    <row r="1422">
      <c r="A1422" s="24">
        <v>438.0</v>
      </c>
      <c r="B1422" s="24">
        <v>2.0</v>
      </c>
      <c r="C1422" s="44">
        <v>14.3</v>
      </c>
      <c r="D1422" s="46">
        <v>44787.0</v>
      </c>
      <c r="E1422" s="24">
        <v>7.15</v>
      </c>
      <c r="F1422" s="24">
        <v>32.65</v>
      </c>
      <c r="G1422" s="24">
        <v>0.46</v>
      </c>
      <c r="H1422" s="24" t="s">
        <v>6674</v>
      </c>
      <c r="I1422" s="24">
        <v>7.15</v>
      </c>
      <c r="J1422" s="24">
        <v>0.0</v>
      </c>
    </row>
    <row r="1423">
      <c r="A1423" s="24">
        <v>679.0</v>
      </c>
      <c r="B1423" s="24">
        <v>5.0</v>
      </c>
      <c r="C1423" s="44">
        <v>25.38</v>
      </c>
      <c r="D1423" s="46">
        <v>44788.0</v>
      </c>
      <c r="E1423" s="24">
        <v>5.08</v>
      </c>
      <c r="F1423" s="24">
        <v>37.38</v>
      </c>
      <c r="G1423" s="24">
        <v>0.74</v>
      </c>
      <c r="H1423" s="24" t="s">
        <v>6674</v>
      </c>
      <c r="I1423" s="24">
        <v>12.69</v>
      </c>
      <c r="J1423" s="24">
        <v>0.0</v>
      </c>
    </row>
    <row r="1424">
      <c r="A1424" s="24">
        <v>956.0</v>
      </c>
      <c r="B1424" s="24">
        <v>5.0</v>
      </c>
      <c r="C1424" s="44">
        <v>33.45</v>
      </c>
      <c r="D1424" s="46">
        <v>44788.0</v>
      </c>
      <c r="E1424" s="24">
        <v>6.69</v>
      </c>
      <c r="F1424" s="24">
        <v>34.99</v>
      </c>
      <c r="G1424" s="24">
        <v>0.52</v>
      </c>
      <c r="H1424" s="24" t="s">
        <v>6677</v>
      </c>
      <c r="I1424" s="24" t="s">
        <v>6650</v>
      </c>
      <c r="J1424" s="24">
        <v>0.0</v>
      </c>
    </row>
    <row r="1425">
      <c r="A1425" s="24">
        <v>358.0</v>
      </c>
      <c r="B1425" s="24">
        <v>1.0</v>
      </c>
      <c r="C1425" s="44">
        <v>14.84</v>
      </c>
      <c r="D1425" s="46">
        <v>44788.0</v>
      </c>
      <c r="E1425" s="24">
        <v>14.84</v>
      </c>
      <c r="F1425" s="24">
        <v>41.45</v>
      </c>
      <c r="G1425" s="24">
        <v>0.28</v>
      </c>
      <c r="H1425" s="24" t="s">
        <v>6680</v>
      </c>
      <c r="I1425" s="24" t="s">
        <v>6650</v>
      </c>
      <c r="J1425" s="24">
        <v>0.0</v>
      </c>
    </row>
    <row r="1426">
      <c r="A1426" s="24">
        <v>2522.0</v>
      </c>
      <c r="B1426" s="24">
        <v>1.0</v>
      </c>
      <c r="C1426" s="44">
        <v>34.37</v>
      </c>
      <c r="D1426" s="46">
        <v>44788.0</v>
      </c>
      <c r="E1426" s="24">
        <v>34.37</v>
      </c>
      <c r="F1426" s="24">
        <v>13.63</v>
      </c>
      <c r="G1426" s="24">
        <v>0.04</v>
      </c>
      <c r="H1426" s="24" t="s">
        <v>6673</v>
      </c>
      <c r="I1426" s="24" t="s">
        <v>6650</v>
      </c>
      <c r="J1426" s="24">
        <v>0.0</v>
      </c>
    </row>
    <row r="1427">
      <c r="A1427" s="24">
        <v>1306.0</v>
      </c>
      <c r="B1427" s="24">
        <v>5.0</v>
      </c>
      <c r="C1427" s="44">
        <v>33.32</v>
      </c>
      <c r="D1427" s="46">
        <v>44788.0</v>
      </c>
      <c r="E1427" s="24">
        <v>6.66</v>
      </c>
      <c r="F1427" s="24">
        <v>25.51</v>
      </c>
      <c r="G1427" s="24">
        <v>0.38</v>
      </c>
      <c r="H1427" s="24" t="s">
        <v>6675</v>
      </c>
      <c r="I1427" s="24" t="s">
        <v>6650</v>
      </c>
      <c r="J1427" s="24">
        <v>0.0</v>
      </c>
    </row>
    <row r="1428">
      <c r="A1428" s="24">
        <v>1173.0</v>
      </c>
      <c r="B1428" s="24">
        <v>2.0</v>
      </c>
      <c r="C1428" s="44">
        <v>34.03</v>
      </c>
      <c r="D1428" s="46">
        <v>44788.0</v>
      </c>
      <c r="E1428" s="24">
        <v>17.02</v>
      </c>
      <c r="F1428" s="24">
        <v>29.01</v>
      </c>
      <c r="G1428" s="24">
        <v>0.17</v>
      </c>
      <c r="H1428" s="24" t="s">
        <v>6676</v>
      </c>
      <c r="I1428" s="24">
        <v>17.02</v>
      </c>
      <c r="J1428" s="24">
        <v>0.0</v>
      </c>
    </row>
    <row r="1429">
      <c r="A1429" s="24">
        <v>1007.0</v>
      </c>
      <c r="B1429" s="24">
        <v>6.0</v>
      </c>
      <c r="C1429" s="44">
        <v>31.85</v>
      </c>
      <c r="D1429" s="46">
        <v>44789.0</v>
      </c>
      <c r="E1429" s="24">
        <v>5.31</v>
      </c>
      <c r="F1429" s="24">
        <v>31.63</v>
      </c>
      <c r="G1429" s="24">
        <v>0.6</v>
      </c>
      <c r="H1429" s="24" t="s">
        <v>6674</v>
      </c>
      <c r="I1429" s="24">
        <v>31.85</v>
      </c>
      <c r="J1429" s="24">
        <v>0.0</v>
      </c>
    </row>
    <row r="1430">
      <c r="A1430" s="24">
        <v>1203.0</v>
      </c>
      <c r="B1430" s="24">
        <v>16.0</v>
      </c>
      <c r="C1430" s="44">
        <v>36.04</v>
      </c>
      <c r="D1430" s="46">
        <v>44789.0</v>
      </c>
      <c r="E1430" s="24">
        <v>2.25</v>
      </c>
      <c r="F1430" s="24">
        <v>29.96</v>
      </c>
      <c r="G1430" s="24">
        <v>1.33</v>
      </c>
      <c r="H1430" s="24" t="s">
        <v>6677</v>
      </c>
      <c r="I1430" s="24" t="s">
        <v>6650</v>
      </c>
      <c r="J1430" s="24">
        <v>0.0</v>
      </c>
    </row>
    <row r="1431">
      <c r="A1431" s="24">
        <v>621.0</v>
      </c>
      <c r="B1431" s="24">
        <v>0.0</v>
      </c>
      <c r="C1431" s="44">
        <v>19.43</v>
      </c>
      <c r="D1431" s="46">
        <v>44789.0</v>
      </c>
      <c r="E1431" s="24" t="s">
        <v>6650</v>
      </c>
      <c r="F1431" s="24">
        <v>31.29</v>
      </c>
      <c r="G1431" s="24">
        <v>0.0</v>
      </c>
      <c r="H1431" s="24" t="s">
        <v>6680</v>
      </c>
      <c r="I1431" s="24" t="s">
        <v>6650</v>
      </c>
      <c r="J1431" s="24">
        <v>0.0</v>
      </c>
    </row>
    <row r="1432">
      <c r="A1432" s="24">
        <v>2214.0</v>
      </c>
      <c r="B1432" s="24">
        <v>2.0</v>
      </c>
      <c r="C1432" s="44">
        <v>44.21</v>
      </c>
      <c r="D1432" s="46">
        <v>44789.0</v>
      </c>
      <c r="E1432" s="24">
        <v>22.1</v>
      </c>
      <c r="F1432" s="24">
        <v>19.97</v>
      </c>
      <c r="G1432" s="24">
        <v>0.09</v>
      </c>
      <c r="H1432" s="24" t="s">
        <v>6673</v>
      </c>
      <c r="I1432" s="24">
        <v>8.84</v>
      </c>
      <c r="J1432" s="24">
        <v>0.0</v>
      </c>
    </row>
    <row r="1433">
      <c r="A1433" s="24">
        <v>1573.0</v>
      </c>
      <c r="B1433" s="24">
        <v>10.0</v>
      </c>
      <c r="C1433" s="44">
        <v>35.59</v>
      </c>
      <c r="D1433" s="46">
        <v>44789.0</v>
      </c>
      <c r="E1433" s="24">
        <v>3.56</v>
      </c>
      <c r="F1433" s="24">
        <v>22.63</v>
      </c>
      <c r="G1433" s="24">
        <v>0.64</v>
      </c>
      <c r="H1433" s="24" t="s">
        <v>6675</v>
      </c>
      <c r="I1433" s="24">
        <v>35.59</v>
      </c>
      <c r="J1433" s="24">
        <v>0.0</v>
      </c>
    </row>
    <row r="1434">
      <c r="A1434" s="24">
        <v>1144.0</v>
      </c>
      <c r="B1434" s="24">
        <v>0.0</v>
      </c>
      <c r="C1434" s="44">
        <v>43.75</v>
      </c>
      <c r="D1434" s="46">
        <v>44789.0</v>
      </c>
      <c r="E1434" s="24" t="s">
        <v>6650</v>
      </c>
      <c r="F1434" s="24">
        <v>38.24</v>
      </c>
      <c r="G1434" s="24">
        <v>0.0</v>
      </c>
      <c r="H1434" s="24" t="s">
        <v>6676</v>
      </c>
      <c r="I1434" s="24">
        <v>21.88</v>
      </c>
      <c r="J1434" s="24">
        <v>0.0</v>
      </c>
    </row>
    <row r="1435">
      <c r="A1435" s="24">
        <v>1113.0</v>
      </c>
      <c r="B1435" s="24">
        <v>7.0</v>
      </c>
      <c r="C1435" s="44">
        <v>27.13</v>
      </c>
      <c r="D1435" s="46">
        <v>44790.0</v>
      </c>
      <c r="E1435" s="24">
        <v>3.88</v>
      </c>
      <c r="F1435" s="24">
        <v>24.38</v>
      </c>
      <c r="G1435" s="24">
        <v>0.63</v>
      </c>
      <c r="H1435" s="24" t="s">
        <v>6675</v>
      </c>
      <c r="I1435" s="24">
        <v>9.04</v>
      </c>
      <c r="J1435" s="24">
        <v>0.0</v>
      </c>
    </row>
    <row r="1436">
      <c r="A1436" s="24">
        <v>776.0</v>
      </c>
      <c r="B1436" s="24">
        <v>5.0</v>
      </c>
      <c r="C1436" s="44">
        <v>27.46</v>
      </c>
      <c r="D1436" s="46">
        <v>44790.0</v>
      </c>
      <c r="E1436" s="24">
        <v>5.49</v>
      </c>
      <c r="F1436" s="24">
        <v>35.39</v>
      </c>
      <c r="G1436" s="24">
        <v>0.64</v>
      </c>
      <c r="H1436" s="24" t="s">
        <v>6677</v>
      </c>
      <c r="I1436" s="24">
        <v>27.46</v>
      </c>
      <c r="J1436" s="24">
        <v>0.0</v>
      </c>
    </row>
    <row r="1437">
      <c r="A1437" s="24">
        <v>814.0</v>
      </c>
      <c r="B1437" s="24">
        <v>5.0</v>
      </c>
      <c r="C1437" s="44">
        <v>29.69</v>
      </c>
      <c r="D1437" s="46">
        <v>44790.0</v>
      </c>
      <c r="E1437" s="24">
        <v>5.94</v>
      </c>
      <c r="F1437" s="24">
        <v>36.47</v>
      </c>
      <c r="G1437" s="24">
        <v>0.61</v>
      </c>
      <c r="H1437" s="24" t="s">
        <v>6674</v>
      </c>
      <c r="I1437" s="24">
        <v>9.9</v>
      </c>
      <c r="J1437" s="24">
        <v>0.0</v>
      </c>
    </row>
    <row r="1438">
      <c r="A1438" s="24">
        <v>520.0</v>
      </c>
      <c r="B1438" s="24">
        <v>6.0</v>
      </c>
      <c r="C1438" s="44">
        <v>18.78</v>
      </c>
      <c r="D1438" s="46">
        <v>44790.0</v>
      </c>
      <c r="E1438" s="24">
        <v>3.13</v>
      </c>
      <c r="F1438" s="24">
        <v>36.12</v>
      </c>
      <c r="G1438" s="24">
        <v>1.15</v>
      </c>
      <c r="H1438" s="24" t="s">
        <v>6680</v>
      </c>
      <c r="I1438" s="24">
        <v>9.39</v>
      </c>
      <c r="J1438" s="24">
        <v>0.0</v>
      </c>
    </row>
    <row r="1439">
      <c r="A1439" s="24">
        <v>1669.0</v>
      </c>
      <c r="B1439" s="24">
        <v>1.0</v>
      </c>
      <c r="C1439" s="44">
        <v>28.61</v>
      </c>
      <c r="D1439" s="46">
        <v>44790.0</v>
      </c>
      <c r="E1439" s="24">
        <v>28.61</v>
      </c>
      <c r="F1439" s="24">
        <v>17.14</v>
      </c>
      <c r="G1439" s="24">
        <v>0.06</v>
      </c>
      <c r="H1439" s="24" t="s">
        <v>6673</v>
      </c>
      <c r="I1439" s="24">
        <v>28.61</v>
      </c>
      <c r="J1439" s="24">
        <v>0.0</v>
      </c>
    </row>
    <row r="1440">
      <c r="A1440" s="24">
        <v>702.0</v>
      </c>
      <c r="B1440" s="24">
        <v>1.0</v>
      </c>
      <c r="C1440" s="44">
        <v>30.67</v>
      </c>
      <c r="D1440" s="46">
        <v>44790.0</v>
      </c>
      <c r="E1440" s="24">
        <v>30.67</v>
      </c>
      <c r="F1440" s="24">
        <v>43.69</v>
      </c>
      <c r="G1440" s="24">
        <v>0.14</v>
      </c>
      <c r="H1440" s="24" t="s">
        <v>6676</v>
      </c>
      <c r="I1440" s="24" t="s">
        <v>6650</v>
      </c>
      <c r="J1440" s="24">
        <v>0.0</v>
      </c>
    </row>
    <row r="1441">
      <c r="A1441" s="24">
        <v>482.0</v>
      </c>
      <c r="B1441" s="24">
        <v>3.0</v>
      </c>
      <c r="C1441" s="44">
        <v>17.91</v>
      </c>
      <c r="D1441" s="46">
        <v>44791.0</v>
      </c>
      <c r="E1441" s="24">
        <v>5.97</v>
      </c>
      <c r="F1441" s="24">
        <v>37.16</v>
      </c>
      <c r="G1441" s="24">
        <v>0.62</v>
      </c>
      <c r="H1441" s="24" t="s">
        <v>6680</v>
      </c>
      <c r="I1441" s="24">
        <v>5.97</v>
      </c>
      <c r="J1441" s="24">
        <v>0.0</v>
      </c>
    </row>
    <row r="1442">
      <c r="A1442" s="24">
        <v>213.0</v>
      </c>
      <c r="B1442" s="24">
        <v>3.0</v>
      </c>
      <c r="C1442" s="44">
        <v>10.07</v>
      </c>
      <c r="D1442" s="46">
        <v>44791.0</v>
      </c>
      <c r="E1442" s="24">
        <v>3.36</v>
      </c>
      <c r="F1442" s="24">
        <v>47.28</v>
      </c>
      <c r="G1442" s="24">
        <v>1.41</v>
      </c>
      <c r="H1442" s="24" t="s">
        <v>6677</v>
      </c>
      <c r="I1442" s="24" t="s">
        <v>6650</v>
      </c>
      <c r="J1442" s="24">
        <v>0.0</v>
      </c>
    </row>
    <row r="1443">
      <c r="A1443" s="24">
        <v>736.0</v>
      </c>
      <c r="B1443" s="24">
        <v>6.0</v>
      </c>
      <c r="C1443" s="44">
        <v>30.32</v>
      </c>
      <c r="D1443" s="46">
        <v>44791.0</v>
      </c>
      <c r="E1443" s="24">
        <v>5.05</v>
      </c>
      <c r="F1443" s="24">
        <v>41.2</v>
      </c>
      <c r="G1443" s="24">
        <v>0.82</v>
      </c>
      <c r="H1443" s="24" t="s">
        <v>6674</v>
      </c>
      <c r="I1443" s="24">
        <v>15.16</v>
      </c>
      <c r="J1443" s="24">
        <v>0.0</v>
      </c>
    </row>
    <row r="1444">
      <c r="A1444" s="24">
        <v>654.0</v>
      </c>
      <c r="B1444" s="24">
        <v>0.0</v>
      </c>
      <c r="C1444" s="44">
        <v>25.86</v>
      </c>
      <c r="D1444" s="46">
        <v>44791.0</v>
      </c>
      <c r="E1444" s="24" t="s">
        <v>6650</v>
      </c>
      <c r="F1444" s="24">
        <v>39.54</v>
      </c>
      <c r="G1444" s="24">
        <v>0.0</v>
      </c>
      <c r="H1444" s="24" t="s">
        <v>6676</v>
      </c>
      <c r="I1444" s="24" t="s">
        <v>6650</v>
      </c>
      <c r="J1444" s="24">
        <v>0.0</v>
      </c>
    </row>
    <row r="1445">
      <c r="A1445" s="24">
        <v>377.0</v>
      </c>
      <c r="B1445" s="24">
        <v>6.0</v>
      </c>
      <c r="C1445" s="44">
        <v>10.62</v>
      </c>
      <c r="D1445" s="46">
        <v>44791.0</v>
      </c>
      <c r="E1445" s="24">
        <v>1.77</v>
      </c>
      <c r="F1445" s="24">
        <v>28.17</v>
      </c>
      <c r="G1445" s="24">
        <v>1.59</v>
      </c>
      <c r="H1445" s="24" t="s">
        <v>6675</v>
      </c>
      <c r="I1445" s="24" t="s">
        <v>6650</v>
      </c>
      <c r="J1445" s="24">
        <v>0.0</v>
      </c>
    </row>
    <row r="1446">
      <c r="A1446" s="24">
        <v>1436.0</v>
      </c>
      <c r="B1446" s="24">
        <v>4.0</v>
      </c>
      <c r="C1446" s="44">
        <v>25.11</v>
      </c>
      <c r="D1446" s="46">
        <v>44791.0</v>
      </c>
      <c r="E1446" s="24">
        <v>6.28</v>
      </c>
      <c r="F1446" s="24">
        <v>17.49</v>
      </c>
      <c r="G1446" s="24">
        <v>0.28</v>
      </c>
      <c r="H1446" s="24" t="s">
        <v>6673</v>
      </c>
      <c r="I1446" s="24">
        <v>25.11</v>
      </c>
      <c r="J1446" s="24">
        <v>0.0</v>
      </c>
    </row>
    <row r="1447">
      <c r="A1447" s="24">
        <v>1079.0</v>
      </c>
      <c r="B1447" s="24">
        <v>5.0</v>
      </c>
      <c r="C1447" s="44">
        <v>44.11</v>
      </c>
      <c r="D1447" s="46">
        <v>44792.0</v>
      </c>
      <c r="E1447" s="24">
        <v>8.82</v>
      </c>
      <c r="F1447" s="24">
        <v>40.88</v>
      </c>
      <c r="G1447" s="24">
        <v>0.46</v>
      </c>
      <c r="H1447" s="24" t="s">
        <v>6675</v>
      </c>
      <c r="I1447" s="24">
        <v>44.11</v>
      </c>
      <c r="J1447" s="24">
        <v>0.0</v>
      </c>
    </row>
    <row r="1448">
      <c r="A1448" s="24">
        <v>864.0</v>
      </c>
      <c r="B1448" s="24">
        <v>4.0</v>
      </c>
      <c r="C1448" s="44">
        <v>46.26</v>
      </c>
      <c r="D1448" s="46">
        <v>44792.0</v>
      </c>
      <c r="E1448" s="24">
        <v>11.56</v>
      </c>
      <c r="F1448" s="24">
        <v>53.54</v>
      </c>
      <c r="G1448" s="24">
        <v>0.46</v>
      </c>
      <c r="H1448" s="24" t="s">
        <v>6676</v>
      </c>
      <c r="I1448" s="24">
        <v>23.13</v>
      </c>
      <c r="J1448" s="24">
        <v>0.0</v>
      </c>
    </row>
    <row r="1449">
      <c r="A1449" s="24">
        <v>591.0</v>
      </c>
      <c r="B1449" s="24">
        <v>1.0</v>
      </c>
      <c r="C1449" s="44">
        <v>27.74</v>
      </c>
      <c r="D1449" s="46">
        <v>44792.0</v>
      </c>
      <c r="E1449" s="24">
        <v>27.74</v>
      </c>
      <c r="F1449" s="24">
        <v>46.94</v>
      </c>
      <c r="G1449" s="24">
        <v>0.17</v>
      </c>
      <c r="H1449" s="24" t="s">
        <v>6674</v>
      </c>
      <c r="I1449" s="24">
        <v>27.74</v>
      </c>
      <c r="J1449" s="24">
        <v>0.0</v>
      </c>
    </row>
    <row r="1450">
      <c r="A1450" s="24">
        <v>1507.0</v>
      </c>
      <c r="B1450" s="24">
        <v>0.0</v>
      </c>
      <c r="C1450" s="44">
        <v>46.97</v>
      </c>
      <c r="D1450" s="46">
        <v>44792.0</v>
      </c>
      <c r="E1450" s="24" t="s">
        <v>6650</v>
      </c>
      <c r="F1450" s="24">
        <v>31.17</v>
      </c>
      <c r="G1450" s="24">
        <v>0.0</v>
      </c>
      <c r="H1450" s="24" t="s">
        <v>6673</v>
      </c>
      <c r="I1450" s="24" t="s">
        <v>6650</v>
      </c>
      <c r="J1450" s="24">
        <v>0.0</v>
      </c>
    </row>
    <row r="1451">
      <c r="A1451" s="24">
        <v>321.0</v>
      </c>
      <c r="B1451" s="24">
        <v>0.0</v>
      </c>
      <c r="C1451" s="44">
        <v>16.53</v>
      </c>
      <c r="D1451" s="46">
        <v>44792.0</v>
      </c>
      <c r="E1451" s="24" t="s">
        <v>6650</v>
      </c>
      <c r="F1451" s="24">
        <v>51.5</v>
      </c>
      <c r="G1451" s="24">
        <v>0.0</v>
      </c>
      <c r="H1451" s="24" t="s">
        <v>6680</v>
      </c>
      <c r="I1451" s="24">
        <v>16.53</v>
      </c>
      <c r="J1451" s="24">
        <v>0.0</v>
      </c>
    </row>
    <row r="1452">
      <c r="A1452" s="24">
        <v>774.0</v>
      </c>
      <c r="B1452" s="24">
        <v>5.0</v>
      </c>
      <c r="C1452" s="44">
        <v>43.54</v>
      </c>
      <c r="D1452" s="46">
        <v>44792.0</v>
      </c>
      <c r="E1452" s="24">
        <v>8.71</v>
      </c>
      <c r="F1452" s="24">
        <v>56.25</v>
      </c>
      <c r="G1452" s="24">
        <v>0.65</v>
      </c>
      <c r="H1452" s="24" t="s">
        <v>6677</v>
      </c>
      <c r="I1452" s="24" t="s">
        <v>6650</v>
      </c>
      <c r="J1452" s="24">
        <v>0.0</v>
      </c>
    </row>
    <row r="1453">
      <c r="A1453" s="24">
        <v>1399.0</v>
      </c>
      <c r="B1453" s="24">
        <v>9.0</v>
      </c>
      <c r="C1453" s="44">
        <v>29.93</v>
      </c>
      <c r="D1453" s="46">
        <v>44793.0</v>
      </c>
      <c r="E1453" s="24">
        <v>3.33</v>
      </c>
      <c r="F1453" s="24">
        <v>21.39</v>
      </c>
      <c r="G1453" s="24">
        <v>0.64</v>
      </c>
      <c r="H1453" s="24" t="s">
        <v>6675</v>
      </c>
      <c r="I1453" s="24" t="s">
        <v>6650</v>
      </c>
      <c r="J1453" s="24">
        <v>0.0</v>
      </c>
    </row>
    <row r="1454">
      <c r="A1454" s="24">
        <v>263.0</v>
      </c>
      <c r="B1454" s="24">
        <v>2.0</v>
      </c>
      <c r="C1454" s="44">
        <v>8.38</v>
      </c>
      <c r="D1454" s="46">
        <v>44793.0</v>
      </c>
      <c r="E1454" s="24">
        <v>4.19</v>
      </c>
      <c r="F1454" s="24">
        <v>31.86</v>
      </c>
      <c r="G1454" s="24">
        <v>0.76</v>
      </c>
      <c r="H1454" s="24" t="s">
        <v>6680</v>
      </c>
      <c r="I1454" s="24" t="s">
        <v>6650</v>
      </c>
      <c r="J1454" s="24">
        <v>0.0</v>
      </c>
    </row>
    <row r="1455">
      <c r="A1455" s="24">
        <v>1929.0</v>
      </c>
      <c r="B1455" s="24">
        <v>1.0</v>
      </c>
      <c r="C1455" s="44">
        <v>30.69</v>
      </c>
      <c r="D1455" s="46">
        <v>44793.0</v>
      </c>
      <c r="E1455" s="24">
        <v>30.69</v>
      </c>
      <c r="F1455" s="24">
        <v>15.91</v>
      </c>
      <c r="G1455" s="24">
        <v>0.05</v>
      </c>
      <c r="H1455" s="24" t="s">
        <v>6673</v>
      </c>
      <c r="I1455" s="24" t="s">
        <v>6650</v>
      </c>
      <c r="J1455" s="24">
        <v>0.0</v>
      </c>
    </row>
    <row r="1456">
      <c r="A1456" s="24">
        <v>499.0</v>
      </c>
      <c r="B1456" s="24">
        <v>2.0</v>
      </c>
      <c r="C1456" s="44">
        <v>13.5</v>
      </c>
      <c r="D1456" s="46">
        <v>44793.0</v>
      </c>
      <c r="E1456" s="24">
        <v>6.75</v>
      </c>
      <c r="F1456" s="24">
        <v>27.05</v>
      </c>
      <c r="G1456" s="24">
        <v>0.4</v>
      </c>
      <c r="H1456" s="24" t="s">
        <v>6674</v>
      </c>
      <c r="I1456" s="24">
        <v>6.75</v>
      </c>
      <c r="J1456" s="24">
        <v>0.0</v>
      </c>
    </row>
    <row r="1457">
      <c r="A1457" s="24">
        <v>754.0</v>
      </c>
      <c r="B1457" s="24">
        <v>4.0</v>
      </c>
      <c r="C1457" s="44">
        <v>29.29</v>
      </c>
      <c r="D1457" s="46">
        <v>44793.0</v>
      </c>
      <c r="E1457" s="24">
        <v>7.32</v>
      </c>
      <c r="F1457" s="24">
        <v>38.85</v>
      </c>
      <c r="G1457" s="24">
        <v>0.53</v>
      </c>
      <c r="H1457" s="24" t="s">
        <v>6677</v>
      </c>
      <c r="I1457" s="24" t="s">
        <v>6650</v>
      </c>
      <c r="J1457" s="24">
        <v>0.0</v>
      </c>
    </row>
    <row r="1458">
      <c r="A1458" s="24">
        <v>742.0</v>
      </c>
      <c r="B1458" s="24">
        <v>1.0</v>
      </c>
      <c r="C1458" s="44">
        <v>30.1</v>
      </c>
      <c r="D1458" s="46">
        <v>44793.0</v>
      </c>
      <c r="E1458" s="24">
        <v>30.1</v>
      </c>
      <c r="F1458" s="24">
        <v>40.57</v>
      </c>
      <c r="G1458" s="24">
        <v>0.13</v>
      </c>
      <c r="H1458" s="24" t="s">
        <v>6676</v>
      </c>
      <c r="I1458" s="24">
        <v>30.1</v>
      </c>
      <c r="J1458" s="24">
        <v>0.0</v>
      </c>
    </row>
    <row r="1459">
      <c r="A1459" s="24">
        <v>530.0</v>
      </c>
      <c r="B1459" s="24">
        <v>4.0</v>
      </c>
      <c r="C1459" s="44">
        <v>14.94</v>
      </c>
      <c r="D1459" s="46">
        <v>44794.0</v>
      </c>
      <c r="E1459" s="24">
        <v>3.74</v>
      </c>
      <c r="F1459" s="24">
        <v>28.19</v>
      </c>
      <c r="G1459" s="24">
        <v>0.75</v>
      </c>
      <c r="H1459" s="24" t="s">
        <v>6674</v>
      </c>
      <c r="I1459" s="24">
        <v>3.74</v>
      </c>
      <c r="J1459" s="24">
        <v>0.0</v>
      </c>
    </row>
    <row r="1460">
      <c r="A1460" s="24">
        <v>685.0</v>
      </c>
      <c r="B1460" s="24">
        <v>8.0</v>
      </c>
      <c r="C1460" s="44">
        <v>30.15</v>
      </c>
      <c r="D1460" s="46">
        <v>44794.0</v>
      </c>
      <c r="E1460" s="24">
        <v>3.77</v>
      </c>
      <c r="F1460" s="24">
        <v>44.01</v>
      </c>
      <c r="G1460" s="24">
        <v>1.17</v>
      </c>
      <c r="H1460" s="24" t="s">
        <v>6677</v>
      </c>
      <c r="I1460" s="24">
        <v>15.08</v>
      </c>
      <c r="J1460" s="24">
        <v>0.0</v>
      </c>
    </row>
    <row r="1461">
      <c r="A1461" s="24">
        <v>1625.0</v>
      </c>
      <c r="B1461" s="24">
        <v>3.0</v>
      </c>
      <c r="C1461" s="44">
        <v>31.57</v>
      </c>
      <c r="D1461" s="46">
        <v>44794.0</v>
      </c>
      <c r="E1461" s="24">
        <v>10.52</v>
      </c>
      <c r="F1461" s="24">
        <v>19.43</v>
      </c>
      <c r="G1461" s="24">
        <v>0.18</v>
      </c>
      <c r="H1461" s="24" t="s">
        <v>6673</v>
      </c>
      <c r="I1461" s="24">
        <v>10.52</v>
      </c>
      <c r="J1461" s="24">
        <v>0.0</v>
      </c>
    </row>
    <row r="1462">
      <c r="A1462" s="24">
        <v>708.0</v>
      </c>
      <c r="B1462" s="24">
        <v>2.0</v>
      </c>
      <c r="C1462" s="44">
        <v>30.93</v>
      </c>
      <c r="D1462" s="46">
        <v>44794.0</v>
      </c>
      <c r="E1462" s="24">
        <v>15.46</v>
      </c>
      <c r="F1462" s="24">
        <v>43.69</v>
      </c>
      <c r="G1462" s="24">
        <v>0.28</v>
      </c>
      <c r="H1462" s="24" t="s">
        <v>6676</v>
      </c>
      <c r="I1462" s="24">
        <v>15.46</v>
      </c>
      <c r="J1462" s="24">
        <v>0.0</v>
      </c>
    </row>
    <row r="1463">
      <c r="A1463" s="24">
        <v>220.0</v>
      </c>
      <c r="B1463" s="24">
        <v>0.0</v>
      </c>
      <c r="C1463" s="44">
        <v>8.56</v>
      </c>
      <c r="D1463" s="46">
        <v>44794.0</v>
      </c>
      <c r="E1463" s="24" t="s">
        <v>6650</v>
      </c>
      <c r="F1463" s="24">
        <v>38.91</v>
      </c>
      <c r="G1463" s="24">
        <v>0.0</v>
      </c>
      <c r="H1463" s="24" t="s">
        <v>6680</v>
      </c>
      <c r="I1463" s="24">
        <v>4.28</v>
      </c>
      <c r="J1463" s="24">
        <v>0.0</v>
      </c>
    </row>
    <row r="1464">
      <c r="A1464" s="24">
        <v>1464.0</v>
      </c>
      <c r="B1464" s="24">
        <v>9.0</v>
      </c>
      <c r="C1464" s="44">
        <v>29.3</v>
      </c>
      <c r="D1464" s="46">
        <v>44794.0</v>
      </c>
      <c r="E1464" s="24">
        <v>3.26</v>
      </c>
      <c r="F1464" s="24">
        <v>20.01</v>
      </c>
      <c r="G1464" s="24">
        <v>0.61</v>
      </c>
      <c r="H1464" s="24" t="s">
        <v>6675</v>
      </c>
      <c r="I1464" s="24">
        <v>9.77</v>
      </c>
      <c r="J1464" s="24">
        <v>0.0</v>
      </c>
    </row>
    <row r="1465">
      <c r="A1465" s="24">
        <v>2973.0</v>
      </c>
      <c r="B1465" s="24">
        <v>1.0</v>
      </c>
      <c r="C1465" s="44">
        <v>48.52</v>
      </c>
      <c r="D1465" s="46">
        <v>44795.0</v>
      </c>
      <c r="E1465" s="24">
        <v>48.52</v>
      </c>
      <c r="F1465" s="24">
        <v>16.32</v>
      </c>
      <c r="G1465" s="24">
        <v>0.03</v>
      </c>
      <c r="H1465" s="24" t="s">
        <v>6673</v>
      </c>
      <c r="I1465" s="24" t="s">
        <v>6650</v>
      </c>
      <c r="J1465" s="24">
        <v>0.0</v>
      </c>
    </row>
    <row r="1466">
      <c r="A1466" s="24">
        <v>1772.0</v>
      </c>
      <c r="B1466" s="24">
        <v>5.0</v>
      </c>
      <c r="C1466" s="44">
        <v>35.73</v>
      </c>
      <c r="D1466" s="46">
        <v>44795.0</v>
      </c>
      <c r="E1466" s="24">
        <v>7.15</v>
      </c>
      <c r="F1466" s="24">
        <v>20.16</v>
      </c>
      <c r="G1466" s="24">
        <v>0.28</v>
      </c>
      <c r="H1466" s="24" t="s">
        <v>6675</v>
      </c>
      <c r="I1466" s="24">
        <v>35.73</v>
      </c>
      <c r="J1466" s="24">
        <v>0.0</v>
      </c>
    </row>
    <row r="1467">
      <c r="A1467" s="24">
        <v>853.0</v>
      </c>
      <c r="B1467" s="24">
        <v>5.0</v>
      </c>
      <c r="C1467" s="44">
        <v>28.15</v>
      </c>
      <c r="D1467" s="46">
        <v>44795.0</v>
      </c>
      <c r="E1467" s="24">
        <v>5.63</v>
      </c>
      <c r="F1467" s="24">
        <v>33.0</v>
      </c>
      <c r="G1467" s="24">
        <v>0.59</v>
      </c>
      <c r="H1467" s="24" t="s">
        <v>6674</v>
      </c>
      <c r="I1467" s="24">
        <v>28.15</v>
      </c>
      <c r="J1467" s="24">
        <v>0.0</v>
      </c>
    </row>
    <row r="1468">
      <c r="A1468" s="24">
        <v>411.0</v>
      </c>
      <c r="B1468" s="24">
        <v>2.0</v>
      </c>
      <c r="C1468" s="44">
        <v>16.87</v>
      </c>
      <c r="D1468" s="46">
        <v>44795.0</v>
      </c>
      <c r="E1468" s="24">
        <v>8.44</v>
      </c>
      <c r="F1468" s="24">
        <v>41.05</v>
      </c>
      <c r="G1468" s="24">
        <v>0.49</v>
      </c>
      <c r="H1468" s="24" t="s">
        <v>6680</v>
      </c>
      <c r="I1468" s="24">
        <v>8.44</v>
      </c>
      <c r="J1468" s="24">
        <v>0.0</v>
      </c>
    </row>
    <row r="1469">
      <c r="A1469" s="24">
        <v>1236.0</v>
      </c>
      <c r="B1469" s="24">
        <v>4.0</v>
      </c>
      <c r="C1469" s="44">
        <v>43.35</v>
      </c>
      <c r="D1469" s="46">
        <v>44795.0</v>
      </c>
      <c r="E1469" s="24">
        <v>10.84</v>
      </c>
      <c r="F1469" s="24">
        <v>35.07</v>
      </c>
      <c r="G1469" s="24">
        <v>0.32</v>
      </c>
      <c r="H1469" s="24" t="s">
        <v>6676</v>
      </c>
      <c r="I1469" s="24">
        <v>21.68</v>
      </c>
      <c r="J1469" s="24">
        <v>0.0</v>
      </c>
    </row>
    <row r="1470">
      <c r="A1470" s="24">
        <v>1017.0</v>
      </c>
      <c r="B1470" s="24">
        <v>7.0</v>
      </c>
      <c r="C1470" s="44">
        <v>35.2</v>
      </c>
      <c r="D1470" s="46">
        <v>44795.0</v>
      </c>
      <c r="E1470" s="24">
        <v>5.03</v>
      </c>
      <c r="F1470" s="24">
        <v>34.61</v>
      </c>
      <c r="G1470" s="24">
        <v>0.69</v>
      </c>
      <c r="H1470" s="24" t="s">
        <v>6677</v>
      </c>
      <c r="I1470" s="24" t="s">
        <v>6650</v>
      </c>
      <c r="J1470" s="24">
        <v>0.0</v>
      </c>
    </row>
    <row r="1471">
      <c r="A1471" s="24">
        <v>1051.0</v>
      </c>
      <c r="B1471" s="24">
        <v>6.0</v>
      </c>
      <c r="C1471" s="44">
        <v>37.14</v>
      </c>
      <c r="D1471" s="46">
        <v>44796.0</v>
      </c>
      <c r="E1471" s="24">
        <v>6.19</v>
      </c>
      <c r="F1471" s="24">
        <v>35.34</v>
      </c>
      <c r="G1471" s="24">
        <v>0.57</v>
      </c>
      <c r="H1471" s="24" t="s">
        <v>6677</v>
      </c>
      <c r="I1471" s="24" t="s">
        <v>6650</v>
      </c>
      <c r="J1471" s="24">
        <v>0.0</v>
      </c>
    </row>
    <row r="1472">
      <c r="A1472" s="24">
        <v>480.0</v>
      </c>
      <c r="B1472" s="24">
        <v>1.0</v>
      </c>
      <c r="C1472" s="44">
        <v>17.84</v>
      </c>
      <c r="D1472" s="46">
        <v>44796.0</v>
      </c>
      <c r="E1472" s="24">
        <v>17.84</v>
      </c>
      <c r="F1472" s="24">
        <v>37.17</v>
      </c>
      <c r="G1472" s="24">
        <v>0.21</v>
      </c>
      <c r="H1472" s="24" t="s">
        <v>6680</v>
      </c>
      <c r="I1472" s="24" t="s">
        <v>6650</v>
      </c>
      <c r="J1472" s="24">
        <v>0.0</v>
      </c>
    </row>
    <row r="1473">
      <c r="A1473" s="24">
        <v>831.0</v>
      </c>
      <c r="B1473" s="24">
        <v>3.0</v>
      </c>
      <c r="C1473" s="44">
        <v>29.61</v>
      </c>
      <c r="D1473" s="46">
        <v>44796.0</v>
      </c>
      <c r="E1473" s="24">
        <v>9.87</v>
      </c>
      <c r="F1473" s="24">
        <v>35.63</v>
      </c>
      <c r="G1473" s="24">
        <v>0.36</v>
      </c>
      <c r="H1473" s="24" t="s">
        <v>6674</v>
      </c>
      <c r="I1473" s="24">
        <v>14.8</v>
      </c>
      <c r="J1473" s="24">
        <v>0.0</v>
      </c>
    </row>
    <row r="1474">
      <c r="A1474" s="24">
        <v>2658.0</v>
      </c>
      <c r="B1474" s="24">
        <v>1.0</v>
      </c>
      <c r="C1474" s="44">
        <v>39.06</v>
      </c>
      <c r="D1474" s="46">
        <v>44796.0</v>
      </c>
      <c r="E1474" s="24">
        <v>39.06</v>
      </c>
      <c r="F1474" s="24">
        <v>14.7</v>
      </c>
      <c r="G1474" s="24">
        <v>0.04</v>
      </c>
      <c r="H1474" s="24" t="s">
        <v>6673</v>
      </c>
      <c r="I1474" s="24">
        <v>39.06</v>
      </c>
      <c r="J1474" s="24">
        <v>0.0</v>
      </c>
    </row>
    <row r="1475">
      <c r="A1475" s="24">
        <v>1659.0</v>
      </c>
      <c r="B1475" s="24">
        <v>5.0</v>
      </c>
      <c r="C1475" s="44">
        <v>36.74</v>
      </c>
      <c r="D1475" s="46">
        <v>44796.0</v>
      </c>
      <c r="E1475" s="24">
        <v>7.35</v>
      </c>
      <c r="F1475" s="24">
        <v>22.15</v>
      </c>
      <c r="G1475" s="24">
        <v>0.3</v>
      </c>
      <c r="H1475" s="24" t="s">
        <v>6675</v>
      </c>
      <c r="I1475" s="24" t="s">
        <v>6650</v>
      </c>
      <c r="J1475" s="24">
        <v>0.0</v>
      </c>
    </row>
    <row r="1476">
      <c r="A1476" s="24">
        <v>1133.0</v>
      </c>
      <c r="B1476" s="24">
        <v>1.0</v>
      </c>
      <c r="C1476" s="44">
        <v>39.31</v>
      </c>
      <c r="D1476" s="46">
        <v>44796.0</v>
      </c>
      <c r="E1476" s="24">
        <v>39.31</v>
      </c>
      <c r="F1476" s="24">
        <v>34.7</v>
      </c>
      <c r="G1476" s="24">
        <v>0.09</v>
      </c>
      <c r="H1476" s="24" t="s">
        <v>6676</v>
      </c>
      <c r="I1476" s="24">
        <v>19.66</v>
      </c>
      <c r="J1476" s="24">
        <v>0.0</v>
      </c>
    </row>
    <row r="1477">
      <c r="A1477" s="24">
        <v>1129.0</v>
      </c>
      <c r="B1477" s="24">
        <v>4.0</v>
      </c>
      <c r="C1477" s="44">
        <v>36.94</v>
      </c>
      <c r="D1477" s="46">
        <v>44797.0</v>
      </c>
      <c r="E1477" s="24">
        <v>9.24</v>
      </c>
      <c r="F1477" s="24">
        <v>32.72</v>
      </c>
      <c r="G1477" s="24">
        <v>0.35</v>
      </c>
      <c r="H1477" s="24" t="s">
        <v>6677</v>
      </c>
      <c r="I1477" s="24">
        <v>36.94</v>
      </c>
      <c r="J1477" s="24">
        <v>0.0</v>
      </c>
    </row>
    <row r="1478">
      <c r="A1478" s="24">
        <v>462.0</v>
      </c>
      <c r="B1478" s="24">
        <v>2.0</v>
      </c>
      <c r="C1478" s="44">
        <v>18.99</v>
      </c>
      <c r="D1478" s="46">
        <v>44797.0</v>
      </c>
      <c r="E1478" s="24">
        <v>9.49</v>
      </c>
      <c r="F1478" s="24">
        <v>41.1</v>
      </c>
      <c r="G1478" s="24">
        <v>0.43</v>
      </c>
      <c r="H1478" s="24" t="s">
        <v>6680</v>
      </c>
      <c r="I1478" s="24">
        <v>18.99</v>
      </c>
      <c r="J1478" s="24">
        <v>0.0</v>
      </c>
    </row>
    <row r="1479">
      <c r="A1479" s="24">
        <v>1203.0</v>
      </c>
      <c r="B1479" s="24">
        <v>2.0</v>
      </c>
      <c r="C1479" s="44">
        <v>40.07</v>
      </c>
      <c r="D1479" s="46">
        <v>44797.0</v>
      </c>
      <c r="E1479" s="24">
        <v>20.04</v>
      </c>
      <c r="F1479" s="24">
        <v>33.31</v>
      </c>
      <c r="G1479" s="24">
        <v>0.17</v>
      </c>
      <c r="H1479" s="24" t="s">
        <v>6676</v>
      </c>
      <c r="I1479" s="24" t="s">
        <v>6650</v>
      </c>
      <c r="J1479" s="24">
        <v>0.0</v>
      </c>
    </row>
    <row r="1480">
      <c r="A1480" s="24">
        <v>808.0</v>
      </c>
      <c r="B1480" s="24">
        <v>2.0</v>
      </c>
      <c r="C1480" s="44">
        <v>30.12</v>
      </c>
      <c r="D1480" s="46">
        <v>44797.0</v>
      </c>
      <c r="E1480" s="24">
        <v>15.06</v>
      </c>
      <c r="F1480" s="24">
        <v>37.28</v>
      </c>
      <c r="G1480" s="24">
        <v>0.25</v>
      </c>
      <c r="H1480" s="24" t="s">
        <v>6674</v>
      </c>
      <c r="I1480" s="24">
        <v>30.12</v>
      </c>
      <c r="J1480" s="24">
        <v>0.0</v>
      </c>
    </row>
    <row r="1481">
      <c r="A1481" s="24">
        <v>1437.0</v>
      </c>
      <c r="B1481" s="24">
        <v>5.0</v>
      </c>
      <c r="C1481" s="44">
        <v>36.5</v>
      </c>
      <c r="D1481" s="46">
        <v>44797.0</v>
      </c>
      <c r="E1481" s="24">
        <v>7.3</v>
      </c>
      <c r="F1481" s="24">
        <v>25.4</v>
      </c>
      <c r="G1481" s="24">
        <v>0.35</v>
      </c>
      <c r="H1481" s="24" t="s">
        <v>6675</v>
      </c>
      <c r="I1481" s="24">
        <v>18.25</v>
      </c>
      <c r="J1481" s="24">
        <v>0.0</v>
      </c>
    </row>
    <row r="1482">
      <c r="A1482" s="24">
        <v>2574.0</v>
      </c>
      <c r="B1482" s="24">
        <v>1.0</v>
      </c>
      <c r="C1482" s="44">
        <v>39.25</v>
      </c>
      <c r="D1482" s="46">
        <v>44797.0</v>
      </c>
      <c r="E1482" s="24">
        <v>39.25</v>
      </c>
      <c r="F1482" s="24">
        <v>15.25</v>
      </c>
      <c r="G1482" s="24">
        <v>0.04</v>
      </c>
      <c r="H1482" s="24" t="s">
        <v>6673</v>
      </c>
      <c r="I1482" s="24" t="s">
        <v>6650</v>
      </c>
      <c r="J1482" s="24">
        <v>0.0</v>
      </c>
    </row>
    <row r="1483">
      <c r="A1483" s="24">
        <v>1361.0</v>
      </c>
      <c r="B1483" s="24">
        <v>14.0</v>
      </c>
      <c r="C1483" s="44">
        <v>35.56</v>
      </c>
      <c r="D1483" s="46">
        <v>44798.0</v>
      </c>
      <c r="E1483" s="24">
        <v>2.54</v>
      </c>
      <c r="F1483" s="24">
        <v>26.13</v>
      </c>
      <c r="G1483" s="24">
        <v>1.03</v>
      </c>
      <c r="H1483" s="24" t="s">
        <v>6675</v>
      </c>
      <c r="I1483" s="24">
        <v>17.78</v>
      </c>
      <c r="J1483" s="24">
        <v>0.0</v>
      </c>
    </row>
    <row r="1484">
      <c r="A1484" s="24">
        <v>1128.0</v>
      </c>
      <c r="B1484" s="24">
        <v>3.0</v>
      </c>
      <c r="C1484" s="44">
        <v>40.23</v>
      </c>
      <c r="D1484" s="46">
        <v>44798.0</v>
      </c>
      <c r="E1484" s="24">
        <v>13.41</v>
      </c>
      <c r="F1484" s="24">
        <v>35.66</v>
      </c>
      <c r="G1484" s="24">
        <v>0.27</v>
      </c>
      <c r="H1484" s="24" t="s">
        <v>6676</v>
      </c>
      <c r="I1484" s="24">
        <v>20.11</v>
      </c>
      <c r="J1484" s="24">
        <v>0.0</v>
      </c>
    </row>
    <row r="1485">
      <c r="A1485" s="24">
        <v>397.0</v>
      </c>
      <c r="B1485" s="24">
        <v>1.0</v>
      </c>
      <c r="C1485" s="44">
        <v>17.75</v>
      </c>
      <c r="D1485" s="46">
        <v>44798.0</v>
      </c>
      <c r="E1485" s="24">
        <v>17.75</v>
      </c>
      <c r="F1485" s="24">
        <v>44.71</v>
      </c>
      <c r="G1485" s="24">
        <v>0.25</v>
      </c>
      <c r="H1485" s="24" t="s">
        <v>6680</v>
      </c>
      <c r="I1485" s="24">
        <v>17.75</v>
      </c>
      <c r="J1485" s="24">
        <v>0.0</v>
      </c>
    </row>
    <row r="1486">
      <c r="A1486" s="24">
        <v>879.0</v>
      </c>
      <c r="B1486" s="24">
        <v>4.0</v>
      </c>
      <c r="C1486" s="44">
        <v>35.66</v>
      </c>
      <c r="D1486" s="46">
        <v>44798.0</v>
      </c>
      <c r="E1486" s="24">
        <v>8.91</v>
      </c>
      <c r="F1486" s="24">
        <v>40.57</v>
      </c>
      <c r="G1486" s="24">
        <v>0.46</v>
      </c>
      <c r="H1486" s="24" t="s">
        <v>6677</v>
      </c>
      <c r="I1486" s="24">
        <v>35.66</v>
      </c>
      <c r="J1486" s="24">
        <v>0.0</v>
      </c>
    </row>
    <row r="1487">
      <c r="A1487" s="24">
        <v>829.0</v>
      </c>
      <c r="B1487" s="24">
        <v>8.0</v>
      </c>
      <c r="C1487" s="44">
        <v>30.06</v>
      </c>
      <c r="D1487" s="46">
        <v>44798.0</v>
      </c>
      <c r="E1487" s="24">
        <v>3.76</v>
      </c>
      <c r="F1487" s="24">
        <v>36.26</v>
      </c>
      <c r="G1487" s="24">
        <v>0.97</v>
      </c>
      <c r="H1487" s="24" t="s">
        <v>6674</v>
      </c>
      <c r="I1487" s="24">
        <v>7.52</v>
      </c>
      <c r="J1487" s="24">
        <v>0.0</v>
      </c>
    </row>
    <row r="1488">
      <c r="A1488" s="24">
        <v>2385.0</v>
      </c>
      <c r="B1488" s="24">
        <v>3.0</v>
      </c>
      <c r="C1488" s="44">
        <v>39.43</v>
      </c>
      <c r="D1488" s="46">
        <v>44798.0</v>
      </c>
      <c r="E1488" s="24">
        <v>13.14</v>
      </c>
      <c r="F1488" s="24">
        <v>16.53</v>
      </c>
      <c r="G1488" s="24">
        <v>0.13</v>
      </c>
      <c r="H1488" s="24" t="s">
        <v>6673</v>
      </c>
      <c r="I1488" s="24">
        <v>39.43</v>
      </c>
      <c r="J1488" s="24">
        <v>0.0</v>
      </c>
    </row>
    <row r="1489">
      <c r="A1489" s="24">
        <v>1131.0</v>
      </c>
      <c r="B1489" s="24">
        <v>4.0</v>
      </c>
      <c r="C1489" s="44">
        <v>31.67</v>
      </c>
      <c r="D1489" s="46">
        <v>44799.0</v>
      </c>
      <c r="E1489" s="24">
        <v>7.92</v>
      </c>
      <c r="F1489" s="24">
        <v>28.0</v>
      </c>
      <c r="G1489" s="24">
        <v>0.35</v>
      </c>
      <c r="H1489" s="24" t="s">
        <v>6675</v>
      </c>
      <c r="I1489" s="24">
        <v>31.67</v>
      </c>
      <c r="J1489" s="24">
        <v>0.0</v>
      </c>
    </row>
    <row r="1490">
      <c r="A1490" s="24">
        <v>319.0</v>
      </c>
      <c r="B1490" s="24">
        <v>5.0</v>
      </c>
      <c r="C1490" s="44">
        <v>16.38</v>
      </c>
      <c r="D1490" s="46">
        <v>44799.0</v>
      </c>
      <c r="E1490" s="24">
        <v>3.28</v>
      </c>
      <c r="F1490" s="24">
        <v>51.35</v>
      </c>
      <c r="G1490" s="24">
        <v>1.57</v>
      </c>
      <c r="H1490" s="24" t="s">
        <v>6680</v>
      </c>
      <c r="I1490" s="24" t="s">
        <v>6650</v>
      </c>
      <c r="J1490" s="24">
        <v>0.0</v>
      </c>
    </row>
    <row r="1491">
      <c r="A1491" s="24">
        <v>865.0</v>
      </c>
      <c r="B1491" s="24">
        <v>3.0</v>
      </c>
      <c r="C1491" s="44">
        <v>27.51</v>
      </c>
      <c r="D1491" s="46">
        <v>44799.0</v>
      </c>
      <c r="E1491" s="24">
        <v>9.17</v>
      </c>
      <c r="F1491" s="24">
        <v>31.8</v>
      </c>
      <c r="G1491" s="24">
        <v>0.35</v>
      </c>
      <c r="H1491" s="24" t="s">
        <v>6674</v>
      </c>
      <c r="I1491" s="24">
        <v>13.76</v>
      </c>
      <c r="J1491" s="24">
        <v>0.0</v>
      </c>
    </row>
    <row r="1492">
      <c r="A1492" s="24">
        <v>787.0</v>
      </c>
      <c r="B1492" s="24">
        <v>9.0</v>
      </c>
      <c r="C1492" s="44">
        <v>31.66</v>
      </c>
      <c r="D1492" s="46">
        <v>44799.0</v>
      </c>
      <c r="E1492" s="24">
        <v>3.52</v>
      </c>
      <c r="F1492" s="24">
        <v>40.23</v>
      </c>
      <c r="G1492" s="24">
        <v>1.14</v>
      </c>
      <c r="H1492" s="24" t="s">
        <v>6677</v>
      </c>
      <c r="I1492" s="24">
        <v>31.66</v>
      </c>
      <c r="J1492" s="24">
        <v>0.0</v>
      </c>
    </row>
    <row r="1493">
      <c r="A1493" s="24">
        <v>1914.0</v>
      </c>
      <c r="B1493" s="24">
        <v>2.0</v>
      </c>
      <c r="C1493" s="44">
        <v>36.86</v>
      </c>
      <c r="D1493" s="46">
        <v>44799.0</v>
      </c>
      <c r="E1493" s="24">
        <v>18.43</v>
      </c>
      <c r="F1493" s="24">
        <v>19.26</v>
      </c>
      <c r="G1493" s="24">
        <v>0.1</v>
      </c>
      <c r="H1493" s="24" t="s">
        <v>6673</v>
      </c>
      <c r="I1493" s="24">
        <v>36.86</v>
      </c>
      <c r="J1493" s="24">
        <v>0.0</v>
      </c>
    </row>
    <row r="1494">
      <c r="A1494" s="24">
        <v>995.0</v>
      </c>
      <c r="B1494" s="24">
        <v>1.0</v>
      </c>
      <c r="C1494" s="44">
        <v>38.21</v>
      </c>
      <c r="D1494" s="46">
        <v>44799.0</v>
      </c>
      <c r="E1494" s="24">
        <v>38.21</v>
      </c>
      <c r="F1494" s="24">
        <v>38.4</v>
      </c>
      <c r="G1494" s="24">
        <v>0.1</v>
      </c>
      <c r="H1494" s="24" t="s">
        <v>6676</v>
      </c>
      <c r="I1494" s="24">
        <v>19.1</v>
      </c>
      <c r="J1494" s="24">
        <v>0.0</v>
      </c>
    </row>
    <row r="1495">
      <c r="A1495" s="24">
        <v>545.0</v>
      </c>
      <c r="B1495" s="24">
        <v>0.0</v>
      </c>
      <c r="C1495" s="44">
        <v>20.7</v>
      </c>
      <c r="D1495" s="46">
        <v>44800.0</v>
      </c>
      <c r="E1495" s="24" t="s">
        <v>6650</v>
      </c>
      <c r="F1495" s="24">
        <v>37.98</v>
      </c>
      <c r="G1495" s="24">
        <v>0.0</v>
      </c>
      <c r="H1495" s="24" t="s">
        <v>6676</v>
      </c>
      <c r="I1495" s="24">
        <v>10.35</v>
      </c>
      <c r="J1495" s="24">
        <v>0.0</v>
      </c>
    </row>
    <row r="1496">
      <c r="A1496" s="24">
        <v>913.0</v>
      </c>
      <c r="B1496" s="24">
        <v>5.0</v>
      </c>
      <c r="C1496" s="44">
        <v>16.3</v>
      </c>
      <c r="D1496" s="46">
        <v>44800.0</v>
      </c>
      <c r="E1496" s="24">
        <v>3.26</v>
      </c>
      <c r="F1496" s="24">
        <v>17.85</v>
      </c>
      <c r="G1496" s="24">
        <v>0.55</v>
      </c>
      <c r="H1496" s="24" t="s">
        <v>6675</v>
      </c>
      <c r="I1496" s="24">
        <v>16.3</v>
      </c>
      <c r="J1496" s="24">
        <v>0.0</v>
      </c>
    </row>
    <row r="1497">
      <c r="A1497" s="24">
        <v>222.0</v>
      </c>
      <c r="B1497" s="24">
        <v>1.0</v>
      </c>
      <c r="C1497" s="44">
        <v>8.15</v>
      </c>
      <c r="D1497" s="46">
        <v>44800.0</v>
      </c>
      <c r="E1497" s="24">
        <v>8.15</v>
      </c>
      <c r="F1497" s="24">
        <v>36.71</v>
      </c>
      <c r="G1497" s="24">
        <v>0.45</v>
      </c>
      <c r="H1497" s="24" t="s">
        <v>6680</v>
      </c>
      <c r="I1497" s="24" t="s">
        <v>6650</v>
      </c>
      <c r="J1497" s="24">
        <v>0.0</v>
      </c>
    </row>
    <row r="1498">
      <c r="A1498" s="24">
        <v>1357.0</v>
      </c>
      <c r="B1498" s="24">
        <v>2.0</v>
      </c>
      <c r="C1498" s="44">
        <v>19.67</v>
      </c>
      <c r="D1498" s="46">
        <v>44800.0</v>
      </c>
      <c r="E1498" s="24">
        <v>9.84</v>
      </c>
      <c r="F1498" s="24">
        <v>14.5</v>
      </c>
      <c r="G1498" s="24">
        <v>0.15</v>
      </c>
      <c r="H1498" s="24" t="s">
        <v>6673</v>
      </c>
      <c r="I1498" s="24">
        <v>19.67</v>
      </c>
      <c r="J1498" s="24">
        <v>0.0</v>
      </c>
    </row>
    <row r="1499">
      <c r="A1499" s="24">
        <v>465.0</v>
      </c>
      <c r="B1499" s="24">
        <v>5.0</v>
      </c>
      <c r="C1499" s="44">
        <v>13.5</v>
      </c>
      <c r="D1499" s="46">
        <v>44800.0</v>
      </c>
      <c r="E1499" s="24">
        <v>2.7</v>
      </c>
      <c r="F1499" s="24">
        <v>29.03</v>
      </c>
      <c r="G1499" s="24">
        <v>1.08</v>
      </c>
      <c r="H1499" s="24" t="s">
        <v>6674</v>
      </c>
      <c r="I1499" s="24">
        <v>6.75</v>
      </c>
      <c r="J1499" s="24">
        <v>0.0</v>
      </c>
    </row>
    <row r="1500">
      <c r="A1500" s="24">
        <v>501.0</v>
      </c>
      <c r="B1500" s="24">
        <v>5.0</v>
      </c>
      <c r="C1500" s="44">
        <v>16.43</v>
      </c>
      <c r="D1500" s="46">
        <v>44800.0</v>
      </c>
      <c r="E1500" s="24">
        <v>3.29</v>
      </c>
      <c r="F1500" s="24">
        <v>32.79</v>
      </c>
      <c r="G1500" s="24">
        <v>1.0</v>
      </c>
      <c r="H1500" s="24" t="s">
        <v>6677</v>
      </c>
      <c r="I1500" s="24">
        <v>16.43</v>
      </c>
      <c r="J1500" s="24">
        <v>0.0</v>
      </c>
    </row>
    <row r="1501">
      <c r="A1501" s="24">
        <v>490.0</v>
      </c>
      <c r="B1501" s="24">
        <v>1.0</v>
      </c>
      <c r="C1501" s="44">
        <v>14.46</v>
      </c>
      <c r="D1501" s="46">
        <v>44801.0</v>
      </c>
      <c r="E1501" s="24">
        <v>14.46</v>
      </c>
      <c r="F1501" s="24">
        <v>29.51</v>
      </c>
      <c r="G1501" s="24">
        <v>0.2</v>
      </c>
      <c r="H1501" s="24" t="s">
        <v>6674</v>
      </c>
      <c r="I1501" s="24" t="s">
        <v>6650</v>
      </c>
      <c r="J1501" s="24">
        <v>0.0</v>
      </c>
    </row>
    <row r="1502">
      <c r="A1502" s="24">
        <v>533.0</v>
      </c>
      <c r="B1502" s="24">
        <v>4.0</v>
      </c>
      <c r="C1502" s="44">
        <v>16.97</v>
      </c>
      <c r="D1502" s="46">
        <v>44801.0</v>
      </c>
      <c r="E1502" s="24">
        <v>4.24</v>
      </c>
      <c r="F1502" s="24">
        <v>31.84</v>
      </c>
      <c r="G1502" s="24">
        <v>0.75</v>
      </c>
      <c r="H1502" s="24" t="s">
        <v>6677</v>
      </c>
      <c r="I1502" s="24" t="s">
        <v>6650</v>
      </c>
      <c r="J1502" s="24">
        <v>0.0</v>
      </c>
    </row>
    <row r="1503">
      <c r="A1503" s="24">
        <v>580.0</v>
      </c>
      <c r="B1503" s="24">
        <v>3.0</v>
      </c>
      <c r="C1503" s="44">
        <v>20.91</v>
      </c>
      <c r="D1503" s="46">
        <v>44801.0</v>
      </c>
      <c r="E1503" s="24">
        <v>6.97</v>
      </c>
      <c r="F1503" s="24">
        <v>36.05</v>
      </c>
      <c r="G1503" s="24">
        <v>0.52</v>
      </c>
      <c r="H1503" s="24" t="s">
        <v>6676</v>
      </c>
      <c r="I1503" s="24" t="s">
        <v>6650</v>
      </c>
      <c r="J1503" s="24">
        <v>0.0</v>
      </c>
    </row>
    <row r="1504">
      <c r="A1504" s="24">
        <v>230.0</v>
      </c>
      <c r="B1504" s="24">
        <v>1.0</v>
      </c>
      <c r="C1504" s="44">
        <v>8.81</v>
      </c>
      <c r="D1504" s="46">
        <v>44801.0</v>
      </c>
      <c r="E1504" s="24">
        <v>8.81</v>
      </c>
      <c r="F1504" s="24">
        <v>38.3</v>
      </c>
      <c r="G1504" s="24">
        <v>0.43</v>
      </c>
      <c r="H1504" s="24" t="s">
        <v>6680</v>
      </c>
      <c r="I1504" s="24" t="s">
        <v>6650</v>
      </c>
      <c r="J1504" s="24">
        <v>0.0</v>
      </c>
    </row>
    <row r="1505">
      <c r="A1505" s="24">
        <v>767.0</v>
      </c>
      <c r="B1505" s="24">
        <v>2.0</v>
      </c>
      <c r="C1505" s="44">
        <v>17.5</v>
      </c>
      <c r="D1505" s="46">
        <v>44801.0</v>
      </c>
      <c r="E1505" s="24">
        <v>8.75</v>
      </c>
      <c r="F1505" s="24">
        <v>22.82</v>
      </c>
      <c r="G1505" s="24">
        <v>0.26</v>
      </c>
      <c r="H1505" s="24" t="s">
        <v>6675</v>
      </c>
      <c r="I1505" s="24" t="s">
        <v>6650</v>
      </c>
      <c r="J1505" s="24">
        <v>0.0</v>
      </c>
    </row>
    <row r="1506">
      <c r="A1506" s="24">
        <v>1325.0</v>
      </c>
      <c r="B1506" s="24">
        <v>4.0</v>
      </c>
      <c r="C1506" s="44">
        <v>20.03</v>
      </c>
      <c r="D1506" s="46">
        <v>44801.0</v>
      </c>
      <c r="E1506" s="24">
        <v>5.01</v>
      </c>
      <c r="F1506" s="24">
        <v>15.12</v>
      </c>
      <c r="G1506" s="24">
        <v>0.3</v>
      </c>
      <c r="H1506" s="24" t="s">
        <v>6673</v>
      </c>
      <c r="I1506" s="24">
        <v>20.03</v>
      </c>
      <c r="J1506" s="24">
        <v>0.0</v>
      </c>
    </row>
    <row r="1507">
      <c r="A1507" s="24">
        <v>1768.0</v>
      </c>
      <c r="B1507" s="24">
        <v>9.0</v>
      </c>
      <c r="C1507" s="44">
        <v>34.94</v>
      </c>
      <c r="D1507" s="46">
        <v>44802.0</v>
      </c>
      <c r="E1507" s="24">
        <v>3.88</v>
      </c>
      <c r="F1507" s="24">
        <v>19.76</v>
      </c>
      <c r="G1507" s="24">
        <v>0.51</v>
      </c>
      <c r="H1507" s="24" t="s">
        <v>6675</v>
      </c>
      <c r="I1507" s="24">
        <v>11.65</v>
      </c>
      <c r="J1507" s="24">
        <v>0.0</v>
      </c>
    </row>
    <row r="1508">
      <c r="A1508" s="24">
        <v>714.0</v>
      </c>
      <c r="B1508" s="24">
        <v>3.0</v>
      </c>
      <c r="C1508" s="44">
        <v>26.64</v>
      </c>
      <c r="D1508" s="46">
        <v>44802.0</v>
      </c>
      <c r="E1508" s="24">
        <v>8.88</v>
      </c>
      <c r="F1508" s="24">
        <v>37.31</v>
      </c>
      <c r="G1508" s="24">
        <v>0.42</v>
      </c>
      <c r="H1508" s="24" t="s">
        <v>6674</v>
      </c>
      <c r="I1508" s="24" t="s">
        <v>6650</v>
      </c>
      <c r="J1508" s="24">
        <v>0.0</v>
      </c>
    </row>
    <row r="1509">
      <c r="A1509" s="24">
        <v>1010.0</v>
      </c>
      <c r="B1509" s="24">
        <v>7.0</v>
      </c>
      <c r="C1509" s="44">
        <v>34.74</v>
      </c>
      <c r="D1509" s="46">
        <v>44802.0</v>
      </c>
      <c r="E1509" s="24">
        <v>4.96</v>
      </c>
      <c r="F1509" s="24">
        <v>34.4</v>
      </c>
      <c r="G1509" s="24">
        <v>0.69</v>
      </c>
      <c r="H1509" s="24" t="s">
        <v>6677</v>
      </c>
      <c r="I1509" s="24">
        <v>34.74</v>
      </c>
      <c r="J1509" s="24">
        <v>0.0</v>
      </c>
    </row>
    <row r="1510">
      <c r="A1510" s="24">
        <v>1206.0</v>
      </c>
      <c r="B1510" s="24">
        <v>5.0</v>
      </c>
      <c r="C1510" s="44">
        <v>36.37</v>
      </c>
      <c r="D1510" s="46">
        <v>44802.0</v>
      </c>
      <c r="E1510" s="24">
        <v>7.27</v>
      </c>
      <c r="F1510" s="24">
        <v>30.16</v>
      </c>
      <c r="G1510" s="24">
        <v>0.41</v>
      </c>
      <c r="H1510" s="24" t="s">
        <v>6676</v>
      </c>
      <c r="I1510" s="24">
        <v>9.09</v>
      </c>
      <c r="J1510" s="24">
        <v>0.0</v>
      </c>
    </row>
    <row r="1511">
      <c r="A1511" s="24">
        <v>2676.0</v>
      </c>
      <c r="B1511" s="24">
        <v>4.0</v>
      </c>
      <c r="C1511" s="44">
        <v>37.02</v>
      </c>
      <c r="D1511" s="46">
        <v>44802.0</v>
      </c>
      <c r="E1511" s="24">
        <v>9.26</v>
      </c>
      <c r="F1511" s="24">
        <v>13.83</v>
      </c>
      <c r="G1511" s="24">
        <v>0.15</v>
      </c>
      <c r="H1511" s="24" t="s">
        <v>6673</v>
      </c>
      <c r="I1511" s="24">
        <v>37.02</v>
      </c>
      <c r="J1511" s="24">
        <v>0.0</v>
      </c>
    </row>
    <row r="1512">
      <c r="A1512" s="24">
        <v>365.0</v>
      </c>
      <c r="B1512" s="24">
        <v>4.0</v>
      </c>
      <c r="C1512" s="44">
        <v>15.65</v>
      </c>
      <c r="D1512" s="46">
        <v>44802.0</v>
      </c>
      <c r="E1512" s="24">
        <v>3.91</v>
      </c>
      <c r="F1512" s="24">
        <v>42.88</v>
      </c>
      <c r="G1512" s="24">
        <v>1.1</v>
      </c>
      <c r="H1512" s="24" t="s">
        <v>6680</v>
      </c>
      <c r="I1512" s="24" t="s">
        <v>6650</v>
      </c>
      <c r="J1512" s="24">
        <v>0.0</v>
      </c>
    </row>
    <row r="1513">
      <c r="A1513" s="24">
        <v>1219.0</v>
      </c>
      <c r="B1513" s="24">
        <v>2.0</v>
      </c>
      <c r="C1513" s="44">
        <v>40.19</v>
      </c>
      <c r="D1513" s="46">
        <v>44803.0</v>
      </c>
      <c r="E1513" s="24">
        <v>20.1</v>
      </c>
      <c r="F1513" s="24">
        <v>32.97</v>
      </c>
      <c r="G1513" s="24">
        <v>0.16</v>
      </c>
      <c r="H1513" s="24" t="s">
        <v>6676</v>
      </c>
      <c r="I1513" s="24">
        <v>8.04</v>
      </c>
      <c r="J1513" s="24">
        <v>0.0</v>
      </c>
    </row>
    <row r="1514">
      <c r="A1514" s="24">
        <v>365.0</v>
      </c>
      <c r="B1514" s="24">
        <v>3.0</v>
      </c>
      <c r="C1514" s="44">
        <v>17.52</v>
      </c>
      <c r="D1514" s="46">
        <v>44803.0</v>
      </c>
      <c r="E1514" s="24">
        <v>5.84</v>
      </c>
      <c r="F1514" s="24">
        <v>48.0</v>
      </c>
      <c r="G1514" s="24">
        <v>0.82</v>
      </c>
      <c r="H1514" s="24" t="s">
        <v>6680</v>
      </c>
      <c r="I1514" s="24">
        <v>8.76</v>
      </c>
      <c r="J1514" s="24">
        <v>0.0</v>
      </c>
    </row>
    <row r="1515">
      <c r="A1515" s="24">
        <v>1788.0</v>
      </c>
      <c r="B1515" s="24">
        <v>6.0</v>
      </c>
      <c r="C1515" s="44">
        <v>36.21</v>
      </c>
      <c r="D1515" s="46">
        <v>44803.0</v>
      </c>
      <c r="E1515" s="24">
        <v>6.04</v>
      </c>
      <c r="F1515" s="24">
        <v>20.25</v>
      </c>
      <c r="G1515" s="24">
        <v>0.34</v>
      </c>
      <c r="H1515" s="24" t="s">
        <v>6675</v>
      </c>
      <c r="I1515" s="24">
        <v>18.1</v>
      </c>
      <c r="J1515" s="24">
        <v>0.0</v>
      </c>
    </row>
    <row r="1516">
      <c r="A1516" s="24">
        <v>1072.0</v>
      </c>
      <c r="B1516" s="24">
        <v>7.0</v>
      </c>
      <c r="C1516" s="44">
        <v>36.22</v>
      </c>
      <c r="D1516" s="46">
        <v>44803.0</v>
      </c>
      <c r="E1516" s="24">
        <v>5.17</v>
      </c>
      <c r="F1516" s="24">
        <v>33.79</v>
      </c>
      <c r="G1516" s="24">
        <v>0.65</v>
      </c>
      <c r="H1516" s="24" t="s">
        <v>6677</v>
      </c>
      <c r="I1516" s="24" t="s">
        <v>6650</v>
      </c>
      <c r="J1516" s="24">
        <v>0.0</v>
      </c>
    </row>
    <row r="1517">
      <c r="A1517" s="24">
        <v>2803.0</v>
      </c>
      <c r="B1517" s="24">
        <v>3.0</v>
      </c>
      <c r="C1517" s="44">
        <v>40.49</v>
      </c>
      <c r="D1517" s="46">
        <v>44803.0</v>
      </c>
      <c r="E1517" s="24">
        <v>13.5</v>
      </c>
      <c r="F1517" s="24">
        <v>14.45</v>
      </c>
      <c r="G1517" s="24">
        <v>0.11</v>
      </c>
      <c r="H1517" s="24" t="s">
        <v>6673</v>
      </c>
      <c r="I1517" s="24">
        <v>13.5</v>
      </c>
      <c r="J1517" s="24">
        <v>0.0</v>
      </c>
    </row>
    <row r="1518">
      <c r="A1518" s="24">
        <v>768.0</v>
      </c>
      <c r="B1518" s="24">
        <v>3.0</v>
      </c>
      <c r="C1518" s="44">
        <v>29.41</v>
      </c>
      <c r="D1518" s="46">
        <v>44803.0</v>
      </c>
      <c r="E1518" s="24">
        <v>9.8</v>
      </c>
      <c r="F1518" s="24">
        <v>38.29</v>
      </c>
      <c r="G1518" s="24">
        <v>0.39</v>
      </c>
      <c r="H1518" s="24" t="s">
        <v>6674</v>
      </c>
      <c r="I1518" s="24">
        <v>29.41</v>
      </c>
      <c r="J1518" s="24">
        <v>0.0</v>
      </c>
    </row>
    <row r="1519">
      <c r="A1519" s="24">
        <v>437.0</v>
      </c>
      <c r="B1519" s="24">
        <v>1.0</v>
      </c>
      <c r="C1519" s="44">
        <v>20.3</v>
      </c>
      <c r="D1519" s="46">
        <v>44804.0</v>
      </c>
      <c r="E1519" s="24">
        <v>20.3</v>
      </c>
      <c r="F1519" s="24">
        <v>46.45</v>
      </c>
      <c r="G1519" s="24">
        <v>0.23</v>
      </c>
      <c r="H1519" s="24" t="s">
        <v>6680</v>
      </c>
      <c r="I1519" s="24">
        <v>10.15</v>
      </c>
      <c r="J1519" s="24">
        <v>0.0</v>
      </c>
    </row>
    <row r="1520">
      <c r="A1520" s="24">
        <v>1014.0</v>
      </c>
      <c r="B1520" s="24">
        <v>10.0</v>
      </c>
      <c r="C1520" s="44">
        <v>37.56</v>
      </c>
      <c r="D1520" s="46">
        <v>44804.0</v>
      </c>
      <c r="E1520" s="24">
        <v>3.76</v>
      </c>
      <c r="F1520" s="24">
        <v>37.04</v>
      </c>
      <c r="G1520" s="24">
        <v>0.99</v>
      </c>
      <c r="H1520" s="24" t="s">
        <v>6677</v>
      </c>
      <c r="I1520" s="24">
        <v>18.78</v>
      </c>
      <c r="J1520" s="24">
        <v>0.0</v>
      </c>
    </row>
    <row r="1521">
      <c r="A1521" s="24">
        <v>1137.0</v>
      </c>
      <c r="B1521" s="24">
        <v>1.0</v>
      </c>
      <c r="C1521" s="44">
        <v>41.6</v>
      </c>
      <c r="D1521" s="46">
        <v>44804.0</v>
      </c>
      <c r="E1521" s="24">
        <v>41.6</v>
      </c>
      <c r="F1521" s="24">
        <v>36.59</v>
      </c>
      <c r="G1521" s="24">
        <v>0.09</v>
      </c>
      <c r="H1521" s="24" t="s">
        <v>6676</v>
      </c>
      <c r="I1521" s="24">
        <v>41.6</v>
      </c>
      <c r="J1521" s="24">
        <v>0.0</v>
      </c>
    </row>
    <row r="1522">
      <c r="A1522" s="24">
        <v>1682.0</v>
      </c>
      <c r="B1522" s="24">
        <v>11.0</v>
      </c>
      <c r="C1522" s="44">
        <v>36.72</v>
      </c>
      <c r="D1522" s="46">
        <v>44804.0</v>
      </c>
      <c r="E1522" s="24">
        <v>3.34</v>
      </c>
      <c r="F1522" s="24">
        <v>21.83</v>
      </c>
      <c r="G1522" s="24">
        <v>0.65</v>
      </c>
      <c r="H1522" s="24" t="s">
        <v>6675</v>
      </c>
      <c r="I1522" s="24">
        <v>12.24</v>
      </c>
      <c r="J1522" s="24">
        <v>0.0</v>
      </c>
    </row>
    <row r="1523">
      <c r="A1523" s="24">
        <v>2804.0</v>
      </c>
      <c r="B1523" s="24">
        <v>7.0</v>
      </c>
      <c r="C1523" s="44">
        <v>41.75</v>
      </c>
      <c r="D1523" s="46">
        <v>44804.0</v>
      </c>
      <c r="E1523" s="24">
        <v>5.96</v>
      </c>
      <c r="F1523" s="24">
        <v>14.89</v>
      </c>
      <c r="G1523" s="24">
        <v>0.25</v>
      </c>
      <c r="H1523" s="24" t="s">
        <v>6673</v>
      </c>
      <c r="I1523" s="24">
        <v>5.96</v>
      </c>
      <c r="J1523" s="24">
        <v>0.0</v>
      </c>
    </row>
    <row r="1524">
      <c r="A1524" s="24">
        <v>727.0</v>
      </c>
      <c r="B1524" s="24">
        <v>2.0</v>
      </c>
      <c r="C1524" s="44">
        <v>30.44</v>
      </c>
      <c r="D1524" s="46">
        <v>44804.0</v>
      </c>
      <c r="E1524" s="24">
        <v>15.22</v>
      </c>
      <c r="F1524" s="24">
        <v>41.87</v>
      </c>
      <c r="G1524" s="24">
        <v>0.28</v>
      </c>
      <c r="H1524" s="24" t="s">
        <v>6674</v>
      </c>
      <c r="I1524" s="24" t="s">
        <v>6650</v>
      </c>
      <c r="J1524" s="24">
        <v>0.0</v>
      </c>
    </row>
    <row r="1525">
      <c r="A1525" s="24">
        <v>994.0</v>
      </c>
      <c r="B1525" s="24">
        <v>7.0</v>
      </c>
      <c r="C1525" s="44">
        <v>36.1</v>
      </c>
      <c r="D1525" s="46">
        <v>44805.0</v>
      </c>
      <c r="E1525" s="24">
        <v>5.16</v>
      </c>
      <c r="F1525" s="24">
        <v>36.32</v>
      </c>
      <c r="G1525" s="24">
        <v>0.7</v>
      </c>
      <c r="H1525" s="24" t="s">
        <v>6677</v>
      </c>
      <c r="I1525" s="24">
        <v>12.03</v>
      </c>
      <c r="J1525" s="24">
        <v>0.0</v>
      </c>
    </row>
    <row r="1526">
      <c r="A1526" s="24">
        <v>785.0</v>
      </c>
      <c r="B1526" s="24">
        <v>6.0</v>
      </c>
      <c r="C1526" s="44">
        <v>30.39</v>
      </c>
      <c r="D1526" s="46">
        <v>44805.0</v>
      </c>
      <c r="E1526" s="24">
        <v>5.07</v>
      </c>
      <c r="F1526" s="24">
        <v>38.71</v>
      </c>
      <c r="G1526" s="24">
        <v>0.76</v>
      </c>
      <c r="H1526" s="24" t="s">
        <v>6674</v>
      </c>
      <c r="I1526" s="24">
        <v>15.2</v>
      </c>
      <c r="J1526" s="24">
        <v>0.0</v>
      </c>
    </row>
    <row r="1527">
      <c r="A1527" s="24">
        <v>1158.0</v>
      </c>
      <c r="B1527" s="24">
        <v>2.0</v>
      </c>
      <c r="C1527" s="44">
        <v>41.72</v>
      </c>
      <c r="D1527" s="46">
        <v>44805.0</v>
      </c>
      <c r="E1527" s="24">
        <v>20.86</v>
      </c>
      <c r="F1527" s="24">
        <v>36.03</v>
      </c>
      <c r="G1527" s="24">
        <v>0.17</v>
      </c>
      <c r="H1527" s="24" t="s">
        <v>6676</v>
      </c>
      <c r="I1527" s="24">
        <v>41.72</v>
      </c>
      <c r="J1527" s="24">
        <v>0.0</v>
      </c>
    </row>
    <row r="1528">
      <c r="A1528" s="24">
        <v>1631.0</v>
      </c>
      <c r="B1528" s="24">
        <v>7.0</v>
      </c>
      <c r="C1528" s="44">
        <v>36.08</v>
      </c>
      <c r="D1528" s="46">
        <v>44805.0</v>
      </c>
      <c r="E1528" s="24">
        <v>5.15</v>
      </c>
      <c r="F1528" s="24">
        <v>22.12</v>
      </c>
      <c r="G1528" s="24">
        <v>0.43</v>
      </c>
      <c r="H1528" s="24" t="s">
        <v>6675</v>
      </c>
      <c r="I1528" s="24" t="s">
        <v>6650</v>
      </c>
      <c r="J1528" s="24">
        <v>0.0</v>
      </c>
    </row>
    <row r="1529">
      <c r="A1529" s="24">
        <v>289.0</v>
      </c>
      <c r="B1529" s="24">
        <v>0.0</v>
      </c>
      <c r="C1529" s="44">
        <v>19.47</v>
      </c>
      <c r="D1529" s="46">
        <v>44805.0</v>
      </c>
      <c r="E1529" s="24" t="s">
        <v>6650</v>
      </c>
      <c r="F1529" s="24">
        <v>67.37</v>
      </c>
      <c r="G1529" s="24">
        <v>0.0</v>
      </c>
      <c r="H1529" s="24" t="s">
        <v>6680</v>
      </c>
      <c r="I1529" s="24" t="s">
        <v>6650</v>
      </c>
      <c r="J1529" s="24">
        <v>0.0</v>
      </c>
    </row>
    <row r="1530">
      <c r="A1530" s="24">
        <v>2629.0</v>
      </c>
      <c r="B1530" s="24">
        <v>4.0</v>
      </c>
      <c r="C1530" s="44">
        <v>41.94</v>
      </c>
      <c r="D1530" s="46">
        <v>44805.0</v>
      </c>
      <c r="E1530" s="24">
        <v>10.48</v>
      </c>
      <c r="F1530" s="24">
        <v>15.95</v>
      </c>
      <c r="G1530" s="24">
        <v>0.15</v>
      </c>
      <c r="H1530" s="24" t="s">
        <v>6673</v>
      </c>
      <c r="I1530" s="24">
        <v>41.94</v>
      </c>
      <c r="J1530" s="24">
        <v>0.0</v>
      </c>
    </row>
    <row r="1531">
      <c r="A1531" s="24">
        <v>306.0</v>
      </c>
      <c r="B1531" s="24">
        <v>1.0</v>
      </c>
      <c r="C1531" s="44">
        <v>16.8</v>
      </c>
      <c r="D1531" s="46">
        <v>44806.0</v>
      </c>
      <c r="E1531" s="24">
        <v>16.8</v>
      </c>
      <c r="F1531" s="24">
        <v>54.9</v>
      </c>
      <c r="G1531" s="24">
        <v>0.33</v>
      </c>
      <c r="H1531" s="24" t="s">
        <v>6680</v>
      </c>
      <c r="I1531" s="24">
        <v>16.8</v>
      </c>
      <c r="J1531" s="24">
        <v>0.0</v>
      </c>
    </row>
    <row r="1532">
      <c r="A1532" s="24">
        <v>1198.0</v>
      </c>
      <c r="B1532" s="24">
        <v>5.0</v>
      </c>
      <c r="C1532" s="44">
        <v>31.39</v>
      </c>
      <c r="D1532" s="46">
        <v>44806.0</v>
      </c>
      <c r="E1532" s="24">
        <v>6.28</v>
      </c>
      <c r="F1532" s="24">
        <v>26.2</v>
      </c>
      <c r="G1532" s="24">
        <v>0.42</v>
      </c>
      <c r="H1532" s="24" t="s">
        <v>6675</v>
      </c>
      <c r="I1532" s="24">
        <v>15.7</v>
      </c>
      <c r="J1532" s="24">
        <v>0.0</v>
      </c>
    </row>
    <row r="1533">
      <c r="A1533" s="24">
        <v>923.0</v>
      </c>
      <c r="B1533" s="24">
        <v>3.0</v>
      </c>
      <c r="C1533" s="44">
        <v>39.7</v>
      </c>
      <c r="D1533" s="46">
        <v>44806.0</v>
      </c>
      <c r="E1533" s="24">
        <v>13.23</v>
      </c>
      <c r="F1533" s="24">
        <v>43.01</v>
      </c>
      <c r="G1533" s="24">
        <v>0.33</v>
      </c>
      <c r="H1533" s="24" t="s">
        <v>6676</v>
      </c>
      <c r="I1533" s="24">
        <v>39.7</v>
      </c>
      <c r="J1533" s="24">
        <v>0.0</v>
      </c>
    </row>
    <row r="1534">
      <c r="A1534" s="24">
        <v>725.0</v>
      </c>
      <c r="B1534" s="24">
        <v>7.0</v>
      </c>
      <c r="C1534" s="44">
        <v>29.06</v>
      </c>
      <c r="D1534" s="46">
        <v>44806.0</v>
      </c>
      <c r="E1534" s="24">
        <v>4.15</v>
      </c>
      <c r="F1534" s="24">
        <v>40.08</v>
      </c>
      <c r="G1534" s="24">
        <v>0.97</v>
      </c>
      <c r="H1534" s="24" t="s">
        <v>6674</v>
      </c>
      <c r="I1534" s="24">
        <v>14.53</v>
      </c>
      <c r="J1534" s="24">
        <v>0.0</v>
      </c>
    </row>
    <row r="1535">
      <c r="A1535" s="24">
        <v>769.0</v>
      </c>
      <c r="B1535" s="24">
        <v>6.0</v>
      </c>
      <c r="C1535" s="44">
        <v>31.69</v>
      </c>
      <c r="D1535" s="46">
        <v>44806.0</v>
      </c>
      <c r="E1535" s="24">
        <v>5.28</v>
      </c>
      <c r="F1535" s="24">
        <v>41.21</v>
      </c>
      <c r="G1535" s="24">
        <v>0.78</v>
      </c>
      <c r="H1535" s="24" t="s">
        <v>6677</v>
      </c>
      <c r="I1535" s="24">
        <v>31.69</v>
      </c>
      <c r="J1535" s="24">
        <v>0.0</v>
      </c>
    </row>
    <row r="1536">
      <c r="A1536" s="24">
        <v>2179.0</v>
      </c>
      <c r="B1536" s="24">
        <v>4.0</v>
      </c>
      <c r="C1536" s="44">
        <v>39.48</v>
      </c>
      <c r="D1536" s="46">
        <v>44806.0</v>
      </c>
      <c r="E1536" s="24">
        <v>9.87</v>
      </c>
      <c r="F1536" s="24">
        <v>18.12</v>
      </c>
      <c r="G1536" s="24">
        <v>0.18</v>
      </c>
      <c r="H1536" s="24" t="s">
        <v>6673</v>
      </c>
      <c r="I1536" s="24">
        <v>39.48</v>
      </c>
      <c r="J1536" s="24">
        <v>0.0</v>
      </c>
    </row>
    <row r="1537">
      <c r="A1537" s="24">
        <v>770.0</v>
      </c>
      <c r="B1537" s="24">
        <v>2.0</v>
      </c>
      <c r="C1537" s="44">
        <v>17.09</v>
      </c>
      <c r="D1537" s="46">
        <v>44807.0</v>
      </c>
      <c r="E1537" s="24">
        <v>8.54</v>
      </c>
      <c r="F1537" s="24">
        <v>22.19</v>
      </c>
      <c r="G1537" s="24">
        <v>0.26</v>
      </c>
      <c r="H1537" s="24" t="s">
        <v>6675</v>
      </c>
      <c r="I1537" s="24">
        <v>17.09</v>
      </c>
      <c r="J1537" s="24">
        <v>0.0</v>
      </c>
    </row>
    <row r="1538">
      <c r="A1538" s="24">
        <v>467.0</v>
      </c>
      <c r="B1538" s="24">
        <v>6.0</v>
      </c>
      <c r="C1538" s="44">
        <v>17.03</v>
      </c>
      <c r="D1538" s="46">
        <v>44807.0</v>
      </c>
      <c r="E1538" s="24">
        <v>2.84</v>
      </c>
      <c r="F1538" s="24">
        <v>36.47</v>
      </c>
      <c r="G1538" s="24">
        <v>1.28</v>
      </c>
      <c r="H1538" s="24" t="s">
        <v>6677</v>
      </c>
      <c r="I1538" s="24">
        <v>17.03</v>
      </c>
      <c r="J1538" s="24">
        <v>0.0</v>
      </c>
    </row>
    <row r="1539">
      <c r="A1539" s="24">
        <v>1233.0</v>
      </c>
      <c r="B1539" s="24">
        <v>2.0</v>
      </c>
      <c r="C1539" s="44">
        <v>20.79</v>
      </c>
      <c r="D1539" s="46">
        <v>44807.0</v>
      </c>
      <c r="E1539" s="24">
        <v>10.4</v>
      </c>
      <c r="F1539" s="24">
        <v>16.86</v>
      </c>
      <c r="G1539" s="24">
        <v>0.16</v>
      </c>
      <c r="H1539" s="24" t="s">
        <v>6673</v>
      </c>
      <c r="I1539" s="24">
        <v>20.79</v>
      </c>
      <c r="J1539" s="24">
        <v>0.0</v>
      </c>
    </row>
    <row r="1540">
      <c r="A1540" s="24">
        <v>501.0</v>
      </c>
      <c r="B1540" s="24">
        <v>1.0</v>
      </c>
      <c r="C1540" s="44">
        <v>21.22</v>
      </c>
      <c r="D1540" s="46">
        <v>44807.0</v>
      </c>
      <c r="E1540" s="24">
        <v>21.22</v>
      </c>
      <c r="F1540" s="24">
        <v>42.36</v>
      </c>
      <c r="G1540" s="24">
        <v>0.2</v>
      </c>
      <c r="H1540" s="24" t="s">
        <v>6676</v>
      </c>
      <c r="I1540" s="24" t="s">
        <v>6650</v>
      </c>
      <c r="J1540" s="24">
        <v>0.0</v>
      </c>
    </row>
    <row r="1541">
      <c r="A1541" s="24">
        <v>167.0</v>
      </c>
      <c r="B1541" s="24">
        <v>0.0</v>
      </c>
      <c r="C1541" s="44">
        <v>7.24</v>
      </c>
      <c r="D1541" s="46">
        <v>44807.0</v>
      </c>
      <c r="E1541" s="24" t="s">
        <v>6650</v>
      </c>
      <c r="F1541" s="24">
        <v>43.35</v>
      </c>
      <c r="G1541" s="24">
        <v>0.0</v>
      </c>
      <c r="H1541" s="24" t="s">
        <v>6680</v>
      </c>
      <c r="I1541" s="24" t="s">
        <v>6650</v>
      </c>
      <c r="J1541" s="24">
        <v>0.0</v>
      </c>
    </row>
    <row r="1542">
      <c r="A1542" s="24">
        <v>492.0</v>
      </c>
      <c r="B1542" s="24">
        <v>3.0</v>
      </c>
      <c r="C1542" s="44">
        <v>13.64</v>
      </c>
      <c r="D1542" s="46">
        <v>44807.0</v>
      </c>
      <c r="E1542" s="24">
        <v>4.55</v>
      </c>
      <c r="F1542" s="24">
        <v>27.72</v>
      </c>
      <c r="G1542" s="24">
        <v>0.61</v>
      </c>
      <c r="H1542" s="24" t="s">
        <v>6674</v>
      </c>
      <c r="I1542" s="24">
        <v>6.82</v>
      </c>
      <c r="J1542" s="24">
        <v>0.0</v>
      </c>
    </row>
    <row r="1543">
      <c r="A1543" s="24">
        <v>795.0</v>
      </c>
      <c r="B1543" s="24">
        <v>5.0</v>
      </c>
      <c r="C1543" s="44">
        <v>17.57</v>
      </c>
      <c r="D1543" s="46">
        <v>44808.0</v>
      </c>
      <c r="E1543" s="24">
        <v>3.51</v>
      </c>
      <c r="F1543" s="24">
        <v>22.1</v>
      </c>
      <c r="G1543" s="24">
        <v>0.63</v>
      </c>
      <c r="H1543" s="24" t="s">
        <v>6675</v>
      </c>
      <c r="I1543" s="24">
        <v>17.57</v>
      </c>
      <c r="J1543" s="24">
        <v>0.0</v>
      </c>
    </row>
    <row r="1544">
      <c r="A1544" s="24">
        <v>199.0</v>
      </c>
      <c r="B1544" s="24">
        <v>0.0</v>
      </c>
      <c r="C1544" s="44">
        <v>7.62</v>
      </c>
      <c r="D1544" s="46">
        <v>44808.0</v>
      </c>
      <c r="E1544" s="24" t="s">
        <v>6650</v>
      </c>
      <c r="F1544" s="24">
        <v>38.29</v>
      </c>
      <c r="G1544" s="24">
        <v>0.0</v>
      </c>
      <c r="H1544" s="24" t="s">
        <v>6680</v>
      </c>
      <c r="I1544" s="24" t="s">
        <v>6650</v>
      </c>
      <c r="J1544" s="24">
        <v>0.0</v>
      </c>
    </row>
    <row r="1545">
      <c r="A1545" s="24">
        <v>443.0</v>
      </c>
      <c r="B1545" s="24">
        <v>2.0</v>
      </c>
      <c r="C1545" s="44">
        <v>13.89</v>
      </c>
      <c r="D1545" s="46">
        <v>44808.0</v>
      </c>
      <c r="E1545" s="24">
        <v>6.94</v>
      </c>
      <c r="F1545" s="24">
        <v>31.35</v>
      </c>
      <c r="G1545" s="24">
        <v>0.45</v>
      </c>
      <c r="H1545" s="24" t="s">
        <v>6674</v>
      </c>
      <c r="I1545" s="24">
        <v>13.89</v>
      </c>
      <c r="J1545" s="24">
        <v>0.0</v>
      </c>
    </row>
    <row r="1546">
      <c r="A1546" s="24">
        <v>472.0</v>
      </c>
      <c r="B1546" s="24">
        <v>2.0</v>
      </c>
      <c r="C1546" s="44">
        <v>16.66</v>
      </c>
      <c r="D1546" s="46">
        <v>44808.0</v>
      </c>
      <c r="E1546" s="24">
        <v>8.33</v>
      </c>
      <c r="F1546" s="24">
        <v>35.3</v>
      </c>
      <c r="G1546" s="24">
        <v>0.42</v>
      </c>
      <c r="H1546" s="24" t="s">
        <v>6677</v>
      </c>
      <c r="I1546" s="24">
        <v>16.66</v>
      </c>
      <c r="J1546" s="24">
        <v>0.0</v>
      </c>
    </row>
    <row r="1547">
      <c r="A1547" s="24">
        <v>510.0</v>
      </c>
      <c r="B1547" s="24">
        <v>0.0</v>
      </c>
      <c r="C1547" s="44">
        <v>21.72</v>
      </c>
      <c r="D1547" s="46">
        <v>44808.0</v>
      </c>
      <c r="E1547" s="24" t="s">
        <v>6650</v>
      </c>
      <c r="F1547" s="24">
        <v>42.59</v>
      </c>
      <c r="G1547" s="24">
        <v>0.0</v>
      </c>
      <c r="H1547" s="24" t="s">
        <v>6676</v>
      </c>
      <c r="I1547" s="24" t="s">
        <v>6650</v>
      </c>
      <c r="J1547" s="24">
        <v>0.0</v>
      </c>
    </row>
    <row r="1548">
      <c r="A1548" s="24">
        <v>1325.0</v>
      </c>
      <c r="B1548" s="24">
        <v>3.0</v>
      </c>
      <c r="C1548" s="44">
        <v>21.18</v>
      </c>
      <c r="D1548" s="46">
        <v>44808.0</v>
      </c>
      <c r="E1548" s="24">
        <v>7.06</v>
      </c>
      <c r="F1548" s="24">
        <v>15.98</v>
      </c>
      <c r="G1548" s="24">
        <v>0.23</v>
      </c>
      <c r="H1548" s="24" t="s">
        <v>6673</v>
      </c>
      <c r="I1548" s="24">
        <v>21.18</v>
      </c>
      <c r="J1548" s="24">
        <v>0.0</v>
      </c>
    </row>
    <row r="1549">
      <c r="A1549" s="24">
        <v>739.0</v>
      </c>
      <c r="B1549" s="24">
        <v>2.0</v>
      </c>
      <c r="C1549" s="44">
        <v>38.0</v>
      </c>
      <c r="D1549" s="46">
        <v>44809.0</v>
      </c>
      <c r="E1549" s="24">
        <v>19.0</v>
      </c>
      <c r="F1549" s="24">
        <v>51.42</v>
      </c>
      <c r="G1549" s="24">
        <v>0.27</v>
      </c>
      <c r="H1549" s="24" t="s">
        <v>6676</v>
      </c>
      <c r="I1549" s="24">
        <v>19.0</v>
      </c>
      <c r="J1549" s="24">
        <v>0.0</v>
      </c>
    </row>
    <row r="1550">
      <c r="A1550" s="24">
        <v>955.0</v>
      </c>
      <c r="B1550" s="24">
        <v>6.0</v>
      </c>
      <c r="C1550" s="44">
        <v>34.92</v>
      </c>
      <c r="D1550" s="46">
        <v>44809.0</v>
      </c>
      <c r="E1550" s="24">
        <v>5.82</v>
      </c>
      <c r="F1550" s="24">
        <v>36.57</v>
      </c>
      <c r="G1550" s="24">
        <v>0.63</v>
      </c>
      <c r="H1550" s="24" t="s">
        <v>6677</v>
      </c>
      <c r="I1550" s="24" t="s">
        <v>6650</v>
      </c>
      <c r="J1550" s="24">
        <v>0.0</v>
      </c>
    </row>
    <row r="1551">
      <c r="A1551" s="24">
        <v>1856.0</v>
      </c>
      <c r="B1551" s="24">
        <v>1.0</v>
      </c>
      <c r="C1551" s="44">
        <v>38.3</v>
      </c>
      <c r="D1551" s="46">
        <v>44809.0</v>
      </c>
      <c r="E1551" s="24">
        <v>38.3</v>
      </c>
      <c r="F1551" s="24">
        <v>20.64</v>
      </c>
      <c r="G1551" s="24">
        <v>0.05</v>
      </c>
      <c r="H1551" s="24" t="s">
        <v>6673</v>
      </c>
      <c r="I1551" s="24">
        <v>38.3</v>
      </c>
      <c r="J1551" s="24">
        <v>0.0</v>
      </c>
    </row>
    <row r="1552">
      <c r="A1552" s="24">
        <v>468.0</v>
      </c>
      <c r="B1552" s="24">
        <v>1.0</v>
      </c>
      <c r="C1552" s="44">
        <v>16.98</v>
      </c>
      <c r="D1552" s="46">
        <v>44809.0</v>
      </c>
      <c r="E1552" s="24">
        <v>16.98</v>
      </c>
      <c r="F1552" s="24">
        <v>36.28</v>
      </c>
      <c r="G1552" s="24">
        <v>0.21</v>
      </c>
      <c r="H1552" s="24" t="s">
        <v>6680</v>
      </c>
      <c r="I1552" s="24">
        <v>16.98</v>
      </c>
      <c r="J1552" s="24">
        <v>0.0</v>
      </c>
    </row>
    <row r="1553">
      <c r="A1553" s="24">
        <v>1223.0</v>
      </c>
      <c r="B1553" s="24">
        <v>5.0</v>
      </c>
      <c r="C1553" s="44">
        <v>34.21</v>
      </c>
      <c r="D1553" s="46">
        <v>44809.0</v>
      </c>
      <c r="E1553" s="24">
        <v>6.84</v>
      </c>
      <c r="F1553" s="24">
        <v>27.97</v>
      </c>
      <c r="G1553" s="24">
        <v>0.41</v>
      </c>
      <c r="H1553" s="24" t="s">
        <v>6675</v>
      </c>
      <c r="I1553" s="24">
        <v>34.21</v>
      </c>
      <c r="J1553" s="24">
        <v>0.0</v>
      </c>
    </row>
    <row r="1554">
      <c r="A1554" s="24">
        <v>745.0</v>
      </c>
      <c r="B1554" s="24">
        <v>5.0</v>
      </c>
      <c r="C1554" s="44">
        <v>27.72</v>
      </c>
      <c r="D1554" s="46">
        <v>44809.0</v>
      </c>
      <c r="E1554" s="24">
        <v>5.54</v>
      </c>
      <c r="F1554" s="24">
        <v>37.21</v>
      </c>
      <c r="G1554" s="24">
        <v>0.67</v>
      </c>
      <c r="H1554" s="24" t="s">
        <v>6674</v>
      </c>
      <c r="I1554" s="24">
        <v>13.86</v>
      </c>
      <c r="J1554" s="24">
        <v>0.0</v>
      </c>
    </row>
    <row r="1555">
      <c r="A1555" s="24">
        <v>1355.0</v>
      </c>
      <c r="B1555" s="24">
        <v>2.0</v>
      </c>
      <c r="C1555" s="44">
        <v>41.44</v>
      </c>
      <c r="D1555" s="46">
        <v>44810.0</v>
      </c>
      <c r="E1555" s="24">
        <v>20.72</v>
      </c>
      <c r="F1555" s="24">
        <v>30.58</v>
      </c>
      <c r="G1555" s="24">
        <v>0.15</v>
      </c>
      <c r="H1555" s="24" t="s">
        <v>6676</v>
      </c>
      <c r="I1555" s="24">
        <v>41.44</v>
      </c>
      <c r="J1555" s="24">
        <v>0.0</v>
      </c>
    </row>
    <row r="1556">
      <c r="A1556" s="24">
        <v>1762.0</v>
      </c>
      <c r="B1556" s="24">
        <v>11.0</v>
      </c>
      <c r="C1556" s="44">
        <v>37.18</v>
      </c>
      <c r="D1556" s="46">
        <v>44810.0</v>
      </c>
      <c r="E1556" s="24">
        <v>3.38</v>
      </c>
      <c r="F1556" s="24">
        <v>21.1</v>
      </c>
      <c r="G1556" s="24">
        <v>0.62</v>
      </c>
      <c r="H1556" s="24" t="s">
        <v>6675</v>
      </c>
      <c r="I1556" s="24">
        <v>12.39</v>
      </c>
      <c r="J1556" s="24">
        <v>0.0</v>
      </c>
    </row>
    <row r="1557">
      <c r="A1557" s="24">
        <v>2755.0</v>
      </c>
      <c r="B1557" s="24">
        <v>1.0</v>
      </c>
      <c r="C1557" s="44">
        <v>41.4</v>
      </c>
      <c r="D1557" s="46">
        <v>44810.0</v>
      </c>
      <c r="E1557" s="24">
        <v>41.4</v>
      </c>
      <c r="F1557" s="24">
        <v>15.03</v>
      </c>
      <c r="G1557" s="24">
        <v>0.04</v>
      </c>
      <c r="H1557" s="24" t="s">
        <v>6673</v>
      </c>
      <c r="I1557" s="24">
        <v>20.7</v>
      </c>
      <c r="J1557" s="24">
        <v>0.0</v>
      </c>
    </row>
    <row r="1558">
      <c r="A1558" s="24">
        <v>994.0</v>
      </c>
      <c r="B1558" s="24">
        <v>7.0</v>
      </c>
      <c r="C1558" s="44">
        <v>35.97</v>
      </c>
      <c r="D1558" s="46">
        <v>44810.0</v>
      </c>
      <c r="E1558" s="24">
        <v>5.14</v>
      </c>
      <c r="F1558" s="24">
        <v>36.19</v>
      </c>
      <c r="G1558" s="24">
        <v>0.7</v>
      </c>
      <c r="H1558" s="24" t="s">
        <v>6677</v>
      </c>
      <c r="I1558" s="24">
        <v>17.98</v>
      </c>
      <c r="J1558" s="24">
        <v>0.0</v>
      </c>
    </row>
    <row r="1559">
      <c r="A1559" s="24">
        <v>382.0</v>
      </c>
      <c r="B1559" s="24">
        <v>2.0</v>
      </c>
      <c r="C1559" s="44">
        <v>17.5</v>
      </c>
      <c r="D1559" s="46">
        <v>44810.0</v>
      </c>
      <c r="E1559" s="24">
        <v>8.75</v>
      </c>
      <c r="F1559" s="24">
        <v>45.81</v>
      </c>
      <c r="G1559" s="24">
        <v>0.52</v>
      </c>
      <c r="H1559" s="24" t="s">
        <v>6680</v>
      </c>
      <c r="I1559" s="24" t="s">
        <v>6650</v>
      </c>
      <c r="J1559" s="24">
        <v>0.0</v>
      </c>
    </row>
    <row r="1560">
      <c r="A1560" s="24">
        <v>819.0</v>
      </c>
      <c r="B1560" s="24">
        <v>6.0</v>
      </c>
      <c r="C1560" s="44">
        <v>30.06</v>
      </c>
      <c r="D1560" s="46">
        <v>44810.0</v>
      </c>
      <c r="E1560" s="24">
        <v>5.01</v>
      </c>
      <c r="F1560" s="24">
        <v>36.7</v>
      </c>
      <c r="G1560" s="24">
        <v>0.73</v>
      </c>
      <c r="H1560" s="24" t="s">
        <v>6674</v>
      </c>
      <c r="I1560" s="24">
        <v>15.03</v>
      </c>
      <c r="J1560" s="24">
        <v>0.0</v>
      </c>
    </row>
    <row r="1561">
      <c r="A1561" s="24">
        <v>1270.0</v>
      </c>
      <c r="B1561" s="24">
        <v>1.0</v>
      </c>
      <c r="C1561" s="44">
        <v>42.36</v>
      </c>
      <c r="D1561" s="46">
        <v>44811.0</v>
      </c>
      <c r="E1561" s="24">
        <v>42.36</v>
      </c>
      <c r="F1561" s="24">
        <v>33.35</v>
      </c>
      <c r="G1561" s="24">
        <v>0.08</v>
      </c>
      <c r="H1561" s="24" t="s">
        <v>6676</v>
      </c>
      <c r="I1561" s="24">
        <v>10.59</v>
      </c>
      <c r="J1561" s="24">
        <v>0.0</v>
      </c>
    </row>
    <row r="1562">
      <c r="A1562" s="24">
        <v>1675.0</v>
      </c>
      <c r="B1562" s="24">
        <v>10.0</v>
      </c>
      <c r="C1562" s="44">
        <v>35.83</v>
      </c>
      <c r="D1562" s="46">
        <v>44811.0</v>
      </c>
      <c r="E1562" s="24">
        <v>3.58</v>
      </c>
      <c r="F1562" s="24">
        <v>21.39</v>
      </c>
      <c r="G1562" s="24">
        <v>0.6</v>
      </c>
      <c r="H1562" s="24" t="s">
        <v>6675</v>
      </c>
      <c r="I1562" s="24">
        <v>35.83</v>
      </c>
      <c r="J1562" s="24">
        <v>0.0</v>
      </c>
    </row>
    <row r="1563">
      <c r="A1563" s="24">
        <v>2836.0</v>
      </c>
      <c r="B1563" s="24">
        <v>0.0</v>
      </c>
      <c r="C1563" s="44">
        <v>42.24</v>
      </c>
      <c r="D1563" s="46">
        <v>44811.0</v>
      </c>
      <c r="E1563" s="24" t="s">
        <v>6650</v>
      </c>
      <c r="F1563" s="24">
        <v>14.89</v>
      </c>
      <c r="G1563" s="24">
        <v>0.0</v>
      </c>
      <c r="H1563" s="24" t="s">
        <v>6673</v>
      </c>
      <c r="I1563" s="24">
        <v>42.24</v>
      </c>
      <c r="J1563" s="24">
        <v>0.0</v>
      </c>
    </row>
    <row r="1564">
      <c r="A1564" s="24">
        <v>1014.0</v>
      </c>
      <c r="B1564" s="24">
        <v>12.0</v>
      </c>
      <c r="C1564" s="44">
        <v>37.18</v>
      </c>
      <c r="D1564" s="46">
        <v>44811.0</v>
      </c>
      <c r="E1564" s="24">
        <v>3.1</v>
      </c>
      <c r="F1564" s="24">
        <v>36.67</v>
      </c>
      <c r="G1564" s="24">
        <v>1.18</v>
      </c>
      <c r="H1564" s="24" t="s">
        <v>6677</v>
      </c>
      <c r="I1564" s="24">
        <v>18.59</v>
      </c>
      <c r="J1564" s="24">
        <v>0.0</v>
      </c>
    </row>
    <row r="1565">
      <c r="A1565" s="24">
        <v>701.0</v>
      </c>
      <c r="B1565" s="24">
        <v>9.0</v>
      </c>
      <c r="C1565" s="44">
        <v>30.59</v>
      </c>
      <c r="D1565" s="46">
        <v>44811.0</v>
      </c>
      <c r="E1565" s="24">
        <v>3.4</v>
      </c>
      <c r="F1565" s="24">
        <v>43.64</v>
      </c>
      <c r="G1565" s="24">
        <v>1.28</v>
      </c>
      <c r="H1565" s="24" t="s">
        <v>6674</v>
      </c>
      <c r="I1565" s="24">
        <v>30.59</v>
      </c>
      <c r="J1565" s="24">
        <v>0.0</v>
      </c>
    </row>
    <row r="1566">
      <c r="A1566" s="24">
        <v>376.0</v>
      </c>
      <c r="B1566" s="24">
        <v>0.0</v>
      </c>
      <c r="C1566" s="44">
        <v>18.96</v>
      </c>
      <c r="D1566" s="46">
        <v>44811.0</v>
      </c>
      <c r="E1566" s="24" t="s">
        <v>6650</v>
      </c>
      <c r="F1566" s="24">
        <v>50.43</v>
      </c>
      <c r="G1566" s="24">
        <v>0.0</v>
      </c>
      <c r="H1566" s="24" t="s">
        <v>6680</v>
      </c>
      <c r="I1566" s="24" t="s">
        <v>6650</v>
      </c>
      <c r="J1566" s="24">
        <v>0.0</v>
      </c>
    </row>
    <row r="1567">
      <c r="A1567" s="24">
        <v>1611.0</v>
      </c>
      <c r="B1567" s="24">
        <v>10.0</v>
      </c>
      <c r="C1567" s="44">
        <v>35.61</v>
      </c>
      <c r="D1567" s="46">
        <v>44812.0</v>
      </c>
      <c r="E1567" s="24">
        <v>3.56</v>
      </c>
      <c r="F1567" s="24">
        <v>22.1</v>
      </c>
      <c r="G1567" s="24">
        <v>0.62</v>
      </c>
      <c r="H1567" s="24" t="s">
        <v>6675</v>
      </c>
      <c r="I1567" s="24">
        <v>11.87</v>
      </c>
      <c r="J1567" s="24">
        <v>0.0</v>
      </c>
    </row>
    <row r="1568">
      <c r="A1568" s="24">
        <v>983.0</v>
      </c>
      <c r="B1568" s="24">
        <v>7.0</v>
      </c>
      <c r="C1568" s="44">
        <v>34.57</v>
      </c>
      <c r="D1568" s="46">
        <v>44812.0</v>
      </c>
      <c r="E1568" s="24">
        <v>4.94</v>
      </c>
      <c r="F1568" s="24">
        <v>35.17</v>
      </c>
      <c r="G1568" s="24">
        <v>0.71</v>
      </c>
      <c r="H1568" s="24" t="s">
        <v>6677</v>
      </c>
      <c r="I1568" s="24">
        <v>17.28</v>
      </c>
      <c r="J1568" s="24">
        <v>0.0</v>
      </c>
    </row>
    <row r="1569">
      <c r="A1569" s="24">
        <v>2809.0</v>
      </c>
      <c r="B1569" s="24">
        <v>5.0</v>
      </c>
      <c r="C1569" s="44">
        <v>42.45</v>
      </c>
      <c r="D1569" s="46">
        <v>44812.0</v>
      </c>
      <c r="E1569" s="24">
        <v>8.49</v>
      </c>
      <c r="F1569" s="24">
        <v>15.11</v>
      </c>
      <c r="G1569" s="24">
        <v>0.18</v>
      </c>
      <c r="H1569" s="24" t="s">
        <v>6673</v>
      </c>
      <c r="I1569" s="24" t="s">
        <v>6650</v>
      </c>
      <c r="J1569" s="24">
        <v>0.0</v>
      </c>
    </row>
    <row r="1570">
      <c r="A1570" s="24">
        <v>1260.0</v>
      </c>
      <c r="B1570" s="24">
        <v>1.0</v>
      </c>
      <c r="C1570" s="44">
        <v>40.72</v>
      </c>
      <c r="D1570" s="46">
        <v>44812.0</v>
      </c>
      <c r="E1570" s="24">
        <v>40.72</v>
      </c>
      <c r="F1570" s="24">
        <v>32.32</v>
      </c>
      <c r="G1570" s="24">
        <v>0.08</v>
      </c>
      <c r="H1570" s="24" t="s">
        <v>6676</v>
      </c>
      <c r="I1570" s="24">
        <v>20.36</v>
      </c>
      <c r="J1570" s="24">
        <v>0.0</v>
      </c>
    </row>
    <row r="1571">
      <c r="A1571" s="24">
        <v>383.0</v>
      </c>
      <c r="B1571" s="24">
        <v>1.0</v>
      </c>
      <c r="C1571" s="44">
        <v>18.05</v>
      </c>
      <c r="D1571" s="46">
        <v>44812.0</v>
      </c>
      <c r="E1571" s="24">
        <v>18.05</v>
      </c>
      <c r="F1571" s="24">
        <v>47.13</v>
      </c>
      <c r="G1571" s="24">
        <v>0.26</v>
      </c>
      <c r="H1571" s="24" t="s">
        <v>6680</v>
      </c>
      <c r="I1571" s="24">
        <v>18.05</v>
      </c>
      <c r="J1571" s="24">
        <v>0.0</v>
      </c>
    </row>
    <row r="1572">
      <c r="A1572" s="24">
        <v>936.0</v>
      </c>
      <c r="B1572" s="24">
        <v>4.0</v>
      </c>
      <c r="C1572" s="44">
        <v>30.83</v>
      </c>
      <c r="D1572" s="46">
        <v>44812.0</v>
      </c>
      <c r="E1572" s="24">
        <v>7.71</v>
      </c>
      <c r="F1572" s="24">
        <v>32.94</v>
      </c>
      <c r="G1572" s="24">
        <v>0.43</v>
      </c>
      <c r="H1572" s="24" t="s">
        <v>6674</v>
      </c>
      <c r="I1572" s="24">
        <v>10.28</v>
      </c>
      <c r="J1572" s="24">
        <v>0.0</v>
      </c>
    </row>
    <row r="1573">
      <c r="A1573" s="24">
        <v>2428.0</v>
      </c>
      <c r="B1573" s="24">
        <v>0.0</v>
      </c>
      <c r="C1573" s="44">
        <v>39.39</v>
      </c>
      <c r="D1573" s="46">
        <v>44813.0</v>
      </c>
      <c r="E1573" s="24" t="s">
        <v>6650</v>
      </c>
      <c r="F1573" s="24">
        <v>16.22</v>
      </c>
      <c r="G1573" s="24">
        <v>0.0</v>
      </c>
      <c r="H1573" s="24" t="s">
        <v>6673</v>
      </c>
      <c r="I1573" s="24" t="s">
        <v>6650</v>
      </c>
      <c r="J1573" s="24">
        <v>0.0</v>
      </c>
    </row>
    <row r="1574">
      <c r="A1574" s="24">
        <v>744.0</v>
      </c>
      <c r="B1574" s="24">
        <v>6.0</v>
      </c>
      <c r="C1574" s="44">
        <v>32.61</v>
      </c>
      <c r="D1574" s="46">
        <v>44813.0</v>
      </c>
      <c r="E1574" s="24">
        <v>5.44</v>
      </c>
      <c r="F1574" s="24">
        <v>43.83</v>
      </c>
      <c r="G1574" s="24">
        <v>0.81</v>
      </c>
      <c r="H1574" s="24" t="s">
        <v>6677</v>
      </c>
      <c r="I1574" s="24">
        <v>16.3</v>
      </c>
      <c r="J1574" s="24">
        <v>0.0</v>
      </c>
    </row>
    <row r="1575">
      <c r="A1575" s="24">
        <v>1009.0</v>
      </c>
      <c r="B1575" s="24">
        <v>4.0</v>
      </c>
      <c r="C1575" s="44">
        <v>38.59</v>
      </c>
      <c r="D1575" s="46">
        <v>44813.0</v>
      </c>
      <c r="E1575" s="24">
        <v>9.65</v>
      </c>
      <c r="F1575" s="24">
        <v>38.25</v>
      </c>
      <c r="G1575" s="24">
        <v>0.4</v>
      </c>
      <c r="H1575" s="24" t="s">
        <v>6676</v>
      </c>
      <c r="I1575" s="24">
        <v>38.59</v>
      </c>
      <c r="J1575" s="24">
        <v>0.0</v>
      </c>
    </row>
    <row r="1576">
      <c r="A1576" s="24">
        <v>374.0</v>
      </c>
      <c r="B1576" s="24">
        <v>1.0</v>
      </c>
      <c r="C1576" s="44">
        <v>16.09</v>
      </c>
      <c r="D1576" s="46">
        <v>44813.0</v>
      </c>
      <c r="E1576" s="24">
        <v>16.09</v>
      </c>
      <c r="F1576" s="24">
        <v>43.02</v>
      </c>
      <c r="G1576" s="24">
        <v>0.27</v>
      </c>
      <c r="H1576" s="24" t="s">
        <v>6680</v>
      </c>
      <c r="I1576" s="24">
        <v>16.09</v>
      </c>
      <c r="J1576" s="24">
        <v>0.0</v>
      </c>
    </row>
    <row r="1577">
      <c r="A1577" s="24">
        <v>794.0</v>
      </c>
      <c r="B1577" s="24">
        <v>2.0</v>
      </c>
      <c r="C1577" s="44">
        <v>27.65</v>
      </c>
      <c r="D1577" s="46">
        <v>44813.0</v>
      </c>
      <c r="E1577" s="24">
        <v>13.82</v>
      </c>
      <c r="F1577" s="24">
        <v>34.82</v>
      </c>
      <c r="G1577" s="24">
        <v>0.25</v>
      </c>
      <c r="H1577" s="24" t="s">
        <v>6674</v>
      </c>
      <c r="I1577" s="24">
        <v>6.91</v>
      </c>
      <c r="J1577" s="24">
        <v>0.0</v>
      </c>
    </row>
    <row r="1578">
      <c r="A1578" s="24">
        <v>1543.0</v>
      </c>
      <c r="B1578" s="24">
        <v>6.0</v>
      </c>
      <c r="C1578" s="44">
        <v>32.58</v>
      </c>
      <c r="D1578" s="46">
        <v>44813.0</v>
      </c>
      <c r="E1578" s="24">
        <v>5.43</v>
      </c>
      <c r="F1578" s="24">
        <v>21.11</v>
      </c>
      <c r="G1578" s="24">
        <v>0.39</v>
      </c>
      <c r="H1578" s="24" t="s">
        <v>6675</v>
      </c>
      <c r="I1578" s="24">
        <v>32.58</v>
      </c>
      <c r="J1578" s="24">
        <v>0.0</v>
      </c>
    </row>
    <row r="1579">
      <c r="A1579" s="24">
        <v>448.0</v>
      </c>
      <c r="B1579" s="24">
        <v>3.0</v>
      </c>
      <c r="C1579" s="44">
        <v>13.4</v>
      </c>
      <c r="D1579" s="46">
        <v>44814.0</v>
      </c>
      <c r="E1579" s="24">
        <v>4.47</v>
      </c>
      <c r="F1579" s="24">
        <v>29.91</v>
      </c>
      <c r="G1579" s="24">
        <v>0.67</v>
      </c>
      <c r="H1579" s="24" t="s">
        <v>6674</v>
      </c>
      <c r="I1579" s="24">
        <v>13.4</v>
      </c>
      <c r="J1579" s="24">
        <v>0.0</v>
      </c>
    </row>
    <row r="1580">
      <c r="A1580" s="24">
        <v>791.0</v>
      </c>
      <c r="B1580" s="24">
        <v>0.0</v>
      </c>
      <c r="C1580" s="44">
        <v>16.7</v>
      </c>
      <c r="D1580" s="46">
        <v>44814.0</v>
      </c>
      <c r="E1580" s="24" t="s">
        <v>6650</v>
      </c>
      <c r="F1580" s="24">
        <v>21.11</v>
      </c>
      <c r="G1580" s="24">
        <v>0.0</v>
      </c>
      <c r="H1580" s="24" t="s">
        <v>6675</v>
      </c>
      <c r="I1580" s="24" t="s">
        <v>6650</v>
      </c>
      <c r="J1580" s="24">
        <v>0.0</v>
      </c>
    </row>
    <row r="1581">
      <c r="A1581" s="24">
        <v>561.0</v>
      </c>
      <c r="B1581" s="24">
        <v>0.0</v>
      </c>
      <c r="C1581" s="44">
        <v>20.39</v>
      </c>
      <c r="D1581" s="46">
        <v>44814.0</v>
      </c>
      <c r="E1581" s="24" t="s">
        <v>6650</v>
      </c>
      <c r="F1581" s="24">
        <v>36.35</v>
      </c>
      <c r="G1581" s="24">
        <v>0.0</v>
      </c>
      <c r="H1581" s="24" t="s">
        <v>6676</v>
      </c>
      <c r="I1581" s="24" t="s">
        <v>6650</v>
      </c>
      <c r="J1581" s="24">
        <v>0.0</v>
      </c>
    </row>
    <row r="1582">
      <c r="A1582" s="24">
        <v>457.0</v>
      </c>
      <c r="B1582" s="24">
        <v>2.0</v>
      </c>
      <c r="C1582" s="44">
        <v>17.04</v>
      </c>
      <c r="D1582" s="46">
        <v>44814.0</v>
      </c>
      <c r="E1582" s="24">
        <v>8.52</v>
      </c>
      <c r="F1582" s="24">
        <v>37.29</v>
      </c>
      <c r="G1582" s="24">
        <v>0.44</v>
      </c>
      <c r="H1582" s="24" t="s">
        <v>6677</v>
      </c>
      <c r="I1582" s="24">
        <v>8.52</v>
      </c>
      <c r="J1582" s="24">
        <v>0.0</v>
      </c>
    </row>
    <row r="1583">
      <c r="A1583" s="24">
        <v>1186.0</v>
      </c>
      <c r="B1583" s="24">
        <v>2.0</v>
      </c>
      <c r="C1583" s="44">
        <v>18.98</v>
      </c>
      <c r="D1583" s="46">
        <v>44814.0</v>
      </c>
      <c r="E1583" s="24">
        <v>9.49</v>
      </c>
      <c r="F1583" s="24">
        <v>16.0</v>
      </c>
      <c r="G1583" s="24">
        <v>0.17</v>
      </c>
      <c r="H1583" s="24" t="s">
        <v>6673</v>
      </c>
      <c r="I1583" s="24">
        <v>18.98</v>
      </c>
      <c r="J1583" s="24">
        <v>0.0</v>
      </c>
    </row>
    <row r="1584">
      <c r="A1584" s="24">
        <v>230.0</v>
      </c>
      <c r="B1584" s="24">
        <v>1.0</v>
      </c>
      <c r="C1584" s="44">
        <v>7.86</v>
      </c>
      <c r="D1584" s="46">
        <v>44814.0</v>
      </c>
      <c r="E1584" s="24">
        <v>7.86</v>
      </c>
      <c r="F1584" s="24">
        <v>34.17</v>
      </c>
      <c r="G1584" s="24">
        <v>0.43</v>
      </c>
      <c r="H1584" s="24" t="s">
        <v>6680</v>
      </c>
      <c r="I1584" s="24" t="s">
        <v>6650</v>
      </c>
      <c r="J1584" s="24">
        <v>0.0</v>
      </c>
    </row>
    <row r="1585">
      <c r="A1585" s="24">
        <v>472.0</v>
      </c>
      <c r="B1585" s="24">
        <v>2.0</v>
      </c>
      <c r="C1585" s="44">
        <v>17.69</v>
      </c>
      <c r="D1585" s="46">
        <v>44815.0</v>
      </c>
      <c r="E1585" s="24">
        <v>8.85</v>
      </c>
      <c r="F1585" s="24">
        <v>37.48</v>
      </c>
      <c r="G1585" s="24">
        <v>0.42</v>
      </c>
      <c r="H1585" s="24" t="s">
        <v>6677</v>
      </c>
      <c r="I1585" s="24">
        <v>17.69</v>
      </c>
      <c r="J1585" s="24">
        <v>0.0</v>
      </c>
    </row>
    <row r="1586">
      <c r="A1586" s="24">
        <v>1237.0</v>
      </c>
      <c r="B1586" s="24">
        <v>1.0</v>
      </c>
      <c r="C1586" s="44">
        <v>20.03</v>
      </c>
      <c r="D1586" s="46">
        <v>44815.0</v>
      </c>
      <c r="E1586" s="24">
        <v>20.03</v>
      </c>
      <c r="F1586" s="24">
        <v>16.19</v>
      </c>
      <c r="G1586" s="24">
        <v>0.08</v>
      </c>
      <c r="H1586" s="24" t="s">
        <v>6673</v>
      </c>
      <c r="I1586" s="24">
        <v>20.03</v>
      </c>
      <c r="J1586" s="24">
        <v>0.0</v>
      </c>
    </row>
    <row r="1587">
      <c r="A1587" s="24">
        <v>540.0</v>
      </c>
      <c r="B1587" s="24">
        <v>3.0</v>
      </c>
      <c r="C1587" s="44">
        <v>13.3</v>
      </c>
      <c r="D1587" s="46">
        <v>44815.0</v>
      </c>
      <c r="E1587" s="24">
        <v>4.43</v>
      </c>
      <c r="F1587" s="24">
        <v>24.63</v>
      </c>
      <c r="G1587" s="24">
        <v>0.56</v>
      </c>
      <c r="H1587" s="24" t="s">
        <v>6674</v>
      </c>
      <c r="I1587" s="24">
        <v>6.65</v>
      </c>
      <c r="J1587" s="24">
        <v>0.0</v>
      </c>
    </row>
    <row r="1588">
      <c r="A1588" s="24">
        <v>1.0</v>
      </c>
      <c r="B1588" s="24">
        <v>0.0</v>
      </c>
      <c r="C1588" s="44">
        <v>0.06</v>
      </c>
      <c r="D1588" s="46">
        <v>44815.0</v>
      </c>
      <c r="E1588" s="24" t="s">
        <v>6650</v>
      </c>
      <c r="F1588" s="24">
        <v>60.0</v>
      </c>
      <c r="G1588" s="24">
        <v>0.0</v>
      </c>
      <c r="H1588" s="24" t="s">
        <v>6671</v>
      </c>
      <c r="I1588" s="24" t="s">
        <v>6650</v>
      </c>
      <c r="J1588" s="24">
        <v>0.0</v>
      </c>
    </row>
    <row r="1589">
      <c r="A1589" s="24">
        <v>875.0</v>
      </c>
      <c r="B1589" s="24">
        <v>2.0</v>
      </c>
      <c r="C1589" s="44">
        <v>17.89</v>
      </c>
      <c r="D1589" s="46">
        <v>44815.0</v>
      </c>
      <c r="E1589" s="24">
        <v>8.94</v>
      </c>
      <c r="F1589" s="24">
        <v>20.45</v>
      </c>
      <c r="G1589" s="24">
        <v>0.23</v>
      </c>
      <c r="H1589" s="24" t="s">
        <v>6675</v>
      </c>
      <c r="I1589" s="24">
        <v>17.89</v>
      </c>
      <c r="J1589" s="24">
        <v>0.0</v>
      </c>
    </row>
    <row r="1590">
      <c r="A1590" s="24">
        <v>610.0</v>
      </c>
      <c r="B1590" s="24">
        <v>0.0</v>
      </c>
      <c r="C1590" s="44">
        <v>21.17</v>
      </c>
      <c r="D1590" s="46">
        <v>44815.0</v>
      </c>
      <c r="E1590" s="24" t="s">
        <v>6650</v>
      </c>
      <c r="F1590" s="24">
        <v>34.7</v>
      </c>
      <c r="G1590" s="24">
        <v>0.0</v>
      </c>
      <c r="H1590" s="24" t="s">
        <v>6676</v>
      </c>
      <c r="I1590" s="24" t="s">
        <v>6650</v>
      </c>
      <c r="J1590" s="24">
        <v>0.0</v>
      </c>
    </row>
    <row r="1591">
      <c r="A1591" s="24">
        <v>265.0</v>
      </c>
      <c r="B1591" s="24">
        <v>2.0</v>
      </c>
      <c r="C1591" s="44">
        <v>9.45</v>
      </c>
      <c r="D1591" s="46">
        <v>44815.0</v>
      </c>
      <c r="E1591" s="24">
        <v>4.72</v>
      </c>
      <c r="F1591" s="24">
        <v>35.66</v>
      </c>
      <c r="G1591" s="24">
        <v>0.75</v>
      </c>
      <c r="H1591" s="24" t="s">
        <v>6680</v>
      </c>
      <c r="I1591" s="24">
        <v>4.72</v>
      </c>
      <c r="J1591" s="24">
        <v>0.0</v>
      </c>
    </row>
    <row r="1592">
      <c r="A1592" s="24">
        <v>2423.0</v>
      </c>
      <c r="B1592" s="24">
        <v>1.0</v>
      </c>
      <c r="C1592" s="44">
        <v>35.07</v>
      </c>
      <c r="D1592" s="46">
        <v>44816.0</v>
      </c>
      <c r="E1592" s="24">
        <v>35.07</v>
      </c>
      <c r="F1592" s="24">
        <v>14.47</v>
      </c>
      <c r="G1592" s="24">
        <v>0.04</v>
      </c>
      <c r="H1592" s="24" t="s">
        <v>6673</v>
      </c>
      <c r="I1592" s="24">
        <v>35.07</v>
      </c>
      <c r="J1592" s="24">
        <v>0.0</v>
      </c>
    </row>
    <row r="1593">
      <c r="A1593" s="24">
        <v>1826.0</v>
      </c>
      <c r="B1593" s="24">
        <v>10.0</v>
      </c>
      <c r="C1593" s="44">
        <v>35.0</v>
      </c>
      <c r="D1593" s="46">
        <v>44816.0</v>
      </c>
      <c r="E1593" s="24">
        <v>3.5</v>
      </c>
      <c r="F1593" s="24">
        <v>19.17</v>
      </c>
      <c r="G1593" s="24">
        <v>0.55</v>
      </c>
      <c r="H1593" s="24" t="s">
        <v>6675</v>
      </c>
      <c r="I1593" s="24">
        <v>35.0</v>
      </c>
      <c r="J1593" s="24">
        <v>0.0</v>
      </c>
    </row>
    <row r="1594">
      <c r="A1594" s="24">
        <v>1011.0</v>
      </c>
      <c r="B1594" s="24">
        <v>1.0</v>
      </c>
      <c r="C1594" s="44">
        <v>33.73</v>
      </c>
      <c r="D1594" s="46">
        <v>44816.0</v>
      </c>
      <c r="E1594" s="24">
        <v>33.73</v>
      </c>
      <c r="F1594" s="24">
        <v>33.36</v>
      </c>
      <c r="G1594" s="24">
        <v>0.1</v>
      </c>
      <c r="H1594" s="24" t="s">
        <v>6676</v>
      </c>
      <c r="I1594" s="24">
        <v>33.73</v>
      </c>
      <c r="J1594" s="24">
        <v>0.0</v>
      </c>
    </row>
    <row r="1595">
      <c r="A1595" s="24">
        <v>702.0</v>
      </c>
      <c r="B1595" s="24">
        <v>7.0</v>
      </c>
      <c r="C1595" s="44">
        <v>25.59</v>
      </c>
      <c r="D1595" s="46">
        <v>44816.0</v>
      </c>
      <c r="E1595" s="24">
        <v>3.66</v>
      </c>
      <c r="F1595" s="24">
        <v>36.45</v>
      </c>
      <c r="G1595" s="24">
        <v>1.0</v>
      </c>
      <c r="H1595" s="24" t="s">
        <v>6674</v>
      </c>
      <c r="I1595" s="24">
        <v>8.53</v>
      </c>
      <c r="J1595" s="24">
        <v>0.0</v>
      </c>
    </row>
    <row r="1596">
      <c r="A1596" s="24">
        <v>934.0</v>
      </c>
      <c r="B1596" s="24">
        <v>5.0</v>
      </c>
      <c r="C1596" s="44">
        <v>35.28</v>
      </c>
      <c r="D1596" s="46">
        <v>44816.0</v>
      </c>
      <c r="E1596" s="24">
        <v>7.06</v>
      </c>
      <c r="F1596" s="24">
        <v>37.77</v>
      </c>
      <c r="G1596" s="24">
        <v>0.54</v>
      </c>
      <c r="H1596" s="24" t="s">
        <v>6677</v>
      </c>
      <c r="I1596" s="24">
        <v>17.64</v>
      </c>
      <c r="J1596" s="24">
        <v>0.0</v>
      </c>
    </row>
    <row r="1597">
      <c r="A1597" s="24">
        <v>408.0</v>
      </c>
      <c r="B1597" s="24">
        <v>7.0</v>
      </c>
      <c r="C1597" s="44">
        <v>15.86</v>
      </c>
      <c r="D1597" s="46">
        <v>44816.0</v>
      </c>
      <c r="E1597" s="24">
        <v>2.27</v>
      </c>
      <c r="F1597" s="24">
        <v>38.87</v>
      </c>
      <c r="G1597" s="24">
        <v>1.72</v>
      </c>
      <c r="H1597" s="24" t="s">
        <v>6680</v>
      </c>
      <c r="I1597" s="24">
        <v>15.86</v>
      </c>
      <c r="J1597" s="24">
        <v>0.0</v>
      </c>
    </row>
    <row r="1598">
      <c r="A1598" s="24">
        <v>409.0</v>
      </c>
      <c r="B1598" s="24">
        <v>5.0</v>
      </c>
      <c r="C1598" s="44">
        <v>18.54</v>
      </c>
      <c r="D1598" s="46">
        <v>44817.0</v>
      </c>
      <c r="E1598" s="24">
        <v>3.71</v>
      </c>
      <c r="F1598" s="24">
        <v>45.33</v>
      </c>
      <c r="G1598" s="24">
        <v>1.22</v>
      </c>
      <c r="H1598" s="24" t="s">
        <v>6680</v>
      </c>
      <c r="I1598" s="24">
        <v>18.54</v>
      </c>
      <c r="J1598" s="24">
        <v>0.0</v>
      </c>
    </row>
    <row r="1599">
      <c r="A1599" s="24">
        <v>1838.0</v>
      </c>
      <c r="B1599" s="24">
        <v>5.0</v>
      </c>
      <c r="C1599" s="44">
        <v>37.1</v>
      </c>
      <c r="D1599" s="46">
        <v>44817.0</v>
      </c>
      <c r="E1599" s="24">
        <v>7.42</v>
      </c>
      <c r="F1599" s="24">
        <v>20.18</v>
      </c>
      <c r="G1599" s="24">
        <v>0.27</v>
      </c>
      <c r="H1599" s="24" t="s">
        <v>6675</v>
      </c>
      <c r="I1599" s="24" t="s">
        <v>6650</v>
      </c>
      <c r="J1599" s="24">
        <v>0.0</v>
      </c>
    </row>
    <row r="1600">
      <c r="A1600" s="24">
        <v>971.0</v>
      </c>
      <c r="B1600" s="24">
        <v>2.0</v>
      </c>
      <c r="C1600" s="44">
        <v>35.64</v>
      </c>
      <c r="D1600" s="46">
        <v>44817.0</v>
      </c>
      <c r="E1600" s="24">
        <v>17.82</v>
      </c>
      <c r="F1600" s="24">
        <v>36.7</v>
      </c>
      <c r="G1600" s="24">
        <v>0.21</v>
      </c>
      <c r="H1600" s="24" t="s">
        <v>6677</v>
      </c>
      <c r="I1600" s="24">
        <v>11.88</v>
      </c>
      <c r="J1600" s="24">
        <v>0.0</v>
      </c>
    </row>
    <row r="1601">
      <c r="A1601" s="24">
        <v>994.0</v>
      </c>
      <c r="B1601" s="24">
        <v>10.0</v>
      </c>
      <c r="C1601" s="44">
        <v>30.2</v>
      </c>
      <c r="D1601" s="46">
        <v>44817.0</v>
      </c>
      <c r="E1601" s="24">
        <v>3.02</v>
      </c>
      <c r="F1601" s="24">
        <v>30.38</v>
      </c>
      <c r="G1601" s="24">
        <v>1.01</v>
      </c>
      <c r="H1601" s="24" t="s">
        <v>6674</v>
      </c>
      <c r="I1601" s="24">
        <v>10.07</v>
      </c>
      <c r="J1601" s="24">
        <v>0.0</v>
      </c>
    </row>
    <row r="1602">
      <c r="A1602" s="24">
        <v>1123.0</v>
      </c>
      <c r="B1602" s="24">
        <v>2.0</v>
      </c>
      <c r="C1602" s="44">
        <v>41.31</v>
      </c>
      <c r="D1602" s="46">
        <v>44817.0</v>
      </c>
      <c r="E1602" s="24">
        <v>20.66</v>
      </c>
      <c r="F1602" s="24">
        <v>36.79</v>
      </c>
      <c r="G1602" s="24">
        <v>0.18</v>
      </c>
      <c r="H1602" s="24" t="s">
        <v>6676</v>
      </c>
      <c r="I1602" s="24">
        <v>41.31</v>
      </c>
      <c r="J1602" s="24">
        <v>0.0</v>
      </c>
    </row>
    <row r="1603">
      <c r="A1603" s="24">
        <v>2789.0</v>
      </c>
      <c r="B1603" s="24">
        <v>5.0</v>
      </c>
      <c r="C1603" s="44">
        <v>41.46</v>
      </c>
      <c r="D1603" s="46">
        <v>44817.0</v>
      </c>
      <c r="E1603" s="24">
        <v>8.29</v>
      </c>
      <c r="F1603" s="24">
        <v>14.87</v>
      </c>
      <c r="G1603" s="24">
        <v>0.18</v>
      </c>
      <c r="H1603" s="24" t="s">
        <v>6673</v>
      </c>
      <c r="I1603" s="24">
        <v>20.73</v>
      </c>
      <c r="J1603" s="24">
        <v>0.0</v>
      </c>
    </row>
    <row r="1604">
      <c r="A1604" s="24">
        <v>335.0</v>
      </c>
      <c r="B1604" s="24">
        <v>5.0</v>
      </c>
      <c r="C1604" s="44">
        <v>18.29</v>
      </c>
      <c r="D1604" s="46">
        <v>44818.0</v>
      </c>
      <c r="E1604" s="24">
        <v>3.66</v>
      </c>
      <c r="F1604" s="24">
        <v>54.6</v>
      </c>
      <c r="G1604" s="24">
        <v>1.49</v>
      </c>
      <c r="H1604" s="24" t="s">
        <v>6680</v>
      </c>
      <c r="I1604" s="24">
        <v>9.14</v>
      </c>
      <c r="J1604" s="24">
        <v>0.0</v>
      </c>
    </row>
    <row r="1605">
      <c r="A1605" s="24">
        <v>1495.0</v>
      </c>
      <c r="B1605" s="24">
        <v>7.0</v>
      </c>
      <c r="C1605" s="44">
        <v>36.23</v>
      </c>
      <c r="D1605" s="46">
        <v>44818.0</v>
      </c>
      <c r="E1605" s="24">
        <v>5.18</v>
      </c>
      <c r="F1605" s="24">
        <v>24.23</v>
      </c>
      <c r="G1605" s="24">
        <v>0.47</v>
      </c>
      <c r="H1605" s="24" t="s">
        <v>6675</v>
      </c>
      <c r="I1605" s="24">
        <v>36.23</v>
      </c>
      <c r="J1605" s="24">
        <v>0.0</v>
      </c>
    </row>
    <row r="1606">
      <c r="A1606" s="24">
        <v>2718.0</v>
      </c>
      <c r="B1606" s="24">
        <v>5.0</v>
      </c>
      <c r="C1606" s="44">
        <v>42.67</v>
      </c>
      <c r="D1606" s="46">
        <v>44818.0</v>
      </c>
      <c r="E1606" s="24">
        <v>8.53</v>
      </c>
      <c r="F1606" s="24">
        <v>15.7</v>
      </c>
      <c r="G1606" s="24">
        <v>0.18</v>
      </c>
      <c r="H1606" s="24" t="s">
        <v>6673</v>
      </c>
      <c r="I1606" s="24" t="s">
        <v>6650</v>
      </c>
      <c r="J1606" s="24">
        <v>0.0</v>
      </c>
    </row>
    <row r="1607">
      <c r="A1607" s="24">
        <v>668.0</v>
      </c>
      <c r="B1607" s="24">
        <v>4.0</v>
      </c>
      <c r="C1607" s="44">
        <v>35.71</v>
      </c>
      <c r="D1607" s="46">
        <v>44818.0</v>
      </c>
      <c r="E1607" s="24">
        <v>8.93</v>
      </c>
      <c r="F1607" s="24">
        <v>53.46</v>
      </c>
      <c r="G1607" s="24">
        <v>0.6</v>
      </c>
      <c r="H1607" s="24" t="s">
        <v>6677</v>
      </c>
      <c r="I1607" s="24" t="s">
        <v>6650</v>
      </c>
      <c r="J1607" s="24">
        <v>0.0</v>
      </c>
    </row>
    <row r="1608">
      <c r="A1608" s="24">
        <v>877.0</v>
      </c>
      <c r="B1608" s="24">
        <v>7.0</v>
      </c>
      <c r="C1608" s="44">
        <v>31.18</v>
      </c>
      <c r="D1608" s="46">
        <v>44818.0</v>
      </c>
      <c r="E1608" s="24">
        <v>4.45</v>
      </c>
      <c r="F1608" s="24">
        <v>35.55</v>
      </c>
      <c r="G1608" s="24">
        <v>0.8</v>
      </c>
      <c r="H1608" s="24" t="s">
        <v>6674</v>
      </c>
      <c r="I1608" s="24">
        <v>15.59</v>
      </c>
      <c r="J1608" s="24">
        <v>0.0</v>
      </c>
    </row>
    <row r="1609">
      <c r="A1609" s="24">
        <v>1109.0</v>
      </c>
      <c r="B1609" s="24">
        <v>2.0</v>
      </c>
      <c r="C1609" s="44">
        <v>42.87</v>
      </c>
      <c r="D1609" s="46">
        <v>44818.0</v>
      </c>
      <c r="E1609" s="24">
        <v>21.44</v>
      </c>
      <c r="F1609" s="24">
        <v>38.66</v>
      </c>
      <c r="G1609" s="24">
        <v>0.18</v>
      </c>
      <c r="H1609" s="24" t="s">
        <v>6676</v>
      </c>
      <c r="I1609" s="24" t="s">
        <v>6650</v>
      </c>
      <c r="J1609" s="24">
        <v>0.0</v>
      </c>
    </row>
    <row r="1610">
      <c r="A1610" s="24">
        <v>986.0</v>
      </c>
      <c r="B1610" s="24">
        <v>13.0</v>
      </c>
      <c r="C1610" s="44">
        <v>34.8</v>
      </c>
      <c r="D1610" s="46">
        <v>44819.0</v>
      </c>
      <c r="E1610" s="24">
        <v>2.68</v>
      </c>
      <c r="F1610" s="24">
        <v>35.29</v>
      </c>
      <c r="G1610" s="24">
        <v>1.32</v>
      </c>
      <c r="H1610" s="24" t="s">
        <v>6677</v>
      </c>
      <c r="I1610" s="24">
        <v>5.8</v>
      </c>
      <c r="J1610" s="24">
        <v>0.0</v>
      </c>
    </row>
    <row r="1611">
      <c r="A1611" s="24">
        <v>337.0</v>
      </c>
      <c r="B1611" s="24">
        <v>2.0</v>
      </c>
      <c r="C1611" s="44">
        <v>18.09</v>
      </c>
      <c r="D1611" s="46">
        <v>44819.0</v>
      </c>
      <c r="E1611" s="24">
        <v>9.04</v>
      </c>
      <c r="F1611" s="24">
        <v>53.68</v>
      </c>
      <c r="G1611" s="24">
        <v>0.59</v>
      </c>
      <c r="H1611" s="24" t="s">
        <v>6680</v>
      </c>
      <c r="I1611" s="24">
        <v>18.09</v>
      </c>
      <c r="J1611" s="24">
        <v>0.0</v>
      </c>
    </row>
    <row r="1612">
      <c r="A1612" s="24">
        <v>699.0</v>
      </c>
      <c r="B1612" s="24">
        <v>10.0</v>
      </c>
      <c r="C1612" s="44">
        <v>30.32</v>
      </c>
      <c r="D1612" s="46">
        <v>44819.0</v>
      </c>
      <c r="E1612" s="24">
        <v>3.03</v>
      </c>
      <c r="F1612" s="24">
        <v>43.38</v>
      </c>
      <c r="G1612" s="24">
        <v>1.43</v>
      </c>
      <c r="H1612" s="24" t="s">
        <v>6674</v>
      </c>
      <c r="I1612" s="24">
        <v>10.11</v>
      </c>
      <c r="J1612" s="24">
        <v>0.0</v>
      </c>
    </row>
    <row r="1613">
      <c r="A1613" s="24">
        <v>1041.0</v>
      </c>
      <c r="B1613" s="24">
        <v>3.0</v>
      </c>
      <c r="C1613" s="44">
        <v>41.97</v>
      </c>
      <c r="D1613" s="46">
        <v>44819.0</v>
      </c>
      <c r="E1613" s="24">
        <v>13.99</v>
      </c>
      <c r="F1613" s="24">
        <v>40.32</v>
      </c>
      <c r="G1613" s="24">
        <v>0.29</v>
      </c>
      <c r="H1613" s="24" t="s">
        <v>6676</v>
      </c>
      <c r="I1613" s="24">
        <v>41.97</v>
      </c>
      <c r="J1613" s="24">
        <v>0.0</v>
      </c>
    </row>
    <row r="1614">
      <c r="A1614" s="24">
        <v>1386.0</v>
      </c>
      <c r="B1614" s="24">
        <v>9.0</v>
      </c>
      <c r="C1614" s="44">
        <v>35.77</v>
      </c>
      <c r="D1614" s="46">
        <v>44819.0</v>
      </c>
      <c r="E1614" s="24">
        <v>3.97</v>
      </c>
      <c r="F1614" s="24">
        <v>25.81</v>
      </c>
      <c r="G1614" s="24">
        <v>0.65</v>
      </c>
      <c r="H1614" s="24" t="s">
        <v>6675</v>
      </c>
      <c r="I1614" s="24">
        <v>35.77</v>
      </c>
      <c r="J1614" s="24">
        <v>0.0</v>
      </c>
    </row>
    <row r="1615">
      <c r="A1615" s="24">
        <v>2506.0</v>
      </c>
      <c r="B1615" s="24">
        <v>3.0</v>
      </c>
      <c r="C1615" s="44">
        <v>42.25</v>
      </c>
      <c r="D1615" s="46">
        <v>44819.0</v>
      </c>
      <c r="E1615" s="24">
        <v>14.08</v>
      </c>
      <c r="F1615" s="24">
        <v>16.86</v>
      </c>
      <c r="G1615" s="24">
        <v>0.12</v>
      </c>
      <c r="H1615" s="24" t="s">
        <v>6673</v>
      </c>
      <c r="I1615" s="24" t="s">
        <v>6650</v>
      </c>
      <c r="J1615" s="24">
        <v>0.0</v>
      </c>
    </row>
    <row r="1616">
      <c r="A1616" s="24">
        <v>914.0</v>
      </c>
      <c r="B1616" s="24">
        <v>2.0</v>
      </c>
      <c r="C1616" s="44">
        <v>38.77</v>
      </c>
      <c r="D1616" s="46">
        <v>44820.0</v>
      </c>
      <c r="E1616" s="24">
        <v>19.39</v>
      </c>
      <c r="F1616" s="24">
        <v>42.42</v>
      </c>
      <c r="G1616" s="24">
        <v>0.22</v>
      </c>
      <c r="H1616" s="24" t="s">
        <v>6676</v>
      </c>
      <c r="I1616" s="24">
        <v>38.77</v>
      </c>
      <c r="J1616" s="24">
        <v>0.0</v>
      </c>
    </row>
    <row r="1617">
      <c r="A1617" s="24">
        <v>1443.0</v>
      </c>
      <c r="B1617" s="24">
        <v>8.0</v>
      </c>
      <c r="C1617" s="44">
        <v>32.23</v>
      </c>
      <c r="D1617" s="46">
        <v>44820.0</v>
      </c>
      <c r="E1617" s="24">
        <v>4.03</v>
      </c>
      <c r="F1617" s="24">
        <v>22.34</v>
      </c>
      <c r="G1617" s="24">
        <v>0.55</v>
      </c>
      <c r="H1617" s="24" t="s">
        <v>6675</v>
      </c>
      <c r="I1617" s="24" t="s">
        <v>6650</v>
      </c>
      <c r="J1617" s="24">
        <v>0.0</v>
      </c>
    </row>
    <row r="1618">
      <c r="A1618" s="24">
        <v>611.0</v>
      </c>
      <c r="B1618" s="24">
        <v>5.0</v>
      </c>
      <c r="C1618" s="44">
        <v>28.26</v>
      </c>
      <c r="D1618" s="46">
        <v>44820.0</v>
      </c>
      <c r="E1618" s="24">
        <v>5.65</v>
      </c>
      <c r="F1618" s="24">
        <v>46.25</v>
      </c>
      <c r="G1618" s="24">
        <v>0.82</v>
      </c>
      <c r="H1618" s="24" t="s">
        <v>6674</v>
      </c>
      <c r="I1618" s="24">
        <v>14.13</v>
      </c>
      <c r="J1618" s="24">
        <v>0.0</v>
      </c>
    </row>
    <row r="1619">
      <c r="A1619" s="24">
        <v>2305.0</v>
      </c>
      <c r="B1619" s="24">
        <v>1.0</v>
      </c>
      <c r="C1619" s="44">
        <v>40.11</v>
      </c>
      <c r="D1619" s="46">
        <v>44820.0</v>
      </c>
      <c r="E1619" s="24">
        <v>40.11</v>
      </c>
      <c r="F1619" s="24">
        <v>17.4</v>
      </c>
      <c r="G1619" s="24">
        <v>0.04</v>
      </c>
      <c r="H1619" s="24" t="s">
        <v>6673</v>
      </c>
      <c r="I1619" s="24" t="s">
        <v>6650</v>
      </c>
      <c r="J1619" s="24">
        <v>0.0</v>
      </c>
    </row>
    <row r="1620">
      <c r="A1620" s="24">
        <v>304.0</v>
      </c>
      <c r="B1620" s="24">
        <v>5.0</v>
      </c>
      <c r="C1620" s="44">
        <v>16.37</v>
      </c>
      <c r="D1620" s="46">
        <v>44820.0</v>
      </c>
      <c r="E1620" s="24">
        <v>3.27</v>
      </c>
      <c r="F1620" s="24">
        <v>53.85</v>
      </c>
      <c r="G1620" s="24">
        <v>1.64</v>
      </c>
      <c r="H1620" s="24" t="s">
        <v>6680</v>
      </c>
      <c r="I1620" s="24">
        <v>8.18</v>
      </c>
      <c r="J1620" s="24">
        <v>0.0</v>
      </c>
    </row>
    <row r="1621">
      <c r="A1621" s="24">
        <v>729.0</v>
      </c>
      <c r="B1621" s="24">
        <v>6.0</v>
      </c>
      <c r="C1621" s="44">
        <v>32.83</v>
      </c>
      <c r="D1621" s="46">
        <v>44820.0</v>
      </c>
      <c r="E1621" s="24">
        <v>5.47</v>
      </c>
      <c r="F1621" s="24">
        <v>45.03</v>
      </c>
      <c r="G1621" s="24">
        <v>0.82</v>
      </c>
      <c r="H1621" s="24" t="s">
        <v>6677</v>
      </c>
      <c r="I1621" s="24">
        <v>10.94</v>
      </c>
      <c r="J1621" s="24">
        <v>0.0</v>
      </c>
    </row>
    <row r="1622">
      <c r="A1622" s="24">
        <v>1156.0</v>
      </c>
      <c r="B1622" s="24">
        <v>1.0</v>
      </c>
      <c r="C1622" s="44">
        <v>20.48</v>
      </c>
      <c r="D1622" s="46">
        <v>44821.0</v>
      </c>
      <c r="E1622" s="24">
        <v>20.48</v>
      </c>
      <c r="F1622" s="24">
        <v>17.72</v>
      </c>
      <c r="G1622" s="24">
        <v>0.09</v>
      </c>
      <c r="H1622" s="24" t="s">
        <v>6673</v>
      </c>
      <c r="I1622" s="24" t="s">
        <v>6650</v>
      </c>
      <c r="J1622" s="24">
        <v>0.0</v>
      </c>
    </row>
    <row r="1623">
      <c r="A1623" s="24">
        <v>485.0</v>
      </c>
      <c r="B1623" s="24">
        <v>1.0</v>
      </c>
      <c r="C1623" s="44">
        <v>21.73</v>
      </c>
      <c r="D1623" s="46">
        <v>44821.0</v>
      </c>
      <c r="E1623" s="24">
        <v>21.73</v>
      </c>
      <c r="F1623" s="24">
        <v>44.8</v>
      </c>
      <c r="G1623" s="24">
        <v>0.21</v>
      </c>
      <c r="H1623" s="24" t="s">
        <v>6676</v>
      </c>
      <c r="I1623" s="24" t="s">
        <v>6650</v>
      </c>
      <c r="J1623" s="24">
        <v>0.0</v>
      </c>
    </row>
    <row r="1624">
      <c r="A1624" s="24">
        <v>794.0</v>
      </c>
      <c r="B1624" s="24">
        <v>8.0</v>
      </c>
      <c r="C1624" s="44">
        <v>16.6</v>
      </c>
      <c r="D1624" s="46">
        <v>44821.0</v>
      </c>
      <c r="E1624" s="24">
        <v>2.08</v>
      </c>
      <c r="F1624" s="24">
        <v>20.91</v>
      </c>
      <c r="G1624" s="24">
        <v>1.01</v>
      </c>
      <c r="H1624" s="24" t="s">
        <v>6675</v>
      </c>
      <c r="I1624" s="24" t="s">
        <v>6650</v>
      </c>
      <c r="J1624" s="24">
        <v>0.0</v>
      </c>
    </row>
    <row r="1625">
      <c r="A1625" s="24">
        <v>1.0</v>
      </c>
      <c r="B1625" s="24">
        <v>0.0</v>
      </c>
      <c r="C1625" s="44">
        <v>0.01</v>
      </c>
      <c r="D1625" s="46">
        <v>44821.0</v>
      </c>
      <c r="E1625" s="24" t="s">
        <v>6650</v>
      </c>
      <c r="F1625" s="24">
        <v>10.0</v>
      </c>
      <c r="G1625" s="24">
        <v>0.0</v>
      </c>
      <c r="H1625" s="24" t="s">
        <v>6671</v>
      </c>
      <c r="I1625" s="24" t="s">
        <v>6650</v>
      </c>
      <c r="J1625" s="24">
        <v>0.0</v>
      </c>
    </row>
    <row r="1626">
      <c r="A1626" s="24">
        <v>460.0</v>
      </c>
      <c r="B1626" s="24">
        <v>4.0</v>
      </c>
      <c r="C1626" s="44">
        <v>14.5</v>
      </c>
      <c r="D1626" s="46">
        <v>44821.0</v>
      </c>
      <c r="E1626" s="24">
        <v>3.62</v>
      </c>
      <c r="F1626" s="24">
        <v>31.52</v>
      </c>
      <c r="G1626" s="24">
        <v>0.87</v>
      </c>
      <c r="H1626" s="24" t="s">
        <v>6674</v>
      </c>
      <c r="I1626" s="24">
        <v>3.62</v>
      </c>
      <c r="J1626" s="24">
        <v>0.0</v>
      </c>
    </row>
    <row r="1627">
      <c r="A1627" s="24">
        <v>199.0</v>
      </c>
      <c r="B1627" s="24">
        <v>1.0</v>
      </c>
      <c r="C1627" s="44">
        <v>8.69</v>
      </c>
      <c r="D1627" s="46">
        <v>44821.0</v>
      </c>
      <c r="E1627" s="24">
        <v>8.69</v>
      </c>
      <c r="F1627" s="24">
        <v>43.67</v>
      </c>
      <c r="G1627" s="24">
        <v>0.5</v>
      </c>
      <c r="H1627" s="24" t="s">
        <v>6680</v>
      </c>
      <c r="I1627" s="24">
        <v>8.69</v>
      </c>
      <c r="J1627" s="24">
        <v>0.0</v>
      </c>
    </row>
    <row r="1628">
      <c r="A1628" s="24">
        <v>461.0</v>
      </c>
      <c r="B1628" s="24">
        <v>5.0</v>
      </c>
      <c r="C1628" s="44">
        <v>17.66</v>
      </c>
      <c r="D1628" s="46">
        <v>44821.0</v>
      </c>
      <c r="E1628" s="24">
        <v>3.53</v>
      </c>
      <c r="F1628" s="24">
        <v>38.31</v>
      </c>
      <c r="G1628" s="24">
        <v>1.08</v>
      </c>
      <c r="H1628" s="24" t="s">
        <v>6677</v>
      </c>
      <c r="I1628" s="24" t="s">
        <v>6650</v>
      </c>
      <c r="J1628" s="24">
        <v>0.0</v>
      </c>
    </row>
    <row r="1629">
      <c r="A1629" s="24">
        <v>1284.0</v>
      </c>
      <c r="B1629" s="24">
        <v>0.0</v>
      </c>
      <c r="C1629" s="44">
        <v>20.68</v>
      </c>
      <c r="D1629" s="46">
        <v>44822.0</v>
      </c>
      <c r="E1629" s="24" t="s">
        <v>6650</v>
      </c>
      <c r="F1629" s="24">
        <v>16.11</v>
      </c>
      <c r="G1629" s="24">
        <v>0.0</v>
      </c>
      <c r="H1629" s="24" t="s">
        <v>6673</v>
      </c>
      <c r="I1629" s="24" t="s">
        <v>6650</v>
      </c>
      <c r="J1629" s="24">
        <v>0.0</v>
      </c>
    </row>
    <row r="1630">
      <c r="A1630" s="24">
        <v>471.0</v>
      </c>
      <c r="B1630" s="24">
        <v>0.0</v>
      </c>
      <c r="C1630" s="44">
        <v>22.18</v>
      </c>
      <c r="D1630" s="46">
        <v>44822.0</v>
      </c>
      <c r="E1630" s="24" t="s">
        <v>6650</v>
      </c>
      <c r="F1630" s="24">
        <v>47.09</v>
      </c>
      <c r="G1630" s="24">
        <v>0.0</v>
      </c>
      <c r="H1630" s="24" t="s">
        <v>6676</v>
      </c>
      <c r="I1630" s="24" t="s">
        <v>6650</v>
      </c>
      <c r="J1630" s="24">
        <v>0.0</v>
      </c>
    </row>
    <row r="1631">
      <c r="A1631" s="24">
        <v>534.0</v>
      </c>
      <c r="B1631" s="24">
        <v>2.0</v>
      </c>
      <c r="C1631" s="44">
        <v>13.55</v>
      </c>
      <c r="D1631" s="46">
        <v>44822.0</v>
      </c>
      <c r="E1631" s="24">
        <v>6.78</v>
      </c>
      <c r="F1631" s="24">
        <v>25.37</v>
      </c>
      <c r="G1631" s="24">
        <v>0.37</v>
      </c>
      <c r="H1631" s="24" t="s">
        <v>6674</v>
      </c>
      <c r="I1631" s="24" t="s">
        <v>6650</v>
      </c>
      <c r="J1631" s="24">
        <v>0.0</v>
      </c>
    </row>
    <row r="1632">
      <c r="A1632" s="24">
        <v>864.0</v>
      </c>
      <c r="B1632" s="24">
        <v>5.0</v>
      </c>
      <c r="C1632" s="44">
        <v>17.07</v>
      </c>
      <c r="D1632" s="46">
        <v>44822.0</v>
      </c>
      <c r="E1632" s="24">
        <v>3.41</v>
      </c>
      <c r="F1632" s="24">
        <v>19.76</v>
      </c>
      <c r="G1632" s="24">
        <v>0.58</v>
      </c>
      <c r="H1632" s="24" t="s">
        <v>6675</v>
      </c>
      <c r="I1632" s="24" t="s">
        <v>6650</v>
      </c>
      <c r="J1632" s="24">
        <v>0.0</v>
      </c>
    </row>
    <row r="1633">
      <c r="A1633" s="24">
        <v>274.0</v>
      </c>
      <c r="B1633" s="24">
        <v>1.0</v>
      </c>
      <c r="C1633" s="44">
        <v>8.55</v>
      </c>
      <c r="D1633" s="46">
        <v>44822.0</v>
      </c>
      <c r="E1633" s="24">
        <v>8.55</v>
      </c>
      <c r="F1633" s="24">
        <v>31.2</v>
      </c>
      <c r="G1633" s="24">
        <v>0.36</v>
      </c>
      <c r="H1633" s="24" t="s">
        <v>6680</v>
      </c>
      <c r="I1633" s="24">
        <v>8.55</v>
      </c>
      <c r="J1633" s="24">
        <v>0.0</v>
      </c>
    </row>
    <row r="1634">
      <c r="A1634" s="24">
        <v>438.0</v>
      </c>
      <c r="B1634" s="24">
        <v>3.0</v>
      </c>
      <c r="C1634" s="44">
        <v>18.08</v>
      </c>
      <c r="D1634" s="46">
        <v>44822.0</v>
      </c>
      <c r="E1634" s="24">
        <v>6.03</v>
      </c>
      <c r="F1634" s="24">
        <v>41.28</v>
      </c>
      <c r="G1634" s="24">
        <v>0.68</v>
      </c>
      <c r="H1634" s="24" t="s">
        <v>6677</v>
      </c>
      <c r="I1634" s="24" t="s">
        <v>6650</v>
      </c>
      <c r="J1634" s="24">
        <v>0.0</v>
      </c>
    </row>
    <row r="1635">
      <c r="A1635" s="24">
        <v>1602.0</v>
      </c>
      <c r="B1635" s="24">
        <v>12.0</v>
      </c>
      <c r="C1635" s="44">
        <v>34.7</v>
      </c>
      <c r="D1635" s="46">
        <v>44823.0</v>
      </c>
      <c r="E1635" s="24">
        <v>2.89</v>
      </c>
      <c r="F1635" s="24">
        <v>21.66</v>
      </c>
      <c r="G1635" s="24">
        <v>0.75</v>
      </c>
      <c r="H1635" s="24" t="s">
        <v>6675</v>
      </c>
      <c r="I1635" s="24">
        <v>34.7</v>
      </c>
      <c r="J1635" s="24">
        <v>0.0</v>
      </c>
    </row>
    <row r="1636">
      <c r="A1636" s="24">
        <v>987.0</v>
      </c>
      <c r="B1636" s="24">
        <v>2.0</v>
      </c>
      <c r="C1636" s="44">
        <v>32.81</v>
      </c>
      <c r="D1636" s="46">
        <v>44823.0</v>
      </c>
      <c r="E1636" s="24">
        <v>16.4</v>
      </c>
      <c r="F1636" s="24">
        <v>33.24</v>
      </c>
      <c r="G1636" s="24">
        <v>0.2</v>
      </c>
      <c r="H1636" s="24" t="s">
        <v>6676</v>
      </c>
      <c r="I1636" s="24" t="s">
        <v>6650</v>
      </c>
      <c r="J1636" s="24">
        <v>0.0</v>
      </c>
    </row>
    <row r="1637">
      <c r="A1637" s="24">
        <v>776.0</v>
      </c>
      <c r="B1637" s="24">
        <v>5.0</v>
      </c>
      <c r="C1637" s="44">
        <v>24.43</v>
      </c>
      <c r="D1637" s="46">
        <v>44823.0</v>
      </c>
      <c r="E1637" s="24">
        <v>4.89</v>
      </c>
      <c r="F1637" s="24">
        <v>31.48</v>
      </c>
      <c r="G1637" s="24">
        <v>0.64</v>
      </c>
      <c r="H1637" s="24" t="s">
        <v>6674</v>
      </c>
      <c r="I1637" s="24">
        <v>24.43</v>
      </c>
      <c r="J1637" s="24">
        <v>0.0</v>
      </c>
    </row>
    <row r="1638">
      <c r="A1638" s="24">
        <v>420.0</v>
      </c>
      <c r="B1638" s="24">
        <v>2.0</v>
      </c>
      <c r="C1638" s="44">
        <v>15.28</v>
      </c>
      <c r="D1638" s="46">
        <v>44823.0</v>
      </c>
      <c r="E1638" s="24">
        <v>7.64</v>
      </c>
      <c r="F1638" s="24">
        <v>36.38</v>
      </c>
      <c r="G1638" s="24">
        <v>0.48</v>
      </c>
      <c r="H1638" s="24" t="s">
        <v>6680</v>
      </c>
      <c r="I1638" s="24">
        <v>7.64</v>
      </c>
      <c r="J1638" s="24">
        <v>0.0</v>
      </c>
    </row>
    <row r="1639">
      <c r="A1639" s="24">
        <v>2171.0</v>
      </c>
      <c r="B1639" s="24">
        <v>3.0</v>
      </c>
      <c r="C1639" s="44">
        <v>33.42</v>
      </c>
      <c r="D1639" s="46">
        <v>44823.0</v>
      </c>
      <c r="E1639" s="24">
        <v>11.14</v>
      </c>
      <c r="F1639" s="24">
        <v>15.39</v>
      </c>
      <c r="G1639" s="24">
        <v>0.14</v>
      </c>
      <c r="H1639" s="24" t="s">
        <v>6673</v>
      </c>
      <c r="I1639" s="24" t="s">
        <v>6650</v>
      </c>
      <c r="J1639" s="24">
        <v>0.0</v>
      </c>
    </row>
    <row r="1640">
      <c r="A1640" s="24">
        <v>897.0</v>
      </c>
      <c r="B1640" s="24">
        <v>5.0</v>
      </c>
      <c r="C1640" s="44">
        <v>34.61</v>
      </c>
      <c r="D1640" s="46">
        <v>44823.0</v>
      </c>
      <c r="E1640" s="24">
        <v>6.92</v>
      </c>
      <c r="F1640" s="24">
        <v>38.58</v>
      </c>
      <c r="G1640" s="24">
        <v>0.56</v>
      </c>
      <c r="H1640" s="24" t="s">
        <v>6677</v>
      </c>
      <c r="I1640" s="24">
        <v>34.61</v>
      </c>
      <c r="J1640" s="24">
        <v>0.0</v>
      </c>
    </row>
    <row r="1641">
      <c r="A1641" s="24">
        <v>1108.0</v>
      </c>
      <c r="B1641" s="24">
        <v>0.0</v>
      </c>
      <c r="C1641" s="44">
        <v>40.67</v>
      </c>
      <c r="D1641" s="46">
        <v>44824.0</v>
      </c>
      <c r="E1641" s="24" t="s">
        <v>6650</v>
      </c>
      <c r="F1641" s="24">
        <v>36.71</v>
      </c>
      <c r="G1641" s="24">
        <v>0.0</v>
      </c>
      <c r="H1641" s="24" t="s">
        <v>6676</v>
      </c>
      <c r="I1641" s="24" t="s">
        <v>6650</v>
      </c>
      <c r="J1641" s="24">
        <v>0.0</v>
      </c>
    </row>
    <row r="1642">
      <c r="A1642" s="24">
        <v>371.0</v>
      </c>
      <c r="B1642" s="24">
        <v>2.0</v>
      </c>
      <c r="C1642" s="44">
        <v>17.2</v>
      </c>
      <c r="D1642" s="46">
        <v>44824.0</v>
      </c>
      <c r="E1642" s="24">
        <v>8.6</v>
      </c>
      <c r="F1642" s="24">
        <v>46.36</v>
      </c>
      <c r="G1642" s="24">
        <v>0.54</v>
      </c>
      <c r="H1642" s="24" t="s">
        <v>6680</v>
      </c>
      <c r="I1642" s="24">
        <v>17.2</v>
      </c>
      <c r="J1642" s="24">
        <v>0.0</v>
      </c>
    </row>
    <row r="1643">
      <c r="A1643" s="24">
        <v>1570.0</v>
      </c>
      <c r="B1643" s="24">
        <v>7.0</v>
      </c>
      <c r="C1643" s="44">
        <v>37.44</v>
      </c>
      <c r="D1643" s="46">
        <v>44824.0</v>
      </c>
      <c r="E1643" s="24">
        <v>5.35</v>
      </c>
      <c r="F1643" s="24">
        <v>23.85</v>
      </c>
      <c r="G1643" s="24">
        <v>0.45</v>
      </c>
      <c r="H1643" s="24" t="s">
        <v>6675</v>
      </c>
      <c r="I1643" s="24">
        <v>37.44</v>
      </c>
      <c r="J1643" s="24">
        <v>0.0</v>
      </c>
    </row>
    <row r="1644">
      <c r="A1644" s="24">
        <v>896.0</v>
      </c>
      <c r="B1644" s="24">
        <v>5.0</v>
      </c>
      <c r="C1644" s="44">
        <v>36.02</v>
      </c>
      <c r="D1644" s="46">
        <v>44824.0</v>
      </c>
      <c r="E1644" s="24">
        <v>7.2</v>
      </c>
      <c r="F1644" s="24">
        <v>40.2</v>
      </c>
      <c r="G1644" s="24">
        <v>0.56</v>
      </c>
      <c r="H1644" s="24" t="s">
        <v>6677</v>
      </c>
      <c r="I1644" s="24" t="s">
        <v>6650</v>
      </c>
      <c r="J1644" s="24">
        <v>0.0</v>
      </c>
    </row>
    <row r="1645">
      <c r="A1645" s="24">
        <v>2626.0</v>
      </c>
      <c r="B1645" s="24">
        <v>3.0</v>
      </c>
      <c r="C1645" s="44">
        <v>42.19</v>
      </c>
      <c r="D1645" s="46">
        <v>44824.0</v>
      </c>
      <c r="E1645" s="24">
        <v>14.06</v>
      </c>
      <c r="F1645" s="24">
        <v>16.07</v>
      </c>
      <c r="G1645" s="24">
        <v>0.11</v>
      </c>
      <c r="H1645" s="24" t="s">
        <v>6673</v>
      </c>
      <c r="I1645" s="24">
        <v>14.06</v>
      </c>
      <c r="J1645" s="24">
        <v>0.0</v>
      </c>
    </row>
    <row r="1646">
      <c r="A1646" s="24">
        <v>756.0</v>
      </c>
      <c r="B1646" s="24">
        <v>6.0</v>
      </c>
      <c r="C1646" s="44">
        <v>31.85</v>
      </c>
      <c r="D1646" s="46">
        <v>44824.0</v>
      </c>
      <c r="E1646" s="24">
        <v>5.31</v>
      </c>
      <c r="F1646" s="24">
        <v>42.13</v>
      </c>
      <c r="G1646" s="24">
        <v>0.79</v>
      </c>
      <c r="H1646" s="24" t="s">
        <v>6674</v>
      </c>
      <c r="I1646" s="24">
        <v>5.31</v>
      </c>
      <c r="J1646" s="24">
        <v>0.0</v>
      </c>
    </row>
    <row r="1647">
      <c r="A1647" s="24">
        <v>938.0</v>
      </c>
      <c r="B1647" s="24">
        <v>2.0</v>
      </c>
      <c r="C1647" s="44">
        <v>42.92</v>
      </c>
      <c r="D1647" s="46">
        <v>44825.0</v>
      </c>
      <c r="E1647" s="24">
        <v>21.46</v>
      </c>
      <c r="F1647" s="24">
        <v>45.76</v>
      </c>
      <c r="G1647" s="24">
        <v>0.21</v>
      </c>
      <c r="H1647" s="24" t="s">
        <v>6676</v>
      </c>
      <c r="I1647" s="24">
        <v>42.92</v>
      </c>
      <c r="J1647" s="24">
        <v>0.0</v>
      </c>
    </row>
    <row r="1648">
      <c r="A1648" s="24">
        <v>1522.0</v>
      </c>
      <c r="B1648" s="24">
        <v>7.0</v>
      </c>
      <c r="C1648" s="44">
        <v>36.31</v>
      </c>
      <c r="D1648" s="46">
        <v>44825.0</v>
      </c>
      <c r="E1648" s="24">
        <v>5.19</v>
      </c>
      <c r="F1648" s="24">
        <v>23.86</v>
      </c>
      <c r="G1648" s="24">
        <v>0.46</v>
      </c>
      <c r="H1648" s="24" t="s">
        <v>6675</v>
      </c>
      <c r="I1648" s="24">
        <v>36.31</v>
      </c>
      <c r="J1648" s="24">
        <v>0.0</v>
      </c>
    </row>
    <row r="1649">
      <c r="A1649" s="24">
        <v>2409.0</v>
      </c>
      <c r="B1649" s="24">
        <v>1.0</v>
      </c>
      <c r="C1649" s="44">
        <v>42.94</v>
      </c>
      <c r="D1649" s="46">
        <v>44825.0</v>
      </c>
      <c r="E1649" s="24">
        <v>42.94</v>
      </c>
      <c r="F1649" s="24">
        <v>17.82</v>
      </c>
      <c r="G1649" s="24">
        <v>0.04</v>
      </c>
      <c r="H1649" s="24" t="s">
        <v>6673</v>
      </c>
      <c r="I1649" s="24">
        <v>42.94</v>
      </c>
      <c r="J1649" s="24">
        <v>0.0</v>
      </c>
    </row>
    <row r="1650">
      <c r="A1650" s="24">
        <v>352.0</v>
      </c>
      <c r="B1650" s="24">
        <v>0.0</v>
      </c>
      <c r="C1650" s="44">
        <v>18.02</v>
      </c>
      <c r="D1650" s="46">
        <v>44825.0</v>
      </c>
      <c r="E1650" s="24" t="s">
        <v>6650</v>
      </c>
      <c r="F1650" s="24">
        <v>51.19</v>
      </c>
      <c r="G1650" s="24">
        <v>0.0</v>
      </c>
      <c r="H1650" s="24" t="s">
        <v>6680</v>
      </c>
      <c r="I1650" s="24" t="s">
        <v>6650</v>
      </c>
      <c r="J1650" s="24">
        <v>0.0</v>
      </c>
    </row>
    <row r="1651">
      <c r="A1651" s="24">
        <v>723.0</v>
      </c>
      <c r="B1651" s="24">
        <v>2.0</v>
      </c>
      <c r="C1651" s="44">
        <v>30.58</v>
      </c>
      <c r="D1651" s="46">
        <v>44825.0</v>
      </c>
      <c r="E1651" s="24">
        <v>15.29</v>
      </c>
      <c r="F1651" s="24">
        <v>42.3</v>
      </c>
      <c r="G1651" s="24">
        <v>0.28</v>
      </c>
      <c r="H1651" s="24" t="s">
        <v>6674</v>
      </c>
      <c r="I1651" s="24">
        <v>30.58</v>
      </c>
      <c r="J1651" s="24">
        <v>0.0</v>
      </c>
    </row>
    <row r="1652">
      <c r="A1652" s="24">
        <v>743.0</v>
      </c>
      <c r="B1652" s="24">
        <v>5.0</v>
      </c>
      <c r="C1652" s="44">
        <v>33.63</v>
      </c>
      <c r="D1652" s="46">
        <v>44825.0</v>
      </c>
      <c r="E1652" s="24">
        <v>6.73</v>
      </c>
      <c r="F1652" s="24">
        <v>45.26</v>
      </c>
      <c r="G1652" s="24">
        <v>0.67</v>
      </c>
      <c r="H1652" s="24" t="s">
        <v>6677</v>
      </c>
      <c r="I1652" s="24">
        <v>11.21</v>
      </c>
      <c r="J1652" s="24">
        <v>0.0</v>
      </c>
    </row>
    <row r="1653">
      <c r="A1653" s="24">
        <v>1524.0</v>
      </c>
      <c r="B1653" s="24">
        <v>8.0</v>
      </c>
      <c r="C1653" s="44">
        <v>36.16</v>
      </c>
      <c r="D1653" s="46">
        <v>44826.0</v>
      </c>
      <c r="E1653" s="24">
        <v>4.52</v>
      </c>
      <c r="F1653" s="24">
        <v>23.73</v>
      </c>
      <c r="G1653" s="24">
        <v>0.52</v>
      </c>
      <c r="H1653" s="24" t="s">
        <v>6675</v>
      </c>
      <c r="I1653" s="24">
        <v>12.05</v>
      </c>
      <c r="J1653" s="24">
        <v>0.0</v>
      </c>
    </row>
    <row r="1654">
      <c r="A1654" s="24">
        <v>968.0</v>
      </c>
      <c r="B1654" s="24">
        <v>6.0</v>
      </c>
      <c r="C1654" s="44">
        <v>42.17</v>
      </c>
      <c r="D1654" s="46">
        <v>44826.0</v>
      </c>
      <c r="E1654" s="24">
        <v>7.03</v>
      </c>
      <c r="F1654" s="24">
        <v>43.56</v>
      </c>
      <c r="G1654" s="24">
        <v>0.62</v>
      </c>
      <c r="H1654" s="24" t="s">
        <v>6676</v>
      </c>
      <c r="I1654" s="24">
        <v>10.54</v>
      </c>
      <c r="J1654" s="24">
        <v>0.0</v>
      </c>
    </row>
    <row r="1655">
      <c r="A1655" s="24">
        <v>2319.0</v>
      </c>
      <c r="B1655" s="24">
        <v>1.0</v>
      </c>
      <c r="C1655" s="44">
        <v>42.46</v>
      </c>
      <c r="D1655" s="46">
        <v>44826.0</v>
      </c>
      <c r="E1655" s="24">
        <v>42.46</v>
      </c>
      <c r="F1655" s="24">
        <v>18.31</v>
      </c>
      <c r="G1655" s="24">
        <v>0.04</v>
      </c>
      <c r="H1655" s="24" t="s">
        <v>6673</v>
      </c>
      <c r="I1655" s="24">
        <v>42.46</v>
      </c>
      <c r="J1655" s="24">
        <v>0.0</v>
      </c>
    </row>
    <row r="1656">
      <c r="A1656" s="24">
        <v>388.0</v>
      </c>
      <c r="B1656" s="24">
        <v>2.0</v>
      </c>
      <c r="C1656" s="44">
        <v>18.14</v>
      </c>
      <c r="D1656" s="46">
        <v>44826.0</v>
      </c>
      <c r="E1656" s="24">
        <v>9.07</v>
      </c>
      <c r="F1656" s="24">
        <v>46.75</v>
      </c>
      <c r="G1656" s="24">
        <v>0.52</v>
      </c>
      <c r="H1656" s="24" t="s">
        <v>6680</v>
      </c>
      <c r="I1656" s="24" t="s">
        <v>6650</v>
      </c>
      <c r="J1656" s="24">
        <v>0.0</v>
      </c>
    </row>
    <row r="1657">
      <c r="A1657" s="24">
        <v>777.0</v>
      </c>
      <c r="B1657" s="24">
        <v>1.0</v>
      </c>
      <c r="C1657" s="44">
        <v>30.55</v>
      </c>
      <c r="D1657" s="46">
        <v>44826.0</v>
      </c>
      <c r="E1657" s="24">
        <v>30.55</v>
      </c>
      <c r="F1657" s="24">
        <v>39.32</v>
      </c>
      <c r="G1657" s="24">
        <v>0.13</v>
      </c>
      <c r="H1657" s="24" t="s">
        <v>6674</v>
      </c>
      <c r="I1657" s="24">
        <v>15.28</v>
      </c>
      <c r="J1657" s="24">
        <v>0.0</v>
      </c>
    </row>
    <row r="1658">
      <c r="A1658" s="24">
        <v>657.0</v>
      </c>
      <c r="B1658" s="24">
        <v>1.0</v>
      </c>
      <c r="C1658" s="44">
        <v>36.67</v>
      </c>
      <c r="D1658" s="46">
        <v>44826.0</v>
      </c>
      <c r="E1658" s="24">
        <v>36.67</v>
      </c>
      <c r="F1658" s="24">
        <v>55.81</v>
      </c>
      <c r="G1658" s="24">
        <v>0.15</v>
      </c>
      <c r="H1658" s="24" t="s">
        <v>6677</v>
      </c>
      <c r="I1658" s="24">
        <v>36.67</v>
      </c>
      <c r="J1658" s="24">
        <v>0.0</v>
      </c>
    </row>
    <row r="1659">
      <c r="A1659" s="24">
        <v>822.0</v>
      </c>
      <c r="B1659" s="24">
        <v>4.0</v>
      </c>
      <c r="C1659" s="44">
        <v>31.51</v>
      </c>
      <c r="D1659" s="46">
        <v>44827.0</v>
      </c>
      <c r="E1659" s="24">
        <v>7.88</v>
      </c>
      <c r="F1659" s="24">
        <v>38.33</v>
      </c>
      <c r="G1659" s="24">
        <v>0.49</v>
      </c>
      <c r="H1659" s="24" t="s">
        <v>6677</v>
      </c>
      <c r="I1659" s="24">
        <v>10.5</v>
      </c>
      <c r="J1659" s="24">
        <v>0.0</v>
      </c>
    </row>
    <row r="1660">
      <c r="A1660" s="24">
        <v>365.0</v>
      </c>
      <c r="B1660" s="24">
        <v>4.0</v>
      </c>
      <c r="C1660" s="44">
        <v>15.65</v>
      </c>
      <c r="D1660" s="46">
        <v>44827.0</v>
      </c>
      <c r="E1660" s="24">
        <v>3.91</v>
      </c>
      <c r="F1660" s="24">
        <v>42.88</v>
      </c>
      <c r="G1660" s="24">
        <v>1.1</v>
      </c>
      <c r="H1660" s="24" t="s">
        <v>6680</v>
      </c>
      <c r="I1660" s="24">
        <v>5.22</v>
      </c>
      <c r="J1660" s="24">
        <v>0.0</v>
      </c>
    </row>
    <row r="1661">
      <c r="A1661" s="24">
        <v>749.0</v>
      </c>
      <c r="B1661" s="24">
        <v>0.0</v>
      </c>
      <c r="C1661" s="44">
        <v>31.58</v>
      </c>
      <c r="D1661" s="46">
        <v>44827.0</v>
      </c>
      <c r="E1661" s="24" t="s">
        <v>6650</v>
      </c>
      <c r="F1661" s="24">
        <v>42.16</v>
      </c>
      <c r="G1661" s="24">
        <v>0.0</v>
      </c>
      <c r="H1661" s="24" t="s">
        <v>6676</v>
      </c>
      <c r="I1661" s="24">
        <v>15.79</v>
      </c>
      <c r="J1661" s="24">
        <v>0.0</v>
      </c>
    </row>
    <row r="1662">
      <c r="A1662" s="24">
        <v>2004.0</v>
      </c>
      <c r="B1662" s="24">
        <v>2.0</v>
      </c>
      <c r="C1662" s="44">
        <v>33.48</v>
      </c>
      <c r="D1662" s="46">
        <v>44827.0</v>
      </c>
      <c r="E1662" s="24">
        <v>16.74</v>
      </c>
      <c r="F1662" s="24">
        <v>16.71</v>
      </c>
      <c r="G1662" s="24">
        <v>0.1</v>
      </c>
      <c r="H1662" s="24" t="s">
        <v>6673</v>
      </c>
      <c r="I1662" s="24">
        <v>33.48</v>
      </c>
      <c r="J1662" s="24">
        <v>0.0</v>
      </c>
    </row>
    <row r="1663">
      <c r="A1663" s="24">
        <v>222.0</v>
      </c>
      <c r="B1663" s="24">
        <v>1.0</v>
      </c>
      <c r="C1663" s="44">
        <v>28.03</v>
      </c>
      <c r="D1663" s="46">
        <v>44827.0</v>
      </c>
      <c r="E1663" s="24">
        <v>28.03</v>
      </c>
      <c r="F1663" s="24">
        <v>126.26</v>
      </c>
      <c r="G1663" s="24">
        <v>0.45</v>
      </c>
      <c r="H1663" s="24" t="s">
        <v>6674</v>
      </c>
      <c r="I1663" s="24">
        <v>28.03</v>
      </c>
      <c r="J1663" s="24">
        <v>0.0</v>
      </c>
    </row>
    <row r="1664">
      <c r="A1664" s="24">
        <v>1263.0</v>
      </c>
      <c r="B1664" s="24">
        <v>3.0</v>
      </c>
      <c r="C1664" s="44">
        <v>30.23</v>
      </c>
      <c r="D1664" s="46">
        <v>44827.0</v>
      </c>
      <c r="E1664" s="24">
        <v>10.08</v>
      </c>
      <c r="F1664" s="24">
        <v>23.94</v>
      </c>
      <c r="G1664" s="24">
        <v>0.24</v>
      </c>
      <c r="H1664" s="24" t="s">
        <v>6675</v>
      </c>
      <c r="I1664" s="24" t="s">
        <v>6650</v>
      </c>
      <c r="J1664" s="24">
        <v>0.0</v>
      </c>
    </row>
    <row r="1665">
      <c r="A1665" s="24">
        <v>1009.0</v>
      </c>
      <c r="B1665" s="24">
        <v>2.0</v>
      </c>
      <c r="C1665" s="44">
        <v>15.29</v>
      </c>
      <c r="D1665" s="46">
        <v>44828.0</v>
      </c>
      <c r="E1665" s="24">
        <v>7.64</v>
      </c>
      <c r="F1665" s="24">
        <v>15.15</v>
      </c>
      <c r="G1665" s="24">
        <v>0.2</v>
      </c>
      <c r="H1665" s="24" t="s">
        <v>6673</v>
      </c>
      <c r="I1665" s="24" t="s">
        <v>6650</v>
      </c>
      <c r="J1665" s="24">
        <v>0.0</v>
      </c>
    </row>
    <row r="1666">
      <c r="A1666" s="24">
        <v>460.0</v>
      </c>
      <c r="B1666" s="24">
        <v>4.0</v>
      </c>
      <c r="C1666" s="44">
        <v>16.5</v>
      </c>
      <c r="D1666" s="46">
        <v>44828.0</v>
      </c>
      <c r="E1666" s="24">
        <v>4.12</v>
      </c>
      <c r="F1666" s="24">
        <v>35.87</v>
      </c>
      <c r="G1666" s="24">
        <v>0.87</v>
      </c>
      <c r="H1666" s="24" t="s">
        <v>6675</v>
      </c>
      <c r="I1666" s="24" t="s">
        <v>6650</v>
      </c>
      <c r="J1666" s="24">
        <v>0.0</v>
      </c>
    </row>
    <row r="1667">
      <c r="A1667" s="24">
        <v>472.0</v>
      </c>
      <c r="B1667" s="24">
        <v>0.0</v>
      </c>
      <c r="C1667" s="44">
        <v>14.89</v>
      </c>
      <c r="D1667" s="46">
        <v>44828.0</v>
      </c>
      <c r="E1667" s="24" t="s">
        <v>6650</v>
      </c>
      <c r="F1667" s="24">
        <v>31.55</v>
      </c>
      <c r="G1667" s="24">
        <v>0.0</v>
      </c>
      <c r="H1667" s="24" t="s">
        <v>6676</v>
      </c>
      <c r="I1667" s="24" t="s">
        <v>6650</v>
      </c>
      <c r="J1667" s="24">
        <v>0.0</v>
      </c>
    </row>
    <row r="1668">
      <c r="A1668" s="24">
        <v>390.0</v>
      </c>
      <c r="B1668" s="24">
        <v>2.0</v>
      </c>
      <c r="C1668" s="44">
        <v>16.25</v>
      </c>
      <c r="D1668" s="46">
        <v>44828.0</v>
      </c>
      <c r="E1668" s="24">
        <v>8.12</v>
      </c>
      <c r="F1668" s="24">
        <v>41.67</v>
      </c>
      <c r="G1668" s="24">
        <v>0.51</v>
      </c>
      <c r="H1668" s="24" t="s">
        <v>6677</v>
      </c>
      <c r="I1668" s="24" t="s">
        <v>6650</v>
      </c>
      <c r="J1668" s="24">
        <v>0.0</v>
      </c>
    </row>
    <row r="1669">
      <c r="A1669" s="24">
        <v>169.0</v>
      </c>
      <c r="B1669" s="24">
        <v>2.0</v>
      </c>
      <c r="C1669" s="44">
        <v>15.21</v>
      </c>
      <c r="D1669" s="46">
        <v>44828.0</v>
      </c>
      <c r="E1669" s="24">
        <v>7.6</v>
      </c>
      <c r="F1669" s="24">
        <v>90.0</v>
      </c>
      <c r="G1669" s="24">
        <v>1.18</v>
      </c>
      <c r="H1669" s="24" t="s">
        <v>6674</v>
      </c>
      <c r="I1669" s="24">
        <v>15.21</v>
      </c>
      <c r="J1669" s="24">
        <v>0.0</v>
      </c>
    </row>
    <row r="1670">
      <c r="A1670" s="24">
        <v>304.0</v>
      </c>
      <c r="B1670" s="24">
        <v>2.0</v>
      </c>
      <c r="C1670" s="44">
        <v>15.04</v>
      </c>
      <c r="D1670" s="46">
        <v>44828.0</v>
      </c>
      <c r="E1670" s="24">
        <v>7.52</v>
      </c>
      <c r="F1670" s="24">
        <v>49.47</v>
      </c>
      <c r="G1670" s="24">
        <v>0.66</v>
      </c>
      <c r="H1670" s="24" t="s">
        <v>6680</v>
      </c>
      <c r="I1670" s="24">
        <v>5.01</v>
      </c>
      <c r="J1670" s="24">
        <v>0.0</v>
      </c>
    </row>
    <row r="1671">
      <c r="A1671" s="24">
        <v>295.0</v>
      </c>
      <c r="B1671" s="24">
        <v>1.0</v>
      </c>
      <c r="C1671" s="44">
        <v>16.5</v>
      </c>
      <c r="D1671" s="46">
        <v>44829.0</v>
      </c>
      <c r="E1671" s="24">
        <v>16.5</v>
      </c>
      <c r="F1671" s="24">
        <v>55.93</v>
      </c>
      <c r="G1671" s="24">
        <v>0.34</v>
      </c>
      <c r="H1671" s="24" t="s">
        <v>6674</v>
      </c>
      <c r="I1671" s="24">
        <v>16.5</v>
      </c>
      <c r="J1671" s="24">
        <v>0.0</v>
      </c>
    </row>
    <row r="1672">
      <c r="A1672" s="24">
        <v>448.0</v>
      </c>
      <c r="B1672" s="24">
        <v>3.0</v>
      </c>
      <c r="C1672" s="44">
        <v>14.87</v>
      </c>
      <c r="D1672" s="46">
        <v>44829.0</v>
      </c>
      <c r="E1672" s="24">
        <v>4.96</v>
      </c>
      <c r="F1672" s="24">
        <v>33.19</v>
      </c>
      <c r="G1672" s="24">
        <v>0.67</v>
      </c>
      <c r="H1672" s="24" t="s">
        <v>6676</v>
      </c>
      <c r="I1672" s="24">
        <v>14.87</v>
      </c>
      <c r="J1672" s="24">
        <v>0.0</v>
      </c>
    </row>
    <row r="1673">
      <c r="A1673" s="24">
        <v>349.0</v>
      </c>
      <c r="B1673" s="24">
        <v>0.0</v>
      </c>
      <c r="C1673" s="44">
        <v>15.17</v>
      </c>
      <c r="D1673" s="46">
        <v>44829.0</v>
      </c>
      <c r="E1673" s="24" t="s">
        <v>6650</v>
      </c>
      <c r="F1673" s="24">
        <v>43.47</v>
      </c>
      <c r="G1673" s="24">
        <v>0.0</v>
      </c>
      <c r="H1673" s="24" t="s">
        <v>6680</v>
      </c>
      <c r="I1673" s="24">
        <v>7.58</v>
      </c>
      <c r="J1673" s="24">
        <v>0.0</v>
      </c>
    </row>
    <row r="1674">
      <c r="A1674" s="24">
        <v>918.0</v>
      </c>
      <c r="B1674" s="24">
        <v>3.0</v>
      </c>
      <c r="C1674" s="44">
        <v>16.47</v>
      </c>
      <c r="D1674" s="46">
        <v>44829.0</v>
      </c>
      <c r="E1674" s="24">
        <v>5.49</v>
      </c>
      <c r="F1674" s="24">
        <v>17.94</v>
      </c>
      <c r="G1674" s="24">
        <v>0.33</v>
      </c>
      <c r="H1674" s="24" t="s">
        <v>6675</v>
      </c>
      <c r="I1674" s="24">
        <v>16.47</v>
      </c>
      <c r="J1674" s="24">
        <v>0.0</v>
      </c>
    </row>
    <row r="1675">
      <c r="A1675" s="24">
        <v>1069.0</v>
      </c>
      <c r="B1675" s="24">
        <v>6.0</v>
      </c>
      <c r="C1675" s="44">
        <v>14.86</v>
      </c>
      <c r="D1675" s="46">
        <v>44829.0</v>
      </c>
      <c r="E1675" s="24">
        <v>2.48</v>
      </c>
      <c r="F1675" s="24">
        <v>13.9</v>
      </c>
      <c r="G1675" s="24">
        <v>0.56</v>
      </c>
      <c r="H1675" s="24" t="s">
        <v>6673</v>
      </c>
      <c r="I1675" s="24">
        <v>7.43</v>
      </c>
      <c r="J1675" s="24">
        <v>0.0</v>
      </c>
    </row>
    <row r="1676">
      <c r="A1676" s="24">
        <v>518.0</v>
      </c>
      <c r="B1676" s="24">
        <v>4.0</v>
      </c>
      <c r="C1676" s="44">
        <v>16.5</v>
      </c>
      <c r="D1676" s="46">
        <v>44829.0</v>
      </c>
      <c r="E1676" s="24">
        <v>4.12</v>
      </c>
      <c r="F1676" s="24">
        <v>31.85</v>
      </c>
      <c r="G1676" s="24">
        <v>0.77</v>
      </c>
      <c r="H1676" s="24" t="s">
        <v>6677</v>
      </c>
      <c r="I1676" s="24">
        <v>16.5</v>
      </c>
      <c r="J1676" s="24">
        <v>0.0</v>
      </c>
    </row>
    <row r="1677">
      <c r="A1677" s="24">
        <v>104.0</v>
      </c>
      <c r="B1677" s="24">
        <v>0.0</v>
      </c>
      <c r="C1677" s="44">
        <v>11.79</v>
      </c>
      <c r="D1677" s="46">
        <v>44830.0</v>
      </c>
      <c r="E1677" s="24" t="s">
        <v>6650</v>
      </c>
      <c r="F1677" s="24">
        <v>113.37</v>
      </c>
      <c r="G1677" s="24">
        <v>0.0</v>
      </c>
      <c r="H1677" s="24" t="s">
        <v>6674</v>
      </c>
      <c r="I1677" s="24" t="s">
        <v>6650</v>
      </c>
      <c r="J1677" s="24">
        <v>0.0</v>
      </c>
    </row>
    <row r="1678">
      <c r="A1678" s="24">
        <v>1064.0</v>
      </c>
      <c r="B1678" s="24">
        <v>3.0</v>
      </c>
      <c r="C1678" s="44">
        <v>10.85</v>
      </c>
      <c r="D1678" s="46">
        <v>44830.0</v>
      </c>
      <c r="E1678" s="24">
        <v>3.62</v>
      </c>
      <c r="F1678" s="24">
        <v>10.2</v>
      </c>
      <c r="G1678" s="24">
        <v>0.28</v>
      </c>
      <c r="H1678" s="24" t="s">
        <v>6673</v>
      </c>
      <c r="I1678" s="24">
        <v>10.85</v>
      </c>
      <c r="J1678" s="24">
        <v>0.0</v>
      </c>
    </row>
    <row r="1679">
      <c r="A1679" s="24">
        <v>942.0</v>
      </c>
      <c r="B1679" s="24">
        <v>1.0</v>
      </c>
      <c r="C1679" s="44">
        <v>12.85</v>
      </c>
      <c r="D1679" s="46">
        <v>44830.0</v>
      </c>
      <c r="E1679" s="24">
        <v>12.85</v>
      </c>
      <c r="F1679" s="24">
        <v>13.64</v>
      </c>
      <c r="G1679" s="24">
        <v>0.11</v>
      </c>
      <c r="H1679" s="24" t="s">
        <v>6675</v>
      </c>
      <c r="I1679" s="24">
        <v>12.85</v>
      </c>
      <c r="J1679" s="24">
        <v>0.0</v>
      </c>
    </row>
    <row r="1680">
      <c r="A1680" s="24">
        <v>353.0</v>
      </c>
      <c r="B1680" s="24">
        <v>2.0</v>
      </c>
      <c r="C1680" s="44">
        <v>11.57</v>
      </c>
      <c r="D1680" s="46">
        <v>44830.0</v>
      </c>
      <c r="E1680" s="24">
        <v>5.78</v>
      </c>
      <c r="F1680" s="24">
        <v>32.78</v>
      </c>
      <c r="G1680" s="24">
        <v>0.57</v>
      </c>
      <c r="H1680" s="24" t="s">
        <v>6680</v>
      </c>
      <c r="I1680" s="24">
        <v>11.57</v>
      </c>
      <c r="J1680" s="24">
        <v>0.0</v>
      </c>
    </row>
    <row r="1681">
      <c r="A1681" s="24">
        <v>511.0</v>
      </c>
      <c r="B1681" s="24">
        <v>0.0</v>
      </c>
      <c r="C1681" s="44">
        <v>12.82</v>
      </c>
      <c r="D1681" s="46">
        <v>44830.0</v>
      </c>
      <c r="E1681" s="24" t="s">
        <v>6650</v>
      </c>
      <c r="F1681" s="24">
        <v>25.09</v>
      </c>
      <c r="G1681" s="24">
        <v>0.0</v>
      </c>
      <c r="H1681" s="24" t="s">
        <v>6677</v>
      </c>
      <c r="I1681" s="24">
        <v>12.82</v>
      </c>
      <c r="J1681" s="24">
        <v>0.0</v>
      </c>
    </row>
    <row r="1682">
      <c r="A1682" s="24">
        <v>534.0</v>
      </c>
      <c r="B1682" s="24">
        <v>2.0</v>
      </c>
      <c r="C1682" s="44">
        <v>10.74</v>
      </c>
      <c r="D1682" s="46">
        <v>44830.0</v>
      </c>
      <c r="E1682" s="24">
        <v>5.37</v>
      </c>
      <c r="F1682" s="24">
        <v>20.11</v>
      </c>
      <c r="G1682" s="24">
        <v>0.37</v>
      </c>
      <c r="H1682" s="24" t="s">
        <v>6676</v>
      </c>
      <c r="I1682" s="24" t="s">
        <v>6650</v>
      </c>
      <c r="J1682" s="24">
        <v>0.0</v>
      </c>
    </row>
    <row r="1683">
      <c r="A1683" s="24">
        <v>385.0</v>
      </c>
      <c r="B1683" s="24">
        <v>2.0</v>
      </c>
      <c r="C1683" s="44">
        <v>12.65</v>
      </c>
      <c r="D1683" s="46">
        <v>44831.0</v>
      </c>
      <c r="E1683" s="24">
        <v>6.32</v>
      </c>
      <c r="F1683" s="24">
        <v>32.86</v>
      </c>
      <c r="G1683" s="24">
        <v>0.52</v>
      </c>
      <c r="H1683" s="24" t="s">
        <v>6680</v>
      </c>
      <c r="I1683" s="24">
        <v>6.32</v>
      </c>
      <c r="J1683" s="24">
        <v>0.0</v>
      </c>
    </row>
    <row r="1684">
      <c r="A1684" s="24">
        <v>502.0</v>
      </c>
      <c r="B1684" s="24">
        <v>5.0</v>
      </c>
      <c r="C1684" s="44">
        <v>13.68</v>
      </c>
      <c r="D1684" s="46">
        <v>44831.0</v>
      </c>
      <c r="E1684" s="24">
        <v>2.74</v>
      </c>
      <c r="F1684" s="24">
        <v>27.25</v>
      </c>
      <c r="G1684" s="24">
        <v>1.0</v>
      </c>
      <c r="H1684" s="24" t="s">
        <v>6677</v>
      </c>
      <c r="I1684" s="24">
        <v>13.68</v>
      </c>
      <c r="J1684" s="24">
        <v>0.0</v>
      </c>
    </row>
    <row r="1685">
      <c r="A1685" s="24">
        <v>918.0</v>
      </c>
      <c r="B1685" s="24">
        <v>8.0</v>
      </c>
      <c r="C1685" s="44">
        <v>13.88</v>
      </c>
      <c r="D1685" s="46">
        <v>44831.0</v>
      </c>
      <c r="E1685" s="24">
        <v>1.74</v>
      </c>
      <c r="F1685" s="24">
        <v>15.12</v>
      </c>
      <c r="G1685" s="24">
        <v>0.87</v>
      </c>
      <c r="H1685" s="24" t="s">
        <v>6675</v>
      </c>
      <c r="I1685" s="24">
        <v>3.47</v>
      </c>
      <c r="J1685" s="24">
        <v>0.0</v>
      </c>
    </row>
    <row r="1686">
      <c r="A1686" s="24">
        <v>428.0</v>
      </c>
      <c r="B1686" s="24">
        <v>2.0</v>
      </c>
      <c r="C1686" s="44">
        <v>13.3</v>
      </c>
      <c r="D1686" s="46">
        <v>44831.0</v>
      </c>
      <c r="E1686" s="24">
        <v>6.65</v>
      </c>
      <c r="F1686" s="24">
        <v>31.07</v>
      </c>
      <c r="G1686" s="24">
        <v>0.47</v>
      </c>
      <c r="H1686" s="24" t="s">
        <v>6674</v>
      </c>
      <c r="I1686" s="24">
        <v>13.3</v>
      </c>
      <c r="J1686" s="24">
        <v>0.0</v>
      </c>
    </row>
    <row r="1687">
      <c r="A1687" s="24">
        <v>1342.0</v>
      </c>
      <c r="B1687" s="24">
        <v>0.0</v>
      </c>
      <c r="C1687" s="44">
        <v>14.55</v>
      </c>
      <c r="D1687" s="46">
        <v>44831.0</v>
      </c>
      <c r="E1687" s="24" t="s">
        <v>6650</v>
      </c>
      <c r="F1687" s="24">
        <v>10.84</v>
      </c>
      <c r="G1687" s="24">
        <v>0.0</v>
      </c>
      <c r="H1687" s="24" t="s">
        <v>6673</v>
      </c>
      <c r="I1687" s="24">
        <v>14.55</v>
      </c>
      <c r="J1687" s="24">
        <v>0.0</v>
      </c>
    </row>
    <row r="1688">
      <c r="A1688" s="24">
        <v>643.0</v>
      </c>
      <c r="B1688" s="24">
        <v>0.0</v>
      </c>
      <c r="C1688" s="44">
        <v>13.22</v>
      </c>
      <c r="D1688" s="46">
        <v>44831.0</v>
      </c>
      <c r="E1688" s="24" t="s">
        <v>6650</v>
      </c>
      <c r="F1688" s="24">
        <v>20.56</v>
      </c>
      <c r="G1688" s="24">
        <v>0.0</v>
      </c>
      <c r="H1688" s="24" t="s">
        <v>6676</v>
      </c>
      <c r="I1688" s="24" t="s">
        <v>6650</v>
      </c>
      <c r="J1688" s="24">
        <v>0.0</v>
      </c>
    </row>
    <row r="1689">
      <c r="A1689" s="24">
        <v>1333.0</v>
      </c>
      <c r="B1689" s="24">
        <v>2.0</v>
      </c>
      <c r="C1689" s="44">
        <v>13.33</v>
      </c>
      <c r="D1689" s="46">
        <v>44832.0</v>
      </c>
      <c r="E1689" s="24">
        <v>6.66</v>
      </c>
      <c r="F1689" s="24">
        <v>10.0</v>
      </c>
      <c r="G1689" s="24">
        <v>0.15</v>
      </c>
      <c r="H1689" s="24" t="s">
        <v>6673</v>
      </c>
      <c r="I1689" s="24">
        <v>6.66</v>
      </c>
      <c r="J1689" s="24">
        <v>0.0</v>
      </c>
    </row>
    <row r="1690">
      <c r="A1690" s="24">
        <v>693.0</v>
      </c>
      <c r="B1690" s="24">
        <v>0.0</v>
      </c>
      <c r="C1690" s="44">
        <v>13.23</v>
      </c>
      <c r="D1690" s="46">
        <v>44832.0</v>
      </c>
      <c r="E1690" s="24" t="s">
        <v>6650</v>
      </c>
      <c r="F1690" s="24">
        <v>19.09</v>
      </c>
      <c r="G1690" s="24">
        <v>0.0</v>
      </c>
      <c r="H1690" s="24" t="s">
        <v>6676</v>
      </c>
      <c r="I1690" s="24" t="s">
        <v>6650</v>
      </c>
      <c r="J1690" s="24">
        <v>0.0</v>
      </c>
    </row>
    <row r="1691">
      <c r="A1691" s="24">
        <v>472.0</v>
      </c>
      <c r="B1691" s="24">
        <v>4.0</v>
      </c>
      <c r="C1691" s="44">
        <v>13.74</v>
      </c>
      <c r="D1691" s="46">
        <v>44832.0</v>
      </c>
      <c r="E1691" s="24">
        <v>3.44</v>
      </c>
      <c r="F1691" s="24">
        <v>29.11</v>
      </c>
      <c r="G1691" s="24">
        <v>0.85</v>
      </c>
      <c r="H1691" s="24" t="s">
        <v>6674</v>
      </c>
      <c r="I1691" s="24">
        <v>3.44</v>
      </c>
      <c r="J1691" s="24">
        <v>0.0</v>
      </c>
    </row>
    <row r="1692">
      <c r="A1692" s="24">
        <v>491.0</v>
      </c>
      <c r="B1692" s="24">
        <v>7.0</v>
      </c>
      <c r="C1692" s="44">
        <v>13.06</v>
      </c>
      <c r="D1692" s="46">
        <v>44832.0</v>
      </c>
      <c r="E1692" s="24">
        <v>1.87</v>
      </c>
      <c r="F1692" s="24">
        <v>26.6</v>
      </c>
      <c r="G1692" s="24">
        <v>1.43</v>
      </c>
      <c r="H1692" s="24" t="s">
        <v>6677</v>
      </c>
      <c r="I1692" s="24">
        <v>6.53</v>
      </c>
      <c r="J1692" s="24">
        <v>0.0</v>
      </c>
    </row>
    <row r="1693">
      <c r="A1693" s="24">
        <v>261.0</v>
      </c>
      <c r="B1693" s="24">
        <v>7.0</v>
      </c>
      <c r="C1693" s="44">
        <v>13.22</v>
      </c>
      <c r="D1693" s="46">
        <v>44832.0</v>
      </c>
      <c r="E1693" s="24">
        <v>1.89</v>
      </c>
      <c r="F1693" s="24">
        <v>50.65</v>
      </c>
      <c r="G1693" s="24">
        <v>2.68</v>
      </c>
      <c r="H1693" s="24" t="s">
        <v>6680</v>
      </c>
      <c r="I1693" s="24">
        <v>4.41</v>
      </c>
      <c r="J1693" s="24">
        <v>0.0</v>
      </c>
    </row>
    <row r="1694">
      <c r="A1694" s="24">
        <v>987.0</v>
      </c>
      <c r="B1694" s="24">
        <v>4.0</v>
      </c>
      <c r="C1694" s="44">
        <v>13.65</v>
      </c>
      <c r="D1694" s="46">
        <v>44832.0</v>
      </c>
      <c r="E1694" s="24">
        <v>3.41</v>
      </c>
      <c r="F1694" s="24">
        <v>13.83</v>
      </c>
      <c r="G1694" s="24">
        <v>0.41</v>
      </c>
      <c r="H1694" s="24" t="s">
        <v>6675</v>
      </c>
      <c r="I1694" s="24" t="s">
        <v>6650</v>
      </c>
      <c r="J1694" s="24">
        <v>0.0</v>
      </c>
    </row>
    <row r="1695">
      <c r="A1695" s="24">
        <v>1460.0</v>
      </c>
      <c r="B1695" s="24">
        <v>3.0</v>
      </c>
      <c r="C1695" s="44">
        <v>13.58</v>
      </c>
      <c r="D1695" s="46">
        <v>44833.0</v>
      </c>
      <c r="E1695" s="24">
        <v>4.53</v>
      </c>
      <c r="F1695" s="24">
        <v>9.3</v>
      </c>
      <c r="G1695" s="24">
        <v>0.21</v>
      </c>
      <c r="H1695" s="24" t="s">
        <v>6673</v>
      </c>
      <c r="I1695" s="24" t="s">
        <v>6650</v>
      </c>
      <c r="J1695" s="24">
        <v>0.0</v>
      </c>
    </row>
    <row r="1696">
      <c r="A1696" s="24">
        <v>418.0</v>
      </c>
      <c r="B1696" s="24">
        <v>2.0</v>
      </c>
      <c r="C1696" s="44">
        <v>13.52</v>
      </c>
      <c r="D1696" s="46">
        <v>44833.0</v>
      </c>
      <c r="E1696" s="24">
        <v>6.76</v>
      </c>
      <c r="F1696" s="24">
        <v>32.34</v>
      </c>
      <c r="G1696" s="24">
        <v>0.48</v>
      </c>
      <c r="H1696" s="24" t="s">
        <v>6680</v>
      </c>
      <c r="I1696" s="24" t="s">
        <v>6650</v>
      </c>
      <c r="J1696" s="24">
        <v>0.0</v>
      </c>
    </row>
    <row r="1697">
      <c r="A1697" s="24">
        <v>419.0</v>
      </c>
      <c r="B1697" s="24">
        <v>4.0</v>
      </c>
      <c r="C1697" s="44">
        <v>13.63</v>
      </c>
      <c r="D1697" s="46">
        <v>44833.0</v>
      </c>
      <c r="E1697" s="24">
        <v>3.41</v>
      </c>
      <c r="F1697" s="24">
        <v>32.53</v>
      </c>
      <c r="G1697" s="24">
        <v>0.95</v>
      </c>
      <c r="H1697" s="24" t="s">
        <v>6674</v>
      </c>
      <c r="I1697" s="24">
        <v>6.82</v>
      </c>
      <c r="J1697" s="24">
        <v>0.0</v>
      </c>
    </row>
    <row r="1698">
      <c r="A1698" s="24">
        <v>461.0</v>
      </c>
      <c r="B1698" s="24">
        <v>4.0</v>
      </c>
      <c r="C1698" s="44">
        <v>13.13</v>
      </c>
      <c r="D1698" s="46">
        <v>44833.0</v>
      </c>
      <c r="E1698" s="24">
        <v>3.28</v>
      </c>
      <c r="F1698" s="24">
        <v>28.48</v>
      </c>
      <c r="G1698" s="24">
        <v>0.87</v>
      </c>
      <c r="H1698" s="24" t="s">
        <v>6677</v>
      </c>
      <c r="I1698" s="24">
        <v>4.38</v>
      </c>
      <c r="J1698" s="24">
        <v>0.0</v>
      </c>
    </row>
    <row r="1699">
      <c r="A1699" s="24">
        <v>750.0</v>
      </c>
      <c r="B1699" s="24">
        <v>0.0</v>
      </c>
      <c r="C1699" s="44">
        <v>13.57</v>
      </c>
      <c r="D1699" s="46">
        <v>44833.0</v>
      </c>
      <c r="E1699" s="24" t="s">
        <v>6650</v>
      </c>
      <c r="F1699" s="24">
        <v>18.09</v>
      </c>
      <c r="G1699" s="24">
        <v>0.0</v>
      </c>
      <c r="H1699" s="24" t="s">
        <v>6676</v>
      </c>
      <c r="I1699" s="24" t="s">
        <v>6650</v>
      </c>
      <c r="J1699" s="24">
        <v>0.0</v>
      </c>
    </row>
    <row r="1700">
      <c r="A1700" s="24">
        <v>929.0</v>
      </c>
      <c r="B1700" s="24">
        <v>4.0</v>
      </c>
      <c r="C1700" s="44">
        <v>13.29</v>
      </c>
      <c r="D1700" s="46">
        <v>44833.0</v>
      </c>
      <c r="E1700" s="24">
        <v>3.32</v>
      </c>
      <c r="F1700" s="24">
        <v>14.31</v>
      </c>
      <c r="G1700" s="24">
        <v>0.43</v>
      </c>
      <c r="H1700" s="24" t="s">
        <v>6675</v>
      </c>
      <c r="I1700" s="24" t="s">
        <v>6650</v>
      </c>
      <c r="J1700" s="24">
        <v>0.0</v>
      </c>
    </row>
    <row r="1701">
      <c r="A1701" s="24">
        <v>131.0</v>
      </c>
      <c r="B1701" s="24">
        <v>1.0</v>
      </c>
      <c r="C1701" s="44">
        <v>3.22</v>
      </c>
      <c r="D1701" s="46">
        <v>44834.0</v>
      </c>
      <c r="E1701" s="24">
        <v>3.22</v>
      </c>
      <c r="F1701" s="24">
        <v>24.58</v>
      </c>
      <c r="G1701" s="24">
        <v>0.76</v>
      </c>
      <c r="H1701" s="24" t="s">
        <v>6676</v>
      </c>
      <c r="I1701" s="24">
        <v>3.22</v>
      </c>
      <c r="J1701" s="24">
        <v>0.0</v>
      </c>
    </row>
    <row r="1702">
      <c r="A1702" s="24">
        <v>326.0</v>
      </c>
      <c r="B1702" s="24">
        <v>4.0</v>
      </c>
      <c r="C1702" s="44">
        <v>12.47</v>
      </c>
      <c r="D1702" s="46">
        <v>44834.0</v>
      </c>
      <c r="E1702" s="24">
        <v>3.12</v>
      </c>
      <c r="F1702" s="24">
        <v>38.25</v>
      </c>
      <c r="G1702" s="24">
        <v>1.23</v>
      </c>
      <c r="H1702" s="24" t="s">
        <v>6680</v>
      </c>
      <c r="I1702" s="24">
        <v>12.47</v>
      </c>
      <c r="J1702" s="24">
        <v>0.0</v>
      </c>
    </row>
    <row r="1703">
      <c r="A1703" s="24">
        <v>399.0</v>
      </c>
      <c r="B1703" s="24">
        <v>1.0</v>
      </c>
      <c r="C1703" s="44">
        <v>12.21</v>
      </c>
      <c r="D1703" s="46">
        <v>44834.0</v>
      </c>
      <c r="E1703" s="24">
        <v>12.21</v>
      </c>
      <c r="F1703" s="24">
        <v>30.6</v>
      </c>
      <c r="G1703" s="24">
        <v>0.25</v>
      </c>
      <c r="H1703" s="24" t="s">
        <v>6674</v>
      </c>
      <c r="I1703" s="24">
        <v>3.05</v>
      </c>
      <c r="J1703" s="24">
        <v>0.0</v>
      </c>
    </row>
    <row r="1704">
      <c r="A1704" s="24">
        <v>559.0</v>
      </c>
      <c r="B1704" s="24">
        <v>1.0</v>
      </c>
      <c r="C1704" s="44">
        <v>9.84</v>
      </c>
      <c r="D1704" s="46">
        <v>44834.0</v>
      </c>
      <c r="E1704" s="24">
        <v>9.84</v>
      </c>
      <c r="F1704" s="24">
        <v>17.6</v>
      </c>
      <c r="G1704" s="24">
        <v>0.18</v>
      </c>
      <c r="H1704" s="24" t="s">
        <v>6675</v>
      </c>
      <c r="I1704" s="24">
        <v>4.92</v>
      </c>
      <c r="J1704" s="24">
        <v>0.0</v>
      </c>
    </row>
    <row r="1705">
      <c r="A1705" s="24">
        <v>269.0</v>
      </c>
      <c r="B1705" s="24">
        <v>0.0</v>
      </c>
      <c r="C1705" s="44">
        <v>3.0</v>
      </c>
      <c r="D1705" s="46">
        <v>44834.0</v>
      </c>
      <c r="E1705" s="24" t="s">
        <v>6650</v>
      </c>
      <c r="F1705" s="24">
        <v>11.15</v>
      </c>
      <c r="G1705" s="24">
        <v>0.0</v>
      </c>
      <c r="H1705" s="24" t="s">
        <v>6673</v>
      </c>
      <c r="I1705" s="24" t="s">
        <v>6650</v>
      </c>
      <c r="J1705" s="24">
        <v>0.0</v>
      </c>
    </row>
    <row r="1706">
      <c r="A1706" s="24">
        <v>316.0</v>
      </c>
      <c r="B1706" s="24">
        <v>1.0</v>
      </c>
      <c r="C1706" s="44">
        <v>8.11</v>
      </c>
      <c r="D1706" s="46">
        <v>44834.0</v>
      </c>
      <c r="E1706" s="24">
        <v>8.11</v>
      </c>
      <c r="F1706" s="24">
        <v>25.66</v>
      </c>
      <c r="G1706" s="24">
        <v>0.32</v>
      </c>
      <c r="H1706" s="24" t="s">
        <v>6677</v>
      </c>
      <c r="I1706" s="24">
        <v>4.06</v>
      </c>
      <c r="J1706" s="24">
        <v>0.0</v>
      </c>
    </row>
    <row r="1707">
      <c r="A1707" s="24">
        <v>260.0</v>
      </c>
      <c r="B1707" s="24">
        <v>1.0</v>
      </c>
      <c r="C1707" s="44">
        <v>5.81</v>
      </c>
      <c r="D1707" s="46">
        <v>44835.0</v>
      </c>
      <c r="E1707" s="24">
        <v>5.81</v>
      </c>
      <c r="F1707" s="24">
        <v>22.35</v>
      </c>
      <c r="G1707" s="24">
        <v>0.38</v>
      </c>
      <c r="H1707" s="24" t="s">
        <v>6674</v>
      </c>
      <c r="I1707" s="24" t="s">
        <v>6650</v>
      </c>
      <c r="J1707" s="24">
        <v>0.0</v>
      </c>
    </row>
    <row r="1708">
      <c r="A1708" s="24">
        <v>181.0</v>
      </c>
      <c r="B1708" s="24">
        <v>0.0</v>
      </c>
      <c r="C1708" s="44">
        <v>6.66</v>
      </c>
      <c r="D1708" s="46">
        <v>44835.0</v>
      </c>
      <c r="E1708" s="24" t="s">
        <v>6650</v>
      </c>
      <c r="F1708" s="24">
        <v>36.8</v>
      </c>
      <c r="G1708" s="24">
        <v>0.0</v>
      </c>
      <c r="H1708" s="24" t="s">
        <v>6680</v>
      </c>
      <c r="I1708" s="24" t="s">
        <v>6650</v>
      </c>
      <c r="J1708" s="24">
        <v>0.0</v>
      </c>
    </row>
    <row r="1709">
      <c r="A1709" s="24">
        <v>106.0</v>
      </c>
      <c r="B1709" s="24">
        <v>0.0</v>
      </c>
      <c r="C1709" s="44">
        <v>4.17</v>
      </c>
      <c r="D1709" s="46">
        <v>44835.0</v>
      </c>
      <c r="E1709" s="24" t="s">
        <v>6650</v>
      </c>
      <c r="F1709" s="24">
        <v>39.34</v>
      </c>
      <c r="G1709" s="24">
        <v>0.0</v>
      </c>
      <c r="H1709" s="24" t="s">
        <v>6677</v>
      </c>
      <c r="I1709" s="24" t="s">
        <v>6650</v>
      </c>
      <c r="J1709" s="24">
        <v>0.0</v>
      </c>
    </row>
    <row r="1710">
      <c r="A1710" s="24">
        <v>133.0</v>
      </c>
      <c r="B1710" s="24">
        <v>0.0</v>
      </c>
      <c r="C1710" s="44">
        <v>2.89</v>
      </c>
      <c r="D1710" s="46">
        <v>44835.0</v>
      </c>
      <c r="E1710" s="24" t="s">
        <v>6650</v>
      </c>
      <c r="F1710" s="24">
        <v>21.73</v>
      </c>
      <c r="G1710" s="24">
        <v>0.0</v>
      </c>
      <c r="H1710" s="24" t="s">
        <v>6675</v>
      </c>
      <c r="I1710" s="24" t="s">
        <v>6650</v>
      </c>
      <c r="J1710" s="24">
        <v>0.0</v>
      </c>
    </row>
    <row r="1711">
      <c r="A1711" s="24">
        <v>135.0</v>
      </c>
      <c r="B1711" s="24">
        <v>1.0</v>
      </c>
      <c r="C1711" s="44">
        <v>6.21</v>
      </c>
      <c r="D1711" s="46">
        <v>44836.0</v>
      </c>
      <c r="E1711" s="24">
        <v>6.21</v>
      </c>
      <c r="F1711" s="24">
        <v>46.0</v>
      </c>
      <c r="G1711" s="24">
        <v>0.74</v>
      </c>
      <c r="H1711" s="24" t="s">
        <v>6680</v>
      </c>
      <c r="I1711" s="24">
        <v>6.21</v>
      </c>
      <c r="J1711" s="24">
        <v>0.0</v>
      </c>
    </row>
    <row r="1712">
      <c r="A1712" s="24">
        <v>87.0</v>
      </c>
      <c r="B1712" s="24">
        <v>2.0</v>
      </c>
      <c r="C1712" s="44">
        <v>4.25</v>
      </c>
      <c r="D1712" s="46">
        <v>44836.0</v>
      </c>
      <c r="E1712" s="24">
        <v>2.12</v>
      </c>
      <c r="F1712" s="24">
        <v>48.85</v>
      </c>
      <c r="G1712" s="24">
        <v>2.3</v>
      </c>
      <c r="H1712" s="24" t="s">
        <v>6677</v>
      </c>
      <c r="I1712" s="24" t="s">
        <v>6650</v>
      </c>
      <c r="J1712" s="24">
        <v>0.0</v>
      </c>
    </row>
    <row r="1713">
      <c r="A1713" s="24">
        <v>220.0</v>
      </c>
      <c r="B1713" s="24">
        <v>2.0</v>
      </c>
      <c r="C1713" s="44">
        <v>6.97</v>
      </c>
      <c r="D1713" s="46">
        <v>44836.0</v>
      </c>
      <c r="E1713" s="24">
        <v>3.48</v>
      </c>
      <c r="F1713" s="24">
        <v>31.68</v>
      </c>
      <c r="G1713" s="24">
        <v>0.91</v>
      </c>
      <c r="H1713" s="24" t="s">
        <v>6675</v>
      </c>
      <c r="I1713" s="24" t="s">
        <v>6650</v>
      </c>
      <c r="J1713" s="24">
        <v>0.0</v>
      </c>
    </row>
    <row r="1714">
      <c r="A1714" s="24">
        <v>260.0</v>
      </c>
      <c r="B1714" s="24">
        <v>0.0</v>
      </c>
      <c r="C1714" s="44">
        <v>5.9</v>
      </c>
      <c r="D1714" s="46">
        <v>44836.0</v>
      </c>
      <c r="E1714" s="24" t="s">
        <v>6650</v>
      </c>
      <c r="F1714" s="24">
        <v>22.69</v>
      </c>
      <c r="G1714" s="24">
        <v>0.0</v>
      </c>
      <c r="H1714" s="24" t="s">
        <v>6674</v>
      </c>
      <c r="I1714" s="24" t="s">
        <v>6650</v>
      </c>
      <c r="J1714" s="24">
        <v>0.0</v>
      </c>
    </row>
    <row r="1715">
      <c r="A1715" s="24">
        <v>300.0</v>
      </c>
      <c r="B1715" s="24">
        <v>4.0</v>
      </c>
      <c r="C1715" s="44">
        <v>11.08</v>
      </c>
      <c r="D1715" s="46">
        <v>44837.0</v>
      </c>
      <c r="E1715" s="24">
        <v>2.77</v>
      </c>
      <c r="F1715" s="24">
        <v>36.93</v>
      </c>
      <c r="G1715" s="24">
        <v>1.33</v>
      </c>
      <c r="H1715" s="24" t="s">
        <v>6680</v>
      </c>
      <c r="I1715" s="24" t="s">
        <v>6650</v>
      </c>
      <c r="J1715" s="24">
        <v>0.0</v>
      </c>
    </row>
    <row r="1716">
      <c r="A1716" s="24">
        <v>606.0</v>
      </c>
      <c r="B1716" s="24">
        <v>3.0</v>
      </c>
      <c r="C1716" s="44">
        <v>12.38</v>
      </c>
      <c r="D1716" s="46">
        <v>44837.0</v>
      </c>
      <c r="E1716" s="24">
        <v>4.13</v>
      </c>
      <c r="F1716" s="24">
        <v>20.43</v>
      </c>
      <c r="G1716" s="24">
        <v>0.5</v>
      </c>
      <c r="H1716" s="24" t="s">
        <v>6675</v>
      </c>
      <c r="I1716" s="24">
        <v>6.19</v>
      </c>
      <c r="J1716" s="24">
        <v>0.0</v>
      </c>
    </row>
    <row r="1717">
      <c r="A1717" s="24">
        <v>343.0</v>
      </c>
      <c r="B1717" s="24">
        <v>1.0</v>
      </c>
      <c r="C1717" s="44">
        <v>10.93</v>
      </c>
      <c r="D1717" s="46">
        <v>44837.0</v>
      </c>
      <c r="E1717" s="24">
        <v>10.93</v>
      </c>
      <c r="F1717" s="24">
        <v>31.87</v>
      </c>
      <c r="G1717" s="24">
        <v>0.29</v>
      </c>
      <c r="H1717" s="24" t="s">
        <v>6674</v>
      </c>
      <c r="I1717" s="24" t="s">
        <v>6650</v>
      </c>
      <c r="J1717" s="24">
        <v>0.0</v>
      </c>
    </row>
    <row r="1718">
      <c r="A1718" s="24">
        <v>256.0</v>
      </c>
      <c r="B1718" s="24">
        <v>2.0</v>
      </c>
      <c r="C1718" s="44">
        <v>7.7</v>
      </c>
      <c r="D1718" s="46">
        <v>44837.0</v>
      </c>
      <c r="E1718" s="24">
        <v>3.85</v>
      </c>
      <c r="F1718" s="24">
        <v>30.08</v>
      </c>
      <c r="G1718" s="24">
        <v>0.78</v>
      </c>
      <c r="H1718" s="24" t="s">
        <v>6677</v>
      </c>
      <c r="I1718" s="24" t="s">
        <v>6650</v>
      </c>
      <c r="J1718" s="24">
        <v>0.0</v>
      </c>
    </row>
    <row r="1719">
      <c r="A1719" s="24">
        <v>380.0</v>
      </c>
      <c r="B1719" s="24">
        <v>5.0</v>
      </c>
      <c r="C1719" s="44">
        <v>13.01</v>
      </c>
      <c r="D1719" s="46">
        <v>44838.0</v>
      </c>
      <c r="E1719" s="24">
        <v>2.6</v>
      </c>
      <c r="F1719" s="24">
        <v>34.24</v>
      </c>
      <c r="G1719" s="24">
        <v>1.32</v>
      </c>
      <c r="H1719" s="24" t="s">
        <v>6674</v>
      </c>
      <c r="I1719" s="24">
        <v>6.5</v>
      </c>
      <c r="J1719" s="24">
        <v>0.0</v>
      </c>
    </row>
    <row r="1720">
      <c r="A1720" s="24">
        <v>339.0</v>
      </c>
      <c r="B1720" s="24">
        <v>2.0</v>
      </c>
      <c r="C1720" s="44">
        <v>12.81</v>
      </c>
      <c r="D1720" s="46">
        <v>44838.0</v>
      </c>
      <c r="E1720" s="24">
        <v>6.4</v>
      </c>
      <c r="F1720" s="24">
        <v>37.79</v>
      </c>
      <c r="G1720" s="24">
        <v>0.59</v>
      </c>
      <c r="H1720" s="24" t="s">
        <v>6680</v>
      </c>
      <c r="I1720" s="24" t="s">
        <v>6650</v>
      </c>
      <c r="J1720" s="24">
        <v>0.0</v>
      </c>
    </row>
    <row r="1721">
      <c r="A1721" s="24">
        <v>281.0</v>
      </c>
      <c r="B1721" s="24">
        <v>2.0</v>
      </c>
      <c r="C1721" s="44">
        <v>14.47</v>
      </c>
      <c r="D1721" s="46">
        <v>44838.0</v>
      </c>
      <c r="E1721" s="24">
        <v>7.24</v>
      </c>
      <c r="F1721" s="24">
        <v>51.49</v>
      </c>
      <c r="G1721" s="24">
        <v>0.71</v>
      </c>
      <c r="H1721" s="24" t="s">
        <v>6677</v>
      </c>
      <c r="I1721" s="24">
        <v>2.41</v>
      </c>
      <c r="J1721" s="24">
        <v>0.0</v>
      </c>
    </row>
    <row r="1722">
      <c r="A1722" s="24">
        <v>955.0</v>
      </c>
      <c r="B1722" s="24">
        <v>7.0</v>
      </c>
      <c r="C1722" s="44">
        <v>13.74</v>
      </c>
      <c r="D1722" s="46">
        <v>44838.0</v>
      </c>
      <c r="E1722" s="24">
        <v>1.96</v>
      </c>
      <c r="F1722" s="24">
        <v>14.39</v>
      </c>
      <c r="G1722" s="24">
        <v>0.73</v>
      </c>
      <c r="H1722" s="24" t="s">
        <v>6675</v>
      </c>
      <c r="I1722" s="24">
        <v>13.74</v>
      </c>
      <c r="J1722" s="24">
        <v>0.0</v>
      </c>
    </row>
    <row r="1723">
      <c r="A1723" s="24">
        <v>458.0</v>
      </c>
      <c r="B1723" s="24">
        <v>3.0</v>
      </c>
      <c r="C1723" s="44">
        <v>14.21</v>
      </c>
      <c r="D1723" s="46">
        <v>44839.0</v>
      </c>
      <c r="E1723" s="24">
        <v>4.74</v>
      </c>
      <c r="F1723" s="24">
        <v>31.03</v>
      </c>
      <c r="G1723" s="24">
        <v>0.66</v>
      </c>
      <c r="H1723" s="24" t="s">
        <v>6677</v>
      </c>
      <c r="I1723" s="24">
        <v>7.1</v>
      </c>
      <c r="J1723" s="24">
        <v>0.0</v>
      </c>
    </row>
    <row r="1724">
      <c r="A1724" s="24">
        <v>286.0</v>
      </c>
      <c r="B1724" s="24">
        <v>1.0</v>
      </c>
      <c r="C1724" s="44">
        <v>13.09</v>
      </c>
      <c r="D1724" s="46">
        <v>44839.0</v>
      </c>
      <c r="E1724" s="24">
        <v>13.09</v>
      </c>
      <c r="F1724" s="24">
        <v>45.77</v>
      </c>
      <c r="G1724" s="24">
        <v>0.35</v>
      </c>
      <c r="H1724" s="24" t="s">
        <v>6680</v>
      </c>
      <c r="I1724" s="24" t="s">
        <v>6650</v>
      </c>
      <c r="J1724" s="24">
        <v>0.0</v>
      </c>
    </row>
    <row r="1725">
      <c r="A1725" s="24">
        <v>1176.0</v>
      </c>
      <c r="B1725" s="24">
        <v>5.0</v>
      </c>
      <c r="C1725" s="44">
        <v>13.84</v>
      </c>
      <c r="D1725" s="46">
        <v>44839.0</v>
      </c>
      <c r="E1725" s="24">
        <v>2.77</v>
      </c>
      <c r="F1725" s="24">
        <v>11.77</v>
      </c>
      <c r="G1725" s="24">
        <v>0.43</v>
      </c>
      <c r="H1725" s="24" t="s">
        <v>6675</v>
      </c>
      <c r="I1725" s="24">
        <v>13.84</v>
      </c>
      <c r="J1725" s="24">
        <v>0.0</v>
      </c>
    </row>
    <row r="1726">
      <c r="A1726" s="24">
        <v>482.0</v>
      </c>
      <c r="B1726" s="24">
        <v>2.0</v>
      </c>
      <c r="C1726" s="44">
        <v>13.55</v>
      </c>
      <c r="D1726" s="46">
        <v>44839.0</v>
      </c>
      <c r="E1726" s="24">
        <v>6.78</v>
      </c>
      <c r="F1726" s="24">
        <v>28.11</v>
      </c>
      <c r="G1726" s="24">
        <v>0.41</v>
      </c>
      <c r="H1726" s="24" t="s">
        <v>6674</v>
      </c>
      <c r="I1726" s="24">
        <v>6.78</v>
      </c>
      <c r="J1726" s="24">
        <v>0.0</v>
      </c>
    </row>
    <row r="1727">
      <c r="A1727" s="24">
        <v>320.0</v>
      </c>
      <c r="B1727" s="24">
        <v>9.0</v>
      </c>
      <c r="C1727" s="44">
        <v>13.14</v>
      </c>
      <c r="D1727" s="46">
        <v>44840.0</v>
      </c>
      <c r="E1727" s="24">
        <v>1.46</v>
      </c>
      <c r="F1727" s="24">
        <v>41.06</v>
      </c>
      <c r="G1727" s="24">
        <v>2.81</v>
      </c>
      <c r="H1727" s="24" t="s">
        <v>6680</v>
      </c>
      <c r="I1727" s="24">
        <v>13.14</v>
      </c>
      <c r="J1727" s="24">
        <v>0.0</v>
      </c>
    </row>
    <row r="1728">
      <c r="A1728" s="24">
        <v>390.0</v>
      </c>
      <c r="B1728" s="24">
        <v>4.0</v>
      </c>
      <c r="C1728" s="44">
        <v>13.5</v>
      </c>
      <c r="D1728" s="46">
        <v>44840.0</v>
      </c>
      <c r="E1728" s="24">
        <v>3.38</v>
      </c>
      <c r="F1728" s="24">
        <v>34.62</v>
      </c>
      <c r="G1728" s="24">
        <v>1.03</v>
      </c>
      <c r="H1728" s="24" t="s">
        <v>6674</v>
      </c>
      <c r="I1728" s="24">
        <v>13.5</v>
      </c>
      <c r="J1728" s="24">
        <v>0.0</v>
      </c>
    </row>
    <row r="1729">
      <c r="A1729" s="24">
        <v>341.0</v>
      </c>
      <c r="B1729" s="24">
        <v>1.0</v>
      </c>
      <c r="C1729" s="44">
        <v>3.91</v>
      </c>
      <c r="D1729" s="46">
        <v>44840.0</v>
      </c>
      <c r="E1729" s="24">
        <v>3.91</v>
      </c>
      <c r="F1729" s="24">
        <v>11.47</v>
      </c>
      <c r="G1729" s="24">
        <v>0.29</v>
      </c>
      <c r="H1729" s="24" t="s">
        <v>6675</v>
      </c>
      <c r="I1729" s="24" t="s">
        <v>6650</v>
      </c>
      <c r="J1729" s="24">
        <v>0.0</v>
      </c>
    </row>
    <row r="1730">
      <c r="A1730" s="24">
        <v>97.0</v>
      </c>
      <c r="B1730" s="24">
        <v>3.0</v>
      </c>
      <c r="C1730" s="44">
        <v>1.25</v>
      </c>
      <c r="D1730" s="46">
        <v>44840.0</v>
      </c>
      <c r="E1730" s="24">
        <v>0.42</v>
      </c>
      <c r="F1730" s="24">
        <v>12.89</v>
      </c>
      <c r="G1730" s="24">
        <v>3.09</v>
      </c>
      <c r="H1730" s="24" t="s">
        <v>6677</v>
      </c>
      <c r="I1730" s="24">
        <v>0.62</v>
      </c>
      <c r="J1730" s="24">
        <v>0.0</v>
      </c>
    </row>
    <row r="1731">
      <c r="A1731" s="24">
        <v>630.0</v>
      </c>
      <c r="B1731" s="24">
        <v>5.0</v>
      </c>
      <c r="C1731" s="44">
        <v>15.95</v>
      </c>
      <c r="D1731" s="46">
        <v>44841.0</v>
      </c>
      <c r="E1731" s="24">
        <v>3.19</v>
      </c>
      <c r="F1731" s="24">
        <v>25.32</v>
      </c>
      <c r="G1731" s="24">
        <v>0.79</v>
      </c>
      <c r="H1731" s="24" t="s">
        <v>6675</v>
      </c>
      <c r="I1731" s="24">
        <v>15.95</v>
      </c>
      <c r="J1731" s="24">
        <v>0.0</v>
      </c>
    </row>
    <row r="1732">
      <c r="A1732" s="24">
        <v>420.0</v>
      </c>
      <c r="B1732" s="24">
        <v>3.0</v>
      </c>
      <c r="C1732" s="44">
        <v>13.17</v>
      </c>
      <c r="D1732" s="46">
        <v>44841.0</v>
      </c>
      <c r="E1732" s="24">
        <v>4.39</v>
      </c>
      <c r="F1732" s="24">
        <v>31.36</v>
      </c>
      <c r="G1732" s="24">
        <v>0.71</v>
      </c>
      <c r="H1732" s="24" t="s">
        <v>6674</v>
      </c>
      <c r="I1732" s="24" t="s">
        <v>6650</v>
      </c>
      <c r="J1732" s="24">
        <v>0.0</v>
      </c>
    </row>
    <row r="1733">
      <c r="A1733" s="24">
        <v>395.0</v>
      </c>
      <c r="B1733" s="24">
        <v>1.0</v>
      </c>
      <c r="C1733" s="44">
        <v>16.5</v>
      </c>
      <c r="D1733" s="46">
        <v>44841.0</v>
      </c>
      <c r="E1733" s="24">
        <v>16.5</v>
      </c>
      <c r="F1733" s="24">
        <v>41.77</v>
      </c>
      <c r="G1733" s="24">
        <v>0.25</v>
      </c>
      <c r="H1733" s="24" t="s">
        <v>6677</v>
      </c>
      <c r="I1733" s="24">
        <v>16.5</v>
      </c>
      <c r="J1733" s="24">
        <v>0.0</v>
      </c>
    </row>
    <row r="1734">
      <c r="A1734" s="24">
        <v>267.0</v>
      </c>
      <c r="B1734" s="24">
        <v>2.0</v>
      </c>
      <c r="C1734" s="44">
        <v>12.85</v>
      </c>
      <c r="D1734" s="46">
        <v>44841.0</v>
      </c>
      <c r="E1734" s="24">
        <v>6.42</v>
      </c>
      <c r="F1734" s="24">
        <v>48.13</v>
      </c>
      <c r="G1734" s="24">
        <v>0.75</v>
      </c>
      <c r="H1734" s="24" t="s">
        <v>6680</v>
      </c>
      <c r="I1734" s="24" t="s">
        <v>6650</v>
      </c>
      <c r="J1734" s="24">
        <v>0.0</v>
      </c>
    </row>
    <row r="1735">
      <c r="A1735" s="24">
        <v>551.0</v>
      </c>
      <c r="B1735" s="24">
        <v>6.0</v>
      </c>
      <c r="C1735" s="44">
        <v>11.36</v>
      </c>
      <c r="D1735" s="46">
        <v>44842.0</v>
      </c>
      <c r="E1735" s="24">
        <v>1.89</v>
      </c>
      <c r="F1735" s="24">
        <v>20.62</v>
      </c>
      <c r="G1735" s="24">
        <v>1.09</v>
      </c>
      <c r="H1735" s="24" t="s">
        <v>6677</v>
      </c>
      <c r="I1735" s="24">
        <v>3.79</v>
      </c>
      <c r="J1735" s="24">
        <v>0.0</v>
      </c>
    </row>
    <row r="1736">
      <c r="A1736" s="24">
        <v>178.0</v>
      </c>
      <c r="B1736" s="24">
        <v>2.0</v>
      </c>
      <c r="C1736" s="44">
        <v>6.81</v>
      </c>
      <c r="D1736" s="46">
        <v>44842.0</v>
      </c>
      <c r="E1736" s="24">
        <v>3.4</v>
      </c>
      <c r="F1736" s="24">
        <v>38.26</v>
      </c>
      <c r="G1736" s="24">
        <v>1.12</v>
      </c>
      <c r="H1736" s="24" t="s">
        <v>6680</v>
      </c>
      <c r="I1736" s="24" t="s">
        <v>6650</v>
      </c>
      <c r="J1736" s="24">
        <v>0.0</v>
      </c>
    </row>
    <row r="1737">
      <c r="A1737" s="24">
        <v>232.0</v>
      </c>
      <c r="B1737" s="24">
        <v>1.0</v>
      </c>
      <c r="C1737" s="44">
        <v>5.97</v>
      </c>
      <c r="D1737" s="46">
        <v>44842.0</v>
      </c>
      <c r="E1737" s="24">
        <v>5.97</v>
      </c>
      <c r="F1737" s="24">
        <v>25.73</v>
      </c>
      <c r="G1737" s="24">
        <v>0.43</v>
      </c>
      <c r="H1737" s="24" t="s">
        <v>6674</v>
      </c>
      <c r="I1737" s="24">
        <v>5.97</v>
      </c>
      <c r="J1737" s="24">
        <v>0.0</v>
      </c>
    </row>
    <row r="1738">
      <c r="A1738" s="24">
        <v>380.0</v>
      </c>
      <c r="B1738" s="24">
        <v>5.0</v>
      </c>
      <c r="C1738" s="44">
        <v>8.38</v>
      </c>
      <c r="D1738" s="46">
        <v>44842.0</v>
      </c>
      <c r="E1738" s="24">
        <v>1.68</v>
      </c>
      <c r="F1738" s="24">
        <v>22.05</v>
      </c>
      <c r="G1738" s="24">
        <v>1.32</v>
      </c>
      <c r="H1738" s="24" t="s">
        <v>6675</v>
      </c>
      <c r="I1738" s="24" t="s">
        <v>6650</v>
      </c>
      <c r="J1738" s="24">
        <v>0.0</v>
      </c>
    </row>
    <row r="1739">
      <c r="A1739" s="24">
        <v>219.0</v>
      </c>
      <c r="B1739" s="24">
        <v>1.0</v>
      </c>
      <c r="C1739" s="44">
        <v>6.34</v>
      </c>
      <c r="D1739" s="46">
        <v>44843.0</v>
      </c>
      <c r="E1739" s="24">
        <v>6.34</v>
      </c>
      <c r="F1739" s="24">
        <v>28.95</v>
      </c>
      <c r="G1739" s="24">
        <v>0.46</v>
      </c>
      <c r="H1739" s="24" t="s">
        <v>6674</v>
      </c>
      <c r="I1739" s="24" t="s">
        <v>6650</v>
      </c>
      <c r="J1739" s="24">
        <v>0.0</v>
      </c>
    </row>
    <row r="1740">
      <c r="A1740" s="24">
        <v>212.0</v>
      </c>
      <c r="B1740" s="24">
        <v>4.0</v>
      </c>
      <c r="C1740" s="44">
        <v>7.01</v>
      </c>
      <c r="D1740" s="46">
        <v>44843.0</v>
      </c>
      <c r="E1740" s="24">
        <v>1.75</v>
      </c>
      <c r="F1740" s="24">
        <v>33.07</v>
      </c>
      <c r="G1740" s="24">
        <v>1.89</v>
      </c>
      <c r="H1740" s="24" t="s">
        <v>6680</v>
      </c>
      <c r="I1740" s="24">
        <v>7.01</v>
      </c>
      <c r="J1740" s="24">
        <v>0.0</v>
      </c>
    </row>
    <row r="1741">
      <c r="A1741" s="24">
        <v>500.0</v>
      </c>
      <c r="B1741" s="24">
        <v>3.0</v>
      </c>
      <c r="C1741" s="44">
        <v>11.51</v>
      </c>
      <c r="D1741" s="46">
        <v>44843.0</v>
      </c>
      <c r="E1741" s="24">
        <v>3.84</v>
      </c>
      <c r="F1741" s="24">
        <v>23.02</v>
      </c>
      <c r="G1741" s="24">
        <v>0.6</v>
      </c>
      <c r="H1741" s="24" t="s">
        <v>6677</v>
      </c>
      <c r="I1741" s="24" t="s">
        <v>6650</v>
      </c>
      <c r="J1741" s="24">
        <v>0.0</v>
      </c>
    </row>
    <row r="1742">
      <c r="A1742" s="24">
        <v>586.0</v>
      </c>
      <c r="B1742" s="24">
        <v>1.0</v>
      </c>
      <c r="C1742" s="44">
        <v>8.8</v>
      </c>
      <c r="D1742" s="46">
        <v>44843.0</v>
      </c>
      <c r="E1742" s="24">
        <v>8.8</v>
      </c>
      <c r="F1742" s="24">
        <v>15.02</v>
      </c>
      <c r="G1742" s="24">
        <v>0.17</v>
      </c>
      <c r="H1742" s="24" t="s">
        <v>6675</v>
      </c>
      <c r="I1742" s="24" t="s">
        <v>6650</v>
      </c>
      <c r="J1742" s="24">
        <v>0.0</v>
      </c>
    </row>
    <row r="1743">
      <c r="A1743" s="24">
        <v>1083.0</v>
      </c>
      <c r="B1743" s="24">
        <v>4.0</v>
      </c>
      <c r="C1743" s="44">
        <v>12.79</v>
      </c>
      <c r="D1743" s="46">
        <v>44844.0</v>
      </c>
      <c r="E1743" s="24">
        <v>3.2</v>
      </c>
      <c r="F1743" s="24">
        <v>11.81</v>
      </c>
      <c r="G1743" s="24">
        <v>0.37</v>
      </c>
      <c r="H1743" s="24" t="s">
        <v>6675</v>
      </c>
      <c r="I1743" s="24" t="s">
        <v>6650</v>
      </c>
      <c r="J1743" s="24">
        <v>0.0</v>
      </c>
    </row>
    <row r="1744">
      <c r="A1744" s="24">
        <v>678.0</v>
      </c>
      <c r="B1744" s="24">
        <v>4.0</v>
      </c>
      <c r="C1744" s="44">
        <v>12.66</v>
      </c>
      <c r="D1744" s="46">
        <v>44844.0</v>
      </c>
      <c r="E1744" s="24">
        <v>3.16</v>
      </c>
      <c r="F1744" s="24">
        <v>18.67</v>
      </c>
      <c r="G1744" s="24">
        <v>0.59</v>
      </c>
      <c r="H1744" s="24" t="s">
        <v>6677</v>
      </c>
      <c r="I1744" s="24">
        <v>4.22</v>
      </c>
      <c r="J1744" s="24">
        <v>0.0</v>
      </c>
    </row>
    <row r="1745">
      <c r="A1745" s="24">
        <v>261.0</v>
      </c>
      <c r="B1745" s="24">
        <v>0.0</v>
      </c>
      <c r="C1745" s="44">
        <v>11.85</v>
      </c>
      <c r="D1745" s="46">
        <v>44844.0</v>
      </c>
      <c r="E1745" s="24" t="s">
        <v>6650</v>
      </c>
      <c r="F1745" s="24">
        <v>45.4</v>
      </c>
      <c r="G1745" s="24">
        <v>0.0</v>
      </c>
      <c r="H1745" s="24" t="s">
        <v>6680</v>
      </c>
      <c r="I1745" s="24" t="s">
        <v>6650</v>
      </c>
      <c r="J1745" s="24">
        <v>0.0</v>
      </c>
    </row>
    <row r="1746">
      <c r="A1746" s="24">
        <v>315.0</v>
      </c>
      <c r="B1746" s="24">
        <v>6.0</v>
      </c>
      <c r="C1746" s="44">
        <v>11.84</v>
      </c>
      <c r="D1746" s="46">
        <v>44844.0</v>
      </c>
      <c r="E1746" s="24">
        <v>1.97</v>
      </c>
      <c r="F1746" s="24">
        <v>37.59</v>
      </c>
      <c r="G1746" s="24">
        <v>1.9</v>
      </c>
      <c r="H1746" s="24" t="s">
        <v>6674</v>
      </c>
      <c r="I1746" s="24">
        <v>11.84</v>
      </c>
      <c r="J1746" s="24">
        <v>0.0</v>
      </c>
    </row>
    <row r="1747">
      <c r="A1747" s="24">
        <v>474.0</v>
      </c>
      <c r="B1747" s="24">
        <v>7.0</v>
      </c>
      <c r="C1747" s="44">
        <v>12.98</v>
      </c>
      <c r="D1747" s="46">
        <v>44845.0</v>
      </c>
      <c r="E1747" s="24">
        <v>1.85</v>
      </c>
      <c r="F1747" s="24">
        <v>27.38</v>
      </c>
      <c r="G1747" s="24">
        <v>1.48</v>
      </c>
      <c r="H1747" s="24" t="s">
        <v>6674</v>
      </c>
      <c r="I1747" s="24">
        <v>6.49</v>
      </c>
      <c r="J1747" s="24">
        <v>0.0</v>
      </c>
    </row>
    <row r="1748">
      <c r="A1748" s="24">
        <v>825.0</v>
      </c>
      <c r="B1748" s="24">
        <v>2.0</v>
      </c>
      <c r="C1748" s="44">
        <v>14.43</v>
      </c>
      <c r="D1748" s="46">
        <v>44845.0</v>
      </c>
      <c r="E1748" s="24">
        <v>7.22</v>
      </c>
      <c r="F1748" s="24">
        <v>17.49</v>
      </c>
      <c r="G1748" s="24">
        <v>0.24</v>
      </c>
      <c r="H1748" s="24" t="s">
        <v>6676</v>
      </c>
      <c r="I1748" s="24">
        <v>7.22</v>
      </c>
      <c r="J1748" s="24">
        <v>0.0</v>
      </c>
    </row>
    <row r="1749">
      <c r="A1749" s="24">
        <v>932.0</v>
      </c>
      <c r="B1749" s="24">
        <v>2.0</v>
      </c>
      <c r="C1749" s="44">
        <v>13.55</v>
      </c>
      <c r="D1749" s="46">
        <v>44845.0</v>
      </c>
      <c r="E1749" s="24">
        <v>6.78</v>
      </c>
      <c r="F1749" s="24">
        <v>14.54</v>
      </c>
      <c r="G1749" s="24">
        <v>0.21</v>
      </c>
      <c r="H1749" s="24" t="s">
        <v>6675</v>
      </c>
      <c r="I1749" s="24" t="s">
        <v>6650</v>
      </c>
      <c r="J1749" s="24">
        <v>0.0</v>
      </c>
    </row>
    <row r="1750">
      <c r="A1750" s="24">
        <v>321.0</v>
      </c>
      <c r="B1750" s="24">
        <v>1.0</v>
      </c>
      <c r="C1750" s="44">
        <v>12.76</v>
      </c>
      <c r="D1750" s="46">
        <v>44845.0</v>
      </c>
      <c r="E1750" s="24">
        <v>12.76</v>
      </c>
      <c r="F1750" s="24">
        <v>39.75</v>
      </c>
      <c r="G1750" s="24">
        <v>0.31</v>
      </c>
      <c r="H1750" s="24" t="s">
        <v>6680</v>
      </c>
      <c r="I1750" s="24">
        <v>12.76</v>
      </c>
      <c r="J1750" s="24">
        <v>0.0</v>
      </c>
    </row>
    <row r="1751">
      <c r="A1751" s="24">
        <v>662.0</v>
      </c>
      <c r="B1751" s="24">
        <v>3.0</v>
      </c>
      <c r="C1751" s="44">
        <v>13.25</v>
      </c>
      <c r="D1751" s="46">
        <v>44845.0</v>
      </c>
      <c r="E1751" s="24">
        <v>4.42</v>
      </c>
      <c r="F1751" s="24">
        <v>20.02</v>
      </c>
      <c r="G1751" s="24">
        <v>0.45</v>
      </c>
      <c r="H1751" s="24" t="s">
        <v>6677</v>
      </c>
      <c r="I1751" s="24">
        <v>13.25</v>
      </c>
      <c r="J1751" s="24">
        <v>0.0</v>
      </c>
    </row>
    <row r="1752">
      <c r="A1752" s="24">
        <v>1912.0</v>
      </c>
      <c r="B1752" s="24">
        <v>0.0</v>
      </c>
      <c r="C1752" s="44">
        <v>16.45</v>
      </c>
      <c r="D1752" s="46">
        <v>44845.0</v>
      </c>
      <c r="E1752" s="24" t="s">
        <v>6650</v>
      </c>
      <c r="F1752" s="24">
        <v>8.6</v>
      </c>
      <c r="G1752" s="24">
        <v>0.0</v>
      </c>
      <c r="H1752" s="24" t="s">
        <v>6673</v>
      </c>
      <c r="I1752" s="24" t="s">
        <v>6650</v>
      </c>
      <c r="J1752" s="24">
        <v>0.0</v>
      </c>
    </row>
    <row r="1753">
      <c r="A1753" s="24">
        <v>640.0</v>
      </c>
      <c r="B1753" s="24">
        <v>6.0</v>
      </c>
      <c r="C1753" s="44">
        <v>12.88</v>
      </c>
      <c r="D1753" s="46">
        <v>44846.0</v>
      </c>
      <c r="E1753" s="24">
        <v>2.15</v>
      </c>
      <c r="F1753" s="24">
        <v>20.12</v>
      </c>
      <c r="G1753" s="24">
        <v>0.94</v>
      </c>
      <c r="H1753" s="24" t="s">
        <v>6677</v>
      </c>
      <c r="I1753" s="24">
        <v>6.44</v>
      </c>
      <c r="J1753" s="24">
        <v>0.0</v>
      </c>
    </row>
    <row r="1754">
      <c r="A1754" s="24">
        <v>295.0</v>
      </c>
      <c r="B1754" s="24">
        <v>3.0</v>
      </c>
      <c r="C1754" s="44">
        <v>12.35</v>
      </c>
      <c r="D1754" s="46">
        <v>44846.0</v>
      </c>
      <c r="E1754" s="24">
        <v>4.12</v>
      </c>
      <c r="F1754" s="24">
        <v>41.86</v>
      </c>
      <c r="G1754" s="24">
        <v>1.02</v>
      </c>
      <c r="H1754" s="24" t="s">
        <v>6680</v>
      </c>
      <c r="I1754" s="24">
        <v>12.35</v>
      </c>
      <c r="J1754" s="24">
        <v>0.0</v>
      </c>
    </row>
    <row r="1755">
      <c r="A1755" s="24">
        <v>1065.0</v>
      </c>
      <c r="B1755" s="24">
        <v>8.0</v>
      </c>
      <c r="C1755" s="44">
        <v>13.31</v>
      </c>
      <c r="D1755" s="46">
        <v>44846.0</v>
      </c>
      <c r="E1755" s="24">
        <v>1.66</v>
      </c>
      <c r="F1755" s="24">
        <v>12.5</v>
      </c>
      <c r="G1755" s="24">
        <v>0.75</v>
      </c>
      <c r="H1755" s="24" t="s">
        <v>6675</v>
      </c>
      <c r="I1755" s="24">
        <v>6.66</v>
      </c>
      <c r="J1755" s="24">
        <v>0.0</v>
      </c>
    </row>
    <row r="1756">
      <c r="A1756" s="24">
        <v>1020.0</v>
      </c>
      <c r="B1756" s="24">
        <v>3.0</v>
      </c>
      <c r="C1756" s="44">
        <v>15.55</v>
      </c>
      <c r="D1756" s="46">
        <v>44846.0</v>
      </c>
      <c r="E1756" s="24">
        <v>5.18</v>
      </c>
      <c r="F1756" s="24">
        <v>15.25</v>
      </c>
      <c r="G1756" s="24">
        <v>0.29</v>
      </c>
      <c r="H1756" s="24" t="s">
        <v>6673</v>
      </c>
      <c r="I1756" s="24">
        <v>15.55</v>
      </c>
      <c r="J1756" s="24">
        <v>0.0</v>
      </c>
    </row>
    <row r="1757">
      <c r="A1757" s="24">
        <v>516.0</v>
      </c>
      <c r="B1757" s="24">
        <v>0.0</v>
      </c>
      <c r="C1757" s="44">
        <v>13.3</v>
      </c>
      <c r="D1757" s="46">
        <v>44846.0</v>
      </c>
      <c r="E1757" s="24" t="s">
        <v>6650</v>
      </c>
      <c r="F1757" s="24">
        <v>25.78</v>
      </c>
      <c r="G1757" s="24">
        <v>0.0</v>
      </c>
      <c r="H1757" s="24" t="s">
        <v>6676</v>
      </c>
      <c r="I1757" s="24" t="s">
        <v>6650</v>
      </c>
      <c r="J1757" s="24">
        <v>0.0</v>
      </c>
    </row>
    <row r="1758">
      <c r="A1758" s="24">
        <v>414.0</v>
      </c>
      <c r="B1758" s="24">
        <v>3.0</v>
      </c>
      <c r="C1758" s="44">
        <v>12.77</v>
      </c>
      <c r="D1758" s="46">
        <v>44846.0</v>
      </c>
      <c r="E1758" s="24">
        <v>4.26</v>
      </c>
      <c r="F1758" s="24">
        <v>30.85</v>
      </c>
      <c r="G1758" s="24">
        <v>0.72</v>
      </c>
      <c r="H1758" s="24" t="s">
        <v>6674</v>
      </c>
      <c r="I1758" s="24">
        <v>4.26</v>
      </c>
      <c r="J1758" s="24">
        <v>0.0</v>
      </c>
    </row>
    <row r="1759">
      <c r="A1759" s="24">
        <v>72.0</v>
      </c>
      <c r="B1759" s="24">
        <v>0.0</v>
      </c>
      <c r="C1759" s="44">
        <v>5.48</v>
      </c>
      <c r="D1759" s="46">
        <v>44847.0</v>
      </c>
      <c r="E1759" s="24" t="s">
        <v>6650</v>
      </c>
      <c r="F1759" s="24">
        <v>76.11</v>
      </c>
      <c r="G1759" s="24">
        <v>0.0</v>
      </c>
      <c r="H1759" s="24" t="s">
        <v>6676</v>
      </c>
      <c r="I1759" s="24" t="s">
        <v>6650</v>
      </c>
      <c r="J1759" s="24">
        <v>0.0</v>
      </c>
    </row>
    <row r="1760">
      <c r="A1760" s="24">
        <v>82.0</v>
      </c>
      <c r="B1760" s="24">
        <v>0.0</v>
      </c>
      <c r="C1760" s="44">
        <v>0.9</v>
      </c>
      <c r="D1760" s="46">
        <v>44847.0</v>
      </c>
      <c r="E1760" s="24" t="s">
        <v>6650</v>
      </c>
      <c r="F1760" s="24">
        <v>10.98</v>
      </c>
      <c r="G1760" s="24">
        <v>0.0</v>
      </c>
      <c r="H1760" s="24" t="s">
        <v>6673</v>
      </c>
      <c r="I1760" s="24" t="s">
        <v>6650</v>
      </c>
      <c r="J1760" s="24">
        <v>0.0</v>
      </c>
    </row>
    <row r="1761">
      <c r="A1761" s="24">
        <v>282.0</v>
      </c>
      <c r="B1761" s="24">
        <v>1.0</v>
      </c>
      <c r="C1761" s="44">
        <v>6.15</v>
      </c>
      <c r="D1761" s="46">
        <v>44847.0</v>
      </c>
      <c r="E1761" s="24">
        <v>6.15</v>
      </c>
      <c r="F1761" s="24">
        <v>21.81</v>
      </c>
      <c r="G1761" s="24">
        <v>0.35</v>
      </c>
      <c r="H1761" s="24" t="s">
        <v>6677</v>
      </c>
      <c r="I1761" s="24" t="s">
        <v>6650</v>
      </c>
      <c r="J1761" s="24">
        <v>0.0</v>
      </c>
    </row>
    <row r="1762">
      <c r="A1762" s="24">
        <v>259.0</v>
      </c>
      <c r="B1762" s="24">
        <v>2.0</v>
      </c>
      <c r="C1762" s="44">
        <v>6.16</v>
      </c>
      <c r="D1762" s="46">
        <v>44847.0</v>
      </c>
      <c r="E1762" s="24">
        <v>3.08</v>
      </c>
      <c r="F1762" s="24">
        <v>23.78</v>
      </c>
      <c r="G1762" s="24">
        <v>0.77</v>
      </c>
      <c r="H1762" s="24" t="s">
        <v>6674</v>
      </c>
      <c r="I1762" s="24">
        <v>6.16</v>
      </c>
      <c r="J1762" s="24">
        <v>0.0</v>
      </c>
    </row>
    <row r="1763">
      <c r="A1763" s="24">
        <v>332.0</v>
      </c>
      <c r="B1763" s="24">
        <v>2.0</v>
      </c>
      <c r="C1763" s="44">
        <v>7.34</v>
      </c>
      <c r="D1763" s="46">
        <v>44847.0</v>
      </c>
      <c r="E1763" s="24">
        <v>3.67</v>
      </c>
      <c r="F1763" s="24">
        <v>22.11</v>
      </c>
      <c r="G1763" s="24">
        <v>0.6</v>
      </c>
      <c r="H1763" s="24" t="s">
        <v>6675</v>
      </c>
      <c r="I1763" s="24" t="s">
        <v>6650</v>
      </c>
      <c r="J1763" s="24">
        <v>0.0</v>
      </c>
    </row>
    <row r="1764">
      <c r="A1764" s="24">
        <v>134.0</v>
      </c>
      <c r="B1764" s="24">
        <v>0.0</v>
      </c>
      <c r="C1764" s="44">
        <v>3.57</v>
      </c>
      <c r="D1764" s="46">
        <v>44847.0</v>
      </c>
      <c r="E1764" s="24" t="s">
        <v>6650</v>
      </c>
      <c r="F1764" s="24">
        <v>26.64</v>
      </c>
      <c r="G1764" s="24">
        <v>0.0</v>
      </c>
      <c r="H1764" s="24" t="s">
        <v>6680</v>
      </c>
      <c r="I1764" s="24" t="s">
        <v>6650</v>
      </c>
      <c r="J1764" s="24">
        <v>0.0</v>
      </c>
    </row>
    <row r="1765">
      <c r="A1765" s="24">
        <v>0.0</v>
      </c>
      <c r="B1765" s="24">
        <v>0.0</v>
      </c>
      <c r="C1765" s="34"/>
      <c r="D1765" s="46">
        <v>44852.0</v>
      </c>
      <c r="E1765" s="24" t="s">
        <v>6650</v>
      </c>
      <c r="F1765" s="24" t="s">
        <v>6650</v>
      </c>
      <c r="G1765" s="24" t="s">
        <v>6650</v>
      </c>
      <c r="H1765" s="24" t="s">
        <v>6677</v>
      </c>
      <c r="I1765" s="24" t="s">
        <v>6650</v>
      </c>
      <c r="J1765" s="34"/>
    </row>
    <row r="1766">
      <c r="A1766" s="24">
        <v>647.0</v>
      </c>
      <c r="B1766" s="24">
        <v>6.0</v>
      </c>
      <c r="C1766" s="44">
        <v>16.5</v>
      </c>
      <c r="D1766" s="46">
        <v>44882.0</v>
      </c>
      <c r="E1766" s="24">
        <v>2.75</v>
      </c>
      <c r="F1766" s="24">
        <v>25.5</v>
      </c>
      <c r="G1766" s="24">
        <v>0.93</v>
      </c>
      <c r="H1766" s="24" t="s">
        <v>6680</v>
      </c>
      <c r="I1766" s="24" t="s">
        <v>6650</v>
      </c>
      <c r="J1766" s="24">
        <v>0.0</v>
      </c>
    </row>
    <row r="1767">
      <c r="A1767" s="24">
        <v>674.0</v>
      </c>
      <c r="B1767" s="24">
        <v>6.0</v>
      </c>
      <c r="C1767" s="44">
        <v>16.5</v>
      </c>
      <c r="D1767" s="46">
        <v>44883.0</v>
      </c>
      <c r="E1767" s="24">
        <v>2.75</v>
      </c>
      <c r="F1767" s="24">
        <v>24.48</v>
      </c>
      <c r="G1767" s="24">
        <v>0.89</v>
      </c>
      <c r="H1767" s="24" t="s">
        <v>6680</v>
      </c>
      <c r="I1767" s="24" t="s">
        <v>6650</v>
      </c>
      <c r="J1767" s="24">
        <v>0.0</v>
      </c>
    </row>
    <row r="1768">
      <c r="A1768" s="24">
        <v>628.0</v>
      </c>
      <c r="B1768" s="24">
        <v>3.0</v>
      </c>
      <c r="C1768" s="44">
        <v>16.5</v>
      </c>
      <c r="D1768" s="46">
        <v>44884.0</v>
      </c>
      <c r="E1768" s="24">
        <v>5.5</v>
      </c>
      <c r="F1768" s="24">
        <v>26.27</v>
      </c>
      <c r="G1768" s="24">
        <v>0.48</v>
      </c>
      <c r="H1768" s="24" t="s">
        <v>6680</v>
      </c>
      <c r="I1768" s="24" t="s">
        <v>6650</v>
      </c>
      <c r="J1768" s="24">
        <v>0.0</v>
      </c>
    </row>
    <row r="1769">
      <c r="A1769" s="24">
        <v>776.0</v>
      </c>
      <c r="B1769" s="24">
        <v>6.0</v>
      </c>
      <c r="C1769" s="44">
        <v>16.5</v>
      </c>
      <c r="D1769" s="46">
        <v>44885.0</v>
      </c>
      <c r="E1769" s="24">
        <v>2.75</v>
      </c>
      <c r="F1769" s="24">
        <v>21.26</v>
      </c>
      <c r="G1769" s="24">
        <v>0.77</v>
      </c>
      <c r="H1769" s="24" t="s">
        <v>6680</v>
      </c>
      <c r="I1769" s="24" t="s">
        <v>6650</v>
      </c>
      <c r="J1769" s="24">
        <v>0.0</v>
      </c>
    </row>
    <row r="1770">
      <c r="A1770" s="24">
        <v>559.0</v>
      </c>
      <c r="B1770" s="24">
        <v>0.0</v>
      </c>
      <c r="C1770" s="44">
        <v>12.72</v>
      </c>
      <c r="D1770" s="46">
        <v>44886.0</v>
      </c>
      <c r="E1770" s="24" t="s">
        <v>6650</v>
      </c>
      <c r="F1770" s="24">
        <v>22.75</v>
      </c>
      <c r="G1770" s="24">
        <v>0.0</v>
      </c>
      <c r="H1770" s="24" t="s">
        <v>6680</v>
      </c>
      <c r="I1770" s="24">
        <v>12.72</v>
      </c>
      <c r="J1770" s="24">
        <v>0.0</v>
      </c>
    </row>
    <row r="1771">
      <c r="A1771" s="24">
        <v>989.0</v>
      </c>
      <c r="B1771" s="24">
        <v>2.0</v>
      </c>
      <c r="C1771" s="44">
        <v>22.44</v>
      </c>
      <c r="D1771" s="46">
        <v>44887.0</v>
      </c>
      <c r="E1771" s="24">
        <v>11.22</v>
      </c>
      <c r="F1771" s="24">
        <v>22.69</v>
      </c>
      <c r="G1771" s="24">
        <v>0.2</v>
      </c>
      <c r="H1771" s="24" t="s">
        <v>6673</v>
      </c>
      <c r="I1771" s="24" t="s">
        <v>6650</v>
      </c>
      <c r="J1771" s="24">
        <v>0.0</v>
      </c>
    </row>
    <row r="1772">
      <c r="A1772" s="24">
        <v>655.0</v>
      </c>
      <c r="B1772" s="24">
        <v>2.0</v>
      </c>
      <c r="C1772" s="44">
        <v>13.74</v>
      </c>
      <c r="D1772" s="46">
        <v>44887.0</v>
      </c>
      <c r="E1772" s="24">
        <v>6.87</v>
      </c>
      <c r="F1772" s="24">
        <v>20.98</v>
      </c>
      <c r="G1772" s="24">
        <v>0.31</v>
      </c>
      <c r="H1772" s="24" t="s">
        <v>6680</v>
      </c>
      <c r="I1772" s="24">
        <v>13.74</v>
      </c>
      <c r="J1772" s="24">
        <v>0.0</v>
      </c>
    </row>
    <row r="1773">
      <c r="A1773" s="24">
        <v>266.0</v>
      </c>
      <c r="B1773" s="24">
        <v>2.0</v>
      </c>
      <c r="C1773" s="44">
        <v>11.97</v>
      </c>
      <c r="D1773" s="46">
        <v>44887.0</v>
      </c>
      <c r="E1773" s="24">
        <v>5.98</v>
      </c>
      <c r="F1773" s="24">
        <v>45.0</v>
      </c>
      <c r="G1773" s="24">
        <v>0.75</v>
      </c>
      <c r="H1773" s="24" t="s">
        <v>6676</v>
      </c>
      <c r="I1773" s="24" t="s">
        <v>6650</v>
      </c>
      <c r="J1773" s="24">
        <v>0.0</v>
      </c>
    </row>
    <row r="1774">
      <c r="A1774" s="24">
        <v>664.0</v>
      </c>
      <c r="B1774" s="24">
        <v>5.0</v>
      </c>
      <c r="C1774" s="44">
        <v>16.5</v>
      </c>
      <c r="D1774" s="46">
        <v>44888.0</v>
      </c>
      <c r="E1774" s="24">
        <v>3.3</v>
      </c>
      <c r="F1774" s="24">
        <v>24.85</v>
      </c>
      <c r="G1774" s="24">
        <v>0.75</v>
      </c>
      <c r="H1774" s="24" t="s">
        <v>6677</v>
      </c>
      <c r="I1774" s="24">
        <v>16.5</v>
      </c>
      <c r="J1774" s="24">
        <v>0.0</v>
      </c>
    </row>
    <row r="1775">
      <c r="A1775" s="24">
        <v>172.0</v>
      </c>
      <c r="B1775" s="24">
        <v>1.0</v>
      </c>
      <c r="C1775" s="44">
        <v>11.71</v>
      </c>
      <c r="D1775" s="46">
        <v>44888.0</v>
      </c>
      <c r="E1775" s="24">
        <v>11.71</v>
      </c>
      <c r="F1775" s="24">
        <v>68.08</v>
      </c>
      <c r="G1775" s="24">
        <v>0.58</v>
      </c>
      <c r="H1775" s="24" t="s">
        <v>6676</v>
      </c>
      <c r="I1775" s="24" t="s">
        <v>6650</v>
      </c>
      <c r="J1775" s="24">
        <v>0.0</v>
      </c>
    </row>
    <row r="1776">
      <c r="A1776" s="24">
        <v>1168.0</v>
      </c>
      <c r="B1776" s="24">
        <v>9.0</v>
      </c>
      <c r="C1776" s="44">
        <v>15.42</v>
      </c>
      <c r="D1776" s="46">
        <v>44888.0</v>
      </c>
      <c r="E1776" s="24">
        <v>1.71</v>
      </c>
      <c r="F1776" s="24">
        <v>13.2</v>
      </c>
      <c r="G1776" s="24">
        <v>0.77</v>
      </c>
      <c r="H1776" s="24" t="s">
        <v>6675</v>
      </c>
      <c r="I1776" s="24" t="s">
        <v>6650</v>
      </c>
      <c r="J1776" s="24">
        <v>0.0</v>
      </c>
    </row>
    <row r="1777">
      <c r="A1777" s="24">
        <v>899.0</v>
      </c>
      <c r="B1777" s="24">
        <v>7.0</v>
      </c>
      <c r="C1777" s="44">
        <v>13.51</v>
      </c>
      <c r="D1777" s="46">
        <v>44888.0</v>
      </c>
      <c r="E1777" s="24">
        <v>1.93</v>
      </c>
      <c r="F1777" s="24">
        <v>15.03</v>
      </c>
      <c r="G1777" s="24">
        <v>0.78</v>
      </c>
      <c r="H1777" s="24" t="s">
        <v>6680</v>
      </c>
      <c r="I1777" s="24" t="s">
        <v>6650</v>
      </c>
      <c r="J1777" s="24">
        <v>0.0</v>
      </c>
    </row>
    <row r="1778">
      <c r="A1778" s="24">
        <v>671.0</v>
      </c>
      <c r="B1778" s="24">
        <v>1.0</v>
      </c>
      <c r="C1778" s="44">
        <v>21.8</v>
      </c>
      <c r="D1778" s="46">
        <v>44888.0</v>
      </c>
      <c r="E1778" s="24">
        <v>21.8</v>
      </c>
      <c r="F1778" s="24">
        <v>32.49</v>
      </c>
      <c r="G1778" s="24">
        <v>0.15</v>
      </c>
      <c r="H1778" s="24" t="s">
        <v>6673</v>
      </c>
      <c r="I1778" s="24" t="s">
        <v>6650</v>
      </c>
      <c r="J1778" s="24">
        <v>0.0</v>
      </c>
    </row>
    <row r="1779">
      <c r="A1779" s="24">
        <v>127.0</v>
      </c>
      <c r="B1779" s="24">
        <v>1.0</v>
      </c>
      <c r="C1779" s="44">
        <v>9.95</v>
      </c>
      <c r="D1779" s="46">
        <v>44889.0</v>
      </c>
      <c r="E1779" s="24">
        <v>9.95</v>
      </c>
      <c r="F1779" s="24">
        <v>78.35</v>
      </c>
      <c r="G1779" s="24">
        <v>0.79</v>
      </c>
      <c r="H1779" s="24" t="s">
        <v>6676</v>
      </c>
      <c r="I1779" s="24" t="s">
        <v>6650</v>
      </c>
      <c r="J1779" s="24">
        <v>0.0</v>
      </c>
    </row>
    <row r="1780">
      <c r="A1780" s="24">
        <v>1185.0</v>
      </c>
      <c r="B1780" s="24">
        <v>4.0</v>
      </c>
      <c r="C1780" s="44">
        <v>16.31</v>
      </c>
      <c r="D1780" s="46">
        <v>44889.0</v>
      </c>
      <c r="E1780" s="24">
        <v>4.08</v>
      </c>
      <c r="F1780" s="24">
        <v>13.76</v>
      </c>
      <c r="G1780" s="24">
        <v>0.34</v>
      </c>
      <c r="H1780" s="24" t="s">
        <v>6675</v>
      </c>
      <c r="I1780" s="24">
        <v>16.31</v>
      </c>
      <c r="J1780" s="24">
        <v>0.0</v>
      </c>
    </row>
    <row r="1781">
      <c r="A1781" s="24">
        <v>844.0</v>
      </c>
      <c r="B1781" s="24">
        <v>3.0</v>
      </c>
      <c r="C1781" s="44">
        <v>13.09</v>
      </c>
      <c r="D1781" s="46">
        <v>44889.0</v>
      </c>
      <c r="E1781" s="24">
        <v>4.36</v>
      </c>
      <c r="F1781" s="24">
        <v>15.51</v>
      </c>
      <c r="G1781" s="24">
        <v>0.36</v>
      </c>
      <c r="H1781" s="24" t="s">
        <v>6680</v>
      </c>
      <c r="I1781" s="24" t="s">
        <v>6650</v>
      </c>
      <c r="J1781" s="24">
        <v>0.0</v>
      </c>
    </row>
    <row r="1782">
      <c r="A1782" s="24">
        <v>253.0</v>
      </c>
      <c r="B1782" s="24">
        <v>0.0</v>
      </c>
      <c r="C1782" s="44">
        <v>22.15</v>
      </c>
      <c r="D1782" s="46">
        <v>44889.0</v>
      </c>
      <c r="E1782" s="24" t="s">
        <v>6650</v>
      </c>
      <c r="F1782" s="24">
        <v>87.55</v>
      </c>
      <c r="G1782" s="24">
        <v>0.0</v>
      </c>
      <c r="H1782" s="24" t="s">
        <v>6673</v>
      </c>
      <c r="I1782" s="24" t="s">
        <v>6650</v>
      </c>
      <c r="J1782" s="24">
        <v>0.0</v>
      </c>
    </row>
    <row r="1783">
      <c r="A1783" s="24">
        <v>578.0</v>
      </c>
      <c r="B1783" s="24">
        <v>8.0</v>
      </c>
      <c r="C1783" s="44">
        <v>16.5</v>
      </c>
      <c r="D1783" s="46">
        <v>44889.0</v>
      </c>
      <c r="E1783" s="24">
        <v>2.06</v>
      </c>
      <c r="F1783" s="24">
        <v>28.55</v>
      </c>
      <c r="G1783" s="24">
        <v>1.38</v>
      </c>
      <c r="H1783" s="24" t="s">
        <v>6677</v>
      </c>
      <c r="I1783" s="24">
        <v>8.25</v>
      </c>
      <c r="J1783" s="24">
        <v>0.0</v>
      </c>
    </row>
    <row r="1784">
      <c r="A1784" s="24">
        <v>112.0</v>
      </c>
      <c r="B1784" s="24">
        <v>0.0</v>
      </c>
      <c r="C1784" s="44">
        <v>14.1</v>
      </c>
      <c r="D1784" s="46">
        <v>44890.0</v>
      </c>
      <c r="E1784" s="24" t="s">
        <v>6650</v>
      </c>
      <c r="F1784" s="24">
        <v>125.89</v>
      </c>
      <c r="G1784" s="24">
        <v>0.0</v>
      </c>
      <c r="H1784" s="24" t="s">
        <v>6676</v>
      </c>
      <c r="I1784" s="24" t="s">
        <v>6650</v>
      </c>
      <c r="J1784" s="24">
        <v>0.0</v>
      </c>
    </row>
    <row r="1785">
      <c r="A1785" s="24">
        <v>492.0</v>
      </c>
      <c r="B1785" s="24">
        <v>5.0</v>
      </c>
      <c r="C1785" s="44">
        <v>16.5</v>
      </c>
      <c r="D1785" s="46">
        <v>44890.0</v>
      </c>
      <c r="E1785" s="24">
        <v>3.3</v>
      </c>
      <c r="F1785" s="24">
        <v>33.54</v>
      </c>
      <c r="G1785" s="24">
        <v>1.02</v>
      </c>
      <c r="H1785" s="24" t="s">
        <v>6677</v>
      </c>
      <c r="I1785" s="24" t="s">
        <v>6650</v>
      </c>
      <c r="J1785" s="24">
        <v>0.0</v>
      </c>
    </row>
    <row r="1786">
      <c r="A1786" s="24">
        <v>241.0</v>
      </c>
      <c r="B1786" s="24">
        <v>0.0</v>
      </c>
      <c r="C1786" s="44">
        <v>24.46</v>
      </c>
      <c r="D1786" s="46">
        <v>44890.0</v>
      </c>
      <c r="E1786" s="24" t="s">
        <v>6650</v>
      </c>
      <c r="F1786" s="24">
        <v>101.49</v>
      </c>
      <c r="G1786" s="24">
        <v>0.0</v>
      </c>
      <c r="H1786" s="24" t="s">
        <v>6673</v>
      </c>
      <c r="I1786" s="24" t="s">
        <v>6650</v>
      </c>
      <c r="J1786" s="24">
        <v>0.0</v>
      </c>
    </row>
    <row r="1787">
      <c r="A1787" s="24">
        <v>665.0</v>
      </c>
      <c r="B1787" s="24">
        <v>1.0</v>
      </c>
      <c r="C1787" s="44">
        <v>12.78</v>
      </c>
      <c r="D1787" s="46">
        <v>44890.0</v>
      </c>
      <c r="E1787" s="24">
        <v>12.78</v>
      </c>
      <c r="F1787" s="24">
        <v>19.22</v>
      </c>
      <c r="G1787" s="24">
        <v>0.15</v>
      </c>
      <c r="H1787" s="24" t="s">
        <v>6680</v>
      </c>
      <c r="I1787" s="24">
        <v>12.78</v>
      </c>
      <c r="J1787" s="24">
        <v>0.0</v>
      </c>
    </row>
    <row r="1788">
      <c r="A1788" s="24">
        <v>421.0</v>
      </c>
      <c r="B1788" s="24">
        <v>1.0</v>
      </c>
      <c r="C1788" s="44">
        <v>15.08</v>
      </c>
      <c r="D1788" s="46">
        <v>44890.0</v>
      </c>
      <c r="E1788" s="24">
        <v>15.08</v>
      </c>
      <c r="F1788" s="24">
        <v>35.82</v>
      </c>
      <c r="G1788" s="24">
        <v>0.24</v>
      </c>
      <c r="H1788" s="24" t="s">
        <v>6675</v>
      </c>
      <c r="I1788" s="24" t="s">
        <v>6650</v>
      </c>
      <c r="J1788" s="24">
        <v>0.0</v>
      </c>
    </row>
    <row r="1789">
      <c r="A1789" s="24">
        <v>220.0</v>
      </c>
      <c r="B1789" s="24">
        <v>1.0</v>
      </c>
      <c r="C1789" s="44">
        <v>12.38</v>
      </c>
      <c r="D1789" s="46">
        <v>44891.0</v>
      </c>
      <c r="E1789" s="24">
        <v>12.38</v>
      </c>
      <c r="F1789" s="24">
        <v>56.27</v>
      </c>
      <c r="G1789" s="24">
        <v>0.45</v>
      </c>
      <c r="H1789" s="24" t="s">
        <v>6673</v>
      </c>
      <c r="I1789" s="24" t="s">
        <v>6650</v>
      </c>
      <c r="J1789" s="24">
        <v>0.0</v>
      </c>
    </row>
    <row r="1790">
      <c r="A1790" s="24">
        <v>451.0</v>
      </c>
      <c r="B1790" s="24">
        <v>7.0</v>
      </c>
      <c r="C1790" s="44">
        <v>9.56</v>
      </c>
      <c r="D1790" s="46">
        <v>44891.0</v>
      </c>
      <c r="E1790" s="24">
        <v>1.37</v>
      </c>
      <c r="F1790" s="24">
        <v>21.2</v>
      </c>
      <c r="G1790" s="24">
        <v>1.55</v>
      </c>
      <c r="H1790" s="24" t="s">
        <v>6675</v>
      </c>
      <c r="I1790" s="24">
        <v>4.78</v>
      </c>
      <c r="J1790" s="24">
        <v>0.0</v>
      </c>
    </row>
    <row r="1791">
      <c r="A1791" s="24">
        <v>443.0</v>
      </c>
      <c r="B1791" s="24">
        <v>4.0</v>
      </c>
      <c r="C1791" s="44">
        <v>13.84</v>
      </c>
      <c r="D1791" s="46">
        <v>44891.0</v>
      </c>
      <c r="E1791" s="24">
        <v>3.46</v>
      </c>
      <c r="F1791" s="24">
        <v>31.24</v>
      </c>
      <c r="G1791" s="24">
        <v>0.9</v>
      </c>
      <c r="H1791" s="24" t="s">
        <v>6677</v>
      </c>
      <c r="I1791" s="24" t="s">
        <v>6650</v>
      </c>
      <c r="J1791" s="24">
        <v>0.0</v>
      </c>
    </row>
    <row r="1792">
      <c r="A1792" s="24">
        <v>82.0</v>
      </c>
      <c r="B1792" s="24">
        <v>1.0</v>
      </c>
      <c r="C1792" s="44">
        <v>6.93</v>
      </c>
      <c r="D1792" s="46">
        <v>44891.0</v>
      </c>
      <c r="E1792" s="24">
        <v>6.93</v>
      </c>
      <c r="F1792" s="24">
        <v>84.51</v>
      </c>
      <c r="G1792" s="24">
        <v>1.22</v>
      </c>
      <c r="H1792" s="24" t="s">
        <v>6676</v>
      </c>
      <c r="I1792" s="24" t="s">
        <v>6650</v>
      </c>
      <c r="J1792" s="24">
        <v>0.0</v>
      </c>
    </row>
    <row r="1793">
      <c r="A1793" s="24">
        <v>501.0</v>
      </c>
      <c r="B1793" s="24">
        <v>2.0</v>
      </c>
      <c r="C1793" s="44">
        <v>5.61</v>
      </c>
      <c r="D1793" s="46">
        <v>44891.0</v>
      </c>
      <c r="E1793" s="24">
        <v>2.8</v>
      </c>
      <c r="F1793" s="24">
        <v>11.2</v>
      </c>
      <c r="G1793" s="24">
        <v>0.4</v>
      </c>
      <c r="H1793" s="24" t="s">
        <v>6680</v>
      </c>
      <c r="I1793" s="24">
        <v>5.61</v>
      </c>
      <c r="J1793" s="24">
        <v>0.0</v>
      </c>
    </row>
    <row r="1794">
      <c r="A1794" s="24">
        <v>77.0</v>
      </c>
      <c r="B1794" s="24">
        <v>0.0</v>
      </c>
      <c r="C1794" s="44">
        <v>5.34</v>
      </c>
      <c r="D1794" s="46">
        <v>44892.0</v>
      </c>
      <c r="E1794" s="24" t="s">
        <v>6650</v>
      </c>
      <c r="F1794" s="24">
        <v>69.35</v>
      </c>
      <c r="G1794" s="24">
        <v>0.0</v>
      </c>
      <c r="H1794" s="24" t="s">
        <v>6676</v>
      </c>
      <c r="I1794" s="24" t="s">
        <v>6650</v>
      </c>
      <c r="J1794" s="24">
        <v>0.0</v>
      </c>
    </row>
    <row r="1795">
      <c r="A1795" s="24">
        <v>198.0</v>
      </c>
      <c r="B1795" s="24">
        <v>2.0</v>
      </c>
      <c r="C1795" s="44">
        <v>9.63</v>
      </c>
      <c r="D1795" s="46">
        <v>44892.0</v>
      </c>
      <c r="E1795" s="24">
        <v>4.82</v>
      </c>
      <c r="F1795" s="24">
        <v>48.64</v>
      </c>
      <c r="G1795" s="24">
        <v>1.01</v>
      </c>
      <c r="H1795" s="24" t="s">
        <v>6675</v>
      </c>
      <c r="I1795" s="24" t="s">
        <v>6650</v>
      </c>
      <c r="J1795" s="24">
        <v>0.0</v>
      </c>
    </row>
    <row r="1796">
      <c r="A1796" s="24">
        <v>283.0</v>
      </c>
      <c r="B1796" s="24">
        <v>6.0</v>
      </c>
      <c r="C1796" s="44">
        <v>13.66</v>
      </c>
      <c r="D1796" s="46">
        <v>44892.0</v>
      </c>
      <c r="E1796" s="24">
        <v>2.28</v>
      </c>
      <c r="F1796" s="24">
        <v>48.27</v>
      </c>
      <c r="G1796" s="24">
        <v>2.12</v>
      </c>
      <c r="H1796" s="24" t="s">
        <v>6677</v>
      </c>
      <c r="I1796" s="24" t="s">
        <v>6650</v>
      </c>
      <c r="J1796" s="24">
        <v>0.0</v>
      </c>
    </row>
    <row r="1797">
      <c r="A1797" s="24">
        <v>118.0</v>
      </c>
      <c r="B1797" s="24">
        <v>0.0</v>
      </c>
      <c r="C1797" s="44">
        <v>10.77</v>
      </c>
      <c r="D1797" s="46">
        <v>44892.0</v>
      </c>
      <c r="E1797" s="24" t="s">
        <v>6650</v>
      </c>
      <c r="F1797" s="24">
        <v>91.27</v>
      </c>
      <c r="G1797" s="24">
        <v>0.0</v>
      </c>
      <c r="H1797" s="24" t="s">
        <v>6673</v>
      </c>
      <c r="I1797" s="24" t="s">
        <v>6650</v>
      </c>
      <c r="J1797" s="24">
        <v>0.0</v>
      </c>
    </row>
    <row r="1798">
      <c r="A1798" s="24">
        <v>350.0</v>
      </c>
      <c r="B1798" s="24">
        <v>1.0</v>
      </c>
      <c r="C1798" s="44">
        <v>5.55</v>
      </c>
      <c r="D1798" s="46">
        <v>44892.0</v>
      </c>
      <c r="E1798" s="24">
        <v>5.55</v>
      </c>
      <c r="F1798" s="24">
        <v>15.86</v>
      </c>
      <c r="G1798" s="24">
        <v>0.29</v>
      </c>
      <c r="H1798" s="24" t="s">
        <v>6680</v>
      </c>
      <c r="I1798" s="24" t="s">
        <v>6650</v>
      </c>
      <c r="J1798" s="24">
        <v>0.0</v>
      </c>
    </row>
    <row r="1799">
      <c r="A1799" s="24">
        <v>440.0</v>
      </c>
      <c r="B1799" s="24">
        <v>1.0</v>
      </c>
      <c r="C1799" s="44">
        <v>12.6</v>
      </c>
      <c r="D1799" s="46">
        <v>44893.0</v>
      </c>
      <c r="E1799" s="24">
        <v>12.6</v>
      </c>
      <c r="F1799" s="24">
        <v>28.64</v>
      </c>
      <c r="G1799" s="24">
        <v>0.23</v>
      </c>
      <c r="H1799" s="24" t="s">
        <v>6677</v>
      </c>
      <c r="I1799" s="24" t="s">
        <v>6650</v>
      </c>
      <c r="J1799" s="24">
        <v>0.0</v>
      </c>
    </row>
    <row r="1800">
      <c r="A1800" s="24">
        <v>639.0</v>
      </c>
      <c r="B1800" s="24">
        <v>4.0</v>
      </c>
      <c r="C1800" s="44">
        <v>12.73</v>
      </c>
      <c r="D1800" s="46">
        <v>44893.0</v>
      </c>
      <c r="E1800" s="24">
        <v>3.18</v>
      </c>
      <c r="F1800" s="24">
        <v>19.92</v>
      </c>
      <c r="G1800" s="24">
        <v>0.63</v>
      </c>
      <c r="H1800" s="24" t="s">
        <v>6675</v>
      </c>
      <c r="I1800" s="24" t="s">
        <v>6650</v>
      </c>
      <c r="J1800" s="24">
        <v>0.0</v>
      </c>
    </row>
    <row r="1801">
      <c r="A1801" s="24">
        <v>101.0</v>
      </c>
      <c r="B1801" s="24">
        <v>0.0</v>
      </c>
      <c r="C1801" s="44">
        <v>23.66</v>
      </c>
      <c r="D1801" s="46">
        <v>44893.0</v>
      </c>
      <c r="E1801" s="24" t="s">
        <v>6650</v>
      </c>
      <c r="F1801" s="24">
        <v>234.26</v>
      </c>
      <c r="G1801" s="24">
        <v>0.0</v>
      </c>
      <c r="H1801" s="24" t="s">
        <v>6673</v>
      </c>
      <c r="I1801" s="24" t="s">
        <v>6650</v>
      </c>
      <c r="J1801" s="24">
        <v>0.0</v>
      </c>
    </row>
    <row r="1802">
      <c r="A1802" s="24">
        <v>162.0</v>
      </c>
      <c r="B1802" s="24">
        <v>0.0</v>
      </c>
      <c r="C1802" s="44">
        <v>12.01</v>
      </c>
      <c r="D1802" s="46">
        <v>44893.0</v>
      </c>
      <c r="E1802" s="24" t="s">
        <v>6650</v>
      </c>
      <c r="F1802" s="24">
        <v>74.14</v>
      </c>
      <c r="G1802" s="24">
        <v>0.0</v>
      </c>
      <c r="H1802" s="24" t="s">
        <v>6676</v>
      </c>
      <c r="I1802" s="24" t="s">
        <v>6650</v>
      </c>
      <c r="J1802" s="24">
        <v>0.0</v>
      </c>
    </row>
    <row r="1803">
      <c r="A1803" s="24">
        <v>936.0</v>
      </c>
      <c r="B1803" s="24">
        <v>5.0</v>
      </c>
      <c r="C1803" s="44">
        <v>13.41</v>
      </c>
      <c r="D1803" s="46">
        <v>44893.0</v>
      </c>
      <c r="E1803" s="24">
        <v>2.68</v>
      </c>
      <c r="F1803" s="24">
        <v>14.33</v>
      </c>
      <c r="G1803" s="24">
        <v>0.53</v>
      </c>
      <c r="H1803" s="24" t="s">
        <v>6680</v>
      </c>
      <c r="I1803" s="24" t="s">
        <v>6650</v>
      </c>
      <c r="J1803" s="24">
        <v>0.0</v>
      </c>
    </row>
    <row r="1804">
      <c r="A1804" s="24">
        <v>739.0</v>
      </c>
      <c r="B1804" s="24">
        <v>8.0</v>
      </c>
      <c r="C1804" s="44">
        <v>13.59</v>
      </c>
      <c r="D1804" s="46">
        <v>44894.0</v>
      </c>
      <c r="E1804" s="24">
        <v>1.7</v>
      </c>
      <c r="F1804" s="24">
        <v>18.39</v>
      </c>
      <c r="G1804" s="24">
        <v>1.08</v>
      </c>
      <c r="H1804" s="24" t="s">
        <v>6680</v>
      </c>
      <c r="I1804" s="24">
        <v>4.53</v>
      </c>
      <c r="J1804" s="24">
        <v>0.0</v>
      </c>
    </row>
    <row r="1805">
      <c r="A1805" s="24">
        <v>340.0</v>
      </c>
      <c r="B1805" s="24">
        <v>3.0</v>
      </c>
      <c r="C1805" s="44">
        <v>12.82</v>
      </c>
      <c r="D1805" s="46">
        <v>44894.0</v>
      </c>
      <c r="E1805" s="24">
        <v>4.27</v>
      </c>
      <c r="F1805" s="24">
        <v>37.71</v>
      </c>
      <c r="G1805" s="24">
        <v>0.88</v>
      </c>
      <c r="H1805" s="24" t="s">
        <v>6675</v>
      </c>
      <c r="I1805" s="24">
        <v>6.41</v>
      </c>
      <c r="J1805" s="24">
        <v>0.0</v>
      </c>
    </row>
    <row r="1806">
      <c r="A1806" s="24">
        <v>222.0</v>
      </c>
      <c r="B1806" s="24">
        <v>0.0</v>
      </c>
      <c r="C1806" s="44">
        <v>13.06</v>
      </c>
      <c r="D1806" s="46">
        <v>44894.0</v>
      </c>
      <c r="E1806" s="24" t="s">
        <v>6650</v>
      </c>
      <c r="F1806" s="24">
        <v>58.83</v>
      </c>
      <c r="G1806" s="24">
        <v>0.0</v>
      </c>
      <c r="H1806" s="24" t="s">
        <v>6676</v>
      </c>
      <c r="I1806" s="24" t="s">
        <v>6650</v>
      </c>
      <c r="J1806" s="24">
        <v>0.0</v>
      </c>
    </row>
    <row r="1807">
      <c r="A1807" s="24">
        <v>262.0</v>
      </c>
      <c r="B1807" s="24">
        <v>3.0</v>
      </c>
      <c r="C1807" s="44">
        <v>12.85</v>
      </c>
      <c r="D1807" s="46">
        <v>44894.0</v>
      </c>
      <c r="E1807" s="24">
        <v>4.28</v>
      </c>
      <c r="F1807" s="24">
        <v>49.05</v>
      </c>
      <c r="G1807" s="24">
        <v>1.15</v>
      </c>
      <c r="H1807" s="24" t="s">
        <v>6677</v>
      </c>
      <c r="I1807" s="24" t="s">
        <v>6650</v>
      </c>
      <c r="J1807" s="24">
        <v>0.0</v>
      </c>
    </row>
    <row r="1808">
      <c r="A1808" s="24">
        <v>102.0</v>
      </c>
      <c r="B1808" s="24">
        <v>0.0</v>
      </c>
      <c r="C1808" s="44">
        <v>24.9</v>
      </c>
      <c r="D1808" s="46">
        <v>44894.0</v>
      </c>
      <c r="E1808" s="24" t="s">
        <v>6650</v>
      </c>
      <c r="F1808" s="24">
        <v>244.12</v>
      </c>
      <c r="G1808" s="24">
        <v>0.0</v>
      </c>
      <c r="H1808" s="24" t="s">
        <v>6673</v>
      </c>
      <c r="I1808" s="24" t="s">
        <v>6650</v>
      </c>
      <c r="J1808" s="24">
        <v>0.0</v>
      </c>
    </row>
    <row r="1809">
      <c r="A1809" s="24">
        <v>748.0</v>
      </c>
      <c r="B1809" s="24">
        <v>3.0</v>
      </c>
      <c r="C1809" s="44">
        <v>12.57</v>
      </c>
      <c r="D1809" s="46">
        <v>44895.0</v>
      </c>
      <c r="E1809" s="24">
        <v>4.19</v>
      </c>
      <c r="F1809" s="24">
        <v>16.8</v>
      </c>
      <c r="G1809" s="24">
        <v>0.4</v>
      </c>
      <c r="H1809" s="24" t="s">
        <v>6675</v>
      </c>
      <c r="I1809" s="24" t="s">
        <v>6650</v>
      </c>
      <c r="J1809" s="24">
        <v>0.0</v>
      </c>
    </row>
    <row r="1810">
      <c r="A1810" s="24">
        <v>434.0</v>
      </c>
      <c r="B1810" s="24">
        <v>2.0</v>
      </c>
      <c r="C1810" s="44">
        <v>13.41</v>
      </c>
      <c r="D1810" s="46">
        <v>44895.0</v>
      </c>
      <c r="E1810" s="24">
        <v>6.7</v>
      </c>
      <c r="F1810" s="24">
        <v>30.9</v>
      </c>
      <c r="G1810" s="24">
        <v>0.46</v>
      </c>
      <c r="H1810" s="24" t="s">
        <v>6677</v>
      </c>
      <c r="I1810" s="24" t="s">
        <v>6650</v>
      </c>
      <c r="J1810" s="24">
        <v>0.0</v>
      </c>
    </row>
    <row r="1811">
      <c r="A1811" s="24">
        <v>701.0</v>
      </c>
      <c r="B1811" s="24">
        <v>2.0</v>
      </c>
      <c r="C1811" s="44">
        <v>22.36</v>
      </c>
      <c r="D1811" s="46">
        <v>44895.0</v>
      </c>
      <c r="E1811" s="24">
        <v>11.18</v>
      </c>
      <c r="F1811" s="24">
        <v>31.9</v>
      </c>
      <c r="G1811" s="24">
        <v>0.29</v>
      </c>
      <c r="H1811" s="24" t="s">
        <v>6673</v>
      </c>
      <c r="I1811" s="24" t="s">
        <v>6650</v>
      </c>
      <c r="J1811" s="24">
        <v>0.0</v>
      </c>
    </row>
    <row r="1812">
      <c r="A1812" s="24">
        <v>803.0</v>
      </c>
      <c r="B1812" s="24">
        <v>1.0</v>
      </c>
      <c r="C1812" s="44">
        <v>13.45</v>
      </c>
      <c r="D1812" s="46">
        <v>44895.0</v>
      </c>
      <c r="E1812" s="24">
        <v>13.45</v>
      </c>
      <c r="F1812" s="24">
        <v>16.75</v>
      </c>
      <c r="G1812" s="24">
        <v>0.12</v>
      </c>
      <c r="H1812" s="24" t="s">
        <v>6680</v>
      </c>
      <c r="I1812" s="24" t="s">
        <v>6650</v>
      </c>
      <c r="J1812" s="24">
        <v>0.0</v>
      </c>
    </row>
    <row r="1813">
      <c r="A1813" s="24">
        <v>219.0</v>
      </c>
      <c r="B1813" s="24">
        <v>1.0</v>
      </c>
      <c r="C1813" s="44">
        <v>11.93</v>
      </c>
      <c r="D1813" s="46">
        <v>44895.0</v>
      </c>
      <c r="E1813" s="24">
        <v>11.93</v>
      </c>
      <c r="F1813" s="24">
        <v>54.47</v>
      </c>
      <c r="G1813" s="24">
        <v>0.46</v>
      </c>
      <c r="H1813" s="24" t="s">
        <v>6676</v>
      </c>
      <c r="I1813" s="24" t="s">
        <v>6650</v>
      </c>
      <c r="J1813" s="24">
        <v>0.0</v>
      </c>
    </row>
    <row r="1814">
      <c r="A1814" s="24">
        <v>659.0</v>
      </c>
      <c r="B1814" s="24">
        <v>4.0</v>
      </c>
      <c r="C1814" s="44">
        <v>13.03</v>
      </c>
      <c r="D1814" s="46">
        <v>44896.0</v>
      </c>
      <c r="E1814" s="24">
        <v>3.26</v>
      </c>
      <c r="F1814" s="24">
        <v>19.77</v>
      </c>
      <c r="G1814" s="24">
        <v>0.61</v>
      </c>
      <c r="H1814" s="24" t="s">
        <v>6680</v>
      </c>
      <c r="I1814" s="24">
        <v>4.34</v>
      </c>
      <c r="J1814" s="24">
        <v>0.0</v>
      </c>
    </row>
    <row r="1815">
      <c r="A1815" s="24">
        <v>615.0</v>
      </c>
      <c r="B1815" s="24">
        <v>3.0</v>
      </c>
      <c r="C1815" s="44">
        <v>21.38</v>
      </c>
      <c r="D1815" s="46">
        <v>44896.0</v>
      </c>
      <c r="E1815" s="24">
        <v>7.13</v>
      </c>
      <c r="F1815" s="24">
        <v>34.76</v>
      </c>
      <c r="G1815" s="24">
        <v>0.49</v>
      </c>
      <c r="H1815" s="24" t="s">
        <v>6673</v>
      </c>
      <c r="I1815" s="24">
        <v>21.38</v>
      </c>
      <c r="J1815" s="24">
        <v>0.0</v>
      </c>
    </row>
    <row r="1816">
      <c r="A1816" s="24">
        <v>612.0</v>
      </c>
      <c r="B1816" s="24">
        <v>5.0</v>
      </c>
      <c r="C1816" s="44">
        <v>12.84</v>
      </c>
      <c r="D1816" s="46">
        <v>44896.0</v>
      </c>
      <c r="E1816" s="24">
        <v>2.57</v>
      </c>
      <c r="F1816" s="24">
        <v>20.98</v>
      </c>
      <c r="G1816" s="24">
        <v>0.82</v>
      </c>
      <c r="H1816" s="24" t="s">
        <v>6675</v>
      </c>
      <c r="I1816" s="24" t="s">
        <v>6650</v>
      </c>
      <c r="J1816" s="24">
        <v>0.0</v>
      </c>
    </row>
    <row r="1817">
      <c r="A1817" s="24">
        <v>225.0</v>
      </c>
      <c r="B1817" s="24">
        <v>0.0</v>
      </c>
      <c r="C1817" s="44">
        <v>11.63</v>
      </c>
      <c r="D1817" s="46">
        <v>44896.0</v>
      </c>
      <c r="E1817" s="24" t="s">
        <v>6650</v>
      </c>
      <c r="F1817" s="24">
        <v>51.69</v>
      </c>
      <c r="G1817" s="24">
        <v>0.0</v>
      </c>
      <c r="H1817" s="24" t="s">
        <v>6676</v>
      </c>
      <c r="I1817" s="24" t="s">
        <v>6650</v>
      </c>
      <c r="J1817" s="24">
        <v>0.0</v>
      </c>
    </row>
    <row r="1818">
      <c r="A1818" s="24">
        <v>497.0</v>
      </c>
      <c r="B1818" s="24">
        <v>6.0</v>
      </c>
      <c r="C1818" s="44">
        <v>13.29</v>
      </c>
      <c r="D1818" s="46">
        <v>44896.0</v>
      </c>
      <c r="E1818" s="24">
        <v>2.22</v>
      </c>
      <c r="F1818" s="24">
        <v>26.74</v>
      </c>
      <c r="G1818" s="24">
        <v>1.21</v>
      </c>
      <c r="H1818" s="24" t="s">
        <v>6677</v>
      </c>
      <c r="I1818" s="24">
        <v>13.29</v>
      </c>
      <c r="J1818" s="24">
        <v>0.0</v>
      </c>
    </row>
    <row r="1819">
      <c r="A1819" s="24">
        <v>484.0</v>
      </c>
      <c r="B1819" s="24">
        <v>5.0</v>
      </c>
      <c r="C1819" s="44">
        <v>12.63</v>
      </c>
      <c r="D1819" s="46">
        <v>44897.0</v>
      </c>
      <c r="E1819" s="24">
        <v>2.53</v>
      </c>
      <c r="F1819" s="24">
        <v>26.1</v>
      </c>
      <c r="G1819" s="24">
        <v>1.03</v>
      </c>
      <c r="H1819" s="24" t="s">
        <v>6677</v>
      </c>
      <c r="I1819" s="24" t="s">
        <v>6650</v>
      </c>
      <c r="J1819" s="24">
        <v>0.0</v>
      </c>
    </row>
    <row r="1820">
      <c r="A1820" s="24">
        <v>372.0</v>
      </c>
      <c r="B1820" s="24">
        <v>1.0</v>
      </c>
      <c r="C1820" s="44">
        <v>19.82</v>
      </c>
      <c r="D1820" s="46">
        <v>44897.0</v>
      </c>
      <c r="E1820" s="24">
        <v>19.82</v>
      </c>
      <c r="F1820" s="24">
        <v>53.28</v>
      </c>
      <c r="G1820" s="24">
        <v>0.27</v>
      </c>
      <c r="H1820" s="24" t="s">
        <v>6673</v>
      </c>
      <c r="I1820" s="24">
        <v>19.82</v>
      </c>
      <c r="J1820" s="24">
        <v>0.0</v>
      </c>
    </row>
    <row r="1821">
      <c r="A1821" s="24">
        <v>465.0</v>
      </c>
      <c r="B1821" s="24">
        <v>6.0</v>
      </c>
      <c r="C1821" s="44">
        <v>11.84</v>
      </c>
      <c r="D1821" s="46">
        <v>44897.0</v>
      </c>
      <c r="E1821" s="24">
        <v>1.97</v>
      </c>
      <c r="F1821" s="24">
        <v>25.46</v>
      </c>
      <c r="G1821" s="24">
        <v>1.29</v>
      </c>
      <c r="H1821" s="24" t="s">
        <v>6675</v>
      </c>
      <c r="I1821" s="24">
        <v>5.92</v>
      </c>
      <c r="J1821" s="24">
        <v>0.0</v>
      </c>
    </row>
    <row r="1822">
      <c r="A1822" s="24">
        <v>689.0</v>
      </c>
      <c r="B1822" s="24">
        <v>1.0</v>
      </c>
      <c r="C1822" s="44">
        <v>12.29</v>
      </c>
      <c r="D1822" s="46">
        <v>44897.0</v>
      </c>
      <c r="E1822" s="24">
        <v>12.29</v>
      </c>
      <c r="F1822" s="24">
        <v>17.84</v>
      </c>
      <c r="G1822" s="24">
        <v>0.15</v>
      </c>
      <c r="H1822" s="24" t="s">
        <v>6680</v>
      </c>
      <c r="I1822" s="24">
        <v>12.29</v>
      </c>
      <c r="J1822" s="24">
        <v>0.0</v>
      </c>
    </row>
    <row r="1823">
      <c r="A1823" s="24">
        <v>162.0</v>
      </c>
      <c r="B1823" s="24">
        <v>0.0</v>
      </c>
      <c r="C1823" s="44">
        <v>10.56</v>
      </c>
      <c r="D1823" s="46">
        <v>44897.0</v>
      </c>
      <c r="E1823" s="24" t="s">
        <v>6650</v>
      </c>
      <c r="F1823" s="24">
        <v>65.19</v>
      </c>
      <c r="G1823" s="24">
        <v>0.0</v>
      </c>
      <c r="H1823" s="24" t="s">
        <v>6676</v>
      </c>
      <c r="I1823" s="24" t="s">
        <v>6650</v>
      </c>
      <c r="J1823" s="24">
        <v>0.0</v>
      </c>
    </row>
    <row r="1824">
      <c r="A1824" s="24">
        <v>462.0</v>
      </c>
      <c r="B1824" s="24">
        <v>1.0</v>
      </c>
      <c r="C1824" s="44">
        <v>7.09</v>
      </c>
      <c r="D1824" s="46">
        <v>44898.0</v>
      </c>
      <c r="E1824" s="24">
        <v>7.09</v>
      </c>
      <c r="F1824" s="24">
        <v>15.35</v>
      </c>
      <c r="G1824" s="24">
        <v>0.22</v>
      </c>
      <c r="H1824" s="24" t="s">
        <v>6675</v>
      </c>
      <c r="I1824" s="24" t="s">
        <v>6650</v>
      </c>
      <c r="J1824" s="24">
        <v>0.0</v>
      </c>
    </row>
    <row r="1825">
      <c r="A1825" s="24">
        <v>524.0</v>
      </c>
      <c r="B1825" s="24">
        <v>4.0</v>
      </c>
      <c r="C1825" s="44">
        <v>5.74</v>
      </c>
      <c r="D1825" s="46">
        <v>44898.0</v>
      </c>
      <c r="E1825" s="24">
        <v>1.44</v>
      </c>
      <c r="F1825" s="24">
        <v>10.95</v>
      </c>
      <c r="G1825" s="24">
        <v>0.76</v>
      </c>
      <c r="H1825" s="24" t="s">
        <v>6680</v>
      </c>
      <c r="I1825" s="24">
        <v>2.87</v>
      </c>
      <c r="J1825" s="24">
        <v>0.0</v>
      </c>
    </row>
    <row r="1826">
      <c r="A1826" s="24">
        <v>268.0</v>
      </c>
      <c r="B1826" s="24">
        <v>0.0</v>
      </c>
      <c r="C1826" s="44">
        <v>6.21</v>
      </c>
      <c r="D1826" s="46">
        <v>44898.0</v>
      </c>
      <c r="E1826" s="24" t="s">
        <v>6650</v>
      </c>
      <c r="F1826" s="24">
        <v>23.17</v>
      </c>
      <c r="G1826" s="24">
        <v>0.0</v>
      </c>
      <c r="H1826" s="24" t="s">
        <v>6677</v>
      </c>
      <c r="I1826" s="24" t="s">
        <v>6650</v>
      </c>
      <c r="J1826" s="24">
        <v>0.0</v>
      </c>
    </row>
    <row r="1827">
      <c r="A1827" s="24">
        <v>291.0</v>
      </c>
      <c r="B1827" s="24">
        <v>4.0</v>
      </c>
      <c r="C1827" s="44">
        <v>10.88</v>
      </c>
      <c r="D1827" s="46">
        <v>44898.0</v>
      </c>
      <c r="E1827" s="24">
        <v>2.72</v>
      </c>
      <c r="F1827" s="24">
        <v>37.39</v>
      </c>
      <c r="G1827" s="24">
        <v>1.37</v>
      </c>
      <c r="H1827" s="24" t="s">
        <v>6673</v>
      </c>
      <c r="I1827" s="24">
        <v>10.88</v>
      </c>
      <c r="J1827" s="24">
        <v>0.0</v>
      </c>
    </row>
    <row r="1828">
      <c r="A1828" s="24">
        <v>107.0</v>
      </c>
      <c r="B1828" s="24">
        <v>1.0</v>
      </c>
      <c r="C1828" s="44">
        <v>5.7</v>
      </c>
      <c r="D1828" s="46">
        <v>44898.0</v>
      </c>
      <c r="E1828" s="24">
        <v>5.7</v>
      </c>
      <c r="F1828" s="24">
        <v>53.27</v>
      </c>
      <c r="G1828" s="24">
        <v>0.93</v>
      </c>
      <c r="H1828" s="24" t="s">
        <v>6676</v>
      </c>
      <c r="I1828" s="24" t="s">
        <v>6650</v>
      </c>
      <c r="J1828" s="24">
        <v>0.0</v>
      </c>
    </row>
    <row r="1829">
      <c r="A1829" s="24">
        <v>536.0</v>
      </c>
      <c r="B1829" s="24">
        <v>3.0</v>
      </c>
      <c r="C1829" s="44">
        <v>7.11</v>
      </c>
      <c r="D1829" s="46">
        <v>44899.0</v>
      </c>
      <c r="E1829" s="24">
        <v>2.37</v>
      </c>
      <c r="F1829" s="24">
        <v>13.26</v>
      </c>
      <c r="G1829" s="24">
        <v>0.56</v>
      </c>
      <c r="H1829" s="24" t="s">
        <v>6675</v>
      </c>
      <c r="I1829" s="24" t="s">
        <v>6650</v>
      </c>
      <c r="J1829" s="24">
        <v>0.0</v>
      </c>
    </row>
    <row r="1830">
      <c r="A1830" s="24">
        <v>256.0</v>
      </c>
      <c r="B1830" s="24">
        <v>1.0</v>
      </c>
      <c r="C1830" s="44">
        <v>6.01</v>
      </c>
      <c r="D1830" s="46">
        <v>44899.0</v>
      </c>
      <c r="E1830" s="24">
        <v>6.01</v>
      </c>
      <c r="F1830" s="24">
        <v>23.48</v>
      </c>
      <c r="G1830" s="24">
        <v>0.39</v>
      </c>
      <c r="H1830" s="24" t="s">
        <v>6677</v>
      </c>
      <c r="I1830" s="24" t="s">
        <v>6650</v>
      </c>
      <c r="J1830" s="24">
        <v>0.0</v>
      </c>
    </row>
    <row r="1831">
      <c r="A1831" s="24">
        <v>252.0</v>
      </c>
      <c r="B1831" s="24">
        <v>2.0</v>
      </c>
      <c r="C1831" s="44">
        <v>10.0</v>
      </c>
      <c r="D1831" s="46">
        <v>44899.0</v>
      </c>
      <c r="E1831" s="24">
        <v>5.0</v>
      </c>
      <c r="F1831" s="24">
        <v>39.68</v>
      </c>
      <c r="G1831" s="24">
        <v>0.79</v>
      </c>
      <c r="H1831" s="24" t="s">
        <v>6673</v>
      </c>
      <c r="I1831" s="24" t="s">
        <v>6650</v>
      </c>
      <c r="J1831" s="24">
        <v>0.0</v>
      </c>
    </row>
    <row r="1832">
      <c r="A1832" s="24">
        <v>524.0</v>
      </c>
      <c r="B1832" s="24">
        <v>4.0</v>
      </c>
      <c r="C1832" s="44">
        <v>5.49</v>
      </c>
      <c r="D1832" s="46">
        <v>44899.0</v>
      </c>
      <c r="E1832" s="24">
        <v>1.37</v>
      </c>
      <c r="F1832" s="24">
        <v>10.48</v>
      </c>
      <c r="G1832" s="24">
        <v>0.76</v>
      </c>
      <c r="H1832" s="24" t="s">
        <v>6680</v>
      </c>
      <c r="I1832" s="24">
        <v>5.49</v>
      </c>
      <c r="J1832" s="24">
        <v>0.0</v>
      </c>
    </row>
    <row r="1833">
      <c r="A1833" s="24">
        <v>23.0</v>
      </c>
      <c r="B1833" s="24">
        <v>0.0</v>
      </c>
      <c r="C1833" s="44">
        <v>5.11</v>
      </c>
      <c r="D1833" s="46">
        <v>44899.0</v>
      </c>
      <c r="E1833" s="24" t="s">
        <v>6650</v>
      </c>
      <c r="F1833" s="24">
        <v>222.17</v>
      </c>
      <c r="G1833" s="24">
        <v>0.0</v>
      </c>
      <c r="H1833" s="24" t="s">
        <v>6676</v>
      </c>
      <c r="I1833" s="24" t="s">
        <v>6650</v>
      </c>
      <c r="J1833" s="24">
        <v>0.0</v>
      </c>
    </row>
    <row r="1834">
      <c r="A1834" s="24">
        <v>189.0</v>
      </c>
      <c r="B1834" s="24">
        <v>3.0</v>
      </c>
      <c r="C1834" s="44">
        <v>11.86</v>
      </c>
      <c r="D1834" s="46">
        <v>44900.0</v>
      </c>
      <c r="E1834" s="24">
        <v>3.95</v>
      </c>
      <c r="F1834" s="24">
        <v>62.75</v>
      </c>
      <c r="G1834" s="24">
        <v>1.59</v>
      </c>
      <c r="H1834" s="24" t="s">
        <v>6676</v>
      </c>
      <c r="I1834" s="24" t="s">
        <v>6650</v>
      </c>
      <c r="J1834" s="24">
        <v>0.0</v>
      </c>
    </row>
    <row r="1835">
      <c r="A1835" s="24">
        <v>935.0</v>
      </c>
      <c r="B1835" s="24">
        <v>2.0</v>
      </c>
      <c r="C1835" s="44">
        <v>13.27</v>
      </c>
      <c r="D1835" s="46">
        <v>44900.0</v>
      </c>
      <c r="E1835" s="24">
        <v>6.64</v>
      </c>
      <c r="F1835" s="24">
        <v>14.19</v>
      </c>
      <c r="G1835" s="24">
        <v>0.21</v>
      </c>
      <c r="H1835" s="24" t="s">
        <v>6680</v>
      </c>
      <c r="I1835" s="24">
        <v>13.27</v>
      </c>
      <c r="J1835" s="24">
        <v>0.0</v>
      </c>
    </row>
    <row r="1836">
      <c r="A1836" s="24">
        <v>558.0</v>
      </c>
      <c r="B1836" s="24">
        <v>0.0</v>
      </c>
      <c r="C1836" s="44">
        <v>22.7</v>
      </c>
      <c r="D1836" s="46">
        <v>44900.0</v>
      </c>
      <c r="E1836" s="24" t="s">
        <v>6650</v>
      </c>
      <c r="F1836" s="24">
        <v>40.68</v>
      </c>
      <c r="G1836" s="24">
        <v>0.0</v>
      </c>
      <c r="H1836" s="24" t="s">
        <v>6673</v>
      </c>
      <c r="I1836" s="24" t="s">
        <v>6650</v>
      </c>
      <c r="J1836" s="24">
        <v>0.0</v>
      </c>
    </row>
    <row r="1837">
      <c r="A1837" s="24">
        <v>397.0</v>
      </c>
      <c r="B1837" s="24">
        <v>3.0</v>
      </c>
      <c r="C1837" s="44">
        <v>12.85</v>
      </c>
      <c r="D1837" s="46">
        <v>44900.0</v>
      </c>
      <c r="E1837" s="24">
        <v>4.28</v>
      </c>
      <c r="F1837" s="24">
        <v>32.37</v>
      </c>
      <c r="G1837" s="24">
        <v>0.76</v>
      </c>
      <c r="H1837" s="24" t="s">
        <v>6677</v>
      </c>
      <c r="I1837" s="24" t="s">
        <v>6650</v>
      </c>
      <c r="J1837" s="24">
        <v>0.0</v>
      </c>
    </row>
    <row r="1838">
      <c r="A1838" s="24">
        <v>941.0</v>
      </c>
      <c r="B1838" s="24">
        <v>5.0</v>
      </c>
      <c r="C1838" s="44">
        <v>12.87</v>
      </c>
      <c r="D1838" s="46">
        <v>44900.0</v>
      </c>
      <c r="E1838" s="24">
        <v>2.57</v>
      </c>
      <c r="F1838" s="24">
        <v>13.68</v>
      </c>
      <c r="G1838" s="24">
        <v>0.53</v>
      </c>
      <c r="H1838" s="24" t="s">
        <v>6675</v>
      </c>
      <c r="I1838" s="24" t="s">
        <v>6650</v>
      </c>
      <c r="J1838" s="24">
        <v>0.0</v>
      </c>
    </row>
    <row r="1839">
      <c r="A1839" s="24">
        <v>188.0</v>
      </c>
      <c r="B1839" s="24">
        <v>0.0</v>
      </c>
      <c r="C1839" s="44">
        <v>12.71</v>
      </c>
      <c r="D1839" s="46">
        <v>44901.0</v>
      </c>
      <c r="E1839" s="24" t="s">
        <v>6650</v>
      </c>
      <c r="F1839" s="24">
        <v>67.61</v>
      </c>
      <c r="G1839" s="24">
        <v>0.0</v>
      </c>
      <c r="H1839" s="24" t="s">
        <v>6676</v>
      </c>
      <c r="I1839" s="24" t="s">
        <v>6650</v>
      </c>
      <c r="J1839" s="24">
        <v>0.0</v>
      </c>
    </row>
    <row r="1840">
      <c r="A1840" s="24">
        <v>531.0</v>
      </c>
      <c r="B1840" s="24">
        <v>0.0</v>
      </c>
      <c r="C1840" s="44">
        <v>24.15</v>
      </c>
      <c r="D1840" s="46">
        <v>44901.0</v>
      </c>
      <c r="E1840" s="24" t="s">
        <v>6650</v>
      </c>
      <c r="F1840" s="24">
        <v>45.48</v>
      </c>
      <c r="G1840" s="24">
        <v>0.0</v>
      </c>
      <c r="H1840" s="24" t="s">
        <v>6673</v>
      </c>
      <c r="I1840" s="24" t="s">
        <v>6650</v>
      </c>
      <c r="J1840" s="24">
        <v>0.0</v>
      </c>
    </row>
    <row r="1841">
      <c r="A1841" s="24">
        <v>903.0</v>
      </c>
      <c r="B1841" s="24">
        <v>6.0</v>
      </c>
      <c r="C1841" s="44">
        <v>13.76</v>
      </c>
      <c r="D1841" s="46">
        <v>44901.0</v>
      </c>
      <c r="E1841" s="24">
        <v>2.29</v>
      </c>
      <c r="F1841" s="24">
        <v>15.24</v>
      </c>
      <c r="G1841" s="24">
        <v>0.66</v>
      </c>
      <c r="H1841" s="24" t="s">
        <v>6680</v>
      </c>
      <c r="I1841" s="24" t="s">
        <v>6650</v>
      </c>
      <c r="J1841" s="24">
        <v>0.0</v>
      </c>
    </row>
    <row r="1842">
      <c r="A1842" s="24">
        <v>325.0</v>
      </c>
      <c r="B1842" s="24">
        <v>2.0</v>
      </c>
      <c r="C1842" s="44">
        <v>12.95</v>
      </c>
      <c r="D1842" s="46">
        <v>44901.0</v>
      </c>
      <c r="E1842" s="24">
        <v>6.48</v>
      </c>
      <c r="F1842" s="24">
        <v>39.85</v>
      </c>
      <c r="G1842" s="24">
        <v>0.62</v>
      </c>
      <c r="H1842" s="24" t="s">
        <v>6677</v>
      </c>
      <c r="I1842" s="24" t="s">
        <v>6650</v>
      </c>
      <c r="J1842" s="24">
        <v>0.0</v>
      </c>
    </row>
    <row r="1843">
      <c r="A1843" s="24">
        <v>367.0</v>
      </c>
      <c r="B1843" s="24">
        <v>5.0</v>
      </c>
      <c r="C1843" s="44">
        <v>12.57</v>
      </c>
      <c r="D1843" s="46">
        <v>44901.0</v>
      </c>
      <c r="E1843" s="24">
        <v>2.51</v>
      </c>
      <c r="F1843" s="24">
        <v>34.25</v>
      </c>
      <c r="G1843" s="24">
        <v>1.36</v>
      </c>
      <c r="H1843" s="24" t="s">
        <v>6675</v>
      </c>
      <c r="I1843" s="24" t="s">
        <v>6650</v>
      </c>
      <c r="J1843" s="24">
        <v>0.0</v>
      </c>
    </row>
    <row r="1844">
      <c r="A1844" s="24">
        <v>525.0</v>
      </c>
      <c r="B1844" s="24">
        <v>2.0</v>
      </c>
      <c r="C1844" s="44">
        <v>23.43</v>
      </c>
      <c r="D1844" s="46">
        <v>44902.0</v>
      </c>
      <c r="E1844" s="24">
        <v>11.72</v>
      </c>
      <c r="F1844" s="24">
        <v>44.63</v>
      </c>
      <c r="G1844" s="24">
        <v>0.38</v>
      </c>
      <c r="H1844" s="24" t="s">
        <v>6673</v>
      </c>
      <c r="I1844" s="24" t="s">
        <v>6650</v>
      </c>
      <c r="J1844" s="24">
        <v>0.0</v>
      </c>
    </row>
    <row r="1845">
      <c r="A1845" s="24">
        <v>410.0</v>
      </c>
      <c r="B1845" s="24">
        <v>2.0</v>
      </c>
      <c r="C1845" s="44">
        <v>13.43</v>
      </c>
      <c r="D1845" s="46">
        <v>44902.0</v>
      </c>
      <c r="E1845" s="24">
        <v>6.72</v>
      </c>
      <c r="F1845" s="24">
        <v>32.76</v>
      </c>
      <c r="G1845" s="24">
        <v>0.49</v>
      </c>
      <c r="H1845" s="24" t="s">
        <v>6677</v>
      </c>
      <c r="I1845" s="24" t="s">
        <v>6650</v>
      </c>
      <c r="J1845" s="24">
        <v>0.0</v>
      </c>
    </row>
    <row r="1846">
      <c r="A1846" s="24">
        <v>197.0</v>
      </c>
      <c r="B1846" s="24">
        <v>0.0</v>
      </c>
      <c r="C1846" s="44">
        <v>13.26</v>
      </c>
      <c r="D1846" s="46">
        <v>44902.0</v>
      </c>
      <c r="E1846" s="24" t="s">
        <v>6650</v>
      </c>
      <c r="F1846" s="24">
        <v>67.31</v>
      </c>
      <c r="G1846" s="24">
        <v>0.0</v>
      </c>
      <c r="H1846" s="24" t="s">
        <v>6676</v>
      </c>
      <c r="I1846" s="24">
        <v>13.26</v>
      </c>
      <c r="J1846" s="24">
        <v>0.0</v>
      </c>
    </row>
    <row r="1847">
      <c r="A1847" s="24">
        <v>396.0</v>
      </c>
      <c r="B1847" s="24">
        <v>2.0</v>
      </c>
      <c r="C1847" s="44">
        <v>13.29</v>
      </c>
      <c r="D1847" s="46">
        <v>44902.0</v>
      </c>
      <c r="E1847" s="24">
        <v>6.64</v>
      </c>
      <c r="F1847" s="24">
        <v>33.56</v>
      </c>
      <c r="G1847" s="24">
        <v>0.51</v>
      </c>
      <c r="H1847" s="24" t="s">
        <v>6675</v>
      </c>
      <c r="I1847" s="24" t="s">
        <v>6650</v>
      </c>
      <c r="J1847" s="24">
        <v>0.0</v>
      </c>
    </row>
    <row r="1848">
      <c r="A1848" s="24">
        <v>648.0</v>
      </c>
      <c r="B1848" s="24">
        <v>3.0</v>
      </c>
      <c r="C1848" s="44">
        <v>13.98</v>
      </c>
      <c r="D1848" s="46">
        <v>44902.0</v>
      </c>
      <c r="E1848" s="24">
        <v>4.66</v>
      </c>
      <c r="F1848" s="24">
        <v>21.57</v>
      </c>
      <c r="G1848" s="24">
        <v>0.46</v>
      </c>
      <c r="H1848" s="24" t="s">
        <v>6680</v>
      </c>
      <c r="I1848" s="24">
        <v>13.98</v>
      </c>
      <c r="J1848" s="24">
        <v>0.0</v>
      </c>
    </row>
    <row r="1849">
      <c r="A1849" s="24">
        <v>194.0</v>
      </c>
      <c r="B1849" s="24">
        <v>1.0</v>
      </c>
      <c r="C1849" s="44">
        <v>11.76</v>
      </c>
      <c r="D1849" s="46">
        <v>44903.0</v>
      </c>
      <c r="E1849" s="24">
        <v>11.76</v>
      </c>
      <c r="F1849" s="24">
        <v>60.62</v>
      </c>
      <c r="G1849" s="24">
        <v>0.52</v>
      </c>
      <c r="H1849" s="24" t="s">
        <v>6676</v>
      </c>
      <c r="I1849" s="24" t="s">
        <v>6650</v>
      </c>
      <c r="J1849" s="24">
        <v>0.0</v>
      </c>
    </row>
    <row r="1850">
      <c r="A1850" s="24">
        <v>478.0</v>
      </c>
      <c r="B1850" s="24">
        <v>1.0</v>
      </c>
      <c r="C1850" s="44">
        <v>21.66</v>
      </c>
      <c r="D1850" s="46">
        <v>44903.0</v>
      </c>
      <c r="E1850" s="24">
        <v>21.66</v>
      </c>
      <c r="F1850" s="24">
        <v>45.31</v>
      </c>
      <c r="G1850" s="24">
        <v>0.21</v>
      </c>
      <c r="H1850" s="24" t="s">
        <v>6673</v>
      </c>
      <c r="I1850" s="24" t="s">
        <v>6650</v>
      </c>
      <c r="J1850" s="24">
        <v>0.0</v>
      </c>
    </row>
    <row r="1851">
      <c r="A1851" s="24">
        <v>444.0</v>
      </c>
      <c r="B1851" s="24">
        <v>6.0</v>
      </c>
      <c r="C1851" s="44">
        <v>13.06</v>
      </c>
      <c r="D1851" s="46">
        <v>44903.0</v>
      </c>
      <c r="E1851" s="24">
        <v>2.18</v>
      </c>
      <c r="F1851" s="24">
        <v>29.41</v>
      </c>
      <c r="G1851" s="24">
        <v>1.35</v>
      </c>
      <c r="H1851" s="24" t="s">
        <v>6675</v>
      </c>
      <c r="I1851" s="24">
        <v>4.35</v>
      </c>
      <c r="J1851" s="24">
        <v>0.0</v>
      </c>
    </row>
    <row r="1852">
      <c r="A1852" s="24">
        <v>780.0</v>
      </c>
      <c r="B1852" s="24">
        <v>5.0</v>
      </c>
      <c r="C1852" s="44">
        <v>12.73</v>
      </c>
      <c r="D1852" s="46">
        <v>44903.0</v>
      </c>
      <c r="E1852" s="24">
        <v>2.55</v>
      </c>
      <c r="F1852" s="24">
        <v>16.32</v>
      </c>
      <c r="G1852" s="24">
        <v>0.64</v>
      </c>
      <c r="H1852" s="24" t="s">
        <v>6680</v>
      </c>
      <c r="I1852" s="24">
        <v>6.36</v>
      </c>
      <c r="J1852" s="24">
        <v>0.0</v>
      </c>
    </row>
    <row r="1853">
      <c r="A1853" s="24">
        <v>362.0</v>
      </c>
      <c r="B1853" s="24">
        <v>3.0</v>
      </c>
      <c r="C1853" s="44">
        <v>13.15</v>
      </c>
      <c r="D1853" s="46">
        <v>44903.0</v>
      </c>
      <c r="E1853" s="24">
        <v>4.38</v>
      </c>
      <c r="F1853" s="24">
        <v>36.33</v>
      </c>
      <c r="G1853" s="24">
        <v>0.83</v>
      </c>
      <c r="H1853" s="24" t="s">
        <v>6677</v>
      </c>
      <c r="I1853" s="24">
        <v>13.15</v>
      </c>
      <c r="J1853" s="24">
        <v>0.0</v>
      </c>
    </row>
    <row r="1854">
      <c r="A1854" s="24">
        <v>336.0</v>
      </c>
      <c r="B1854" s="24">
        <v>2.0</v>
      </c>
      <c r="C1854" s="44">
        <v>11.49</v>
      </c>
      <c r="D1854" s="46">
        <v>44904.0</v>
      </c>
      <c r="E1854" s="24">
        <v>5.74</v>
      </c>
      <c r="F1854" s="24">
        <v>34.2</v>
      </c>
      <c r="G1854" s="24">
        <v>0.6</v>
      </c>
      <c r="H1854" s="24" t="s">
        <v>6675</v>
      </c>
      <c r="I1854" s="24" t="s">
        <v>6650</v>
      </c>
      <c r="J1854" s="24">
        <v>0.0</v>
      </c>
    </row>
    <row r="1855">
      <c r="A1855" s="24">
        <v>468.0</v>
      </c>
      <c r="B1855" s="24">
        <v>3.0</v>
      </c>
      <c r="C1855" s="44">
        <v>12.08</v>
      </c>
      <c r="D1855" s="46">
        <v>44904.0</v>
      </c>
      <c r="E1855" s="24">
        <v>4.03</v>
      </c>
      <c r="F1855" s="24">
        <v>25.81</v>
      </c>
      <c r="G1855" s="24">
        <v>0.64</v>
      </c>
      <c r="H1855" s="24" t="s">
        <v>6680</v>
      </c>
      <c r="I1855" s="24" t="s">
        <v>6650</v>
      </c>
      <c r="J1855" s="24">
        <v>0.0</v>
      </c>
    </row>
    <row r="1856">
      <c r="A1856" s="24">
        <v>354.0</v>
      </c>
      <c r="B1856" s="24">
        <v>2.0</v>
      </c>
      <c r="C1856" s="44">
        <v>11.69</v>
      </c>
      <c r="D1856" s="46">
        <v>44904.0</v>
      </c>
      <c r="E1856" s="24">
        <v>5.84</v>
      </c>
      <c r="F1856" s="24">
        <v>33.02</v>
      </c>
      <c r="G1856" s="24">
        <v>0.56</v>
      </c>
      <c r="H1856" s="24" t="s">
        <v>6677</v>
      </c>
      <c r="I1856" s="24" t="s">
        <v>6650</v>
      </c>
      <c r="J1856" s="24">
        <v>0.0</v>
      </c>
    </row>
    <row r="1857">
      <c r="A1857" s="24">
        <v>162.0</v>
      </c>
      <c r="B1857" s="24">
        <v>1.0</v>
      </c>
      <c r="C1857" s="44">
        <v>10.03</v>
      </c>
      <c r="D1857" s="46">
        <v>44904.0</v>
      </c>
      <c r="E1857" s="24">
        <v>10.03</v>
      </c>
      <c r="F1857" s="24">
        <v>61.91</v>
      </c>
      <c r="G1857" s="24">
        <v>0.62</v>
      </c>
      <c r="H1857" s="24" t="s">
        <v>6676</v>
      </c>
      <c r="I1857" s="24" t="s">
        <v>6650</v>
      </c>
      <c r="J1857" s="24">
        <v>0.0</v>
      </c>
    </row>
    <row r="1858">
      <c r="A1858" s="24">
        <v>301.0</v>
      </c>
      <c r="B1858" s="24">
        <v>1.0</v>
      </c>
      <c r="C1858" s="44">
        <v>20.46</v>
      </c>
      <c r="D1858" s="46">
        <v>44904.0</v>
      </c>
      <c r="E1858" s="24">
        <v>20.46</v>
      </c>
      <c r="F1858" s="24">
        <v>67.97</v>
      </c>
      <c r="G1858" s="24">
        <v>0.33</v>
      </c>
      <c r="H1858" s="24" t="s">
        <v>6673</v>
      </c>
      <c r="I1858" s="24">
        <v>20.46</v>
      </c>
      <c r="J1858" s="24">
        <v>0.0</v>
      </c>
    </row>
    <row r="1859">
      <c r="A1859" s="24">
        <v>292.0</v>
      </c>
      <c r="B1859" s="24">
        <v>2.0</v>
      </c>
      <c r="C1859" s="44">
        <v>5.8</v>
      </c>
      <c r="D1859" s="46">
        <v>44905.0</v>
      </c>
      <c r="E1859" s="24">
        <v>2.9</v>
      </c>
      <c r="F1859" s="24">
        <v>19.86</v>
      </c>
      <c r="G1859" s="24">
        <v>0.68</v>
      </c>
      <c r="H1859" s="24" t="s">
        <v>6680</v>
      </c>
      <c r="I1859" s="24" t="s">
        <v>6650</v>
      </c>
      <c r="J1859" s="24">
        <v>0.0</v>
      </c>
    </row>
    <row r="1860">
      <c r="A1860" s="24">
        <v>49.0</v>
      </c>
      <c r="B1860" s="24">
        <v>0.0</v>
      </c>
      <c r="C1860" s="44">
        <v>5.6</v>
      </c>
      <c r="D1860" s="46">
        <v>44905.0</v>
      </c>
      <c r="E1860" s="24" t="s">
        <v>6650</v>
      </c>
      <c r="F1860" s="24">
        <v>114.29</v>
      </c>
      <c r="G1860" s="24">
        <v>0.0</v>
      </c>
      <c r="H1860" s="24" t="s">
        <v>6676</v>
      </c>
      <c r="I1860" s="24" t="s">
        <v>6650</v>
      </c>
      <c r="J1860" s="24">
        <v>0.0</v>
      </c>
    </row>
    <row r="1861">
      <c r="A1861" s="24">
        <v>218.0</v>
      </c>
      <c r="B1861" s="24">
        <v>2.0</v>
      </c>
      <c r="C1861" s="44">
        <v>6.4</v>
      </c>
      <c r="D1861" s="46">
        <v>44905.0</v>
      </c>
      <c r="E1861" s="24">
        <v>3.2</v>
      </c>
      <c r="F1861" s="24">
        <v>29.36</v>
      </c>
      <c r="G1861" s="24">
        <v>0.92</v>
      </c>
      <c r="H1861" s="24" t="s">
        <v>6677</v>
      </c>
      <c r="I1861" s="24" t="s">
        <v>6650</v>
      </c>
      <c r="J1861" s="24">
        <v>0.0</v>
      </c>
    </row>
    <row r="1862">
      <c r="A1862" s="24">
        <v>220.0</v>
      </c>
      <c r="B1862" s="24">
        <v>3.0</v>
      </c>
      <c r="C1862" s="44">
        <v>6.92</v>
      </c>
      <c r="D1862" s="46">
        <v>44905.0</v>
      </c>
      <c r="E1862" s="24">
        <v>2.31</v>
      </c>
      <c r="F1862" s="24">
        <v>31.45</v>
      </c>
      <c r="G1862" s="24">
        <v>1.36</v>
      </c>
      <c r="H1862" s="24" t="s">
        <v>6675</v>
      </c>
      <c r="I1862" s="24" t="s">
        <v>6650</v>
      </c>
      <c r="J1862" s="24">
        <v>0.0</v>
      </c>
    </row>
    <row r="1863">
      <c r="A1863" s="24">
        <v>134.0</v>
      </c>
      <c r="B1863" s="24">
        <v>0.0</v>
      </c>
      <c r="C1863" s="44">
        <v>10.85</v>
      </c>
      <c r="D1863" s="46">
        <v>44905.0</v>
      </c>
      <c r="E1863" s="24" t="s">
        <v>6650</v>
      </c>
      <c r="F1863" s="24">
        <v>80.97</v>
      </c>
      <c r="G1863" s="24">
        <v>0.0</v>
      </c>
      <c r="H1863" s="24" t="s">
        <v>6673</v>
      </c>
      <c r="I1863" s="24" t="s">
        <v>6650</v>
      </c>
      <c r="J1863" s="24">
        <v>0.0</v>
      </c>
    </row>
    <row r="1864">
      <c r="A1864" s="24">
        <v>346.0</v>
      </c>
      <c r="B1864" s="24">
        <v>1.0</v>
      </c>
      <c r="C1864" s="44">
        <v>5.38</v>
      </c>
      <c r="D1864" s="46">
        <v>44906.0</v>
      </c>
      <c r="E1864" s="24">
        <v>5.38</v>
      </c>
      <c r="F1864" s="24">
        <v>15.55</v>
      </c>
      <c r="G1864" s="24">
        <v>0.29</v>
      </c>
      <c r="H1864" s="24" t="s">
        <v>6680</v>
      </c>
      <c r="I1864" s="24">
        <v>5.38</v>
      </c>
      <c r="J1864" s="24">
        <v>0.0</v>
      </c>
    </row>
    <row r="1865">
      <c r="A1865" s="24">
        <v>124.0</v>
      </c>
      <c r="B1865" s="24">
        <v>1.0</v>
      </c>
      <c r="C1865" s="44">
        <v>9.75</v>
      </c>
      <c r="D1865" s="46">
        <v>44906.0</v>
      </c>
      <c r="E1865" s="24">
        <v>9.75</v>
      </c>
      <c r="F1865" s="24">
        <v>78.63</v>
      </c>
      <c r="G1865" s="24">
        <v>0.81</v>
      </c>
      <c r="H1865" s="24" t="s">
        <v>6673</v>
      </c>
      <c r="I1865" s="24" t="s">
        <v>6650</v>
      </c>
      <c r="J1865" s="24">
        <v>0.0</v>
      </c>
    </row>
    <row r="1866">
      <c r="A1866" s="24">
        <v>58.0</v>
      </c>
      <c r="B1866" s="24">
        <v>0.0</v>
      </c>
      <c r="C1866" s="44">
        <v>4.78</v>
      </c>
      <c r="D1866" s="46">
        <v>44906.0</v>
      </c>
      <c r="E1866" s="24" t="s">
        <v>6650</v>
      </c>
      <c r="F1866" s="24">
        <v>82.41</v>
      </c>
      <c r="G1866" s="24">
        <v>0.0</v>
      </c>
      <c r="H1866" s="24" t="s">
        <v>6676</v>
      </c>
      <c r="I1866" s="24" t="s">
        <v>6650</v>
      </c>
      <c r="J1866" s="24">
        <v>0.0</v>
      </c>
    </row>
    <row r="1867">
      <c r="A1867" s="24">
        <v>289.0</v>
      </c>
      <c r="B1867" s="24">
        <v>1.0</v>
      </c>
      <c r="C1867" s="44">
        <v>6.8</v>
      </c>
      <c r="D1867" s="46">
        <v>44906.0</v>
      </c>
      <c r="E1867" s="24">
        <v>6.8</v>
      </c>
      <c r="F1867" s="24">
        <v>23.53</v>
      </c>
      <c r="G1867" s="24">
        <v>0.35</v>
      </c>
      <c r="H1867" s="24" t="s">
        <v>6675</v>
      </c>
      <c r="I1867" s="24" t="s">
        <v>6650</v>
      </c>
      <c r="J1867" s="24">
        <v>0.0</v>
      </c>
    </row>
    <row r="1868">
      <c r="A1868" s="24">
        <v>193.0</v>
      </c>
      <c r="B1868" s="24">
        <v>2.0</v>
      </c>
      <c r="C1868" s="44">
        <v>6.43</v>
      </c>
      <c r="D1868" s="46">
        <v>44906.0</v>
      </c>
      <c r="E1868" s="24">
        <v>3.22</v>
      </c>
      <c r="F1868" s="24">
        <v>33.32</v>
      </c>
      <c r="G1868" s="24">
        <v>1.04</v>
      </c>
      <c r="H1868" s="24" t="s">
        <v>6677</v>
      </c>
      <c r="I1868" s="24" t="s">
        <v>6650</v>
      </c>
      <c r="J1868" s="24">
        <v>0.0</v>
      </c>
    </row>
    <row r="1869">
      <c r="A1869" s="24">
        <v>533.0</v>
      </c>
      <c r="B1869" s="24">
        <v>3.0</v>
      </c>
      <c r="C1869" s="44">
        <v>12.91</v>
      </c>
      <c r="D1869" s="46">
        <v>44907.0</v>
      </c>
      <c r="E1869" s="24">
        <v>4.3</v>
      </c>
      <c r="F1869" s="24">
        <v>24.22</v>
      </c>
      <c r="G1869" s="24">
        <v>0.56</v>
      </c>
      <c r="H1869" s="24" t="s">
        <v>6677</v>
      </c>
      <c r="I1869" s="24">
        <v>6.46</v>
      </c>
      <c r="J1869" s="24">
        <v>0.0</v>
      </c>
    </row>
    <row r="1870">
      <c r="A1870" s="24">
        <v>596.0</v>
      </c>
      <c r="B1870" s="24">
        <v>2.0</v>
      </c>
      <c r="C1870" s="44">
        <v>22.6</v>
      </c>
      <c r="D1870" s="46">
        <v>44907.0</v>
      </c>
      <c r="E1870" s="24">
        <v>11.3</v>
      </c>
      <c r="F1870" s="24">
        <v>37.92</v>
      </c>
      <c r="G1870" s="24">
        <v>0.34</v>
      </c>
      <c r="H1870" s="24" t="s">
        <v>6673</v>
      </c>
      <c r="I1870" s="24" t="s">
        <v>6650</v>
      </c>
      <c r="J1870" s="24">
        <v>0.0</v>
      </c>
    </row>
    <row r="1871">
      <c r="A1871" s="24">
        <v>135.0</v>
      </c>
      <c r="B1871" s="24">
        <v>1.0</v>
      </c>
      <c r="C1871" s="44">
        <v>12.38</v>
      </c>
      <c r="D1871" s="46">
        <v>44907.0</v>
      </c>
      <c r="E1871" s="24">
        <v>12.38</v>
      </c>
      <c r="F1871" s="24">
        <v>91.7</v>
      </c>
      <c r="G1871" s="24">
        <v>0.74</v>
      </c>
      <c r="H1871" s="24" t="s">
        <v>6676</v>
      </c>
      <c r="I1871" s="24" t="s">
        <v>6650</v>
      </c>
      <c r="J1871" s="24">
        <v>0.0</v>
      </c>
    </row>
    <row r="1872">
      <c r="A1872" s="24">
        <v>774.0</v>
      </c>
      <c r="B1872" s="24">
        <v>6.0</v>
      </c>
      <c r="C1872" s="44">
        <v>12.91</v>
      </c>
      <c r="D1872" s="46">
        <v>44907.0</v>
      </c>
      <c r="E1872" s="24">
        <v>2.15</v>
      </c>
      <c r="F1872" s="24">
        <v>16.68</v>
      </c>
      <c r="G1872" s="24">
        <v>0.78</v>
      </c>
      <c r="H1872" s="24" t="s">
        <v>6675</v>
      </c>
      <c r="I1872" s="24" t="s">
        <v>6650</v>
      </c>
      <c r="J1872" s="24">
        <v>0.0</v>
      </c>
    </row>
    <row r="1873">
      <c r="A1873" s="24">
        <v>925.0</v>
      </c>
      <c r="B1873" s="24">
        <v>7.0</v>
      </c>
      <c r="C1873" s="44">
        <v>13.43</v>
      </c>
      <c r="D1873" s="46">
        <v>44907.0</v>
      </c>
      <c r="E1873" s="24">
        <v>1.92</v>
      </c>
      <c r="F1873" s="24">
        <v>14.52</v>
      </c>
      <c r="G1873" s="24">
        <v>0.76</v>
      </c>
      <c r="H1873" s="24" t="s">
        <v>6680</v>
      </c>
      <c r="I1873" s="24">
        <v>13.43</v>
      </c>
      <c r="J1873" s="24">
        <v>0.0</v>
      </c>
    </row>
    <row r="1874">
      <c r="A1874" s="24">
        <v>905.0</v>
      </c>
      <c r="B1874" s="24">
        <v>5.0</v>
      </c>
      <c r="C1874" s="44">
        <v>13.86</v>
      </c>
      <c r="D1874" s="46">
        <v>44908.0</v>
      </c>
      <c r="E1874" s="24">
        <v>2.77</v>
      </c>
      <c r="F1874" s="24">
        <v>15.31</v>
      </c>
      <c r="G1874" s="24">
        <v>0.55</v>
      </c>
      <c r="H1874" s="24" t="s">
        <v>6680</v>
      </c>
      <c r="I1874" s="24">
        <v>13.86</v>
      </c>
      <c r="J1874" s="24">
        <v>0.0</v>
      </c>
    </row>
    <row r="1875">
      <c r="A1875" s="24">
        <v>42.0</v>
      </c>
      <c r="B1875" s="24">
        <v>1.0</v>
      </c>
      <c r="C1875" s="44">
        <v>13.91</v>
      </c>
      <c r="D1875" s="46">
        <v>44908.0</v>
      </c>
      <c r="E1875" s="24">
        <v>13.91</v>
      </c>
      <c r="F1875" s="24">
        <v>331.19</v>
      </c>
      <c r="G1875" s="24">
        <v>2.38</v>
      </c>
      <c r="H1875" s="24" t="s">
        <v>6676</v>
      </c>
      <c r="I1875" s="24" t="s">
        <v>6650</v>
      </c>
      <c r="J1875" s="24">
        <v>0.0</v>
      </c>
    </row>
    <row r="1876">
      <c r="A1876" s="24">
        <v>537.0</v>
      </c>
      <c r="B1876" s="24">
        <v>1.0</v>
      </c>
      <c r="C1876" s="44">
        <v>13.09</v>
      </c>
      <c r="D1876" s="46">
        <v>44908.0</v>
      </c>
      <c r="E1876" s="24">
        <v>13.09</v>
      </c>
      <c r="F1876" s="24">
        <v>24.38</v>
      </c>
      <c r="G1876" s="24">
        <v>0.19</v>
      </c>
      <c r="H1876" s="24" t="s">
        <v>6677</v>
      </c>
      <c r="I1876" s="24" t="s">
        <v>6650</v>
      </c>
      <c r="J1876" s="24">
        <v>0.0</v>
      </c>
    </row>
    <row r="1877">
      <c r="A1877" s="24">
        <v>741.0</v>
      </c>
      <c r="B1877" s="24">
        <v>5.0</v>
      </c>
      <c r="C1877" s="44">
        <v>24.27</v>
      </c>
      <c r="D1877" s="46">
        <v>44908.0</v>
      </c>
      <c r="E1877" s="24">
        <v>4.85</v>
      </c>
      <c r="F1877" s="24">
        <v>32.75</v>
      </c>
      <c r="G1877" s="24">
        <v>0.67</v>
      </c>
      <c r="H1877" s="24" t="s">
        <v>6673</v>
      </c>
      <c r="I1877" s="24" t="s">
        <v>6650</v>
      </c>
      <c r="J1877" s="24">
        <v>0.0</v>
      </c>
    </row>
    <row r="1878">
      <c r="A1878" s="24">
        <v>917.0</v>
      </c>
      <c r="B1878" s="24">
        <v>5.0</v>
      </c>
      <c r="C1878" s="44">
        <v>12.74</v>
      </c>
      <c r="D1878" s="46">
        <v>44908.0</v>
      </c>
      <c r="E1878" s="24">
        <v>2.55</v>
      </c>
      <c r="F1878" s="24">
        <v>13.89</v>
      </c>
      <c r="G1878" s="24">
        <v>0.55</v>
      </c>
      <c r="H1878" s="24" t="s">
        <v>6675</v>
      </c>
      <c r="I1878" s="24" t="s">
        <v>6650</v>
      </c>
      <c r="J1878" s="24">
        <v>0.0</v>
      </c>
    </row>
    <row r="1879">
      <c r="A1879" s="24">
        <v>729.0</v>
      </c>
      <c r="B1879" s="24">
        <v>3.0</v>
      </c>
      <c r="C1879" s="44">
        <v>13.74</v>
      </c>
      <c r="D1879" s="46">
        <v>44909.0</v>
      </c>
      <c r="E1879" s="24">
        <v>4.58</v>
      </c>
      <c r="F1879" s="24">
        <v>18.85</v>
      </c>
      <c r="G1879" s="24">
        <v>0.41</v>
      </c>
      <c r="H1879" s="24" t="s">
        <v>6680</v>
      </c>
      <c r="I1879" s="24">
        <v>4.58</v>
      </c>
      <c r="J1879" s="24">
        <v>0.0</v>
      </c>
    </row>
    <row r="1880">
      <c r="A1880" s="24">
        <v>498.0</v>
      </c>
      <c r="B1880" s="24">
        <v>3.0</v>
      </c>
      <c r="C1880" s="44">
        <v>23.2</v>
      </c>
      <c r="D1880" s="46">
        <v>44909.0</v>
      </c>
      <c r="E1880" s="24">
        <v>7.73</v>
      </c>
      <c r="F1880" s="24">
        <v>46.59</v>
      </c>
      <c r="G1880" s="24">
        <v>0.6</v>
      </c>
      <c r="H1880" s="24" t="s">
        <v>6673</v>
      </c>
      <c r="I1880" s="24" t="s">
        <v>6650</v>
      </c>
      <c r="J1880" s="24">
        <v>0.0</v>
      </c>
    </row>
    <row r="1881">
      <c r="A1881" s="24">
        <v>489.0</v>
      </c>
      <c r="B1881" s="24">
        <v>4.0</v>
      </c>
      <c r="C1881" s="44">
        <v>13.14</v>
      </c>
      <c r="D1881" s="46">
        <v>44909.0</v>
      </c>
      <c r="E1881" s="24">
        <v>3.28</v>
      </c>
      <c r="F1881" s="24">
        <v>26.87</v>
      </c>
      <c r="G1881" s="24">
        <v>0.82</v>
      </c>
      <c r="H1881" s="24" t="s">
        <v>6677</v>
      </c>
      <c r="I1881" s="24">
        <v>13.14</v>
      </c>
      <c r="J1881" s="24">
        <v>0.0</v>
      </c>
    </row>
    <row r="1882">
      <c r="A1882" s="24">
        <v>386.0</v>
      </c>
      <c r="B1882" s="24">
        <v>5.0</v>
      </c>
      <c r="C1882" s="44">
        <v>13.25</v>
      </c>
      <c r="D1882" s="46">
        <v>44909.0</v>
      </c>
      <c r="E1882" s="24">
        <v>2.65</v>
      </c>
      <c r="F1882" s="24">
        <v>34.33</v>
      </c>
      <c r="G1882" s="24">
        <v>1.3</v>
      </c>
      <c r="H1882" s="24" t="s">
        <v>6675</v>
      </c>
      <c r="I1882" s="24" t="s">
        <v>6650</v>
      </c>
      <c r="J1882" s="24">
        <v>0.0</v>
      </c>
    </row>
    <row r="1883">
      <c r="A1883" s="24">
        <v>170.0</v>
      </c>
      <c r="B1883" s="24">
        <v>1.0</v>
      </c>
      <c r="C1883" s="44">
        <v>11.95</v>
      </c>
      <c r="D1883" s="46">
        <v>44909.0</v>
      </c>
      <c r="E1883" s="24">
        <v>11.95</v>
      </c>
      <c r="F1883" s="24">
        <v>70.29</v>
      </c>
      <c r="G1883" s="24">
        <v>0.59</v>
      </c>
      <c r="H1883" s="24" t="s">
        <v>6676</v>
      </c>
      <c r="I1883" s="24" t="s">
        <v>6650</v>
      </c>
      <c r="J1883" s="24">
        <v>0.0</v>
      </c>
    </row>
    <row r="1884">
      <c r="A1884" s="24">
        <v>500.0</v>
      </c>
      <c r="B1884" s="24">
        <v>4.0</v>
      </c>
      <c r="C1884" s="44">
        <v>21.63</v>
      </c>
      <c r="D1884" s="46">
        <v>44910.0</v>
      </c>
      <c r="E1884" s="24">
        <v>5.41</v>
      </c>
      <c r="F1884" s="24">
        <v>43.26</v>
      </c>
      <c r="G1884" s="24">
        <v>0.8</v>
      </c>
      <c r="H1884" s="24" t="s">
        <v>6673</v>
      </c>
      <c r="I1884" s="24" t="s">
        <v>6650</v>
      </c>
      <c r="J1884" s="24">
        <v>0.0</v>
      </c>
    </row>
    <row r="1885">
      <c r="A1885" s="24">
        <v>171.0</v>
      </c>
      <c r="B1885" s="24">
        <v>2.0</v>
      </c>
      <c r="C1885" s="44">
        <v>11.16</v>
      </c>
      <c r="D1885" s="46">
        <v>44910.0</v>
      </c>
      <c r="E1885" s="24">
        <v>5.58</v>
      </c>
      <c r="F1885" s="24">
        <v>65.26</v>
      </c>
      <c r="G1885" s="24">
        <v>1.17</v>
      </c>
      <c r="H1885" s="24" t="s">
        <v>6676</v>
      </c>
      <c r="I1885" s="24">
        <v>11.16</v>
      </c>
      <c r="J1885" s="24">
        <v>0.0</v>
      </c>
    </row>
    <row r="1886">
      <c r="A1886" s="24">
        <v>414.0</v>
      </c>
      <c r="B1886" s="24">
        <v>4.0</v>
      </c>
      <c r="C1886" s="44">
        <v>13.32</v>
      </c>
      <c r="D1886" s="46">
        <v>44910.0</v>
      </c>
      <c r="E1886" s="24">
        <v>3.33</v>
      </c>
      <c r="F1886" s="24">
        <v>32.17</v>
      </c>
      <c r="G1886" s="24">
        <v>0.97</v>
      </c>
      <c r="H1886" s="24" t="s">
        <v>6677</v>
      </c>
      <c r="I1886" s="24" t="s">
        <v>6650</v>
      </c>
      <c r="J1886" s="24">
        <v>0.0</v>
      </c>
    </row>
    <row r="1887">
      <c r="A1887" s="24">
        <v>680.0</v>
      </c>
      <c r="B1887" s="24">
        <v>1.0</v>
      </c>
      <c r="C1887" s="44">
        <v>13.04</v>
      </c>
      <c r="D1887" s="46">
        <v>44910.0</v>
      </c>
      <c r="E1887" s="24">
        <v>13.04</v>
      </c>
      <c r="F1887" s="24">
        <v>19.18</v>
      </c>
      <c r="G1887" s="24">
        <v>0.15</v>
      </c>
      <c r="H1887" s="24" t="s">
        <v>6680</v>
      </c>
      <c r="I1887" s="24" t="s">
        <v>6650</v>
      </c>
      <c r="J1887" s="24">
        <v>0.0</v>
      </c>
    </row>
    <row r="1888">
      <c r="A1888" s="24">
        <v>895.0</v>
      </c>
      <c r="B1888" s="24">
        <v>2.0</v>
      </c>
      <c r="C1888" s="44">
        <v>12.67</v>
      </c>
      <c r="D1888" s="46">
        <v>44910.0</v>
      </c>
      <c r="E1888" s="24">
        <v>6.34</v>
      </c>
      <c r="F1888" s="24">
        <v>14.16</v>
      </c>
      <c r="G1888" s="24">
        <v>0.22</v>
      </c>
      <c r="H1888" s="24" t="s">
        <v>6675</v>
      </c>
      <c r="I1888" s="24">
        <v>6.34</v>
      </c>
      <c r="J1888" s="24">
        <v>0.0</v>
      </c>
    </row>
    <row r="1889">
      <c r="A1889" s="24">
        <v>327.0</v>
      </c>
      <c r="B1889" s="24">
        <v>3.0</v>
      </c>
      <c r="C1889" s="44">
        <v>11.45</v>
      </c>
      <c r="D1889" s="46">
        <v>44911.0</v>
      </c>
      <c r="E1889" s="24">
        <v>3.82</v>
      </c>
      <c r="F1889" s="24">
        <v>35.02</v>
      </c>
      <c r="G1889" s="24">
        <v>0.92</v>
      </c>
      <c r="H1889" s="24" t="s">
        <v>6675</v>
      </c>
      <c r="I1889" s="24">
        <v>11.45</v>
      </c>
      <c r="J1889" s="24">
        <v>0.0</v>
      </c>
    </row>
    <row r="1890">
      <c r="A1890" s="24">
        <v>131.0</v>
      </c>
      <c r="B1890" s="24">
        <v>0.0</v>
      </c>
      <c r="C1890" s="44">
        <v>10.04</v>
      </c>
      <c r="D1890" s="46">
        <v>44911.0</v>
      </c>
      <c r="E1890" s="24" t="s">
        <v>6650</v>
      </c>
      <c r="F1890" s="24">
        <v>76.64</v>
      </c>
      <c r="G1890" s="24">
        <v>0.0</v>
      </c>
      <c r="H1890" s="24" t="s">
        <v>6676</v>
      </c>
      <c r="I1890" s="24" t="s">
        <v>6650</v>
      </c>
      <c r="J1890" s="24">
        <v>0.0</v>
      </c>
    </row>
    <row r="1891">
      <c r="A1891" s="24">
        <v>384.0</v>
      </c>
      <c r="B1891" s="24">
        <v>2.0</v>
      </c>
      <c r="C1891" s="44">
        <v>11.73</v>
      </c>
      <c r="D1891" s="46">
        <v>44911.0</v>
      </c>
      <c r="E1891" s="24">
        <v>5.86</v>
      </c>
      <c r="F1891" s="24">
        <v>30.55</v>
      </c>
      <c r="G1891" s="24">
        <v>0.52</v>
      </c>
      <c r="H1891" s="24" t="s">
        <v>6677</v>
      </c>
      <c r="I1891" s="24">
        <v>11.73</v>
      </c>
      <c r="J1891" s="24">
        <v>0.0</v>
      </c>
    </row>
    <row r="1892">
      <c r="A1892" s="24">
        <v>326.0</v>
      </c>
      <c r="B1892" s="24">
        <v>1.0</v>
      </c>
      <c r="C1892" s="44">
        <v>20.54</v>
      </c>
      <c r="D1892" s="46">
        <v>44911.0</v>
      </c>
      <c r="E1892" s="24">
        <v>20.54</v>
      </c>
      <c r="F1892" s="24">
        <v>63.01</v>
      </c>
      <c r="G1892" s="24">
        <v>0.31</v>
      </c>
      <c r="H1892" s="24" t="s">
        <v>6673</v>
      </c>
      <c r="I1892" s="24">
        <v>10.27</v>
      </c>
      <c r="J1892" s="24">
        <v>0.0</v>
      </c>
    </row>
    <row r="1893">
      <c r="A1893" s="24">
        <v>602.0</v>
      </c>
      <c r="B1893" s="24">
        <v>2.0</v>
      </c>
      <c r="C1893" s="44">
        <v>11.53</v>
      </c>
      <c r="D1893" s="46">
        <v>44911.0</v>
      </c>
      <c r="E1893" s="24">
        <v>5.76</v>
      </c>
      <c r="F1893" s="24">
        <v>19.15</v>
      </c>
      <c r="G1893" s="24">
        <v>0.33</v>
      </c>
      <c r="H1893" s="24" t="s">
        <v>6680</v>
      </c>
      <c r="I1893" s="24" t="s">
        <v>6650</v>
      </c>
      <c r="J1893" s="24">
        <v>0.0</v>
      </c>
    </row>
    <row r="1894">
      <c r="A1894" s="24">
        <v>205.0</v>
      </c>
      <c r="B1894" s="24">
        <v>4.0</v>
      </c>
      <c r="C1894" s="44">
        <v>6.45</v>
      </c>
      <c r="D1894" s="46">
        <v>44912.0</v>
      </c>
      <c r="E1894" s="24">
        <v>1.61</v>
      </c>
      <c r="F1894" s="24">
        <v>31.46</v>
      </c>
      <c r="G1894" s="24">
        <v>1.95</v>
      </c>
      <c r="H1894" s="24" t="s">
        <v>6677</v>
      </c>
      <c r="I1894" s="24" t="s">
        <v>6650</v>
      </c>
      <c r="J1894" s="24">
        <v>0.0</v>
      </c>
    </row>
    <row r="1895">
      <c r="A1895" s="24">
        <v>176.0</v>
      </c>
      <c r="B1895" s="24">
        <v>2.0</v>
      </c>
      <c r="C1895" s="44">
        <v>7.24</v>
      </c>
      <c r="D1895" s="46">
        <v>44912.0</v>
      </c>
      <c r="E1895" s="24">
        <v>3.62</v>
      </c>
      <c r="F1895" s="24">
        <v>41.14</v>
      </c>
      <c r="G1895" s="24">
        <v>1.14</v>
      </c>
      <c r="H1895" s="24" t="s">
        <v>6675</v>
      </c>
      <c r="I1895" s="24" t="s">
        <v>6650</v>
      </c>
      <c r="J1895" s="24">
        <v>0.0</v>
      </c>
    </row>
    <row r="1896">
      <c r="A1896" s="24">
        <v>415.0</v>
      </c>
      <c r="B1896" s="24">
        <v>3.0</v>
      </c>
      <c r="C1896" s="44">
        <v>6.08</v>
      </c>
      <c r="D1896" s="46">
        <v>44912.0</v>
      </c>
      <c r="E1896" s="24">
        <v>2.03</v>
      </c>
      <c r="F1896" s="24">
        <v>14.65</v>
      </c>
      <c r="G1896" s="24">
        <v>0.72</v>
      </c>
      <c r="H1896" s="24" t="s">
        <v>6680</v>
      </c>
      <c r="I1896" s="24" t="s">
        <v>6650</v>
      </c>
      <c r="J1896" s="24">
        <v>0.0</v>
      </c>
    </row>
    <row r="1897">
      <c r="A1897" s="24">
        <v>196.0</v>
      </c>
      <c r="B1897" s="24">
        <v>2.0</v>
      </c>
      <c r="C1897" s="44">
        <v>11.38</v>
      </c>
      <c r="D1897" s="46">
        <v>44912.0</v>
      </c>
      <c r="E1897" s="24">
        <v>5.69</v>
      </c>
      <c r="F1897" s="24">
        <v>58.06</v>
      </c>
      <c r="G1897" s="24">
        <v>1.02</v>
      </c>
      <c r="H1897" s="24" t="s">
        <v>6673</v>
      </c>
      <c r="I1897" s="24" t="s">
        <v>6650</v>
      </c>
      <c r="J1897" s="24">
        <v>0.0</v>
      </c>
    </row>
    <row r="1898">
      <c r="A1898" s="24">
        <v>68.0</v>
      </c>
      <c r="B1898" s="24">
        <v>0.0</v>
      </c>
      <c r="C1898" s="44">
        <v>5.89</v>
      </c>
      <c r="D1898" s="46">
        <v>44912.0</v>
      </c>
      <c r="E1898" s="24" t="s">
        <v>6650</v>
      </c>
      <c r="F1898" s="24">
        <v>86.62</v>
      </c>
      <c r="G1898" s="24">
        <v>0.0</v>
      </c>
      <c r="H1898" s="24" t="s">
        <v>6676</v>
      </c>
      <c r="I1898" s="24" t="s">
        <v>6650</v>
      </c>
      <c r="J1898" s="24">
        <v>0.0</v>
      </c>
    </row>
    <row r="1899">
      <c r="A1899" s="24">
        <v>147.0</v>
      </c>
      <c r="B1899" s="24">
        <v>0.0</v>
      </c>
      <c r="C1899" s="44">
        <v>9.38</v>
      </c>
      <c r="D1899" s="46">
        <v>44913.0</v>
      </c>
      <c r="E1899" s="24" t="s">
        <v>6650</v>
      </c>
      <c r="F1899" s="24">
        <v>63.81</v>
      </c>
      <c r="G1899" s="24">
        <v>0.0</v>
      </c>
      <c r="H1899" s="24" t="s">
        <v>6673</v>
      </c>
      <c r="I1899" s="24" t="s">
        <v>6650</v>
      </c>
      <c r="J1899" s="24">
        <v>0.0</v>
      </c>
    </row>
    <row r="1900">
      <c r="A1900" s="24">
        <v>373.0</v>
      </c>
      <c r="B1900" s="24">
        <v>2.0</v>
      </c>
      <c r="C1900" s="44">
        <v>5.32</v>
      </c>
      <c r="D1900" s="46">
        <v>44913.0</v>
      </c>
      <c r="E1900" s="24">
        <v>2.66</v>
      </c>
      <c r="F1900" s="24">
        <v>14.26</v>
      </c>
      <c r="G1900" s="24">
        <v>0.54</v>
      </c>
      <c r="H1900" s="24" t="s">
        <v>6680</v>
      </c>
      <c r="I1900" s="24" t="s">
        <v>6650</v>
      </c>
      <c r="J1900" s="24">
        <v>0.0</v>
      </c>
    </row>
    <row r="1901">
      <c r="A1901" s="24">
        <v>48.0</v>
      </c>
      <c r="B1901" s="24">
        <v>0.0</v>
      </c>
      <c r="C1901" s="44">
        <v>4.67</v>
      </c>
      <c r="D1901" s="46">
        <v>44913.0</v>
      </c>
      <c r="E1901" s="24" t="s">
        <v>6650</v>
      </c>
      <c r="F1901" s="24">
        <v>97.29</v>
      </c>
      <c r="G1901" s="24">
        <v>0.0</v>
      </c>
      <c r="H1901" s="24" t="s">
        <v>6676</v>
      </c>
      <c r="I1901" s="24" t="s">
        <v>6650</v>
      </c>
      <c r="J1901" s="24">
        <v>0.0</v>
      </c>
    </row>
    <row r="1902">
      <c r="A1902" s="24">
        <v>220.0</v>
      </c>
      <c r="B1902" s="24">
        <v>1.0</v>
      </c>
      <c r="C1902" s="44">
        <v>6.36</v>
      </c>
      <c r="D1902" s="46">
        <v>44913.0</v>
      </c>
      <c r="E1902" s="24">
        <v>6.36</v>
      </c>
      <c r="F1902" s="24">
        <v>28.91</v>
      </c>
      <c r="G1902" s="24">
        <v>0.45</v>
      </c>
      <c r="H1902" s="24" t="s">
        <v>6677</v>
      </c>
      <c r="I1902" s="24" t="s">
        <v>6650</v>
      </c>
      <c r="J1902" s="24">
        <v>0.0</v>
      </c>
    </row>
    <row r="1903">
      <c r="A1903" s="24">
        <v>211.0</v>
      </c>
      <c r="B1903" s="24">
        <v>4.0</v>
      </c>
      <c r="C1903" s="44">
        <v>6.74</v>
      </c>
      <c r="D1903" s="46">
        <v>44913.0</v>
      </c>
      <c r="E1903" s="24">
        <v>1.68</v>
      </c>
      <c r="F1903" s="24">
        <v>31.94</v>
      </c>
      <c r="G1903" s="24">
        <v>1.9</v>
      </c>
      <c r="H1903" s="24" t="s">
        <v>6675</v>
      </c>
      <c r="I1903" s="24" t="s">
        <v>6650</v>
      </c>
      <c r="J1903" s="24">
        <v>0.0</v>
      </c>
    </row>
    <row r="1904">
      <c r="A1904" s="24">
        <v>675.0</v>
      </c>
      <c r="B1904" s="24">
        <v>1.0</v>
      </c>
      <c r="C1904" s="44">
        <v>22.63</v>
      </c>
      <c r="D1904" s="46">
        <v>44914.0</v>
      </c>
      <c r="E1904" s="24">
        <v>22.63</v>
      </c>
      <c r="F1904" s="24">
        <v>33.53</v>
      </c>
      <c r="G1904" s="24">
        <v>0.15</v>
      </c>
      <c r="H1904" s="24" t="s">
        <v>6673</v>
      </c>
      <c r="I1904" s="24" t="s">
        <v>6650</v>
      </c>
      <c r="J1904" s="24">
        <v>0.0</v>
      </c>
    </row>
    <row r="1905">
      <c r="A1905" s="24">
        <v>955.0</v>
      </c>
      <c r="B1905" s="24">
        <v>7.0</v>
      </c>
      <c r="C1905" s="44">
        <v>12.86</v>
      </c>
      <c r="D1905" s="46">
        <v>44914.0</v>
      </c>
      <c r="E1905" s="24">
        <v>1.84</v>
      </c>
      <c r="F1905" s="24">
        <v>13.47</v>
      </c>
      <c r="G1905" s="24">
        <v>0.73</v>
      </c>
      <c r="H1905" s="24" t="s">
        <v>6675</v>
      </c>
      <c r="I1905" s="24" t="s">
        <v>6650</v>
      </c>
      <c r="J1905" s="24">
        <v>0.0</v>
      </c>
    </row>
    <row r="1906">
      <c r="A1906" s="24">
        <v>203.0</v>
      </c>
      <c r="B1906" s="24">
        <v>3.0</v>
      </c>
      <c r="C1906" s="44">
        <v>11.91</v>
      </c>
      <c r="D1906" s="46">
        <v>44914.0</v>
      </c>
      <c r="E1906" s="24">
        <v>3.97</v>
      </c>
      <c r="F1906" s="24">
        <v>58.67</v>
      </c>
      <c r="G1906" s="24">
        <v>1.48</v>
      </c>
      <c r="H1906" s="24" t="s">
        <v>6676</v>
      </c>
      <c r="I1906" s="24" t="s">
        <v>6650</v>
      </c>
      <c r="J1906" s="24">
        <v>0.0</v>
      </c>
    </row>
    <row r="1907">
      <c r="A1907" s="24">
        <v>406.0</v>
      </c>
      <c r="B1907" s="24">
        <v>4.0</v>
      </c>
      <c r="C1907" s="44">
        <v>13.0</v>
      </c>
      <c r="D1907" s="46">
        <v>44914.0</v>
      </c>
      <c r="E1907" s="24">
        <v>3.25</v>
      </c>
      <c r="F1907" s="24">
        <v>32.02</v>
      </c>
      <c r="G1907" s="24">
        <v>0.99</v>
      </c>
      <c r="H1907" s="24" t="s">
        <v>6677</v>
      </c>
      <c r="I1907" s="24" t="s">
        <v>6650</v>
      </c>
      <c r="J1907" s="24">
        <v>0.0</v>
      </c>
    </row>
    <row r="1908">
      <c r="A1908" s="24">
        <v>896.0</v>
      </c>
      <c r="B1908" s="24">
        <v>3.0</v>
      </c>
      <c r="C1908" s="44">
        <v>13.46</v>
      </c>
      <c r="D1908" s="46">
        <v>44914.0</v>
      </c>
      <c r="E1908" s="24">
        <v>4.49</v>
      </c>
      <c r="F1908" s="24">
        <v>15.02</v>
      </c>
      <c r="G1908" s="24">
        <v>0.33</v>
      </c>
      <c r="H1908" s="24" t="s">
        <v>6680</v>
      </c>
      <c r="I1908" s="24">
        <v>13.46</v>
      </c>
      <c r="J1908" s="24">
        <v>0.0</v>
      </c>
    </row>
    <row r="1909">
      <c r="A1909" s="24">
        <v>792.0</v>
      </c>
      <c r="B1909" s="24">
        <v>5.0</v>
      </c>
      <c r="C1909" s="44">
        <v>14.48</v>
      </c>
      <c r="D1909" s="46">
        <v>44915.0</v>
      </c>
      <c r="E1909" s="24">
        <v>2.9</v>
      </c>
      <c r="F1909" s="24">
        <v>18.28</v>
      </c>
      <c r="G1909" s="24">
        <v>0.63</v>
      </c>
      <c r="H1909" s="24" t="s">
        <v>6680</v>
      </c>
      <c r="I1909" s="24" t="s">
        <v>6650</v>
      </c>
      <c r="J1909" s="24">
        <v>0.0</v>
      </c>
    </row>
    <row r="1910">
      <c r="A1910" s="24">
        <v>536.0</v>
      </c>
      <c r="B1910" s="24">
        <v>1.0</v>
      </c>
      <c r="C1910" s="44">
        <v>13.22</v>
      </c>
      <c r="D1910" s="46">
        <v>44915.0</v>
      </c>
      <c r="E1910" s="24">
        <v>13.22</v>
      </c>
      <c r="F1910" s="24">
        <v>24.66</v>
      </c>
      <c r="G1910" s="24">
        <v>0.19</v>
      </c>
      <c r="H1910" s="24" t="s">
        <v>6675</v>
      </c>
      <c r="I1910" s="24">
        <v>6.61</v>
      </c>
      <c r="J1910" s="24">
        <v>0.0</v>
      </c>
    </row>
    <row r="1911">
      <c r="A1911" s="24">
        <v>218.0</v>
      </c>
      <c r="B1911" s="24">
        <v>1.0</v>
      </c>
      <c r="C1911" s="44">
        <v>12.53</v>
      </c>
      <c r="D1911" s="46">
        <v>44915.0</v>
      </c>
      <c r="E1911" s="24">
        <v>12.53</v>
      </c>
      <c r="F1911" s="24">
        <v>57.48</v>
      </c>
      <c r="G1911" s="24">
        <v>0.46</v>
      </c>
      <c r="H1911" s="24" t="s">
        <v>6676</v>
      </c>
      <c r="I1911" s="24">
        <v>12.53</v>
      </c>
      <c r="J1911" s="24">
        <v>0.0</v>
      </c>
    </row>
    <row r="1912">
      <c r="A1912" s="24">
        <v>451.0</v>
      </c>
      <c r="B1912" s="24">
        <v>2.0</v>
      </c>
      <c r="C1912" s="44">
        <v>13.19</v>
      </c>
      <c r="D1912" s="46">
        <v>44915.0</v>
      </c>
      <c r="E1912" s="24">
        <v>6.6</v>
      </c>
      <c r="F1912" s="24">
        <v>29.25</v>
      </c>
      <c r="G1912" s="24">
        <v>0.44</v>
      </c>
      <c r="H1912" s="24" t="s">
        <v>6677</v>
      </c>
      <c r="I1912" s="24">
        <v>13.19</v>
      </c>
      <c r="J1912" s="24">
        <v>0.0</v>
      </c>
    </row>
    <row r="1913">
      <c r="A1913" s="24">
        <v>667.0</v>
      </c>
      <c r="B1913" s="24">
        <v>1.0</v>
      </c>
      <c r="C1913" s="44">
        <v>24.39</v>
      </c>
      <c r="D1913" s="46">
        <v>44915.0</v>
      </c>
      <c r="E1913" s="24">
        <v>24.39</v>
      </c>
      <c r="F1913" s="24">
        <v>36.57</v>
      </c>
      <c r="G1913" s="24">
        <v>0.15</v>
      </c>
      <c r="H1913" s="24" t="s">
        <v>6673</v>
      </c>
      <c r="I1913" s="24" t="s">
        <v>6650</v>
      </c>
      <c r="J1913" s="24">
        <v>0.0</v>
      </c>
    </row>
    <row r="1914">
      <c r="A1914" s="24">
        <v>141.0</v>
      </c>
      <c r="B1914" s="24">
        <v>0.0</v>
      </c>
      <c r="C1914" s="44">
        <v>12.01</v>
      </c>
      <c r="D1914" s="46">
        <v>44916.0</v>
      </c>
      <c r="E1914" s="24" t="s">
        <v>6650</v>
      </c>
      <c r="F1914" s="24">
        <v>85.18</v>
      </c>
      <c r="G1914" s="24">
        <v>0.0</v>
      </c>
      <c r="H1914" s="24" t="s">
        <v>6676</v>
      </c>
      <c r="I1914" s="24" t="s">
        <v>6650</v>
      </c>
      <c r="J1914" s="24">
        <v>0.0</v>
      </c>
    </row>
    <row r="1915">
      <c r="A1915" s="24">
        <v>437.0</v>
      </c>
      <c r="B1915" s="24">
        <v>6.0</v>
      </c>
      <c r="C1915" s="44">
        <v>12.9</v>
      </c>
      <c r="D1915" s="46">
        <v>44916.0</v>
      </c>
      <c r="E1915" s="24">
        <v>2.15</v>
      </c>
      <c r="F1915" s="24">
        <v>29.52</v>
      </c>
      <c r="G1915" s="24">
        <v>1.37</v>
      </c>
      <c r="H1915" s="24" t="s">
        <v>6677</v>
      </c>
      <c r="I1915" s="24" t="s">
        <v>6650</v>
      </c>
      <c r="J1915" s="24">
        <v>0.0</v>
      </c>
    </row>
    <row r="1916">
      <c r="A1916" s="24">
        <v>493.0</v>
      </c>
      <c r="B1916" s="24">
        <v>3.0</v>
      </c>
      <c r="C1916" s="44">
        <v>23.19</v>
      </c>
      <c r="D1916" s="46">
        <v>44916.0</v>
      </c>
      <c r="E1916" s="24">
        <v>7.73</v>
      </c>
      <c r="F1916" s="24">
        <v>47.04</v>
      </c>
      <c r="G1916" s="24">
        <v>0.61</v>
      </c>
      <c r="H1916" s="24" t="s">
        <v>6673</v>
      </c>
      <c r="I1916" s="24" t="s">
        <v>6650</v>
      </c>
      <c r="J1916" s="24">
        <v>0.0</v>
      </c>
    </row>
    <row r="1917">
      <c r="A1917" s="24">
        <v>445.0</v>
      </c>
      <c r="B1917" s="24">
        <v>4.0</v>
      </c>
      <c r="C1917" s="44">
        <v>12.97</v>
      </c>
      <c r="D1917" s="46">
        <v>44916.0</v>
      </c>
      <c r="E1917" s="24">
        <v>3.24</v>
      </c>
      <c r="F1917" s="24">
        <v>29.15</v>
      </c>
      <c r="G1917" s="24">
        <v>0.9</v>
      </c>
      <c r="H1917" s="24" t="s">
        <v>6675</v>
      </c>
      <c r="I1917" s="24" t="s">
        <v>6650</v>
      </c>
      <c r="J1917" s="24">
        <v>0.0</v>
      </c>
    </row>
    <row r="1918">
      <c r="A1918" s="24">
        <v>888.0</v>
      </c>
      <c r="B1918" s="24">
        <v>6.0</v>
      </c>
      <c r="C1918" s="44">
        <v>13.38</v>
      </c>
      <c r="D1918" s="46">
        <v>44916.0</v>
      </c>
      <c r="E1918" s="24">
        <v>2.23</v>
      </c>
      <c r="F1918" s="24">
        <v>15.07</v>
      </c>
      <c r="G1918" s="24">
        <v>0.68</v>
      </c>
      <c r="H1918" s="24" t="s">
        <v>6680</v>
      </c>
      <c r="I1918" s="24">
        <v>6.69</v>
      </c>
      <c r="J1918" s="24">
        <v>0.0</v>
      </c>
    </row>
    <row r="1919">
      <c r="A1919" s="24">
        <v>440.0</v>
      </c>
      <c r="B1919" s="24">
        <v>4.0</v>
      </c>
      <c r="C1919" s="44">
        <v>12.73</v>
      </c>
      <c r="D1919" s="46">
        <v>44917.0</v>
      </c>
      <c r="E1919" s="24">
        <v>3.18</v>
      </c>
      <c r="F1919" s="24">
        <v>28.93</v>
      </c>
      <c r="G1919" s="24">
        <v>0.91</v>
      </c>
      <c r="H1919" s="24" t="s">
        <v>6675</v>
      </c>
      <c r="I1919" s="24">
        <v>12.73</v>
      </c>
      <c r="J1919" s="24">
        <v>0.0</v>
      </c>
    </row>
    <row r="1920">
      <c r="A1920" s="24">
        <v>423.0</v>
      </c>
      <c r="B1920" s="24">
        <v>4.0</v>
      </c>
      <c r="C1920" s="44">
        <v>13.16</v>
      </c>
      <c r="D1920" s="46">
        <v>44917.0</v>
      </c>
      <c r="E1920" s="24">
        <v>3.29</v>
      </c>
      <c r="F1920" s="24">
        <v>31.11</v>
      </c>
      <c r="G1920" s="24">
        <v>0.95</v>
      </c>
      <c r="H1920" s="24" t="s">
        <v>6677</v>
      </c>
      <c r="I1920" s="24" t="s">
        <v>6650</v>
      </c>
      <c r="J1920" s="24">
        <v>0.0</v>
      </c>
    </row>
    <row r="1921">
      <c r="A1921" s="24">
        <v>755.0</v>
      </c>
      <c r="B1921" s="24">
        <v>4.0</v>
      </c>
      <c r="C1921" s="44">
        <v>13.37</v>
      </c>
      <c r="D1921" s="46">
        <v>44917.0</v>
      </c>
      <c r="E1921" s="24">
        <v>3.34</v>
      </c>
      <c r="F1921" s="24">
        <v>17.71</v>
      </c>
      <c r="G1921" s="24">
        <v>0.53</v>
      </c>
      <c r="H1921" s="24" t="s">
        <v>6680</v>
      </c>
      <c r="I1921" s="24">
        <v>6.68</v>
      </c>
      <c r="J1921" s="24">
        <v>0.0</v>
      </c>
    </row>
    <row r="1922">
      <c r="A1922" s="24">
        <v>184.0</v>
      </c>
      <c r="B1922" s="24">
        <v>2.0</v>
      </c>
      <c r="C1922" s="44">
        <v>11.55</v>
      </c>
      <c r="D1922" s="46">
        <v>44917.0</v>
      </c>
      <c r="E1922" s="24">
        <v>5.78</v>
      </c>
      <c r="F1922" s="24">
        <v>62.77</v>
      </c>
      <c r="G1922" s="24">
        <v>1.09</v>
      </c>
      <c r="H1922" s="24" t="s">
        <v>6676</v>
      </c>
      <c r="I1922" s="24" t="s">
        <v>6650</v>
      </c>
      <c r="J1922" s="24">
        <v>0.0</v>
      </c>
    </row>
    <row r="1923">
      <c r="A1923" s="24">
        <v>422.0</v>
      </c>
      <c r="B1923" s="24">
        <v>2.0</v>
      </c>
      <c r="C1923" s="44">
        <v>22.07</v>
      </c>
      <c r="D1923" s="46">
        <v>44917.0</v>
      </c>
      <c r="E1923" s="24">
        <v>11.04</v>
      </c>
      <c r="F1923" s="24">
        <v>52.3</v>
      </c>
      <c r="G1923" s="24">
        <v>0.47</v>
      </c>
      <c r="H1923" s="24" t="s">
        <v>6673</v>
      </c>
      <c r="I1923" s="24" t="s">
        <v>6650</v>
      </c>
      <c r="J1923" s="24">
        <v>0.0</v>
      </c>
    </row>
    <row r="1924">
      <c r="A1924" s="24">
        <v>239.0</v>
      </c>
      <c r="B1924" s="24">
        <v>2.0</v>
      </c>
      <c r="C1924" s="44">
        <v>11.99</v>
      </c>
      <c r="D1924" s="46">
        <v>44918.0</v>
      </c>
      <c r="E1924" s="24">
        <v>6.0</v>
      </c>
      <c r="F1924" s="24">
        <v>50.17</v>
      </c>
      <c r="G1924" s="24">
        <v>0.84</v>
      </c>
      <c r="H1924" s="24" t="s">
        <v>6677</v>
      </c>
      <c r="I1924" s="24">
        <v>11.99</v>
      </c>
      <c r="J1924" s="24">
        <v>0.0</v>
      </c>
    </row>
    <row r="1925">
      <c r="A1925" s="24">
        <v>710.0</v>
      </c>
      <c r="B1925" s="24">
        <v>3.0</v>
      </c>
      <c r="C1925" s="44">
        <v>11.61</v>
      </c>
      <c r="D1925" s="46">
        <v>44918.0</v>
      </c>
      <c r="E1925" s="24">
        <v>3.87</v>
      </c>
      <c r="F1925" s="24">
        <v>16.35</v>
      </c>
      <c r="G1925" s="24">
        <v>0.42</v>
      </c>
      <c r="H1925" s="24" t="s">
        <v>6680</v>
      </c>
      <c r="I1925" s="24">
        <v>11.61</v>
      </c>
      <c r="J1925" s="24">
        <v>0.0</v>
      </c>
    </row>
    <row r="1926">
      <c r="A1926" s="24">
        <v>293.0</v>
      </c>
      <c r="B1926" s="24">
        <v>5.0</v>
      </c>
      <c r="C1926" s="44">
        <v>11.38</v>
      </c>
      <c r="D1926" s="46">
        <v>44918.0</v>
      </c>
      <c r="E1926" s="24">
        <v>2.28</v>
      </c>
      <c r="F1926" s="24">
        <v>38.84</v>
      </c>
      <c r="G1926" s="24">
        <v>1.71</v>
      </c>
      <c r="H1926" s="24" t="s">
        <v>6675</v>
      </c>
      <c r="I1926" s="24" t="s">
        <v>6650</v>
      </c>
      <c r="J1926" s="24">
        <v>0.0</v>
      </c>
    </row>
    <row r="1927">
      <c r="A1927" s="24">
        <v>131.0</v>
      </c>
      <c r="B1927" s="24">
        <v>2.0</v>
      </c>
      <c r="C1927" s="44">
        <v>10.98</v>
      </c>
      <c r="D1927" s="46">
        <v>44918.0</v>
      </c>
      <c r="E1927" s="24">
        <v>5.49</v>
      </c>
      <c r="F1927" s="24">
        <v>83.82</v>
      </c>
      <c r="G1927" s="24">
        <v>1.53</v>
      </c>
      <c r="H1927" s="24" t="s">
        <v>6676</v>
      </c>
      <c r="I1927" s="24" t="s">
        <v>6650</v>
      </c>
      <c r="J1927" s="24">
        <v>0.0</v>
      </c>
    </row>
    <row r="1928">
      <c r="A1928" s="24">
        <v>286.0</v>
      </c>
      <c r="B1928" s="24">
        <v>1.0</v>
      </c>
      <c r="C1928" s="44">
        <v>20.52</v>
      </c>
      <c r="D1928" s="46">
        <v>44918.0</v>
      </c>
      <c r="E1928" s="24">
        <v>20.52</v>
      </c>
      <c r="F1928" s="24">
        <v>71.75</v>
      </c>
      <c r="G1928" s="24">
        <v>0.35</v>
      </c>
      <c r="H1928" s="24" t="s">
        <v>6673</v>
      </c>
      <c r="I1928" s="24" t="s">
        <v>6650</v>
      </c>
      <c r="J1928" s="24">
        <v>0.0</v>
      </c>
    </row>
    <row r="1929">
      <c r="A1929" s="24">
        <v>167.0</v>
      </c>
      <c r="B1929" s="24">
        <v>0.0</v>
      </c>
      <c r="C1929" s="44">
        <v>11.07</v>
      </c>
      <c r="D1929" s="46">
        <v>44919.0</v>
      </c>
      <c r="E1929" s="24" t="s">
        <v>6650</v>
      </c>
      <c r="F1929" s="24">
        <v>66.29</v>
      </c>
      <c r="G1929" s="24">
        <v>0.0</v>
      </c>
      <c r="H1929" s="24" t="s">
        <v>6673</v>
      </c>
      <c r="I1929" s="24" t="s">
        <v>6650</v>
      </c>
      <c r="J1929" s="24">
        <v>0.0</v>
      </c>
    </row>
    <row r="1930">
      <c r="A1930" s="24">
        <v>162.0</v>
      </c>
      <c r="B1930" s="24">
        <v>0.0</v>
      </c>
      <c r="C1930" s="44">
        <v>6.48</v>
      </c>
      <c r="D1930" s="46">
        <v>44919.0</v>
      </c>
      <c r="E1930" s="24" t="s">
        <v>6650</v>
      </c>
      <c r="F1930" s="24">
        <v>40.0</v>
      </c>
      <c r="G1930" s="24">
        <v>0.0</v>
      </c>
      <c r="H1930" s="24" t="s">
        <v>6677</v>
      </c>
      <c r="I1930" s="24" t="s">
        <v>6650</v>
      </c>
      <c r="J1930" s="24">
        <v>0.0</v>
      </c>
    </row>
    <row r="1931">
      <c r="A1931" s="24">
        <v>383.0</v>
      </c>
      <c r="B1931" s="24">
        <v>0.0</v>
      </c>
      <c r="C1931" s="44">
        <v>5.46</v>
      </c>
      <c r="D1931" s="46">
        <v>44919.0</v>
      </c>
      <c r="E1931" s="24" t="s">
        <v>6650</v>
      </c>
      <c r="F1931" s="24">
        <v>14.26</v>
      </c>
      <c r="G1931" s="24">
        <v>0.0</v>
      </c>
      <c r="H1931" s="24" t="s">
        <v>6680</v>
      </c>
      <c r="I1931" s="24" t="s">
        <v>6650</v>
      </c>
      <c r="J1931" s="24">
        <v>0.0</v>
      </c>
    </row>
    <row r="1932">
      <c r="A1932" s="24">
        <v>75.0</v>
      </c>
      <c r="B1932" s="24">
        <v>0.0</v>
      </c>
      <c r="C1932" s="44">
        <v>5.91</v>
      </c>
      <c r="D1932" s="46">
        <v>44919.0</v>
      </c>
      <c r="E1932" s="24" t="s">
        <v>6650</v>
      </c>
      <c r="F1932" s="24">
        <v>78.8</v>
      </c>
      <c r="G1932" s="24">
        <v>0.0</v>
      </c>
      <c r="H1932" s="24" t="s">
        <v>6676</v>
      </c>
      <c r="I1932" s="24" t="s">
        <v>6650</v>
      </c>
      <c r="J1932" s="24">
        <v>0.0</v>
      </c>
    </row>
    <row r="1933">
      <c r="A1933" s="24">
        <v>220.0</v>
      </c>
      <c r="B1933" s="24">
        <v>0.0</v>
      </c>
      <c r="C1933" s="44">
        <v>7.11</v>
      </c>
      <c r="D1933" s="46">
        <v>44919.0</v>
      </c>
      <c r="E1933" s="24" t="s">
        <v>6650</v>
      </c>
      <c r="F1933" s="24">
        <v>32.32</v>
      </c>
      <c r="G1933" s="24">
        <v>0.0</v>
      </c>
      <c r="H1933" s="24" t="s">
        <v>6675</v>
      </c>
      <c r="I1933" s="24">
        <v>7.11</v>
      </c>
      <c r="J1933" s="24">
        <v>0.0</v>
      </c>
    </row>
    <row r="1934">
      <c r="A1934" s="24">
        <v>534.0</v>
      </c>
      <c r="B1934" s="24">
        <v>1.0</v>
      </c>
      <c r="C1934" s="44">
        <v>5.24</v>
      </c>
      <c r="D1934" s="46">
        <v>44920.0</v>
      </c>
      <c r="E1934" s="24">
        <v>5.24</v>
      </c>
      <c r="F1934" s="24">
        <v>9.81</v>
      </c>
      <c r="G1934" s="24">
        <v>0.19</v>
      </c>
      <c r="H1934" s="24" t="s">
        <v>6680</v>
      </c>
      <c r="I1934" s="24">
        <v>5.24</v>
      </c>
      <c r="J1934" s="24">
        <v>0.0</v>
      </c>
    </row>
    <row r="1935">
      <c r="A1935" s="24">
        <v>244.0</v>
      </c>
      <c r="B1935" s="24">
        <v>2.0</v>
      </c>
      <c r="C1935" s="44">
        <v>6.73</v>
      </c>
      <c r="D1935" s="46">
        <v>44920.0</v>
      </c>
      <c r="E1935" s="24">
        <v>3.36</v>
      </c>
      <c r="F1935" s="24">
        <v>27.58</v>
      </c>
      <c r="G1935" s="24">
        <v>0.82</v>
      </c>
      <c r="H1935" s="24" t="s">
        <v>6675</v>
      </c>
      <c r="I1935" s="24">
        <v>6.73</v>
      </c>
      <c r="J1935" s="24">
        <v>0.0</v>
      </c>
    </row>
    <row r="1936">
      <c r="A1936" s="24">
        <v>265.0</v>
      </c>
      <c r="B1936" s="24">
        <v>5.0</v>
      </c>
      <c r="C1936" s="44">
        <v>6.28</v>
      </c>
      <c r="D1936" s="46">
        <v>44920.0</v>
      </c>
      <c r="E1936" s="24">
        <v>1.26</v>
      </c>
      <c r="F1936" s="24">
        <v>23.7</v>
      </c>
      <c r="G1936" s="24">
        <v>1.89</v>
      </c>
      <c r="H1936" s="24" t="s">
        <v>6677</v>
      </c>
      <c r="I1936" s="24">
        <v>6.28</v>
      </c>
      <c r="J1936" s="24">
        <v>0.0</v>
      </c>
    </row>
    <row r="1937">
      <c r="A1937" s="24">
        <v>95.0</v>
      </c>
      <c r="B1937" s="24">
        <v>0.0</v>
      </c>
      <c r="C1937" s="44">
        <v>5.11</v>
      </c>
      <c r="D1937" s="46">
        <v>44920.0</v>
      </c>
      <c r="E1937" s="24" t="s">
        <v>6650</v>
      </c>
      <c r="F1937" s="24">
        <v>53.79</v>
      </c>
      <c r="G1937" s="24">
        <v>0.0</v>
      </c>
      <c r="H1937" s="24" t="s">
        <v>6676</v>
      </c>
      <c r="I1937" s="24" t="s">
        <v>6650</v>
      </c>
      <c r="J1937" s="24">
        <v>0.0</v>
      </c>
    </row>
    <row r="1938">
      <c r="A1938" s="24">
        <v>178.0</v>
      </c>
      <c r="B1938" s="24">
        <v>2.0</v>
      </c>
      <c r="C1938" s="44">
        <v>9.13</v>
      </c>
      <c r="D1938" s="46">
        <v>44920.0</v>
      </c>
      <c r="E1938" s="24">
        <v>4.57</v>
      </c>
      <c r="F1938" s="24">
        <v>51.29</v>
      </c>
      <c r="G1938" s="24">
        <v>1.12</v>
      </c>
      <c r="H1938" s="24" t="s">
        <v>6673</v>
      </c>
      <c r="I1938" s="24" t="s">
        <v>6650</v>
      </c>
      <c r="J1938" s="24">
        <v>0.0</v>
      </c>
    </row>
    <row r="1939">
      <c r="A1939" s="24">
        <v>882.0</v>
      </c>
      <c r="B1939" s="24">
        <v>4.0</v>
      </c>
      <c r="C1939" s="44">
        <v>13.52</v>
      </c>
      <c r="D1939" s="46">
        <v>44921.0</v>
      </c>
      <c r="E1939" s="24">
        <v>3.38</v>
      </c>
      <c r="F1939" s="24">
        <v>15.33</v>
      </c>
      <c r="G1939" s="24">
        <v>0.45</v>
      </c>
      <c r="H1939" s="24" t="s">
        <v>6680</v>
      </c>
      <c r="I1939" s="24" t="s">
        <v>6650</v>
      </c>
      <c r="J1939" s="24">
        <v>0.0</v>
      </c>
    </row>
    <row r="1940">
      <c r="A1940" s="24">
        <v>166.0</v>
      </c>
      <c r="B1940" s="24">
        <v>0.0</v>
      </c>
      <c r="C1940" s="44">
        <v>11.52</v>
      </c>
      <c r="D1940" s="46">
        <v>44921.0</v>
      </c>
      <c r="E1940" s="24" t="s">
        <v>6650</v>
      </c>
      <c r="F1940" s="24">
        <v>69.4</v>
      </c>
      <c r="G1940" s="24">
        <v>0.0</v>
      </c>
      <c r="H1940" s="24" t="s">
        <v>6676</v>
      </c>
      <c r="I1940" s="24" t="s">
        <v>6650</v>
      </c>
      <c r="J1940" s="24">
        <v>0.0</v>
      </c>
    </row>
    <row r="1941">
      <c r="A1941" s="24">
        <v>390.0</v>
      </c>
      <c r="B1941" s="24">
        <v>1.0</v>
      </c>
      <c r="C1941" s="44">
        <v>22.0</v>
      </c>
      <c r="D1941" s="46">
        <v>44921.0</v>
      </c>
      <c r="E1941" s="24">
        <v>22.0</v>
      </c>
      <c r="F1941" s="24">
        <v>56.41</v>
      </c>
      <c r="G1941" s="24">
        <v>0.26</v>
      </c>
      <c r="H1941" s="24" t="s">
        <v>6673</v>
      </c>
      <c r="I1941" s="24" t="s">
        <v>6650</v>
      </c>
      <c r="J1941" s="24">
        <v>0.0</v>
      </c>
    </row>
    <row r="1942">
      <c r="A1942" s="24">
        <v>421.0</v>
      </c>
      <c r="B1942" s="24">
        <v>7.0</v>
      </c>
      <c r="C1942" s="44">
        <v>13.05</v>
      </c>
      <c r="D1942" s="46">
        <v>44921.0</v>
      </c>
      <c r="E1942" s="24">
        <v>1.86</v>
      </c>
      <c r="F1942" s="24">
        <v>31.0</v>
      </c>
      <c r="G1942" s="24">
        <v>1.66</v>
      </c>
      <c r="H1942" s="24" t="s">
        <v>6677</v>
      </c>
      <c r="I1942" s="24" t="s">
        <v>6650</v>
      </c>
      <c r="J1942" s="24">
        <v>0.0</v>
      </c>
    </row>
    <row r="1943">
      <c r="A1943" s="24">
        <v>515.0</v>
      </c>
      <c r="B1943" s="24">
        <v>5.0</v>
      </c>
      <c r="C1943" s="44">
        <v>12.89</v>
      </c>
      <c r="D1943" s="46">
        <v>44921.0</v>
      </c>
      <c r="E1943" s="24">
        <v>2.58</v>
      </c>
      <c r="F1943" s="24">
        <v>25.03</v>
      </c>
      <c r="G1943" s="24">
        <v>0.97</v>
      </c>
      <c r="H1943" s="24" t="s">
        <v>6675</v>
      </c>
      <c r="I1943" s="24" t="s">
        <v>6650</v>
      </c>
      <c r="J1943" s="24">
        <v>0.0</v>
      </c>
    </row>
    <row r="1944">
      <c r="A1944" s="24">
        <v>629.0</v>
      </c>
      <c r="B1944" s="24">
        <v>5.0</v>
      </c>
      <c r="C1944" s="44">
        <v>22.22</v>
      </c>
      <c r="D1944" s="46">
        <v>44922.0</v>
      </c>
      <c r="E1944" s="24">
        <v>4.44</v>
      </c>
      <c r="F1944" s="24">
        <v>35.33</v>
      </c>
      <c r="G1944" s="24">
        <v>0.79</v>
      </c>
      <c r="H1944" s="24" t="s">
        <v>6673</v>
      </c>
      <c r="I1944" s="24" t="s">
        <v>6650</v>
      </c>
      <c r="J1944" s="24">
        <v>0.0</v>
      </c>
    </row>
    <row r="1945">
      <c r="A1945" s="24">
        <v>689.0</v>
      </c>
      <c r="B1945" s="24">
        <v>5.0</v>
      </c>
      <c r="C1945" s="44">
        <v>12.58</v>
      </c>
      <c r="D1945" s="46">
        <v>44922.0</v>
      </c>
      <c r="E1945" s="24">
        <v>2.52</v>
      </c>
      <c r="F1945" s="24">
        <v>18.26</v>
      </c>
      <c r="G1945" s="24">
        <v>0.73</v>
      </c>
      <c r="H1945" s="24" t="s">
        <v>6675</v>
      </c>
      <c r="I1945" s="24" t="s">
        <v>6650</v>
      </c>
      <c r="J1945" s="24">
        <v>0.0</v>
      </c>
    </row>
    <row r="1946">
      <c r="A1946" s="24">
        <v>321.0</v>
      </c>
      <c r="B1946" s="24">
        <v>0.0</v>
      </c>
      <c r="C1946" s="44">
        <v>20.91</v>
      </c>
      <c r="D1946" s="46">
        <v>44922.0</v>
      </c>
      <c r="E1946" s="24" t="s">
        <v>6650</v>
      </c>
      <c r="F1946" s="24">
        <v>65.14</v>
      </c>
      <c r="G1946" s="24">
        <v>0.0</v>
      </c>
      <c r="H1946" s="24" t="s">
        <v>6676</v>
      </c>
      <c r="I1946" s="24" t="s">
        <v>6650</v>
      </c>
      <c r="J1946" s="24">
        <v>0.0</v>
      </c>
    </row>
    <row r="1947">
      <c r="A1947" s="24">
        <v>904.0</v>
      </c>
      <c r="B1947" s="24">
        <v>1.0</v>
      </c>
      <c r="C1947" s="44">
        <v>12.53</v>
      </c>
      <c r="D1947" s="46">
        <v>44922.0</v>
      </c>
      <c r="E1947" s="24">
        <v>12.53</v>
      </c>
      <c r="F1947" s="24">
        <v>13.86</v>
      </c>
      <c r="G1947" s="24">
        <v>0.11</v>
      </c>
      <c r="H1947" s="24" t="s">
        <v>6680</v>
      </c>
      <c r="I1947" s="24" t="s">
        <v>6650</v>
      </c>
      <c r="J1947" s="24">
        <v>0.0</v>
      </c>
    </row>
    <row r="1948">
      <c r="A1948" s="24">
        <v>253.0</v>
      </c>
      <c r="B1948" s="24">
        <v>1.0</v>
      </c>
      <c r="C1948" s="44">
        <v>12.56</v>
      </c>
      <c r="D1948" s="46">
        <v>44922.0</v>
      </c>
      <c r="E1948" s="24">
        <v>12.56</v>
      </c>
      <c r="F1948" s="24">
        <v>49.64</v>
      </c>
      <c r="G1948" s="24">
        <v>0.4</v>
      </c>
      <c r="H1948" s="24" t="s">
        <v>6677</v>
      </c>
      <c r="I1948" s="24" t="s">
        <v>6650</v>
      </c>
      <c r="J1948" s="24">
        <v>0.0</v>
      </c>
    </row>
    <row r="1949">
      <c r="A1949" s="24">
        <v>708.0</v>
      </c>
      <c r="B1949" s="24">
        <v>5.0</v>
      </c>
      <c r="C1949" s="44">
        <v>24.3</v>
      </c>
      <c r="D1949" s="46">
        <v>44923.0</v>
      </c>
      <c r="E1949" s="24">
        <v>4.86</v>
      </c>
      <c r="F1949" s="24">
        <v>34.32</v>
      </c>
      <c r="G1949" s="24">
        <v>0.71</v>
      </c>
      <c r="H1949" s="24" t="s">
        <v>6673</v>
      </c>
      <c r="I1949" s="24" t="s">
        <v>6650</v>
      </c>
      <c r="J1949" s="24">
        <v>0.0</v>
      </c>
    </row>
    <row r="1950">
      <c r="A1950" s="24">
        <v>350.0</v>
      </c>
      <c r="B1950" s="24">
        <v>4.0</v>
      </c>
      <c r="C1950" s="44">
        <v>13.2</v>
      </c>
      <c r="D1950" s="46">
        <v>44923.0</v>
      </c>
      <c r="E1950" s="24">
        <v>3.3</v>
      </c>
      <c r="F1950" s="24">
        <v>37.71</v>
      </c>
      <c r="G1950" s="24">
        <v>1.14</v>
      </c>
      <c r="H1950" s="24" t="s">
        <v>6677</v>
      </c>
      <c r="I1950" s="24" t="s">
        <v>6650</v>
      </c>
      <c r="J1950" s="24">
        <v>0.0</v>
      </c>
    </row>
    <row r="1951">
      <c r="A1951" s="24">
        <v>331.0</v>
      </c>
      <c r="B1951" s="24">
        <v>2.0</v>
      </c>
      <c r="C1951" s="44">
        <v>22.0</v>
      </c>
      <c r="D1951" s="46">
        <v>44923.0</v>
      </c>
      <c r="E1951" s="24">
        <v>11.0</v>
      </c>
      <c r="F1951" s="24">
        <v>66.47</v>
      </c>
      <c r="G1951" s="24">
        <v>0.6</v>
      </c>
      <c r="H1951" s="24" t="s">
        <v>6676</v>
      </c>
      <c r="I1951" s="24" t="s">
        <v>6650</v>
      </c>
      <c r="J1951" s="24">
        <v>0.0</v>
      </c>
    </row>
    <row r="1952">
      <c r="A1952" s="24">
        <v>801.0</v>
      </c>
      <c r="B1952" s="24">
        <v>5.0</v>
      </c>
      <c r="C1952" s="44">
        <v>14.53</v>
      </c>
      <c r="D1952" s="46">
        <v>44923.0</v>
      </c>
      <c r="E1952" s="24">
        <v>2.91</v>
      </c>
      <c r="F1952" s="24">
        <v>18.14</v>
      </c>
      <c r="G1952" s="24">
        <v>0.62</v>
      </c>
      <c r="H1952" s="24" t="s">
        <v>6680</v>
      </c>
      <c r="I1952" s="24">
        <v>14.53</v>
      </c>
      <c r="J1952" s="24">
        <v>0.0</v>
      </c>
    </row>
    <row r="1953">
      <c r="A1953" s="24">
        <v>569.0</v>
      </c>
      <c r="B1953" s="24">
        <v>5.0</v>
      </c>
      <c r="C1953" s="44">
        <v>13.63</v>
      </c>
      <c r="D1953" s="46">
        <v>44923.0</v>
      </c>
      <c r="E1953" s="24">
        <v>2.73</v>
      </c>
      <c r="F1953" s="24">
        <v>23.95</v>
      </c>
      <c r="G1953" s="24">
        <v>0.88</v>
      </c>
      <c r="H1953" s="24" t="s">
        <v>6675</v>
      </c>
      <c r="I1953" s="24" t="s">
        <v>6650</v>
      </c>
      <c r="J1953" s="24">
        <v>0.0</v>
      </c>
    </row>
    <row r="1954">
      <c r="A1954" s="24">
        <v>338.0</v>
      </c>
      <c r="B1954" s="24">
        <v>2.0</v>
      </c>
      <c r="C1954" s="44">
        <v>13.07</v>
      </c>
      <c r="D1954" s="46">
        <v>44924.0</v>
      </c>
      <c r="E1954" s="24">
        <v>6.54</v>
      </c>
      <c r="F1954" s="24">
        <v>38.67</v>
      </c>
      <c r="G1954" s="24">
        <v>0.59</v>
      </c>
      <c r="H1954" s="24" t="s">
        <v>6677</v>
      </c>
      <c r="I1954" s="24" t="s">
        <v>6650</v>
      </c>
      <c r="J1954" s="24">
        <v>0.0</v>
      </c>
    </row>
    <row r="1955">
      <c r="A1955" s="24">
        <v>279.0</v>
      </c>
      <c r="B1955" s="24">
        <v>1.0</v>
      </c>
      <c r="C1955" s="44">
        <v>21.86</v>
      </c>
      <c r="D1955" s="46">
        <v>44924.0</v>
      </c>
      <c r="E1955" s="24">
        <v>21.86</v>
      </c>
      <c r="F1955" s="24">
        <v>78.35</v>
      </c>
      <c r="G1955" s="24">
        <v>0.36</v>
      </c>
      <c r="H1955" s="24" t="s">
        <v>6676</v>
      </c>
      <c r="I1955" s="24" t="s">
        <v>6650</v>
      </c>
      <c r="J1955" s="24">
        <v>0.0</v>
      </c>
    </row>
    <row r="1956">
      <c r="A1956" s="24">
        <v>432.0</v>
      </c>
      <c r="B1956" s="24">
        <v>1.0</v>
      </c>
      <c r="C1956" s="44">
        <v>12.59</v>
      </c>
      <c r="D1956" s="46">
        <v>44924.0</v>
      </c>
      <c r="E1956" s="24">
        <v>12.59</v>
      </c>
      <c r="F1956" s="24">
        <v>29.14</v>
      </c>
      <c r="G1956" s="24">
        <v>0.23</v>
      </c>
      <c r="H1956" s="24" t="s">
        <v>6675</v>
      </c>
      <c r="I1956" s="24" t="s">
        <v>6650</v>
      </c>
      <c r="J1956" s="24">
        <v>0.0</v>
      </c>
    </row>
    <row r="1957">
      <c r="A1957" s="24">
        <v>568.0</v>
      </c>
      <c r="B1957" s="24">
        <v>4.0</v>
      </c>
      <c r="C1957" s="44">
        <v>23.65</v>
      </c>
      <c r="D1957" s="46">
        <v>44924.0</v>
      </c>
      <c r="E1957" s="24">
        <v>5.91</v>
      </c>
      <c r="F1957" s="24">
        <v>41.64</v>
      </c>
      <c r="G1957" s="24">
        <v>0.7</v>
      </c>
      <c r="H1957" s="24" t="s">
        <v>6673</v>
      </c>
      <c r="I1957" s="24">
        <v>23.65</v>
      </c>
      <c r="J1957" s="24">
        <v>0.0</v>
      </c>
    </row>
    <row r="1958">
      <c r="A1958" s="24">
        <v>789.0</v>
      </c>
      <c r="B1958" s="24">
        <v>3.0</v>
      </c>
      <c r="C1958" s="44">
        <v>13.36</v>
      </c>
      <c r="D1958" s="46">
        <v>44924.0</v>
      </c>
      <c r="E1958" s="24">
        <v>4.45</v>
      </c>
      <c r="F1958" s="24">
        <v>16.93</v>
      </c>
      <c r="G1958" s="24">
        <v>0.38</v>
      </c>
      <c r="H1958" s="24" t="s">
        <v>6680</v>
      </c>
      <c r="I1958" s="24" t="s">
        <v>6650</v>
      </c>
      <c r="J1958" s="24">
        <v>0.0</v>
      </c>
    </row>
    <row r="1959">
      <c r="A1959" s="24">
        <v>460.0</v>
      </c>
      <c r="B1959" s="24">
        <v>2.0</v>
      </c>
      <c r="C1959" s="44">
        <v>21.66</v>
      </c>
      <c r="D1959" s="46">
        <v>44925.0</v>
      </c>
      <c r="E1959" s="24">
        <v>10.83</v>
      </c>
      <c r="F1959" s="24">
        <v>47.09</v>
      </c>
      <c r="G1959" s="24">
        <v>0.43</v>
      </c>
      <c r="H1959" s="24" t="s">
        <v>6673</v>
      </c>
      <c r="I1959" s="24" t="s">
        <v>6650</v>
      </c>
      <c r="J1959" s="24">
        <v>0.0</v>
      </c>
    </row>
    <row r="1960">
      <c r="A1960" s="24">
        <v>509.0</v>
      </c>
      <c r="B1960" s="24">
        <v>5.0</v>
      </c>
      <c r="C1960" s="44">
        <v>11.36</v>
      </c>
      <c r="D1960" s="46">
        <v>44925.0</v>
      </c>
      <c r="E1960" s="24">
        <v>2.27</v>
      </c>
      <c r="F1960" s="24">
        <v>22.32</v>
      </c>
      <c r="G1960" s="24">
        <v>0.98</v>
      </c>
      <c r="H1960" s="24" t="s">
        <v>6675</v>
      </c>
      <c r="I1960" s="24" t="s">
        <v>6650</v>
      </c>
      <c r="J1960" s="24">
        <v>0.0</v>
      </c>
    </row>
    <row r="1961">
      <c r="A1961" s="24">
        <v>341.0</v>
      </c>
      <c r="B1961" s="24">
        <v>7.0</v>
      </c>
      <c r="C1961" s="44">
        <v>12.07</v>
      </c>
      <c r="D1961" s="46">
        <v>44925.0</v>
      </c>
      <c r="E1961" s="24">
        <v>1.72</v>
      </c>
      <c r="F1961" s="24">
        <v>35.4</v>
      </c>
      <c r="G1961" s="24">
        <v>2.05</v>
      </c>
      <c r="H1961" s="24" t="s">
        <v>6677</v>
      </c>
      <c r="I1961" s="24">
        <v>12.07</v>
      </c>
      <c r="J1961" s="24">
        <v>0.0</v>
      </c>
    </row>
    <row r="1962">
      <c r="A1962" s="24">
        <v>660.0</v>
      </c>
      <c r="B1962" s="24">
        <v>4.0</v>
      </c>
      <c r="C1962" s="44">
        <v>12.33</v>
      </c>
      <c r="D1962" s="46">
        <v>44925.0</v>
      </c>
      <c r="E1962" s="24">
        <v>3.08</v>
      </c>
      <c r="F1962" s="24">
        <v>18.68</v>
      </c>
      <c r="G1962" s="24">
        <v>0.61</v>
      </c>
      <c r="H1962" s="24" t="s">
        <v>6680</v>
      </c>
      <c r="I1962" s="24">
        <v>12.33</v>
      </c>
      <c r="J1962" s="24">
        <v>0.0</v>
      </c>
    </row>
    <row r="1963">
      <c r="A1963" s="24">
        <v>275.0</v>
      </c>
      <c r="B1963" s="24">
        <v>0.0</v>
      </c>
      <c r="C1963" s="44">
        <v>20.47</v>
      </c>
      <c r="D1963" s="46">
        <v>44925.0</v>
      </c>
      <c r="E1963" s="24" t="s">
        <v>6650</v>
      </c>
      <c r="F1963" s="24">
        <v>74.44</v>
      </c>
      <c r="G1963" s="24">
        <v>0.0</v>
      </c>
      <c r="H1963" s="24" t="s">
        <v>6676</v>
      </c>
      <c r="I1963" s="24" t="s">
        <v>6650</v>
      </c>
      <c r="J1963" s="24">
        <v>0.0</v>
      </c>
    </row>
    <row r="1964">
      <c r="A1964" s="24">
        <v>315.0</v>
      </c>
      <c r="B1964" s="24">
        <v>2.0</v>
      </c>
      <c r="C1964" s="44">
        <v>6.28</v>
      </c>
      <c r="D1964" s="46">
        <v>44926.0</v>
      </c>
      <c r="E1964" s="24">
        <v>3.14</v>
      </c>
      <c r="F1964" s="24">
        <v>19.94</v>
      </c>
      <c r="G1964" s="24">
        <v>0.63</v>
      </c>
      <c r="H1964" s="24" t="s">
        <v>6680</v>
      </c>
      <c r="I1964" s="24" t="s">
        <v>6650</v>
      </c>
      <c r="J1964" s="24">
        <v>0.0</v>
      </c>
    </row>
    <row r="1965">
      <c r="A1965" s="24">
        <v>160.0</v>
      </c>
      <c r="B1965" s="24">
        <v>1.0</v>
      </c>
      <c r="C1965" s="44">
        <v>10.63</v>
      </c>
      <c r="D1965" s="46">
        <v>44926.0</v>
      </c>
      <c r="E1965" s="24">
        <v>10.63</v>
      </c>
      <c r="F1965" s="24">
        <v>66.44</v>
      </c>
      <c r="G1965" s="24">
        <v>0.62</v>
      </c>
      <c r="H1965" s="24" t="s">
        <v>6676</v>
      </c>
      <c r="I1965" s="24" t="s">
        <v>6650</v>
      </c>
      <c r="J1965" s="24">
        <v>0.0</v>
      </c>
    </row>
    <row r="1966">
      <c r="A1966" s="24">
        <v>135.0</v>
      </c>
      <c r="B1966" s="24">
        <v>1.0</v>
      </c>
      <c r="C1966" s="44">
        <v>10.85</v>
      </c>
      <c r="D1966" s="46">
        <v>44926.0</v>
      </c>
      <c r="E1966" s="24">
        <v>10.85</v>
      </c>
      <c r="F1966" s="24">
        <v>80.37</v>
      </c>
      <c r="G1966" s="24">
        <v>0.74</v>
      </c>
      <c r="H1966" s="24" t="s">
        <v>6673</v>
      </c>
      <c r="I1966" s="24" t="s">
        <v>6650</v>
      </c>
      <c r="J1966" s="24">
        <v>0.0</v>
      </c>
    </row>
    <row r="1967">
      <c r="A1967" s="24">
        <v>92.0</v>
      </c>
      <c r="B1967" s="24">
        <v>2.0</v>
      </c>
      <c r="C1967" s="44">
        <v>6.84</v>
      </c>
      <c r="D1967" s="46">
        <v>44926.0</v>
      </c>
      <c r="E1967" s="24">
        <v>3.42</v>
      </c>
      <c r="F1967" s="24">
        <v>74.35</v>
      </c>
      <c r="G1967" s="24">
        <v>2.17</v>
      </c>
      <c r="H1967" s="24" t="s">
        <v>6677</v>
      </c>
      <c r="I1967" s="24" t="s">
        <v>6650</v>
      </c>
      <c r="J1967" s="24">
        <v>0.0</v>
      </c>
    </row>
    <row r="1968">
      <c r="A1968" s="24">
        <v>311.0</v>
      </c>
      <c r="B1968" s="24">
        <v>5.0</v>
      </c>
      <c r="C1968" s="44">
        <v>7.47</v>
      </c>
      <c r="D1968" s="46">
        <v>44926.0</v>
      </c>
      <c r="E1968" s="24">
        <v>1.49</v>
      </c>
      <c r="F1968" s="24">
        <v>24.02</v>
      </c>
      <c r="G1968" s="24">
        <v>1.61</v>
      </c>
      <c r="H1968" s="24" t="s">
        <v>6675</v>
      </c>
      <c r="I1968" s="24">
        <v>7.47</v>
      </c>
      <c r="J1968" s="24">
        <v>0.0</v>
      </c>
    </row>
    <row r="1969">
      <c r="A1969" s="24">
        <v>644.0</v>
      </c>
      <c r="B1969" s="24">
        <v>3.0</v>
      </c>
      <c r="C1969" s="44">
        <v>4.45</v>
      </c>
      <c r="D1969" s="46">
        <v>44927.0</v>
      </c>
      <c r="E1969" s="24">
        <v>1.48</v>
      </c>
      <c r="F1969" s="24">
        <v>6.91</v>
      </c>
      <c r="G1969" s="24">
        <v>0.47</v>
      </c>
      <c r="H1969" s="24" t="s">
        <v>6680</v>
      </c>
      <c r="I1969" s="24">
        <v>2.22</v>
      </c>
      <c r="J1969" s="24">
        <v>0.0</v>
      </c>
    </row>
    <row r="1970">
      <c r="A1970" s="24">
        <v>348.0</v>
      </c>
      <c r="B1970" s="24">
        <v>3.0</v>
      </c>
      <c r="C1970" s="44">
        <v>8.32</v>
      </c>
      <c r="D1970" s="46">
        <v>44927.0</v>
      </c>
      <c r="E1970" s="24">
        <v>2.77</v>
      </c>
      <c r="F1970" s="24">
        <v>23.91</v>
      </c>
      <c r="G1970" s="24">
        <v>0.86</v>
      </c>
      <c r="H1970" s="24" t="s">
        <v>6673</v>
      </c>
      <c r="I1970" s="24" t="s">
        <v>6650</v>
      </c>
      <c r="J1970" s="24">
        <v>0.0</v>
      </c>
    </row>
    <row r="1971">
      <c r="A1971" s="24">
        <v>221.0</v>
      </c>
      <c r="B1971" s="24">
        <v>3.0</v>
      </c>
      <c r="C1971" s="44">
        <v>8.44</v>
      </c>
      <c r="D1971" s="46">
        <v>44927.0</v>
      </c>
      <c r="E1971" s="24">
        <v>2.81</v>
      </c>
      <c r="F1971" s="24">
        <v>38.19</v>
      </c>
      <c r="G1971" s="24">
        <v>1.36</v>
      </c>
      <c r="H1971" s="24" t="s">
        <v>6676</v>
      </c>
      <c r="I1971" s="24" t="s">
        <v>6650</v>
      </c>
      <c r="J1971" s="24">
        <v>0.0</v>
      </c>
    </row>
    <row r="1972">
      <c r="A1972" s="24">
        <v>466.0</v>
      </c>
      <c r="B1972" s="24">
        <v>6.0</v>
      </c>
      <c r="C1972" s="44">
        <v>6.47</v>
      </c>
      <c r="D1972" s="46">
        <v>44927.0</v>
      </c>
      <c r="E1972" s="24">
        <v>1.08</v>
      </c>
      <c r="F1972" s="24">
        <v>13.88</v>
      </c>
      <c r="G1972" s="24">
        <v>1.29</v>
      </c>
      <c r="H1972" s="24" t="s">
        <v>6675</v>
      </c>
      <c r="I1972" s="24" t="s">
        <v>6650</v>
      </c>
      <c r="J1972" s="24">
        <v>0.0</v>
      </c>
    </row>
    <row r="1973">
      <c r="A1973" s="24">
        <v>328.0</v>
      </c>
      <c r="B1973" s="24">
        <v>5.0</v>
      </c>
      <c r="C1973" s="44">
        <v>6.21</v>
      </c>
      <c r="D1973" s="46">
        <v>44927.0</v>
      </c>
      <c r="E1973" s="24">
        <v>1.24</v>
      </c>
      <c r="F1973" s="24">
        <v>18.93</v>
      </c>
      <c r="G1973" s="24">
        <v>1.52</v>
      </c>
      <c r="H1973" s="24" t="s">
        <v>6677</v>
      </c>
      <c r="I1973" s="24" t="s">
        <v>6650</v>
      </c>
      <c r="J1973" s="24">
        <v>0.0</v>
      </c>
    </row>
    <row r="1974">
      <c r="A1974" s="24">
        <v>381.0</v>
      </c>
      <c r="B1974" s="24">
        <v>2.0</v>
      </c>
      <c r="C1974" s="44">
        <v>19.04</v>
      </c>
      <c r="D1974" s="46">
        <v>44928.0</v>
      </c>
      <c r="E1974" s="24">
        <v>9.52</v>
      </c>
      <c r="F1974" s="24">
        <v>49.97</v>
      </c>
      <c r="G1974" s="24">
        <v>0.52</v>
      </c>
      <c r="H1974" s="24" t="s">
        <v>6676</v>
      </c>
      <c r="I1974" s="24" t="s">
        <v>6650</v>
      </c>
      <c r="J1974" s="24">
        <v>0.0</v>
      </c>
    </row>
    <row r="1975">
      <c r="A1975" s="24">
        <v>780.0</v>
      </c>
      <c r="B1975" s="24">
        <v>7.0</v>
      </c>
      <c r="C1975" s="44">
        <v>13.38</v>
      </c>
      <c r="D1975" s="46">
        <v>44928.0</v>
      </c>
      <c r="E1975" s="24">
        <v>1.91</v>
      </c>
      <c r="F1975" s="24">
        <v>17.15</v>
      </c>
      <c r="G1975" s="24">
        <v>0.9</v>
      </c>
      <c r="H1975" s="24" t="s">
        <v>6677</v>
      </c>
      <c r="I1975" s="24">
        <v>13.38</v>
      </c>
      <c r="J1975" s="24">
        <v>0.0</v>
      </c>
    </row>
    <row r="1976">
      <c r="A1976" s="24">
        <v>1313.0</v>
      </c>
      <c r="B1976" s="24">
        <v>6.0</v>
      </c>
      <c r="C1976" s="44">
        <v>13.39</v>
      </c>
      <c r="D1976" s="46">
        <v>44928.0</v>
      </c>
      <c r="E1976" s="24">
        <v>2.23</v>
      </c>
      <c r="F1976" s="24">
        <v>10.2</v>
      </c>
      <c r="G1976" s="24">
        <v>0.46</v>
      </c>
      <c r="H1976" s="24" t="s">
        <v>6675</v>
      </c>
      <c r="I1976" s="24" t="s">
        <v>6650</v>
      </c>
      <c r="J1976" s="24">
        <v>0.0</v>
      </c>
    </row>
    <row r="1977">
      <c r="A1977" s="24">
        <v>687.0</v>
      </c>
      <c r="B1977" s="24">
        <v>5.0</v>
      </c>
      <c r="C1977" s="44">
        <v>21.94</v>
      </c>
      <c r="D1977" s="46">
        <v>44928.0</v>
      </c>
      <c r="E1977" s="24">
        <v>4.39</v>
      </c>
      <c r="F1977" s="24">
        <v>31.94</v>
      </c>
      <c r="G1977" s="24">
        <v>0.73</v>
      </c>
      <c r="H1977" s="24" t="s">
        <v>6673</v>
      </c>
      <c r="I1977" s="24" t="s">
        <v>6650</v>
      </c>
      <c r="J1977" s="24">
        <v>0.0</v>
      </c>
    </row>
    <row r="1978">
      <c r="A1978" s="24">
        <v>1290.0</v>
      </c>
      <c r="B1978" s="24">
        <v>10.0</v>
      </c>
      <c r="C1978" s="44">
        <v>13.9</v>
      </c>
      <c r="D1978" s="46">
        <v>44928.0</v>
      </c>
      <c r="E1978" s="24">
        <v>1.39</v>
      </c>
      <c r="F1978" s="24">
        <v>10.78</v>
      </c>
      <c r="G1978" s="24">
        <v>0.78</v>
      </c>
      <c r="H1978" s="24" t="s">
        <v>6680</v>
      </c>
      <c r="I1978" s="24">
        <v>13.9</v>
      </c>
      <c r="J1978" s="24">
        <v>0.0</v>
      </c>
    </row>
    <row r="1979">
      <c r="A1979" s="24">
        <v>1327.0</v>
      </c>
      <c r="B1979" s="24">
        <v>2.0</v>
      </c>
      <c r="C1979" s="44">
        <v>24.46</v>
      </c>
      <c r="D1979" s="46">
        <v>44929.0</v>
      </c>
      <c r="E1979" s="24">
        <v>12.23</v>
      </c>
      <c r="F1979" s="24">
        <v>18.43</v>
      </c>
      <c r="G1979" s="24">
        <v>0.15</v>
      </c>
      <c r="H1979" s="24" t="s">
        <v>6673</v>
      </c>
      <c r="I1979" s="24">
        <v>24.46</v>
      </c>
      <c r="J1979" s="24">
        <v>0.0</v>
      </c>
    </row>
    <row r="1980">
      <c r="A1980" s="24">
        <v>499.0</v>
      </c>
      <c r="B1980" s="24">
        <v>3.0</v>
      </c>
      <c r="C1980" s="44">
        <v>20.36</v>
      </c>
      <c r="D1980" s="46">
        <v>44929.0</v>
      </c>
      <c r="E1980" s="24">
        <v>6.79</v>
      </c>
      <c r="F1980" s="24">
        <v>40.8</v>
      </c>
      <c r="G1980" s="24">
        <v>0.6</v>
      </c>
      <c r="H1980" s="24" t="s">
        <v>6676</v>
      </c>
      <c r="I1980" s="24" t="s">
        <v>6650</v>
      </c>
      <c r="J1980" s="24">
        <v>0.0</v>
      </c>
    </row>
    <row r="1981">
      <c r="A1981" s="24">
        <v>648.0</v>
      </c>
      <c r="B1981" s="24">
        <v>3.0</v>
      </c>
      <c r="C1981" s="44">
        <v>13.24</v>
      </c>
      <c r="D1981" s="46">
        <v>44929.0</v>
      </c>
      <c r="E1981" s="24">
        <v>4.41</v>
      </c>
      <c r="F1981" s="24">
        <v>20.43</v>
      </c>
      <c r="G1981" s="24">
        <v>0.46</v>
      </c>
      <c r="H1981" s="24" t="s">
        <v>6677</v>
      </c>
      <c r="I1981" s="24" t="s">
        <v>6650</v>
      </c>
      <c r="J1981" s="24">
        <v>0.0</v>
      </c>
    </row>
    <row r="1982">
      <c r="A1982" s="24">
        <v>1535.0</v>
      </c>
      <c r="B1982" s="24">
        <v>5.0</v>
      </c>
      <c r="C1982" s="44">
        <v>13.17</v>
      </c>
      <c r="D1982" s="46">
        <v>44929.0</v>
      </c>
      <c r="E1982" s="24">
        <v>2.63</v>
      </c>
      <c r="F1982" s="24">
        <v>8.58</v>
      </c>
      <c r="G1982" s="24">
        <v>0.33</v>
      </c>
      <c r="H1982" s="24" t="s">
        <v>6675</v>
      </c>
      <c r="I1982" s="24">
        <v>13.17</v>
      </c>
      <c r="J1982" s="24">
        <v>0.0</v>
      </c>
    </row>
    <row r="1983">
      <c r="A1983" s="24">
        <v>1312.0</v>
      </c>
      <c r="B1983" s="24">
        <v>8.0</v>
      </c>
      <c r="C1983" s="44">
        <v>14.2</v>
      </c>
      <c r="D1983" s="46">
        <v>44929.0</v>
      </c>
      <c r="E1983" s="24">
        <v>1.78</v>
      </c>
      <c r="F1983" s="24">
        <v>10.82</v>
      </c>
      <c r="G1983" s="24">
        <v>0.61</v>
      </c>
      <c r="H1983" s="24" t="s">
        <v>6680</v>
      </c>
      <c r="I1983" s="24">
        <v>7.1</v>
      </c>
      <c r="J1983" s="24">
        <v>0.0</v>
      </c>
    </row>
    <row r="1984">
      <c r="A1984" s="24">
        <v>1144.0</v>
      </c>
      <c r="B1984" s="24">
        <v>3.0</v>
      </c>
      <c r="C1984" s="44">
        <v>22.4</v>
      </c>
      <c r="D1984" s="46">
        <v>44930.0</v>
      </c>
      <c r="E1984" s="24">
        <v>7.47</v>
      </c>
      <c r="F1984" s="24">
        <v>19.58</v>
      </c>
      <c r="G1984" s="24">
        <v>0.26</v>
      </c>
      <c r="H1984" s="24" t="s">
        <v>6673</v>
      </c>
      <c r="I1984" s="24" t="s">
        <v>6650</v>
      </c>
      <c r="J1984" s="24">
        <v>0.0</v>
      </c>
    </row>
    <row r="1985">
      <c r="A1985" s="24">
        <v>1204.0</v>
      </c>
      <c r="B1985" s="24">
        <v>7.0</v>
      </c>
      <c r="C1985" s="44">
        <v>12.3</v>
      </c>
      <c r="D1985" s="46">
        <v>44930.0</v>
      </c>
      <c r="E1985" s="24">
        <v>1.76</v>
      </c>
      <c r="F1985" s="24">
        <v>10.22</v>
      </c>
      <c r="G1985" s="24">
        <v>0.58</v>
      </c>
      <c r="H1985" s="24" t="s">
        <v>6675</v>
      </c>
      <c r="I1985" s="24" t="s">
        <v>6650</v>
      </c>
      <c r="J1985" s="24">
        <v>0.0</v>
      </c>
    </row>
    <row r="1986">
      <c r="A1986" s="24">
        <v>1256.0</v>
      </c>
      <c r="B1986" s="24">
        <v>8.0</v>
      </c>
      <c r="C1986" s="44">
        <v>12.7</v>
      </c>
      <c r="D1986" s="46">
        <v>44930.0</v>
      </c>
      <c r="E1986" s="24">
        <v>1.59</v>
      </c>
      <c r="F1986" s="24">
        <v>10.11</v>
      </c>
      <c r="G1986" s="24">
        <v>0.64</v>
      </c>
      <c r="H1986" s="24" t="s">
        <v>6680</v>
      </c>
      <c r="I1986" s="24">
        <v>2.12</v>
      </c>
      <c r="J1986" s="24">
        <v>0.0</v>
      </c>
    </row>
    <row r="1987">
      <c r="A1987" s="24">
        <v>370.0</v>
      </c>
      <c r="B1987" s="24">
        <v>1.0</v>
      </c>
      <c r="C1987" s="44">
        <v>18.95</v>
      </c>
      <c r="D1987" s="46">
        <v>44930.0</v>
      </c>
      <c r="E1987" s="24">
        <v>18.95</v>
      </c>
      <c r="F1987" s="24">
        <v>51.22</v>
      </c>
      <c r="G1987" s="24">
        <v>0.27</v>
      </c>
      <c r="H1987" s="24" t="s">
        <v>6676</v>
      </c>
      <c r="I1987" s="24" t="s">
        <v>6650</v>
      </c>
      <c r="J1987" s="24">
        <v>0.0</v>
      </c>
    </row>
    <row r="1988">
      <c r="A1988" s="24">
        <v>610.0</v>
      </c>
      <c r="B1988" s="24">
        <v>4.0</v>
      </c>
      <c r="C1988" s="44">
        <v>12.47</v>
      </c>
      <c r="D1988" s="46">
        <v>44930.0</v>
      </c>
      <c r="E1988" s="24">
        <v>3.12</v>
      </c>
      <c r="F1988" s="24">
        <v>20.44</v>
      </c>
      <c r="G1988" s="24">
        <v>0.66</v>
      </c>
      <c r="H1988" s="24" t="s">
        <v>6677</v>
      </c>
      <c r="I1988" s="24" t="s">
        <v>6650</v>
      </c>
      <c r="J1988" s="24">
        <v>0.0</v>
      </c>
    </row>
    <row r="1989">
      <c r="A1989" s="24">
        <v>328.0</v>
      </c>
      <c r="B1989" s="24">
        <v>1.0</v>
      </c>
      <c r="C1989" s="44">
        <v>19.66</v>
      </c>
      <c r="D1989" s="46">
        <v>44931.0</v>
      </c>
      <c r="E1989" s="24">
        <v>19.66</v>
      </c>
      <c r="F1989" s="24">
        <v>59.94</v>
      </c>
      <c r="G1989" s="24">
        <v>0.3</v>
      </c>
      <c r="H1989" s="24" t="s">
        <v>6676</v>
      </c>
      <c r="I1989" s="24" t="s">
        <v>6650</v>
      </c>
      <c r="J1989" s="24">
        <v>0.0</v>
      </c>
    </row>
    <row r="1990">
      <c r="A1990" s="24">
        <v>462.0</v>
      </c>
      <c r="B1990" s="24">
        <v>0.0</v>
      </c>
      <c r="C1990" s="44">
        <v>22.05</v>
      </c>
      <c r="D1990" s="46">
        <v>44931.0</v>
      </c>
      <c r="E1990" s="24" t="s">
        <v>6650</v>
      </c>
      <c r="F1990" s="24">
        <v>47.73</v>
      </c>
      <c r="G1990" s="24">
        <v>0.0</v>
      </c>
      <c r="H1990" s="24" t="s">
        <v>6673</v>
      </c>
      <c r="I1990" s="24" t="s">
        <v>6650</v>
      </c>
      <c r="J1990" s="24">
        <v>0.0</v>
      </c>
    </row>
    <row r="1991">
      <c r="A1991" s="24">
        <v>1082.0</v>
      </c>
      <c r="B1991" s="24">
        <v>3.0</v>
      </c>
      <c r="C1991" s="44">
        <v>11.98</v>
      </c>
      <c r="D1991" s="46">
        <v>44931.0</v>
      </c>
      <c r="E1991" s="24">
        <v>3.99</v>
      </c>
      <c r="F1991" s="24">
        <v>11.07</v>
      </c>
      <c r="G1991" s="24">
        <v>0.28</v>
      </c>
      <c r="H1991" s="24" t="s">
        <v>6675</v>
      </c>
      <c r="I1991" s="24">
        <v>5.99</v>
      </c>
      <c r="J1991" s="24">
        <v>0.0</v>
      </c>
    </row>
    <row r="1992">
      <c r="A1992" s="24">
        <v>496.0</v>
      </c>
      <c r="B1992" s="24">
        <v>4.0</v>
      </c>
      <c r="C1992" s="44">
        <v>12.41</v>
      </c>
      <c r="D1992" s="46">
        <v>44931.0</v>
      </c>
      <c r="E1992" s="24">
        <v>3.1</v>
      </c>
      <c r="F1992" s="24">
        <v>25.02</v>
      </c>
      <c r="G1992" s="24">
        <v>0.81</v>
      </c>
      <c r="H1992" s="24" t="s">
        <v>6677</v>
      </c>
      <c r="I1992" s="24">
        <v>6.2</v>
      </c>
      <c r="J1992" s="24">
        <v>0.0</v>
      </c>
    </row>
    <row r="1993">
      <c r="A1993" s="24">
        <v>1150.0</v>
      </c>
      <c r="B1993" s="24">
        <v>2.0</v>
      </c>
      <c r="C1993" s="44">
        <v>13.09</v>
      </c>
      <c r="D1993" s="46">
        <v>44931.0</v>
      </c>
      <c r="E1993" s="24">
        <v>6.54</v>
      </c>
      <c r="F1993" s="24">
        <v>11.38</v>
      </c>
      <c r="G1993" s="24">
        <v>0.17</v>
      </c>
      <c r="H1993" s="24" t="s">
        <v>6680</v>
      </c>
      <c r="I1993" s="24">
        <v>13.09</v>
      </c>
      <c r="J1993" s="24">
        <v>0.0</v>
      </c>
    </row>
    <row r="1994">
      <c r="A1994" s="24">
        <v>278.0</v>
      </c>
      <c r="B1994" s="24">
        <v>2.0</v>
      </c>
      <c r="C1994" s="44">
        <v>12.34</v>
      </c>
      <c r="D1994" s="46">
        <v>44932.0</v>
      </c>
      <c r="E1994" s="24">
        <v>6.17</v>
      </c>
      <c r="F1994" s="24">
        <v>44.39</v>
      </c>
      <c r="G1994" s="24">
        <v>0.72</v>
      </c>
      <c r="H1994" s="24" t="s">
        <v>6677</v>
      </c>
      <c r="I1994" s="24" t="s">
        <v>6650</v>
      </c>
      <c r="J1994" s="24">
        <v>0.0</v>
      </c>
    </row>
    <row r="1995">
      <c r="A1995" s="24">
        <v>498.0</v>
      </c>
      <c r="B1995" s="24">
        <v>1.0</v>
      </c>
      <c r="C1995" s="44">
        <v>21.08</v>
      </c>
      <c r="D1995" s="46">
        <v>44932.0</v>
      </c>
      <c r="E1995" s="24">
        <v>21.08</v>
      </c>
      <c r="F1995" s="24">
        <v>42.33</v>
      </c>
      <c r="G1995" s="24">
        <v>0.2</v>
      </c>
      <c r="H1995" s="24" t="s">
        <v>6673</v>
      </c>
      <c r="I1995" s="24" t="s">
        <v>6650</v>
      </c>
      <c r="J1995" s="24">
        <v>0.0</v>
      </c>
    </row>
    <row r="1996">
      <c r="A1996" s="24">
        <v>1096.0</v>
      </c>
      <c r="B1996" s="24">
        <v>9.0</v>
      </c>
      <c r="C1996" s="44">
        <v>11.78</v>
      </c>
      <c r="D1996" s="46">
        <v>44932.0</v>
      </c>
      <c r="E1996" s="24">
        <v>1.31</v>
      </c>
      <c r="F1996" s="24">
        <v>10.75</v>
      </c>
      <c r="G1996" s="24">
        <v>0.82</v>
      </c>
      <c r="H1996" s="24" t="s">
        <v>6680</v>
      </c>
      <c r="I1996" s="24">
        <v>5.89</v>
      </c>
      <c r="J1996" s="24">
        <v>0.0</v>
      </c>
    </row>
    <row r="1997">
      <c r="A1997" s="24">
        <v>925.0</v>
      </c>
      <c r="B1997" s="24">
        <v>5.0</v>
      </c>
      <c r="C1997" s="44">
        <v>11.24</v>
      </c>
      <c r="D1997" s="46">
        <v>44932.0</v>
      </c>
      <c r="E1997" s="24">
        <v>2.25</v>
      </c>
      <c r="F1997" s="24">
        <v>12.15</v>
      </c>
      <c r="G1997" s="24">
        <v>0.54</v>
      </c>
      <c r="H1997" s="24" t="s">
        <v>6675</v>
      </c>
      <c r="I1997" s="24" t="s">
        <v>6650</v>
      </c>
      <c r="J1997" s="24">
        <v>0.0</v>
      </c>
    </row>
    <row r="1998">
      <c r="A1998" s="24">
        <v>242.0</v>
      </c>
      <c r="B1998" s="24">
        <v>0.0</v>
      </c>
      <c r="C1998" s="44">
        <v>18.5</v>
      </c>
      <c r="D1998" s="46">
        <v>44932.0</v>
      </c>
      <c r="E1998" s="24" t="s">
        <v>6650</v>
      </c>
      <c r="F1998" s="24">
        <v>76.45</v>
      </c>
      <c r="G1998" s="24">
        <v>0.0</v>
      </c>
      <c r="H1998" s="24" t="s">
        <v>6676</v>
      </c>
      <c r="I1998" s="24">
        <v>18.5</v>
      </c>
      <c r="J1998" s="24">
        <v>0.0</v>
      </c>
    </row>
    <row r="1999">
      <c r="A1999" s="24">
        <v>653.0</v>
      </c>
      <c r="B1999" s="24">
        <v>0.0</v>
      </c>
      <c r="C1999" s="44">
        <v>5.86</v>
      </c>
      <c r="D1999" s="46">
        <v>44933.0</v>
      </c>
      <c r="E1999" s="24" t="s">
        <v>6650</v>
      </c>
      <c r="F1999" s="24">
        <v>8.97</v>
      </c>
      <c r="G1999" s="24">
        <v>0.0</v>
      </c>
      <c r="H1999" s="24" t="s">
        <v>6680</v>
      </c>
      <c r="I1999" s="24" t="s">
        <v>6650</v>
      </c>
      <c r="J1999" s="24">
        <v>0.0</v>
      </c>
    </row>
    <row r="2000">
      <c r="A2000" s="24">
        <v>140.0</v>
      </c>
      <c r="B2000" s="24">
        <v>3.0</v>
      </c>
      <c r="C2000" s="44">
        <v>7.07</v>
      </c>
      <c r="D2000" s="46">
        <v>44933.0</v>
      </c>
      <c r="E2000" s="24">
        <v>2.36</v>
      </c>
      <c r="F2000" s="24">
        <v>50.5</v>
      </c>
      <c r="G2000" s="24">
        <v>2.14</v>
      </c>
      <c r="H2000" s="24" t="s">
        <v>6677</v>
      </c>
      <c r="I2000" s="24" t="s">
        <v>6650</v>
      </c>
      <c r="J2000" s="24">
        <v>0.0</v>
      </c>
    </row>
    <row r="2001">
      <c r="A2001" s="24">
        <v>542.0</v>
      </c>
      <c r="B2001" s="24">
        <v>7.0</v>
      </c>
      <c r="C2001" s="44">
        <v>7.75</v>
      </c>
      <c r="D2001" s="46">
        <v>44933.0</v>
      </c>
      <c r="E2001" s="24">
        <v>1.11</v>
      </c>
      <c r="F2001" s="24">
        <v>14.3</v>
      </c>
      <c r="G2001" s="24">
        <v>1.29</v>
      </c>
      <c r="H2001" s="24" t="s">
        <v>6675</v>
      </c>
      <c r="I2001" s="24" t="s">
        <v>6650</v>
      </c>
      <c r="J2001" s="24">
        <v>0.0</v>
      </c>
    </row>
    <row r="2002">
      <c r="A2002" s="24">
        <v>121.0</v>
      </c>
      <c r="B2002" s="24">
        <v>1.0</v>
      </c>
      <c r="C2002" s="44">
        <v>11.0</v>
      </c>
      <c r="D2002" s="46">
        <v>44933.0</v>
      </c>
      <c r="E2002" s="24">
        <v>11.0</v>
      </c>
      <c r="F2002" s="24">
        <v>90.91</v>
      </c>
      <c r="G2002" s="24">
        <v>0.83</v>
      </c>
      <c r="H2002" s="24" t="s">
        <v>6676</v>
      </c>
      <c r="I2002" s="24" t="s">
        <v>6650</v>
      </c>
      <c r="J2002" s="24">
        <v>0.0</v>
      </c>
    </row>
    <row r="2003">
      <c r="A2003" s="24">
        <v>432.0</v>
      </c>
      <c r="B2003" s="24">
        <v>2.0</v>
      </c>
      <c r="C2003" s="44">
        <v>11.46</v>
      </c>
      <c r="D2003" s="46">
        <v>44933.0</v>
      </c>
      <c r="E2003" s="24">
        <v>5.73</v>
      </c>
      <c r="F2003" s="24">
        <v>26.53</v>
      </c>
      <c r="G2003" s="24">
        <v>0.46</v>
      </c>
      <c r="H2003" s="24" t="s">
        <v>6673</v>
      </c>
      <c r="I2003" s="24" t="s">
        <v>6650</v>
      </c>
      <c r="J2003" s="24">
        <v>0.0</v>
      </c>
    </row>
    <row r="2004">
      <c r="A2004" s="24">
        <v>304.0</v>
      </c>
      <c r="B2004" s="24">
        <v>0.0</v>
      </c>
      <c r="C2004" s="44">
        <v>9.61</v>
      </c>
      <c r="D2004" s="46">
        <v>44934.0</v>
      </c>
      <c r="E2004" s="24" t="s">
        <v>6650</v>
      </c>
      <c r="F2004" s="24">
        <v>31.61</v>
      </c>
      <c r="G2004" s="24">
        <v>0.0</v>
      </c>
      <c r="H2004" s="24" t="s">
        <v>6673</v>
      </c>
      <c r="I2004" s="24" t="s">
        <v>6650</v>
      </c>
      <c r="J2004" s="24">
        <v>0.0</v>
      </c>
    </row>
    <row r="2005">
      <c r="A2005" s="24">
        <v>74.0</v>
      </c>
      <c r="B2005" s="24">
        <v>0.0</v>
      </c>
      <c r="C2005" s="44">
        <v>7.99</v>
      </c>
      <c r="D2005" s="46">
        <v>44934.0</v>
      </c>
      <c r="E2005" s="24" t="s">
        <v>6650</v>
      </c>
      <c r="F2005" s="24">
        <v>107.97</v>
      </c>
      <c r="G2005" s="24">
        <v>0.0</v>
      </c>
      <c r="H2005" s="24" t="s">
        <v>6676</v>
      </c>
      <c r="I2005" s="24" t="s">
        <v>6650</v>
      </c>
      <c r="J2005" s="24">
        <v>0.0</v>
      </c>
    </row>
    <row r="2006">
      <c r="A2006" s="24">
        <v>519.0</v>
      </c>
      <c r="B2006" s="24">
        <v>6.0</v>
      </c>
      <c r="C2006" s="44">
        <v>7.17</v>
      </c>
      <c r="D2006" s="46">
        <v>44934.0</v>
      </c>
      <c r="E2006" s="24">
        <v>1.2</v>
      </c>
      <c r="F2006" s="24">
        <v>13.82</v>
      </c>
      <c r="G2006" s="24">
        <v>1.16</v>
      </c>
      <c r="H2006" s="24" t="s">
        <v>6675</v>
      </c>
      <c r="I2006" s="24">
        <v>7.17</v>
      </c>
      <c r="J2006" s="24">
        <v>0.0</v>
      </c>
    </row>
    <row r="2007">
      <c r="A2007" s="24">
        <v>152.0</v>
      </c>
      <c r="B2007" s="24">
        <v>2.0</v>
      </c>
      <c r="C2007" s="44">
        <v>6.09</v>
      </c>
      <c r="D2007" s="46">
        <v>44934.0</v>
      </c>
      <c r="E2007" s="24">
        <v>3.04</v>
      </c>
      <c r="F2007" s="24">
        <v>40.07</v>
      </c>
      <c r="G2007" s="24">
        <v>1.32</v>
      </c>
      <c r="H2007" s="24" t="s">
        <v>6677</v>
      </c>
      <c r="I2007" s="24" t="s">
        <v>6650</v>
      </c>
      <c r="J2007" s="24">
        <v>0.0</v>
      </c>
    </row>
    <row r="2008">
      <c r="A2008" s="24">
        <v>592.0</v>
      </c>
      <c r="B2008" s="24">
        <v>1.0</v>
      </c>
      <c r="C2008" s="44">
        <v>5.47</v>
      </c>
      <c r="D2008" s="46">
        <v>44934.0</v>
      </c>
      <c r="E2008" s="24">
        <v>5.47</v>
      </c>
      <c r="F2008" s="24">
        <v>9.24</v>
      </c>
      <c r="G2008" s="24">
        <v>0.17</v>
      </c>
      <c r="H2008" s="24" t="s">
        <v>6680</v>
      </c>
      <c r="I2008" s="24">
        <v>5.47</v>
      </c>
      <c r="J2008" s="24">
        <v>0.0</v>
      </c>
    </row>
    <row r="2009">
      <c r="A2009" s="24">
        <v>1207.0</v>
      </c>
      <c r="B2009" s="24">
        <v>1.0</v>
      </c>
      <c r="C2009" s="44">
        <v>13.73</v>
      </c>
      <c r="D2009" s="46">
        <v>44935.0</v>
      </c>
      <c r="E2009" s="24">
        <v>13.73</v>
      </c>
      <c r="F2009" s="24">
        <v>11.38</v>
      </c>
      <c r="G2009" s="24">
        <v>0.08</v>
      </c>
      <c r="H2009" s="24" t="s">
        <v>6680</v>
      </c>
      <c r="I2009" s="24">
        <v>6.86</v>
      </c>
      <c r="J2009" s="24">
        <v>0.0</v>
      </c>
    </row>
    <row r="2010">
      <c r="A2010" s="24">
        <v>298.0</v>
      </c>
      <c r="B2010" s="24">
        <v>0.0</v>
      </c>
      <c r="C2010" s="44">
        <v>17.71</v>
      </c>
      <c r="D2010" s="46">
        <v>44935.0</v>
      </c>
      <c r="E2010" s="24" t="s">
        <v>6650</v>
      </c>
      <c r="F2010" s="24">
        <v>59.43</v>
      </c>
      <c r="G2010" s="24">
        <v>0.0</v>
      </c>
      <c r="H2010" s="24" t="s">
        <v>6676</v>
      </c>
      <c r="I2010" s="24" t="s">
        <v>6650</v>
      </c>
      <c r="J2010" s="24">
        <v>0.0</v>
      </c>
    </row>
    <row r="2011">
      <c r="A2011" s="24">
        <v>436.0</v>
      </c>
      <c r="B2011" s="24">
        <v>4.0</v>
      </c>
      <c r="C2011" s="44">
        <v>13.34</v>
      </c>
      <c r="D2011" s="46">
        <v>44935.0</v>
      </c>
      <c r="E2011" s="24">
        <v>3.34</v>
      </c>
      <c r="F2011" s="24">
        <v>30.6</v>
      </c>
      <c r="G2011" s="24">
        <v>0.92</v>
      </c>
      <c r="H2011" s="24" t="s">
        <v>6677</v>
      </c>
      <c r="I2011" s="24">
        <v>6.67</v>
      </c>
      <c r="J2011" s="24">
        <v>0.0</v>
      </c>
    </row>
    <row r="2012">
      <c r="A2012" s="24">
        <v>906.0</v>
      </c>
      <c r="B2012" s="24">
        <v>2.0</v>
      </c>
      <c r="C2012" s="44">
        <v>20.12</v>
      </c>
      <c r="D2012" s="46">
        <v>44935.0</v>
      </c>
      <c r="E2012" s="24">
        <v>10.06</v>
      </c>
      <c r="F2012" s="24">
        <v>22.21</v>
      </c>
      <c r="G2012" s="24">
        <v>0.22</v>
      </c>
      <c r="H2012" s="24" t="s">
        <v>6673</v>
      </c>
      <c r="I2012" s="24" t="s">
        <v>6650</v>
      </c>
      <c r="J2012" s="24">
        <v>0.0</v>
      </c>
    </row>
    <row r="2013">
      <c r="A2013" s="24">
        <v>1245.0</v>
      </c>
      <c r="B2013" s="24">
        <v>3.0</v>
      </c>
      <c r="C2013" s="44">
        <v>13.15</v>
      </c>
      <c r="D2013" s="46">
        <v>44935.0</v>
      </c>
      <c r="E2013" s="24">
        <v>4.38</v>
      </c>
      <c r="F2013" s="24">
        <v>10.56</v>
      </c>
      <c r="G2013" s="24">
        <v>0.24</v>
      </c>
      <c r="H2013" s="24" t="s">
        <v>6675</v>
      </c>
      <c r="I2013" s="24" t="s">
        <v>6650</v>
      </c>
      <c r="J2013" s="24">
        <v>0.0</v>
      </c>
    </row>
    <row r="2014">
      <c r="A2014" s="24">
        <v>327.0</v>
      </c>
      <c r="B2014" s="24">
        <v>1.0</v>
      </c>
      <c r="C2014" s="44">
        <v>20.62</v>
      </c>
      <c r="D2014" s="46">
        <v>44936.0</v>
      </c>
      <c r="E2014" s="24">
        <v>20.62</v>
      </c>
      <c r="F2014" s="24">
        <v>63.06</v>
      </c>
      <c r="G2014" s="24">
        <v>0.31</v>
      </c>
      <c r="H2014" s="24" t="s">
        <v>6676</v>
      </c>
      <c r="I2014" s="24" t="s">
        <v>6650</v>
      </c>
      <c r="J2014" s="24">
        <v>0.0</v>
      </c>
    </row>
    <row r="2015">
      <c r="A2015" s="24">
        <v>491.0</v>
      </c>
      <c r="B2015" s="24">
        <v>4.0</v>
      </c>
      <c r="C2015" s="44">
        <v>13.54</v>
      </c>
      <c r="D2015" s="46">
        <v>44936.0</v>
      </c>
      <c r="E2015" s="24">
        <v>3.38</v>
      </c>
      <c r="F2015" s="24">
        <v>27.58</v>
      </c>
      <c r="G2015" s="24">
        <v>0.81</v>
      </c>
      <c r="H2015" s="24" t="s">
        <v>6677</v>
      </c>
      <c r="I2015" s="24" t="s">
        <v>6650</v>
      </c>
      <c r="J2015" s="24">
        <v>0.0</v>
      </c>
    </row>
    <row r="2016">
      <c r="A2016" s="24">
        <v>1168.0</v>
      </c>
      <c r="B2016" s="24">
        <v>5.0</v>
      </c>
      <c r="C2016" s="44">
        <v>14.27</v>
      </c>
      <c r="D2016" s="46">
        <v>44936.0</v>
      </c>
      <c r="E2016" s="24">
        <v>2.85</v>
      </c>
      <c r="F2016" s="24">
        <v>12.22</v>
      </c>
      <c r="G2016" s="24">
        <v>0.43</v>
      </c>
      <c r="H2016" s="24" t="s">
        <v>6680</v>
      </c>
      <c r="I2016" s="24">
        <v>14.27</v>
      </c>
      <c r="J2016" s="24">
        <v>0.0</v>
      </c>
    </row>
    <row r="2017">
      <c r="A2017" s="24">
        <v>1285.0</v>
      </c>
      <c r="B2017" s="24">
        <v>4.0</v>
      </c>
      <c r="C2017" s="44">
        <v>13.39</v>
      </c>
      <c r="D2017" s="46">
        <v>44936.0</v>
      </c>
      <c r="E2017" s="24">
        <v>3.35</v>
      </c>
      <c r="F2017" s="24">
        <v>10.42</v>
      </c>
      <c r="G2017" s="24">
        <v>0.31</v>
      </c>
      <c r="H2017" s="24" t="s">
        <v>6675</v>
      </c>
      <c r="I2017" s="24" t="s">
        <v>6650</v>
      </c>
      <c r="J2017" s="24">
        <v>0.0</v>
      </c>
    </row>
    <row r="2018">
      <c r="A2018" s="24">
        <v>936.0</v>
      </c>
      <c r="B2018" s="24">
        <v>5.0</v>
      </c>
      <c r="C2018" s="44">
        <v>24.67</v>
      </c>
      <c r="D2018" s="46">
        <v>44936.0</v>
      </c>
      <c r="E2018" s="24">
        <v>4.93</v>
      </c>
      <c r="F2018" s="24">
        <v>26.36</v>
      </c>
      <c r="G2018" s="24">
        <v>0.53</v>
      </c>
      <c r="H2018" s="24" t="s">
        <v>6673</v>
      </c>
      <c r="I2018" s="24" t="s">
        <v>6650</v>
      </c>
      <c r="J2018" s="24">
        <v>0.0</v>
      </c>
    </row>
    <row r="2019">
      <c r="A2019" s="24">
        <v>749.0</v>
      </c>
      <c r="B2019" s="24">
        <v>3.0</v>
      </c>
      <c r="C2019" s="44">
        <v>13.18</v>
      </c>
      <c r="D2019" s="46">
        <v>44937.0</v>
      </c>
      <c r="E2019" s="24">
        <v>4.39</v>
      </c>
      <c r="F2019" s="24">
        <v>17.6</v>
      </c>
      <c r="G2019" s="24">
        <v>0.4</v>
      </c>
      <c r="H2019" s="24" t="s">
        <v>6680</v>
      </c>
      <c r="I2019" s="24" t="s">
        <v>6650</v>
      </c>
      <c r="J2019" s="24">
        <v>0.0</v>
      </c>
    </row>
    <row r="2020">
      <c r="A2020" s="24">
        <v>1164.0</v>
      </c>
      <c r="B2020" s="24">
        <v>9.0</v>
      </c>
      <c r="C2020" s="44">
        <v>12.87</v>
      </c>
      <c r="D2020" s="46">
        <v>44937.0</v>
      </c>
      <c r="E2020" s="24">
        <v>1.43</v>
      </c>
      <c r="F2020" s="24">
        <v>11.06</v>
      </c>
      <c r="G2020" s="24">
        <v>0.77</v>
      </c>
      <c r="H2020" s="24" t="s">
        <v>6675</v>
      </c>
      <c r="I2020" s="24" t="s">
        <v>6650</v>
      </c>
      <c r="J2020" s="24">
        <v>0.0</v>
      </c>
    </row>
    <row r="2021">
      <c r="A2021" s="24">
        <v>267.0</v>
      </c>
      <c r="B2021" s="24">
        <v>1.0</v>
      </c>
      <c r="C2021" s="44">
        <v>19.97</v>
      </c>
      <c r="D2021" s="46">
        <v>44937.0</v>
      </c>
      <c r="E2021" s="24">
        <v>19.97</v>
      </c>
      <c r="F2021" s="24">
        <v>74.79</v>
      </c>
      <c r="G2021" s="24">
        <v>0.37</v>
      </c>
      <c r="H2021" s="24" t="s">
        <v>6676</v>
      </c>
      <c r="I2021" s="24" t="s">
        <v>6650</v>
      </c>
      <c r="J2021" s="24">
        <v>0.0</v>
      </c>
    </row>
    <row r="2022">
      <c r="A2022" s="24">
        <v>410.0</v>
      </c>
      <c r="B2022" s="24">
        <v>2.0</v>
      </c>
      <c r="C2022" s="44">
        <v>13.98</v>
      </c>
      <c r="D2022" s="46">
        <v>44937.0</v>
      </c>
      <c r="E2022" s="24">
        <v>6.99</v>
      </c>
      <c r="F2022" s="24">
        <v>34.1</v>
      </c>
      <c r="G2022" s="24">
        <v>0.49</v>
      </c>
      <c r="H2022" s="24" t="s">
        <v>6677</v>
      </c>
      <c r="I2022" s="24" t="s">
        <v>6650</v>
      </c>
      <c r="J2022" s="24">
        <v>0.0</v>
      </c>
    </row>
    <row r="2023">
      <c r="A2023" s="24">
        <v>809.0</v>
      </c>
      <c r="B2023" s="24">
        <v>1.0</v>
      </c>
      <c r="C2023" s="44">
        <v>24.12</v>
      </c>
      <c r="D2023" s="46">
        <v>44937.0</v>
      </c>
      <c r="E2023" s="24">
        <v>24.12</v>
      </c>
      <c r="F2023" s="24">
        <v>29.81</v>
      </c>
      <c r="G2023" s="24">
        <v>0.12</v>
      </c>
      <c r="H2023" s="24" t="s">
        <v>6673</v>
      </c>
      <c r="I2023" s="24" t="s">
        <v>6650</v>
      </c>
      <c r="J2023" s="24">
        <v>0.0</v>
      </c>
    </row>
    <row r="2024">
      <c r="A2024" s="24">
        <v>269.0</v>
      </c>
      <c r="B2024" s="24">
        <v>2.0</v>
      </c>
      <c r="C2024" s="44">
        <v>19.69</v>
      </c>
      <c r="D2024" s="46">
        <v>44938.0</v>
      </c>
      <c r="E2024" s="24">
        <v>9.85</v>
      </c>
      <c r="F2024" s="24">
        <v>73.2</v>
      </c>
      <c r="G2024" s="24">
        <v>0.74</v>
      </c>
      <c r="H2024" s="24" t="s">
        <v>6676</v>
      </c>
      <c r="I2024" s="24" t="s">
        <v>6650</v>
      </c>
      <c r="J2024" s="24">
        <v>0.0</v>
      </c>
    </row>
    <row r="2025">
      <c r="A2025" s="24">
        <v>1086.0</v>
      </c>
      <c r="B2025" s="24">
        <v>4.0</v>
      </c>
      <c r="C2025" s="44">
        <v>11.99</v>
      </c>
      <c r="D2025" s="46">
        <v>44938.0</v>
      </c>
      <c r="E2025" s="24">
        <v>3.0</v>
      </c>
      <c r="F2025" s="24">
        <v>11.04</v>
      </c>
      <c r="G2025" s="24">
        <v>0.37</v>
      </c>
      <c r="H2025" s="24" t="s">
        <v>6675</v>
      </c>
      <c r="I2025" s="24" t="s">
        <v>6650</v>
      </c>
      <c r="J2025" s="24">
        <v>0.0</v>
      </c>
    </row>
    <row r="2026">
      <c r="A2026" s="24">
        <v>781.0</v>
      </c>
      <c r="B2026" s="24">
        <v>3.0</v>
      </c>
      <c r="C2026" s="44">
        <v>22.07</v>
      </c>
      <c r="D2026" s="46">
        <v>44938.0</v>
      </c>
      <c r="E2026" s="24">
        <v>7.36</v>
      </c>
      <c r="F2026" s="24">
        <v>28.26</v>
      </c>
      <c r="G2026" s="24">
        <v>0.38</v>
      </c>
      <c r="H2026" s="24" t="s">
        <v>6673</v>
      </c>
      <c r="I2026" s="24" t="s">
        <v>6650</v>
      </c>
      <c r="J2026" s="24">
        <v>0.0</v>
      </c>
    </row>
    <row r="2027">
      <c r="A2027" s="24">
        <v>785.0</v>
      </c>
      <c r="B2027" s="24">
        <v>4.0</v>
      </c>
      <c r="C2027" s="44">
        <v>12.82</v>
      </c>
      <c r="D2027" s="46">
        <v>44938.0</v>
      </c>
      <c r="E2027" s="24">
        <v>3.2</v>
      </c>
      <c r="F2027" s="24">
        <v>16.33</v>
      </c>
      <c r="G2027" s="24">
        <v>0.51</v>
      </c>
      <c r="H2027" s="24" t="s">
        <v>6680</v>
      </c>
      <c r="I2027" s="24">
        <v>12.82</v>
      </c>
      <c r="J2027" s="24">
        <v>0.0</v>
      </c>
    </row>
    <row r="2028">
      <c r="A2028" s="24">
        <v>523.0</v>
      </c>
      <c r="B2028" s="24">
        <v>6.0</v>
      </c>
      <c r="C2028" s="44">
        <v>11.59</v>
      </c>
      <c r="D2028" s="46">
        <v>44938.0</v>
      </c>
      <c r="E2028" s="24">
        <v>1.93</v>
      </c>
      <c r="F2028" s="24">
        <v>22.16</v>
      </c>
      <c r="G2028" s="24">
        <v>1.15</v>
      </c>
      <c r="H2028" s="24" t="s">
        <v>6677</v>
      </c>
      <c r="I2028" s="24" t="s">
        <v>6650</v>
      </c>
      <c r="J2028" s="24">
        <v>0.0</v>
      </c>
    </row>
    <row r="2029">
      <c r="A2029" s="24">
        <v>936.0</v>
      </c>
      <c r="B2029" s="24">
        <v>4.0</v>
      </c>
      <c r="C2029" s="44">
        <v>11.05</v>
      </c>
      <c r="D2029" s="46">
        <v>44939.0</v>
      </c>
      <c r="E2029" s="24">
        <v>2.76</v>
      </c>
      <c r="F2029" s="24">
        <v>11.81</v>
      </c>
      <c r="G2029" s="24">
        <v>0.43</v>
      </c>
      <c r="H2029" s="24" t="s">
        <v>6675</v>
      </c>
      <c r="I2029" s="24" t="s">
        <v>6650</v>
      </c>
      <c r="J2029" s="24">
        <v>0.0</v>
      </c>
    </row>
    <row r="2030">
      <c r="A2030" s="24">
        <v>421.0</v>
      </c>
      <c r="B2030" s="24">
        <v>2.0</v>
      </c>
      <c r="C2030" s="44">
        <v>21.12</v>
      </c>
      <c r="D2030" s="46">
        <v>44939.0</v>
      </c>
      <c r="E2030" s="24">
        <v>10.56</v>
      </c>
      <c r="F2030" s="24">
        <v>50.17</v>
      </c>
      <c r="G2030" s="24">
        <v>0.48</v>
      </c>
      <c r="H2030" s="24" t="s">
        <v>6673</v>
      </c>
      <c r="I2030" s="24" t="s">
        <v>6650</v>
      </c>
      <c r="J2030" s="24">
        <v>0.0</v>
      </c>
    </row>
    <row r="2031">
      <c r="A2031" s="24">
        <v>226.0</v>
      </c>
      <c r="B2031" s="24">
        <v>4.0</v>
      </c>
      <c r="C2031" s="44">
        <v>18.56</v>
      </c>
      <c r="D2031" s="46">
        <v>44939.0</v>
      </c>
      <c r="E2031" s="24">
        <v>4.64</v>
      </c>
      <c r="F2031" s="24">
        <v>82.12</v>
      </c>
      <c r="G2031" s="24">
        <v>1.77</v>
      </c>
      <c r="H2031" s="24" t="s">
        <v>6676</v>
      </c>
      <c r="I2031" s="24">
        <v>18.56</v>
      </c>
      <c r="J2031" s="24">
        <v>0.0</v>
      </c>
    </row>
    <row r="2032">
      <c r="A2032" s="24">
        <v>349.0</v>
      </c>
      <c r="B2032" s="24">
        <v>4.0</v>
      </c>
      <c r="C2032" s="44">
        <v>14.12</v>
      </c>
      <c r="D2032" s="46">
        <v>44939.0</v>
      </c>
      <c r="E2032" s="24">
        <v>3.53</v>
      </c>
      <c r="F2032" s="24">
        <v>40.46</v>
      </c>
      <c r="G2032" s="24">
        <v>1.15</v>
      </c>
      <c r="H2032" s="24" t="s">
        <v>6680</v>
      </c>
      <c r="I2032" s="24">
        <v>3.53</v>
      </c>
      <c r="J2032" s="24">
        <v>0.0</v>
      </c>
    </row>
    <row r="2033">
      <c r="A2033" s="24">
        <v>316.0</v>
      </c>
      <c r="B2033" s="24">
        <v>3.0</v>
      </c>
      <c r="C2033" s="44">
        <v>11.05</v>
      </c>
      <c r="D2033" s="46">
        <v>44939.0</v>
      </c>
      <c r="E2033" s="24">
        <v>3.68</v>
      </c>
      <c r="F2033" s="24">
        <v>34.97</v>
      </c>
      <c r="G2033" s="24">
        <v>0.95</v>
      </c>
      <c r="H2033" s="24" t="s">
        <v>6677</v>
      </c>
      <c r="I2033" s="24" t="s">
        <v>6650</v>
      </c>
      <c r="J2033" s="24">
        <v>0.0</v>
      </c>
    </row>
    <row r="2034">
      <c r="A2034" s="24">
        <v>106.0</v>
      </c>
      <c r="B2034" s="24">
        <v>0.0</v>
      </c>
      <c r="C2034" s="44">
        <v>7.32</v>
      </c>
      <c r="D2034" s="46">
        <v>44940.0</v>
      </c>
      <c r="E2034" s="24" t="s">
        <v>6650</v>
      </c>
      <c r="F2034" s="24">
        <v>69.06</v>
      </c>
      <c r="G2034" s="24">
        <v>0.0</v>
      </c>
      <c r="H2034" s="24" t="s">
        <v>6677</v>
      </c>
      <c r="I2034" s="24">
        <v>3.66</v>
      </c>
      <c r="J2034" s="24">
        <v>0.0</v>
      </c>
    </row>
    <row r="2035">
      <c r="A2035" s="24">
        <v>428.0</v>
      </c>
      <c r="B2035" s="24">
        <v>1.0</v>
      </c>
      <c r="C2035" s="44">
        <v>4.8</v>
      </c>
      <c r="D2035" s="46">
        <v>44940.0</v>
      </c>
      <c r="E2035" s="24">
        <v>4.8</v>
      </c>
      <c r="F2035" s="24">
        <v>11.21</v>
      </c>
      <c r="G2035" s="24">
        <v>0.23</v>
      </c>
      <c r="H2035" s="24" t="s">
        <v>6680</v>
      </c>
      <c r="I2035" s="24" t="s">
        <v>6650</v>
      </c>
      <c r="J2035" s="24">
        <v>0.0</v>
      </c>
    </row>
    <row r="2036">
      <c r="A2036" s="24">
        <v>89.0</v>
      </c>
      <c r="B2036" s="24">
        <v>0.0</v>
      </c>
      <c r="C2036" s="44">
        <v>11.16</v>
      </c>
      <c r="D2036" s="46">
        <v>44940.0</v>
      </c>
      <c r="E2036" s="24" t="s">
        <v>6650</v>
      </c>
      <c r="F2036" s="24">
        <v>125.39</v>
      </c>
      <c r="G2036" s="24">
        <v>0.0</v>
      </c>
      <c r="H2036" s="24" t="s">
        <v>6676</v>
      </c>
      <c r="I2036" s="24" t="s">
        <v>6650</v>
      </c>
      <c r="J2036" s="24">
        <v>0.0</v>
      </c>
    </row>
    <row r="2037">
      <c r="A2037" s="24">
        <v>248.0</v>
      </c>
      <c r="B2037" s="24">
        <v>1.0</v>
      </c>
      <c r="C2037" s="44">
        <v>12.31</v>
      </c>
      <c r="D2037" s="46">
        <v>44940.0</v>
      </c>
      <c r="E2037" s="24">
        <v>12.31</v>
      </c>
      <c r="F2037" s="24">
        <v>49.64</v>
      </c>
      <c r="G2037" s="24">
        <v>0.4</v>
      </c>
      <c r="H2037" s="24" t="s">
        <v>6673</v>
      </c>
      <c r="I2037" s="24" t="s">
        <v>6650</v>
      </c>
      <c r="J2037" s="24">
        <v>0.0</v>
      </c>
    </row>
    <row r="2038">
      <c r="A2038" s="24">
        <v>619.0</v>
      </c>
      <c r="B2038" s="24">
        <v>2.0</v>
      </c>
      <c r="C2038" s="44">
        <v>7.72</v>
      </c>
      <c r="D2038" s="46">
        <v>44940.0</v>
      </c>
      <c r="E2038" s="24">
        <v>3.86</v>
      </c>
      <c r="F2038" s="24">
        <v>12.47</v>
      </c>
      <c r="G2038" s="24">
        <v>0.32</v>
      </c>
      <c r="H2038" s="24" t="s">
        <v>6675</v>
      </c>
      <c r="I2038" s="24" t="s">
        <v>6650</v>
      </c>
      <c r="J2038" s="24">
        <v>0.0</v>
      </c>
    </row>
    <row r="2039">
      <c r="A2039" s="24">
        <v>343.0</v>
      </c>
      <c r="B2039" s="24">
        <v>3.0</v>
      </c>
      <c r="C2039" s="44">
        <v>4.08</v>
      </c>
      <c r="D2039" s="46">
        <v>44941.0</v>
      </c>
      <c r="E2039" s="24">
        <v>1.36</v>
      </c>
      <c r="F2039" s="24">
        <v>11.9</v>
      </c>
      <c r="G2039" s="24">
        <v>0.87</v>
      </c>
      <c r="H2039" s="24" t="s">
        <v>6680</v>
      </c>
      <c r="I2039" s="24">
        <v>2.04</v>
      </c>
      <c r="J2039" s="24">
        <v>0.0</v>
      </c>
    </row>
    <row r="2040">
      <c r="A2040" s="24">
        <v>146.0</v>
      </c>
      <c r="B2040" s="24">
        <v>1.0</v>
      </c>
      <c r="C2040" s="44">
        <v>6.18</v>
      </c>
      <c r="D2040" s="46">
        <v>44941.0</v>
      </c>
      <c r="E2040" s="24">
        <v>6.18</v>
      </c>
      <c r="F2040" s="24">
        <v>42.33</v>
      </c>
      <c r="G2040" s="24">
        <v>0.68</v>
      </c>
      <c r="H2040" s="24" t="s">
        <v>6677</v>
      </c>
      <c r="I2040" s="24" t="s">
        <v>6650</v>
      </c>
      <c r="J2040" s="24">
        <v>0.0</v>
      </c>
    </row>
    <row r="2041">
      <c r="A2041" s="24">
        <v>83.0</v>
      </c>
      <c r="B2041" s="24">
        <v>3.0</v>
      </c>
      <c r="C2041" s="44">
        <v>7.79</v>
      </c>
      <c r="D2041" s="46">
        <v>44941.0</v>
      </c>
      <c r="E2041" s="24">
        <v>2.6</v>
      </c>
      <c r="F2041" s="24">
        <v>93.86</v>
      </c>
      <c r="G2041" s="24">
        <v>3.61</v>
      </c>
      <c r="H2041" s="24" t="s">
        <v>6676</v>
      </c>
      <c r="I2041" s="24" t="s">
        <v>6650</v>
      </c>
      <c r="J2041" s="24">
        <v>0.0</v>
      </c>
    </row>
    <row r="2042">
      <c r="A2042" s="24">
        <v>227.0</v>
      </c>
      <c r="B2042" s="24">
        <v>3.0</v>
      </c>
      <c r="C2042" s="44">
        <v>8.59</v>
      </c>
      <c r="D2042" s="46">
        <v>44941.0</v>
      </c>
      <c r="E2042" s="24">
        <v>2.86</v>
      </c>
      <c r="F2042" s="24">
        <v>37.84</v>
      </c>
      <c r="G2042" s="24">
        <v>1.32</v>
      </c>
      <c r="H2042" s="24" t="s">
        <v>6673</v>
      </c>
      <c r="I2042" s="24" t="s">
        <v>6650</v>
      </c>
      <c r="J2042" s="24">
        <v>0.0</v>
      </c>
    </row>
    <row r="2043">
      <c r="A2043" s="24">
        <v>489.0</v>
      </c>
      <c r="B2043" s="24">
        <v>4.0</v>
      </c>
      <c r="C2043" s="44">
        <v>6.83</v>
      </c>
      <c r="D2043" s="46">
        <v>44941.0</v>
      </c>
      <c r="E2043" s="24">
        <v>1.71</v>
      </c>
      <c r="F2043" s="24">
        <v>13.97</v>
      </c>
      <c r="G2043" s="24">
        <v>0.82</v>
      </c>
      <c r="H2043" s="24" t="s">
        <v>6675</v>
      </c>
      <c r="I2043" s="24">
        <v>6.83</v>
      </c>
      <c r="J2043" s="24">
        <v>0.0</v>
      </c>
    </row>
    <row r="2044">
      <c r="A2044" s="24">
        <v>308.0</v>
      </c>
      <c r="B2044" s="24">
        <v>4.0</v>
      </c>
      <c r="C2044" s="44">
        <v>17.0</v>
      </c>
      <c r="D2044" s="46">
        <v>44942.0</v>
      </c>
      <c r="E2044" s="24">
        <v>4.25</v>
      </c>
      <c r="F2044" s="24">
        <v>55.19</v>
      </c>
      <c r="G2044" s="24">
        <v>1.3</v>
      </c>
      <c r="H2044" s="24" t="s">
        <v>6676</v>
      </c>
      <c r="I2044" s="24" t="s">
        <v>6650</v>
      </c>
      <c r="J2044" s="24">
        <v>0.0</v>
      </c>
    </row>
    <row r="2045">
      <c r="A2045" s="24">
        <v>838.0</v>
      </c>
      <c r="B2045" s="24">
        <v>3.0</v>
      </c>
      <c r="C2045" s="44">
        <v>11.46</v>
      </c>
      <c r="D2045" s="46">
        <v>44942.0</v>
      </c>
      <c r="E2045" s="24">
        <v>3.82</v>
      </c>
      <c r="F2045" s="24">
        <v>13.68</v>
      </c>
      <c r="G2045" s="24">
        <v>0.36</v>
      </c>
      <c r="H2045" s="24" t="s">
        <v>6680</v>
      </c>
      <c r="I2045" s="24" t="s">
        <v>6650</v>
      </c>
      <c r="J2045" s="24">
        <v>0.0</v>
      </c>
    </row>
    <row r="2046">
      <c r="A2046" s="24">
        <v>627.0</v>
      </c>
      <c r="B2046" s="24">
        <v>3.0</v>
      </c>
      <c r="C2046" s="44">
        <v>12.8</v>
      </c>
      <c r="D2046" s="46">
        <v>44942.0</v>
      </c>
      <c r="E2046" s="24">
        <v>4.27</v>
      </c>
      <c r="F2046" s="24">
        <v>20.41</v>
      </c>
      <c r="G2046" s="24">
        <v>0.48</v>
      </c>
      <c r="H2046" s="24" t="s">
        <v>6677</v>
      </c>
      <c r="I2046" s="24">
        <v>12.8</v>
      </c>
      <c r="J2046" s="24">
        <v>0.0</v>
      </c>
    </row>
    <row r="2047">
      <c r="A2047" s="24">
        <v>677.0</v>
      </c>
      <c r="B2047" s="24">
        <v>4.0</v>
      </c>
      <c r="C2047" s="44">
        <v>18.45</v>
      </c>
      <c r="D2047" s="46">
        <v>44942.0</v>
      </c>
      <c r="E2047" s="24">
        <v>4.61</v>
      </c>
      <c r="F2047" s="24">
        <v>27.25</v>
      </c>
      <c r="G2047" s="24">
        <v>0.59</v>
      </c>
      <c r="H2047" s="24" t="s">
        <v>6673</v>
      </c>
      <c r="I2047" s="24" t="s">
        <v>6650</v>
      </c>
      <c r="J2047" s="24">
        <v>0.0</v>
      </c>
    </row>
    <row r="2048">
      <c r="A2048" s="24">
        <v>675.0</v>
      </c>
      <c r="B2048" s="24">
        <v>5.0</v>
      </c>
      <c r="C2048" s="44">
        <v>12.94</v>
      </c>
      <c r="D2048" s="46">
        <v>44942.0</v>
      </c>
      <c r="E2048" s="24">
        <v>2.59</v>
      </c>
      <c r="F2048" s="24">
        <v>19.17</v>
      </c>
      <c r="G2048" s="24">
        <v>0.74</v>
      </c>
      <c r="H2048" s="24" t="s">
        <v>6675</v>
      </c>
      <c r="I2048" s="24" t="s">
        <v>6650</v>
      </c>
      <c r="J2048" s="24">
        <v>0.0</v>
      </c>
    </row>
    <row r="2049">
      <c r="A2049" s="24">
        <v>956.0</v>
      </c>
      <c r="B2049" s="24">
        <v>2.0</v>
      </c>
      <c r="C2049" s="44">
        <v>24.81</v>
      </c>
      <c r="D2049" s="46">
        <v>44943.0</v>
      </c>
      <c r="E2049" s="24">
        <v>12.4</v>
      </c>
      <c r="F2049" s="24">
        <v>25.95</v>
      </c>
      <c r="G2049" s="24">
        <v>0.21</v>
      </c>
      <c r="H2049" s="24" t="s">
        <v>6673</v>
      </c>
      <c r="I2049" s="24" t="s">
        <v>6650</v>
      </c>
      <c r="J2049" s="24">
        <v>0.0</v>
      </c>
    </row>
    <row r="2050">
      <c r="A2050" s="24">
        <v>914.0</v>
      </c>
      <c r="B2050" s="24">
        <v>3.0</v>
      </c>
      <c r="C2050" s="44">
        <v>13.9</v>
      </c>
      <c r="D2050" s="46">
        <v>44943.0</v>
      </c>
      <c r="E2050" s="24">
        <v>4.63</v>
      </c>
      <c r="F2050" s="24">
        <v>15.21</v>
      </c>
      <c r="G2050" s="24">
        <v>0.33</v>
      </c>
      <c r="H2050" s="24" t="s">
        <v>6680</v>
      </c>
      <c r="I2050" s="24">
        <v>13.9</v>
      </c>
      <c r="J2050" s="24">
        <v>0.0</v>
      </c>
    </row>
    <row r="2051">
      <c r="A2051" s="24">
        <v>312.0</v>
      </c>
      <c r="B2051" s="24">
        <v>2.0</v>
      </c>
      <c r="C2051" s="44">
        <v>20.57</v>
      </c>
      <c r="D2051" s="46">
        <v>44943.0</v>
      </c>
      <c r="E2051" s="24">
        <v>10.28</v>
      </c>
      <c r="F2051" s="24">
        <v>65.93</v>
      </c>
      <c r="G2051" s="24">
        <v>0.64</v>
      </c>
      <c r="H2051" s="24" t="s">
        <v>6676</v>
      </c>
      <c r="I2051" s="24" t="s">
        <v>6650</v>
      </c>
      <c r="J2051" s="24">
        <v>0.0</v>
      </c>
    </row>
    <row r="2052">
      <c r="A2052" s="24">
        <v>524.0</v>
      </c>
      <c r="B2052" s="24">
        <v>5.0</v>
      </c>
      <c r="C2052" s="44">
        <v>13.57</v>
      </c>
      <c r="D2052" s="46">
        <v>44943.0</v>
      </c>
      <c r="E2052" s="24">
        <v>2.71</v>
      </c>
      <c r="F2052" s="24">
        <v>25.9</v>
      </c>
      <c r="G2052" s="24">
        <v>0.95</v>
      </c>
      <c r="H2052" s="24" t="s">
        <v>6677</v>
      </c>
      <c r="I2052" s="24" t="s">
        <v>6650</v>
      </c>
      <c r="J2052" s="24">
        <v>0.0</v>
      </c>
    </row>
    <row r="2053">
      <c r="A2053" s="24">
        <v>782.0</v>
      </c>
      <c r="B2053" s="24">
        <v>9.0</v>
      </c>
      <c r="C2053" s="44">
        <v>13.46</v>
      </c>
      <c r="D2053" s="46">
        <v>44943.0</v>
      </c>
      <c r="E2053" s="24">
        <v>1.5</v>
      </c>
      <c r="F2053" s="24">
        <v>17.21</v>
      </c>
      <c r="G2053" s="24">
        <v>1.15</v>
      </c>
      <c r="H2053" s="24" t="s">
        <v>6675</v>
      </c>
      <c r="I2053" s="24" t="s">
        <v>6650</v>
      </c>
      <c r="J2053" s="24">
        <v>0.0</v>
      </c>
    </row>
    <row r="2054">
      <c r="A2054" s="24">
        <v>130.0</v>
      </c>
      <c r="B2054" s="24">
        <v>2.0</v>
      </c>
      <c r="C2054" s="44">
        <v>20.28</v>
      </c>
      <c r="D2054" s="46">
        <v>44944.0</v>
      </c>
      <c r="E2054" s="24">
        <v>10.14</v>
      </c>
      <c r="F2054" s="24">
        <v>156.0</v>
      </c>
      <c r="G2054" s="24">
        <v>1.54</v>
      </c>
      <c r="H2054" s="24" t="s">
        <v>6676</v>
      </c>
      <c r="I2054" s="24" t="s">
        <v>6650</v>
      </c>
      <c r="J2054" s="24">
        <v>0.0</v>
      </c>
    </row>
    <row r="2055">
      <c r="A2055" s="24">
        <v>288.0</v>
      </c>
      <c r="B2055" s="24">
        <v>2.0</v>
      </c>
      <c r="C2055" s="44">
        <v>12.61</v>
      </c>
      <c r="D2055" s="46">
        <v>44944.0</v>
      </c>
      <c r="E2055" s="24">
        <v>6.3</v>
      </c>
      <c r="F2055" s="24">
        <v>43.78</v>
      </c>
      <c r="G2055" s="24">
        <v>0.69</v>
      </c>
      <c r="H2055" s="24" t="s">
        <v>6675</v>
      </c>
      <c r="I2055" s="24">
        <v>12.61</v>
      </c>
      <c r="J2055" s="24">
        <v>0.0</v>
      </c>
    </row>
    <row r="2056">
      <c r="A2056" s="24">
        <v>849.0</v>
      </c>
      <c r="B2056" s="24">
        <v>2.0</v>
      </c>
      <c r="C2056" s="44">
        <v>23.96</v>
      </c>
      <c r="D2056" s="46">
        <v>44944.0</v>
      </c>
      <c r="E2056" s="24">
        <v>11.98</v>
      </c>
      <c r="F2056" s="24">
        <v>28.22</v>
      </c>
      <c r="G2056" s="24">
        <v>0.24</v>
      </c>
      <c r="H2056" s="24" t="s">
        <v>6673</v>
      </c>
      <c r="I2056" s="24">
        <v>23.96</v>
      </c>
      <c r="J2056" s="24">
        <v>0.0</v>
      </c>
    </row>
    <row r="2057">
      <c r="A2057" s="24">
        <v>474.0</v>
      </c>
      <c r="B2057" s="24">
        <v>7.0</v>
      </c>
      <c r="C2057" s="44">
        <v>12.25</v>
      </c>
      <c r="D2057" s="46">
        <v>44944.0</v>
      </c>
      <c r="E2057" s="24">
        <v>1.75</v>
      </c>
      <c r="F2057" s="24">
        <v>25.84</v>
      </c>
      <c r="G2057" s="24">
        <v>1.48</v>
      </c>
      <c r="H2057" s="24" t="s">
        <v>6677</v>
      </c>
      <c r="I2057" s="24">
        <v>6.12</v>
      </c>
      <c r="J2057" s="24">
        <v>0.0</v>
      </c>
    </row>
    <row r="2058">
      <c r="A2058" s="24">
        <v>520.0</v>
      </c>
      <c r="B2058" s="24">
        <v>3.0</v>
      </c>
      <c r="C2058" s="44">
        <v>14.4</v>
      </c>
      <c r="D2058" s="46">
        <v>44944.0</v>
      </c>
      <c r="E2058" s="24">
        <v>4.8</v>
      </c>
      <c r="F2058" s="24">
        <v>27.69</v>
      </c>
      <c r="G2058" s="24">
        <v>0.58</v>
      </c>
      <c r="H2058" s="24" t="s">
        <v>6680</v>
      </c>
      <c r="I2058" s="24">
        <v>14.4</v>
      </c>
      <c r="J2058" s="24">
        <v>0.0</v>
      </c>
    </row>
    <row r="2059">
      <c r="A2059" s="24">
        <v>354.0</v>
      </c>
      <c r="B2059" s="24">
        <v>2.0</v>
      </c>
      <c r="C2059" s="44">
        <v>19.43</v>
      </c>
      <c r="D2059" s="46">
        <v>44945.0</v>
      </c>
      <c r="E2059" s="24">
        <v>9.72</v>
      </c>
      <c r="F2059" s="24">
        <v>54.89</v>
      </c>
      <c r="G2059" s="24">
        <v>0.56</v>
      </c>
      <c r="H2059" s="24" t="s">
        <v>6676</v>
      </c>
      <c r="I2059" s="24" t="s">
        <v>6650</v>
      </c>
      <c r="J2059" s="24">
        <v>0.0</v>
      </c>
    </row>
    <row r="2060">
      <c r="A2060" s="24">
        <v>872.0</v>
      </c>
      <c r="B2060" s="24">
        <v>3.0</v>
      </c>
      <c r="C2060" s="44">
        <v>19.43</v>
      </c>
      <c r="D2060" s="46">
        <v>44945.0</v>
      </c>
      <c r="E2060" s="24">
        <v>6.48</v>
      </c>
      <c r="F2060" s="24">
        <v>22.28</v>
      </c>
      <c r="G2060" s="24">
        <v>0.34</v>
      </c>
      <c r="H2060" s="24" t="s">
        <v>6673</v>
      </c>
      <c r="I2060" s="24">
        <v>9.72</v>
      </c>
      <c r="J2060" s="24">
        <v>0.0</v>
      </c>
    </row>
    <row r="2061">
      <c r="A2061" s="24">
        <v>530.0</v>
      </c>
      <c r="B2061" s="24">
        <v>4.0</v>
      </c>
      <c r="C2061" s="44">
        <v>12.33</v>
      </c>
      <c r="D2061" s="46">
        <v>44945.0</v>
      </c>
      <c r="E2061" s="24">
        <v>3.08</v>
      </c>
      <c r="F2061" s="24">
        <v>23.26</v>
      </c>
      <c r="G2061" s="24">
        <v>0.75</v>
      </c>
      <c r="H2061" s="24" t="s">
        <v>6677</v>
      </c>
      <c r="I2061" s="24" t="s">
        <v>6650</v>
      </c>
      <c r="J2061" s="24">
        <v>0.0</v>
      </c>
    </row>
    <row r="2062">
      <c r="A2062" s="24">
        <v>871.0</v>
      </c>
      <c r="B2062" s="24">
        <v>6.0</v>
      </c>
      <c r="C2062" s="44">
        <v>10.25</v>
      </c>
      <c r="D2062" s="46">
        <v>44945.0</v>
      </c>
      <c r="E2062" s="24">
        <v>1.71</v>
      </c>
      <c r="F2062" s="24">
        <v>11.77</v>
      </c>
      <c r="G2062" s="24">
        <v>0.69</v>
      </c>
      <c r="H2062" s="24" t="s">
        <v>6680</v>
      </c>
      <c r="I2062" s="24" t="s">
        <v>6650</v>
      </c>
      <c r="J2062" s="24">
        <v>0.0</v>
      </c>
    </row>
    <row r="2063">
      <c r="A2063" s="24">
        <v>120.0</v>
      </c>
      <c r="B2063" s="24">
        <v>14.0</v>
      </c>
      <c r="C2063" s="44">
        <v>2.65</v>
      </c>
      <c r="D2063" s="46">
        <v>44945.0</v>
      </c>
      <c r="E2063" s="24">
        <v>0.19</v>
      </c>
      <c r="F2063" s="24">
        <v>22.08</v>
      </c>
      <c r="G2063" s="24">
        <v>11.67</v>
      </c>
      <c r="H2063" s="24" t="s">
        <v>6686</v>
      </c>
      <c r="I2063" s="24" t="s">
        <v>6650</v>
      </c>
      <c r="J2063" s="24">
        <v>0.0</v>
      </c>
    </row>
    <row r="2064">
      <c r="A2064" s="24">
        <v>1236.0</v>
      </c>
      <c r="B2064" s="24">
        <v>1.0</v>
      </c>
      <c r="C2064" s="44">
        <v>12.12</v>
      </c>
      <c r="D2064" s="46">
        <v>44945.0</v>
      </c>
      <c r="E2064" s="24">
        <v>12.12</v>
      </c>
      <c r="F2064" s="24">
        <v>9.81</v>
      </c>
      <c r="G2064" s="24">
        <v>0.08</v>
      </c>
      <c r="H2064" s="24" t="s">
        <v>6675</v>
      </c>
      <c r="I2064" s="24">
        <v>12.12</v>
      </c>
      <c r="J2064" s="24">
        <v>0.0</v>
      </c>
    </row>
    <row r="2065">
      <c r="A2065" s="24">
        <v>823.0</v>
      </c>
      <c r="B2065" s="24">
        <v>0.0</v>
      </c>
      <c r="C2065" s="44">
        <v>21.56</v>
      </c>
      <c r="D2065" s="46">
        <v>44946.0</v>
      </c>
      <c r="E2065" s="24" t="s">
        <v>6650</v>
      </c>
      <c r="F2065" s="24">
        <v>26.2</v>
      </c>
      <c r="G2065" s="24">
        <v>0.0</v>
      </c>
      <c r="H2065" s="24" t="s">
        <v>6673</v>
      </c>
      <c r="I2065" s="24" t="s">
        <v>6650</v>
      </c>
      <c r="J2065" s="24">
        <v>0.0</v>
      </c>
    </row>
    <row r="2066">
      <c r="A2066" s="24">
        <v>351.0</v>
      </c>
      <c r="B2066" s="24">
        <v>4.0</v>
      </c>
      <c r="C2066" s="44">
        <v>11.05</v>
      </c>
      <c r="D2066" s="46">
        <v>44946.0</v>
      </c>
      <c r="E2066" s="24">
        <v>2.76</v>
      </c>
      <c r="F2066" s="24">
        <v>31.48</v>
      </c>
      <c r="G2066" s="24">
        <v>1.14</v>
      </c>
      <c r="H2066" s="24" t="s">
        <v>6677</v>
      </c>
      <c r="I2066" s="24">
        <v>11.05</v>
      </c>
      <c r="J2066" s="24">
        <v>0.0</v>
      </c>
    </row>
    <row r="2067">
      <c r="A2067" s="24">
        <v>177.0</v>
      </c>
      <c r="B2067" s="24">
        <v>27.0</v>
      </c>
      <c r="C2067" s="44">
        <v>4.45</v>
      </c>
      <c r="D2067" s="46">
        <v>44946.0</v>
      </c>
      <c r="E2067" s="24">
        <v>0.16</v>
      </c>
      <c r="F2067" s="24">
        <v>25.14</v>
      </c>
      <c r="G2067" s="24">
        <v>15.25</v>
      </c>
      <c r="H2067" s="24" t="s">
        <v>6687</v>
      </c>
      <c r="I2067" s="24" t="s">
        <v>6650</v>
      </c>
      <c r="J2067" s="24">
        <v>0.0</v>
      </c>
    </row>
    <row r="2068">
      <c r="A2068" s="24">
        <v>789.0</v>
      </c>
      <c r="B2068" s="24">
        <v>5.0</v>
      </c>
      <c r="C2068" s="44">
        <v>10.85</v>
      </c>
      <c r="D2068" s="46">
        <v>44946.0</v>
      </c>
      <c r="E2068" s="24">
        <v>2.17</v>
      </c>
      <c r="F2068" s="24">
        <v>13.75</v>
      </c>
      <c r="G2068" s="24">
        <v>0.63</v>
      </c>
      <c r="H2068" s="24" t="s">
        <v>6680</v>
      </c>
      <c r="I2068" s="24" t="s">
        <v>6650</v>
      </c>
      <c r="J2068" s="24">
        <v>0.0</v>
      </c>
    </row>
    <row r="2069">
      <c r="A2069" s="24">
        <v>266.0</v>
      </c>
      <c r="B2069" s="24">
        <v>1.0</v>
      </c>
      <c r="C2069" s="44">
        <v>11.95</v>
      </c>
      <c r="D2069" s="46">
        <v>44946.0</v>
      </c>
      <c r="E2069" s="24">
        <v>11.95</v>
      </c>
      <c r="F2069" s="24">
        <v>44.92</v>
      </c>
      <c r="G2069" s="24">
        <v>0.38</v>
      </c>
      <c r="H2069" s="24" t="s">
        <v>6675</v>
      </c>
      <c r="I2069" s="24" t="s">
        <v>6650</v>
      </c>
      <c r="J2069" s="24">
        <v>0.0</v>
      </c>
    </row>
    <row r="2070">
      <c r="A2070" s="24">
        <v>367.0</v>
      </c>
      <c r="B2070" s="24">
        <v>31.0</v>
      </c>
      <c r="C2070" s="44">
        <v>14.76</v>
      </c>
      <c r="D2070" s="46">
        <v>44946.0</v>
      </c>
      <c r="E2070" s="24">
        <v>0.48</v>
      </c>
      <c r="F2070" s="24">
        <v>40.22</v>
      </c>
      <c r="G2070" s="24">
        <v>8.45</v>
      </c>
      <c r="H2070" s="24" t="s">
        <v>6686</v>
      </c>
      <c r="I2070" s="24" t="s">
        <v>6650</v>
      </c>
      <c r="J2070" s="24">
        <v>0.0</v>
      </c>
    </row>
    <row r="2071">
      <c r="A2071" s="24">
        <v>341.0</v>
      </c>
      <c r="B2071" s="24">
        <v>0.0</v>
      </c>
      <c r="C2071" s="44">
        <v>18.54</v>
      </c>
      <c r="D2071" s="46">
        <v>44946.0</v>
      </c>
      <c r="E2071" s="24" t="s">
        <v>6650</v>
      </c>
      <c r="F2071" s="24">
        <v>54.37</v>
      </c>
      <c r="G2071" s="24">
        <v>0.0</v>
      </c>
      <c r="H2071" s="24" t="s">
        <v>6676</v>
      </c>
      <c r="I2071" s="24" t="s">
        <v>6650</v>
      </c>
      <c r="J2071" s="24">
        <v>0.0</v>
      </c>
    </row>
    <row r="2072">
      <c r="A2072" s="24">
        <v>223.0</v>
      </c>
      <c r="B2072" s="24">
        <v>25.0</v>
      </c>
      <c r="C2072" s="44">
        <v>12.44</v>
      </c>
      <c r="D2072" s="46">
        <v>44947.0</v>
      </c>
      <c r="E2072" s="24">
        <v>0.5</v>
      </c>
      <c r="F2072" s="24">
        <v>55.78</v>
      </c>
      <c r="G2072" s="24">
        <v>11.21</v>
      </c>
      <c r="H2072" s="24" t="s">
        <v>6686</v>
      </c>
      <c r="I2072" s="24" t="s">
        <v>6650</v>
      </c>
      <c r="J2072" s="24">
        <v>0.0</v>
      </c>
    </row>
    <row r="2073">
      <c r="A2073" s="24">
        <v>336.0</v>
      </c>
      <c r="B2073" s="24">
        <v>1.0</v>
      </c>
      <c r="C2073" s="44">
        <v>8.31</v>
      </c>
      <c r="D2073" s="46">
        <v>44947.0</v>
      </c>
      <c r="E2073" s="24">
        <v>8.31</v>
      </c>
      <c r="F2073" s="24">
        <v>24.73</v>
      </c>
      <c r="G2073" s="24">
        <v>0.3</v>
      </c>
      <c r="H2073" s="24" t="s">
        <v>6680</v>
      </c>
      <c r="I2073" s="24" t="s">
        <v>6650</v>
      </c>
      <c r="J2073" s="24">
        <v>0.0</v>
      </c>
    </row>
    <row r="2074">
      <c r="A2074" s="24">
        <v>155.0</v>
      </c>
      <c r="B2074" s="24">
        <v>21.0</v>
      </c>
      <c r="C2074" s="44">
        <v>2.41</v>
      </c>
      <c r="D2074" s="46">
        <v>44947.0</v>
      </c>
      <c r="E2074" s="24">
        <v>0.11</v>
      </c>
      <c r="F2074" s="24">
        <v>15.55</v>
      </c>
      <c r="G2074" s="24">
        <v>13.55</v>
      </c>
      <c r="H2074" s="24" t="s">
        <v>6687</v>
      </c>
      <c r="I2074" s="24" t="s">
        <v>6650</v>
      </c>
      <c r="J2074" s="24">
        <v>0.0</v>
      </c>
    </row>
    <row r="2075">
      <c r="A2075" s="24">
        <v>206.0</v>
      </c>
      <c r="B2075" s="24">
        <v>0.0</v>
      </c>
      <c r="C2075" s="44">
        <v>10.66</v>
      </c>
      <c r="D2075" s="46">
        <v>44947.0</v>
      </c>
      <c r="E2075" s="24" t="s">
        <v>6650</v>
      </c>
      <c r="F2075" s="24">
        <v>51.75</v>
      </c>
      <c r="G2075" s="24">
        <v>0.0</v>
      </c>
      <c r="H2075" s="24" t="s">
        <v>6676</v>
      </c>
      <c r="I2075" s="24" t="s">
        <v>6650</v>
      </c>
      <c r="J2075" s="24">
        <v>0.0</v>
      </c>
    </row>
    <row r="2076">
      <c r="A2076" s="24">
        <v>281.0</v>
      </c>
      <c r="B2076" s="24">
        <v>3.0</v>
      </c>
      <c r="C2076" s="44">
        <v>14.31</v>
      </c>
      <c r="D2076" s="46">
        <v>44947.0</v>
      </c>
      <c r="E2076" s="24">
        <v>4.77</v>
      </c>
      <c r="F2076" s="24">
        <v>50.93</v>
      </c>
      <c r="G2076" s="24">
        <v>1.07</v>
      </c>
      <c r="H2076" s="24" t="s">
        <v>6673</v>
      </c>
      <c r="I2076" s="24" t="s">
        <v>6650</v>
      </c>
      <c r="J2076" s="24">
        <v>0.0</v>
      </c>
    </row>
    <row r="2077">
      <c r="A2077" s="24">
        <v>310.0</v>
      </c>
      <c r="B2077" s="24">
        <v>6.0</v>
      </c>
      <c r="C2077" s="44">
        <v>7.25</v>
      </c>
      <c r="D2077" s="46">
        <v>44947.0</v>
      </c>
      <c r="E2077" s="24">
        <v>1.21</v>
      </c>
      <c r="F2077" s="24">
        <v>23.39</v>
      </c>
      <c r="G2077" s="24">
        <v>1.94</v>
      </c>
      <c r="H2077" s="24" t="s">
        <v>6675</v>
      </c>
      <c r="I2077" s="24" t="s">
        <v>6650</v>
      </c>
      <c r="J2077" s="24">
        <v>0.0</v>
      </c>
    </row>
    <row r="2078">
      <c r="A2078" s="24">
        <v>148.0</v>
      </c>
      <c r="B2078" s="24">
        <v>0.0</v>
      </c>
      <c r="C2078" s="44">
        <v>7.38</v>
      </c>
      <c r="D2078" s="46">
        <v>44947.0</v>
      </c>
      <c r="E2078" s="24" t="s">
        <v>6650</v>
      </c>
      <c r="F2078" s="24">
        <v>49.86</v>
      </c>
      <c r="G2078" s="24">
        <v>0.0</v>
      </c>
      <c r="H2078" s="24" t="s">
        <v>6677</v>
      </c>
      <c r="I2078" s="24" t="s">
        <v>6650</v>
      </c>
      <c r="J2078" s="24">
        <v>0.0</v>
      </c>
    </row>
    <row r="2079">
      <c r="A2079" s="24">
        <v>197.0</v>
      </c>
      <c r="B2079" s="24">
        <v>2.0</v>
      </c>
      <c r="C2079" s="44">
        <v>7.62</v>
      </c>
      <c r="D2079" s="46">
        <v>44948.0</v>
      </c>
      <c r="E2079" s="24">
        <v>3.81</v>
      </c>
      <c r="F2079" s="24">
        <v>38.68</v>
      </c>
      <c r="G2079" s="24">
        <v>1.02</v>
      </c>
      <c r="H2079" s="24" t="s">
        <v>6677</v>
      </c>
      <c r="I2079" s="24" t="s">
        <v>6650</v>
      </c>
      <c r="J2079" s="24">
        <v>0.0</v>
      </c>
    </row>
    <row r="2080">
      <c r="A2080" s="24">
        <v>183.0</v>
      </c>
      <c r="B2080" s="24">
        <v>2.0</v>
      </c>
      <c r="C2080" s="44">
        <v>6.67</v>
      </c>
      <c r="D2080" s="46">
        <v>44948.0</v>
      </c>
      <c r="E2080" s="24">
        <v>3.34</v>
      </c>
      <c r="F2080" s="24">
        <v>36.45</v>
      </c>
      <c r="G2080" s="24">
        <v>1.09</v>
      </c>
      <c r="H2080" s="24" t="s">
        <v>6675</v>
      </c>
      <c r="I2080" s="24" t="s">
        <v>6650</v>
      </c>
      <c r="J2080" s="24">
        <v>0.0</v>
      </c>
    </row>
    <row r="2081">
      <c r="A2081" s="24">
        <v>404.0</v>
      </c>
      <c r="B2081" s="24">
        <v>1.0</v>
      </c>
      <c r="C2081" s="44">
        <v>7.83</v>
      </c>
      <c r="D2081" s="46">
        <v>44948.0</v>
      </c>
      <c r="E2081" s="24">
        <v>7.83</v>
      </c>
      <c r="F2081" s="24">
        <v>19.38</v>
      </c>
      <c r="G2081" s="24">
        <v>0.25</v>
      </c>
      <c r="H2081" s="24" t="s">
        <v>6680</v>
      </c>
      <c r="I2081" s="24" t="s">
        <v>6650</v>
      </c>
      <c r="J2081" s="24">
        <v>0.0</v>
      </c>
    </row>
    <row r="2082">
      <c r="A2082" s="24">
        <v>144.0</v>
      </c>
      <c r="B2082" s="24">
        <v>9.0</v>
      </c>
      <c r="C2082" s="44">
        <v>9.85</v>
      </c>
      <c r="D2082" s="46">
        <v>44948.0</v>
      </c>
      <c r="E2082" s="24">
        <v>1.09</v>
      </c>
      <c r="F2082" s="24">
        <v>68.4</v>
      </c>
      <c r="G2082" s="24">
        <v>6.25</v>
      </c>
      <c r="H2082" s="24" t="s">
        <v>6686</v>
      </c>
      <c r="I2082" s="24" t="s">
        <v>6650</v>
      </c>
      <c r="J2082" s="24">
        <v>0.0</v>
      </c>
    </row>
    <row r="2083">
      <c r="A2083" s="24">
        <v>167.0</v>
      </c>
      <c r="B2083" s="24">
        <v>0.0</v>
      </c>
      <c r="C2083" s="44">
        <v>9.02</v>
      </c>
      <c r="D2083" s="46">
        <v>44948.0</v>
      </c>
      <c r="E2083" s="24" t="s">
        <v>6650</v>
      </c>
      <c r="F2083" s="24">
        <v>54.01</v>
      </c>
      <c r="G2083" s="24">
        <v>0.0</v>
      </c>
      <c r="H2083" s="24" t="s">
        <v>6676</v>
      </c>
      <c r="I2083" s="24" t="s">
        <v>6650</v>
      </c>
      <c r="J2083" s="24">
        <v>0.0</v>
      </c>
    </row>
    <row r="2084">
      <c r="A2084" s="24">
        <v>222.0</v>
      </c>
      <c r="B2084" s="24">
        <v>22.0</v>
      </c>
      <c r="C2084" s="44">
        <v>15.0</v>
      </c>
      <c r="D2084" s="46">
        <v>44948.0</v>
      </c>
      <c r="E2084" s="24">
        <v>0.68</v>
      </c>
      <c r="F2084" s="24">
        <v>67.57</v>
      </c>
      <c r="G2084" s="24">
        <v>9.91</v>
      </c>
      <c r="H2084" s="24" t="s">
        <v>6687</v>
      </c>
      <c r="I2084" s="24" t="s">
        <v>6650</v>
      </c>
      <c r="J2084" s="24">
        <v>0.0</v>
      </c>
    </row>
    <row r="2085">
      <c r="A2085" s="24">
        <v>154.0</v>
      </c>
      <c r="B2085" s="24">
        <v>1.0</v>
      </c>
      <c r="C2085" s="44">
        <v>10.48</v>
      </c>
      <c r="D2085" s="46">
        <v>44948.0</v>
      </c>
      <c r="E2085" s="24">
        <v>10.48</v>
      </c>
      <c r="F2085" s="24">
        <v>68.05</v>
      </c>
      <c r="G2085" s="24">
        <v>0.65</v>
      </c>
      <c r="H2085" s="24" t="s">
        <v>6673</v>
      </c>
      <c r="I2085" s="24" t="s">
        <v>6650</v>
      </c>
      <c r="J2085" s="24">
        <v>0.0</v>
      </c>
    </row>
    <row r="2086">
      <c r="A2086" s="24">
        <v>625.0</v>
      </c>
      <c r="B2086" s="24">
        <v>2.0</v>
      </c>
      <c r="C2086" s="44">
        <v>12.72</v>
      </c>
      <c r="D2086" s="46">
        <v>44949.0</v>
      </c>
      <c r="E2086" s="24">
        <v>6.36</v>
      </c>
      <c r="F2086" s="24">
        <v>20.35</v>
      </c>
      <c r="G2086" s="24">
        <v>0.32</v>
      </c>
      <c r="H2086" s="24" t="s">
        <v>6677</v>
      </c>
      <c r="I2086" s="24" t="s">
        <v>6650</v>
      </c>
      <c r="J2086" s="24">
        <v>0.0</v>
      </c>
    </row>
    <row r="2087">
      <c r="A2087" s="24">
        <v>414.0</v>
      </c>
      <c r="B2087" s="24">
        <v>1.0</v>
      </c>
      <c r="C2087" s="44">
        <v>17.57</v>
      </c>
      <c r="D2087" s="46">
        <v>44949.0</v>
      </c>
      <c r="E2087" s="24">
        <v>17.57</v>
      </c>
      <c r="F2087" s="24">
        <v>42.44</v>
      </c>
      <c r="G2087" s="24">
        <v>0.24</v>
      </c>
      <c r="H2087" s="24" t="s">
        <v>6673</v>
      </c>
      <c r="I2087" s="24" t="s">
        <v>6650</v>
      </c>
      <c r="J2087" s="24">
        <v>0.0</v>
      </c>
    </row>
    <row r="2088">
      <c r="A2088" s="24">
        <v>221.0</v>
      </c>
      <c r="B2088" s="24">
        <v>14.0</v>
      </c>
      <c r="C2088" s="44">
        <v>12.65</v>
      </c>
      <c r="D2088" s="46">
        <v>44949.0</v>
      </c>
      <c r="E2088" s="24">
        <v>0.9</v>
      </c>
      <c r="F2088" s="24">
        <v>57.24</v>
      </c>
      <c r="G2088" s="24">
        <v>6.33</v>
      </c>
      <c r="H2088" s="24" t="s">
        <v>6687</v>
      </c>
      <c r="I2088" s="24" t="s">
        <v>6650</v>
      </c>
      <c r="J2088" s="24">
        <v>0.0</v>
      </c>
    </row>
    <row r="2089">
      <c r="A2089" s="24">
        <v>493.0</v>
      </c>
      <c r="B2089" s="24">
        <v>5.0</v>
      </c>
      <c r="C2089" s="44">
        <v>13.13</v>
      </c>
      <c r="D2089" s="46">
        <v>44949.0</v>
      </c>
      <c r="E2089" s="24">
        <v>2.63</v>
      </c>
      <c r="F2089" s="24">
        <v>26.63</v>
      </c>
      <c r="G2089" s="24">
        <v>1.01</v>
      </c>
      <c r="H2089" s="24" t="s">
        <v>6675</v>
      </c>
      <c r="I2089" s="24">
        <v>13.13</v>
      </c>
      <c r="J2089" s="24">
        <v>0.0</v>
      </c>
    </row>
    <row r="2090">
      <c r="A2090" s="24">
        <v>285.0</v>
      </c>
      <c r="B2090" s="24">
        <v>3.0</v>
      </c>
      <c r="C2090" s="44">
        <v>15.57</v>
      </c>
      <c r="D2090" s="46">
        <v>44949.0</v>
      </c>
      <c r="E2090" s="24">
        <v>5.19</v>
      </c>
      <c r="F2090" s="24">
        <v>54.63</v>
      </c>
      <c r="G2090" s="24">
        <v>1.05</v>
      </c>
      <c r="H2090" s="24" t="s">
        <v>6676</v>
      </c>
      <c r="I2090" s="24" t="s">
        <v>6650</v>
      </c>
      <c r="J2090" s="24">
        <v>0.0</v>
      </c>
    </row>
    <row r="2091">
      <c r="A2091" s="24">
        <v>257.0</v>
      </c>
      <c r="B2091" s="24">
        <v>18.0</v>
      </c>
      <c r="C2091" s="44">
        <v>12.07</v>
      </c>
      <c r="D2091" s="46">
        <v>44949.0</v>
      </c>
      <c r="E2091" s="24">
        <v>0.67</v>
      </c>
      <c r="F2091" s="24">
        <v>46.96</v>
      </c>
      <c r="G2091" s="24">
        <v>7.0</v>
      </c>
      <c r="H2091" s="24" t="s">
        <v>6686</v>
      </c>
      <c r="I2091" s="24" t="s">
        <v>6650</v>
      </c>
      <c r="J2091" s="24">
        <v>0.0</v>
      </c>
    </row>
    <row r="2092">
      <c r="A2092" s="24">
        <v>854.0</v>
      </c>
      <c r="B2092" s="24">
        <v>9.0</v>
      </c>
      <c r="C2092" s="44">
        <v>12.27</v>
      </c>
      <c r="D2092" s="46">
        <v>44949.0</v>
      </c>
      <c r="E2092" s="24">
        <v>1.36</v>
      </c>
      <c r="F2092" s="24">
        <v>14.37</v>
      </c>
      <c r="G2092" s="24">
        <v>1.05</v>
      </c>
      <c r="H2092" s="24" t="s">
        <v>6680</v>
      </c>
      <c r="I2092" s="24">
        <v>4.09</v>
      </c>
      <c r="J2092" s="24">
        <v>0.0</v>
      </c>
    </row>
    <row r="2093">
      <c r="A2093" s="24">
        <v>903.0</v>
      </c>
      <c r="B2093" s="24">
        <v>4.0</v>
      </c>
      <c r="C2093" s="44">
        <v>21.98</v>
      </c>
      <c r="D2093" s="46">
        <v>44950.0</v>
      </c>
      <c r="E2093" s="24">
        <v>5.5</v>
      </c>
      <c r="F2093" s="24">
        <v>24.34</v>
      </c>
      <c r="G2093" s="24">
        <v>0.44</v>
      </c>
      <c r="H2093" s="24" t="s">
        <v>6673</v>
      </c>
      <c r="I2093" s="24" t="s">
        <v>6650</v>
      </c>
      <c r="J2093" s="24">
        <v>0.0</v>
      </c>
    </row>
    <row r="2094">
      <c r="A2094" s="24">
        <v>810.0</v>
      </c>
      <c r="B2094" s="24">
        <v>1.0</v>
      </c>
      <c r="C2094" s="44">
        <v>12.67</v>
      </c>
      <c r="D2094" s="46">
        <v>44950.0</v>
      </c>
      <c r="E2094" s="24">
        <v>12.67</v>
      </c>
      <c r="F2094" s="24">
        <v>15.64</v>
      </c>
      <c r="G2094" s="24">
        <v>0.12</v>
      </c>
      <c r="H2094" s="24" t="s">
        <v>6675</v>
      </c>
      <c r="I2094" s="24" t="s">
        <v>6650</v>
      </c>
      <c r="J2094" s="24">
        <v>0.0</v>
      </c>
    </row>
    <row r="2095">
      <c r="A2095" s="24">
        <v>844.0</v>
      </c>
      <c r="B2095" s="24">
        <v>4.0</v>
      </c>
      <c r="C2095" s="44">
        <v>12.28</v>
      </c>
      <c r="D2095" s="46">
        <v>44950.0</v>
      </c>
      <c r="E2095" s="24">
        <v>3.07</v>
      </c>
      <c r="F2095" s="24">
        <v>14.55</v>
      </c>
      <c r="G2095" s="24">
        <v>0.47</v>
      </c>
      <c r="H2095" s="24" t="s">
        <v>6680</v>
      </c>
      <c r="I2095" s="24">
        <v>4.09</v>
      </c>
      <c r="J2095" s="24">
        <v>0.0</v>
      </c>
    </row>
    <row r="2096">
      <c r="A2096" s="24">
        <v>456.0</v>
      </c>
      <c r="B2096" s="24">
        <v>9.0</v>
      </c>
      <c r="C2096" s="44">
        <v>19.6</v>
      </c>
      <c r="D2096" s="46">
        <v>44950.0</v>
      </c>
      <c r="E2096" s="24">
        <v>2.18</v>
      </c>
      <c r="F2096" s="24">
        <v>42.98</v>
      </c>
      <c r="G2096" s="24">
        <v>1.97</v>
      </c>
      <c r="H2096" s="24" t="s">
        <v>6676</v>
      </c>
      <c r="I2096" s="24" t="s">
        <v>6650</v>
      </c>
      <c r="J2096" s="24">
        <v>0.0</v>
      </c>
    </row>
    <row r="2097">
      <c r="A2097" s="24">
        <v>178.0</v>
      </c>
      <c r="B2097" s="24">
        <v>6.0</v>
      </c>
      <c r="C2097" s="44">
        <v>12.46</v>
      </c>
      <c r="D2097" s="46">
        <v>44950.0</v>
      </c>
      <c r="E2097" s="24">
        <v>2.08</v>
      </c>
      <c r="F2097" s="24">
        <v>70.0</v>
      </c>
      <c r="G2097" s="24">
        <v>3.37</v>
      </c>
      <c r="H2097" s="24" t="s">
        <v>6686</v>
      </c>
      <c r="I2097" s="24" t="s">
        <v>6650</v>
      </c>
      <c r="J2097" s="24">
        <v>0.0</v>
      </c>
    </row>
    <row r="2098">
      <c r="A2098" s="24">
        <v>239.0</v>
      </c>
      <c r="B2098" s="24">
        <v>12.0</v>
      </c>
      <c r="C2098" s="44">
        <v>12.38</v>
      </c>
      <c r="D2098" s="46">
        <v>44950.0</v>
      </c>
      <c r="E2098" s="24">
        <v>1.03</v>
      </c>
      <c r="F2098" s="24">
        <v>51.8</v>
      </c>
      <c r="G2098" s="24">
        <v>5.02</v>
      </c>
      <c r="H2098" s="24" t="s">
        <v>6687</v>
      </c>
      <c r="I2098" s="24" t="s">
        <v>6650</v>
      </c>
      <c r="J2098" s="24">
        <v>0.0</v>
      </c>
    </row>
    <row r="2099">
      <c r="A2099" s="24">
        <v>630.0</v>
      </c>
      <c r="B2099" s="24">
        <v>6.0</v>
      </c>
      <c r="C2099" s="44">
        <v>12.39</v>
      </c>
      <c r="D2099" s="46">
        <v>44950.0</v>
      </c>
      <c r="E2099" s="24">
        <v>2.06</v>
      </c>
      <c r="F2099" s="24">
        <v>19.67</v>
      </c>
      <c r="G2099" s="24">
        <v>0.95</v>
      </c>
      <c r="H2099" s="24" t="s">
        <v>6677</v>
      </c>
      <c r="I2099" s="24" t="s">
        <v>6650</v>
      </c>
      <c r="J2099" s="24">
        <v>0.0</v>
      </c>
    </row>
    <row r="2100">
      <c r="A2100" s="24">
        <v>754.0</v>
      </c>
      <c r="B2100" s="24">
        <v>2.0</v>
      </c>
      <c r="C2100" s="44">
        <v>21.87</v>
      </c>
      <c r="D2100" s="46">
        <v>44951.0</v>
      </c>
      <c r="E2100" s="24">
        <v>10.94</v>
      </c>
      <c r="F2100" s="24">
        <v>29.01</v>
      </c>
      <c r="G2100" s="24">
        <v>0.27</v>
      </c>
      <c r="H2100" s="24" t="s">
        <v>6673</v>
      </c>
      <c r="I2100" s="24">
        <v>7.29</v>
      </c>
      <c r="J2100" s="24">
        <v>0.0</v>
      </c>
    </row>
    <row r="2101">
      <c r="A2101" s="24">
        <v>315.0</v>
      </c>
      <c r="B2101" s="24">
        <v>0.0</v>
      </c>
      <c r="C2101" s="44">
        <v>12.09</v>
      </c>
      <c r="D2101" s="46">
        <v>44951.0</v>
      </c>
      <c r="E2101" s="24" t="s">
        <v>6650</v>
      </c>
      <c r="F2101" s="24">
        <v>38.38</v>
      </c>
      <c r="G2101" s="24">
        <v>0.0</v>
      </c>
      <c r="H2101" s="24" t="s">
        <v>6675</v>
      </c>
      <c r="I2101" s="24" t="s">
        <v>6650</v>
      </c>
      <c r="J2101" s="24">
        <v>0.0</v>
      </c>
    </row>
    <row r="2102">
      <c r="A2102" s="24">
        <v>146.0</v>
      </c>
      <c r="B2102" s="24">
        <v>7.0</v>
      </c>
      <c r="C2102" s="44">
        <v>12.86</v>
      </c>
      <c r="D2102" s="46">
        <v>44951.0</v>
      </c>
      <c r="E2102" s="24">
        <v>1.84</v>
      </c>
      <c r="F2102" s="24">
        <v>88.08</v>
      </c>
      <c r="G2102" s="24">
        <v>4.79</v>
      </c>
      <c r="H2102" s="24" t="s">
        <v>6686</v>
      </c>
      <c r="I2102" s="24" t="s">
        <v>6650</v>
      </c>
      <c r="J2102" s="24">
        <v>0.0</v>
      </c>
    </row>
    <row r="2103">
      <c r="A2103" s="24">
        <v>374.0</v>
      </c>
      <c r="B2103" s="24">
        <v>3.0</v>
      </c>
      <c r="C2103" s="44">
        <v>12.04</v>
      </c>
      <c r="D2103" s="46">
        <v>44951.0</v>
      </c>
      <c r="E2103" s="24">
        <v>4.01</v>
      </c>
      <c r="F2103" s="24">
        <v>32.19</v>
      </c>
      <c r="G2103" s="24">
        <v>0.8</v>
      </c>
      <c r="H2103" s="24" t="s">
        <v>6677</v>
      </c>
      <c r="I2103" s="24">
        <v>12.04</v>
      </c>
      <c r="J2103" s="24">
        <v>0.0</v>
      </c>
    </row>
    <row r="2104">
      <c r="A2104" s="24">
        <v>591.0</v>
      </c>
      <c r="B2104" s="24">
        <v>6.0</v>
      </c>
      <c r="C2104" s="44">
        <v>12.48</v>
      </c>
      <c r="D2104" s="46">
        <v>44951.0</v>
      </c>
      <c r="E2104" s="24">
        <v>2.08</v>
      </c>
      <c r="F2104" s="24">
        <v>21.12</v>
      </c>
      <c r="G2104" s="24">
        <v>1.02</v>
      </c>
      <c r="H2104" s="24" t="s">
        <v>6680</v>
      </c>
      <c r="I2104" s="24" t="s">
        <v>6650</v>
      </c>
      <c r="J2104" s="24">
        <v>0.0</v>
      </c>
    </row>
    <row r="2105">
      <c r="A2105" s="24">
        <v>175.0</v>
      </c>
      <c r="B2105" s="24">
        <v>12.0</v>
      </c>
      <c r="C2105" s="44">
        <v>12.3</v>
      </c>
      <c r="D2105" s="46">
        <v>44951.0</v>
      </c>
      <c r="E2105" s="24">
        <v>1.03</v>
      </c>
      <c r="F2105" s="24">
        <v>70.29</v>
      </c>
      <c r="G2105" s="24">
        <v>6.86</v>
      </c>
      <c r="H2105" s="24" t="s">
        <v>6687</v>
      </c>
      <c r="I2105" s="24" t="s">
        <v>6650</v>
      </c>
      <c r="J2105" s="24">
        <v>0.0</v>
      </c>
    </row>
    <row r="2106">
      <c r="A2106" s="24">
        <v>319.0</v>
      </c>
      <c r="B2106" s="24">
        <v>2.0</v>
      </c>
      <c r="C2106" s="44">
        <v>18.94</v>
      </c>
      <c r="D2106" s="46">
        <v>44951.0</v>
      </c>
      <c r="E2106" s="24">
        <v>9.47</v>
      </c>
      <c r="F2106" s="24">
        <v>59.37</v>
      </c>
      <c r="G2106" s="24">
        <v>0.63</v>
      </c>
      <c r="H2106" s="24" t="s">
        <v>6676</v>
      </c>
      <c r="I2106" s="24">
        <v>18.94</v>
      </c>
      <c r="J2106" s="24">
        <v>0.0</v>
      </c>
    </row>
    <row r="2107">
      <c r="A2107" s="24">
        <v>319.0</v>
      </c>
      <c r="B2107" s="24">
        <v>2.0</v>
      </c>
      <c r="C2107" s="44">
        <v>12.29</v>
      </c>
      <c r="D2107" s="46">
        <v>44952.0</v>
      </c>
      <c r="E2107" s="24">
        <v>6.14</v>
      </c>
      <c r="F2107" s="24">
        <v>38.53</v>
      </c>
      <c r="G2107" s="24">
        <v>0.63</v>
      </c>
      <c r="H2107" s="24" t="s">
        <v>6675</v>
      </c>
      <c r="I2107" s="24" t="s">
        <v>6650</v>
      </c>
      <c r="J2107" s="24">
        <v>0.0</v>
      </c>
    </row>
    <row r="2108">
      <c r="A2108" s="24">
        <v>579.0</v>
      </c>
      <c r="B2108" s="24">
        <v>1.0</v>
      </c>
      <c r="C2108" s="44">
        <v>12.53</v>
      </c>
      <c r="D2108" s="46">
        <v>44952.0</v>
      </c>
      <c r="E2108" s="24">
        <v>12.53</v>
      </c>
      <c r="F2108" s="24">
        <v>21.64</v>
      </c>
      <c r="G2108" s="24">
        <v>0.17</v>
      </c>
      <c r="H2108" s="24" t="s">
        <v>6680</v>
      </c>
      <c r="I2108" s="24">
        <v>12.53</v>
      </c>
      <c r="J2108" s="24">
        <v>0.0</v>
      </c>
    </row>
    <row r="2109">
      <c r="A2109" s="24">
        <v>639.0</v>
      </c>
      <c r="B2109" s="24">
        <v>1.0</v>
      </c>
      <c r="C2109" s="44">
        <v>21.94</v>
      </c>
      <c r="D2109" s="46">
        <v>44952.0</v>
      </c>
      <c r="E2109" s="24">
        <v>21.94</v>
      </c>
      <c r="F2109" s="24">
        <v>34.33</v>
      </c>
      <c r="G2109" s="24">
        <v>0.16</v>
      </c>
      <c r="H2109" s="24" t="s">
        <v>6673</v>
      </c>
      <c r="I2109" s="24" t="s">
        <v>6650</v>
      </c>
      <c r="J2109" s="24">
        <v>0.0</v>
      </c>
    </row>
    <row r="2110">
      <c r="A2110" s="24">
        <v>453.0</v>
      </c>
      <c r="B2110" s="24">
        <v>3.0</v>
      </c>
      <c r="C2110" s="44">
        <v>16.92</v>
      </c>
      <c r="D2110" s="46">
        <v>44952.0</v>
      </c>
      <c r="E2110" s="24">
        <v>5.64</v>
      </c>
      <c r="F2110" s="24">
        <v>37.35</v>
      </c>
      <c r="G2110" s="24">
        <v>0.66</v>
      </c>
      <c r="H2110" s="24" t="s">
        <v>6676</v>
      </c>
      <c r="I2110" s="24" t="s">
        <v>6650</v>
      </c>
      <c r="J2110" s="24">
        <v>0.0</v>
      </c>
    </row>
    <row r="2111">
      <c r="A2111" s="24">
        <v>83.0</v>
      </c>
      <c r="B2111" s="24">
        <v>7.0</v>
      </c>
      <c r="C2111" s="44">
        <v>5.83</v>
      </c>
      <c r="D2111" s="46">
        <v>44952.0</v>
      </c>
      <c r="E2111" s="24">
        <v>0.83</v>
      </c>
      <c r="F2111" s="24">
        <v>70.24</v>
      </c>
      <c r="G2111" s="24">
        <v>8.43</v>
      </c>
      <c r="H2111" s="24" t="s">
        <v>6687</v>
      </c>
      <c r="I2111" s="24" t="s">
        <v>6650</v>
      </c>
      <c r="J2111" s="24">
        <v>0.0</v>
      </c>
    </row>
    <row r="2112">
      <c r="A2112" s="24">
        <v>126.0</v>
      </c>
      <c r="B2112" s="24">
        <v>5.0</v>
      </c>
      <c r="C2112" s="44">
        <v>12.55</v>
      </c>
      <c r="D2112" s="46">
        <v>44952.0</v>
      </c>
      <c r="E2112" s="24">
        <v>2.51</v>
      </c>
      <c r="F2112" s="24">
        <v>99.6</v>
      </c>
      <c r="G2112" s="24">
        <v>3.97</v>
      </c>
      <c r="H2112" s="24" t="s">
        <v>6686</v>
      </c>
      <c r="I2112" s="24" t="s">
        <v>6650</v>
      </c>
      <c r="J2112" s="24">
        <v>0.0</v>
      </c>
    </row>
    <row r="2113">
      <c r="A2113" s="24">
        <v>290.0</v>
      </c>
      <c r="B2113" s="24">
        <v>1.0</v>
      </c>
      <c r="C2113" s="44">
        <v>12.38</v>
      </c>
      <c r="D2113" s="46">
        <v>44952.0</v>
      </c>
      <c r="E2113" s="24">
        <v>12.38</v>
      </c>
      <c r="F2113" s="24">
        <v>42.69</v>
      </c>
      <c r="G2113" s="24">
        <v>0.34</v>
      </c>
      <c r="H2113" s="24" t="s">
        <v>6677</v>
      </c>
      <c r="I2113" s="24" t="s">
        <v>6650</v>
      </c>
      <c r="J2113" s="24">
        <v>0.0</v>
      </c>
    </row>
    <row r="2114">
      <c r="A2114" s="24">
        <v>861.0</v>
      </c>
      <c r="B2114" s="24">
        <v>3.0</v>
      </c>
      <c r="C2114" s="44">
        <v>11.33</v>
      </c>
      <c r="D2114" s="46">
        <v>44953.0</v>
      </c>
      <c r="E2114" s="24">
        <v>3.78</v>
      </c>
      <c r="F2114" s="24">
        <v>13.16</v>
      </c>
      <c r="G2114" s="24">
        <v>0.35</v>
      </c>
      <c r="H2114" s="24" t="s">
        <v>6675</v>
      </c>
      <c r="I2114" s="24" t="s">
        <v>6650</v>
      </c>
      <c r="J2114" s="24">
        <v>0.0</v>
      </c>
    </row>
    <row r="2115">
      <c r="A2115" s="24">
        <v>169.0</v>
      </c>
      <c r="B2115" s="24">
        <v>13.0</v>
      </c>
      <c r="C2115" s="44">
        <v>8.35</v>
      </c>
      <c r="D2115" s="46">
        <v>44953.0</v>
      </c>
      <c r="E2115" s="24">
        <v>0.64</v>
      </c>
      <c r="F2115" s="24">
        <v>49.41</v>
      </c>
      <c r="G2115" s="24">
        <v>7.69</v>
      </c>
      <c r="H2115" s="24" t="s">
        <v>6687</v>
      </c>
      <c r="I2115" s="24" t="s">
        <v>6650</v>
      </c>
      <c r="J2115" s="24">
        <v>0.0</v>
      </c>
    </row>
    <row r="2116">
      <c r="A2116" s="24">
        <v>875.0</v>
      </c>
      <c r="B2116" s="24">
        <v>4.0</v>
      </c>
      <c r="C2116" s="44">
        <v>17.09</v>
      </c>
      <c r="D2116" s="46">
        <v>44953.0</v>
      </c>
      <c r="E2116" s="24">
        <v>4.27</v>
      </c>
      <c r="F2116" s="24">
        <v>19.53</v>
      </c>
      <c r="G2116" s="24">
        <v>0.46</v>
      </c>
      <c r="H2116" s="24" t="s">
        <v>6673</v>
      </c>
      <c r="I2116" s="24">
        <v>17.09</v>
      </c>
      <c r="J2116" s="24">
        <v>0.0</v>
      </c>
    </row>
    <row r="2117">
      <c r="A2117" s="24">
        <v>457.0</v>
      </c>
      <c r="B2117" s="24">
        <v>2.0</v>
      </c>
      <c r="C2117" s="44">
        <v>11.1</v>
      </c>
      <c r="D2117" s="46">
        <v>44953.0</v>
      </c>
      <c r="E2117" s="24">
        <v>5.55</v>
      </c>
      <c r="F2117" s="24">
        <v>24.29</v>
      </c>
      <c r="G2117" s="24">
        <v>0.44</v>
      </c>
      <c r="H2117" s="24" t="s">
        <v>6677</v>
      </c>
      <c r="I2117" s="24">
        <v>11.1</v>
      </c>
      <c r="J2117" s="24">
        <v>0.0</v>
      </c>
    </row>
    <row r="2118">
      <c r="A2118" s="24">
        <v>198.0</v>
      </c>
      <c r="B2118" s="24">
        <v>7.0</v>
      </c>
      <c r="C2118" s="44">
        <v>8.2</v>
      </c>
      <c r="D2118" s="46">
        <v>44953.0</v>
      </c>
      <c r="E2118" s="24">
        <v>1.17</v>
      </c>
      <c r="F2118" s="24">
        <v>41.41</v>
      </c>
      <c r="G2118" s="24">
        <v>3.54</v>
      </c>
      <c r="H2118" s="24" t="s">
        <v>6686</v>
      </c>
      <c r="I2118" s="24" t="s">
        <v>6650</v>
      </c>
      <c r="J2118" s="24">
        <v>0.0</v>
      </c>
    </row>
    <row r="2119">
      <c r="A2119" s="24">
        <v>742.0</v>
      </c>
      <c r="B2119" s="24">
        <v>2.0</v>
      </c>
      <c r="C2119" s="44">
        <v>7.32</v>
      </c>
      <c r="D2119" s="46">
        <v>44953.0</v>
      </c>
      <c r="E2119" s="24">
        <v>3.66</v>
      </c>
      <c r="F2119" s="24">
        <v>9.87</v>
      </c>
      <c r="G2119" s="24">
        <v>0.27</v>
      </c>
      <c r="H2119" s="24" t="s">
        <v>6680</v>
      </c>
      <c r="I2119" s="24" t="s">
        <v>6650</v>
      </c>
      <c r="J2119" s="24">
        <v>0.0</v>
      </c>
    </row>
    <row r="2120">
      <c r="A2120" s="24">
        <v>509.0</v>
      </c>
      <c r="B2120" s="24">
        <v>6.0</v>
      </c>
      <c r="C2120" s="44">
        <v>21.04</v>
      </c>
      <c r="D2120" s="46">
        <v>44953.0</v>
      </c>
      <c r="E2120" s="24">
        <v>3.51</v>
      </c>
      <c r="F2120" s="24">
        <v>41.34</v>
      </c>
      <c r="G2120" s="24">
        <v>1.18</v>
      </c>
      <c r="H2120" s="24" t="s">
        <v>6676</v>
      </c>
      <c r="I2120" s="24">
        <v>21.04</v>
      </c>
      <c r="J2120" s="24">
        <v>0.0</v>
      </c>
    </row>
    <row r="2121">
      <c r="A2121" s="24">
        <v>251.0</v>
      </c>
      <c r="B2121" s="24">
        <v>5.0</v>
      </c>
      <c r="C2121" s="44">
        <v>7.76</v>
      </c>
      <c r="D2121" s="46">
        <v>44954.0</v>
      </c>
      <c r="E2121" s="24">
        <v>1.55</v>
      </c>
      <c r="F2121" s="24">
        <v>30.92</v>
      </c>
      <c r="G2121" s="24">
        <v>1.99</v>
      </c>
      <c r="H2121" s="24" t="s">
        <v>6675</v>
      </c>
      <c r="I2121" s="24" t="s">
        <v>6650</v>
      </c>
      <c r="J2121" s="24">
        <v>0.0</v>
      </c>
    </row>
    <row r="2122">
      <c r="A2122" s="24">
        <v>476.0</v>
      </c>
      <c r="B2122" s="24">
        <v>2.0</v>
      </c>
      <c r="C2122" s="44">
        <v>17.37</v>
      </c>
      <c r="D2122" s="46">
        <v>44954.0</v>
      </c>
      <c r="E2122" s="24">
        <v>8.68</v>
      </c>
      <c r="F2122" s="24">
        <v>36.49</v>
      </c>
      <c r="G2122" s="24">
        <v>0.42</v>
      </c>
      <c r="H2122" s="24" t="s">
        <v>6673</v>
      </c>
      <c r="I2122" s="24" t="s">
        <v>6650</v>
      </c>
      <c r="J2122" s="24">
        <v>0.0</v>
      </c>
    </row>
    <row r="2123">
      <c r="A2123" s="24">
        <v>102.0</v>
      </c>
      <c r="B2123" s="24">
        <v>7.0</v>
      </c>
      <c r="C2123" s="44">
        <v>6.51</v>
      </c>
      <c r="D2123" s="46">
        <v>44954.0</v>
      </c>
      <c r="E2123" s="24">
        <v>0.93</v>
      </c>
      <c r="F2123" s="24">
        <v>63.82</v>
      </c>
      <c r="G2123" s="24">
        <v>6.86</v>
      </c>
      <c r="H2123" s="24" t="s">
        <v>6686</v>
      </c>
      <c r="I2123" s="24" t="s">
        <v>6650</v>
      </c>
      <c r="J2123" s="24">
        <v>0.0</v>
      </c>
    </row>
    <row r="2124">
      <c r="A2124" s="24">
        <v>808.0</v>
      </c>
      <c r="B2124" s="24">
        <v>1.0</v>
      </c>
      <c r="C2124" s="44">
        <v>9.78</v>
      </c>
      <c r="D2124" s="46">
        <v>44954.0</v>
      </c>
      <c r="E2124" s="24">
        <v>9.78</v>
      </c>
      <c r="F2124" s="24">
        <v>12.1</v>
      </c>
      <c r="G2124" s="24">
        <v>0.12</v>
      </c>
      <c r="H2124" s="24" t="s">
        <v>6680</v>
      </c>
      <c r="I2124" s="24" t="s">
        <v>6650</v>
      </c>
      <c r="J2124" s="24">
        <v>0.0</v>
      </c>
    </row>
    <row r="2125">
      <c r="A2125" s="24">
        <v>140.0</v>
      </c>
      <c r="B2125" s="24">
        <v>1.0</v>
      </c>
      <c r="C2125" s="44">
        <v>8.55</v>
      </c>
      <c r="D2125" s="46">
        <v>44954.0</v>
      </c>
      <c r="E2125" s="24">
        <v>8.55</v>
      </c>
      <c r="F2125" s="24">
        <v>61.07</v>
      </c>
      <c r="G2125" s="24">
        <v>0.71</v>
      </c>
      <c r="H2125" s="24" t="s">
        <v>6677</v>
      </c>
      <c r="I2125" s="24" t="s">
        <v>6650</v>
      </c>
      <c r="J2125" s="24">
        <v>0.0</v>
      </c>
    </row>
    <row r="2126">
      <c r="A2126" s="24">
        <v>166.0</v>
      </c>
      <c r="B2126" s="24">
        <v>22.0</v>
      </c>
      <c r="C2126" s="44">
        <v>9.75</v>
      </c>
      <c r="D2126" s="46">
        <v>44954.0</v>
      </c>
      <c r="E2126" s="24">
        <v>0.44</v>
      </c>
      <c r="F2126" s="24">
        <v>58.73</v>
      </c>
      <c r="G2126" s="24">
        <v>13.25</v>
      </c>
      <c r="H2126" s="24" t="s">
        <v>6687</v>
      </c>
      <c r="I2126" s="24" t="s">
        <v>6650</v>
      </c>
      <c r="J2126" s="24">
        <v>0.0</v>
      </c>
    </row>
    <row r="2127">
      <c r="A2127" s="24">
        <v>302.0</v>
      </c>
      <c r="B2127" s="24">
        <v>1.0</v>
      </c>
      <c r="C2127" s="44">
        <v>9.63</v>
      </c>
      <c r="D2127" s="46">
        <v>44954.0</v>
      </c>
      <c r="E2127" s="24">
        <v>9.63</v>
      </c>
      <c r="F2127" s="24">
        <v>31.89</v>
      </c>
      <c r="G2127" s="24">
        <v>0.33</v>
      </c>
      <c r="H2127" s="24" t="s">
        <v>6676</v>
      </c>
      <c r="I2127" s="24">
        <v>9.63</v>
      </c>
      <c r="J2127" s="24">
        <v>0.0</v>
      </c>
    </row>
    <row r="2128">
      <c r="A2128" s="24">
        <v>178.0</v>
      </c>
      <c r="B2128" s="24">
        <v>14.0</v>
      </c>
      <c r="C2128" s="44">
        <v>5.53</v>
      </c>
      <c r="D2128" s="46">
        <v>44955.0</v>
      </c>
      <c r="E2128" s="24">
        <v>0.4</v>
      </c>
      <c r="F2128" s="24">
        <v>31.07</v>
      </c>
      <c r="G2128" s="24">
        <v>7.87</v>
      </c>
      <c r="H2128" s="24" t="s">
        <v>6687</v>
      </c>
      <c r="I2128" s="24" t="s">
        <v>6650</v>
      </c>
      <c r="J2128" s="24">
        <v>0.0</v>
      </c>
    </row>
    <row r="2129">
      <c r="A2129" s="24">
        <v>279.0</v>
      </c>
      <c r="B2129" s="24">
        <v>2.0</v>
      </c>
      <c r="C2129" s="44">
        <v>13.47</v>
      </c>
      <c r="D2129" s="46">
        <v>44955.0</v>
      </c>
      <c r="E2129" s="24">
        <v>6.74</v>
      </c>
      <c r="F2129" s="24">
        <v>48.28</v>
      </c>
      <c r="G2129" s="24">
        <v>0.72</v>
      </c>
      <c r="H2129" s="24" t="s">
        <v>6676</v>
      </c>
      <c r="I2129" s="24" t="s">
        <v>6650</v>
      </c>
      <c r="J2129" s="24">
        <v>0.0</v>
      </c>
    </row>
    <row r="2130">
      <c r="A2130" s="24">
        <v>476.0</v>
      </c>
      <c r="B2130" s="24">
        <v>1.0</v>
      </c>
      <c r="C2130" s="44">
        <v>10.33</v>
      </c>
      <c r="D2130" s="46">
        <v>44955.0</v>
      </c>
      <c r="E2130" s="24">
        <v>10.33</v>
      </c>
      <c r="F2130" s="24">
        <v>21.7</v>
      </c>
      <c r="G2130" s="24">
        <v>0.21</v>
      </c>
      <c r="H2130" s="24" t="s">
        <v>6673</v>
      </c>
      <c r="I2130" s="24" t="s">
        <v>6650</v>
      </c>
      <c r="J2130" s="24">
        <v>0.0</v>
      </c>
    </row>
    <row r="2131">
      <c r="A2131" s="24">
        <v>646.0</v>
      </c>
      <c r="B2131" s="24">
        <v>4.0</v>
      </c>
      <c r="C2131" s="44">
        <v>5.49</v>
      </c>
      <c r="D2131" s="46">
        <v>44955.0</v>
      </c>
      <c r="E2131" s="24">
        <v>1.37</v>
      </c>
      <c r="F2131" s="24">
        <v>8.5</v>
      </c>
      <c r="G2131" s="24">
        <v>0.62</v>
      </c>
      <c r="H2131" s="24" t="s">
        <v>6680</v>
      </c>
      <c r="I2131" s="24">
        <v>5.49</v>
      </c>
      <c r="J2131" s="24">
        <v>0.0</v>
      </c>
    </row>
    <row r="2132">
      <c r="A2132" s="24">
        <v>109.0</v>
      </c>
      <c r="B2132" s="24">
        <v>5.0</v>
      </c>
      <c r="C2132" s="44">
        <v>5.35</v>
      </c>
      <c r="D2132" s="46">
        <v>44955.0</v>
      </c>
      <c r="E2132" s="24">
        <v>1.07</v>
      </c>
      <c r="F2132" s="24">
        <v>49.08</v>
      </c>
      <c r="G2132" s="24">
        <v>4.59</v>
      </c>
      <c r="H2132" s="24" t="s">
        <v>6686</v>
      </c>
      <c r="I2132" s="24" t="s">
        <v>6650</v>
      </c>
      <c r="J2132" s="24">
        <v>0.0</v>
      </c>
    </row>
    <row r="2133">
      <c r="A2133" s="24">
        <v>178.0</v>
      </c>
      <c r="B2133" s="24">
        <v>1.0</v>
      </c>
      <c r="C2133" s="44">
        <v>7.73</v>
      </c>
      <c r="D2133" s="46">
        <v>44955.0</v>
      </c>
      <c r="E2133" s="24">
        <v>7.73</v>
      </c>
      <c r="F2133" s="24">
        <v>43.43</v>
      </c>
      <c r="G2133" s="24">
        <v>0.56</v>
      </c>
      <c r="H2133" s="24" t="s">
        <v>6675</v>
      </c>
      <c r="I2133" s="24" t="s">
        <v>6650</v>
      </c>
      <c r="J2133" s="24">
        <v>0.0</v>
      </c>
    </row>
    <row r="2134">
      <c r="A2134" s="24">
        <v>133.0</v>
      </c>
      <c r="B2134" s="24">
        <v>0.0</v>
      </c>
      <c r="C2134" s="44">
        <v>7.82</v>
      </c>
      <c r="D2134" s="46">
        <v>44955.0</v>
      </c>
      <c r="E2134" s="24" t="s">
        <v>6650</v>
      </c>
      <c r="F2134" s="24">
        <v>58.8</v>
      </c>
      <c r="G2134" s="24">
        <v>0.0</v>
      </c>
      <c r="H2134" s="24" t="s">
        <v>6677</v>
      </c>
      <c r="I2134" s="24" t="s">
        <v>6650</v>
      </c>
      <c r="J2134" s="24">
        <v>0.0</v>
      </c>
    </row>
    <row r="2135">
      <c r="A2135" s="24">
        <v>340.0</v>
      </c>
      <c r="B2135" s="24">
        <v>7.0</v>
      </c>
      <c r="C2135" s="44">
        <v>13.87</v>
      </c>
      <c r="D2135" s="46">
        <v>44956.0</v>
      </c>
      <c r="E2135" s="24">
        <v>1.98</v>
      </c>
      <c r="F2135" s="24">
        <v>40.79</v>
      </c>
      <c r="G2135" s="24">
        <v>2.06</v>
      </c>
      <c r="H2135" s="24" t="s">
        <v>6675</v>
      </c>
      <c r="I2135" s="24" t="s">
        <v>6650</v>
      </c>
      <c r="J2135" s="24">
        <v>0.0</v>
      </c>
    </row>
    <row r="2136">
      <c r="A2136" s="24">
        <v>339.0</v>
      </c>
      <c r="B2136" s="24">
        <v>2.0</v>
      </c>
      <c r="C2136" s="44">
        <v>18.02</v>
      </c>
      <c r="D2136" s="46">
        <v>44956.0</v>
      </c>
      <c r="E2136" s="24">
        <v>9.01</v>
      </c>
      <c r="F2136" s="24">
        <v>53.16</v>
      </c>
      <c r="G2136" s="24">
        <v>0.59</v>
      </c>
      <c r="H2136" s="24" t="s">
        <v>6673</v>
      </c>
      <c r="I2136" s="24">
        <v>18.02</v>
      </c>
      <c r="J2136" s="24">
        <v>0.0</v>
      </c>
    </row>
    <row r="2137">
      <c r="A2137" s="24">
        <v>231.0</v>
      </c>
      <c r="B2137" s="24">
        <v>14.0</v>
      </c>
      <c r="C2137" s="44">
        <v>12.08</v>
      </c>
      <c r="D2137" s="46">
        <v>44956.0</v>
      </c>
      <c r="E2137" s="24">
        <v>0.86</v>
      </c>
      <c r="F2137" s="24">
        <v>52.29</v>
      </c>
      <c r="G2137" s="24">
        <v>6.06</v>
      </c>
      <c r="H2137" s="24" t="s">
        <v>6686</v>
      </c>
      <c r="I2137" s="24" t="s">
        <v>6650</v>
      </c>
      <c r="J2137" s="24">
        <v>0.0</v>
      </c>
    </row>
    <row r="2138">
      <c r="A2138" s="24">
        <v>478.0</v>
      </c>
      <c r="B2138" s="24">
        <v>17.0</v>
      </c>
      <c r="C2138" s="44">
        <v>12.04</v>
      </c>
      <c r="D2138" s="46">
        <v>44956.0</v>
      </c>
      <c r="E2138" s="24">
        <v>0.71</v>
      </c>
      <c r="F2138" s="24">
        <v>25.19</v>
      </c>
      <c r="G2138" s="24">
        <v>3.56</v>
      </c>
      <c r="H2138" s="24" t="s">
        <v>6687</v>
      </c>
      <c r="I2138" s="24" t="s">
        <v>6650</v>
      </c>
      <c r="J2138" s="24">
        <v>0.0</v>
      </c>
    </row>
    <row r="2139">
      <c r="A2139" s="24">
        <v>145.0</v>
      </c>
      <c r="B2139" s="24">
        <v>3.0</v>
      </c>
      <c r="C2139" s="44">
        <v>15.83</v>
      </c>
      <c r="D2139" s="46">
        <v>44956.0</v>
      </c>
      <c r="E2139" s="24">
        <v>5.28</v>
      </c>
      <c r="F2139" s="24">
        <v>109.17</v>
      </c>
      <c r="G2139" s="24">
        <v>2.07</v>
      </c>
      <c r="H2139" s="24" t="s">
        <v>6676</v>
      </c>
      <c r="I2139" s="24" t="s">
        <v>6650</v>
      </c>
      <c r="J2139" s="24">
        <v>0.0</v>
      </c>
    </row>
    <row r="2140">
      <c r="A2140" s="24">
        <v>438.0</v>
      </c>
      <c r="B2140" s="24">
        <v>3.0</v>
      </c>
      <c r="C2140" s="44">
        <v>12.86</v>
      </c>
      <c r="D2140" s="46">
        <v>44956.0</v>
      </c>
      <c r="E2140" s="24">
        <v>4.29</v>
      </c>
      <c r="F2140" s="24">
        <v>29.36</v>
      </c>
      <c r="G2140" s="24">
        <v>0.68</v>
      </c>
      <c r="H2140" s="24" t="s">
        <v>6677</v>
      </c>
      <c r="I2140" s="24" t="s">
        <v>6650</v>
      </c>
      <c r="J2140" s="24">
        <v>0.0</v>
      </c>
    </row>
    <row r="2141">
      <c r="A2141" s="24">
        <v>907.0</v>
      </c>
      <c r="B2141" s="24">
        <v>4.0</v>
      </c>
      <c r="C2141" s="44">
        <v>12.46</v>
      </c>
      <c r="D2141" s="46">
        <v>44956.0</v>
      </c>
      <c r="E2141" s="24">
        <v>3.12</v>
      </c>
      <c r="F2141" s="24">
        <v>13.74</v>
      </c>
      <c r="G2141" s="24">
        <v>0.44</v>
      </c>
      <c r="H2141" s="24" t="s">
        <v>6680</v>
      </c>
      <c r="I2141" s="24">
        <v>6.23</v>
      </c>
      <c r="J2141" s="24">
        <v>0.0</v>
      </c>
    </row>
    <row r="2142">
      <c r="A2142" s="24">
        <v>1189.0</v>
      </c>
      <c r="B2142" s="24">
        <v>1.0</v>
      </c>
      <c r="C2142" s="44">
        <v>23.32</v>
      </c>
      <c r="D2142" s="46">
        <v>44957.0</v>
      </c>
      <c r="E2142" s="24">
        <v>23.32</v>
      </c>
      <c r="F2142" s="24">
        <v>19.61</v>
      </c>
      <c r="G2142" s="24">
        <v>0.08</v>
      </c>
      <c r="H2142" s="24" t="s">
        <v>6673</v>
      </c>
      <c r="I2142" s="24">
        <v>23.32</v>
      </c>
      <c r="J2142" s="24">
        <v>0.0</v>
      </c>
    </row>
    <row r="2143">
      <c r="A2143" s="24">
        <v>1127.0</v>
      </c>
      <c r="B2143" s="24">
        <v>6.0</v>
      </c>
      <c r="C2143" s="44">
        <v>13.52</v>
      </c>
      <c r="D2143" s="46">
        <v>44957.0</v>
      </c>
      <c r="E2143" s="24">
        <v>2.25</v>
      </c>
      <c r="F2143" s="24">
        <v>12.0</v>
      </c>
      <c r="G2143" s="24">
        <v>0.53</v>
      </c>
      <c r="H2143" s="24" t="s">
        <v>6680</v>
      </c>
      <c r="I2143" s="24">
        <v>6.76</v>
      </c>
      <c r="J2143" s="24">
        <v>0.0</v>
      </c>
    </row>
    <row r="2144">
      <c r="A2144" s="24">
        <v>276.0</v>
      </c>
      <c r="B2144" s="24">
        <v>10.0</v>
      </c>
      <c r="C2144" s="44">
        <v>13.14</v>
      </c>
      <c r="D2144" s="46">
        <v>44957.0</v>
      </c>
      <c r="E2144" s="24">
        <v>1.31</v>
      </c>
      <c r="F2144" s="24">
        <v>47.61</v>
      </c>
      <c r="G2144" s="24">
        <v>3.62</v>
      </c>
      <c r="H2144" s="24" t="s">
        <v>6686</v>
      </c>
      <c r="I2144" s="24" t="s">
        <v>6650</v>
      </c>
      <c r="J2144" s="24">
        <v>0.0</v>
      </c>
    </row>
    <row r="2145">
      <c r="A2145" s="24">
        <v>650.0</v>
      </c>
      <c r="B2145" s="24">
        <v>10.0</v>
      </c>
      <c r="C2145" s="44">
        <v>12.92</v>
      </c>
      <c r="D2145" s="46">
        <v>44957.0</v>
      </c>
      <c r="E2145" s="24">
        <v>1.29</v>
      </c>
      <c r="F2145" s="24">
        <v>19.88</v>
      </c>
      <c r="G2145" s="24">
        <v>1.54</v>
      </c>
      <c r="H2145" s="24" t="s">
        <v>6677</v>
      </c>
      <c r="I2145" s="24">
        <v>12.92</v>
      </c>
      <c r="J2145" s="24">
        <v>0.0</v>
      </c>
    </row>
    <row r="2146">
      <c r="A2146" s="24">
        <v>833.0</v>
      </c>
      <c r="B2146" s="24">
        <v>6.0</v>
      </c>
      <c r="C2146" s="44">
        <v>12.7</v>
      </c>
      <c r="D2146" s="46">
        <v>44957.0</v>
      </c>
      <c r="E2146" s="24">
        <v>2.12</v>
      </c>
      <c r="F2146" s="24">
        <v>15.25</v>
      </c>
      <c r="G2146" s="24">
        <v>0.72</v>
      </c>
      <c r="H2146" s="24" t="s">
        <v>6675</v>
      </c>
      <c r="I2146" s="24" t="s">
        <v>6650</v>
      </c>
      <c r="J2146" s="24">
        <v>0.0</v>
      </c>
    </row>
    <row r="2147">
      <c r="A2147" s="24">
        <v>490.0</v>
      </c>
      <c r="B2147" s="24">
        <v>1.0</v>
      </c>
      <c r="C2147" s="44">
        <v>19.57</v>
      </c>
      <c r="D2147" s="46">
        <v>44957.0</v>
      </c>
      <c r="E2147" s="24">
        <v>19.57</v>
      </c>
      <c r="F2147" s="24">
        <v>39.94</v>
      </c>
      <c r="G2147" s="24">
        <v>0.2</v>
      </c>
      <c r="H2147" s="24" t="s">
        <v>6676</v>
      </c>
      <c r="I2147" s="24" t="s">
        <v>6650</v>
      </c>
      <c r="J2147" s="24">
        <v>0.0</v>
      </c>
    </row>
    <row r="2148">
      <c r="A2148" s="24">
        <v>426.0</v>
      </c>
      <c r="B2148" s="24">
        <v>22.0</v>
      </c>
      <c r="C2148" s="44">
        <v>13.05</v>
      </c>
      <c r="D2148" s="46">
        <v>44957.0</v>
      </c>
      <c r="E2148" s="24">
        <v>0.59</v>
      </c>
      <c r="F2148" s="24">
        <v>30.63</v>
      </c>
      <c r="G2148" s="24">
        <v>5.16</v>
      </c>
      <c r="H2148" s="24" t="s">
        <v>6687</v>
      </c>
      <c r="I2148" s="24" t="s">
        <v>6650</v>
      </c>
      <c r="J2148" s="24">
        <v>0.0</v>
      </c>
    </row>
    <row r="2149">
      <c r="A2149" s="24">
        <v>1135.0</v>
      </c>
      <c r="B2149" s="24">
        <v>4.0</v>
      </c>
      <c r="C2149" s="44">
        <v>12.82</v>
      </c>
      <c r="D2149" s="46">
        <v>44958.0</v>
      </c>
      <c r="E2149" s="24">
        <v>3.2</v>
      </c>
      <c r="F2149" s="24">
        <v>11.3</v>
      </c>
      <c r="G2149" s="24">
        <v>0.35</v>
      </c>
      <c r="H2149" s="24" t="s">
        <v>6675</v>
      </c>
      <c r="I2149" s="24">
        <v>6.41</v>
      </c>
      <c r="J2149" s="24">
        <v>0.0</v>
      </c>
    </row>
    <row r="2150">
      <c r="A2150" s="24">
        <v>259.0</v>
      </c>
      <c r="B2150" s="24">
        <v>5.0</v>
      </c>
      <c r="C2150" s="44">
        <v>13.17</v>
      </c>
      <c r="D2150" s="46">
        <v>44958.0</v>
      </c>
      <c r="E2150" s="24">
        <v>2.63</v>
      </c>
      <c r="F2150" s="24">
        <v>50.85</v>
      </c>
      <c r="G2150" s="24">
        <v>1.93</v>
      </c>
      <c r="H2150" s="24" t="s">
        <v>6687</v>
      </c>
      <c r="I2150" s="24" t="s">
        <v>6650</v>
      </c>
      <c r="J2150" s="24">
        <v>0.0</v>
      </c>
    </row>
    <row r="2151">
      <c r="A2151" s="24">
        <v>546.0</v>
      </c>
      <c r="B2151" s="24">
        <v>2.0</v>
      </c>
      <c r="C2151" s="44">
        <v>20.07</v>
      </c>
      <c r="D2151" s="46">
        <v>44958.0</v>
      </c>
      <c r="E2151" s="24">
        <v>10.04</v>
      </c>
      <c r="F2151" s="24">
        <v>36.76</v>
      </c>
      <c r="G2151" s="24">
        <v>0.37</v>
      </c>
      <c r="H2151" s="24" t="s">
        <v>6676</v>
      </c>
      <c r="I2151" s="24" t="s">
        <v>6650</v>
      </c>
      <c r="J2151" s="24">
        <v>0.0</v>
      </c>
    </row>
    <row r="2152">
      <c r="A2152" s="24">
        <v>264.0</v>
      </c>
      <c r="B2152" s="24">
        <v>15.0</v>
      </c>
      <c r="C2152" s="44">
        <v>13.16</v>
      </c>
      <c r="D2152" s="46">
        <v>44958.0</v>
      </c>
      <c r="E2152" s="24">
        <v>0.88</v>
      </c>
      <c r="F2152" s="24">
        <v>49.85</v>
      </c>
      <c r="G2152" s="24">
        <v>5.68</v>
      </c>
      <c r="H2152" s="24" t="s">
        <v>6686</v>
      </c>
      <c r="I2152" s="24" t="s">
        <v>6650</v>
      </c>
      <c r="J2152" s="24">
        <v>0.0</v>
      </c>
    </row>
    <row r="2153">
      <c r="A2153" s="24">
        <v>967.0</v>
      </c>
      <c r="B2153" s="24">
        <v>1.0</v>
      </c>
      <c r="C2153" s="44">
        <v>14.3</v>
      </c>
      <c r="D2153" s="46">
        <v>44958.0</v>
      </c>
      <c r="E2153" s="24">
        <v>14.3</v>
      </c>
      <c r="F2153" s="24">
        <v>14.79</v>
      </c>
      <c r="G2153" s="24">
        <v>0.1</v>
      </c>
      <c r="H2153" s="24" t="s">
        <v>6680</v>
      </c>
      <c r="I2153" s="24" t="s">
        <v>6650</v>
      </c>
      <c r="J2153" s="24">
        <v>0.0</v>
      </c>
    </row>
    <row r="2154">
      <c r="A2154" s="24">
        <v>707.0</v>
      </c>
      <c r="B2154" s="24">
        <v>5.0</v>
      </c>
      <c r="C2154" s="44">
        <v>12.9</v>
      </c>
      <c r="D2154" s="46">
        <v>44958.0</v>
      </c>
      <c r="E2154" s="24">
        <v>2.58</v>
      </c>
      <c r="F2154" s="24">
        <v>18.25</v>
      </c>
      <c r="G2154" s="24">
        <v>0.71</v>
      </c>
      <c r="H2154" s="24" t="s">
        <v>6677</v>
      </c>
      <c r="I2154" s="24" t="s">
        <v>6650</v>
      </c>
      <c r="J2154" s="24">
        <v>0.0</v>
      </c>
    </row>
    <row r="2155">
      <c r="A2155" s="24">
        <v>1258.0</v>
      </c>
      <c r="B2155" s="24">
        <v>3.0</v>
      </c>
      <c r="C2155" s="44">
        <v>23.81</v>
      </c>
      <c r="D2155" s="46">
        <v>44958.0</v>
      </c>
      <c r="E2155" s="24">
        <v>7.94</v>
      </c>
      <c r="F2155" s="24">
        <v>18.93</v>
      </c>
      <c r="G2155" s="24">
        <v>0.24</v>
      </c>
      <c r="H2155" s="24" t="s">
        <v>6673</v>
      </c>
      <c r="I2155" s="24" t="s">
        <v>6650</v>
      </c>
      <c r="J2155" s="24">
        <v>0.0</v>
      </c>
    </row>
    <row r="2156">
      <c r="A2156" s="24">
        <v>108.0</v>
      </c>
      <c r="B2156" s="24">
        <v>8.0</v>
      </c>
      <c r="C2156" s="44">
        <v>6.36</v>
      </c>
      <c r="D2156" s="46">
        <v>44959.0</v>
      </c>
      <c r="E2156" s="24">
        <v>0.8</v>
      </c>
      <c r="F2156" s="24">
        <v>58.89</v>
      </c>
      <c r="G2156" s="24">
        <v>7.41</v>
      </c>
      <c r="H2156" s="24" t="s">
        <v>6687</v>
      </c>
      <c r="I2156" s="24" t="s">
        <v>6650</v>
      </c>
      <c r="J2156" s="24">
        <v>0.0</v>
      </c>
    </row>
    <row r="2157">
      <c r="A2157" s="24">
        <v>1038.0</v>
      </c>
      <c r="B2157" s="24">
        <v>5.0</v>
      </c>
      <c r="C2157" s="44">
        <v>23.61</v>
      </c>
      <c r="D2157" s="46">
        <v>44959.0</v>
      </c>
      <c r="E2157" s="24">
        <v>4.72</v>
      </c>
      <c r="F2157" s="24">
        <v>22.75</v>
      </c>
      <c r="G2157" s="24">
        <v>0.48</v>
      </c>
      <c r="H2157" s="24" t="s">
        <v>6673</v>
      </c>
      <c r="I2157" s="24" t="s">
        <v>6650</v>
      </c>
      <c r="J2157" s="24">
        <v>0.0</v>
      </c>
    </row>
    <row r="2158">
      <c r="A2158" s="24">
        <v>124.0</v>
      </c>
      <c r="B2158" s="24">
        <v>11.0</v>
      </c>
      <c r="C2158" s="44">
        <v>6.44</v>
      </c>
      <c r="D2158" s="46">
        <v>44959.0</v>
      </c>
      <c r="E2158" s="24">
        <v>0.59</v>
      </c>
      <c r="F2158" s="24">
        <v>51.94</v>
      </c>
      <c r="G2158" s="24">
        <v>8.87</v>
      </c>
      <c r="H2158" s="24" t="s">
        <v>6686</v>
      </c>
      <c r="I2158" s="24" t="s">
        <v>6650</v>
      </c>
      <c r="J2158" s="24">
        <v>0.0</v>
      </c>
    </row>
    <row r="2159">
      <c r="A2159" s="24">
        <v>132.0</v>
      </c>
      <c r="B2159" s="24">
        <v>4.0</v>
      </c>
      <c r="C2159" s="44">
        <v>2.2</v>
      </c>
      <c r="D2159" s="46">
        <v>44959.0</v>
      </c>
      <c r="E2159" s="24">
        <v>0.55</v>
      </c>
      <c r="F2159" s="24">
        <v>16.67</v>
      </c>
      <c r="G2159" s="24">
        <v>3.03</v>
      </c>
      <c r="H2159" s="24" t="s">
        <v>6688</v>
      </c>
      <c r="I2159" s="24" t="s">
        <v>6650</v>
      </c>
      <c r="J2159" s="24">
        <v>0.0</v>
      </c>
    </row>
    <row r="2160">
      <c r="A2160" s="24">
        <v>918.0</v>
      </c>
      <c r="B2160" s="24">
        <v>8.0</v>
      </c>
      <c r="C2160" s="44">
        <v>13.34</v>
      </c>
      <c r="D2160" s="46">
        <v>44959.0</v>
      </c>
      <c r="E2160" s="24">
        <v>1.67</v>
      </c>
      <c r="F2160" s="24">
        <v>14.53</v>
      </c>
      <c r="G2160" s="24">
        <v>0.87</v>
      </c>
      <c r="H2160" s="24" t="s">
        <v>6680</v>
      </c>
      <c r="I2160" s="24">
        <v>6.67</v>
      </c>
      <c r="J2160" s="24">
        <v>0.0</v>
      </c>
    </row>
    <row r="2161">
      <c r="A2161" s="24">
        <v>329.0</v>
      </c>
      <c r="B2161" s="24">
        <v>29.0</v>
      </c>
      <c r="C2161" s="44">
        <v>12.32</v>
      </c>
      <c r="D2161" s="46">
        <v>44959.0</v>
      </c>
      <c r="E2161" s="24">
        <v>0.42</v>
      </c>
      <c r="F2161" s="24">
        <v>37.45</v>
      </c>
      <c r="G2161" s="24">
        <v>8.81</v>
      </c>
      <c r="H2161" s="24" t="s">
        <v>6689</v>
      </c>
      <c r="I2161" s="24" t="s">
        <v>6650</v>
      </c>
      <c r="J2161" s="24">
        <v>0.0</v>
      </c>
    </row>
    <row r="2162">
      <c r="A2162" s="24">
        <v>585.0</v>
      </c>
      <c r="B2162" s="24">
        <v>6.0</v>
      </c>
      <c r="C2162" s="44">
        <v>12.5</v>
      </c>
      <c r="D2162" s="46">
        <v>44959.0</v>
      </c>
      <c r="E2162" s="24">
        <v>2.08</v>
      </c>
      <c r="F2162" s="24">
        <v>21.37</v>
      </c>
      <c r="G2162" s="24">
        <v>1.03</v>
      </c>
      <c r="H2162" s="24" t="s">
        <v>6677</v>
      </c>
      <c r="I2162" s="24">
        <v>4.17</v>
      </c>
      <c r="J2162" s="24">
        <v>0.0</v>
      </c>
    </row>
    <row r="2163">
      <c r="A2163" s="24">
        <v>743.0</v>
      </c>
      <c r="B2163" s="24">
        <v>10.0</v>
      </c>
      <c r="C2163" s="44">
        <v>12.49</v>
      </c>
      <c r="D2163" s="46">
        <v>44959.0</v>
      </c>
      <c r="E2163" s="24">
        <v>1.25</v>
      </c>
      <c r="F2163" s="24">
        <v>16.81</v>
      </c>
      <c r="G2163" s="24">
        <v>1.35</v>
      </c>
      <c r="H2163" s="24" t="s">
        <v>6675</v>
      </c>
      <c r="I2163" s="24">
        <v>12.49</v>
      </c>
      <c r="J2163" s="24">
        <v>0.0</v>
      </c>
    </row>
    <row r="2164">
      <c r="A2164" s="24">
        <v>453.0</v>
      </c>
      <c r="B2164" s="24">
        <v>5.0</v>
      </c>
      <c r="C2164" s="44">
        <v>20.65</v>
      </c>
      <c r="D2164" s="46">
        <v>44959.0</v>
      </c>
      <c r="E2164" s="24">
        <v>4.13</v>
      </c>
      <c r="F2164" s="24">
        <v>45.58</v>
      </c>
      <c r="G2164" s="24">
        <v>1.1</v>
      </c>
      <c r="H2164" s="24" t="s">
        <v>6676</v>
      </c>
      <c r="I2164" s="24">
        <v>20.65</v>
      </c>
      <c r="J2164" s="24">
        <v>0.0</v>
      </c>
    </row>
    <row r="2165">
      <c r="A2165" s="24">
        <v>344.0</v>
      </c>
      <c r="B2165" s="24">
        <v>12.0</v>
      </c>
      <c r="C2165" s="44">
        <v>12.24</v>
      </c>
      <c r="D2165" s="46">
        <v>44960.0</v>
      </c>
      <c r="E2165" s="24">
        <v>1.02</v>
      </c>
      <c r="F2165" s="24">
        <v>35.58</v>
      </c>
      <c r="G2165" s="24">
        <v>3.49</v>
      </c>
      <c r="H2165" s="24" t="s">
        <v>6689</v>
      </c>
      <c r="I2165" s="24">
        <v>12.24</v>
      </c>
      <c r="J2165" s="24">
        <v>0.0</v>
      </c>
    </row>
    <row r="2166">
      <c r="A2166" s="24">
        <v>60.0</v>
      </c>
      <c r="B2166" s="24">
        <v>4.0</v>
      </c>
      <c r="C2166" s="44">
        <v>1.18</v>
      </c>
      <c r="D2166" s="46">
        <v>44960.0</v>
      </c>
      <c r="E2166" s="24">
        <v>0.3</v>
      </c>
      <c r="F2166" s="24">
        <v>19.67</v>
      </c>
      <c r="G2166" s="24">
        <v>6.67</v>
      </c>
      <c r="H2166" s="24" t="s">
        <v>6687</v>
      </c>
      <c r="I2166" s="24" t="s">
        <v>6650</v>
      </c>
      <c r="J2166" s="24">
        <v>0.0</v>
      </c>
    </row>
    <row r="2167">
      <c r="A2167" s="24">
        <v>537.0</v>
      </c>
      <c r="B2167" s="24">
        <v>7.0</v>
      </c>
      <c r="C2167" s="44">
        <v>11.67</v>
      </c>
      <c r="D2167" s="46">
        <v>44960.0</v>
      </c>
      <c r="E2167" s="24">
        <v>1.67</v>
      </c>
      <c r="F2167" s="24">
        <v>21.73</v>
      </c>
      <c r="G2167" s="24">
        <v>1.3</v>
      </c>
      <c r="H2167" s="24" t="s">
        <v>6677</v>
      </c>
      <c r="I2167" s="24" t="s">
        <v>6650</v>
      </c>
      <c r="J2167" s="24">
        <v>0.0</v>
      </c>
    </row>
    <row r="2168">
      <c r="A2168" s="24">
        <v>717.0</v>
      </c>
      <c r="B2168" s="24">
        <v>6.0</v>
      </c>
      <c r="C2168" s="44">
        <v>11.8</v>
      </c>
      <c r="D2168" s="46">
        <v>44960.0</v>
      </c>
      <c r="E2168" s="24">
        <v>1.97</v>
      </c>
      <c r="F2168" s="24">
        <v>16.46</v>
      </c>
      <c r="G2168" s="24">
        <v>0.84</v>
      </c>
      <c r="H2168" s="24" t="s">
        <v>6675</v>
      </c>
      <c r="I2168" s="24">
        <v>11.8</v>
      </c>
      <c r="J2168" s="24">
        <v>0.0</v>
      </c>
    </row>
    <row r="2169">
      <c r="A2169" s="24">
        <v>1009.0</v>
      </c>
      <c r="B2169" s="24">
        <v>3.0</v>
      </c>
      <c r="C2169" s="44">
        <v>12.34</v>
      </c>
      <c r="D2169" s="46">
        <v>44960.0</v>
      </c>
      <c r="E2169" s="24">
        <v>4.11</v>
      </c>
      <c r="F2169" s="24">
        <v>12.23</v>
      </c>
      <c r="G2169" s="24">
        <v>0.3</v>
      </c>
      <c r="H2169" s="24" t="s">
        <v>6680</v>
      </c>
      <c r="I2169" s="24" t="s">
        <v>6650</v>
      </c>
      <c r="J2169" s="24">
        <v>0.0</v>
      </c>
    </row>
    <row r="2170">
      <c r="A2170" s="24">
        <v>90.0</v>
      </c>
      <c r="B2170" s="24">
        <v>1.0</v>
      </c>
      <c r="C2170" s="44">
        <v>2.93</v>
      </c>
      <c r="D2170" s="46">
        <v>44960.0</v>
      </c>
      <c r="E2170" s="24">
        <v>2.93</v>
      </c>
      <c r="F2170" s="24">
        <v>32.56</v>
      </c>
      <c r="G2170" s="24">
        <v>1.11</v>
      </c>
      <c r="H2170" s="24" t="s">
        <v>6686</v>
      </c>
      <c r="I2170" s="24" t="s">
        <v>6650</v>
      </c>
      <c r="J2170" s="24">
        <v>0.0</v>
      </c>
    </row>
    <row r="2171">
      <c r="A2171" s="24">
        <v>412.0</v>
      </c>
      <c r="B2171" s="24">
        <v>1.0</v>
      </c>
      <c r="C2171" s="44">
        <v>19.38</v>
      </c>
      <c r="D2171" s="46">
        <v>44960.0</v>
      </c>
      <c r="E2171" s="24">
        <v>19.38</v>
      </c>
      <c r="F2171" s="24">
        <v>47.04</v>
      </c>
      <c r="G2171" s="24">
        <v>0.24</v>
      </c>
      <c r="H2171" s="24" t="s">
        <v>6676</v>
      </c>
      <c r="I2171" s="24">
        <v>19.38</v>
      </c>
      <c r="J2171" s="24">
        <v>0.0</v>
      </c>
    </row>
    <row r="2172">
      <c r="A2172" s="24">
        <v>916.0</v>
      </c>
      <c r="B2172" s="24">
        <v>2.0</v>
      </c>
      <c r="C2172" s="44">
        <v>22.25</v>
      </c>
      <c r="D2172" s="46">
        <v>44960.0</v>
      </c>
      <c r="E2172" s="24">
        <v>11.12</v>
      </c>
      <c r="F2172" s="24">
        <v>24.29</v>
      </c>
      <c r="G2172" s="24">
        <v>0.22</v>
      </c>
      <c r="H2172" s="24" t="s">
        <v>6673</v>
      </c>
      <c r="I2172" s="24" t="s">
        <v>6650</v>
      </c>
      <c r="J2172" s="24">
        <v>0.0</v>
      </c>
    </row>
    <row r="2173">
      <c r="A2173" s="24">
        <v>155.0</v>
      </c>
      <c r="B2173" s="24">
        <v>1.0</v>
      </c>
      <c r="C2173" s="44">
        <v>1.39</v>
      </c>
      <c r="D2173" s="46">
        <v>44960.0</v>
      </c>
      <c r="E2173" s="24">
        <v>1.39</v>
      </c>
      <c r="F2173" s="24">
        <v>8.97</v>
      </c>
      <c r="G2173" s="24">
        <v>0.65</v>
      </c>
      <c r="H2173" s="24" t="s">
        <v>6688</v>
      </c>
      <c r="I2173" s="24" t="s">
        <v>6650</v>
      </c>
      <c r="J2173" s="24">
        <v>0.0</v>
      </c>
    </row>
    <row r="2174">
      <c r="A2174" s="24">
        <v>292.0</v>
      </c>
      <c r="B2174" s="24">
        <v>3.0</v>
      </c>
      <c r="C2174" s="44">
        <v>7.07</v>
      </c>
      <c r="D2174" s="46">
        <v>44961.0</v>
      </c>
      <c r="E2174" s="24">
        <v>2.36</v>
      </c>
      <c r="F2174" s="24">
        <v>24.21</v>
      </c>
      <c r="G2174" s="24">
        <v>1.03</v>
      </c>
      <c r="H2174" s="24" t="s">
        <v>6677</v>
      </c>
      <c r="I2174" s="24" t="s">
        <v>6650</v>
      </c>
      <c r="J2174" s="24">
        <v>0.0</v>
      </c>
    </row>
    <row r="2175">
      <c r="A2175" s="24">
        <v>182.0</v>
      </c>
      <c r="B2175" s="24">
        <v>1.0</v>
      </c>
      <c r="C2175" s="44">
        <v>10.76</v>
      </c>
      <c r="D2175" s="46">
        <v>44961.0</v>
      </c>
      <c r="E2175" s="24">
        <v>10.76</v>
      </c>
      <c r="F2175" s="24">
        <v>59.12</v>
      </c>
      <c r="G2175" s="24">
        <v>0.55</v>
      </c>
      <c r="H2175" s="24" t="s">
        <v>6676</v>
      </c>
      <c r="I2175" s="24" t="s">
        <v>6650</v>
      </c>
      <c r="J2175" s="24">
        <v>0.0</v>
      </c>
    </row>
    <row r="2176">
      <c r="A2176" s="24">
        <v>488.0</v>
      </c>
      <c r="B2176" s="24">
        <v>1.0</v>
      </c>
      <c r="C2176" s="44">
        <v>11.65</v>
      </c>
      <c r="D2176" s="46">
        <v>44961.0</v>
      </c>
      <c r="E2176" s="24">
        <v>11.65</v>
      </c>
      <c r="F2176" s="24">
        <v>23.87</v>
      </c>
      <c r="G2176" s="24">
        <v>0.2</v>
      </c>
      <c r="H2176" s="24" t="s">
        <v>6673</v>
      </c>
      <c r="I2176" s="24" t="s">
        <v>6650</v>
      </c>
      <c r="J2176" s="24">
        <v>0.0</v>
      </c>
    </row>
    <row r="2177">
      <c r="A2177" s="24">
        <v>170.0</v>
      </c>
      <c r="B2177" s="24">
        <v>6.0</v>
      </c>
      <c r="C2177" s="44">
        <v>10.86</v>
      </c>
      <c r="D2177" s="46">
        <v>44961.0</v>
      </c>
      <c r="E2177" s="24">
        <v>1.81</v>
      </c>
      <c r="F2177" s="24">
        <v>63.88</v>
      </c>
      <c r="G2177" s="24">
        <v>3.53</v>
      </c>
      <c r="H2177" s="24" t="s">
        <v>6686</v>
      </c>
      <c r="I2177" s="24" t="s">
        <v>6650</v>
      </c>
      <c r="J2177" s="24">
        <v>0.0</v>
      </c>
    </row>
    <row r="2178">
      <c r="A2178" s="24">
        <v>231.0</v>
      </c>
      <c r="B2178" s="24">
        <v>5.0</v>
      </c>
      <c r="C2178" s="44">
        <v>8.24</v>
      </c>
      <c r="D2178" s="46">
        <v>44961.0</v>
      </c>
      <c r="E2178" s="24">
        <v>1.65</v>
      </c>
      <c r="F2178" s="24">
        <v>35.67</v>
      </c>
      <c r="G2178" s="24">
        <v>2.16</v>
      </c>
      <c r="H2178" s="24" t="s">
        <v>6689</v>
      </c>
      <c r="I2178" s="24">
        <v>2.75</v>
      </c>
      <c r="J2178" s="24">
        <v>0.0</v>
      </c>
    </row>
    <row r="2179">
      <c r="A2179" s="24">
        <v>245.0</v>
      </c>
      <c r="B2179" s="24">
        <v>2.0</v>
      </c>
      <c r="C2179" s="44">
        <v>6.7</v>
      </c>
      <c r="D2179" s="46">
        <v>44961.0</v>
      </c>
      <c r="E2179" s="24">
        <v>3.35</v>
      </c>
      <c r="F2179" s="24">
        <v>27.35</v>
      </c>
      <c r="G2179" s="24">
        <v>0.82</v>
      </c>
      <c r="H2179" s="24" t="s">
        <v>6675</v>
      </c>
      <c r="I2179" s="24" t="s">
        <v>6650</v>
      </c>
      <c r="J2179" s="24">
        <v>0.0</v>
      </c>
    </row>
    <row r="2180">
      <c r="A2180" s="24">
        <v>577.0</v>
      </c>
      <c r="B2180" s="24">
        <v>3.0</v>
      </c>
      <c r="C2180" s="44">
        <v>5.62</v>
      </c>
      <c r="D2180" s="46">
        <v>44961.0</v>
      </c>
      <c r="E2180" s="24">
        <v>1.87</v>
      </c>
      <c r="F2180" s="24">
        <v>9.74</v>
      </c>
      <c r="G2180" s="24">
        <v>0.52</v>
      </c>
      <c r="H2180" s="24" t="s">
        <v>6680</v>
      </c>
      <c r="I2180" s="24">
        <v>5.62</v>
      </c>
      <c r="J2180" s="24">
        <v>0.0</v>
      </c>
    </row>
    <row r="2181">
      <c r="A2181" s="24">
        <v>188.0</v>
      </c>
      <c r="B2181" s="24">
        <v>6.0</v>
      </c>
      <c r="C2181" s="44">
        <v>10.36</v>
      </c>
      <c r="D2181" s="46">
        <v>44961.0</v>
      </c>
      <c r="E2181" s="24">
        <v>1.73</v>
      </c>
      <c r="F2181" s="24">
        <v>55.11</v>
      </c>
      <c r="G2181" s="24">
        <v>3.19</v>
      </c>
      <c r="H2181" s="24" t="s">
        <v>6687</v>
      </c>
      <c r="I2181" s="24" t="s">
        <v>6650</v>
      </c>
      <c r="J2181" s="24">
        <v>0.0</v>
      </c>
    </row>
    <row r="2182">
      <c r="A2182" s="24">
        <v>707.0</v>
      </c>
      <c r="B2182" s="24">
        <v>11.0</v>
      </c>
      <c r="C2182" s="44">
        <v>15.0</v>
      </c>
      <c r="D2182" s="46">
        <v>44961.0</v>
      </c>
      <c r="E2182" s="24">
        <v>1.36</v>
      </c>
      <c r="F2182" s="24">
        <v>21.22</v>
      </c>
      <c r="G2182" s="24">
        <v>1.56</v>
      </c>
      <c r="H2182" s="24" t="s">
        <v>6688</v>
      </c>
      <c r="I2182" s="24" t="s">
        <v>6650</v>
      </c>
      <c r="J2182" s="24">
        <v>0.0</v>
      </c>
    </row>
    <row r="2183">
      <c r="A2183" s="24">
        <v>87.0</v>
      </c>
      <c r="B2183" s="24">
        <v>0.0</v>
      </c>
      <c r="C2183" s="44">
        <v>9.24</v>
      </c>
      <c r="D2183" s="46">
        <v>44962.0</v>
      </c>
      <c r="E2183" s="24" t="s">
        <v>6650</v>
      </c>
      <c r="F2183" s="24">
        <v>106.21</v>
      </c>
      <c r="G2183" s="24">
        <v>0.0</v>
      </c>
      <c r="H2183" s="24" t="s">
        <v>6676</v>
      </c>
      <c r="I2183" s="24">
        <v>9.24</v>
      </c>
      <c r="J2183" s="24">
        <v>0.0</v>
      </c>
    </row>
    <row r="2184">
      <c r="A2184" s="24">
        <v>217.0</v>
      </c>
      <c r="B2184" s="24">
        <v>5.0</v>
      </c>
      <c r="C2184" s="44">
        <v>7.2</v>
      </c>
      <c r="D2184" s="46">
        <v>44962.0</v>
      </c>
      <c r="E2184" s="24">
        <v>1.44</v>
      </c>
      <c r="F2184" s="24">
        <v>33.18</v>
      </c>
      <c r="G2184" s="24">
        <v>2.3</v>
      </c>
      <c r="H2184" s="24" t="s">
        <v>6689</v>
      </c>
      <c r="I2184" s="24">
        <v>1.44</v>
      </c>
      <c r="J2184" s="24">
        <v>0.0</v>
      </c>
    </row>
    <row r="2185">
      <c r="A2185" s="24">
        <v>394.0</v>
      </c>
      <c r="B2185" s="24">
        <v>2.0</v>
      </c>
      <c r="C2185" s="44">
        <v>10.34</v>
      </c>
      <c r="D2185" s="46">
        <v>44962.0</v>
      </c>
      <c r="E2185" s="24">
        <v>5.17</v>
      </c>
      <c r="F2185" s="24">
        <v>26.24</v>
      </c>
      <c r="G2185" s="24">
        <v>0.51</v>
      </c>
      <c r="H2185" s="24" t="s">
        <v>6673</v>
      </c>
      <c r="I2185" s="24" t="s">
        <v>6650</v>
      </c>
      <c r="J2185" s="24">
        <v>0.0</v>
      </c>
    </row>
    <row r="2186">
      <c r="A2186" s="24">
        <v>97.0</v>
      </c>
      <c r="B2186" s="24">
        <v>0.0</v>
      </c>
      <c r="C2186" s="44">
        <v>7.08</v>
      </c>
      <c r="D2186" s="46">
        <v>44962.0</v>
      </c>
      <c r="E2186" s="24" t="s">
        <v>6650</v>
      </c>
      <c r="F2186" s="24">
        <v>72.99</v>
      </c>
      <c r="G2186" s="24">
        <v>0.0</v>
      </c>
      <c r="H2186" s="24" t="s">
        <v>6677</v>
      </c>
      <c r="I2186" s="24" t="s">
        <v>6650</v>
      </c>
      <c r="J2186" s="24">
        <v>0.0</v>
      </c>
    </row>
    <row r="2187">
      <c r="A2187" s="24">
        <v>1101.0</v>
      </c>
      <c r="B2187" s="24">
        <v>14.0</v>
      </c>
      <c r="C2187" s="44">
        <v>14.93</v>
      </c>
      <c r="D2187" s="46">
        <v>44962.0</v>
      </c>
      <c r="E2187" s="24">
        <v>1.07</v>
      </c>
      <c r="F2187" s="24">
        <v>13.56</v>
      </c>
      <c r="G2187" s="24">
        <v>1.27</v>
      </c>
      <c r="H2187" s="24" t="s">
        <v>6688</v>
      </c>
      <c r="I2187" s="24">
        <v>4.98</v>
      </c>
      <c r="J2187" s="24">
        <v>0.0</v>
      </c>
    </row>
    <row r="2188">
      <c r="A2188" s="24">
        <v>280.0</v>
      </c>
      <c r="B2188" s="24">
        <v>3.0</v>
      </c>
      <c r="C2188" s="44">
        <v>6.62</v>
      </c>
      <c r="D2188" s="46">
        <v>44962.0</v>
      </c>
      <c r="E2188" s="24">
        <v>2.21</v>
      </c>
      <c r="F2188" s="24">
        <v>23.64</v>
      </c>
      <c r="G2188" s="24">
        <v>1.07</v>
      </c>
      <c r="H2188" s="24" t="s">
        <v>6675</v>
      </c>
      <c r="I2188" s="24">
        <v>6.62</v>
      </c>
      <c r="J2188" s="24">
        <v>0.0</v>
      </c>
    </row>
    <row r="2189">
      <c r="A2189" s="24">
        <v>184.0</v>
      </c>
      <c r="B2189" s="24">
        <v>6.0</v>
      </c>
      <c r="C2189" s="44">
        <v>12.98</v>
      </c>
      <c r="D2189" s="46">
        <v>44962.0</v>
      </c>
      <c r="E2189" s="24">
        <v>2.16</v>
      </c>
      <c r="F2189" s="24">
        <v>70.54</v>
      </c>
      <c r="G2189" s="24">
        <v>3.26</v>
      </c>
      <c r="H2189" s="24" t="s">
        <v>6687</v>
      </c>
      <c r="I2189" s="24" t="s">
        <v>6650</v>
      </c>
      <c r="J2189" s="24">
        <v>0.0</v>
      </c>
    </row>
    <row r="2190">
      <c r="A2190" s="24">
        <v>136.0</v>
      </c>
      <c r="B2190" s="24">
        <v>5.0</v>
      </c>
      <c r="C2190" s="44">
        <v>11.39</v>
      </c>
      <c r="D2190" s="46">
        <v>44962.0</v>
      </c>
      <c r="E2190" s="24">
        <v>2.28</v>
      </c>
      <c r="F2190" s="24">
        <v>83.75</v>
      </c>
      <c r="G2190" s="24">
        <v>3.68</v>
      </c>
      <c r="H2190" s="24" t="s">
        <v>6686</v>
      </c>
      <c r="I2190" s="24" t="s">
        <v>6650</v>
      </c>
      <c r="J2190" s="24">
        <v>0.0</v>
      </c>
    </row>
    <row r="2191">
      <c r="A2191" s="24">
        <v>574.0</v>
      </c>
      <c r="B2191" s="24">
        <v>2.0</v>
      </c>
      <c r="C2191" s="44">
        <v>5.42</v>
      </c>
      <c r="D2191" s="46">
        <v>44962.0</v>
      </c>
      <c r="E2191" s="24">
        <v>2.71</v>
      </c>
      <c r="F2191" s="24">
        <v>9.44</v>
      </c>
      <c r="G2191" s="24">
        <v>0.35</v>
      </c>
      <c r="H2191" s="24" t="s">
        <v>6680</v>
      </c>
      <c r="I2191" s="24" t="s">
        <v>6650</v>
      </c>
      <c r="J2191" s="24">
        <v>0.0</v>
      </c>
    </row>
    <row r="2192">
      <c r="A2192" s="24">
        <v>1077.0</v>
      </c>
      <c r="B2192" s="24">
        <v>10.0</v>
      </c>
      <c r="C2192" s="44">
        <v>13.01</v>
      </c>
      <c r="D2192" s="46">
        <v>44963.0</v>
      </c>
      <c r="E2192" s="24">
        <v>1.3</v>
      </c>
      <c r="F2192" s="24">
        <v>12.08</v>
      </c>
      <c r="G2192" s="24">
        <v>0.93</v>
      </c>
      <c r="H2192" s="24" t="s">
        <v>6675</v>
      </c>
      <c r="I2192" s="24" t="s">
        <v>6650</v>
      </c>
      <c r="J2192" s="24">
        <v>0.0</v>
      </c>
    </row>
    <row r="2193">
      <c r="A2193" s="24">
        <v>448.0</v>
      </c>
      <c r="B2193" s="24">
        <v>1.0</v>
      </c>
      <c r="C2193" s="44">
        <v>20.42</v>
      </c>
      <c r="D2193" s="46">
        <v>44963.0</v>
      </c>
      <c r="E2193" s="24">
        <v>20.42</v>
      </c>
      <c r="F2193" s="24">
        <v>45.58</v>
      </c>
      <c r="G2193" s="24">
        <v>0.22</v>
      </c>
      <c r="H2193" s="24" t="s">
        <v>6673</v>
      </c>
      <c r="I2193" s="24" t="s">
        <v>6650</v>
      </c>
      <c r="J2193" s="24">
        <v>0.0</v>
      </c>
    </row>
    <row r="2194">
      <c r="A2194" s="24">
        <v>558.0</v>
      </c>
      <c r="B2194" s="24">
        <v>3.0</v>
      </c>
      <c r="C2194" s="44">
        <v>12.7</v>
      </c>
      <c r="D2194" s="46">
        <v>44963.0</v>
      </c>
      <c r="E2194" s="24">
        <v>4.23</v>
      </c>
      <c r="F2194" s="24">
        <v>22.76</v>
      </c>
      <c r="G2194" s="24">
        <v>0.54</v>
      </c>
      <c r="H2194" s="24" t="s">
        <v>6677</v>
      </c>
      <c r="I2194" s="24" t="s">
        <v>6650</v>
      </c>
      <c r="J2194" s="24">
        <v>0.0</v>
      </c>
    </row>
    <row r="2195">
      <c r="A2195" s="24">
        <v>304.0</v>
      </c>
      <c r="B2195" s="24">
        <v>2.0</v>
      </c>
      <c r="C2195" s="44">
        <v>17.73</v>
      </c>
      <c r="D2195" s="46">
        <v>44963.0</v>
      </c>
      <c r="E2195" s="24">
        <v>8.86</v>
      </c>
      <c r="F2195" s="24">
        <v>58.32</v>
      </c>
      <c r="G2195" s="24">
        <v>0.66</v>
      </c>
      <c r="H2195" s="24" t="s">
        <v>6676</v>
      </c>
      <c r="I2195" s="24" t="s">
        <v>6650</v>
      </c>
      <c r="J2195" s="24">
        <v>0.0</v>
      </c>
    </row>
    <row r="2196">
      <c r="A2196" s="24">
        <v>361.0</v>
      </c>
      <c r="B2196" s="24">
        <v>12.0</v>
      </c>
      <c r="C2196" s="44">
        <v>12.08</v>
      </c>
      <c r="D2196" s="46">
        <v>44963.0</v>
      </c>
      <c r="E2196" s="24">
        <v>1.01</v>
      </c>
      <c r="F2196" s="24">
        <v>33.46</v>
      </c>
      <c r="G2196" s="24">
        <v>3.32</v>
      </c>
      <c r="H2196" s="24" t="s">
        <v>6687</v>
      </c>
      <c r="I2196" s="24" t="s">
        <v>6650</v>
      </c>
      <c r="J2196" s="24">
        <v>0.0</v>
      </c>
    </row>
    <row r="2197">
      <c r="A2197" s="24">
        <v>417.0</v>
      </c>
      <c r="B2197" s="24">
        <v>6.0</v>
      </c>
      <c r="C2197" s="44">
        <v>11.27</v>
      </c>
      <c r="D2197" s="46">
        <v>44963.0</v>
      </c>
      <c r="E2197" s="24">
        <v>1.88</v>
      </c>
      <c r="F2197" s="24">
        <v>27.03</v>
      </c>
      <c r="G2197" s="24">
        <v>1.44</v>
      </c>
      <c r="H2197" s="24" t="s">
        <v>6689</v>
      </c>
      <c r="I2197" s="24" t="s">
        <v>6650</v>
      </c>
      <c r="J2197" s="24">
        <v>0.0</v>
      </c>
    </row>
    <row r="2198">
      <c r="A2198" s="24">
        <v>1088.0</v>
      </c>
      <c r="B2198" s="24">
        <v>1.0</v>
      </c>
      <c r="C2198" s="44">
        <v>13.08</v>
      </c>
      <c r="D2198" s="46">
        <v>44963.0</v>
      </c>
      <c r="E2198" s="24">
        <v>13.08</v>
      </c>
      <c r="F2198" s="24">
        <v>12.02</v>
      </c>
      <c r="G2198" s="24">
        <v>0.09</v>
      </c>
      <c r="H2198" s="24" t="s">
        <v>6680</v>
      </c>
      <c r="I2198" s="24" t="s">
        <v>6650</v>
      </c>
      <c r="J2198" s="24">
        <v>0.0</v>
      </c>
    </row>
    <row r="2199">
      <c r="A2199" s="24">
        <v>226.0</v>
      </c>
      <c r="B2199" s="24">
        <v>8.0</v>
      </c>
      <c r="C2199" s="44">
        <v>12.15</v>
      </c>
      <c r="D2199" s="46">
        <v>44963.0</v>
      </c>
      <c r="E2199" s="24">
        <v>1.52</v>
      </c>
      <c r="F2199" s="24">
        <v>53.76</v>
      </c>
      <c r="G2199" s="24">
        <v>3.54</v>
      </c>
      <c r="H2199" s="24" t="s">
        <v>6686</v>
      </c>
      <c r="I2199" s="24" t="s">
        <v>6650</v>
      </c>
      <c r="J2199" s="24">
        <v>0.0</v>
      </c>
    </row>
    <row r="2200">
      <c r="A2200" s="24">
        <v>1116.0</v>
      </c>
      <c r="B2200" s="24">
        <v>9.0</v>
      </c>
      <c r="C2200" s="44">
        <v>11.7</v>
      </c>
      <c r="D2200" s="46">
        <v>44963.0</v>
      </c>
      <c r="E2200" s="24">
        <v>1.3</v>
      </c>
      <c r="F2200" s="24">
        <v>10.48</v>
      </c>
      <c r="G2200" s="24">
        <v>0.81</v>
      </c>
      <c r="H2200" s="24" t="s">
        <v>6688</v>
      </c>
      <c r="I2200" s="24" t="s">
        <v>6650</v>
      </c>
      <c r="J2200" s="24">
        <v>0.0</v>
      </c>
    </row>
    <row r="2201">
      <c r="A2201" s="24">
        <v>337.0</v>
      </c>
      <c r="B2201" s="24">
        <v>7.0</v>
      </c>
      <c r="C2201" s="44">
        <v>13.45</v>
      </c>
      <c r="D2201" s="46">
        <v>44964.0</v>
      </c>
      <c r="E2201" s="24">
        <v>1.92</v>
      </c>
      <c r="F2201" s="24">
        <v>39.91</v>
      </c>
      <c r="G2201" s="24">
        <v>2.08</v>
      </c>
      <c r="H2201" s="24" t="s">
        <v>6687</v>
      </c>
      <c r="I2201" s="24" t="s">
        <v>6650</v>
      </c>
      <c r="J2201" s="24">
        <v>0.0</v>
      </c>
    </row>
    <row r="2202">
      <c r="A2202" s="24">
        <v>847.0</v>
      </c>
      <c r="B2202" s="24">
        <v>6.0</v>
      </c>
      <c r="C2202" s="44">
        <v>13.69</v>
      </c>
      <c r="D2202" s="46">
        <v>44964.0</v>
      </c>
      <c r="E2202" s="24">
        <v>2.28</v>
      </c>
      <c r="F2202" s="24">
        <v>16.16</v>
      </c>
      <c r="G2202" s="24">
        <v>0.71</v>
      </c>
      <c r="H2202" s="24" t="s">
        <v>6680</v>
      </c>
      <c r="I2202" s="24">
        <v>3.42</v>
      </c>
      <c r="J2202" s="24">
        <v>0.0</v>
      </c>
    </row>
    <row r="2203">
      <c r="A2203" s="24">
        <v>648.0</v>
      </c>
      <c r="B2203" s="24">
        <v>6.0</v>
      </c>
      <c r="C2203" s="44">
        <v>11.56</v>
      </c>
      <c r="D2203" s="46">
        <v>44964.0</v>
      </c>
      <c r="E2203" s="24">
        <v>1.93</v>
      </c>
      <c r="F2203" s="24">
        <v>17.84</v>
      </c>
      <c r="G2203" s="24">
        <v>0.93</v>
      </c>
      <c r="H2203" s="24" t="s">
        <v>6689</v>
      </c>
      <c r="I2203" s="24" t="s">
        <v>6650</v>
      </c>
      <c r="J2203" s="24">
        <v>0.0</v>
      </c>
    </row>
    <row r="2204">
      <c r="A2204" s="24">
        <v>1188.0</v>
      </c>
      <c r="B2204" s="24">
        <v>11.0</v>
      </c>
      <c r="C2204" s="44">
        <v>12.89</v>
      </c>
      <c r="D2204" s="46">
        <v>44964.0</v>
      </c>
      <c r="E2204" s="24">
        <v>1.17</v>
      </c>
      <c r="F2204" s="24">
        <v>10.85</v>
      </c>
      <c r="G2204" s="24">
        <v>0.93</v>
      </c>
      <c r="H2204" s="24" t="s">
        <v>6675</v>
      </c>
      <c r="I2204" s="24">
        <v>12.89</v>
      </c>
      <c r="J2204" s="24">
        <v>0.0</v>
      </c>
    </row>
    <row r="2205">
      <c r="A2205" s="24">
        <v>851.0</v>
      </c>
      <c r="B2205" s="24">
        <v>8.0</v>
      </c>
      <c r="C2205" s="44">
        <v>23.0</v>
      </c>
      <c r="D2205" s="46">
        <v>44964.0</v>
      </c>
      <c r="E2205" s="24">
        <v>2.88</v>
      </c>
      <c r="F2205" s="24">
        <v>27.03</v>
      </c>
      <c r="G2205" s="24">
        <v>0.94</v>
      </c>
      <c r="H2205" s="24" t="s">
        <v>6673</v>
      </c>
      <c r="I2205" s="24">
        <v>23.0</v>
      </c>
      <c r="J2205" s="24">
        <v>0.0</v>
      </c>
    </row>
    <row r="2206">
      <c r="A2206" s="24">
        <v>77.0</v>
      </c>
      <c r="B2206" s="24">
        <v>1.0</v>
      </c>
      <c r="C2206" s="44">
        <v>19.93</v>
      </c>
      <c r="D2206" s="46">
        <v>44964.0</v>
      </c>
      <c r="E2206" s="24">
        <v>19.93</v>
      </c>
      <c r="F2206" s="24">
        <v>258.83</v>
      </c>
      <c r="G2206" s="24">
        <v>1.3</v>
      </c>
      <c r="H2206" s="24" t="s">
        <v>6676</v>
      </c>
      <c r="I2206" s="24">
        <v>9.96</v>
      </c>
      <c r="J2206" s="24">
        <v>0.0</v>
      </c>
    </row>
    <row r="2207">
      <c r="A2207" s="24">
        <v>970.0</v>
      </c>
      <c r="B2207" s="24">
        <v>5.0</v>
      </c>
      <c r="C2207" s="44">
        <v>11.78</v>
      </c>
      <c r="D2207" s="46">
        <v>44964.0</v>
      </c>
      <c r="E2207" s="24">
        <v>2.36</v>
      </c>
      <c r="F2207" s="24">
        <v>12.14</v>
      </c>
      <c r="G2207" s="24">
        <v>0.52</v>
      </c>
      <c r="H2207" s="24" t="s">
        <v>6688</v>
      </c>
      <c r="I2207" s="24">
        <v>5.89</v>
      </c>
      <c r="J2207" s="24">
        <v>0.0</v>
      </c>
    </row>
    <row r="2208">
      <c r="A2208" s="24">
        <v>517.0</v>
      </c>
      <c r="B2208" s="24">
        <v>5.0</v>
      </c>
      <c r="C2208" s="44">
        <v>13.16</v>
      </c>
      <c r="D2208" s="46">
        <v>44964.0</v>
      </c>
      <c r="E2208" s="24">
        <v>2.63</v>
      </c>
      <c r="F2208" s="24">
        <v>25.45</v>
      </c>
      <c r="G2208" s="24">
        <v>0.97</v>
      </c>
      <c r="H2208" s="24" t="s">
        <v>6677</v>
      </c>
      <c r="I2208" s="24">
        <v>13.16</v>
      </c>
      <c r="J2208" s="24">
        <v>0.0</v>
      </c>
    </row>
    <row r="2209">
      <c r="A2209" s="24">
        <v>294.0</v>
      </c>
      <c r="B2209" s="24">
        <v>6.0</v>
      </c>
      <c r="C2209" s="44">
        <v>13.07</v>
      </c>
      <c r="D2209" s="46">
        <v>44964.0</v>
      </c>
      <c r="E2209" s="24">
        <v>2.18</v>
      </c>
      <c r="F2209" s="24">
        <v>44.46</v>
      </c>
      <c r="G2209" s="24">
        <v>2.04</v>
      </c>
      <c r="H2209" s="24" t="s">
        <v>6686</v>
      </c>
      <c r="I2209" s="24" t="s">
        <v>6650</v>
      </c>
      <c r="J2209" s="24">
        <v>0.0</v>
      </c>
    </row>
    <row r="2210">
      <c r="A2210" s="24">
        <v>378.0</v>
      </c>
      <c r="B2210" s="24">
        <v>3.0</v>
      </c>
      <c r="C2210" s="44">
        <v>16.11</v>
      </c>
      <c r="D2210" s="46">
        <v>44965.0</v>
      </c>
      <c r="E2210" s="24">
        <v>5.37</v>
      </c>
      <c r="F2210" s="24">
        <v>42.62</v>
      </c>
      <c r="G2210" s="24">
        <v>0.79</v>
      </c>
      <c r="H2210" s="24" t="s">
        <v>6676</v>
      </c>
      <c r="I2210" s="24">
        <v>16.11</v>
      </c>
      <c r="J2210" s="24">
        <v>0.0</v>
      </c>
    </row>
    <row r="2211">
      <c r="A2211" s="24">
        <v>635.0</v>
      </c>
      <c r="B2211" s="24">
        <v>8.0</v>
      </c>
      <c r="C2211" s="44">
        <v>13.15</v>
      </c>
      <c r="D2211" s="46">
        <v>44965.0</v>
      </c>
      <c r="E2211" s="24">
        <v>1.64</v>
      </c>
      <c r="F2211" s="24">
        <v>20.71</v>
      </c>
      <c r="G2211" s="24">
        <v>1.26</v>
      </c>
      <c r="H2211" s="24" t="s">
        <v>6675</v>
      </c>
      <c r="I2211" s="24">
        <v>13.15</v>
      </c>
      <c r="J2211" s="24">
        <v>0.0</v>
      </c>
    </row>
    <row r="2212">
      <c r="A2212" s="24">
        <v>347.0</v>
      </c>
      <c r="B2212" s="24">
        <v>12.0</v>
      </c>
      <c r="C2212" s="44">
        <v>13.54</v>
      </c>
      <c r="D2212" s="46">
        <v>44965.0</v>
      </c>
      <c r="E2212" s="24">
        <v>1.13</v>
      </c>
      <c r="F2212" s="24">
        <v>39.02</v>
      </c>
      <c r="G2212" s="24">
        <v>3.46</v>
      </c>
      <c r="H2212" s="24" t="s">
        <v>6687</v>
      </c>
      <c r="I2212" s="24" t="s">
        <v>6650</v>
      </c>
      <c r="J2212" s="24">
        <v>0.0</v>
      </c>
    </row>
    <row r="2213">
      <c r="A2213" s="24">
        <v>679.0</v>
      </c>
      <c r="B2213" s="24">
        <v>7.0</v>
      </c>
      <c r="C2213" s="44">
        <v>12.14</v>
      </c>
      <c r="D2213" s="46">
        <v>44965.0</v>
      </c>
      <c r="E2213" s="24">
        <v>1.73</v>
      </c>
      <c r="F2213" s="24">
        <v>17.88</v>
      </c>
      <c r="G2213" s="24">
        <v>1.03</v>
      </c>
      <c r="H2213" s="24" t="s">
        <v>6689</v>
      </c>
      <c r="I2213" s="24">
        <v>12.14</v>
      </c>
      <c r="J2213" s="24">
        <v>0.0</v>
      </c>
    </row>
    <row r="2214">
      <c r="A2214" s="24">
        <v>915.0</v>
      </c>
      <c r="B2214" s="24">
        <v>9.0</v>
      </c>
      <c r="C2214" s="44">
        <v>11.47</v>
      </c>
      <c r="D2214" s="46">
        <v>44965.0</v>
      </c>
      <c r="E2214" s="24">
        <v>1.27</v>
      </c>
      <c r="F2214" s="24">
        <v>12.54</v>
      </c>
      <c r="G2214" s="24">
        <v>0.98</v>
      </c>
      <c r="H2214" s="24" t="s">
        <v>6688</v>
      </c>
      <c r="I2214" s="24">
        <v>11.47</v>
      </c>
      <c r="J2214" s="24">
        <v>0.0</v>
      </c>
    </row>
    <row r="2215">
      <c r="A2215" s="24">
        <v>726.0</v>
      </c>
      <c r="B2215" s="24">
        <v>4.0</v>
      </c>
      <c r="C2215" s="44">
        <v>23.07</v>
      </c>
      <c r="D2215" s="46">
        <v>44965.0</v>
      </c>
      <c r="E2215" s="24">
        <v>5.77</v>
      </c>
      <c r="F2215" s="24">
        <v>31.78</v>
      </c>
      <c r="G2215" s="24">
        <v>0.55</v>
      </c>
      <c r="H2215" s="24" t="s">
        <v>6673</v>
      </c>
      <c r="I2215" s="24" t="s">
        <v>6650</v>
      </c>
      <c r="J2215" s="24">
        <v>0.0</v>
      </c>
    </row>
    <row r="2216">
      <c r="A2216" s="24">
        <v>422.0</v>
      </c>
      <c r="B2216" s="24">
        <v>2.0</v>
      </c>
      <c r="C2216" s="44">
        <v>13.04</v>
      </c>
      <c r="D2216" s="46">
        <v>44965.0</v>
      </c>
      <c r="E2216" s="24">
        <v>6.52</v>
      </c>
      <c r="F2216" s="24">
        <v>30.9</v>
      </c>
      <c r="G2216" s="24">
        <v>0.47</v>
      </c>
      <c r="H2216" s="24" t="s">
        <v>6677</v>
      </c>
      <c r="I2216" s="24" t="s">
        <v>6650</v>
      </c>
      <c r="J2216" s="24">
        <v>0.0</v>
      </c>
    </row>
    <row r="2217">
      <c r="A2217" s="24">
        <v>1027.0</v>
      </c>
      <c r="B2217" s="24">
        <v>2.0</v>
      </c>
      <c r="C2217" s="44">
        <v>14.28</v>
      </c>
      <c r="D2217" s="46">
        <v>44965.0</v>
      </c>
      <c r="E2217" s="24">
        <v>7.14</v>
      </c>
      <c r="F2217" s="24">
        <v>13.9</v>
      </c>
      <c r="G2217" s="24">
        <v>0.19</v>
      </c>
      <c r="H2217" s="24" t="s">
        <v>6680</v>
      </c>
      <c r="I2217" s="24" t="s">
        <v>6650</v>
      </c>
      <c r="J2217" s="24">
        <v>0.0</v>
      </c>
    </row>
    <row r="2218">
      <c r="A2218" s="24">
        <v>246.0</v>
      </c>
      <c r="B2218" s="24">
        <v>8.0</v>
      </c>
      <c r="C2218" s="44">
        <v>13.62</v>
      </c>
      <c r="D2218" s="46">
        <v>44965.0</v>
      </c>
      <c r="E2218" s="24">
        <v>1.7</v>
      </c>
      <c r="F2218" s="24">
        <v>55.37</v>
      </c>
      <c r="G2218" s="24">
        <v>3.25</v>
      </c>
      <c r="H2218" s="24" t="s">
        <v>6686</v>
      </c>
      <c r="I2218" s="24" t="s">
        <v>6650</v>
      </c>
      <c r="J2218" s="24">
        <v>0.0</v>
      </c>
    </row>
    <row r="2219">
      <c r="A2219" s="24">
        <v>50.0</v>
      </c>
      <c r="B2219" s="24">
        <v>2.0</v>
      </c>
      <c r="C2219" s="44">
        <v>2.21</v>
      </c>
      <c r="D2219" s="46">
        <v>44966.0</v>
      </c>
      <c r="E2219" s="24">
        <v>1.1</v>
      </c>
      <c r="F2219" s="24">
        <v>44.2</v>
      </c>
      <c r="G2219" s="24">
        <v>4.0</v>
      </c>
      <c r="H2219" s="24" t="s">
        <v>6686</v>
      </c>
      <c r="I2219" s="24" t="s">
        <v>6650</v>
      </c>
      <c r="J2219" s="24">
        <v>0.0</v>
      </c>
    </row>
    <row r="2220">
      <c r="A2220" s="24">
        <v>475.0</v>
      </c>
      <c r="B2220" s="24">
        <v>6.0</v>
      </c>
      <c r="C2220" s="44">
        <v>11.94</v>
      </c>
      <c r="D2220" s="46">
        <v>44966.0</v>
      </c>
      <c r="E2220" s="24">
        <v>1.99</v>
      </c>
      <c r="F2220" s="24">
        <v>25.14</v>
      </c>
      <c r="G2220" s="24">
        <v>1.26</v>
      </c>
      <c r="H2220" s="24" t="s">
        <v>6689</v>
      </c>
      <c r="I2220" s="24">
        <v>3.98</v>
      </c>
      <c r="J2220" s="24">
        <v>0.0</v>
      </c>
    </row>
    <row r="2221">
      <c r="A2221" s="24">
        <v>947.0</v>
      </c>
      <c r="B2221" s="24">
        <v>3.0</v>
      </c>
      <c r="C2221" s="44">
        <v>12.92</v>
      </c>
      <c r="D2221" s="46">
        <v>44966.0</v>
      </c>
      <c r="E2221" s="24">
        <v>4.31</v>
      </c>
      <c r="F2221" s="24">
        <v>13.64</v>
      </c>
      <c r="G2221" s="24">
        <v>0.32</v>
      </c>
      <c r="H2221" s="24" t="s">
        <v>6680</v>
      </c>
      <c r="I2221" s="24">
        <v>12.92</v>
      </c>
      <c r="J2221" s="24">
        <v>0.0</v>
      </c>
    </row>
    <row r="2222">
      <c r="A2222" s="24">
        <v>1133.0</v>
      </c>
      <c r="B2222" s="24">
        <v>8.0</v>
      </c>
      <c r="C2222" s="44">
        <v>12.71</v>
      </c>
      <c r="D2222" s="46">
        <v>44966.0</v>
      </c>
      <c r="E2222" s="24">
        <v>1.59</v>
      </c>
      <c r="F2222" s="24">
        <v>11.22</v>
      </c>
      <c r="G2222" s="24">
        <v>0.71</v>
      </c>
      <c r="H2222" s="24" t="s">
        <v>6675</v>
      </c>
      <c r="I2222" s="24" t="s">
        <v>6650</v>
      </c>
      <c r="J2222" s="24">
        <v>0.0</v>
      </c>
    </row>
    <row r="2223">
      <c r="A2223" s="24">
        <v>71.0</v>
      </c>
      <c r="B2223" s="24">
        <v>4.0</v>
      </c>
      <c r="C2223" s="44">
        <v>2.74</v>
      </c>
      <c r="D2223" s="46">
        <v>44966.0</v>
      </c>
      <c r="E2223" s="24">
        <v>0.68</v>
      </c>
      <c r="F2223" s="24">
        <v>38.59</v>
      </c>
      <c r="G2223" s="24">
        <v>5.63</v>
      </c>
      <c r="H2223" s="24" t="s">
        <v>6687</v>
      </c>
      <c r="I2223" s="24" t="s">
        <v>6650</v>
      </c>
      <c r="J2223" s="24">
        <v>0.0</v>
      </c>
    </row>
    <row r="2224">
      <c r="A2224" s="24">
        <v>1182.0</v>
      </c>
      <c r="B2224" s="24">
        <v>7.0</v>
      </c>
      <c r="C2224" s="44">
        <v>11.27</v>
      </c>
      <c r="D2224" s="46">
        <v>44966.0</v>
      </c>
      <c r="E2224" s="24">
        <v>1.61</v>
      </c>
      <c r="F2224" s="24">
        <v>9.53</v>
      </c>
      <c r="G2224" s="24">
        <v>0.59</v>
      </c>
      <c r="H2224" s="24" t="s">
        <v>6688</v>
      </c>
      <c r="I2224" s="24">
        <v>11.27</v>
      </c>
      <c r="J2224" s="24">
        <v>0.0</v>
      </c>
    </row>
    <row r="2225">
      <c r="A2225" s="24">
        <v>819.0</v>
      </c>
      <c r="B2225" s="24">
        <v>6.0</v>
      </c>
      <c r="C2225" s="44">
        <v>23.14</v>
      </c>
      <c r="D2225" s="46">
        <v>44966.0</v>
      </c>
      <c r="E2225" s="24">
        <v>3.86</v>
      </c>
      <c r="F2225" s="24">
        <v>28.25</v>
      </c>
      <c r="G2225" s="24">
        <v>0.73</v>
      </c>
      <c r="H2225" s="24" t="s">
        <v>6673</v>
      </c>
      <c r="I2225" s="24">
        <v>23.14</v>
      </c>
      <c r="J2225" s="24">
        <v>0.0</v>
      </c>
    </row>
    <row r="2226">
      <c r="A2226" s="24">
        <v>460.0</v>
      </c>
      <c r="B2226" s="24">
        <v>3.0</v>
      </c>
      <c r="C2226" s="44">
        <v>12.79</v>
      </c>
      <c r="D2226" s="46">
        <v>44966.0</v>
      </c>
      <c r="E2226" s="24">
        <v>4.26</v>
      </c>
      <c r="F2226" s="24">
        <v>27.8</v>
      </c>
      <c r="G2226" s="24">
        <v>0.65</v>
      </c>
      <c r="H2226" s="24" t="s">
        <v>6677</v>
      </c>
      <c r="I2226" s="24">
        <v>12.79</v>
      </c>
      <c r="J2226" s="24">
        <v>0.0</v>
      </c>
    </row>
    <row r="2227">
      <c r="A2227" s="24">
        <v>462.0</v>
      </c>
      <c r="B2227" s="24">
        <v>1.0</v>
      </c>
      <c r="C2227" s="44">
        <v>17.78</v>
      </c>
      <c r="D2227" s="46">
        <v>44966.0</v>
      </c>
      <c r="E2227" s="24">
        <v>17.78</v>
      </c>
      <c r="F2227" s="24">
        <v>38.48</v>
      </c>
      <c r="G2227" s="24">
        <v>0.22</v>
      </c>
      <c r="H2227" s="24" t="s">
        <v>6676</v>
      </c>
      <c r="I2227" s="24" t="s">
        <v>6650</v>
      </c>
      <c r="J2227" s="24">
        <v>0.0</v>
      </c>
    </row>
    <row r="2228">
      <c r="A2228" s="24">
        <v>534.0</v>
      </c>
      <c r="B2228" s="24">
        <v>5.0</v>
      </c>
      <c r="C2228" s="44">
        <v>11.77</v>
      </c>
      <c r="D2228" s="46">
        <v>44967.0</v>
      </c>
      <c r="E2228" s="24">
        <v>2.35</v>
      </c>
      <c r="F2228" s="24">
        <v>22.04</v>
      </c>
      <c r="G2228" s="24">
        <v>0.94</v>
      </c>
      <c r="H2228" s="24" t="s">
        <v>6677</v>
      </c>
      <c r="I2228" s="24" t="s">
        <v>6650</v>
      </c>
      <c r="J2228" s="24">
        <v>0.0</v>
      </c>
    </row>
    <row r="2229">
      <c r="A2229" s="24">
        <v>62.0</v>
      </c>
      <c r="B2229" s="24">
        <v>0.0</v>
      </c>
      <c r="C2229" s="44">
        <v>21.88</v>
      </c>
      <c r="D2229" s="46">
        <v>44967.0</v>
      </c>
      <c r="E2229" s="24" t="s">
        <v>6650</v>
      </c>
      <c r="F2229" s="24">
        <v>352.9</v>
      </c>
      <c r="G2229" s="24">
        <v>0.0</v>
      </c>
      <c r="H2229" s="24" t="s">
        <v>6676</v>
      </c>
      <c r="I2229" s="24" t="s">
        <v>6650</v>
      </c>
      <c r="J2229" s="24">
        <v>0.0</v>
      </c>
    </row>
    <row r="2230">
      <c r="A2230" s="24">
        <v>1084.0</v>
      </c>
      <c r="B2230" s="24">
        <v>7.0</v>
      </c>
      <c r="C2230" s="44">
        <v>10.22</v>
      </c>
      <c r="D2230" s="46">
        <v>44967.0</v>
      </c>
      <c r="E2230" s="24">
        <v>1.46</v>
      </c>
      <c r="F2230" s="24">
        <v>9.43</v>
      </c>
      <c r="G2230" s="24">
        <v>0.65</v>
      </c>
      <c r="H2230" s="24" t="s">
        <v>6688</v>
      </c>
      <c r="I2230" s="24" t="s">
        <v>6650</v>
      </c>
      <c r="J2230" s="24">
        <v>0.0</v>
      </c>
    </row>
    <row r="2231">
      <c r="A2231" s="24">
        <v>57.0</v>
      </c>
      <c r="B2231" s="24">
        <v>1.0</v>
      </c>
      <c r="C2231" s="44">
        <v>3.27</v>
      </c>
      <c r="D2231" s="46">
        <v>44967.0</v>
      </c>
      <c r="E2231" s="24">
        <v>3.27</v>
      </c>
      <c r="F2231" s="24">
        <v>57.37</v>
      </c>
      <c r="G2231" s="24">
        <v>1.75</v>
      </c>
      <c r="H2231" s="24" t="s">
        <v>6690</v>
      </c>
      <c r="I2231" s="24" t="s">
        <v>6650</v>
      </c>
      <c r="J2231" s="24">
        <v>0.0</v>
      </c>
    </row>
    <row r="2232">
      <c r="A2232" s="24">
        <v>937.0</v>
      </c>
      <c r="B2232" s="24">
        <v>1.0</v>
      </c>
      <c r="C2232" s="44">
        <v>12.28</v>
      </c>
      <c r="D2232" s="46">
        <v>44967.0</v>
      </c>
      <c r="E2232" s="24">
        <v>12.28</v>
      </c>
      <c r="F2232" s="24">
        <v>13.11</v>
      </c>
      <c r="G2232" s="24">
        <v>0.11</v>
      </c>
      <c r="H2232" s="24" t="s">
        <v>6680</v>
      </c>
      <c r="I2232" s="24" t="s">
        <v>6650</v>
      </c>
      <c r="J2232" s="24">
        <v>0.0</v>
      </c>
    </row>
    <row r="2233">
      <c r="A2233" s="24">
        <v>984.0</v>
      </c>
      <c r="B2233" s="24">
        <v>4.0</v>
      </c>
      <c r="C2233" s="44">
        <v>11.89</v>
      </c>
      <c r="D2233" s="46">
        <v>44967.0</v>
      </c>
      <c r="E2233" s="24">
        <v>2.97</v>
      </c>
      <c r="F2233" s="24">
        <v>12.08</v>
      </c>
      <c r="G2233" s="24">
        <v>0.41</v>
      </c>
      <c r="H2233" s="24" t="s">
        <v>6675</v>
      </c>
      <c r="I2233" s="24">
        <v>11.89</v>
      </c>
      <c r="J2233" s="24">
        <v>0.0</v>
      </c>
    </row>
    <row r="2234">
      <c r="A2234" s="24">
        <v>622.0</v>
      </c>
      <c r="B2234" s="24">
        <v>8.0</v>
      </c>
      <c r="C2234" s="44">
        <v>10.96</v>
      </c>
      <c r="D2234" s="46">
        <v>44967.0</v>
      </c>
      <c r="E2234" s="24">
        <v>1.37</v>
      </c>
      <c r="F2234" s="24">
        <v>17.62</v>
      </c>
      <c r="G2234" s="24">
        <v>1.29</v>
      </c>
      <c r="H2234" s="24" t="s">
        <v>6689</v>
      </c>
      <c r="I2234" s="24">
        <v>5.48</v>
      </c>
      <c r="J2234" s="24">
        <v>0.0</v>
      </c>
    </row>
    <row r="2235">
      <c r="A2235" s="24">
        <v>1073.0</v>
      </c>
      <c r="B2235" s="24">
        <v>1.0</v>
      </c>
      <c r="C2235" s="44">
        <v>21.74</v>
      </c>
      <c r="D2235" s="46">
        <v>44967.0</v>
      </c>
      <c r="E2235" s="24">
        <v>21.74</v>
      </c>
      <c r="F2235" s="24">
        <v>20.26</v>
      </c>
      <c r="G2235" s="24">
        <v>0.09</v>
      </c>
      <c r="H2235" s="24" t="s">
        <v>6673</v>
      </c>
      <c r="I2235" s="24">
        <v>21.74</v>
      </c>
      <c r="J2235" s="24">
        <v>0.0</v>
      </c>
    </row>
    <row r="2236">
      <c r="A2236" s="24">
        <v>219.0</v>
      </c>
      <c r="B2236" s="24">
        <v>1.0</v>
      </c>
      <c r="C2236" s="44">
        <v>6.83</v>
      </c>
      <c r="D2236" s="46">
        <v>44968.0</v>
      </c>
      <c r="E2236" s="24">
        <v>6.83</v>
      </c>
      <c r="F2236" s="24">
        <v>31.19</v>
      </c>
      <c r="G2236" s="24">
        <v>0.46</v>
      </c>
      <c r="H2236" s="24" t="s">
        <v>6677</v>
      </c>
      <c r="I2236" s="24" t="s">
        <v>6650</v>
      </c>
      <c r="J2236" s="24">
        <v>0.0</v>
      </c>
    </row>
    <row r="2237">
      <c r="A2237" s="24">
        <v>119.0</v>
      </c>
      <c r="B2237" s="24">
        <v>0.0</v>
      </c>
      <c r="C2237" s="44">
        <v>11.95</v>
      </c>
      <c r="D2237" s="46">
        <v>44968.0</v>
      </c>
      <c r="E2237" s="24" t="s">
        <v>6650</v>
      </c>
      <c r="F2237" s="24">
        <v>100.42</v>
      </c>
      <c r="G2237" s="24">
        <v>0.0</v>
      </c>
      <c r="H2237" s="24" t="s">
        <v>6676</v>
      </c>
      <c r="I2237" s="24" t="s">
        <v>6650</v>
      </c>
      <c r="J2237" s="24">
        <v>0.0</v>
      </c>
    </row>
    <row r="2238">
      <c r="A2238" s="24">
        <v>451.0</v>
      </c>
      <c r="B2238" s="24">
        <v>3.0</v>
      </c>
      <c r="C2238" s="44">
        <v>5.8</v>
      </c>
      <c r="D2238" s="46">
        <v>44968.0</v>
      </c>
      <c r="E2238" s="24">
        <v>1.93</v>
      </c>
      <c r="F2238" s="24">
        <v>12.86</v>
      </c>
      <c r="G2238" s="24">
        <v>0.67</v>
      </c>
      <c r="H2238" s="24" t="s">
        <v>6680</v>
      </c>
      <c r="I2238" s="24" t="s">
        <v>6650</v>
      </c>
      <c r="J2238" s="24">
        <v>0.0</v>
      </c>
    </row>
    <row r="2239">
      <c r="A2239" s="24">
        <v>889.0</v>
      </c>
      <c r="B2239" s="24">
        <v>3.0</v>
      </c>
      <c r="C2239" s="44">
        <v>7.01</v>
      </c>
      <c r="D2239" s="46">
        <v>44968.0</v>
      </c>
      <c r="E2239" s="24">
        <v>2.34</v>
      </c>
      <c r="F2239" s="24">
        <v>7.89</v>
      </c>
      <c r="G2239" s="24">
        <v>0.34</v>
      </c>
      <c r="H2239" s="24" t="s">
        <v>6688</v>
      </c>
      <c r="I2239" s="24">
        <v>7.01</v>
      </c>
      <c r="J2239" s="24">
        <v>0.0</v>
      </c>
    </row>
    <row r="2240">
      <c r="A2240" s="24">
        <v>268.0</v>
      </c>
      <c r="B2240" s="24">
        <v>0.0</v>
      </c>
      <c r="C2240" s="44">
        <v>6.91</v>
      </c>
      <c r="D2240" s="46">
        <v>44968.0</v>
      </c>
      <c r="E2240" s="24" t="s">
        <v>6650</v>
      </c>
      <c r="F2240" s="24">
        <v>25.78</v>
      </c>
      <c r="G2240" s="24">
        <v>0.0</v>
      </c>
      <c r="H2240" s="24" t="s">
        <v>6675</v>
      </c>
      <c r="I2240" s="24" t="s">
        <v>6650</v>
      </c>
      <c r="J2240" s="24">
        <v>0.0</v>
      </c>
    </row>
    <row r="2241">
      <c r="A2241" s="24">
        <v>145.0</v>
      </c>
      <c r="B2241" s="24">
        <v>0.0</v>
      </c>
      <c r="C2241" s="44">
        <v>12.19</v>
      </c>
      <c r="D2241" s="46">
        <v>44968.0</v>
      </c>
      <c r="E2241" s="24" t="s">
        <v>6650</v>
      </c>
      <c r="F2241" s="24">
        <v>84.07</v>
      </c>
      <c r="G2241" s="24">
        <v>0.0</v>
      </c>
      <c r="H2241" s="24" t="s">
        <v>6673</v>
      </c>
      <c r="I2241" s="24" t="s">
        <v>6650</v>
      </c>
      <c r="J2241" s="24">
        <v>0.0</v>
      </c>
    </row>
    <row r="2242">
      <c r="A2242" s="24">
        <v>291.0</v>
      </c>
      <c r="B2242" s="24">
        <v>5.0</v>
      </c>
      <c r="C2242" s="44">
        <v>25.61</v>
      </c>
      <c r="D2242" s="46">
        <v>44968.0</v>
      </c>
      <c r="E2242" s="24">
        <v>5.12</v>
      </c>
      <c r="F2242" s="24">
        <v>88.01</v>
      </c>
      <c r="G2242" s="24">
        <v>1.72</v>
      </c>
      <c r="H2242" s="24" t="s">
        <v>6690</v>
      </c>
      <c r="I2242" s="24" t="s">
        <v>6650</v>
      </c>
      <c r="J2242" s="24">
        <v>0.0</v>
      </c>
    </row>
    <row r="2243">
      <c r="A2243" s="24">
        <v>490.0</v>
      </c>
      <c r="B2243" s="24">
        <v>4.0</v>
      </c>
      <c r="C2243" s="44">
        <v>6.67</v>
      </c>
      <c r="D2243" s="46">
        <v>44968.0</v>
      </c>
      <c r="E2243" s="24">
        <v>1.67</v>
      </c>
      <c r="F2243" s="24">
        <v>13.61</v>
      </c>
      <c r="G2243" s="24">
        <v>0.82</v>
      </c>
      <c r="H2243" s="24" t="s">
        <v>6689</v>
      </c>
      <c r="I2243" s="24" t="s">
        <v>6650</v>
      </c>
      <c r="J2243" s="24">
        <v>0.0</v>
      </c>
    </row>
    <row r="2244">
      <c r="A2244" s="24">
        <v>329.0</v>
      </c>
      <c r="B2244" s="24">
        <v>1.0</v>
      </c>
      <c r="C2244" s="44">
        <v>24.9</v>
      </c>
      <c r="D2244" s="46">
        <v>44969.0</v>
      </c>
      <c r="E2244" s="24">
        <v>24.9</v>
      </c>
      <c r="F2244" s="24">
        <v>75.68</v>
      </c>
      <c r="G2244" s="24">
        <v>0.3</v>
      </c>
      <c r="H2244" s="24" t="s">
        <v>6690</v>
      </c>
      <c r="I2244" s="24" t="s">
        <v>6650</v>
      </c>
      <c r="J2244" s="24">
        <v>0.0</v>
      </c>
    </row>
    <row r="2245">
      <c r="A2245" s="24">
        <v>171.0</v>
      </c>
      <c r="B2245" s="24">
        <v>2.0</v>
      </c>
      <c r="C2245" s="44">
        <v>6.71</v>
      </c>
      <c r="D2245" s="46">
        <v>44969.0</v>
      </c>
      <c r="E2245" s="24">
        <v>3.36</v>
      </c>
      <c r="F2245" s="24">
        <v>39.24</v>
      </c>
      <c r="G2245" s="24">
        <v>1.17</v>
      </c>
      <c r="H2245" s="24" t="s">
        <v>6677</v>
      </c>
      <c r="I2245" s="24">
        <v>6.71</v>
      </c>
      <c r="J2245" s="24">
        <v>0.0</v>
      </c>
    </row>
    <row r="2246">
      <c r="A2246" s="24">
        <v>145.0</v>
      </c>
      <c r="B2246" s="24">
        <v>1.0</v>
      </c>
      <c r="C2246" s="44">
        <v>10.12</v>
      </c>
      <c r="D2246" s="46">
        <v>44969.0</v>
      </c>
      <c r="E2246" s="24">
        <v>10.12</v>
      </c>
      <c r="F2246" s="24">
        <v>69.79</v>
      </c>
      <c r="G2246" s="24">
        <v>0.69</v>
      </c>
      <c r="H2246" s="24" t="s">
        <v>6676</v>
      </c>
      <c r="I2246" s="24" t="s">
        <v>6650</v>
      </c>
      <c r="J2246" s="24">
        <v>0.0</v>
      </c>
    </row>
    <row r="2247">
      <c r="A2247" s="24">
        <v>566.0</v>
      </c>
      <c r="B2247" s="24">
        <v>8.0</v>
      </c>
      <c r="C2247" s="44">
        <v>6.44</v>
      </c>
      <c r="D2247" s="46">
        <v>44969.0</v>
      </c>
      <c r="E2247" s="24">
        <v>0.8</v>
      </c>
      <c r="F2247" s="24">
        <v>11.38</v>
      </c>
      <c r="G2247" s="24">
        <v>1.41</v>
      </c>
      <c r="H2247" s="24" t="s">
        <v>6675</v>
      </c>
      <c r="I2247" s="24" t="s">
        <v>6650</v>
      </c>
      <c r="J2247" s="24">
        <v>0.0</v>
      </c>
    </row>
    <row r="2248">
      <c r="A2248" s="24">
        <v>409.0</v>
      </c>
      <c r="B2248" s="24">
        <v>5.0</v>
      </c>
      <c r="C2248" s="44">
        <v>4.95</v>
      </c>
      <c r="D2248" s="46">
        <v>44969.0</v>
      </c>
      <c r="E2248" s="24">
        <v>0.99</v>
      </c>
      <c r="F2248" s="24">
        <v>12.1</v>
      </c>
      <c r="G2248" s="24">
        <v>1.22</v>
      </c>
      <c r="H2248" s="24" t="s">
        <v>6680</v>
      </c>
      <c r="I2248" s="24" t="s">
        <v>6650</v>
      </c>
      <c r="J2248" s="24">
        <v>0.0</v>
      </c>
    </row>
    <row r="2249">
      <c r="A2249" s="24">
        <v>133.0</v>
      </c>
      <c r="B2249" s="24">
        <v>1.0</v>
      </c>
      <c r="C2249" s="44">
        <v>9.44</v>
      </c>
      <c r="D2249" s="46">
        <v>44969.0</v>
      </c>
      <c r="E2249" s="24">
        <v>9.44</v>
      </c>
      <c r="F2249" s="24">
        <v>70.98</v>
      </c>
      <c r="G2249" s="24">
        <v>0.75</v>
      </c>
      <c r="H2249" s="24" t="s">
        <v>6673</v>
      </c>
      <c r="I2249" s="24" t="s">
        <v>6650</v>
      </c>
      <c r="J2249" s="24">
        <v>0.0</v>
      </c>
    </row>
    <row r="2250">
      <c r="A2250" s="24">
        <v>817.0</v>
      </c>
      <c r="B2250" s="24">
        <v>3.0</v>
      </c>
      <c r="C2250" s="44">
        <v>6.55</v>
      </c>
      <c r="D2250" s="46">
        <v>44969.0</v>
      </c>
      <c r="E2250" s="24">
        <v>2.18</v>
      </c>
      <c r="F2250" s="24">
        <v>8.02</v>
      </c>
      <c r="G2250" s="24">
        <v>0.37</v>
      </c>
      <c r="H2250" s="24" t="s">
        <v>6688</v>
      </c>
      <c r="I2250" s="24">
        <v>3.28</v>
      </c>
      <c r="J2250" s="24">
        <v>0.0</v>
      </c>
    </row>
    <row r="2251">
      <c r="A2251" s="24">
        <v>170.0</v>
      </c>
      <c r="B2251" s="24">
        <v>0.0</v>
      </c>
      <c r="C2251" s="44">
        <v>5.46</v>
      </c>
      <c r="D2251" s="46">
        <v>44969.0</v>
      </c>
      <c r="E2251" s="24" t="s">
        <v>6650</v>
      </c>
      <c r="F2251" s="24">
        <v>32.12</v>
      </c>
      <c r="G2251" s="24">
        <v>0.0</v>
      </c>
      <c r="H2251" s="24" t="s">
        <v>6689</v>
      </c>
      <c r="I2251" s="24" t="s">
        <v>6650</v>
      </c>
      <c r="J2251" s="24">
        <v>0.0</v>
      </c>
    </row>
    <row r="2252">
      <c r="A2252" s="24">
        <v>231.0</v>
      </c>
      <c r="B2252" s="24">
        <v>3.0</v>
      </c>
      <c r="C2252" s="44">
        <v>17.24</v>
      </c>
      <c r="D2252" s="46">
        <v>44970.0</v>
      </c>
      <c r="E2252" s="24">
        <v>5.75</v>
      </c>
      <c r="F2252" s="24">
        <v>74.63</v>
      </c>
      <c r="G2252" s="24">
        <v>1.3</v>
      </c>
      <c r="H2252" s="24" t="s">
        <v>6676</v>
      </c>
      <c r="I2252" s="24">
        <v>17.24</v>
      </c>
      <c r="J2252" s="24">
        <v>0.0</v>
      </c>
    </row>
    <row r="2253">
      <c r="A2253" s="24">
        <v>459.0</v>
      </c>
      <c r="B2253" s="24">
        <v>5.0</v>
      </c>
      <c r="C2253" s="44">
        <v>35.61</v>
      </c>
      <c r="D2253" s="46">
        <v>44970.0</v>
      </c>
      <c r="E2253" s="24">
        <v>7.12</v>
      </c>
      <c r="F2253" s="24">
        <v>77.58</v>
      </c>
      <c r="G2253" s="24">
        <v>1.09</v>
      </c>
      <c r="H2253" s="24" t="s">
        <v>6690</v>
      </c>
      <c r="I2253" s="24">
        <v>35.61</v>
      </c>
      <c r="J2253" s="24">
        <v>1.0</v>
      </c>
    </row>
    <row r="2254">
      <c r="A2254" s="24">
        <v>509.0</v>
      </c>
      <c r="B2254" s="24">
        <v>4.0</v>
      </c>
      <c r="C2254" s="44">
        <v>12.89</v>
      </c>
      <c r="D2254" s="46">
        <v>44970.0</v>
      </c>
      <c r="E2254" s="24">
        <v>3.22</v>
      </c>
      <c r="F2254" s="24">
        <v>25.32</v>
      </c>
      <c r="G2254" s="24">
        <v>0.79</v>
      </c>
      <c r="H2254" s="24" t="s">
        <v>6677</v>
      </c>
      <c r="I2254" s="24" t="s">
        <v>6650</v>
      </c>
      <c r="J2254" s="24">
        <v>0.0</v>
      </c>
    </row>
    <row r="2255">
      <c r="A2255" s="24">
        <v>714.0</v>
      </c>
      <c r="B2255" s="24">
        <v>4.0</v>
      </c>
      <c r="C2255" s="44">
        <v>13.08</v>
      </c>
      <c r="D2255" s="46">
        <v>44970.0</v>
      </c>
      <c r="E2255" s="24">
        <v>3.27</v>
      </c>
      <c r="F2255" s="24">
        <v>18.32</v>
      </c>
      <c r="G2255" s="24">
        <v>0.56</v>
      </c>
      <c r="H2255" s="24" t="s">
        <v>6675</v>
      </c>
      <c r="I2255" s="24" t="s">
        <v>6650</v>
      </c>
      <c r="J2255" s="24">
        <v>0.0</v>
      </c>
    </row>
    <row r="2256">
      <c r="A2256" s="24">
        <v>895.0</v>
      </c>
      <c r="B2256" s="24">
        <v>3.0</v>
      </c>
      <c r="C2256" s="44">
        <v>13.8</v>
      </c>
      <c r="D2256" s="46">
        <v>44970.0</v>
      </c>
      <c r="E2256" s="24">
        <v>4.6</v>
      </c>
      <c r="F2256" s="24">
        <v>15.42</v>
      </c>
      <c r="G2256" s="24">
        <v>0.34</v>
      </c>
      <c r="H2256" s="24" t="s">
        <v>6680</v>
      </c>
      <c r="I2256" s="24" t="s">
        <v>6650</v>
      </c>
      <c r="J2256" s="24">
        <v>0.0</v>
      </c>
    </row>
    <row r="2257">
      <c r="A2257" s="24">
        <v>877.0</v>
      </c>
      <c r="B2257" s="24">
        <v>2.0</v>
      </c>
      <c r="C2257" s="44">
        <v>20.2</v>
      </c>
      <c r="D2257" s="46">
        <v>44970.0</v>
      </c>
      <c r="E2257" s="24">
        <v>10.1</v>
      </c>
      <c r="F2257" s="24">
        <v>23.03</v>
      </c>
      <c r="G2257" s="24">
        <v>0.23</v>
      </c>
      <c r="H2257" s="24" t="s">
        <v>6673</v>
      </c>
      <c r="I2257" s="24" t="s">
        <v>6650</v>
      </c>
      <c r="J2257" s="24">
        <v>0.0</v>
      </c>
    </row>
    <row r="2258">
      <c r="A2258" s="24">
        <v>1237.0</v>
      </c>
      <c r="B2258" s="24">
        <v>16.0</v>
      </c>
      <c r="C2258" s="44">
        <v>12.18</v>
      </c>
      <c r="D2258" s="46">
        <v>44970.0</v>
      </c>
      <c r="E2258" s="24">
        <v>0.76</v>
      </c>
      <c r="F2258" s="24">
        <v>9.85</v>
      </c>
      <c r="G2258" s="24">
        <v>1.29</v>
      </c>
      <c r="H2258" s="24" t="s">
        <v>6688</v>
      </c>
      <c r="I2258" s="24">
        <v>6.09</v>
      </c>
      <c r="J2258" s="24">
        <v>0.0</v>
      </c>
    </row>
    <row r="2259">
      <c r="A2259" s="24">
        <v>1093.0</v>
      </c>
      <c r="B2259" s="24">
        <v>12.0</v>
      </c>
      <c r="C2259" s="44">
        <v>10.8</v>
      </c>
      <c r="D2259" s="46">
        <v>44970.0</v>
      </c>
      <c r="E2259" s="24">
        <v>0.9</v>
      </c>
      <c r="F2259" s="24">
        <v>9.88</v>
      </c>
      <c r="G2259" s="24">
        <v>1.1</v>
      </c>
      <c r="H2259" s="24" t="s">
        <v>6689</v>
      </c>
      <c r="I2259" s="24" t="s">
        <v>6650</v>
      </c>
      <c r="J2259" s="24">
        <v>0.0</v>
      </c>
    </row>
    <row r="2260">
      <c r="A2260" s="24">
        <v>913.0</v>
      </c>
      <c r="B2260" s="24">
        <v>1.0</v>
      </c>
      <c r="C2260" s="44">
        <v>23.44</v>
      </c>
      <c r="D2260" s="46">
        <v>44971.0</v>
      </c>
      <c r="E2260" s="24">
        <v>23.44</v>
      </c>
      <c r="F2260" s="24">
        <v>25.67</v>
      </c>
      <c r="G2260" s="24">
        <v>0.11</v>
      </c>
      <c r="H2260" s="24" t="s">
        <v>6673</v>
      </c>
      <c r="I2260" s="24" t="s">
        <v>6650</v>
      </c>
      <c r="J2260" s="24">
        <v>0.0</v>
      </c>
    </row>
    <row r="2261">
      <c r="A2261" s="24">
        <v>835.0</v>
      </c>
      <c r="B2261" s="24">
        <v>0.0</v>
      </c>
      <c r="C2261" s="44">
        <v>14.15</v>
      </c>
      <c r="D2261" s="46">
        <v>44971.0</v>
      </c>
      <c r="E2261" s="24" t="s">
        <v>6650</v>
      </c>
      <c r="F2261" s="24">
        <v>16.95</v>
      </c>
      <c r="G2261" s="24">
        <v>0.0</v>
      </c>
      <c r="H2261" s="24" t="s">
        <v>6680</v>
      </c>
      <c r="I2261" s="24">
        <v>14.15</v>
      </c>
      <c r="J2261" s="24">
        <v>0.0</v>
      </c>
    </row>
    <row r="2262">
      <c r="A2262" s="24">
        <v>420.0</v>
      </c>
      <c r="B2262" s="24">
        <v>4.0</v>
      </c>
      <c r="C2262" s="44">
        <v>33.98</v>
      </c>
      <c r="D2262" s="46">
        <v>44971.0</v>
      </c>
      <c r="E2262" s="24">
        <v>8.49</v>
      </c>
      <c r="F2262" s="24">
        <v>80.9</v>
      </c>
      <c r="G2262" s="24">
        <v>0.95</v>
      </c>
      <c r="H2262" s="24" t="s">
        <v>6690</v>
      </c>
      <c r="I2262" s="24" t="s">
        <v>6650</v>
      </c>
      <c r="J2262" s="24">
        <v>1.0</v>
      </c>
    </row>
    <row r="2263">
      <c r="A2263" s="24">
        <v>1229.0</v>
      </c>
      <c r="B2263" s="24">
        <v>6.0</v>
      </c>
      <c r="C2263" s="44">
        <v>11.53</v>
      </c>
      <c r="D2263" s="46">
        <v>44971.0</v>
      </c>
      <c r="E2263" s="24">
        <v>1.92</v>
      </c>
      <c r="F2263" s="24">
        <v>9.38</v>
      </c>
      <c r="G2263" s="24">
        <v>0.49</v>
      </c>
      <c r="H2263" s="24" t="s">
        <v>6688</v>
      </c>
      <c r="I2263" s="24" t="s">
        <v>6650</v>
      </c>
      <c r="J2263" s="24">
        <v>0.0</v>
      </c>
    </row>
    <row r="2264">
      <c r="A2264" s="24">
        <v>660.0</v>
      </c>
      <c r="B2264" s="24">
        <v>4.0</v>
      </c>
      <c r="C2264" s="44">
        <v>11.95</v>
      </c>
      <c r="D2264" s="46">
        <v>44971.0</v>
      </c>
      <c r="E2264" s="24">
        <v>2.99</v>
      </c>
      <c r="F2264" s="24">
        <v>18.11</v>
      </c>
      <c r="G2264" s="24">
        <v>0.61</v>
      </c>
      <c r="H2264" s="24" t="s">
        <v>6689</v>
      </c>
      <c r="I2264" s="24">
        <v>5.98</v>
      </c>
      <c r="J2264" s="24">
        <v>0.0</v>
      </c>
    </row>
    <row r="2265">
      <c r="A2265" s="24">
        <v>611.0</v>
      </c>
      <c r="B2265" s="24">
        <v>5.0</v>
      </c>
      <c r="C2265" s="44">
        <v>13.07</v>
      </c>
      <c r="D2265" s="46">
        <v>44971.0</v>
      </c>
      <c r="E2265" s="24">
        <v>2.61</v>
      </c>
      <c r="F2265" s="24">
        <v>21.39</v>
      </c>
      <c r="G2265" s="24">
        <v>0.82</v>
      </c>
      <c r="H2265" s="24" t="s">
        <v>6675</v>
      </c>
      <c r="I2265" s="24">
        <v>6.54</v>
      </c>
      <c r="J2265" s="24">
        <v>0.0</v>
      </c>
    </row>
    <row r="2266">
      <c r="A2266" s="24">
        <v>520.0</v>
      </c>
      <c r="B2266" s="24">
        <v>3.0</v>
      </c>
      <c r="C2266" s="44">
        <v>19.78</v>
      </c>
      <c r="D2266" s="46">
        <v>44971.0</v>
      </c>
      <c r="E2266" s="24">
        <v>6.59</v>
      </c>
      <c r="F2266" s="24">
        <v>38.04</v>
      </c>
      <c r="G2266" s="24">
        <v>0.58</v>
      </c>
      <c r="H2266" s="24" t="s">
        <v>6676</v>
      </c>
      <c r="I2266" s="24">
        <v>19.78</v>
      </c>
      <c r="J2266" s="24">
        <v>0.0</v>
      </c>
    </row>
    <row r="2267">
      <c r="A2267" s="24">
        <v>548.0</v>
      </c>
      <c r="B2267" s="24">
        <v>3.0</v>
      </c>
      <c r="C2267" s="44">
        <v>13.31</v>
      </c>
      <c r="D2267" s="46">
        <v>44971.0</v>
      </c>
      <c r="E2267" s="24">
        <v>4.44</v>
      </c>
      <c r="F2267" s="24">
        <v>24.29</v>
      </c>
      <c r="G2267" s="24">
        <v>0.55</v>
      </c>
      <c r="H2267" s="24" t="s">
        <v>6677</v>
      </c>
      <c r="I2267" s="24">
        <v>13.31</v>
      </c>
      <c r="J2267" s="24">
        <v>0.0</v>
      </c>
    </row>
    <row r="2268">
      <c r="A2268" s="24">
        <v>900.0</v>
      </c>
      <c r="B2268" s="24">
        <v>11.0</v>
      </c>
      <c r="C2268" s="44">
        <v>13.19</v>
      </c>
      <c r="D2268" s="46">
        <v>44972.0</v>
      </c>
      <c r="E2268" s="24">
        <v>1.2</v>
      </c>
      <c r="F2268" s="24">
        <v>14.66</v>
      </c>
      <c r="G2268" s="24">
        <v>1.22</v>
      </c>
      <c r="H2268" s="24" t="s">
        <v>6675</v>
      </c>
      <c r="I2268" s="24">
        <v>13.19</v>
      </c>
      <c r="J2268" s="24">
        <v>0.0</v>
      </c>
    </row>
    <row r="2269">
      <c r="A2269" s="24">
        <v>1009.0</v>
      </c>
      <c r="B2269" s="24">
        <v>5.0</v>
      </c>
      <c r="C2269" s="44">
        <v>13.61</v>
      </c>
      <c r="D2269" s="46">
        <v>44972.0</v>
      </c>
      <c r="E2269" s="24">
        <v>2.72</v>
      </c>
      <c r="F2269" s="24">
        <v>13.49</v>
      </c>
      <c r="G2269" s="24">
        <v>0.5</v>
      </c>
      <c r="H2269" s="24" t="s">
        <v>6680</v>
      </c>
      <c r="I2269" s="24">
        <v>4.54</v>
      </c>
      <c r="J2269" s="24">
        <v>0.0</v>
      </c>
    </row>
    <row r="2270">
      <c r="A2270" s="24">
        <v>1048.0</v>
      </c>
      <c r="B2270" s="24">
        <v>7.0</v>
      </c>
      <c r="C2270" s="44">
        <v>34.22</v>
      </c>
      <c r="D2270" s="46">
        <v>44972.0</v>
      </c>
      <c r="E2270" s="24">
        <v>4.89</v>
      </c>
      <c r="F2270" s="24">
        <v>32.65</v>
      </c>
      <c r="G2270" s="24">
        <v>0.67</v>
      </c>
      <c r="H2270" s="24" t="s">
        <v>6690</v>
      </c>
      <c r="I2270" s="24">
        <v>34.22</v>
      </c>
      <c r="J2270" s="24">
        <v>0.0</v>
      </c>
    </row>
    <row r="2271">
      <c r="A2271" s="24">
        <v>990.0</v>
      </c>
      <c r="B2271" s="24">
        <v>4.0</v>
      </c>
      <c r="C2271" s="44">
        <v>23.41</v>
      </c>
      <c r="D2271" s="46">
        <v>44972.0</v>
      </c>
      <c r="E2271" s="24">
        <v>5.85</v>
      </c>
      <c r="F2271" s="24">
        <v>23.65</v>
      </c>
      <c r="G2271" s="24">
        <v>0.4</v>
      </c>
      <c r="H2271" s="24" t="s">
        <v>6673</v>
      </c>
      <c r="I2271" s="24" t="s">
        <v>6650</v>
      </c>
      <c r="J2271" s="24">
        <v>0.0</v>
      </c>
    </row>
    <row r="2272">
      <c r="A2272" s="24">
        <v>1208.0</v>
      </c>
      <c r="B2272" s="24">
        <v>7.0</v>
      </c>
      <c r="C2272" s="44">
        <v>11.12</v>
      </c>
      <c r="D2272" s="46">
        <v>44972.0</v>
      </c>
      <c r="E2272" s="24">
        <v>1.59</v>
      </c>
      <c r="F2272" s="24">
        <v>9.21</v>
      </c>
      <c r="G2272" s="24">
        <v>0.58</v>
      </c>
      <c r="H2272" s="24" t="s">
        <v>6688</v>
      </c>
      <c r="I2272" s="24">
        <v>5.56</v>
      </c>
      <c r="J2272" s="24">
        <v>0.0</v>
      </c>
    </row>
    <row r="2273">
      <c r="A2273" s="24">
        <v>513.0</v>
      </c>
      <c r="B2273" s="24">
        <v>1.0</v>
      </c>
      <c r="C2273" s="44">
        <v>19.96</v>
      </c>
      <c r="D2273" s="46">
        <v>44972.0</v>
      </c>
      <c r="E2273" s="24">
        <v>19.96</v>
      </c>
      <c r="F2273" s="24">
        <v>38.91</v>
      </c>
      <c r="G2273" s="24">
        <v>0.19</v>
      </c>
      <c r="H2273" s="24" t="s">
        <v>6676</v>
      </c>
      <c r="I2273" s="24" t="s">
        <v>6650</v>
      </c>
      <c r="J2273" s="24">
        <v>0.0</v>
      </c>
    </row>
    <row r="2274">
      <c r="A2274" s="24">
        <v>597.0</v>
      </c>
      <c r="B2274" s="24">
        <v>4.0</v>
      </c>
      <c r="C2274" s="44">
        <v>12.1</v>
      </c>
      <c r="D2274" s="46">
        <v>44972.0</v>
      </c>
      <c r="E2274" s="24">
        <v>3.02</v>
      </c>
      <c r="F2274" s="24">
        <v>20.27</v>
      </c>
      <c r="G2274" s="24">
        <v>0.67</v>
      </c>
      <c r="H2274" s="24" t="s">
        <v>6689</v>
      </c>
      <c r="I2274" s="24">
        <v>6.05</v>
      </c>
      <c r="J2274" s="24">
        <v>0.0</v>
      </c>
    </row>
    <row r="2275">
      <c r="A2275" s="24">
        <v>470.0</v>
      </c>
      <c r="B2275" s="24">
        <v>4.0</v>
      </c>
      <c r="C2275" s="44">
        <v>13.32</v>
      </c>
      <c r="D2275" s="46">
        <v>44972.0</v>
      </c>
      <c r="E2275" s="24">
        <v>3.33</v>
      </c>
      <c r="F2275" s="24">
        <v>28.34</v>
      </c>
      <c r="G2275" s="24">
        <v>0.85</v>
      </c>
      <c r="H2275" s="24" t="s">
        <v>6677</v>
      </c>
      <c r="I2275" s="24">
        <v>13.32</v>
      </c>
      <c r="J2275" s="24">
        <v>0.0</v>
      </c>
    </row>
    <row r="2276">
      <c r="A2276" s="24">
        <v>754.0</v>
      </c>
      <c r="B2276" s="24">
        <v>7.0</v>
      </c>
      <c r="C2276" s="44">
        <v>12.65</v>
      </c>
      <c r="D2276" s="46">
        <v>44973.0</v>
      </c>
      <c r="E2276" s="24">
        <v>1.81</v>
      </c>
      <c r="F2276" s="24">
        <v>16.78</v>
      </c>
      <c r="G2276" s="24">
        <v>0.93</v>
      </c>
      <c r="H2276" s="24" t="s">
        <v>6680</v>
      </c>
      <c r="I2276" s="24">
        <v>3.16</v>
      </c>
      <c r="J2276" s="24">
        <v>0.0</v>
      </c>
    </row>
    <row r="2277">
      <c r="A2277" s="24">
        <v>517.0</v>
      </c>
      <c r="B2277" s="24">
        <v>2.0</v>
      </c>
      <c r="C2277" s="44">
        <v>12.66</v>
      </c>
      <c r="D2277" s="46">
        <v>44973.0</v>
      </c>
      <c r="E2277" s="24">
        <v>6.33</v>
      </c>
      <c r="F2277" s="24">
        <v>24.49</v>
      </c>
      <c r="G2277" s="24">
        <v>0.39</v>
      </c>
      <c r="H2277" s="24" t="s">
        <v>6677</v>
      </c>
      <c r="I2277" s="24">
        <v>12.66</v>
      </c>
      <c r="J2277" s="24">
        <v>0.0</v>
      </c>
    </row>
    <row r="2278">
      <c r="A2278" s="24">
        <v>407.0</v>
      </c>
      <c r="B2278" s="24">
        <v>0.0</v>
      </c>
      <c r="C2278" s="44">
        <v>20.47</v>
      </c>
      <c r="D2278" s="46">
        <v>44973.0</v>
      </c>
      <c r="E2278" s="24" t="s">
        <v>6650</v>
      </c>
      <c r="F2278" s="24">
        <v>50.29</v>
      </c>
      <c r="G2278" s="24">
        <v>0.0</v>
      </c>
      <c r="H2278" s="24" t="s">
        <v>6676</v>
      </c>
      <c r="I2278" s="24">
        <v>20.47</v>
      </c>
      <c r="J2278" s="24">
        <v>0.0</v>
      </c>
    </row>
    <row r="2279">
      <c r="A2279" s="24">
        <v>803.0</v>
      </c>
      <c r="B2279" s="24">
        <v>2.0</v>
      </c>
      <c r="C2279" s="44">
        <v>23.03</v>
      </c>
      <c r="D2279" s="46">
        <v>44973.0</v>
      </c>
      <c r="E2279" s="24">
        <v>11.52</v>
      </c>
      <c r="F2279" s="24">
        <v>28.68</v>
      </c>
      <c r="G2279" s="24">
        <v>0.25</v>
      </c>
      <c r="H2279" s="24" t="s">
        <v>6673</v>
      </c>
      <c r="I2279" s="24">
        <v>23.03</v>
      </c>
      <c r="J2279" s="24">
        <v>0.0</v>
      </c>
    </row>
    <row r="2280">
      <c r="A2280" s="24">
        <v>1035.0</v>
      </c>
      <c r="B2280" s="24">
        <v>5.0</v>
      </c>
      <c r="C2280" s="44">
        <v>11.47</v>
      </c>
      <c r="D2280" s="46">
        <v>44973.0</v>
      </c>
      <c r="E2280" s="24">
        <v>2.29</v>
      </c>
      <c r="F2280" s="24">
        <v>11.08</v>
      </c>
      <c r="G2280" s="24">
        <v>0.48</v>
      </c>
      <c r="H2280" s="24" t="s">
        <v>6688</v>
      </c>
      <c r="I2280" s="24">
        <v>11.47</v>
      </c>
      <c r="J2280" s="24">
        <v>0.0</v>
      </c>
    </row>
    <row r="2281">
      <c r="A2281" s="24">
        <v>518.0</v>
      </c>
      <c r="B2281" s="24">
        <v>2.0</v>
      </c>
      <c r="C2281" s="44">
        <v>12.31</v>
      </c>
      <c r="D2281" s="46">
        <v>44973.0</v>
      </c>
      <c r="E2281" s="24">
        <v>6.16</v>
      </c>
      <c r="F2281" s="24">
        <v>23.76</v>
      </c>
      <c r="G2281" s="24">
        <v>0.39</v>
      </c>
      <c r="H2281" s="24" t="s">
        <v>6689</v>
      </c>
      <c r="I2281" s="24">
        <v>12.31</v>
      </c>
      <c r="J2281" s="24">
        <v>0.0</v>
      </c>
    </row>
    <row r="2282">
      <c r="A2282" s="24">
        <v>1740.0</v>
      </c>
      <c r="B2282" s="24">
        <v>14.0</v>
      </c>
      <c r="C2282" s="44">
        <v>33.26</v>
      </c>
      <c r="D2282" s="46">
        <v>44973.0</v>
      </c>
      <c r="E2282" s="24">
        <v>2.38</v>
      </c>
      <c r="F2282" s="24">
        <v>19.11</v>
      </c>
      <c r="G2282" s="24">
        <v>0.8</v>
      </c>
      <c r="H2282" s="24" t="s">
        <v>6690</v>
      </c>
      <c r="I2282" s="24" t="s">
        <v>6650</v>
      </c>
      <c r="J2282" s="24">
        <v>0.0</v>
      </c>
    </row>
    <row r="2283">
      <c r="A2283" s="24">
        <v>969.0</v>
      </c>
      <c r="B2283" s="24">
        <v>12.0</v>
      </c>
      <c r="C2283" s="44">
        <v>12.83</v>
      </c>
      <c r="D2283" s="46">
        <v>44973.0</v>
      </c>
      <c r="E2283" s="24">
        <v>1.07</v>
      </c>
      <c r="F2283" s="24">
        <v>13.24</v>
      </c>
      <c r="G2283" s="24">
        <v>1.24</v>
      </c>
      <c r="H2283" s="24" t="s">
        <v>6675</v>
      </c>
      <c r="I2283" s="24" t="s">
        <v>6650</v>
      </c>
      <c r="J2283" s="24">
        <v>0.0</v>
      </c>
    </row>
    <row r="2284">
      <c r="A2284" s="24">
        <v>776.0</v>
      </c>
      <c r="B2284" s="24">
        <v>4.0</v>
      </c>
      <c r="C2284" s="44">
        <v>12.49</v>
      </c>
      <c r="D2284" s="46">
        <v>44974.0</v>
      </c>
      <c r="E2284" s="24">
        <v>3.12</v>
      </c>
      <c r="F2284" s="24">
        <v>16.1</v>
      </c>
      <c r="G2284" s="24">
        <v>0.52</v>
      </c>
      <c r="H2284" s="24" t="s">
        <v>6680</v>
      </c>
      <c r="I2284" s="24">
        <v>12.49</v>
      </c>
      <c r="J2284" s="24">
        <v>0.0</v>
      </c>
    </row>
    <row r="2285">
      <c r="A2285" s="24">
        <v>1721.0</v>
      </c>
      <c r="B2285" s="24">
        <v>12.0</v>
      </c>
      <c r="C2285" s="44">
        <v>34.13</v>
      </c>
      <c r="D2285" s="46">
        <v>44974.0</v>
      </c>
      <c r="E2285" s="24">
        <v>2.84</v>
      </c>
      <c r="F2285" s="24">
        <v>19.83</v>
      </c>
      <c r="G2285" s="24">
        <v>0.7</v>
      </c>
      <c r="H2285" s="24" t="s">
        <v>6690</v>
      </c>
      <c r="I2285" s="24" t="s">
        <v>6650</v>
      </c>
      <c r="J2285" s="24">
        <v>0.0</v>
      </c>
    </row>
    <row r="2286">
      <c r="A2286" s="24">
        <v>506.0</v>
      </c>
      <c r="B2286" s="24">
        <v>1.0</v>
      </c>
      <c r="C2286" s="44">
        <v>11.3</v>
      </c>
      <c r="D2286" s="46">
        <v>44974.0</v>
      </c>
      <c r="E2286" s="24">
        <v>11.3</v>
      </c>
      <c r="F2286" s="24">
        <v>22.33</v>
      </c>
      <c r="G2286" s="24">
        <v>0.2</v>
      </c>
      <c r="H2286" s="24" t="s">
        <v>6689</v>
      </c>
      <c r="I2286" s="24" t="s">
        <v>6650</v>
      </c>
      <c r="J2286" s="24">
        <v>0.0</v>
      </c>
    </row>
    <row r="2287">
      <c r="A2287" s="24">
        <v>738.0</v>
      </c>
      <c r="B2287" s="24">
        <v>6.0</v>
      </c>
      <c r="C2287" s="44">
        <v>22.17</v>
      </c>
      <c r="D2287" s="46">
        <v>44974.0</v>
      </c>
      <c r="E2287" s="24">
        <v>3.7</v>
      </c>
      <c r="F2287" s="24">
        <v>30.04</v>
      </c>
      <c r="G2287" s="24">
        <v>0.81</v>
      </c>
      <c r="H2287" s="24" t="s">
        <v>6673</v>
      </c>
      <c r="I2287" s="24" t="s">
        <v>6650</v>
      </c>
      <c r="J2287" s="24">
        <v>0.0</v>
      </c>
    </row>
    <row r="2288">
      <c r="A2288" s="24">
        <v>197.0</v>
      </c>
      <c r="B2288" s="24">
        <v>0.0</v>
      </c>
      <c r="C2288" s="44">
        <v>11.85</v>
      </c>
      <c r="D2288" s="46">
        <v>44974.0</v>
      </c>
      <c r="E2288" s="24" t="s">
        <v>6650</v>
      </c>
      <c r="F2288" s="24">
        <v>60.15</v>
      </c>
      <c r="G2288" s="24">
        <v>0.0</v>
      </c>
      <c r="H2288" s="24" t="s">
        <v>6677</v>
      </c>
      <c r="I2288" s="24">
        <v>5.92</v>
      </c>
      <c r="J2288" s="24">
        <v>0.0</v>
      </c>
    </row>
    <row r="2289">
      <c r="A2289" s="24">
        <v>388.0</v>
      </c>
      <c r="B2289" s="24">
        <v>4.0</v>
      </c>
      <c r="C2289" s="44">
        <v>19.31</v>
      </c>
      <c r="D2289" s="46">
        <v>44974.0</v>
      </c>
      <c r="E2289" s="24">
        <v>4.83</v>
      </c>
      <c r="F2289" s="24">
        <v>49.77</v>
      </c>
      <c r="G2289" s="24">
        <v>1.03</v>
      </c>
      <c r="H2289" s="24" t="s">
        <v>6676</v>
      </c>
      <c r="I2289" s="24" t="s">
        <v>6650</v>
      </c>
      <c r="J2289" s="24">
        <v>0.0</v>
      </c>
    </row>
    <row r="2290">
      <c r="A2290" s="24">
        <v>1217.0</v>
      </c>
      <c r="B2290" s="24">
        <v>6.0</v>
      </c>
      <c r="C2290" s="44">
        <v>10.63</v>
      </c>
      <c r="D2290" s="46">
        <v>44974.0</v>
      </c>
      <c r="E2290" s="24">
        <v>1.77</v>
      </c>
      <c r="F2290" s="24">
        <v>8.73</v>
      </c>
      <c r="G2290" s="24">
        <v>0.49</v>
      </c>
      <c r="H2290" s="24" t="s">
        <v>6688</v>
      </c>
      <c r="I2290" s="24">
        <v>10.63</v>
      </c>
      <c r="J2290" s="24">
        <v>0.0</v>
      </c>
    </row>
    <row r="2291">
      <c r="A2291" s="24">
        <v>397.0</v>
      </c>
      <c r="B2291" s="24">
        <v>11.0</v>
      </c>
      <c r="C2291" s="44">
        <v>12.08</v>
      </c>
      <c r="D2291" s="46">
        <v>44974.0</v>
      </c>
      <c r="E2291" s="24">
        <v>1.1</v>
      </c>
      <c r="F2291" s="24">
        <v>30.43</v>
      </c>
      <c r="G2291" s="24">
        <v>2.77</v>
      </c>
      <c r="H2291" s="24" t="s">
        <v>6675</v>
      </c>
      <c r="I2291" s="24">
        <v>12.08</v>
      </c>
      <c r="J2291" s="24">
        <v>0.0</v>
      </c>
    </row>
    <row r="2292">
      <c r="A2292" s="24">
        <v>456.0</v>
      </c>
      <c r="B2292" s="24">
        <v>3.0</v>
      </c>
      <c r="C2292" s="44">
        <v>5.84</v>
      </c>
      <c r="D2292" s="46">
        <v>44975.0</v>
      </c>
      <c r="E2292" s="24">
        <v>1.95</v>
      </c>
      <c r="F2292" s="24">
        <v>12.81</v>
      </c>
      <c r="G2292" s="24">
        <v>0.66</v>
      </c>
      <c r="H2292" s="24" t="s">
        <v>6680</v>
      </c>
      <c r="I2292" s="24" t="s">
        <v>6650</v>
      </c>
      <c r="J2292" s="24">
        <v>0.0</v>
      </c>
    </row>
    <row r="2293">
      <c r="A2293" s="24">
        <v>190.0</v>
      </c>
      <c r="B2293" s="24">
        <v>1.0</v>
      </c>
      <c r="C2293" s="44">
        <v>11.42</v>
      </c>
      <c r="D2293" s="46">
        <v>44975.0</v>
      </c>
      <c r="E2293" s="24">
        <v>11.42</v>
      </c>
      <c r="F2293" s="24">
        <v>60.11</v>
      </c>
      <c r="G2293" s="24">
        <v>0.53</v>
      </c>
      <c r="H2293" s="24" t="s">
        <v>6673</v>
      </c>
      <c r="I2293" s="24" t="s">
        <v>6650</v>
      </c>
      <c r="J2293" s="24">
        <v>0.0</v>
      </c>
    </row>
    <row r="2294">
      <c r="A2294" s="24">
        <v>274.0</v>
      </c>
      <c r="B2294" s="24">
        <v>6.0</v>
      </c>
      <c r="C2294" s="44">
        <v>6.47</v>
      </c>
      <c r="D2294" s="46">
        <v>44975.0</v>
      </c>
      <c r="E2294" s="24">
        <v>1.08</v>
      </c>
      <c r="F2294" s="24">
        <v>23.61</v>
      </c>
      <c r="G2294" s="24">
        <v>2.19</v>
      </c>
      <c r="H2294" s="24" t="s">
        <v>6675</v>
      </c>
      <c r="I2294" s="24" t="s">
        <v>6650</v>
      </c>
      <c r="J2294" s="24">
        <v>0.0</v>
      </c>
    </row>
    <row r="2295">
      <c r="A2295" s="24">
        <v>252.0</v>
      </c>
      <c r="B2295" s="24">
        <v>1.0</v>
      </c>
      <c r="C2295" s="44">
        <v>6.43</v>
      </c>
      <c r="D2295" s="46">
        <v>44975.0</v>
      </c>
      <c r="E2295" s="24">
        <v>6.43</v>
      </c>
      <c r="F2295" s="24">
        <v>25.52</v>
      </c>
      <c r="G2295" s="24">
        <v>0.4</v>
      </c>
      <c r="H2295" s="24" t="s">
        <v>6689</v>
      </c>
      <c r="I2295" s="24" t="s">
        <v>6650</v>
      </c>
      <c r="J2295" s="24">
        <v>0.0</v>
      </c>
    </row>
    <row r="2296">
      <c r="A2296" s="24">
        <v>1471.0</v>
      </c>
      <c r="B2296" s="24">
        <v>5.0</v>
      </c>
      <c r="C2296" s="44">
        <v>25.98</v>
      </c>
      <c r="D2296" s="46">
        <v>44975.0</v>
      </c>
      <c r="E2296" s="24">
        <v>5.2</v>
      </c>
      <c r="F2296" s="24">
        <v>17.66</v>
      </c>
      <c r="G2296" s="24">
        <v>0.34</v>
      </c>
      <c r="H2296" s="24" t="s">
        <v>6690</v>
      </c>
      <c r="I2296" s="24" t="s">
        <v>6650</v>
      </c>
      <c r="J2296" s="24">
        <v>0.0</v>
      </c>
    </row>
    <row r="2297">
      <c r="A2297" s="24">
        <v>145.0</v>
      </c>
      <c r="B2297" s="24">
        <v>0.0</v>
      </c>
      <c r="C2297" s="44">
        <v>10.03</v>
      </c>
      <c r="D2297" s="46">
        <v>44975.0</v>
      </c>
      <c r="E2297" s="24" t="s">
        <v>6650</v>
      </c>
      <c r="F2297" s="24">
        <v>69.17</v>
      </c>
      <c r="G2297" s="24">
        <v>0.0</v>
      </c>
      <c r="H2297" s="24" t="s">
        <v>6676</v>
      </c>
      <c r="I2297" s="24" t="s">
        <v>6650</v>
      </c>
      <c r="J2297" s="24">
        <v>0.0</v>
      </c>
    </row>
    <row r="2298">
      <c r="A2298" s="24">
        <v>77.0</v>
      </c>
      <c r="B2298" s="24">
        <v>0.0</v>
      </c>
      <c r="C2298" s="44">
        <v>6.86</v>
      </c>
      <c r="D2298" s="46">
        <v>44975.0</v>
      </c>
      <c r="E2298" s="24" t="s">
        <v>6650</v>
      </c>
      <c r="F2298" s="24">
        <v>89.09</v>
      </c>
      <c r="G2298" s="24">
        <v>0.0</v>
      </c>
      <c r="H2298" s="24" t="s">
        <v>6677</v>
      </c>
      <c r="I2298" s="24" t="s">
        <v>6650</v>
      </c>
      <c r="J2298" s="24">
        <v>0.0</v>
      </c>
    </row>
    <row r="2299">
      <c r="A2299" s="24">
        <v>988.0</v>
      </c>
      <c r="B2299" s="24">
        <v>6.0</v>
      </c>
      <c r="C2299" s="44">
        <v>6.81</v>
      </c>
      <c r="D2299" s="46">
        <v>44975.0</v>
      </c>
      <c r="E2299" s="24">
        <v>1.14</v>
      </c>
      <c r="F2299" s="24">
        <v>6.89</v>
      </c>
      <c r="G2299" s="24">
        <v>0.61</v>
      </c>
      <c r="H2299" s="24" t="s">
        <v>6688</v>
      </c>
      <c r="I2299" s="24" t="s">
        <v>6650</v>
      </c>
      <c r="J2299" s="24">
        <v>0.0</v>
      </c>
    </row>
    <row r="2300">
      <c r="A2300" s="24">
        <v>817.0</v>
      </c>
      <c r="B2300" s="24">
        <v>1.0</v>
      </c>
      <c r="C2300" s="44">
        <v>6.26</v>
      </c>
      <c r="D2300" s="46">
        <v>44976.0</v>
      </c>
      <c r="E2300" s="24">
        <v>6.26</v>
      </c>
      <c r="F2300" s="24">
        <v>7.66</v>
      </c>
      <c r="G2300" s="24">
        <v>0.12</v>
      </c>
      <c r="H2300" s="24" t="s">
        <v>6688</v>
      </c>
      <c r="I2300" s="24" t="s">
        <v>6650</v>
      </c>
      <c r="J2300" s="24">
        <v>0.0</v>
      </c>
    </row>
    <row r="2301">
      <c r="A2301" s="24">
        <v>430.0</v>
      </c>
      <c r="B2301" s="24">
        <v>2.0</v>
      </c>
      <c r="C2301" s="44">
        <v>4.46</v>
      </c>
      <c r="D2301" s="46">
        <v>44976.0</v>
      </c>
      <c r="E2301" s="24">
        <v>2.23</v>
      </c>
      <c r="F2301" s="24">
        <v>10.37</v>
      </c>
      <c r="G2301" s="24">
        <v>0.47</v>
      </c>
      <c r="H2301" s="24" t="s">
        <v>6680</v>
      </c>
      <c r="I2301" s="24">
        <v>4.46</v>
      </c>
      <c r="J2301" s="24">
        <v>0.0</v>
      </c>
    </row>
    <row r="2302">
      <c r="A2302" s="24">
        <v>41.0</v>
      </c>
      <c r="B2302" s="24">
        <v>0.0</v>
      </c>
      <c r="C2302" s="44">
        <v>8.71</v>
      </c>
      <c r="D2302" s="46">
        <v>44976.0</v>
      </c>
      <c r="E2302" s="24" t="s">
        <v>6650</v>
      </c>
      <c r="F2302" s="24">
        <v>212.44</v>
      </c>
      <c r="G2302" s="24">
        <v>0.0</v>
      </c>
      <c r="H2302" s="24" t="s">
        <v>6676</v>
      </c>
      <c r="I2302" s="24" t="s">
        <v>6650</v>
      </c>
      <c r="J2302" s="24">
        <v>0.0</v>
      </c>
    </row>
    <row r="2303">
      <c r="A2303" s="24">
        <v>141.0</v>
      </c>
      <c r="B2303" s="24">
        <v>0.0</v>
      </c>
      <c r="C2303" s="44">
        <v>6.11</v>
      </c>
      <c r="D2303" s="46">
        <v>44976.0</v>
      </c>
      <c r="E2303" s="24" t="s">
        <v>6650</v>
      </c>
      <c r="F2303" s="24">
        <v>43.33</v>
      </c>
      <c r="G2303" s="24">
        <v>0.0</v>
      </c>
      <c r="H2303" s="24" t="s">
        <v>6677</v>
      </c>
      <c r="I2303" s="24" t="s">
        <v>6650</v>
      </c>
      <c r="J2303" s="24">
        <v>0.0</v>
      </c>
    </row>
    <row r="2304">
      <c r="A2304" s="24">
        <v>70.0</v>
      </c>
      <c r="B2304" s="24">
        <v>0.0</v>
      </c>
      <c r="C2304" s="44">
        <v>9.33</v>
      </c>
      <c r="D2304" s="46">
        <v>44976.0</v>
      </c>
      <c r="E2304" s="24" t="s">
        <v>6650</v>
      </c>
      <c r="F2304" s="24">
        <v>133.29</v>
      </c>
      <c r="G2304" s="24">
        <v>0.0</v>
      </c>
      <c r="H2304" s="24" t="s">
        <v>6673</v>
      </c>
      <c r="I2304" s="24" t="s">
        <v>6650</v>
      </c>
      <c r="J2304" s="24">
        <v>0.0</v>
      </c>
    </row>
    <row r="2305">
      <c r="A2305" s="24">
        <v>193.0</v>
      </c>
      <c r="B2305" s="24">
        <v>4.0</v>
      </c>
      <c r="C2305" s="44">
        <v>6.28</v>
      </c>
      <c r="D2305" s="46">
        <v>44976.0</v>
      </c>
      <c r="E2305" s="24">
        <v>1.57</v>
      </c>
      <c r="F2305" s="24">
        <v>32.54</v>
      </c>
      <c r="G2305" s="24">
        <v>2.07</v>
      </c>
      <c r="H2305" s="24" t="s">
        <v>6675</v>
      </c>
      <c r="I2305" s="24" t="s">
        <v>6650</v>
      </c>
      <c r="J2305" s="24">
        <v>0.0</v>
      </c>
    </row>
    <row r="2306">
      <c r="A2306" s="24">
        <v>187.0</v>
      </c>
      <c r="B2306" s="24">
        <v>2.0</v>
      </c>
      <c r="C2306" s="44">
        <v>5.11</v>
      </c>
      <c r="D2306" s="46">
        <v>44976.0</v>
      </c>
      <c r="E2306" s="24">
        <v>2.56</v>
      </c>
      <c r="F2306" s="24">
        <v>27.33</v>
      </c>
      <c r="G2306" s="24">
        <v>1.07</v>
      </c>
      <c r="H2306" s="24" t="s">
        <v>6689</v>
      </c>
      <c r="I2306" s="24" t="s">
        <v>6650</v>
      </c>
      <c r="J2306" s="24">
        <v>0.0</v>
      </c>
    </row>
    <row r="2307">
      <c r="A2307" s="24">
        <v>1385.0</v>
      </c>
      <c r="B2307" s="24">
        <v>12.0</v>
      </c>
      <c r="C2307" s="44">
        <v>22.95</v>
      </c>
      <c r="D2307" s="46">
        <v>44976.0</v>
      </c>
      <c r="E2307" s="24">
        <v>1.91</v>
      </c>
      <c r="F2307" s="24">
        <v>16.57</v>
      </c>
      <c r="G2307" s="24">
        <v>0.87</v>
      </c>
      <c r="H2307" s="24" t="s">
        <v>6690</v>
      </c>
      <c r="I2307" s="24" t="s">
        <v>6650</v>
      </c>
      <c r="J2307" s="24">
        <v>0.0</v>
      </c>
    </row>
    <row r="2308">
      <c r="A2308" s="24">
        <v>469.0</v>
      </c>
      <c r="B2308" s="24">
        <v>2.0</v>
      </c>
      <c r="C2308" s="44">
        <v>13.13</v>
      </c>
      <c r="D2308" s="46">
        <v>44977.0</v>
      </c>
      <c r="E2308" s="24">
        <v>6.56</v>
      </c>
      <c r="F2308" s="24">
        <v>28.0</v>
      </c>
      <c r="G2308" s="24">
        <v>0.43</v>
      </c>
      <c r="H2308" s="24" t="s">
        <v>6677</v>
      </c>
      <c r="I2308" s="24" t="s">
        <v>6650</v>
      </c>
      <c r="J2308" s="24">
        <v>0.0</v>
      </c>
    </row>
    <row r="2309">
      <c r="A2309" s="24">
        <v>1540.0</v>
      </c>
      <c r="B2309" s="24">
        <v>6.0</v>
      </c>
      <c r="C2309" s="44">
        <v>11.53</v>
      </c>
      <c r="D2309" s="46">
        <v>44977.0</v>
      </c>
      <c r="E2309" s="24">
        <v>1.92</v>
      </c>
      <c r="F2309" s="24">
        <v>7.49</v>
      </c>
      <c r="G2309" s="24">
        <v>0.39</v>
      </c>
      <c r="H2309" s="24" t="s">
        <v>6688</v>
      </c>
      <c r="I2309" s="24" t="s">
        <v>6650</v>
      </c>
      <c r="J2309" s="24">
        <v>0.0</v>
      </c>
    </row>
    <row r="2310">
      <c r="A2310" s="24">
        <v>222.0</v>
      </c>
      <c r="B2310" s="24">
        <v>3.0</v>
      </c>
      <c r="C2310" s="44">
        <v>11.35</v>
      </c>
      <c r="D2310" s="46">
        <v>44977.0</v>
      </c>
      <c r="E2310" s="24">
        <v>3.78</v>
      </c>
      <c r="F2310" s="24">
        <v>51.13</v>
      </c>
      <c r="G2310" s="24">
        <v>1.35</v>
      </c>
      <c r="H2310" s="24" t="s">
        <v>6689</v>
      </c>
      <c r="I2310" s="24" t="s">
        <v>6650</v>
      </c>
      <c r="J2310" s="24">
        <v>0.0</v>
      </c>
    </row>
    <row r="2311">
      <c r="A2311" s="24">
        <v>576.0</v>
      </c>
      <c r="B2311" s="24">
        <v>4.0</v>
      </c>
      <c r="C2311" s="44">
        <v>20.89</v>
      </c>
      <c r="D2311" s="46">
        <v>44977.0</v>
      </c>
      <c r="E2311" s="24">
        <v>5.22</v>
      </c>
      <c r="F2311" s="24">
        <v>36.27</v>
      </c>
      <c r="G2311" s="24">
        <v>0.69</v>
      </c>
      <c r="H2311" s="24" t="s">
        <v>6673</v>
      </c>
      <c r="I2311" s="24" t="s">
        <v>6650</v>
      </c>
      <c r="J2311" s="24">
        <v>0.0</v>
      </c>
    </row>
    <row r="2312">
      <c r="A2312" s="24">
        <v>641.0</v>
      </c>
      <c r="B2312" s="24">
        <v>3.0</v>
      </c>
      <c r="C2312" s="44">
        <v>12.67</v>
      </c>
      <c r="D2312" s="46">
        <v>44977.0</v>
      </c>
      <c r="E2312" s="24">
        <v>4.22</v>
      </c>
      <c r="F2312" s="24">
        <v>19.77</v>
      </c>
      <c r="G2312" s="24">
        <v>0.47</v>
      </c>
      <c r="H2312" s="24" t="s">
        <v>6675</v>
      </c>
      <c r="I2312" s="24" t="s">
        <v>6650</v>
      </c>
      <c r="J2312" s="24">
        <v>0.0</v>
      </c>
    </row>
    <row r="2313">
      <c r="A2313" s="24">
        <v>152.0</v>
      </c>
      <c r="B2313" s="24">
        <v>0.0</v>
      </c>
      <c r="C2313" s="44">
        <v>17.98</v>
      </c>
      <c r="D2313" s="46">
        <v>44977.0</v>
      </c>
      <c r="E2313" s="24" t="s">
        <v>6650</v>
      </c>
      <c r="F2313" s="24">
        <v>118.29</v>
      </c>
      <c r="G2313" s="24">
        <v>0.0</v>
      </c>
      <c r="H2313" s="24" t="s">
        <v>6676</v>
      </c>
      <c r="I2313" s="24" t="s">
        <v>6650</v>
      </c>
      <c r="J2313" s="24">
        <v>0.0</v>
      </c>
    </row>
    <row r="2314">
      <c r="A2314" s="24">
        <v>1000.0</v>
      </c>
      <c r="B2314" s="24">
        <v>6.0</v>
      </c>
      <c r="C2314" s="44">
        <v>13.87</v>
      </c>
      <c r="D2314" s="46">
        <v>44977.0</v>
      </c>
      <c r="E2314" s="24">
        <v>2.31</v>
      </c>
      <c r="F2314" s="24">
        <v>13.87</v>
      </c>
      <c r="G2314" s="24">
        <v>0.6</v>
      </c>
      <c r="H2314" s="24" t="s">
        <v>6680</v>
      </c>
      <c r="I2314" s="24">
        <v>6.94</v>
      </c>
      <c r="J2314" s="24">
        <v>0.0</v>
      </c>
    </row>
    <row r="2315">
      <c r="A2315" s="24">
        <v>738.0</v>
      </c>
      <c r="B2315" s="24">
        <v>7.0</v>
      </c>
      <c r="C2315" s="44">
        <v>24.36</v>
      </c>
      <c r="D2315" s="46">
        <v>44977.0</v>
      </c>
      <c r="E2315" s="24">
        <v>3.48</v>
      </c>
      <c r="F2315" s="24">
        <v>33.01</v>
      </c>
      <c r="G2315" s="24">
        <v>0.95</v>
      </c>
      <c r="H2315" s="24" t="s">
        <v>6690</v>
      </c>
      <c r="I2315" s="24" t="s">
        <v>6650</v>
      </c>
      <c r="J2315" s="24">
        <v>1.0</v>
      </c>
    </row>
    <row r="2316">
      <c r="A2316" s="24">
        <v>521.0</v>
      </c>
      <c r="B2316" s="24">
        <v>2.0</v>
      </c>
      <c r="C2316" s="44">
        <v>56.91</v>
      </c>
      <c r="D2316" s="46">
        <v>44978.0</v>
      </c>
      <c r="E2316" s="24">
        <v>28.46</v>
      </c>
      <c r="F2316" s="24">
        <v>109.23</v>
      </c>
      <c r="G2316" s="24">
        <v>0.38</v>
      </c>
      <c r="H2316" s="24" t="s">
        <v>6690</v>
      </c>
      <c r="I2316" s="24" t="s">
        <v>6650</v>
      </c>
      <c r="J2316" s="24">
        <v>0.0</v>
      </c>
    </row>
    <row r="2317">
      <c r="A2317" s="24">
        <v>766.0</v>
      </c>
      <c r="B2317" s="24">
        <v>13.0</v>
      </c>
      <c r="C2317" s="44">
        <v>12.66</v>
      </c>
      <c r="D2317" s="46">
        <v>44978.0</v>
      </c>
      <c r="E2317" s="24">
        <v>0.97</v>
      </c>
      <c r="F2317" s="24">
        <v>16.53</v>
      </c>
      <c r="G2317" s="24">
        <v>1.7</v>
      </c>
      <c r="H2317" s="24" t="s">
        <v>6675</v>
      </c>
      <c r="I2317" s="24" t="s">
        <v>6650</v>
      </c>
      <c r="J2317" s="24">
        <v>0.0</v>
      </c>
    </row>
    <row r="2318">
      <c r="A2318" s="24">
        <v>396.0</v>
      </c>
      <c r="B2318" s="24">
        <v>2.0</v>
      </c>
      <c r="C2318" s="44">
        <v>19.22</v>
      </c>
      <c r="D2318" s="46">
        <v>44978.0</v>
      </c>
      <c r="E2318" s="24">
        <v>9.61</v>
      </c>
      <c r="F2318" s="24">
        <v>48.54</v>
      </c>
      <c r="G2318" s="24">
        <v>0.51</v>
      </c>
      <c r="H2318" s="24" t="s">
        <v>6676</v>
      </c>
      <c r="I2318" s="24" t="s">
        <v>6650</v>
      </c>
      <c r="J2318" s="24">
        <v>0.0</v>
      </c>
    </row>
    <row r="2319">
      <c r="A2319" s="24">
        <v>995.0</v>
      </c>
      <c r="B2319" s="24">
        <v>2.0</v>
      </c>
      <c r="C2319" s="44">
        <v>22.65</v>
      </c>
      <c r="D2319" s="46">
        <v>44978.0</v>
      </c>
      <c r="E2319" s="24">
        <v>11.32</v>
      </c>
      <c r="F2319" s="24">
        <v>22.76</v>
      </c>
      <c r="G2319" s="24">
        <v>0.2</v>
      </c>
      <c r="H2319" s="24" t="s">
        <v>6673</v>
      </c>
      <c r="I2319" s="24" t="s">
        <v>6650</v>
      </c>
      <c r="J2319" s="24">
        <v>0.0</v>
      </c>
    </row>
    <row r="2320">
      <c r="A2320" s="24">
        <v>974.0</v>
      </c>
      <c r="B2320" s="24">
        <v>6.0</v>
      </c>
      <c r="C2320" s="44">
        <v>13.16</v>
      </c>
      <c r="D2320" s="46">
        <v>44978.0</v>
      </c>
      <c r="E2320" s="24">
        <v>2.19</v>
      </c>
      <c r="F2320" s="24">
        <v>13.51</v>
      </c>
      <c r="G2320" s="24">
        <v>0.62</v>
      </c>
      <c r="H2320" s="24" t="s">
        <v>6680</v>
      </c>
      <c r="I2320" s="24">
        <v>13.16</v>
      </c>
      <c r="J2320" s="24">
        <v>0.0</v>
      </c>
    </row>
    <row r="2321">
      <c r="A2321" s="24">
        <v>300.0</v>
      </c>
      <c r="B2321" s="24">
        <v>2.0</v>
      </c>
      <c r="C2321" s="44">
        <v>12.78</v>
      </c>
      <c r="D2321" s="46">
        <v>44978.0</v>
      </c>
      <c r="E2321" s="24">
        <v>6.39</v>
      </c>
      <c r="F2321" s="24">
        <v>42.6</v>
      </c>
      <c r="G2321" s="24">
        <v>0.67</v>
      </c>
      <c r="H2321" s="24" t="s">
        <v>6689</v>
      </c>
      <c r="I2321" s="24" t="s">
        <v>6650</v>
      </c>
      <c r="J2321" s="24">
        <v>0.0</v>
      </c>
    </row>
    <row r="2322">
      <c r="A2322" s="24">
        <v>1397.0</v>
      </c>
      <c r="B2322" s="24">
        <v>8.0</v>
      </c>
      <c r="C2322" s="44">
        <v>10.58</v>
      </c>
      <c r="D2322" s="46">
        <v>44978.0</v>
      </c>
      <c r="E2322" s="24">
        <v>1.32</v>
      </c>
      <c r="F2322" s="24">
        <v>7.57</v>
      </c>
      <c r="G2322" s="24">
        <v>0.57</v>
      </c>
      <c r="H2322" s="24" t="s">
        <v>6688</v>
      </c>
      <c r="I2322" s="24" t="s">
        <v>6650</v>
      </c>
      <c r="J2322" s="24">
        <v>0.0</v>
      </c>
    </row>
    <row r="2323">
      <c r="A2323" s="24">
        <v>555.0</v>
      </c>
      <c r="B2323" s="24">
        <v>5.0</v>
      </c>
      <c r="C2323" s="44">
        <v>12.5</v>
      </c>
      <c r="D2323" s="46">
        <v>44978.0</v>
      </c>
      <c r="E2323" s="24">
        <v>2.5</v>
      </c>
      <c r="F2323" s="24">
        <v>22.52</v>
      </c>
      <c r="G2323" s="24">
        <v>0.9</v>
      </c>
      <c r="H2323" s="24" t="s">
        <v>6677</v>
      </c>
      <c r="I2323" s="24" t="s">
        <v>6650</v>
      </c>
      <c r="J2323" s="24">
        <v>0.0</v>
      </c>
    </row>
    <row r="2324">
      <c r="A2324" s="24">
        <v>1121.0</v>
      </c>
      <c r="B2324" s="24">
        <v>12.0</v>
      </c>
      <c r="C2324" s="44">
        <v>12.9</v>
      </c>
      <c r="D2324" s="46">
        <v>44979.0</v>
      </c>
      <c r="E2324" s="24">
        <v>1.08</v>
      </c>
      <c r="F2324" s="24">
        <v>11.51</v>
      </c>
      <c r="G2324" s="24">
        <v>1.07</v>
      </c>
      <c r="H2324" s="24" t="s">
        <v>6675</v>
      </c>
      <c r="I2324" s="24">
        <v>6.45</v>
      </c>
      <c r="J2324" s="24">
        <v>0.0</v>
      </c>
    </row>
    <row r="2325">
      <c r="A2325" s="24">
        <v>828.0</v>
      </c>
      <c r="B2325" s="24">
        <v>4.0</v>
      </c>
      <c r="C2325" s="44">
        <v>22.56</v>
      </c>
      <c r="D2325" s="46">
        <v>44979.0</v>
      </c>
      <c r="E2325" s="24">
        <v>5.64</v>
      </c>
      <c r="F2325" s="24">
        <v>27.25</v>
      </c>
      <c r="G2325" s="24">
        <v>0.48</v>
      </c>
      <c r="H2325" s="24" t="s">
        <v>6673</v>
      </c>
      <c r="I2325" s="24" t="s">
        <v>6650</v>
      </c>
      <c r="J2325" s="24">
        <v>0.0</v>
      </c>
    </row>
    <row r="2326">
      <c r="A2326" s="24">
        <v>1116.0</v>
      </c>
      <c r="B2326" s="24">
        <v>6.0</v>
      </c>
      <c r="C2326" s="44">
        <v>11.17</v>
      </c>
      <c r="D2326" s="46">
        <v>44979.0</v>
      </c>
      <c r="E2326" s="24">
        <v>1.86</v>
      </c>
      <c r="F2326" s="24">
        <v>10.01</v>
      </c>
      <c r="G2326" s="24">
        <v>0.54</v>
      </c>
      <c r="H2326" s="24" t="s">
        <v>6688</v>
      </c>
      <c r="I2326" s="24">
        <v>3.72</v>
      </c>
      <c r="J2326" s="24">
        <v>0.0</v>
      </c>
    </row>
    <row r="2327">
      <c r="A2327" s="24">
        <v>405.0</v>
      </c>
      <c r="B2327" s="24">
        <v>3.0</v>
      </c>
      <c r="C2327" s="44">
        <v>12.14</v>
      </c>
      <c r="D2327" s="46">
        <v>44979.0</v>
      </c>
      <c r="E2327" s="24">
        <v>4.05</v>
      </c>
      <c r="F2327" s="24">
        <v>29.98</v>
      </c>
      <c r="G2327" s="24">
        <v>0.74</v>
      </c>
      <c r="H2327" s="24" t="s">
        <v>6689</v>
      </c>
      <c r="I2327" s="24" t="s">
        <v>6650</v>
      </c>
      <c r="J2327" s="24">
        <v>0.0</v>
      </c>
    </row>
    <row r="2328">
      <c r="A2328" s="24">
        <v>398.0</v>
      </c>
      <c r="B2328" s="24">
        <v>4.0</v>
      </c>
      <c r="C2328" s="44">
        <v>19.2</v>
      </c>
      <c r="D2328" s="46">
        <v>44979.0</v>
      </c>
      <c r="E2328" s="24">
        <v>4.8</v>
      </c>
      <c r="F2328" s="24">
        <v>48.24</v>
      </c>
      <c r="G2328" s="24">
        <v>1.01</v>
      </c>
      <c r="H2328" s="24" t="s">
        <v>6676</v>
      </c>
      <c r="I2328" s="24" t="s">
        <v>6650</v>
      </c>
      <c r="J2328" s="24">
        <v>0.0</v>
      </c>
    </row>
    <row r="2329">
      <c r="A2329" s="24">
        <v>427.0</v>
      </c>
      <c r="B2329" s="24">
        <v>0.0</v>
      </c>
      <c r="C2329" s="44">
        <v>50.0</v>
      </c>
      <c r="D2329" s="46">
        <v>44979.0</v>
      </c>
      <c r="E2329" s="24" t="s">
        <v>6650</v>
      </c>
      <c r="F2329" s="24">
        <v>117.1</v>
      </c>
      <c r="G2329" s="24">
        <v>0.0</v>
      </c>
      <c r="H2329" s="24" t="s">
        <v>6690</v>
      </c>
      <c r="I2329" s="24" t="s">
        <v>6650</v>
      </c>
      <c r="J2329" s="24">
        <v>0.0</v>
      </c>
    </row>
    <row r="2330">
      <c r="A2330" s="24">
        <v>553.0</v>
      </c>
      <c r="B2330" s="24">
        <v>4.0</v>
      </c>
      <c r="C2330" s="44">
        <v>12.8</v>
      </c>
      <c r="D2330" s="46">
        <v>44979.0</v>
      </c>
      <c r="E2330" s="24">
        <v>3.2</v>
      </c>
      <c r="F2330" s="24">
        <v>23.15</v>
      </c>
      <c r="G2330" s="24">
        <v>0.72</v>
      </c>
      <c r="H2330" s="24" t="s">
        <v>6677</v>
      </c>
      <c r="I2330" s="24">
        <v>12.8</v>
      </c>
      <c r="J2330" s="24">
        <v>0.0</v>
      </c>
    </row>
    <row r="2331">
      <c r="A2331" s="24">
        <v>1005.0</v>
      </c>
      <c r="B2331" s="24">
        <v>4.0</v>
      </c>
      <c r="C2331" s="44">
        <v>13.84</v>
      </c>
      <c r="D2331" s="46">
        <v>44979.0</v>
      </c>
      <c r="E2331" s="24">
        <v>3.46</v>
      </c>
      <c r="F2331" s="24">
        <v>13.77</v>
      </c>
      <c r="G2331" s="24">
        <v>0.4</v>
      </c>
      <c r="H2331" s="24" t="s">
        <v>6680</v>
      </c>
      <c r="I2331" s="24">
        <v>13.84</v>
      </c>
      <c r="J2331" s="24">
        <v>0.0</v>
      </c>
    </row>
    <row r="2332">
      <c r="A2332" s="24">
        <v>467.0</v>
      </c>
      <c r="B2332" s="24">
        <v>0.0</v>
      </c>
      <c r="C2332" s="44">
        <v>62.29</v>
      </c>
      <c r="D2332" s="46">
        <v>44980.0</v>
      </c>
      <c r="E2332" s="24" t="s">
        <v>6650</v>
      </c>
      <c r="F2332" s="24">
        <v>133.38</v>
      </c>
      <c r="G2332" s="24">
        <v>0.0</v>
      </c>
      <c r="H2332" s="24" t="s">
        <v>6690</v>
      </c>
      <c r="I2332" s="24">
        <v>62.29</v>
      </c>
      <c r="J2332" s="24">
        <v>0.0</v>
      </c>
    </row>
    <row r="2333">
      <c r="A2333" s="24">
        <v>1094.0</v>
      </c>
      <c r="B2333" s="24">
        <v>8.0</v>
      </c>
      <c r="C2333" s="44">
        <v>11.91</v>
      </c>
      <c r="D2333" s="46">
        <v>44980.0</v>
      </c>
      <c r="E2333" s="24">
        <v>1.49</v>
      </c>
      <c r="F2333" s="24">
        <v>10.89</v>
      </c>
      <c r="G2333" s="24">
        <v>0.73</v>
      </c>
      <c r="H2333" s="24" t="s">
        <v>6688</v>
      </c>
      <c r="I2333" s="24">
        <v>2.98</v>
      </c>
      <c r="J2333" s="24">
        <v>0.0</v>
      </c>
    </row>
    <row r="2334">
      <c r="A2334" s="24">
        <v>934.0</v>
      </c>
      <c r="B2334" s="24">
        <v>16.0</v>
      </c>
      <c r="C2334" s="44">
        <v>12.89</v>
      </c>
      <c r="D2334" s="46">
        <v>44980.0</v>
      </c>
      <c r="E2334" s="24">
        <v>0.81</v>
      </c>
      <c r="F2334" s="24">
        <v>13.8</v>
      </c>
      <c r="G2334" s="24">
        <v>1.71</v>
      </c>
      <c r="H2334" s="24" t="s">
        <v>6675</v>
      </c>
      <c r="I2334" s="24" t="s">
        <v>6650</v>
      </c>
      <c r="J2334" s="24">
        <v>0.0</v>
      </c>
    </row>
    <row r="2335">
      <c r="A2335" s="24">
        <v>365.0</v>
      </c>
      <c r="B2335" s="24">
        <v>7.0</v>
      </c>
      <c r="C2335" s="44">
        <v>11.84</v>
      </c>
      <c r="D2335" s="46">
        <v>44980.0</v>
      </c>
      <c r="E2335" s="24">
        <v>1.69</v>
      </c>
      <c r="F2335" s="24">
        <v>32.44</v>
      </c>
      <c r="G2335" s="24">
        <v>1.92</v>
      </c>
      <c r="H2335" s="24" t="s">
        <v>6689</v>
      </c>
      <c r="I2335" s="24">
        <v>11.84</v>
      </c>
      <c r="J2335" s="24">
        <v>0.0</v>
      </c>
    </row>
    <row r="2336">
      <c r="A2336" s="24">
        <v>506.0</v>
      </c>
      <c r="B2336" s="24">
        <v>0.0</v>
      </c>
      <c r="C2336" s="44">
        <v>19.4</v>
      </c>
      <c r="D2336" s="46">
        <v>44980.0</v>
      </c>
      <c r="E2336" s="24" t="s">
        <v>6650</v>
      </c>
      <c r="F2336" s="24">
        <v>38.34</v>
      </c>
      <c r="G2336" s="24">
        <v>0.0</v>
      </c>
      <c r="H2336" s="24" t="s">
        <v>6676</v>
      </c>
      <c r="I2336" s="24" t="s">
        <v>6650</v>
      </c>
      <c r="J2336" s="24">
        <v>0.0</v>
      </c>
    </row>
    <row r="2337">
      <c r="A2337" s="24">
        <v>993.0</v>
      </c>
      <c r="B2337" s="24">
        <v>5.0</v>
      </c>
      <c r="C2337" s="44">
        <v>11.5</v>
      </c>
      <c r="D2337" s="46">
        <v>44980.0</v>
      </c>
      <c r="E2337" s="24">
        <v>2.3</v>
      </c>
      <c r="F2337" s="24">
        <v>11.58</v>
      </c>
      <c r="G2337" s="24">
        <v>0.5</v>
      </c>
      <c r="H2337" s="24" t="s">
        <v>6680</v>
      </c>
      <c r="I2337" s="24">
        <v>11.5</v>
      </c>
      <c r="J2337" s="24">
        <v>0.0</v>
      </c>
    </row>
    <row r="2338">
      <c r="A2338" s="24">
        <v>960.0</v>
      </c>
      <c r="B2338" s="24">
        <v>6.0</v>
      </c>
      <c r="C2338" s="44">
        <v>23.0</v>
      </c>
      <c r="D2338" s="46">
        <v>44980.0</v>
      </c>
      <c r="E2338" s="24">
        <v>3.83</v>
      </c>
      <c r="F2338" s="24">
        <v>23.96</v>
      </c>
      <c r="G2338" s="24">
        <v>0.62</v>
      </c>
      <c r="H2338" s="24" t="s">
        <v>6673</v>
      </c>
      <c r="I2338" s="24">
        <v>23.0</v>
      </c>
      <c r="J2338" s="24">
        <v>0.0</v>
      </c>
    </row>
    <row r="2339">
      <c r="A2339" s="24">
        <v>576.0</v>
      </c>
      <c r="B2339" s="24">
        <v>3.0</v>
      </c>
      <c r="C2339" s="44">
        <v>12.72</v>
      </c>
      <c r="D2339" s="46">
        <v>44980.0</v>
      </c>
      <c r="E2339" s="24">
        <v>4.24</v>
      </c>
      <c r="F2339" s="24">
        <v>22.08</v>
      </c>
      <c r="G2339" s="24">
        <v>0.52</v>
      </c>
      <c r="H2339" s="24" t="s">
        <v>6677</v>
      </c>
      <c r="I2339" s="24" t="s">
        <v>6650</v>
      </c>
      <c r="J2339" s="24">
        <v>0.0</v>
      </c>
    </row>
    <row r="2340">
      <c r="A2340" s="24">
        <v>1142.0</v>
      </c>
      <c r="B2340" s="24">
        <v>15.0</v>
      </c>
      <c r="C2340" s="44">
        <v>10.7</v>
      </c>
      <c r="D2340" s="46">
        <v>44981.0</v>
      </c>
      <c r="E2340" s="24">
        <v>0.71</v>
      </c>
      <c r="F2340" s="24">
        <v>9.37</v>
      </c>
      <c r="G2340" s="24">
        <v>1.31</v>
      </c>
      <c r="H2340" s="24" t="s">
        <v>6688</v>
      </c>
      <c r="I2340" s="24" t="s">
        <v>6650</v>
      </c>
      <c r="J2340" s="24">
        <v>0.0</v>
      </c>
    </row>
    <row r="2341">
      <c r="A2341" s="24">
        <v>406.0</v>
      </c>
      <c r="B2341" s="24">
        <v>7.0</v>
      </c>
      <c r="C2341" s="44">
        <v>11.93</v>
      </c>
      <c r="D2341" s="46">
        <v>44981.0</v>
      </c>
      <c r="E2341" s="24">
        <v>1.7</v>
      </c>
      <c r="F2341" s="24">
        <v>29.38</v>
      </c>
      <c r="G2341" s="24">
        <v>1.72</v>
      </c>
      <c r="H2341" s="24" t="s">
        <v>6677</v>
      </c>
      <c r="I2341" s="24">
        <v>11.93</v>
      </c>
      <c r="J2341" s="24">
        <v>0.0</v>
      </c>
    </row>
    <row r="2342">
      <c r="A2342" s="24">
        <v>426.0</v>
      </c>
      <c r="B2342" s="24">
        <v>4.0</v>
      </c>
      <c r="C2342" s="44">
        <v>10.82</v>
      </c>
      <c r="D2342" s="46">
        <v>44981.0</v>
      </c>
      <c r="E2342" s="24">
        <v>2.7</v>
      </c>
      <c r="F2342" s="24">
        <v>25.4</v>
      </c>
      <c r="G2342" s="24">
        <v>0.94</v>
      </c>
      <c r="H2342" s="24" t="s">
        <v>6689</v>
      </c>
      <c r="I2342" s="24">
        <v>10.82</v>
      </c>
      <c r="J2342" s="24">
        <v>0.0</v>
      </c>
    </row>
    <row r="2343">
      <c r="A2343" s="24">
        <v>1011.0</v>
      </c>
      <c r="B2343" s="24">
        <v>5.0</v>
      </c>
      <c r="C2343" s="44">
        <v>21.87</v>
      </c>
      <c r="D2343" s="46">
        <v>44981.0</v>
      </c>
      <c r="E2343" s="24">
        <v>4.37</v>
      </c>
      <c r="F2343" s="24">
        <v>21.63</v>
      </c>
      <c r="G2343" s="24">
        <v>0.49</v>
      </c>
      <c r="H2343" s="24" t="s">
        <v>6673</v>
      </c>
      <c r="I2343" s="24" t="s">
        <v>6650</v>
      </c>
      <c r="J2343" s="24">
        <v>0.0</v>
      </c>
    </row>
    <row r="2344">
      <c r="A2344" s="24">
        <v>0.0</v>
      </c>
      <c r="B2344" s="24">
        <v>0.0</v>
      </c>
      <c r="C2344" s="44"/>
      <c r="D2344" s="46">
        <v>44981.0</v>
      </c>
      <c r="E2344" s="24" t="s">
        <v>6650</v>
      </c>
      <c r="F2344" s="24" t="s">
        <v>6650</v>
      </c>
      <c r="G2344" s="24" t="s">
        <v>6650</v>
      </c>
      <c r="H2344" s="24" t="s">
        <v>6690</v>
      </c>
      <c r="I2344" s="24" t="s">
        <v>6650</v>
      </c>
      <c r="J2344" s="24"/>
    </row>
    <row r="2345">
      <c r="A2345" s="24">
        <v>453.0</v>
      </c>
      <c r="B2345" s="24">
        <v>1.0</v>
      </c>
      <c r="C2345" s="44">
        <v>19.45</v>
      </c>
      <c r="D2345" s="46">
        <v>44981.0</v>
      </c>
      <c r="E2345" s="24">
        <v>19.45</v>
      </c>
      <c r="F2345" s="24">
        <v>42.94</v>
      </c>
      <c r="G2345" s="24">
        <v>0.22</v>
      </c>
      <c r="H2345" s="24" t="s">
        <v>6676</v>
      </c>
      <c r="I2345" s="24" t="s">
        <v>6650</v>
      </c>
      <c r="J2345" s="24">
        <v>0.0</v>
      </c>
    </row>
    <row r="2346">
      <c r="A2346" s="24">
        <v>768.0</v>
      </c>
      <c r="B2346" s="24">
        <v>16.0</v>
      </c>
      <c r="C2346" s="44">
        <v>12.11</v>
      </c>
      <c r="D2346" s="46">
        <v>44981.0</v>
      </c>
      <c r="E2346" s="24">
        <v>0.76</v>
      </c>
      <c r="F2346" s="24">
        <v>15.77</v>
      </c>
      <c r="G2346" s="24">
        <v>2.08</v>
      </c>
      <c r="H2346" s="24" t="s">
        <v>6675</v>
      </c>
      <c r="I2346" s="24" t="s">
        <v>6650</v>
      </c>
      <c r="J2346" s="24">
        <v>0.0</v>
      </c>
    </row>
    <row r="2347">
      <c r="A2347" s="24">
        <v>985.0</v>
      </c>
      <c r="B2347" s="24">
        <v>4.0</v>
      </c>
      <c r="C2347" s="44">
        <v>12.85</v>
      </c>
      <c r="D2347" s="46">
        <v>44981.0</v>
      </c>
      <c r="E2347" s="24">
        <v>3.21</v>
      </c>
      <c r="F2347" s="24">
        <v>13.05</v>
      </c>
      <c r="G2347" s="24">
        <v>0.41</v>
      </c>
      <c r="H2347" s="24" t="s">
        <v>6680</v>
      </c>
      <c r="I2347" s="24" t="s">
        <v>6650</v>
      </c>
      <c r="J2347" s="24">
        <v>0.0</v>
      </c>
    </row>
    <row r="2348">
      <c r="A2348" s="24">
        <v>205.0</v>
      </c>
      <c r="B2348" s="24">
        <v>2.0</v>
      </c>
      <c r="C2348" s="44">
        <v>6.21</v>
      </c>
      <c r="D2348" s="46">
        <v>44982.0</v>
      </c>
      <c r="E2348" s="24">
        <v>3.1</v>
      </c>
      <c r="F2348" s="24">
        <v>30.29</v>
      </c>
      <c r="G2348" s="24">
        <v>0.98</v>
      </c>
      <c r="H2348" s="24" t="s">
        <v>6689</v>
      </c>
      <c r="I2348" s="24">
        <v>6.21</v>
      </c>
      <c r="J2348" s="24">
        <v>0.0</v>
      </c>
    </row>
    <row r="2349">
      <c r="A2349" s="24">
        <v>238.0</v>
      </c>
      <c r="B2349" s="24">
        <v>0.0</v>
      </c>
      <c r="C2349" s="44">
        <v>10.69</v>
      </c>
      <c r="D2349" s="46">
        <v>44982.0</v>
      </c>
      <c r="E2349" s="24" t="s">
        <v>6650</v>
      </c>
      <c r="F2349" s="24">
        <v>44.92</v>
      </c>
      <c r="G2349" s="24">
        <v>0.0</v>
      </c>
      <c r="H2349" s="24" t="s">
        <v>6676</v>
      </c>
      <c r="I2349" s="24" t="s">
        <v>6650</v>
      </c>
      <c r="J2349" s="24">
        <v>0.0</v>
      </c>
    </row>
    <row r="2350">
      <c r="A2350" s="24">
        <v>633.0</v>
      </c>
      <c r="B2350" s="24">
        <v>2.0</v>
      </c>
      <c r="C2350" s="44">
        <v>5.43</v>
      </c>
      <c r="D2350" s="46">
        <v>44982.0</v>
      </c>
      <c r="E2350" s="24">
        <v>2.72</v>
      </c>
      <c r="F2350" s="24">
        <v>8.58</v>
      </c>
      <c r="G2350" s="24">
        <v>0.32</v>
      </c>
      <c r="H2350" s="24" t="s">
        <v>6680</v>
      </c>
      <c r="I2350" s="24" t="s">
        <v>6650</v>
      </c>
      <c r="J2350" s="24">
        <v>0.0</v>
      </c>
    </row>
    <row r="2351">
      <c r="A2351" s="24">
        <v>367.0</v>
      </c>
      <c r="B2351" s="24">
        <v>7.0</v>
      </c>
      <c r="C2351" s="44">
        <v>7.02</v>
      </c>
      <c r="D2351" s="46">
        <v>44982.0</v>
      </c>
      <c r="E2351" s="24">
        <v>1.0</v>
      </c>
      <c r="F2351" s="24">
        <v>19.13</v>
      </c>
      <c r="G2351" s="24">
        <v>1.91</v>
      </c>
      <c r="H2351" s="24" t="s">
        <v>6675</v>
      </c>
      <c r="I2351" s="24" t="s">
        <v>6650</v>
      </c>
      <c r="J2351" s="24">
        <v>0.0</v>
      </c>
    </row>
    <row r="2352">
      <c r="A2352" s="24">
        <v>226.0</v>
      </c>
      <c r="B2352" s="24">
        <v>2.0</v>
      </c>
      <c r="C2352" s="44">
        <v>7.15</v>
      </c>
      <c r="D2352" s="46">
        <v>44982.0</v>
      </c>
      <c r="E2352" s="24">
        <v>3.58</v>
      </c>
      <c r="F2352" s="24">
        <v>31.64</v>
      </c>
      <c r="G2352" s="24">
        <v>0.88</v>
      </c>
      <c r="H2352" s="24" t="s">
        <v>6677</v>
      </c>
      <c r="I2352" s="24" t="s">
        <v>6650</v>
      </c>
      <c r="J2352" s="24">
        <v>0.0</v>
      </c>
    </row>
    <row r="2353">
      <c r="A2353" s="24">
        <v>784.0</v>
      </c>
      <c r="B2353" s="24">
        <v>8.0</v>
      </c>
      <c r="C2353" s="44">
        <v>7.24</v>
      </c>
      <c r="D2353" s="46">
        <v>44982.0</v>
      </c>
      <c r="E2353" s="24">
        <v>0.9</v>
      </c>
      <c r="F2353" s="24">
        <v>9.23</v>
      </c>
      <c r="G2353" s="24">
        <v>1.02</v>
      </c>
      <c r="H2353" s="24" t="s">
        <v>6688</v>
      </c>
      <c r="I2353" s="24" t="s">
        <v>6650</v>
      </c>
      <c r="J2353" s="24">
        <v>0.0</v>
      </c>
    </row>
    <row r="2354">
      <c r="A2354" s="24">
        <v>530.0</v>
      </c>
      <c r="B2354" s="24">
        <v>3.0</v>
      </c>
      <c r="C2354" s="44">
        <v>11.83</v>
      </c>
      <c r="D2354" s="46">
        <v>44982.0</v>
      </c>
      <c r="E2354" s="24">
        <v>3.94</v>
      </c>
      <c r="F2354" s="24">
        <v>22.32</v>
      </c>
      <c r="G2354" s="24">
        <v>0.57</v>
      </c>
      <c r="H2354" s="24" t="s">
        <v>6673</v>
      </c>
      <c r="I2354" s="24" t="s">
        <v>6650</v>
      </c>
      <c r="J2354" s="24">
        <v>0.0</v>
      </c>
    </row>
    <row r="2355">
      <c r="A2355" s="24">
        <v>288.0</v>
      </c>
      <c r="B2355" s="24">
        <v>2.0</v>
      </c>
      <c r="C2355" s="44">
        <v>10.2</v>
      </c>
      <c r="D2355" s="46">
        <v>44983.0</v>
      </c>
      <c r="E2355" s="24">
        <v>5.1</v>
      </c>
      <c r="F2355" s="24">
        <v>35.42</v>
      </c>
      <c r="G2355" s="24">
        <v>0.69</v>
      </c>
      <c r="H2355" s="24" t="s">
        <v>6673</v>
      </c>
      <c r="I2355" s="24">
        <v>10.2</v>
      </c>
      <c r="J2355" s="24">
        <v>0.0</v>
      </c>
    </row>
    <row r="2356">
      <c r="A2356" s="24">
        <v>326.0</v>
      </c>
      <c r="B2356" s="24">
        <v>2.0</v>
      </c>
      <c r="C2356" s="44">
        <v>6.35</v>
      </c>
      <c r="D2356" s="46">
        <v>44983.0</v>
      </c>
      <c r="E2356" s="24">
        <v>3.18</v>
      </c>
      <c r="F2356" s="24">
        <v>19.48</v>
      </c>
      <c r="G2356" s="24">
        <v>0.61</v>
      </c>
      <c r="H2356" s="24" t="s">
        <v>6680</v>
      </c>
      <c r="I2356" s="24">
        <v>6.35</v>
      </c>
      <c r="J2356" s="24">
        <v>0.0</v>
      </c>
    </row>
    <row r="2357">
      <c r="A2357" s="24">
        <v>449.0</v>
      </c>
      <c r="B2357" s="24">
        <v>13.0</v>
      </c>
      <c r="C2357" s="44">
        <v>6.75</v>
      </c>
      <c r="D2357" s="46">
        <v>44983.0</v>
      </c>
      <c r="E2357" s="24">
        <v>0.52</v>
      </c>
      <c r="F2357" s="24">
        <v>15.03</v>
      </c>
      <c r="G2357" s="24">
        <v>2.9</v>
      </c>
      <c r="H2357" s="24" t="s">
        <v>6675</v>
      </c>
      <c r="I2357" s="24" t="s">
        <v>6650</v>
      </c>
      <c r="J2357" s="24">
        <v>0.0</v>
      </c>
    </row>
    <row r="2358">
      <c r="A2358" s="24">
        <v>81.0</v>
      </c>
      <c r="B2358" s="24">
        <v>0.0</v>
      </c>
      <c r="C2358" s="44">
        <v>9.56</v>
      </c>
      <c r="D2358" s="46">
        <v>44983.0</v>
      </c>
      <c r="E2358" s="24" t="s">
        <v>6650</v>
      </c>
      <c r="F2358" s="24">
        <v>118.02</v>
      </c>
      <c r="G2358" s="24">
        <v>0.0</v>
      </c>
      <c r="H2358" s="24" t="s">
        <v>6676</v>
      </c>
      <c r="I2358" s="24" t="s">
        <v>6650</v>
      </c>
      <c r="J2358" s="24">
        <v>0.0</v>
      </c>
    </row>
    <row r="2359">
      <c r="A2359" s="24">
        <v>185.0</v>
      </c>
      <c r="B2359" s="24">
        <v>1.0</v>
      </c>
      <c r="C2359" s="44">
        <v>6.77</v>
      </c>
      <c r="D2359" s="46">
        <v>44983.0</v>
      </c>
      <c r="E2359" s="24">
        <v>6.77</v>
      </c>
      <c r="F2359" s="24">
        <v>36.59</v>
      </c>
      <c r="G2359" s="24">
        <v>0.54</v>
      </c>
      <c r="H2359" s="24" t="s">
        <v>6677</v>
      </c>
      <c r="I2359" s="24" t="s">
        <v>6650</v>
      </c>
      <c r="J2359" s="24">
        <v>0.0</v>
      </c>
    </row>
    <row r="2360">
      <c r="A2360" s="24">
        <v>616.0</v>
      </c>
      <c r="B2360" s="24">
        <v>2.0</v>
      </c>
      <c r="C2360" s="44">
        <v>6.87</v>
      </c>
      <c r="D2360" s="46">
        <v>44983.0</v>
      </c>
      <c r="E2360" s="24">
        <v>3.44</v>
      </c>
      <c r="F2360" s="24">
        <v>11.15</v>
      </c>
      <c r="G2360" s="24">
        <v>0.32</v>
      </c>
      <c r="H2360" s="24" t="s">
        <v>6688</v>
      </c>
      <c r="I2360" s="24">
        <v>6.87</v>
      </c>
      <c r="J2360" s="24">
        <v>0.0</v>
      </c>
    </row>
    <row r="2361">
      <c r="A2361" s="24">
        <v>165.0</v>
      </c>
      <c r="B2361" s="24">
        <v>1.0</v>
      </c>
      <c r="C2361" s="44">
        <v>4.86</v>
      </c>
      <c r="D2361" s="46">
        <v>44983.0</v>
      </c>
      <c r="E2361" s="24">
        <v>4.86</v>
      </c>
      <c r="F2361" s="24">
        <v>29.45</v>
      </c>
      <c r="G2361" s="24">
        <v>0.61</v>
      </c>
      <c r="H2361" s="24" t="s">
        <v>6689</v>
      </c>
      <c r="I2361" s="24" t="s">
        <v>6650</v>
      </c>
      <c r="J2361" s="24">
        <v>0.0</v>
      </c>
    </row>
    <row r="2362">
      <c r="A2362" s="24">
        <v>352.0</v>
      </c>
      <c r="B2362" s="24">
        <v>4.0</v>
      </c>
      <c r="C2362" s="44">
        <v>11.25</v>
      </c>
      <c r="D2362" s="46">
        <v>44984.0</v>
      </c>
      <c r="E2362" s="24">
        <v>2.81</v>
      </c>
      <c r="F2362" s="24">
        <v>31.96</v>
      </c>
      <c r="G2362" s="24">
        <v>1.14</v>
      </c>
      <c r="H2362" s="24" t="s">
        <v>6689</v>
      </c>
      <c r="I2362" s="24" t="s">
        <v>6650</v>
      </c>
      <c r="J2362" s="24">
        <v>0.0</v>
      </c>
    </row>
    <row r="2363">
      <c r="A2363" s="24">
        <v>420.0</v>
      </c>
      <c r="B2363" s="24">
        <v>0.0</v>
      </c>
      <c r="C2363" s="44">
        <v>17.28</v>
      </c>
      <c r="D2363" s="46">
        <v>44984.0</v>
      </c>
      <c r="E2363" s="24" t="s">
        <v>6650</v>
      </c>
      <c r="F2363" s="24">
        <v>41.14</v>
      </c>
      <c r="G2363" s="24">
        <v>0.0</v>
      </c>
      <c r="H2363" s="24" t="s">
        <v>6676</v>
      </c>
      <c r="I2363" s="24" t="s">
        <v>6650</v>
      </c>
      <c r="J2363" s="24">
        <v>0.0</v>
      </c>
    </row>
    <row r="2364">
      <c r="A2364" s="24">
        <v>1066.0</v>
      </c>
      <c r="B2364" s="24">
        <v>6.0</v>
      </c>
      <c r="C2364" s="44">
        <v>11.87</v>
      </c>
      <c r="D2364" s="46">
        <v>44984.0</v>
      </c>
      <c r="E2364" s="24">
        <v>1.98</v>
      </c>
      <c r="F2364" s="24">
        <v>11.14</v>
      </c>
      <c r="G2364" s="24">
        <v>0.56</v>
      </c>
      <c r="H2364" s="24" t="s">
        <v>6688</v>
      </c>
      <c r="I2364" s="24">
        <v>11.87</v>
      </c>
      <c r="J2364" s="24">
        <v>0.0</v>
      </c>
    </row>
    <row r="2365">
      <c r="A2365" s="24">
        <v>589.0</v>
      </c>
      <c r="B2365" s="24">
        <v>3.0</v>
      </c>
      <c r="C2365" s="44">
        <v>12.95</v>
      </c>
      <c r="D2365" s="46">
        <v>44984.0</v>
      </c>
      <c r="E2365" s="24">
        <v>4.32</v>
      </c>
      <c r="F2365" s="24">
        <v>21.99</v>
      </c>
      <c r="G2365" s="24">
        <v>0.51</v>
      </c>
      <c r="H2365" s="24" t="s">
        <v>6677</v>
      </c>
      <c r="I2365" s="24">
        <v>12.95</v>
      </c>
      <c r="J2365" s="24">
        <v>0.0</v>
      </c>
    </row>
    <row r="2366">
      <c r="A2366" s="24">
        <v>1040.0</v>
      </c>
      <c r="B2366" s="24">
        <v>4.0</v>
      </c>
      <c r="C2366" s="44">
        <v>13.95</v>
      </c>
      <c r="D2366" s="46">
        <v>44984.0</v>
      </c>
      <c r="E2366" s="24">
        <v>3.49</v>
      </c>
      <c r="F2366" s="24">
        <v>13.41</v>
      </c>
      <c r="G2366" s="24">
        <v>0.38</v>
      </c>
      <c r="H2366" s="24" t="s">
        <v>6680</v>
      </c>
      <c r="I2366" s="24" t="s">
        <v>6650</v>
      </c>
      <c r="J2366" s="24">
        <v>0.0</v>
      </c>
    </row>
    <row r="2367">
      <c r="A2367" s="24">
        <v>872.0</v>
      </c>
      <c r="B2367" s="24">
        <v>5.0</v>
      </c>
      <c r="C2367" s="44">
        <v>20.31</v>
      </c>
      <c r="D2367" s="46">
        <v>44984.0</v>
      </c>
      <c r="E2367" s="24">
        <v>4.06</v>
      </c>
      <c r="F2367" s="24">
        <v>23.29</v>
      </c>
      <c r="G2367" s="24">
        <v>0.57</v>
      </c>
      <c r="H2367" s="24" t="s">
        <v>6673</v>
      </c>
      <c r="I2367" s="24" t="s">
        <v>6650</v>
      </c>
      <c r="J2367" s="24">
        <v>0.0</v>
      </c>
    </row>
    <row r="2368">
      <c r="A2368" s="24">
        <v>1005.0</v>
      </c>
      <c r="B2368" s="24">
        <v>6.0</v>
      </c>
      <c r="C2368" s="44">
        <v>13.14</v>
      </c>
      <c r="D2368" s="46">
        <v>44984.0</v>
      </c>
      <c r="E2368" s="24">
        <v>2.19</v>
      </c>
      <c r="F2368" s="24">
        <v>13.07</v>
      </c>
      <c r="G2368" s="24">
        <v>0.6</v>
      </c>
      <c r="H2368" s="24" t="s">
        <v>6675</v>
      </c>
      <c r="I2368" s="24" t="s">
        <v>6650</v>
      </c>
      <c r="J2368" s="24">
        <v>0.0</v>
      </c>
    </row>
    <row r="2369">
      <c r="A2369" s="24">
        <v>213.0</v>
      </c>
      <c r="B2369" s="24">
        <v>2.0</v>
      </c>
      <c r="C2369" s="44">
        <v>5.81</v>
      </c>
      <c r="D2369" s="46">
        <v>44985.0</v>
      </c>
      <c r="E2369" s="24">
        <v>2.9</v>
      </c>
      <c r="F2369" s="24">
        <v>27.28</v>
      </c>
      <c r="G2369" s="24">
        <v>0.94</v>
      </c>
      <c r="H2369" s="24" t="s">
        <v>6689</v>
      </c>
      <c r="I2369" s="24" t="s">
        <v>6650</v>
      </c>
      <c r="J2369" s="24">
        <v>0.0</v>
      </c>
    </row>
    <row r="2370">
      <c r="A2370" s="24">
        <v>189.0</v>
      </c>
      <c r="B2370" s="24">
        <v>0.0</v>
      </c>
      <c r="C2370" s="44">
        <v>5.0</v>
      </c>
      <c r="D2370" s="46">
        <v>44985.0</v>
      </c>
      <c r="E2370" s="24" t="s">
        <v>6650</v>
      </c>
      <c r="F2370" s="24">
        <v>26.46</v>
      </c>
      <c r="G2370" s="24">
        <v>0.0</v>
      </c>
      <c r="H2370" s="24" t="s">
        <v>6677</v>
      </c>
      <c r="I2370" s="24" t="s">
        <v>6650</v>
      </c>
      <c r="J2370" s="24">
        <v>0.0</v>
      </c>
    </row>
    <row r="2371">
      <c r="A2371" s="24">
        <v>183.0</v>
      </c>
      <c r="B2371" s="24">
        <v>2.0</v>
      </c>
      <c r="C2371" s="44">
        <v>4.85</v>
      </c>
      <c r="D2371" s="46">
        <v>44985.0</v>
      </c>
      <c r="E2371" s="24">
        <v>2.42</v>
      </c>
      <c r="F2371" s="24">
        <v>26.5</v>
      </c>
      <c r="G2371" s="24">
        <v>1.09</v>
      </c>
      <c r="H2371" s="24" t="s">
        <v>6673</v>
      </c>
      <c r="I2371" s="24" t="s">
        <v>6650</v>
      </c>
      <c r="J2371" s="24">
        <v>0.0</v>
      </c>
    </row>
    <row r="2372">
      <c r="A2372" s="24">
        <v>412.0</v>
      </c>
      <c r="B2372" s="24">
        <v>3.0</v>
      </c>
      <c r="C2372" s="44">
        <v>5.43</v>
      </c>
      <c r="D2372" s="46">
        <v>44985.0</v>
      </c>
      <c r="E2372" s="24">
        <v>1.81</v>
      </c>
      <c r="F2372" s="24">
        <v>13.18</v>
      </c>
      <c r="G2372" s="24">
        <v>0.73</v>
      </c>
      <c r="H2372" s="24" t="s">
        <v>6680</v>
      </c>
      <c r="I2372" s="24" t="s">
        <v>6650</v>
      </c>
      <c r="J2372" s="24">
        <v>0.0</v>
      </c>
    </row>
    <row r="2373">
      <c r="A2373" s="24">
        <v>127.0</v>
      </c>
      <c r="B2373" s="24">
        <v>1.0</v>
      </c>
      <c r="C2373" s="44">
        <v>6.33</v>
      </c>
      <c r="D2373" s="46">
        <v>44985.0</v>
      </c>
      <c r="E2373" s="24">
        <v>6.33</v>
      </c>
      <c r="F2373" s="24">
        <v>49.84</v>
      </c>
      <c r="G2373" s="24">
        <v>0.79</v>
      </c>
      <c r="H2373" s="24" t="s">
        <v>6676</v>
      </c>
      <c r="I2373" s="24" t="s">
        <v>6650</v>
      </c>
      <c r="J2373" s="24">
        <v>0.0</v>
      </c>
    </row>
    <row r="2374">
      <c r="A2374" s="24">
        <v>239.0</v>
      </c>
      <c r="B2374" s="24">
        <v>1.0</v>
      </c>
      <c r="C2374" s="44">
        <v>5.23</v>
      </c>
      <c r="D2374" s="46">
        <v>44985.0</v>
      </c>
      <c r="E2374" s="24">
        <v>5.23</v>
      </c>
      <c r="F2374" s="24">
        <v>21.88</v>
      </c>
      <c r="G2374" s="24">
        <v>0.42</v>
      </c>
      <c r="H2374" s="24" t="s">
        <v>6675</v>
      </c>
      <c r="I2374" s="24" t="s">
        <v>6650</v>
      </c>
      <c r="J2374" s="24">
        <v>0.0</v>
      </c>
    </row>
    <row r="2375">
      <c r="A2375" s="24">
        <v>562.0</v>
      </c>
      <c r="B2375" s="24">
        <v>10.0</v>
      </c>
      <c r="C2375" s="44">
        <v>3.63</v>
      </c>
      <c r="D2375" s="46">
        <v>44985.0</v>
      </c>
      <c r="E2375" s="24">
        <v>0.36</v>
      </c>
      <c r="F2375" s="24">
        <v>6.46</v>
      </c>
      <c r="G2375" s="24">
        <v>1.78</v>
      </c>
      <c r="H2375" s="24" t="s">
        <v>6688</v>
      </c>
      <c r="I2375" s="24" t="s">
        <v>6650</v>
      </c>
      <c r="J2375" s="24">
        <v>0.0</v>
      </c>
    </row>
    <row r="2376">
      <c r="A2376" s="24">
        <v>838.0</v>
      </c>
      <c r="B2376" s="24">
        <v>2.0</v>
      </c>
      <c r="C2376" s="44">
        <v>26.81</v>
      </c>
      <c r="D2376" s="46">
        <v>44986.0</v>
      </c>
      <c r="E2376" s="24">
        <v>13.4</v>
      </c>
      <c r="F2376" s="24">
        <v>31.99</v>
      </c>
      <c r="G2376" s="24">
        <v>0.24</v>
      </c>
      <c r="H2376" s="24" t="s">
        <v>6673</v>
      </c>
      <c r="I2376" s="24" t="s">
        <v>6650</v>
      </c>
      <c r="J2376" s="24">
        <v>0.0</v>
      </c>
    </row>
    <row r="2377">
      <c r="A2377" s="24">
        <v>101.0</v>
      </c>
      <c r="B2377" s="24">
        <v>2.0</v>
      </c>
      <c r="C2377" s="44">
        <v>2.5</v>
      </c>
      <c r="D2377" s="46">
        <v>44986.0</v>
      </c>
      <c r="E2377" s="24">
        <v>1.25</v>
      </c>
      <c r="F2377" s="24">
        <v>24.75</v>
      </c>
      <c r="G2377" s="24">
        <v>1.98</v>
      </c>
      <c r="H2377" s="24" t="s">
        <v>6688</v>
      </c>
      <c r="I2377" s="24" t="s">
        <v>6650</v>
      </c>
      <c r="J2377" s="24">
        <v>0.0</v>
      </c>
    </row>
    <row r="2378">
      <c r="A2378" s="24">
        <v>412.0</v>
      </c>
      <c r="B2378" s="24">
        <v>3.0</v>
      </c>
      <c r="C2378" s="44">
        <v>12.97</v>
      </c>
      <c r="D2378" s="46">
        <v>44986.0</v>
      </c>
      <c r="E2378" s="24">
        <v>4.32</v>
      </c>
      <c r="F2378" s="24">
        <v>31.48</v>
      </c>
      <c r="G2378" s="24">
        <v>0.73</v>
      </c>
      <c r="H2378" s="24" t="s">
        <v>6689</v>
      </c>
      <c r="I2378" s="24" t="s">
        <v>6650</v>
      </c>
      <c r="J2378" s="24">
        <v>0.0</v>
      </c>
    </row>
    <row r="2379">
      <c r="A2379" s="24">
        <v>410.0</v>
      </c>
      <c r="B2379" s="24">
        <v>2.0</v>
      </c>
      <c r="C2379" s="44">
        <v>21.65</v>
      </c>
      <c r="D2379" s="46">
        <v>44986.0</v>
      </c>
      <c r="E2379" s="24">
        <v>10.82</v>
      </c>
      <c r="F2379" s="24">
        <v>52.8</v>
      </c>
      <c r="G2379" s="24">
        <v>0.49</v>
      </c>
      <c r="H2379" s="24" t="s">
        <v>6676</v>
      </c>
      <c r="I2379" s="24" t="s">
        <v>6650</v>
      </c>
      <c r="J2379" s="24">
        <v>0.0</v>
      </c>
    </row>
    <row r="2380">
      <c r="A2380" s="24">
        <v>444.0</v>
      </c>
      <c r="B2380" s="24">
        <v>2.0</v>
      </c>
      <c r="C2380" s="44">
        <v>13.86</v>
      </c>
      <c r="D2380" s="46">
        <v>44986.0</v>
      </c>
      <c r="E2380" s="24">
        <v>6.93</v>
      </c>
      <c r="F2380" s="24">
        <v>31.22</v>
      </c>
      <c r="G2380" s="24">
        <v>0.45</v>
      </c>
      <c r="H2380" s="24" t="s">
        <v>6680</v>
      </c>
      <c r="I2380" s="24">
        <v>4.62</v>
      </c>
      <c r="J2380" s="24">
        <v>0.0</v>
      </c>
    </row>
    <row r="2381">
      <c r="A2381" s="24">
        <v>816.0</v>
      </c>
      <c r="B2381" s="24">
        <v>9.0</v>
      </c>
      <c r="C2381" s="44">
        <v>14.84</v>
      </c>
      <c r="D2381" s="46">
        <v>44986.0</v>
      </c>
      <c r="E2381" s="24">
        <v>1.65</v>
      </c>
      <c r="F2381" s="24">
        <v>18.19</v>
      </c>
      <c r="G2381" s="24">
        <v>1.1</v>
      </c>
      <c r="H2381" s="24" t="s">
        <v>6675</v>
      </c>
      <c r="I2381" s="24" t="s">
        <v>6650</v>
      </c>
      <c r="J2381" s="24">
        <v>0.0</v>
      </c>
    </row>
    <row r="2382">
      <c r="A2382" s="24">
        <v>68.0</v>
      </c>
      <c r="B2382" s="24">
        <v>13.0</v>
      </c>
      <c r="C2382" s="44">
        <v>0.75</v>
      </c>
      <c r="D2382" s="46">
        <v>44986.0</v>
      </c>
      <c r="E2382" s="24">
        <v>0.06</v>
      </c>
      <c r="F2382" s="24">
        <v>11.03</v>
      </c>
      <c r="G2382" s="24">
        <v>19.12</v>
      </c>
      <c r="H2382" s="24" t="s">
        <v>6691</v>
      </c>
      <c r="I2382" s="24">
        <v>0.06</v>
      </c>
      <c r="J2382" s="24">
        <v>0.0</v>
      </c>
    </row>
    <row r="2383">
      <c r="A2383" s="24">
        <v>653.0</v>
      </c>
      <c r="B2383" s="24">
        <v>9.0</v>
      </c>
      <c r="C2383" s="44">
        <v>11.84</v>
      </c>
      <c r="D2383" s="46">
        <v>44986.0</v>
      </c>
      <c r="E2383" s="24">
        <v>1.32</v>
      </c>
      <c r="F2383" s="24">
        <v>18.13</v>
      </c>
      <c r="G2383" s="24">
        <v>1.38</v>
      </c>
      <c r="H2383" s="24" t="s">
        <v>6692</v>
      </c>
      <c r="I2383" s="24">
        <v>5.92</v>
      </c>
      <c r="J2383" s="24">
        <v>0.0</v>
      </c>
    </row>
    <row r="2384">
      <c r="A2384" s="24">
        <v>313.0</v>
      </c>
      <c r="B2384" s="24">
        <v>2.0</v>
      </c>
      <c r="C2384" s="44">
        <v>15.23</v>
      </c>
      <c r="D2384" s="46">
        <v>44986.0</v>
      </c>
      <c r="E2384" s="24">
        <v>7.62</v>
      </c>
      <c r="F2384" s="24">
        <v>48.66</v>
      </c>
      <c r="G2384" s="24">
        <v>0.64</v>
      </c>
      <c r="H2384" s="24" t="s">
        <v>6677</v>
      </c>
      <c r="I2384" s="24">
        <v>15.23</v>
      </c>
      <c r="J2384" s="24">
        <v>0.0</v>
      </c>
    </row>
    <row r="2385">
      <c r="A2385" s="24">
        <v>71.0</v>
      </c>
      <c r="B2385" s="24">
        <v>15.0</v>
      </c>
      <c r="C2385" s="44">
        <v>0.8</v>
      </c>
      <c r="D2385" s="46">
        <v>44986.0</v>
      </c>
      <c r="E2385" s="24">
        <v>0.05</v>
      </c>
      <c r="F2385" s="24">
        <v>11.27</v>
      </c>
      <c r="G2385" s="24">
        <v>21.13</v>
      </c>
      <c r="H2385" s="24" t="s">
        <v>6693</v>
      </c>
      <c r="I2385" s="24">
        <v>0.07</v>
      </c>
      <c r="J2385" s="24">
        <v>0.0</v>
      </c>
    </row>
    <row r="2386">
      <c r="A2386" s="24">
        <v>80.0</v>
      </c>
      <c r="B2386" s="24">
        <v>0.0</v>
      </c>
      <c r="C2386" s="44">
        <v>24.23</v>
      </c>
      <c r="D2386" s="46">
        <v>44987.0</v>
      </c>
      <c r="E2386" s="24" t="s">
        <v>6650</v>
      </c>
      <c r="F2386" s="24">
        <v>302.88</v>
      </c>
      <c r="G2386" s="24">
        <v>0.0</v>
      </c>
      <c r="H2386" s="24" t="s">
        <v>6676</v>
      </c>
      <c r="I2386" s="24">
        <v>12.12</v>
      </c>
      <c r="J2386" s="24">
        <v>0.0</v>
      </c>
    </row>
    <row r="2387">
      <c r="A2387" s="24">
        <v>769.0</v>
      </c>
      <c r="B2387" s="24">
        <v>2.0</v>
      </c>
      <c r="C2387" s="44">
        <v>13.22</v>
      </c>
      <c r="D2387" s="46">
        <v>44987.0</v>
      </c>
      <c r="E2387" s="24">
        <v>6.61</v>
      </c>
      <c r="F2387" s="24">
        <v>17.19</v>
      </c>
      <c r="G2387" s="24">
        <v>0.26</v>
      </c>
      <c r="H2387" s="24" t="s">
        <v>6689</v>
      </c>
      <c r="I2387" s="24" t="s">
        <v>6650</v>
      </c>
      <c r="J2387" s="24">
        <v>0.0</v>
      </c>
    </row>
    <row r="2388">
      <c r="A2388" s="24">
        <v>0.0</v>
      </c>
      <c r="B2388" s="24">
        <v>0.0</v>
      </c>
      <c r="C2388" s="44"/>
      <c r="D2388" s="46">
        <v>44987.0</v>
      </c>
      <c r="E2388" s="24" t="s">
        <v>6650</v>
      </c>
      <c r="F2388" s="24" t="s">
        <v>6650</v>
      </c>
      <c r="G2388" s="24" t="s">
        <v>6650</v>
      </c>
      <c r="H2388" s="24" t="s">
        <v>6690</v>
      </c>
      <c r="I2388" s="24" t="s">
        <v>6650</v>
      </c>
      <c r="J2388" s="24"/>
    </row>
    <row r="2389">
      <c r="A2389" s="24">
        <v>133.0</v>
      </c>
      <c r="B2389" s="24">
        <v>2.0</v>
      </c>
      <c r="C2389" s="44">
        <v>15.0</v>
      </c>
      <c r="D2389" s="46">
        <v>44987.0</v>
      </c>
      <c r="E2389" s="24">
        <v>7.5</v>
      </c>
      <c r="F2389" s="24">
        <v>112.78</v>
      </c>
      <c r="G2389" s="24">
        <v>1.5</v>
      </c>
      <c r="H2389" s="24" t="s">
        <v>6688</v>
      </c>
      <c r="I2389" s="24" t="s">
        <v>6650</v>
      </c>
      <c r="J2389" s="24">
        <v>0.0</v>
      </c>
    </row>
    <row r="2390">
      <c r="A2390" s="24">
        <v>101.0</v>
      </c>
      <c r="B2390" s="24">
        <v>1.0</v>
      </c>
      <c r="C2390" s="44">
        <v>28.5</v>
      </c>
      <c r="D2390" s="46">
        <v>44987.0</v>
      </c>
      <c r="E2390" s="24">
        <v>28.5</v>
      </c>
      <c r="F2390" s="24">
        <v>282.18</v>
      </c>
      <c r="G2390" s="24">
        <v>0.99</v>
      </c>
      <c r="H2390" s="24" t="s">
        <v>6673</v>
      </c>
      <c r="I2390" s="24" t="s">
        <v>6650</v>
      </c>
      <c r="J2390" s="24">
        <v>0.0</v>
      </c>
    </row>
    <row r="2391">
      <c r="A2391" s="24">
        <v>1146.0</v>
      </c>
      <c r="B2391" s="24">
        <v>19.0</v>
      </c>
      <c r="C2391" s="44">
        <v>15.19</v>
      </c>
      <c r="D2391" s="46">
        <v>44987.0</v>
      </c>
      <c r="E2391" s="24">
        <v>0.8</v>
      </c>
      <c r="F2391" s="24">
        <v>13.25</v>
      </c>
      <c r="G2391" s="24">
        <v>1.66</v>
      </c>
      <c r="H2391" s="24" t="s">
        <v>6675</v>
      </c>
      <c r="I2391" s="24" t="s">
        <v>6650</v>
      </c>
      <c r="J2391" s="24">
        <v>0.0</v>
      </c>
    </row>
    <row r="2392">
      <c r="A2392" s="24">
        <v>549.0</v>
      </c>
      <c r="B2392" s="24">
        <v>2.0</v>
      </c>
      <c r="C2392" s="44">
        <v>15.77</v>
      </c>
      <c r="D2392" s="46">
        <v>44987.0</v>
      </c>
      <c r="E2392" s="24">
        <v>7.88</v>
      </c>
      <c r="F2392" s="24">
        <v>28.72</v>
      </c>
      <c r="G2392" s="24">
        <v>0.36</v>
      </c>
      <c r="H2392" s="24" t="s">
        <v>6680</v>
      </c>
      <c r="I2392" s="24">
        <v>2.25</v>
      </c>
      <c r="J2392" s="24">
        <v>0.0</v>
      </c>
    </row>
    <row r="2393">
      <c r="A2393" s="24">
        <v>513.0</v>
      </c>
      <c r="B2393" s="24">
        <v>6.0</v>
      </c>
      <c r="C2393" s="44">
        <v>15.62</v>
      </c>
      <c r="D2393" s="46">
        <v>44987.0</v>
      </c>
      <c r="E2393" s="24">
        <v>2.6</v>
      </c>
      <c r="F2393" s="24">
        <v>30.45</v>
      </c>
      <c r="G2393" s="24">
        <v>1.17</v>
      </c>
      <c r="H2393" s="24" t="s">
        <v>6677</v>
      </c>
      <c r="I2393" s="24" t="s">
        <v>6650</v>
      </c>
      <c r="J2393" s="24">
        <v>0.0</v>
      </c>
    </row>
    <row r="2394">
      <c r="A2394" s="24">
        <v>308.0</v>
      </c>
      <c r="B2394" s="24">
        <v>28.0</v>
      </c>
      <c r="C2394" s="44">
        <v>14.78</v>
      </c>
      <c r="D2394" s="46">
        <v>44987.0</v>
      </c>
      <c r="E2394" s="24">
        <v>0.53</v>
      </c>
      <c r="F2394" s="24">
        <v>47.99</v>
      </c>
      <c r="G2394" s="24">
        <v>9.09</v>
      </c>
      <c r="H2394" s="24" t="s">
        <v>6693</v>
      </c>
      <c r="I2394" s="24">
        <v>0.78</v>
      </c>
      <c r="J2394" s="24">
        <v>0.0</v>
      </c>
    </row>
    <row r="2395">
      <c r="A2395" s="24">
        <v>466.0</v>
      </c>
      <c r="B2395" s="24">
        <v>6.0</v>
      </c>
      <c r="C2395" s="44">
        <v>11.34</v>
      </c>
      <c r="D2395" s="46">
        <v>44987.0</v>
      </c>
      <c r="E2395" s="24">
        <v>1.89</v>
      </c>
      <c r="F2395" s="24">
        <v>24.33</v>
      </c>
      <c r="G2395" s="24">
        <v>1.29</v>
      </c>
      <c r="H2395" s="24" t="s">
        <v>6692</v>
      </c>
      <c r="I2395" s="24" t="s">
        <v>6650</v>
      </c>
      <c r="J2395" s="24">
        <v>2.0</v>
      </c>
    </row>
    <row r="2396">
      <c r="A2396" s="24">
        <v>214.0</v>
      </c>
      <c r="B2396" s="24">
        <v>29.0</v>
      </c>
      <c r="C2396" s="44">
        <v>15.64</v>
      </c>
      <c r="D2396" s="46">
        <v>44987.0</v>
      </c>
      <c r="E2396" s="24">
        <v>0.54</v>
      </c>
      <c r="F2396" s="24">
        <v>73.08</v>
      </c>
      <c r="G2396" s="24">
        <v>13.55</v>
      </c>
      <c r="H2396" s="24" t="s">
        <v>6691</v>
      </c>
      <c r="I2396" s="24">
        <v>1.74</v>
      </c>
      <c r="J2396" s="24">
        <v>0.0</v>
      </c>
    </row>
    <row r="2397">
      <c r="A2397" s="24">
        <v>0.0</v>
      </c>
      <c r="B2397" s="24">
        <v>0.0</v>
      </c>
      <c r="C2397" s="44"/>
      <c r="D2397" s="46">
        <v>44987.0</v>
      </c>
      <c r="E2397" s="24" t="s">
        <v>6650</v>
      </c>
      <c r="F2397" s="24" t="s">
        <v>6650</v>
      </c>
      <c r="G2397" s="24" t="s">
        <v>6650</v>
      </c>
      <c r="H2397" s="24" t="s">
        <v>6687</v>
      </c>
      <c r="I2397" s="24" t="s">
        <v>6650</v>
      </c>
      <c r="J2397" s="24"/>
    </row>
    <row r="2398">
      <c r="A2398" s="24">
        <v>192.0</v>
      </c>
      <c r="B2398" s="24">
        <v>13.0</v>
      </c>
      <c r="C2398" s="44">
        <v>15.3</v>
      </c>
      <c r="D2398" s="46">
        <v>44988.0</v>
      </c>
      <c r="E2398" s="24">
        <v>1.18</v>
      </c>
      <c r="F2398" s="24">
        <v>79.69</v>
      </c>
      <c r="G2398" s="24">
        <v>6.77</v>
      </c>
      <c r="H2398" s="24" t="s">
        <v>6691</v>
      </c>
      <c r="I2398" s="24">
        <v>3.82</v>
      </c>
      <c r="J2398" s="24">
        <v>0.0</v>
      </c>
    </row>
    <row r="2399">
      <c r="A2399" s="24">
        <v>271.0</v>
      </c>
      <c r="B2399" s="24">
        <v>14.0</v>
      </c>
      <c r="C2399" s="44">
        <v>16.06</v>
      </c>
      <c r="D2399" s="46">
        <v>44988.0</v>
      </c>
      <c r="E2399" s="24">
        <v>1.15</v>
      </c>
      <c r="F2399" s="24">
        <v>59.26</v>
      </c>
      <c r="G2399" s="24">
        <v>5.17</v>
      </c>
      <c r="H2399" s="24" t="s">
        <v>6693</v>
      </c>
      <c r="I2399" s="24">
        <v>1.46</v>
      </c>
      <c r="J2399" s="24">
        <v>0.0</v>
      </c>
    </row>
    <row r="2400">
      <c r="A2400" s="24">
        <v>84.0</v>
      </c>
      <c r="B2400" s="24">
        <v>3.0</v>
      </c>
      <c r="C2400" s="44">
        <v>26.91</v>
      </c>
      <c r="D2400" s="46">
        <v>44988.0</v>
      </c>
      <c r="E2400" s="24">
        <v>8.97</v>
      </c>
      <c r="F2400" s="24">
        <v>320.36</v>
      </c>
      <c r="G2400" s="24">
        <v>3.57</v>
      </c>
      <c r="H2400" s="24" t="s">
        <v>6673</v>
      </c>
      <c r="I2400" s="24" t="s">
        <v>6650</v>
      </c>
      <c r="J2400" s="24">
        <v>0.0</v>
      </c>
    </row>
    <row r="2401">
      <c r="A2401" s="24">
        <v>89.0</v>
      </c>
      <c r="B2401" s="24">
        <v>2.0</v>
      </c>
      <c r="C2401" s="44">
        <v>15.0</v>
      </c>
      <c r="D2401" s="46">
        <v>44988.0</v>
      </c>
      <c r="E2401" s="24">
        <v>7.5</v>
      </c>
      <c r="F2401" s="24">
        <v>168.54</v>
      </c>
      <c r="G2401" s="24">
        <v>2.25</v>
      </c>
      <c r="H2401" s="24" t="s">
        <v>6688</v>
      </c>
      <c r="I2401" s="24">
        <v>15.0</v>
      </c>
      <c r="J2401" s="24">
        <v>0.0</v>
      </c>
    </row>
    <row r="2402">
      <c r="A2402" s="24">
        <v>1242.0</v>
      </c>
      <c r="B2402" s="24">
        <v>12.0</v>
      </c>
      <c r="C2402" s="44">
        <v>12.91</v>
      </c>
      <c r="D2402" s="46">
        <v>44988.0</v>
      </c>
      <c r="E2402" s="24">
        <v>1.08</v>
      </c>
      <c r="F2402" s="24">
        <v>10.39</v>
      </c>
      <c r="G2402" s="24">
        <v>0.97</v>
      </c>
      <c r="H2402" s="24" t="s">
        <v>6689</v>
      </c>
      <c r="I2402" s="24">
        <v>4.3</v>
      </c>
      <c r="J2402" s="24">
        <v>0.0</v>
      </c>
    </row>
    <row r="2403">
      <c r="A2403" s="24">
        <v>0.0</v>
      </c>
      <c r="B2403" s="24">
        <v>0.0</v>
      </c>
      <c r="C2403" s="44"/>
      <c r="D2403" s="46">
        <v>44988.0</v>
      </c>
      <c r="E2403" s="24" t="s">
        <v>6650</v>
      </c>
      <c r="F2403" s="24" t="s">
        <v>6650</v>
      </c>
      <c r="G2403" s="24" t="s">
        <v>6650</v>
      </c>
      <c r="H2403" s="24" t="s">
        <v>6690</v>
      </c>
      <c r="I2403" s="24" t="s">
        <v>6650</v>
      </c>
      <c r="J2403" s="24"/>
    </row>
    <row r="2404">
      <c r="A2404" s="24">
        <v>79.0</v>
      </c>
      <c r="B2404" s="24">
        <v>5.0</v>
      </c>
      <c r="C2404" s="44">
        <v>13.7</v>
      </c>
      <c r="D2404" s="46">
        <v>44988.0</v>
      </c>
      <c r="E2404" s="24">
        <v>2.74</v>
      </c>
      <c r="F2404" s="24">
        <v>173.42</v>
      </c>
      <c r="G2404" s="24">
        <v>6.33</v>
      </c>
      <c r="H2404" s="24" t="s">
        <v>6675</v>
      </c>
      <c r="I2404" s="24">
        <v>13.7</v>
      </c>
      <c r="J2404" s="24">
        <v>0.0</v>
      </c>
    </row>
    <row r="2405">
      <c r="A2405" s="24">
        <v>92.0</v>
      </c>
      <c r="B2405" s="24">
        <v>0.0</v>
      </c>
      <c r="C2405" s="44">
        <v>13.64</v>
      </c>
      <c r="D2405" s="46">
        <v>44988.0</v>
      </c>
      <c r="E2405" s="24" t="s">
        <v>6650</v>
      </c>
      <c r="F2405" s="24">
        <v>148.26</v>
      </c>
      <c r="G2405" s="24">
        <v>0.0</v>
      </c>
      <c r="H2405" s="24" t="s">
        <v>6677</v>
      </c>
      <c r="I2405" s="24">
        <v>6.82</v>
      </c>
      <c r="J2405" s="24">
        <v>0.0</v>
      </c>
    </row>
    <row r="2406">
      <c r="A2406" s="24">
        <v>59.0</v>
      </c>
      <c r="B2406" s="24">
        <v>0.0</v>
      </c>
      <c r="C2406" s="44">
        <v>23.8</v>
      </c>
      <c r="D2406" s="46">
        <v>44988.0</v>
      </c>
      <c r="E2406" s="24" t="s">
        <v>6650</v>
      </c>
      <c r="F2406" s="24">
        <v>403.39</v>
      </c>
      <c r="G2406" s="24">
        <v>0.0</v>
      </c>
      <c r="H2406" s="24" t="s">
        <v>6676</v>
      </c>
      <c r="I2406" s="24" t="s">
        <v>6650</v>
      </c>
      <c r="J2406" s="24">
        <v>0.0</v>
      </c>
    </row>
    <row r="2407">
      <c r="A2407" s="24">
        <v>455.0</v>
      </c>
      <c r="B2407" s="24">
        <v>6.0</v>
      </c>
      <c r="C2407" s="44">
        <v>11.55</v>
      </c>
      <c r="D2407" s="46">
        <v>44988.0</v>
      </c>
      <c r="E2407" s="24">
        <v>1.92</v>
      </c>
      <c r="F2407" s="24">
        <v>25.38</v>
      </c>
      <c r="G2407" s="24">
        <v>1.32</v>
      </c>
      <c r="H2407" s="24" t="s">
        <v>6692</v>
      </c>
      <c r="I2407" s="24">
        <v>11.55</v>
      </c>
      <c r="J2407" s="24">
        <v>2.0</v>
      </c>
    </row>
    <row r="2408">
      <c r="A2408" s="24">
        <v>109.0</v>
      </c>
      <c r="B2408" s="24">
        <v>2.0</v>
      </c>
      <c r="C2408" s="44">
        <v>15.12</v>
      </c>
      <c r="D2408" s="46">
        <v>44988.0</v>
      </c>
      <c r="E2408" s="24">
        <v>7.56</v>
      </c>
      <c r="F2408" s="24">
        <v>138.72</v>
      </c>
      <c r="G2408" s="24">
        <v>1.83</v>
      </c>
      <c r="H2408" s="24" t="s">
        <v>6680</v>
      </c>
      <c r="I2408" s="24">
        <v>7.56</v>
      </c>
      <c r="J2408" s="24">
        <v>0.0</v>
      </c>
    </row>
    <row r="2409">
      <c r="A2409" s="24">
        <v>52.0</v>
      </c>
      <c r="B2409" s="24">
        <v>2.0</v>
      </c>
      <c r="C2409" s="44">
        <v>7.99</v>
      </c>
      <c r="D2409" s="46">
        <v>44989.0</v>
      </c>
      <c r="E2409" s="24">
        <v>4.0</v>
      </c>
      <c r="F2409" s="24">
        <v>153.65</v>
      </c>
      <c r="G2409" s="24">
        <v>3.85</v>
      </c>
      <c r="H2409" s="24" t="s">
        <v>6677</v>
      </c>
      <c r="I2409" s="24">
        <v>7.99</v>
      </c>
      <c r="J2409" s="24">
        <v>0.0</v>
      </c>
    </row>
    <row r="2410">
      <c r="A2410" s="24">
        <v>948.0</v>
      </c>
      <c r="B2410" s="24">
        <v>9.0</v>
      </c>
      <c r="C2410" s="44">
        <v>7.59</v>
      </c>
      <c r="D2410" s="46">
        <v>44989.0</v>
      </c>
      <c r="E2410" s="24">
        <v>0.84</v>
      </c>
      <c r="F2410" s="24">
        <v>8.01</v>
      </c>
      <c r="G2410" s="24">
        <v>0.95</v>
      </c>
      <c r="H2410" s="24" t="s">
        <v>6689</v>
      </c>
      <c r="I2410" s="24" t="s">
        <v>6650</v>
      </c>
      <c r="J2410" s="24">
        <v>0.0</v>
      </c>
    </row>
    <row r="2411">
      <c r="A2411" s="24">
        <v>32.0</v>
      </c>
      <c r="B2411" s="24">
        <v>1.0</v>
      </c>
      <c r="C2411" s="44">
        <v>13.21</v>
      </c>
      <c r="D2411" s="46">
        <v>44989.0</v>
      </c>
      <c r="E2411" s="24">
        <v>13.21</v>
      </c>
      <c r="F2411" s="24">
        <v>412.81</v>
      </c>
      <c r="G2411" s="24">
        <v>3.12</v>
      </c>
      <c r="H2411" s="24" t="s">
        <v>6676</v>
      </c>
      <c r="I2411" s="24" t="s">
        <v>6650</v>
      </c>
      <c r="J2411" s="24">
        <v>0.0</v>
      </c>
    </row>
    <row r="2412">
      <c r="A2412" s="24">
        <v>70.0</v>
      </c>
      <c r="B2412" s="24">
        <v>1.0</v>
      </c>
      <c r="C2412" s="44">
        <v>11.94</v>
      </c>
      <c r="D2412" s="46">
        <v>44989.0</v>
      </c>
      <c r="E2412" s="24">
        <v>11.94</v>
      </c>
      <c r="F2412" s="24">
        <v>170.57</v>
      </c>
      <c r="G2412" s="24">
        <v>1.43</v>
      </c>
      <c r="H2412" s="24" t="s">
        <v>6688</v>
      </c>
      <c r="I2412" s="24" t="s">
        <v>6650</v>
      </c>
      <c r="J2412" s="24">
        <v>0.0</v>
      </c>
    </row>
    <row r="2413">
      <c r="A2413" s="24">
        <v>107.0</v>
      </c>
      <c r="B2413" s="24">
        <v>7.0</v>
      </c>
      <c r="C2413" s="44">
        <v>8.02</v>
      </c>
      <c r="D2413" s="46">
        <v>44989.0</v>
      </c>
      <c r="E2413" s="24">
        <v>1.15</v>
      </c>
      <c r="F2413" s="24">
        <v>74.95</v>
      </c>
      <c r="G2413" s="24">
        <v>6.54</v>
      </c>
      <c r="H2413" s="24" t="s">
        <v>6691</v>
      </c>
      <c r="I2413" s="24">
        <v>2.0</v>
      </c>
      <c r="J2413" s="24">
        <v>0.0</v>
      </c>
    </row>
    <row r="2414">
      <c r="A2414" s="24">
        <v>223.0</v>
      </c>
      <c r="B2414" s="24">
        <v>1.0</v>
      </c>
      <c r="C2414" s="44">
        <v>7.52</v>
      </c>
      <c r="D2414" s="46">
        <v>44989.0</v>
      </c>
      <c r="E2414" s="24">
        <v>7.52</v>
      </c>
      <c r="F2414" s="24">
        <v>33.72</v>
      </c>
      <c r="G2414" s="24">
        <v>0.45</v>
      </c>
      <c r="H2414" s="24" t="s">
        <v>6692</v>
      </c>
      <c r="I2414" s="24" t="s">
        <v>6650</v>
      </c>
      <c r="J2414" s="24">
        <v>0.0</v>
      </c>
    </row>
    <row r="2415">
      <c r="A2415" s="24">
        <v>64.0</v>
      </c>
      <c r="B2415" s="24">
        <v>1.0</v>
      </c>
      <c r="C2415" s="44">
        <v>10.04</v>
      </c>
      <c r="D2415" s="46">
        <v>44989.0</v>
      </c>
      <c r="E2415" s="24">
        <v>10.04</v>
      </c>
      <c r="F2415" s="24">
        <v>156.88</v>
      </c>
      <c r="G2415" s="24">
        <v>1.56</v>
      </c>
      <c r="H2415" s="24" t="s">
        <v>6693</v>
      </c>
      <c r="I2415" s="24">
        <v>10.04</v>
      </c>
      <c r="J2415" s="24">
        <v>0.0</v>
      </c>
    </row>
    <row r="2416">
      <c r="A2416" s="24">
        <v>61.0</v>
      </c>
      <c r="B2416" s="24">
        <v>0.0</v>
      </c>
      <c r="C2416" s="44">
        <v>9.96</v>
      </c>
      <c r="D2416" s="46">
        <v>44989.0</v>
      </c>
      <c r="E2416" s="24" t="s">
        <v>6650</v>
      </c>
      <c r="F2416" s="24">
        <v>163.28</v>
      </c>
      <c r="G2416" s="24">
        <v>0.0</v>
      </c>
      <c r="H2416" s="24" t="s">
        <v>6680</v>
      </c>
      <c r="I2416" s="24" t="s">
        <v>6650</v>
      </c>
      <c r="J2416" s="24">
        <v>0.0</v>
      </c>
    </row>
    <row r="2417">
      <c r="A2417" s="24">
        <v>41.0</v>
      </c>
      <c r="B2417" s="24">
        <v>3.0</v>
      </c>
      <c r="C2417" s="44">
        <v>7.88</v>
      </c>
      <c r="D2417" s="46">
        <v>44989.0</v>
      </c>
      <c r="E2417" s="24">
        <v>2.63</v>
      </c>
      <c r="F2417" s="24">
        <v>192.2</v>
      </c>
      <c r="G2417" s="24">
        <v>7.32</v>
      </c>
      <c r="H2417" s="24" t="s">
        <v>6675</v>
      </c>
      <c r="I2417" s="24" t="s">
        <v>6650</v>
      </c>
      <c r="J2417" s="24">
        <v>0.0</v>
      </c>
    </row>
    <row r="2418">
      <c r="A2418" s="24">
        <v>53.0</v>
      </c>
      <c r="B2418" s="24">
        <v>2.0</v>
      </c>
      <c r="C2418" s="44">
        <v>14.4</v>
      </c>
      <c r="D2418" s="46">
        <v>44989.0</v>
      </c>
      <c r="E2418" s="24">
        <v>7.2</v>
      </c>
      <c r="F2418" s="24">
        <v>271.7</v>
      </c>
      <c r="G2418" s="24">
        <v>3.77</v>
      </c>
      <c r="H2418" s="24" t="s">
        <v>6673</v>
      </c>
      <c r="I2418" s="24" t="s">
        <v>6650</v>
      </c>
      <c r="J2418" s="24">
        <v>0.0</v>
      </c>
    </row>
    <row r="2419">
      <c r="A2419" s="24">
        <v>1028.0</v>
      </c>
      <c r="B2419" s="24">
        <v>9.0</v>
      </c>
      <c r="C2419" s="44">
        <v>9.24</v>
      </c>
      <c r="D2419" s="46">
        <v>44990.0</v>
      </c>
      <c r="E2419" s="24">
        <v>1.03</v>
      </c>
      <c r="F2419" s="24">
        <v>8.99</v>
      </c>
      <c r="G2419" s="24">
        <v>0.88</v>
      </c>
      <c r="H2419" s="24" t="s">
        <v>6688</v>
      </c>
      <c r="I2419" s="24">
        <v>9.24</v>
      </c>
      <c r="J2419" s="24">
        <v>0.0</v>
      </c>
    </row>
    <row r="2420">
      <c r="A2420" s="24">
        <v>161.0</v>
      </c>
      <c r="B2420" s="24">
        <v>10.0</v>
      </c>
      <c r="C2420" s="44">
        <v>5.38</v>
      </c>
      <c r="D2420" s="46">
        <v>44990.0</v>
      </c>
      <c r="E2420" s="24">
        <v>0.54</v>
      </c>
      <c r="F2420" s="24">
        <v>33.42</v>
      </c>
      <c r="G2420" s="24">
        <v>6.21</v>
      </c>
      <c r="H2420" s="24" t="s">
        <v>6691</v>
      </c>
      <c r="I2420" s="24">
        <v>0.6</v>
      </c>
      <c r="J2420" s="24">
        <v>0.0</v>
      </c>
    </row>
    <row r="2421">
      <c r="A2421" s="24">
        <v>246.0</v>
      </c>
      <c r="B2421" s="24">
        <v>3.0</v>
      </c>
      <c r="C2421" s="44">
        <v>11.22</v>
      </c>
      <c r="D2421" s="46">
        <v>44990.0</v>
      </c>
      <c r="E2421" s="24">
        <v>3.74</v>
      </c>
      <c r="F2421" s="24">
        <v>45.61</v>
      </c>
      <c r="G2421" s="24">
        <v>1.22</v>
      </c>
      <c r="H2421" s="24" t="s">
        <v>6673</v>
      </c>
      <c r="I2421" s="24" t="s">
        <v>6650</v>
      </c>
      <c r="J2421" s="24">
        <v>0.0</v>
      </c>
    </row>
    <row r="2422">
      <c r="A2422" s="24">
        <v>110.0</v>
      </c>
      <c r="B2422" s="24">
        <v>1.0</v>
      </c>
      <c r="C2422" s="44">
        <v>9.0</v>
      </c>
      <c r="D2422" s="46">
        <v>44990.0</v>
      </c>
      <c r="E2422" s="24">
        <v>9.0</v>
      </c>
      <c r="F2422" s="24">
        <v>81.82</v>
      </c>
      <c r="G2422" s="24">
        <v>0.91</v>
      </c>
      <c r="H2422" s="24" t="s">
        <v>6676</v>
      </c>
      <c r="I2422" s="24" t="s">
        <v>6650</v>
      </c>
      <c r="J2422" s="24">
        <v>0.0</v>
      </c>
    </row>
    <row r="2423">
      <c r="A2423" s="24">
        <v>271.0</v>
      </c>
      <c r="B2423" s="24">
        <v>1.0</v>
      </c>
      <c r="C2423" s="44">
        <v>2.91</v>
      </c>
      <c r="D2423" s="46">
        <v>44990.0</v>
      </c>
      <c r="E2423" s="24">
        <v>2.91</v>
      </c>
      <c r="F2423" s="24">
        <v>10.74</v>
      </c>
      <c r="G2423" s="24">
        <v>0.37</v>
      </c>
      <c r="H2423" s="24" t="s">
        <v>6680</v>
      </c>
      <c r="I2423" s="24" t="s">
        <v>6650</v>
      </c>
      <c r="J2423" s="24">
        <v>0.0</v>
      </c>
    </row>
    <row r="2424">
      <c r="A2424" s="24">
        <v>314.0</v>
      </c>
      <c r="B2424" s="24">
        <v>1.0</v>
      </c>
      <c r="C2424" s="44">
        <v>6.57</v>
      </c>
      <c r="D2424" s="46">
        <v>44990.0</v>
      </c>
      <c r="E2424" s="24">
        <v>6.57</v>
      </c>
      <c r="F2424" s="24">
        <v>20.92</v>
      </c>
      <c r="G2424" s="24">
        <v>0.32</v>
      </c>
      <c r="H2424" s="24" t="s">
        <v>6677</v>
      </c>
      <c r="I2424" s="24" t="s">
        <v>6650</v>
      </c>
      <c r="J2424" s="24">
        <v>0.0</v>
      </c>
    </row>
    <row r="2425">
      <c r="A2425" s="24">
        <v>681.0</v>
      </c>
      <c r="B2425" s="24">
        <v>4.0</v>
      </c>
      <c r="C2425" s="44">
        <v>6.25</v>
      </c>
      <c r="D2425" s="46">
        <v>44990.0</v>
      </c>
      <c r="E2425" s="24">
        <v>1.56</v>
      </c>
      <c r="F2425" s="24">
        <v>9.18</v>
      </c>
      <c r="G2425" s="24">
        <v>0.59</v>
      </c>
      <c r="H2425" s="24" t="s">
        <v>6689</v>
      </c>
      <c r="I2425" s="24">
        <v>3.12</v>
      </c>
      <c r="J2425" s="24">
        <v>0.0</v>
      </c>
    </row>
    <row r="2426">
      <c r="A2426" s="24">
        <v>58.0</v>
      </c>
      <c r="B2426" s="24">
        <v>5.0</v>
      </c>
      <c r="C2426" s="44">
        <v>5.73</v>
      </c>
      <c r="D2426" s="46">
        <v>44990.0</v>
      </c>
      <c r="E2426" s="24">
        <v>1.15</v>
      </c>
      <c r="F2426" s="24">
        <v>98.79</v>
      </c>
      <c r="G2426" s="24">
        <v>8.62</v>
      </c>
      <c r="H2426" s="24" t="s">
        <v>6693</v>
      </c>
      <c r="I2426" s="24" t="s">
        <v>6650</v>
      </c>
      <c r="J2426" s="24">
        <v>0.0</v>
      </c>
    </row>
    <row r="2427">
      <c r="A2427" s="24">
        <v>281.0</v>
      </c>
      <c r="B2427" s="24">
        <v>1.0</v>
      </c>
      <c r="C2427" s="44">
        <v>5.53</v>
      </c>
      <c r="D2427" s="46">
        <v>44990.0</v>
      </c>
      <c r="E2427" s="24">
        <v>5.53</v>
      </c>
      <c r="F2427" s="24">
        <v>19.68</v>
      </c>
      <c r="G2427" s="24">
        <v>0.36</v>
      </c>
      <c r="H2427" s="24" t="s">
        <v>6692</v>
      </c>
      <c r="I2427" s="24" t="s">
        <v>6650</v>
      </c>
      <c r="J2427" s="24">
        <v>0.0</v>
      </c>
    </row>
    <row r="2428">
      <c r="A2428" s="24">
        <v>413.0</v>
      </c>
      <c r="B2428" s="24">
        <v>6.0</v>
      </c>
      <c r="C2428" s="44">
        <v>7.02</v>
      </c>
      <c r="D2428" s="46">
        <v>44990.0</v>
      </c>
      <c r="E2428" s="24">
        <v>1.17</v>
      </c>
      <c r="F2428" s="24">
        <v>17.0</v>
      </c>
      <c r="G2428" s="24">
        <v>1.45</v>
      </c>
      <c r="H2428" s="24" t="s">
        <v>6675</v>
      </c>
      <c r="I2428" s="24" t="s">
        <v>6650</v>
      </c>
      <c r="J2428" s="24">
        <v>0.0</v>
      </c>
    </row>
    <row r="2429">
      <c r="A2429" s="24">
        <v>441.0</v>
      </c>
      <c r="B2429" s="24">
        <v>4.0</v>
      </c>
      <c r="C2429" s="44">
        <v>11.12</v>
      </c>
      <c r="D2429" s="46">
        <v>44991.0</v>
      </c>
      <c r="E2429" s="24">
        <v>2.78</v>
      </c>
      <c r="F2429" s="24">
        <v>25.22</v>
      </c>
      <c r="G2429" s="24">
        <v>0.91</v>
      </c>
      <c r="H2429" s="24" t="s">
        <v>6692</v>
      </c>
      <c r="I2429" s="24" t="s">
        <v>6650</v>
      </c>
      <c r="J2429" s="24">
        <v>1.0</v>
      </c>
    </row>
    <row r="2430">
      <c r="A2430" s="24">
        <v>812.0</v>
      </c>
      <c r="B2430" s="24">
        <v>6.0</v>
      </c>
      <c r="C2430" s="44">
        <v>13.84</v>
      </c>
      <c r="D2430" s="46">
        <v>44991.0</v>
      </c>
      <c r="E2430" s="24">
        <v>2.31</v>
      </c>
      <c r="F2430" s="24">
        <v>17.04</v>
      </c>
      <c r="G2430" s="24">
        <v>0.74</v>
      </c>
      <c r="H2430" s="24" t="s">
        <v>6680</v>
      </c>
      <c r="I2430" s="24">
        <v>13.84</v>
      </c>
      <c r="J2430" s="24">
        <v>0.0</v>
      </c>
    </row>
    <row r="2431">
      <c r="A2431" s="24">
        <v>191.0</v>
      </c>
      <c r="B2431" s="24">
        <v>0.0</v>
      </c>
      <c r="C2431" s="44">
        <v>16.52</v>
      </c>
      <c r="D2431" s="46">
        <v>44991.0</v>
      </c>
      <c r="E2431" s="24" t="s">
        <v>6650</v>
      </c>
      <c r="F2431" s="24">
        <v>86.49</v>
      </c>
      <c r="G2431" s="24">
        <v>0.0</v>
      </c>
      <c r="H2431" s="24" t="s">
        <v>6676</v>
      </c>
      <c r="I2431" s="24" t="s">
        <v>6650</v>
      </c>
      <c r="J2431" s="24">
        <v>0.0</v>
      </c>
    </row>
    <row r="2432">
      <c r="A2432" s="24">
        <v>906.0</v>
      </c>
      <c r="B2432" s="24">
        <v>8.0</v>
      </c>
      <c r="C2432" s="44">
        <v>12.87</v>
      </c>
      <c r="D2432" s="46">
        <v>44991.0</v>
      </c>
      <c r="E2432" s="24">
        <v>1.61</v>
      </c>
      <c r="F2432" s="24">
        <v>14.21</v>
      </c>
      <c r="G2432" s="24">
        <v>0.88</v>
      </c>
      <c r="H2432" s="24" t="s">
        <v>6675</v>
      </c>
      <c r="I2432" s="24" t="s">
        <v>6650</v>
      </c>
      <c r="J2432" s="24">
        <v>0.0</v>
      </c>
    </row>
    <row r="2433">
      <c r="A2433" s="24">
        <v>736.0</v>
      </c>
      <c r="B2433" s="24">
        <v>5.0</v>
      </c>
      <c r="C2433" s="44">
        <v>19.53</v>
      </c>
      <c r="D2433" s="46">
        <v>44991.0</v>
      </c>
      <c r="E2433" s="24">
        <v>3.91</v>
      </c>
      <c r="F2433" s="24">
        <v>26.54</v>
      </c>
      <c r="G2433" s="24">
        <v>0.68</v>
      </c>
      <c r="H2433" s="24" t="s">
        <v>6673</v>
      </c>
      <c r="I2433" s="24" t="s">
        <v>6650</v>
      </c>
      <c r="J2433" s="24">
        <v>0.0</v>
      </c>
    </row>
    <row r="2434">
      <c r="A2434" s="24">
        <v>95.0</v>
      </c>
      <c r="B2434" s="24">
        <v>7.0</v>
      </c>
      <c r="C2434" s="44">
        <v>14.34</v>
      </c>
      <c r="D2434" s="46">
        <v>44991.0</v>
      </c>
      <c r="E2434" s="24">
        <v>2.05</v>
      </c>
      <c r="F2434" s="24">
        <v>150.95</v>
      </c>
      <c r="G2434" s="24">
        <v>7.37</v>
      </c>
      <c r="H2434" s="24" t="s">
        <v>6691</v>
      </c>
      <c r="I2434" s="24">
        <v>7.17</v>
      </c>
      <c r="J2434" s="24">
        <v>0.0</v>
      </c>
    </row>
    <row r="2435">
      <c r="A2435" s="24">
        <v>73.0</v>
      </c>
      <c r="B2435" s="24">
        <v>7.0</v>
      </c>
      <c r="C2435" s="44">
        <v>14.52</v>
      </c>
      <c r="D2435" s="46">
        <v>44991.0</v>
      </c>
      <c r="E2435" s="24">
        <v>2.07</v>
      </c>
      <c r="F2435" s="24">
        <v>198.9</v>
      </c>
      <c r="G2435" s="24">
        <v>9.59</v>
      </c>
      <c r="H2435" s="24" t="s">
        <v>6693</v>
      </c>
      <c r="I2435" s="24">
        <v>14.52</v>
      </c>
      <c r="J2435" s="24">
        <v>0.0</v>
      </c>
    </row>
    <row r="2436">
      <c r="A2436" s="24">
        <v>1055.0</v>
      </c>
      <c r="B2436" s="24">
        <v>8.0</v>
      </c>
      <c r="C2436" s="44">
        <v>10.17</v>
      </c>
      <c r="D2436" s="46">
        <v>44991.0</v>
      </c>
      <c r="E2436" s="24">
        <v>1.27</v>
      </c>
      <c r="F2436" s="24">
        <v>9.64</v>
      </c>
      <c r="G2436" s="24">
        <v>0.76</v>
      </c>
      <c r="H2436" s="24" t="s">
        <v>6689</v>
      </c>
      <c r="I2436" s="24" t="s">
        <v>6650</v>
      </c>
      <c r="J2436" s="24">
        <v>0.0</v>
      </c>
    </row>
    <row r="2437">
      <c r="A2437" s="24">
        <v>310.0</v>
      </c>
      <c r="B2437" s="24">
        <v>1.0</v>
      </c>
      <c r="C2437" s="44">
        <v>12.18</v>
      </c>
      <c r="D2437" s="46">
        <v>44991.0</v>
      </c>
      <c r="E2437" s="24">
        <v>12.18</v>
      </c>
      <c r="F2437" s="24">
        <v>39.29</v>
      </c>
      <c r="G2437" s="24">
        <v>0.32</v>
      </c>
      <c r="H2437" s="24" t="s">
        <v>6688</v>
      </c>
      <c r="I2437" s="24" t="s">
        <v>6650</v>
      </c>
      <c r="J2437" s="24">
        <v>0.0</v>
      </c>
    </row>
    <row r="2438">
      <c r="A2438" s="24">
        <v>488.0</v>
      </c>
      <c r="B2438" s="24">
        <v>6.0</v>
      </c>
      <c r="C2438" s="44">
        <v>12.77</v>
      </c>
      <c r="D2438" s="46">
        <v>44991.0</v>
      </c>
      <c r="E2438" s="24">
        <v>2.13</v>
      </c>
      <c r="F2438" s="24">
        <v>26.17</v>
      </c>
      <c r="G2438" s="24">
        <v>1.23</v>
      </c>
      <c r="H2438" s="24" t="s">
        <v>6677</v>
      </c>
      <c r="I2438" s="24" t="s">
        <v>6650</v>
      </c>
      <c r="J2438" s="24">
        <v>0.0</v>
      </c>
    </row>
    <row r="2439">
      <c r="A2439" s="24">
        <v>424.0</v>
      </c>
      <c r="B2439" s="24">
        <v>2.0</v>
      </c>
      <c r="C2439" s="44">
        <v>20.04</v>
      </c>
      <c r="D2439" s="46">
        <v>44992.0</v>
      </c>
      <c r="E2439" s="24">
        <v>10.02</v>
      </c>
      <c r="F2439" s="24">
        <v>47.26</v>
      </c>
      <c r="G2439" s="24">
        <v>0.47</v>
      </c>
      <c r="H2439" s="24" t="s">
        <v>6676</v>
      </c>
      <c r="I2439" s="24" t="s">
        <v>6650</v>
      </c>
      <c r="J2439" s="24">
        <v>0.0</v>
      </c>
    </row>
    <row r="2440">
      <c r="A2440" s="24">
        <v>43.0</v>
      </c>
      <c r="B2440" s="24">
        <v>2.0</v>
      </c>
      <c r="C2440" s="44">
        <v>7.25</v>
      </c>
      <c r="D2440" s="46">
        <v>44992.0</v>
      </c>
      <c r="E2440" s="24">
        <v>3.62</v>
      </c>
      <c r="F2440" s="24">
        <v>168.6</v>
      </c>
      <c r="G2440" s="24">
        <v>4.65</v>
      </c>
      <c r="H2440" s="24" t="s">
        <v>6691</v>
      </c>
      <c r="I2440" s="24" t="s">
        <v>6650</v>
      </c>
      <c r="J2440" s="24">
        <v>0.0</v>
      </c>
    </row>
    <row r="2441">
      <c r="A2441" s="24">
        <v>1188.0</v>
      </c>
      <c r="B2441" s="24">
        <v>6.0</v>
      </c>
      <c r="C2441" s="44">
        <v>11.98</v>
      </c>
      <c r="D2441" s="46">
        <v>44992.0</v>
      </c>
      <c r="E2441" s="24">
        <v>2.0</v>
      </c>
      <c r="F2441" s="24">
        <v>10.08</v>
      </c>
      <c r="G2441" s="24">
        <v>0.51</v>
      </c>
      <c r="H2441" s="24" t="s">
        <v>6689</v>
      </c>
      <c r="I2441" s="24">
        <v>11.98</v>
      </c>
      <c r="J2441" s="24">
        <v>0.0</v>
      </c>
    </row>
    <row r="2442">
      <c r="A2442" s="24">
        <v>1088.0</v>
      </c>
      <c r="B2442" s="24">
        <v>18.0</v>
      </c>
      <c r="C2442" s="44">
        <v>12.78</v>
      </c>
      <c r="D2442" s="46">
        <v>44992.0</v>
      </c>
      <c r="E2442" s="24">
        <v>0.71</v>
      </c>
      <c r="F2442" s="24">
        <v>11.75</v>
      </c>
      <c r="G2442" s="24">
        <v>1.65</v>
      </c>
      <c r="H2442" s="24" t="s">
        <v>6675</v>
      </c>
      <c r="I2442" s="24" t="s">
        <v>6650</v>
      </c>
      <c r="J2442" s="24">
        <v>0.0</v>
      </c>
    </row>
    <row r="2443">
      <c r="A2443" s="24">
        <v>48.0</v>
      </c>
      <c r="B2443" s="24">
        <v>2.0</v>
      </c>
      <c r="C2443" s="44">
        <v>10.13</v>
      </c>
      <c r="D2443" s="46">
        <v>44992.0</v>
      </c>
      <c r="E2443" s="24">
        <v>5.07</v>
      </c>
      <c r="F2443" s="24">
        <v>211.04</v>
      </c>
      <c r="G2443" s="24">
        <v>4.17</v>
      </c>
      <c r="H2443" s="24" t="s">
        <v>6693</v>
      </c>
      <c r="I2443" s="24" t="s">
        <v>6650</v>
      </c>
      <c r="J2443" s="24">
        <v>0.0</v>
      </c>
    </row>
    <row r="2444">
      <c r="A2444" s="24">
        <v>904.0</v>
      </c>
      <c r="B2444" s="24">
        <v>5.0</v>
      </c>
      <c r="C2444" s="44">
        <v>12.86</v>
      </c>
      <c r="D2444" s="46">
        <v>44992.0</v>
      </c>
      <c r="E2444" s="24">
        <v>2.57</v>
      </c>
      <c r="F2444" s="24">
        <v>14.23</v>
      </c>
      <c r="G2444" s="24">
        <v>0.55</v>
      </c>
      <c r="H2444" s="24" t="s">
        <v>6680</v>
      </c>
      <c r="I2444" s="24" t="s">
        <v>6650</v>
      </c>
      <c r="J2444" s="24">
        <v>0.0</v>
      </c>
    </row>
    <row r="2445">
      <c r="A2445" s="24">
        <v>924.0</v>
      </c>
      <c r="B2445" s="24">
        <v>4.0</v>
      </c>
      <c r="C2445" s="44">
        <v>23.01</v>
      </c>
      <c r="D2445" s="46">
        <v>44992.0</v>
      </c>
      <c r="E2445" s="24">
        <v>5.75</v>
      </c>
      <c r="F2445" s="24">
        <v>24.9</v>
      </c>
      <c r="G2445" s="24">
        <v>0.43</v>
      </c>
      <c r="H2445" s="24" t="s">
        <v>6673</v>
      </c>
      <c r="I2445" s="24" t="s">
        <v>6650</v>
      </c>
      <c r="J2445" s="24">
        <v>0.0</v>
      </c>
    </row>
    <row r="2446">
      <c r="A2446" s="24">
        <v>533.0</v>
      </c>
      <c r="B2446" s="24">
        <v>4.0</v>
      </c>
      <c r="C2446" s="44">
        <v>12.49</v>
      </c>
      <c r="D2446" s="46">
        <v>44992.0</v>
      </c>
      <c r="E2446" s="24">
        <v>3.12</v>
      </c>
      <c r="F2446" s="24">
        <v>23.43</v>
      </c>
      <c r="G2446" s="24">
        <v>0.75</v>
      </c>
      <c r="H2446" s="24" t="s">
        <v>6677</v>
      </c>
      <c r="I2446" s="24" t="s">
        <v>6650</v>
      </c>
      <c r="J2446" s="24">
        <v>0.0</v>
      </c>
    </row>
    <row r="2447">
      <c r="A2447" s="24">
        <v>493.0</v>
      </c>
      <c r="B2447" s="24">
        <v>3.0</v>
      </c>
      <c r="C2447" s="44">
        <v>10.41</v>
      </c>
      <c r="D2447" s="46">
        <v>44992.0</v>
      </c>
      <c r="E2447" s="24">
        <v>3.47</v>
      </c>
      <c r="F2447" s="24">
        <v>21.12</v>
      </c>
      <c r="G2447" s="24">
        <v>0.61</v>
      </c>
      <c r="H2447" s="24" t="s">
        <v>6688</v>
      </c>
      <c r="I2447" s="24">
        <v>5.2</v>
      </c>
      <c r="J2447" s="24">
        <v>0.0</v>
      </c>
    </row>
    <row r="2448">
      <c r="A2448" s="24">
        <v>435.0</v>
      </c>
      <c r="B2448" s="24">
        <v>3.0</v>
      </c>
      <c r="C2448" s="44">
        <v>11.82</v>
      </c>
      <c r="D2448" s="46">
        <v>44992.0</v>
      </c>
      <c r="E2448" s="24">
        <v>3.94</v>
      </c>
      <c r="F2448" s="24">
        <v>27.17</v>
      </c>
      <c r="G2448" s="24">
        <v>0.69</v>
      </c>
      <c r="H2448" s="24" t="s">
        <v>6692</v>
      </c>
      <c r="I2448" s="24">
        <v>11.82</v>
      </c>
      <c r="J2448" s="24">
        <v>0.0</v>
      </c>
    </row>
    <row r="2449">
      <c r="A2449" s="24">
        <v>47.0</v>
      </c>
      <c r="B2449" s="24">
        <v>3.0</v>
      </c>
      <c r="C2449" s="44">
        <v>7.69</v>
      </c>
      <c r="D2449" s="46">
        <v>44993.0</v>
      </c>
      <c r="E2449" s="24">
        <v>2.56</v>
      </c>
      <c r="F2449" s="24">
        <v>163.62</v>
      </c>
      <c r="G2449" s="24">
        <v>6.38</v>
      </c>
      <c r="H2449" s="24" t="s">
        <v>6691</v>
      </c>
      <c r="I2449" s="24" t="s">
        <v>6650</v>
      </c>
      <c r="J2449" s="24">
        <v>0.0</v>
      </c>
    </row>
    <row r="2450">
      <c r="A2450" s="24">
        <v>463.0</v>
      </c>
      <c r="B2450" s="24">
        <v>1.0</v>
      </c>
      <c r="C2450" s="44">
        <v>19.69</v>
      </c>
      <c r="D2450" s="46">
        <v>44993.0</v>
      </c>
      <c r="E2450" s="24">
        <v>19.69</v>
      </c>
      <c r="F2450" s="24">
        <v>42.53</v>
      </c>
      <c r="G2450" s="24">
        <v>0.22</v>
      </c>
      <c r="H2450" s="24" t="s">
        <v>6676</v>
      </c>
      <c r="I2450" s="24" t="s">
        <v>6650</v>
      </c>
      <c r="J2450" s="24">
        <v>0.0</v>
      </c>
    </row>
    <row r="2451">
      <c r="A2451" s="24">
        <v>293.0</v>
      </c>
      <c r="B2451" s="24">
        <v>1.0</v>
      </c>
      <c r="C2451" s="44">
        <v>15.0</v>
      </c>
      <c r="D2451" s="46">
        <v>44993.0</v>
      </c>
      <c r="E2451" s="24">
        <v>15.0</v>
      </c>
      <c r="F2451" s="24">
        <v>51.19</v>
      </c>
      <c r="G2451" s="24">
        <v>0.34</v>
      </c>
      <c r="H2451" s="24" t="s">
        <v>6692</v>
      </c>
      <c r="I2451" s="24" t="s">
        <v>6650</v>
      </c>
      <c r="J2451" s="24">
        <v>0.0</v>
      </c>
    </row>
    <row r="2452">
      <c r="A2452" s="24">
        <v>508.0</v>
      </c>
      <c r="B2452" s="24">
        <v>5.0</v>
      </c>
      <c r="C2452" s="44">
        <v>13.04</v>
      </c>
      <c r="D2452" s="46">
        <v>44993.0</v>
      </c>
      <c r="E2452" s="24">
        <v>2.61</v>
      </c>
      <c r="F2452" s="24">
        <v>25.67</v>
      </c>
      <c r="G2452" s="24">
        <v>0.98</v>
      </c>
      <c r="H2452" s="24" t="s">
        <v>6677</v>
      </c>
      <c r="I2452" s="24" t="s">
        <v>6650</v>
      </c>
      <c r="J2452" s="24">
        <v>0.0</v>
      </c>
    </row>
    <row r="2453">
      <c r="A2453" s="24">
        <v>41.0</v>
      </c>
      <c r="B2453" s="24">
        <v>5.0</v>
      </c>
      <c r="C2453" s="44">
        <v>8.85</v>
      </c>
      <c r="D2453" s="46">
        <v>44993.0</v>
      </c>
      <c r="E2453" s="24">
        <v>1.77</v>
      </c>
      <c r="F2453" s="24">
        <v>215.85</v>
      </c>
      <c r="G2453" s="24">
        <v>12.2</v>
      </c>
      <c r="H2453" s="24" t="s">
        <v>6693</v>
      </c>
      <c r="I2453" s="24" t="s">
        <v>6650</v>
      </c>
      <c r="J2453" s="24">
        <v>0.0</v>
      </c>
    </row>
    <row r="2454">
      <c r="A2454" s="24">
        <v>1018.0</v>
      </c>
      <c r="B2454" s="24">
        <v>4.0</v>
      </c>
      <c r="C2454" s="44">
        <v>13.92</v>
      </c>
      <c r="D2454" s="46">
        <v>44993.0</v>
      </c>
      <c r="E2454" s="24">
        <v>3.48</v>
      </c>
      <c r="F2454" s="24">
        <v>13.67</v>
      </c>
      <c r="G2454" s="24">
        <v>0.39</v>
      </c>
      <c r="H2454" s="24" t="s">
        <v>6680</v>
      </c>
      <c r="I2454" s="24">
        <v>13.92</v>
      </c>
      <c r="J2454" s="24">
        <v>0.0</v>
      </c>
    </row>
    <row r="2455">
      <c r="A2455" s="24">
        <v>1016.0</v>
      </c>
      <c r="B2455" s="24">
        <v>12.0</v>
      </c>
      <c r="C2455" s="44">
        <v>13.02</v>
      </c>
      <c r="D2455" s="46">
        <v>44993.0</v>
      </c>
      <c r="E2455" s="24">
        <v>1.08</v>
      </c>
      <c r="F2455" s="24">
        <v>12.81</v>
      </c>
      <c r="G2455" s="24">
        <v>1.18</v>
      </c>
      <c r="H2455" s="24" t="s">
        <v>6675</v>
      </c>
      <c r="I2455" s="24" t="s">
        <v>6650</v>
      </c>
      <c r="J2455" s="24">
        <v>0.0</v>
      </c>
    </row>
    <row r="2456">
      <c r="A2456" s="24">
        <v>924.0</v>
      </c>
      <c r="B2456" s="24">
        <v>4.0</v>
      </c>
      <c r="C2456" s="44">
        <v>11.13</v>
      </c>
      <c r="D2456" s="46">
        <v>44993.0</v>
      </c>
      <c r="E2456" s="24">
        <v>2.78</v>
      </c>
      <c r="F2456" s="24">
        <v>12.05</v>
      </c>
      <c r="G2456" s="24">
        <v>0.43</v>
      </c>
      <c r="H2456" s="24" t="s">
        <v>6688</v>
      </c>
      <c r="I2456" s="24" t="s">
        <v>6650</v>
      </c>
      <c r="J2456" s="24">
        <v>0.0</v>
      </c>
    </row>
    <row r="2457">
      <c r="A2457" s="24">
        <v>1278.0</v>
      </c>
      <c r="B2457" s="24">
        <v>9.0</v>
      </c>
      <c r="C2457" s="44">
        <v>11.74</v>
      </c>
      <c r="D2457" s="46">
        <v>44993.0</v>
      </c>
      <c r="E2457" s="24">
        <v>1.3</v>
      </c>
      <c r="F2457" s="24">
        <v>9.19</v>
      </c>
      <c r="G2457" s="24">
        <v>0.7</v>
      </c>
      <c r="H2457" s="24" t="s">
        <v>6689</v>
      </c>
      <c r="I2457" s="24">
        <v>11.74</v>
      </c>
      <c r="J2457" s="24">
        <v>0.0</v>
      </c>
    </row>
    <row r="2458">
      <c r="A2458" s="24">
        <v>408.0</v>
      </c>
      <c r="B2458" s="24">
        <v>3.0</v>
      </c>
      <c r="C2458" s="44">
        <v>28.5</v>
      </c>
      <c r="D2458" s="46">
        <v>44993.0</v>
      </c>
      <c r="E2458" s="24">
        <v>9.5</v>
      </c>
      <c r="F2458" s="24">
        <v>69.85</v>
      </c>
      <c r="G2458" s="24">
        <v>0.74</v>
      </c>
      <c r="H2458" s="24" t="s">
        <v>6673</v>
      </c>
      <c r="I2458" s="24">
        <v>28.5</v>
      </c>
      <c r="J2458" s="24">
        <v>0.0</v>
      </c>
    </row>
    <row r="2459">
      <c r="A2459" s="24">
        <v>301.0</v>
      </c>
      <c r="B2459" s="24">
        <v>2.0</v>
      </c>
      <c r="C2459" s="44">
        <v>19.33</v>
      </c>
      <c r="D2459" s="46">
        <v>44994.0</v>
      </c>
      <c r="E2459" s="24">
        <v>9.66</v>
      </c>
      <c r="F2459" s="24">
        <v>64.22</v>
      </c>
      <c r="G2459" s="24">
        <v>0.66</v>
      </c>
      <c r="H2459" s="24" t="s">
        <v>6676</v>
      </c>
      <c r="I2459" s="24" t="s">
        <v>6650</v>
      </c>
      <c r="J2459" s="24">
        <v>0.0</v>
      </c>
    </row>
    <row r="2460">
      <c r="A2460" s="24">
        <v>1042.0</v>
      </c>
      <c r="B2460" s="24">
        <v>7.0</v>
      </c>
      <c r="C2460" s="44">
        <v>10.81</v>
      </c>
      <c r="D2460" s="46">
        <v>44994.0</v>
      </c>
      <c r="E2460" s="24">
        <v>1.54</v>
      </c>
      <c r="F2460" s="24">
        <v>10.37</v>
      </c>
      <c r="G2460" s="24">
        <v>0.67</v>
      </c>
      <c r="H2460" s="24" t="s">
        <v>6688</v>
      </c>
      <c r="I2460" s="24">
        <v>10.81</v>
      </c>
      <c r="J2460" s="24">
        <v>0.0</v>
      </c>
    </row>
    <row r="2461">
      <c r="A2461" s="24">
        <v>739.0</v>
      </c>
      <c r="B2461" s="24">
        <v>7.0</v>
      </c>
      <c r="C2461" s="44">
        <v>11.58</v>
      </c>
      <c r="D2461" s="46">
        <v>44994.0</v>
      </c>
      <c r="E2461" s="24">
        <v>1.65</v>
      </c>
      <c r="F2461" s="24">
        <v>15.67</v>
      </c>
      <c r="G2461" s="24">
        <v>0.95</v>
      </c>
      <c r="H2461" s="24" t="s">
        <v>6689</v>
      </c>
      <c r="I2461" s="24">
        <v>5.79</v>
      </c>
      <c r="J2461" s="24">
        <v>0.0</v>
      </c>
    </row>
    <row r="2462">
      <c r="A2462" s="24">
        <v>6.0</v>
      </c>
      <c r="B2462" s="24">
        <v>0.0</v>
      </c>
      <c r="C2462" s="44">
        <v>0.45</v>
      </c>
      <c r="D2462" s="46">
        <v>44994.0</v>
      </c>
      <c r="E2462" s="24" t="s">
        <v>6650</v>
      </c>
      <c r="F2462" s="24">
        <v>75.0</v>
      </c>
      <c r="G2462" s="24">
        <v>0.0</v>
      </c>
      <c r="H2462" s="24" t="s">
        <v>6691</v>
      </c>
      <c r="I2462" s="24" t="s">
        <v>6650</v>
      </c>
      <c r="J2462" s="24">
        <v>0.0</v>
      </c>
    </row>
    <row r="2463">
      <c r="A2463" s="24">
        <v>1123.0</v>
      </c>
      <c r="B2463" s="24">
        <v>12.0</v>
      </c>
      <c r="C2463" s="44">
        <v>12.5</v>
      </c>
      <c r="D2463" s="46">
        <v>44994.0</v>
      </c>
      <c r="E2463" s="24">
        <v>1.04</v>
      </c>
      <c r="F2463" s="24">
        <v>11.13</v>
      </c>
      <c r="G2463" s="24">
        <v>1.07</v>
      </c>
      <c r="H2463" s="24" t="s">
        <v>6675</v>
      </c>
      <c r="I2463" s="24" t="s">
        <v>6650</v>
      </c>
      <c r="J2463" s="24">
        <v>0.0</v>
      </c>
    </row>
    <row r="2464">
      <c r="A2464" s="24">
        <v>435.0</v>
      </c>
      <c r="B2464" s="24">
        <v>3.0</v>
      </c>
      <c r="C2464" s="44">
        <v>12.87</v>
      </c>
      <c r="D2464" s="46">
        <v>44994.0</v>
      </c>
      <c r="E2464" s="24">
        <v>4.29</v>
      </c>
      <c r="F2464" s="24">
        <v>29.59</v>
      </c>
      <c r="G2464" s="24">
        <v>0.69</v>
      </c>
      <c r="H2464" s="24" t="s">
        <v>6677</v>
      </c>
      <c r="I2464" s="24">
        <v>6.44</v>
      </c>
      <c r="J2464" s="24">
        <v>0.0</v>
      </c>
    </row>
    <row r="2465">
      <c r="A2465" s="24">
        <v>298.0</v>
      </c>
      <c r="B2465" s="24">
        <v>3.0</v>
      </c>
      <c r="C2465" s="44">
        <v>10.94</v>
      </c>
      <c r="D2465" s="46">
        <v>44994.0</v>
      </c>
      <c r="E2465" s="24">
        <v>3.65</v>
      </c>
      <c r="F2465" s="24">
        <v>36.71</v>
      </c>
      <c r="G2465" s="24">
        <v>1.01</v>
      </c>
      <c r="H2465" s="24" t="s">
        <v>6692</v>
      </c>
      <c r="I2465" s="24">
        <v>10.94</v>
      </c>
      <c r="J2465" s="24">
        <v>2.0</v>
      </c>
    </row>
    <row r="2466">
      <c r="A2466" s="24">
        <v>770.0</v>
      </c>
      <c r="B2466" s="24">
        <v>4.0</v>
      </c>
      <c r="C2466" s="44">
        <v>20.49</v>
      </c>
      <c r="D2466" s="46">
        <v>44994.0</v>
      </c>
      <c r="E2466" s="24">
        <v>5.12</v>
      </c>
      <c r="F2466" s="24">
        <v>26.61</v>
      </c>
      <c r="G2466" s="24">
        <v>0.52</v>
      </c>
      <c r="H2466" s="24" t="s">
        <v>6673</v>
      </c>
      <c r="I2466" s="24" t="s">
        <v>6650</v>
      </c>
      <c r="J2466" s="24">
        <v>0.0</v>
      </c>
    </row>
    <row r="2467">
      <c r="A2467" s="24">
        <v>990.0</v>
      </c>
      <c r="B2467" s="24">
        <v>6.0</v>
      </c>
      <c r="C2467" s="44">
        <v>12.73</v>
      </c>
      <c r="D2467" s="46">
        <v>44994.0</v>
      </c>
      <c r="E2467" s="24">
        <v>2.12</v>
      </c>
      <c r="F2467" s="24">
        <v>12.86</v>
      </c>
      <c r="G2467" s="24">
        <v>0.61</v>
      </c>
      <c r="H2467" s="24" t="s">
        <v>6680</v>
      </c>
      <c r="I2467" s="24">
        <v>12.73</v>
      </c>
      <c r="J2467" s="24">
        <v>0.0</v>
      </c>
    </row>
    <row r="2468">
      <c r="A2468" s="24">
        <v>870.0</v>
      </c>
      <c r="B2468" s="24">
        <v>14.0</v>
      </c>
      <c r="C2468" s="44">
        <v>12.04</v>
      </c>
      <c r="D2468" s="46">
        <v>44995.0</v>
      </c>
      <c r="E2468" s="24">
        <v>0.86</v>
      </c>
      <c r="F2468" s="24">
        <v>13.84</v>
      </c>
      <c r="G2468" s="24">
        <v>1.61</v>
      </c>
      <c r="H2468" s="24" t="s">
        <v>6675</v>
      </c>
      <c r="I2468" s="24" t="s">
        <v>6650</v>
      </c>
      <c r="J2468" s="24">
        <v>0.0</v>
      </c>
    </row>
    <row r="2469">
      <c r="A2469" s="24">
        <v>195.0</v>
      </c>
      <c r="B2469" s="24">
        <v>0.0</v>
      </c>
      <c r="C2469" s="44">
        <v>20.39</v>
      </c>
      <c r="D2469" s="46">
        <v>44995.0</v>
      </c>
      <c r="E2469" s="24" t="s">
        <v>6650</v>
      </c>
      <c r="F2469" s="24">
        <v>104.56</v>
      </c>
      <c r="G2469" s="24">
        <v>0.0</v>
      </c>
      <c r="H2469" s="24" t="s">
        <v>6676</v>
      </c>
      <c r="I2469" s="24">
        <v>20.39</v>
      </c>
      <c r="J2469" s="24">
        <v>0.0</v>
      </c>
    </row>
    <row r="2470">
      <c r="A2470" s="24">
        <v>710.0</v>
      </c>
      <c r="B2470" s="24">
        <v>2.0</v>
      </c>
      <c r="C2470" s="44">
        <v>20.53</v>
      </c>
      <c r="D2470" s="46">
        <v>44995.0</v>
      </c>
      <c r="E2470" s="24">
        <v>10.26</v>
      </c>
      <c r="F2470" s="24">
        <v>28.92</v>
      </c>
      <c r="G2470" s="24">
        <v>0.28</v>
      </c>
      <c r="H2470" s="24" t="s">
        <v>6673</v>
      </c>
      <c r="I2470" s="24">
        <v>20.53</v>
      </c>
      <c r="J2470" s="24">
        <v>0.0</v>
      </c>
    </row>
    <row r="2471">
      <c r="A2471" s="24">
        <v>206.0</v>
      </c>
      <c r="B2471" s="24">
        <v>2.0</v>
      </c>
      <c r="C2471" s="44">
        <v>11.17</v>
      </c>
      <c r="D2471" s="46">
        <v>44995.0</v>
      </c>
      <c r="E2471" s="24">
        <v>5.58</v>
      </c>
      <c r="F2471" s="24">
        <v>54.22</v>
      </c>
      <c r="G2471" s="24">
        <v>0.97</v>
      </c>
      <c r="H2471" s="24" t="s">
        <v>6692</v>
      </c>
      <c r="I2471" s="24" t="s">
        <v>6650</v>
      </c>
      <c r="J2471" s="24">
        <v>0.0</v>
      </c>
    </row>
    <row r="2472">
      <c r="A2472" s="24">
        <v>803.0</v>
      </c>
      <c r="B2472" s="24">
        <v>12.0</v>
      </c>
      <c r="C2472" s="44">
        <v>11.2</v>
      </c>
      <c r="D2472" s="46">
        <v>44995.0</v>
      </c>
      <c r="E2472" s="24">
        <v>0.93</v>
      </c>
      <c r="F2472" s="24">
        <v>13.95</v>
      </c>
      <c r="G2472" s="24">
        <v>1.49</v>
      </c>
      <c r="H2472" s="24" t="s">
        <v>6688</v>
      </c>
      <c r="I2472" s="24">
        <v>11.2</v>
      </c>
      <c r="J2472" s="24">
        <v>0.0</v>
      </c>
    </row>
    <row r="2473">
      <c r="A2473" s="24">
        <v>908.0</v>
      </c>
      <c r="B2473" s="24">
        <v>8.0</v>
      </c>
      <c r="C2473" s="44">
        <v>12.77</v>
      </c>
      <c r="D2473" s="46">
        <v>44995.0</v>
      </c>
      <c r="E2473" s="24">
        <v>1.6</v>
      </c>
      <c r="F2473" s="24">
        <v>14.06</v>
      </c>
      <c r="G2473" s="24">
        <v>0.88</v>
      </c>
      <c r="H2473" s="24" t="s">
        <v>6680</v>
      </c>
      <c r="I2473" s="24">
        <v>3.19</v>
      </c>
      <c r="J2473" s="24">
        <v>0.0</v>
      </c>
    </row>
    <row r="2474">
      <c r="A2474" s="24">
        <v>416.0</v>
      </c>
      <c r="B2474" s="24">
        <v>13.0</v>
      </c>
      <c r="C2474" s="44">
        <v>12.08</v>
      </c>
      <c r="D2474" s="46">
        <v>44995.0</v>
      </c>
      <c r="E2474" s="24">
        <v>0.93</v>
      </c>
      <c r="F2474" s="24">
        <v>29.04</v>
      </c>
      <c r="G2474" s="24">
        <v>3.12</v>
      </c>
      <c r="H2474" s="24" t="s">
        <v>6689</v>
      </c>
      <c r="I2474" s="24" t="s">
        <v>6650</v>
      </c>
      <c r="J2474" s="24">
        <v>0.0</v>
      </c>
    </row>
    <row r="2475">
      <c r="A2475" s="24">
        <v>178.0</v>
      </c>
      <c r="B2475" s="24">
        <v>3.0</v>
      </c>
      <c r="C2475" s="44">
        <v>12.56</v>
      </c>
      <c r="D2475" s="46">
        <v>44995.0</v>
      </c>
      <c r="E2475" s="24">
        <v>4.19</v>
      </c>
      <c r="F2475" s="24">
        <v>70.56</v>
      </c>
      <c r="G2475" s="24">
        <v>1.69</v>
      </c>
      <c r="H2475" s="24" t="s">
        <v>6677</v>
      </c>
      <c r="I2475" s="24" t="s">
        <v>6650</v>
      </c>
      <c r="J2475" s="24">
        <v>0.0</v>
      </c>
    </row>
    <row r="2476">
      <c r="A2476" s="24">
        <v>77.0</v>
      </c>
      <c r="B2476" s="24">
        <v>2.0</v>
      </c>
      <c r="C2476" s="44">
        <v>11.06</v>
      </c>
      <c r="D2476" s="46">
        <v>44996.0</v>
      </c>
      <c r="E2476" s="24">
        <v>5.53</v>
      </c>
      <c r="F2476" s="24">
        <v>143.64</v>
      </c>
      <c r="G2476" s="24">
        <v>2.6</v>
      </c>
      <c r="H2476" s="24" t="s">
        <v>6676</v>
      </c>
      <c r="I2476" s="24" t="s">
        <v>6650</v>
      </c>
      <c r="J2476" s="24">
        <v>0.0</v>
      </c>
    </row>
    <row r="2477">
      <c r="A2477" s="24">
        <v>771.0</v>
      </c>
      <c r="B2477" s="24">
        <v>14.0</v>
      </c>
      <c r="C2477" s="44">
        <v>7.6</v>
      </c>
      <c r="D2477" s="46">
        <v>44996.0</v>
      </c>
      <c r="E2477" s="24">
        <v>0.54</v>
      </c>
      <c r="F2477" s="24">
        <v>9.86</v>
      </c>
      <c r="G2477" s="24">
        <v>1.82</v>
      </c>
      <c r="H2477" s="24" t="s">
        <v>6688</v>
      </c>
      <c r="I2477" s="24">
        <v>7.6</v>
      </c>
      <c r="J2477" s="24">
        <v>0.0</v>
      </c>
    </row>
    <row r="2478">
      <c r="A2478" s="24">
        <v>275.0</v>
      </c>
      <c r="B2478" s="24">
        <v>3.0</v>
      </c>
      <c r="C2478" s="44">
        <v>7.92</v>
      </c>
      <c r="D2478" s="46">
        <v>44996.0</v>
      </c>
      <c r="E2478" s="24">
        <v>2.64</v>
      </c>
      <c r="F2478" s="24">
        <v>28.8</v>
      </c>
      <c r="G2478" s="24">
        <v>1.09</v>
      </c>
      <c r="H2478" s="24" t="s">
        <v>6692</v>
      </c>
      <c r="I2478" s="24" t="s">
        <v>6650</v>
      </c>
      <c r="J2478" s="24">
        <v>0.0</v>
      </c>
    </row>
    <row r="2479">
      <c r="A2479" s="24">
        <v>479.0</v>
      </c>
      <c r="B2479" s="24">
        <v>3.0</v>
      </c>
      <c r="C2479" s="44">
        <v>5.55</v>
      </c>
      <c r="D2479" s="46">
        <v>44996.0</v>
      </c>
      <c r="E2479" s="24">
        <v>1.85</v>
      </c>
      <c r="F2479" s="24">
        <v>11.59</v>
      </c>
      <c r="G2479" s="24">
        <v>0.63</v>
      </c>
      <c r="H2479" s="24" t="s">
        <v>6680</v>
      </c>
      <c r="I2479" s="24">
        <v>5.55</v>
      </c>
      <c r="J2479" s="24">
        <v>0.0</v>
      </c>
    </row>
    <row r="2480">
      <c r="A2480" s="24">
        <v>148.0</v>
      </c>
      <c r="B2480" s="24">
        <v>2.0</v>
      </c>
      <c r="C2480" s="44">
        <v>11.43</v>
      </c>
      <c r="D2480" s="46">
        <v>44996.0</v>
      </c>
      <c r="E2480" s="24">
        <v>5.72</v>
      </c>
      <c r="F2480" s="24">
        <v>77.23</v>
      </c>
      <c r="G2480" s="24">
        <v>1.35</v>
      </c>
      <c r="H2480" s="24" t="s">
        <v>6673</v>
      </c>
      <c r="I2480" s="24" t="s">
        <v>6650</v>
      </c>
      <c r="J2480" s="24">
        <v>0.0</v>
      </c>
    </row>
    <row r="2481">
      <c r="A2481" s="24">
        <v>211.0</v>
      </c>
      <c r="B2481" s="24">
        <v>11.0</v>
      </c>
      <c r="C2481" s="44">
        <v>6.85</v>
      </c>
      <c r="D2481" s="46">
        <v>44996.0</v>
      </c>
      <c r="E2481" s="24">
        <v>0.62</v>
      </c>
      <c r="F2481" s="24">
        <v>32.46</v>
      </c>
      <c r="G2481" s="24">
        <v>5.21</v>
      </c>
      <c r="H2481" s="24" t="s">
        <v>6689</v>
      </c>
      <c r="I2481" s="24" t="s">
        <v>6650</v>
      </c>
      <c r="J2481" s="24">
        <v>0.0</v>
      </c>
    </row>
    <row r="2482">
      <c r="A2482" s="24">
        <v>373.0</v>
      </c>
      <c r="B2482" s="24">
        <v>7.0</v>
      </c>
      <c r="C2482" s="44">
        <v>7.05</v>
      </c>
      <c r="D2482" s="46">
        <v>44996.0</v>
      </c>
      <c r="E2482" s="24">
        <v>1.01</v>
      </c>
      <c r="F2482" s="24">
        <v>18.9</v>
      </c>
      <c r="G2482" s="24">
        <v>1.88</v>
      </c>
      <c r="H2482" s="24" t="s">
        <v>6675</v>
      </c>
      <c r="I2482" s="24" t="s">
        <v>6650</v>
      </c>
      <c r="J2482" s="24">
        <v>0.0</v>
      </c>
    </row>
    <row r="2483">
      <c r="A2483" s="24">
        <v>106.0</v>
      </c>
      <c r="B2483" s="24">
        <v>1.0</v>
      </c>
      <c r="C2483" s="44">
        <v>7.43</v>
      </c>
      <c r="D2483" s="46">
        <v>44996.0</v>
      </c>
      <c r="E2483" s="24">
        <v>7.43</v>
      </c>
      <c r="F2483" s="24">
        <v>70.09</v>
      </c>
      <c r="G2483" s="24">
        <v>0.94</v>
      </c>
      <c r="H2483" s="24" t="s">
        <v>6677</v>
      </c>
      <c r="I2483" s="24" t="s">
        <v>6650</v>
      </c>
      <c r="J2483" s="24">
        <v>0.0</v>
      </c>
    </row>
    <row r="2484">
      <c r="A2484" s="24">
        <v>340.0</v>
      </c>
      <c r="B2484" s="24">
        <v>4.0</v>
      </c>
      <c r="C2484" s="44">
        <v>6.74</v>
      </c>
      <c r="D2484" s="46">
        <v>44997.0</v>
      </c>
      <c r="E2484" s="24">
        <v>1.68</v>
      </c>
      <c r="F2484" s="24">
        <v>19.82</v>
      </c>
      <c r="G2484" s="24">
        <v>1.18</v>
      </c>
      <c r="H2484" s="24" t="s">
        <v>6675</v>
      </c>
      <c r="I2484" s="24">
        <v>6.74</v>
      </c>
      <c r="J2484" s="24">
        <v>0.0</v>
      </c>
    </row>
    <row r="2485">
      <c r="A2485" s="24">
        <v>172.0</v>
      </c>
      <c r="B2485" s="24">
        <v>0.0</v>
      </c>
      <c r="C2485" s="44">
        <v>9.51</v>
      </c>
      <c r="D2485" s="46">
        <v>44997.0</v>
      </c>
      <c r="E2485" s="24" t="s">
        <v>6650</v>
      </c>
      <c r="F2485" s="24">
        <v>55.29</v>
      </c>
      <c r="G2485" s="24">
        <v>0.0</v>
      </c>
      <c r="H2485" s="24" t="s">
        <v>6673</v>
      </c>
      <c r="I2485" s="24" t="s">
        <v>6650</v>
      </c>
      <c r="J2485" s="24">
        <v>0.0</v>
      </c>
    </row>
    <row r="2486">
      <c r="A2486" s="24">
        <v>478.0</v>
      </c>
      <c r="B2486" s="24">
        <v>5.0</v>
      </c>
      <c r="C2486" s="44">
        <v>5.33</v>
      </c>
      <c r="D2486" s="46">
        <v>44997.0</v>
      </c>
      <c r="E2486" s="24">
        <v>1.07</v>
      </c>
      <c r="F2486" s="24">
        <v>11.15</v>
      </c>
      <c r="G2486" s="24">
        <v>1.05</v>
      </c>
      <c r="H2486" s="24" t="s">
        <v>6680</v>
      </c>
      <c r="I2486" s="24" t="s">
        <v>6650</v>
      </c>
      <c r="J2486" s="24">
        <v>0.0</v>
      </c>
    </row>
    <row r="2487">
      <c r="A2487" s="24">
        <v>134.0</v>
      </c>
      <c r="B2487" s="24">
        <v>0.0</v>
      </c>
      <c r="C2487" s="44">
        <v>8.11</v>
      </c>
      <c r="D2487" s="46">
        <v>44997.0</v>
      </c>
      <c r="E2487" s="24" t="s">
        <v>6650</v>
      </c>
      <c r="F2487" s="24">
        <v>60.52</v>
      </c>
      <c r="G2487" s="24">
        <v>0.0</v>
      </c>
      <c r="H2487" s="24" t="s">
        <v>6692</v>
      </c>
      <c r="I2487" s="24">
        <v>8.11</v>
      </c>
      <c r="J2487" s="24">
        <v>0.0</v>
      </c>
    </row>
    <row r="2488">
      <c r="A2488" s="24">
        <v>542.0</v>
      </c>
      <c r="B2488" s="24">
        <v>19.0</v>
      </c>
      <c r="C2488" s="44">
        <v>5.6</v>
      </c>
      <c r="D2488" s="46">
        <v>44997.0</v>
      </c>
      <c r="E2488" s="24">
        <v>0.29</v>
      </c>
      <c r="F2488" s="24">
        <v>10.33</v>
      </c>
      <c r="G2488" s="24">
        <v>3.51</v>
      </c>
      <c r="H2488" s="24" t="s">
        <v>6689</v>
      </c>
      <c r="I2488" s="24" t="s">
        <v>6650</v>
      </c>
      <c r="J2488" s="24">
        <v>0.0</v>
      </c>
    </row>
    <row r="2489">
      <c r="A2489" s="24">
        <v>535.0</v>
      </c>
      <c r="B2489" s="24">
        <v>8.0</v>
      </c>
      <c r="C2489" s="44">
        <v>6.67</v>
      </c>
      <c r="D2489" s="46">
        <v>44997.0</v>
      </c>
      <c r="E2489" s="24">
        <v>0.83</v>
      </c>
      <c r="F2489" s="24">
        <v>12.47</v>
      </c>
      <c r="G2489" s="24">
        <v>1.5</v>
      </c>
      <c r="H2489" s="24" t="s">
        <v>6688</v>
      </c>
      <c r="I2489" s="24">
        <v>1.67</v>
      </c>
      <c r="J2489" s="24">
        <v>0.0</v>
      </c>
    </row>
    <row r="2490">
      <c r="A2490" s="24">
        <v>107.0</v>
      </c>
      <c r="B2490" s="24">
        <v>1.0</v>
      </c>
      <c r="C2490" s="44">
        <v>8.47</v>
      </c>
      <c r="D2490" s="46">
        <v>44997.0</v>
      </c>
      <c r="E2490" s="24">
        <v>8.47</v>
      </c>
      <c r="F2490" s="24">
        <v>79.16</v>
      </c>
      <c r="G2490" s="24">
        <v>0.93</v>
      </c>
      <c r="H2490" s="24" t="s">
        <v>6676</v>
      </c>
      <c r="I2490" s="24" t="s">
        <v>6650</v>
      </c>
      <c r="J2490" s="24">
        <v>0.0</v>
      </c>
    </row>
    <row r="2491">
      <c r="A2491" s="24">
        <v>151.0</v>
      </c>
      <c r="B2491" s="24">
        <v>0.0</v>
      </c>
      <c r="C2491" s="44">
        <v>5.84</v>
      </c>
      <c r="D2491" s="46">
        <v>44997.0</v>
      </c>
      <c r="E2491" s="24" t="s">
        <v>6650</v>
      </c>
      <c r="F2491" s="24">
        <v>38.68</v>
      </c>
      <c r="G2491" s="24">
        <v>0.0</v>
      </c>
      <c r="H2491" s="24" t="s">
        <v>6677</v>
      </c>
      <c r="I2491" s="24">
        <v>5.84</v>
      </c>
      <c r="J2491" s="24">
        <v>0.0</v>
      </c>
    </row>
    <row r="2492">
      <c r="A2492" s="24">
        <v>63.0</v>
      </c>
      <c r="B2492" s="24">
        <v>1.0</v>
      </c>
      <c r="C2492" s="44">
        <v>18.43</v>
      </c>
      <c r="D2492" s="46">
        <v>44998.0</v>
      </c>
      <c r="E2492" s="24">
        <v>18.43</v>
      </c>
      <c r="F2492" s="24">
        <v>292.54</v>
      </c>
      <c r="G2492" s="24">
        <v>1.59</v>
      </c>
      <c r="H2492" s="24" t="s">
        <v>6676</v>
      </c>
      <c r="I2492" s="24" t="s">
        <v>6650</v>
      </c>
      <c r="J2492" s="24">
        <v>0.0</v>
      </c>
    </row>
    <row r="2493">
      <c r="A2493" s="24">
        <v>468.0</v>
      </c>
      <c r="B2493" s="24">
        <v>1.0</v>
      </c>
      <c r="C2493" s="44">
        <v>11.18</v>
      </c>
      <c r="D2493" s="46">
        <v>44998.0</v>
      </c>
      <c r="E2493" s="24">
        <v>11.18</v>
      </c>
      <c r="F2493" s="24">
        <v>23.89</v>
      </c>
      <c r="G2493" s="24">
        <v>0.21</v>
      </c>
      <c r="H2493" s="24" t="s">
        <v>6692</v>
      </c>
      <c r="I2493" s="24">
        <v>11.18</v>
      </c>
      <c r="J2493" s="24">
        <v>0.0</v>
      </c>
    </row>
    <row r="2494">
      <c r="A2494" s="24">
        <v>974.0</v>
      </c>
      <c r="B2494" s="24">
        <v>6.0</v>
      </c>
      <c r="C2494" s="44">
        <v>13.66</v>
      </c>
      <c r="D2494" s="46">
        <v>44998.0</v>
      </c>
      <c r="E2494" s="24">
        <v>2.28</v>
      </c>
      <c r="F2494" s="24">
        <v>14.02</v>
      </c>
      <c r="G2494" s="24">
        <v>0.62</v>
      </c>
      <c r="H2494" s="24" t="s">
        <v>6675</v>
      </c>
      <c r="I2494" s="24">
        <v>13.66</v>
      </c>
      <c r="J2494" s="24">
        <v>0.0</v>
      </c>
    </row>
    <row r="2495">
      <c r="A2495" s="24">
        <v>698.0</v>
      </c>
      <c r="B2495" s="24">
        <v>3.0</v>
      </c>
      <c r="C2495" s="44">
        <v>12.41</v>
      </c>
      <c r="D2495" s="46">
        <v>44998.0</v>
      </c>
      <c r="E2495" s="24">
        <v>4.14</v>
      </c>
      <c r="F2495" s="24">
        <v>17.78</v>
      </c>
      <c r="G2495" s="24">
        <v>0.43</v>
      </c>
      <c r="H2495" s="24" t="s">
        <v>6680</v>
      </c>
      <c r="I2495" s="24">
        <v>6.2</v>
      </c>
      <c r="J2495" s="24">
        <v>0.0</v>
      </c>
    </row>
    <row r="2496">
      <c r="A2496" s="24">
        <v>77.0</v>
      </c>
      <c r="B2496" s="24">
        <v>1.0</v>
      </c>
      <c r="C2496" s="44">
        <v>21.69</v>
      </c>
      <c r="D2496" s="46">
        <v>44998.0</v>
      </c>
      <c r="E2496" s="24">
        <v>21.69</v>
      </c>
      <c r="F2496" s="24">
        <v>281.69</v>
      </c>
      <c r="G2496" s="24">
        <v>1.3</v>
      </c>
      <c r="H2496" s="24" t="s">
        <v>6673</v>
      </c>
      <c r="I2496" s="24" t="s">
        <v>6650</v>
      </c>
      <c r="J2496" s="24">
        <v>0.0</v>
      </c>
    </row>
    <row r="2497">
      <c r="A2497" s="24">
        <v>584.0</v>
      </c>
      <c r="B2497" s="24">
        <v>3.0</v>
      </c>
      <c r="C2497" s="44">
        <v>13.42</v>
      </c>
      <c r="D2497" s="46">
        <v>44998.0</v>
      </c>
      <c r="E2497" s="24">
        <v>4.47</v>
      </c>
      <c r="F2497" s="24">
        <v>22.98</v>
      </c>
      <c r="G2497" s="24">
        <v>0.51</v>
      </c>
      <c r="H2497" s="24" t="s">
        <v>6677</v>
      </c>
      <c r="I2497" s="24" t="s">
        <v>6650</v>
      </c>
      <c r="J2497" s="24">
        <v>0.0</v>
      </c>
    </row>
    <row r="2498">
      <c r="A2498" s="24">
        <v>1273.0</v>
      </c>
      <c r="B2498" s="24">
        <v>16.0</v>
      </c>
      <c r="C2498" s="44">
        <v>10.6</v>
      </c>
      <c r="D2498" s="46">
        <v>44998.0</v>
      </c>
      <c r="E2498" s="24">
        <v>0.66</v>
      </c>
      <c r="F2498" s="24">
        <v>8.33</v>
      </c>
      <c r="G2498" s="24">
        <v>1.26</v>
      </c>
      <c r="H2498" s="24" t="s">
        <v>6689</v>
      </c>
      <c r="I2498" s="24">
        <v>2.12</v>
      </c>
      <c r="J2498" s="24">
        <v>0.0</v>
      </c>
    </row>
    <row r="2499">
      <c r="A2499" s="24">
        <v>1068.0</v>
      </c>
      <c r="B2499" s="24">
        <v>7.0</v>
      </c>
      <c r="C2499" s="44">
        <v>12.72</v>
      </c>
      <c r="D2499" s="46">
        <v>44998.0</v>
      </c>
      <c r="E2499" s="24">
        <v>1.82</v>
      </c>
      <c r="F2499" s="24">
        <v>11.91</v>
      </c>
      <c r="G2499" s="24">
        <v>0.66</v>
      </c>
      <c r="H2499" s="24" t="s">
        <v>6688</v>
      </c>
      <c r="I2499" s="24">
        <v>12.72</v>
      </c>
      <c r="J2499" s="24">
        <v>0.0</v>
      </c>
    </row>
    <row r="2500">
      <c r="A2500" s="24">
        <v>0.0</v>
      </c>
      <c r="B2500" s="24">
        <v>0.0</v>
      </c>
      <c r="C2500" s="44"/>
      <c r="D2500" s="46">
        <v>44998.0</v>
      </c>
      <c r="E2500" s="24" t="s">
        <v>6650</v>
      </c>
      <c r="F2500" s="24" t="s">
        <v>6650</v>
      </c>
      <c r="G2500" s="24" t="s">
        <v>6650</v>
      </c>
      <c r="H2500" s="24" t="s">
        <v>6690</v>
      </c>
      <c r="I2500" s="24" t="s">
        <v>6650</v>
      </c>
      <c r="J2500" s="24"/>
    </row>
    <row r="2501">
      <c r="A2501" s="24">
        <v>841.0</v>
      </c>
      <c r="B2501" s="24">
        <v>8.0</v>
      </c>
      <c r="C2501" s="44">
        <v>10.98</v>
      </c>
      <c r="D2501" s="46">
        <v>44999.0</v>
      </c>
      <c r="E2501" s="24">
        <v>1.37</v>
      </c>
      <c r="F2501" s="24">
        <v>13.06</v>
      </c>
      <c r="G2501" s="24">
        <v>0.95</v>
      </c>
      <c r="H2501" s="24" t="s">
        <v>6688</v>
      </c>
      <c r="I2501" s="24">
        <v>3.66</v>
      </c>
      <c r="J2501" s="24">
        <v>0.0</v>
      </c>
    </row>
    <row r="2502">
      <c r="A2502" s="24">
        <v>94.0</v>
      </c>
      <c r="B2502" s="24">
        <v>11.0</v>
      </c>
      <c r="C2502" s="44">
        <v>8.03</v>
      </c>
      <c r="D2502" s="46">
        <v>44999.0</v>
      </c>
      <c r="E2502" s="24">
        <v>0.73</v>
      </c>
      <c r="F2502" s="24">
        <v>85.43</v>
      </c>
      <c r="G2502" s="24">
        <v>11.7</v>
      </c>
      <c r="H2502" s="24" t="s">
        <v>6693</v>
      </c>
      <c r="I2502" s="24">
        <v>0.57</v>
      </c>
      <c r="J2502" s="24">
        <v>0.0</v>
      </c>
    </row>
    <row r="2503">
      <c r="A2503" s="24">
        <v>221.0</v>
      </c>
      <c r="B2503" s="24">
        <v>1.0</v>
      </c>
      <c r="C2503" s="44">
        <v>19.15</v>
      </c>
      <c r="D2503" s="46">
        <v>44999.0</v>
      </c>
      <c r="E2503" s="24">
        <v>19.15</v>
      </c>
      <c r="F2503" s="24">
        <v>86.65</v>
      </c>
      <c r="G2503" s="24">
        <v>0.45</v>
      </c>
      <c r="H2503" s="24" t="s">
        <v>6676</v>
      </c>
      <c r="I2503" s="24" t="s">
        <v>6650</v>
      </c>
      <c r="J2503" s="24">
        <v>0.0</v>
      </c>
    </row>
    <row r="2504">
      <c r="A2504" s="24">
        <v>624.0</v>
      </c>
      <c r="B2504" s="24">
        <v>7.0</v>
      </c>
      <c r="C2504" s="44">
        <v>12.68</v>
      </c>
      <c r="D2504" s="46">
        <v>44999.0</v>
      </c>
      <c r="E2504" s="24">
        <v>1.81</v>
      </c>
      <c r="F2504" s="24">
        <v>20.32</v>
      </c>
      <c r="G2504" s="24">
        <v>1.12</v>
      </c>
      <c r="H2504" s="24" t="s">
        <v>6677</v>
      </c>
      <c r="I2504" s="24">
        <v>12.68</v>
      </c>
      <c r="J2504" s="24">
        <v>0.0</v>
      </c>
    </row>
    <row r="2505">
      <c r="A2505" s="24">
        <v>694.0</v>
      </c>
      <c r="B2505" s="24">
        <v>4.0</v>
      </c>
      <c r="C2505" s="44">
        <v>23.53</v>
      </c>
      <c r="D2505" s="46">
        <v>44999.0</v>
      </c>
      <c r="E2505" s="24">
        <v>5.88</v>
      </c>
      <c r="F2505" s="24">
        <v>33.9</v>
      </c>
      <c r="G2505" s="24">
        <v>0.58</v>
      </c>
      <c r="H2505" s="24" t="s">
        <v>6673</v>
      </c>
      <c r="I2505" s="24" t="s">
        <v>6650</v>
      </c>
      <c r="J2505" s="24">
        <v>0.0</v>
      </c>
    </row>
    <row r="2506">
      <c r="A2506" s="24">
        <v>703.0</v>
      </c>
      <c r="B2506" s="24">
        <v>9.0</v>
      </c>
      <c r="C2506" s="44">
        <v>12.66</v>
      </c>
      <c r="D2506" s="46">
        <v>44999.0</v>
      </c>
      <c r="E2506" s="24">
        <v>1.41</v>
      </c>
      <c r="F2506" s="24">
        <v>18.01</v>
      </c>
      <c r="G2506" s="24">
        <v>1.28</v>
      </c>
      <c r="H2506" s="24" t="s">
        <v>6675</v>
      </c>
      <c r="I2506" s="24" t="s">
        <v>6650</v>
      </c>
      <c r="J2506" s="24">
        <v>0.0</v>
      </c>
    </row>
    <row r="2507">
      <c r="A2507" s="24">
        <v>503.0</v>
      </c>
      <c r="B2507" s="24">
        <v>6.0</v>
      </c>
      <c r="C2507" s="44">
        <v>12.21</v>
      </c>
      <c r="D2507" s="46">
        <v>44999.0</v>
      </c>
      <c r="E2507" s="24">
        <v>2.04</v>
      </c>
      <c r="F2507" s="24">
        <v>24.27</v>
      </c>
      <c r="G2507" s="24">
        <v>1.19</v>
      </c>
      <c r="H2507" s="24" t="s">
        <v>6689</v>
      </c>
      <c r="I2507" s="24">
        <v>6.1</v>
      </c>
      <c r="J2507" s="24">
        <v>0.0</v>
      </c>
    </row>
    <row r="2508">
      <c r="A2508" s="24">
        <v>600.0</v>
      </c>
      <c r="B2508" s="24">
        <v>1.0</v>
      </c>
      <c r="C2508" s="44">
        <v>12.58</v>
      </c>
      <c r="D2508" s="46">
        <v>44999.0</v>
      </c>
      <c r="E2508" s="24">
        <v>12.58</v>
      </c>
      <c r="F2508" s="24">
        <v>20.97</v>
      </c>
      <c r="G2508" s="24">
        <v>0.17</v>
      </c>
      <c r="H2508" s="24" t="s">
        <v>6680</v>
      </c>
      <c r="I2508" s="24">
        <v>12.58</v>
      </c>
      <c r="J2508" s="24">
        <v>0.0</v>
      </c>
    </row>
    <row r="2509">
      <c r="A2509" s="24">
        <v>466.0</v>
      </c>
      <c r="B2509" s="24">
        <v>1.0</v>
      </c>
      <c r="C2509" s="44">
        <v>11.94</v>
      </c>
      <c r="D2509" s="46">
        <v>44999.0</v>
      </c>
      <c r="E2509" s="24">
        <v>11.94</v>
      </c>
      <c r="F2509" s="24">
        <v>25.62</v>
      </c>
      <c r="G2509" s="24">
        <v>0.21</v>
      </c>
      <c r="H2509" s="24" t="s">
        <v>6692</v>
      </c>
      <c r="I2509" s="24">
        <v>11.94</v>
      </c>
      <c r="J2509" s="24">
        <v>0.0</v>
      </c>
    </row>
    <row r="2510">
      <c r="A2510" s="24">
        <v>1148.0</v>
      </c>
      <c r="B2510" s="24">
        <v>21.0</v>
      </c>
      <c r="C2510" s="44">
        <v>12.52</v>
      </c>
      <c r="D2510" s="46">
        <v>45000.0</v>
      </c>
      <c r="E2510" s="24">
        <v>0.6</v>
      </c>
      <c r="F2510" s="24">
        <v>10.91</v>
      </c>
      <c r="G2510" s="24">
        <v>1.83</v>
      </c>
      <c r="H2510" s="24" t="s">
        <v>6675</v>
      </c>
      <c r="I2510" s="24" t="s">
        <v>6650</v>
      </c>
      <c r="J2510" s="24">
        <v>0.0</v>
      </c>
    </row>
    <row r="2511">
      <c r="A2511" s="24">
        <v>772.0</v>
      </c>
      <c r="B2511" s="24">
        <v>8.0</v>
      </c>
      <c r="C2511" s="44">
        <v>11.84</v>
      </c>
      <c r="D2511" s="46">
        <v>45000.0</v>
      </c>
      <c r="E2511" s="24">
        <v>1.48</v>
      </c>
      <c r="F2511" s="24">
        <v>15.34</v>
      </c>
      <c r="G2511" s="24">
        <v>1.04</v>
      </c>
      <c r="H2511" s="24" t="s">
        <v>6677</v>
      </c>
      <c r="I2511" s="24">
        <v>11.84</v>
      </c>
      <c r="J2511" s="24">
        <v>0.0</v>
      </c>
    </row>
    <row r="2512">
      <c r="A2512" s="24">
        <v>1245.0</v>
      </c>
      <c r="B2512" s="24">
        <v>14.0</v>
      </c>
      <c r="C2512" s="44">
        <v>11.37</v>
      </c>
      <c r="D2512" s="46">
        <v>45000.0</v>
      </c>
      <c r="E2512" s="24">
        <v>0.81</v>
      </c>
      <c r="F2512" s="24">
        <v>9.13</v>
      </c>
      <c r="G2512" s="24">
        <v>1.12</v>
      </c>
      <c r="H2512" s="24" t="s">
        <v>6689</v>
      </c>
      <c r="I2512" s="24">
        <v>11.37</v>
      </c>
      <c r="J2512" s="24">
        <v>0.0</v>
      </c>
    </row>
    <row r="2513">
      <c r="A2513" s="24">
        <v>395.0</v>
      </c>
      <c r="B2513" s="24">
        <v>0.0</v>
      </c>
      <c r="C2513" s="44">
        <v>18.56</v>
      </c>
      <c r="D2513" s="46">
        <v>45000.0</v>
      </c>
      <c r="E2513" s="24" t="s">
        <v>6650</v>
      </c>
      <c r="F2513" s="24">
        <v>46.99</v>
      </c>
      <c r="G2513" s="24">
        <v>0.0</v>
      </c>
      <c r="H2513" s="24" t="s">
        <v>6676</v>
      </c>
      <c r="I2513" s="24" t="s">
        <v>6650</v>
      </c>
      <c r="J2513" s="24">
        <v>0.0</v>
      </c>
    </row>
    <row r="2514">
      <c r="A2514" s="24">
        <v>101.0</v>
      </c>
      <c r="B2514" s="24">
        <v>10.0</v>
      </c>
      <c r="C2514" s="44">
        <v>3.57</v>
      </c>
      <c r="D2514" s="46">
        <v>45000.0</v>
      </c>
      <c r="E2514" s="24">
        <v>0.36</v>
      </c>
      <c r="F2514" s="24">
        <v>35.35</v>
      </c>
      <c r="G2514" s="24">
        <v>9.9</v>
      </c>
      <c r="H2514" s="24" t="s">
        <v>6693</v>
      </c>
      <c r="I2514" s="24">
        <v>0.51</v>
      </c>
      <c r="J2514" s="24">
        <v>0.0</v>
      </c>
    </row>
    <row r="2515">
      <c r="A2515" s="24">
        <v>591.0</v>
      </c>
      <c r="B2515" s="24">
        <v>5.0</v>
      </c>
      <c r="C2515" s="44">
        <v>13.79</v>
      </c>
      <c r="D2515" s="46">
        <v>45000.0</v>
      </c>
      <c r="E2515" s="24">
        <v>2.76</v>
      </c>
      <c r="F2515" s="24">
        <v>23.33</v>
      </c>
      <c r="G2515" s="24">
        <v>0.85</v>
      </c>
      <c r="H2515" s="24" t="s">
        <v>6680</v>
      </c>
      <c r="I2515" s="24">
        <v>3.45</v>
      </c>
      <c r="J2515" s="24">
        <v>0.0</v>
      </c>
    </row>
    <row r="2516">
      <c r="A2516" s="24">
        <v>404.0</v>
      </c>
      <c r="B2516" s="24">
        <v>3.0</v>
      </c>
      <c r="C2516" s="44">
        <v>11.33</v>
      </c>
      <c r="D2516" s="46">
        <v>45000.0</v>
      </c>
      <c r="E2516" s="24">
        <v>3.78</v>
      </c>
      <c r="F2516" s="24">
        <v>28.04</v>
      </c>
      <c r="G2516" s="24">
        <v>0.74</v>
      </c>
      <c r="H2516" s="24" t="s">
        <v>6692</v>
      </c>
      <c r="I2516" s="24">
        <v>3.78</v>
      </c>
      <c r="J2516" s="24">
        <v>0.0</v>
      </c>
    </row>
    <row r="2517">
      <c r="A2517" s="24">
        <v>586.0</v>
      </c>
      <c r="B2517" s="24">
        <v>3.0</v>
      </c>
      <c r="C2517" s="44">
        <v>23.19</v>
      </c>
      <c r="D2517" s="46">
        <v>45000.0</v>
      </c>
      <c r="E2517" s="24">
        <v>7.73</v>
      </c>
      <c r="F2517" s="24">
        <v>39.57</v>
      </c>
      <c r="G2517" s="24">
        <v>0.51</v>
      </c>
      <c r="H2517" s="24" t="s">
        <v>6673</v>
      </c>
      <c r="I2517" s="24">
        <v>23.19</v>
      </c>
      <c r="J2517" s="24">
        <v>0.0</v>
      </c>
    </row>
    <row r="2518">
      <c r="A2518" s="24">
        <v>1768.0</v>
      </c>
      <c r="B2518" s="24">
        <v>13.0</v>
      </c>
      <c r="C2518" s="44">
        <v>10.87</v>
      </c>
      <c r="D2518" s="46">
        <v>45000.0</v>
      </c>
      <c r="E2518" s="24">
        <v>0.84</v>
      </c>
      <c r="F2518" s="24">
        <v>6.15</v>
      </c>
      <c r="G2518" s="24">
        <v>0.74</v>
      </c>
      <c r="H2518" s="24" t="s">
        <v>6688</v>
      </c>
      <c r="I2518" s="24">
        <v>3.62</v>
      </c>
      <c r="J2518" s="24">
        <v>0.0</v>
      </c>
    </row>
    <row r="2519">
      <c r="A2519" s="24">
        <v>581.0</v>
      </c>
      <c r="B2519" s="24">
        <v>2.0</v>
      </c>
      <c r="C2519" s="44">
        <v>13.58</v>
      </c>
      <c r="D2519" s="46">
        <v>45001.0</v>
      </c>
      <c r="E2519" s="24">
        <v>6.79</v>
      </c>
      <c r="F2519" s="24">
        <v>23.37</v>
      </c>
      <c r="G2519" s="24">
        <v>0.34</v>
      </c>
      <c r="H2519" s="24" t="s">
        <v>6680</v>
      </c>
      <c r="I2519" s="24" t="s">
        <v>6650</v>
      </c>
      <c r="J2519" s="24">
        <v>0.0</v>
      </c>
    </row>
    <row r="2520">
      <c r="A2520" s="24">
        <v>421.0</v>
      </c>
      <c r="B2520" s="24">
        <v>5.0</v>
      </c>
      <c r="C2520" s="44">
        <v>13.71</v>
      </c>
      <c r="D2520" s="46">
        <v>45001.0</v>
      </c>
      <c r="E2520" s="24">
        <v>2.74</v>
      </c>
      <c r="F2520" s="24">
        <v>32.57</v>
      </c>
      <c r="G2520" s="24">
        <v>1.19</v>
      </c>
      <c r="H2520" s="24" t="s">
        <v>6677</v>
      </c>
      <c r="I2520" s="24">
        <v>13.71</v>
      </c>
      <c r="J2520" s="24">
        <v>0.0</v>
      </c>
    </row>
    <row r="2521">
      <c r="A2521" s="24">
        <v>96.0</v>
      </c>
      <c r="B2521" s="24">
        <v>8.0</v>
      </c>
      <c r="C2521" s="44">
        <v>14.08</v>
      </c>
      <c r="D2521" s="46">
        <v>45001.0</v>
      </c>
      <c r="E2521" s="24">
        <v>1.76</v>
      </c>
      <c r="F2521" s="24">
        <v>146.67</v>
      </c>
      <c r="G2521" s="24">
        <v>8.33</v>
      </c>
      <c r="H2521" s="24" t="s">
        <v>6693</v>
      </c>
      <c r="I2521" s="24">
        <v>1.28</v>
      </c>
      <c r="J2521" s="24">
        <v>0.0</v>
      </c>
    </row>
    <row r="2522">
      <c r="A2522" s="24">
        <v>176.0</v>
      </c>
      <c r="B2522" s="24">
        <v>1.0</v>
      </c>
      <c r="C2522" s="44">
        <v>12.19</v>
      </c>
      <c r="D2522" s="46">
        <v>45001.0</v>
      </c>
      <c r="E2522" s="24">
        <v>12.19</v>
      </c>
      <c r="F2522" s="24">
        <v>69.26</v>
      </c>
      <c r="G2522" s="24">
        <v>0.57</v>
      </c>
      <c r="H2522" s="24" t="s">
        <v>6694</v>
      </c>
      <c r="I2522" s="24" t="s">
        <v>6650</v>
      </c>
      <c r="J2522" s="24">
        <v>0.0</v>
      </c>
    </row>
    <row r="2523">
      <c r="A2523" s="24">
        <v>581.0</v>
      </c>
      <c r="B2523" s="24">
        <v>1.0</v>
      </c>
      <c r="C2523" s="44">
        <v>22.0</v>
      </c>
      <c r="D2523" s="46">
        <v>45001.0</v>
      </c>
      <c r="E2523" s="24">
        <v>22.0</v>
      </c>
      <c r="F2523" s="24">
        <v>37.87</v>
      </c>
      <c r="G2523" s="24">
        <v>0.17</v>
      </c>
      <c r="H2523" s="24" t="s">
        <v>6673</v>
      </c>
      <c r="I2523" s="24" t="s">
        <v>6650</v>
      </c>
      <c r="J2523" s="24">
        <v>0.0</v>
      </c>
    </row>
    <row r="2524">
      <c r="A2524" s="24">
        <v>273.0</v>
      </c>
      <c r="B2524" s="24">
        <v>1.0</v>
      </c>
      <c r="C2524" s="44">
        <v>11.29</v>
      </c>
      <c r="D2524" s="46">
        <v>45001.0</v>
      </c>
      <c r="E2524" s="24">
        <v>11.29</v>
      </c>
      <c r="F2524" s="24">
        <v>41.36</v>
      </c>
      <c r="G2524" s="24">
        <v>0.37</v>
      </c>
      <c r="H2524" s="24" t="s">
        <v>6692</v>
      </c>
      <c r="I2524" s="24">
        <v>11.29</v>
      </c>
      <c r="J2524" s="24">
        <v>0.0</v>
      </c>
    </row>
    <row r="2525">
      <c r="A2525" s="24">
        <v>488.0</v>
      </c>
      <c r="B2525" s="24">
        <v>8.0</v>
      </c>
      <c r="C2525" s="44">
        <v>12.85</v>
      </c>
      <c r="D2525" s="46">
        <v>45001.0</v>
      </c>
      <c r="E2525" s="24">
        <v>1.61</v>
      </c>
      <c r="F2525" s="24">
        <v>26.33</v>
      </c>
      <c r="G2525" s="24">
        <v>1.64</v>
      </c>
      <c r="H2525" s="24" t="s">
        <v>6689</v>
      </c>
      <c r="I2525" s="24">
        <v>3.21</v>
      </c>
      <c r="J2525" s="24">
        <v>0.0</v>
      </c>
    </row>
    <row r="2526">
      <c r="A2526" s="24">
        <v>384.0</v>
      </c>
      <c r="B2526" s="24">
        <v>2.0</v>
      </c>
      <c r="C2526" s="44">
        <v>13.11</v>
      </c>
      <c r="D2526" s="46">
        <v>45001.0</v>
      </c>
      <c r="E2526" s="24">
        <v>6.56</v>
      </c>
      <c r="F2526" s="24">
        <v>34.14</v>
      </c>
      <c r="G2526" s="24">
        <v>0.52</v>
      </c>
      <c r="H2526" s="24" t="s">
        <v>6675</v>
      </c>
      <c r="I2526" s="24" t="s">
        <v>6650</v>
      </c>
      <c r="J2526" s="24">
        <v>0.0</v>
      </c>
    </row>
    <row r="2527">
      <c r="A2527" s="24">
        <v>1627.0</v>
      </c>
      <c r="B2527" s="24">
        <v>13.0</v>
      </c>
      <c r="C2527" s="44">
        <v>11.5</v>
      </c>
      <c r="D2527" s="46">
        <v>45001.0</v>
      </c>
      <c r="E2527" s="24">
        <v>0.88</v>
      </c>
      <c r="F2527" s="24">
        <v>7.07</v>
      </c>
      <c r="G2527" s="24">
        <v>0.8</v>
      </c>
      <c r="H2527" s="24" t="s">
        <v>6688</v>
      </c>
      <c r="I2527" s="24">
        <v>1.05</v>
      </c>
      <c r="J2527" s="24">
        <v>0.0</v>
      </c>
    </row>
    <row r="2528">
      <c r="A2528" s="24">
        <v>408.0</v>
      </c>
      <c r="B2528" s="24">
        <v>1.0</v>
      </c>
      <c r="C2528" s="44">
        <v>20.41</v>
      </c>
      <c r="D2528" s="46">
        <v>45001.0</v>
      </c>
      <c r="E2528" s="24">
        <v>20.41</v>
      </c>
      <c r="F2528" s="24">
        <v>50.02</v>
      </c>
      <c r="G2528" s="24">
        <v>0.25</v>
      </c>
      <c r="H2528" s="24" t="s">
        <v>6676</v>
      </c>
      <c r="I2528" s="24" t="s">
        <v>6650</v>
      </c>
      <c r="J2528" s="24">
        <v>0.0</v>
      </c>
    </row>
    <row r="2529">
      <c r="A2529" s="24">
        <v>153.0</v>
      </c>
      <c r="B2529" s="24">
        <v>0.0</v>
      </c>
      <c r="C2529" s="44">
        <v>11.97</v>
      </c>
      <c r="D2529" s="46">
        <v>45002.0</v>
      </c>
      <c r="E2529" s="24" t="s">
        <v>6650</v>
      </c>
      <c r="F2529" s="24">
        <v>78.24</v>
      </c>
      <c r="G2529" s="24">
        <v>0.0</v>
      </c>
      <c r="H2529" s="24" t="s">
        <v>6694</v>
      </c>
      <c r="I2529" s="24">
        <v>5.98</v>
      </c>
      <c r="J2529" s="24">
        <v>0.0</v>
      </c>
    </row>
    <row r="2530">
      <c r="A2530" s="24">
        <v>636.0</v>
      </c>
      <c r="B2530" s="24">
        <v>5.0</v>
      </c>
      <c r="C2530" s="44">
        <v>21.06</v>
      </c>
      <c r="D2530" s="46">
        <v>45002.0</v>
      </c>
      <c r="E2530" s="24">
        <v>4.21</v>
      </c>
      <c r="F2530" s="24">
        <v>33.11</v>
      </c>
      <c r="G2530" s="24">
        <v>0.79</v>
      </c>
      <c r="H2530" s="24" t="s">
        <v>6673</v>
      </c>
      <c r="I2530" s="24" t="s">
        <v>6650</v>
      </c>
      <c r="J2530" s="24">
        <v>0.0</v>
      </c>
    </row>
    <row r="2531">
      <c r="A2531" s="24">
        <v>67.0</v>
      </c>
      <c r="B2531" s="24">
        <v>1.0</v>
      </c>
      <c r="C2531" s="44">
        <v>14.72</v>
      </c>
      <c r="D2531" s="46">
        <v>45002.0</v>
      </c>
      <c r="E2531" s="24">
        <v>14.72</v>
      </c>
      <c r="F2531" s="24">
        <v>219.7</v>
      </c>
      <c r="G2531" s="24">
        <v>1.49</v>
      </c>
      <c r="H2531" s="24" t="s">
        <v>6693</v>
      </c>
      <c r="I2531" s="24">
        <v>7.36</v>
      </c>
      <c r="J2531" s="24">
        <v>0.0</v>
      </c>
    </row>
    <row r="2532">
      <c r="A2532" s="24">
        <v>234.0</v>
      </c>
      <c r="B2532" s="24">
        <v>1.0</v>
      </c>
      <c r="C2532" s="44">
        <v>19.23</v>
      </c>
      <c r="D2532" s="46">
        <v>45002.0</v>
      </c>
      <c r="E2532" s="24">
        <v>19.23</v>
      </c>
      <c r="F2532" s="24">
        <v>82.18</v>
      </c>
      <c r="G2532" s="24">
        <v>0.43</v>
      </c>
      <c r="H2532" s="24" t="s">
        <v>6676</v>
      </c>
      <c r="I2532" s="24" t="s">
        <v>6650</v>
      </c>
      <c r="J2532" s="24">
        <v>0.0</v>
      </c>
    </row>
    <row r="2533">
      <c r="A2533" s="24">
        <v>1329.0</v>
      </c>
      <c r="B2533" s="24">
        <v>10.0</v>
      </c>
      <c r="C2533" s="44">
        <v>10.91</v>
      </c>
      <c r="D2533" s="46">
        <v>45002.0</v>
      </c>
      <c r="E2533" s="24">
        <v>1.09</v>
      </c>
      <c r="F2533" s="24">
        <v>8.21</v>
      </c>
      <c r="G2533" s="24">
        <v>0.75</v>
      </c>
      <c r="H2533" s="24" t="s">
        <v>6688</v>
      </c>
      <c r="I2533" s="24">
        <v>3.64</v>
      </c>
      <c r="J2533" s="24">
        <v>0.0</v>
      </c>
    </row>
    <row r="2534">
      <c r="A2534" s="24">
        <v>131.0</v>
      </c>
      <c r="B2534" s="24">
        <v>0.0</v>
      </c>
      <c r="C2534" s="44">
        <v>3.84</v>
      </c>
      <c r="D2534" s="46">
        <v>45002.0</v>
      </c>
      <c r="E2534" s="24" t="s">
        <v>6650</v>
      </c>
      <c r="F2534" s="24">
        <v>29.31</v>
      </c>
      <c r="G2534" s="24">
        <v>0.0</v>
      </c>
      <c r="H2534" s="24" t="s">
        <v>6692</v>
      </c>
      <c r="I2534" s="24">
        <v>3.84</v>
      </c>
      <c r="J2534" s="24">
        <v>0.0</v>
      </c>
    </row>
    <row r="2535">
      <c r="A2535" s="24">
        <v>1143.0</v>
      </c>
      <c r="B2535" s="24">
        <v>12.0</v>
      </c>
      <c r="C2535" s="44">
        <v>11.09</v>
      </c>
      <c r="D2535" s="46">
        <v>45002.0</v>
      </c>
      <c r="E2535" s="24">
        <v>0.92</v>
      </c>
      <c r="F2535" s="24">
        <v>9.7</v>
      </c>
      <c r="G2535" s="24">
        <v>1.05</v>
      </c>
      <c r="H2535" s="24" t="s">
        <v>6689</v>
      </c>
      <c r="I2535" s="24">
        <v>11.09</v>
      </c>
      <c r="J2535" s="24">
        <v>0.0</v>
      </c>
    </row>
    <row r="2536">
      <c r="A2536" s="24">
        <v>641.0</v>
      </c>
      <c r="B2536" s="24">
        <v>3.0</v>
      </c>
      <c r="C2536" s="44">
        <v>12.65</v>
      </c>
      <c r="D2536" s="46">
        <v>45002.0</v>
      </c>
      <c r="E2536" s="24">
        <v>4.22</v>
      </c>
      <c r="F2536" s="24">
        <v>19.73</v>
      </c>
      <c r="G2536" s="24">
        <v>0.47</v>
      </c>
      <c r="H2536" s="24" t="s">
        <v>6677</v>
      </c>
      <c r="I2536" s="24">
        <v>6.32</v>
      </c>
      <c r="J2536" s="24">
        <v>0.0</v>
      </c>
    </row>
    <row r="2537">
      <c r="A2537" s="24">
        <v>1292.0</v>
      </c>
      <c r="B2537" s="24">
        <v>11.0</v>
      </c>
      <c r="C2537" s="44">
        <v>11.85</v>
      </c>
      <c r="D2537" s="46">
        <v>45002.0</v>
      </c>
      <c r="E2537" s="24">
        <v>1.08</v>
      </c>
      <c r="F2537" s="24">
        <v>9.17</v>
      </c>
      <c r="G2537" s="24">
        <v>0.85</v>
      </c>
      <c r="H2537" s="24" t="s">
        <v>6675</v>
      </c>
      <c r="I2537" s="24">
        <v>11.85</v>
      </c>
      <c r="J2537" s="24">
        <v>0.0</v>
      </c>
    </row>
    <row r="2538">
      <c r="A2538" s="24">
        <v>519.0</v>
      </c>
      <c r="B2538" s="24">
        <v>4.0</v>
      </c>
      <c r="C2538" s="44">
        <v>13.3</v>
      </c>
      <c r="D2538" s="46">
        <v>45002.0</v>
      </c>
      <c r="E2538" s="24">
        <v>3.32</v>
      </c>
      <c r="F2538" s="24">
        <v>25.63</v>
      </c>
      <c r="G2538" s="24">
        <v>0.77</v>
      </c>
      <c r="H2538" s="24" t="s">
        <v>6680</v>
      </c>
      <c r="I2538" s="24">
        <v>13.3</v>
      </c>
      <c r="J2538" s="24">
        <v>0.0</v>
      </c>
    </row>
    <row r="2539">
      <c r="A2539" s="24">
        <v>1025.0</v>
      </c>
      <c r="B2539" s="24">
        <v>5.0</v>
      </c>
      <c r="C2539" s="44">
        <v>6.67</v>
      </c>
      <c r="D2539" s="46">
        <v>45003.0</v>
      </c>
      <c r="E2539" s="24">
        <v>1.33</v>
      </c>
      <c r="F2539" s="24">
        <v>6.51</v>
      </c>
      <c r="G2539" s="24">
        <v>0.49</v>
      </c>
      <c r="H2539" s="24" t="s">
        <v>6688</v>
      </c>
      <c r="I2539" s="24">
        <v>6.67</v>
      </c>
      <c r="J2539" s="24">
        <v>0.0</v>
      </c>
    </row>
    <row r="2540">
      <c r="A2540" s="24">
        <v>69.0</v>
      </c>
      <c r="B2540" s="24">
        <v>4.0</v>
      </c>
      <c r="C2540" s="44">
        <v>8.48</v>
      </c>
      <c r="D2540" s="46">
        <v>45003.0</v>
      </c>
      <c r="E2540" s="24">
        <v>2.12</v>
      </c>
      <c r="F2540" s="24">
        <v>122.9</v>
      </c>
      <c r="G2540" s="24">
        <v>5.8</v>
      </c>
      <c r="H2540" s="24" t="s">
        <v>6693</v>
      </c>
      <c r="I2540" s="24">
        <v>8.48</v>
      </c>
      <c r="J2540" s="24">
        <v>0.0</v>
      </c>
    </row>
    <row r="2541">
      <c r="A2541" s="24">
        <v>73.0</v>
      </c>
      <c r="B2541" s="24">
        <v>1.0</v>
      </c>
      <c r="C2541" s="44">
        <v>10.05</v>
      </c>
      <c r="D2541" s="46">
        <v>45003.0</v>
      </c>
      <c r="E2541" s="24">
        <v>10.05</v>
      </c>
      <c r="F2541" s="24">
        <v>137.67</v>
      </c>
      <c r="G2541" s="24">
        <v>1.37</v>
      </c>
      <c r="H2541" s="24" t="s">
        <v>6694</v>
      </c>
      <c r="I2541" s="24">
        <v>10.05</v>
      </c>
      <c r="J2541" s="24">
        <v>0.0</v>
      </c>
    </row>
    <row r="2542">
      <c r="A2542" s="24">
        <v>749.0</v>
      </c>
      <c r="B2542" s="24">
        <v>12.0</v>
      </c>
      <c r="C2542" s="44">
        <v>6.64</v>
      </c>
      <c r="D2542" s="46">
        <v>45003.0</v>
      </c>
      <c r="E2542" s="24">
        <v>0.55</v>
      </c>
      <c r="F2542" s="24">
        <v>8.87</v>
      </c>
      <c r="G2542" s="24">
        <v>1.6</v>
      </c>
      <c r="H2542" s="24" t="s">
        <v>6675</v>
      </c>
      <c r="I2542" s="24" t="s">
        <v>6650</v>
      </c>
      <c r="J2542" s="24">
        <v>0.0</v>
      </c>
    </row>
    <row r="2543">
      <c r="A2543" s="24">
        <v>258.0</v>
      </c>
      <c r="B2543" s="24">
        <v>1.0</v>
      </c>
      <c r="C2543" s="44">
        <v>7.81</v>
      </c>
      <c r="D2543" s="46">
        <v>45003.0</v>
      </c>
      <c r="E2543" s="24">
        <v>7.81</v>
      </c>
      <c r="F2543" s="24">
        <v>30.27</v>
      </c>
      <c r="G2543" s="24">
        <v>0.39</v>
      </c>
      <c r="H2543" s="24" t="s">
        <v>6680</v>
      </c>
      <c r="I2543" s="24" t="s">
        <v>6650</v>
      </c>
      <c r="J2543" s="24">
        <v>0.0</v>
      </c>
    </row>
    <row r="2544">
      <c r="A2544" s="24">
        <v>763.0</v>
      </c>
      <c r="B2544" s="24">
        <v>18.0</v>
      </c>
      <c r="C2544" s="44">
        <v>6.49</v>
      </c>
      <c r="D2544" s="46">
        <v>45003.0</v>
      </c>
      <c r="E2544" s="24">
        <v>0.36</v>
      </c>
      <c r="F2544" s="24">
        <v>8.51</v>
      </c>
      <c r="G2544" s="24">
        <v>2.36</v>
      </c>
      <c r="H2544" s="24" t="s">
        <v>6689</v>
      </c>
      <c r="I2544" s="24">
        <v>3.24</v>
      </c>
      <c r="J2544" s="24">
        <v>0.0</v>
      </c>
    </row>
    <row r="2545">
      <c r="A2545" s="24">
        <v>157.0</v>
      </c>
      <c r="B2545" s="24">
        <v>0.0</v>
      </c>
      <c r="C2545" s="44">
        <v>11.12</v>
      </c>
      <c r="D2545" s="46">
        <v>45003.0</v>
      </c>
      <c r="E2545" s="24" t="s">
        <v>6650</v>
      </c>
      <c r="F2545" s="24">
        <v>70.83</v>
      </c>
      <c r="G2545" s="24">
        <v>0.0</v>
      </c>
      <c r="H2545" s="24" t="s">
        <v>6676</v>
      </c>
      <c r="I2545" s="24" t="s">
        <v>6650</v>
      </c>
      <c r="J2545" s="24">
        <v>0.0</v>
      </c>
    </row>
    <row r="2546">
      <c r="A2546" s="24">
        <v>147.0</v>
      </c>
      <c r="B2546" s="24">
        <v>1.0</v>
      </c>
      <c r="C2546" s="44">
        <v>6.46</v>
      </c>
      <c r="D2546" s="46">
        <v>45003.0</v>
      </c>
      <c r="E2546" s="24">
        <v>6.46</v>
      </c>
      <c r="F2546" s="24">
        <v>43.95</v>
      </c>
      <c r="G2546" s="24">
        <v>0.68</v>
      </c>
      <c r="H2546" s="24" t="s">
        <v>6677</v>
      </c>
      <c r="I2546" s="24" t="s">
        <v>6650</v>
      </c>
      <c r="J2546" s="24">
        <v>0.0</v>
      </c>
    </row>
    <row r="2547">
      <c r="A2547" s="24">
        <v>212.0</v>
      </c>
      <c r="B2547" s="24">
        <v>0.0</v>
      </c>
      <c r="C2547" s="44">
        <v>11.89</v>
      </c>
      <c r="D2547" s="46">
        <v>45003.0</v>
      </c>
      <c r="E2547" s="24" t="s">
        <v>6650</v>
      </c>
      <c r="F2547" s="24">
        <v>56.08</v>
      </c>
      <c r="G2547" s="24">
        <v>0.0</v>
      </c>
      <c r="H2547" s="24" t="s">
        <v>6673</v>
      </c>
      <c r="I2547" s="24" t="s">
        <v>6650</v>
      </c>
      <c r="J2547" s="24">
        <v>0.0</v>
      </c>
    </row>
    <row r="2548">
      <c r="A2548" s="24">
        <v>174.0</v>
      </c>
      <c r="B2548" s="24">
        <v>3.0</v>
      </c>
      <c r="C2548" s="44">
        <v>6.24</v>
      </c>
      <c r="D2548" s="46">
        <v>45004.0</v>
      </c>
      <c r="E2548" s="24">
        <v>2.08</v>
      </c>
      <c r="F2548" s="24">
        <v>35.86</v>
      </c>
      <c r="G2548" s="24">
        <v>1.72</v>
      </c>
      <c r="H2548" s="24" t="s">
        <v>6677</v>
      </c>
      <c r="I2548" s="24" t="s">
        <v>6650</v>
      </c>
      <c r="J2548" s="24">
        <v>0.0</v>
      </c>
    </row>
    <row r="2549">
      <c r="A2549" s="24">
        <v>686.0</v>
      </c>
      <c r="B2549" s="24">
        <v>3.0</v>
      </c>
      <c r="C2549" s="44">
        <v>6.56</v>
      </c>
      <c r="D2549" s="46">
        <v>45004.0</v>
      </c>
      <c r="E2549" s="24">
        <v>2.19</v>
      </c>
      <c r="F2549" s="24">
        <v>9.56</v>
      </c>
      <c r="G2549" s="24">
        <v>0.44</v>
      </c>
      <c r="H2549" s="24" t="s">
        <v>6675</v>
      </c>
      <c r="I2549" s="24" t="s">
        <v>6650</v>
      </c>
      <c r="J2549" s="24">
        <v>0.0</v>
      </c>
    </row>
    <row r="2550">
      <c r="A2550" s="24">
        <v>858.0</v>
      </c>
      <c r="B2550" s="24">
        <v>10.0</v>
      </c>
      <c r="C2550" s="44">
        <v>6.35</v>
      </c>
      <c r="D2550" s="46">
        <v>45004.0</v>
      </c>
      <c r="E2550" s="24">
        <v>0.64</v>
      </c>
      <c r="F2550" s="24">
        <v>7.4</v>
      </c>
      <c r="G2550" s="24">
        <v>1.17</v>
      </c>
      <c r="H2550" s="24" t="s">
        <v>6688</v>
      </c>
      <c r="I2550" s="24">
        <v>3.18</v>
      </c>
      <c r="J2550" s="24">
        <v>0.0</v>
      </c>
    </row>
    <row r="2551">
      <c r="A2551" s="24">
        <v>49.0</v>
      </c>
      <c r="B2551" s="24">
        <v>4.0</v>
      </c>
      <c r="C2551" s="44">
        <v>7.87</v>
      </c>
      <c r="D2551" s="46">
        <v>45004.0</v>
      </c>
      <c r="E2551" s="24">
        <v>1.97</v>
      </c>
      <c r="F2551" s="24">
        <v>160.61</v>
      </c>
      <c r="G2551" s="24">
        <v>8.16</v>
      </c>
      <c r="H2551" s="24" t="s">
        <v>6693</v>
      </c>
      <c r="I2551" s="24" t="s">
        <v>6650</v>
      </c>
      <c r="J2551" s="24">
        <v>0.0</v>
      </c>
    </row>
    <row r="2552">
      <c r="A2552" s="24">
        <v>154.0</v>
      </c>
      <c r="B2552" s="24">
        <v>0.0</v>
      </c>
      <c r="C2552" s="44">
        <v>3.53</v>
      </c>
      <c r="D2552" s="46">
        <v>45004.0</v>
      </c>
      <c r="E2552" s="24" t="s">
        <v>6650</v>
      </c>
      <c r="F2552" s="24">
        <v>22.92</v>
      </c>
      <c r="G2552" s="24">
        <v>0.0</v>
      </c>
      <c r="H2552" s="24" t="s">
        <v>6680</v>
      </c>
      <c r="I2552" s="24" t="s">
        <v>6650</v>
      </c>
      <c r="J2552" s="24">
        <v>0.0</v>
      </c>
    </row>
    <row r="2553">
      <c r="A2553" s="24">
        <v>238.0</v>
      </c>
      <c r="B2553" s="24">
        <v>1.0</v>
      </c>
      <c r="C2553" s="44">
        <v>9.64</v>
      </c>
      <c r="D2553" s="46">
        <v>45004.0</v>
      </c>
      <c r="E2553" s="24">
        <v>9.64</v>
      </c>
      <c r="F2553" s="24">
        <v>40.5</v>
      </c>
      <c r="G2553" s="24">
        <v>0.42</v>
      </c>
      <c r="H2553" s="24" t="s">
        <v>6673</v>
      </c>
      <c r="I2553" s="24" t="s">
        <v>6650</v>
      </c>
      <c r="J2553" s="24">
        <v>0.0</v>
      </c>
    </row>
    <row r="2554">
      <c r="A2554" s="24">
        <v>745.0</v>
      </c>
      <c r="B2554" s="24">
        <v>10.0</v>
      </c>
      <c r="C2554" s="44">
        <v>5.39</v>
      </c>
      <c r="D2554" s="46">
        <v>45004.0</v>
      </c>
      <c r="E2554" s="24">
        <v>0.54</v>
      </c>
      <c r="F2554" s="24">
        <v>7.23</v>
      </c>
      <c r="G2554" s="24">
        <v>1.34</v>
      </c>
      <c r="H2554" s="24" t="s">
        <v>6689</v>
      </c>
      <c r="I2554" s="24">
        <v>5.39</v>
      </c>
      <c r="J2554" s="24">
        <v>0.0</v>
      </c>
    </row>
    <row r="2555">
      <c r="A2555" s="24">
        <v>112.0</v>
      </c>
      <c r="B2555" s="24">
        <v>0.0</v>
      </c>
      <c r="C2555" s="44">
        <v>8.6</v>
      </c>
      <c r="D2555" s="46">
        <v>45004.0</v>
      </c>
      <c r="E2555" s="24" t="s">
        <v>6650</v>
      </c>
      <c r="F2555" s="24">
        <v>76.79</v>
      </c>
      <c r="G2555" s="24">
        <v>0.0</v>
      </c>
      <c r="H2555" s="24" t="s">
        <v>6676</v>
      </c>
      <c r="I2555" s="24" t="s">
        <v>6650</v>
      </c>
      <c r="J2555" s="24">
        <v>0.0</v>
      </c>
    </row>
    <row r="2556">
      <c r="A2556" s="24">
        <v>76.0</v>
      </c>
      <c r="B2556" s="24">
        <v>1.0</v>
      </c>
      <c r="C2556" s="44">
        <v>5.79</v>
      </c>
      <c r="D2556" s="46">
        <v>45004.0</v>
      </c>
      <c r="E2556" s="24">
        <v>5.79</v>
      </c>
      <c r="F2556" s="24">
        <v>76.18</v>
      </c>
      <c r="G2556" s="24">
        <v>1.32</v>
      </c>
      <c r="H2556" s="24" t="s">
        <v>6694</v>
      </c>
      <c r="I2556" s="24">
        <v>5.79</v>
      </c>
      <c r="J2556" s="24">
        <v>0.0</v>
      </c>
    </row>
    <row r="2557">
      <c r="A2557" s="24">
        <v>1403.0</v>
      </c>
      <c r="B2557" s="24">
        <v>16.0</v>
      </c>
      <c r="C2557" s="44">
        <v>13.16</v>
      </c>
      <c r="D2557" s="46">
        <v>45005.0</v>
      </c>
      <c r="E2557" s="24">
        <v>0.82</v>
      </c>
      <c r="F2557" s="24">
        <v>9.38</v>
      </c>
      <c r="G2557" s="24">
        <v>1.14</v>
      </c>
      <c r="H2557" s="24" t="s">
        <v>6675</v>
      </c>
      <c r="I2557" s="24" t="s">
        <v>6650</v>
      </c>
      <c r="J2557" s="24">
        <v>0.0</v>
      </c>
    </row>
    <row r="2558">
      <c r="A2558" s="24">
        <v>128.0</v>
      </c>
      <c r="B2558" s="24">
        <v>1.0</v>
      </c>
      <c r="C2558" s="44">
        <v>11.41</v>
      </c>
      <c r="D2558" s="46">
        <v>45005.0</v>
      </c>
      <c r="E2558" s="24">
        <v>11.41</v>
      </c>
      <c r="F2558" s="24">
        <v>89.14</v>
      </c>
      <c r="G2558" s="24">
        <v>0.78</v>
      </c>
      <c r="H2558" s="24" t="s">
        <v>6694</v>
      </c>
      <c r="I2558" s="24" t="s">
        <v>6650</v>
      </c>
      <c r="J2558" s="24">
        <v>0.0</v>
      </c>
    </row>
    <row r="2559">
      <c r="A2559" s="24">
        <v>509.0</v>
      </c>
      <c r="B2559" s="24">
        <v>8.0</v>
      </c>
      <c r="C2559" s="44">
        <v>13.28</v>
      </c>
      <c r="D2559" s="46">
        <v>45005.0</v>
      </c>
      <c r="E2559" s="24">
        <v>1.66</v>
      </c>
      <c r="F2559" s="24">
        <v>26.09</v>
      </c>
      <c r="G2559" s="24">
        <v>1.57</v>
      </c>
      <c r="H2559" s="24" t="s">
        <v>6677</v>
      </c>
      <c r="I2559" s="24">
        <v>13.28</v>
      </c>
      <c r="J2559" s="24">
        <v>0.0</v>
      </c>
    </row>
    <row r="2560">
      <c r="A2560" s="24">
        <v>1453.0</v>
      </c>
      <c r="B2560" s="24">
        <v>8.0</v>
      </c>
      <c r="C2560" s="44">
        <v>12.09</v>
      </c>
      <c r="D2560" s="46">
        <v>45005.0</v>
      </c>
      <c r="E2560" s="24">
        <v>1.51</v>
      </c>
      <c r="F2560" s="24">
        <v>8.32</v>
      </c>
      <c r="G2560" s="24">
        <v>0.55</v>
      </c>
      <c r="H2560" s="24" t="s">
        <v>6688</v>
      </c>
      <c r="I2560" s="24">
        <v>4.03</v>
      </c>
      <c r="J2560" s="24">
        <v>0.0</v>
      </c>
    </row>
    <row r="2561">
      <c r="A2561" s="24">
        <v>75.0</v>
      </c>
      <c r="B2561" s="24">
        <v>4.0</v>
      </c>
      <c r="C2561" s="44">
        <v>11.32</v>
      </c>
      <c r="D2561" s="46">
        <v>45005.0</v>
      </c>
      <c r="E2561" s="24">
        <v>2.83</v>
      </c>
      <c r="F2561" s="24">
        <v>150.93</v>
      </c>
      <c r="G2561" s="24">
        <v>5.33</v>
      </c>
      <c r="H2561" s="24" t="s">
        <v>6693</v>
      </c>
      <c r="I2561" s="24" t="s">
        <v>6650</v>
      </c>
      <c r="J2561" s="24">
        <v>0.0</v>
      </c>
    </row>
    <row r="2562">
      <c r="A2562" s="24">
        <v>283.0</v>
      </c>
      <c r="B2562" s="24">
        <v>1.0</v>
      </c>
      <c r="C2562" s="44">
        <v>17.79</v>
      </c>
      <c r="D2562" s="46">
        <v>45005.0</v>
      </c>
      <c r="E2562" s="24">
        <v>17.79</v>
      </c>
      <c r="F2562" s="24">
        <v>62.86</v>
      </c>
      <c r="G2562" s="24">
        <v>0.35</v>
      </c>
      <c r="H2562" s="24" t="s">
        <v>6676</v>
      </c>
      <c r="I2562" s="24" t="s">
        <v>6650</v>
      </c>
      <c r="J2562" s="24">
        <v>0.0</v>
      </c>
    </row>
    <row r="2563">
      <c r="A2563" s="24">
        <v>617.0</v>
      </c>
      <c r="B2563" s="24">
        <v>5.0</v>
      </c>
      <c r="C2563" s="44">
        <v>13.39</v>
      </c>
      <c r="D2563" s="46">
        <v>45005.0</v>
      </c>
      <c r="E2563" s="24">
        <v>2.68</v>
      </c>
      <c r="F2563" s="24">
        <v>21.7</v>
      </c>
      <c r="G2563" s="24">
        <v>0.81</v>
      </c>
      <c r="H2563" s="24" t="s">
        <v>6680</v>
      </c>
      <c r="I2563" s="24">
        <v>6.7</v>
      </c>
      <c r="J2563" s="24">
        <v>0.0</v>
      </c>
    </row>
    <row r="2564">
      <c r="A2564" s="24">
        <v>1000.0</v>
      </c>
      <c r="B2564" s="24">
        <v>7.0</v>
      </c>
      <c r="C2564" s="44">
        <v>10.5</v>
      </c>
      <c r="D2564" s="46">
        <v>45005.0</v>
      </c>
      <c r="E2564" s="24">
        <v>1.5</v>
      </c>
      <c r="F2564" s="24">
        <v>10.5</v>
      </c>
      <c r="G2564" s="24">
        <v>0.7</v>
      </c>
      <c r="H2564" s="24" t="s">
        <v>6689</v>
      </c>
      <c r="I2564" s="24">
        <v>10.5</v>
      </c>
      <c r="J2564" s="24">
        <v>0.0</v>
      </c>
    </row>
    <row r="2565">
      <c r="A2565" s="24">
        <v>658.0</v>
      </c>
      <c r="B2565" s="24">
        <v>6.0</v>
      </c>
      <c r="C2565" s="44">
        <v>20.21</v>
      </c>
      <c r="D2565" s="46">
        <v>45005.0</v>
      </c>
      <c r="E2565" s="24">
        <v>3.37</v>
      </c>
      <c r="F2565" s="24">
        <v>30.71</v>
      </c>
      <c r="G2565" s="24">
        <v>0.91</v>
      </c>
      <c r="H2565" s="24" t="s">
        <v>6673</v>
      </c>
      <c r="I2565" s="24" t="s">
        <v>6650</v>
      </c>
      <c r="J2565" s="24">
        <v>0.0</v>
      </c>
    </row>
    <row r="2566">
      <c r="A2566" s="24">
        <v>1619.0</v>
      </c>
      <c r="B2566" s="24">
        <v>9.0</v>
      </c>
      <c r="C2566" s="44">
        <v>12.18</v>
      </c>
      <c r="D2566" s="46">
        <v>45006.0</v>
      </c>
      <c r="E2566" s="24">
        <v>1.35</v>
      </c>
      <c r="F2566" s="24">
        <v>7.52</v>
      </c>
      <c r="G2566" s="24">
        <v>0.56</v>
      </c>
      <c r="H2566" s="24" t="s">
        <v>6688</v>
      </c>
      <c r="I2566" s="24" t="s">
        <v>6650</v>
      </c>
      <c r="J2566" s="24">
        <v>0.0</v>
      </c>
    </row>
    <row r="2567">
      <c r="A2567" s="24">
        <v>710.0</v>
      </c>
      <c r="B2567" s="24">
        <v>2.0</v>
      </c>
      <c r="C2567" s="44">
        <v>22.97</v>
      </c>
      <c r="D2567" s="46">
        <v>45006.0</v>
      </c>
      <c r="E2567" s="24">
        <v>11.48</v>
      </c>
      <c r="F2567" s="24">
        <v>32.35</v>
      </c>
      <c r="G2567" s="24">
        <v>0.28</v>
      </c>
      <c r="H2567" s="24" t="s">
        <v>6673</v>
      </c>
      <c r="I2567" s="24" t="s">
        <v>6650</v>
      </c>
      <c r="J2567" s="24">
        <v>0.0</v>
      </c>
    </row>
    <row r="2568">
      <c r="A2568" s="24">
        <v>572.0</v>
      </c>
      <c r="B2568" s="24">
        <v>6.0</v>
      </c>
      <c r="C2568" s="44">
        <v>13.29</v>
      </c>
      <c r="D2568" s="46">
        <v>45006.0</v>
      </c>
      <c r="E2568" s="24">
        <v>2.22</v>
      </c>
      <c r="F2568" s="24">
        <v>23.23</v>
      </c>
      <c r="G2568" s="24">
        <v>1.05</v>
      </c>
      <c r="H2568" s="24" t="s">
        <v>6680</v>
      </c>
      <c r="I2568" s="24">
        <v>13.29</v>
      </c>
      <c r="J2568" s="24">
        <v>0.0</v>
      </c>
    </row>
    <row r="2569">
      <c r="A2569" s="24">
        <v>299.0</v>
      </c>
      <c r="B2569" s="24">
        <v>0.0</v>
      </c>
      <c r="C2569" s="44">
        <v>20.36</v>
      </c>
      <c r="D2569" s="46">
        <v>45006.0</v>
      </c>
      <c r="E2569" s="24" t="s">
        <v>6650</v>
      </c>
      <c r="F2569" s="24">
        <v>68.09</v>
      </c>
      <c r="G2569" s="24">
        <v>0.0</v>
      </c>
      <c r="H2569" s="24" t="s">
        <v>6676</v>
      </c>
      <c r="I2569" s="24" t="s">
        <v>6650</v>
      </c>
      <c r="J2569" s="24">
        <v>0.0</v>
      </c>
    </row>
    <row r="2570">
      <c r="A2570" s="24">
        <v>1293.0</v>
      </c>
      <c r="B2570" s="24">
        <v>11.0</v>
      </c>
      <c r="C2570" s="44">
        <v>13.23</v>
      </c>
      <c r="D2570" s="46">
        <v>45006.0</v>
      </c>
      <c r="E2570" s="24">
        <v>1.2</v>
      </c>
      <c r="F2570" s="24">
        <v>10.23</v>
      </c>
      <c r="G2570" s="24">
        <v>0.85</v>
      </c>
      <c r="H2570" s="24" t="s">
        <v>6675</v>
      </c>
      <c r="I2570" s="24">
        <v>13.23</v>
      </c>
      <c r="J2570" s="24">
        <v>0.0</v>
      </c>
    </row>
    <row r="2571">
      <c r="A2571" s="24">
        <v>522.0</v>
      </c>
      <c r="B2571" s="24">
        <v>6.0</v>
      </c>
      <c r="C2571" s="44">
        <v>13.46</v>
      </c>
      <c r="D2571" s="46">
        <v>45006.0</v>
      </c>
      <c r="E2571" s="24">
        <v>2.24</v>
      </c>
      <c r="F2571" s="24">
        <v>25.79</v>
      </c>
      <c r="G2571" s="24">
        <v>1.15</v>
      </c>
      <c r="H2571" s="24" t="s">
        <v>6677</v>
      </c>
      <c r="I2571" s="24" t="s">
        <v>6650</v>
      </c>
      <c r="J2571" s="24">
        <v>0.0</v>
      </c>
    </row>
    <row r="2572">
      <c r="A2572" s="24">
        <v>86.0</v>
      </c>
      <c r="B2572" s="24">
        <v>3.0</v>
      </c>
      <c r="C2572" s="44">
        <v>11.23</v>
      </c>
      <c r="D2572" s="46">
        <v>45006.0</v>
      </c>
      <c r="E2572" s="24">
        <v>3.74</v>
      </c>
      <c r="F2572" s="24">
        <v>130.58</v>
      </c>
      <c r="G2572" s="24">
        <v>3.49</v>
      </c>
      <c r="H2572" s="24" t="s">
        <v>6693</v>
      </c>
      <c r="I2572" s="24">
        <v>11.23</v>
      </c>
      <c r="J2572" s="24">
        <v>0.0</v>
      </c>
    </row>
    <row r="2573">
      <c r="A2573" s="24">
        <v>161.0</v>
      </c>
      <c r="B2573" s="24">
        <v>4.0</v>
      </c>
      <c r="C2573" s="44">
        <v>11.58</v>
      </c>
      <c r="D2573" s="46">
        <v>45006.0</v>
      </c>
      <c r="E2573" s="24">
        <v>2.9</v>
      </c>
      <c r="F2573" s="24">
        <v>71.93</v>
      </c>
      <c r="G2573" s="24">
        <v>2.48</v>
      </c>
      <c r="H2573" s="24" t="s">
        <v>6694</v>
      </c>
      <c r="I2573" s="24" t="s">
        <v>6650</v>
      </c>
      <c r="J2573" s="24">
        <v>0.0</v>
      </c>
    </row>
    <row r="2574">
      <c r="A2574" s="24">
        <v>1241.0</v>
      </c>
      <c r="B2574" s="24">
        <v>9.0</v>
      </c>
      <c r="C2574" s="44">
        <v>11.81</v>
      </c>
      <c r="D2574" s="46">
        <v>45006.0</v>
      </c>
      <c r="E2574" s="24">
        <v>1.31</v>
      </c>
      <c r="F2574" s="24">
        <v>9.52</v>
      </c>
      <c r="G2574" s="24">
        <v>0.73</v>
      </c>
      <c r="H2574" s="24" t="s">
        <v>6689</v>
      </c>
      <c r="I2574" s="24">
        <v>5.9</v>
      </c>
      <c r="J2574" s="24">
        <v>0.0</v>
      </c>
    </row>
    <row r="2575">
      <c r="A2575" s="24">
        <v>328.0</v>
      </c>
      <c r="B2575" s="24">
        <v>5.0</v>
      </c>
      <c r="C2575" s="44">
        <v>13.72</v>
      </c>
      <c r="D2575" s="46">
        <v>45007.0</v>
      </c>
      <c r="E2575" s="24">
        <v>2.74</v>
      </c>
      <c r="F2575" s="24">
        <v>41.83</v>
      </c>
      <c r="G2575" s="24">
        <v>1.52</v>
      </c>
      <c r="H2575" s="24" t="s">
        <v>6680</v>
      </c>
      <c r="I2575" s="24">
        <v>13.72</v>
      </c>
      <c r="J2575" s="24">
        <v>0.0</v>
      </c>
    </row>
    <row r="2576">
      <c r="A2576" s="24">
        <v>196.0</v>
      </c>
      <c r="B2576" s="24">
        <v>2.0</v>
      </c>
      <c r="C2576" s="44">
        <v>13.25</v>
      </c>
      <c r="D2576" s="46">
        <v>45007.0</v>
      </c>
      <c r="E2576" s="24">
        <v>6.62</v>
      </c>
      <c r="F2576" s="24">
        <v>67.6</v>
      </c>
      <c r="G2576" s="24">
        <v>1.02</v>
      </c>
      <c r="H2576" s="24" t="s">
        <v>6677</v>
      </c>
      <c r="I2576" s="24" t="s">
        <v>6650</v>
      </c>
      <c r="J2576" s="24">
        <v>0.0</v>
      </c>
    </row>
    <row r="2577">
      <c r="A2577" s="24">
        <v>104.0</v>
      </c>
      <c r="B2577" s="24">
        <v>3.0</v>
      </c>
      <c r="C2577" s="44">
        <v>14.1</v>
      </c>
      <c r="D2577" s="46">
        <v>45007.0</v>
      </c>
      <c r="E2577" s="24">
        <v>4.7</v>
      </c>
      <c r="F2577" s="24">
        <v>135.58</v>
      </c>
      <c r="G2577" s="24">
        <v>2.88</v>
      </c>
      <c r="H2577" s="24" t="s">
        <v>6693</v>
      </c>
      <c r="I2577" s="24" t="s">
        <v>6650</v>
      </c>
      <c r="J2577" s="24">
        <v>0.0</v>
      </c>
    </row>
    <row r="2578">
      <c r="A2578" s="24">
        <v>1662.0</v>
      </c>
      <c r="B2578" s="24">
        <v>10.0</v>
      </c>
      <c r="C2578" s="44">
        <v>11.65</v>
      </c>
      <c r="D2578" s="46">
        <v>45007.0</v>
      </c>
      <c r="E2578" s="24">
        <v>1.16</v>
      </c>
      <c r="F2578" s="24">
        <v>7.01</v>
      </c>
      <c r="G2578" s="24">
        <v>0.6</v>
      </c>
      <c r="H2578" s="24" t="s">
        <v>6688</v>
      </c>
      <c r="I2578" s="24">
        <v>5.82</v>
      </c>
      <c r="J2578" s="24">
        <v>0.0</v>
      </c>
    </row>
    <row r="2579">
      <c r="A2579" s="24">
        <v>86.0</v>
      </c>
      <c r="B2579" s="24">
        <v>2.0</v>
      </c>
      <c r="C2579" s="44">
        <v>12.45</v>
      </c>
      <c r="D2579" s="46">
        <v>45007.0</v>
      </c>
      <c r="E2579" s="24">
        <v>6.22</v>
      </c>
      <c r="F2579" s="24">
        <v>144.77</v>
      </c>
      <c r="G2579" s="24">
        <v>2.33</v>
      </c>
      <c r="H2579" s="24" t="s">
        <v>6694</v>
      </c>
      <c r="I2579" s="24" t="s">
        <v>6650</v>
      </c>
      <c r="J2579" s="24">
        <v>1.0</v>
      </c>
    </row>
    <row r="2580">
      <c r="A2580" s="24">
        <v>1216.0</v>
      </c>
      <c r="B2580" s="24">
        <v>14.0</v>
      </c>
      <c r="C2580" s="44">
        <v>13.0</v>
      </c>
      <c r="D2580" s="46">
        <v>45007.0</v>
      </c>
      <c r="E2580" s="24">
        <v>0.93</v>
      </c>
      <c r="F2580" s="24">
        <v>10.69</v>
      </c>
      <c r="G2580" s="24">
        <v>1.15</v>
      </c>
      <c r="H2580" s="24" t="s">
        <v>6675</v>
      </c>
      <c r="I2580" s="24" t="s">
        <v>6650</v>
      </c>
      <c r="J2580" s="24">
        <v>0.0</v>
      </c>
    </row>
    <row r="2581">
      <c r="A2581" s="24">
        <v>625.0</v>
      </c>
      <c r="B2581" s="24">
        <v>9.0</v>
      </c>
      <c r="C2581" s="44">
        <v>11.8</v>
      </c>
      <c r="D2581" s="46">
        <v>45007.0</v>
      </c>
      <c r="E2581" s="24">
        <v>1.31</v>
      </c>
      <c r="F2581" s="24">
        <v>18.88</v>
      </c>
      <c r="G2581" s="24">
        <v>1.44</v>
      </c>
      <c r="H2581" s="24" t="s">
        <v>6689</v>
      </c>
      <c r="I2581" s="24">
        <v>5.9</v>
      </c>
      <c r="J2581" s="24">
        <v>0.0</v>
      </c>
    </row>
    <row r="2582">
      <c r="A2582" s="24">
        <v>215.0</v>
      </c>
      <c r="B2582" s="24">
        <v>0.0</v>
      </c>
      <c r="C2582" s="44">
        <v>23.65</v>
      </c>
      <c r="D2582" s="46">
        <v>45007.0</v>
      </c>
      <c r="E2582" s="24" t="s">
        <v>6650</v>
      </c>
      <c r="F2582" s="24">
        <v>110.0</v>
      </c>
      <c r="G2582" s="24">
        <v>0.0</v>
      </c>
      <c r="H2582" s="24" t="s">
        <v>6673</v>
      </c>
      <c r="I2582" s="24">
        <v>23.65</v>
      </c>
      <c r="J2582" s="24">
        <v>0.0</v>
      </c>
    </row>
    <row r="2583">
      <c r="A2583" s="24">
        <v>108.0</v>
      </c>
      <c r="B2583" s="24">
        <v>2.0</v>
      </c>
      <c r="C2583" s="44">
        <v>20.37</v>
      </c>
      <c r="D2583" s="46">
        <v>45007.0</v>
      </c>
      <c r="E2583" s="24">
        <v>10.18</v>
      </c>
      <c r="F2583" s="24">
        <v>188.61</v>
      </c>
      <c r="G2583" s="24">
        <v>1.85</v>
      </c>
      <c r="H2583" s="24" t="s">
        <v>6676</v>
      </c>
      <c r="I2583" s="24">
        <v>20.37</v>
      </c>
      <c r="J2583" s="24">
        <v>0.0</v>
      </c>
    </row>
    <row r="2584">
      <c r="A2584" s="24">
        <v>202.0</v>
      </c>
      <c r="B2584" s="24">
        <v>0.0</v>
      </c>
      <c r="C2584" s="44">
        <v>20.12</v>
      </c>
      <c r="D2584" s="46">
        <v>45008.0</v>
      </c>
      <c r="E2584" s="24" t="s">
        <v>6650</v>
      </c>
      <c r="F2584" s="24">
        <v>99.6</v>
      </c>
      <c r="G2584" s="24">
        <v>0.0</v>
      </c>
      <c r="H2584" s="24" t="s">
        <v>6676</v>
      </c>
      <c r="I2584" s="24" t="s">
        <v>6650</v>
      </c>
      <c r="J2584" s="24">
        <v>0.0</v>
      </c>
    </row>
    <row r="2585">
      <c r="A2585" s="24">
        <v>716.0</v>
      </c>
      <c r="B2585" s="24">
        <v>9.0</v>
      </c>
      <c r="C2585" s="44">
        <v>12.03</v>
      </c>
      <c r="D2585" s="46">
        <v>45008.0</v>
      </c>
      <c r="E2585" s="24">
        <v>1.34</v>
      </c>
      <c r="F2585" s="24">
        <v>16.8</v>
      </c>
      <c r="G2585" s="24">
        <v>1.26</v>
      </c>
      <c r="H2585" s="24" t="s">
        <v>6689</v>
      </c>
      <c r="I2585" s="24">
        <v>3.01</v>
      </c>
      <c r="J2585" s="24">
        <v>0.0</v>
      </c>
    </row>
    <row r="2586">
      <c r="A2586" s="24">
        <v>1297.0</v>
      </c>
      <c r="B2586" s="24">
        <v>18.0</v>
      </c>
      <c r="C2586" s="44">
        <v>12.91</v>
      </c>
      <c r="D2586" s="46">
        <v>45008.0</v>
      </c>
      <c r="E2586" s="24">
        <v>0.72</v>
      </c>
      <c r="F2586" s="24">
        <v>9.95</v>
      </c>
      <c r="G2586" s="24">
        <v>1.39</v>
      </c>
      <c r="H2586" s="24" t="s">
        <v>6675</v>
      </c>
      <c r="I2586" s="24">
        <v>12.91</v>
      </c>
      <c r="J2586" s="24">
        <v>0.0</v>
      </c>
    </row>
    <row r="2587">
      <c r="A2587" s="24">
        <v>89.0</v>
      </c>
      <c r="B2587" s="24">
        <v>4.0</v>
      </c>
      <c r="C2587" s="44">
        <v>14.13</v>
      </c>
      <c r="D2587" s="46">
        <v>45008.0</v>
      </c>
      <c r="E2587" s="24">
        <v>3.53</v>
      </c>
      <c r="F2587" s="24">
        <v>158.76</v>
      </c>
      <c r="G2587" s="24">
        <v>4.49</v>
      </c>
      <c r="H2587" s="24" t="s">
        <v>6693</v>
      </c>
      <c r="I2587" s="24">
        <v>2.83</v>
      </c>
      <c r="J2587" s="24">
        <v>0.0</v>
      </c>
    </row>
    <row r="2588">
      <c r="A2588" s="24">
        <v>366.0</v>
      </c>
      <c r="B2588" s="24">
        <v>4.0</v>
      </c>
      <c r="C2588" s="44">
        <v>13.94</v>
      </c>
      <c r="D2588" s="46">
        <v>45008.0</v>
      </c>
      <c r="E2588" s="24">
        <v>3.48</v>
      </c>
      <c r="F2588" s="24">
        <v>38.09</v>
      </c>
      <c r="G2588" s="24">
        <v>1.09</v>
      </c>
      <c r="H2588" s="24" t="s">
        <v>6677</v>
      </c>
      <c r="I2588" s="24">
        <v>13.94</v>
      </c>
      <c r="J2588" s="24">
        <v>0.0</v>
      </c>
    </row>
    <row r="2589">
      <c r="A2589" s="24">
        <v>407.0</v>
      </c>
      <c r="B2589" s="24">
        <v>2.0</v>
      </c>
      <c r="C2589" s="44">
        <v>14.07</v>
      </c>
      <c r="D2589" s="46">
        <v>45008.0</v>
      </c>
      <c r="E2589" s="24">
        <v>7.04</v>
      </c>
      <c r="F2589" s="24">
        <v>34.57</v>
      </c>
      <c r="G2589" s="24">
        <v>0.49</v>
      </c>
      <c r="H2589" s="24" t="s">
        <v>6680</v>
      </c>
      <c r="I2589" s="24">
        <v>3.52</v>
      </c>
      <c r="J2589" s="24">
        <v>0.0</v>
      </c>
    </row>
    <row r="2590">
      <c r="A2590" s="24">
        <v>1263.0</v>
      </c>
      <c r="B2590" s="24">
        <v>8.0</v>
      </c>
      <c r="C2590" s="44">
        <v>11.09</v>
      </c>
      <c r="D2590" s="46">
        <v>45008.0</v>
      </c>
      <c r="E2590" s="24">
        <v>1.39</v>
      </c>
      <c r="F2590" s="24">
        <v>8.78</v>
      </c>
      <c r="G2590" s="24">
        <v>0.63</v>
      </c>
      <c r="H2590" s="24" t="s">
        <v>6688</v>
      </c>
      <c r="I2590" s="24">
        <v>3.7</v>
      </c>
      <c r="J2590" s="24">
        <v>0.0</v>
      </c>
    </row>
    <row r="2591">
      <c r="A2591" s="24">
        <v>355.0</v>
      </c>
      <c r="B2591" s="24">
        <v>2.0</v>
      </c>
      <c r="C2591" s="44">
        <v>24.46</v>
      </c>
      <c r="D2591" s="46">
        <v>45008.0</v>
      </c>
      <c r="E2591" s="24">
        <v>12.23</v>
      </c>
      <c r="F2591" s="24">
        <v>68.9</v>
      </c>
      <c r="G2591" s="24">
        <v>0.56</v>
      </c>
      <c r="H2591" s="24" t="s">
        <v>6673</v>
      </c>
      <c r="I2591" s="24">
        <v>24.46</v>
      </c>
      <c r="J2591" s="24">
        <v>0.0</v>
      </c>
    </row>
    <row r="2592">
      <c r="A2592" s="24">
        <v>76.0</v>
      </c>
      <c r="B2592" s="24">
        <v>2.0</v>
      </c>
      <c r="C2592" s="44">
        <v>13.33</v>
      </c>
      <c r="D2592" s="46">
        <v>45008.0</v>
      </c>
      <c r="E2592" s="24">
        <v>6.66</v>
      </c>
      <c r="F2592" s="24">
        <v>175.39</v>
      </c>
      <c r="G2592" s="24">
        <v>2.63</v>
      </c>
      <c r="H2592" s="24" t="s">
        <v>6694</v>
      </c>
      <c r="I2592" s="24">
        <v>4.44</v>
      </c>
      <c r="J2592" s="24">
        <v>0.0</v>
      </c>
    </row>
    <row r="2593">
      <c r="A2593" s="24">
        <v>698.0</v>
      </c>
      <c r="B2593" s="24">
        <v>6.0</v>
      </c>
      <c r="C2593" s="44">
        <v>11.3</v>
      </c>
      <c r="D2593" s="46">
        <v>45009.0</v>
      </c>
      <c r="E2593" s="24">
        <v>1.88</v>
      </c>
      <c r="F2593" s="24">
        <v>16.19</v>
      </c>
      <c r="G2593" s="24">
        <v>0.86</v>
      </c>
      <c r="H2593" s="24" t="s">
        <v>6689</v>
      </c>
      <c r="I2593" s="24">
        <v>11.3</v>
      </c>
      <c r="J2593" s="24">
        <v>0.0</v>
      </c>
    </row>
    <row r="2594">
      <c r="A2594" s="24">
        <v>69.0</v>
      </c>
      <c r="B2594" s="24">
        <v>1.0</v>
      </c>
      <c r="C2594" s="44">
        <v>11.35</v>
      </c>
      <c r="D2594" s="46">
        <v>45009.0</v>
      </c>
      <c r="E2594" s="24">
        <v>11.35</v>
      </c>
      <c r="F2594" s="24">
        <v>164.49</v>
      </c>
      <c r="G2594" s="24">
        <v>1.45</v>
      </c>
      <c r="H2594" s="24" t="s">
        <v>6694</v>
      </c>
      <c r="I2594" s="24">
        <v>11.35</v>
      </c>
      <c r="J2594" s="24">
        <v>0.0</v>
      </c>
    </row>
    <row r="2595">
      <c r="A2595" s="24">
        <v>77.0</v>
      </c>
      <c r="B2595" s="24">
        <v>4.0</v>
      </c>
      <c r="C2595" s="44">
        <v>13.36</v>
      </c>
      <c r="D2595" s="46">
        <v>45009.0</v>
      </c>
      <c r="E2595" s="24">
        <v>3.34</v>
      </c>
      <c r="F2595" s="24">
        <v>173.51</v>
      </c>
      <c r="G2595" s="24">
        <v>5.19</v>
      </c>
      <c r="H2595" s="24" t="s">
        <v>6693</v>
      </c>
      <c r="I2595" s="24">
        <v>13.36</v>
      </c>
      <c r="J2595" s="24">
        <v>0.0</v>
      </c>
    </row>
    <row r="2596">
      <c r="A2596" s="24">
        <v>1205.0</v>
      </c>
      <c r="B2596" s="24">
        <v>10.0</v>
      </c>
      <c r="C2596" s="44">
        <v>11.57</v>
      </c>
      <c r="D2596" s="46">
        <v>45009.0</v>
      </c>
      <c r="E2596" s="24">
        <v>1.16</v>
      </c>
      <c r="F2596" s="24">
        <v>9.6</v>
      </c>
      <c r="G2596" s="24">
        <v>0.83</v>
      </c>
      <c r="H2596" s="24" t="s">
        <v>6675</v>
      </c>
      <c r="I2596" s="24">
        <v>11.57</v>
      </c>
      <c r="J2596" s="24">
        <v>0.0</v>
      </c>
    </row>
    <row r="2597">
      <c r="A2597" s="24">
        <v>338.0</v>
      </c>
      <c r="B2597" s="24">
        <v>3.0</v>
      </c>
      <c r="C2597" s="44">
        <v>11.98</v>
      </c>
      <c r="D2597" s="46">
        <v>45009.0</v>
      </c>
      <c r="E2597" s="24">
        <v>3.99</v>
      </c>
      <c r="F2597" s="24">
        <v>35.44</v>
      </c>
      <c r="G2597" s="24">
        <v>0.89</v>
      </c>
      <c r="H2597" s="24" t="s">
        <v>6677</v>
      </c>
      <c r="I2597" s="24" t="s">
        <v>6650</v>
      </c>
      <c r="J2597" s="24">
        <v>0.0</v>
      </c>
    </row>
    <row r="2598">
      <c r="A2598" s="24">
        <v>412.0</v>
      </c>
      <c r="B2598" s="24">
        <v>0.0</v>
      </c>
      <c r="C2598" s="44">
        <v>13.56</v>
      </c>
      <c r="D2598" s="46">
        <v>45009.0</v>
      </c>
      <c r="E2598" s="24" t="s">
        <v>6650</v>
      </c>
      <c r="F2598" s="24">
        <v>32.91</v>
      </c>
      <c r="G2598" s="24">
        <v>0.0</v>
      </c>
      <c r="H2598" s="24" t="s">
        <v>6680</v>
      </c>
      <c r="I2598" s="24" t="s">
        <v>6650</v>
      </c>
      <c r="J2598" s="24">
        <v>0.0</v>
      </c>
    </row>
    <row r="2599">
      <c r="A2599" s="24">
        <v>385.0</v>
      </c>
      <c r="B2599" s="24">
        <v>3.0</v>
      </c>
      <c r="C2599" s="44">
        <v>20.74</v>
      </c>
      <c r="D2599" s="46">
        <v>45009.0</v>
      </c>
      <c r="E2599" s="24">
        <v>6.91</v>
      </c>
      <c r="F2599" s="24">
        <v>53.87</v>
      </c>
      <c r="G2599" s="24">
        <v>0.78</v>
      </c>
      <c r="H2599" s="24" t="s">
        <v>6673</v>
      </c>
      <c r="I2599" s="24" t="s">
        <v>6650</v>
      </c>
      <c r="J2599" s="24">
        <v>0.0</v>
      </c>
    </row>
    <row r="2600">
      <c r="A2600" s="24">
        <v>161.0</v>
      </c>
      <c r="B2600" s="24">
        <v>1.0</v>
      </c>
      <c r="C2600" s="44">
        <v>18.18</v>
      </c>
      <c r="D2600" s="46">
        <v>45009.0</v>
      </c>
      <c r="E2600" s="24">
        <v>18.18</v>
      </c>
      <c r="F2600" s="24">
        <v>112.92</v>
      </c>
      <c r="G2600" s="24">
        <v>0.62</v>
      </c>
      <c r="H2600" s="24" t="s">
        <v>6676</v>
      </c>
      <c r="I2600" s="24" t="s">
        <v>6650</v>
      </c>
      <c r="J2600" s="24">
        <v>0.0</v>
      </c>
    </row>
    <row r="2601">
      <c r="A2601" s="24">
        <v>1391.0</v>
      </c>
      <c r="B2601" s="24">
        <v>16.0</v>
      </c>
      <c r="C2601" s="44">
        <v>10.51</v>
      </c>
      <c r="D2601" s="46">
        <v>45009.0</v>
      </c>
      <c r="E2601" s="24">
        <v>0.66</v>
      </c>
      <c r="F2601" s="24">
        <v>7.56</v>
      </c>
      <c r="G2601" s="24">
        <v>1.15</v>
      </c>
      <c r="H2601" s="24" t="s">
        <v>6688</v>
      </c>
      <c r="I2601" s="24">
        <v>3.5</v>
      </c>
      <c r="J2601" s="24">
        <v>0.0</v>
      </c>
    </row>
    <row r="2602">
      <c r="A2602" s="24">
        <v>57.0</v>
      </c>
      <c r="B2602" s="24">
        <v>3.0</v>
      </c>
      <c r="C2602" s="44">
        <v>9.12</v>
      </c>
      <c r="D2602" s="46">
        <v>45010.0</v>
      </c>
      <c r="E2602" s="24">
        <v>3.04</v>
      </c>
      <c r="F2602" s="24">
        <v>160.0</v>
      </c>
      <c r="G2602" s="24">
        <v>5.26</v>
      </c>
      <c r="H2602" s="24" t="s">
        <v>6693</v>
      </c>
      <c r="I2602" s="24">
        <v>3.04</v>
      </c>
      <c r="J2602" s="24">
        <v>0.0</v>
      </c>
    </row>
    <row r="2603">
      <c r="A2603" s="24">
        <v>84.0</v>
      </c>
      <c r="B2603" s="24">
        <v>1.0</v>
      </c>
      <c r="C2603" s="44">
        <v>11.24</v>
      </c>
      <c r="D2603" s="46">
        <v>45010.0</v>
      </c>
      <c r="E2603" s="24">
        <v>11.24</v>
      </c>
      <c r="F2603" s="24">
        <v>133.81</v>
      </c>
      <c r="G2603" s="24">
        <v>1.19</v>
      </c>
      <c r="H2603" s="24" t="s">
        <v>6676</v>
      </c>
      <c r="I2603" s="24" t="s">
        <v>6650</v>
      </c>
      <c r="J2603" s="24">
        <v>0.0</v>
      </c>
    </row>
    <row r="2604">
      <c r="A2604" s="24">
        <v>131.0</v>
      </c>
      <c r="B2604" s="24">
        <v>1.0</v>
      </c>
      <c r="C2604" s="44">
        <v>4.75</v>
      </c>
      <c r="D2604" s="46">
        <v>45010.0</v>
      </c>
      <c r="E2604" s="24">
        <v>4.75</v>
      </c>
      <c r="F2604" s="24">
        <v>36.26</v>
      </c>
      <c r="G2604" s="24">
        <v>0.76</v>
      </c>
      <c r="H2604" s="24" t="s">
        <v>6680</v>
      </c>
      <c r="I2604" s="24" t="s">
        <v>6650</v>
      </c>
      <c r="J2604" s="24">
        <v>0.0</v>
      </c>
    </row>
    <row r="2605">
      <c r="A2605" s="24">
        <v>1108.0</v>
      </c>
      <c r="B2605" s="24">
        <v>7.0</v>
      </c>
      <c r="C2605" s="44">
        <v>6.1</v>
      </c>
      <c r="D2605" s="46">
        <v>45010.0</v>
      </c>
      <c r="E2605" s="24">
        <v>0.87</v>
      </c>
      <c r="F2605" s="24">
        <v>5.51</v>
      </c>
      <c r="G2605" s="24">
        <v>0.63</v>
      </c>
      <c r="H2605" s="24" t="s">
        <v>6688</v>
      </c>
      <c r="I2605" s="24">
        <v>1.52</v>
      </c>
      <c r="J2605" s="24">
        <v>0.0</v>
      </c>
    </row>
    <row r="2606">
      <c r="A2606" s="24">
        <v>35.0</v>
      </c>
      <c r="B2606" s="24">
        <v>1.0</v>
      </c>
      <c r="C2606" s="44">
        <v>6.41</v>
      </c>
      <c r="D2606" s="46">
        <v>45010.0</v>
      </c>
      <c r="E2606" s="24">
        <v>6.41</v>
      </c>
      <c r="F2606" s="24">
        <v>183.14</v>
      </c>
      <c r="G2606" s="24">
        <v>2.86</v>
      </c>
      <c r="H2606" s="24" t="s">
        <v>6694</v>
      </c>
      <c r="I2606" s="24">
        <v>6.41</v>
      </c>
      <c r="J2606" s="24">
        <v>0.0</v>
      </c>
    </row>
    <row r="2607">
      <c r="A2607" s="24">
        <v>136.0</v>
      </c>
      <c r="B2607" s="24">
        <v>3.0</v>
      </c>
      <c r="C2607" s="44">
        <v>12.13</v>
      </c>
      <c r="D2607" s="46">
        <v>45010.0</v>
      </c>
      <c r="E2607" s="24">
        <v>4.04</v>
      </c>
      <c r="F2607" s="24">
        <v>89.19</v>
      </c>
      <c r="G2607" s="24">
        <v>2.21</v>
      </c>
      <c r="H2607" s="24" t="s">
        <v>6673</v>
      </c>
      <c r="I2607" s="24" t="s">
        <v>6650</v>
      </c>
      <c r="J2607" s="24">
        <v>0.0</v>
      </c>
    </row>
    <row r="2608">
      <c r="A2608" s="24">
        <v>214.0</v>
      </c>
      <c r="B2608" s="24">
        <v>3.0</v>
      </c>
      <c r="C2608" s="44">
        <v>6.93</v>
      </c>
      <c r="D2608" s="46">
        <v>45010.0</v>
      </c>
      <c r="E2608" s="24">
        <v>2.31</v>
      </c>
      <c r="F2608" s="24">
        <v>32.38</v>
      </c>
      <c r="G2608" s="24">
        <v>1.4</v>
      </c>
      <c r="H2608" s="24" t="s">
        <v>6689</v>
      </c>
      <c r="I2608" s="24" t="s">
        <v>6650</v>
      </c>
      <c r="J2608" s="24">
        <v>0.0</v>
      </c>
    </row>
    <row r="2609">
      <c r="A2609" s="24">
        <v>640.0</v>
      </c>
      <c r="B2609" s="24">
        <v>15.0</v>
      </c>
      <c r="C2609" s="44">
        <v>6.44</v>
      </c>
      <c r="D2609" s="46">
        <v>45010.0</v>
      </c>
      <c r="E2609" s="24">
        <v>0.43</v>
      </c>
      <c r="F2609" s="24">
        <v>10.06</v>
      </c>
      <c r="G2609" s="24">
        <v>2.34</v>
      </c>
      <c r="H2609" s="24" t="s">
        <v>6675</v>
      </c>
      <c r="I2609" s="24" t="s">
        <v>6650</v>
      </c>
      <c r="J2609" s="24">
        <v>0.0</v>
      </c>
    </row>
    <row r="2610">
      <c r="A2610" s="24">
        <v>136.0</v>
      </c>
      <c r="B2610" s="24">
        <v>1.0</v>
      </c>
      <c r="C2610" s="44">
        <v>5.68</v>
      </c>
      <c r="D2610" s="46">
        <v>45010.0</v>
      </c>
      <c r="E2610" s="24">
        <v>5.68</v>
      </c>
      <c r="F2610" s="24">
        <v>41.76</v>
      </c>
      <c r="G2610" s="24">
        <v>0.74</v>
      </c>
      <c r="H2610" s="24" t="s">
        <v>6677</v>
      </c>
      <c r="I2610" s="24">
        <v>5.68</v>
      </c>
      <c r="J2610" s="24">
        <v>0.0</v>
      </c>
    </row>
    <row r="2611">
      <c r="A2611" s="24">
        <v>696.0</v>
      </c>
      <c r="B2611" s="24">
        <v>15.0</v>
      </c>
      <c r="C2611" s="44">
        <v>6.69</v>
      </c>
      <c r="D2611" s="46">
        <v>45011.0</v>
      </c>
      <c r="E2611" s="24">
        <v>0.45</v>
      </c>
      <c r="F2611" s="24">
        <v>9.61</v>
      </c>
      <c r="G2611" s="24">
        <v>2.16</v>
      </c>
      <c r="H2611" s="24" t="s">
        <v>6675</v>
      </c>
      <c r="I2611" s="24" t="s">
        <v>6650</v>
      </c>
      <c r="J2611" s="24">
        <v>0.0</v>
      </c>
    </row>
    <row r="2612">
      <c r="A2612" s="24">
        <v>1022.0</v>
      </c>
      <c r="B2612" s="24">
        <v>11.0</v>
      </c>
      <c r="C2612" s="44">
        <v>6.24</v>
      </c>
      <c r="D2612" s="46">
        <v>45011.0</v>
      </c>
      <c r="E2612" s="24">
        <v>0.57</v>
      </c>
      <c r="F2612" s="24">
        <v>6.11</v>
      </c>
      <c r="G2612" s="24">
        <v>1.08</v>
      </c>
      <c r="H2612" s="24" t="s">
        <v>6688</v>
      </c>
      <c r="I2612" s="24">
        <v>3.12</v>
      </c>
      <c r="J2612" s="24">
        <v>0.0</v>
      </c>
    </row>
    <row r="2613">
      <c r="A2613" s="24">
        <v>99.0</v>
      </c>
      <c r="B2613" s="24">
        <v>0.0</v>
      </c>
      <c r="C2613" s="44">
        <v>5.41</v>
      </c>
      <c r="D2613" s="46">
        <v>45011.0</v>
      </c>
      <c r="E2613" s="24" t="s">
        <v>6650</v>
      </c>
      <c r="F2613" s="24">
        <v>54.65</v>
      </c>
      <c r="G2613" s="24">
        <v>0.0</v>
      </c>
      <c r="H2613" s="24" t="s">
        <v>6677</v>
      </c>
      <c r="I2613" s="24" t="s">
        <v>6650</v>
      </c>
      <c r="J2613" s="24">
        <v>0.0</v>
      </c>
    </row>
    <row r="2614">
      <c r="A2614" s="24">
        <v>78.0</v>
      </c>
      <c r="B2614" s="24">
        <v>0.0</v>
      </c>
      <c r="C2614" s="44">
        <v>8.84</v>
      </c>
      <c r="D2614" s="46">
        <v>45011.0</v>
      </c>
      <c r="E2614" s="24" t="s">
        <v>6650</v>
      </c>
      <c r="F2614" s="24">
        <v>113.33</v>
      </c>
      <c r="G2614" s="24">
        <v>0.0</v>
      </c>
      <c r="H2614" s="24" t="s">
        <v>6673</v>
      </c>
      <c r="I2614" s="24" t="s">
        <v>6650</v>
      </c>
      <c r="J2614" s="24">
        <v>0.0</v>
      </c>
    </row>
    <row r="2615">
      <c r="A2615" s="24">
        <v>16.0</v>
      </c>
      <c r="B2615" s="24">
        <v>0.0</v>
      </c>
      <c r="C2615" s="44">
        <v>3.47</v>
      </c>
      <c r="D2615" s="46">
        <v>45011.0</v>
      </c>
      <c r="E2615" s="24" t="s">
        <v>6650</v>
      </c>
      <c r="F2615" s="24">
        <v>216.88</v>
      </c>
      <c r="G2615" s="24">
        <v>0.0</v>
      </c>
      <c r="H2615" s="24" t="s">
        <v>6694</v>
      </c>
      <c r="I2615" s="24" t="s">
        <v>6650</v>
      </c>
      <c r="J2615" s="24">
        <v>0.0</v>
      </c>
    </row>
    <row r="2616">
      <c r="A2616" s="24">
        <v>198.0</v>
      </c>
      <c r="B2616" s="24">
        <v>5.0</v>
      </c>
      <c r="C2616" s="44">
        <v>5.63</v>
      </c>
      <c r="D2616" s="46">
        <v>45011.0</v>
      </c>
      <c r="E2616" s="24">
        <v>1.13</v>
      </c>
      <c r="F2616" s="24">
        <v>28.43</v>
      </c>
      <c r="G2616" s="24">
        <v>2.53</v>
      </c>
      <c r="H2616" s="24" t="s">
        <v>6689</v>
      </c>
      <c r="I2616" s="24">
        <v>5.63</v>
      </c>
      <c r="J2616" s="24">
        <v>0.0</v>
      </c>
    </row>
    <row r="2617">
      <c r="A2617" s="24">
        <v>40.0</v>
      </c>
      <c r="B2617" s="24">
        <v>2.0</v>
      </c>
      <c r="C2617" s="44">
        <v>7.44</v>
      </c>
      <c r="D2617" s="46">
        <v>45011.0</v>
      </c>
      <c r="E2617" s="24">
        <v>3.72</v>
      </c>
      <c r="F2617" s="24">
        <v>186.0</v>
      </c>
      <c r="G2617" s="24">
        <v>5.0</v>
      </c>
      <c r="H2617" s="24" t="s">
        <v>6676</v>
      </c>
      <c r="I2617" s="24">
        <v>7.44</v>
      </c>
      <c r="J2617" s="24">
        <v>0.0</v>
      </c>
    </row>
    <row r="2618">
      <c r="A2618" s="24">
        <v>161.0</v>
      </c>
      <c r="B2618" s="24">
        <v>2.0</v>
      </c>
      <c r="C2618" s="44">
        <v>4.22</v>
      </c>
      <c r="D2618" s="46">
        <v>45011.0</v>
      </c>
      <c r="E2618" s="24">
        <v>2.11</v>
      </c>
      <c r="F2618" s="24">
        <v>26.21</v>
      </c>
      <c r="G2618" s="24">
        <v>1.24</v>
      </c>
      <c r="H2618" s="24" t="s">
        <v>6680</v>
      </c>
      <c r="I2618" s="24" t="s">
        <v>6650</v>
      </c>
      <c r="J2618" s="24">
        <v>0.0</v>
      </c>
    </row>
    <row r="2619">
      <c r="A2619" s="24">
        <v>57.0</v>
      </c>
      <c r="B2619" s="24">
        <v>4.0</v>
      </c>
      <c r="C2619" s="44">
        <v>9.23</v>
      </c>
      <c r="D2619" s="46">
        <v>45011.0</v>
      </c>
      <c r="E2619" s="24">
        <v>2.31</v>
      </c>
      <c r="F2619" s="24">
        <v>161.93</v>
      </c>
      <c r="G2619" s="24">
        <v>7.02</v>
      </c>
      <c r="H2619" s="24" t="s">
        <v>6693</v>
      </c>
      <c r="I2619" s="24" t="s">
        <v>6650</v>
      </c>
      <c r="J2619" s="24">
        <v>0.0</v>
      </c>
    </row>
    <row r="2620">
      <c r="A2620" s="24">
        <v>91.0</v>
      </c>
      <c r="B2620" s="24">
        <v>1.0</v>
      </c>
      <c r="C2620" s="44">
        <v>15.31</v>
      </c>
      <c r="D2620" s="46">
        <v>45012.0</v>
      </c>
      <c r="E2620" s="24">
        <v>15.31</v>
      </c>
      <c r="F2620" s="24">
        <v>168.24</v>
      </c>
      <c r="G2620" s="24">
        <v>1.1</v>
      </c>
      <c r="H2620" s="24" t="s">
        <v>6693</v>
      </c>
      <c r="I2620" s="24">
        <v>7.66</v>
      </c>
      <c r="J2620" s="24">
        <v>0.0</v>
      </c>
    </row>
    <row r="2621">
      <c r="A2621" s="24">
        <v>1346.0</v>
      </c>
      <c r="B2621" s="24">
        <v>20.0</v>
      </c>
      <c r="C2621" s="44">
        <v>12.2</v>
      </c>
      <c r="D2621" s="46">
        <v>45012.0</v>
      </c>
      <c r="E2621" s="24">
        <v>0.61</v>
      </c>
      <c r="F2621" s="24">
        <v>9.06</v>
      </c>
      <c r="G2621" s="24">
        <v>1.49</v>
      </c>
      <c r="H2621" s="24" t="s">
        <v>6675</v>
      </c>
      <c r="I2621" s="24" t="s">
        <v>6650</v>
      </c>
      <c r="J2621" s="24">
        <v>0.0</v>
      </c>
    </row>
    <row r="2622">
      <c r="A2622" s="24">
        <v>567.0</v>
      </c>
      <c r="B2622" s="24">
        <v>4.0</v>
      </c>
      <c r="C2622" s="44">
        <v>3.29</v>
      </c>
      <c r="D2622" s="46">
        <v>45012.0</v>
      </c>
      <c r="E2622" s="24">
        <v>0.82</v>
      </c>
      <c r="F2622" s="24">
        <v>5.8</v>
      </c>
      <c r="G2622" s="24">
        <v>0.71</v>
      </c>
      <c r="H2622" s="24" t="s">
        <v>6688</v>
      </c>
      <c r="I2622" s="24">
        <v>3.29</v>
      </c>
      <c r="J2622" s="24">
        <v>0.0</v>
      </c>
    </row>
    <row r="2623">
      <c r="A2623" s="24">
        <v>425.0</v>
      </c>
      <c r="B2623" s="24">
        <v>2.0</v>
      </c>
      <c r="C2623" s="44">
        <v>20.85</v>
      </c>
      <c r="D2623" s="46">
        <v>45012.0</v>
      </c>
      <c r="E2623" s="24">
        <v>10.42</v>
      </c>
      <c r="F2623" s="24">
        <v>49.06</v>
      </c>
      <c r="G2623" s="24">
        <v>0.47</v>
      </c>
      <c r="H2623" s="24" t="s">
        <v>6673</v>
      </c>
      <c r="I2623" s="24" t="s">
        <v>6650</v>
      </c>
      <c r="J2623" s="24">
        <v>0.0</v>
      </c>
    </row>
    <row r="2624">
      <c r="A2624" s="24">
        <v>250.0</v>
      </c>
      <c r="B2624" s="24">
        <v>3.0</v>
      </c>
      <c r="C2624" s="44">
        <v>3.59</v>
      </c>
      <c r="D2624" s="46">
        <v>45012.0</v>
      </c>
      <c r="E2624" s="24">
        <v>1.2</v>
      </c>
      <c r="F2624" s="24">
        <v>14.36</v>
      </c>
      <c r="G2624" s="24">
        <v>1.2</v>
      </c>
      <c r="H2624" s="24" t="s">
        <v>6689</v>
      </c>
      <c r="I2624" s="24" t="s">
        <v>6650</v>
      </c>
      <c r="J2624" s="24">
        <v>0.0</v>
      </c>
    </row>
    <row r="2625">
      <c r="A2625" s="24">
        <v>158.0</v>
      </c>
      <c r="B2625" s="24">
        <v>1.0</v>
      </c>
      <c r="C2625" s="44">
        <v>18.03</v>
      </c>
      <c r="D2625" s="46">
        <v>45012.0</v>
      </c>
      <c r="E2625" s="24">
        <v>18.03</v>
      </c>
      <c r="F2625" s="24">
        <v>114.11</v>
      </c>
      <c r="G2625" s="24">
        <v>0.63</v>
      </c>
      <c r="H2625" s="24" t="s">
        <v>6676</v>
      </c>
      <c r="I2625" s="24" t="s">
        <v>6650</v>
      </c>
      <c r="J2625" s="24">
        <v>0.0</v>
      </c>
    </row>
    <row r="2626">
      <c r="A2626" s="24">
        <v>99.0</v>
      </c>
      <c r="B2626" s="24">
        <v>0.0</v>
      </c>
      <c r="C2626" s="44">
        <v>12.43</v>
      </c>
      <c r="D2626" s="46">
        <v>45012.0</v>
      </c>
      <c r="E2626" s="24" t="s">
        <v>6650</v>
      </c>
      <c r="F2626" s="24">
        <v>125.56</v>
      </c>
      <c r="G2626" s="24">
        <v>0.0</v>
      </c>
      <c r="H2626" s="24" t="s">
        <v>6694</v>
      </c>
      <c r="I2626" s="24" t="s">
        <v>6650</v>
      </c>
      <c r="J2626" s="24">
        <v>0.0</v>
      </c>
    </row>
    <row r="2627">
      <c r="A2627" s="24">
        <v>460.0</v>
      </c>
      <c r="B2627" s="24">
        <v>2.0</v>
      </c>
      <c r="C2627" s="44">
        <v>12.23</v>
      </c>
      <c r="D2627" s="46">
        <v>45012.0</v>
      </c>
      <c r="E2627" s="24">
        <v>6.12</v>
      </c>
      <c r="F2627" s="24">
        <v>26.59</v>
      </c>
      <c r="G2627" s="24">
        <v>0.43</v>
      </c>
      <c r="H2627" s="24" t="s">
        <v>6677</v>
      </c>
      <c r="I2627" s="24">
        <v>12.23</v>
      </c>
      <c r="J2627" s="24">
        <v>0.0</v>
      </c>
    </row>
    <row r="2628">
      <c r="A2628" s="24">
        <v>473.0</v>
      </c>
      <c r="B2628" s="24">
        <v>0.0</v>
      </c>
      <c r="C2628" s="44">
        <v>13.91</v>
      </c>
      <c r="D2628" s="46">
        <v>45012.0</v>
      </c>
      <c r="E2628" s="24" t="s">
        <v>6650</v>
      </c>
      <c r="F2628" s="24">
        <v>29.41</v>
      </c>
      <c r="G2628" s="24">
        <v>0.0</v>
      </c>
      <c r="H2628" s="24" t="s">
        <v>6680</v>
      </c>
      <c r="I2628" s="24">
        <v>13.91</v>
      </c>
      <c r="J2628" s="24">
        <v>0.0</v>
      </c>
    </row>
    <row r="2629">
      <c r="A2629" s="24">
        <v>493.0</v>
      </c>
      <c r="B2629" s="24">
        <v>2.0</v>
      </c>
      <c r="C2629" s="44">
        <v>14.11</v>
      </c>
      <c r="D2629" s="46">
        <v>45013.0</v>
      </c>
      <c r="E2629" s="24">
        <v>7.06</v>
      </c>
      <c r="F2629" s="24">
        <v>28.62</v>
      </c>
      <c r="G2629" s="24">
        <v>0.41</v>
      </c>
      <c r="H2629" s="24" t="s">
        <v>6680</v>
      </c>
      <c r="I2629" s="24">
        <v>14.11</v>
      </c>
      <c r="J2629" s="24">
        <v>0.0</v>
      </c>
    </row>
    <row r="2630">
      <c r="A2630" s="24">
        <v>1330.0</v>
      </c>
      <c r="B2630" s="24">
        <v>12.0</v>
      </c>
      <c r="C2630" s="44">
        <v>13.64</v>
      </c>
      <c r="D2630" s="46">
        <v>45013.0</v>
      </c>
      <c r="E2630" s="24">
        <v>1.14</v>
      </c>
      <c r="F2630" s="24">
        <v>10.26</v>
      </c>
      <c r="G2630" s="24">
        <v>0.9</v>
      </c>
      <c r="H2630" s="24" t="s">
        <v>6675</v>
      </c>
      <c r="I2630" s="24">
        <v>13.64</v>
      </c>
      <c r="J2630" s="24">
        <v>0.0</v>
      </c>
    </row>
    <row r="2631">
      <c r="A2631" s="24">
        <v>121.0</v>
      </c>
      <c r="B2631" s="24">
        <v>0.0</v>
      </c>
      <c r="C2631" s="44">
        <v>12.65</v>
      </c>
      <c r="D2631" s="46">
        <v>45013.0</v>
      </c>
      <c r="E2631" s="24" t="s">
        <v>6650</v>
      </c>
      <c r="F2631" s="24">
        <v>104.55</v>
      </c>
      <c r="G2631" s="24">
        <v>0.0</v>
      </c>
      <c r="H2631" s="24" t="s">
        <v>6694</v>
      </c>
      <c r="I2631" s="24" t="s">
        <v>6650</v>
      </c>
      <c r="J2631" s="24">
        <v>0.0</v>
      </c>
    </row>
    <row r="2632">
      <c r="A2632" s="24">
        <v>231.0</v>
      </c>
      <c r="B2632" s="24">
        <v>1.0</v>
      </c>
      <c r="C2632" s="44">
        <v>20.03</v>
      </c>
      <c r="D2632" s="46">
        <v>45013.0</v>
      </c>
      <c r="E2632" s="24">
        <v>20.03</v>
      </c>
      <c r="F2632" s="24">
        <v>86.71</v>
      </c>
      <c r="G2632" s="24">
        <v>0.43</v>
      </c>
      <c r="H2632" s="24" t="s">
        <v>6676</v>
      </c>
      <c r="I2632" s="24" t="s">
        <v>6650</v>
      </c>
      <c r="J2632" s="24">
        <v>0.0</v>
      </c>
    </row>
    <row r="2633">
      <c r="A2633" s="24">
        <v>628.0</v>
      </c>
      <c r="B2633" s="24">
        <v>8.0</v>
      </c>
      <c r="C2633" s="44">
        <v>15.0</v>
      </c>
      <c r="D2633" s="46">
        <v>45013.0</v>
      </c>
      <c r="E2633" s="24">
        <v>1.88</v>
      </c>
      <c r="F2633" s="24">
        <v>23.89</v>
      </c>
      <c r="G2633" s="24">
        <v>1.27</v>
      </c>
      <c r="H2633" s="24" t="s">
        <v>6689</v>
      </c>
      <c r="I2633" s="24" t="s">
        <v>6650</v>
      </c>
      <c r="J2633" s="24">
        <v>0.0</v>
      </c>
    </row>
    <row r="2634">
      <c r="A2634" s="24">
        <v>489.0</v>
      </c>
      <c r="B2634" s="24">
        <v>3.0</v>
      </c>
      <c r="C2634" s="44">
        <v>23.56</v>
      </c>
      <c r="D2634" s="46">
        <v>45013.0</v>
      </c>
      <c r="E2634" s="24">
        <v>7.85</v>
      </c>
      <c r="F2634" s="24">
        <v>48.18</v>
      </c>
      <c r="G2634" s="24">
        <v>0.61</v>
      </c>
      <c r="H2634" s="24" t="s">
        <v>6673</v>
      </c>
      <c r="I2634" s="24" t="s">
        <v>6650</v>
      </c>
      <c r="J2634" s="24">
        <v>0.0</v>
      </c>
    </row>
    <row r="2635">
      <c r="A2635" s="24">
        <v>79.0</v>
      </c>
      <c r="B2635" s="24">
        <v>9.0</v>
      </c>
      <c r="C2635" s="44">
        <v>14.91</v>
      </c>
      <c r="D2635" s="46">
        <v>45013.0</v>
      </c>
      <c r="E2635" s="24">
        <v>1.66</v>
      </c>
      <c r="F2635" s="24">
        <v>188.73</v>
      </c>
      <c r="G2635" s="24">
        <v>11.39</v>
      </c>
      <c r="H2635" s="24" t="s">
        <v>6693</v>
      </c>
      <c r="I2635" s="24">
        <v>14.91</v>
      </c>
      <c r="J2635" s="24">
        <v>0.0</v>
      </c>
    </row>
    <row r="2636">
      <c r="A2636" s="24">
        <v>1401.0</v>
      </c>
      <c r="B2636" s="24">
        <v>11.0</v>
      </c>
      <c r="C2636" s="44">
        <v>13.21</v>
      </c>
      <c r="D2636" s="46">
        <v>45013.0</v>
      </c>
      <c r="E2636" s="24">
        <v>1.2</v>
      </c>
      <c r="F2636" s="24">
        <v>9.43</v>
      </c>
      <c r="G2636" s="24">
        <v>0.79</v>
      </c>
      <c r="H2636" s="24" t="s">
        <v>6688</v>
      </c>
      <c r="I2636" s="24" t="s">
        <v>6650</v>
      </c>
      <c r="J2636" s="24">
        <v>0.0</v>
      </c>
    </row>
    <row r="2637">
      <c r="A2637" s="24">
        <v>341.0</v>
      </c>
      <c r="B2637" s="24">
        <v>2.0</v>
      </c>
      <c r="C2637" s="44">
        <v>14.92</v>
      </c>
      <c r="D2637" s="46">
        <v>45013.0</v>
      </c>
      <c r="E2637" s="24">
        <v>7.46</v>
      </c>
      <c r="F2637" s="24">
        <v>43.75</v>
      </c>
      <c r="G2637" s="24">
        <v>0.59</v>
      </c>
      <c r="H2637" s="24" t="s">
        <v>6677</v>
      </c>
      <c r="I2637" s="24">
        <v>14.92</v>
      </c>
      <c r="J2637" s="24">
        <v>0.0</v>
      </c>
    </row>
    <row r="2638">
      <c r="A2638" s="24">
        <v>441.0</v>
      </c>
      <c r="B2638" s="24">
        <v>2.0</v>
      </c>
      <c r="C2638" s="44">
        <v>13.5</v>
      </c>
      <c r="D2638" s="46">
        <v>45014.0</v>
      </c>
      <c r="E2638" s="24">
        <v>6.75</v>
      </c>
      <c r="F2638" s="24">
        <v>30.61</v>
      </c>
      <c r="G2638" s="24">
        <v>0.45</v>
      </c>
      <c r="H2638" s="24" t="s">
        <v>6680</v>
      </c>
      <c r="I2638" s="24">
        <v>6.75</v>
      </c>
      <c r="J2638" s="24">
        <v>0.0</v>
      </c>
    </row>
    <row r="2639">
      <c r="A2639" s="24">
        <v>879.0</v>
      </c>
      <c r="B2639" s="24">
        <v>6.0</v>
      </c>
      <c r="C2639" s="44">
        <v>12.93</v>
      </c>
      <c r="D2639" s="46">
        <v>45014.0</v>
      </c>
      <c r="E2639" s="24">
        <v>2.15</v>
      </c>
      <c r="F2639" s="24">
        <v>14.71</v>
      </c>
      <c r="G2639" s="24">
        <v>0.68</v>
      </c>
      <c r="H2639" s="24" t="s">
        <v>6689</v>
      </c>
      <c r="I2639" s="24" t="s">
        <v>6650</v>
      </c>
      <c r="J2639" s="24">
        <v>0.0</v>
      </c>
    </row>
    <row r="2640">
      <c r="A2640" s="24">
        <v>1389.0</v>
      </c>
      <c r="B2640" s="24">
        <v>15.0</v>
      </c>
      <c r="C2640" s="44">
        <v>11.94</v>
      </c>
      <c r="D2640" s="46">
        <v>45014.0</v>
      </c>
      <c r="E2640" s="24">
        <v>0.8</v>
      </c>
      <c r="F2640" s="24">
        <v>8.6</v>
      </c>
      <c r="G2640" s="24">
        <v>1.08</v>
      </c>
      <c r="H2640" s="24" t="s">
        <v>6688</v>
      </c>
      <c r="I2640" s="24">
        <v>11.94</v>
      </c>
      <c r="J2640" s="24">
        <v>0.0</v>
      </c>
    </row>
    <row r="2641">
      <c r="A2641" s="24">
        <v>97.0</v>
      </c>
      <c r="B2641" s="24">
        <v>0.0</v>
      </c>
      <c r="C2641" s="44">
        <v>11.89</v>
      </c>
      <c r="D2641" s="46">
        <v>45014.0</v>
      </c>
      <c r="E2641" s="24" t="s">
        <v>6650</v>
      </c>
      <c r="F2641" s="24">
        <v>122.58</v>
      </c>
      <c r="G2641" s="24">
        <v>0.0</v>
      </c>
      <c r="H2641" s="24" t="s">
        <v>6694</v>
      </c>
      <c r="I2641" s="24">
        <v>11.89</v>
      </c>
      <c r="J2641" s="24">
        <v>0.0</v>
      </c>
    </row>
    <row r="2642">
      <c r="A2642" s="24">
        <v>298.0</v>
      </c>
      <c r="B2642" s="24">
        <v>1.0</v>
      </c>
      <c r="C2642" s="44">
        <v>13.7</v>
      </c>
      <c r="D2642" s="46">
        <v>45014.0</v>
      </c>
      <c r="E2642" s="24">
        <v>13.7</v>
      </c>
      <c r="F2642" s="24">
        <v>45.97</v>
      </c>
      <c r="G2642" s="24">
        <v>0.34</v>
      </c>
      <c r="H2642" s="24" t="s">
        <v>6677</v>
      </c>
      <c r="I2642" s="24">
        <v>13.7</v>
      </c>
      <c r="J2642" s="24">
        <v>0.0</v>
      </c>
    </row>
    <row r="2643">
      <c r="A2643" s="24">
        <v>93.0</v>
      </c>
      <c r="B2643" s="24">
        <v>3.0</v>
      </c>
      <c r="C2643" s="44">
        <v>20.8</v>
      </c>
      <c r="D2643" s="46">
        <v>45014.0</v>
      </c>
      <c r="E2643" s="24">
        <v>6.93</v>
      </c>
      <c r="F2643" s="24">
        <v>223.66</v>
      </c>
      <c r="G2643" s="24">
        <v>3.23</v>
      </c>
      <c r="H2643" s="24" t="s">
        <v>6676</v>
      </c>
      <c r="I2643" s="24" t="s">
        <v>6650</v>
      </c>
      <c r="J2643" s="24">
        <v>0.0</v>
      </c>
    </row>
    <row r="2644">
      <c r="A2644" s="24">
        <v>1393.0</v>
      </c>
      <c r="B2644" s="24">
        <v>10.0</v>
      </c>
      <c r="C2644" s="44">
        <v>13.42</v>
      </c>
      <c r="D2644" s="46">
        <v>45014.0</v>
      </c>
      <c r="E2644" s="24">
        <v>1.34</v>
      </c>
      <c r="F2644" s="24">
        <v>9.63</v>
      </c>
      <c r="G2644" s="24">
        <v>0.72</v>
      </c>
      <c r="H2644" s="24" t="s">
        <v>6675</v>
      </c>
      <c r="I2644" s="24">
        <v>13.42</v>
      </c>
      <c r="J2644" s="24">
        <v>0.0</v>
      </c>
    </row>
    <row r="2645">
      <c r="A2645" s="24">
        <v>86.0</v>
      </c>
      <c r="B2645" s="24">
        <v>5.0</v>
      </c>
      <c r="C2645" s="44">
        <v>13.88</v>
      </c>
      <c r="D2645" s="46">
        <v>45014.0</v>
      </c>
      <c r="E2645" s="24">
        <v>2.78</v>
      </c>
      <c r="F2645" s="24">
        <v>161.4</v>
      </c>
      <c r="G2645" s="24">
        <v>5.81</v>
      </c>
      <c r="H2645" s="24" t="s">
        <v>6693</v>
      </c>
      <c r="I2645" s="24">
        <v>4.63</v>
      </c>
      <c r="J2645" s="24">
        <v>0.0</v>
      </c>
    </row>
    <row r="2646">
      <c r="A2646" s="24">
        <v>456.0</v>
      </c>
      <c r="B2646" s="24">
        <v>2.0</v>
      </c>
      <c r="C2646" s="44">
        <v>23.69</v>
      </c>
      <c r="D2646" s="46">
        <v>45014.0</v>
      </c>
      <c r="E2646" s="24">
        <v>11.84</v>
      </c>
      <c r="F2646" s="24">
        <v>51.95</v>
      </c>
      <c r="G2646" s="24">
        <v>0.44</v>
      </c>
      <c r="H2646" s="24" t="s">
        <v>6673</v>
      </c>
      <c r="I2646" s="24" t="s">
        <v>6650</v>
      </c>
      <c r="J2646" s="24">
        <v>0.0</v>
      </c>
    </row>
    <row r="2647">
      <c r="A2647" s="24">
        <v>89.0</v>
      </c>
      <c r="B2647" s="24">
        <v>1.0</v>
      </c>
      <c r="C2647" s="44">
        <v>11.18</v>
      </c>
      <c r="D2647" s="46">
        <v>45015.0</v>
      </c>
      <c r="E2647" s="24">
        <v>11.18</v>
      </c>
      <c r="F2647" s="24">
        <v>125.62</v>
      </c>
      <c r="G2647" s="24">
        <v>1.12</v>
      </c>
      <c r="H2647" s="24" t="s">
        <v>6694</v>
      </c>
      <c r="I2647" s="24" t="s">
        <v>6650</v>
      </c>
      <c r="J2647" s="24">
        <v>0.0</v>
      </c>
    </row>
    <row r="2648">
      <c r="A2648" s="24">
        <v>60.0</v>
      </c>
      <c r="B2648" s="24">
        <v>1.0</v>
      </c>
      <c r="C2648" s="44">
        <v>2.65</v>
      </c>
      <c r="D2648" s="46">
        <v>45015.0</v>
      </c>
      <c r="E2648" s="24">
        <v>2.65</v>
      </c>
      <c r="F2648" s="24">
        <v>44.17</v>
      </c>
      <c r="G2648" s="24">
        <v>1.67</v>
      </c>
      <c r="H2648" s="24" t="s">
        <v>6693</v>
      </c>
      <c r="I2648" s="24" t="s">
        <v>6650</v>
      </c>
      <c r="J2648" s="24">
        <v>0.0</v>
      </c>
    </row>
    <row r="2649">
      <c r="A2649" s="24">
        <v>63.0</v>
      </c>
      <c r="B2649" s="24">
        <v>0.0</v>
      </c>
      <c r="C2649" s="44">
        <v>14.13</v>
      </c>
      <c r="D2649" s="46">
        <v>45015.0</v>
      </c>
      <c r="E2649" s="24" t="s">
        <v>6650</v>
      </c>
      <c r="F2649" s="24">
        <v>224.29</v>
      </c>
      <c r="G2649" s="24">
        <v>0.0</v>
      </c>
      <c r="H2649" s="24" t="s">
        <v>6688</v>
      </c>
      <c r="I2649" s="24" t="s">
        <v>6650</v>
      </c>
      <c r="J2649" s="24">
        <v>0.0</v>
      </c>
    </row>
    <row r="2650">
      <c r="A2650" s="24">
        <v>257.0</v>
      </c>
      <c r="B2650" s="24">
        <v>5.0</v>
      </c>
      <c r="C2650" s="44">
        <v>11.78</v>
      </c>
      <c r="D2650" s="46">
        <v>45015.0</v>
      </c>
      <c r="E2650" s="24">
        <v>2.36</v>
      </c>
      <c r="F2650" s="24">
        <v>45.84</v>
      </c>
      <c r="G2650" s="24">
        <v>1.95</v>
      </c>
      <c r="H2650" s="24" t="s">
        <v>6695</v>
      </c>
      <c r="I2650" s="24" t="s">
        <v>6650</v>
      </c>
      <c r="J2650" s="24">
        <v>1.0</v>
      </c>
    </row>
    <row r="2651">
      <c r="A2651" s="24">
        <v>297.0</v>
      </c>
      <c r="B2651" s="24">
        <v>0.0</v>
      </c>
      <c r="C2651" s="44">
        <v>20.06</v>
      </c>
      <c r="D2651" s="46">
        <v>45015.0</v>
      </c>
      <c r="E2651" s="24" t="s">
        <v>6650</v>
      </c>
      <c r="F2651" s="24">
        <v>67.54</v>
      </c>
      <c r="G2651" s="24">
        <v>0.0</v>
      </c>
      <c r="H2651" s="24" t="s">
        <v>6676</v>
      </c>
      <c r="I2651" s="24" t="s">
        <v>6650</v>
      </c>
      <c r="J2651" s="24">
        <v>0.0</v>
      </c>
    </row>
    <row r="2652">
      <c r="A2652" s="24">
        <v>346.0</v>
      </c>
      <c r="B2652" s="24">
        <v>2.0</v>
      </c>
      <c r="C2652" s="44">
        <v>13.76</v>
      </c>
      <c r="D2652" s="46">
        <v>45015.0</v>
      </c>
      <c r="E2652" s="24">
        <v>6.88</v>
      </c>
      <c r="F2652" s="24">
        <v>39.77</v>
      </c>
      <c r="G2652" s="24">
        <v>0.58</v>
      </c>
      <c r="H2652" s="24" t="s">
        <v>6677</v>
      </c>
      <c r="I2652" s="24" t="s">
        <v>6650</v>
      </c>
      <c r="J2652" s="24">
        <v>0.0</v>
      </c>
    </row>
    <row r="2653">
      <c r="A2653" s="24">
        <v>1266.0</v>
      </c>
      <c r="B2653" s="24">
        <v>9.0</v>
      </c>
      <c r="C2653" s="44">
        <v>13.45</v>
      </c>
      <c r="D2653" s="46">
        <v>45015.0</v>
      </c>
      <c r="E2653" s="24">
        <v>1.49</v>
      </c>
      <c r="F2653" s="24">
        <v>10.62</v>
      </c>
      <c r="G2653" s="24">
        <v>0.71</v>
      </c>
      <c r="H2653" s="24" t="s">
        <v>6675</v>
      </c>
      <c r="I2653" s="24" t="s">
        <v>6650</v>
      </c>
      <c r="J2653" s="24">
        <v>0.0</v>
      </c>
    </row>
    <row r="2654">
      <c r="A2654" s="24">
        <v>466.0</v>
      </c>
      <c r="B2654" s="24">
        <v>2.0</v>
      </c>
      <c r="C2654" s="44">
        <v>13.32</v>
      </c>
      <c r="D2654" s="46">
        <v>45015.0</v>
      </c>
      <c r="E2654" s="24">
        <v>6.66</v>
      </c>
      <c r="F2654" s="24">
        <v>28.58</v>
      </c>
      <c r="G2654" s="24">
        <v>0.43</v>
      </c>
      <c r="H2654" s="24" t="s">
        <v>6680</v>
      </c>
      <c r="I2654" s="24">
        <v>13.32</v>
      </c>
      <c r="J2654" s="24">
        <v>0.0</v>
      </c>
    </row>
    <row r="2655">
      <c r="A2655" s="24">
        <v>591.0</v>
      </c>
      <c r="B2655" s="24">
        <v>7.0</v>
      </c>
      <c r="C2655" s="44">
        <v>23.03</v>
      </c>
      <c r="D2655" s="46">
        <v>45015.0</v>
      </c>
      <c r="E2655" s="24">
        <v>3.29</v>
      </c>
      <c r="F2655" s="24">
        <v>38.97</v>
      </c>
      <c r="G2655" s="24">
        <v>1.18</v>
      </c>
      <c r="H2655" s="24" t="s">
        <v>6673</v>
      </c>
      <c r="I2655" s="24">
        <v>23.03</v>
      </c>
      <c r="J2655" s="24">
        <v>0.0</v>
      </c>
    </row>
    <row r="2656">
      <c r="A2656" s="24">
        <v>212.0</v>
      </c>
      <c r="B2656" s="24">
        <v>3.0</v>
      </c>
      <c r="C2656" s="44">
        <v>13.52</v>
      </c>
      <c r="D2656" s="46">
        <v>45015.0</v>
      </c>
      <c r="E2656" s="24">
        <v>4.51</v>
      </c>
      <c r="F2656" s="24">
        <v>63.77</v>
      </c>
      <c r="G2656" s="24">
        <v>1.42</v>
      </c>
      <c r="H2656" s="24" t="s">
        <v>6689</v>
      </c>
      <c r="I2656" s="24">
        <v>13.52</v>
      </c>
      <c r="J2656" s="24">
        <v>0.0</v>
      </c>
    </row>
    <row r="2657">
      <c r="A2657" s="24">
        <v>460.0</v>
      </c>
      <c r="B2657" s="24">
        <v>4.0</v>
      </c>
      <c r="C2657" s="44">
        <v>11.43</v>
      </c>
      <c r="D2657" s="46">
        <v>45016.0</v>
      </c>
      <c r="E2657" s="24">
        <v>2.86</v>
      </c>
      <c r="F2657" s="24">
        <v>24.85</v>
      </c>
      <c r="G2657" s="24">
        <v>0.87</v>
      </c>
      <c r="H2657" s="24" t="s">
        <v>6677</v>
      </c>
      <c r="I2657" s="24">
        <v>11.43</v>
      </c>
      <c r="J2657" s="24">
        <v>0.0</v>
      </c>
    </row>
    <row r="2658">
      <c r="A2658" s="24">
        <v>19.0</v>
      </c>
      <c r="B2658" s="24">
        <v>0.0</v>
      </c>
      <c r="C2658" s="44">
        <v>3.94</v>
      </c>
      <c r="D2658" s="46">
        <v>45016.0</v>
      </c>
      <c r="E2658" s="24" t="s">
        <v>6650</v>
      </c>
      <c r="F2658" s="24">
        <v>207.37</v>
      </c>
      <c r="G2658" s="24">
        <v>0.0</v>
      </c>
      <c r="H2658" s="24" t="s">
        <v>6694</v>
      </c>
      <c r="I2658" s="24" t="s">
        <v>6650</v>
      </c>
      <c r="J2658" s="24">
        <v>0.0</v>
      </c>
    </row>
    <row r="2659">
      <c r="A2659" s="24">
        <v>1308.0</v>
      </c>
      <c r="B2659" s="24">
        <v>7.0</v>
      </c>
      <c r="C2659" s="44">
        <v>11.51</v>
      </c>
      <c r="D2659" s="46">
        <v>45016.0</v>
      </c>
      <c r="E2659" s="24">
        <v>1.64</v>
      </c>
      <c r="F2659" s="24">
        <v>8.8</v>
      </c>
      <c r="G2659" s="24">
        <v>0.54</v>
      </c>
      <c r="H2659" s="24" t="s">
        <v>6675</v>
      </c>
      <c r="I2659" s="24" t="s">
        <v>6650</v>
      </c>
      <c r="J2659" s="24">
        <v>0.0</v>
      </c>
    </row>
    <row r="2660">
      <c r="A2660" s="24">
        <v>377.0</v>
      </c>
      <c r="B2660" s="24">
        <v>3.0</v>
      </c>
      <c r="C2660" s="44">
        <v>12.01</v>
      </c>
      <c r="D2660" s="46">
        <v>45016.0</v>
      </c>
      <c r="E2660" s="24">
        <v>4.0</v>
      </c>
      <c r="F2660" s="24">
        <v>31.86</v>
      </c>
      <c r="G2660" s="24">
        <v>0.8</v>
      </c>
      <c r="H2660" s="24" t="s">
        <v>6680</v>
      </c>
      <c r="I2660" s="24">
        <v>4.0</v>
      </c>
      <c r="J2660" s="24">
        <v>0.0</v>
      </c>
    </row>
    <row r="2661">
      <c r="A2661" s="24">
        <v>252.0</v>
      </c>
      <c r="B2661" s="24">
        <v>2.0</v>
      </c>
      <c r="C2661" s="44">
        <v>10.93</v>
      </c>
      <c r="D2661" s="46">
        <v>45016.0</v>
      </c>
      <c r="E2661" s="24">
        <v>5.46</v>
      </c>
      <c r="F2661" s="24">
        <v>43.37</v>
      </c>
      <c r="G2661" s="24">
        <v>0.79</v>
      </c>
      <c r="H2661" s="24" t="s">
        <v>6695</v>
      </c>
      <c r="I2661" s="24" t="s">
        <v>6650</v>
      </c>
      <c r="J2661" s="24">
        <v>1.0</v>
      </c>
    </row>
    <row r="2662">
      <c r="A2662" s="24">
        <v>250.0</v>
      </c>
      <c r="B2662" s="24">
        <v>0.0</v>
      </c>
      <c r="C2662" s="44">
        <v>18.38</v>
      </c>
      <c r="D2662" s="46">
        <v>45016.0</v>
      </c>
      <c r="E2662" s="24" t="s">
        <v>6650</v>
      </c>
      <c r="F2662" s="24">
        <v>73.52</v>
      </c>
      <c r="G2662" s="24">
        <v>0.0</v>
      </c>
      <c r="H2662" s="24" t="s">
        <v>6676</v>
      </c>
      <c r="I2662" s="24" t="s">
        <v>6650</v>
      </c>
      <c r="J2662" s="24">
        <v>0.0</v>
      </c>
    </row>
    <row r="2663">
      <c r="A2663" s="24">
        <v>747.0</v>
      </c>
      <c r="B2663" s="24">
        <v>4.0</v>
      </c>
      <c r="C2663" s="44">
        <v>20.6</v>
      </c>
      <c r="D2663" s="46">
        <v>45016.0</v>
      </c>
      <c r="E2663" s="24">
        <v>5.15</v>
      </c>
      <c r="F2663" s="24">
        <v>27.58</v>
      </c>
      <c r="G2663" s="24">
        <v>0.54</v>
      </c>
      <c r="H2663" s="24" t="s">
        <v>6673</v>
      </c>
      <c r="I2663" s="24" t="s">
        <v>6650</v>
      </c>
      <c r="J2663" s="24">
        <v>0.0</v>
      </c>
    </row>
    <row r="2664">
      <c r="A2664" s="24">
        <v>522.0</v>
      </c>
      <c r="B2664" s="24">
        <v>2.0</v>
      </c>
      <c r="C2664" s="44">
        <v>10.66</v>
      </c>
      <c r="D2664" s="46">
        <v>45016.0</v>
      </c>
      <c r="E2664" s="24">
        <v>5.33</v>
      </c>
      <c r="F2664" s="24">
        <v>20.42</v>
      </c>
      <c r="G2664" s="24">
        <v>0.38</v>
      </c>
      <c r="H2664" s="24" t="s">
        <v>6692</v>
      </c>
      <c r="I2664" s="24" t="s">
        <v>6650</v>
      </c>
      <c r="J2664" s="24">
        <v>0.0</v>
      </c>
    </row>
    <row r="2665">
      <c r="A2665" s="24">
        <v>64.0</v>
      </c>
      <c r="B2665" s="24">
        <v>4.0</v>
      </c>
      <c r="C2665" s="44">
        <v>2.89</v>
      </c>
      <c r="D2665" s="46">
        <v>45016.0</v>
      </c>
      <c r="E2665" s="24">
        <v>0.72</v>
      </c>
      <c r="F2665" s="24">
        <v>45.16</v>
      </c>
      <c r="G2665" s="24">
        <v>6.25</v>
      </c>
      <c r="H2665" s="24" t="s">
        <v>6693</v>
      </c>
      <c r="I2665" s="24">
        <v>0.96</v>
      </c>
      <c r="J2665" s="24">
        <v>0.0</v>
      </c>
    </row>
    <row r="2666">
      <c r="A2666" s="24">
        <v>66.0</v>
      </c>
      <c r="B2666" s="24">
        <v>0.0</v>
      </c>
      <c r="C2666" s="44">
        <v>6.12</v>
      </c>
      <c r="D2666" s="46">
        <v>45016.0</v>
      </c>
      <c r="E2666" s="24" t="s">
        <v>6650</v>
      </c>
      <c r="F2666" s="24">
        <v>92.73</v>
      </c>
      <c r="G2666" s="24">
        <v>0.0</v>
      </c>
      <c r="H2666" s="24" t="s">
        <v>6688</v>
      </c>
      <c r="I2666" s="24">
        <v>6.12</v>
      </c>
      <c r="J2666" s="24">
        <v>0.0</v>
      </c>
    </row>
    <row r="2667">
      <c r="A2667" s="24">
        <v>525.0</v>
      </c>
      <c r="B2667" s="24">
        <v>8.0</v>
      </c>
      <c r="C2667" s="44">
        <v>12.29</v>
      </c>
      <c r="D2667" s="46">
        <v>45016.0</v>
      </c>
      <c r="E2667" s="24">
        <v>1.54</v>
      </c>
      <c r="F2667" s="24">
        <v>23.41</v>
      </c>
      <c r="G2667" s="24">
        <v>1.52</v>
      </c>
      <c r="H2667" s="24" t="s">
        <v>6689</v>
      </c>
      <c r="I2667" s="24">
        <v>6.14</v>
      </c>
      <c r="J2667" s="24">
        <v>0.0</v>
      </c>
    </row>
    <row r="2668">
      <c r="A2668" s="24">
        <v>0.0</v>
      </c>
      <c r="B2668" s="24">
        <v>0.0</v>
      </c>
      <c r="C2668" s="44"/>
      <c r="D2668" s="46">
        <v>45017.0</v>
      </c>
      <c r="E2668" s="24" t="s">
        <v>6650</v>
      </c>
      <c r="F2668" s="24" t="s">
        <v>6650</v>
      </c>
      <c r="G2668" s="24" t="s">
        <v>6650</v>
      </c>
      <c r="H2668" s="24" t="s">
        <v>6693</v>
      </c>
      <c r="I2668" s="24" t="s">
        <v>6650</v>
      </c>
      <c r="J2668" s="24"/>
    </row>
    <row r="2669">
      <c r="A2669" s="24">
        <v>245.0</v>
      </c>
      <c r="B2669" s="24">
        <v>3.0</v>
      </c>
      <c r="C2669" s="44">
        <v>6.41</v>
      </c>
      <c r="D2669" s="46">
        <v>45017.0</v>
      </c>
      <c r="E2669" s="24">
        <v>2.14</v>
      </c>
      <c r="F2669" s="24">
        <v>26.16</v>
      </c>
      <c r="G2669" s="24">
        <v>1.22</v>
      </c>
      <c r="H2669" s="24" t="s">
        <v>6680</v>
      </c>
      <c r="I2669" s="24">
        <v>6.41</v>
      </c>
      <c r="J2669" s="24">
        <v>0.0</v>
      </c>
    </row>
    <row r="2670">
      <c r="A2670" s="24">
        <v>874.0</v>
      </c>
      <c r="B2670" s="24">
        <v>12.0</v>
      </c>
      <c r="C2670" s="44">
        <v>6.36</v>
      </c>
      <c r="D2670" s="46">
        <v>45017.0</v>
      </c>
      <c r="E2670" s="24">
        <v>0.53</v>
      </c>
      <c r="F2670" s="24">
        <v>7.28</v>
      </c>
      <c r="G2670" s="24">
        <v>1.37</v>
      </c>
      <c r="H2670" s="24" t="s">
        <v>6675</v>
      </c>
      <c r="I2670" s="24" t="s">
        <v>6650</v>
      </c>
      <c r="J2670" s="24">
        <v>0.0</v>
      </c>
    </row>
    <row r="2671">
      <c r="A2671" s="24">
        <v>254.0</v>
      </c>
      <c r="B2671" s="24">
        <v>3.0</v>
      </c>
      <c r="C2671" s="44">
        <v>10.56</v>
      </c>
      <c r="D2671" s="46">
        <v>45017.0</v>
      </c>
      <c r="E2671" s="24">
        <v>3.52</v>
      </c>
      <c r="F2671" s="24">
        <v>41.57</v>
      </c>
      <c r="G2671" s="24">
        <v>1.18</v>
      </c>
      <c r="H2671" s="24" t="s">
        <v>6689</v>
      </c>
      <c r="I2671" s="24">
        <v>10.56</v>
      </c>
      <c r="J2671" s="24">
        <v>0.0</v>
      </c>
    </row>
    <row r="2672">
      <c r="A2672" s="24">
        <v>457.0</v>
      </c>
      <c r="B2672" s="24">
        <v>5.0</v>
      </c>
      <c r="C2672" s="44">
        <v>7.77</v>
      </c>
      <c r="D2672" s="46">
        <v>45017.0</v>
      </c>
      <c r="E2672" s="24">
        <v>1.55</v>
      </c>
      <c r="F2672" s="24">
        <v>17.0</v>
      </c>
      <c r="G2672" s="24">
        <v>1.09</v>
      </c>
      <c r="H2672" s="24" t="s">
        <v>6692</v>
      </c>
      <c r="I2672" s="24" t="s">
        <v>6650</v>
      </c>
      <c r="J2672" s="24">
        <v>0.0</v>
      </c>
    </row>
    <row r="2673">
      <c r="A2673" s="24">
        <v>106.0</v>
      </c>
      <c r="B2673" s="24">
        <v>0.0</v>
      </c>
      <c r="C2673" s="44">
        <v>7.71</v>
      </c>
      <c r="D2673" s="46">
        <v>45017.0</v>
      </c>
      <c r="E2673" s="24" t="s">
        <v>6650</v>
      </c>
      <c r="F2673" s="24">
        <v>72.74</v>
      </c>
      <c r="G2673" s="24">
        <v>0.0</v>
      </c>
      <c r="H2673" s="24" t="s">
        <v>6695</v>
      </c>
      <c r="I2673" s="24" t="s">
        <v>6650</v>
      </c>
      <c r="J2673" s="24">
        <v>0.0</v>
      </c>
    </row>
    <row r="2674">
      <c r="A2674" s="24">
        <v>366.0</v>
      </c>
      <c r="B2674" s="24">
        <v>0.0</v>
      </c>
      <c r="C2674" s="44">
        <v>11.59</v>
      </c>
      <c r="D2674" s="46">
        <v>45017.0</v>
      </c>
      <c r="E2674" s="24" t="s">
        <v>6650</v>
      </c>
      <c r="F2674" s="24">
        <v>31.67</v>
      </c>
      <c r="G2674" s="24">
        <v>0.0</v>
      </c>
      <c r="H2674" s="24" t="s">
        <v>6673</v>
      </c>
      <c r="I2674" s="24" t="s">
        <v>6650</v>
      </c>
      <c r="J2674" s="24">
        <v>0.0</v>
      </c>
    </row>
    <row r="2675">
      <c r="A2675" s="24">
        <v>118.0</v>
      </c>
      <c r="B2675" s="24">
        <v>0.0</v>
      </c>
      <c r="C2675" s="44">
        <v>11.28</v>
      </c>
      <c r="D2675" s="46">
        <v>45017.0</v>
      </c>
      <c r="E2675" s="24" t="s">
        <v>6650</v>
      </c>
      <c r="F2675" s="24">
        <v>95.59</v>
      </c>
      <c r="G2675" s="24">
        <v>0.0</v>
      </c>
      <c r="H2675" s="24" t="s">
        <v>6676</v>
      </c>
      <c r="I2675" s="24" t="s">
        <v>6650</v>
      </c>
      <c r="J2675" s="24">
        <v>0.0</v>
      </c>
    </row>
    <row r="2676">
      <c r="A2676" s="24">
        <v>136.0</v>
      </c>
      <c r="B2676" s="24">
        <v>2.0</v>
      </c>
      <c r="C2676" s="44">
        <v>5.81</v>
      </c>
      <c r="D2676" s="46">
        <v>45017.0</v>
      </c>
      <c r="E2676" s="24">
        <v>2.9</v>
      </c>
      <c r="F2676" s="24">
        <v>42.72</v>
      </c>
      <c r="G2676" s="24">
        <v>1.47</v>
      </c>
      <c r="H2676" s="24" t="s">
        <v>6677</v>
      </c>
      <c r="I2676" s="24" t="s">
        <v>6650</v>
      </c>
      <c r="J2676" s="24">
        <v>0.0</v>
      </c>
    </row>
    <row r="2677">
      <c r="A2677" s="24">
        <v>57.0</v>
      </c>
      <c r="B2677" s="24">
        <v>1.0</v>
      </c>
      <c r="C2677" s="44">
        <v>14.08</v>
      </c>
      <c r="D2677" s="46">
        <v>45017.0</v>
      </c>
      <c r="E2677" s="24">
        <v>14.08</v>
      </c>
      <c r="F2677" s="24">
        <v>247.02</v>
      </c>
      <c r="G2677" s="24">
        <v>1.75</v>
      </c>
      <c r="H2677" s="24" t="s">
        <v>6688</v>
      </c>
      <c r="I2677" s="24">
        <v>14.08</v>
      </c>
      <c r="J2677" s="24">
        <v>0.0</v>
      </c>
    </row>
    <row r="2678">
      <c r="A2678" s="24">
        <v>184.0</v>
      </c>
      <c r="B2678" s="24">
        <v>2.0</v>
      </c>
      <c r="C2678" s="44">
        <v>9.68</v>
      </c>
      <c r="D2678" s="46">
        <v>45018.0</v>
      </c>
      <c r="E2678" s="24">
        <v>4.84</v>
      </c>
      <c r="F2678" s="24">
        <v>52.61</v>
      </c>
      <c r="G2678" s="24">
        <v>1.09</v>
      </c>
      <c r="H2678" s="24" t="s">
        <v>6673</v>
      </c>
      <c r="I2678" s="24" t="s">
        <v>6650</v>
      </c>
      <c r="J2678" s="24">
        <v>0.0</v>
      </c>
    </row>
    <row r="2679">
      <c r="A2679" s="24">
        <v>109.0</v>
      </c>
      <c r="B2679" s="24">
        <v>0.0</v>
      </c>
      <c r="C2679" s="44">
        <v>7.48</v>
      </c>
      <c r="D2679" s="46">
        <v>45018.0</v>
      </c>
      <c r="E2679" s="24" t="s">
        <v>6650</v>
      </c>
      <c r="F2679" s="24">
        <v>68.62</v>
      </c>
      <c r="G2679" s="24">
        <v>0.0</v>
      </c>
      <c r="H2679" s="24" t="s">
        <v>6695</v>
      </c>
      <c r="I2679" s="24" t="s">
        <v>6650</v>
      </c>
      <c r="J2679" s="24">
        <v>0.0</v>
      </c>
    </row>
    <row r="2680">
      <c r="A2680" s="24">
        <v>216.0</v>
      </c>
      <c r="B2680" s="24">
        <v>0.0</v>
      </c>
      <c r="C2680" s="44">
        <v>3.74</v>
      </c>
      <c r="D2680" s="46">
        <v>45018.0</v>
      </c>
      <c r="E2680" s="24" t="s">
        <v>6650</v>
      </c>
      <c r="F2680" s="24">
        <v>17.31</v>
      </c>
      <c r="G2680" s="24">
        <v>0.0</v>
      </c>
      <c r="H2680" s="24" t="s">
        <v>6680</v>
      </c>
      <c r="I2680" s="24" t="s">
        <v>6650</v>
      </c>
      <c r="J2680" s="24">
        <v>0.0</v>
      </c>
    </row>
    <row r="2681">
      <c r="A2681" s="24">
        <v>275.0</v>
      </c>
      <c r="B2681" s="24">
        <v>0.0</v>
      </c>
      <c r="C2681" s="44">
        <v>6.56</v>
      </c>
      <c r="D2681" s="46">
        <v>45018.0</v>
      </c>
      <c r="E2681" s="24" t="s">
        <v>6650</v>
      </c>
      <c r="F2681" s="24">
        <v>23.85</v>
      </c>
      <c r="G2681" s="24">
        <v>0.0</v>
      </c>
      <c r="H2681" s="24" t="s">
        <v>6692</v>
      </c>
      <c r="I2681" s="24" t="s">
        <v>6650</v>
      </c>
      <c r="J2681" s="24">
        <v>0.0</v>
      </c>
    </row>
    <row r="2682">
      <c r="A2682" s="24">
        <v>117.0</v>
      </c>
      <c r="B2682" s="24">
        <v>0.0</v>
      </c>
      <c r="C2682" s="44">
        <v>5.15</v>
      </c>
      <c r="D2682" s="46">
        <v>45018.0</v>
      </c>
      <c r="E2682" s="24" t="s">
        <v>6650</v>
      </c>
      <c r="F2682" s="24">
        <v>44.02</v>
      </c>
      <c r="G2682" s="24">
        <v>0.0</v>
      </c>
      <c r="H2682" s="24" t="s">
        <v>6677</v>
      </c>
      <c r="I2682" s="24" t="s">
        <v>6650</v>
      </c>
      <c r="J2682" s="24">
        <v>0.0</v>
      </c>
    </row>
    <row r="2683">
      <c r="A2683" s="24">
        <v>62.0</v>
      </c>
      <c r="B2683" s="24">
        <v>0.0</v>
      </c>
      <c r="C2683" s="44">
        <v>6.92</v>
      </c>
      <c r="D2683" s="46">
        <v>45018.0</v>
      </c>
      <c r="E2683" s="24" t="s">
        <v>6650</v>
      </c>
      <c r="F2683" s="24">
        <v>111.61</v>
      </c>
      <c r="G2683" s="24">
        <v>0.0</v>
      </c>
      <c r="H2683" s="24" t="s">
        <v>6676</v>
      </c>
      <c r="I2683" s="24" t="s">
        <v>6650</v>
      </c>
      <c r="J2683" s="24">
        <v>0.0</v>
      </c>
    </row>
    <row r="2684">
      <c r="A2684" s="24">
        <v>877.0</v>
      </c>
      <c r="B2684" s="24">
        <v>12.0</v>
      </c>
      <c r="C2684" s="44">
        <v>6.42</v>
      </c>
      <c r="D2684" s="46">
        <v>45018.0</v>
      </c>
      <c r="E2684" s="24">
        <v>0.54</v>
      </c>
      <c r="F2684" s="24">
        <v>7.32</v>
      </c>
      <c r="G2684" s="24">
        <v>1.37</v>
      </c>
      <c r="H2684" s="24" t="s">
        <v>6675</v>
      </c>
      <c r="I2684" s="24">
        <v>6.42</v>
      </c>
      <c r="J2684" s="24">
        <v>0.0</v>
      </c>
    </row>
    <row r="2685">
      <c r="A2685" s="24">
        <v>51.0</v>
      </c>
      <c r="B2685" s="24">
        <v>2.0</v>
      </c>
      <c r="C2685" s="44">
        <v>0.73</v>
      </c>
      <c r="D2685" s="46">
        <v>45018.0</v>
      </c>
      <c r="E2685" s="24">
        <v>0.36</v>
      </c>
      <c r="F2685" s="24">
        <v>14.31</v>
      </c>
      <c r="G2685" s="24">
        <v>3.92</v>
      </c>
      <c r="H2685" s="24" t="s">
        <v>6688</v>
      </c>
      <c r="I2685" s="24">
        <v>0.73</v>
      </c>
      <c r="J2685" s="24">
        <v>0.0</v>
      </c>
    </row>
    <row r="2686">
      <c r="A2686" s="24">
        <v>30.0</v>
      </c>
      <c r="B2686" s="24">
        <v>0.0</v>
      </c>
      <c r="C2686" s="44">
        <v>1.22</v>
      </c>
      <c r="D2686" s="46">
        <v>45018.0</v>
      </c>
      <c r="E2686" s="24" t="s">
        <v>6650</v>
      </c>
      <c r="F2686" s="24">
        <v>40.67</v>
      </c>
      <c r="G2686" s="24">
        <v>0.0</v>
      </c>
      <c r="H2686" s="24" t="s">
        <v>6689</v>
      </c>
      <c r="I2686" s="24" t="s">
        <v>6650</v>
      </c>
      <c r="J2686" s="24">
        <v>0.0</v>
      </c>
    </row>
    <row r="2687">
      <c r="A2687" s="24">
        <v>705.0</v>
      </c>
      <c r="B2687" s="24">
        <v>3.0</v>
      </c>
      <c r="C2687" s="44">
        <v>11.0</v>
      </c>
      <c r="D2687" s="46">
        <v>45019.0</v>
      </c>
      <c r="E2687" s="24">
        <v>3.67</v>
      </c>
      <c r="F2687" s="24">
        <v>15.6</v>
      </c>
      <c r="G2687" s="24">
        <v>0.43</v>
      </c>
      <c r="H2687" s="24" t="s">
        <v>6692</v>
      </c>
      <c r="I2687" s="24" t="s">
        <v>6650</v>
      </c>
      <c r="J2687" s="24">
        <v>0.0</v>
      </c>
    </row>
    <row r="2688">
      <c r="A2688" s="24">
        <v>182.0</v>
      </c>
      <c r="B2688" s="24">
        <v>2.0</v>
      </c>
      <c r="C2688" s="44">
        <v>7.61</v>
      </c>
      <c r="D2688" s="46">
        <v>45019.0</v>
      </c>
      <c r="E2688" s="24">
        <v>3.8</v>
      </c>
      <c r="F2688" s="24">
        <v>41.81</v>
      </c>
      <c r="G2688" s="24">
        <v>1.1</v>
      </c>
      <c r="H2688" s="24" t="s">
        <v>6696</v>
      </c>
      <c r="I2688" s="24" t="s">
        <v>6650</v>
      </c>
      <c r="J2688" s="24">
        <v>0.0</v>
      </c>
    </row>
    <row r="2689">
      <c r="A2689" s="24">
        <v>177.0</v>
      </c>
      <c r="B2689" s="24">
        <v>0.0</v>
      </c>
      <c r="C2689" s="44">
        <v>10.21</v>
      </c>
      <c r="D2689" s="46">
        <v>45019.0</v>
      </c>
      <c r="E2689" s="24" t="s">
        <v>6650</v>
      </c>
      <c r="F2689" s="24">
        <v>57.68</v>
      </c>
      <c r="G2689" s="24">
        <v>0.0</v>
      </c>
      <c r="H2689" s="24" t="s">
        <v>6697</v>
      </c>
      <c r="I2689" s="24" t="s">
        <v>6650</v>
      </c>
      <c r="J2689" s="24">
        <v>0.0</v>
      </c>
    </row>
    <row r="2690">
      <c r="A2690" s="24">
        <v>49.0</v>
      </c>
      <c r="B2690" s="24">
        <v>2.0</v>
      </c>
      <c r="C2690" s="44">
        <v>0.7</v>
      </c>
      <c r="D2690" s="46">
        <v>45019.0</v>
      </c>
      <c r="E2690" s="24">
        <v>0.35</v>
      </c>
      <c r="F2690" s="24">
        <v>14.29</v>
      </c>
      <c r="G2690" s="24">
        <v>4.08</v>
      </c>
      <c r="H2690" s="24" t="s">
        <v>6688</v>
      </c>
      <c r="I2690" s="24" t="s">
        <v>6650</v>
      </c>
      <c r="J2690" s="24">
        <v>0.0</v>
      </c>
    </row>
    <row r="2691">
      <c r="A2691" s="24">
        <v>113.0</v>
      </c>
      <c r="B2691" s="24">
        <v>1.0</v>
      </c>
      <c r="C2691" s="44">
        <v>10.12</v>
      </c>
      <c r="D2691" s="46">
        <v>45019.0</v>
      </c>
      <c r="E2691" s="24">
        <v>10.12</v>
      </c>
      <c r="F2691" s="24">
        <v>89.56</v>
      </c>
      <c r="G2691" s="24">
        <v>0.88</v>
      </c>
      <c r="H2691" s="24" t="s">
        <v>6676</v>
      </c>
      <c r="I2691" s="24" t="s">
        <v>6650</v>
      </c>
      <c r="J2691" s="24">
        <v>0.0</v>
      </c>
    </row>
    <row r="2692">
      <c r="A2692" s="24">
        <v>55.0</v>
      </c>
      <c r="B2692" s="24">
        <v>1.0</v>
      </c>
      <c r="C2692" s="44">
        <v>2.17</v>
      </c>
      <c r="D2692" s="46">
        <v>45019.0</v>
      </c>
      <c r="E2692" s="24">
        <v>2.17</v>
      </c>
      <c r="F2692" s="24">
        <v>39.45</v>
      </c>
      <c r="G2692" s="24">
        <v>1.82</v>
      </c>
      <c r="H2692" s="24" t="s">
        <v>6693</v>
      </c>
      <c r="I2692" s="24">
        <v>1.08</v>
      </c>
      <c r="J2692" s="24">
        <v>0.0</v>
      </c>
    </row>
    <row r="2693">
      <c r="A2693" s="24">
        <v>217.0</v>
      </c>
      <c r="B2693" s="24">
        <v>1.0</v>
      </c>
      <c r="C2693" s="44">
        <v>10.72</v>
      </c>
      <c r="D2693" s="46">
        <v>45019.0</v>
      </c>
      <c r="E2693" s="24">
        <v>10.72</v>
      </c>
      <c r="F2693" s="24">
        <v>49.4</v>
      </c>
      <c r="G2693" s="24">
        <v>0.46</v>
      </c>
      <c r="H2693" s="24" t="s">
        <v>6695</v>
      </c>
      <c r="I2693" s="24" t="s">
        <v>6650</v>
      </c>
      <c r="J2693" s="24">
        <v>0.0</v>
      </c>
    </row>
    <row r="2694">
      <c r="A2694" s="24">
        <v>572.0</v>
      </c>
      <c r="B2694" s="24">
        <v>2.0</v>
      </c>
      <c r="C2694" s="44">
        <v>13.33</v>
      </c>
      <c r="D2694" s="46">
        <v>45019.0</v>
      </c>
      <c r="E2694" s="24">
        <v>6.66</v>
      </c>
      <c r="F2694" s="24">
        <v>23.3</v>
      </c>
      <c r="G2694" s="24">
        <v>0.35</v>
      </c>
      <c r="H2694" s="24" t="s">
        <v>6680</v>
      </c>
      <c r="I2694" s="24">
        <v>6.66</v>
      </c>
      <c r="J2694" s="24">
        <v>0.0</v>
      </c>
    </row>
    <row r="2695">
      <c r="A2695" s="24">
        <v>260.0</v>
      </c>
      <c r="B2695" s="24">
        <v>2.0</v>
      </c>
      <c r="C2695" s="44">
        <v>9.43</v>
      </c>
      <c r="D2695" s="46">
        <v>45019.0</v>
      </c>
      <c r="E2695" s="24">
        <v>4.72</v>
      </c>
      <c r="F2695" s="24">
        <v>36.27</v>
      </c>
      <c r="G2695" s="24">
        <v>0.77</v>
      </c>
      <c r="H2695" s="24" t="s">
        <v>6673</v>
      </c>
      <c r="I2695" s="24" t="s">
        <v>6650</v>
      </c>
      <c r="J2695" s="24">
        <v>0.0</v>
      </c>
    </row>
    <row r="2696">
      <c r="A2696" s="24">
        <v>290.0</v>
      </c>
      <c r="B2696" s="24">
        <v>2.0</v>
      </c>
      <c r="C2696" s="44">
        <v>8.07</v>
      </c>
      <c r="D2696" s="46">
        <v>45019.0</v>
      </c>
      <c r="E2696" s="24">
        <v>4.04</v>
      </c>
      <c r="F2696" s="24">
        <v>27.83</v>
      </c>
      <c r="G2696" s="24">
        <v>0.69</v>
      </c>
      <c r="H2696" s="24" t="s">
        <v>6677</v>
      </c>
      <c r="I2696" s="24">
        <v>8.07</v>
      </c>
      <c r="J2696" s="24">
        <v>0.0</v>
      </c>
    </row>
    <row r="2697">
      <c r="A2697" s="24">
        <v>1271.0</v>
      </c>
      <c r="B2697" s="24">
        <v>12.0</v>
      </c>
      <c r="C2697" s="44">
        <v>9.62</v>
      </c>
      <c r="D2697" s="46">
        <v>45019.0</v>
      </c>
      <c r="E2697" s="24">
        <v>0.8</v>
      </c>
      <c r="F2697" s="24">
        <v>7.57</v>
      </c>
      <c r="G2697" s="24">
        <v>0.94</v>
      </c>
      <c r="H2697" s="24" t="s">
        <v>6689</v>
      </c>
      <c r="I2697" s="24">
        <v>3.21</v>
      </c>
      <c r="J2697" s="24">
        <v>0.0</v>
      </c>
    </row>
    <row r="2698">
      <c r="A2698" s="24">
        <v>954.0</v>
      </c>
      <c r="B2698" s="24">
        <v>6.0</v>
      </c>
      <c r="C2698" s="44">
        <v>7.74</v>
      </c>
      <c r="D2698" s="46">
        <v>45019.0</v>
      </c>
      <c r="E2698" s="24">
        <v>1.29</v>
      </c>
      <c r="F2698" s="24">
        <v>8.11</v>
      </c>
      <c r="G2698" s="24">
        <v>0.63</v>
      </c>
      <c r="H2698" s="24" t="s">
        <v>6675</v>
      </c>
      <c r="I2698" s="24" t="s">
        <v>6650</v>
      </c>
      <c r="J2698" s="24">
        <v>0.0</v>
      </c>
    </row>
    <row r="2699">
      <c r="A2699" s="24">
        <v>73.0</v>
      </c>
      <c r="B2699" s="24">
        <v>3.0</v>
      </c>
      <c r="C2699" s="44">
        <v>3.06</v>
      </c>
      <c r="D2699" s="46">
        <v>45020.0</v>
      </c>
      <c r="E2699" s="24">
        <v>1.02</v>
      </c>
      <c r="F2699" s="24">
        <v>41.92</v>
      </c>
      <c r="G2699" s="24">
        <v>4.11</v>
      </c>
      <c r="H2699" s="24" t="s">
        <v>6693</v>
      </c>
      <c r="I2699" s="24">
        <v>3.06</v>
      </c>
      <c r="J2699" s="24">
        <v>0.0</v>
      </c>
    </row>
    <row r="2700">
      <c r="A2700" s="24">
        <v>0.0</v>
      </c>
      <c r="B2700" s="24">
        <v>0.0</v>
      </c>
      <c r="C2700" s="44"/>
      <c r="D2700" s="46">
        <v>45020.0</v>
      </c>
      <c r="E2700" s="24" t="s">
        <v>6650</v>
      </c>
      <c r="F2700" s="24" t="s">
        <v>6650</v>
      </c>
      <c r="G2700" s="24" t="s">
        <v>6650</v>
      </c>
      <c r="H2700" s="24" t="s">
        <v>6677</v>
      </c>
      <c r="I2700" s="24" t="s">
        <v>6650</v>
      </c>
      <c r="J2700" s="24"/>
    </row>
    <row r="2701">
      <c r="A2701" s="24">
        <v>1260.0</v>
      </c>
      <c r="B2701" s="24">
        <v>10.0</v>
      </c>
      <c r="C2701" s="44">
        <v>10.46</v>
      </c>
      <c r="D2701" s="46">
        <v>45020.0</v>
      </c>
      <c r="E2701" s="24">
        <v>1.05</v>
      </c>
      <c r="F2701" s="24">
        <v>8.3</v>
      </c>
      <c r="G2701" s="24">
        <v>0.79</v>
      </c>
      <c r="H2701" s="24" t="s">
        <v>6689</v>
      </c>
      <c r="I2701" s="24" t="s">
        <v>6650</v>
      </c>
      <c r="J2701" s="24">
        <v>0.0</v>
      </c>
    </row>
    <row r="2702">
      <c r="A2702" s="24">
        <v>182.0</v>
      </c>
      <c r="B2702" s="24">
        <v>2.0</v>
      </c>
      <c r="C2702" s="44">
        <v>10.32</v>
      </c>
      <c r="D2702" s="46">
        <v>45020.0</v>
      </c>
      <c r="E2702" s="24">
        <v>5.16</v>
      </c>
      <c r="F2702" s="24">
        <v>56.7</v>
      </c>
      <c r="G2702" s="24">
        <v>1.1</v>
      </c>
      <c r="H2702" s="24" t="s">
        <v>6696</v>
      </c>
      <c r="I2702" s="24" t="s">
        <v>6650</v>
      </c>
      <c r="J2702" s="24">
        <v>0.0</v>
      </c>
    </row>
    <row r="2703">
      <c r="A2703" s="24">
        <v>0.0</v>
      </c>
      <c r="B2703" s="24">
        <v>0.0</v>
      </c>
      <c r="C2703" s="44"/>
      <c r="D2703" s="46">
        <v>45020.0</v>
      </c>
      <c r="E2703" s="24" t="s">
        <v>6650</v>
      </c>
      <c r="F2703" s="24" t="s">
        <v>6650</v>
      </c>
      <c r="G2703" s="24" t="s">
        <v>6650</v>
      </c>
      <c r="H2703" s="24" t="s">
        <v>6694</v>
      </c>
      <c r="I2703" s="24" t="s">
        <v>6650</v>
      </c>
      <c r="J2703" s="24"/>
    </row>
    <row r="2704">
      <c r="A2704" s="24">
        <v>96.0</v>
      </c>
      <c r="B2704" s="24">
        <v>0.0</v>
      </c>
      <c r="C2704" s="44">
        <v>11.21</v>
      </c>
      <c r="D2704" s="46">
        <v>45020.0</v>
      </c>
      <c r="E2704" s="24" t="s">
        <v>6650</v>
      </c>
      <c r="F2704" s="24">
        <v>116.77</v>
      </c>
      <c r="G2704" s="24">
        <v>0.0</v>
      </c>
      <c r="H2704" s="24" t="s">
        <v>6697</v>
      </c>
      <c r="I2704" s="24" t="s">
        <v>6650</v>
      </c>
      <c r="J2704" s="24">
        <v>0.0</v>
      </c>
    </row>
    <row r="2705">
      <c r="A2705" s="24">
        <v>578.0</v>
      </c>
      <c r="B2705" s="24">
        <v>1.0</v>
      </c>
      <c r="C2705" s="44">
        <v>13.78</v>
      </c>
      <c r="D2705" s="46">
        <v>45020.0</v>
      </c>
      <c r="E2705" s="24">
        <v>13.78</v>
      </c>
      <c r="F2705" s="24">
        <v>23.84</v>
      </c>
      <c r="G2705" s="24">
        <v>0.17</v>
      </c>
      <c r="H2705" s="24" t="s">
        <v>6680</v>
      </c>
      <c r="I2705" s="24" t="s">
        <v>6650</v>
      </c>
      <c r="J2705" s="24">
        <v>0.0</v>
      </c>
    </row>
    <row r="2706">
      <c r="A2706" s="24">
        <v>673.0</v>
      </c>
      <c r="B2706" s="24">
        <v>2.0</v>
      </c>
      <c r="C2706" s="44">
        <v>10.95</v>
      </c>
      <c r="D2706" s="46">
        <v>45020.0</v>
      </c>
      <c r="E2706" s="24">
        <v>5.48</v>
      </c>
      <c r="F2706" s="24">
        <v>16.27</v>
      </c>
      <c r="G2706" s="24">
        <v>0.3</v>
      </c>
      <c r="H2706" s="24" t="s">
        <v>6692</v>
      </c>
      <c r="I2706" s="24">
        <v>10.95</v>
      </c>
      <c r="J2706" s="24">
        <v>1.0</v>
      </c>
    </row>
    <row r="2707">
      <c r="A2707" s="24">
        <v>42.0</v>
      </c>
      <c r="B2707" s="24">
        <v>2.0</v>
      </c>
      <c r="C2707" s="44">
        <v>0.56</v>
      </c>
      <c r="D2707" s="46">
        <v>45020.0</v>
      </c>
      <c r="E2707" s="24">
        <v>0.28</v>
      </c>
      <c r="F2707" s="24">
        <v>13.33</v>
      </c>
      <c r="G2707" s="24">
        <v>4.76</v>
      </c>
      <c r="H2707" s="24" t="s">
        <v>6688</v>
      </c>
      <c r="I2707" s="24">
        <v>0.56</v>
      </c>
      <c r="J2707" s="24">
        <v>0.0</v>
      </c>
    </row>
    <row r="2708">
      <c r="A2708" s="24">
        <v>130.0</v>
      </c>
      <c r="B2708" s="24">
        <v>2.0</v>
      </c>
      <c r="C2708" s="44">
        <v>11.35</v>
      </c>
      <c r="D2708" s="46">
        <v>45020.0</v>
      </c>
      <c r="E2708" s="24">
        <v>5.68</v>
      </c>
      <c r="F2708" s="24">
        <v>87.31</v>
      </c>
      <c r="G2708" s="24">
        <v>1.54</v>
      </c>
      <c r="H2708" s="24" t="s">
        <v>6695</v>
      </c>
      <c r="I2708" s="24" t="s">
        <v>6650</v>
      </c>
      <c r="J2708" s="24">
        <v>0.0</v>
      </c>
    </row>
    <row r="2709">
      <c r="A2709" s="24">
        <v>699.0</v>
      </c>
      <c r="B2709" s="24">
        <v>2.0</v>
      </c>
      <c r="C2709" s="44">
        <v>11.73</v>
      </c>
      <c r="D2709" s="46">
        <v>45021.0</v>
      </c>
      <c r="E2709" s="24">
        <v>5.86</v>
      </c>
      <c r="F2709" s="24">
        <v>16.78</v>
      </c>
      <c r="G2709" s="24">
        <v>0.29</v>
      </c>
      <c r="H2709" s="24" t="s">
        <v>6698</v>
      </c>
      <c r="I2709" s="24" t="s">
        <v>6650</v>
      </c>
      <c r="J2709" s="24">
        <v>0.0</v>
      </c>
    </row>
    <row r="2710">
      <c r="A2710" s="24">
        <v>231.0</v>
      </c>
      <c r="B2710" s="24">
        <v>3.0</v>
      </c>
      <c r="C2710" s="44">
        <v>11.84</v>
      </c>
      <c r="D2710" s="46">
        <v>45021.0</v>
      </c>
      <c r="E2710" s="24">
        <v>3.95</v>
      </c>
      <c r="F2710" s="24">
        <v>51.26</v>
      </c>
      <c r="G2710" s="24">
        <v>1.3</v>
      </c>
      <c r="H2710" s="24" t="s">
        <v>6696</v>
      </c>
      <c r="I2710" s="24">
        <v>11.84</v>
      </c>
      <c r="J2710" s="24">
        <v>0.0</v>
      </c>
    </row>
    <row r="2711">
      <c r="A2711" s="24">
        <v>1117.0</v>
      </c>
      <c r="B2711" s="24">
        <v>9.0</v>
      </c>
      <c r="C2711" s="44">
        <v>9.56</v>
      </c>
      <c r="D2711" s="46">
        <v>45021.0</v>
      </c>
      <c r="E2711" s="24">
        <v>1.06</v>
      </c>
      <c r="F2711" s="24">
        <v>8.56</v>
      </c>
      <c r="G2711" s="24">
        <v>0.81</v>
      </c>
      <c r="H2711" s="24" t="s">
        <v>6689</v>
      </c>
      <c r="I2711" s="24">
        <v>4.78</v>
      </c>
      <c r="J2711" s="24">
        <v>0.0</v>
      </c>
    </row>
    <row r="2712">
      <c r="A2712" s="24">
        <v>121.0</v>
      </c>
      <c r="B2712" s="24">
        <v>1.0</v>
      </c>
      <c r="C2712" s="44">
        <v>10.32</v>
      </c>
      <c r="D2712" s="46">
        <v>45021.0</v>
      </c>
      <c r="E2712" s="24">
        <v>10.32</v>
      </c>
      <c r="F2712" s="24">
        <v>85.29</v>
      </c>
      <c r="G2712" s="24">
        <v>0.83</v>
      </c>
      <c r="H2712" s="24" t="s">
        <v>6695</v>
      </c>
      <c r="I2712" s="24" t="s">
        <v>6650</v>
      </c>
      <c r="J2712" s="24">
        <v>0.0</v>
      </c>
    </row>
    <row r="2713">
      <c r="A2713" s="24">
        <v>361.0</v>
      </c>
      <c r="B2713" s="24">
        <v>0.0</v>
      </c>
      <c r="C2713" s="44">
        <v>12.12</v>
      </c>
      <c r="D2713" s="46">
        <v>45021.0</v>
      </c>
      <c r="E2713" s="24" t="s">
        <v>6650</v>
      </c>
      <c r="F2713" s="24">
        <v>33.57</v>
      </c>
      <c r="G2713" s="24">
        <v>0.0</v>
      </c>
      <c r="H2713" s="24" t="s">
        <v>6699</v>
      </c>
      <c r="I2713" s="24" t="s">
        <v>6650</v>
      </c>
      <c r="J2713" s="24">
        <v>0.0</v>
      </c>
    </row>
    <row r="2714">
      <c r="A2714" s="24">
        <v>144.0</v>
      </c>
      <c r="B2714" s="24">
        <v>1.0</v>
      </c>
      <c r="C2714" s="44">
        <v>12.06</v>
      </c>
      <c r="D2714" s="46">
        <v>45021.0</v>
      </c>
      <c r="E2714" s="24">
        <v>12.06</v>
      </c>
      <c r="F2714" s="24">
        <v>83.75</v>
      </c>
      <c r="G2714" s="24">
        <v>0.69</v>
      </c>
      <c r="H2714" s="24" t="s">
        <v>6700</v>
      </c>
      <c r="I2714" s="24" t="s">
        <v>6650</v>
      </c>
      <c r="J2714" s="24">
        <v>0.0</v>
      </c>
    </row>
    <row r="2715">
      <c r="A2715" s="24">
        <v>76.0</v>
      </c>
      <c r="B2715" s="24">
        <v>1.0</v>
      </c>
      <c r="C2715" s="44">
        <v>1.34</v>
      </c>
      <c r="D2715" s="46">
        <v>45021.0</v>
      </c>
      <c r="E2715" s="24">
        <v>1.34</v>
      </c>
      <c r="F2715" s="24">
        <v>17.63</v>
      </c>
      <c r="G2715" s="24">
        <v>1.32</v>
      </c>
      <c r="H2715" s="24" t="s">
        <v>6688</v>
      </c>
      <c r="I2715" s="24" t="s">
        <v>6650</v>
      </c>
      <c r="J2715" s="24">
        <v>0.0</v>
      </c>
    </row>
    <row r="2716">
      <c r="A2716" s="24">
        <v>88.0</v>
      </c>
      <c r="B2716" s="24">
        <v>5.0</v>
      </c>
      <c r="C2716" s="44">
        <v>4.05</v>
      </c>
      <c r="D2716" s="46">
        <v>45021.0</v>
      </c>
      <c r="E2716" s="24">
        <v>0.81</v>
      </c>
      <c r="F2716" s="24">
        <v>46.02</v>
      </c>
      <c r="G2716" s="24">
        <v>5.68</v>
      </c>
      <c r="H2716" s="24" t="s">
        <v>6693</v>
      </c>
      <c r="I2716" s="24">
        <v>1.01</v>
      </c>
      <c r="J2716" s="24">
        <v>0.0</v>
      </c>
    </row>
    <row r="2717">
      <c r="A2717" s="24">
        <v>484.0</v>
      </c>
      <c r="B2717" s="24">
        <v>1.0</v>
      </c>
      <c r="C2717" s="44">
        <v>13.68</v>
      </c>
      <c r="D2717" s="46">
        <v>45021.0</v>
      </c>
      <c r="E2717" s="24">
        <v>13.68</v>
      </c>
      <c r="F2717" s="24">
        <v>28.26</v>
      </c>
      <c r="G2717" s="24">
        <v>0.21</v>
      </c>
      <c r="H2717" s="24" t="s">
        <v>6680</v>
      </c>
      <c r="I2717" s="24">
        <v>13.68</v>
      </c>
      <c r="J2717" s="24">
        <v>0.0</v>
      </c>
    </row>
    <row r="2718">
      <c r="A2718" s="24">
        <v>76.0</v>
      </c>
      <c r="B2718" s="24">
        <v>2.0</v>
      </c>
      <c r="C2718" s="44">
        <v>11.72</v>
      </c>
      <c r="D2718" s="46">
        <v>45021.0</v>
      </c>
      <c r="E2718" s="24">
        <v>5.86</v>
      </c>
      <c r="F2718" s="24">
        <v>154.21</v>
      </c>
      <c r="G2718" s="24">
        <v>2.63</v>
      </c>
      <c r="H2718" s="24" t="s">
        <v>6697</v>
      </c>
      <c r="I2718" s="24" t="s">
        <v>6650</v>
      </c>
      <c r="J2718" s="24">
        <v>1.0</v>
      </c>
    </row>
    <row r="2719">
      <c r="A2719" s="24">
        <v>303.0</v>
      </c>
      <c r="B2719" s="24">
        <v>3.0</v>
      </c>
      <c r="C2719" s="44">
        <v>12.11</v>
      </c>
      <c r="D2719" s="46">
        <v>45021.0</v>
      </c>
      <c r="E2719" s="24">
        <v>4.04</v>
      </c>
      <c r="F2719" s="24">
        <v>39.97</v>
      </c>
      <c r="G2719" s="24">
        <v>0.99</v>
      </c>
      <c r="H2719" s="24" t="s">
        <v>6701</v>
      </c>
      <c r="I2719" s="24">
        <v>12.11</v>
      </c>
      <c r="J2719" s="24">
        <v>0.0</v>
      </c>
    </row>
    <row r="2720">
      <c r="A2720" s="24">
        <v>670.0</v>
      </c>
      <c r="B2720" s="24">
        <v>5.0</v>
      </c>
      <c r="C2720" s="44">
        <v>11.61</v>
      </c>
      <c r="D2720" s="46">
        <v>45021.0</v>
      </c>
      <c r="E2720" s="24">
        <v>2.32</v>
      </c>
      <c r="F2720" s="24">
        <v>17.33</v>
      </c>
      <c r="G2720" s="24">
        <v>0.75</v>
      </c>
      <c r="H2720" s="24" t="s">
        <v>6692</v>
      </c>
      <c r="I2720" s="24">
        <v>5.8</v>
      </c>
      <c r="J2720" s="24">
        <v>0.0</v>
      </c>
    </row>
    <row r="2721">
      <c r="A2721" s="24">
        <v>195.0</v>
      </c>
      <c r="B2721" s="24">
        <v>0.0</v>
      </c>
      <c r="C2721" s="44">
        <v>11.86</v>
      </c>
      <c r="D2721" s="46">
        <v>45022.0</v>
      </c>
      <c r="E2721" s="24" t="s">
        <v>6650</v>
      </c>
      <c r="F2721" s="24">
        <v>60.82</v>
      </c>
      <c r="G2721" s="24">
        <v>0.0</v>
      </c>
      <c r="H2721" s="24" t="s">
        <v>6699</v>
      </c>
      <c r="I2721" s="24" t="s">
        <v>6650</v>
      </c>
      <c r="J2721" s="24">
        <v>0.0</v>
      </c>
    </row>
    <row r="2722">
      <c r="A2722" s="24">
        <v>311.0</v>
      </c>
      <c r="B2722" s="24">
        <v>5.0</v>
      </c>
      <c r="C2722" s="44">
        <v>11.49</v>
      </c>
      <c r="D2722" s="46">
        <v>45022.0</v>
      </c>
      <c r="E2722" s="24">
        <v>2.3</v>
      </c>
      <c r="F2722" s="24">
        <v>36.95</v>
      </c>
      <c r="G2722" s="24">
        <v>1.61</v>
      </c>
      <c r="H2722" s="24" t="s">
        <v>6700</v>
      </c>
      <c r="I2722" s="24">
        <v>11.49</v>
      </c>
      <c r="J2722" s="24">
        <v>0.0</v>
      </c>
    </row>
    <row r="2723">
      <c r="A2723" s="24">
        <v>98.0</v>
      </c>
      <c r="B2723" s="24">
        <v>0.0</v>
      </c>
      <c r="C2723" s="44">
        <v>11.93</v>
      </c>
      <c r="D2723" s="46">
        <v>45022.0</v>
      </c>
      <c r="E2723" s="24" t="s">
        <v>6650</v>
      </c>
      <c r="F2723" s="24">
        <v>121.73</v>
      </c>
      <c r="G2723" s="24">
        <v>0.0</v>
      </c>
      <c r="H2723" s="24" t="s">
        <v>6697</v>
      </c>
      <c r="I2723" s="24">
        <v>11.93</v>
      </c>
      <c r="J2723" s="24">
        <v>0.0</v>
      </c>
    </row>
    <row r="2724">
      <c r="A2724" s="24">
        <v>205.0</v>
      </c>
      <c r="B2724" s="24">
        <v>7.0</v>
      </c>
      <c r="C2724" s="44">
        <v>6.66</v>
      </c>
      <c r="D2724" s="46">
        <v>45022.0</v>
      </c>
      <c r="E2724" s="24">
        <v>0.95</v>
      </c>
      <c r="F2724" s="24">
        <v>32.49</v>
      </c>
      <c r="G2724" s="24">
        <v>3.41</v>
      </c>
      <c r="H2724" s="24" t="s">
        <v>6693</v>
      </c>
      <c r="I2724" s="24">
        <v>1.11</v>
      </c>
      <c r="J2724" s="24">
        <v>0.0</v>
      </c>
    </row>
    <row r="2725">
      <c r="A2725" s="24">
        <v>257.0</v>
      </c>
      <c r="B2725" s="24">
        <v>0.0</v>
      </c>
      <c r="C2725" s="44">
        <v>11.54</v>
      </c>
      <c r="D2725" s="46">
        <v>45022.0</v>
      </c>
      <c r="E2725" s="24" t="s">
        <v>6650</v>
      </c>
      <c r="F2725" s="24">
        <v>44.9</v>
      </c>
      <c r="G2725" s="24">
        <v>0.0</v>
      </c>
      <c r="H2725" s="24" t="s">
        <v>6696</v>
      </c>
      <c r="I2725" s="24" t="s">
        <v>6650</v>
      </c>
      <c r="J2725" s="24">
        <v>0.0</v>
      </c>
    </row>
    <row r="2726">
      <c r="A2726" s="24">
        <v>205.0</v>
      </c>
      <c r="B2726" s="24">
        <v>3.0</v>
      </c>
      <c r="C2726" s="44">
        <v>10.18</v>
      </c>
      <c r="D2726" s="46">
        <v>45022.0</v>
      </c>
      <c r="E2726" s="24">
        <v>3.39</v>
      </c>
      <c r="F2726" s="24">
        <v>49.66</v>
      </c>
      <c r="G2726" s="24">
        <v>1.46</v>
      </c>
      <c r="H2726" s="24" t="s">
        <v>6695</v>
      </c>
      <c r="I2726" s="24" t="s">
        <v>6650</v>
      </c>
      <c r="J2726" s="24">
        <v>0.0</v>
      </c>
    </row>
    <row r="2727">
      <c r="A2727" s="24">
        <v>352.0</v>
      </c>
      <c r="B2727" s="24">
        <v>1.0</v>
      </c>
      <c r="C2727" s="44">
        <v>13.29</v>
      </c>
      <c r="D2727" s="46">
        <v>45022.0</v>
      </c>
      <c r="E2727" s="24">
        <v>13.29</v>
      </c>
      <c r="F2727" s="24">
        <v>37.76</v>
      </c>
      <c r="G2727" s="24">
        <v>0.28</v>
      </c>
      <c r="H2727" s="24" t="s">
        <v>6680</v>
      </c>
      <c r="I2727" s="24">
        <v>6.64</v>
      </c>
      <c r="J2727" s="24">
        <v>0.0</v>
      </c>
    </row>
    <row r="2728">
      <c r="A2728" s="24">
        <v>90.0</v>
      </c>
      <c r="B2728" s="24">
        <v>2.0</v>
      </c>
      <c r="C2728" s="44">
        <v>2.02</v>
      </c>
      <c r="D2728" s="46">
        <v>45022.0</v>
      </c>
      <c r="E2728" s="24">
        <v>1.01</v>
      </c>
      <c r="F2728" s="24">
        <v>22.44</v>
      </c>
      <c r="G2728" s="24">
        <v>2.22</v>
      </c>
      <c r="H2728" s="24" t="s">
        <v>6688</v>
      </c>
      <c r="I2728" s="24" t="s">
        <v>6650</v>
      </c>
      <c r="J2728" s="24">
        <v>0.0</v>
      </c>
    </row>
    <row r="2729">
      <c r="A2729" s="24">
        <v>129.0</v>
      </c>
      <c r="B2729" s="24">
        <v>0.0</v>
      </c>
      <c r="C2729" s="44">
        <v>12.68</v>
      </c>
      <c r="D2729" s="46">
        <v>45022.0</v>
      </c>
      <c r="E2729" s="24" t="s">
        <v>6650</v>
      </c>
      <c r="F2729" s="24">
        <v>98.29</v>
      </c>
      <c r="G2729" s="24">
        <v>0.0</v>
      </c>
      <c r="H2729" s="24" t="s">
        <v>6701</v>
      </c>
      <c r="I2729" s="24" t="s">
        <v>6650</v>
      </c>
      <c r="J2729" s="24">
        <v>0.0</v>
      </c>
    </row>
    <row r="2730">
      <c r="A2730" s="24">
        <v>716.0</v>
      </c>
      <c r="B2730" s="24">
        <v>6.0</v>
      </c>
      <c r="C2730" s="44">
        <v>11.19</v>
      </c>
      <c r="D2730" s="46">
        <v>45022.0</v>
      </c>
      <c r="E2730" s="24">
        <v>1.86</v>
      </c>
      <c r="F2730" s="24">
        <v>15.63</v>
      </c>
      <c r="G2730" s="24">
        <v>0.84</v>
      </c>
      <c r="H2730" s="24" t="s">
        <v>6692</v>
      </c>
      <c r="I2730" s="24">
        <v>11.19</v>
      </c>
      <c r="J2730" s="24">
        <v>1.0</v>
      </c>
    </row>
    <row r="2731">
      <c r="A2731" s="24">
        <v>0.0</v>
      </c>
      <c r="B2731" s="24">
        <v>0.0</v>
      </c>
      <c r="C2731" s="44"/>
      <c r="D2731" s="46">
        <v>45022.0</v>
      </c>
      <c r="E2731" s="24" t="s">
        <v>6650</v>
      </c>
      <c r="F2731" s="24" t="s">
        <v>6650</v>
      </c>
      <c r="G2731" s="24" t="s">
        <v>6650</v>
      </c>
      <c r="H2731" s="24" t="s">
        <v>6675</v>
      </c>
      <c r="I2731" s="24" t="s">
        <v>6650</v>
      </c>
      <c r="J2731" s="24"/>
    </row>
    <row r="2732">
      <c r="A2732" s="24">
        <v>827.0</v>
      </c>
      <c r="B2732" s="24">
        <v>4.0</v>
      </c>
      <c r="C2732" s="44">
        <v>11.57</v>
      </c>
      <c r="D2732" s="46">
        <v>45022.0</v>
      </c>
      <c r="E2732" s="24">
        <v>2.89</v>
      </c>
      <c r="F2732" s="24">
        <v>13.99</v>
      </c>
      <c r="G2732" s="24">
        <v>0.48</v>
      </c>
      <c r="H2732" s="24" t="s">
        <v>6698</v>
      </c>
      <c r="I2732" s="24">
        <v>11.57</v>
      </c>
      <c r="J2732" s="24">
        <v>0.0</v>
      </c>
    </row>
    <row r="2733">
      <c r="A2733" s="24">
        <v>1190.0</v>
      </c>
      <c r="B2733" s="24">
        <v>14.0</v>
      </c>
      <c r="C2733" s="44">
        <v>13.88</v>
      </c>
      <c r="D2733" s="46">
        <v>45022.0</v>
      </c>
      <c r="E2733" s="24">
        <v>0.99</v>
      </c>
      <c r="F2733" s="24">
        <v>11.66</v>
      </c>
      <c r="G2733" s="24">
        <v>1.18</v>
      </c>
      <c r="H2733" s="24" t="s">
        <v>6689</v>
      </c>
      <c r="I2733" s="24">
        <v>2.78</v>
      </c>
      <c r="J2733" s="24">
        <v>0.0</v>
      </c>
    </row>
    <row r="2734">
      <c r="A2734" s="24">
        <v>978.0</v>
      </c>
      <c r="B2734" s="24">
        <v>7.0</v>
      </c>
      <c r="C2734" s="44">
        <v>10.38</v>
      </c>
      <c r="D2734" s="46">
        <v>45023.0</v>
      </c>
      <c r="E2734" s="24">
        <v>1.48</v>
      </c>
      <c r="F2734" s="24">
        <v>10.61</v>
      </c>
      <c r="G2734" s="24">
        <v>0.72</v>
      </c>
      <c r="H2734" s="24" t="s">
        <v>6689</v>
      </c>
      <c r="I2734" s="24">
        <v>5.19</v>
      </c>
      <c r="J2734" s="24">
        <v>0.0</v>
      </c>
    </row>
    <row r="2735">
      <c r="A2735" s="24">
        <v>190.0</v>
      </c>
      <c r="B2735" s="24">
        <v>0.0</v>
      </c>
      <c r="C2735" s="44">
        <v>13.01</v>
      </c>
      <c r="D2735" s="46">
        <v>45023.0</v>
      </c>
      <c r="E2735" s="24" t="s">
        <v>6650</v>
      </c>
      <c r="F2735" s="24">
        <v>68.47</v>
      </c>
      <c r="G2735" s="24">
        <v>0.0</v>
      </c>
      <c r="H2735" s="24" t="s">
        <v>6699</v>
      </c>
      <c r="I2735" s="24" t="s">
        <v>6650</v>
      </c>
      <c r="J2735" s="24">
        <v>0.0</v>
      </c>
    </row>
    <row r="2736">
      <c r="A2736" s="24">
        <v>108.0</v>
      </c>
      <c r="B2736" s="24">
        <v>1.0</v>
      </c>
      <c r="C2736" s="44">
        <v>10.57</v>
      </c>
      <c r="D2736" s="46">
        <v>45023.0</v>
      </c>
      <c r="E2736" s="24">
        <v>10.57</v>
      </c>
      <c r="F2736" s="24">
        <v>97.87</v>
      </c>
      <c r="G2736" s="24">
        <v>0.93</v>
      </c>
      <c r="H2736" s="24" t="s">
        <v>6696</v>
      </c>
      <c r="I2736" s="24">
        <v>10.57</v>
      </c>
      <c r="J2736" s="24">
        <v>0.0</v>
      </c>
    </row>
    <row r="2737">
      <c r="A2737" s="24">
        <v>0.0</v>
      </c>
      <c r="B2737" s="24">
        <v>0.0</v>
      </c>
      <c r="C2737" s="44"/>
      <c r="D2737" s="46">
        <v>45023.0</v>
      </c>
      <c r="E2737" s="24" t="s">
        <v>6650</v>
      </c>
      <c r="F2737" s="24" t="s">
        <v>6650</v>
      </c>
      <c r="G2737" s="24" t="s">
        <v>6650</v>
      </c>
      <c r="H2737" s="24" t="s">
        <v>6675</v>
      </c>
      <c r="I2737" s="24" t="s">
        <v>6650</v>
      </c>
      <c r="J2737" s="24"/>
    </row>
    <row r="2738">
      <c r="A2738" s="24">
        <v>270.0</v>
      </c>
      <c r="B2738" s="24">
        <v>0.0</v>
      </c>
      <c r="C2738" s="44">
        <v>12.86</v>
      </c>
      <c r="D2738" s="46">
        <v>45023.0</v>
      </c>
      <c r="E2738" s="24" t="s">
        <v>6650</v>
      </c>
      <c r="F2738" s="24">
        <v>47.63</v>
      </c>
      <c r="G2738" s="24">
        <v>0.0</v>
      </c>
      <c r="H2738" s="24" t="s">
        <v>6680</v>
      </c>
      <c r="I2738" s="24" t="s">
        <v>6650</v>
      </c>
      <c r="J2738" s="24">
        <v>0.0</v>
      </c>
    </row>
    <row r="2739">
      <c r="A2739" s="24">
        <v>163.0</v>
      </c>
      <c r="B2739" s="24">
        <v>0.0</v>
      </c>
      <c r="C2739" s="44">
        <v>12.77</v>
      </c>
      <c r="D2739" s="46">
        <v>45023.0</v>
      </c>
      <c r="E2739" s="24" t="s">
        <v>6650</v>
      </c>
      <c r="F2739" s="24">
        <v>78.34</v>
      </c>
      <c r="G2739" s="24">
        <v>0.0</v>
      </c>
      <c r="H2739" s="24" t="s">
        <v>6701</v>
      </c>
      <c r="I2739" s="24" t="s">
        <v>6650</v>
      </c>
      <c r="J2739" s="24">
        <v>0.0</v>
      </c>
    </row>
    <row r="2740">
      <c r="A2740" s="24">
        <v>822.0</v>
      </c>
      <c r="B2740" s="24">
        <v>5.0</v>
      </c>
      <c r="C2740" s="44">
        <v>12.8</v>
      </c>
      <c r="D2740" s="46">
        <v>45023.0</v>
      </c>
      <c r="E2740" s="24">
        <v>2.56</v>
      </c>
      <c r="F2740" s="24">
        <v>15.57</v>
      </c>
      <c r="G2740" s="24">
        <v>0.61</v>
      </c>
      <c r="H2740" s="24" t="s">
        <v>6698</v>
      </c>
      <c r="I2740" s="24">
        <v>4.27</v>
      </c>
      <c r="J2740" s="24">
        <v>0.0</v>
      </c>
    </row>
    <row r="2741">
      <c r="A2741" s="24">
        <v>101.0</v>
      </c>
      <c r="B2741" s="24">
        <v>2.0</v>
      </c>
      <c r="C2741" s="44">
        <v>9.53</v>
      </c>
      <c r="D2741" s="46">
        <v>45023.0</v>
      </c>
      <c r="E2741" s="24">
        <v>4.76</v>
      </c>
      <c r="F2741" s="24">
        <v>94.36</v>
      </c>
      <c r="G2741" s="24">
        <v>1.98</v>
      </c>
      <c r="H2741" s="24" t="s">
        <v>6695</v>
      </c>
      <c r="I2741" s="24" t="s">
        <v>6650</v>
      </c>
      <c r="J2741" s="24">
        <v>1.0</v>
      </c>
    </row>
    <row r="2742">
      <c r="A2742" s="24">
        <v>556.0</v>
      </c>
      <c r="B2742" s="24">
        <v>2.0</v>
      </c>
      <c r="C2742" s="44">
        <v>11.51</v>
      </c>
      <c r="D2742" s="46">
        <v>45023.0</v>
      </c>
      <c r="E2742" s="24">
        <v>5.76</v>
      </c>
      <c r="F2742" s="24">
        <v>20.7</v>
      </c>
      <c r="G2742" s="24">
        <v>0.36</v>
      </c>
      <c r="H2742" s="24" t="s">
        <v>6700</v>
      </c>
      <c r="I2742" s="24">
        <v>11.51</v>
      </c>
      <c r="J2742" s="24">
        <v>0.0</v>
      </c>
    </row>
    <row r="2743">
      <c r="A2743" s="24">
        <v>173.0</v>
      </c>
      <c r="B2743" s="24">
        <v>5.0</v>
      </c>
      <c r="C2743" s="44">
        <v>7.13</v>
      </c>
      <c r="D2743" s="46">
        <v>45023.0</v>
      </c>
      <c r="E2743" s="24">
        <v>1.43</v>
      </c>
      <c r="F2743" s="24">
        <v>41.21</v>
      </c>
      <c r="G2743" s="24">
        <v>2.89</v>
      </c>
      <c r="H2743" s="24" t="s">
        <v>6693</v>
      </c>
      <c r="I2743" s="24">
        <v>3.56</v>
      </c>
      <c r="J2743" s="24">
        <v>0.0</v>
      </c>
    </row>
    <row r="2744">
      <c r="A2744" s="24">
        <v>63.0</v>
      </c>
      <c r="B2744" s="24">
        <v>1.0</v>
      </c>
      <c r="C2744" s="44">
        <v>10.96</v>
      </c>
      <c r="D2744" s="46">
        <v>45023.0</v>
      </c>
      <c r="E2744" s="24">
        <v>10.96</v>
      </c>
      <c r="F2744" s="24">
        <v>173.97</v>
      </c>
      <c r="G2744" s="24">
        <v>1.59</v>
      </c>
      <c r="H2744" s="24" t="s">
        <v>6697</v>
      </c>
      <c r="I2744" s="24">
        <v>10.96</v>
      </c>
      <c r="J2744" s="24">
        <v>0.0</v>
      </c>
    </row>
    <row r="2745">
      <c r="A2745" s="24">
        <v>668.0</v>
      </c>
      <c r="B2745" s="24">
        <v>2.0</v>
      </c>
      <c r="C2745" s="44">
        <v>10.69</v>
      </c>
      <c r="D2745" s="46">
        <v>45023.0</v>
      </c>
      <c r="E2745" s="24">
        <v>5.34</v>
      </c>
      <c r="F2745" s="24">
        <v>16.0</v>
      </c>
      <c r="G2745" s="24">
        <v>0.3</v>
      </c>
      <c r="H2745" s="24" t="s">
        <v>6692</v>
      </c>
      <c r="I2745" s="24">
        <v>10.69</v>
      </c>
      <c r="J2745" s="24">
        <v>0.0</v>
      </c>
    </row>
    <row r="2746">
      <c r="A2746" s="24">
        <v>88.0</v>
      </c>
      <c r="B2746" s="24">
        <v>0.0</v>
      </c>
      <c r="C2746" s="44">
        <v>1.86</v>
      </c>
      <c r="D2746" s="46">
        <v>45023.0</v>
      </c>
      <c r="E2746" s="24" t="s">
        <v>6650</v>
      </c>
      <c r="F2746" s="24">
        <v>21.14</v>
      </c>
      <c r="G2746" s="24">
        <v>0.0</v>
      </c>
      <c r="H2746" s="24" t="s">
        <v>6688</v>
      </c>
      <c r="I2746" s="24" t="s">
        <v>6650</v>
      </c>
      <c r="J2746" s="24">
        <v>0.0</v>
      </c>
    </row>
    <row r="2747">
      <c r="A2747" s="24">
        <v>93.0</v>
      </c>
      <c r="B2747" s="24">
        <v>1.0</v>
      </c>
      <c r="C2747" s="44">
        <v>7.18</v>
      </c>
      <c r="D2747" s="46">
        <v>45024.0</v>
      </c>
      <c r="E2747" s="24">
        <v>7.18</v>
      </c>
      <c r="F2747" s="24">
        <v>77.2</v>
      </c>
      <c r="G2747" s="24">
        <v>1.08</v>
      </c>
      <c r="H2747" s="24" t="s">
        <v>6699</v>
      </c>
      <c r="I2747" s="24">
        <v>3.59</v>
      </c>
      <c r="J2747" s="24">
        <v>0.0</v>
      </c>
    </row>
    <row r="2748">
      <c r="A2748" s="24">
        <v>276.0</v>
      </c>
      <c r="B2748" s="24">
        <v>1.0</v>
      </c>
      <c r="C2748" s="44">
        <v>5.23</v>
      </c>
      <c r="D2748" s="46">
        <v>45024.0</v>
      </c>
      <c r="E2748" s="24">
        <v>5.23</v>
      </c>
      <c r="F2748" s="24">
        <v>18.95</v>
      </c>
      <c r="G2748" s="24">
        <v>0.36</v>
      </c>
      <c r="H2748" s="24" t="s">
        <v>6680</v>
      </c>
      <c r="I2748" s="24">
        <v>5.23</v>
      </c>
      <c r="J2748" s="24">
        <v>0.0</v>
      </c>
    </row>
    <row r="2749">
      <c r="A2749" s="24">
        <v>511.0</v>
      </c>
      <c r="B2749" s="24">
        <v>2.0</v>
      </c>
      <c r="C2749" s="44">
        <v>5.85</v>
      </c>
      <c r="D2749" s="46">
        <v>45024.0</v>
      </c>
      <c r="E2749" s="24">
        <v>2.92</v>
      </c>
      <c r="F2749" s="24">
        <v>11.45</v>
      </c>
      <c r="G2749" s="24">
        <v>0.39</v>
      </c>
      <c r="H2749" s="24" t="s">
        <v>6692</v>
      </c>
      <c r="I2749" s="24" t="s">
        <v>6650</v>
      </c>
      <c r="J2749" s="24">
        <v>0.0</v>
      </c>
    </row>
    <row r="2750">
      <c r="A2750" s="24">
        <v>69.0</v>
      </c>
      <c r="B2750" s="24">
        <v>0.0</v>
      </c>
      <c r="C2750" s="44">
        <v>6.48</v>
      </c>
      <c r="D2750" s="46">
        <v>45024.0</v>
      </c>
      <c r="E2750" s="24" t="s">
        <v>6650</v>
      </c>
      <c r="F2750" s="24">
        <v>93.91</v>
      </c>
      <c r="G2750" s="24">
        <v>0.0</v>
      </c>
      <c r="H2750" s="24" t="s">
        <v>6696</v>
      </c>
      <c r="I2750" s="24" t="s">
        <v>6650</v>
      </c>
      <c r="J2750" s="24">
        <v>0.0</v>
      </c>
    </row>
    <row r="2751">
      <c r="A2751" s="24">
        <v>0.0</v>
      </c>
      <c r="B2751" s="24">
        <v>0.0</v>
      </c>
      <c r="C2751" s="44"/>
      <c r="D2751" s="46">
        <v>45024.0</v>
      </c>
      <c r="E2751" s="24" t="s">
        <v>6650</v>
      </c>
      <c r="F2751" s="24" t="s">
        <v>6650</v>
      </c>
      <c r="G2751" s="24" t="s">
        <v>6650</v>
      </c>
      <c r="H2751" s="24" t="s">
        <v>6675</v>
      </c>
      <c r="I2751" s="24" t="s">
        <v>6650</v>
      </c>
      <c r="J2751" s="24"/>
    </row>
    <row r="2752">
      <c r="A2752" s="24">
        <v>256.0</v>
      </c>
      <c r="B2752" s="24">
        <v>3.0</v>
      </c>
      <c r="C2752" s="44">
        <v>2.81</v>
      </c>
      <c r="D2752" s="46">
        <v>45024.0</v>
      </c>
      <c r="E2752" s="24">
        <v>0.94</v>
      </c>
      <c r="F2752" s="24">
        <v>10.98</v>
      </c>
      <c r="G2752" s="24">
        <v>1.17</v>
      </c>
      <c r="H2752" s="24" t="s">
        <v>6689</v>
      </c>
      <c r="I2752" s="24" t="s">
        <v>6650</v>
      </c>
      <c r="J2752" s="24">
        <v>0.0</v>
      </c>
    </row>
    <row r="2753">
      <c r="A2753" s="24">
        <v>382.0</v>
      </c>
      <c r="B2753" s="24">
        <v>2.0</v>
      </c>
      <c r="C2753" s="44">
        <v>7.06</v>
      </c>
      <c r="D2753" s="46">
        <v>45024.0</v>
      </c>
      <c r="E2753" s="24">
        <v>3.53</v>
      </c>
      <c r="F2753" s="24">
        <v>18.48</v>
      </c>
      <c r="G2753" s="24">
        <v>0.52</v>
      </c>
      <c r="H2753" s="24" t="s">
        <v>6698</v>
      </c>
      <c r="I2753" s="24">
        <v>7.06</v>
      </c>
      <c r="J2753" s="24">
        <v>0.0</v>
      </c>
    </row>
    <row r="2754">
      <c r="A2754" s="24">
        <v>139.0</v>
      </c>
      <c r="B2754" s="24">
        <v>7.0</v>
      </c>
      <c r="C2754" s="44">
        <v>10.74</v>
      </c>
      <c r="D2754" s="46">
        <v>45024.0</v>
      </c>
      <c r="E2754" s="24">
        <v>1.53</v>
      </c>
      <c r="F2754" s="24">
        <v>77.27</v>
      </c>
      <c r="G2754" s="24">
        <v>5.04</v>
      </c>
      <c r="H2754" s="24" t="s">
        <v>6693</v>
      </c>
      <c r="I2754" s="24">
        <v>1.79</v>
      </c>
      <c r="J2754" s="24">
        <v>0.0</v>
      </c>
    </row>
    <row r="2755">
      <c r="A2755" s="24">
        <v>33.0</v>
      </c>
      <c r="B2755" s="24">
        <v>1.0</v>
      </c>
      <c r="C2755" s="44">
        <v>6.69</v>
      </c>
      <c r="D2755" s="46">
        <v>45024.0</v>
      </c>
      <c r="E2755" s="24">
        <v>6.69</v>
      </c>
      <c r="F2755" s="24">
        <v>202.73</v>
      </c>
      <c r="G2755" s="24">
        <v>3.03</v>
      </c>
      <c r="H2755" s="24" t="s">
        <v>6697</v>
      </c>
      <c r="I2755" s="24">
        <v>6.69</v>
      </c>
      <c r="J2755" s="24">
        <v>0.0</v>
      </c>
    </row>
    <row r="2756">
      <c r="A2756" s="24">
        <v>90.0</v>
      </c>
      <c r="B2756" s="24">
        <v>1.0</v>
      </c>
      <c r="C2756" s="44">
        <v>6.77</v>
      </c>
      <c r="D2756" s="46">
        <v>45024.0</v>
      </c>
      <c r="E2756" s="24">
        <v>6.77</v>
      </c>
      <c r="F2756" s="24">
        <v>75.22</v>
      </c>
      <c r="G2756" s="24">
        <v>1.11</v>
      </c>
      <c r="H2756" s="24" t="s">
        <v>6701</v>
      </c>
      <c r="I2756" s="24">
        <v>6.77</v>
      </c>
      <c r="J2756" s="24">
        <v>0.0</v>
      </c>
    </row>
    <row r="2757">
      <c r="A2757" s="24">
        <v>123.0</v>
      </c>
      <c r="B2757" s="24">
        <v>2.0</v>
      </c>
      <c r="C2757" s="44">
        <v>4.34</v>
      </c>
      <c r="D2757" s="46">
        <v>45024.0</v>
      </c>
      <c r="E2757" s="24">
        <v>2.17</v>
      </c>
      <c r="F2757" s="24">
        <v>35.28</v>
      </c>
      <c r="G2757" s="24">
        <v>1.63</v>
      </c>
      <c r="H2757" s="24" t="s">
        <v>6688</v>
      </c>
      <c r="I2757" s="24" t="s">
        <v>6650</v>
      </c>
      <c r="J2757" s="24">
        <v>0.0</v>
      </c>
    </row>
    <row r="2758">
      <c r="A2758" s="24">
        <v>306.0</v>
      </c>
      <c r="B2758" s="24">
        <v>4.0</v>
      </c>
      <c r="C2758" s="44">
        <v>7.65</v>
      </c>
      <c r="D2758" s="46">
        <v>45024.0</v>
      </c>
      <c r="E2758" s="24">
        <v>1.91</v>
      </c>
      <c r="F2758" s="24">
        <v>25.0</v>
      </c>
      <c r="G2758" s="24">
        <v>1.31</v>
      </c>
      <c r="H2758" s="24" t="s">
        <v>6700</v>
      </c>
      <c r="I2758" s="24">
        <v>7.65</v>
      </c>
      <c r="J2758" s="24">
        <v>0.0</v>
      </c>
    </row>
    <row r="2759">
      <c r="A2759" s="24">
        <v>607.0</v>
      </c>
      <c r="B2759" s="24">
        <v>4.0</v>
      </c>
      <c r="C2759" s="44">
        <v>6.84</v>
      </c>
      <c r="D2759" s="46">
        <v>45025.0</v>
      </c>
      <c r="E2759" s="24">
        <v>1.71</v>
      </c>
      <c r="F2759" s="24">
        <v>11.27</v>
      </c>
      <c r="G2759" s="24">
        <v>0.66</v>
      </c>
      <c r="H2759" s="24" t="s">
        <v>6698</v>
      </c>
      <c r="I2759" s="24">
        <v>3.42</v>
      </c>
      <c r="J2759" s="24">
        <v>0.0</v>
      </c>
    </row>
    <row r="2760">
      <c r="A2760" s="24">
        <v>168.0</v>
      </c>
      <c r="B2760" s="24">
        <v>3.0</v>
      </c>
      <c r="C2760" s="44">
        <v>8.84</v>
      </c>
      <c r="D2760" s="46">
        <v>45025.0</v>
      </c>
      <c r="E2760" s="24">
        <v>2.95</v>
      </c>
      <c r="F2760" s="24">
        <v>52.62</v>
      </c>
      <c r="G2760" s="24">
        <v>1.79</v>
      </c>
      <c r="H2760" s="24" t="s">
        <v>6688</v>
      </c>
      <c r="I2760" s="24" t="s">
        <v>6650</v>
      </c>
      <c r="J2760" s="24">
        <v>0.0</v>
      </c>
    </row>
    <row r="2761">
      <c r="A2761" s="24">
        <v>32.0</v>
      </c>
      <c r="B2761" s="24">
        <v>0.0</v>
      </c>
      <c r="C2761" s="44">
        <v>6.64</v>
      </c>
      <c r="D2761" s="46">
        <v>45025.0</v>
      </c>
      <c r="E2761" s="24" t="s">
        <v>6650</v>
      </c>
      <c r="F2761" s="24">
        <v>207.5</v>
      </c>
      <c r="G2761" s="24">
        <v>0.0</v>
      </c>
      <c r="H2761" s="24" t="s">
        <v>6697</v>
      </c>
      <c r="I2761" s="24" t="s">
        <v>6650</v>
      </c>
      <c r="J2761" s="24">
        <v>0.0</v>
      </c>
    </row>
    <row r="2762">
      <c r="A2762" s="24">
        <v>966.0</v>
      </c>
      <c r="B2762" s="24">
        <v>7.0</v>
      </c>
      <c r="C2762" s="44">
        <v>12.31</v>
      </c>
      <c r="D2762" s="46">
        <v>45025.0</v>
      </c>
      <c r="E2762" s="24">
        <v>1.76</v>
      </c>
      <c r="F2762" s="24">
        <v>12.74</v>
      </c>
      <c r="G2762" s="24">
        <v>0.72</v>
      </c>
      <c r="H2762" s="24" t="s">
        <v>6689</v>
      </c>
      <c r="I2762" s="24">
        <v>4.1</v>
      </c>
      <c r="J2762" s="24">
        <v>0.0</v>
      </c>
    </row>
    <row r="2763">
      <c r="A2763" s="24">
        <v>479.0</v>
      </c>
      <c r="B2763" s="24">
        <v>8.0</v>
      </c>
      <c r="C2763" s="44">
        <v>6.03</v>
      </c>
      <c r="D2763" s="46">
        <v>45025.0</v>
      </c>
      <c r="E2763" s="24">
        <v>0.75</v>
      </c>
      <c r="F2763" s="24">
        <v>12.59</v>
      </c>
      <c r="G2763" s="24">
        <v>1.67</v>
      </c>
      <c r="H2763" s="24" t="s">
        <v>6692</v>
      </c>
      <c r="I2763" s="24" t="s">
        <v>6650</v>
      </c>
      <c r="J2763" s="24">
        <v>0.0</v>
      </c>
    </row>
    <row r="2764">
      <c r="A2764" s="24">
        <v>435.0</v>
      </c>
      <c r="B2764" s="24">
        <v>2.0</v>
      </c>
      <c r="C2764" s="44">
        <v>7.29</v>
      </c>
      <c r="D2764" s="46">
        <v>45025.0</v>
      </c>
      <c r="E2764" s="24">
        <v>3.64</v>
      </c>
      <c r="F2764" s="24">
        <v>16.76</v>
      </c>
      <c r="G2764" s="24">
        <v>0.46</v>
      </c>
      <c r="H2764" s="24" t="s">
        <v>6700</v>
      </c>
      <c r="I2764" s="24">
        <v>7.29</v>
      </c>
      <c r="J2764" s="24">
        <v>0.0</v>
      </c>
    </row>
    <row r="2765">
      <c r="A2765" s="24">
        <v>64.0</v>
      </c>
      <c r="B2765" s="24">
        <v>0.0</v>
      </c>
      <c r="C2765" s="44">
        <v>5.67</v>
      </c>
      <c r="D2765" s="46">
        <v>45025.0</v>
      </c>
      <c r="E2765" s="24" t="s">
        <v>6650</v>
      </c>
      <c r="F2765" s="24">
        <v>88.59</v>
      </c>
      <c r="G2765" s="24">
        <v>0.0</v>
      </c>
      <c r="H2765" s="24" t="s">
        <v>6701</v>
      </c>
      <c r="I2765" s="24" t="s">
        <v>6650</v>
      </c>
      <c r="J2765" s="24">
        <v>0.0</v>
      </c>
    </row>
    <row r="2766">
      <c r="A2766" s="24">
        <v>54.0</v>
      </c>
      <c r="B2766" s="24">
        <v>0.0</v>
      </c>
      <c r="C2766" s="44">
        <v>6.55</v>
      </c>
      <c r="D2766" s="46">
        <v>45025.0</v>
      </c>
      <c r="E2766" s="24" t="s">
        <v>6650</v>
      </c>
      <c r="F2766" s="24">
        <v>121.3</v>
      </c>
      <c r="G2766" s="24">
        <v>0.0</v>
      </c>
      <c r="H2766" s="24" t="s">
        <v>6696</v>
      </c>
      <c r="I2766" s="24" t="s">
        <v>6650</v>
      </c>
      <c r="J2766" s="24">
        <v>0.0</v>
      </c>
    </row>
    <row r="2767">
      <c r="A2767" s="24">
        <v>157.0</v>
      </c>
      <c r="B2767" s="24">
        <v>4.0</v>
      </c>
      <c r="C2767" s="44">
        <v>11.29</v>
      </c>
      <c r="D2767" s="46">
        <v>45025.0</v>
      </c>
      <c r="E2767" s="24">
        <v>2.82</v>
      </c>
      <c r="F2767" s="24">
        <v>71.91</v>
      </c>
      <c r="G2767" s="24">
        <v>2.55</v>
      </c>
      <c r="H2767" s="24" t="s">
        <v>6693</v>
      </c>
      <c r="I2767" s="24">
        <v>5.64</v>
      </c>
      <c r="J2767" s="24">
        <v>0.0</v>
      </c>
    </row>
    <row r="2768">
      <c r="A2768" s="24">
        <v>144.0</v>
      </c>
      <c r="B2768" s="24">
        <v>0.0</v>
      </c>
      <c r="C2768" s="44">
        <v>4.83</v>
      </c>
      <c r="D2768" s="46">
        <v>45025.0</v>
      </c>
      <c r="E2768" s="24" t="s">
        <v>6650</v>
      </c>
      <c r="F2768" s="24">
        <v>33.54</v>
      </c>
      <c r="G2768" s="24">
        <v>0.0</v>
      </c>
      <c r="H2768" s="24" t="s">
        <v>6680</v>
      </c>
      <c r="I2768" s="24" t="s">
        <v>6650</v>
      </c>
      <c r="J2768" s="24">
        <v>0.0</v>
      </c>
    </row>
    <row r="2769">
      <c r="A2769" s="24">
        <v>76.0</v>
      </c>
      <c r="B2769" s="24">
        <v>0.0</v>
      </c>
      <c r="C2769" s="44">
        <v>5.83</v>
      </c>
      <c r="D2769" s="46">
        <v>45025.0</v>
      </c>
      <c r="E2769" s="24" t="s">
        <v>6650</v>
      </c>
      <c r="F2769" s="24">
        <v>76.71</v>
      </c>
      <c r="G2769" s="24">
        <v>0.0</v>
      </c>
      <c r="H2769" s="24" t="s">
        <v>6699</v>
      </c>
      <c r="I2769" s="24" t="s">
        <v>6650</v>
      </c>
      <c r="J2769" s="24">
        <v>0.0</v>
      </c>
    </row>
    <row r="2770">
      <c r="A2770" s="24">
        <v>61.0</v>
      </c>
      <c r="B2770" s="24">
        <v>0.0</v>
      </c>
      <c r="C2770" s="44">
        <v>11.8</v>
      </c>
      <c r="D2770" s="46">
        <v>45026.0</v>
      </c>
      <c r="E2770" s="24" t="s">
        <v>6650</v>
      </c>
      <c r="F2770" s="24">
        <v>193.44</v>
      </c>
      <c r="G2770" s="24">
        <v>0.0</v>
      </c>
      <c r="H2770" s="24" t="s">
        <v>6697</v>
      </c>
      <c r="I2770" s="24" t="s">
        <v>6650</v>
      </c>
      <c r="J2770" s="24">
        <v>0.0</v>
      </c>
    </row>
    <row r="2771">
      <c r="A2771" s="24">
        <v>743.0</v>
      </c>
      <c r="B2771" s="24">
        <v>2.0</v>
      </c>
      <c r="C2771" s="44">
        <v>13.61</v>
      </c>
      <c r="D2771" s="46">
        <v>45026.0</v>
      </c>
      <c r="E2771" s="24">
        <v>6.8</v>
      </c>
      <c r="F2771" s="24">
        <v>18.32</v>
      </c>
      <c r="G2771" s="24">
        <v>0.27</v>
      </c>
      <c r="H2771" s="24" t="s">
        <v>6680</v>
      </c>
      <c r="I2771" s="24">
        <v>6.8</v>
      </c>
      <c r="J2771" s="24">
        <v>0.0</v>
      </c>
    </row>
    <row r="2772">
      <c r="A2772" s="24">
        <v>136.0</v>
      </c>
      <c r="B2772" s="24">
        <v>0.0</v>
      </c>
      <c r="C2772" s="44">
        <v>12.2</v>
      </c>
      <c r="D2772" s="46">
        <v>45026.0</v>
      </c>
      <c r="E2772" s="24" t="s">
        <v>6650</v>
      </c>
      <c r="F2772" s="24">
        <v>89.71</v>
      </c>
      <c r="G2772" s="24">
        <v>0.0</v>
      </c>
      <c r="H2772" s="24" t="s">
        <v>6699</v>
      </c>
      <c r="I2772" s="24" t="s">
        <v>6650</v>
      </c>
      <c r="J2772" s="24">
        <v>0.0</v>
      </c>
    </row>
    <row r="2773">
      <c r="A2773" s="24">
        <v>158.0</v>
      </c>
      <c r="B2773" s="24">
        <v>4.0</v>
      </c>
      <c r="C2773" s="44">
        <v>6.72</v>
      </c>
      <c r="D2773" s="46">
        <v>45026.0</v>
      </c>
      <c r="E2773" s="24">
        <v>1.68</v>
      </c>
      <c r="F2773" s="24">
        <v>42.53</v>
      </c>
      <c r="G2773" s="24">
        <v>2.53</v>
      </c>
      <c r="H2773" s="24" t="s">
        <v>6688</v>
      </c>
      <c r="I2773" s="24" t="s">
        <v>6650</v>
      </c>
      <c r="J2773" s="24">
        <v>0.0</v>
      </c>
    </row>
    <row r="2774">
      <c r="A2774" s="24">
        <v>724.0</v>
      </c>
      <c r="B2774" s="24">
        <v>4.0</v>
      </c>
      <c r="C2774" s="44">
        <v>7.69</v>
      </c>
      <c r="D2774" s="46">
        <v>45026.0</v>
      </c>
      <c r="E2774" s="24">
        <v>1.92</v>
      </c>
      <c r="F2774" s="24">
        <v>10.62</v>
      </c>
      <c r="G2774" s="24">
        <v>0.55</v>
      </c>
      <c r="H2774" s="24" t="s">
        <v>6689</v>
      </c>
      <c r="I2774" s="24">
        <v>7.69</v>
      </c>
      <c r="J2774" s="24">
        <v>0.0</v>
      </c>
    </row>
    <row r="2775">
      <c r="A2775" s="24">
        <v>681.0</v>
      </c>
      <c r="B2775" s="24">
        <v>4.0</v>
      </c>
      <c r="C2775" s="44">
        <v>11.87</v>
      </c>
      <c r="D2775" s="46">
        <v>45026.0</v>
      </c>
      <c r="E2775" s="24">
        <v>2.97</v>
      </c>
      <c r="F2775" s="24">
        <v>17.43</v>
      </c>
      <c r="G2775" s="24">
        <v>0.59</v>
      </c>
      <c r="H2775" s="24" t="s">
        <v>6700</v>
      </c>
      <c r="I2775" s="24">
        <v>11.87</v>
      </c>
      <c r="J2775" s="24">
        <v>0.0</v>
      </c>
    </row>
    <row r="2776">
      <c r="A2776" s="24">
        <v>195.0</v>
      </c>
      <c r="B2776" s="24">
        <v>3.0</v>
      </c>
      <c r="C2776" s="44">
        <v>12.03</v>
      </c>
      <c r="D2776" s="46">
        <v>45026.0</v>
      </c>
      <c r="E2776" s="24">
        <v>4.01</v>
      </c>
      <c r="F2776" s="24">
        <v>61.69</v>
      </c>
      <c r="G2776" s="24">
        <v>1.54</v>
      </c>
      <c r="H2776" s="24" t="s">
        <v>6696</v>
      </c>
      <c r="I2776" s="24" t="s">
        <v>6650</v>
      </c>
      <c r="J2776" s="24">
        <v>0.0</v>
      </c>
    </row>
    <row r="2777">
      <c r="A2777" s="24">
        <v>783.0</v>
      </c>
      <c r="B2777" s="24">
        <v>2.0</v>
      </c>
      <c r="C2777" s="44">
        <v>11.85</v>
      </c>
      <c r="D2777" s="46">
        <v>45026.0</v>
      </c>
      <c r="E2777" s="24">
        <v>5.92</v>
      </c>
      <c r="F2777" s="24">
        <v>15.13</v>
      </c>
      <c r="G2777" s="24">
        <v>0.26</v>
      </c>
      <c r="H2777" s="24" t="s">
        <v>6698</v>
      </c>
      <c r="I2777" s="24">
        <v>11.85</v>
      </c>
      <c r="J2777" s="24">
        <v>0.0</v>
      </c>
    </row>
    <row r="2778">
      <c r="A2778" s="24">
        <v>835.0</v>
      </c>
      <c r="B2778" s="24">
        <v>4.0</v>
      </c>
      <c r="C2778" s="44">
        <v>11.53</v>
      </c>
      <c r="D2778" s="46">
        <v>45026.0</v>
      </c>
      <c r="E2778" s="24">
        <v>2.88</v>
      </c>
      <c r="F2778" s="24">
        <v>13.81</v>
      </c>
      <c r="G2778" s="24">
        <v>0.48</v>
      </c>
      <c r="H2778" s="24" t="s">
        <v>6692</v>
      </c>
      <c r="I2778" s="24" t="s">
        <v>6650</v>
      </c>
      <c r="J2778" s="24">
        <v>0.0</v>
      </c>
    </row>
    <row r="2779">
      <c r="A2779" s="24">
        <v>193.0</v>
      </c>
      <c r="B2779" s="24">
        <v>4.0</v>
      </c>
      <c r="C2779" s="44">
        <v>7.2</v>
      </c>
      <c r="D2779" s="46">
        <v>45026.0</v>
      </c>
      <c r="E2779" s="24">
        <v>1.8</v>
      </c>
      <c r="F2779" s="24">
        <v>37.31</v>
      </c>
      <c r="G2779" s="24">
        <v>2.07</v>
      </c>
      <c r="H2779" s="24" t="s">
        <v>6693</v>
      </c>
      <c r="I2779" s="24">
        <v>3.6</v>
      </c>
      <c r="J2779" s="24">
        <v>0.0</v>
      </c>
    </row>
    <row r="2780">
      <c r="A2780" s="24">
        <v>111.0</v>
      </c>
      <c r="B2780" s="24">
        <v>0.0</v>
      </c>
      <c r="C2780" s="44">
        <v>11.69</v>
      </c>
      <c r="D2780" s="46">
        <v>45026.0</v>
      </c>
      <c r="E2780" s="24" t="s">
        <v>6650</v>
      </c>
      <c r="F2780" s="24">
        <v>105.32</v>
      </c>
      <c r="G2780" s="24">
        <v>0.0</v>
      </c>
      <c r="H2780" s="24" t="s">
        <v>6701</v>
      </c>
      <c r="I2780" s="24" t="s">
        <v>6650</v>
      </c>
      <c r="J2780" s="24">
        <v>0.0</v>
      </c>
    </row>
    <row r="2781">
      <c r="A2781" s="24">
        <v>695.0</v>
      </c>
      <c r="B2781" s="24">
        <v>3.0</v>
      </c>
      <c r="C2781" s="44">
        <v>11.53</v>
      </c>
      <c r="D2781" s="46">
        <v>45027.0</v>
      </c>
      <c r="E2781" s="24">
        <v>3.84</v>
      </c>
      <c r="F2781" s="24">
        <v>16.59</v>
      </c>
      <c r="G2781" s="24">
        <v>0.43</v>
      </c>
      <c r="H2781" s="24" t="s">
        <v>6692</v>
      </c>
      <c r="I2781" s="24" t="s">
        <v>6650</v>
      </c>
      <c r="J2781" s="24">
        <v>0.0</v>
      </c>
    </row>
    <row r="2782">
      <c r="A2782" s="24">
        <v>628.0</v>
      </c>
      <c r="B2782" s="24">
        <v>3.0</v>
      </c>
      <c r="C2782" s="44">
        <v>11.84</v>
      </c>
      <c r="D2782" s="46">
        <v>45027.0</v>
      </c>
      <c r="E2782" s="24">
        <v>3.95</v>
      </c>
      <c r="F2782" s="24">
        <v>18.85</v>
      </c>
      <c r="G2782" s="24">
        <v>0.48</v>
      </c>
      <c r="H2782" s="24" t="s">
        <v>6700</v>
      </c>
      <c r="I2782" s="24">
        <v>11.84</v>
      </c>
      <c r="J2782" s="24">
        <v>0.0</v>
      </c>
    </row>
    <row r="2783">
      <c r="A2783" s="24">
        <v>803.0</v>
      </c>
      <c r="B2783" s="24">
        <v>5.0</v>
      </c>
      <c r="C2783" s="44">
        <v>10.04</v>
      </c>
      <c r="D2783" s="46">
        <v>45027.0</v>
      </c>
      <c r="E2783" s="24">
        <v>2.01</v>
      </c>
      <c r="F2783" s="24">
        <v>12.5</v>
      </c>
      <c r="G2783" s="24">
        <v>0.62</v>
      </c>
      <c r="H2783" s="24" t="s">
        <v>6689</v>
      </c>
      <c r="I2783" s="24">
        <v>1.43</v>
      </c>
      <c r="J2783" s="24">
        <v>0.0</v>
      </c>
    </row>
    <row r="2784">
      <c r="A2784" s="24">
        <v>133.0</v>
      </c>
      <c r="B2784" s="24">
        <v>1.0</v>
      </c>
      <c r="C2784" s="44">
        <v>12.36</v>
      </c>
      <c r="D2784" s="46">
        <v>45027.0</v>
      </c>
      <c r="E2784" s="24">
        <v>12.36</v>
      </c>
      <c r="F2784" s="24">
        <v>92.93</v>
      </c>
      <c r="G2784" s="24">
        <v>0.75</v>
      </c>
      <c r="H2784" s="24" t="s">
        <v>6699</v>
      </c>
      <c r="I2784" s="24">
        <v>12.36</v>
      </c>
      <c r="J2784" s="24">
        <v>0.0</v>
      </c>
    </row>
    <row r="2785">
      <c r="A2785" s="24">
        <v>776.0</v>
      </c>
      <c r="B2785" s="24">
        <v>3.0</v>
      </c>
      <c r="C2785" s="44">
        <v>11.75</v>
      </c>
      <c r="D2785" s="46">
        <v>45027.0</v>
      </c>
      <c r="E2785" s="24">
        <v>3.92</v>
      </c>
      <c r="F2785" s="24">
        <v>15.14</v>
      </c>
      <c r="G2785" s="24">
        <v>0.39</v>
      </c>
      <c r="H2785" s="24" t="s">
        <v>6698</v>
      </c>
      <c r="I2785" s="24">
        <v>11.75</v>
      </c>
      <c r="J2785" s="24">
        <v>0.0</v>
      </c>
    </row>
    <row r="2786">
      <c r="A2786" s="24">
        <v>284.0</v>
      </c>
      <c r="B2786" s="24">
        <v>2.0</v>
      </c>
      <c r="C2786" s="44">
        <v>14.83</v>
      </c>
      <c r="D2786" s="46">
        <v>45027.0</v>
      </c>
      <c r="E2786" s="24">
        <v>7.42</v>
      </c>
      <c r="F2786" s="24">
        <v>52.22</v>
      </c>
      <c r="G2786" s="24">
        <v>0.7</v>
      </c>
      <c r="H2786" s="24" t="s">
        <v>6680</v>
      </c>
      <c r="I2786" s="24">
        <v>14.83</v>
      </c>
      <c r="J2786" s="24">
        <v>0.0</v>
      </c>
    </row>
    <row r="2787">
      <c r="A2787" s="24">
        <v>162.0</v>
      </c>
      <c r="B2787" s="24">
        <v>2.0</v>
      </c>
      <c r="C2787" s="44">
        <v>6.61</v>
      </c>
      <c r="D2787" s="46">
        <v>45027.0</v>
      </c>
      <c r="E2787" s="24">
        <v>3.3</v>
      </c>
      <c r="F2787" s="24">
        <v>40.8</v>
      </c>
      <c r="G2787" s="24">
        <v>1.23</v>
      </c>
      <c r="H2787" s="24" t="s">
        <v>6688</v>
      </c>
      <c r="I2787" s="24" t="s">
        <v>6650</v>
      </c>
      <c r="J2787" s="24">
        <v>0.0</v>
      </c>
    </row>
    <row r="2788">
      <c r="A2788" s="24">
        <v>118.0</v>
      </c>
      <c r="B2788" s="24">
        <v>0.0</v>
      </c>
      <c r="C2788" s="44">
        <v>12.37</v>
      </c>
      <c r="D2788" s="46">
        <v>45027.0</v>
      </c>
      <c r="E2788" s="24" t="s">
        <v>6650</v>
      </c>
      <c r="F2788" s="24">
        <v>104.83</v>
      </c>
      <c r="G2788" s="24">
        <v>0.0</v>
      </c>
      <c r="H2788" s="24" t="s">
        <v>6701</v>
      </c>
      <c r="I2788" s="24" t="s">
        <v>6650</v>
      </c>
      <c r="J2788" s="24">
        <v>0.0</v>
      </c>
    </row>
    <row r="2789">
      <c r="A2789" s="24">
        <v>217.0</v>
      </c>
      <c r="B2789" s="24">
        <v>1.0</v>
      </c>
      <c r="C2789" s="44">
        <v>11.51</v>
      </c>
      <c r="D2789" s="46">
        <v>45027.0</v>
      </c>
      <c r="E2789" s="24">
        <v>11.51</v>
      </c>
      <c r="F2789" s="24">
        <v>53.04</v>
      </c>
      <c r="G2789" s="24">
        <v>0.46</v>
      </c>
      <c r="H2789" s="24" t="s">
        <v>6696</v>
      </c>
      <c r="I2789" s="24" t="s">
        <v>6650</v>
      </c>
      <c r="J2789" s="24">
        <v>0.0</v>
      </c>
    </row>
    <row r="2790">
      <c r="A2790" s="24">
        <v>66.0</v>
      </c>
      <c r="B2790" s="24">
        <v>1.0</v>
      </c>
      <c r="C2790" s="44">
        <v>12.43</v>
      </c>
      <c r="D2790" s="46">
        <v>45027.0</v>
      </c>
      <c r="E2790" s="24">
        <v>12.43</v>
      </c>
      <c r="F2790" s="24">
        <v>188.33</v>
      </c>
      <c r="G2790" s="24">
        <v>1.52</v>
      </c>
      <c r="H2790" s="24" t="s">
        <v>6697</v>
      </c>
      <c r="I2790" s="24" t="s">
        <v>6650</v>
      </c>
      <c r="J2790" s="24">
        <v>0.0</v>
      </c>
    </row>
    <row r="2791">
      <c r="A2791" s="24">
        <v>307.0</v>
      </c>
      <c r="B2791" s="24">
        <v>7.0</v>
      </c>
      <c r="C2791" s="44">
        <v>14.12</v>
      </c>
      <c r="D2791" s="46">
        <v>45027.0</v>
      </c>
      <c r="E2791" s="24">
        <v>2.02</v>
      </c>
      <c r="F2791" s="24">
        <v>45.99</v>
      </c>
      <c r="G2791" s="24">
        <v>2.28</v>
      </c>
      <c r="H2791" s="24" t="s">
        <v>6693</v>
      </c>
      <c r="I2791" s="24">
        <v>2.02</v>
      </c>
      <c r="J2791" s="24">
        <v>0.0</v>
      </c>
    </row>
    <row r="2792">
      <c r="A2792" s="24">
        <v>111.0</v>
      </c>
      <c r="B2792" s="24">
        <v>2.0</v>
      </c>
      <c r="C2792" s="44">
        <v>3.05</v>
      </c>
      <c r="D2792" s="46">
        <v>45028.0</v>
      </c>
      <c r="E2792" s="24">
        <v>1.52</v>
      </c>
      <c r="F2792" s="24">
        <v>27.48</v>
      </c>
      <c r="G2792" s="24">
        <v>1.8</v>
      </c>
      <c r="H2792" s="24" t="s">
        <v>6688</v>
      </c>
      <c r="I2792" s="24">
        <v>3.05</v>
      </c>
      <c r="J2792" s="24">
        <v>0.0</v>
      </c>
    </row>
    <row r="2793">
      <c r="A2793" s="24">
        <v>51.0</v>
      </c>
      <c r="B2793" s="24">
        <v>1.0</v>
      </c>
      <c r="C2793" s="44">
        <v>15.0</v>
      </c>
      <c r="D2793" s="46">
        <v>45028.0</v>
      </c>
      <c r="E2793" s="24">
        <v>15.0</v>
      </c>
      <c r="F2793" s="24">
        <v>294.12</v>
      </c>
      <c r="G2793" s="24">
        <v>1.96</v>
      </c>
      <c r="H2793" s="24" t="s">
        <v>6697</v>
      </c>
      <c r="I2793" s="24" t="s">
        <v>6650</v>
      </c>
      <c r="J2793" s="24">
        <v>0.0</v>
      </c>
    </row>
    <row r="2794">
      <c r="A2794" s="24">
        <v>161.0</v>
      </c>
      <c r="B2794" s="24">
        <v>1.0</v>
      </c>
      <c r="C2794" s="44">
        <v>12.32</v>
      </c>
      <c r="D2794" s="46">
        <v>45028.0</v>
      </c>
      <c r="E2794" s="24">
        <v>12.32</v>
      </c>
      <c r="F2794" s="24">
        <v>76.52</v>
      </c>
      <c r="G2794" s="24">
        <v>0.62</v>
      </c>
      <c r="H2794" s="24" t="s">
        <v>6699</v>
      </c>
      <c r="I2794" s="24">
        <v>12.32</v>
      </c>
      <c r="J2794" s="24">
        <v>0.0</v>
      </c>
    </row>
    <row r="2795">
      <c r="A2795" s="24">
        <v>97.0</v>
      </c>
      <c r="B2795" s="24">
        <v>0.0</v>
      </c>
      <c r="C2795" s="44">
        <v>12.14</v>
      </c>
      <c r="D2795" s="46">
        <v>45028.0</v>
      </c>
      <c r="E2795" s="24" t="s">
        <v>6650</v>
      </c>
      <c r="F2795" s="24">
        <v>125.15</v>
      </c>
      <c r="G2795" s="24">
        <v>0.0</v>
      </c>
      <c r="H2795" s="24" t="s">
        <v>6701</v>
      </c>
      <c r="I2795" s="24" t="s">
        <v>6650</v>
      </c>
      <c r="J2795" s="24">
        <v>0.0</v>
      </c>
    </row>
    <row r="2796">
      <c r="A2796" s="24">
        <v>500.0</v>
      </c>
      <c r="B2796" s="24">
        <v>12.0</v>
      </c>
      <c r="C2796" s="44">
        <v>16.12</v>
      </c>
      <c r="D2796" s="46">
        <v>45028.0</v>
      </c>
      <c r="E2796" s="24">
        <v>1.34</v>
      </c>
      <c r="F2796" s="24">
        <v>32.24</v>
      </c>
      <c r="G2796" s="24">
        <v>2.4</v>
      </c>
      <c r="H2796" s="24" t="s">
        <v>6693</v>
      </c>
      <c r="I2796" s="24">
        <v>1.07</v>
      </c>
      <c r="J2796" s="24">
        <v>0.0</v>
      </c>
    </row>
    <row r="2797">
      <c r="A2797" s="24">
        <v>385.0</v>
      </c>
      <c r="B2797" s="24">
        <v>0.0</v>
      </c>
      <c r="C2797" s="44">
        <v>13.36</v>
      </c>
      <c r="D2797" s="46">
        <v>45028.0</v>
      </c>
      <c r="E2797" s="24" t="s">
        <v>6650</v>
      </c>
      <c r="F2797" s="24">
        <v>34.7</v>
      </c>
      <c r="G2797" s="24">
        <v>0.0</v>
      </c>
      <c r="H2797" s="24" t="s">
        <v>6680</v>
      </c>
      <c r="I2797" s="24" t="s">
        <v>6650</v>
      </c>
      <c r="J2797" s="24">
        <v>0.0</v>
      </c>
    </row>
    <row r="2798">
      <c r="A2798" s="24">
        <v>615.0</v>
      </c>
      <c r="B2798" s="24">
        <v>2.0</v>
      </c>
      <c r="C2798" s="44">
        <v>12.02</v>
      </c>
      <c r="D2798" s="46">
        <v>45028.0</v>
      </c>
      <c r="E2798" s="24">
        <v>6.01</v>
      </c>
      <c r="F2798" s="24">
        <v>19.54</v>
      </c>
      <c r="G2798" s="24">
        <v>0.33</v>
      </c>
      <c r="H2798" s="24" t="s">
        <v>6700</v>
      </c>
      <c r="I2798" s="24">
        <v>4.01</v>
      </c>
      <c r="J2798" s="24">
        <v>0.0</v>
      </c>
    </row>
    <row r="2799">
      <c r="A2799" s="24">
        <v>142.0</v>
      </c>
      <c r="B2799" s="24">
        <v>1.0</v>
      </c>
      <c r="C2799" s="44">
        <v>13.0</v>
      </c>
      <c r="D2799" s="46">
        <v>45028.0</v>
      </c>
      <c r="E2799" s="24">
        <v>13.0</v>
      </c>
      <c r="F2799" s="24">
        <v>91.55</v>
      </c>
      <c r="G2799" s="24">
        <v>0.7</v>
      </c>
      <c r="H2799" s="24" t="s">
        <v>6696</v>
      </c>
      <c r="I2799" s="24">
        <v>3.25</v>
      </c>
      <c r="J2799" s="24">
        <v>1.0</v>
      </c>
    </row>
    <row r="2800">
      <c r="A2800" s="24">
        <v>828.0</v>
      </c>
      <c r="B2800" s="24">
        <v>5.0</v>
      </c>
      <c r="C2800" s="44">
        <v>12.04</v>
      </c>
      <c r="D2800" s="46">
        <v>45028.0</v>
      </c>
      <c r="E2800" s="24">
        <v>2.41</v>
      </c>
      <c r="F2800" s="24">
        <v>14.54</v>
      </c>
      <c r="G2800" s="24">
        <v>0.6</v>
      </c>
      <c r="H2800" s="24" t="s">
        <v>6698</v>
      </c>
      <c r="I2800" s="24">
        <v>2.01</v>
      </c>
      <c r="J2800" s="24">
        <v>0.0</v>
      </c>
    </row>
    <row r="2801">
      <c r="A2801" s="24">
        <v>908.0</v>
      </c>
      <c r="B2801" s="24">
        <v>8.0</v>
      </c>
      <c r="C2801" s="44">
        <v>10.8</v>
      </c>
      <c r="D2801" s="46">
        <v>45028.0</v>
      </c>
      <c r="E2801" s="24">
        <v>1.35</v>
      </c>
      <c r="F2801" s="24">
        <v>11.89</v>
      </c>
      <c r="G2801" s="24">
        <v>0.88</v>
      </c>
      <c r="H2801" s="24" t="s">
        <v>6689</v>
      </c>
      <c r="I2801" s="24">
        <v>2.7</v>
      </c>
      <c r="J2801" s="24">
        <v>0.0</v>
      </c>
    </row>
    <row r="2802">
      <c r="A2802" s="24">
        <v>664.0</v>
      </c>
      <c r="B2802" s="24">
        <v>8.0</v>
      </c>
      <c r="C2802" s="44">
        <v>11.84</v>
      </c>
      <c r="D2802" s="46">
        <v>45028.0</v>
      </c>
      <c r="E2802" s="24">
        <v>1.48</v>
      </c>
      <c r="F2802" s="24">
        <v>17.83</v>
      </c>
      <c r="G2802" s="24">
        <v>1.2</v>
      </c>
      <c r="H2802" s="24" t="s">
        <v>6692</v>
      </c>
      <c r="I2802" s="24" t="s">
        <v>6650</v>
      </c>
      <c r="J2802" s="24">
        <v>0.0</v>
      </c>
    </row>
    <row r="2803">
      <c r="A2803" s="24">
        <v>0.0</v>
      </c>
      <c r="B2803" s="24">
        <v>0.0</v>
      </c>
      <c r="C2803" s="44"/>
      <c r="D2803" s="46">
        <v>45028.0</v>
      </c>
      <c r="E2803" s="24" t="s">
        <v>6650</v>
      </c>
      <c r="F2803" s="24" t="s">
        <v>6650</v>
      </c>
      <c r="G2803" s="24" t="s">
        <v>6650</v>
      </c>
      <c r="H2803" s="24" t="s">
        <v>6694</v>
      </c>
      <c r="I2803" s="24" t="s">
        <v>6650</v>
      </c>
      <c r="J2803" s="24"/>
    </row>
    <row r="2804">
      <c r="A2804" s="24">
        <v>248.0</v>
      </c>
      <c r="B2804" s="24">
        <v>0.0</v>
      </c>
      <c r="C2804" s="44">
        <v>11.68</v>
      </c>
      <c r="D2804" s="46">
        <v>45028.0</v>
      </c>
      <c r="E2804" s="24" t="s">
        <v>6650</v>
      </c>
      <c r="F2804" s="24">
        <v>47.1</v>
      </c>
      <c r="G2804" s="24">
        <v>0.0</v>
      </c>
      <c r="H2804" s="24" t="s">
        <v>6695</v>
      </c>
      <c r="I2804" s="24" t="s">
        <v>6650</v>
      </c>
      <c r="J2804" s="24">
        <v>0.0</v>
      </c>
    </row>
    <row r="2805">
      <c r="A2805" s="24">
        <v>176.0</v>
      </c>
      <c r="B2805" s="24">
        <v>3.0</v>
      </c>
      <c r="C2805" s="44">
        <v>7.03</v>
      </c>
      <c r="D2805" s="46">
        <v>45029.0</v>
      </c>
      <c r="E2805" s="24">
        <v>2.34</v>
      </c>
      <c r="F2805" s="24">
        <v>39.94</v>
      </c>
      <c r="G2805" s="24">
        <v>1.7</v>
      </c>
      <c r="H2805" s="24" t="s">
        <v>6693</v>
      </c>
      <c r="I2805" s="24">
        <v>1.41</v>
      </c>
      <c r="J2805" s="24">
        <v>0.0</v>
      </c>
    </row>
    <row r="2806">
      <c r="A2806" s="24">
        <v>521.0</v>
      </c>
      <c r="B2806" s="24">
        <v>1.0</v>
      </c>
      <c r="C2806" s="44">
        <v>12.21</v>
      </c>
      <c r="D2806" s="46">
        <v>45029.0</v>
      </c>
      <c r="E2806" s="24">
        <v>12.21</v>
      </c>
      <c r="F2806" s="24">
        <v>23.44</v>
      </c>
      <c r="G2806" s="24">
        <v>0.19</v>
      </c>
      <c r="H2806" s="24" t="s">
        <v>6692</v>
      </c>
      <c r="I2806" s="24" t="s">
        <v>6650</v>
      </c>
      <c r="J2806" s="24">
        <v>0.0</v>
      </c>
    </row>
    <row r="2807">
      <c r="A2807" s="24">
        <v>651.0</v>
      </c>
      <c r="B2807" s="24">
        <v>8.0</v>
      </c>
      <c r="C2807" s="44">
        <v>12.18</v>
      </c>
      <c r="D2807" s="46">
        <v>45029.0</v>
      </c>
      <c r="E2807" s="24">
        <v>1.52</v>
      </c>
      <c r="F2807" s="24">
        <v>18.71</v>
      </c>
      <c r="G2807" s="24">
        <v>1.23</v>
      </c>
      <c r="H2807" s="24" t="s">
        <v>6698</v>
      </c>
      <c r="I2807" s="24">
        <v>2.44</v>
      </c>
      <c r="J2807" s="24">
        <v>0.0</v>
      </c>
    </row>
    <row r="2808">
      <c r="A2808" s="24">
        <v>104.0</v>
      </c>
      <c r="B2808" s="24">
        <v>0.0</v>
      </c>
      <c r="C2808" s="44">
        <v>13.13</v>
      </c>
      <c r="D2808" s="46">
        <v>45029.0</v>
      </c>
      <c r="E2808" s="24" t="s">
        <v>6650</v>
      </c>
      <c r="F2808" s="24">
        <v>126.25</v>
      </c>
      <c r="G2808" s="24">
        <v>0.0</v>
      </c>
      <c r="H2808" s="24" t="s">
        <v>6701</v>
      </c>
      <c r="I2808" s="24" t="s">
        <v>6650</v>
      </c>
      <c r="J2808" s="24">
        <v>0.0</v>
      </c>
    </row>
    <row r="2809">
      <c r="A2809" s="24">
        <v>144.0</v>
      </c>
      <c r="B2809" s="24">
        <v>3.0</v>
      </c>
      <c r="C2809" s="44">
        <v>4.0</v>
      </c>
      <c r="D2809" s="46">
        <v>45029.0</v>
      </c>
      <c r="E2809" s="24">
        <v>1.33</v>
      </c>
      <c r="F2809" s="24">
        <v>27.78</v>
      </c>
      <c r="G2809" s="24">
        <v>2.08</v>
      </c>
      <c r="H2809" s="24" t="s">
        <v>6688</v>
      </c>
      <c r="I2809" s="24">
        <v>4.0</v>
      </c>
      <c r="J2809" s="24">
        <v>0.0</v>
      </c>
    </row>
    <row r="2810">
      <c r="A2810" s="24">
        <v>159.0</v>
      </c>
      <c r="B2810" s="24">
        <v>0.0</v>
      </c>
      <c r="C2810" s="44">
        <v>11.64</v>
      </c>
      <c r="D2810" s="46">
        <v>45029.0</v>
      </c>
      <c r="E2810" s="24" t="s">
        <v>6650</v>
      </c>
      <c r="F2810" s="24">
        <v>73.21</v>
      </c>
      <c r="G2810" s="24">
        <v>0.0</v>
      </c>
      <c r="H2810" s="24" t="s">
        <v>6695</v>
      </c>
      <c r="I2810" s="24" t="s">
        <v>6650</v>
      </c>
      <c r="J2810" s="24">
        <v>0.0</v>
      </c>
    </row>
    <row r="2811">
      <c r="A2811" s="24">
        <v>531.0</v>
      </c>
      <c r="B2811" s="24">
        <v>2.0</v>
      </c>
      <c r="C2811" s="44">
        <v>12.24</v>
      </c>
      <c r="D2811" s="46">
        <v>45029.0</v>
      </c>
      <c r="E2811" s="24">
        <v>6.12</v>
      </c>
      <c r="F2811" s="24">
        <v>23.05</v>
      </c>
      <c r="G2811" s="24">
        <v>0.38</v>
      </c>
      <c r="H2811" s="24" t="s">
        <v>6700</v>
      </c>
      <c r="I2811" s="24">
        <v>3.06</v>
      </c>
      <c r="J2811" s="24">
        <v>0.0</v>
      </c>
    </row>
    <row r="2812">
      <c r="A2812" s="24">
        <v>175.0</v>
      </c>
      <c r="B2812" s="24">
        <v>5.0</v>
      </c>
      <c r="C2812" s="44">
        <v>12.75</v>
      </c>
      <c r="D2812" s="46">
        <v>45029.0</v>
      </c>
      <c r="E2812" s="24">
        <v>2.55</v>
      </c>
      <c r="F2812" s="24">
        <v>72.86</v>
      </c>
      <c r="G2812" s="24">
        <v>2.86</v>
      </c>
      <c r="H2812" s="24" t="s">
        <v>6696</v>
      </c>
      <c r="I2812" s="24">
        <v>12.75</v>
      </c>
      <c r="J2812" s="24">
        <v>1.0</v>
      </c>
    </row>
    <row r="2813">
      <c r="A2813" s="24">
        <v>1095.0</v>
      </c>
      <c r="B2813" s="24">
        <v>10.0</v>
      </c>
      <c r="C2813" s="44">
        <v>13.77</v>
      </c>
      <c r="D2813" s="46">
        <v>45029.0</v>
      </c>
      <c r="E2813" s="24">
        <v>1.38</v>
      </c>
      <c r="F2813" s="24">
        <v>12.58</v>
      </c>
      <c r="G2813" s="24">
        <v>0.91</v>
      </c>
      <c r="H2813" s="24" t="s">
        <v>6689</v>
      </c>
      <c r="I2813" s="24">
        <v>13.77</v>
      </c>
      <c r="J2813" s="24">
        <v>0.0</v>
      </c>
    </row>
    <row r="2814">
      <c r="A2814" s="24">
        <v>339.0</v>
      </c>
      <c r="B2814" s="24">
        <v>1.0</v>
      </c>
      <c r="C2814" s="44">
        <v>13.57</v>
      </c>
      <c r="D2814" s="46">
        <v>45029.0</v>
      </c>
      <c r="E2814" s="24">
        <v>13.57</v>
      </c>
      <c r="F2814" s="24">
        <v>40.03</v>
      </c>
      <c r="G2814" s="24">
        <v>0.29</v>
      </c>
      <c r="H2814" s="24" t="s">
        <v>6680</v>
      </c>
      <c r="I2814" s="24">
        <v>13.57</v>
      </c>
      <c r="J2814" s="24">
        <v>0.0</v>
      </c>
    </row>
    <row r="2815">
      <c r="A2815" s="24">
        <v>135.0</v>
      </c>
      <c r="B2815" s="24">
        <v>2.0</v>
      </c>
      <c r="C2815" s="44">
        <v>12.56</v>
      </c>
      <c r="D2815" s="46">
        <v>45029.0</v>
      </c>
      <c r="E2815" s="24">
        <v>6.28</v>
      </c>
      <c r="F2815" s="24">
        <v>93.04</v>
      </c>
      <c r="G2815" s="24">
        <v>1.48</v>
      </c>
      <c r="H2815" s="24" t="s">
        <v>6699</v>
      </c>
      <c r="I2815" s="24" t="s">
        <v>6650</v>
      </c>
      <c r="J2815" s="24">
        <v>0.0</v>
      </c>
    </row>
    <row r="2816">
      <c r="A2816" s="24">
        <v>84.0</v>
      </c>
      <c r="B2816" s="24">
        <v>2.0</v>
      </c>
      <c r="C2816" s="44">
        <v>12.27</v>
      </c>
      <c r="D2816" s="46">
        <v>45029.0</v>
      </c>
      <c r="E2816" s="24">
        <v>6.14</v>
      </c>
      <c r="F2816" s="24">
        <v>146.07</v>
      </c>
      <c r="G2816" s="24">
        <v>2.38</v>
      </c>
      <c r="H2816" s="24" t="s">
        <v>6697</v>
      </c>
      <c r="I2816" s="24" t="s">
        <v>6650</v>
      </c>
      <c r="J2816" s="24">
        <v>0.0</v>
      </c>
    </row>
    <row r="2817">
      <c r="A2817" s="24">
        <v>583.0</v>
      </c>
      <c r="B2817" s="24">
        <v>2.0</v>
      </c>
      <c r="C2817" s="44">
        <v>10.58</v>
      </c>
      <c r="D2817" s="46">
        <v>45030.0</v>
      </c>
      <c r="E2817" s="24">
        <v>5.29</v>
      </c>
      <c r="F2817" s="24">
        <v>18.15</v>
      </c>
      <c r="G2817" s="24">
        <v>0.34</v>
      </c>
      <c r="H2817" s="24" t="s">
        <v>6692</v>
      </c>
      <c r="I2817" s="24" t="s">
        <v>6650</v>
      </c>
      <c r="J2817" s="24">
        <v>0.0</v>
      </c>
    </row>
    <row r="2818">
      <c r="A2818" s="24">
        <v>99.0</v>
      </c>
      <c r="B2818" s="24">
        <v>2.0</v>
      </c>
      <c r="C2818" s="44">
        <v>12.18</v>
      </c>
      <c r="D2818" s="46">
        <v>45030.0</v>
      </c>
      <c r="E2818" s="24">
        <v>6.09</v>
      </c>
      <c r="F2818" s="24">
        <v>123.03</v>
      </c>
      <c r="G2818" s="24">
        <v>2.02</v>
      </c>
      <c r="H2818" s="24" t="s">
        <v>6695</v>
      </c>
      <c r="I2818" s="24" t="s">
        <v>6650</v>
      </c>
      <c r="J2818" s="24">
        <v>1.0</v>
      </c>
    </row>
    <row r="2819">
      <c r="A2819" s="24">
        <v>85.0</v>
      </c>
      <c r="B2819" s="24">
        <v>6.0</v>
      </c>
      <c r="C2819" s="44">
        <v>5.53</v>
      </c>
      <c r="D2819" s="46">
        <v>45030.0</v>
      </c>
      <c r="E2819" s="24">
        <v>0.92</v>
      </c>
      <c r="F2819" s="24">
        <v>65.06</v>
      </c>
      <c r="G2819" s="24">
        <v>7.06</v>
      </c>
      <c r="H2819" s="24" t="s">
        <v>6693</v>
      </c>
      <c r="I2819" s="24">
        <v>1.11</v>
      </c>
      <c r="J2819" s="24">
        <v>0.0</v>
      </c>
    </row>
    <row r="2820">
      <c r="A2820" s="24">
        <v>130.0</v>
      </c>
      <c r="B2820" s="24">
        <v>2.0</v>
      </c>
      <c r="C2820" s="44">
        <v>11.01</v>
      </c>
      <c r="D2820" s="46">
        <v>45030.0</v>
      </c>
      <c r="E2820" s="24">
        <v>5.5</v>
      </c>
      <c r="F2820" s="24">
        <v>84.69</v>
      </c>
      <c r="G2820" s="24">
        <v>1.54</v>
      </c>
      <c r="H2820" s="24" t="s">
        <v>6701</v>
      </c>
      <c r="I2820" s="24">
        <v>11.01</v>
      </c>
      <c r="J2820" s="24">
        <v>0.0</v>
      </c>
    </row>
    <row r="2821">
      <c r="A2821" s="24">
        <v>471.0</v>
      </c>
      <c r="B2821" s="24">
        <v>2.0</v>
      </c>
      <c r="C2821" s="44">
        <v>10.69</v>
      </c>
      <c r="D2821" s="46">
        <v>45030.0</v>
      </c>
      <c r="E2821" s="24">
        <v>5.34</v>
      </c>
      <c r="F2821" s="24">
        <v>22.7</v>
      </c>
      <c r="G2821" s="24">
        <v>0.42</v>
      </c>
      <c r="H2821" s="24" t="s">
        <v>6700</v>
      </c>
      <c r="I2821" s="24" t="s">
        <v>6650</v>
      </c>
      <c r="J2821" s="24">
        <v>0.0</v>
      </c>
    </row>
    <row r="2822">
      <c r="A2822" s="24">
        <v>146.0</v>
      </c>
      <c r="B2822" s="24">
        <v>1.0</v>
      </c>
      <c r="C2822" s="44">
        <v>10.3</v>
      </c>
      <c r="D2822" s="46">
        <v>45030.0</v>
      </c>
      <c r="E2822" s="24">
        <v>10.3</v>
      </c>
      <c r="F2822" s="24">
        <v>70.55</v>
      </c>
      <c r="G2822" s="24">
        <v>0.68</v>
      </c>
      <c r="H2822" s="24" t="s">
        <v>6699</v>
      </c>
      <c r="I2822" s="24" t="s">
        <v>6650</v>
      </c>
      <c r="J2822" s="24">
        <v>0.0</v>
      </c>
    </row>
    <row r="2823">
      <c r="A2823" s="24">
        <v>220.0</v>
      </c>
      <c r="B2823" s="24">
        <v>1.0</v>
      </c>
      <c r="C2823" s="44">
        <v>10.96</v>
      </c>
      <c r="D2823" s="46">
        <v>45030.0</v>
      </c>
      <c r="E2823" s="24">
        <v>10.96</v>
      </c>
      <c r="F2823" s="24">
        <v>49.82</v>
      </c>
      <c r="G2823" s="24">
        <v>0.45</v>
      </c>
      <c r="H2823" s="24" t="s">
        <v>6696</v>
      </c>
      <c r="I2823" s="24" t="s">
        <v>6650</v>
      </c>
      <c r="J2823" s="24">
        <v>0.0</v>
      </c>
    </row>
    <row r="2824">
      <c r="A2824" s="24">
        <v>312.0</v>
      </c>
      <c r="B2824" s="24">
        <v>4.0</v>
      </c>
      <c r="C2824" s="44">
        <v>15.0</v>
      </c>
      <c r="D2824" s="46">
        <v>45030.0</v>
      </c>
      <c r="E2824" s="24">
        <v>3.75</v>
      </c>
      <c r="F2824" s="24">
        <v>48.08</v>
      </c>
      <c r="G2824" s="24">
        <v>1.28</v>
      </c>
      <c r="H2824" s="24" t="s">
        <v>6688</v>
      </c>
      <c r="I2824" s="24" t="s">
        <v>6650</v>
      </c>
      <c r="J2824" s="24">
        <v>0.0</v>
      </c>
    </row>
    <row r="2825">
      <c r="A2825" s="24">
        <v>455.0</v>
      </c>
      <c r="B2825" s="24">
        <v>4.0</v>
      </c>
      <c r="C2825" s="44">
        <v>14.24</v>
      </c>
      <c r="D2825" s="46">
        <v>45030.0</v>
      </c>
      <c r="E2825" s="24">
        <v>3.56</v>
      </c>
      <c r="F2825" s="24">
        <v>31.3</v>
      </c>
      <c r="G2825" s="24">
        <v>0.88</v>
      </c>
      <c r="H2825" s="24" t="s">
        <v>6689</v>
      </c>
      <c r="I2825" s="24" t="s">
        <v>6650</v>
      </c>
      <c r="J2825" s="24">
        <v>0.0</v>
      </c>
    </row>
    <row r="2826">
      <c r="A2826" s="24">
        <v>486.0</v>
      </c>
      <c r="B2826" s="24">
        <v>3.0</v>
      </c>
      <c r="C2826" s="44">
        <v>10.66</v>
      </c>
      <c r="D2826" s="46">
        <v>45030.0</v>
      </c>
      <c r="E2826" s="24">
        <v>3.55</v>
      </c>
      <c r="F2826" s="24">
        <v>21.93</v>
      </c>
      <c r="G2826" s="24">
        <v>0.62</v>
      </c>
      <c r="H2826" s="24" t="s">
        <v>6698</v>
      </c>
      <c r="I2826" s="24">
        <v>10.66</v>
      </c>
      <c r="J2826" s="24">
        <v>0.0</v>
      </c>
    </row>
    <row r="2827">
      <c r="A2827" s="24">
        <v>52.0</v>
      </c>
      <c r="B2827" s="24">
        <v>1.0</v>
      </c>
      <c r="C2827" s="44">
        <v>15.0</v>
      </c>
      <c r="D2827" s="46">
        <v>45030.0</v>
      </c>
      <c r="E2827" s="24">
        <v>15.0</v>
      </c>
      <c r="F2827" s="24">
        <v>288.46</v>
      </c>
      <c r="G2827" s="24">
        <v>1.92</v>
      </c>
      <c r="H2827" s="24" t="s">
        <v>6697</v>
      </c>
      <c r="I2827" s="24" t="s">
        <v>6650</v>
      </c>
      <c r="J2827" s="24">
        <v>0.0</v>
      </c>
    </row>
    <row r="2828">
      <c r="A2828" s="24">
        <v>360.0</v>
      </c>
      <c r="B2828" s="24">
        <v>1.0</v>
      </c>
      <c r="C2828" s="44">
        <v>11.01</v>
      </c>
      <c r="D2828" s="46">
        <v>45030.0</v>
      </c>
      <c r="E2828" s="24">
        <v>11.01</v>
      </c>
      <c r="F2828" s="24">
        <v>30.58</v>
      </c>
      <c r="G2828" s="24">
        <v>0.28</v>
      </c>
      <c r="H2828" s="24" t="s">
        <v>6680</v>
      </c>
      <c r="I2828" s="24" t="s">
        <v>6650</v>
      </c>
      <c r="J2828" s="24">
        <v>0.0</v>
      </c>
    </row>
    <row r="2829">
      <c r="A2829" s="24">
        <v>430.0</v>
      </c>
      <c r="B2829" s="24">
        <v>6.0</v>
      </c>
      <c r="C2829" s="44">
        <v>7.36</v>
      </c>
      <c r="D2829" s="46">
        <v>45031.0</v>
      </c>
      <c r="E2829" s="24">
        <v>1.23</v>
      </c>
      <c r="F2829" s="24">
        <v>17.12</v>
      </c>
      <c r="G2829" s="24">
        <v>1.4</v>
      </c>
      <c r="H2829" s="24" t="s">
        <v>6689</v>
      </c>
      <c r="I2829" s="24">
        <v>7.36</v>
      </c>
      <c r="J2829" s="24">
        <v>0.0</v>
      </c>
    </row>
    <row r="2830">
      <c r="A2830" s="24">
        <v>38.0</v>
      </c>
      <c r="B2830" s="24">
        <v>0.0</v>
      </c>
      <c r="C2830" s="44">
        <v>6.02</v>
      </c>
      <c r="D2830" s="46">
        <v>45031.0</v>
      </c>
      <c r="E2830" s="24" t="s">
        <v>6650</v>
      </c>
      <c r="F2830" s="24">
        <v>158.42</v>
      </c>
      <c r="G2830" s="24">
        <v>0.0</v>
      </c>
      <c r="H2830" s="24" t="s">
        <v>6697</v>
      </c>
      <c r="I2830" s="24" t="s">
        <v>6650</v>
      </c>
      <c r="J2830" s="24">
        <v>0.0</v>
      </c>
    </row>
    <row r="2831">
      <c r="A2831" s="24">
        <v>64.0</v>
      </c>
      <c r="B2831" s="24">
        <v>0.0</v>
      </c>
      <c r="C2831" s="44">
        <v>5.3</v>
      </c>
      <c r="D2831" s="46">
        <v>45031.0</v>
      </c>
      <c r="E2831" s="24" t="s">
        <v>6650</v>
      </c>
      <c r="F2831" s="24">
        <v>82.81</v>
      </c>
      <c r="G2831" s="24">
        <v>0.0</v>
      </c>
      <c r="H2831" s="24" t="s">
        <v>6701</v>
      </c>
      <c r="I2831" s="24" t="s">
        <v>6650</v>
      </c>
      <c r="J2831" s="24">
        <v>0.0</v>
      </c>
    </row>
    <row r="2832">
      <c r="A2832" s="24">
        <v>324.0</v>
      </c>
      <c r="B2832" s="24">
        <v>1.0</v>
      </c>
      <c r="C2832" s="44">
        <v>5.69</v>
      </c>
      <c r="D2832" s="46">
        <v>45031.0</v>
      </c>
      <c r="E2832" s="24">
        <v>5.69</v>
      </c>
      <c r="F2832" s="24">
        <v>17.56</v>
      </c>
      <c r="G2832" s="24">
        <v>0.31</v>
      </c>
      <c r="H2832" s="24" t="s">
        <v>6700</v>
      </c>
      <c r="I2832" s="24" t="s">
        <v>6650</v>
      </c>
      <c r="J2832" s="24">
        <v>0.0</v>
      </c>
    </row>
    <row r="2833">
      <c r="A2833" s="24">
        <v>55.0</v>
      </c>
      <c r="B2833" s="24">
        <v>0.0</v>
      </c>
      <c r="C2833" s="44">
        <v>5.51</v>
      </c>
      <c r="D2833" s="46">
        <v>45031.0</v>
      </c>
      <c r="E2833" s="24" t="s">
        <v>6650</v>
      </c>
      <c r="F2833" s="24">
        <v>100.18</v>
      </c>
      <c r="G2833" s="24">
        <v>0.0</v>
      </c>
      <c r="H2833" s="24" t="s">
        <v>6699</v>
      </c>
      <c r="I2833" s="24" t="s">
        <v>6650</v>
      </c>
      <c r="J2833" s="24">
        <v>0.0</v>
      </c>
    </row>
    <row r="2834">
      <c r="A2834" s="24">
        <v>60.0</v>
      </c>
      <c r="B2834" s="24">
        <v>0.0</v>
      </c>
      <c r="C2834" s="44">
        <v>6.25</v>
      </c>
      <c r="D2834" s="46">
        <v>45031.0</v>
      </c>
      <c r="E2834" s="24" t="s">
        <v>6650</v>
      </c>
      <c r="F2834" s="24">
        <v>104.17</v>
      </c>
      <c r="G2834" s="24">
        <v>0.0</v>
      </c>
      <c r="H2834" s="24" t="s">
        <v>6696</v>
      </c>
      <c r="I2834" s="24" t="s">
        <v>6650</v>
      </c>
      <c r="J2834" s="24">
        <v>0.0</v>
      </c>
    </row>
    <row r="2835">
      <c r="A2835" s="24">
        <v>343.0</v>
      </c>
      <c r="B2835" s="24">
        <v>0.0</v>
      </c>
      <c r="C2835" s="44">
        <v>5.88</v>
      </c>
      <c r="D2835" s="46">
        <v>45031.0</v>
      </c>
      <c r="E2835" s="24" t="s">
        <v>6650</v>
      </c>
      <c r="F2835" s="24">
        <v>17.14</v>
      </c>
      <c r="G2835" s="24">
        <v>0.0</v>
      </c>
      <c r="H2835" s="24" t="s">
        <v>6698</v>
      </c>
      <c r="I2835" s="24" t="s">
        <v>6650</v>
      </c>
      <c r="J2835" s="24">
        <v>0.0</v>
      </c>
    </row>
    <row r="2836">
      <c r="A2836" s="24">
        <v>99.0</v>
      </c>
      <c r="B2836" s="24">
        <v>0.0</v>
      </c>
      <c r="C2836" s="44">
        <v>12.57</v>
      </c>
      <c r="D2836" s="46">
        <v>45031.0</v>
      </c>
      <c r="E2836" s="24" t="s">
        <v>6650</v>
      </c>
      <c r="F2836" s="24">
        <v>126.97</v>
      </c>
      <c r="G2836" s="24">
        <v>0.0</v>
      </c>
      <c r="H2836" s="24" t="s">
        <v>6688</v>
      </c>
      <c r="I2836" s="24" t="s">
        <v>6650</v>
      </c>
      <c r="J2836" s="24">
        <v>0.0</v>
      </c>
    </row>
    <row r="2837">
      <c r="A2837" s="24">
        <v>56.0</v>
      </c>
      <c r="B2837" s="24">
        <v>0.0</v>
      </c>
      <c r="C2837" s="44">
        <v>8.24</v>
      </c>
      <c r="D2837" s="46">
        <v>45031.0</v>
      </c>
      <c r="E2837" s="24" t="s">
        <v>6650</v>
      </c>
      <c r="F2837" s="24">
        <v>147.14</v>
      </c>
      <c r="G2837" s="24">
        <v>0.0</v>
      </c>
      <c r="H2837" s="24" t="s">
        <v>6695</v>
      </c>
      <c r="I2837" s="24" t="s">
        <v>6650</v>
      </c>
      <c r="J2837" s="24">
        <v>0.0</v>
      </c>
    </row>
    <row r="2838">
      <c r="A2838" s="24">
        <v>80.0</v>
      </c>
      <c r="B2838" s="24">
        <v>0.0</v>
      </c>
      <c r="C2838" s="44">
        <v>6.01</v>
      </c>
      <c r="D2838" s="46">
        <v>45031.0</v>
      </c>
      <c r="E2838" s="24" t="s">
        <v>6650</v>
      </c>
      <c r="F2838" s="24">
        <v>75.12</v>
      </c>
      <c r="G2838" s="24">
        <v>0.0</v>
      </c>
      <c r="H2838" s="24" t="s">
        <v>6680</v>
      </c>
      <c r="I2838" s="24" t="s">
        <v>6650</v>
      </c>
      <c r="J2838" s="24">
        <v>0.0</v>
      </c>
    </row>
    <row r="2839">
      <c r="A2839" s="24">
        <v>58.0</v>
      </c>
      <c r="B2839" s="24">
        <v>0.0</v>
      </c>
      <c r="C2839" s="44">
        <v>6.25</v>
      </c>
      <c r="D2839" s="46">
        <v>45032.0</v>
      </c>
      <c r="E2839" s="24" t="s">
        <v>6650</v>
      </c>
      <c r="F2839" s="24">
        <v>107.76</v>
      </c>
      <c r="G2839" s="24">
        <v>0.0</v>
      </c>
      <c r="H2839" s="24" t="s">
        <v>6695</v>
      </c>
      <c r="I2839" s="24" t="s">
        <v>6650</v>
      </c>
      <c r="J2839" s="24">
        <v>0.0</v>
      </c>
    </row>
    <row r="2840">
      <c r="A2840" s="24">
        <v>284.0</v>
      </c>
      <c r="B2840" s="24">
        <v>4.0</v>
      </c>
      <c r="C2840" s="44">
        <v>6.1</v>
      </c>
      <c r="D2840" s="46">
        <v>45032.0</v>
      </c>
      <c r="E2840" s="24">
        <v>1.52</v>
      </c>
      <c r="F2840" s="24">
        <v>21.48</v>
      </c>
      <c r="G2840" s="24">
        <v>1.41</v>
      </c>
      <c r="H2840" s="24" t="s">
        <v>6689</v>
      </c>
      <c r="I2840" s="24">
        <v>3.05</v>
      </c>
      <c r="J2840" s="24">
        <v>0.0</v>
      </c>
    </row>
    <row r="2841">
      <c r="A2841" s="24">
        <v>74.0</v>
      </c>
      <c r="B2841" s="24">
        <v>0.0</v>
      </c>
      <c r="C2841" s="44">
        <v>4.36</v>
      </c>
      <c r="D2841" s="46">
        <v>45032.0</v>
      </c>
      <c r="E2841" s="24" t="s">
        <v>6650</v>
      </c>
      <c r="F2841" s="24">
        <v>58.92</v>
      </c>
      <c r="G2841" s="24">
        <v>0.0</v>
      </c>
      <c r="H2841" s="24" t="s">
        <v>6701</v>
      </c>
      <c r="I2841" s="24" t="s">
        <v>6650</v>
      </c>
      <c r="J2841" s="24">
        <v>0.0</v>
      </c>
    </row>
    <row r="2842">
      <c r="A2842" s="24">
        <v>21.0</v>
      </c>
      <c r="B2842" s="24">
        <v>0.0</v>
      </c>
      <c r="C2842" s="44">
        <v>5.86</v>
      </c>
      <c r="D2842" s="46">
        <v>45032.0</v>
      </c>
      <c r="E2842" s="24" t="s">
        <v>6650</v>
      </c>
      <c r="F2842" s="24">
        <v>279.05</v>
      </c>
      <c r="G2842" s="24">
        <v>0.0</v>
      </c>
      <c r="H2842" s="24" t="s">
        <v>6697</v>
      </c>
      <c r="I2842" s="24" t="s">
        <v>6650</v>
      </c>
      <c r="J2842" s="24">
        <v>0.0</v>
      </c>
    </row>
    <row r="2843">
      <c r="A2843" s="24">
        <v>353.0</v>
      </c>
      <c r="B2843" s="24">
        <v>0.0</v>
      </c>
      <c r="C2843" s="44">
        <v>5.64</v>
      </c>
      <c r="D2843" s="46">
        <v>45032.0</v>
      </c>
      <c r="E2843" s="24" t="s">
        <v>6650</v>
      </c>
      <c r="F2843" s="24">
        <v>15.98</v>
      </c>
      <c r="G2843" s="24">
        <v>0.0</v>
      </c>
      <c r="H2843" s="24" t="s">
        <v>6698</v>
      </c>
      <c r="I2843" s="24" t="s">
        <v>6650</v>
      </c>
      <c r="J2843" s="24">
        <v>0.0</v>
      </c>
    </row>
    <row r="2844">
      <c r="A2844" s="24">
        <v>77.0</v>
      </c>
      <c r="B2844" s="24">
        <v>0.0</v>
      </c>
      <c r="C2844" s="44">
        <v>6.57</v>
      </c>
      <c r="D2844" s="46">
        <v>45032.0</v>
      </c>
      <c r="E2844" s="24" t="s">
        <v>6650</v>
      </c>
      <c r="F2844" s="24">
        <v>85.32</v>
      </c>
      <c r="G2844" s="24">
        <v>0.0</v>
      </c>
      <c r="H2844" s="24" t="s">
        <v>6696</v>
      </c>
      <c r="I2844" s="24" t="s">
        <v>6650</v>
      </c>
      <c r="J2844" s="24">
        <v>0.0</v>
      </c>
    </row>
    <row r="2845">
      <c r="A2845" s="24">
        <v>83.0</v>
      </c>
      <c r="B2845" s="24">
        <v>1.0</v>
      </c>
      <c r="C2845" s="44">
        <v>4.61</v>
      </c>
      <c r="D2845" s="46">
        <v>45032.0</v>
      </c>
      <c r="E2845" s="24">
        <v>4.61</v>
      </c>
      <c r="F2845" s="24">
        <v>55.54</v>
      </c>
      <c r="G2845" s="24">
        <v>1.2</v>
      </c>
      <c r="H2845" s="24" t="s">
        <v>6680</v>
      </c>
      <c r="I2845" s="24" t="s">
        <v>6650</v>
      </c>
      <c r="J2845" s="24">
        <v>0.0</v>
      </c>
    </row>
    <row r="2846">
      <c r="A2846" s="24">
        <v>95.0</v>
      </c>
      <c r="B2846" s="24">
        <v>1.0</v>
      </c>
      <c r="C2846" s="44">
        <v>15.0</v>
      </c>
      <c r="D2846" s="46">
        <v>45032.0</v>
      </c>
      <c r="E2846" s="24">
        <v>15.0</v>
      </c>
      <c r="F2846" s="24">
        <v>157.89</v>
      </c>
      <c r="G2846" s="24">
        <v>1.05</v>
      </c>
      <c r="H2846" s="24" t="s">
        <v>6688</v>
      </c>
      <c r="I2846" s="24" t="s">
        <v>6650</v>
      </c>
      <c r="J2846" s="24">
        <v>0.0</v>
      </c>
    </row>
    <row r="2847">
      <c r="A2847" s="24">
        <v>256.0</v>
      </c>
      <c r="B2847" s="24">
        <v>0.0</v>
      </c>
      <c r="C2847" s="44">
        <v>5.65</v>
      </c>
      <c r="D2847" s="46">
        <v>45032.0</v>
      </c>
      <c r="E2847" s="24" t="s">
        <v>6650</v>
      </c>
      <c r="F2847" s="24">
        <v>22.07</v>
      </c>
      <c r="G2847" s="24">
        <v>0.0</v>
      </c>
      <c r="H2847" s="24" t="s">
        <v>6700</v>
      </c>
      <c r="I2847" s="24" t="s">
        <v>6650</v>
      </c>
      <c r="J2847" s="24">
        <v>0.0</v>
      </c>
    </row>
    <row r="2848">
      <c r="A2848" s="24">
        <v>32.0</v>
      </c>
      <c r="B2848" s="24">
        <v>0.0</v>
      </c>
      <c r="C2848" s="44">
        <v>4.75</v>
      </c>
      <c r="D2848" s="46">
        <v>45032.0</v>
      </c>
      <c r="E2848" s="24" t="s">
        <v>6650</v>
      </c>
      <c r="F2848" s="24">
        <v>148.44</v>
      </c>
      <c r="G2848" s="24">
        <v>0.0</v>
      </c>
      <c r="H2848" s="24" t="s">
        <v>6699</v>
      </c>
      <c r="I2848" s="24" t="s">
        <v>6650</v>
      </c>
      <c r="J2848" s="24">
        <v>0.0</v>
      </c>
    </row>
    <row r="2849">
      <c r="A2849" s="24">
        <v>674.0</v>
      </c>
      <c r="B2849" s="24">
        <v>1.0</v>
      </c>
      <c r="C2849" s="44">
        <v>11.64</v>
      </c>
      <c r="D2849" s="46">
        <v>45033.0</v>
      </c>
      <c r="E2849" s="24">
        <v>11.64</v>
      </c>
      <c r="F2849" s="24">
        <v>17.27</v>
      </c>
      <c r="G2849" s="24">
        <v>0.15</v>
      </c>
      <c r="H2849" s="24" t="s">
        <v>6698</v>
      </c>
      <c r="I2849" s="24">
        <v>2.91</v>
      </c>
      <c r="J2849" s="24">
        <v>0.0</v>
      </c>
    </row>
    <row r="2850">
      <c r="A2850" s="24">
        <v>137.0</v>
      </c>
      <c r="B2850" s="24">
        <v>1.0</v>
      </c>
      <c r="C2850" s="44">
        <v>11.65</v>
      </c>
      <c r="D2850" s="46">
        <v>45033.0</v>
      </c>
      <c r="E2850" s="24">
        <v>11.65</v>
      </c>
      <c r="F2850" s="24">
        <v>85.04</v>
      </c>
      <c r="G2850" s="24">
        <v>0.73</v>
      </c>
      <c r="H2850" s="24" t="s">
        <v>6696</v>
      </c>
      <c r="I2850" s="24">
        <v>11.65</v>
      </c>
      <c r="J2850" s="24">
        <v>0.0</v>
      </c>
    </row>
    <row r="2851">
      <c r="A2851" s="24">
        <v>147.0</v>
      </c>
      <c r="B2851" s="24">
        <v>1.0</v>
      </c>
      <c r="C2851" s="44">
        <v>11.91</v>
      </c>
      <c r="D2851" s="46">
        <v>45033.0</v>
      </c>
      <c r="E2851" s="24">
        <v>11.91</v>
      </c>
      <c r="F2851" s="24">
        <v>81.02</v>
      </c>
      <c r="G2851" s="24">
        <v>0.68</v>
      </c>
      <c r="H2851" s="24" t="s">
        <v>6695</v>
      </c>
      <c r="I2851" s="24" t="s">
        <v>6650</v>
      </c>
      <c r="J2851" s="24">
        <v>0.0</v>
      </c>
    </row>
    <row r="2852">
      <c r="A2852" s="24">
        <v>142.0</v>
      </c>
      <c r="B2852" s="24">
        <v>1.0</v>
      </c>
      <c r="C2852" s="44">
        <v>11.94</v>
      </c>
      <c r="D2852" s="46">
        <v>45033.0</v>
      </c>
      <c r="E2852" s="24">
        <v>11.94</v>
      </c>
      <c r="F2852" s="24">
        <v>84.08</v>
      </c>
      <c r="G2852" s="24">
        <v>0.7</v>
      </c>
      <c r="H2852" s="24" t="s">
        <v>6701</v>
      </c>
      <c r="I2852" s="24">
        <v>11.94</v>
      </c>
      <c r="J2852" s="24">
        <v>0.0</v>
      </c>
    </row>
    <row r="2853">
      <c r="A2853" s="24">
        <v>0.0</v>
      </c>
      <c r="B2853" s="24">
        <v>0.0</v>
      </c>
      <c r="C2853" s="44"/>
      <c r="D2853" s="46">
        <v>45033.0</v>
      </c>
      <c r="E2853" s="24" t="s">
        <v>6650</v>
      </c>
      <c r="F2853" s="24" t="s">
        <v>6650</v>
      </c>
      <c r="G2853" s="24" t="s">
        <v>6650</v>
      </c>
      <c r="H2853" s="24" t="s">
        <v>6675</v>
      </c>
      <c r="I2853" s="24" t="s">
        <v>6650</v>
      </c>
      <c r="J2853" s="24"/>
    </row>
    <row r="2854">
      <c r="A2854" s="24">
        <v>396.0</v>
      </c>
      <c r="B2854" s="24">
        <v>6.0</v>
      </c>
      <c r="C2854" s="44">
        <v>12.83</v>
      </c>
      <c r="D2854" s="46">
        <v>45033.0</v>
      </c>
      <c r="E2854" s="24">
        <v>2.14</v>
      </c>
      <c r="F2854" s="24">
        <v>32.4</v>
      </c>
      <c r="G2854" s="24">
        <v>1.52</v>
      </c>
      <c r="H2854" s="24" t="s">
        <v>6689</v>
      </c>
      <c r="I2854" s="24">
        <v>12.83</v>
      </c>
      <c r="J2854" s="24">
        <v>0.0</v>
      </c>
    </row>
    <row r="2855">
      <c r="A2855" s="24">
        <v>628.0</v>
      </c>
      <c r="B2855" s="24">
        <v>3.0</v>
      </c>
      <c r="C2855" s="44">
        <v>11.61</v>
      </c>
      <c r="D2855" s="46">
        <v>45033.0</v>
      </c>
      <c r="E2855" s="24">
        <v>3.87</v>
      </c>
      <c r="F2855" s="24">
        <v>18.49</v>
      </c>
      <c r="G2855" s="24">
        <v>0.48</v>
      </c>
      <c r="H2855" s="24" t="s">
        <v>6700</v>
      </c>
      <c r="I2855" s="24">
        <v>3.87</v>
      </c>
      <c r="J2855" s="24">
        <v>0.0</v>
      </c>
    </row>
    <row r="2856">
      <c r="A2856" s="24">
        <v>79.0</v>
      </c>
      <c r="B2856" s="24">
        <v>0.0</v>
      </c>
      <c r="C2856" s="44">
        <v>11.13</v>
      </c>
      <c r="D2856" s="46">
        <v>45033.0</v>
      </c>
      <c r="E2856" s="24" t="s">
        <v>6650</v>
      </c>
      <c r="F2856" s="24">
        <v>140.89</v>
      </c>
      <c r="G2856" s="24">
        <v>0.0</v>
      </c>
      <c r="H2856" s="24" t="s">
        <v>6697</v>
      </c>
      <c r="I2856" s="24">
        <v>11.13</v>
      </c>
      <c r="J2856" s="24">
        <v>0.0</v>
      </c>
    </row>
    <row r="2857">
      <c r="A2857" s="24">
        <v>308.0</v>
      </c>
      <c r="B2857" s="24">
        <v>2.0</v>
      </c>
      <c r="C2857" s="44">
        <v>11.7</v>
      </c>
      <c r="D2857" s="46">
        <v>45033.0</v>
      </c>
      <c r="E2857" s="24">
        <v>5.85</v>
      </c>
      <c r="F2857" s="24">
        <v>37.99</v>
      </c>
      <c r="G2857" s="24">
        <v>0.65</v>
      </c>
      <c r="H2857" s="24" t="s">
        <v>6699</v>
      </c>
      <c r="I2857" s="24">
        <v>5.85</v>
      </c>
      <c r="J2857" s="24">
        <v>0.0</v>
      </c>
    </row>
    <row r="2858">
      <c r="A2858" s="24">
        <v>63.0</v>
      </c>
      <c r="B2858" s="24">
        <v>0.0</v>
      </c>
      <c r="C2858" s="44">
        <v>12.39</v>
      </c>
      <c r="D2858" s="46">
        <v>45033.0</v>
      </c>
      <c r="E2858" s="24" t="s">
        <v>6650</v>
      </c>
      <c r="F2858" s="24">
        <v>196.67</v>
      </c>
      <c r="G2858" s="24">
        <v>0.0</v>
      </c>
      <c r="H2858" s="24" t="s">
        <v>6688</v>
      </c>
      <c r="I2858" s="24">
        <v>12.39</v>
      </c>
      <c r="J2858" s="24">
        <v>0.0</v>
      </c>
    </row>
    <row r="2859">
      <c r="A2859" s="24">
        <v>296.0</v>
      </c>
      <c r="B2859" s="24">
        <v>1.0</v>
      </c>
      <c r="C2859" s="44">
        <v>14.18</v>
      </c>
      <c r="D2859" s="46">
        <v>45033.0</v>
      </c>
      <c r="E2859" s="24">
        <v>14.18</v>
      </c>
      <c r="F2859" s="24">
        <v>47.91</v>
      </c>
      <c r="G2859" s="24">
        <v>0.34</v>
      </c>
      <c r="H2859" s="24" t="s">
        <v>6680</v>
      </c>
      <c r="I2859" s="24" t="s">
        <v>6650</v>
      </c>
      <c r="J2859" s="24">
        <v>0.0</v>
      </c>
    </row>
    <row r="2860">
      <c r="A2860" s="24">
        <v>0.0</v>
      </c>
      <c r="B2860" s="24">
        <v>0.0</v>
      </c>
      <c r="C2860" s="44"/>
      <c r="D2860" s="46">
        <v>45033.0</v>
      </c>
      <c r="E2860" s="24" t="s">
        <v>6650</v>
      </c>
      <c r="F2860" s="24" t="s">
        <v>6650</v>
      </c>
      <c r="G2860" s="24" t="s">
        <v>6650</v>
      </c>
      <c r="H2860" s="24" t="s">
        <v>6692</v>
      </c>
      <c r="I2860" s="24" t="s">
        <v>6650</v>
      </c>
      <c r="J2860" s="24"/>
    </row>
    <row r="2861">
      <c r="A2861" s="24">
        <v>565.0</v>
      </c>
      <c r="B2861" s="24">
        <v>1.0</v>
      </c>
      <c r="C2861" s="44">
        <v>12.32</v>
      </c>
      <c r="D2861" s="46">
        <v>45034.0</v>
      </c>
      <c r="E2861" s="24">
        <v>12.32</v>
      </c>
      <c r="F2861" s="24">
        <v>21.81</v>
      </c>
      <c r="G2861" s="24">
        <v>0.18</v>
      </c>
      <c r="H2861" s="24" t="s">
        <v>6698</v>
      </c>
      <c r="I2861" s="24">
        <v>12.32</v>
      </c>
      <c r="J2861" s="24">
        <v>0.0</v>
      </c>
    </row>
    <row r="2862">
      <c r="A2862" s="24">
        <v>160.0</v>
      </c>
      <c r="B2862" s="24">
        <v>0.0</v>
      </c>
      <c r="C2862" s="44">
        <v>12.69</v>
      </c>
      <c r="D2862" s="46">
        <v>45034.0</v>
      </c>
      <c r="E2862" s="24" t="s">
        <v>6650</v>
      </c>
      <c r="F2862" s="24">
        <v>79.31</v>
      </c>
      <c r="G2862" s="24">
        <v>0.0</v>
      </c>
      <c r="H2862" s="24" t="s">
        <v>6701</v>
      </c>
      <c r="I2862" s="24" t="s">
        <v>6650</v>
      </c>
      <c r="J2862" s="24">
        <v>0.0</v>
      </c>
    </row>
    <row r="2863">
      <c r="A2863" s="24">
        <v>92.0</v>
      </c>
      <c r="B2863" s="24">
        <v>0.0</v>
      </c>
      <c r="C2863" s="44">
        <v>14.02</v>
      </c>
      <c r="D2863" s="46">
        <v>45034.0</v>
      </c>
      <c r="E2863" s="24" t="s">
        <v>6650</v>
      </c>
      <c r="F2863" s="24">
        <v>152.39</v>
      </c>
      <c r="G2863" s="24">
        <v>0.0</v>
      </c>
      <c r="H2863" s="24" t="s">
        <v>6699</v>
      </c>
      <c r="I2863" s="24">
        <v>14.02</v>
      </c>
      <c r="J2863" s="24">
        <v>0.0</v>
      </c>
    </row>
    <row r="2864">
      <c r="A2864" s="24">
        <v>79.0</v>
      </c>
      <c r="B2864" s="24">
        <v>0.0</v>
      </c>
      <c r="C2864" s="44">
        <v>11.37</v>
      </c>
      <c r="D2864" s="46">
        <v>45034.0</v>
      </c>
      <c r="E2864" s="24" t="s">
        <v>6650</v>
      </c>
      <c r="F2864" s="24">
        <v>143.92</v>
      </c>
      <c r="G2864" s="24">
        <v>0.0</v>
      </c>
      <c r="H2864" s="24" t="s">
        <v>6697</v>
      </c>
      <c r="I2864" s="24" t="s">
        <v>6650</v>
      </c>
      <c r="J2864" s="24">
        <v>0.0</v>
      </c>
    </row>
    <row r="2865">
      <c r="A2865" s="24">
        <v>611.0</v>
      </c>
      <c r="B2865" s="24">
        <v>7.0</v>
      </c>
      <c r="C2865" s="44">
        <v>12.55</v>
      </c>
      <c r="D2865" s="46">
        <v>45034.0</v>
      </c>
      <c r="E2865" s="24">
        <v>1.79</v>
      </c>
      <c r="F2865" s="24">
        <v>20.54</v>
      </c>
      <c r="G2865" s="24">
        <v>1.15</v>
      </c>
      <c r="H2865" s="24" t="s">
        <v>6700</v>
      </c>
      <c r="I2865" s="24">
        <v>12.55</v>
      </c>
      <c r="J2865" s="24">
        <v>0.0</v>
      </c>
    </row>
    <row r="2866">
      <c r="A2866" s="24">
        <v>624.0</v>
      </c>
      <c r="B2866" s="24">
        <v>2.0</v>
      </c>
      <c r="C2866" s="44">
        <v>11.63</v>
      </c>
      <c r="D2866" s="46">
        <v>45034.0</v>
      </c>
      <c r="E2866" s="24">
        <v>5.82</v>
      </c>
      <c r="F2866" s="24">
        <v>18.64</v>
      </c>
      <c r="G2866" s="24">
        <v>0.32</v>
      </c>
      <c r="H2866" s="24" t="s">
        <v>6692</v>
      </c>
      <c r="I2866" s="24" t="s">
        <v>6650</v>
      </c>
      <c r="J2866" s="24">
        <v>0.0</v>
      </c>
    </row>
    <row r="2867">
      <c r="A2867" s="24">
        <v>152.0</v>
      </c>
      <c r="B2867" s="24">
        <v>1.0</v>
      </c>
      <c r="C2867" s="44">
        <v>11.7</v>
      </c>
      <c r="D2867" s="46">
        <v>45034.0</v>
      </c>
      <c r="E2867" s="24">
        <v>11.7</v>
      </c>
      <c r="F2867" s="24">
        <v>76.97</v>
      </c>
      <c r="G2867" s="24">
        <v>0.66</v>
      </c>
      <c r="H2867" s="24" t="s">
        <v>6696</v>
      </c>
      <c r="I2867" s="24" t="s">
        <v>6650</v>
      </c>
      <c r="J2867" s="24">
        <v>0.0</v>
      </c>
    </row>
    <row r="2868">
      <c r="A2868" s="24">
        <v>1538.0</v>
      </c>
      <c r="B2868" s="24">
        <v>12.0</v>
      </c>
      <c r="C2868" s="44">
        <v>11.61</v>
      </c>
      <c r="D2868" s="46">
        <v>45034.0</v>
      </c>
      <c r="E2868" s="24">
        <v>0.97</v>
      </c>
      <c r="F2868" s="24">
        <v>7.55</v>
      </c>
      <c r="G2868" s="24">
        <v>0.78</v>
      </c>
      <c r="H2868" s="24" t="s">
        <v>6688</v>
      </c>
      <c r="I2868" s="24">
        <v>3.87</v>
      </c>
      <c r="J2868" s="24">
        <v>0.0</v>
      </c>
    </row>
    <row r="2869">
      <c r="A2869" s="24">
        <v>1467.0</v>
      </c>
      <c r="B2869" s="24">
        <v>5.0</v>
      </c>
      <c r="C2869" s="44">
        <v>11.63</v>
      </c>
      <c r="D2869" s="46">
        <v>45034.0</v>
      </c>
      <c r="E2869" s="24">
        <v>2.33</v>
      </c>
      <c r="F2869" s="24">
        <v>7.93</v>
      </c>
      <c r="G2869" s="24">
        <v>0.34</v>
      </c>
      <c r="H2869" s="24" t="s">
        <v>6689</v>
      </c>
      <c r="I2869" s="24">
        <v>2.91</v>
      </c>
      <c r="J2869" s="24">
        <v>0.0</v>
      </c>
    </row>
    <row r="2870">
      <c r="A2870" s="24">
        <v>132.0</v>
      </c>
      <c r="B2870" s="24">
        <v>2.0</v>
      </c>
      <c r="C2870" s="44">
        <v>12.24</v>
      </c>
      <c r="D2870" s="46">
        <v>45034.0</v>
      </c>
      <c r="E2870" s="24">
        <v>6.12</v>
      </c>
      <c r="F2870" s="24">
        <v>92.73</v>
      </c>
      <c r="G2870" s="24">
        <v>1.52</v>
      </c>
      <c r="H2870" s="24" t="s">
        <v>6695</v>
      </c>
      <c r="I2870" s="24">
        <v>12.24</v>
      </c>
      <c r="J2870" s="24">
        <v>0.0</v>
      </c>
    </row>
    <row r="2871">
      <c r="A2871" s="24">
        <v>310.0</v>
      </c>
      <c r="B2871" s="24">
        <v>0.0</v>
      </c>
      <c r="C2871" s="44">
        <v>16.1</v>
      </c>
      <c r="D2871" s="46">
        <v>45034.0</v>
      </c>
      <c r="E2871" s="24" t="s">
        <v>6650</v>
      </c>
      <c r="F2871" s="24">
        <v>51.94</v>
      </c>
      <c r="G2871" s="24">
        <v>0.0</v>
      </c>
      <c r="H2871" s="24" t="s">
        <v>6680</v>
      </c>
      <c r="I2871" s="24">
        <v>16.1</v>
      </c>
      <c r="J2871" s="24">
        <v>0.0</v>
      </c>
    </row>
    <row r="2872">
      <c r="A2872" s="24">
        <v>119.0</v>
      </c>
      <c r="B2872" s="24">
        <v>0.0</v>
      </c>
      <c r="C2872" s="44">
        <v>12.4</v>
      </c>
      <c r="D2872" s="46">
        <v>45035.0</v>
      </c>
      <c r="E2872" s="24" t="s">
        <v>6650</v>
      </c>
      <c r="F2872" s="24">
        <v>104.2</v>
      </c>
      <c r="G2872" s="24">
        <v>0.0</v>
      </c>
      <c r="H2872" s="24" t="s">
        <v>6695</v>
      </c>
      <c r="I2872" s="24" t="s">
        <v>6650</v>
      </c>
      <c r="J2872" s="24">
        <v>0.0</v>
      </c>
    </row>
    <row r="2873">
      <c r="A2873" s="24">
        <v>544.0</v>
      </c>
      <c r="B2873" s="24">
        <v>1.0</v>
      </c>
      <c r="C2873" s="44">
        <v>12.16</v>
      </c>
      <c r="D2873" s="46">
        <v>45035.0</v>
      </c>
      <c r="E2873" s="24">
        <v>12.16</v>
      </c>
      <c r="F2873" s="24">
        <v>22.35</v>
      </c>
      <c r="G2873" s="24">
        <v>0.18</v>
      </c>
      <c r="H2873" s="24" t="s">
        <v>6700</v>
      </c>
      <c r="I2873" s="24">
        <v>2.03</v>
      </c>
      <c r="J2873" s="24">
        <v>0.0</v>
      </c>
    </row>
    <row r="2874">
      <c r="A2874" s="24">
        <v>129.0</v>
      </c>
      <c r="B2874" s="24">
        <v>0.0</v>
      </c>
      <c r="C2874" s="44">
        <v>12.61</v>
      </c>
      <c r="D2874" s="46">
        <v>45035.0</v>
      </c>
      <c r="E2874" s="24" t="s">
        <v>6650</v>
      </c>
      <c r="F2874" s="24">
        <v>97.75</v>
      </c>
      <c r="G2874" s="24">
        <v>0.0</v>
      </c>
      <c r="H2874" s="24" t="s">
        <v>6701</v>
      </c>
      <c r="I2874" s="24">
        <v>6.3</v>
      </c>
      <c r="J2874" s="24">
        <v>0.0</v>
      </c>
    </row>
    <row r="2875">
      <c r="A2875" s="24">
        <v>100.0</v>
      </c>
      <c r="B2875" s="24">
        <v>2.0</v>
      </c>
      <c r="C2875" s="44">
        <v>12.19</v>
      </c>
      <c r="D2875" s="46">
        <v>45035.0</v>
      </c>
      <c r="E2875" s="24">
        <v>6.1</v>
      </c>
      <c r="F2875" s="24">
        <v>121.9</v>
      </c>
      <c r="G2875" s="24">
        <v>2.0</v>
      </c>
      <c r="H2875" s="24" t="s">
        <v>6696</v>
      </c>
      <c r="I2875" s="24">
        <v>12.19</v>
      </c>
      <c r="J2875" s="24">
        <v>1.0</v>
      </c>
    </row>
    <row r="2876">
      <c r="A2876" s="24">
        <v>567.0</v>
      </c>
      <c r="B2876" s="24">
        <v>10.0</v>
      </c>
      <c r="C2876" s="44">
        <v>12.16</v>
      </c>
      <c r="D2876" s="46">
        <v>45035.0</v>
      </c>
      <c r="E2876" s="24">
        <v>1.22</v>
      </c>
      <c r="F2876" s="24">
        <v>21.45</v>
      </c>
      <c r="G2876" s="24">
        <v>1.76</v>
      </c>
      <c r="H2876" s="24" t="s">
        <v>6698</v>
      </c>
      <c r="I2876" s="24">
        <v>2.03</v>
      </c>
      <c r="J2876" s="24">
        <v>0.0</v>
      </c>
    </row>
    <row r="2877">
      <c r="A2877" s="24">
        <v>87.0</v>
      </c>
      <c r="B2877" s="24">
        <v>0.0</v>
      </c>
      <c r="C2877" s="44">
        <v>12.25</v>
      </c>
      <c r="D2877" s="46">
        <v>45035.0</v>
      </c>
      <c r="E2877" s="24" t="s">
        <v>6650</v>
      </c>
      <c r="F2877" s="24">
        <v>140.8</v>
      </c>
      <c r="G2877" s="24">
        <v>0.0</v>
      </c>
      <c r="H2877" s="24" t="s">
        <v>6699</v>
      </c>
      <c r="I2877" s="24" t="s">
        <v>6650</v>
      </c>
      <c r="J2877" s="24">
        <v>0.0</v>
      </c>
    </row>
    <row r="2878">
      <c r="A2878" s="24">
        <v>694.0</v>
      </c>
      <c r="B2878" s="24">
        <v>1.0</v>
      </c>
      <c r="C2878" s="44">
        <v>11.87</v>
      </c>
      <c r="D2878" s="46">
        <v>45035.0</v>
      </c>
      <c r="E2878" s="24">
        <v>11.87</v>
      </c>
      <c r="F2878" s="24">
        <v>17.1</v>
      </c>
      <c r="G2878" s="24">
        <v>0.14</v>
      </c>
      <c r="H2878" s="24" t="s">
        <v>6692</v>
      </c>
      <c r="I2878" s="24" t="s">
        <v>6650</v>
      </c>
      <c r="J2878" s="24">
        <v>0.0</v>
      </c>
    </row>
    <row r="2879">
      <c r="A2879" s="24">
        <v>980.0</v>
      </c>
      <c r="B2879" s="24">
        <v>10.0</v>
      </c>
      <c r="C2879" s="44">
        <v>12.13</v>
      </c>
      <c r="D2879" s="46">
        <v>45035.0</v>
      </c>
      <c r="E2879" s="24">
        <v>1.21</v>
      </c>
      <c r="F2879" s="24">
        <v>12.38</v>
      </c>
      <c r="G2879" s="24">
        <v>1.02</v>
      </c>
      <c r="H2879" s="24" t="s">
        <v>6689</v>
      </c>
      <c r="I2879" s="24">
        <v>6.06</v>
      </c>
      <c r="J2879" s="24">
        <v>0.0</v>
      </c>
    </row>
    <row r="2880">
      <c r="A2880" s="24">
        <v>336.0</v>
      </c>
      <c r="B2880" s="24">
        <v>1.0</v>
      </c>
      <c r="C2880" s="44">
        <v>11.82</v>
      </c>
      <c r="D2880" s="46">
        <v>45035.0</v>
      </c>
      <c r="E2880" s="24">
        <v>11.82</v>
      </c>
      <c r="F2880" s="24">
        <v>35.18</v>
      </c>
      <c r="G2880" s="24">
        <v>0.3</v>
      </c>
      <c r="H2880" s="24" t="s">
        <v>6680</v>
      </c>
      <c r="I2880" s="24">
        <v>11.82</v>
      </c>
      <c r="J2880" s="24">
        <v>0.0</v>
      </c>
    </row>
    <row r="2881">
      <c r="A2881" s="24">
        <v>53.0</v>
      </c>
      <c r="B2881" s="24">
        <v>0.0</v>
      </c>
      <c r="C2881" s="44">
        <v>11.99</v>
      </c>
      <c r="D2881" s="46">
        <v>45035.0</v>
      </c>
      <c r="E2881" s="24" t="s">
        <v>6650</v>
      </c>
      <c r="F2881" s="24">
        <v>226.23</v>
      </c>
      <c r="G2881" s="24">
        <v>0.0</v>
      </c>
      <c r="H2881" s="24" t="s">
        <v>6697</v>
      </c>
      <c r="I2881" s="24" t="s">
        <v>6650</v>
      </c>
      <c r="J2881" s="24">
        <v>0.0</v>
      </c>
    </row>
    <row r="2882">
      <c r="A2882" s="24">
        <v>1721.0</v>
      </c>
      <c r="B2882" s="24">
        <v>14.0</v>
      </c>
      <c r="C2882" s="44">
        <v>11.78</v>
      </c>
      <c r="D2882" s="46">
        <v>45035.0</v>
      </c>
      <c r="E2882" s="24">
        <v>0.84</v>
      </c>
      <c r="F2882" s="24">
        <v>6.84</v>
      </c>
      <c r="G2882" s="24">
        <v>0.81</v>
      </c>
      <c r="H2882" s="24" t="s">
        <v>6688</v>
      </c>
      <c r="I2882" s="24">
        <v>1.96</v>
      </c>
      <c r="J2882" s="24">
        <v>0.0</v>
      </c>
    </row>
    <row r="2883">
      <c r="A2883" s="24">
        <v>452.0</v>
      </c>
      <c r="B2883" s="24">
        <v>5.0</v>
      </c>
      <c r="C2883" s="44">
        <v>12.02</v>
      </c>
      <c r="D2883" s="46">
        <v>45036.0</v>
      </c>
      <c r="E2883" s="24">
        <v>2.4</v>
      </c>
      <c r="F2883" s="24">
        <v>26.59</v>
      </c>
      <c r="G2883" s="24">
        <v>1.11</v>
      </c>
      <c r="H2883" s="24" t="s">
        <v>6692</v>
      </c>
      <c r="I2883" s="24" t="s">
        <v>6650</v>
      </c>
      <c r="J2883" s="24">
        <v>0.0</v>
      </c>
    </row>
    <row r="2884">
      <c r="A2884" s="24">
        <v>642.0</v>
      </c>
      <c r="B2884" s="24">
        <v>4.0</v>
      </c>
      <c r="C2884" s="44">
        <v>11.62</v>
      </c>
      <c r="D2884" s="46">
        <v>45036.0</v>
      </c>
      <c r="E2884" s="24">
        <v>2.9</v>
      </c>
      <c r="F2884" s="24">
        <v>18.1</v>
      </c>
      <c r="G2884" s="24">
        <v>0.62</v>
      </c>
      <c r="H2884" s="24" t="s">
        <v>6698</v>
      </c>
      <c r="I2884" s="24">
        <v>3.87</v>
      </c>
      <c r="J2884" s="24">
        <v>0.0</v>
      </c>
    </row>
    <row r="2885">
      <c r="A2885" s="24">
        <v>110.0</v>
      </c>
      <c r="B2885" s="24">
        <v>1.0</v>
      </c>
      <c r="C2885" s="44">
        <v>11.08</v>
      </c>
      <c r="D2885" s="46">
        <v>45036.0</v>
      </c>
      <c r="E2885" s="24">
        <v>11.08</v>
      </c>
      <c r="F2885" s="24">
        <v>100.73</v>
      </c>
      <c r="G2885" s="24">
        <v>0.91</v>
      </c>
      <c r="H2885" s="24" t="s">
        <v>6699</v>
      </c>
      <c r="I2885" s="24">
        <v>11.08</v>
      </c>
      <c r="J2885" s="24">
        <v>0.0</v>
      </c>
    </row>
    <row r="2886">
      <c r="A2886" s="24">
        <v>55.0</v>
      </c>
      <c r="B2886" s="24">
        <v>0.0</v>
      </c>
      <c r="C2886" s="44">
        <v>12.03</v>
      </c>
      <c r="D2886" s="46">
        <v>45036.0</v>
      </c>
      <c r="E2886" s="24" t="s">
        <v>6650</v>
      </c>
      <c r="F2886" s="24">
        <v>218.73</v>
      </c>
      <c r="G2886" s="24">
        <v>0.0</v>
      </c>
      <c r="H2886" s="24" t="s">
        <v>6697</v>
      </c>
      <c r="I2886" s="24">
        <v>12.03</v>
      </c>
      <c r="J2886" s="24">
        <v>0.0</v>
      </c>
    </row>
    <row r="2887">
      <c r="A2887" s="24">
        <v>176.0</v>
      </c>
      <c r="B2887" s="24">
        <v>1.0</v>
      </c>
      <c r="C2887" s="44">
        <v>13.0</v>
      </c>
      <c r="D2887" s="46">
        <v>45036.0</v>
      </c>
      <c r="E2887" s="24">
        <v>13.0</v>
      </c>
      <c r="F2887" s="24">
        <v>73.86</v>
      </c>
      <c r="G2887" s="24">
        <v>0.57</v>
      </c>
      <c r="H2887" s="24" t="s">
        <v>6695</v>
      </c>
      <c r="I2887" s="24" t="s">
        <v>6650</v>
      </c>
      <c r="J2887" s="24">
        <v>0.0</v>
      </c>
    </row>
    <row r="2888">
      <c r="A2888" s="24">
        <v>290.0</v>
      </c>
      <c r="B2888" s="24">
        <v>1.0</v>
      </c>
      <c r="C2888" s="44">
        <v>11.57</v>
      </c>
      <c r="D2888" s="46">
        <v>45036.0</v>
      </c>
      <c r="E2888" s="24">
        <v>11.57</v>
      </c>
      <c r="F2888" s="24">
        <v>39.9</v>
      </c>
      <c r="G2888" s="24">
        <v>0.34</v>
      </c>
      <c r="H2888" s="24" t="s">
        <v>6680</v>
      </c>
      <c r="I2888" s="24">
        <v>11.57</v>
      </c>
      <c r="J2888" s="24">
        <v>0.0</v>
      </c>
    </row>
    <row r="2889">
      <c r="A2889" s="24">
        <v>102.0</v>
      </c>
      <c r="B2889" s="24">
        <v>0.0</v>
      </c>
      <c r="C2889" s="44">
        <v>11.41</v>
      </c>
      <c r="D2889" s="46">
        <v>45036.0</v>
      </c>
      <c r="E2889" s="24" t="s">
        <v>6650</v>
      </c>
      <c r="F2889" s="24">
        <v>111.86</v>
      </c>
      <c r="G2889" s="24">
        <v>0.0</v>
      </c>
      <c r="H2889" s="24" t="s">
        <v>6701</v>
      </c>
      <c r="I2889" s="24" t="s">
        <v>6650</v>
      </c>
      <c r="J2889" s="24">
        <v>0.0</v>
      </c>
    </row>
    <row r="2890">
      <c r="A2890" s="24">
        <v>177.0</v>
      </c>
      <c r="B2890" s="24">
        <v>0.0</v>
      </c>
      <c r="C2890" s="44">
        <v>12.42</v>
      </c>
      <c r="D2890" s="46">
        <v>45036.0</v>
      </c>
      <c r="E2890" s="24" t="s">
        <v>6650</v>
      </c>
      <c r="F2890" s="24">
        <v>70.17</v>
      </c>
      <c r="G2890" s="24">
        <v>0.0</v>
      </c>
      <c r="H2890" s="24" t="s">
        <v>6696</v>
      </c>
      <c r="I2890" s="24">
        <v>12.42</v>
      </c>
      <c r="J2890" s="24">
        <v>0.0</v>
      </c>
    </row>
    <row r="2891">
      <c r="A2891" s="24">
        <v>450.0</v>
      </c>
      <c r="B2891" s="24">
        <v>5.0</v>
      </c>
      <c r="C2891" s="44">
        <v>11.51</v>
      </c>
      <c r="D2891" s="46">
        <v>45036.0</v>
      </c>
      <c r="E2891" s="24">
        <v>2.3</v>
      </c>
      <c r="F2891" s="24">
        <v>25.58</v>
      </c>
      <c r="G2891" s="24">
        <v>1.11</v>
      </c>
      <c r="H2891" s="24" t="s">
        <v>6700</v>
      </c>
      <c r="I2891" s="24">
        <v>2.88</v>
      </c>
      <c r="J2891" s="24">
        <v>0.0</v>
      </c>
    </row>
    <row r="2892">
      <c r="A2892" s="24">
        <v>0.0</v>
      </c>
      <c r="B2892" s="24">
        <v>0.0</v>
      </c>
      <c r="C2892" s="44"/>
      <c r="D2892" s="46">
        <v>45036.0</v>
      </c>
      <c r="E2892" s="24" t="s">
        <v>6650</v>
      </c>
      <c r="F2892" s="24" t="s">
        <v>6650</v>
      </c>
      <c r="G2892" s="24" t="s">
        <v>6650</v>
      </c>
      <c r="H2892" s="24" t="s">
        <v>6677</v>
      </c>
      <c r="I2892" s="24" t="s">
        <v>6650</v>
      </c>
      <c r="J2892" s="24"/>
    </row>
    <row r="2893">
      <c r="A2893" s="24">
        <v>1227.0</v>
      </c>
      <c r="B2893" s="24">
        <v>10.0</v>
      </c>
      <c r="C2893" s="44">
        <v>11.9</v>
      </c>
      <c r="D2893" s="46">
        <v>45036.0</v>
      </c>
      <c r="E2893" s="24">
        <v>1.19</v>
      </c>
      <c r="F2893" s="24">
        <v>9.7</v>
      </c>
      <c r="G2893" s="24">
        <v>0.81</v>
      </c>
      <c r="H2893" s="24" t="s">
        <v>6689</v>
      </c>
      <c r="I2893" s="24">
        <v>2.98</v>
      </c>
      <c r="J2893" s="24">
        <v>0.0</v>
      </c>
    </row>
    <row r="2894">
      <c r="A2894" s="24">
        <v>1712.0</v>
      </c>
      <c r="B2894" s="24">
        <v>12.0</v>
      </c>
      <c r="C2894" s="44">
        <v>11.75</v>
      </c>
      <c r="D2894" s="46">
        <v>45036.0</v>
      </c>
      <c r="E2894" s="24">
        <v>0.98</v>
      </c>
      <c r="F2894" s="24">
        <v>6.86</v>
      </c>
      <c r="G2894" s="24">
        <v>0.7</v>
      </c>
      <c r="H2894" s="24" t="s">
        <v>6688</v>
      </c>
      <c r="I2894" s="24">
        <v>2.35</v>
      </c>
      <c r="J2894" s="24">
        <v>0.0</v>
      </c>
    </row>
    <row r="2895">
      <c r="A2895" s="24">
        <v>1035.0</v>
      </c>
      <c r="B2895" s="24">
        <v>13.0</v>
      </c>
      <c r="C2895" s="44">
        <v>10.58</v>
      </c>
      <c r="D2895" s="46">
        <v>45037.0</v>
      </c>
      <c r="E2895" s="24">
        <v>0.81</v>
      </c>
      <c r="F2895" s="24">
        <v>10.22</v>
      </c>
      <c r="G2895" s="24">
        <v>1.26</v>
      </c>
      <c r="H2895" s="24" t="s">
        <v>6689</v>
      </c>
      <c r="I2895" s="24">
        <v>5.29</v>
      </c>
      <c r="J2895" s="24">
        <v>0.0</v>
      </c>
    </row>
    <row r="2896">
      <c r="A2896" s="24">
        <v>494.0</v>
      </c>
      <c r="B2896" s="24">
        <v>4.0</v>
      </c>
      <c r="C2896" s="44">
        <v>9.89</v>
      </c>
      <c r="D2896" s="46">
        <v>45037.0</v>
      </c>
      <c r="E2896" s="24">
        <v>2.47</v>
      </c>
      <c r="F2896" s="24">
        <v>20.02</v>
      </c>
      <c r="G2896" s="24">
        <v>0.81</v>
      </c>
      <c r="H2896" s="24" t="s">
        <v>6698</v>
      </c>
      <c r="I2896" s="24">
        <v>9.89</v>
      </c>
      <c r="J2896" s="24">
        <v>0.0</v>
      </c>
    </row>
    <row r="2897">
      <c r="A2897" s="24">
        <v>336.0</v>
      </c>
      <c r="B2897" s="24">
        <v>3.0</v>
      </c>
      <c r="C2897" s="44">
        <v>11.95</v>
      </c>
      <c r="D2897" s="46">
        <v>45037.0</v>
      </c>
      <c r="E2897" s="24">
        <v>3.98</v>
      </c>
      <c r="F2897" s="24">
        <v>35.57</v>
      </c>
      <c r="G2897" s="24">
        <v>0.89</v>
      </c>
      <c r="H2897" s="24" t="s">
        <v>6692</v>
      </c>
      <c r="I2897" s="24">
        <v>11.95</v>
      </c>
      <c r="J2897" s="24">
        <v>0.0</v>
      </c>
    </row>
    <row r="2898">
      <c r="A2898" s="24">
        <v>275.0</v>
      </c>
      <c r="B2898" s="24">
        <v>0.0</v>
      </c>
      <c r="C2898" s="44">
        <v>10.74</v>
      </c>
      <c r="D2898" s="46">
        <v>45037.0</v>
      </c>
      <c r="E2898" s="24" t="s">
        <v>6650</v>
      </c>
      <c r="F2898" s="24">
        <v>39.05</v>
      </c>
      <c r="G2898" s="24">
        <v>0.0</v>
      </c>
      <c r="H2898" s="24" t="s">
        <v>6680</v>
      </c>
      <c r="I2898" s="24" t="s">
        <v>6650</v>
      </c>
      <c r="J2898" s="24">
        <v>0.0</v>
      </c>
    </row>
    <row r="2899">
      <c r="A2899" s="24">
        <v>116.0</v>
      </c>
      <c r="B2899" s="24">
        <v>3.0</v>
      </c>
      <c r="C2899" s="44">
        <v>10.75</v>
      </c>
      <c r="D2899" s="46">
        <v>45037.0</v>
      </c>
      <c r="E2899" s="24">
        <v>3.58</v>
      </c>
      <c r="F2899" s="24">
        <v>92.67</v>
      </c>
      <c r="G2899" s="24">
        <v>2.59</v>
      </c>
      <c r="H2899" s="24" t="s">
        <v>6695</v>
      </c>
      <c r="I2899" s="24" t="s">
        <v>6650</v>
      </c>
      <c r="J2899" s="24">
        <v>0.0</v>
      </c>
    </row>
    <row r="2900">
      <c r="A2900" s="24">
        <v>128.0</v>
      </c>
      <c r="B2900" s="24">
        <v>0.0</v>
      </c>
      <c r="C2900" s="44">
        <v>11.01</v>
      </c>
      <c r="D2900" s="46">
        <v>45037.0</v>
      </c>
      <c r="E2900" s="24" t="s">
        <v>6650</v>
      </c>
      <c r="F2900" s="24">
        <v>86.02</v>
      </c>
      <c r="G2900" s="24">
        <v>0.0</v>
      </c>
      <c r="H2900" s="24" t="s">
        <v>6701</v>
      </c>
      <c r="I2900" s="24" t="s">
        <v>6650</v>
      </c>
      <c r="J2900" s="24">
        <v>0.0</v>
      </c>
    </row>
    <row r="2901">
      <c r="A2901" s="24">
        <v>120.0</v>
      </c>
      <c r="B2901" s="24">
        <v>2.0</v>
      </c>
      <c r="C2901" s="44">
        <v>11.01</v>
      </c>
      <c r="D2901" s="46">
        <v>45037.0</v>
      </c>
      <c r="E2901" s="24">
        <v>5.5</v>
      </c>
      <c r="F2901" s="24">
        <v>91.75</v>
      </c>
      <c r="G2901" s="24">
        <v>1.67</v>
      </c>
      <c r="H2901" s="24" t="s">
        <v>6696</v>
      </c>
      <c r="I2901" s="24" t="s">
        <v>6650</v>
      </c>
      <c r="J2901" s="24">
        <v>0.0</v>
      </c>
    </row>
    <row r="2902">
      <c r="A2902" s="24">
        <v>46.0</v>
      </c>
      <c r="B2902" s="24">
        <v>0.0</v>
      </c>
      <c r="C2902" s="44">
        <v>10.24</v>
      </c>
      <c r="D2902" s="46">
        <v>45037.0</v>
      </c>
      <c r="E2902" s="24" t="s">
        <v>6650</v>
      </c>
      <c r="F2902" s="24">
        <v>222.61</v>
      </c>
      <c r="G2902" s="24">
        <v>0.0</v>
      </c>
      <c r="H2902" s="24" t="s">
        <v>6697</v>
      </c>
      <c r="I2902" s="24">
        <v>10.24</v>
      </c>
      <c r="J2902" s="24">
        <v>0.0</v>
      </c>
    </row>
    <row r="2903">
      <c r="A2903" s="24">
        <v>428.0</v>
      </c>
      <c r="B2903" s="24">
        <v>1.0</v>
      </c>
      <c r="C2903" s="44">
        <v>9.8</v>
      </c>
      <c r="D2903" s="46">
        <v>45037.0</v>
      </c>
      <c r="E2903" s="24">
        <v>9.8</v>
      </c>
      <c r="F2903" s="24">
        <v>22.9</v>
      </c>
      <c r="G2903" s="24">
        <v>0.23</v>
      </c>
      <c r="H2903" s="24" t="s">
        <v>6700</v>
      </c>
      <c r="I2903" s="24">
        <v>4.9</v>
      </c>
      <c r="J2903" s="24">
        <v>0.0</v>
      </c>
    </row>
    <row r="2904">
      <c r="A2904" s="24">
        <v>250.0</v>
      </c>
      <c r="B2904" s="24">
        <v>4.0</v>
      </c>
      <c r="C2904" s="44">
        <v>2.32</v>
      </c>
      <c r="D2904" s="46">
        <v>45037.0</v>
      </c>
      <c r="E2904" s="24">
        <v>0.58</v>
      </c>
      <c r="F2904" s="24">
        <v>9.28</v>
      </c>
      <c r="G2904" s="24">
        <v>1.6</v>
      </c>
      <c r="H2904" s="24" t="s">
        <v>6688</v>
      </c>
      <c r="I2904" s="24">
        <v>2.32</v>
      </c>
      <c r="J2904" s="24">
        <v>0.0</v>
      </c>
    </row>
    <row r="2905">
      <c r="A2905" s="24">
        <v>101.0</v>
      </c>
      <c r="B2905" s="24">
        <v>1.0</v>
      </c>
      <c r="C2905" s="44">
        <v>10.33</v>
      </c>
      <c r="D2905" s="46">
        <v>45037.0</v>
      </c>
      <c r="E2905" s="24">
        <v>10.33</v>
      </c>
      <c r="F2905" s="24">
        <v>102.28</v>
      </c>
      <c r="G2905" s="24">
        <v>0.99</v>
      </c>
      <c r="H2905" s="24" t="s">
        <v>6699</v>
      </c>
      <c r="I2905" s="24">
        <v>10.33</v>
      </c>
      <c r="J2905" s="24">
        <v>0.0</v>
      </c>
    </row>
    <row r="2906">
      <c r="A2906" s="24">
        <v>147.0</v>
      </c>
      <c r="B2906" s="24">
        <v>2.0</v>
      </c>
      <c r="C2906" s="44">
        <v>7.36</v>
      </c>
      <c r="D2906" s="46">
        <v>45038.0</v>
      </c>
      <c r="E2906" s="24">
        <v>3.68</v>
      </c>
      <c r="F2906" s="24">
        <v>50.07</v>
      </c>
      <c r="G2906" s="24">
        <v>1.36</v>
      </c>
      <c r="H2906" s="24" t="s">
        <v>6680</v>
      </c>
      <c r="I2906" s="24">
        <v>7.36</v>
      </c>
      <c r="J2906" s="24">
        <v>0.0</v>
      </c>
    </row>
    <row r="2907">
      <c r="A2907" s="24">
        <v>82.0</v>
      </c>
      <c r="B2907" s="24">
        <v>4.0</v>
      </c>
      <c r="C2907" s="44">
        <v>1.86</v>
      </c>
      <c r="D2907" s="46">
        <v>45038.0</v>
      </c>
      <c r="E2907" s="24">
        <v>0.46</v>
      </c>
      <c r="F2907" s="24">
        <v>22.68</v>
      </c>
      <c r="G2907" s="24">
        <v>4.88</v>
      </c>
      <c r="H2907" s="24" t="s">
        <v>6688</v>
      </c>
      <c r="I2907" s="24" t="s">
        <v>6650</v>
      </c>
      <c r="J2907" s="24">
        <v>0.0</v>
      </c>
    </row>
    <row r="2908">
      <c r="A2908" s="24">
        <v>323.0</v>
      </c>
      <c r="B2908" s="24">
        <v>1.0</v>
      </c>
      <c r="C2908" s="44">
        <v>6.86</v>
      </c>
      <c r="D2908" s="46">
        <v>45038.0</v>
      </c>
      <c r="E2908" s="24">
        <v>6.86</v>
      </c>
      <c r="F2908" s="24">
        <v>21.24</v>
      </c>
      <c r="G2908" s="24">
        <v>0.31</v>
      </c>
      <c r="H2908" s="24" t="s">
        <v>6692</v>
      </c>
      <c r="I2908" s="24" t="s">
        <v>6650</v>
      </c>
      <c r="J2908" s="24">
        <v>0.0</v>
      </c>
    </row>
    <row r="2909">
      <c r="A2909" s="24">
        <v>44.0</v>
      </c>
      <c r="B2909" s="24">
        <v>1.0</v>
      </c>
      <c r="C2909" s="44">
        <v>6.33</v>
      </c>
      <c r="D2909" s="46">
        <v>45038.0</v>
      </c>
      <c r="E2909" s="24">
        <v>6.33</v>
      </c>
      <c r="F2909" s="24">
        <v>143.86</v>
      </c>
      <c r="G2909" s="24">
        <v>2.27</v>
      </c>
      <c r="H2909" s="24" t="s">
        <v>6695</v>
      </c>
      <c r="I2909" s="24" t="s">
        <v>6650</v>
      </c>
      <c r="J2909" s="24">
        <v>0.0</v>
      </c>
    </row>
    <row r="2910">
      <c r="A2910" s="24">
        <v>503.0</v>
      </c>
      <c r="B2910" s="24">
        <v>2.0</v>
      </c>
      <c r="C2910" s="44">
        <v>5.83</v>
      </c>
      <c r="D2910" s="46">
        <v>45038.0</v>
      </c>
      <c r="E2910" s="24">
        <v>2.92</v>
      </c>
      <c r="F2910" s="24">
        <v>11.59</v>
      </c>
      <c r="G2910" s="24">
        <v>0.4</v>
      </c>
      <c r="H2910" s="24" t="s">
        <v>6689</v>
      </c>
      <c r="I2910" s="24" t="s">
        <v>6650</v>
      </c>
      <c r="J2910" s="24">
        <v>0.0</v>
      </c>
    </row>
    <row r="2911">
      <c r="A2911" s="24">
        <v>418.0</v>
      </c>
      <c r="B2911" s="24">
        <v>4.0</v>
      </c>
      <c r="C2911" s="44">
        <v>6.34</v>
      </c>
      <c r="D2911" s="46">
        <v>45038.0</v>
      </c>
      <c r="E2911" s="24">
        <v>1.58</v>
      </c>
      <c r="F2911" s="24">
        <v>15.17</v>
      </c>
      <c r="G2911" s="24">
        <v>0.96</v>
      </c>
      <c r="H2911" s="24" t="s">
        <v>6700</v>
      </c>
      <c r="I2911" s="24" t="s">
        <v>6650</v>
      </c>
      <c r="J2911" s="24">
        <v>0.0</v>
      </c>
    </row>
    <row r="2912">
      <c r="A2912" s="24">
        <v>55.0</v>
      </c>
      <c r="B2912" s="24">
        <v>0.0</v>
      </c>
      <c r="C2912" s="44">
        <v>6.2</v>
      </c>
      <c r="D2912" s="46">
        <v>45038.0</v>
      </c>
      <c r="E2912" s="24" t="s">
        <v>6650</v>
      </c>
      <c r="F2912" s="24">
        <v>112.73</v>
      </c>
      <c r="G2912" s="24">
        <v>0.0</v>
      </c>
      <c r="H2912" s="24" t="s">
        <v>6699</v>
      </c>
      <c r="I2912" s="24" t="s">
        <v>6650</v>
      </c>
      <c r="J2912" s="24">
        <v>0.0</v>
      </c>
    </row>
    <row r="2913">
      <c r="A2913" s="24">
        <v>18.0</v>
      </c>
      <c r="B2913" s="24">
        <v>0.0</v>
      </c>
      <c r="C2913" s="44">
        <v>5.62</v>
      </c>
      <c r="D2913" s="46">
        <v>45038.0</v>
      </c>
      <c r="E2913" s="24" t="s">
        <v>6650</v>
      </c>
      <c r="F2913" s="24">
        <v>312.22</v>
      </c>
      <c r="G2913" s="24">
        <v>0.0</v>
      </c>
      <c r="H2913" s="24" t="s">
        <v>6697</v>
      </c>
      <c r="I2913" s="24" t="s">
        <v>6650</v>
      </c>
      <c r="J2913" s="24">
        <v>0.0</v>
      </c>
    </row>
    <row r="2914">
      <c r="A2914" s="24">
        <v>53.0</v>
      </c>
      <c r="B2914" s="24">
        <v>0.0</v>
      </c>
      <c r="C2914" s="44">
        <v>5.82</v>
      </c>
      <c r="D2914" s="46">
        <v>45038.0</v>
      </c>
      <c r="E2914" s="24" t="s">
        <v>6650</v>
      </c>
      <c r="F2914" s="24">
        <v>109.81</v>
      </c>
      <c r="G2914" s="24">
        <v>0.0</v>
      </c>
      <c r="H2914" s="24" t="s">
        <v>6701</v>
      </c>
      <c r="I2914" s="24" t="s">
        <v>6650</v>
      </c>
      <c r="J2914" s="24">
        <v>0.0</v>
      </c>
    </row>
    <row r="2915">
      <c r="A2915" s="24">
        <v>51.0</v>
      </c>
      <c r="B2915" s="24">
        <v>0.0</v>
      </c>
      <c r="C2915" s="44">
        <v>7.22</v>
      </c>
      <c r="D2915" s="46">
        <v>45038.0</v>
      </c>
      <c r="E2915" s="24" t="s">
        <v>6650</v>
      </c>
      <c r="F2915" s="24">
        <v>141.57</v>
      </c>
      <c r="G2915" s="24">
        <v>0.0</v>
      </c>
      <c r="H2915" s="24" t="s">
        <v>6696</v>
      </c>
      <c r="I2915" s="24" t="s">
        <v>6650</v>
      </c>
      <c r="J2915" s="24">
        <v>0.0</v>
      </c>
    </row>
    <row r="2916">
      <c r="A2916" s="24">
        <v>244.0</v>
      </c>
      <c r="B2916" s="24">
        <v>0.0</v>
      </c>
      <c r="C2916" s="44">
        <v>6.4</v>
      </c>
      <c r="D2916" s="46">
        <v>45038.0</v>
      </c>
      <c r="E2916" s="24" t="s">
        <v>6650</v>
      </c>
      <c r="F2916" s="24">
        <v>26.23</v>
      </c>
      <c r="G2916" s="24">
        <v>0.0</v>
      </c>
      <c r="H2916" s="24" t="s">
        <v>6698</v>
      </c>
      <c r="I2916" s="24" t="s">
        <v>6650</v>
      </c>
      <c r="J2916" s="24">
        <v>0.0</v>
      </c>
    </row>
    <row r="2917">
      <c r="A2917" s="24">
        <v>44.0</v>
      </c>
      <c r="B2917" s="24">
        <v>0.0</v>
      </c>
      <c r="C2917" s="44">
        <v>6.98</v>
      </c>
      <c r="D2917" s="46">
        <v>45039.0</v>
      </c>
      <c r="E2917" s="24" t="s">
        <v>6650</v>
      </c>
      <c r="F2917" s="24">
        <v>158.64</v>
      </c>
      <c r="G2917" s="24">
        <v>0.0</v>
      </c>
      <c r="H2917" s="24" t="s">
        <v>6696</v>
      </c>
      <c r="I2917" s="24">
        <v>3.49</v>
      </c>
      <c r="J2917" s="24">
        <v>0.0</v>
      </c>
    </row>
    <row r="2918">
      <c r="A2918" s="24">
        <v>285.0</v>
      </c>
      <c r="B2918" s="24">
        <v>2.0</v>
      </c>
      <c r="C2918" s="44">
        <v>6.03</v>
      </c>
      <c r="D2918" s="46">
        <v>45039.0</v>
      </c>
      <c r="E2918" s="24">
        <v>3.02</v>
      </c>
      <c r="F2918" s="24">
        <v>21.16</v>
      </c>
      <c r="G2918" s="24">
        <v>0.7</v>
      </c>
      <c r="H2918" s="24" t="s">
        <v>6700</v>
      </c>
      <c r="I2918" s="24">
        <v>6.03</v>
      </c>
      <c r="J2918" s="24">
        <v>0.0</v>
      </c>
    </row>
    <row r="2919">
      <c r="A2919" s="24">
        <v>47.0</v>
      </c>
      <c r="B2919" s="24">
        <v>1.0</v>
      </c>
      <c r="C2919" s="44">
        <v>4.42</v>
      </c>
      <c r="D2919" s="46">
        <v>45039.0</v>
      </c>
      <c r="E2919" s="24">
        <v>4.42</v>
      </c>
      <c r="F2919" s="24">
        <v>94.04</v>
      </c>
      <c r="G2919" s="24">
        <v>2.13</v>
      </c>
      <c r="H2919" s="24" t="s">
        <v>6699</v>
      </c>
      <c r="I2919" s="24" t="s">
        <v>6650</v>
      </c>
      <c r="J2919" s="24">
        <v>0.0</v>
      </c>
    </row>
    <row r="2920">
      <c r="A2920" s="24">
        <v>556.0</v>
      </c>
      <c r="B2920" s="24">
        <v>3.0</v>
      </c>
      <c r="C2920" s="44">
        <v>5.63</v>
      </c>
      <c r="D2920" s="46">
        <v>45039.0</v>
      </c>
      <c r="E2920" s="24">
        <v>1.88</v>
      </c>
      <c r="F2920" s="24">
        <v>10.13</v>
      </c>
      <c r="G2920" s="24">
        <v>0.54</v>
      </c>
      <c r="H2920" s="24" t="s">
        <v>6688</v>
      </c>
      <c r="I2920" s="24">
        <v>5.63</v>
      </c>
      <c r="J2920" s="24">
        <v>0.0</v>
      </c>
    </row>
    <row r="2921">
      <c r="A2921" s="24">
        <v>46.0</v>
      </c>
      <c r="B2921" s="24">
        <v>0.0</v>
      </c>
      <c r="C2921" s="44">
        <v>6.01</v>
      </c>
      <c r="D2921" s="46">
        <v>45039.0</v>
      </c>
      <c r="E2921" s="24" t="s">
        <v>6650</v>
      </c>
      <c r="F2921" s="24">
        <v>130.65</v>
      </c>
      <c r="G2921" s="24">
        <v>0.0</v>
      </c>
      <c r="H2921" s="24" t="s">
        <v>6695</v>
      </c>
      <c r="I2921" s="24">
        <v>6.01</v>
      </c>
      <c r="J2921" s="24">
        <v>0.0</v>
      </c>
    </row>
    <row r="2922">
      <c r="A2922" s="24">
        <v>332.0</v>
      </c>
      <c r="B2922" s="24">
        <v>3.0</v>
      </c>
      <c r="C2922" s="44">
        <v>5.97</v>
      </c>
      <c r="D2922" s="46">
        <v>45039.0</v>
      </c>
      <c r="E2922" s="24">
        <v>1.99</v>
      </c>
      <c r="F2922" s="24">
        <v>17.98</v>
      </c>
      <c r="G2922" s="24">
        <v>0.9</v>
      </c>
      <c r="H2922" s="24" t="s">
        <v>6698</v>
      </c>
      <c r="I2922" s="24" t="s">
        <v>6650</v>
      </c>
      <c r="J2922" s="24">
        <v>0.0</v>
      </c>
    </row>
    <row r="2923">
      <c r="A2923" s="24">
        <v>75.0</v>
      </c>
      <c r="B2923" s="24">
        <v>2.0</v>
      </c>
      <c r="C2923" s="44">
        <v>5.23</v>
      </c>
      <c r="D2923" s="46">
        <v>45039.0</v>
      </c>
      <c r="E2923" s="24">
        <v>2.62</v>
      </c>
      <c r="F2923" s="24">
        <v>69.73</v>
      </c>
      <c r="G2923" s="24">
        <v>2.67</v>
      </c>
      <c r="H2923" s="24" t="s">
        <v>6680</v>
      </c>
      <c r="I2923" s="24" t="s">
        <v>6650</v>
      </c>
      <c r="J2923" s="24">
        <v>0.0</v>
      </c>
    </row>
    <row r="2924">
      <c r="A2924" s="24">
        <v>25.0</v>
      </c>
      <c r="B2924" s="24">
        <v>0.0</v>
      </c>
      <c r="C2924" s="44">
        <v>6.16</v>
      </c>
      <c r="D2924" s="46">
        <v>45039.0</v>
      </c>
      <c r="E2924" s="24" t="s">
        <v>6650</v>
      </c>
      <c r="F2924" s="24">
        <v>246.4</v>
      </c>
      <c r="G2924" s="24">
        <v>0.0</v>
      </c>
      <c r="H2924" s="24" t="s">
        <v>6697</v>
      </c>
      <c r="I2924" s="24" t="s">
        <v>6650</v>
      </c>
      <c r="J2924" s="24">
        <v>0.0</v>
      </c>
    </row>
    <row r="2925">
      <c r="A2925" s="24">
        <v>538.0</v>
      </c>
      <c r="B2925" s="24">
        <v>3.0</v>
      </c>
      <c r="C2925" s="44">
        <v>5.1</v>
      </c>
      <c r="D2925" s="46">
        <v>45039.0</v>
      </c>
      <c r="E2925" s="24">
        <v>1.7</v>
      </c>
      <c r="F2925" s="24">
        <v>9.48</v>
      </c>
      <c r="G2925" s="24">
        <v>0.56</v>
      </c>
      <c r="H2925" s="24" t="s">
        <v>6689</v>
      </c>
      <c r="I2925" s="24" t="s">
        <v>6650</v>
      </c>
      <c r="J2925" s="24">
        <v>0.0</v>
      </c>
    </row>
    <row r="2926">
      <c r="A2926" s="24">
        <v>30.0</v>
      </c>
      <c r="B2926" s="24">
        <v>0.0</v>
      </c>
      <c r="C2926" s="44">
        <v>4.52</v>
      </c>
      <c r="D2926" s="46">
        <v>45039.0</v>
      </c>
      <c r="E2926" s="24" t="s">
        <v>6650</v>
      </c>
      <c r="F2926" s="24">
        <v>150.67</v>
      </c>
      <c r="G2926" s="24">
        <v>0.0</v>
      </c>
      <c r="H2926" s="24" t="s">
        <v>6701</v>
      </c>
      <c r="I2926" s="24" t="s">
        <v>6650</v>
      </c>
      <c r="J2926" s="24">
        <v>0.0</v>
      </c>
    </row>
    <row r="2927">
      <c r="A2927" s="24">
        <v>275.0</v>
      </c>
      <c r="B2927" s="24">
        <v>2.0</v>
      </c>
      <c r="C2927" s="44">
        <v>5.67</v>
      </c>
      <c r="D2927" s="46">
        <v>45039.0</v>
      </c>
      <c r="E2927" s="24">
        <v>2.84</v>
      </c>
      <c r="F2927" s="24">
        <v>20.62</v>
      </c>
      <c r="G2927" s="24">
        <v>0.73</v>
      </c>
      <c r="H2927" s="24" t="s">
        <v>6692</v>
      </c>
      <c r="I2927" s="24">
        <v>5.67</v>
      </c>
      <c r="J2927" s="24">
        <v>0.0</v>
      </c>
    </row>
    <row r="2928">
      <c r="A2928" s="24">
        <v>562.0</v>
      </c>
      <c r="B2928" s="24">
        <v>2.0</v>
      </c>
      <c r="C2928" s="44">
        <v>10.8</v>
      </c>
      <c r="D2928" s="46">
        <v>45040.0</v>
      </c>
      <c r="E2928" s="24">
        <v>5.4</v>
      </c>
      <c r="F2928" s="24">
        <v>19.22</v>
      </c>
      <c r="G2928" s="24">
        <v>0.36</v>
      </c>
      <c r="H2928" s="24" t="s">
        <v>6698</v>
      </c>
      <c r="I2928" s="24">
        <v>10.8</v>
      </c>
      <c r="J2928" s="24">
        <v>0.0</v>
      </c>
    </row>
    <row r="2929">
      <c r="A2929" s="24">
        <v>1282.0</v>
      </c>
      <c r="B2929" s="24">
        <v>14.0</v>
      </c>
      <c r="C2929" s="44">
        <v>10.86</v>
      </c>
      <c r="D2929" s="46">
        <v>45040.0</v>
      </c>
      <c r="E2929" s="24">
        <v>0.78</v>
      </c>
      <c r="F2929" s="24">
        <v>8.47</v>
      </c>
      <c r="G2929" s="24">
        <v>1.09</v>
      </c>
      <c r="H2929" s="24" t="s">
        <v>6689</v>
      </c>
      <c r="I2929" s="24" t="s">
        <v>6650</v>
      </c>
      <c r="J2929" s="24">
        <v>0.0</v>
      </c>
    </row>
    <row r="2930">
      <c r="A2930" s="24">
        <v>604.0</v>
      </c>
      <c r="B2930" s="24">
        <v>1.0</v>
      </c>
      <c r="C2930" s="44">
        <v>11.3</v>
      </c>
      <c r="D2930" s="46">
        <v>45040.0</v>
      </c>
      <c r="E2930" s="24">
        <v>11.3</v>
      </c>
      <c r="F2930" s="24">
        <v>18.71</v>
      </c>
      <c r="G2930" s="24">
        <v>0.17</v>
      </c>
      <c r="H2930" s="24" t="s">
        <v>6692</v>
      </c>
      <c r="I2930" s="24" t="s">
        <v>6650</v>
      </c>
      <c r="J2930" s="24">
        <v>0.0</v>
      </c>
    </row>
    <row r="2931">
      <c r="A2931" s="24">
        <v>54.0</v>
      </c>
      <c r="B2931" s="24">
        <v>2.0</v>
      </c>
      <c r="C2931" s="44">
        <v>10.44</v>
      </c>
      <c r="D2931" s="46">
        <v>45040.0</v>
      </c>
      <c r="E2931" s="24">
        <v>5.22</v>
      </c>
      <c r="F2931" s="24">
        <v>193.33</v>
      </c>
      <c r="G2931" s="24">
        <v>3.7</v>
      </c>
      <c r="H2931" s="24" t="s">
        <v>6697</v>
      </c>
      <c r="I2931" s="24" t="s">
        <v>6650</v>
      </c>
      <c r="J2931" s="24">
        <v>0.0</v>
      </c>
    </row>
    <row r="2932">
      <c r="A2932" s="24">
        <v>122.0</v>
      </c>
      <c r="B2932" s="24">
        <v>0.0</v>
      </c>
      <c r="C2932" s="44">
        <v>10.79</v>
      </c>
      <c r="D2932" s="46">
        <v>45040.0</v>
      </c>
      <c r="E2932" s="24" t="s">
        <v>6650</v>
      </c>
      <c r="F2932" s="24">
        <v>88.44</v>
      </c>
      <c r="G2932" s="24">
        <v>0.0</v>
      </c>
      <c r="H2932" s="24" t="s">
        <v>6695</v>
      </c>
      <c r="I2932" s="24" t="s">
        <v>6650</v>
      </c>
      <c r="J2932" s="24">
        <v>0.0</v>
      </c>
    </row>
    <row r="2933">
      <c r="A2933" s="24">
        <v>115.0</v>
      </c>
      <c r="B2933" s="24">
        <v>0.0</v>
      </c>
      <c r="C2933" s="44">
        <v>10.81</v>
      </c>
      <c r="D2933" s="46">
        <v>45040.0</v>
      </c>
      <c r="E2933" s="24" t="s">
        <v>6650</v>
      </c>
      <c r="F2933" s="24">
        <v>94.0</v>
      </c>
      <c r="G2933" s="24">
        <v>0.0</v>
      </c>
      <c r="H2933" s="24" t="s">
        <v>6699</v>
      </c>
      <c r="I2933" s="24" t="s">
        <v>6650</v>
      </c>
      <c r="J2933" s="24">
        <v>0.0</v>
      </c>
    </row>
    <row r="2934">
      <c r="A2934" s="24">
        <v>147.0</v>
      </c>
      <c r="B2934" s="24">
        <v>1.0</v>
      </c>
      <c r="C2934" s="44">
        <v>10.19</v>
      </c>
      <c r="D2934" s="46">
        <v>45040.0</v>
      </c>
      <c r="E2934" s="24">
        <v>10.19</v>
      </c>
      <c r="F2934" s="24">
        <v>69.32</v>
      </c>
      <c r="G2934" s="24">
        <v>0.68</v>
      </c>
      <c r="H2934" s="24" t="s">
        <v>6696</v>
      </c>
      <c r="I2934" s="24" t="s">
        <v>6650</v>
      </c>
      <c r="J2934" s="24">
        <v>1.0</v>
      </c>
    </row>
    <row r="2935">
      <c r="A2935" s="24">
        <v>78.0</v>
      </c>
      <c r="B2935" s="24">
        <v>0.0</v>
      </c>
      <c r="C2935" s="44">
        <v>1.43</v>
      </c>
      <c r="D2935" s="46">
        <v>45040.0</v>
      </c>
      <c r="E2935" s="24" t="s">
        <v>6650</v>
      </c>
      <c r="F2935" s="24">
        <v>18.33</v>
      </c>
      <c r="G2935" s="24">
        <v>0.0</v>
      </c>
      <c r="H2935" s="24" t="s">
        <v>6688</v>
      </c>
      <c r="I2935" s="24" t="s">
        <v>6650</v>
      </c>
      <c r="J2935" s="24">
        <v>0.0</v>
      </c>
    </row>
    <row r="2936">
      <c r="A2936" s="24">
        <v>298.0</v>
      </c>
      <c r="B2936" s="24">
        <v>2.0</v>
      </c>
      <c r="C2936" s="44">
        <v>12.35</v>
      </c>
      <c r="D2936" s="46">
        <v>45040.0</v>
      </c>
      <c r="E2936" s="24">
        <v>6.18</v>
      </c>
      <c r="F2936" s="24">
        <v>41.44</v>
      </c>
      <c r="G2936" s="24">
        <v>0.67</v>
      </c>
      <c r="H2936" s="24" t="s">
        <v>6680</v>
      </c>
      <c r="I2936" s="24">
        <v>12.35</v>
      </c>
      <c r="J2936" s="24">
        <v>0.0</v>
      </c>
    </row>
    <row r="2937">
      <c r="A2937" s="24">
        <v>92.0</v>
      </c>
      <c r="B2937" s="24">
        <v>0.0</v>
      </c>
      <c r="C2937" s="44">
        <v>11.34</v>
      </c>
      <c r="D2937" s="46">
        <v>45040.0</v>
      </c>
      <c r="E2937" s="24" t="s">
        <v>6650</v>
      </c>
      <c r="F2937" s="24">
        <v>123.26</v>
      </c>
      <c r="G2937" s="24">
        <v>0.0</v>
      </c>
      <c r="H2937" s="24" t="s">
        <v>6701</v>
      </c>
      <c r="I2937" s="24" t="s">
        <v>6650</v>
      </c>
      <c r="J2937" s="24">
        <v>0.0</v>
      </c>
    </row>
    <row r="2938">
      <c r="A2938" s="24">
        <v>532.0</v>
      </c>
      <c r="B2938" s="24">
        <v>4.0</v>
      </c>
      <c r="C2938" s="44">
        <v>10.83</v>
      </c>
      <c r="D2938" s="46">
        <v>45040.0</v>
      </c>
      <c r="E2938" s="24">
        <v>2.71</v>
      </c>
      <c r="F2938" s="24">
        <v>20.36</v>
      </c>
      <c r="G2938" s="24">
        <v>0.75</v>
      </c>
      <c r="H2938" s="24" t="s">
        <v>6700</v>
      </c>
      <c r="I2938" s="24" t="s">
        <v>6650</v>
      </c>
      <c r="J2938" s="24">
        <v>0.0</v>
      </c>
    </row>
    <row r="2939">
      <c r="A2939" s="24">
        <v>461.0</v>
      </c>
      <c r="B2939" s="24">
        <v>2.0</v>
      </c>
      <c r="C2939" s="44">
        <v>11.47</v>
      </c>
      <c r="D2939" s="46">
        <v>45041.0</v>
      </c>
      <c r="E2939" s="24">
        <v>5.74</v>
      </c>
      <c r="F2939" s="24">
        <v>24.88</v>
      </c>
      <c r="G2939" s="24">
        <v>0.43</v>
      </c>
      <c r="H2939" s="24" t="s">
        <v>6700</v>
      </c>
      <c r="I2939" s="24">
        <v>3.82</v>
      </c>
      <c r="J2939" s="24">
        <v>0.0</v>
      </c>
    </row>
    <row r="2940">
      <c r="A2940" s="24">
        <v>116.0</v>
      </c>
      <c r="B2940" s="24">
        <v>0.0</v>
      </c>
      <c r="C2940" s="44">
        <v>11.97</v>
      </c>
      <c r="D2940" s="46">
        <v>45041.0</v>
      </c>
      <c r="E2940" s="24" t="s">
        <v>6650</v>
      </c>
      <c r="F2940" s="24">
        <v>103.19</v>
      </c>
      <c r="G2940" s="24">
        <v>0.0</v>
      </c>
      <c r="H2940" s="24" t="s">
        <v>6699</v>
      </c>
      <c r="I2940" s="24" t="s">
        <v>6650</v>
      </c>
      <c r="J2940" s="24">
        <v>0.0</v>
      </c>
    </row>
    <row r="2941">
      <c r="A2941" s="24">
        <v>360.0</v>
      </c>
      <c r="B2941" s="24">
        <v>6.0</v>
      </c>
      <c r="C2941" s="44">
        <v>7.44</v>
      </c>
      <c r="D2941" s="46">
        <v>45041.0</v>
      </c>
      <c r="E2941" s="24">
        <v>1.24</v>
      </c>
      <c r="F2941" s="24">
        <v>20.67</v>
      </c>
      <c r="G2941" s="24">
        <v>1.67</v>
      </c>
      <c r="H2941" s="24" t="s">
        <v>6688</v>
      </c>
      <c r="I2941" s="24" t="s">
        <v>6650</v>
      </c>
      <c r="J2941" s="24">
        <v>0.0</v>
      </c>
    </row>
    <row r="2942">
      <c r="A2942" s="24">
        <v>37.0</v>
      </c>
      <c r="B2942" s="24">
        <v>1.0</v>
      </c>
      <c r="C2942" s="44">
        <v>11.19</v>
      </c>
      <c r="D2942" s="46">
        <v>45041.0</v>
      </c>
      <c r="E2942" s="24">
        <v>11.19</v>
      </c>
      <c r="F2942" s="24">
        <v>302.43</v>
      </c>
      <c r="G2942" s="24">
        <v>2.7</v>
      </c>
      <c r="H2942" s="24" t="s">
        <v>6697</v>
      </c>
      <c r="I2942" s="24" t="s">
        <v>6650</v>
      </c>
      <c r="J2942" s="24">
        <v>0.0</v>
      </c>
    </row>
    <row r="2943">
      <c r="A2943" s="24">
        <v>624.0</v>
      </c>
      <c r="B2943" s="24">
        <v>4.0</v>
      </c>
      <c r="C2943" s="44">
        <v>11.52</v>
      </c>
      <c r="D2943" s="46">
        <v>45041.0</v>
      </c>
      <c r="E2943" s="24">
        <v>2.88</v>
      </c>
      <c r="F2943" s="24">
        <v>18.46</v>
      </c>
      <c r="G2943" s="24">
        <v>0.64</v>
      </c>
      <c r="H2943" s="24" t="s">
        <v>6698</v>
      </c>
      <c r="I2943" s="24">
        <v>3.84</v>
      </c>
      <c r="J2943" s="24">
        <v>0.0</v>
      </c>
    </row>
    <row r="2944">
      <c r="A2944" s="24">
        <v>194.0</v>
      </c>
      <c r="B2944" s="24">
        <v>1.0</v>
      </c>
      <c r="C2944" s="44">
        <v>12.53</v>
      </c>
      <c r="D2944" s="46">
        <v>45041.0</v>
      </c>
      <c r="E2944" s="24">
        <v>12.53</v>
      </c>
      <c r="F2944" s="24">
        <v>64.59</v>
      </c>
      <c r="G2944" s="24">
        <v>0.52</v>
      </c>
      <c r="H2944" s="24" t="s">
        <v>6680</v>
      </c>
      <c r="I2944" s="24" t="s">
        <v>6650</v>
      </c>
      <c r="J2944" s="24">
        <v>0.0</v>
      </c>
    </row>
    <row r="2945">
      <c r="A2945" s="24">
        <v>137.0</v>
      </c>
      <c r="B2945" s="24">
        <v>2.0</v>
      </c>
      <c r="C2945" s="44">
        <v>10.77</v>
      </c>
      <c r="D2945" s="46">
        <v>45041.0</v>
      </c>
      <c r="E2945" s="24">
        <v>5.38</v>
      </c>
      <c r="F2945" s="24">
        <v>78.61</v>
      </c>
      <c r="G2945" s="24">
        <v>1.46</v>
      </c>
      <c r="H2945" s="24" t="s">
        <v>6696</v>
      </c>
      <c r="I2945" s="24">
        <v>10.77</v>
      </c>
      <c r="J2945" s="24">
        <v>0.0</v>
      </c>
    </row>
    <row r="2946">
      <c r="A2946" s="24">
        <v>180.0</v>
      </c>
      <c r="B2946" s="24">
        <v>0.0</v>
      </c>
      <c r="C2946" s="44">
        <v>11.91</v>
      </c>
      <c r="D2946" s="46">
        <v>45041.0</v>
      </c>
      <c r="E2946" s="24" t="s">
        <v>6650</v>
      </c>
      <c r="F2946" s="24">
        <v>66.17</v>
      </c>
      <c r="G2946" s="24">
        <v>0.0</v>
      </c>
      <c r="H2946" s="24" t="s">
        <v>6701</v>
      </c>
      <c r="I2946" s="24" t="s">
        <v>6650</v>
      </c>
      <c r="J2946" s="24">
        <v>0.0</v>
      </c>
    </row>
    <row r="2947">
      <c r="A2947" s="24">
        <v>123.0</v>
      </c>
      <c r="B2947" s="24">
        <v>1.0</v>
      </c>
      <c r="C2947" s="44">
        <v>12.49</v>
      </c>
      <c r="D2947" s="46">
        <v>45041.0</v>
      </c>
      <c r="E2947" s="24">
        <v>12.49</v>
      </c>
      <c r="F2947" s="24">
        <v>101.54</v>
      </c>
      <c r="G2947" s="24">
        <v>0.81</v>
      </c>
      <c r="H2947" s="24" t="s">
        <v>6695</v>
      </c>
      <c r="I2947" s="24" t="s">
        <v>6650</v>
      </c>
      <c r="J2947" s="24">
        <v>1.0</v>
      </c>
    </row>
    <row r="2948">
      <c r="A2948" s="24">
        <v>631.0</v>
      </c>
      <c r="B2948" s="24">
        <v>2.0</v>
      </c>
      <c r="C2948" s="44">
        <v>11.35</v>
      </c>
      <c r="D2948" s="46">
        <v>45041.0</v>
      </c>
      <c r="E2948" s="24">
        <v>5.68</v>
      </c>
      <c r="F2948" s="24">
        <v>17.99</v>
      </c>
      <c r="G2948" s="24">
        <v>0.32</v>
      </c>
      <c r="H2948" s="24" t="s">
        <v>6692</v>
      </c>
      <c r="I2948" s="24">
        <v>11.35</v>
      </c>
      <c r="J2948" s="24">
        <v>1.0</v>
      </c>
    </row>
    <row r="2949">
      <c r="A2949" s="24">
        <v>827.0</v>
      </c>
      <c r="B2949" s="24">
        <v>3.0</v>
      </c>
      <c r="C2949" s="44">
        <v>11.74</v>
      </c>
      <c r="D2949" s="46">
        <v>45041.0</v>
      </c>
      <c r="E2949" s="24">
        <v>3.91</v>
      </c>
      <c r="F2949" s="24">
        <v>14.2</v>
      </c>
      <c r="G2949" s="24">
        <v>0.36</v>
      </c>
      <c r="H2949" s="24" t="s">
        <v>6689</v>
      </c>
      <c r="I2949" s="24" t="s">
        <v>6650</v>
      </c>
      <c r="J2949" s="24">
        <v>0.0</v>
      </c>
    </row>
    <row r="2950">
      <c r="A2950" s="24">
        <v>100.0</v>
      </c>
      <c r="B2950" s="24">
        <v>0.0</v>
      </c>
      <c r="C2950" s="44">
        <v>12.75</v>
      </c>
      <c r="D2950" s="46">
        <v>45042.0</v>
      </c>
      <c r="E2950" s="24" t="s">
        <v>6650</v>
      </c>
      <c r="F2950" s="24">
        <v>127.5</v>
      </c>
      <c r="G2950" s="24">
        <v>0.0</v>
      </c>
      <c r="H2950" s="24" t="s">
        <v>6701</v>
      </c>
      <c r="I2950" s="24" t="s">
        <v>6650</v>
      </c>
      <c r="J2950" s="24">
        <v>0.0</v>
      </c>
    </row>
    <row r="2951">
      <c r="A2951" s="24">
        <v>226.0</v>
      </c>
      <c r="B2951" s="24">
        <v>2.0</v>
      </c>
      <c r="C2951" s="44">
        <v>12.93</v>
      </c>
      <c r="D2951" s="46">
        <v>45042.0</v>
      </c>
      <c r="E2951" s="24">
        <v>6.46</v>
      </c>
      <c r="F2951" s="24">
        <v>57.21</v>
      </c>
      <c r="G2951" s="24">
        <v>0.88</v>
      </c>
      <c r="H2951" s="24" t="s">
        <v>6680</v>
      </c>
      <c r="I2951" s="24">
        <v>12.93</v>
      </c>
      <c r="J2951" s="24">
        <v>0.0</v>
      </c>
    </row>
    <row r="2952">
      <c r="A2952" s="24">
        <v>88.0</v>
      </c>
      <c r="B2952" s="24">
        <v>0.0</v>
      </c>
      <c r="C2952" s="44">
        <v>12.45</v>
      </c>
      <c r="D2952" s="46">
        <v>45042.0</v>
      </c>
      <c r="E2952" s="24" t="s">
        <v>6650</v>
      </c>
      <c r="F2952" s="24">
        <v>141.48</v>
      </c>
      <c r="G2952" s="24">
        <v>0.0</v>
      </c>
      <c r="H2952" s="24" t="s">
        <v>6699</v>
      </c>
      <c r="I2952" s="24" t="s">
        <v>6650</v>
      </c>
      <c r="J2952" s="24">
        <v>0.0</v>
      </c>
    </row>
    <row r="2953">
      <c r="A2953" s="24">
        <v>538.0</v>
      </c>
      <c r="B2953" s="24">
        <v>1.0</v>
      </c>
      <c r="C2953" s="44">
        <v>12.0</v>
      </c>
      <c r="D2953" s="46">
        <v>45042.0</v>
      </c>
      <c r="E2953" s="24">
        <v>12.0</v>
      </c>
      <c r="F2953" s="24">
        <v>22.3</v>
      </c>
      <c r="G2953" s="24">
        <v>0.19</v>
      </c>
      <c r="H2953" s="24" t="s">
        <v>6698</v>
      </c>
      <c r="I2953" s="24">
        <v>12.0</v>
      </c>
      <c r="J2953" s="24">
        <v>0.0</v>
      </c>
    </row>
    <row r="2954">
      <c r="A2954" s="24">
        <v>479.0</v>
      </c>
      <c r="B2954" s="24">
        <v>2.0</v>
      </c>
      <c r="C2954" s="44">
        <v>12.19</v>
      </c>
      <c r="D2954" s="46">
        <v>45042.0</v>
      </c>
      <c r="E2954" s="24">
        <v>6.1</v>
      </c>
      <c r="F2954" s="24">
        <v>25.45</v>
      </c>
      <c r="G2954" s="24">
        <v>0.42</v>
      </c>
      <c r="H2954" s="24" t="s">
        <v>6700</v>
      </c>
      <c r="I2954" s="24">
        <v>12.19</v>
      </c>
      <c r="J2954" s="24">
        <v>0.0</v>
      </c>
    </row>
    <row r="2955">
      <c r="A2955" s="24">
        <v>111.0</v>
      </c>
      <c r="B2955" s="24">
        <v>1.0</v>
      </c>
      <c r="C2955" s="44">
        <v>11.55</v>
      </c>
      <c r="D2955" s="46">
        <v>45042.0</v>
      </c>
      <c r="E2955" s="24">
        <v>11.55</v>
      </c>
      <c r="F2955" s="24">
        <v>104.05</v>
      </c>
      <c r="G2955" s="24">
        <v>0.9</v>
      </c>
      <c r="H2955" s="24" t="s">
        <v>6696</v>
      </c>
      <c r="I2955" s="24" t="s">
        <v>6650</v>
      </c>
      <c r="J2955" s="24">
        <v>0.0</v>
      </c>
    </row>
    <row r="2956">
      <c r="A2956" s="24">
        <v>50.0</v>
      </c>
      <c r="B2956" s="24">
        <v>0.0</v>
      </c>
      <c r="C2956" s="44">
        <v>11.22</v>
      </c>
      <c r="D2956" s="46">
        <v>45042.0</v>
      </c>
      <c r="E2956" s="24" t="s">
        <v>6650</v>
      </c>
      <c r="F2956" s="24">
        <v>224.4</v>
      </c>
      <c r="G2956" s="24">
        <v>0.0</v>
      </c>
      <c r="H2956" s="24" t="s">
        <v>6697</v>
      </c>
      <c r="I2956" s="24" t="s">
        <v>6650</v>
      </c>
      <c r="J2956" s="24">
        <v>0.0</v>
      </c>
    </row>
    <row r="2957">
      <c r="A2957" s="24">
        <v>480.0</v>
      </c>
      <c r="B2957" s="24">
        <v>4.0</v>
      </c>
      <c r="C2957" s="44">
        <v>12.3</v>
      </c>
      <c r="D2957" s="46">
        <v>45042.0</v>
      </c>
      <c r="E2957" s="24">
        <v>3.08</v>
      </c>
      <c r="F2957" s="24">
        <v>25.63</v>
      </c>
      <c r="G2957" s="24">
        <v>0.83</v>
      </c>
      <c r="H2957" s="24" t="s">
        <v>6692</v>
      </c>
      <c r="I2957" s="24" t="s">
        <v>6650</v>
      </c>
      <c r="J2957" s="24">
        <v>0.0</v>
      </c>
    </row>
    <row r="2958">
      <c r="A2958" s="24">
        <v>58.0</v>
      </c>
      <c r="B2958" s="24">
        <v>1.0</v>
      </c>
      <c r="C2958" s="44">
        <v>1.08</v>
      </c>
      <c r="D2958" s="46">
        <v>45042.0</v>
      </c>
      <c r="E2958" s="24">
        <v>1.08</v>
      </c>
      <c r="F2958" s="24">
        <v>18.62</v>
      </c>
      <c r="G2958" s="24">
        <v>1.72</v>
      </c>
      <c r="H2958" s="24" t="s">
        <v>6688</v>
      </c>
      <c r="I2958" s="24">
        <v>1.08</v>
      </c>
      <c r="J2958" s="24">
        <v>0.0</v>
      </c>
    </row>
    <row r="2959">
      <c r="A2959" s="24">
        <v>120.0</v>
      </c>
      <c r="B2959" s="24">
        <v>0.0</v>
      </c>
      <c r="C2959" s="44">
        <v>11.47</v>
      </c>
      <c r="D2959" s="46">
        <v>45042.0</v>
      </c>
      <c r="E2959" s="24" t="s">
        <v>6650</v>
      </c>
      <c r="F2959" s="24">
        <v>95.58</v>
      </c>
      <c r="G2959" s="24">
        <v>0.0</v>
      </c>
      <c r="H2959" s="24" t="s">
        <v>6695</v>
      </c>
      <c r="I2959" s="24" t="s">
        <v>6650</v>
      </c>
      <c r="J2959" s="24">
        <v>0.0</v>
      </c>
    </row>
    <row r="2960">
      <c r="A2960" s="24">
        <v>681.0</v>
      </c>
      <c r="B2960" s="24">
        <v>6.0</v>
      </c>
      <c r="C2960" s="44">
        <v>12.06</v>
      </c>
      <c r="D2960" s="46">
        <v>45042.0</v>
      </c>
      <c r="E2960" s="24">
        <v>2.01</v>
      </c>
      <c r="F2960" s="24">
        <v>17.71</v>
      </c>
      <c r="G2960" s="24">
        <v>0.88</v>
      </c>
      <c r="H2960" s="24" t="s">
        <v>6689</v>
      </c>
      <c r="I2960" s="24" t="s">
        <v>6650</v>
      </c>
      <c r="J2960" s="24">
        <v>0.0</v>
      </c>
    </row>
    <row r="2961">
      <c r="A2961" s="24">
        <v>114.0</v>
      </c>
      <c r="B2961" s="24">
        <v>1.0</v>
      </c>
      <c r="C2961" s="44">
        <v>12.66</v>
      </c>
      <c r="D2961" s="46">
        <v>45043.0</v>
      </c>
      <c r="E2961" s="24">
        <v>12.66</v>
      </c>
      <c r="F2961" s="24">
        <v>111.05</v>
      </c>
      <c r="G2961" s="24">
        <v>0.88</v>
      </c>
      <c r="H2961" s="24" t="s">
        <v>6696</v>
      </c>
      <c r="I2961" s="24">
        <v>12.66</v>
      </c>
      <c r="J2961" s="24">
        <v>0.0</v>
      </c>
    </row>
    <row r="2962">
      <c r="A2962" s="24">
        <v>138.0</v>
      </c>
      <c r="B2962" s="24">
        <v>2.0</v>
      </c>
      <c r="C2962" s="44">
        <v>3.41</v>
      </c>
      <c r="D2962" s="46">
        <v>45043.0</v>
      </c>
      <c r="E2962" s="24">
        <v>1.7</v>
      </c>
      <c r="F2962" s="24">
        <v>24.71</v>
      </c>
      <c r="G2962" s="24">
        <v>1.45</v>
      </c>
      <c r="H2962" s="24" t="s">
        <v>6688</v>
      </c>
      <c r="I2962" s="24">
        <v>3.41</v>
      </c>
      <c r="J2962" s="24">
        <v>0.0</v>
      </c>
    </row>
    <row r="2963">
      <c r="A2963" s="24">
        <v>52.0</v>
      </c>
      <c r="B2963" s="24">
        <v>1.0</v>
      </c>
      <c r="C2963" s="44">
        <v>11.27</v>
      </c>
      <c r="D2963" s="46">
        <v>45043.0</v>
      </c>
      <c r="E2963" s="24">
        <v>11.27</v>
      </c>
      <c r="F2963" s="24">
        <v>216.73</v>
      </c>
      <c r="G2963" s="24">
        <v>1.92</v>
      </c>
      <c r="H2963" s="24" t="s">
        <v>6697</v>
      </c>
      <c r="I2963" s="24">
        <v>11.27</v>
      </c>
      <c r="J2963" s="24">
        <v>0.0</v>
      </c>
    </row>
    <row r="2964">
      <c r="A2964" s="24">
        <v>148.0</v>
      </c>
      <c r="B2964" s="24">
        <v>1.0</v>
      </c>
      <c r="C2964" s="44">
        <v>11.74</v>
      </c>
      <c r="D2964" s="46">
        <v>45043.0</v>
      </c>
      <c r="E2964" s="24">
        <v>11.74</v>
      </c>
      <c r="F2964" s="24">
        <v>79.32</v>
      </c>
      <c r="G2964" s="24">
        <v>0.68</v>
      </c>
      <c r="H2964" s="24" t="s">
        <v>6699</v>
      </c>
      <c r="I2964" s="24">
        <v>11.74</v>
      </c>
      <c r="J2964" s="24">
        <v>0.0</v>
      </c>
    </row>
    <row r="2965">
      <c r="A2965" s="24">
        <v>1254.0</v>
      </c>
      <c r="B2965" s="24">
        <v>15.0</v>
      </c>
      <c r="C2965" s="44">
        <v>12.09</v>
      </c>
      <c r="D2965" s="46">
        <v>45043.0</v>
      </c>
      <c r="E2965" s="24">
        <v>0.81</v>
      </c>
      <c r="F2965" s="24">
        <v>9.64</v>
      </c>
      <c r="G2965" s="24">
        <v>1.2</v>
      </c>
      <c r="H2965" s="24" t="s">
        <v>6689</v>
      </c>
      <c r="I2965" s="24" t="s">
        <v>6650</v>
      </c>
      <c r="J2965" s="24">
        <v>0.0</v>
      </c>
    </row>
    <row r="2966">
      <c r="A2966" s="24">
        <v>522.0</v>
      </c>
      <c r="B2966" s="24">
        <v>6.0</v>
      </c>
      <c r="C2966" s="44">
        <v>13.39</v>
      </c>
      <c r="D2966" s="46">
        <v>45043.0</v>
      </c>
      <c r="E2966" s="24">
        <v>2.23</v>
      </c>
      <c r="F2966" s="24">
        <v>25.65</v>
      </c>
      <c r="G2966" s="24">
        <v>1.15</v>
      </c>
      <c r="H2966" s="24" t="s">
        <v>6692</v>
      </c>
      <c r="I2966" s="24">
        <v>4.46</v>
      </c>
      <c r="J2966" s="24">
        <v>0.0</v>
      </c>
    </row>
    <row r="2967">
      <c r="A2967" s="24">
        <v>402.0</v>
      </c>
      <c r="B2967" s="24">
        <v>1.0</v>
      </c>
      <c r="C2967" s="44">
        <v>12.0</v>
      </c>
      <c r="D2967" s="46">
        <v>45043.0</v>
      </c>
      <c r="E2967" s="24">
        <v>12.0</v>
      </c>
      <c r="F2967" s="24">
        <v>29.85</v>
      </c>
      <c r="G2967" s="24">
        <v>0.25</v>
      </c>
      <c r="H2967" s="24" t="s">
        <v>6700</v>
      </c>
      <c r="I2967" s="24">
        <v>4.0</v>
      </c>
      <c r="J2967" s="24">
        <v>0.0</v>
      </c>
    </row>
    <row r="2968">
      <c r="A2968" s="24">
        <v>559.0</v>
      </c>
      <c r="B2968" s="24">
        <v>4.0</v>
      </c>
      <c r="C2968" s="44">
        <v>11.94</v>
      </c>
      <c r="D2968" s="46">
        <v>45043.0</v>
      </c>
      <c r="E2968" s="24">
        <v>2.98</v>
      </c>
      <c r="F2968" s="24">
        <v>21.36</v>
      </c>
      <c r="G2968" s="24">
        <v>0.72</v>
      </c>
      <c r="H2968" s="24" t="s">
        <v>6698</v>
      </c>
      <c r="I2968" s="24">
        <v>5.97</v>
      </c>
      <c r="J2968" s="24">
        <v>0.0</v>
      </c>
    </row>
    <row r="2969">
      <c r="A2969" s="24">
        <v>96.0</v>
      </c>
      <c r="B2969" s="24">
        <v>0.0</v>
      </c>
      <c r="C2969" s="44">
        <v>11.88</v>
      </c>
      <c r="D2969" s="46">
        <v>45043.0</v>
      </c>
      <c r="E2969" s="24" t="s">
        <v>6650</v>
      </c>
      <c r="F2969" s="24">
        <v>123.75</v>
      </c>
      <c r="G2969" s="24">
        <v>0.0</v>
      </c>
      <c r="H2969" s="24" t="s">
        <v>6695</v>
      </c>
      <c r="I2969" s="24">
        <v>11.88</v>
      </c>
      <c r="J2969" s="24">
        <v>0.0</v>
      </c>
    </row>
    <row r="2970">
      <c r="A2970" s="24">
        <v>90.0</v>
      </c>
      <c r="B2970" s="24">
        <v>0.0</v>
      </c>
      <c r="C2970" s="44">
        <v>14.05</v>
      </c>
      <c r="D2970" s="46">
        <v>45043.0</v>
      </c>
      <c r="E2970" s="24" t="s">
        <v>6650</v>
      </c>
      <c r="F2970" s="24">
        <v>156.11</v>
      </c>
      <c r="G2970" s="24">
        <v>0.0</v>
      </c>
      <c r="H2970" s="24" t="s">
        <v>6701</v>
      </c>
      <c r="I2970" s="24" t="s">
        <v>6650</v>
      </c>
      <c r="J2970" s="24">
        <v>0.0</v>
      </c>
    </row>
    <row r="2971">
      <c r="A2971" s="24">
        <v>187.0</v>
      </c>
      <c r="B2971" s="24">
        <v>1.0</v>
      </c>
      <c r="C2971" s="44">
        <v>13.64</v>
      </c>
      <c r="D2971" s="46">
        <v>45043.0</v>
      </c>
      <c r="E2971" s="24">
        <v>13.64</v>
      </c>
      <c r="F2971" s="24">
        <v>72.94</v>
      </c>
      <c r="G2971" s="24">
        <v>0.53</v>
      </c>
      <c r="H2971" s="24" t="s">
        <v>6680</v>
      </c>
      <c r="I2971" s="24" t="s">
        <v>6650</v>
      </c>
      <c r="J2971" s="24">
        <v>0.0</v>
      </c>
    </row>
    <row r="2972">
      <c r="A2972" s="24">
        <v>439.0</v>
      </c>
      <c r="B2972" s="24">
        <v>2.0</v>
      </c>
      <c r="C2972" s="44">
        <v>12.01</v>
      </c>
      <c r="D2972" s="46">
        <v>45044.0</v>
      </c>
      <c r="E2972" s="24">
        <v>6.0</v>
      </c>
      <c r="F2972" s="24">
        <v>27.36</v>
      </c>
      <c r="G2972" s="24">
        <v>0.46</v>
      </c>
      <c r="H2972" s="24" t="s">
        <v>6689</v>
      </c>
      <c r="I2972" s="24" t="s">
        <v>6650</v>
      </c>
      <c r="J2972" s="24">
        <v>0.0</v>
      </c>
    </row>
    <row r="2973">
      <c r="A2973" s="24">
        <v>169.0</v>
      </c>
      <c r="B2973" s="24">
        <v>1.0</v>
      </c>
      <c r="C2973" s="44">
        <v>11.53</v>
      </c>
      <c r="D2973" s="46">
        <v>45044.0</v>
      </c>
      <c r="E2973" s="24">
        <v>11.53</v>
      </c>
      <c r="F2973" s="24">
        <v>68.22</v>
      </c>
      <c r="G2973" s="24">
        <v>0.59</v>
      </c>
      <c r="H2973" s="24" t="s">
        <v>6680</v>
      </c>
      <c r="I2973" s="24">
        <v>11.53</v>
      </c>
      <c r="J2973" s="24">
        <v>0.0</v>
      </c>
    </row>
    <row r="2974">
      <c r="A2974" s="24">
        <v>83.0</v>
      </c>
      <c r="B2974" s="24">
        <v>0.0</v>
      </c>
      <c r="C2974" s="44">
        <v>11.03</v>
      </c>
      <c r="D2974" s="46">
        <v>45044.0</v>
      </c>
      <c r="E2974" s="24" t="s">
        <v>6650</v>
      </c>
      <c r="F2974" s="24">
        <v>132.89</v>
      </c>
      <c r="G2974" s="24">
        <v>0.0</v>
      </c>
      <c r="H2974" s="24" t="s">
        <v>6695</v>
      </c>
      <c r="I2974" s="24" t="s">
        <v>6650</v>
      </c>
      <c r="J2974" s="24">
        <v>0.0</v>
      </c>
    </row>
    <row r="2975">
      <c r="A2975" s="24">
        <v>66.0</v>
      </c>
      <c r="B2975" s="24">
        <v>0.0</v>
      </c>
      <c r="C2975" s="44">
        <v>10.63</v>
      </c>
      <c r="D2975" s="46">
        <v>45044.0</v>
      </c>
      <c r="E2975" s="24" t="s">
        <v>6650</v>
      </c>
      <c r="F2975" s="24">
        <v>161.06</v>
      </c>
      <c r="G2975" s="24">
        <v>0.0</v>
      </c>
      <c r="H2975" s="24" t="s">
        <v>6701</v>
      </c>
      <c r="I2975" s="24" t="s">
        <v>6650</v>
      </c>
      <c r="J2975" s="24">
        <v>0.0</v>
      </c>
    </row>
    <row r="2976">
      <c r="A2976" s="24">
        <v>45.0</v>
      </c>
      <c r="B2976" s="24">
        <v>1.0</v>
      </c>
      <c r="C2976" s="44">
        <v>10.54</v>
      </c>
      <c r="D2976" s="46">
        <v>45044.0</v>
      </c>
      <c r="E2976" s="24">
        <v>10.54</v>
      </c>
      <c r="F2976" s="24">
        <v>234.22</v>
      </c>
      <c r="G2976" s="24">
        <v>2.22</v>
      </c>
      <c r="H2976" s="24" t="s">
        <v>6697</v>
      </c>
      <c r="I2976" s="24" t="s">
        <v>6650</v>
      </c>
      <c r="J2976" s="24">
        <v>0.0</v>
      </c>
    </row>
    <row r="2977">
      <c r="A2977" s="24">
        <v>578.0</v>
      </c>
      <c r="B2977" s="24">
        <v>2.0</v>
      </c>
      <c r="C2977" s="44">
        <v>10.51</v>
      </c>
      <c r="D2977" s="46">
        <v>45044.0</v>
      </c>
      <c r="E2977" s="24">
        <v>5.26</v>
      </c>
      <c r="F2977" s="24">
        <v>18.18</v>
      </c>
      <c r="G2977" s="24">
        <v>0.35</v>
      </c>
      <c r="H2977" s="24" t="s">
        <v>6698</v>
      </c>
      <c r="I2977" s="24" t="s">
        <v>6650</v>
      </c>
      <c r="J2977" s="24">
        <v>0.0</v>
      </c>
    </row>
    <row r="2978">
      <c r="A2978" s="24">
        <v>72.0</v>
      </c>
      <c r="B2978" s="24">
        <v>3.0</v>
      </c>
      <c r="C2978" s="44">
        <v>1.51</v>
      </c>
      <c r="D2978" s="46">
        <v>45044.0</v>
      </c>
      <c r="E2978" s="24">
        <v>0.5</v>
      </c>
      <c r="F2978" s="24">
        <v>20.97</v>
      </c>
      <c r="G2978" s="24">
        <v>4.17</v>
      </c>
      <c r="H2978" s="24" t="s">
        <v>6688</v>
      </c>
      <c r="I2978" s="24" t="s">
        <v>6650</v>
      </c>
      <c r="J2978" s="24">
        <v>0.0</v>
      </c>
    </row>
    <row r="2979">
      <c r="A2979" s="24">
        <v>360.0</v>
      </c>
      <c r="B2979" s="24">
        <v>2.0</v>
      </c>
      <c r="C2979" s="44">
        <v>10.79</v>
      </c>
      <c r="D2979" s="46">
        <v>45044.0</v>
      </c>
      <c r="E2979" s="24">
        <v>5.4</v>
      </c>
      <c r="F2979" s="24">
        <v>29.97</v>
      </c>
      <c r="G2979" s="24">
        <v>0.56</v>
      </c>
      <c r="H2979" s="24" t="s">
        <v>6700</v>
      </c>
      <c r="I2979" s="24">
        <v>10.79</v>
      </c>
      <c r="J2979" s="24">
        <v>0.0</v>
      </c>
    </row>
    <row r="2980">
      <c r="A2980" s="24">
        <v>369.0</v>
      </c>
      <c r="B2980" s="24">
        <v>2.0</v>
      </c>
      <c r="C2980" s="44">
        <v>10.47</v>
      </c>
      <c r="D2980" s="46">
        <v>45044.0</v>
      </c>
      <c r="E2980" s="24">
        <v>5.24</v>
      </c>
      <c r="F2980" s="24">
        <v>28.37</v>
      </c>
      <c r="G2980" s="24">
        <v>0.54</v>
      </c>
      <c r="H2980" s="24" t="s">
        <v>6692</v>
      </c>
      <c r="I2980" s="24" t="s">
        <v>6650</v>
      </c>
      <c r="J2980" s="24">
        <v>0.0</v>
      </c>
    </row>
    <row r="2981">
      <c r="A2981" s="24">
        <v>89.0</v>
      </c>
      <c r="B2981" s="24">
        <v>2.0</v>
      </c>
      <c r="C2981" s="44">
        <v>10.85</v>
      </c>
      <c r="D2981" s="46">
        <v>45044.0</v>
      </c>
      <c r="E2981" s="24">
        <v>5.42</v>
      </c>
      <c r="F2981" s="24">
        <v>121.91</v>
      </c>
      <c r="G2981" s="24">
        <v>2.25</v>
      </c>
      <c r="H2981" s="24" t="s">
        <v>6696</v>
      </c>
      <c r="I2981" s="24">
        <v>5.42</v>
      </c>
      <c r="J2981" s="24">
        <v>0.0</v>
      </c>
    </row>
    <row r="2982">
      <c r="A2982" s="24">
        <v>68.0</v>
      </c>
      <c r="B2982" s="24">
        <v>0.0</v>
      </c>
      <c r="C2982" s="44">
        <v>12.09</v>
      </c>
      <c r="D2982" s="46">
        <v>45044.0</v>
      </c>
      <c r="E2982" s="24" t="s">
        <v>6650</v>
      </c>
      <c r="F2982" s="24">
        <v>177.79</v>
      </c>
      <c r="G2982" s="24">
        <v>0.0</v>
      </c>
      <c r="H2982" s="24" t="s">
        <v>6699</v>
      </c>
      <c r="I2982" s="24" t="s">
        <v>6650</v>
      </c>
      <c r="J2982" s="24">
        <v>0.0</v>
      </c>
    </row>
    <row r="2983">
      <c r="A2983" s="24">
        <v>48.0</v>
      </c>
      <c r="B2983" s="24">
        <v>0.0</v>
      </c>
      <c r="C2983" s="44">
        <v>6.63</v>
      </c>
      <c r="D2983" s="46">
        <v>45045.0</v>
      </c>
      <c r="E2983" s="24" t="s">
        <v>6650</v>
      </c>
      <c r="F2983" s="24">
        <v>138.12</v>
      </c>
      <c r="G2983" s="24">
        <v>0.0</v>
      </c>
      <c r="H2983" s="24" t="s">
        <v>6696</v>
      </c>
      <c r="I2983" s="24" t="s">
        <v>6650</v>
      </c>
      <c r="J2983" s="24">
        <v>0.0</v>
      </c>
    </row>
    <row r="2984">
      <c r="A2984" s="24">
        <v>387.0</v>
      </c>
      <c r="B2984" s="24">
        <v>1.0</v>
      </c>
      <c r="C2984" s="44">
        <v>6.9</v>
      </c>
      <c r="D2984" s="46">
        <v>45045.0</v>
      </c>
      <c r="E2984" s="24">
        <v>6.9</v>
      </c>
      <c r="F2984" s="24">
        <v>17.83</v>
      </c>
      <c r="G2984" s="24">
        <v>0.26</v>
      </c>
      <c r="H2984" s="24" t="s">
        <v>6698</v>
      </c>
      <c r="I2984" s="24">
        <v>6.9</v>
      </c>
      <c r="J2984" s="24">
        <v>0.0</v>
      </c>
    </row>
    <row r="2985">
      <c r="A2985" s="24">
        <v>55.0</v>
      </c>
      <c r="B2985" s="24">
        <v>0.0</v>
      </c>
      <c r="C2985" s="44">
        <v>6.62</v>
      </c>
      <c r="D2985" s="46">
        <v>45045.0</v>
      </c>
      <c r="E2985" s="24" t="s">
        <v>6650</v>
      </c>
      <c r="F2985" s="24">
        <v>120.36</v>
      </c>
      <c r="G2985" s="24">
        <v>0.0</v>
      </c>
      <c r="H2985" s="24" t="s">
        <v>6699</v>
      </c>
      <c r="I2985" s="24" t="s">
        <v>6650</v>
      </c>
      <c r="J2985" s="24">
        <v>0.0</v>
      </c>
    </row>
    <row r="2986">
      <c r="A2986" s="24">
        <v>39.0</v>
      </c>
      <c r="B2986" s="24">
        <v>0.0</v>
      </c>
      <c r="C2986" s="44">
        <v>7.21</v>
      </c>
      <c r="D2986" s="46">
        <v>45045.0</v>
      </c>
      <c r="E2986" s="24" t="s">
        <v>6650</v>
      </c>
      <c r="F2986" s="24">
        <v>184.87</v>
      </c>
      <c r="G2986" s="24">
        <v>0.0</v>
      </c>
      <c r="H2986" s="24" t="s">
        <v>6701</v>
      </c>
      <c r="I2986" s="24">
        <v>7.21</v>
      </c>
      <c r="J2986" s="24">
        <v>0.0</v>
      </c>
    </row>
    <row r="2987">
      <c r="A2987" s="24">
        <v>262.0</v>
      </c>
      <c r="B2987" s="24">
        <v>4.0</v>
      </c>
      <c r="C2987" s="44">
        <v>6.13</v>
      </c>
      <c r="D2987" s="46">
        <v>45045.0</v>
      </c>
      <c r="E2987" s="24">
        <v>1.53</v>
      </c>
      <c r="F2987" s="24">
        <v>23.4</v>
      </c>
      <c r="G2987" s="24">
        <v>1.53</v>
      </c>
      <c r="H2987" s="24" t="s">
        <v>6692</v>
      </c>
      <c r="I2987" s="24" t="s">
        <v>6650</v>
      </c>
      <c r="J2987" s="24">
        <v>0.0</v>
      </c>
    </row>
    <row r="2988">
      <c r="A2988" s="24">
        <v>342.0</v>
      </c>
      <c r="B2988" s="24">
        <v>2.0</v>
      </c>
      <c r="C2988" s="44">
        <v>6.42</v>
      </c>
      <c r="D2988" s="46">
        <v>45045.0</v>
      </c>
      <c r="E2988" s="24">
        <v>3.21</v>
      </c>
      <c r="F2988" s="24">
        <v>18.77</v>
      </c>
      <c r="G2988" s="24">
        <v>0.58</v>
      </c>
      <c r="H2988" s="24" t="s">
        <v>6700</v>
      </c>
      <c r="I2988" s="24">
        <v>6.42</v>
      </c>
      <c r="J2988" s="24">
        <v>0.0</v>
      </c>
    </row>
    <row r="2989">
      <c r="A2989" s="24">
        <v>354.0</v>
      </c>
      <c r="B2989" s="24">
        <v>0.0</v>
      </c>
      <c r="C2989" s="44">
        <v>6.34</v>
      </c>
      <c r="D2989" s="46">
        <v>45045.0</v>
      </c>
      <c r="E2989" s="24" t="s">
        <v>6650</v>
      </c>
      <c r="F2989" s="24">
        <v>17.91</v>
      </c>
      <c r="G2989" s="24">
        <v>0.0</v>
      </c>
      <c r="H2989" s="24" t="s">
        <v>6689</v>
      </c>
      <c r="I2989" s="24" t="s">
        <v>6650</v>
      </c>
      <c r="J2989" s="24">
        <v>0.0</v>
      </c>
    </row>
    <row r="2990">
      <c r="A2990" s="24">
        <v>31.0</v>
      </c>
      <c r="B2990" s="24">
        <v>1.0</v>
      </c>
      <c r="C2990" s="44">
        <v>5.66</v>
      </c>
      <c r="D2990" s="46">
        <v>45045.0</v>
      </c>
      <c r="E2990" s="24">
        <v>5.66</v>
      </c>
      <c r="F2990" s="24">
        <v>182.58</v>
      </c>
      <c r="G2990" s="24">
        <v>3.23</v>
      </c>
      <c r="H2990" s="24" t="s">
        <v>6695</v>
      </c>
      <c r="I2990" s="24" t="s">
        <v>6650</v>
      </c>
      <c r="J2990" s="24">
        <v>0.0</v>
      </c>
    </row>
    <row r="2991">
      <c r="A2991" s="24">
        <v>114.0</v>
      </c>
      <c r="B2991" s="24">
        <v>3.0</v>
      </c>
      <c r="C2991" s="44">
        <v>4.06</v>
      </c>
      <c r="D2991" s="46">
        <v>45045.0</v>
      </c>
      <c r="E2991" s="24">
        <v>1.35</v>
      </c>
      <c r="F2991" s="24">
        <v>35.61</v>
      </c>
      <c r="G2991" s="24">
        <v>2.63</v>
      </c>
      <c r="H2991" s="24" t="s">
        <v>6688</v>
      </c>
      <c r="I2991" s="24">
        <v>4.06</v>
      </c>
      <c r="J2991" s="24">
        <v>0.0</v>
      </c>
    </row>
    <row r="2992">
      <c r="A2992" s="24">
        <v>25.0</v>
      </c>
      <c r="B2992" s="24">
        <v>0.0</v>
      </c>
      <c r="C2992" s="44">
        <v>6.1</v>
      </c>
      <c r="D2992" s="46">
        <v>45045.0</v>
      </c>
      <c r="E2992" s="24" t="s">
        <v>6650</v>
      </c>
      <c r="F2992" s="24">
        <v>244.0</v>
      </c>
      <c r="G2992" s="24">
        <v>0.0</v>
      </c>
      <c r="H2992" s="24" t="s">
        <v>6697</v>
      </c>
      <c r="I2992" s="24">
        <v>6.1</v>
      </c>
      <c r="J2992" s="24">
        <v>0.0</v>
      </c>
    </row>
    <row r="2993">
      <c r="A2993" s="24">
        <v>106.0</v>
      </c>
      <c r="B2993" s="24">
        <v>1.0</v>
      </c>
      <c r="C2993" s="44">
        <v>8.47</v>
      </c>
      <c r="D2993" s="46">
        <v>45045.0</v>
      </c>
      <c r="E2993" s="24">
        <v>8.47</v>
      </c>
      <c r="F2993" s="24">
        <v>79.91</v>
      </c>
      <c r="G2993" s="24">
        <v>0.94</v>
      </c>
      <c r="H2993" s="24" t="s">
        <v>6680</v>
      </c>
      <c r="I2993" s="24" t="s">
        <v>6650</v>
      </c>
      <c r="J2993" s="24">
        <v>0.0</v>
      </c>
    </row>
    <row r="2994">
      <c r="A2994" s="24">
        <v>0.0</v>
      </c>
      <c r="B2994" s="24">
        <v>0.0</v>
      </c>
      <c r="C2994" s="44"/>
      <c r="D2994" s="46">
        <v>45045.0</v>
      </c>
      <c r="E2994" s="24" t="s">
        <v>6650</v>
      </c>
      <c r="F2994" s="24" t="s">
        <v>6650</v>
      </c>
      <c r="G2994" s="24" t="s">
        <v>6650</v>
      </c>
      <c r="H2994" s="24" t="s">
        <v>6675</v>
      </c>
      <c r="I2994" s="24" t="s">
        <v>6650</v>
      </c>
      <c r="J2994" s="24"/>
    </row>
    <row r="2995">
      <c r="A2995" s="24">
        <v>125.0</v>
      </c>
      <c r="B2995" s="24">
        <v>1.0</v>
      </c>
      <c r="C2995" s="44">
        <v>5.06</v>
      </c>
      <c r="D2995" s="46">
        <v>45046.0</v>
      </c>
      <c r="E2995" s="24">
        <v>5.06</v>
      </c>
      <c r="F2995" s="24">
        <v>40.48</v>
      </c>
      <c r="G2995" s="24">
        <v>0.8</v>
      </c>
      <c r="H2995" s="24" t="s">
        <v>6692</v>
      </c>
      <c r="I2995" s="24" t="s">
        <v>6650</v>
      </c>
      <c r="J2995" s="24">
        <v>0.0</v>
      </c>
    </row>
    <row r="2996">
      <c r="A2996" s="24">
        <v>25.0</v>
      </c>
      <c r="B2996" s="24">
        <v>0.0</v>
      </c>
      <c r="C2996" s="44">
        <v>5.55</v>
      </c>
      <c r="D2996" s="46">
        <v>45046.0</v>
      </c>
      <c r="E2996" s="24" t="s">
        <v>6650</v>
      </c>
      <c r="F2996" s="24">
        <v>222.0</v>
      </c>
      <c r="G2996" s="24">
        <v>0.0</v>
      </c>
      <c r="H2996" s="24" t="s">
        <v>6680</v>
      </c>
      <c r="I2996" s="24" t="s">
        <v>6650</v>
      </c>
      <c r="J2996" s="24">
        <v>0.0</v>
      </c>
    </row>
    <row r="2997">
      <c r="A2997" s="24">
        <v>10.0</v>
      </c>
      <c r="B2997" s="24">
        <v>0.0</v>
      </c>
      <c r="C2997" s="44">
        <v>4.05</v>
      </c>
      <c r="D2997" s="46">
        <v>45046.0</v>
      </c>
      <c r="E2997" s="24" t="s">
        <v>6650</v>
      </c>
      <c r="F2997" s="24">
        <v>405.0</v>
      </c>
      <c r="G2997" s="24">
        <v>0.0</v>
      </c>
      <c r="H2997" s="24" t="s">
        <v>6695</v>
      </c>
      <c r="I2997" s="24" t="s">
        <v>6650</v>
      </c>
      <c r="J2997" s="24">
        <v>0.0</v>
      </c>
    </row>
    <row r="2998">
      <c r="A2998" s="24">
        <v>295.0</v>
      </c>
      <c r="B2998" s="24">
        <v>0.0</v>
      </c>
      <c r="C2998" s="44">
        <v>6.31</v>
      </c>
      <c r="D2998" s="46">
        <v>45046.0</v>
      </c>
      <c r="E2998" s="24" t="s">
        <v>6650</v>
      </c>
      <c r="F2998" s="24">
        <v>21.39</v>
      </c>
      <c r="G2998" s="24">
        <v>0.0</v>
      </c>
      <c r="H2998" s="24" t="s">
        <v>6698</v>
      </c>
      <c r="I2998" s="24" t="s">
        <v>6650</v>
      </c>
      <c r="J2998" s="24">
        <v>0.0</v>
      </c>
    </row>
    <row r="2999">
      <c r="A2999" s="24">
        <v>124.0</v>
      </c>
      <c r="B2999" s="24">
        <v>1.0</v>
      </c>
      <c r="C2999" s="44">
        <v>3.81</v>
      </c>
      <c r="D2999" s="46">
        <v>45046.0</v>
      </c>
      <c r="E2999" s="24">
        <v>3.81</v>
      </c>
      <c r="F2999" s="24">
        <v>30.73</v>
      </c>
      <c r="G2999" s="24">
        <v>0.81</v>
      </c>
      <c r="H2999" s="24" t="s">
        <v>6688</v>
      </c>
      <c r="I2999" s="24" t="s">
        <v>6650</v>
      </c>
      <c r="J2999" s="24">
        <v>0.0</v>
      </c>
    </row>
    <row r="3000">
      <c r="A3000" s="24">
        <v>74.0</v>
      </c>
      <c r="B3000" s="24">
        <v>0.0</v>
      </c>
      <c r="C3000" s="44">
        <v>7.38</v>
      </c>
      <c r="D3000" s="46">
        <v>45046.0</v>
      </c>
      <c r="E3000" s="24" t="s">
        <v>6650</v>
      </c>
      <c r="F3000" s="24">
        <v>99.73</v>
      </c>
      <c r="G3000" s="24">
        <v>0.0</v>
      </c>
      <c r="H3000" s="24" t="s">
        <v>6696</v>
      </c>
      <c r="I3000" s="24" t="s">
        <v>6650</v>
      </c>
      <c r="J3000" s="24">
        <v>0.0</v>
      </c>
    </row>
    <row r="3001">
      <c r="A3001" s="24">
        <v>42.0</v>
      </c>
      <c r="B3001" s="24">
        <v>0.0</v>
      </c>
      <c r="C3001" s="44">
        <v>4.32</v>
      </c>
      <c r="D3001" s="46">
        <v>45046.0</v>
      </c>
      <c r="E3001" s="24" t="s">
        <v>6650</v>
      </c>
      <c r="F3001" s="24">
        <v>102.86</v>
      </c>
      <c r="G3001" s="24">
        <v>0.0</v>
      </c>
      <c r="H3001" s="24" t="s">
        <v>6699</v>
      </c>
      <c r="I3001" s="24" t="s">
        <v>6650</v>
      </c>
      <c r="J3001" s="24">
        <v>0.0</v>
      </c>
    </row>
    <row r="3002">
      <c r="A3002" s="24">
        <v>26.0</v>
      </c>
      <c r="B3002" s="24">
        <v>0.0</v>
      </c>
      <c r="C3002" s="44">
        <v>5.5</v>
      </c>
      <c r="D3002" s="46">
        <v>45046.0</v>
      </c>
      <c r="E3002" s="24" t="s">
        <v>6650</v>
      </c>
      <c r="F3002" s="24">
        <v>211.54</v>
      </c>
      <c r="G3002" s="24">
        <v>0.0</v>
      </c>
      <c r="H3002" s="24" t="s">
        <v>6697</v>
      </c>
      <c r="I3002" s="24" t="s">
        <v>6650</v>
      </c>
      <c r="J3002" s="24">
        <v>0.0</v>
      </c>
    </row>
    <row r="3003">
      <c r="A3003" s="24">
        <v>263.0</v>
      </c>
      <c r="B3003" s="24">
        <v>3.0</v>
      </c>
      <c r="C3003" s="44">
        <v>6.19</v>
      </c>
      <c r="D3003" s="46">
        <v>45046.0</v>
      </c>
      <c r="E3003" s="24">
        <v>2.06</v>
      </c>
      <c r="F3003" s="24">
        <v>23.54</v>
      </c>
      <c r="G3003" s="24">
        <v>1.14</v>
      </c>
      <c r="H3003" s="24" t="s">
        <v>6700</v>
      </c>
      <c r="I3003" s="24" t="s">
        <v>6650</v>
      </c>
      <c r="J3003" s="24">
        <v>0.0</v>
      </c>
    </row>
    <row r="3004">
      <c r="A3004" s="24">
        <v>35.0</v>
      </c>
      <c r="B3004" s="24">
        <v>0.0</v>
      </c>
      <c r="C3004" s="44">
        <v>2.02</v>
      </c>
      <c r="D3004" s="46">
        <v>45046.0</v>
      </c>
      <c r="E3004" s="24" t="s">
        <v>6650</v>
      </c>
      <c r="F3004" s="24">
        <v>57.71</v>
      </c>
      <c r="G3004" s="24">
        <v>0.0</v>
      </c>
      <c r="H3004" s="24" t="s">
        <v>6701</v>
      </c>
      <c r="I3004" s="24" t="s">
        <v>6650</v>
      </c>
      <c r="J3004" s="24">
        <v>0.0</v>
      </c>
    </row>
    <row r="3005">
      <c r="A3005" s="24">
        <v>263.0</v>
      </c>
      <c r="B3005" s="24">
        <v>3.0</v>
      </c>
      <c r="C3005" s="44">
        <v>4.9</v>
      </c>
      <c r="D3005" s="46">
        <v>45046.0</v>
      </c>
      <c r="E3005" s="24">
        <v>1.63</v>
      </c>
      <c r="F3005" s="24">
        <v>18.63</v>
      </c>
      <c r="G3005" s="24">
        <v>1.14</v>
      </c>
      <c r="H3005" s="24" t="s">
        <v>6689</v>
      </c>
      <c r="I3005" s="24" t="s">
        <v>6650</v>
      </c>
      <c r="J3005" s="24">
        <v>0.0</v>
      </c>
    </row>
    <row r="3006">
      <c r="A3006" s="24">
        <v>88.0</v>
      </c>
      <c r="B3006" s="24">
        <v>1.0</v>
      </c>
      <c r="C3006" s="44">
        <v>11.41</v>
      </c>
      <c r="D3006" s="46">
        <v>45047.0</v>
      </c>
      <c r="E3006" s="24">
        <v>11.41</v>
      </c>
      <c r="F3006" s="24">
        <v>129.66</v>
      </c>
      <c r="G3006" s="24">
        <v>1.14</v>
      </c>
      <c r="H3006" s="24" t="s">
        <v>6701</v>
      </c>
      <c r="I3006" s="24" t="s">
        <v>6650</v>
      </c>
      <c r="J3006" s="24">
        <v>0.0</v>
      </c>
    </row>
    <row r="3007">
      <c r="A3007" s="24">
        <v>101.0</v>
      </c>
      <c r="B3007" s="24">
        <v>3.0</v>
      </c>
      <c r="C3007" s="44">
        <v>2.34</v>
      </c>
      <c r="D3007" s="46">
        <v>45047.0</v>
      </c>
      <c r="E3007" s="24">
        <v>0.78</v>
      </c>
      <c r="F3007" s="24">
        <v>23.17</v>
      </c>
      <c r="G3007" s="24">
        <v>2.97</v>
      </c>
      <c r="H3007" s="24" t="s">
        <v>6688</v>
      </c>
      <c r="I3007" s="24" t="s">
        <v>6650</v>
      </c>
      <c r="J3007" s="24">
        <v>0.0</v>
      </c>
    </row>
    <row r="3008">
      <c r="A3008" s="24">
        <v>505.0</v>
      </c>
      <c r="B3008" s="24">
        <v>1.0</v>
      </c>
      <c r="C3008" s="44">
        <v>12.12</v>
      </c>
      <c r="D3008" s="46">
        <v>45047.0</v>
      </c>
      <c r="E3008" s="24">
        <v>12.12</v>
      </c>
      <c r="F3008" s="24">
        <v>24.0</v>
      </c>
      <c r="G3008" s="24">
        <v>0.2</v>
      </c>
      <c r="H3008" s="24" t="s">
        <v>6692</v>
      </c>
      <c r="I3008" s="24" t="s">
        <v>6650</v>
      </c>
      <c r="J3008" s="24">
        <v>0.0</v>
      </c>
    </row>
    <row r="3009">
      <c r="A3009" s="24">
        <v>70.0</v>
      </c>
      <c r="B3009" s="24">
        <v>1.0</v>
      </c>
      <c r="C3009" s="44">
        <v>9.78</v>
      </c>
      <c r="D3009" s="46">
        <v>45047.0</v>
      </c>
      <c r="E3009" s="24">
        <v>9.78</v>
      </c>
      <c r="F3009" s="24">
        <v>139.71</v>
      </c>
      <c r="G3009" s="24">
        <v>1.43</v>
      </c>
      <c r="H3009" s="24" t="s">
        <v>6696</v>
      </c>
      <c r="I3009" s="24" t="s">
        <v>6650</v>
      </c>
      <c r="J3009" s="24">
        <v>0.0</v>
      </c>
    </row>
    <row r="3010">
      <c r="A3010" s="24">
        <v>43.0</v>
      </c>
      <c r="B3010" s="24">
        <v>0.0</v>
      </c>
      <c r="C3010" s="44">
        <v>9.14</v>
      </c>
      <c r="D3010" s="46">
        <v>45047.0</v>
      </c>
      <c r="E3010" s="24" t="s">
        <v>6650</v>
      </c>
      <c r="F3010" s="24">
        <v>212.56</v>
      </c>
      <c r="G3010" s="24">
        <v>0.0</v>
      </c>
      <c r="H3010" s="24" t="s">
        <v>6697</v>
      </c>
      <c r="I3010" s="24" t="s">
        <v>6650</v>
      </c>
      <c r="J3010" s="24">
        <v>0.0</v>
      </c>
    </row>
    <row r="3011">
      <c r="A3011" s="24">
        <v>1112.0</v>
      </c>
      <c r="B3011" s="24">
        <v>11.0</v>
      </c>
      <c r="C3011" s="44">
        <v>11.21</v>
      </c>
      <c r="D3011" s="46">
        <v>45047.0</v>
      </c>
      <c r="E3011" s="24">
        <v>1.02</v>
      </c>
      <c r="F3011" s="24">
        <v>10.08</v>
      </c>
      <c r="G3011" s="24">
        <v>0.99</v>
      </c>
      <c r="H3011" s="24" t="s">
        <v>6689</v>
      </c>
      <c r="I3011" s="24">
        <v>11.21</v>
      </c>
      <c r="J3011" s="24">
        <v>0.0</v>
      </c>
    </row>
    <row r="3012">
      <c r="A3012" s="24">
        <v>186.0</v>
      </c>
      <c r="B3012" s="24">
        <v>3.0</v>
      </c>
      <c r="C3012" s="44">
        <v>11.18</v>
      </c>
      <c r="D3012" s="46">
        <v>45047.0</v>
      </c>
      <c r="E3012" s="24">
        <v>3.73</v>
      </c>
      <c r="F3012" s="24">
        <v>60.11</v>
      </c>
      <c r="G3012" s="24">
        <v>1.61</v>
      </c>
      <c r="H3012" s="24" t="s">
        <v>6699</v>
      </c>
      <c r="I3012" s="24">
        <v>11.18</v>
      </c>
      <c r="J3012" s="24">
        <v>0.0</v>
      </c>
    </row>
    <row r="3013">
      <c r="A3013" s="24">
        <v>634.0</v>
      </c>
      <c r="B3013" s="24">
        <v>1.0</v>
      </c>
      <c r="C3013" s="44">
        <v>11.19</v>
      </c>
      <c r="D3013" s="46">
        <v>45047.0</v>
      </c>
      <c r="E3013" s="24">
        <v>11.19</v>
      </c>
      <c r="F3013" s="24">
        <v>17.65</v>
      </c>
      <c r="G3013" s="24">
        <v>0.16</v>
      </c>
      <c r="H3013" s="24" t="s">
        <v>6698</v>
      </c>
      <c r="I3013" s="24" t="s">
        <v>6650</v>
      </c>
      <c r="J3013" s="24">
        <v>0.0</v>
      </c>
    </row>
    <row r="3014">
      <c r="A3014" s="24">
        <v>457.0</v>
      </c>
      <c r="B3014" s="24">
        <v>4.0</v>
      </c>
      <c r="C3014" s="44">
        <v>13.05</v>
      </c>
      <c r="D3014" s="46">
        <v>45047.0</v>
      </c>
      <c r="E3014" s="24">
        <v>3.26</v>
      </c>
      <c r="F3014" s="24">
        <v>28.56</v>
      </c>
      <c r="G3014" s="24">
        <v>0.88</v>
      </c>
      <c r="H3014" s="24" t="s">
        <v>6680</v>
      </c>
      <c r="I3014" s="24">
        <v>6.52</v>
      </c>
      <c r="J3014" s="24">
        <v>0.0</v>
      </c>
    </row>
    <row r="3015">
      <c r="A3015" s="24">
        <v>428.0</v>
      </c>
      <c r="B3015" s="24">
        <v>1.0</v>
      </c>
      <c r="C3015" s="44">
        <v>11.16</v>
      </c>
      <c r="D3015" s="46">
        <v>45047.0</v>
      </c>
      <c r="E3015" s="24">
        <v>11.16</v>
      </c>
      <c r="F3015" s="24">
        <v>26.07</v>
      </c>
      <c r="G3015" s="24">
        <v>0.23</v>
      </c>
      <c r="H3015" s="24" t="s">
        <v>6700</v>
      </c>
      <c r="I3015" s="24" t="s">
        <v>6650</v>
      </c>
      <c r="J3015" s="24">
        <v>0.0</v>
      </c>
    </row>
    <row r="3016">
      <c r="A3016" s="24">
        <v>142.0</v>
      </c>
      <c r="B3016" s="24">
        <v>1.0</v>
      </c>
      <c r="C3016" s="44">
        <v>11.3</v>
      </c>
      <c r="D3016" s="46">
        <v>45047.0</v>
      </c>
      <c r="E3016" s="24">
        <v>11.3</v>
      </c>
      <c r="F3016" s="24">
        <v>79.58</v>
      </c>
      <c r="G3016" s="24">
        <v>0.7</v>
      </c>
      <c r="H3016" s="24" t="s">
        <v>6695</v>
      </c>
      <c r="I3016" s="24" t="s">
        <v>6650</v>
      </c>
      <c r="J3016" s="24">
        <v>0.0</v>
      </c>
    </row>
    <row r="3017">
      <c r="A3017" s="24">
        <v>115.0</v>
      </c>
      <c r="B3017" s="24">
        <v>4.0</v>
      </c>
      <c r="C3017" s="44">
        <v>13.42</v>
      </c>
      <c r="D3017" s="46">
        <v>45048.0</v>
      </c>
      <c r="E3017" s="24">
        <v>3.36</v>
      </c>
      <c r="F3017" s="24">
        <v>116.7</v>
      </c>
      <c r="G3017" s="24">
        <v>3.48</v>
      </c>
      <c r="H3017" s="24" t="s">
        <v>6699</v>
      </c>
      <c r="I3017" s="24">
        <v>13.42</v>
      </c>
      <c r="J3017" s="24">
        <v>0.0</v>
      </c>
    </row>
    <row r="3018">
      <c r="A3018" s="24">
        <v>1474.0</v>
      </c>
      <c r="B3018" s="24">
        <v>14.0</v>
      </c>
      <c r="C3018" s="44">
        <v>11.72</v>
      </c>
      <c r="D3018" s="46">
        <v>45048.0</v>
      </c>
      <c r="E3018" s="24">
        <v>0.84</v>
      </c>
      <c r="F3018" s="24">
        <v>7.95</v>
      </c>
      <c r="G3018" s="24">
        <v>0.95</v>
      </c>
      <c r="H3018" s="24" t="s">
        <v>6689</v>
      </c>
      <c r="I3018" s="24">
        <v>2.93</v>
      </c>
      <c r="J3018" s="24">
        <v>0.0</v>
      </c>
    </row>
    <row r="3019">
      <c r="A3019" s="24">
        <v>598.0</v>
      </c>
      <c r="B3019" s="24">
        <v>1.0</v>
      </c>
      <c r="C3019" s="44">
        <v>11.58</v>
      </c>
      <c r="D3019" s="46">
        <v>45048.0</v>
      </c>
      <c r="E3019" s="24">
        <v>11.58</v>
      </c>
      <c r="F3019" s="24">
        <v>19.36</v>
      </c>
      <c r="G3019" s="24">
        <v>0.17</v>
      </c>
      <c r="H3019" s="24" t="s">
        <v>6700</v>
      </c>
      <c r="I3019" s="24" t="s">
        <v>6650</v>
      </c>
      <c r="J3019" s="24">
        <v>0.0</v>
      </c>
    </row>
    <row r="3020">
      <c r="A3020" s="24">
        <v>41.0</v>
      </c>
      <c r="B3020" s="24">
        <v>0.0</v>
      </c>
      <c r="C3020" s="44">
        <v>8.32</v>
      </c>
      <c r="D3020" s="46">
        <v>45048.0</v>
      </c>
      <c r="E3020" s="24" t="s">
        <v>6650</v>
      </c>
      <c r="F3020" s="24">
        <v>202.93</v>
      </c>
      <c r="G3020" s="24">
        <v>0.0</v>
      </c>
      <c r="H3020" s="24" t="s">
        <v>6697</v>
      </c>
      <c r="I3020" s="24" t="s">
        <v>6650</v>
      </c>
      <c r="J3020" s="24">
        <v>0.0</v>
      </c>
    </row>
    <row r="3021">
      <c r="A3021" s="24">
        <v>636.0</v>
      </c>
      <c r="B3021" s="24">
        <v>6.0</v>
      </c>
      <c r="C3021" s="44">
        <v>12.28</v>
      </c>
      <c r="D3021" s="46">
        <v>45048.0</v>
      </c>
      <c r="E3021" s="24">
        <v>2.05</v>
      </c>
      <c r="F3021" s="24">
        <v>19.31</v>
      </c>
      <c r="G3021" s="24">
        <v>0.94</v>
      </c>
      <c r="H3021" s="24" t="s">
        <v>6692</v>
      </c>
      <c r="I3021" s="24" t="s">
        <v>6650</v>
      </c>
      <c r="J3021" s="24">
        <v>0.0</v>
      </c>
    </row>
    <row r="3022">
      <c r="A3022" s="24">
        <v>164.0</v>
      </c>
      <c r="B3022" s="24">
        <v>4.0</v>
      </c>
      <c r="C3022" s="44">
        <v>12.15</v>
      </c>
      <c r="D3022" s="46">
        <v>45048.0</v>
      </c>
      <c r="E3022" s="24">
        <v>3.04</v>
      </c>
      <c r="F3022" s="24">
        <v>74.09</v>
      </c>
      <c r="G3022" s="24">
        <v>2.44</v>
      </c>
      <c r="H3022" s="24" t="s">
        <v>6696</v>
      </c>
      <c r="I3022" s="24" t="s">
        <v>6650</v>
      </c>
      <c r="J3022" s="24">
        <v>0.0</v>
      </c>
    </row>
    <row r="3023">
      <c r="A3023" s="24">
        <v>681.0</v>
      </c>
      <c r="B3023" s="24">
        <v>7.0</v>
      </c>
      <c r="C3023" s="44">
        <v>11.59</v>
      </c>
      <c r="D3023" s="46">
        <v>45048.0</v>
      </c>
      <c r="E3023" s="24">
        <v>1.66</v>
      </c>
      <c r="F3023" s="24">
        <v>17.02</v>
      </c>
      <c r="G3023" s="24">
        <v>1.03</v>
      </c>
      <c r="H3023" s="24" t="s">
        <v>6698</v>
      </c>
      <c r="I3023" s="24" t="s">
        <v>6650</v>
      </c>
      <c r="J3023" s="24">
        <v>0.0</v>
      </c>
    </row>
    <row r="3024">
      <c r="A3024" s="24">
        <v>110.0</v>
      </c>
      <c r="B3024" s="24">
        <v>0.0</v>
      </c>
      <c r="C3024" s="44">
        <v>13.04</v>
      </c>
      <c r="D3024" s="46">
        <v>45048.0</v>
      </c>
      <c r="E3024" s="24" t="s">
        <v>6650</v>
      </c>
      <c r="F3024" s="24">
        <v>118.55</v>
      </c>
      <c r="G3024" s="24">
        <v>0.0</v>
      </c>
      <c r="H3024" s="24" t="s">
        <v>6701</v>
      </c>
      <c r="I3024" s="24" t="s">
        <v>6650</v>
      </c>
      <c r="J3024" s="24">
        <v>0.0</v>
      </c>
    </row>
    <row r="3025">
      <c r="A3025" s="24">
        <v>150.0</v>
      </c>
      <c r="B3025" s="24">
        <v>2.0</v>
      </c>
      <c r="C3025" s="44">
        <v>11.95</v>
      </c>
      <c r="D3025" s="46">
        <v>45048.0</v>
      </c>
      <c r="E3025" s="24">
        <v>5.98</v>
      </c>
      <c r="F3025" s="24">
        <v>79.67</v>
      </c>
      <c r="G3025" s="24">
        <v>1.33</v>
      </c>
      <c r="H3025" s="24" t="s">
        <v>6695</v>
      </c>
      <c r="I3025" s="24" t="s">
        <v>6650</v>
      </c>
      <c r="J3025" s="24">
        <v>0.0</v>
      </c>
    </row>
    <row r="3026">
      <c r="A3026" s="24">
        <v>307.0</v>
      </c>
      <c r="B3026" s="24">
        <v>3.0</v>
      </c>
      <c r="C3026" s="44">
        <v>13.36</v>
      </c>
      <c r="D3026" s="46">
        <v>45048.0</v>
      </c>
      <c r="E3026" s="24">
        <v>4.45</v>
      </c>
      <c r="F3026" s="24">
        <v>43.52</v>
      </c>
      <c r="G3026" s="24">
        <v>0.98</v>
      </c>
      <c r="H3026" s="24" t="s">
        <v>6680</v>
      </c>
      <c r="I3026" s="24">
        <v>4.45</v>
      </c>
      <c r="J3026" s="24">
        <v>0.0</v>
      </c>
    </row>
    <row r="3027">
      <c r="A3027" s="24">
        <v>103.0</v>
      </c>
      <c r="B3027" s="24">
        <v>1.0</v>
      </c>
      <c r="C3027" s="44">
        <v>2.25</v>
      </c>
      <c r="D3027" s="46">
        <v>45048.0</v>
      </c>
      <c r="E3027" s="24">
        <v>2.25</v>
      </c>
      <c r="F3027" s="24">
        <v>21.84</v>
      </c>
      <c r="G3027" s="24">
        <v>0.97</v>
      </c>
      <c r="H3027" s="24" t="s">
        <v>6688</v>
      </c>
      <c r="I3027" s="24" t="s">
        <v>6650</v>
      </c>
      <c r="J3027" s="24">
        <v>0.0</v>
      </c>
    </row>
    <row r="3028">
      <c r="A3028" s="24">
        <v>677.0</v>
      </c>
      <c r="B3028" s="24">
        <v>1.0</v>
      </c>
      <c r="C3028" s="44">
        <v>11.74</v>
      </c>
      <c r="D3028" s="46">
        <v>45049.0</v>
      </c>
      <c r="E3028" s="24">
        <v>11.74</v>
      </c>
      <c r="F3028" s="24">
        <v>17.34</v>
      </c>
      <c r="G3028" s="24">
        <v>0.15</v>
      </c>
      <c r="H3028" s="24" t="s">
        <v>6698</v>
      </c>
      <c r="I3028" s="24">
        <v>11.74</v>
      </c>
      <c r="J3028" s="24">
        <v>0.0</v>
      </c>
    </row>
    <row r="3029">
      <c r="A3029" s="24">
        <v>507.0</v>
      </c>
      <c r="B3029" s="24">
        <v>2.0</v>
      </c>
      <c r="C3029" s="44">
        <v>11.71</v>
      </c>
      <c r="D3029" s="46">
        <v>45049.0</v>
      </c>
      <c r="E3029" s="24">
        <v>5.86</v>
      </c>
      <c r="F3029" s="24">
        <v>23.1</v>
      </c>
      <c r="G3029" s="24">
        <v>0.39</v>
      </c>
      <c r="H3029" s="24" t="s">
        <v>6700</v>
      </c>
      <c r="I3029" s="24" t="s">
        <v>6650</v>
      </c>
      <c r="J3029" s="24">
        <v>0.0</v>
      </c>
    </row>
    <row r="3030">
      <c r="A3030" s="24">
        <v>106.0</v>
      </c>
      <c r="B3030" s="24">
        <v>0.0</v>
      </c>
      <c r="C3030" s="44">
        <v>11.52</v>
      </c>
      <c r="D3030" s="46">
        <v>45049.0</v>
      </c>
      <c r="E3030" s="24" t="s">
        <v>6650</v>
      </c>
      <c r="F3030" s="24">
        <v>108.68</v>
      </c>
      <c r="G3030" s="24">
        <v>0.0</v>
      </c>
      <c r="H3030" s="24" t="s">
        <v>6701</v>
      </c>
      <c r="I3030" s="24" t="s">
        <v>6650</v>
      </c>
      <c r="J3030" s="24">
        <v>0.0</v>
      </c>
    </row>
    <row r="3031">
      <c r="A3031" s="24">
        <v>203.0</v>
      </c>
      <c r="B3031" s="24">
        <v>1.0</v>
      </c>
      <c r="C3031" s="44">
        <v>15.0</v>
      </c>
      <c r="D3031" s="46">
        <v>45049.0</v>
      </c>
      <c r="E3031" s="24">
        <v>15.0</v>
      </c>
      <c r="F3031" s="24">
        <v>73.89</v>
      </c>
      <c r="G3031" s="24">
        <v>0.49</v>
      </c>
      <c r="H3031" s="24" t="s">
        <v>6696</v>
      </c>
      <c r="I3031" s="24" t="s">
        <v>6650</v>
      </c>
      <c r="J3031" s="24">
        <v>0.0</v>
      </c>
    </row>
    <row r="3032">
      <c r="A3032" s="24">
        <v>270.0</v>
      </c>
      <c r="B3032" s="24">
        <v>1.0</v>
      </c>
      <c r="C3032" s="44">
        <v>13.92</v>
      </c>
      <c r="D3032" s="46">
        <v>45049.0</v>
      </c>
      <c r="E3032" s="24">
        <v>13.92</v>
      </c>
      <c r="F3032" s="24">
        <v>51.56</v>
      </c>
      <c r="G3032" s="24">
        <v>0.37</v>
      </c>
      <c r="H3032" s="24" t="s">
        <v>6680</v>
      </c>
      <c r="I3032" s="24">
        <v>13.92</v>
      </c>
      <c r="J3032" s="24">
        <v>0.0</v>
      </c>
    </row>
    <row r="3033">
      <c r="A3033" s="24">
        <v>96.0</v>
      </c>
      <c r="B3033" s="24">
        <v>0.0</v>
      </c>
      <c r="C3033" s="44">
        <v>11.89</v>
      </c>
      <c r="D3033" s="46">
        <v>45049.0</v>
      </c>
      <c r="E3033" s="24" t="s">
        <v>6650</v>
      </c>
      <c r="F3033" s="24">
        <v>123.85</v>
      </c>
      <c r="G3033" s="24">
        <v>0.0</v>
      </c>
      <c r="H3033" s="24" t="s">
        <v>6699</v>
      </c>
      <c r="I3033" s="24" t="s">
        <v>6650</v>
      </c>
      <c r="J3033" s="24">
        <v>0.0</v>
      </c>
    </row>
    <row r="3034">
      <c r="A3034" s="24">
        <v>619.0</v>
      </c>
      <c r="B3034" s="24">
        <v>1.0</v>
      </c>
      <c r="C3034" s="44">
        <v>11.72</v>
      </c>
      <c r="D3034" s="46">
        <v>45049.0</v>
      </c>
      <c r="E3034" s="24">
        <v>11.72</v>
      </c>
      <c r="F3034" s="24">
        <v>18.93</v>
      </c>
      <c r="G3034" s="24">
        <v>0.16</v>
      </c>
      <c r="H3034" s="24" t="s">
        <v>6692</v>
      </c>
      <c r="I3034" s="24">
        <v>11.72</v>
      </c>
      <c r="J3034" s="24">
        <v>0.0</v>
      </c>
    </row>
    <row r="3035">
      <c r="A3035" s="24">
        <v>63.0</v>
      </c>
      <c r="B3035" s="24">
        <v>0.0</v>
      </c>
      <c r="C3035" s="44">
        <v>12.77</v>
      </c>
      <c r="D3035" s="46">
        <v>45049.0</v>
      </c>
      <c r="E3035" s="24" t="s">
        <v>6650</v>
      </c>
      <c r="F3035" s="24">
        <v>202.7</v>
      </c>
      <c r="G3035" s="24">
        <v>0.0</v>
      </c>
      <c r="H3035" s="24" t="s">
        <v>6695</v>
      </c>
      <c r="I3035" s="24" t="s">
        <v>6650</v>
      </c>
      <c r="J3035" s="24">
        <v>0.0</v>
      </c>
    </row>
    <row r="3036">
      <c r="A3036" s="24">
        <v>180.0</v>
      </c>
      <c r="B3036" s="24">
        <v>5.0</v>
      </c>
      <c r="C3036" s="44">
        <v>12.87</v>
      </c>
      <c r="D3036" s="46">
        <v>45049.0</v>
      </c>
      <c r="E3036" s="24">
        <v>2.57</v>
      </c>
      <c r="F3036" s="24">
        <v>71.5</v>
      </c>
      <c r="G3036" s="24">
        <v>2.78</v>
      </c>
      <c r="H3036" s="24" t="s">
        <v>6697</v>
      </c>
      <c r="I3036" s="24" t="s">
        <v>6650</v>
      </c>
      <c r="J3036" s="24">
        <v>1.0</v>
      </c>
    </row>
    <row r="3037">
      <c r="A3037" s="24">
        <v>807.0</v>
      </c>
      <c r="B3037" s="24">
        <v>5.0</v>
      </c>
      <c r="C3037" s="44">
        <v>11.66</v>
      </c>
      <c r="D3037" s="46">
        <v>45049.0</v>
      </c>
      <c r="E3037" s="24">
        <v>2.33</v>
      </c>
      <c r="F3037" s="24">
        <v>14.45</v>
      </c>
      <c r="G3037" s="24">
        <v>0.62</v>
      </c>
      <c r="H3037" s="24" t="s">
        <v>6689</v>
      </c>
      <c r="I3037" s="24">
        <v>11.66</v>
      </c>
      <c r="J3037" s="24">
        <v>0.0</v>
      </c>
    </row>
    <row r="3038">
      <c r="A3038" s="24">
        <v>432.0</v>
      </c>
      <c r="B3038" s="24">
        <v>5.0</v>
      </c>
      <c r="C3038" s="44">
        <v>15.0</v>
      </c>
      <c r="D3038" s="46">
        <v>45049.0</v>
      </c>
      <c r="E3038" s="24">
        <v>3.0</v>
      </c>
      <c r="F3038" s="24">
        <v>34.72</v>
      </c>
      <c r="G3038" s="24">
        <v>1.16</v>
      </c>
      <c r="H3038" s="24" t="s">
        <v>6688</v>
      </c>
      <c r="I3038" s="24">
        <v>5.0</v>
      </c>
      <c r="J3038" s="24">
        <v>0.0</v>
      </c>
    </row>
    <row r="3039">
      <c r="A3039" s="24">
        <v>135.0</v>
      </c>
      <c r="B3039" s="24">
        <v>0.0</v>
      </c>
      <c r="C3039" s="44">
        <v>12.26</v>
      </c>
      <c r="D3039" s="46">
        <v>45050.0</v>
      </c>
      <c r="E3039" s="24" t="s">
        <v>6650</v>
      </c>
      <c r="F3039" s="24">
        <v>90.81</v>
      </c>
      <c r="G3039" s="24">
        <v>0.0</v>
      </c>
      <c r="H3039" s="24" t="s">
        <v>6699</v>
      </c>
      <c r="I3039" s="24" t="s">
        <v>6650</v>
      </c>
      <c r="J3039" s="24">
        <v>0.0</v>
      </c>
    </row>
    <row r="3040">
      <c r="A3040" s="24">
        <v>166.0</v>
      </c>
      <c r="B3040" s="24">
        <v>1.0</v>
      </c>
      <c r="C3040" s="44">
        <v>15.0</v>
      </c>
      <c r="D3040" s="46">
        <v>45050.0</v>
      </c>
      <c r="E3040" s="24">
        <v>15.0</v>
      </c>
      <c r="F3040" s="24">
        <v>90.36</v>
      </c>
      <c r="G3040" s="24">
        <v>0.6</v>
      </c>
      <c r="H3040" s="24" t="s">
        <v>6696</v>
      </c>
      <c r="I3040" s="24" t="s">
        <v>6650</v>
      </c>
      <c r="J3040" s="24">
        <v>0.0</v>
      </c>
    </row>
    <row r="3041">
      <c r="A3041" s="24">
        <v>175.0</v>
      </c>
      <c r="B3041" s="24">
        <v>0.0</v>
      </c>
      <c r="C3041" s="44">
        <v>11.9</v>
      </c>
      <c r="D3041" s="46">
        <v>45050.0</v>
      </c>
      <c r="E3041" s="24" t="s">
        <v>6650</v>
      </c>
      <c r="F3041" s="24">
        <v>68.0</v>
      </c>
      <c r="G3041" s="24">
        <v>0.0</v>
      </c>
      <c r="H3041" s="24" t="s">
        <v>6680</v>
      </c>
      <c r="I3041" s="24">
        <v>11.9</v>
      </c>
      <c r="J3041" s="24">
        <v>0.0</v>
      </c>
    </row>
    <row r="3042">
      <c r="A3042" s="24">
        <v>599.0</v>
      </c>
      <c r="B3042" s="24">
        <v>4.0</v>
      </c>
      <c r="C3042" s="44">
        <v>11.67</v>
      </c>
      <c r="D3042" s="46">
        <v>45050.0</v>
      </c>
      <c r="E3042" s="24">
        <v>2.92</v>
      </c>
      <c r="F3042" s="24">
        <v>19.48</v>
      </c>
      <c r="G3042" s="24">
        <v>0.67</v>
      </c>
      <c r="H3042" s="24" t="s">
        <v>6698</v>
      </c>
      <c r="I3042" s="24" t="s">
        <v>6650</v>
      </c>
      <c r="J3042" s="24">
        <v>0.0</v>
      </c>
    </row>
    <row r="3043">
      <c r="A3043" s="24">
        <v>944.0</v>
      </c>
      <c r="B3043" s="24">
        <v>4.0</v>
      </c>
      <c r="C3043" s="44">
        <v>11.8</v>
      </c>
      <c r="D3043" s="46">
        <v>45050.0</v>
      </c>
      <c r="E3043" s="24">
        <v>2.95</v>
      </c>
      <c r="F3043" s="24">
        <v>12.5</v>
      </c>
      <c r="G3043" s="24">
        <v>0.42</v>
      </c>
      <c r="H3043" s="24" t="s">
        <v>6689</v>
      </c>
      <c r="I3043" s="24">
        <v>5.9</v>
      </c>
      <c r="J3043" s="24">
        <v>0.0</v>
      </c>
    </row>
    <row r="3044">
      <c r="A3044" s="24">
        <v>123.0</v>
      </c>
      <c r="B3044" s="24">
        <v>0.0</v>
      </c>
      <c r="C3044" s="44">
        <v>11.5</v>
      </c>
      <c r="D3044" s="46">
        <v>45050.0</v>
      </c>
      <c r="E3044" s="24" t="s">
        <v>6650</v>
      </c>
      <c r="F3044" s="24">
        <v>93.5</v>
      </c>
      <c r="G3044" s="24">
        <v>0.0</v>
      </c>
      <c r="H3044" s="24" t="s">
        <v>6701</v>
      </c>
      <c r="I3044" s="24" t="s">
        <v>6650</v>
      </c>
      <c r="J3044" s="24">
        <v>0.0</v>
      </c>
    </row>
    <row r="3045">
      <c r="A3045" s="24">
        <v>1273.0</v>
      </c>
      <c r="B3045" s="24">
        <v>5.0</v>
      </c>
      <c r="C3045" s="44">
        <v>15.0</v>
      </c>
      <c r="D3045" s="46">
        <v>45050.0</v>
      </c>
      <c r="E3045" s="24">
        <v>3.0</v>
      </c>
      <c r="F3045" s="24">
        <v>11.78</v>
      </c>
      <c r="G3045" s="24">
        <v>0.39</v>
      </c>
      <c r="H3045" s="24" t="s">
        <v>6688</v>
      </c>
      <c r="I3045" s="24" t="s">
        <v>6650</v>
      </c>
      <c r="J3045" s="24">
        <v>0.0</v>
      </c>
    </row>
    <row r="3046">
      <c r="A3046" s="24">
        <v>50.0</v>
      </c>
      <c r="B3046" s="24">
        <v>0.0</v>
      </c>
      <c r="C3046" s="44">
        <v>12.53</v>
      </c>
      <c r="D3046" s="46">
        <v>45050.0</v>
      </c>
      <c r="E3046" s="24" t="s">
        <v>6650</v>
      </c>
      <c r="F3046" s="24">
        <v>250.6</v>
      </c>
      <c r="G3046" s="24">
        <v>0.0</v>
      </c>
      <c r="H3046" s="24" t="s">
        <v>6695</v>
      </c>
      <c r="I3046" s="24" t="s">
        <v>6650</v>
      </c>
      <c r="J3046" s="24">
        <v>0.0</v>
      </c>
    </row>
    <row r="3047">
      <c r="A3047" s="24">
        <v>73.0</v>
      </c>
      <c r="B3047" s="24">
        <v>0.0</v>
      </c>
      <c r="C3047" s="44">
        <v>15.0</v>
      </c>
      <c r="D3047" s="46">
        <v>45050.0</v>
      </c>
      <c r="E3047" s="24" t="s">
        <v>6650</v>
      </c>
      <c r="F3047" s="24">
        <v>205.48</v>
      </c>
      <c r="G3047" s="24">
        <v>0.0</v>
      </c>
      <c r="H3047" s="24" t="s">
        <v>6697</v>
      </c>
      <c r="I3047" s="24" t="s">
        <v>6650</v>
      </c>
      <c r="J3047" s="24">
        <v>0.0</v>
      </c>
    </row>
    <row r="3048">
      <c r="A3048" s="24">
        <v>616.0</v>
      </c>
      <c r="B3048" s="24">
        <v>2.0</v>
      </c>
      <c r="C3048" s="44">
        <v>11.72</v>
      </c>
      <c r="D3048" s="46">
        <v>45050.0</v>
      </c>
      <c r="E3048" s="24">
        <v>5.86</v>
      </c>
      <c r="F3048" s="24">
        <v>19.03</v>
      </c>
      <c r="G3048" s="24">
        <v>0.32</v>
      </c>
      <c r="H3048" s="24" t="s">
        <v>6692</v>
      </c>
      <c r="I3048" s="24" t="s">
        <v>6650</v>
      </c>
      <c r="J3048" s="24">
        <v>0.0</v>
      </c>
    </row>
    <row r="3049">
      <c r="A3049" s="24">
        <v>459.0</v>
      </c>
      <c r="B3049" s="24">
        <v>3.0</v>
      </c>
      <c r="C3049" s="44">
        <v>11.78</v>
      </c>
      <c r="D3049" s="46">
        <v>45050.0</v>
      </c>
      <c r="E3049" s="24">
        <v>3.93</v>
      </c>
      <c r="F3049" s="24">
        <v>25.66</v>
      </c>
      <c r="G3049" s="24">
        <v>0.65</v>
      </c>
      <c r="H3049" s="24" t="s">
        <v>6700</v>
      </c>
      <c r="I3049" s="24" t="s">
        <v>6650</v>
      </c>
      <c r="J3049" s="24">
        <v>0.0</v>
      </c>
    </row>
    <row r="3050">
      <c r="A3050" s="24">
        <v>1172.0</v>
      </c>
      <c r="B3050" s="24">
        <v>19.0</v>
      </c>
      <c r="C3050" s="44">
        <v>15.0</v>
      </c>
      <c r="D3050" s="46">
        <v>45051.0</v>
      </c>
      <c r="E3050" s="24">
        <v>0.79</v>
      </c>
      <c r="F3050" s="24">
        <v>12.8</v>
      </c>
      <c r="G3050" s="24">
        <v>1.62</v>
      </c>
      <c r="H3050" s="24" t="s">
        <v>6688</v>
      </c>
      <c r="I3050" s="24">
        <v>3.75</v>
      </c>
      <c r="J3050" s="24">
        <v>0.0</v>
      </c>
    </row>
    <row r="3051">
      <c r="A3051" s="24">
        <v>439.0</v>
      </c>
      <c r="B3051" s="24">
        <v>2.0</v>
      </c>
      <c r="C3051" s="44">
        <v>10.47</v>
      </c>
      <c r="D3051" s="46">
        <v>45051.0</v>
      </c>
      <c r="E3051" s="24">
        <v>5.24</v>
      </c>
      <c r="F3051" s="24">
        <v>23.85</v>
      </c>
      <c r="G3051" s="24">
        <v>0.46</v>
      </c>
      <c r="H3051" s="24" t="s">
        <v>6692</v>
      </c>
      <c r="I3051" s="24" t="s">
        <v>6650</v>
      </c>
      <c r="J3051" s="24">
        <v>0.0</v>
      </c>
    </row>
    <row r="3052">
      <c r="A3052" s="24">
        <v>52.0</v>
      </c>
      <c r="B3052" s="24">
        <v>1.0</v>
      </c>
      <c r="C3052" s="44">
        <v>10.13</v>
      </c>
      <c r="D3052" s="46">
        <v>45051.0</v>
      </c>
      <c r="E3052" s="24">
        <v>10.13</v>
      </c>
      <c r="F3052" s="24">
        <v>194.81</v>
      </c>
      <c r="G3052" s="24">
        <v>1.92</v>
      </c>
      <c r="H3052" s="24" t="s">
        <v>6695</v>
      </c>
      <c r="I3052" s="24" t="s">
        <v>6650</v>
      </c>
      <c r="J3052" s="24">
        <v>0.0</v>
      </c>
    </row>
    <row r="3053">
      <c r="A3053" s="24">
        <v>99.0</v>
      </c>
      <c r="B3053" s="24">
        <v>0.0</v>
      </c>
      <c r="C3053" s="44">
        <v>10.95</v>
      </c>
      <c r="D3053" s="46">
        <v>45051.0</v>
      </c>
      <c r="E3053" s="24" t="s">
        <v>6650</v>
      </c>
      <c r="F3053" s="24">
        <v>110.61</v>
      </c>
      <c r="G3053" s="24">
        <v>0.0</v>
      </c>
      <c r="H3053" s="24" t="s">
        <v>6680</v>
      </c>
      <c r="I3053" s="24" t="s">
        <v>6650</v>
      </c>
      <c r="J3053" s="24">
        <v>0.0</v>
      </c>
    </row>
    <row r="3054">
      <c r="A3054" s="24">
        <v>102.0</v>
      </c>
      <c r="B3054" s="24">
        <v>1.0</v>
      </c>
      <c r="C3054" s="44">
        <v>12.44</v>
      </c>
      <c r="D3054" s="46">
        <v>45051.0</v>
      </c>
      <c r="E3054" s="24">
        <v>12.44</v>
      </c>
      <c r="F3054" s="24">
        <v>121.96</v>
      </c>
      <c r="G3054" s="24">
        <v>0.98</v>
      </c>
      <c r="H3054" s="24" t="s">
        <v>6696</v>
      </c>
      <c r="I3054" s="24">
        <v>6.22</v>
      </c>
      <c r="J3054" s="24">
        <v>0.0</v>
      </c>
    </row>
    <row r="3055">
      <c r="A3055" s="24">
        <v>96.0</v>
      </c>
      <c r="B3055" s="24">
        <v>0.0</v>
      </c>
      <c r="C3055" s="44">
        <v>11.23</v>
      </c>
      <c r="D3055" s="46">
        <v>45051.0</v>
      </c>
      <c r="E3055" s="24" t="s">
        <v>6650</v>
      </c>
      <c r="F3055" s="24">
        <v>116.98</v>
      </c>
      <c r="G3055" s="24">
        <v>0.0</v>
      </c>
      <c r="H3055" s="24" t="s">
        <v>6701</v>
      </c>
      <c r="I3055" s="24" t="s">
        <v>6650</v>
      </c>
      <c r="J3055" s="24">
        <v>0.0</v>
      </c>
    </row>
    <row r="3056">
      <c r="A3056" s="24">
        <v>747.0</v>
      </c>
      <c r="B3056" s="24">
        <v>5.0</v>
      </c>
      <c r="C3056" s="44">
        <v>11.66</v>
      </c>
      <c r="D3056" s="46">
        <v>45051.0</v>
      </c>
      <c r="E3056" s="24">
        <v>2.33</v>
      </c>
      <c r="F3056" s="24">
        <v>15.61</v>
      </c>
      <c r="G3056" s="24">
        <v>0.67</v>
      </c>
      <c r="H3056" s="24" t="s">
        <v>6689</v>
      </c>
      <c r="I3056" s="24">
        <v>11.66</v>
      </c>
      <c r="J3056" s="24">
        <v>0.0</v>
      </c>
    </row>
    <row r="3057">
      <c r="A3057" s="24">
        <v>525.0</v>
      </c>
      <c r="B3057" s="24">
        <v>1.0</v>
      </c>
      <c r="C3057" s="44">
        <v>10.43</v>
      </c>
      <c r="D3057" s="46">
        <v>45051.0</v>
      </c>
      <c r="E3057" s="24">
        <v>10.43</v>
      </c>
      <c r="F3057" s="24">
        <v>19.87</v>
      </c>
      <c r="G3057" s="24">
        <v>0.19</v>
      </c>
      <c r="H3057" s="24" t="s">
        <v>6700</v>
      </c>
      <c r="I3057" s="24" t="s">
        <v>6650</v>
      </c>
      <c r="J3057" s="24">
        <v>0.0</v>
      </c>
    </row>
    <row r="3058">
      <c r="A3058" s="24">
        <v>334.0</v>
      </c>
      <c r="B3058" s="24">
        <v>1.0</v>
      </c>
      <c r="C3058" s="44">
        <v>10.64</v>
      </c>
      <c r="D3058" s="46">
        <v>45051.0</v>
      </c>
      <c r="E3058" s="24">
        <v>10.64</v>
      </c>
      <c r="F3058" s="24">
        <v>31.86</v>
      </c>
      <c r="G3058" s="24">
        <v>0.3</v>
      </c>
      <c r="H3058" s="24" t="s">
        <v>6698</v>
      </c>
      <c r="I3058" s="24">
        <v>5.32</v>
      </c>
      <c r="J3058" s="24">
        <v>0.0</v>
      </c>
    </row>
    <row r="3059">
      <c r="A3059" s="24">
        <v>49.0</v>
      </c>
      <c r="B3059" s="24">
        <v>0.0</v>
      </c>
      <c r="C3059" s="44">
        <v>12.53</v>
      </c>
      <c r="D3059" s="46">
        <v>45051.0</v>
      </c>
      <c r="E3059" s="24" t="s">
        <v>6650</v>
      </c>
      <c r="F3059" s="24">
        <v>255.71</v>
      </c>
      <c r="G3059" s="24">
        <v>0.0</v>
      </c>
      <c r="H3059" s="24" t="s">
        <v>6697</v>
      </c>
      <c r="I3059" s="24">
        <v>12.53</v>
      </c>
      <c r="J3059" s="24">
        <v>0.0</v>
      </c>
    </row>
    <row r="3060">
      <c r="A3060" s="24">
        <v>91.0</v>
      </c>
      <c r="B3060" s="24">
        <v>1.0</v>
      </c>
      <c r="C3060" s="44">
        <v>12.21</v>
      </c>
      <c r="D3060" s="46">
        <v>45051.0</v>
      </c>
      <c r="E3060" s="24">
        <v>12.21</v>
      </c>
      <c r="F3060" s="24">
        <v>134.18</v>
      </c>
      <c r="G3060" s="24">
        <v>1.1</v>
      </c>
      <c r="H3060" s="24" t="s">
        <v>6699</v>
      </c>
      <c r="I3060" s="24" t="s">
        <v>6650</v>
      </c>
      <c r="J3060" s="24">
        <v>0.0</v>
      </c>
    </row>
    <row r="3061">
      <c r="A3061" s="24">
        <v>1253.0</v>
      </c>
      <c r="B3061" s="24">
        <v>4.0</v>
      </c>
      <c r="C3061" s="44">
        <v>9.95</v>
      </c>
      <c r="D3061" s="46">
        <v>45052.0</v>
      </c>
      <c r="E3061" s="24">
        <v>2.49</v>
      </c>
      <c r="F3061" s="24">
        <v>7.94</v>
      </c>
      <c r="G3061" s="24">
        <v>0.32</v>
      </c>
      <c r="H3061" s="24" t="s">
        <v>6688</v>
      </c>
      <c r="I3061" s="24">
        <v>3.32</v>
      </c>
      <c r="J3061" s="24">
        <v>0.0</v>
      </c>
    </row>
    <row r="3062">
      <c r="A3062" s="24">
        <v>53.0</v>
      </c>
      <c r="B3062" s="24">
        <v>1.0</v>
      </c>
      <c r="C3062" s="44">
        <v>8.45</v>
      </c>
      <c r="D3062" s="46">
        <v>45052.0</v>
      </c>
      <c r="E3062" s="24">
        <v>8.45</v>
      </c>
      <c r="F3062" s="24">
        <v>159.43</v>
      </c>
      <c r="G3062" s="24">
        <v>1.89</v>
      </c>
      <c r="H3062" s="24" t="s">
        <v>6701</v>
      </c>
      <c r="I3062" s="24" t="s">
        <v>6650</v>
      </c>
      <c r="J3062" s="24">
        <v>0.0</v>
      </c>
    </row>
    <row r="3063">
      <c r="A3063" s="24">
        <v>25.0</v>
      </c>
      <c r="B3063" s="24">
        <v>0.0</v>
      </c>
      <c r="C3063" s="44">
        <v>7.16</v>
      </c>
      <c r="D3063" s="46">
        <v>45052.0</v>
      </c>
      <c r="E3063" s="24" t="s">
        <v>6650</v>
      </c>
      <c r="F3063" s="24">
        <v>286.4</v>
      </c>
      <c r="G3063" s="24">
        <v>0.0</v>
      </c>
      <c r="H3063" s="24" t="s">
        <v>6697</v>
      </c>
      <c r="I3063" s="24" t="s">
        <v>6650</v>
      </c>
      <c r="J3063" s="24">
        <v>0.0</v>
      </c>
    </row>
    <row r="3064">
      <c r="A3064" s="24">
        <v>328.0</v>
      </c>
      <c r="B3064" s="24">
        <v>0.0</v>
      </c>
      <c r="C3064" s="44">
        <v>6.71</v>
      </c>
      <c r="D3064" s="46">
        <v>45052.0</v>
      </c>
      <c r="E3064" s="24" t="s">
        <v>6650</v>
      </c>
      <c r="F3064" s="24">
        <v>20.46</v>
      </c>
      <c r="G3064" s="24">
        <v>0.0</v>
      </c>
      <c r="H3064" s="24" t="s">
        <v>6698</v>
      </c>
      <c r="I3064" s="24" t="s">
        <v>6650</v>
      </c>
      <c r="J3064" s="24">
        <v>0.0</v>
      </c>
    </row>
    <row r="3065">
      <c r="A3065" s="24">
        <v>394.0</v>
      </c>
      <c r="B3065" s="24">
        <v>2.0</v>
      </c>
      <c r="C3065" s="44">
        <v>6.82</v>
      </c>
      <c r="D3065" s="46">
        <v>45052.0</v>
      </c>
      <c r="E3065" s="24">
        <v>3.41</v>
      </c>
      <c r="F3065" s="24">
        <v>17.31</v>
      </c>
      <c r="G3065" s="24">
        <v>0.51</v>
      </c>
      <c r="H3065" s="24" t="s">
        <v>6689</v>
      </c>
      <c r="I3065" s="24" t="s">
        <v>6650</v>
      </c>
      <c r="J3065" s="24">
        <v>0.0</v>
      </c>
    </row>
    <row r="3066">
      <c r="A3066" s="24">
        <v>110.0</v>
      </c>
      <c r="B3066" s="24">
        <v>0.0</v>
      </c>
      <c r="C3066" s="44">
        <v>8.37</v>
      </c>
      <c r="D3066" s="46">
        <v>45052.0</v>
      </c>
      <c r="E3066" s="24" t="s">
        <v>6650</v>
      </c>
      <c r="F3066" s="24">
        <v>76.09</v>
      </c>
      <c r="G3066" s="24">
        <v>0.0</v>
      </c>
      <c r="H3066" s="24" t="s">
        <v>6680</v>
      </c>
      <c r="I3066" s="24" t="s">
        <v>6650</v>
      </c>
      <c r="J3066" s="24">
        <v>0.0</v>
      </c>
    </row>
    <row r="3067">
      <c r="A3067" s="24">
        <v>42.0</v>
      </c>
      <c r="B3067" s="24">
        <v>1.0</v>
      </c>
      <c r="C3067" s="44">
        <v>7.76</v>
      </c>
      <c r="D3067" s="46">
        <v>45052.0</v>
      </c>
      <c r="E3067" s="24">
        <v>7.76</v>
      </c>
      <c r="F3067" s="24">
        <v>184.76</v>
      </c>
      <c r="G3067" s="24">
        <v>2.38</v>
      </c>
      <c r="H3067" s="24" t="s">
        <v>6696</v>
      </c>
      <c r="I3067" s="24">
        <v>7.76</v>
      </c>
      <c r="J3067" s="24">
        <v>0.0</v>
      </c>
    </row>
    <row r="3068">
      <c r="A3068" s="24">
        <v>37.0</v>
      </c>
      <c r="B3068" s="24">
        <v>0.0</v>
      </c>
      <c r="C3068" s="44">
        <v>6.73</v>
      </c>
      <c r="D3068" s="46">
        <v>45052.0</v>
      </c>
      <c r="E3068" s="24" t="s">
        <v>6650</v>
      </c>
      <c r="F3068" s="24">
        <v>181.89</v>
      </c>
      <c r="G3068" s="24">
        <v>0.0</v>
      </c>
      <c r="H3068" s="24" t="s">
        <v>6695</v>
      </c>
      <c r="I3068" s="24" t="s">
        <v>6650</v>
      </c>
      <c r="J3068" s="24">
        <v>0.0</v>
      </c>
    </row>
    <row r="3069">
      <c r="A3069" s="24">
        <v>179.0</v>
      </c>
      <c r="B3069" s="24">
        <v>0.0</v>
      </c>
      <c r="C3069" s="44">
        <v>6.54</v>
      </c>
      <c r="D3069" s="46">
        <v>45052.0</v>
      </c>
      <c r="E3069" s="24" t="s">
        <v>6650</v>
      </c>
      <c r="F3069" s="24">
        <v>36.54</v>
      </c>
      <c r="G3069" s="24">
        <v>0.0</v>
      </c>
      <c r="H3069" s="24" t="s">
        <v>6692</v>
      </c>
      <c r="I3069" s="24" t="s">
        <v>6650</v>
      </c>
      <c r="J3069" s="24">
        <v>0.0</v>
      </c>
    </row>
    <row r="3070">
      <c r="A3070" s="24">
        <v>332.0</v>
      </c>
      <c r="B3070" s="24">
        <v>1.0</v>
      </c>
      <c r="C3070" s="44">
        <v>6.84</v>
      </c>
      <c r="D3070" s="46">
        <v>45052.0</v>
      </c>
      <c r="E3070" s="24">
        <v>6.84</v>
      </c>
      <c r="F3070" s="24">
        <v>20.6</v>
      </c>
      <c r="G3070" s="24">
        <v>0.3</v>
      </c>
      <c r="H3070" s="24" t="s">
        <v>6700</v>
      </c>
      <c r="I3070" s="24" t="s">
        <v>6650</v>
      </c>
      <c r="J3070" s="24">
        <v>0.0</v>
      </c>
    </row>
    <row r="3071">
      <c r="A3071" s="24">
        <v>41.0</v>
      </c>
      <c r="B3071" s="24">
        <v>0.0</v>
      </c>
      <c r="C3071" s="44">
        <v>5.21</v>
      </c>
      <c r="D3071" s="46">
        <v>45052.0</v>
      </c>
      <c r="E3071" s="24" t="s">
        <v>6650</v>
      </c>
      <c r="F3071" s="24">
        <v>127.07</v>
      </c>
      <c r="G3071" s="24">
        <v>0.0</v>
      </c>
      <c r="H3071" s="24" t="s">
        <v>6699</v>
      </c>
      <c r="I3071" s="24" t="s">
        <v>6650</v>
      </c>
      <c r="J3071" s="24">
        <v>0.0</v>
      </c>
    </row>
    <row r="3072">
      <c r="A3072" s="24">
        <v>168.0</v>
      </c>
      <c r="B3072" s="24">
        <v>0.0</v>
      </c>
      <c r="C3072" s="44">
        <v>5.15</v>
      </c>
      <c r="D3072" s="46">
        <v>45053.0</v>
      </c>
      <c r="E3072" s="24" t="s">
        <v>6650</v>
      </c>
      <c r="F3072" s="24">
        <v>30.65</v>
      </c>
      <c r="G3072" s="24">
        <v>0.0</v>
      </c>
      <c r="H3072" s="24" t="s">
        <v>6692</v>
      </c>
      <c r="I3072" s="24">
        <v>5.15</v>
      </c>
      <c r="J3072" s="24">
        <v>0.0</v>
      </c>
    </row>
    <row r="3073">
      <c r="A3073" s="24">
        <v>37.0</v>
      </c>
      <c r="B3073" s="24">
        <v>0.0</v>
      </c>
      <c r="C3073" s="44">
        <v>3.83</v>
      </c>
      <c r="D3073" s="46">
        <v>45053.0</v>
      </c>
      <c r="E3073" s="24" t="s">
        <v>6650</v>
      </c>
      <c r="F3073" s="24">
        <v>103.51</v>
      </c>
      <c r="G3073" s="24">
        <v>0.0</v>
      </c>
      <c r="H3073" s="24" t="s">
        <v>6699</v>
      </c>
      <c r="I3073" s="24" t="s">
        <v>6650</v>
      </c>
      <c r="J3073" s="24">
        <v>0.0</v>
      </c>
    </row>
    <row r="3074">
      <c r="A3074" s="24">
        <v>416.0</v>
      </c>
      <c r="B3074" s="24">
        <v>3.0</v>
      </c>
      <c r="C3074" s="44">
        <v>6.46</v>
      </c>
      <c r="D3074" s="46">
        <v>45053.0</v>
      </c>
      <c r="E3074" s="24">
        <v>2.15</v>
      </c>
      <c r="F3074" s="24">
        <v>15.53</v>
      </c>
      <c r="G3074" s="24">
        <v>0.72</v>
      </c>
      <c r="H3074" s="24" t="s">
        <v>6698</v>
      </c>
      <c r="I3074" s="24">
        <v>2.15</v>
      </c>
      <c r="J3074" s="24">
        <v>0.0</v>
      </c>
    </row>
    <row r="3075">
      <c r="A3075" s="24">
        <v>51.0</v>
      </c>
      <c r="B3075" s="24">
        <v>0.0</v>
      </c>
      <c r="C3075" s="44">
        <v>6.88</v>
      </c>
      <c r="D3075" s="46">
        <v>45053.0</v>
      </c>
      <c r="E3075" s="24" t="s">
        <v>6650</v>
      </c>
      <c r="F3075" s="24">
        <v>134.9</v>
      </c>
      <c r="G3075" s="24">
        <v>0.0</v>
      </c>
      <c r="H3075" s="24" t="s">
        <v>6696</v>
      </c>
      <c r="I3075" s="24">
        <v>6.88</v>
      </c>
      <c r="J3075" s="24">
        <v>0.0</v>
      </c>
    </row>
    <row r="3076">
      <c r="A3076" s="24">
        <v>254.0</v>
      </c>
      <c r="B3076" s="24">
        <v>3.0</v>
      </c>
      <c r="C3076" s="44">
        <v>5.13</v>
      </c>
      <c r="D3076" s="46">
        <v>45053.0</v>
      </c>
      <c r="E3076" s="24">
        <v>1.71</v>
      </c>
      <c r="F3076" s="24">
        <v>20.2</v>
      </c>
      <c r="G3076" s="24">
        <v>1.18</v>
      </c>
      <c r="H3076" s="24" t="s">
        <v>6689</v>
      </c>
      <c r="I3076" s="24">
        <v>1.71</v>
      </c>
      <c r="J3076" s="24">
        <v>0.0</v>
      </c>
    </row>
    <row r="3077">
      <c r="A3077" s="24">
        <v>26.0</v>
      </c>
      <c r="B3077" s="24">
        <v>0.0</v>
      </c>
      <c r="C3077" s="44">
        <v>2.44</v>
      </c>
      <c r="D3077" s="46">
        <v>45053.0</v>
      </c>
      <c r="E3077" s="24" t="s">
        <v>6650</v>
      </c>
      <c r="F3077" s="24">
        <v>93.85</v>
      </c>
      <c r="G3077" s="24">
        <v>0.0</v>
      </c>
      <c r="H3077" s="24" t="s">
        <v>6697</v>
      </c>
      <c r="I3077" s="24" t="s">
        <v>6650</v>
      </c>
      <c r="J3077" s="24">
        <v>0.0</v>
      </c>
    </row>
    <row r="3078">
      <c r="A3078" s="24">
        <v>45.0</v>
      </c>
      <c r="B3078" s="24">
        <v>2.0</v>
      </c>
      <c r="C3078" s="44">
        <v>5.45</v>
      </c>
      <c r="D3078" s="46">
        <v>45053.0</v>
      </c>
      <c r="E3078" s="24">
        <v>2.72</v>
      </c>
      <c r="F3078" s="24">
        <v>121.11</v>
      </c>
      <c r="G3078" s="24">
        <v>4.44</v>
      </c>
      <c r="H3078" s="24" t="s">
        <v>6680</v>
      </c>
      <c r="I3078" s="24" t="s">
        <v>6650</v>
      </c>
      <c r="J3078" s="24">
        <v>0.0</v>
      </c>
    </row>
    <row r="3079">
      <c r="A3079" s="24">
        <v>19.0</v>
      </c>
      <c r="B3079" s="24">
        <v>0.0</v>
      </c>
      <c r="C3079" s="44">
        <v>2.85</v>
      </c>
      <c r="D3079" s="46">
        <v>45053.0</v>
      </c>
      <c r="E3079" s="24" t="s">
        <v>6650</v>
      </c>
      <c r="F3079" s="24">
        <v>150.0</v>
      </c>
      <c r="G3079" s="24">
        <v>0.0</v>
      </c>
      <c r="H3079" s="24" t="s">
        <v>6701</v>
      </c>
      <c r="I3079" s="24" t="s">
        <v>6650</v>
      </c>
      <c r="J3079" s="24">
        <v>0.0</v>
      </c>
    </row>
    <row r="3080">
      <c r="A3080" s="24">
        <v>1351.0</v>
      </c>
      <c r="B3080" s="24">
        <v>6.0</v>
      </c>
      <c r="C3080" s="44">
        <v>10.25</v>
      </c>
      <c r="D3080" s="46">
        <v>45053.0</v>
      </c>
      <c r="E3080" s="24">
        <v>1.71</v>
      </c>
      <c r="F3080" s="24">
        <v>7.59</v>
      </c>
      <c r="G3080" s="24">
        <v>0.44</v>
      </c>
      <c r="H3080" s="24" t="s">
        <v>6688</v>
      </c>
      <c r="I3080" s="24" t="s">
        <v>6650</v>
      </c>
      <c r="J3080" s="24">
        <v>0.0</v>
      </c>
    </row>
    <row r="3081">
      <c r="A3081" s="24">
        <v>207.0</v>
      </c>
      <c r="B3081" s="24">
        <v>1.0</v>
      </c>
      <c r="C3081" s="44">
        <v>6.5</v>
      </c>
      <c r="D3081" s="46">
        <v>45053.0</v>
      </c>
      <c r="E3081" s="24">
        <v>6.5</v>
      </c>
      <c r="F3081" s="24">
        <v>31.4</v>
      </c>
      <c r="G3081" s="24">
        <v>0.48</v>
      </c>
      <c r="H3081" s="24" t="s">
        <v>6700</v>
      </c>
      <c r="I3081" s="24">
        <v>6.5</v>
      </c>
      <c r="J3081" s="24">
        <v>0.0</v>
      </c>
    </row>
    <row r="3082">
      <c r="A3082" s="24">
        <v>21.0</v>
      </c>
      <c r="B3082" s="24">
        <v>0.0</v>
      </c>
      <c r="C3082" s="44">
        <v>4.59</v>
      </c>
      <c r="D3082" s="46">
        <v>45053.0</v>
      </c>
      <c r="E3082" s="24" t="s">
        <v>6650</v>
      </c>
      <c r="F3082" s="24">
        <v>218.57</v>
      </c>
      <c r="G3082" s="24">
        <v>0.0</v>
      </c>
      <c r="H3082" s="24" t="s">
        <v>6695</v>
      </c>
      <c r="I3082" s="24" t="s">
        <v>6650</v>
      </c>
      <c r="J3082" s="24">
        <v>0.0</v>
      </c>
    </row>
    <row r="3083">
      <c r="A3083" s="24">
        <v>146.0</v>
      </c>
      <c r="B3083" s="24">
        <v>0.0</v>
      </c>
      <c r="C3083" s="44">
        <v>11.73</v>
      </c>
      <c r="D3083" s="46">
        <v>45054.0</v>
      </c>
      <c r="E3083" s="24" t="s">
        <v>6650</v>
      </c>
      <c r="F3083" s="24">
        <v>80.34</v>
      </c>
      <c r="G3083" s="24">
        <v>0.0</v>
      </c>
      <c r="H3083" s="24" t="s">
        <v>6701</v>
      </c>
      <c r="I3083" s="24">
        <v>11.73</v>
      </c>
      <c r="J3083" s="24">
        <v>0.0</v>
      </c>
    </row>
    <row r="3084">
      <c r="A3084" s="24">
        <v>640.0</v>
      </c>
      <c r="B3084" s="24">
        <v>2.0</v>
      </c>
      <c r="C3084" s="44">
        <v>10.52</v>
      </c>
      <c r="D3084" s="46">
        <v>45054.0</v>
      </c>
      <c r="E3084" s="24">
        <v>5.26</v>
      </c>
      <c r="F3084" s="24">
        <v>16.44</v>
      </c>
      <c r="G3084" s="24">
        <v>0.31</v>
      </c>
      <c r="H3084" s="24" t="s">
        <v>6698</v>
      </c>
      <c r="I3084" s="24">
        <v>10.52</v>
      </c>
      <c r="J3084" s="24">
        <v>0.0</v>
      </c>
    </row>
    <row r="3085">
      <c r="A3085" s="24">
        <v>111.0</v>
      </c>
      <c r="B3085" s="24">
        <v>2.0</v>
      </c>
      <c r="C3085" s="44">
        <v>12.28</v>
      </c>
      <c r="D3085" s="46">
        <v>45054.0</v>
      </c>
      <c r="E3085" s="24">
        <v>6.14</v>
      </c>
      <c r="F3085" s="24">
        <v>110.63</v>
      </c>
      <c r="G3085" s="24">
        <v>1.8</v>
      </c>
      <c r="H3085" s="24" t="s">
        <v>6695</v>
      </c>
      <c r="I3085" s="24" t="s">
        <v>6650</v>
      </c>
      <c r="J3085" s="24">
        <v>0.0</v>
      </c>
    </row>
    <row r="3086">
      <c r="A3086" s="24">
        <v>496.0</v>
      </c>
      <c r="B3086" s="24">
        <v>3.0</v>
      </c>
      <c r="C3086" s="44">
        <v>11.33</v>
      </c>
      <c r="D3086" s="46">
        <v>45054.0</v>
      </c>
      <c r="E3086" s="24">
        <v>3.78</v>
      </c>
      <c r="F3086" s="24">
        <v>22.84</v>
      </c>
      <c r="G3086" s="24">
        <v>0.6</v>
      </c>
      <c r="H3086" s="24" t="s">
        <v>6692</v>
      </c>
      <c r="I3086" s="24" t="s">
        <v>6650</v>
      </c>
      <c r="J3086" s="24">
        <v>0.0</v>
      </c>
    </row>
    <row r="3087">
      <c r="A3087" s="24">
        <v>1737.0</v>
      </c>
      <c r="B3087" s="24">
        <v>13.0</v>
      </c>
      <c r="C3087" s="44">
        <v>10.38</v>
      </c>
      <c r="D3087" s="46">
        <v>45054.0</v>
      </c>
      <c r="E3087" s="24">
        <v>0.8</v>
      </c>
      <c r="F3087" s="24">
        <v>5.98</v>
      </c>
      <c r="G3087" s="24">
        <v>0.75</v>
      </c>
      <c r="H3087" s="24" t="s">
        <v>6688</v>
      </c>
      <c r="I3087" s="24">
        <v>2.08</v>
      </c>
      <c r="J3087" s="24">
        <v>0.0</v>
      </c>
    </row>
    <row r="3088">
      <c r="A3088" s="24">
        <v>352.0</v>
      </c>
      <c r="B3088" s="24">
        <v>0.0</v>
      </c>
      <c r="C3088" s="44">
        <v>14.09</v>
      </c>
      <c r="D3088" s="46">
        <v>45054.0</v>
      </c>
      <c r="E3088" s="24" t="s">
        <v>6650</v>
      </c>
      <c r="F3088" s="24">
        <v>40.03</v>
      </c>
      <c r="G3088" s="24">
        <v>0.0</v>
      </c>
      <c r="H3088" s="24" t="s">
        <v>6680</v>
      </c>
      <c r="I3088" s="24">
        <v>14.09</v>
      </c>
      <c r="J3088" s="24">
        <v>0.0</v>
      </c>
    </row>
    <row r="3089">
      <c r="A3089" s="24">
        <v>426.0</v>
      </c>
      <c r="B3089" s="24">
        <v>0.0</v>
      </c>
      <c r="C3089" s="44">
        <v>10.62</v>
      </c>
      <c r="D3089" s="46">
        <v>45054.0</v>
      </c>
      <c r="E3089" s="24" t="s">
        <v>6650</v>
      </c>
      <c r="F3089" s="24">
        <v>24.93</v>
      </c>
      <c r="G3089" s="24">
        <v>0.0</v>
      </c>
      <c r="H3089" s="24" t="s">
        <v>6700</v>
      </c>
      <c r="I3089" s="24" t="s">
        <v>6650</v>
      </c>
      <c r="J3089" s="24">
        <v>0.0</v>
      </c>
    </row>
    <row r="3090">
      <c r="A3090" s="24">
        <v>134.0</v>
      </c>
      <c r="B3090" s="24">
        <v>1.0</v>
      </c>
      <c r="C3090" s="44">
        <v>11.46</v>
      </c>
      <c r="D3090" s="46">
        <v>45054.0</v>
      </c>
      <c r="E3090" s="24">
        <v>11.46</v>
      </c>
      <c r="F3090" s="24">
        <v>85.52</v>
      </c>
      <c r="G3090" s="24">
        <v>0.75</v>
      </c>
      <c r="H3090" s="24" t="s">
        <v>6699</v>
      </c>
      <c r="I3090" s="24" t="s">
        <v>6650</v>
      </c>
      <c r="J3090" s="24">
        <v>0.0</v>
      </c>
    </row>
    <row r="3091">
      <c r="A3091" s="24">
        <v>97.0</v>
      </c>
      <c r="B3091" s="24">
        <v>0.0</v>
      </c>
      <c r="C3091" s="44">
        <v>13.04</v>
      </c>
      <c r="D3091" s="46">
        <v>45054.0</v>
      </c>
      <c r="E3091" s="24" t="s">
        <v>6650</v>
      </c>
      <c r="F3091" s="24">
        <v>134.43</v>
      </c>
      <c r="G3091" s="24">
        <v>0.0</v>
      </c>
      <c r="H3091" s="24" t="s">
        <v>6697</v>
      </c>
      <c r="I3091" s="24" t="s">
        <v>6650</v>
      </c>
      <c r="J3091" s="24">
        <v>0.0</v>
      </c>
    </row>
    <row r="3092">
      <c r="A3092" s="24">
        <v>1234.0</v>
      </c>
      <c r="B3092" s="24">
        <v>17.0</v>
      </c>
      <c r="C3092" s="44">
        <v>11.63</v>
      </c>
      <c r="D3092" s="46">
        <v>45054.0</v>
      </c>
      <c r="E3092" s="24">
        <v>0.68</v>
      </c>
      <c r="F3092" s="24">
        <v>9.42</v>
      </c>
      <c r="G3092" s="24">
        <v>1.38</v>
      </c>
      <c r="H3092" s="24" t="s">
        <v>6689</v>
      </c>
      <c r="I3092" s="24">
        <v>5.82</v>
      </c>
      <c r="J3092" s="24">
        <v>0.0</v>
      </c>
    </row>
    <row r="3093">
      <c r="A3093" s="24">
        <v>174.0</v>
      </c>
      <c r="B3093" s="24">
        <v>1.0</v>
      </c>
      <c r="C3093" s="44">
        <v>10.8</v>
      </c>
      <c r="D3093" s="46">
        <v>45054.0</v>
      </c>
      <c r="E3093" s="24">
        <v>10.8</v>
      </c>
      <c r="F3093" s="24">
        <v>62.07</v>
      </c>
      <c r="G3093" s="24">
        <v>0.57</v>
      </c>
      <c r="H3093" s="24" t="s">
        <v>6696</v>
      </c>
      <c r="I3093" s="24">
        <v>10.8</v>
      </c>
      <c r="J3093" s="24">
        <v>0.0</v>
      </c>
    </row>
    <row r="3094">
      <c r="A3094" s="24">
        <v>462.0</v>
      </c>
      <c r="B3094" s="24">
        <v>1.0</v>
      </c>
      <c r="C3094" s="44">
        <v>11.54</v>
      </c>
      <c r="D3094" s="46">
        <v>45055.0</v>
      </c>
      <c r="E3094" s="24">
        <v>11.54</v>
      </c>
      <c r="F3094" s="24">
        <v>24.98</v>
      </c>
      <c r="G3094" s="24">
        <v>0.22</v>
      </c>
      <c r="H3094" s="24" t="s">
        <v>6700</v>
      </c>
      <c r="I3094" s="24">
        <v>11.54</v>
      </c>
      <c r="J3094" s="24">
        <v>0.0</v>
      </c>
    </row>
    <row r="3095">
      <c r="A3095" s="24">
        <v>186.0</v>
      </c>
      <c r="B3095" s="24">
        <v>2.0</v>
      </c>
      <c r="C3095" s="44">
        <v>12.13</v>
      </c>
      <c r="D3095" s="46">
        <v>45055.0</v>
      </c>
      <c r="E3095" s="24">
        <v>6.06</v>
      </c>
      <c r="F3095" s="24">
        <v>65.22</v>
      </c>
      <c r="G3095" s="24">
        <v>1.08</v>
      </c>
      <c r="H3095" s="24" t="s">
        <v>6699</v>
      </c>
      <c r="I3095" s="24">
        <v>6.06</v>
      </c>
      <c r="J3095" s="24">
        <v>0.0</v>
      </c>
    </row>
    <row r="3096">
      <c r="A3096" s="24">
        <v>164.0</v>
      </c>
      <c r="B3096" s="24">
        <v>2.0</v>
      </c>
      <c r="C3096" s="44">
        <v>12.52</v>
      </c>
      <c r="D3096" s="46">
        <v>45055.0</v>
      </c>
      <c r="E3096" s="24">
        <v>6.26</v>
      </c>
      <c r="F3096" s="24">
        <v>76.34</v>
      </c>
      <c r="G3096" s="24">
        <v>1.22</v>
      </c>
      <c r="H3096" s="24" t="s">
        <v>6701</v>
      </c>
      <c r="I3096" s="24">
        <v>6.26</v>
      </c>
      <c r="J3096" s="24">
        <v>0.0</v>
      </c>
    </row>
    <row r="3097">
      <c r="A3097" s="24">
        <v>710.0</v>
      </c>
      <c r="B3097" s="24">
        <v>5.0</v>
      </c>
      <c r="C3097" s="44">
        <v>11.53</v>
      </c>
      <c r="D3097" s="46">
        <v>45055.0</v>
      </c>
      <c r="E3097" s="24">
        <v>2.31</v>
      </c>
      <c r="F3097" s="24">
        <v>16.24</v>
      </c>
      <c r="G3097" s="24">
        <v>0.7</v>
      </c>
      <c r="H3097" s="24" t="s">
        <v>6698</v>
      </c>
      <c r="I3097" s="24" t="s">
        <v>6650</v>
      </c>
      <c r="J3097" s="24">
        <v>0.0</v>
      </c>
    </row>
    <row r="3098">
      <c r="A3098" s="24">
        <v>1515.0</v>
      </c>
      <c r="B3098" s="24">
        <v>21.0</v>
      </c>
      <c r="C3098" s="44">
        <v>11.81</v>
      </c>
      <c r="D3098" s="46">
        <v>45055.0</v>
      </c>
      <c r="E3098" s="24">
        <v>0.56</v>
      </c>
      <c r="F3098" s="24">
        <v>7.8</v>
      </c>
      <c r="G3098" s="24">
        <v>1.39</v>
      </c>
      <c r="H3098" s="24" t="s">
        <v>6689</v>
      </c>
      <c r="I3098" s="24">
        <v>11.81</v>
      </c>
      <c r="J3098" s="24">
        <v>0.0</v>
      </c>
    </row>
    <row r="3099">
      <c r="A3099" s="24">
        <v>1969.0</v>
      </c>
      <c r="B3099" s="24">
        <v>13.0</v>
      </c>
      <c r="C3099" s="44">
        <v>12.02</v>
      </c>
      <c r="D3099" s="46">
        <v>45055.0</v>
      </c>
      <c r="E3099" s="24">
        <v>0.92</v>
      </c>
      <c r="F3099" s="24">
        <v>6.1</v>
      </c>
      <c r="G3099" s="24">
        <v>0.66</v>
      </c>
      <c r="H3099" s="24" t="s">
        <v>6688</v>
      </c>
      <c r="I3099" s="24">
        <v>4.01</v>
      </c>
      <c r="J3099" s="24">
        <v>0.0</v>
      </c>
    </row>
    <row r="3100">
      <c r="A3100" s="24">
        <v>58.0</v>
      </c>
      <c r="B3100" s="24">
        <v>1.0</v>
      </c>
      <c r="C3100" s="44">
        <v>12.25</v>
      </c>
      <c r="D3100" s="46">
        <v>45055.0</v>
      </c>
      <c r="E3100" s="24">
        <v>12.25</v>
      </c>
      <c r="F3100" s="24">
        <v>211.21</v>
      </c>
      <c r="G3100" s="24">
        <v>1.72</v>
      </c>
      <c r="H3100" s="24" t="s">
        <v>6695</v>
      </c>
      <c r="I3100" s="24" t="s">
        <v>6650</v>
      </c>
      <c r="J3100" s="24">
        <v>1.0</v>
      </c>
    </row>
    <row r="3101">
      <c r="A3101" s="24">
        <v>428.0</v>
      </c>
      <c r="B3101" s="24">
        <v>2.0</v>
      </c>
      <c r="C3101" s="44">
        <v>13.78</v>
      </c>
      <c r="D3101" s="46">
        <v>45055.0</v>
      </c>
      <c r="E3101" s="24">
        <v>6.89</v>
      </c>
      <c r="F3101" s="24">
        <v>32.2</v>
      </c>
      <c r="G3101" s="24">
        <v>0.47</v>
      </c>
      <c r="H3101" s="24" t="s">
        <v>6680</v>
      </c>
      <c r="I3101" s="24">
        <v>13.78</v>
      </c>
      <c r="J3101" s="24">
        <v>0.0</v>
      </c>
    </row>
    <row r="3102">
      <c r="A3102" s="24">
        <v>580.0</v>
      </c>
      <c r="B3102" s="24">
        <v>3.0</v>
      </c>
      <c r="C3102" s="44">
        <v>11.95</v>
      </c>
      <c r="D3102" s="46">
        <v>45055.0</v>
      </c>
      <c r="E3102" s="24">
        <v>3.98</v>
      </c>
      <c r="F3102" s="24">
        <v>20.6</v>
      </c>
      <c r="G3102" s="24">
        <v>0.52</v>
      </c>
      <c r="H3102" s="24" t="s">
        <v>6692</v>
      </c>
      <c r="I3102" s="24" t="s">
        <v>6650</v>
      </c>
      <c r="J3102" s="24">
        <v>1.0</v>
      </c>
    </row>
    <row r="3103">
      <c r="A3103" s="24">
        <v>68.0</v>
      </c>
      <c r="B3103" s="24">
        <v>0.0</v>
      </c>
      <c r="C3103" s="44">
        <v>11.88</v>
      </c>
      <c r="D3103" s="46">
        <v>45055.0</v>
      </c>
      <c r="E3103" s="24" t="s">
        <v>6650</v>
      </c>
      <c r="F3103" s="24">
        <v>174.71</v>
      </c>
      <c r="G3103" s="24">
        <v>0.0</v>
      </c>
      <c r="H3103" s="24" t="s">
        <v>6697</v>
      </c>
      <c r="I3103" s="24" t="s">
        <v>6650</v>
      </c>
      <c r="J3103" s="24">
        <v>0.0</v>
      </c>
    </row>
    <row r="3104">
      <c r="A3104" s="24">
        <v>119.0</v>
      </c>
      <c r="B3104" s="24">
        <v>1.0</v>
      </c>
      <c r="C3104" s="44">
        <v>11.85</v>
      </c>
      <c r="D3104" s="46">
        <v>45055.0</v>
      </c>
      <c r="E3104" s="24">
        <v>11.85</v>
      </c>
      <c r="F3104" s="24">
        <v>99.58</v>
      </c>
      <c r="G3104" s="24">
        <v>0.84</v>
      </c>
      <c r="H3104" s="24" t="s">
        <v>6696</v>
      </c>
      <c r="I3104" s="24" t="s">
        <v>6650</v>
      </c>
      <c r="J3104" s="24">
        <v>0.0</v>
      </c>
    </row>
    <row r="3105">
      <c r="A3105" s="24">
        <v>478.0</v>
      </c>
      <c r="B3105" s="24">
        <v>3.0</v>
      </c>
      <c r="C3105" s="44">
        <v>12.31</v>
      </c>
      <c r="D3105" s="46">
        <v>45056.0</v>
      </c>
      <c r="E3105" s="24">
        <v>4.1</v>
      </c>
      <c r="F3105" s="24">
        <v>25.75</v>
      </c>
      <c r="G3105" s="24">
        <v>0.63</v>
      </c>
      <c r="H3105" s="24" t="s">
        <v>6680</v>
      </c>
      <c r="I3105" s="24" t="s">
        <v>6650</v>
      </c>
      <c r="J3105" s="24">
        <v>0.0</v>
      </c>
    </row>
    <row r="3106">
      <c r="A3106" s="24">
        <v>139.0</v>
      </c>
      <c r="B3106" s="24">
        <v>5.0</v>
      </c>
      <c r="C3106" s="44">
        <v>11.79</v>
      </c>
      <c r="D3106" s="46">
        <v>45056.0</v>
      </c>
      <c r="E3106" s="24">
        <v>2.36</v>
      </c>
      <c r="F3106" s="24">
        <v>84.82</v>
      </c>
      <c r="G3106" s="24">
        <v>3.6</v>
      </c>
      <c r="H3106" s="24" t="s">
        <v>6699</v>
      </c>
      <c r="I3106" s="24">
        <v>3.93</v>
      </c>
      <c r="J3106" s="24">
        <v>0.0</v>
      </c>
    </row>
    <row r="3107">
      <c r="A3107" s="24">
        <v>1075.0</v>
      </c>
      <c r="B3107" s="24">
        <v>7.0</v>
      </c>
      <c r="C3107" s="44">
        <v>11.52</v>
      </c>
      <c r="D3107" s="46">
        <v>45056.0</v>
      </c>
      <c r="E3107" s="24">
        <v>1.65</v>
      </c>
      <c r="F3107" s="24">
        <v>10.72</v>
      </c>
      <c r="G3107" s="24">
        <v>0.65</v>
      </c>
      <c r="H3107" s="24" t="s">
        <v>6689</v>
      </c>
      <c r="I3107" s="24">
        <v>5.76</v>
      </c>
      <c r="J3107" s="24">
        <v>0.0</v>
      </c>
    </row>
    <row r="3108">
      <c r="A3108" s="24">
        <v>583.0</v>
      </c>
      <c r="B3108" s="24">
        <v>8.0</v>
      </c>
      <c r="C3108" s="44">
        <v>12.39</v>
      </c>
      <c r="D3108" s="46">
        <v>45056.0</v>
      </c>
      <c r="E3108" s="24">
        <v>1.55</v>
      </c>
      <c r="F3108" s="24">
        <v>21.25</v>
      </c>
      <c r="G3108" s="24">
        <v>1.37</v>
      </c>
      <c r="H3108" s="24" t="s">
        <v>6692</v>
      </c>
      <c r="I3108" s="24">
        <v>6.2</v>
      </c>
      <c r="J3108" s="24">
        <v>0.0</v>
      </c>
    </row>
    <row r="3109">
      <c r="A3109" s="24">
        <v>58.0</v>
      </c>
      <c r="B3109" s="24">
        <v>0.0</v>
      </c>
      <c r="C3109" s="44">
        <v>11.89</v>
      </c>
      <c r="D3109" s="46">
        <v>45056.0</v>
      </c>
      <c r="E3109" s="24" t="s">
        <v>6650</v>
      </c>
      <c r="F3109" s="24">
        <v>205.0</v>
      </c>
      <c r="G3109" s="24">
        <v>0.0</v>
      </c>
      <c r="H3109" s="24" t="s">
        <v>6697</v>
      </c>
      <c r="I3109" s="24">
        <v>5.94</v>
      </c>
      <c r="J3109" s="24">
        <v>0.0</v>
      </c>
    </row>
    <row r="3110">
      <c r="A3110" s="24">
        <v>140.0</v>
      </c>
      <c r="B3110" s="24">
        <v>0.0</v>
      </c>
      <c r="C3110" s="44">
        <v>12.48</v>
      </c>
      <c r="D3110" s="46">
        <v>45056.0</v>
      </c>
      <c r="E3110" s="24" t="s">
        <v>6650</v>
      </c>
      <c r="F3110" s="24">
        <v>89.14</v>
      </c>
      <c r="G3110" s="24">
        <v>0.0</v>
      </c>
      <c r="H3110" s="24" t="s">
        <v>6696</v>
      </c>
      <c r="I3110" s="24" t="s">
        <v>6650</v>
      </c>
      <c r="J3110" s="24">
        <v>0.0</v>
      </c>
    </row>
    <row r="3111">
      <c r="A3111" s="24">
        <v>76.0</v>
      </c>
      <c r="B3111" s="24">
        <v>0.0</v>
      </c>
      <c r="C3111" s="44">
        <v>12.53</v>
      </c>
      <c r="D3111" s="46">
        <v>45056.0</v>
      </c>
      <c r="E3111" s="24" t="s">
        <v>6650</v>
      </c>
      <c r="F3111" s="24">
        <v>164.87</v>
      </c>
      <c r="G3111" s="24">
        <v>0.0</v>
      </c>
      <c r="H3111" s="24" t="s">
        <v>6695</v>
      </c>
      <c r="I3111" s="24" t="s">
        <v>6650</v>
      </c>
      <c r="J3111" s="24">
        <v>0.0</v>
      </c>
    </row>
    <row r="3112">
      <c r="A3112" s="24">
        <v>334.0</v>
      </c>
      <c r="B3112" s="24">
        <v>3.0</v>
      </c>
      <c r="C3112" s="44">
        <v>11.78</v>
      </c>
      <c r="D3112" s="46">
        <v>45056.0</v>
      </c>
      <c r="E3112" s="24">
        <v>3.93</v>
      </c>
      <c r="F3112" s="24">
        <v>35.27</v>
      </c>
      <c r="G3112" s="24">
        <v>0.9</v>
      </c>
      <c r="H3112" s="24" t="s">
        <v>6700</v>
      </c>
      <c r="I3112" s="24">
        <v>5.89</v>
      </c>
      <c r="J3112" s="24">
        <v>0.0</v>
      </c>
    </row>
    <row r="3113">
      <c r="A3113" s="24">
        <v>1941.0</v>
      </c>
      <c r="B3113" s="24">
        <v>12.0</v>
      </c>
      <c r="C3113" s="44">
        <v>11.46</v>
      </c>
      <c r="D3113" s="46">
        <v>45056.0</v>
      </c>
      <c r="E3113" s="24">
        <v>0.96</v>
      </c>
      <c r="F3113" s="24">
        <v>5.9</v>
      </c>
      <c r="G3113" s="24">
        <v>0.62</v>
      </c>
      <c r="H3113" s="24" t="s">
        <v>6688</v>
      </c>
      <c r="I3113" s="24">
        <v>11.46</v>
      </c>
      <c r="J3113" s="24">
        <v>0.0</v>
      </c>
    </row>
    <row r="3114">
      <c r="A3114" s="24">
        <v>134.0</v>
      </c>
      <c r="B3114" s="24">
        <v>2.0</v>
      </c>
      <c r="C3114" s="44">
        <v>11.79</v>
      </c>
      <c r="D3114" s="46">
        <v>45056.0</v>
      </c>
      <c r="E3114" s="24">
        <v>5.9</v>
      </c>
      <c r="F3114" s="24">
        <v>87.99</v>
      </c>
      <c r="G3114" s="24">
        <v>1.49</v>
      </c>
      <c r="H3114" s="24" t="s">
        <v>6701</v>
      </c>
      <c r="I3114" s="24">
        <v>5.9</v>
      </c>
      <c r="J3114" s="24">
        <v>0.0</v>
      </c>
    </row>
    <row r="3115">
      <c r="A3115" s="24">
        <v>618.0</v>
      </c>
      <c r="B3115" s="24">
        <v>2.0</v>
      </c>
      <c r="C3115" s="44">
        <v>11.66</v>
      </c>
      <c r="D3115" s="46">
        <v>45056.0</v>
      </c>
      <c r="E3115" s="24">
        <v>5.83</v>
      </c>
      <c r="F3115" s="24">
        <v>18.87</v>
      </c>
      <c r="G3115" s="24">
        <v>0.32</v>
      </c>
      <c r="H3115" s="24" t="s">
        <v>6698</v>
      </c>
      <c r="I3115" s="24" t="s">
        <v>6650</v>
      </c>
      <c r="J3115" s="24">
        <v>0.0</v>
      </c>
    </row>
    <row r="3116">
      <c r="A3116" s="24">
        <v>102.0</v>
      </c>
      <c r="B3116" s="24">
        <v>2.0</v>
      </c>
      <c r="C3116" s="44">
        <v>11.51</v>
      </c>
      <c r="D3116" s="46">
        <v>45057.0</v>
      </c>
      <c r="E3116" s="24">
        <v>5.76</v>
      </c>
      <c r="F3116" s="24">
        <v>112.84</v>
      </c>
      <c r="G3116" s="24">
        <v>1.96</v>
      </c>
      <c r="H3116" s="24" t="s">
        <v>6696</v>
      </c>
      <c r="I3116" s="24" t="s">
        <v>6650</v>
      </c>
      <c r="J3116" s="24">
        <v>0.0</v>
      </c>
    </row>
    <row r="3117">
      <c r="A3117" s="24">
        <v>915.0</v>
      </c>
      <c r="B3117" s="24">
        <v>7.0</v>
      </c>
      <c r="C3117" s="44">
        <v>12.0</v>
      </c>
      <c r="D3117" s="46">
        <v>45057.0</v>
      </c>
      <c r="E3117" s="24">
        <v>1.71</v>
      </c>
      <c r="F3117" s="24">
        <v>13.11</v>
      </c>
      <c r="G3117" s="24">
        <v>0.77</v>
      </c>
      <c r="H3117" s="24" t="s">
        <v>6689</v>
      </c>
      <c r="I3117" s="24" t="s">
        <v>6650</v>
      </c>
      <c r="J3117" s="24">
        <v>0.0</v>
      </c>
    </row>
    <row r="3118">
      <c r="A3118" s="24">
        <v>1770.0</v>
      </c>
      <c r="B3118" s="24">
        <v>8.0</v>
      </c>
      <c r="C3118" s="44">
        <v>11.27</v>
      </c>
      <c r="D3118" s="46">
        <v>45057.0</v>
      </c>
      <c r="E3118" s="24">
        <v>1.41</v>
      </c>
      <c r="F3118" s="24">
        <v>6.37</v>
      </c>
      <c r="G3118" s="24">
        <v>0.45</v>
      </c>
      <c r="H3118" s="24" t="s">
        <v>6688</v>
      </c>
      <c r="I3118" s="24">
        <v>3.76</v>
      </c>
      <c r="J3118" s="24">
        <v>0.0</v>
      </c>
    </row>
    <row r="3119">
      <c r="A3119" s="24">
        <v>595.0</v>
      </c>
      <c r="B3119" s="24">
        <v>3.0</v>
      </c>
      <c r="C3119" s="44">
        <v>11.83</v>
      </c>
      <c r="D3119" s="46">
        <v>45057.0</v>
      </c>
      <c r="E3119" s="24">
        <v>3.94</v>
      </c>
      <c r="F3119" s="24">
        <v>19.88</v>
      </c>
      <c r="G3119" s="24">
        <v>0.5</v>
      </c>
      <c r="H3119" s="24" t="s">
        <v>6698</v>
      </c>
      <c r="I3119" s="24" t="s">
        <v>6650</v>
      </c>
      <c r="J3119" s="24">
        <v>0.0</v>
      </c>
    </row>
    <row r="3120">
      <c r="A3120" s="24">
        <v>78.0</v>
      </c>
      <c r="B3120" s="24">
        <v>0.0</v>
      </c>
      <c r="C3120" s="44">
        <v>12.1</v>
      </c>
      <c r="D3120" s="46">
        <v>45057.0</v>
      </c>
      <c r="E3120" s="24" t="s">
        <v>6650</v>
      </c>
      <c r="F3120" s="24">
        <v>155.13</v>
      </c>
      <c r="G3120" s="24">
        <v>0.0</v>
      </c>
      <c r="H3120" s="24" t="s">
        <v>6701</v>
      </c>
      <c r="I3120" s="24" t="s">
        <v>6650</v>
      </c>
      <c r="J3120" s="24">
        <v>0.0</v>
      </c>
    </row>
    <row r="3121">
      <c r="A3121" s="24">
        <v>500.0</v>
      </c>
      <c r="B3121" s="24">
        <v>0.0</v>
      </c>
      <c r="C3121" s="44">
        <v>11.81</v>
      </c>
      <c r="D3121" s="46">
        <v>45057.0</v>
      </c>
      <c r="E3121" s="24" t="s">
        <v>6650</v>
      </c>
      <c r="F3121" s="24">
        <v>23.62</v>
      </c>
      <c r="G3121" s="24">
        <v>0.0</v>
      </c>
      <c r="H3121" s="24" t="s">
        <v>6700</v>
      </c>
      <c r="I3121" s="24" t="s">
        <v>6650</v>
      </c>
      <c r="J3121" s="24">
        <v>0.0</v>
      </c>
    </row>
    <row r="3122">
      <c r="A3122" s="24">
        <v>57.0</v>
      </c>
      <c r="B3122" s="24">
        <v>0.0</v>
      </c>
      <c r="C3122" s="44">
        <v>11.55</v>
      </c>
      <c r="D3122" s="46">
        <v>45057.0</v>
      </c>
      <c r="E3122" s="24" t="s">
        <v>6650</v>
      </c>
      <c r="F3122" s="24">
        <v>202.63</v>
      </c>
      <c r="G3122" s="24">
        <v>0.0</v>
      </c>
      <c r="H3122" s="24" t="s">
        <v>6697</v>
      </c>
      <c r="I3122" s="24" t="s">
        <v>6650</v>
      </c>
      <c r="J3122" s="24">
        <v>0.0</v>
      </c>
    </row>
    <row r="3123">
      <c r="A3123" s="24">
        <v>427.0</v>
      </c>
      <c r="B3123" s="24">
        <v>1.0</v>
      </c>
      <c r="C3123" s="44">
        <v>11.56</v>
      </c>
      <c r="D3123" s="46">
        <v>45057.0</v>
      </c>
      <c r="E3123" s="24">
        <v>11.56</v>
      </c>
      <c r="F3123" s="24">
        <v>27.07</v>
      </c>
      <c r="G3123" s="24">
        <v>0.23</v>
      </c>
      <c r="H3123" s="24" t="s">
        <v>6680</v>
      </c>
      <c r="I3123" s="24">
        <v>5.78</v>
      </c>
      <c r="J3123" s="24">
        <v>0.0</v>
      </c>
    </row>
    <row r="3124">
      <c r="A3124" s="24">
        <v>127.0</v>
      </c>
      <c r="B3124" s="24">
        <v>0.0</v>
      </c>
      <c r="C3124" s="44">
        <v>12.28</v>
      </c>
      <c r="D3124" s="46">
        <v>45057.0</v>
      </c>
      <c r="E3124" s="24" t="s">
        <v>6650</v>
      </c>
      <c r="F3124" s="24">
        <v>96.69</v>
      </c>
      <c r="G3124" s="24">
        <v>0.0</v>
      </c>
      <c r="H3124" s="24" t="s">
        <v>6699</v>
      </c>
      <c r="I3124" s="24" t="s">
        <v>6650</v>
      </c>
      <c r="J3124" s="24">
        <v>0.0</v>
      </c>
    </row>
    <row r="3125">
      <c r="A3125" s="24">
        <v>68.0</v>
      </c>
      <c r="B3125" s="24">
        <v>2.0</v>
      </c>
      <c r="C3125" s="44">
        <v>12.02</v>
      </c>
      <c r="D3125" s="46">
        <v>45057.0</v>
      </c>
      <c r="E3125" s="24">
        <v>6.01</v>
      </c>
      <c r="F3125" s="24">
        <v>176.76</v>
      </c>
      <c r="G3125" s="24">
        <v>2.94</v>
      </c>
      <c r="H3125" s="24" t="s">
        <v>6695</v>
      </c>
      <c r="I3125" s="24" t="s">
        <v>6650</v>
      </c>
      <c r="J3125" s="24">
        <v>0.0</v>
      </c>
    </row>
    <row r="3126">
      <c r="A3126" s="24">
        <v>498.0</v>
      </c>
      <c r="B3126" s="24">
        <v>4.0</v>
      </c>
      <c r="C3126" s="44">
        <v>12.5</v>
      </c>
      <c r="D3126" s="46">
        <v>45057.0</v>
      </c>
      <c r="E3126" s="24">
        <v>3.12</v>
      </c>
      <c r="F3126" s="24">
        <v>25.1</v>
      </c>
      <c r="G3126" s="24">
        <v>0.8</v>
      </c>
      <c r="H3126" s="24" t="s">
        <v>6692</v>
      </c>
      <c r="I3126" s="24">
        <v>12.5</v>
      </c>
      <c r="J3126" s="24">
        <v>0.0</v>
      </c>
    </row>
    <row r="3127">
      <c r="A3127" s="24">
        <v>114.0</v>
      </c>
      <c r="B3127" s="24">
        <v>3.0</v>
      </c>
      <c r="C3127" s="44">
        <v>10.58</v>
      </c>
      <c r="D3127" s="46">
        <v>45058.0</v>
      </c>
      <c r="E3127" s="24">
        <v>3.53</v>
      </c>
      <c r="F3127" s="24">
        <v>92.81</v>
      </c>
      <c r="G3127" s="24">
        <v>2.63</v>
      </c>
      <c r="H3127" s="24" t="s">
        <v>6696</v>
      </c>
      <c r="I3127" s="24">
        <v>10.58</v>
      </c>
      <c r="J3127" s="24">
        <v>0.0</v>
      </c>
    </row>
    <row r="3128">
      <c r="A3128" s="24">
        <v>927.0</v>
      </c>
      <c r="B3128" s="24">
        <v>10.0</v>
      </c>
      <c r="C3128" s="44">
        <v>11.16</v>
      </c>
      <c r="D3128" s="46">
        <v>45058.0</v>
      </c>
      <c r="E3128" s="24">
        <v>1.12</v>
      </c>
      <c r="F3128" s="24">
        <v>12.04</v>
      </c>
      <c r="G3128" s="24">
        <v>1.08</v>
      </c>
      <c r="H3128" s="24" t="s">
        <v>6689</v>
      </c>
      <c r="I3128" s="24">
        <v>3.72</v>
      </c>
      <c r="J3128" s="24">
        <v>0.0</v>
      </c>
    </row>
    <row r="3129">
      <c r="A3129" s="24">
        <v>430.0</v>
      </c>
      <c r="B3129" s="24">
        <v>1.0</v>
      </c>
      <c r="C3129" s="44">
        <v>10.82</v>
      </c>
      <c r="D3129" s="46">
        <v>45058.0</v>
      </c>
      <c r="E3129" s="24">
        <v>10.82</v>
      </c>
      <c r="F3129" s="24">
        <v>25.16</v>
      </c>
      <c r="G3129" s="24">
        <v>0.23</v>
      </c>
      <c r="H3129" s="24" t="s">
        <v>6700</v>
      </c>
      <c r="I3129" s="24">
        <v>10.82</v>
      </c>
      <c r="J3129" s="24">
        <v>0.0</v>
      </c>
    </row>
    <row r="3130">
      <c r="A3130" s="24">
        <v>400.0</v>
      </c>
      <c r="B3130" s="24">
        <v>2.0</v>
      </c>
      <c r="C3130" s="44">
        <v>10.48</v>
      </c>
      <c r="D3130" s="46">
        <v>45058.0</v>
      </c>
      <c r="E3130" s="24">
        <v>5.24</v>
      </c>
      <c r="F3130" s="24">
        <v>26.2</v>
      </c>
      <c r="G3130" s="24">
        <v>0.5</v>
      </c>
      <c r="H3130" s="24" t="s">
        <v>6692</v>
      </c>
      <c r="I3130" s="24" t="s">
        <v>6650</v>
      </c>
      <c r="J3130" s="24">
        <v>0.0</v>
      </c>
    </row>
    <row r="3131">
      <c r="A3131" s="24">
        <v>394.0</v>
      </c>
      <c r="B3131" s="24">
        <v>3.0</v>
      </c>
      <c r="C3131" s="44">
        <v>11.33</v>
      </c>
      <c r="D3131" s="46">
        <v>45058.0</v>
      </c>
      <c r="E3131" s="24">
        <v>3.78</v>
      </c>
      <c r="F3131" s="24">
        <v>28.76</v>
      </c>
      <c r="G3131" s="24">
        <v>0.76</v>
      </c>
      <c r="H3131" s="24" t="s">
        <v>6680</v>
      </c>
      <c r="I3131" s="24" t="s">
        <v>6650</v>
      </c>
      <c r="J3131" s="24">
        <v>0.0</v>
      </c>
    </row>
    <row r="3132">
      <c r="A3132" s="24">
        <v>83.0</v>
      </c>
      <c r="B3132" s="24">
        <v>1.0</v>
      </c>
      <c r="C3132" s="44">
        <v>10.46</v>
      </c>
      <c r="D3132" s="46">
        <v>45058.0</v>
      </c>
      <c r="E3132" s="24">
        <v>10.46</v>
      </c>
      <c r="F3132" s="24">
        <v>126.02</v>
      </c>
      <c r="G3132" s="24">
        <v>1.2</v>
      </c>
      <c r="H3132" s="24" t="s">
        <v>6701</v>
      </c>
      <c r="I3132" s="24" t="s">
        <v>6650</v>
      </c>
      <c r="J3132" s="24">
        <v>0.0</v>
      </c>
    </row>
    <row r="3133">
      <c r="A3133" s="24">
        <v>60.0</v>
      </c>
      <c r="B3133" s="24">
        <v>1.0</v>
      </c>
      <c r="C3133" s="44">
        <v>10.6</v>
      </c>
      <c r="D3133" s="46">
        <v>45058.0</v>
      </c>
      <c r="E3133" s="24">
        <v>10.6</v>
      </c>
      <c r="F3133" s="24">
        <v>176.67</v>
      </c>
      <c r="G3133" s="24">
        <v>1.67</v>
      </c>
      <c r="H3133" s="24" t="s">
        <v>6695</v>
      </c>
      <c r="I3133" s="24" t="s">
        <v>6650</v>
      </c>
      <c r="J3133" s="24">
        <v>0.0</v>
      </c>
    </row>
    <row r="3134">
      <c r="A3134" s="24">
        <v>566.0</v>
      </c>
      <c r="B3134" s="24">
        <v>1.0</v>
      </c>
      <c r="C3134" s="44">
        <v>10.89</v>
      </c>
      <c r="D3134" s="46">
        <v>45058.0</v>
      </c>
      <c r="E3134" s="24">
        <v>10.89</v>
      </c>
      <c r="F3134" s="24">
        <v>19.24</v>
      </c>
      <c r="G3134" s="24">
        <v>0.18</v>
      </c>
      <c r="H3134" s="24" t="s">
        <v>6698</v>
      </c>
      <c r="I3134" s="24">
        <v>10.89</v>
      </c>
      <c r="J3134" s="24">
        <v>0.0</v>
      </c>
    </row>
    <row r="3135">
      <c r="A3135" s="24">
        <v>103.0</v>
      </c>
      <c r="B3135" s="24">
        <v>2.0</v>
      </c>
      <c r="C3135" s="44">
        <v>11.1</v>
      </c>
      <c r="D3135" s="46">
        <v>45058.0</v>
      </c>
      <c r="E3135" s="24">
        <v>5.55</v>
      </c>
      <c r="F3135" s="24">
        <v>107.77</v>
      </c>
      <c r="G3135" s="24">
        <v>1.94</v>
      </c>
      <c r="H3135" s="24" t="s">
        <v>6699</v>
      </c>
      <c r="I3135" s="24">
        <v>5.55</v>
      </c>
      <c r="J3135" s="24">
        <v>0.0</v>
      </c>
    </row>
    <row r="3136">
      <c r="A3136" s="24">
        <v>39.0</v>
      </c>
      <c r="B3136" s="24">
        <v>0.0</v>
      </c>
      <c r="C3136" s="44">
        <v>11.72</v>
      </c>
      <c r="D3136" s="46">
        <v>45058.0</v>
      </c>
      <c r="E3136" s="24" t="s">
        <v>6650</v>
      </c>
      <c r="F3136" s="24">
        <v>300.51</v>
      </c>
      <c r="G3136" s="24">
        <v>0.0</v>
      </c>
      <c r="H3136" s="24" t="s">
        <v>6697</v>
      </c>
      <c r="I3136" s="24">
        <v>11.72</v>
      </c>
      <c r="J3136" s="24">
        <v>0.0</v>
      </c>
    </row>
    <row r="3137">
      <c r="A3137" s="24">
        <v>1783.0</v>
      </c>
      <c r="B3137" s="24">
        <v>12.0</v>
      </c>
      <c r="C3137" s="44">
        <v>11.29</v>
      </c>
      <c r="D3137" s="46">
        <v>45058.0</v>
      </c>
      <c r="E3137" s="24">
        <v>0.94</v>
      </c>
      <c r="F3137" s="24">
        <v>6.33</v>
      </c>
      <c r="G3137" s="24">
        <v>0.67</v>
      </c>
      <c r="H3137" s="24" t="s">
        <v>6688</v>
      </c>
      <c r="I3137" s="24">
        <v>1.88</v>
      </c>
      <c r="J3137" s="24">
        <v>0.0</v>
      </c>
    </row>
    <row r="3138">
      <c r="A3138" s="24">
        <v>56.0</v>
      </c>
      <c r="B3138" s="24">
        <v>1.0</v>
      </c>
      <c r="C3138" s="44">
        <v>6.53</v>
      </c>
      <c r="D3138" s="46">
        <v>45059.0</v>
      </c>
      <c r="E3138" s="24">
        <v>6.53</v>
      </c>
      <c r="F3138" s="24">
        <v>116.61</v>
      </c>
      <c r="G3138" s="24">
        <v>1.79</v>
      </c>
      <c r="H3138" s="24" t="s">
        <v>6699</v>
      </c>
      <c r="I3138" s="24">
        <v>6.53</v>
      </c>
      <c r="J3138" s="24">
        <v>0.0</v>
      </c>
    </row>
    <row r="3139">
      <c r="A3139" s="24">
        <v>302.0</v>
      </c>
      <c r="B3139" s="24">
        <v>2.0</v>
      </c>
      <c r="C3139" s="44">
        <v>6.89</v>
      </c>
      <c r="D3139" s="46">
        <v>45059.0</v>
      </c>
      <c r="E3139" s="24">
        <v>3.44</v>
      </c>
      <c r="F3139" s="24">
        <v>22.81</v>
      </c>
      <c r="G3139" s="24">
        <v>0.66</v>
      </c>
      <c r="H3139" s="24" t="s">
        <v>6700</v>
      </c>
      <c r="I3139" s="24">
        <v>6.89</v>
      </c>
      <c r="J3139" s="24">
        <v>0.0</v>
      </c>
    </row>
    <row r="3140">
      <c r="A3140" s="24">
        <v>20.0</v>
      </c>
      <c r="B3140" s="24">
        <v>0.0</v>
      </c>
      <c r="C3140" s="44">
        <v>5.91</v>
      </c>
      <c r="D3140" s="46">
        <v>45059.0</v>
      </c>
      <c r="E3140" s="24" t="s">
        <v>6650</v>
      </c>
      <c r="F3140" s="24">
        <v>295.5</v>
      </c>
      <c r="G3140" s="24">
        <v>0.0</v>
      </c>
      <c r="H3140" s="24" t="s">
        <v>6697</v>
      </c>
      <c r="I3140" s="24" t="s">
        <v>6650</v>
      </c>
      <c r="J3140" s="24">
        <v>0.0</v>
      </c>
    </row>
    <row r="3141">
      <c r="A3141" s="24">
        <v>50.0</v>
      </c>
      <c r="B3141" s="24">
        <v>0.0</v>
      </c>
      <c r="C3141" s="44">
        <v>7.22</v>
      </c>
      <c r="D3141" s="46">
        <v>45059.0</v>
      </c>
      <c r="E3141" s="24" t="s">
        <v>6650</v>
      </c>
      <c r="F3141" s="24">
        <v>144.4</v>
      </c>
      <c r="G3141" s="24">
        <v>0.0</v>
      </c>
      <c r="H3141" s="24" t="s">
        <v>6696</v>
      </c>
      <c r="I3141" s="24" t="s">
        <v>6650</v>
      </c>
      <c r="J3141" s="24">
        <v>0.0</v>
      </c>
    </row>
    <row r="3142">
      <c r="A3142" s="24">
        <v>30.0</v>
      </c>
      <c r="B3142" s="24">
        <v>0.0</v>
      </c>
      <c r="C3142" s="44">
        <v>5.91</v>
      </c>
      <c r="D3142" s="46">
        <v>45059.0</v>
      </c>
      <c r="E3142" s="24" t="s">
        <v>6650</v>
      </c>
      <c r="F3142" s="24">
        <v>197.0</v>
      </c>
      <c r="G3142" s="24">
        <v>0.0</v>
      </c>
      <c r="H3142" s="24" t="s">
        <v>6695</v>
      </c>
      <c r="I3142" s="24" t="s">
        <v>6650</v>
      </c>
      <c r="J3142" s="24">
        <v>0.0</v>
      </c>
    </row>
    <row r="3143">
      <c r="A3143" s="24">
        <v>364.0</v>
      </c>
      <c r="B3143" s="24">
        <v>1.0</v>
      </c>
      <c r="C3143" s="44">
        <v>7.19</v>
      </c>
      <c r="D3143" s="46">
        <v>45059.0</v>
      </c>
      <c r="E3143" s="24">
        <v>7.19</v>
      </c>
      <c r="F3143" s="24">
        <v>19.75</v>
      </c>
      <c r="G3143" s="24">
        <v>0.27</v>
      </c>
      <c r="H3143" s="24" t="s">
        <v>6698</v>
      </c>
      <c r="I3143" s="24">
        <v>7.19</v>
      </c>
      <c r="J3143" s="24">
        <v>0.0</v>
      </c>
    </row>
    <row r="3144">
      <c r="A3144" s="24">
        <v>229.0</v>
      </c>
      <c r="B3144" s="24">
        <v>1.0</v>
      </c>
      <c r="C3144" s="44">
        <v>7.67</v>
      </c>
      <c r="D3144" s="46">
        <v>45059.0</v>
      </c>
      <c r="E3144" s="24">
        <v>7.67</v>
      </c>
      <c r="F3144" s="24">
        <v>33.49</v>
      </c>
      <c r="G3144" s="24">
        <v>0.44</v>
      </c>
      <c r="H3144" s="24" t="s">
        <v>6680</v>
      </c>
      <c r="I3144" s="24">
        <v>7.67</v>
      </c>
      <c r="J3144" s="24">
        <v>0.0</v>
      </c>
    </row>
    <row r="3145">
      <c r="A3145" s="24">
        <v>213.0</v>
      </c>
      <c r="B3145" s="24">
        <v>1.0</v>
      </c>
      <c r="C3145" s="44">
        <v>6.09</v>
      </c>
      <c r="D3145" s="46">
        <v>45059.0</v>
      </c>
      <c r="E3145" s="24">
        <v>6.09</v>
      </c>
      <c r="F3145" s="24">
        <v>28.59</v>
      </c>
      <c r="G3145" s="24">
        <v>0.47</v>
      </c>
      <c r="H3145" s="24" t="s">
        <v>6692</v>
      </c>
      <c r="I3145" s="24" t="s">
        <v>6650</v>
      </c>
      <c r="J3145" s="24">
        <v>0.0</v>
      </c>
    </row>
    <row r="3146">
      <c r="A3146" s="24">
        <v>437.0</v>
      </c>
      <c r="B3146" s="24">
        <v>9.0</v>
      </c>
      <c r="C3146" s="44">
        <v>6.17</v>
      </c>
      <c r="D3146" s="46">
        <v>45059.0</v>
      </c>
      <c r="E3146" s="24">
        <v>0.69</v>
      </c>
      <c r="F3146" s="24">
        <v>14.12</v>
      </c>
      <c r="G3146" s="24">
        <v>2.06</v>
      </c>
      <c r="H3146" s="24" t="s">
        <v>6689</v>
      </c>
      <c r="I3146" s="24" t="s">
        <v>6650</v>
      </c>
      <c r="J3146" s="24">
        <v>0.0</v>
      </c>
    </row>
    <row r="3147">
      <c r="A3147" s="24">
        <v>55.0</v>
      </c>
      <c r="B3147" s="24">
        <v>0.0</v>
      </c>
      <c r="C3147" s="44">
        <v>7.01</v>
      </c>
      <c r="D3147" s="46">
        <v>45059.0</v>
      </c>
      <c r="E3147" s="24" t="s">
        <v>6650</v>
      </c>
      <c r="F3147" s="24">
        <v>127.45</v>
      </c>
      <c r="G3147" s="24">
        <v>0.0</v>
      </c>
      <c r="H3147" s="24" t="s">
        <v>6701</v>
      </c>
      <c r="I3147" s="24" t="s">
        <v>6650</v>
      </c>
      <c r="J3147" s="24">
        <v>0.0</v>
      </c>
    </row>
    <row r="3148">
      <c r="A3148" s="24">
        <v>1424.0</v>
      </c>
      <c r="B3148" s="24">
        <v>10.0</v>
      </c>
      <c r="C3148" s="44">
        <v>6.57</v>
      </c>
      <c r="D3148" s="46">
        <v>45059.0</v>
      </c>
      <c r="E3148" s="24">
        <v>0.66</v>
      </c>
      <c r="F3148" s="24">
        <v>4.61</v>
      </c>
      <c r="G3148" s="24">
        <v>0.7</v>
      </c>
      <c r="H3148" s="24" t="s">
        <v>6688</v>
      </c>
      <c r="I3148" s="24">
        <v>1.1</v>
      </c>
      <c r="J3148" s="24">
        <v>0.0</v>
      </c>
    </row>
    <row r="3149">
      <c r="A3149" s="24">
        <v>43.0</v>
      </c>
      <c r="B3149" s="24">
        <v>0.0</v>
      </c>
      <c r="C3149" s="44">
        <v>5.56</v>
      </c>
      <c r="D3149" s="46">
        <v>45060.0</v>
      </c>
      <c r="E3149" s="24" t="s">
        <v>6650</v>
      </c>
      <c r="F3149" s="24">
        <v>129.3</v>
      </c>
      <c r="G3149" s="24">
        <v>0.0</v>
      </c>
      <c r="H3149" s="24" t="s">
        <v>6696</v>
      </c>
      <c r="I3149" s="24" t="s">
        <v>6650</v>
      </c>
      <c r="J3149" s="24">
        <v>0.0</v>
      </c>
    </row>
    <row r="3150">
      <c r="A3150" s="24">
        <v>167.0</v>
      </c>
      <c r="B3150" s="24">
        <v>0.0</v>
      </c>
      <c r="C3150" s="44">
        <v>6.26</v>
      </c>
      <c r="D3150" s="46">
        <v>45060.0</v>
      </c>
      <c r="E3150" s="24" t="s">
        <v>6650</v>
      </c>
      <c r="F3150" s="24">
        <v>37.49</v>
      </c>
      <c r="G3150" s="24">
        <v>0.0</v>
      </c>
      <c r="H3150" s="24" t="s">
        <v>6680</v>
      </c>
      <c r="I3150" s="24" t="s">
        <v>6650</v>
      </c>
      <c r="J3150" s="24">
        <v>0.0</v>
      </c>
    </row>
    <row r="3151">
      <c r="A3151" s="24">
        <v>389.0</v>
      </c>
      <c r="B3151" s="24">
        <v>0.0</v>
      </c>
      <c r="C3151" s="44">
        <v>6.38</v>
      </c>
      <c r="D3151" s="46">
        <v>45060.0</v>
      </c>
      <c r="E3151" s="24" t="s">
        <v>6650</v>
      </c>
      <c r="F3151" s="24">
        <v>16.4</v>
      </c>
      <c r="G3151" s="24">
        <v>0.0</v>
      </c>
      <c r="H3151" s="24" t="s">
        <v>6698</v>
      </c>
      <c r="I3151" s="24" t="s">
        <v>6650</v>
      </c>
      <c r="J3151" s="24">
        <v>0.0</v>
      </c>
    </row>
    <row r="3152">
      <c r="A3152" s="24">
        <v>28.0</v>
      </c>
      <c r="B3152" s="24">
        <v>1.0</v>
      </c>
      <c r="C3152" s="44">
        <v>4.41</v>
      </c>
      <c r="D3152" s="46">
        <v>45060.0</v>
      </c>
      <c r="E3152" s="24">
        <v>4.41</v>
      </c>
      <c r="F3152" s="24">
        <v>157.5</v>
      </c>
      <c r="G3152" s="24">
        <v>3.57</v>
      </c>
      <c r="H3152" s="24" t="s">
        <v>6695</v>
      </c>
      <c r="I3152" s="24" t="s">
        <v>6650</v>
      </c>
      <c r="J3152" s="24">
        <v>0.0</v>
      </c>
    </row>
    <row r="3153">
      <c r="A3153" s="24">
        <v>50.0</v>
      </c>
      <c r="B3153" s="24">
        <v>1.0</v>
      </c>
      <c r="C3153" s="44">
        <v>4.71</v>
      </c>
      <c r="D3153" s="46">
        <v>45060.0</v>
      </c>
      <c r="E3153" s="24">
        <v>4.71</v>
      </c>
      <c r="F3153" s="24">
        <v>94.2</v>
      </c>
      <c r="G3153" s="24">
        <v>2.0</v>
      </c>
      <c r="H3153" s="24" t="s">
        <v>6699</v>
      </c>
      <c r="I3153" s="24">
        <v>4.71</v>
      </c>
      <c r="J3153" s="24">
        <v>0.0</v>
      </c>
    </row>
    <row r="3154">
      <c r="A3154" s="24">
        <v>40.0</v>
      </c>
      <c r="B3154" s="24">
        <v>1.0</v>
      </c>
      <c r="C3154" s="44">
        <v>4.39</v>
      </c>
      <c r="D3154" s="46">
        <v>45060.0</v>
      </c>
      <c r="E3154" s="24">
        <v>4.39</v>
      </c>
      <c r="F3154" s="24">
        <v>109.75</v>
      </c>
      <c r="G3154" s="24">
        <v>2.5</v>
      </c>
      <c r="H3154" s="24" t="s">
        <v>6701</v>
      </c>
      <c r="I3154" s="24">
        <v>4.39</v>
      </c>
      <c r="J3154" s="24">
        <v>0.0</v>
      </c>
    </row>
    <row r="3155">
      <c r="A3155" s="24">
        <v>194.0</v>
      </c>
      <c r="B3155" s="24">
        <v>0.0</v>
      </c>
      <c r="C3155" s="44">
        <v>6.54</v>
      </c>
      <c r="D3155" s="46">
        <v>45060.0</v>
      </c>
      <c r="E3155" s="24" t="s">
        <v>6650</v>
      </c>
      <c r="F3155" s="24">
        <v>33.71</v>
      </c>
      <c r="G3155" s="24">
        <v>0.0</v>
      </c>
      <c r="H3155" s="24" t="s">
        <v>6700</v>
      </c>
      <c r="I3155" s="24" t="s">
        <v>6650</v>
      </c>
      <c r="J3155" s="24">
        <v>0.0</v>
      </c>
    </row>
    <row r="3156">
      <c r="A3156" s="24">
        <v>1357.0</v>
      </c>
      <c r="B3156" s="24">
        <v>13.0</v>
      </c>
      <c r="C3156" s="44">
        <v>7.01</v>
      </c>
      <c r="D3156" s="46">
        <v>45060.0</v>
      </c>
      <c r="E3156" s="24">
        <v>0.54</v>
      </c>
      <c r="F3156" s="24">
        <v>5.17</v>
      </c>
      <c r="G3156" s="24">
        <v>0.96</v>
      </c>
      <c r="H3156" s="24" t="s">
        <v>6688</v>
      </c>
      <c r="I3156" s="24">
        <v>1.0</v>
      </c>
      <c r="J3156" s="24">
        <v>0.0</v>
      </c>
    </row>
    <row r="3157">
      <c r="A3157" s="24">
        <v>19.0</v>
      </c>
      <c r="B3157" s="24">
        <v>0.0</v>
      </c>
      <c r="C3157" s="44">
        <v>4.01</v>
      </c>
      <c r="D3157" s="46">
        <v>45060.0</v>
      </c>
      <c r="E3157" s="24" t="s">
        <v>6650</v>
      </c>
      <c r="F3157" s="24">
        <v>211.05</v>
      </c>
      <c r="G3157" s="24">
        <v>0.0</v>
      </c>
      <c r="H3157" s="24" t="s">
        <v>6697</v>
      </c>
      <c r="I3157" s="24" t="s">
        <v>6650</v>
      </c>
      <c r="J3157" s="24">
        <v>0.0</v>
      </c>
    </row>
    <row r="3158">
      <c r="A3158" s="24">
        <v>161.0</v>
      </c>
      <c r="B3158" s="24">
        <v>2.0</v>
      </c>
      <c r="C3158" s="44">
        <v>5.26</v>
      </c>
      <c r="D3158" s="46">
        <v>45060.0</v>
      </c>
      <c r="E3158" s="24">
        <v>2.63</v>
      </c>
      <c r="F3158" s="24">
        <v>32.67</v>
      </c>
      <c r="G3158" s="24">
        <v>1.24</v>
      </c>
      <c r="H3158" s="24" t="s">
        <v>6692</v>
      </c>
      <c r="I3158" s="24">
        <v>5.26</v>
      </c>
      <c r="J3158" s="24">
        <v>0.0</v>
      </c>
    </row>
    <row r="3159">
      <c r="A3159" s="24">
        <v>367.0</v>
      </c>
      <c r="B3159" s="24">
        <v>8.0</v>
      </c>
      <c r="C3159" s="44">
        <v>5.71</v>
      </c>
      <c r="D3159" s="46">
        <v>45060.0</v>
      </c>
      <c r="E3159" s="24">
        <v>0.71</v>
      </c>
      <c r="F3159" s="24">
        <v>15.56</v>
      </c>
      <c r="G3159" s="24">
        <v>2.18</v>
      </c>
      <c r="H3159" s="24" t="s">
        <v>6689</v>
      </c>
      <c r="I3159" s="24" t="s">
        <v>6650</v>
      </c>
      <c r="J3159" s="24">
        <v>0.0</v>
      </c>
    </row>
    <row r="3160">
      <c r="A3160" s="24">
        <v>131.0</v>
      </c>
      <c r="B3160" s="24">
        <v>0.0</v>
      </c>
      <c r="C3160" s="44">
        <v>11.42</v>
      </c>
      <c r="D3160" s="46">
        <v>45061.0</v>
      </c>
      <c r="E3160" s="24" t="s">
        <v>6650</v>
      </c>
      <c r="F3160" s="24">
        <v>87.18</v>
      </c>
      <c r="G3160" s="24">
        <v>0.0</v>
      </c>
      <c r="H3160" s="24" t="s">
        <v>6701</v>
      </c>
      <c r="I3160" s="24" t="s">
        <v>6650</v>
      </c>
      <c r="J3160" s="24">
        <v>0.0</v>
      </c>
    </row>
    <row r="3161">
      <c r="A3161" s="24">
        <v>79.0</v>
      </c>
      <c r="B3161" s="24">
        <v>0.0</v>
      </c>
      <c r="C3161" s="44">
        <v>11.88</v>
      </c>
      <c r="D3161" s="46">
        <v>45061.0</v>
      </c>
      <c r="E3161" s="24" t="s">
        <v>6650</v>
      </c>
      <c r="F3161" s="24">
        <v>150.38</v>
      </c>
      <c r="G3161" s="24">
        <v>0.0</v>
      </c>
      <c r="H3161" s="24" t="s">
        <v>6697</v>
      </c>
      <c r="I3161" s="24" t="s">
        <v>6650</v>
      </c>
      <c r="J3161" s="24">
        <v>0.0</v>
      </c>
    </row>
    <row r="3162">
      <c r="A3162" s="24">
        <v>194.0</v>
      </c>
      <c r="B3162" s="24">
        <v>2.0</v>
      </c>
      <c r="C3162" s="44">
        <v>11.3</v>
      </c>
      <c r="D3162" s="46">
        <v>45061.0</v>
      </c>
      <c r="E3162" s="24">
        <v>5.65</v>
      </c>
      <c r="F3162" s="24">
        <v>58.25</v>
      </c>
      <c r="G3162" s="24">
        <v>1.03</v>
      </c>
      <c r="H3162" s="24" t="s">
        <v>6699</v>
      </c>
      <c r="I3162" s="24">
        <v>11.3</v>
      </c>
      <c r="J3162" s="24">
        <v>0.0</v>
      </c>
    </row>
    <row r="3163">
      <c r="A3163" s="24">
        <v>376.0</v>
      </c>
      <c r="B3163" s="24">
        <v>3.0</v>
      </c>
      <c r="C3163" s="44">
        <v>12.57</v>
      </c>
      <c r="D3163" s="46">
        <v>45061.0</v>
      </c>
      <c r="E3163" s="24">
        <v>4.19</v>
      </c>
      <c r="F3163" s="24">
        <v>33.43</v>
      </c>
      <c r="G3163" s="24">
        <v>0.8</v>
      </c>
      <c r="H3163" s="24" t="s">
        <v>6680</v>
      </c>
      <c r="I3163" s="24" t="s">
        <v>6650</v>
      </c>
      <c r="J3163" s="24">
        <v>0.0</v>
      </c>
    </row>
    <row r="3164">
      <c r="A3164" s="24">
        <v>387.0</v>
      </c>
      <c r="B3164" s="24">
        <v>3.0</v>
      </c>
      <c r="C3164" s="44">
        <v>11.31</v>
      </c>
      <c r="D3164" s="46">
        <v>45061.0</v>
      </c>
      <c r="E3164" s="24">
        <v>3.77</v>
      </c>
      <c r="F3164" s="24">
        <v>29.22</v>
      </c>
      <c r="G3164" s="24">
        <v>0.78</v>
      </c>
      <c r="H3164" s="24" t="s">
        <v>6700</v>
      </c>
      <c r="I3164" s="24">
        <v>11.31</v>
      </c>
      <c r="J3164" s="24">
        <v>0.0</v>
      </c>
    </row>
    <row r="3165">
      <c r="A3165" s="24">
        <v>157.0</v>
      </c>
      <c r="B3165" s="24">
        <v>2.0</v>
      </c>
      <c r="C3165" s="44">
        <v>11.32</v>
      </c>
      <c r="D3165" s="46">
        <v>45061.0</v>
      </c>
      <c r="E3165" s="24">
        <v>5.66</v>
      </c>
      <c r="F3165" s="24">
        <v>72.1</v>
      </c>
      <c r="G3165" s="24">
        <v>1.27</v>
      </c>
      <c r="H3165" s="24" t="s">
        <v>6696</v>
      </c>
      <c r="I3165" s="24" t="s">
        <v>6650</v>
      </c>
      <c r="J3165" s="24">
        <v>1.0</v>
      </c>
    </row>
    <row r="3166">
      <c r="A3166" s="24">
        <v>81.0</v>
      </c>
      <c r="B3166" s="24">
        <v>0.0</v>
      </c>
      <c r="C3166" s="44">
        <v>12.89</v>
      </c>
      <c r="D3166" s="46">
        <v>45061.0</v>
      </c>
      <c r="E3166" s="24" t="s">
        <v>6650</v>
      </c>
      <c r="F3166" s="24">
        <v>159.14</v>
      </c>
      <c r="G3166" s="24">
        <v>0.0</v>
      </c>
      <c r="H3166" s="24" t="s">
        <v>6695</v>
      </c>
      <c r="I3166" s="24" t="s">
        <v>6650</v>
      </c>
      <c r="J3166" s="24">
        <v>0.0</v>
      </c>
    </row>
    <row r="3167">
      <c r="A3167" s="24">
        <v>625.0</v>
      </c>
      <c r="B3167" s="24">
        <v>0.0</v>
      </c>
      <c r="C3167" s="44">
        <v>11.16</v>
      </c>
      <c r="D3167" s="46">
        <v>45061.0</v>
      </c>
      <c r="E3167" s="24" t="s">
        <v>6650</v>
      </c>
      <c r="F3167" s="24">
        <v>17.86</v>
      </c>
      <c r="G3167" s="24">
        <v>0.0</v>
      </c>
      <c r="H3167" s="24" t="s">
        <v>6698</v>
      </c>
      <c r="I3167" s="24">
        <v>11.16</v>
      </c>
      <c r="J3167" s="24">
        <v>0.0</v>
      </c>
    </row>
    <row r="3168">
      <c r="A3168" s="24">
        <v>1056.0</v>
      </c>
      <c r="B3168" s="24">
        <v>12.0</v>
      </c>
      <c r="C3168" s="44">
        <v>11.91</v>
      </c>
      <c r="D3168" s="46">
        <v>45061.0</v>
      </c>
      <c r="E3168" s="24">
        <v>0.99</v>
      </c>
      <c r="F3168" s="24">
        <v>11.28</v>
      </c>
      <c r="G3168" s="24">
        <v>1.14</v>
      </c>
      <c r="H3168" s="24" t="s">
        <v>6689</v>
      </c>
      <c r="I3168" s="24">
        <v>3.97</v>
      </c>
      <c r="J3168" s="24">
        <v>0.0</v>
      </c>
    </row>
    <row r="3169">
      <c r="A3169" s="24">
        <v>554.0</v>
      </c>
      <c r="B3169" s="24">
        <v>1.0</v>
      </c>
      <c r="C3169" s="44">
        <v>12.37</v>
      </c>
      <c r="D3169" s="46">
        <v>45061.0</v>
      </c>
      <c r="E3169" s="24">
        <v>12.37</v>
      </c>
      <c r="F3169" s="24">
        <v>22.33</v>
      </c>
      <c r="G3169" s="24">
        <v>0.18</v>
      </c>
      <c r="H3169" s="24" t="s">
        <v>6692</v>
      </c>
      <c r="I3169" s="24">
        <v>12.37</v>
      </c>
      <c r="J3169" s="24">
        <v>0.0</v>
      </c>
    </row>
    <row r="3170">
      <c r="A3170" s="24">
        <v>1883.0</v>
      </c>
      <c r="B3170" s="24">
        <v>15.0</v>
      </c>
      <c r="C3170" s="44">
        <v>10.79</v>
      </c>
      <c r="D3170" s="46">
        <v>45061.0</v>
      </c>
      <c r="E3170" s="24">
        <v>0.72</v>
      </c>
      <c r="F3170" s="24">
        <v>5.73</v>
      </c>
      <c r="G3170" s="24">
        <v>0.8</v>
      </c>
      <c r="H3170" s="24" t="s">
        <v>6688</v>
      </c>
      <c r="I3170" s="24">
        <v>1.54</v>
      </c>
      <c r="J3170" s="24">
        <v>0.0</v>
      </c>
    </row>
    <row r="3171">
      <c r="A3171" s="24">
        <v>134.0</v>
      </c>
      <c r="B3171" s="24">
        <v>1.0</v>
      </c>
      <c r="C3171" s="44">
        <v>13.11</v>
      </c>
      <c r="D3171" s="46">
        <v>45062.0</v>
      </c>
      <c r="E3171" s="24">
        <v>13.11</v>
      </c>
      <c r="F3171" s="24">
        <v>97.84</v>
      </c>
      <c r="G3171" s="24">
        <v>0.75</v>
      </c>
      <c r="H3171" s="24" t="s">
        <v>6701</v>
      </c>
      <c r="I3171" s="24">
        <v>6.56</v>
      </c>
      <c r="J3171" s="24">
        <v>0.0</v>
      </c>
    </row>
    <row r="3172">
      <c r="A3172" s="24">
        <v>84.0</v>
      </c>
      <c r="B3172" s="24">
        <v>3.0</v>
      </c>
      <c r="C3172" s="44">
        <v>12.81</v>
      </c>
      <c r="D3172" s="46">
        <v>45062.0</v>
      </c>
      <c r="E3172" s="24">
        <v>4.27</v>
      </c>
      <c r="F3172" s="24">
        <v>152.5</v>
      </c>
      <c r="G3172" s="24">
        <v>3.57</v>
      </c>
      <c r="H3172" s="24" t="s">
        <v>6695</v>
      </c>
      <c r="I3172" s="24" t="s">
        <v>6650</v>
      </c>
      <c r="J3172" s="24">
        <v>0.0</v>
      </c>
    </row>
    <row r="3173">
      <c r="A3173" s="24">
        <v>655.0</v>
      </c>
      <c r="B3173" s="24">
        <v>3.0</v>
      </c>
      <c r="C3173" s="44">
        <v>11.67</v>
      </c>
      <c r="D3173" s="46">
        <v>45062.0</v>
      </c>
      <c r="E3173" s="24">
        <v>3.89</v>
      </c>
      <c r="F3173" s="24">
        <v>17.82</v>
      </c>
      <c r="G3173" s="24">
        <v>0.46</v>
      </c>
      <c r="H3173" s="24" t="s">
        <v>6698</v>
      </c>
      <c r="I3173" s="24">
        <v>11.67</v>
      </c>
      <c r="J3173" s="24">
        <v>0.0</v>
      </c>
    </row>
    <row r="3174">
      <c r="A3174" s="24">
        <v>1986.0</v>
      </c>
      <c r="B3174" s="24">
        <v>14.0</v>
      </c>
      <c r="C3174" s="44">
        <v>11.66</v>
      </c>
      <c r="D3174" s="46">
        <v>45062.0</v>
      </c>
      <c r="E3174" s="24">
        <v>0.83</v>
      </c>
      <c r="F3174" s="24">
        <v>5.87</v>
      </c>
      <c r="G3174" s="24">
        <v>0.7</v>
      </c>
      <c r="H3174" s="24" t="s">
        <v>6688</v>
      </c>
      <c r="I3174" s="24">
        <v>1.94</v>
      </c>
      <c r="J3174" s="24">
        <v>0.0</v>
      </c>
    </row>
    <row r="3175">
      <c r="A3175" s="24">
        <v>390.0</v>
      </c>
      <c r="B3175" s="24">
        <v>1.0</v>
      </c>
      <c r="C3175" s="44">
        <v>13.39</v>
      </c>
      <c r="D3175" s="46">
        <v>45062.0</v>
      </c>
      <c r="E3175" s="24">
        <v>13.39</v>
      </c>
      <c r="F3175" s="24">
        <v>34.33</v>
      </c>
      <c r="G3175" s="24">
        <v>0.26</v>
      </c>
      <c r="H3175" s="24" t="s">
        <v>6680</v>
      </c>
      <c r="I3175" s="24" t="s">
        <v>6650</v>
      </c>
      <c r="J3175" s="24">
        <v>0.0</v>
      </c>
    </row>
    <row r="3176">
      <c r="A3176" s="24">
        <v>189.0</v>
      </c>
      <c r="B3176" s="24">
        <v>1.0</v>
      </c>
      <c r="C3176" s="44">
        <v>12.84</v>
      </c>
      <c r="D3176" s="46">
        <v>45062.0</v>
      </c>
      <c r="E3176" s="24">
        <v>12.84</v>
      </c>
      <c r="F3176" s="24">
        <v>67.94</v>
      </c>
      <c r="G3176" s="24">
        <v>0.53</v>
      </c>
      <c r="H3176" s="24" t="s">
        <v>6699</v>
      </c>
      <c r="I3176" s="24">
        <v>12.84</v>
      </c>
      <c r="J3176" s="24">
        <v>0.0</v>
      </c>
    </row>
    <row r="3177">
      <c r="A3177" s="24">
        <v>429.0</v>
      </c>
      <c r="B3177" s="24">
        <v>0.0</v>
      </c>
      <c r="C3177" s="44">
        <v>11.6</v>
      </c>
      <c r="D3177" s="46">
        <v>45062.0</v>
      </c>
      <c r="E3177" s="24" t="s">
        <v>6650</v>
      </c>
      <c r="F3177" s="24">
        <v>27.04</v>
      </c>
      <c r="G3177" s="24">
        <v>0.0</v>
      </c>
      <c r="H3177" s="24" t="s">
        <v>6700</v>
      </c>
      <c r="I3177" s="24">
        <v>11.6</v>
      </c>
      <c r="J3177" s="24">
        <v>0.0</v>
      </c>
    </row>
    <row r="3178">
      <c r="A3178" s="24">
        <v>705.0</v>
      </c>
      <c r="B3178" s="24">
        <v>6.0</v>
      </c>
      <c r="C3178" s="44">
        <v>12.13</v>
      </c>
      <c r="D3178" s="46">
        <v>45062.0</v>
      </c>
      <c r="E3178" s="24">
        <v>2.02</v>
      </c>
      <c r="F3178" s="24">
        <v>17.21</v>
      </c>
      <c r="G3178" s="24">
        <v>0.85</v>
      </c>
      <c r="H3178" s="24" t="s">
        <v>6689</v>
      </c>
      <c r="I3178" s="24">
        <v>3.03</v>
      </c>
      <c r="J3178" s="24">
        <v>0.0</v>
      </c>
    </row>
    <row r="3179">
      <c r="A3179" s="24">
        <v>64.0</v>
      </c>
      <c r="B3179" s="24">
        <v>0.0</v>
      </c>
      <c r="C3179" s="44">
        <v>12.43</v>
      </c>
      <c r="D3179" s="46">
        <v>45062.0</v>
      </c>
      <c r="E3179" s="24" t="s">
        <v>6650</v>
      </c>
      <c r="F3179" s="24">
        <v>194.22</v>
      </c>
      <c r="G3179" s="24">
        <v>0.0</v>
      </c>
      <c r="H3179" s="24" t="s">
        <v>6697</v>
      </c>
      <c r="I3179" s="24" t="s">
        <v>6650</v>
      </c>
      <c r="J3179" s="24">
        <v>0.0</v>
      </c>
    </row>
    <row r="3180">
      <c r="A3180" s="24">
        <v>547.0</v>
      </c>
      <c r="B3180" s="24">
        <v>2.0</v>
      </c>
      <c r="C3180" s="44">
        <v>12.12</v>
      </c>
      <c r="D3180" s="46">
        <v>45062.0</v>
      </c>
      <c r="E3180" s="24">
        <v>6.06</v>
      </c>
      <c r="F3180" s="24">
        <v>22.16</v>
      </c>
      <c r="G3180" s="24">
        <v>0.37</v>
      </c>
      <c r="H3180" s="24" t="s">
        <v>6692</v>
      </c>
      <c r="I3180" s="24">
        <v>12.12</v>
      </c>
      <c r="J3180" s="24">
        <v>0.0</v>
      </c>
    </row>
    <row r="3181">
      <c r="A3181" s="24">
        <v>132.0</v>
      </c>
      <c r="B3181" s="24">
        <v>2.0</v>
      </c>
      <c r="C3181" s="44">
        <v>12.32</v>
      </c>
      <c r="D3181" s="46">
        <v>45062.0</v>
      </c>
      <c r="E3181" s="24">
        <v>6.16</v>
      </c>
      <c r="F3181" s="24">
        <v>93.33</v>
      </c>
      <c r="G3181" s="24">
        <v>1.52</v>
      </c>
      <c r="H3181" s="24" t="s">
        <v>6696</v>
      </c>
      <c r="I3181" s="24">
        <v>12.32</v>
      </c>
      <c r="J3181" s="24">
        <v>0.0</v>
      </c>
    </row>
    <row r="3182">
      <c r="A3182" s="24">
        <v>82.0</v>
      </c>
      <c r="B3182" s="24">
        <v>0.0</v>
      </c>
      <c r="C3182" s="44">
        <v>12.42</v>
      </c>
      <c r="D3182" s="46">
        <v>45063.0</v>
      </c>
      <c r="E3182" s="24" t="s">
        <v>6650</v>
      </c>
      <c r="F3182" s="24">
        <v>151.46</v>
      </c>
      <c r="G3182" s="24">
        <v>0.0</v>
      </c>
      <c r="H3182" s="24" t="s">
        <v>6695</v>
      </c>
      <c r="I3182" s="24">
        <v>12.42</v>
      </c>
      <c r="J3182" s="24">
        <v>0.0</v>
      </c>
    </row>
    <row r="3183">
      <c r="A3183" s="24">
        <v>53.0</v>
      </c>
      <c r="B3183" s="24">
        <v>1.0</v>
      </c>
      <c r="C3183" s="44">
        <v>12.2</v>
      </c>
      <c r="D3183" s="46">
        <v>45063.0</v>
      </c>
      <c r="E3183" s="24">
        <v>12.2</v>
      </c>
      <c r="F3183" s="24">
        <v>230.19</v>
      </c>
      <c r="G3183" s="24">
        <v>1.89</v>
      </c>
      <c r="H3183" s="24" t="s">
        <v>6697</v>
      </c>
      <c r="I3183" s="24" t="s">
        <v>6650</v>
      </c>
      <c r="J3183" s="24">
        <v>0.0</v>
      </c>
    </row>
    <row r="3184">
      <c r="A3184" s="24">
        <v>531.0</v>
      </c>
      <c r="B3184" s="24">
        <v>6.0</v>
      </c>
      <c r="C3184" s="44">
        <v>12.32</v>
      </c>
      <c r="D3184" s="46">
        <v>45063.0</v>
      </c>
      <c r="E3184" s="24">
        <v>2.05</v>
      </c>
      <c r="F3184" s="24">
        <v>23.2</v>
      </c>
      <c r="G3184" s="24">
        <v>1.13</v>
      </c>
      <c r="H3184" s="24" t="s">
        <v>6692</v>
      </c>
      <c r="I3184" s="24" t="s">
        <v>6650</v>
      </c>
      <c r="J3184" s="24">
        <v>0.0</v>
      </c>
    </row>
    <row r="3185">
      <c r="A3185" s="24">
        <v>558.0</v>
      </c>
      <c r="B3185" s="24">
        <v>3.0</v>
      </c>
      <c r="C3185" s="44">
        <v>11.73</v>
      </c>
      <c r="D3185" s="46">
        <v>45063.0</v>
      </c>
      <c r="E3185" s="24">
        <v>3.91</v>
      </c>
      <c r="F3185" s="24">
        <v>21.02</v>
      </c>
      <c r="G3185" s="24">
        <v>0.54</v>
      </c>
      <c r="H3185" s="24" t="s">
        <v>6698</v>
      </c>
      <c r="I3185" s="24">
        <v>11.73</v>
      </c>
      <c r="J3185" s="24">
        <v>0.0</v>
      </c>
    </row>
    <row r="3186">
      <c r="A3186" s="24">
        <v>78.0</v>
      </c>
      <c r="B3186" s="24">
        <v>1.0</v>
      </c>
      <c r="C3186" s="44">
        <v>12.07</v>
      </c>
      <c r="D3186" s="46">
        <v>45063.0</v>
      </c>
      <c r="E3186" s="24">
        <v>12.07</v>
      </c>
      <c r="F3186" s="24">
        <v>154.74</v>
      </c>
      <c r="G3186" s="24">
        <v>1.28</v>
      </c>
      <c r="H3186" s="24" t="s">
        <v>6701</v>
      </c>
      <c r="I3186" s="24">
        <v>12.07</v>
      </c>
      <c r="J3186" s="24">
        <v>0.0</v>
      </c>
    </row>
    <row r="3187">
      <c r="A3187" s="24">
        <v>255.0</v>
      </c>
      <c r="B3187" s="24">
        <v>3.0</v>
      </c>
      <c r="C3187" s="44">
        <v>13.64</v>
      </c>
      <c r="D3187" s="46">
        <v>45063.0</v>
      </c>
      <c r="E3187" s="24">
        <v>4.55</v>
      </c>
      <c r="F3187" s="24">
        <v>53.49</v>
      </c>
      <c r="G3187" s="24">
        <v>1.18</v>
      </c>
      <c r="H3187" s="24" t="s">
        <v>6680</v>
      </c>
      <c r="I3187" s="24">
        <v>3.41</v>
      </c>
      <c r="J3187" s="24">
        <v>0.0</v>
      </c>
    </row>
    <row r="3188">
      <c r="A3188" s="24">
        <v>436.0</v>
      </c>
      <c r="B3188" s="24">
        <v>3.0</v>
      </c>
      <c r="C3188" s="44">
        <v>11.73</v>
      </c>
      <c r="D3188" s="46">
        <v>45063.0</v>
      </c>
      <c r="E3188" s="24">
        <v>3.91</v>
      </c>
      <c r="F3188" s="24">
        <v>26.9</v>
      </c>
      <c r="G3188" s="24">
        <v>0.69</v>
      </c>
      <c r="H3188" s="24" t="s">
        <v>6700</v>
      </c>
      <c r="I3188" s="24" t="s">
        <v>6650</v>
      </c>
      <c r="J3188" s="24">
        <v>0.0</v>
      </c>
    </row>
    <row r="3189">
      <c r="A3189" s="24">
        <v>134.0</v>
      </c>
      <c r="B3189" s="24">
        <v>0.0</v>
      </c>
      <c r="C3189" s="44">
        <v>12.34</v>
      </c>
      <c r="D3189" s="46">
        <v>45063.0</v>
      </c>
      <c r="E3189" s="24" t="s">
        <v>6650</v>
      </c>
      <c r="F3189" s="24">
        <v>92.09</v>
      </c>
      <c r="G3189" s="24">
        <v>0.0</v>
      </c>
      <c r="H3189" s="24" t="s">
        <v>6696</v>
      </c>
      <c r="I3189" s="24" t="s">
        <v>6650</v>
      </c>
      <c r="J3189" s="24">
        <v>0.0</v>
      </c>
    </row>
    <row r="3190">
      <c r="A3190" s="24">
        <v>2696.0</v>
      </c>
      <c r="B3190" s="24">
        <v>14.0</v>
      </c>
      <c r="C3190" s="44">
        <v>10.58</v>
      </c>
      <c r="D3190" s="46">
        <v>45063.0</v>
      </c>
      <c r="E3190" s="24">
        <v>0.76</v>
      </c>
      <c r="F3190" s="24">
        <v>3.92</v>
      </c>
      <c r="G3190" s="24">
        <v>0.52</v>
      </c>
      <c r="H3190" s="24" t="s">
        <v>6688</v>
      </c>
      <c r="I3190" s="24">
        <v>3.53</v>
      </c>
      <c r="J3190" s="24">
        <v>0.0</v>
      </c>
    </row>
    <row r="3191">
      <c r="A3191" s="24">
        <v>144.0</v>
      </c>
      <c r="B3191" s="24">
        <v>1.0</v>
      </c>
      <c r="C3191" s="44">
        <v>12.32</v>
      </c>
      <c r="D3191" s="46">
        <v>45063.0</v>
      </c>
      <c r="E3191" s="24">
        <v>12.32</v>
      </c>
      <c r="F3191" s="24">
        <v>85.56</v>
      </c>
      <c r="G3191" s="24">
        <v>0.69</v>
      </c>
      <c r="H3191" s="24" t="s">
        <v>6699</v>
      </c>
      <c r="I3191" s="24">
        <v>12.32</v>
      </c>
      <c r="J3191" s="24">
        <v>0.0</v>
      </c>
    </row>
    <row r="3192">
      <c r="A3192" s="24">
        <v>1081.0</v>
      </c>
      <c r="B3192" s="24">
        <v>9.0</v>
      </c>
      <c r="C3192" s="44">
        <v>11.85</v>
      </c>
      <c r="D3192" s="46">
        <v>45063.0</v>
      </c>
      <c r="E3192" s="24">
        <v>1.32</v>
      </c>
      <c r="F3192" s="24">
        <v>10.96</v>
      </c>
      <c r="G3192" s="24">
        <v>0.83</v>
      </c>
      <c r="H3192" s="24" t="s">
        <v>6689</v>
      </c>
      <c r="I3192" s="24">
        <v>2.96</v>
      </c>
      <c r="J3192" s="24">
        <v>0.0</v>
      </c>
    </row>
    <row r="3193">
      <c r="A3193" s="24">
        <v>2310.0</v>
      </c>
      <c r="B3193" s="24">
        <v>15.0</v>
      </c>
      <c r="C3193" s="44">
        <v>11.31</v>
      </c>
      <c r="D3193" s="46">
        <v>45064.0</v>
      </c>
      <c r="E3193" s="24">
        <v>0.75</v>
      </c>
      <c r="F3193" s="24">
        <v>4.9</v>
      </c>
      <c r="G3193" s="24">
        <v>0.65</v>
      </c>
      <c r="H3193" s="24" t="s">
        <v>6688</v>
      </c>
      <c r="I3193" s="24">
        <v>1.62</v>
      </c>
      <c r="J3193" s="24">
        <v>0.0</v>
      </c>
    </row>
    <row r="3194">
      <c r="A3194" s="24">
        <v>481.0</v>
      </c>
      <c r="B3194" s="24">
        <v>4.0</v>
      </c>
      <c r="C3194" s="44">
        <v>11.73</v>
      </c>
      <c r="D3194" s="46">
        <v>45064.0</v>
      </c>
      <c r="E3194" s="24">
        <v>2.93</v>
      </c>
      <c r="F3194" s="24">
        <v>24.39</v>
      </c>
      <c r="G3194" s="24">
        <v>0.83</v>
      </c>
      <c r="H3194" s="24" t="s">
        <v>6698</v>
      </c>
      <c r="I3194" s="24">
        <v>11.73</v>
      </c>
      <c r="J3194" s="24">
        <v>0.0</v>
      </c>
    </row>
    <row r="3195">
      <c r="A3195" s="24">
        <v>1145.0</v>
      </c>
      <c r="B3195" s="24">
        <v>11.0</v>
      </c>
      <c r="C3195" s="44">
        <v>11.43</v>
      </c>
      <c r="D3195" s="46">
        <v>45064.0</v>
      </c>
      <c r="E3195" s="24">
        <v>1.04</v>
      </c>
      <c r="F3195" s="24">
        <v>9.98</v>
      </c>
      <c r="G3195" s="24">
        <v>0.96</v>
      </c>
      <c r="H3195" s="24" t="s">
        <v>6689</v>
      </c>
      <c r="I3195" s="24">
        <v>11.43</v>
      </c>
      <c r="J3195" s="24">
        <v>0.0</v>
      </c>
    </row>
    <row r="3196">
      <c r="A3196" s="24">
        <v>151.0</v>
      </c>
      <c r="B3196" s="24">
        <v>3.0</v>
      </c>
      <c r="C3196" s="44">
        <v>12.51</v>
      </c>
      <c r="D3196" s="46">
        <v>45064.0</v>
      </c>
      <c r="E3196" s="24">
        <v>4.17</v>
      </c>
      <c r="F3196" s="24">
        <v>82.85</v>
      </c>
      <c r="G3196" s="24">
        <v>1.99</v>
      </c>
      <c r="H3196" s="24" t="s">
        <v>6699</v>
      </c>
      <c r="I3196" s="24">
        <v>6.26</v>
      </c>
      <c r="J3196" s="24">
        <v>0.0</v>
      </c>
    </row>
    <row r="3197">
      <c r="A3197" s="24">
        <v>547.0</v>
      </c>
      <c r="B3197" s="24">
        <v>1.0</v>
      </c>
      <c r="C3197" s="44">
        <v>11.02</v>
      </c>
      <c r="D3197" s="46">
        <v>45064.0</v>
      </c>
      <c r="E3197" s="24">
        <v>11.02</v>
      </c>
      <c r="F3197" s="24">
        <v>20.15</v>
      </c>
      <c r="G3197" s="24">
        <v>0.18</v>
      </c>
      <c r="H3197" s="24" t="s">
        <v>6700</v>
      </c>
      <c r="I3197" s="24">
        <v>11.02</v>
      </c>
      <c r="J3197" s="24">
        <v>0.0</v>
      </c>
    </row>
    <row r="3198">
      <c r="A3198" s="24">
        <v>339.0</v>
      </c>
      <c r="B3198" s="24">
        <v>3.0</v>
      </c>
      <c r="C3198" s="44">
        <v>11.58</v>
      </c>
      <c r="D3198" s="46">
        <v>45064.0</v>
      </c>
      <c r="E3198" s="24">
        <v>3.86</v>
      </c>
      <c r="F3198" s="24">
        <v>34.16</v>
      </c>
      <c r="G3198" s="24">
        <v>0.88</v>
      </c>
      <c r="H3198" s="24" t="s">
        <v>6692</v>
      </c>
      <c r="I3198" s="24" t="s">
        <v>6650</v>
      </c>
      <c r="J3198" s="24">
        <v>0.0</v>
      </c>
    </row>
    <row r="3199">
      <c r="A3199" s="24">
        <v>158.0</v>
      </c>
      <c r="B3199" s="24">
        <v>0.0</v>
      </c>
      <c r="C3199" s="44">
        <v>11.72</v>
      </c>
      <c r="D3199" s="46">
        <v>45064.0</v>
      </c>
      <c r="E3199" s="24" t="s">
        <v>6650</v>
      </c>
      <c r="F3199" s="24">
        <v>74.18</v>
      </c>
      <c r="G3199" s="24">
        <v>0.0</v>
      </c>
      <c r="H3199" s="24" t="s">
        <v>6696</v>
      </c>
      <c r="I3199" s="24" t="s">
        <v>6650</v>
      </c>
      <c r="J3199" s="24">
        <v>0.0</v>
      </c>
    </row>
    <row r="3200">
      <c r="A3200" s="24">
        <v>129.0</v>
      </c>
      <c r="B3200" s="24">
        <v>1.0</v>
      </c>
      <c r="C3200" s="44">
        <v>12.08</v>
      </c>
      <c r="D3200" s="46">
        <v>45064.0</v>
      </c>
      <c r="E3200" s="24">
        <v>12.08</v>
      </c>
      <c r="F3200" s="24">
        <v>93.64</v>
      </c>
      <c r="G3200" s="24">
        <v>0.78</v>
      </c>
      <c r="H3200" s="24" t="s">
        <v>6701</v>
      </c>
      <c r="I3200" s="24" t="s">
        <v>6650</v>
      </c>
      <c r="J3200" s="24">
        <v>0.0</v>
      </c>
    </row>
    <row r="3201">
      <c r="A3201" s="24">
        <v>332.0</v>
      </c>
      <c r="B3201" s="24">
        <v>1.0</v>
      </c>
      <c r="C3201" s="44">
        <v>12.06</v>
      </c>
      <c r="D3201" s="46">
        <v>45064.0</v>
      </c>
      <c r="E3201" s="24">
        <v>12.06</v>
      </c>
      <c r="F3201" s="24">
        <v>36.33</v>
      </c>
      <c r="G3201" s="24">
        <v>0.3</v>
      </c>
      <c r="H3201" s="24" t="s">
        <v>6680</v>
      </c>
      <c r="I3201" s="24" t="s">
        <v>6650</v>
      </c>
      <c r="J3201" s="24">
        <v>0.0</v>
      </c>
    </row>
    <row r="3202">
      <c r="A3202" s="24">
        <v>86.0</v>
      </c>
      <c r="B3202" s="24">
        <v>1.0</v>
      </c>
      <c r="C3202" s="44">
        <v>13.08</v>
      </c>
      <c r="D3202" s="46">
        <v>45064.0</v>
      </c>
      <c r="E3202" s="24">
        <v>13.08</v>
      </c>
      <c r="F3202" s="24">
        <v>152.09</v>
      </c>
      <c r="G3202" s="24">
        <v>1.16</v>
      </c>
      <c r="H3202" s="24" t="s">
        <v>6695</v>
      </c>
      <c r="I3202" s="24" t="s">
        <v>6650</v>
      </c>
      <c r="J3202" s="24">
        <v>0.0</v>
      </c>
    </row>
    <row r="3203">
      <c r="A3203" s="24">
        <v>64.0</v>
      </c>
      <c r="B3203" s="24">
        <v>0.0</v>
      </c>
      <c r="C3203" s="44">
        <v>11.69</v>
      </c>
      <c r="D3203" s="46">
        <v>45064.0</v>
      </c>
      <c r="E3203" s="24" t="s">
        <v>6650</v>
      </c>
      <c r="F3203" s="24">
        <v>182.66</v>
      </c>
      <c r="G3203" s="24">
        <v>0.0</v>
      </c>
      <c r="H3203" s="24" t="s">
        <v>6697</v>
      </c>
      <c r="I3203" s="24">
        <v>11.69</v>
      </c>
      <c r="J3203" s="24">
        <v>0.0</v>
      </c>
    </row>
    <row r="3204">
      <c r="A3204" s="24">
        <v>345.0</v>
      </c>
      <c r="B3204" s="24">
        <v>2.0</v>
      </c>
      <c r="C3204" s="44">
        <v>10.84</v>
      </c>
      <c r="D3204" s="46">
        <v>45065.0</v>
      </c>
      <c r="E3204" s="24">
        <v>5.42</v>
      </c>
      <c r="F3204" s="24">
        <v>31.42</v>
      </c>
      <c r="G3204" s="24">
        <v>0.58</v>
      </c>
      <c r="H3204" s="24" t="s">
        <v>6698</v>
      </c>
      <c r="I3204" s="24">
        <v>5.42</v>
      </c>
      <c r="J3204" s="24">
        <v>0.0</v>
      </c>
    </row>
    <row r="3205">
      <c r="A3205" s="24">
        <v>88.0</v>
      </c>
      <c r="B3205" s="24">
        <v>1.0</v>
      </c>
      <c r="C3205" s="44">
        <v>10.47</v>
      </c>
      <c r="D3205" s="46">
        <v>45065.0</v>
      </c>
      <c r="E3205" s="24">
        <v>10.47</v>
      </c>
      <c r="F3205" s="24">
        <v>118.98</v>
      </c>
      <c r="G3205" s="24">
        <v>1.14</v>
      </c>
      <c r="H3205" s="24" t="s">
        <v>6701</v>
      </c>
      <c r="I3205" s="24">
        <v>10.47</v>
      </c>
      <c r="J3205" s="24">
        <v>0.0</v>
      </c>
    </row>
    <row r="3206">
      <c r="A3206" s="24">
        <v>147.0</v>
      </c>
      <c r="B3206" s="24">
        <v>3.0</v>
      </c>
      <c r="C3206" s="44">
        <v>10.29</v>
      </c>
      <c r="D3206" s="46">
        <v>45065.0</v>
      </c>
      <c r="E3206" s="24">
        <v>3.43</v>
      </c>
      <c r="F3206" s="24">
        <v>70.0</v>
      </c>
      <c r="G3206" s="24">
        <v>2.04</v>
      </c>
      <c r="H3206" s="24" t="s">
        <v>6699</v>
      </c>
      <c r="I3206" s="24">
        <v>5.14</v>
      </c>
      <c r="J3206" s="24">
        <v>0.0</v>
      </c>
    </row>
    <row r="3207">
      <c r="A3207" s="24">
        <v>248.0</v>
      </c>
      <c r="B3207" s="24">
        <v>2.0</v>
      </c>
      <c r="C3207" s="44">
        <v>10.68</v>
      </c>
      <c r="D3207" s="46">
        <v>45065.0</v>
      </c>
      <c r="E3207" s="24">
        <v>5.34</v>
      </c>
      <c r="F3207" s="24">
        <v>43.06</v>
      </c>
      <c r="G3207" s="24">
        <v>0.81</v>
      </c>
      <c r="H3207" s="24" t="s">
        <v>6696</v>
      </c>
      <c r="I3207" s="24">
        <v>10.68</v>
      </c>
      <c r="J3207" s="24">
        <v>0.0</v>
      </c>
    </row>
    <row r="3208">
      <c r="A3208" s="24">
        <v>531.0</v>
      </c>
      <c r="B3208" s="24">
        <v>2.0</v>
      </c>
      <c r="C3208" s="44">
        <v>8.83</v>
      </c>
      <c r="D3208" s="46">
        <v>45065.0</v>
      </c>
      <c r="E3208" s="24">
        <v>4.42</v>
      </c>
      <c r="F3208" s="24">
        <v>16.63</v>
      </c>
      <c r="G3208" s="24">
        <v>0.38</v>
      </c>
      <c r="H3208" s="24" t="s">
        <v>6680</v>
      </c>
      <c r="I3208" s="24">
        <v>4.42</v>
      </c>
      <c r="J3208" s="24">
        <v>0.0</v>
      </c>
    </row>
    <row r="3209">
      <c r="A3209" s="24">
        <v>608.0</v>
      </c>
      <c r="B3209" s="24">
        <v>3.0</v>
      </c>
      <c r="C3209" s="44">
        <v>9.51</v>
      </c>
      <c r="D3209" s="46">
        <v>45065.0</v>
      </c>
      <c r="E3209" s="24">
        <v>3.17</v>
      </c>
      <c r="F3209" s="24">
        <v>15.64</v>
      </c>
      <c r="G3209" s="24">
        <v>0.49</v>
      </c>
      <c r="H3209" s="24" t="s">
        <v>6700</v>
      </c>
      <c r="I3209" s="24">
        <v>3.17</v>
      </c>
      <c r="J3209" s="24">
        <v>0.0</v>
      </c>
    </row>
    <row r="3210">
      <c r="A3210" s="24">
        <v>2669.0</v>
      </c>
      <c r="B3210" s="24">
        <v>16.0</v>
      </c>
      <c r="C3210" s="44">
        <v>9.94</v>
      </c>
      <c r="D3210" s="46">
        <v>45065.0</v>
      </c>
      <c r="E3210" s="24">
        <v>0.62</v>
      </c>
      <c r="F3210" s="24">
        <v>3.72</v>
      </c>
      <c r="G3210" s="24">
        <v>0.6</v>
      </c>
      <c r="H3210" s="24" t="s">
        <v>6688</v>
      </c>
      <c r="I3210" s="24">
        <v>1.66</v>
      </c>
      <c r="J3210" s="24">
        <v>0.0</v>
      </c>
    </row>
    <row r="3211">
      <c r="A3211" s="24">
        <v>868.0</v>
      </c>
      <c r="B3211" s="24">
        <v>4.0</v>
      </c>
      <c r="C3211" s="44">
        <v>10.95</v>
      </c>
      <c r="D3211" s="46">
        <v>45065.0</v>
      </c>
      <c r="E3211" s="24">
        <v>2.74</v>
      </c>
      <c r="F3211" s="24">
        <v>12.62</v>
      </c>
      <c r="G3211" s="24">
        <v>0.46</v>
      </c>
      <c r="H3211" s="24" t="s">
        <v>6689</v>
      </c>
      <c r="I3211" s="24" t="s">
        <v>6650</v>
      </c>
      <c r="J3211" s="24">
        <v>0.0</v>
      </c>
    </row>
    <row r="3212">
      <c r="A3212" s="24">
        <v>55.0</v>
      </c>
      <c r="B3212" s="24">
        <v>2.0</v>
      </c>
      <c r="C3212" s="44">
        <v>10.54</v>
      </c>
      <c r="D3212" s="46">
        <v>45065.0</v>
      </c>
      <c r="E3212" s="24">
        <v>5.27</v>
      </c>
      <c r="F3212" s="24">
        <v>191.64</v>
      </c>
      <c r="G3212" s="24">
        <v>3.64</v>
      </c>
      <c r="H3212" s="24" t="s">
        <v>6695</v>
      </c>
      <c r="I3212" s="24" t="s">
        <v>6650</v>
      </c>
      <c r="J3212" s="24">
        <v>0.0</v>
      </c>
    </row>
    <row r="3213">
      <c r="A3213" s="24">
        <v>321.0</v>
      </c>
      <c r="B3213" s="24">
        <v>3.0</v>
      </c>
      <c r="C3213" s="44">
        <v>10.47</v>
      </c>
      <c r="D3213" s="46">
        <v>45065.0</v>
      </c>
      <c r="E3213" s="24">
        <v>3.49</v>
      </c>
      <c r="F3213" s="24">
        <v>32.62</v>
      </c>
      <c r="G3213" s="24">
        <v>0.93</v>
      </c>
      <c r="H3213" s="24" t="s">
        <v>6692</v>
      </c>
      <c r="I3213" s="24">
        <v>10.47</v>
      </c>
      <c r="J3213" s="24">
        <v>0.0</v>
      </c>
    </row>
    <row r="3214">
      <c r="A3214" s="24">
        <v>52.0</v>
      </c>
      <c r="B3214" s="24">
        <v>1.0</v>
      </c>
      <c r="C3214" s="44">
        <v>11.12</v>
      </c>
      <c r="D3214" s="46">
        <v>45065.0</v>
      </c>
      <c r="E3214" s="24">
        <v>11.12</v>
      </c>
      <c r="F3214" s="24">
        <v>213.85</v>
      </c>
      <c r="G3214" s="24">
        <v>1.92</v>
      </c>
      <c r="H3214" s="24" t="s">
        <v>6697</v>
      </c>
      <c r="I3214" s="24" t="s">
        <v>6650</v>
      </c>
      <c r="J3214" s="24">
        <v>0.0</v>
      </c>
    </row>
    <row r="3215">
      <c r="A3215" s="24">
        <v>38.0</v>
      </c>
      <c r="B3215" s="24">
        <v>0.0</v>
      </c>
      <c r="C3215" s="44">
        <v>5.67</v>
      </c>
      <c r="D3215" s="46">
        <v>45066.0</v>
      </c>
      <c r="E3215" s="24" t="s">
        <v>6650</v>
      </c>
      <c r="F3215" s="24">
        <v>149.21</v>
      </c>
      <c r="G3215" s="24">
        <v>0.0</v>
      </c>
      <c r="H3215" s="24" t="s">
        <v>6695</v>
      </c>
      <c r="I3215" s="24" t="s">
        <v>6650</v>
      </c>
      <c r="J3215" s="24">
        <v>0.0</v>
      </c>
    </row>
    <row r="3216">
      <c r="A3216" s="24">
        <v>43.0</v>
      </c>
      <c r="B3216" s="24">
        <v>0.0</v>
      </c>
      <c r="C3216" s="44">
        <v>6.31</v>
      </c>
      <c r="D3216" s="46">
        <v>45066.0</v>
      </c>
      <c r="E3216" s="24" t="s">
        <v>6650</v>
      </c>
      <c r="F3216" s="24">
        <v>146.74</v>
      </c>
      <c r="G3216" s="24">
        <v>0.0</v>
      </c>
      <c r="H3216" s="24" t="s">
        <v>6701</v>
      </c>
      <c r="I3216" s="24" t="s">
        <v>6650</v>
      </c>
      <c r="J3216" s="24">
        <v>0.0</v>
      </c>
    </row>
    <row r="3217">
      <c r="A3217" s="24">
        <v>537.0</v>
      </c>
      <c r="B3217" s="24">
        <v>3.0</v>
      </c>
      <c r="C3217" s="44">
        <v>8.75</v>
      </c>
      <c r="D3217" s="46">
        <v>45066.0</v>
      </c>
      <c r="E3217" s="24">
        <v>2.92</v>
      </c>
      <c r="F3217" s="24">
        <v>16.29</v>
      </c>
      <c r="G3217" s="24">
        <v>0.56</v>
      </c>
      <c r="H3217" s="24" t="s">
        <v>6680</v>
      </c>
      <c r="I3217" s="24">
        <v>4.38</v>
      </c>
      <c r="J3217" s="24">
        <v>0.0</v>
      </c>
    </row>
    <row r="3218">
      <c r="A3218" s="24">
        <v>30.0</v>
      </c>
      <c r="B3218" s="24">
        <v>0.0</v>
      </c>
      <c r="C3218" s="44">
        <v>6.18</v>
      </c>
      <c r="D3218" s="46">
        <v>45066.0</v>
      </c>
      <c r="E3218" s="24" t="s">
        <v>6650</v>
      </c>
      <c r="F3218" s="24">
        <v>206.0</v>
      </c>
      <c r="G3218" s="24">
        <v>0.0</v>
      </c>
      <c r="H3218" s="24" t="s">
        <v>6692</v>
      </c>
      <c r="I3218" s="24">
        <v>6.18</v>
      </c>
      <c r="J3218" s="24">
        <v>0.0</v>
      </c>
    </row>
    <row r="3219">
      <c r="A3219" s="24">
        <v>1894.0</v>
      </c>
      <c r="B3219" s="24">
        <v>8.0</v>
      </c>
      <c r="C3219" s="44">
        <v>7.62</v>
      </c>
      <c r="D3219" s="46">
        <v>45066.0</v>
      </c>
      <c r="E3219" s="24">
        <v>0.95</v>
      </c>
      <c r="F3219" s="24">
        <v>4.02</v>
      </c>
      <c r="G3219" s="24">
        <v>0.42</v>
      </c>
      <c r="H3219" s="24" t="s">
        <v>6688</v>
      </c>
      <c r="I3219" s="24">
        <v>1.27</v>
      </c>
      <c r="J3219" s="24">
        <v>0.0</v>
      </c>
    </row>
    <row r="3220">
      <c r="A3220" s="24">
        <v>266.0</v>
      </c>
      <c r="B3220" s="24">
        <v>1.0</v>
      </c>
      <c r="C3220" s="44">
        <v>8.04</v>
      </c>
      <c r="D3220" s="46">
        <v>45066.0</v>
      </c>
      <c r="E3220" s="24">
        <v>8.04</v>
      </c>
      <c r="F3220" s="24">
        <v>30.23</v>
      </c>
      <c r="G3220" s="24">
        <v>0.38</v>
      </c>
      <c r="H3220" s="24" t="s">
        <v>6700</v>
      </c>
      <c r="I3220" s="24">
        <v>4.02</v>
      </c>
      <c r="J3220" s="24">
        <v>0.0</v>
      </c>
    </row>
    <row r="3221">
      <c r="A3221" s="24">
        <v>54.0</v>
      </c>
      <c r="B3221" s="24">
        <v>2.0</v>
      </c>
      <c r="C3221" s="44">
        <v>7.11</v>
      </c>
      <c r="D3221" s="46">
        <v>45066.0</v>
      </c>
      <c r="E3221" s="24">
        <v>3.56</v>
      </c>
      <c r="F3221" s="24">
        <v>131.67</v>
      </c>
      <c r="G3221" s="24">
        <v>3.7</v>
      </c>
      <c r="H3221" s="24" t="s">
        <v>6698</v>
      </c>
      <c r="I3221" s="24">
        <v>3.56</v>
      </c>
      <c r="J3221" s="24">
        <v>0.0</v>
      </c>
    </row>
    <row r="3222">
      <c r="A3222" s="24">
        <v>45.0</v>
      </c>
      <c r="B3222" s="24">
        <v>0.0</v>
      </c>
      <c r="C3222" s="44">
        <v>6.28</v>
      </c>
      <c r="D3222" s="46">
        <v>45066.0</v>
      </c>
      <c r="E3222" s="24" t="s">
        <v>6650</v>
      </c>
      <c r="F3222" s="24">
        <v>139.56</v>
      </c>
      <c r="G3222" s="24">
        <v>0.0</v>
      </c>
      <c r="H3222" s="24" t="s">
        <v>6696</v>
      </c>
      <c r="I3222" s="24">
        <v>2.09</v>
      </c>
      <c r="J3222" s="24">
        <v>0.0</v>
      </c>
    </row>
    <row r="3223">
      <c r="A3223" s="24">
        <v>307.0</v>
      </c>
      <c r="B3223" s="24">
        <v>4.0</v>
      </c>
      <c r="C3223" s="44">
        <v>6.35</v>
      </c>
      <c r="D3223" s="46">
        <v>45066.0</v>
      </c>
      <c r="E3223" s="24">
        <v>1.59</v>
      </c>
      <c r="F3223" s="24">
        <v>20.68</v>
      </c>
      <c r="G3223" s="24">
        <v>1.3</v>
      </c>
      <c r="H3223" s="24" t="s">
        <v>6689</v>
      </c>
      <c r="I3223" s="24">
        <v>6.35</v>
      </c>
      <c r="J3223" s="24">
        <v>0.0</v>
      </c>
    </row>
    <row r="3224">
      <c r="A3224" s="24">
        <v>60.0</v>
      </c>
      <c r="B3224" s="24">
        <v>2.0</v>
      </c>
      <c r="C3224" s="44">
        <v>6.35</v>
      </c>
      <c r="D3224" s="46">
        <v>45066.0</v>
      </c>
      <c r="E3224" s="24">
        <v>3.18</v>
      </c>
      <c r="F3224" s="24">
        <v>105.83</v>
      </c>
      <c r="G3224" s="24">
        <v>3.33</v>
      </c>
      <c r="H3224" s="24" t="s">
        <v>6699</v>
      </c>
      <c r="I3224" s="24" t="s">
        <v>6650</v>
      </c>
      <c r="J3224" s="24">
        <v>0.0</v>
      </c>
    </row>
    <row r="3225">
      <c r="A3225" s="24">
        <v>18.0</v>
      </c>
      <c r="B3225" s="24">
        <v>0.0</v>
      </c>
      <c r="C3225" s="44">
        <v>5.82</v>
      </c>
      <c r="D3225" s="46">
        <v>45066.0</v>
      </c>
      <c r="E3225" s="24" t="s">
        <v>6650</v>
      </c>
      <c r="F3225" s="24">
        <v>323.33</v>
      </c>
      <c r="G3225" s="24">
        <v>0.0</v>
      </c>
      <c r="H3225" s="24" t="s">
        <v>6697</v>
      </c>
      <c r="I3225" s="24" t="s">
        <v>6650</v>
      </c>
      <c r="J3225" s="24">
        <v>0.0</v>
      </c>
    </row>
    <row r="3226">
      <c r="A3226" s="24">
        <v>46.0</v>
      </c>
      <c r="B3226" s="24">
        <v>0.0</v>
      </c>
      <c r="C3226" s="44">
        <v>4.96</v>
      </c>
      <c r="D3226" s="46">
        <v>45067.0</v>
      </c>
      <c r="E3226" s="24" t="s">
        <v>6650</v>
      </c>
      <c r="F3226" s="24">
        <v>107.83</v>
      </c>
      <c r="G3226" s="24">
        <v>0.0</v>
      </c>
      <c r="H3226" s="24" t="s">
        <v>6692</v>
      </c>
      <c r="I3226" s="24" t="s">
        <v>6650</v>
      </c>
      <c r="J3226" s="24">
        <v>0.0</v>
      </c>
    </row>
    <row r="3227">
      <c r="A3227" s="24">
        <v>24.0</v>
      </c>
      <c r="B3227" s="24">
        <v>0.0</v>
      </c>
      <c r="C3227" s="44">
        <v>4.86</v>
      </c>
      <c r="D3227" s="46">
        <v>45067.0</v>
      </c>
      <c r="E3227" s="24" t="s">
        <v>6650</v>
      </c>
      <c r="F3227" s="24">
        <v>202.5</v>
      </c>
      <c r="G3227" s="24">
        <v>0.0</v>
      </c>
      <c r="H3227" s="24" t="s">
        <v>6697</v>
      </c>
      <c r="I3227" s="24" t="s">
        <v>6650</v>
      </c>
      <c r="J3227" s="24">
        <v>0.0</v>
      </c>
    </row>
    <row r="3228">
      <c r="A3228" s="24">
        <v>181.0</v>
      </c>
      <c r="B3228" s="24">
        <v>3.0</v>
      </c>
      <c r="C3228" s="44">
        <v>6.79</v>
      </c>
      <c r="D3228" s="46">
        <v>45067.0</v>
      </c>
      <c r="E3228" s="24">
        <v>2.26</v>
      </c>
      <c r="F3228" s="24">
        <v>37.51</v>
      </c>
      <c r="G3228" s="24">
        <v>1.66</v>
      </c>
      <c r="H3228" s="24" t="s">
        <v>6700</v>
      </c>
      <c r="I3228" s="24">
        <v>3.4</v>
      </c>
      <c r="J3228" s="24">
        <v>0.0</v>
      </c>
    </row>
    <row r="3229">
      <c r="A3229" s="24">
        <v>62.0</v>
      </c>
      <c r="B3229" s="24">
        <v>1.0</v>
      </c>
      <c r="C3229" s="44">
        <v>5.76</v>
      </c>
      <c r="D3229" s="46">
        <v>45067.0</v>
      </c>
      <c r="E3229" s="24">
        <v>5.76</v>
      </c>
      <c r="F3229" s="24">
        <v>92.9</v>
      </c>
      <c r="G3229" s="24">
        <v>1.61</v>
      </c>
      <c r="H3229" s="24" t="s">
        <v>6698</v>
      </c>
      <c r="I3229" s="24">
        <v>5.76</v>
      </c>
      <c r="J3229" s="24">
        <v>0.0</v>
      </c>
    </row>
    <row r="3230">
      <c r="A3230" s="24">
        <v>1775.0</v>
      </c>
      <c r="B3230" s="24">
        <v>20.0</v>
      </c>
      <c r="C3230" s="44">
        <v>8.07</v>
      </c>
      <c r="D3230" s="46">
        <v>45067.0</v>
      </c>
      <c r="E3230" s="24">
        <v>0.4</v>
      </c>
      <c r="F3230" s="24">
        <v>4.55</v>
      </c>
      <c r="G3230" s="24">
        <v>1.13</v>
      </c>
      <c r="H3230" s="24" t="s">
        <v>6688</v>
      </c>
      <c r="I3230" s="24">
        <v>2.02</v>
      </c>
      <c r="J3230" s="24">
        <v>0.0</v>
      </c>
    </row>
    <row r="3231">
      <c r="A3231" s="24">
        <v>416.0</v>
      </c>
      <c r="B3231" s="24">
        <v>9.0</v>
      </c>
      <c r="C3231" s="44">
        <v>5.38</v>
      </c>
      <c r="D3231" s="46">
        <v>45067.0</v>
      </c>
      <c r="E3231" s="24">
        <v>0.6</v>
      </c>
      <c r="F3231" s="24">
        <v>12.93</v>
      </c>
      <c r="G3231" s="24">
        <v>2.16</v>
      </c>
      <c r="H3231" s="24" t="s">
        <v>6689</v>
      </c>
      <c r="I3231" s="24">
        <v>5.38</v>
      </c>
      <c r="J3231" s="24">
        <v>0.0</v>
      </c>
    </row>
    <row r="3232">
      <c r="A3232" s="24">
        <v>243.0</v>
      </c>
      <c r="B3232" s="24">
        <v>1.0</v>
      </c>
      <c r="C3232" s="44">
        <v>7.76</v>
      </c>
      <c r="D3232" s="46">
        <v>45067.0</v>
      </c>
      <c r="E3232" s="24">
        <v>7.76</v>
      </c>
      <c r="F3232" s="24">
        <v>31.93</v>
      </c>
      <c r="G3232" s="24">
        <v>0.41</v>
      </c>
      <c r="H3232" s="24" t="s">
        <v>6680</v>
      </c>
      <c r="I3232" s="24">
        <v>3.88</v>
      </c>
      <c r="J3232" s="24">
        <v>0.0</v>
      </c>
    </row>
    <row r="3233">
      <c r="A3233" s="24">
        <v>83.0</v>
      </c>
      <c r="B3233" s="24">
        <v>0.0</v>
      </c>
      <c r="C3233" s="44">
        <v>4.39</v>
      </c>
      <c r="D3233" s="46">
        <v>45067.0</v>
      </c>
      <c r="E3233" s="24" t="s">
        <v>6650</v>
      </c>
      <c r="F3233" s="24">
        <v>52.89</v>
      </c>
      <c r="G3233" s="24">
        <v>0.0</v>
      </c>
      <c r="H3233" s="24" t="s">
        <v>6699</v>
      </c>
      <c r="I3233" s="24" t="s">
        <v>6650</v>
      </c>
      <c r="J3233" s="24">
        <v>0.0</v>
      </c>
    </row>
    <row r="3234">
      <c r="A3234" s="24">
        <v>58.0</v>
      </c>
      <c r="B3234" s="24">
        <v>0.0</v>
      </c>
      <c r="C3234" s="44">
        <v>4.54</v>
      </c>
      <c r="D3234" s="46">
        <v>45067.0</v>
      </c>
      <c r="E3234" s="24" t="s">
        <v>6650</v>
      </c>
      <c r="F3234" s="24">
        <v>78.28</v>
      </c>
      <c r="G3234" s="24">
        <v>0.0</v>
      </c>
      <c r="H3234" s="24" t="s">
        <v>6701</v>
      </c>
      <c r="I3234" s="24" t="s">
        <v>6650</v>
      </c>
      <c r="J3234" s="24">
        <v>0.0</v>
      </c>
    </row>
    <row r="3235">
      <c r="A3235" s="24">
        <v>32.0</v>
      </c>
      <c r="B3235" s="24">
        <v>0.0</v>
      </c>
      <c r="C3235" s="44">
        <v>2.59</v>
      </c>
      <c r="D3235" s="46">
        <v>45067.0</v>
      </c>
      <c r="E3235" s="24" t="s">
        <v>6650</v>
      </c>
      <c r="F3235" s="24">
        <v>80.94</v>
      </c>
      <c r="G3235" s="24">
        <v>0.0</v>
      </c>
      <c r="H3235" s="24" t="s">
        <v>6695</v>
      </c>
      <c r="I3235" s="24" t="s">
        <v>6650</v>
      </c>
      <c r="J3235" s="24">
        <v>0.0</v>
      </c>
    </row>
    <row r="3236">
      <c r="A3236" s="24">
        <v>56.0</v>
      </c>
      <c r="B3236" s="24">
        <v>0.0</v>
      </c>
      <c r="C3236" s="44">
        <v>5.34</v>
      </c>
      <c r="D3236" s="46">
        <v>45067.0</v>
      </c>
      <c r="E3236" s="24" t="s">
        <v>6650</v>
      </c>
      <c r="F3236" s="24">
        <v>95.36</v>
      </c>
      <c r="G3236" s="24">
        <v>0.0</v>
      </c>
      <c r="H3236" s="24" t="s">
        <v>6696</v>
      </c>
      <c r="I3236" s="24">
        <v>5.34</v>
      </c>
      <c r="J3236" s="24">
        <v>0.0</v>
      </c>
    </row>
    <row r="3237">
      <c r="A3237" s="24">
        <v>217.0</v>
      </c>
      <c r="B3237" s="24">
        <v>0.0</v>
      </c>
      <c r="C3237" s="44">
        <v>11.46</v>
      </c>
      <c r="D3237" s="46">
        <v>45068.0</v>
      </c>
      <c r="E3237" s="24" t="s">
        <v>6650</v>
      </c>
      <c r="F3237" s="24">
        <v>52.81</v>
      </c>
      <c r="G3237" s="24">
        <v>0.0</v>
      </c>
      <c r="H3237" s="24" t="s">
        <v>6696</v>
      </c>
      <c r="I3237" s="24">
        <v>11.46</v>
      </c>
      <c r="J3237" s="24">
        <v>0.0</v>
      </c>
    </row>
    <row r="3238">
      <c r="A3238" s="24">
        <v>265.0</v>
      </c>
      <c r="B3238" s="24">
        <v>1.0</v>
      </c>
      <c r="C3238" s="44">
        <v>12.04</v>
      </c>
      <c r="D3238" s="46">
        <v>45068.0</v>
      </c>
      <c r="E3238" s="24">
        <v>12.04</v>
      </c>
      <c r="F3238" s="24">
        <v>45.43</v>
      </c>
      <c r="G3238" s="24">
        <v>0.38</v>
      </c>
      <c r="H3238" s="24" t="s">
        <v>6692</v>
      </c>
      <c r="I3238" s="24" t="s">
        <v>6650</v>
      </c>
      <c r="J3238" s="24">
        <v>0.0</v>
      </c>
    </row>
    <row r="3239">
      <c r="A3239" s="24">
        <v>555.0</v>
      </c>
      <c r="B3239" s="24">
        <v>2.0</v>
      </c>
      <c r="C3239" s="44">
        <v>9.7</v>
      </c>
      <c r="D3239" s="46">
        <v>45068.0</v>
      </c>
      <c r="E3239" s="24">
        <v>4.85</v>
      </c>
      <c r="F3239" s="24">
        <v>17.48</v>
      </c>
      <c r="G3239" s="24">
        <v>0.36</v>
      </c>
      <c r="H3239" s="24" t="s">
        <v>6680</v>
      </c>
      <c r="I3239" s="24">
        <v>9.7</v>
      </c>
      <c r="J3239" s="24">
        <v>0.0</v>
      </c>
    </row>
    <row r="3240">
      <c r="A3240" s="24">
        <v>361.0</v>
      </c>
      <c r="B3240" s="24">
        <v>4.0</v>
      </c>
      <c r="C3240" s="44">
        <v>11.03</v>
      </c>
      <c r="D3240" s="46">
        <v>45068.0</v>
      </c>
      <c r="E3240" s="24">
        <v>2.76</v>
      </c>
      <c r="F3240" s="24">
        <v>30.55</v>
      </c>
      <c r="G3240" s="24">
        <v>1.11</v>
      </c>
      <c r="H3240" s="24" t="s">
        <v>6700</v>
      </c>
      <c r="I3240" s="24" t="s">
        <v>6650</v>
      </c>
      <c r="J3240" s="24">
        <v>0.0</v>
      </c>
    </row>
    <row r="3241">
      <c r="A3241" s="24">
        <v>342.0</v>
      </c>
      <c r="B3241" s="24">
        <v>3.0</v>
      </c>
      <c r="C3241" s="44">
        <v>11.3</v>
      </c>
      <c r="D3241" s="46">
        <v>45068.0</v>
      </c>
      <c r="E3241" s="24">
        <v>3.77</v>
      </c>
      <c r="F3241" s="24">
        <v>33.04</v>
      </c>
      <c r="G3241" s="24">
        <v>0.88</v>
      </c>
      <c r="H3241" s="24" t="s">
        <v>6698</v>
      </c>
      <c r="I3241" s="24" t="s">
        <v>6650</v>
      </c>
      <c r="J3241" s="24">
        <v>0.0</v>
      </c>
    </row>
    <row r="3242">
      <c r="A3242" s="24">
        <v>158.0</v>
      </c>
      <c r="B3242" s="24">
        <v>0.0</v>
      </c>
      <c r="C3242" s="44">
        <v>11.68</v>
      </c>
      <c r="D3242" s="46">
        <v>45068.0</v>
      </c>
      <c r="E3242" s="24" t="s">
        <v>6650</v>
      </c>
      <c r="F3242" s="24">
        <v>73.92</v>
      </c>
      <c r="G3242" s="24">
        <v>0.0</v>
      </c>
      <c r="H3242" s="24" t="s">
        <v>6701</v>
      </c>
      <c r="I3242" s="24" t="s">
        <v>6650</v>
      </c>
      <c r="J3242" s="24">
        <v>0.0</v>
      </c>
    </row>
    <row r="3243">
      <c r="A3243" s="24">
        <v>1124.0</v>
      </c>
      <c r="B3243" s="24">
        <v>10.0</v>
      </c>
      <c r="C3243" s="44">
        <v>11.79</v>
      </c>
      <c r="D3243" s="46">
        <v>45068.0</v>
      </c>
      <c r="E3243" s="24">
        <v>1.18</v>
      </c>
      <c r="F3243" s="24">
        <v>10.49</v>
      </c>
      <c r="G3243" s="24">
        <v>0.89</v>
      </c>
      <c r="H3243" s="24" t="s">
        <v>6689</v>
      </c>
      <c r="I3243" s="24">
        <v>5.9</v>
      </c>
      <c r="J3243" s="24">
        <v>0.0</v>
      </c>
    </row>
    <row r="3244">
      <c r="A3244" s="24">
        <v>109.0</v>
      </c>
      <c r="B3244" s="24">
        <v>0.0</v>
      </c>
      <c r="C3244" s="44">
        <v>12.18</v>
      </c>
      <c r="D3244" s="46">
        <v>45068.0</v>
      </c>
      <c r="E3244" s="24" t="s">
        <v>6650</v>
      </c>
      <c r="F3244" s="24">
        <v>111.74</v>
      </c>
      <c r="G3244" s="24">
        <v>0.0</v>
      </c>
      <c r="H3244" s="24" t="s">
        <v>6695</v>
      </c>
      <c r="I3244" s="24" t="s">
        <v>6650</v>
      </c>
      <c r="J3244" s="24">
        <v>0.0</v>
      </c>
    </row>
    <row r="3245">
      <c r="A3245" s="24">
        <v>185.0</v>
      </c>
      <c r="B3245" s="24">
        <v>3.0</v>
      </c>
      <c r="C3245" s="44">
        <v>11.5</v>
      </c>
      <c r="D3245" s="46">
        <v>45068.0</v>
      </c>
      <c r="E3245" s="24">
        <v>3.83</v>
      </c>
      <c r="F3245" s="24">
        <v>62.16</v>
      </c>
      <c r="G3245" s="24">
        <v>1.62</v>
      </c>
      <c r="H3245" s="24" t="s">
        <v>6699</v>
      </c>
      <c r="I3245" s="24">
        <v>11.5</v>
      </c>
      <c r="J3245" s="24">
        <v>0.0</v>
      </c>
    </row>
    <row r="3246">
      <c r="A3246" s="24">
        <v>2426.0</v>
      </c>
      <c r="B3246" s="24">
        <v>11.0</v>
      </c>
      <c r="C3246" s="44">
        <v>9.73</v>
      </c>
      <c r="D3246" s="46">
        <v>45068.0</v>
      </c>
      <c r="E3246" s="24">
        <v>0.88</v>
      </c>
      <c r="F3246" s="24">
        <v>4.01</v>
      </c>
      <c r="G3246" s="24">
        <v>0.45</v>
      </c>
      <c r="H3246" s="24" t="s">
        <v>6688</v>
      </c>
      <c r="I3246" s="24">
        <v>1.62</v>
      </c>
      <c r="J3246" s="24">
        <v>0.0</v>
      </c>
    </row>
    <row r="3247">
      <c r="A3247" s="24">
        <v>64.0</v>
      </c>
      <c r="B3247" s="24">
        <v>1.0</v>
      </c>
      <c r="C3247" s="44">
        <v>12.42</v>
      </c>
      <c r="D3247" s="46">
        <v>45068.0</v>
      </c>
      <c r="E3247" s="24">
        <v>12.42</v>
      </c>
      <c r="F3247" s="24">
        <v>194.06</v>
      </c>
      <c r="G3247" s="24">
        <v>1.56</v>
      </c>
      <c r="H3247" s="24" t="s">
        <v>6697</v>
      </c>
      <c r="I3247" s="24" t="s">
        <v>6650</v>
      </c>
      <c r="J3247" s="24">
        <v>0.0</v>
      </c>
    </row>
    <row r="3248">
      <c r="A3248" s="24">
        <v>253.0</v>
      </c>
      <c r="B3248" s="24">
        <v>0.0</v>
      </c>
      <c r="C3248" s="44">
        <v>12.13</v>
      </c>
      <c r="D3248" s="46">
        <v>45069.0</v>
      </c>
      <c r="E3248" s="24" t="s">
        <v>6650</v>
      </c>
      <c r="F3248" s="24">
        <v>47.94</v>
      </c>
      <c r="G3248" s="24">
        <v>0.0</v>
      </c>
      <c r="H3248" s="24" t="s">
        <v>6692</v>
      </c>
      <c r="I3248" s="24" t="s">
        <v>6650</v>
      </c>
      <c r="J3248" s="24">
        <v>0.0</v>
      </c>
    </row>
    <row r="3249">
      <c r="A3249" s="24">
        <v>114.0</v>
      </c>
      <c r="B3249" s="24">
        <v>0.0</v>
      </c>
      <c r="C3249" s="44">
        <v>12.74</v>
      </c>
      <c r="D3249" s="46">
        <v>45069.0</v>
      </c>
      <c r="E3249" s="24" t="s">
        <v>6650</v>
      </c>
      <c r="F3249" s="24">
        <v>111.75</v>
      </c>
      <c r="G3249" s="24">
        <v>0.0</v>
      </c>
      <c r="H3249" s="24" t="s">
        <v>6701</v>
      </c>
      <c r="I3249" s="24" t="s">
        <v>6650</v>
      </c>
      <c r="J3249" s="24">
        <v>0.0</v>
      </c>
    </row>
    <row r="3250">
      <c r="A3250" s="24">
        <v>218.0</v>
      </c>
      <c r="B3250" s="24">
        <v>2.0</v>
      </c>
      <c r="C3250" s="44">
        <v>12.06</v>
      </c>
      <c r="D3250" s="46">
        <v>45069.0</v>
      </c>
      <c r="E3250" s="24">
        <v>6.03</v>
      </c>
      <c r="F3250" s="24">
        <v>55.32</v>
      </c>
      <c r="G3250" s="24">
        <v>0.92</v>
      </c>
      <c r="H3250" s="24" t="s">
        <v>6696</v>
      </c>
      <c r="I3250" s="24" t="s">
        <v>6650</v>
      </c>
      <c r="J3250" s="24">
        <v>0.0</v>
      </c>
    </row>
    <row r="3251">
      <c r="A3251" s="24">
        <v>639.0</v>
      </c>
      <c r="B3251" s="24">
        <v>2.0</v>
      </c>
      <c r="C3251" s="44">
        <v>13.28</v>
      </c>
      <c r="D3251" s="46">
        <v>45069.0</v>
      </c>
      <c r="E3251" s="24">
        <v>6.64</v>
      </c>
      <c r="F3251" s="24">
        <v>20.78</v>
      </c>
      <c r="G3251" s="24">
        <v>0.31</v>
      </c>
      <c r="H3251" s="24" t="s">
        <v>6680</v>
      </c>
      <c r="I3251" s="24" t="s">
        <v>6650</v>
      </c>
      <c r="J3251" s="24">
        <v>0.0</v>
      </c>
    </row>
    <row r="3252">
      <c r="A3252" s="24">
        <v>260.0</v>
      </c>
      <c r="B3252" s="24">
        <v>4.0</v>
      </c>
      <c r="C3252" s="44">
        <v>12.38</v>
      </c>
      <c r="D3252" s="46">
        <v>45069.0</v>
      </c>
      <c r="E3252" s="24">
        <v>3.1</v>
      </c>
      <c r="F3252" s="24">
        <v>47.62</v>
      </c>
      <c r="G3252" s="24">
        <v>1.54</v>
      </c>
      <c r="H3252" s="24" t="s">
        <v>6699</v>
      </c>
      <c r="I3252" s="24">
        <v>12.38</v>
      </c>
      <c r="J3252" s="24">
        <v>0.0</v>
      </c>
    </row>
    <row r="3253">
      <c r="A3253" s="24">
        <v>108.0</v>
      </c>
      <c r="B3253" s="24">
        <v>1.0</v>
      </c>
      <c r="C3253" s="44">
        <v>12.49</v>
      </c>
      <c r="D3253" s="46">
        <v>45069.0</v>
      </c>
      <c r="E3253" s="24">
        <v>12.49</v>
      </c>
      <c r="F3253" s="24">
        <v>115.65</v>
      </c>
      <c r="G3253" s="24">
        <v>0.93</v>
      </c>
      <c r="H3253" s="24" t="s">
        <v>6695</v>
      </c>
      <c r="I3253" s="24" t="s">
        <v>6650</v>
      </c>
      <c r="J3253" s="24">
        <v>0.0</v>
      </c>
    </row>
    <row r="3254">
      <c r="A3254" s="24">
        <v>302.0</v>
      </c>
      <c r="B3254" s="24">
        <v>3.0</v>
      </c>
      <c r="C3254" s="44">
        <v>11.83</v>
      </c>
      <c r="D3254" s="46">
        <v>45069.0</v>
      </c>
      <c r="E3254" s="24">
        <v>3.94</v>
      </c>
      <c r="F3254" s="24">
        <v>39.17</v>
      </c>
      <c r="G3254" s="24">
        <v>0.99</v>
      </c>
      <c r="H3254" s="24" t="s">
        <v>6700</v>
      </c>
      <c r="I3254" s="24">
        <v>11.83</v>
      </c>
      <c r="J3254" s="24">
        <v>0.0</v>
      </c>
    </row>
    <row r="3255">
      <c r="A3255" s="24">
        <v>58.0</v>
      </c>
      <c r="B3255" s="24">
        <v>0.0</v>
      </c>
      <c r="C3255" s="44">
        <v>12.22</v>
      </c>
      <c r="D3255" s="46">
        <v>45069.0</v>
      </c>
      <c r="E3255" s="24" t="s">
        <v>6650</v>
      </c>
      <c r="F3255" s="24">
        <v>210.69</v>
      </c>
      <c r="G3255" s="24">
        <v>0.0</v>
      </c>
      <c r="H3255" s="24" t="s">
        <v>6697</v>
      </c>
      <c r="I3255" s="24">
        <v>12.22</v>
      </c>
      <c r="J3255" s="24">
        <v>0.0</v>
      </c>
    </row>
    <row r="3256">
      <c r="A3256" s="24">
        <v>403.0</v>
      </c>
      <c r="B3256" s="24">
        <v>7.0</v>
      </c>
      <c r="C3256" s="44">
        <v>11.78</v>
      </c>
      <c r="D3256" s="46">
        <v>45069.0</v>
      </c>
      <c r="E3256" s="24">
        <v>1.68</v>
      </c>
      <c r="F3256" s="24">
        <v>29.23</v>
      </c>
      <c r="G3256" s="24">
        <v>1.74</v>
      </c>
      <c r="H3256" s="24" t="s">
        <v>6698</v>
      </c>
      <c r="I3256" s="24">
        <v>5.89</v>
      </c>
      <c r="J3256" s="24">
        <v>0.0</v>
      </c>
    </row>
    <row r="3257">
      <c r="A3257" s="24">
        <v>2332.0</v>
      </c>
      <c r="B3257" s="24">
        <v>13.0</v>
      </c>
      <c r="C3257" s="44">
        <v>9.52</v>
      </c>
      <c r="D3257" s="46">
        <v>45069.0</v>
      </c>
      <c r="E3257" s="24">
        <v>0.73</v>
      </c>
      <c r="F3257" s="24">
        <v>4.08</v>
      </c>
      <c r="G3257" s="24">
        <v>0.56</v>
      </c>
      <c r="H3257" s="24" t="s">
        <v>6688</v>
      </c>
      <c r="I3257" s="24">
        <v>0.79</v>
      </c>
      <c r="J3257" s="24">
        <v>0.0</v>
      </c>
    </row>
    <row r="3258">
      <c r="A3258" s="24">
        <v>1260.0</v>
      </c>
      <c r="B3258" s="24">
        <v>13.0</v>
      </c>
      <c r="C3258" s="44">
        <v>12.34</v>
      </c>
      <c r="D3258" s="46">
        <v>45069.0</v>
      </c>
      <c r="E3258" s="24">
        <v>0.95</v>
      </c>
      <c r="F3258" s="24">
        <v>9.79</v>
      </c>
      <c r="G3258" s="24">
        <v>1.03</v>
      </c>
      <c r="H3258" s="24" t="s">
        <v>6689</v>
      </c>
      <c r="I3258" s="24">
        <v>4.11</v>
      </c>
      <c r="J3258" s="24">
        <v>0.0</v>
      </c>
    </row>
    <row r="3259">
      <c r="A3259" s="24">
        <v>2038.0</v>
      </c>
      <c r="B3259" s="24">
        <v>21.0</v>
      </c>
      <c r="C3259" s="44">
        <v>12.1</v>
      </c>
      <c r="D3259" s="46">
        <v>45070.0</v>
      </c>
      <c r="E3259" s="24">
        <v>0.58</v>
      </c>
      <c r="F3259" s="24">
        <v>5.94</v>
      </c>
      <c r="G3259" s="24">
        <v>1.03</v>
      </c>
      <c r="H3259" s="24" t="s">
        <v>6688</v>
      </c>
      <c r="I3259" s="24">
        <v>0.81</v>
      </c>
      <c r="J3259" s="24">
        <v>0.0</v>
      </c>
    </row>
    <row r="3260">
      <c r="A3260" s="24">
        <v>423.0</v>
      </c>
      <c r="B3260" s="24">
        <v>1.0</v>
      </c>
      <c r="C3260" s="44">
        <v>11.11</v>
      </c>
      <c r="D3260" s="46">
        <v>45070.0</v>
      </c>
      <c r="E3260" s="24">
        <v>11.11</v>
      </c>
      <c r="F3260" s="24">
        <v>26.26</v>
      </c>
      <c r="G3260" s="24">
        <v>0.24</v>
      </c>
      <c r="H3260" s="24" t="s">
        <v>6700</v>
      </c>
      <c r="I3260" s="24">
        <v>3.7</v>
      </c>
      <c r="J3260" s="24">
        <v>0.0</v>
      </c>
    </row>
    <row r="3261">
      <c r="A3261" s="24">
        <v>122.0</v>
      </c>
      <c r="B3261" s="24">
        <v>2.0</v>
      </c>
      <c r="C3261" s="44">
        <v>11.92</v>
      </c>
      <c r="D3261" s="46">
        <v>45070.0</v>
      </c>
      <c r="E3261" s="24">
        <v>5.96</v>
      </c>
      <c r="F3261" s="24">
        <v>97.7</v>
      </c>
      <c r="G3261" s="24">
        <v>1.64</v>
      </c>
      <c r="H3261" s="24" t="s">
        <v>6701</v>
      </c>
      <c r="I3261" s="24" t="s">
        <v>6650</v>
      </c>
      <c r="J3261" s="24">
        <v>0.0</v>
      </c>
    </row>
    <row r="3262">
      <c r="A3262" s="24">
        <v>465.0</v>
      </c>
      <c r="B3262" s="24">
        <v>5.0</v>
      </c>
      <c r="C3262" s="44">
        <v>11.85</v>
      </c>
      <c r="D3262" s="46">
        <v>45070.0</v>
      </c>
      <c r="E3262" s="24">
        <v>2.37</v>
      </c>
      <c r="F3262" s="24">
        <v>25.48</v>
      </c>
      <c r="G3262" s="24">
        <v>1.08</v>
      </c>
      <c r="H3262" s="24" t="s">
        <v>6698</v>
      </c>
      <c r="I3262" s="24">
        <v>3.95</v>
      </c>
      <c r="J3262" s="24">
        <v>0.0</v>
      </c>
    </row>
    <row r="3263">
      <c r="A3263" s="24">
        <v>184.0</v>
      </c>
      <c r="B3263" s="24">
        <v>0.0</v>
      </c>
      <c r="C3263" s="44">
        <v>12.35</v>
      </c>
      <c r="D3263" s="46">
        <v>45070.0</v>
      </c>
      <c r="E3263" s="24" t="s">
        <v>6650</v>
      </c>
      <c r="F3263" s="24">
        <v>67.12</v>
      </c>
      <c r="G3263" s="24">
        <v>0.0</v>
      </c>
      <c r="H3263" s="24" t="s">
        <v>6696</v>
      </c>
      <c r="I3263" s="24" t="s">
        <v>6650</v>
      </c>
      <c r="J3263" s="24">
        <v>0.0</v>
      </c>
    </row>
    <row r="3264">
      <c r="A3264" s="24">
        <v>275.0</v>
      </c>
      <c r="B3264" s="24">
        <v>2.0</v>
      </c>
      <c r="C3264" s="44">
        <v>13.93</v>
      </c>
      <c r="D3264" s="46">
        <v>45070.0</v>
      </c>
      <c r="E3264" s="24">
        <v>6.96</v>
      </c>
      <c r="F3264" s="24">
        <v>50.65</v>
      </c>
      <c r="G3264" s="24">
        <v>0.73</v>
      </c>
      <c r="H3264" s="24" t="s">
        <v>6680</v>
      </c>
      <c r="I3264" s="24">
        <v>13.93</v>
      </c>
      <c r="J3264" s="24">
        <v>0.0</v>
      </c>
    </row>
    <row r="3265">
      <c r="A3265" s="24">
        <v>1108.0</v>
      </c>
      <c r="B3265" s="24">
        <v>12.0</v>
      </c>
      <c r="C3265" s="44">
        <v>11.88</v>
      </c>
      <c r="D3265" s="46">
        <v>45070.0</v>
      </c>
      <c r="E3265" s="24">
        <v>0.99</v>
      </c>
      <c r="F3265" s="24">
        <v>10.72</v>
      </c>
      <c r="G3265" s="24">
        <v>1.08</v>
      </c>
      <c r="H3265" s="24" t="s">
        <v>6689</v>
      </c>
      <c r="I3265" s="24">
        <v>1.48</v>
      </c>
      <c r="J3265" s="24">
        <v>0.0</v>
      </c>
    </row>
    <row r="3266">
      <c r="A3266" s="24">
        <v>183.0</v>
      </c>
      <c r="B3266" s="24">
        <v>2.0</v>
      </c>
      <c r="C3266" s="44">
        <v>11.83</v>
      </c>
      <c r="D3266" s="46">
        <v>45070.0</v>
      </c>
      <c r="E3266" s="24">
        <v>5.92</v>
      </c>
      <c r="F3266" s="24">
        <v>64.64</v>
      </c>
      <c r="G3266" s="24">
        <v>1.09</v>
      </c>
      <c r="H3266" s="24" t="s">
        <v>6699</v>
      </c>
      <c r="I3266" s="24">
        <v>3.94</v>
      </c>
      <c r="J3266" s="24">
        <v>0.0</v>
      </c>
    </row>
    <row r="3267">
      <c r="A3267" s="24">
        <v>548.0</v>
      </c>
      <c r="B3267" s="24">
        <v>3.0</v>
      </c>
      <c r="C3267" s="44">
        <v>12.16</v>
      </c>
      <c r="D3267" s="46">
        <v>45070.0</v>
      </c>
      <c r="E3267" s="24">
        <v>4.05</v>
      </c>
      <c r="F3267" s="24">
        <v>22.19</v>
      </c>
      <c r="G3267" s="24">
        <v>0.55</v>
      </c>
      <c r="H3267" s="24" t="s">
        <v>6692</v>
      </c>
      <c r="I3267" s="24" t="s">
        <v>6650</v>
      </c>
      <c r="J3267" s="24">
        <v>0.0</v>
      </c>
    </row>
    <row r="3268">
      <c r="A3268" s="24">
        <v>70.0</v>
      </c>
      <c r="B3268" s="24">
        <v>0.0</v>
      </c>
      <c r="C3268" s="44">
        <v>13.13</v>
      </c>
      <c r="D3268" s="46">
        <v>45070.0</v>
      </c>
      <c r="E3268" s="24" t="s">
        <v>6650</v>
      </c>
      <c r="F3268" s="24">
        <v>187.57</v>
      </c>
      <c r="G3268" s="24">
        <v>0.0</v>
      </c>
      <c r="H3268" s="24" t="s">
        <v>6697</v>
      </c>
      <c r="I3268" s="24">
        <v>6.56</v>
      </c>
      <c r="J3268" s="24">
        <v>0.0</v>
      </c>
    </row>
    <row r="3269">
      <c r="A3269" s="24">
        <v>77.0</v>
      </c>
      <c r="B3269" s="24">
        <v>1.0</v>
      </c>
      <c r="C3269" s="44">
        <v>12.61</v>
      </c>
      <c r="D3269" s="46">
        <v>45070.0</v>
      </c>
      <c r="E3269" s="24">
        <v>12.61</v>
      </c>
      <c r="F3269" s="24">
        <v>163.77</v>
      </c>
      <c r="G3269" s="24">
        <v>1.3</v>
      </c>
      <c r="H3269" s="24" t="s">
        <v>6695</v>
      </c>
      <c r="I3269" s="24" t="s">
        <v>6650</v>
      </c>
      <c r="J3269" s="24">
        <v>0.0</v>
      </c>
    </row>
    <row r="3270">
      <c r="A3270" s="24">
        <v>43.0</v>
      </c>
      <c r="B3270" s="24">
        <v>1.0</v>
      </c>
      <c r="C3270" s="44">
        <v>14.09</v>
      </c>
      <c r="D3270" s="46">
        <v>45071.0</v>
      </c>
      <c r="E3270" s="24">
        <v>14.09</v>
      </c>
      <c r="F3270" s="24">
        <v>327.67</v>
      </c>
      <c r="G3270" s="24">
        <v>2.33</v>
      </c>
      <c r="H3270" s="24" t="s">
        <v>6697</v>
      </c>
      <c r="I3270" s="24">
        <v>14.09</v>
      </c>
      <c r="J3270" s="24">
        <v>0.0</v>
      </c>
    </row>
    <row r="3271">
      <c r="A3271" s="24">
        <v>290.0</v>
      </c>
      <c r="B3271" s="24">
        <v>0.0</v>
      </c>
      <c r="C3271" s="44">
        <v>12.79</v>
      </c>
      <c r="D3271" s="46">
        <v>45071.0</v>
      </c>
      <c r="E3271" s="24" t="s">
        <v>6650</v>
      </c>
      <c r="F3271" s="24">
        <v>44.1</v>
      </c>
      <c r="G3271" s="24">
        <v>0.0</v>
      </c>
      <c r="H3271" s="24" t="s">
        <v>6680</v>
      </c>
      <c r="I3271" s="24">
        <v>12.79</v>
      </c>
      <c r="J3271" s="24">
        <v>0.0</v>
      </c>
    </row>
    <row r="3272">
      <c r="A3272" s="24">
        <v>468.0</v>
      </c>
      <c r="B3272" s="24">
        <v>2.0</v>
      </c>
      <c r="C3272" s="44">
        <v>11.7</v>
      </c>
      <c r="D3272" s="46">
        <v>45071.0</v>
      </c>
      <c r="E3272" s="24">
        <v>5.85</v>
      </c>
      <c r="F3272" s="24">
        <v>25.0</v>
      </c>
      <c r="G3272" s="24">
        <v>0.43</v>
      </c>
      <c r="H3272" s="24" t="s">
        <v>6692</v>
      </c>
      <c r="I3272" s="24" t="s">
        <v>6650</v>
      </c>
      <c r="J3272" s="24">
        <v>0.0</v>
      </c>
    </row>
    <row r="3273">
      <c r="A3273" s="24">
        <v>444.0</v>
      </c>
      <c r="B3273" s="24">
        <v>7.0</v>
      </c>
      <c r="C3273" s="44">
        <v>11.89</v>
      </c>
      <c r="D3273" s="46">
        <v>45071.0</v>
      </c>
      <c r="E3273" s="24">
        <v>1.7</v>
      </c>
      <c r="F3273" s="24">
        <v>26.78</v>
      </c>
      <c r="G3273" s="24">
        <v>1.58</v>
      </c>
      <c r="H3273" s="24" t="s">
        <v>6698</v>
      </c>
      <c r="I3273" s="24">
        <v>2.97</v>
      </c>
      <c r="J3273" s="24">
        <v>0.0</v>
      </c>
    </row>
    <row r="3274">
      <c r="A3274" s="24">
        <v>1910.0</v>
      </c>
      <c r="B3274" s="24">
        <v>12.0</v>
      </c>
      <c r="C3274" s="44">
        <v>10.32</v>
      </c>
      <c r="D3274" s="46">
        <v>45071.0</v>
      </c>
      <c r="E3274" s="24">
        <v>0.86</v>
      </c>
      <c r="F3274" s="24">
        <v>5.4</v>
      </c>
      <c r="G3274" s="24">
        <v>0.63</v>
      </c>
      <c r="H3274" s="24" t="s">
        <v>6688</v>
      </c>
      <c r="I3274" s="24">
        <v>0.86</v>
      </c>
      <c r="J3274" s="24">
        <v>0.0</v>
      </c>
    </row>
    <row r="3275">
      <c r="A3275" s="24">
        <v>181.0</v>
      </c>
      <c r="B3275" s="24">
        <v>0.0</v>
      </c>
      <c r="C3275" s="44">
        <v>12.98</v>
      </c>
      <c r="D3275" s="46">
        <v>45071.0</v>
      </c>
      <c r="E3275" s="24" t="s">
        <v>6650</v>
      </c>
      <c r="F3275" s="24">
        <v>71.71</v>
      </c>
      <c r="G3275" s="24">
        <v>0.0</v>
      </c>
      <c r="H3275" s="24" t="s">
        <v>6696</v>
      </c>
      <c r="I3275" s="24">
        <v>12.98</v>
      </c>
      <c r="J3275" s="24">
        <v>0.0</v>
      </c>
    </row>
    <row r="3276">
      <c r="A3276" s="24">
        <v>69.0</v>
      </c>
      <c r="B3276" s="24">
        <v>1.0</v>
      </c>
      <c r="C3276" s="44">
        <v>11.99</v>
      </c>
      <c r="D3276" s="46">
        <v>45071.0</v>
      </c>
      <c r="E3276" s="24">
        <v>11.99</v>
      </c>
      <c r="F3276" s="24">
        <v>173.77</v>
      </c>
      <c r="G3276" s="24">
        <v>1.45</v>
      </c>
      <c r="H3276" s="24" t="s">
        <v>6695</v>
      </c>
      <c r="I3276" s="24" t="s">
        <v>6650</v>
      </c>
      <c r="J3276" s="24">
        <v>0.0</v>
      </c>
    </row>
    <row r="3277">
      <c r="A3277" s="24">
        <v>115.0</v>
      </c>
      <c r="B3277" s="24">
        <v>0.0</v>
      </c>
      <c r="C3277" s="44">
        <v>12.62</v>
      </c>
      <c r="D3277" s="46">
        <v>45071.0</v>
      </c>
      <c r="E3277" s="24" t="s">
        <v>6650</v>
      </c>
      <c r="F3277" s="24">
        <v>109.74</v>
      </c>
      <c r="G3277" s="24">
        <v>0.0</v>
      </c>
      <c r="H3277" s="24" t="s">
        <v>6701</v>
      </c>
      <c r="I3277" s="24">
        <v>12.62</v>
      </c>
      <c r="J3277" s="24">
        <v>0.0</v>
      </c>
    </row>
    <row r="3278">
      <c r="A3278" s="24">
        <v>939.0</v>
      </c>
      <c r="B3278" s="24">
        <v>8.0</v>
      </c>
      <c r="C3278" s="44">
        <v>11.98</v>
      </c>
      <c r="D3278" s="46">
        <v>45071.0</v>
      </c>
      <c r="E3278" s="24">
        <v>1.5</v>
      </c>
      <c r="F3278" s="24">
        <v>12.76</v>
      </c>
      <c r="G3278" s="24">
        <v>0.85</v>
      </c>
      <c r="H3278" s="24" t="s">
        <v>6689</v>
      </c>
      <c r="I3278" s="24" t="s">
        <v>6650</v>
      </c>
      <c r="J3278" s="24">
        <v>0.0</v>
      </c>
    </row>
    <row r="3279">
      <c r="A3279" s="24">
        <v>457.0</v>
      </c>
      <c r="B3279" s="24">
        <v>3.0</v>
      </c>
      <c r="C3279" s="44">
        <v>11.1</v>
      </c>
      <c r="D3279" s="46">
        <v>45071.0</v>
      </c>
      <c r="E3279" s="24">
        <v>3.7</v>
      </c>
      <c r="F3279" s="24">
        <v>24.29</v>
      </c>
      <c r="G3279" s="24">
        <v>0.66</v>
      </c>
      <c r="H3279" s="24" t="s">
        <v>6700</v>
      </c>
      <c r="I3279" s="24">
        <v>3.7</v>
      </c>
      <c r="J3279" s="24">
        <v>0.0</v>
      </c>
    </row>
    <row r="3280">
      <c r="A3280" s="24">
        <v>215.0</v>
      </c>
      <c r="B3280" s="24">
        <v>2.0</v>
      </c>
      <c r="C3280" s="44">
        <v>12.56</v>
      </c>
      <c r="D3280" s="46">
        <v>45071.0</v>
      </c>
      <c r="E3280" s="24">
        <v>6.28</v>
      </c>
      <c r="F3280" s="24">
        <v>58.42</v>
      </c>
      <c r="G3280" s="24">
        <v>0.93</v>
      </c>
      <c r="H3280" s="24" t="s">
        <v>6699</v>
      </c>
      <c r="I3280" s="24">
        <v>6.28</v>
      </c>
      <c r="J3280" s="24">
        <v>0.0</v>
      </c>
    </row>
    <row r="3281">
      <c r="A3281" s="24">
        <v>41.0</v>
      </c>
      <c r="B3281" s="24">
        <v>1.0</v>
      </c>
      <c r="C3281" s="44">
        <v>9.56</v>
      </c>
      <c r="D3281" s="46">
        <v>45072.0</v>
      </c>
      <c r="E3281" s="24">
        <v>9.56</v>
      </c>
      <c r="F3281" s="24">
        <v>233.17</v>
      </c>
      <c r="G3281" s="24">
        <v>2.44</v>
      </c>
      <c r="H3281" s="24" t="s">
        <v>6697</v>
      </c>
      <c r="I3281" s="24">
        <v>9.56</v>
      </c>
      <c r="J3281" s="24">
        <v>0.0</v>
      </c>
    </row>
    <row r="3282">
      <c r="A3282" s="24">
        <v>69.0</v>
      </c>
      <c r="B3282" s="24">
        <v>0.0</v>
      </c>
      <c r="C3282" s="44">
        <v>12.37</v>
      </c>
      <c r="D3282" s="46">
        <v>45072.0</v>
      </c>
      <c r="E3282" s="24" t="s">
        <v>6650</v>
      </c>
      <c r="F3282" s="24">
        <v>179.28</v>
      </c>
      <c r="G3282" s="24">
        <v>0.0</v>
      </c>
      <c r="H3282" s="24" t="s">
        <v>6695</v>
      </c>
      <c r="I3282" s="24" t="s">
        <v>6650</v>
      </c>
      <c r="J3282" s="24">
        <v>0.0</v>
      </c>
    </row>
    <row r="3283">
      <c r="A3283" s="24">
        <v>124.0</v>
      </c>
      <c r="B3283" s="24">
        <v>5.0</v>
      </c>
      <c r="C3283" s="44">
        <v>11.87</v>
      </c>
      <c r="D3283" s="46">
        <v>45072.0</v>
      </c>
      <c r="E3283" s="24">
        <v>2.37</v>
      </c>
      <c r="F3283" s="24">
        <v>95.73</v>
      </c>
      <c r="G3283" s="24">
        <v>4.03</v>
      </c>
      <c r="H3283" s="24" t="s">
        <v>6699</v>
      </c>
      <c r="I3283" s="24">
        <v>3.96</v>
      </c>
      <c r="J3283" s="24">
        <v>0.0</v>
      </c>
    </row>
    <row r="3284">
      <c r="A3284" s="24">
        <v>144.0</v>
      </c>
      <c r="B3284" s="24">
        <v>2.0</v>
      </c>
      <c r="C3284" s="44">
        <v>10.33</v>
      </c>
      <c r="D3284" s="46">
        <v>45072.0</v>
      </c>
      <c r="E3284" s="24">
        <v>5.16</v>
      </c>
      <c r="F3284" s="24">
        <v>71.74</v>
      </c>
      <c r="G3284" s="24">
        <v>1.39</v>
      </c>
      <c r="H3284" s="24" t="s">
        <v>6696</v>
      </c>
      <c r="I3284" s="24" t="s">
        <v>6650</v>
      </c>
      <c r="J3284" s="24">
        <v>0.0</v>
      </c>
    </row>
    <row r="3285">
      <c r="A3285" s="24">
        <v>941.0</v>
      </c>
      <c r="B3285" s="24">
        <v>11.0</v>
      </c>
      <c r="C3285" s="44">
        <v>10.9</v>
      </c>
      <c r="D3285" s="46">
        <v>45072.0</v>
      </c>
      <c r="E3285" s="24">
        <v>0.99</v>
      </c>
      <c r="F3285" s="24">
        <v>11.58</v>
      </c>
      <c r="G3285" s="24">
        <v>1.17</v>
      </c>
      <c r="H3285" s="24" t="s">
        <v>6689</v>
      </c>
      <c r="I3285" s="24" t="s">
        <v>6650</v>
      </c>
      <c r="J3285" s="24">
        <v>0.0</v>
      </c>
    </row>
    <row r="3286">
      <c r="A3286" s="24">
        <v>72.0</v>
      </c>
      <c r="B3286" s="24">
        <v>0.0</v>
      </c>
      <c r="C3286" s="44">
        <v>10.9</v>
      </c>
      <c r="D3286" s="46">
        <v>45072.0</v>
      </c>
      <c r="E3286" s="24" t="s">
        <v>6650</v>
      </c>
      <c r="F3286" s="24">
        <v>151.39</v>
      </c>
      <c r="G3286" s="24">
        <v>0.0</v>
      </c>
      <c r="H3286" s="24" t="s">
        <v>6701</v>
      </c>
      <c r="I3286" s="24">
        <v>10.9</v>
      </c>
      <c r="J3286" s="24">
        <v>0.0</v>
      </c>
    </row>
    <row r="3287">
      <c r="A3287" s="24">
        <v>392.0</v>
      </c>
      <c r="B3287" s="24">
        <v>2.0</v>
      </c>
      <c r="C3287" s="44">
        <v>11.49</v>
      </c>
      <c r="D3287" s="46">
        <v>45072.0</v>
      </c>
      <c r="E3287" s="24">
        <v>5.74</v>
      </c>
      <c r="F3287" s="24">
        <v>29.31</v>
      </c>
      <c r="G3287" s="24">
        <v>0.51</v>
      </c>
      <c r="H3287" s="24" t="s">
        <v>6700</v>
      </c>
      <c r="I3287" s="24">
        <v>5.74</v>
      </c>
      <c r="J3287" s="24">
        <v>0.0</v>
      </c>
    </row>
    <row r="3288">
      <c r="A3288" s="24">
        <v>492.0</v>
      </c>
      <c r="B3288" s="24">
        <v>6.0</v>
      </c>
      <c r="C3288" s="44">
        <v>10.73</v>
      </c>
      <c r="D3288" s="46">
        <v>45072.0</v>
      </c>
      <c r="E3288" s="24">
        <v>1.79</v>
      </c>
      <c r="F3288" s="24">
        <v>21.81</v>
      </c>
      <c r="G3288" s="24">
        <v>1.22</v>
      </c>
      <c r="H3288" s="24" t="s">
        <v>6698</v>
      </c>
      <c r="I3288" s="24">
        <v>5.36</v>
      </c>
      <c r="J3288" s="24">
        <v>0.0</v>
      </c>
    </row>
    <row r="3289">
      <c r="A3289" s="24">
        <v>447.0</v>
      </c>
      <c r="B3289" s="24">
        <v>1.0</v>
      </c>
      <c r="C3289" s="44">
        <v>11.27</v>
      </c>
      <c r="D3289" s="46">
        <v>45072.0</v>
      </c>
      <c r="E3289" s="24">
        <v>11.27</v>
      </c>
      <c r="F3289" s="24">
        <v>25.21</v>
      </c>
      <c r="G3289" s="24">
        <v>0.22</v>
      </c>
      <c r="H3289" s="24" t="s">
        <v>6692</v>
      </c>
      <c r="I3289" s="24">
        <v>11.27</v>
      </c>
      <c r="J3289" s="24">
        <v>0.0</v>
      </c>
    </row>
    <row r="3290">
      <c r="A3290" s="24">
        <v>2231.0</v>
      </c>
      <c r="B3290" s="24">
        <v>11.0</v>
      </c>
      <c r="C3290" s="44">
        <v>11.07</v>
      </c>
      <c r="D3290" s="46">
        <v>45072.0</v>
      </c>
      <c r="E3290" s="24">
        <v>1.01</v>
      </c>
      <c r="F3290" s="24">
        <v>4.96</v>
      </c>
      <c r="G3290" s="24">
        <v>0.49</v>
      </c>
      <c r="H3290" s="24" t="s">
        <v>6688</v>
      </c>
      <c r="I3290" s="24">
        <v>2.77</v>
      </c>
      <c r="J3290" s="24">
        <v>0.0</v>
      </c>
    </row>
    <row r="3291">
      <c r="A3291" s="24">
        <v>106.0</v>
      </c>
      <c r="B3291" s="24">
        <v>0.0</v>
      </c>
      <c r="C3291" s="44">
        <v>12.65</v>
      </c>
      <c r="D3291" s="46">
        <v>45072.0</v>
      </c>
      <c r="E3291" s="24" t="s">
        <v>6650</v>
      </c>
      <c r="F3291" s="24">
        <v>119.34</v>
      </c>
      <c r="G3291" s="24">
        <v>0.0</v>
      </c>
      <c r="H3291" s="24" t="s">
        <v>6680</v>
      </c>
      <c r="I3291" s="24" t="s">
        <v>6650</v>
      </c>
      <c r="J3291" s="24">
        <v>0.0</v>
      </c>
    </row>
    <row r="3292">
      <c r="A3292" s="24">
        <v>43.0</v>
      </c>
      <c r="B3292" s="24">
        <v>0.0</v>
      </c>
      <c r="C3292" s="44">
        <v>6.36</v>
      </c>
      <c r="D3292" s="46">
        <v>45073.0</v>
      </c>
      <c r="E3292" s="24" t="s">
        <v>6650</v>
      </c>
      <c r="F3292" s="24">
        <v>147.91</v>
      </c>
      <c r="G3292" s="24">
        <v>0.0</v>
      </c>
      <c r="H3292" s="24" t="s">
        <v>6696</v>
      </c>
      <c r="I3292" s="24">
        <v>6.36</v>
      </c>
      <c r="J3292" s="24">
        <v>0.0</v>
      </c>
    </row>
    <row r="3293">
      <c r="A3293" s="24">
        <v>109.0</v>
      </c>
      <c r="B3293" s="24">
        <v>1.0</v>
      </c>
      <c r="C3293" s="44">
        <v>6.8</v>
      </c>
      <c r="D3293" s="46">
        <v>45073.0</v>
      </c>
      <c r="E3293" s="24">
        <v>6.8</v>
      </c>
      <c r="F3293" s="24">
        <v>62.39</v>
      </c>
      <c r="G3293" s="24">
        <v>0.92</v>
      </c>
      <c r="H3293" s="24" t="s">
        <v>6692</v>
      </c>
      <c r="I3293" s="24">
        <v>6.8</v>
      </c>
      <c r="J3293" s="24">
        <v>0.0</v>
      </c>
    </row>
    <row r="3294">
      <c r="A3294" s="24">
        <v>159.0</v>
      </c>
      <c r="B3294" s="24">
        <v>1.0</v>
      </c>
      <c r="C3294" s="44">
        <v>8.71</v>
      </c>
      <c r="D3294" s="46">
        <v>45073.0</v>
      </c>
      <c r="E3294" s="24">
        <v>8.71</v>
      </c>
      <c r="F3294" s="24">
        <v>54.78</v>
      </c>
      <c r="G3294" s="24">
        <v>0.63</v>
      </c>
      <c r="H3294" s="24" t="s">
        <v>6680</v>
      </c>
      <c r="I3294" s="24">
        <v>8.71</v>
      </c>
      <c r="J3294" s="24">
        <v>0.0</v>
      </c>
    </row>
    <row r="3295">
      <c r="A3295" s="24">
        <v>22.0</v>
      </c>
      <c r="B3295" s="24">
        <v>0.0</v>
      </c>
      <c r="C3295" s="44">
        <v>8.0</v>
      </c>
      <c r="D3295" s="46">
        <v>45073.0</v>
      </c>
      <c r="E3295" s="24" t="s">
        <v>6650</v>
      </c>
      <c r="F3295" s="24">
        <v>363.64</v>
      </c>
      <c r="G3295" s="24">
        <v>0.0</v>
      </c>
      <c r="H3295" s="24" t="s">
        <v>6697</v>
      </c>
      <c r="I3295" s="24" t="s">
        <v>6650</v>
      </c>
      <c r="J3295" s="24">
        <v>0.0</v>
      </c>
    </row>
    <row r="3296">
      <c r="A3296" s="24">
        <v>29.0</v>
      </c>
      <c r="B3296" s="24">
        <v>0.0</v>
      </c>
      <c r="C3296" s="44">
        <v>5.66</v>
      </c>
      <c r="D3296" s="46">
        <v>45073.0</v>
      </c>
      <c r="E3296" s="24" t="s">
        <v>6650</v>
      </c>
      <c r="F3296" s="24">
        <v>195.17</v>
      </c>
      <c r="G3296" s="24">
        <v>0.0</v>
      </c>
      <c r="H3296" s="24" t="s">
        <v>6695</v>
      </c>
      <c r="I3296" s="24" t="s">
        <v>6650</v>
      </c>
      <c r="J3296" s="24">
        <v>0.0</v>
      </c>
    </row>
    <row r="3297">
      <c r="A3297" s="24">
        <v>219.0</v>
      </c>
      <c r="B3297" s="24">
        <v>3.0</v>
      </c>
      <c r="C3297" s="44">
        <v>6.88</v>
      </c>
      <c r="D3297" s="46">
        <v>45073.0</v>
      </c>
      <c r="E3297" s="24">
        <v>2.29</v>
      </c>
      <c r="F3297" s="24">
        <v>31.42</v>
      </c>
      <c r="G3297" s="24">
        <v>1.37</v>
      </c>
      <c r="H3297" s="24" t="s">
        <v>6700</v>
      </c>
      <c r="I3297" s="24">
        <v>6.88</v>
      </c>
      <c r="J3297" s="24">
        <v>0.0</v>
      </c>
    </row>
    <row r="3298">
      <c r="A3298" s="24">
        <v>31.0</v>
      </c>
      <c r="B3298" s="24">
        <v>0.0</v>
      </c>
      <c r="C3298" s="44">
        <v>6.54</v>
      </c>
      <c r="D3298" s="46">
        <v>45073.0</v>
      </c>
      <c r="E3298" s="24" t="s">
        <v>6650</v>
      </c>
      <c r="F3298" s="24">
        <v>210.97</v>
      </c>
      <c r="G3298" s="24">
        <v>0.0</v>
      </c>
      <c r="H3298" s="24" t="s">
        <v>6701</v>
      </c>
      <c r="I3298" s="24" t="s">
        <v>6650</v>
      </c>
      <c r="J3298" s="24">
        <v>0.0</v>
      </c>
    </row>
    <row r="3299">
      <c r="A3299" s="24">
        <v>1419.0</v>
      </c>
      <c r="B3299" s="24">
        <v>5.0</v>
      </c>
      <c r="C3299" s="44">
        <v>8.66</v>
      </c>
      <c r="D3299" s="46">
        <v>45073.0</v>
      </c>
      <c r="E3299" s="24">
        <v>1.73</v>
      </c>
      <c r="F3299" s="24">
        <v>6.1</v>
      </c>
      <c r="G3299" s="24">
        <v>0.35</v>
      </c>
      <c r="H3299" s="24" t="s">
        <v>6688</v>
      </c>
      <c r="I3299" s="24">
        <v>4.33</v>
      </c>
      <c r="J3299" s="24">
        <v>0.0</v>
      </c>
    </row>
    <row r="3300">
      <c r="A3300" s="24">
        <v>56.0</v>
      </c>
      <c r="B3300" s="24">
        <v>2.0</v>
      </c>
      <c r="C3300" s="44">
        <v>5.76</v>
      </c>
      <c r="D3300" s="46">
        <v>45073.0</v>
      </c>
      <c r="E3300" s="24">
        <v>2.88</v>
      </c>
      <c r="F3300" s="24">
        <v>102.86</v>
      </c>
      <c r="G3300" s="24">
        <v>3.57</v>
      </c>
      <c r="H3300" s="24" t="s">
        <v>6699</v>
      </c>
      <c r="I3300" s="24" t="s">
        <v>6650</v>
      </c>
      <c r="J3300" s="24">
        <v>0.0</v>
      </c>
    </row>
    <row r="3301">
      <c r="A3301" s="24">
        <v>331.0</v>
      </c>
      <c r="B3301" s="24">
        <v>3.0</v>
      </c>
      <c r="C3301" s="44">
        <v>5.97</v>
      </c>
      <c r="D3301" s="46">
        <v>45073.0</v>
      </c>
      <c r="E3301" s="24">
        <v>1.99</v>
      </c>
      <c r="F3301" s="24">
        <v>18.04</v>
      </c>
      <c r="G3301" s="24">
        <v>0.91</v>
      </c>
      <c r="H3301" s="24" t="s">
        <v>6689</v>
      </c>
      <c r="I3301" s="24" t="s">
        <v>6650</v>
      </c>
      <c r="J3301" s="24">
        <v>0.0</v>
      </c>
    </row>
    <row r="3302">
      <c r="A3302" s="24">
        <v>278.0</v>
      </c>
      <c r="B3302" s="24">
        <v>1.0</v>
      </c>
      <c r="C3302" s="44">
        <v>6.45</v>
      </c>
      <c r="D3302" s="46">
        <v>45073.0</v>
      </c>
      <c r="E3302" s="24">
        <v>6.45</v>
      </c>
      <c r="F3302" s="24">
        <v>23.2</v>
      </c>
      <c r="G3302" s="24">
        <v>0.36</v>
      </c>
      <c r="H3302" s="24" t="s">
        <v>6698</v>
      </c>
      <c r="I3302" s="24">
        <v>3.22</v>
      </c>
      <c r="J3302" s="24">
        <v>0.0</v>
      </c>
    </row>
    <row r="3303">
      <c r="A3303" s="24">
        <v>27.0</v>
      </c>
      <c r="B3303" s="24">
        <v>0.0</v>
      </c>
      <c r="C3303" s="44">
        <v>3.6</v>
      </c>
      <c r="D3303" s="46">
        <v>45074.0</v>
      </c>
      <c r="E3303" s="24" t="s">
        <v>6650</v>
      </c>
      <c r="F3303" s="24">
        <v>133.33</v>
      </c>
      <c r="G3303" s="24">
        <v>0.0</v>
      </c>
      <c r="H3303" s="24" t="s">
        <v>6701</v>
      </c>
      <c r="I3303" s="24" t="s">
        <v>6650</v>
      </c>
      <c r="J3303" s="24">
        <v>0.0</v>
      </c>
    </row>
    <row r="3304">
      <c r="A3304" s="24">
        <v>106.0</v>
      </c>
      <c r="B3304" s="24">
        <v>3.0</v>
      </c>
      <c r="C3304" s="44">
        <v>6.0</v>
      </c>
      <c r="D3304" s="46">
        <v>45074.0</v>
      </c>
      <c r="E3304" s="24">
        <v>2.0</v>
      </c>
      <c r="F3304" s="24">
        <v>56.6</v>
      </c>
      <c r="G3304" s="24">
        <v>2.83</v>
      </c>
      <c r="H3304" s="24" t="s">
        <v>6698</v>
      </c>
      <c r="I3304" s="24">
        <v>6.0</v>
      </c>
      <c r="J3304" s="24">
        <v>0.0</v>
      </c>
    </row>
    <row r="3305">
      <c r="A3305" s="24">
        <v>109.0</v>
      </c>
      <c r="B3305" s="24">
        <v>0.0</v>
      </c>
      <c r="C3305" s="44">
        <v>5.94</v>
      </c>
      <c r="D3305" s="46">
        <v>45074.0</v>
      </c>
      <c r="E3305" s="24" t="s">
        <v>6650</v>
      </c>
      <c r="F3305" s="24">
        <v>54.5</v>
      </c>
      <c r="G3305" s="24">
        <v>0.0</v>
      </c>
      <c r="H3305" s="24" t="s">
        <v>6680</v>
      </c>
      <c r="I3305" s="24" t="s">
        <v>6650</v>
      </c>
      <c r="J3305" s="24">
        <v>0.0</v>
      </c>
    </row>
    <row r="3306">
      <c r="A3306" s="24">
        <v>10.0</v>
      </c>
      <c r="B3306" s="24">
        <v>0.0</v>
      </c>
      <c r="C3306" s="44">
        <v>0.58</v>
      </c>
      <c r="D3306" s="46">
        <v>45074.0</v>
      </c>
      <c r="E3306" s="24" t="s">
        <v>6650</v>
      </c>
      <c r="F3306" s="24">
        <v>58.0</v>
      </c>
      <c r="G3306" s="24">
        <v>0.0</v>
      </c>
      <c r="H3306" s="24" t="s">
        <v>6697</v>
      </c>
      <c r="I3306" s="24" t="s">
        <v>6650</v>
      </c>
      <c r="J3306" s="24">
        <v>0.0</v>
      </c>
    </row>
    <row r="3307">
      <c r="A3307" s="24">
        <v>22.0</v>
      </c>
      <c r="B3307" s="24">
        <v>1.0</v>
      </c>
      <c r="C3307" s="44">
        <v>2.7</v>
      </c>
      <c r="D3307" s="46">
        <v>45074.0</v>
      </c>
      <c r="E3307" s="24">
        <v>2.7</v>
      </c>
      <c r="F3307" s="24">
        <v>122.73</v>
      </c>
      <c r="G3307" s="24">
        <v>4.55</v>
      </c>
      <c r="H3307" s="24" t="s">
        <v>6695</v>
      </c>
      <c r="I3307" s="24" t="s">
        <v>6650</v>
      </c>
      <c r="J3307" s="24">
        <v>0.0</v>
      </c>
    </row>
    <row r="3308">
      <c r="A3308" s="24">
        <v>78.0</v>
      </c>
      <c r="B3308" s="24">
        <v>0.0</v>
      </c>
      <c r="C3308" s="44">
        <v>3.9</v>
      </c>
      <c r="D3308" s="46">
        <v>45074.0</v>
      </c>
      <c r="E3308" s="24" t="s">
        <v>6650</v>
      </c>
      <c r="F3308" s="24">
        <v>50.0</v>
      </c>
      <c r="G3308" s="24">
        <v>0.0</v>
      </c>
      <c r="H3308" s="24" t="s">
        <v>6692</v>
      </c>
      <c r="I3308" s="24" t="s">
        <v>6650</v>
      </c>
      <c r="J3308" s="24">
        <v>0.0</v>
      </c>
    </row>
    <row r="3309">
      <c r="A3309" s="24">
        <v>429.0</v>
      </c>
      <c r="B3309" s="24">
        <v>6.0</v>
      </c>
      <c r="C3309" s="44">
        <v>5.14</v>
      </c>
      <c r="D3309" s="46">
        <v>45074.0</v>
      </c>
      <c r="E3309" s="24">
        <v>0.86</v>
      </c>
      <c r="F3309" s="24">
        <v>11.98</v>
      </c>
      <c r="G3309" s="24">
        <v>1.4</v>
      </c>
      <c r="H3309" s="24" t="s">
        <v>6689</v>
      </c>
      <c r="I3309" s="24">
        <v>5.14</v>
      </c>
      <c r="J3309" s="24">
        <v>0.0</v>
      </c>
    </row>
    <row r="3310">
      <c r="A3310" s="24">
        <v>1424.0</v>
      </c>
      <c r="B3310" s="24">
        <v>13.0</v>
      </c>
      <c r="C3310" s="44">
        <v>8.6</v>
      </c>
      <c r="D3310" s="46">
        <v>45074.0</v>
      </c>
      <c r="E3310" s="24">
        <v>0.66</v>
      </c>
      <c r="F3310" s="24">
        <v>6.04</v>
      </c>
      <c r="G3310" s="24">
        <v>0.91</v>
      </c>
      <c r="H3310" s="24" t="s">
        <v>6688</v>
      </c>
      <c r="I3310" s="24">
        <v>4.3</v>
      </c>
      <c r="J3310" s="24">
        <v>0.0</v>
      </c>
    </row>
    <row r="3311">
      <c r="A3311" s="24">
        <v>41.0</v>
      </c>
      <c r="B3311" s="24">
        <v>2.0</v>
      </c>
      <c r="C3311" s="44">
        <v>4.1</v>
      </c>
      <c r="D3311" s="46">
        <v>45074.0</v>
      </c>
      <c r="E3311" s="24">
        <v>2.05</v>
      </c>
      <c r="F3311" s="24">
        <v>100.0</v>
      </c>
      <c r="G3311" s="24">
        <v>4.88</v>
      </c>
      <c r="H3311" s="24" t="s">
        <v>6699</v>
      </c>
      <c r="I3311" s="24" t="s">
        <v>6650</v>
      </c>
      <c r="J3311" s="24">
        <v>0.0</v>
      </c>
    </row>
    <row r="3312">
      <c r="A3312" s="24">
        <v>44.0</v>
      </c>
      <c r="B3312" s="24">
        <v>0.0</v>
      </c>
      <c r="C3312" s="44">
        <v>4.46</v>
      </c>
      <c r="D3312" s="46">
        <v>45074.0</v>
      </c>
      <c r="E3312" s="24" t="s">
        <v>6650</v>
      </c>
      <c r="F3312" s="24">
        <v>101.36</v>
      </c>
      <c r="G3312" s="24">
        <v>0.0</v>
      </c>
      <c r="H3312" s="24" t="s">
        <v>6696</v>
      </c>
      <c r="I3312" s="24" t="s">
        <v>6650</v>
      </c>
      <c r="J3312" s="24">
        <v>0.0</v>
      </c>
    </row>
    <row r="3313">
      <c r="A3313" s="24">
        <v>228.0</v>
      </c>
      <c r="B3313" s="24">
        <v>1.0</v>
      </c>
      <c r="C3313" s="44">
        <v>6.56</v>
      </c>
      <c r="D3313" s="46">
        <v>45074.0</v>
      </c>
      <c r="E3313" s="24">
        <v>6.56</v>
      </c>
      <c r="F3313" s="24">
        <v>28.77</v>
      </c>
      <c r="G3313" s="24">
        <v>0.44</v>
      </c>
      <c r="H3313" s="24" t="s">
        <v>6700</v>
      </c>
      <c r="I3313" s="24">
        <v>6.56</v>
      </c>
      <c r="J3313" s="24">
        <v>0.0</v>
      </c>
    </row>
    <row r="3314">
      <c r="A3314" s="24">
        <v>343.0</v>
      </c>
      <c r="B3314" s="24">
        <v>3.0</v>
      </c>
      <c r="C3314" s="44">
        <v>12.06</v>
      </c>
      <c r="D3314" s="46">
        <v>45075.0</v>
      </c>
      <c r="E3314" s="24">
        <v>4.02</v>
      </c>
      <c r="F3314" s="24">
        <v>35.16</v>
      </c>
      <c r="G3314" s="24">
        <v>0.87</v>
      </c>
      <c r="H3314" s="24" t="s">
        <v>6692</v>
      </c>
      <c r="I3314" s="24" t="s">
        <v>6650</v>
      </c>
      <c r="J3314" s="24">
        <v>0.0</v>
      </c>
    </row>
    <row r="3315">
      <c r="A3315" s="24">
        <v>43.0</v>
      </c>
      <c r="B3315" s="24">
        <v>0.0</v>
      </c>
      <c r="C3315" s="44">
        <v>12.05</v>
      </c>
      <c r="D3315" s="46">
        <v>45075.0</v>
      </c>
      <c r="E3315" s="24" t="s">
        <v>6650</v>
      </c>
      <c r="F3315" s="24">
        <v>280.23</v>
      </c>
      <c r="G3315" s="24">
        <v>0.0</v>
      </c>
      <c r="H3315" s="24" t="s">
        <v>6697</v>
      </c>
      <c r="I3315" s="24" t="s">
        <v>6650</v>
      </c>
      <c r="J3315" s="24">
        <v>0.0</v>
      </c>
    </row>
    <row r="3316">
      <c r="A3316" s="24">
        <v>495.0</v>
      </c>
      <c r="B3316" s="24">
        <v>9.0</v>
      </c>
      <c r="C3316" s="44">
        <v>11.99</v>
      </c>
      <c r="D3316" s="46">
        <v>45075.0</v>
      </c>
      <c r="E3316" s="24">
        <v>1.33</v>
      </c>
      <c r="F3316" s="24">
        <v>24.22</v>
      </c>
      <c r="G3316" s="24">
        <v>1.82</v>
      </c>
      <c r="H3316" s="24" t="s">
        <v>6698</v>
      </c>
      <c r="I3316" s="24">
        <v>3.0</v>
      </c>
      <c r="J3316" s="24">
        <v>0.0</v>
      </c>
    </row>
    <row r="3317">
      <c r="A3317" s="24">
        <v>387.0</v>
      </c>
      <c r="B3317" s="24">
        <v>1.0</v>
      </c>
      <c r="C3317" s="44">
        <v>12.99</v>
      </c>
      <c r="D3317" s="46">
        <v>45075.0</v>
      </c>
      <c r="E3317" s="24">
        <v>12.99</v>
      </c>
      <c r="F3317" s="24">
        <v>33.57</v>
      </c>
      <c r="G3317" s="24">
        <v>0.26</v>
      </c>
      <c r="H3317" s="24" t="s">
        <v>6680</v>
      </c>
      <c r="I3317" s="24" t="s">
        <v>6650</v>
      </c>
      <c r="J3317" s="24">
        <v>0.0</v>
      </c>
    </row>
    <row r="3318">
      <c r="A3318" s="24">
        <v>119.0</v>
      </c>
      <c r="B3318" s="24">
        <v>1.0</v>
      </c>
      <c r="C3318" s="44">
        <v>11.48</v>
      </c>
      <c r="D3318" s="46">
        <v>45075.0</v>
      </c>
      <c r="E3318" s="24">
        <v>11.48</v>
      </c>
      <c r="F3318" s="24">
        <v>96.47</v>
      </c>
      <c r="G3318" s="24">
        <v>0.84</v>
      </c>
      <c r="H3318" s="24" t="s">
        <v>6696</v>
      </c>
      <c r="I3318" s="24">
        <v>11.48</v>
      </c>
      <c r="J3318" s="24">
        <v>0.0</v>
      </c>
    </row>
    <row r="3319">
      <c r="A3319" s="24">
        <v>80.0</v>
      </c>
      <c r="B3319" s="24">
        <v>0.0</v>
      </c>
      <c r="C3319" s="44">
        <v>11.59</v>
      </c>
      <c r="D3319" s="46">
        <v>45075.0</v>
      </c>
      <c r="E3319" s="24" t="s">
        <v>6650</v>
      </c>
      <c r="F3319" s="24">
        <v>144.88</v>
      </c>
      <c r="G3319" s="24">
        <v>0.0</v>
      </c>
      <c r="H3319" s="24" t="s">
        <v>6699</v>
      </c>
      <c r="I3319" s="24" t="s">
        <v>6650</v>
      </c>
      <c r="J3319" s="24">
        <v>0.0</v>
      </c>
    </row>
    <row r="3320">
      <c r="A3320" s="24">
        <v>892.0</v>
      </c>
      <c r="B3320" s="24">
        <v>12.0</v>
      </c>
      <c r="C3320" s="44">
        <v>11.5</v>
      </c>
      <c r="D3320" s="46">
        <v>45075.0</v>
      </c>
      <c r="E3320" s="24">
        <v>0.96</v>
      </c>
      <c r="F3320" s="24">
        <v>12.89</v>
      </c>
      <c r="G3320" s="24">
        <v>1.35</v>
      </c>
      <c r="H3320" s="24" t="s">
        <v>6689</v>
      </c>
      <c r="I3320" s="24">
        <v>5.75</v>
      </c>
      <c r="J3320" s="24">
        <v>0.0</v>
      </c>
    </row>
    <row r="3321">
      <c r="A3321" s="24">
        <v>1492.0</v>
      </c>
      <c r="B3321" s="24">
        <v>6.0</v>
      </c>
      <c r="C3321" s="44">
        <v>9.59</v>
      </c>
      <c r="D3321" s="46">
        <v>45075.0</v>
      </c>
      <c r="E3321" s="24">
        <v>1.6</v>
      </c>
      <c r="F3321" s="24">
        <v>6.43</v>
      </c>
      <c r="G3321" s="24">
        <v>0.4</v>
      </c>
      <c r="H3321" s="24" t="s">
        <v>6688</v>
      </c>
      <c r="I3321" s="24">
        <v>9.59</v>
      </c>
      <c r="J3321" s="24">
        <v>0.0</v>
      </c>
    </row>
    <row r="3322">
      <c r="A3322" s="24">
        <v>109.0</v>
      </c>
      <c r="B3322" s="24">
        <v>0.0</v>
      </c>
      <c r="C3322" s="44">
        <v>13.9</v>
      </c>
      <c r="D3322" s="46">
        <v>45075.0</v>
      </c>
      <c r="E3322" s="24" t="s">
        <v>6650</v>
      </c>
      <c r="F3322" s="24">
        <v>127.52</v>
      </c>
      <c r="G3322" s="24">
        <v>0.0</v>
      </c>
      <c r="H3322" s="24" t="s">
        <v>6701</v>
      </c>
      <c r="I3322" s="24" t="s">
        <v>6650</v>
      </c>
      <c r="J3322" s="24">
        <v>0.0</v>
      </c>
    </row>
    <row r="3323">
      <c r="A3323" s="24">
        <v>305.0</v>
      </c>
      <c r="B3323" s="24">
        <v>2.0</v>
      </c>
      <c r="C3323" s="44">
        <v>11.37</v>
      </c>
      <c r="D3323" s="46">
        <v>45075.0</v>
      </c>
      <c r="E3323" s="24">
        <v>5.68</v>
      </c>
      <c r="F3323" s="24">
        <v>37.28</v>
      </c>
      <c r="G3323" s="24">
        <v>0.66</v>
      </c>
      <c r="H3323" s="24" t="s">
        <v>6700</v>
      </c>
      <c r="I3323" s="24">
        <v>5.68</v>
      </c>
      <c r="J3323" s="24">
        <v>0.0</v>
      </c>
    </row>
    <row r="3324">
      <c r="A3324" s="24">
        <v>63.0</v>
      </c>
      <c r="B3324" s="24">
        <v>1.0</v>
      </c>
      <c r="C3324" s="44">
        <v>11.74</v>
      </c>
      <c r="D3324" s="46">
        <v>45075.0</v>
      </c>
      <c r="E3324" s="24">
        <v>11.74</v>
      </c>
      <c r="F3324" s="24">
        <v>186.35</v>
      </c>
      <c r="G3324" s="24">
        <v>1.59</v>
      </c>
      <c r="H3324" s="24" t="s">
        <v>6695</v>
      </c>
      <c r="I3324" s="24" t="s">
        <v>6650</v>
      </c>
      <c r="J3324" s="24">
        <v>0.0</v>
      </c>
    </row>
    <row r="3325">
      <c r="A3325" s="24">
        <v>151.0</v>
      </c>
      <c r="B3325" s="24">
        <v>2.0</v>
      </c>
      <c r="C3325" s="44">
        <v>12.55</v>
      </c>
      <c r="D3325" s="46">
        <v>45076.0</v>
      </c>
      <c r="E3325" s="24">
        <v>6.28</v>
      </c>
      <c r="F3325" s="24">
        <v>83.11</v>
      </c>
      <c r="G3325" s="24">
        <v>1.32</v>
      </c>
      <c r="H3325" s="24" t="s">
        <v>6699</v>
      </c>
      <c r="I3325" s="24">
        <v>12.55</v>
      </c>
      <c r="J3325" s="24">
        <v>0.0</v>
      </c>
    </row>
    <row r="3326">
      <c r="A3326" s="24">
        <v>1614.0</v>
      </c>
      <c r="B3326" s="24">
        <v>16.0</v>
      </c>
      <c r="C3326" s="44">
        <v>11.1</v>
      </c>
      <c r="D3326" s="46">
        <v>45076.0</v>
      </c>
      <c r="E3326" s="24">
        <v>0.69</v>
      </c>
      <c r="F3326" s="24">
        <v>6.88</v>
      </c>
      <c r="G3326" s="24">
        <v>0.99</v>
      </c>
      <c r="H3326" s="24" t="s">
        <v>6688</v>
      </c>
      <c r="I3326" s="24">
        <v>1.59</v>
      </c>
      <c r="J3326" s="24">
        <v>0.0</v>
      </c>
    </row>
    <row r="3327">
      <c r="A3327" s="24">
        <v>1147.0</v>
      </c>
      <c r="B3327" s="24">
        <v>6.0</v>
      </c>
      <c r="C3327" s="44">
        <v>11.91</v>
      </c>
      <c r="D3327" s="46">
        <v>45076.0</v>
      </c>
      <c r="E3327" s="24">
        <v>1.98</v>
      </c>
      <c r="F3327" s="24">
        <v>10.38</v>
      </c>
      <c r="G3327" s="24">
        <v>0.52</v>
      </c>
      <c r="H3327" s="24" t="s">
        <v>6689</v>
      </c>
      <c r="I3327" s="24">
        <v>5.96</v>
      </c>
      <c r="J3327" s="24">
        <v>0.0</v>
      </c>
    </row>
    <row r="3328">
      <c r="A3328" s="24">
        <v>402.0</v>
      </c>
      <c r="B3328" s="24">
        <v>2.0</v>
      </c>
      <c r="C3328" s="44">
        <v>11.73</v>
      </c>
      <c r="D3328" s="46">
        <v>45076.0</v>
      </c>
      <c r="E3328" s="24">
        <v>5.86</v>
      </c>
      <c r="F3328" s="24">
        <v>29.18</v>
      </c>
      <c r="G3328" s="24">
        <v>0.5</v>
      </c>
      <c r="H3328" s="24" t="s">
        <v>6700</v>
      </c>
      <c r="I3328" s="24">
        <v>1.68</v>
      </c>
      <c r="J3328" s="24">
        <v>0.0</v>
      </c>
    </row>
    <row r="3329">
      <c r="A3329" s="24">
        <v>126.0</v>
      </c>
      <c r="B3329" s="24">
        <v>3.0</v>
      </c>
      <c r="C3329" s="44">
        <v>13.04</v>
      </c>
      <c r="D3329" s="46">
        <v>45076.0</v>
      </c>
      <c r="E3329" s="24">
        <v>4.35</v>
      </c>
      <c r="F3329" s="24">
        <v>103.49</v>
      </c>
      <c r="G3329" s="24">
        <v>2.38</v>
      </c>
      <c r="H3329" s="24" t="s">
        <v>6696</v>
      </c>
      <c r="I3329" s="24">
        <v>4.35</v>
      </c>
      <c r="J3329" s="24">
        <v>0.0</v>
      </c>
    </row>
    <row r="3330">
      <c r="A3330" s="24">
        <v>487.0</v>
      </c>
      <c r="B3330" s="24">
        <v>2.0</v>
      </c>
      <c r="C3330" s="44">
        <v>12.06</v>
      </c>
      <c r="D3330" s="46">
        <v>45076.0</v>
      </c>
      <c r="E3330" s="24">
        <v>6.03</v>
      </c>
      <c r="F3330" s="24">
        <v>24.76</v>
      </c>
      <c r="G3330" s="24">
        <v>0.41</v>
      </c>
      <c r="H3330" s="24" t="s">
        <v>6692</v>
      </c>
      <c r="I3330" s="24">
        <v>12.06</v>
      </c>
      <c r="J3330" s="24">
        <v>0.0</v>
      </c>
    </row>
    <row r="3331">
      <c r="A3331" s="24">
        <v>55.0</v>
      </c>
      <c r="B3331" s="24">
        <v>0.0</v>
      </c>
      <c r="C3331" s="44">
        <v>12.35</v>
      </c>
      <c r="D3331" s="46">
        <v>45076.0</v>
      </c>
      <c r="E3331" s="24" t="s">
        <v>6650</v>
      </c>
      <c r="F3331" s="24">
        <v>224.55</v>
      </c>
      <c r="G3331" s="24">
        <v>0.0</v>
      </c>
      <c r="H3331" s="24" t="s">
        <v>6695</v>
      </c>
      <c r="I3331" s="24" t="s">
        <v>6650</v>
      </c>
      <c r="J3331" s="24">
        <v>0.0</v>
      </c>
    </row>
    <row r="3332">
      <c r="A3332" s="24">
        <v>609.0</v>
      </c>
      <c r="B3332" s="24">
        <v>14.0</v>
      </c>
      <c r="C3332" s="44">
        <v>11.39</v>
      </c>
      <c r="D3332" s="46">
        <v>45076.0</v>
      </c>
      <c r="E3332" s="24">
        <v>0.81</v>
      </c>
      <c r="F3332" s="24">
        <v>18.7</v>
      </c>
      <c r="G3332" s="24">
        <v>2.3</v>
      </c>
      <c r="H3332" s="24" t="s">
        <v>6698</v>
      </c>
      <c r="I3332" s="24">
        <v>1.14</v>
      </c>
      <c r="J3332" s="24">
        <v>0.0</v>
      </c>
    </row>
    <row r="3333">
      <c r="A3333" s="24">
        <v>67.0</v>
      </c>
      <c r="B3333" s="24">
        <v>1.0</v>
      </c>
      <c r="C3333" s="44">
        <v>13.78</v>
      </c>
      <c r="D3333" s="46">
        <v>45076.0</v>
      </c>
      <c r="E3333" s="24">
        <v>13.78</v>
      </c>
      <c r="F3333" s="24">
        <v>205.67</v>
      </c>
      <c r="G3333" s="24">
        <v>1.49</v>
      </c>
      <c r="H3333" s="24" t="s">
        <v>6701</v>
      </c>
      <c r="I3333" s="24">
        <v>13.78</v>
      </c>
      <c r="J3333" s="24">
        <v>0.0</v>
      </c>
    </row>
    <row r="3334">
      <c r="A3334" s="24">
        <v>338.0</v>
      </c>
      <c r="B3334" s="24">
        <v>2.0</v>
      </c>
      <c r="C3334" s="44">
        <v>12.75</v>
      </c>
      <c r="D3334" s="46">
        <v>45076.0</v>
      </c>
      <c r="E3334" s="24">
        <v>6.38</v>
      </c>
      <c r="F3334" s="24">
        <v>37.72</v>
      </c>
      <c r="G3334" s="24">
        <v>0.59</v>
      </c>
      <c r="H3334" s="24" t="s">
        <v>6680</v>
      </c>
      <c r="I3334" s="24">
        <v>12.75</v>
      </c>
      <c r="J3334" s="24">
        <v>0.0</v>
      </c>
    </row>
    <row r="3335">
      <c r="A3335" s="24">
        <v>51.0</v>
      </c>
      <c r="B3335" s="24">
        <v>2.0</v>
      </c>
      <c r="C3335" s="44">
        <v>13.0</v>
      </c>
      <c r="D3335" s="46">
        <v>45076.0</v>
      </c>
      <c r="E3335" s="24">
        <v>6.5</v>
      </c>
      <c r="F3335" s="24">
        <v>254.9</v>
      </c>
      <c r="G3335" s="24">
        <v>3.92</v>
      </c>
      <c r="H3335" s="24" t="s">
        <v>6697</v>
      </c>
      <c r="I3335" s="24">
        <v>13.0</v>
      </c>
      <c r="J3335" s="24">
        <v>0.0</v>
      </c>
    </row>
    <row r="3336">
      <c r="A3336" s="24">
        <v>53.0</v>
      </c>
      <c r="B3336" s="24">
        <v>0.0</v>
      </c>
      <c r="C3336" s="44">
        <v>12.35</v>
      </c>
      <c r="D3336" s="46">
        <v>45077.0</v>
      </c>
      <c r="E3336" s="24" t="s">
        <v>6650</v>
      </c>
      <c r="F3336" s="24">
        <v>233.02</v>
      </c>
      <c r="G3336" s="24">
        <v>0.0</v>
      </c>
      <c r="H3336" s="24" t="s">
        <v>6697</v>
      </c>
      <c r="I3336" s="24" t="s">
        <v>6650</v>
      </c>
      <c r="J3336" s="24">
        <v>0.0</v>
      </c>
    </row>
    <row r="3337">
      <c r="A3337" s="24">
        <v>150.0</v>
      </c>
      <c r="B3337" s="24">
        <v>5.0</v>
      </c>
      <c r="C3337" s="44">
        <v>12.51</v>
      </c>
      <c r="D3337" s="46">
        <v>45077.0</v>
      </c>
      <c r="E3337" s="24">
        <v>2.5</v>
      </c>
      <c r="F3337" s="24">
        <v>83.4</v>
      </c>
      <c r="G3337" s="24">
        <v>3.33</v>
      </c>
      <c r="H3337" s="24" t="s">
        <v>6699</v>
      </c>
      <c r="I3337" s="24">
        <v>3.13</v>
      </c>
      <c r="J3337" s="24">
        <v>0.0</v>
      </c>
    </row>
    <row r="3338">
      <c r="A3338" s="24">
        <v>511.0</v>
      </c>
      <c r="B3338" s="24">
        <v>2.0</v>
      </c>
      <c r="C3338" s="44">
        <v>11.76</v>
      </c>
      <c r="D3338" s="46">
        <v>45077.0</v>
      </c>
      <c r="E3338" s="24">
        <v>5.88</v>
      </c>
      <c r="F3338" s="24">
        <v>23.01</v>
      </c>
      <c r="G3338" s="24">
        <v>0.39</v>
      </c>
      <c r="H3338" s="24" t="s">
        <v>6692</v>
      </c>
      <c r="I3338" s="24">
        <v>11.76</v>
      </c>
      <c r="J3338" s="24">
        <v>0.0</v>
      </c>
    </row>
    <row r="3339">
      <c r="A3339" s="24">
        <v>624.0</v>
      </c>
      <c r="B3339" s="24">
        <v>11.0</v>
      </c>
      <c r="C3339" s="44">
        <v>11.49</v>
      </c>
      <c r="D3339" s="46">
        <v>45077.0</v>
      </c>
      <c r="E3339" s="24">
        <v>1.04</v>
      </c>
      <c r="F3339" s="24">
        <v>18.41</v>
      </c>
      <c r="G3339" s="24">
        <v>1.76</v>
      </c>
      <c r="H3339" s="24" t="s">
        <v>6698</v>
      </c>
      <c r="I3339" s="24">
        <v>11.49</v>
      </c>
      <c r="J3339" s="24">
        <v>0.0</v>
      </c>
    </row>
    <row r="3340">
      <c r="A3340" s="24">
        <v>857.0</v>
      </c>
      <c r="B3340" s="24">
        <v>7.0</v>
      </c>
      <c r="C3340" s="44">
        <v>11.95</v>
      </c>
      <c r="D3340" s="46">
        <v>45077.0</v>
      </c>
      <c r="E3340" s="24">
        <v>1.71</v>
      </c>
      <c r="F3340" s="24">
        <v>13.94</v>
      </c>
      <c r="G3340" s="24">
        <v>0.82</v>
      </c>
      <c r="H3340" s="24" t="s">
        <v>6689</v>
      </c>
      <c r="I3340" s="24" t="s">
        <v>6650</v>
      </c>
      <c r="J3340" s="24">
        <v>0.0</v>
      </c>
    </row>
    <row r="3341">
      <c r="A3341" s="24">
        <v>64.0</v>
      </c>
      <c r="B3341" s="24">
        <v>1.0</v>
      </c>
      <c r="C3341" s="44">
        <v>12.81</v>
      </c>
      <c r="D3341" s="46">
        <v>45077.0</v>
      </c>
      <c r="E3341" s="24">
        <v>12.81</v>
      </c>
      <c r="F3341" s="24">
        <v>200.16</v>
      </c>
      <c r="G3341" s="24">
        <v>1.56</v>
      </c>
      <c r="H3341" s="24" t="s">
        <v>6695</v>
      </c>
      <c r="I3341" s="24" t="s">
        <v>6650</v>
      </c>
      <c r="J3341" s="24">
        <v>0.0</v>
      </c>
    </row>
    <row r="3342">
      <c r="A3342" s="24">
        <v>500.0</v>
      </c>
      <c r="B3342" s="24">
        <v>0.0</v>
      </c>
      <c r="C3342" s="44">
        <v>11.53</v>
      </c>
      <c r="D3342" s="46">
        <v>45077.0</v>
      </c>
      <c r="E3342" s="24" t="s">
        <v>6650</v>
      </c>
      <c r="F3342" s="24">
        <v>23.06</v>
      </c>
      <c r="G3342" s="24">
        <v>0.0</v>
      </c>
      <c r="H3342" s="24" t="s">
        <v>6700</v>
      </c>
      <c r="I3342" s="24">
        <v>11.53</v>
      </c>
      <c r="J3342" s="24">
        <v>0.0</v>
      </c>
    </row>
    <row r="3343">
      <c r="A3343" s="24">
        <v>148.0</v>
      </c>
      <c r="B3343" s="24">
        <v>4.0</v>
      </c>
      <c r="C3343" s="44">
        <v>12.24</v>
      </c>
      <c r="D3343" s="46">
        <v>45077.0</v>
      </c>
      <c r="E3343" s="24">
        <v>3.06</v>
      </c>
      <c r="F3343" s="24">
        <v>82.7</v>
      </c>
      <c r="G3343" s="24">
        <v>2.7</v>
      </c>
      <c r="H3343" s="24" t="s">
        <v>6696</v>
      </c>
      <c r="I3343" s="24">
        <v>6.12</v>
      </c>
      <c r="J3343" s="24">
        <v>0.0</v>
      </c>
    </row>
    <row r="3344">
      <c r="A3344" s="24">
        <v>79.0</v>
      </c>
      <c r="B3344" s="24">
        <v>2.0</v>
      </c>
      <c r="C3344" s="44">
        <v>11.92</v>
      </c>
      <c r="D3344" s="46">
        <v>45077.0</v>
      </c>
      <c r="E3344" s="24">
        <v>5.96</v>
      </c>
      <c r="F3344" s="24">
        <v>150.89</v>
      </c>
      <c r="G3344" s="24">
        <v>2.53</v>
      </c>
      <c r="H3344" s="24" t="s">
        <v>6701</v>
      </c>
      <c r="I3344" s="24">
        <v>3.97</v>
      </c>
      <c r="J3344" s="24">
        <v>0.0</v>
      </c>
    </row>
    <row r="3345">
      <c r="A3345" s="24">
        <v>290.0</v>
      </c>
      <c r="B3345" s="24">
        <v>0.0</v>
      </c>
      <c r="C3345" s="44">
        <v>13.21</v>
      </c>
      <c r="D3345" s="46">
        <v>45077.0</v>
      </c>
      <c r="E3345" s="24" t="s">
        <v>6650</v>
      </c>
      <c r="F3345" s="24">
        <v>45.55</v>
      </c>
      <c r="G3345" s="24">
        <v>0.0</v>
      </c>
      <c r="H3345" s="24" t="s">
        <v>6680</v>
      </c>
      <c r="I3345" s="24">
        <v>13.21</v>
      </c>
      <c r="J3345" s="24">
        <v>0.0</v>
      </c>
    </row>
    <row r="3346">
      <c r="A3346" s="24">
        <v>2108.0</v>
      </c>
      <c r="B3346" s="24">
        <v>14.0</v>
      </c>
      <c r="C3346" s="44">
        <v>11.43</v>
      </c>
      <c r="D3346" s="46">
        <v>45077.0</v>
      </c>
      <c r="E3346" s="24">
        <v>0.82</v>
      </c>
      <c r="F3346" s="24">
        <v>5.42</v>
      </c>
      <c r="G3346" s="24">
        <v>0.66</v>
      </c>
      <c r="H3346" s="24" t="s">
        <v>6688</v>
      </c>
      <c r="I3346" s="24">
        <v>1.63</v>
      </c>
      <c r="J3346" s="24">
        <v>0.0</v>
      </c>
    </row>
    <row r="3347">
      <c r="A3347" s="24">
        <v>162.0</v>
      </c>
      <c r="B3347" s="24">
        <v>0.0</v>
      </c>
      <c r="C3347" s="44">
        <v>11.52</v>
      </c>
      <c r="D3347" s="46">
        <v>45078.0</v>
      </c>
      <c r="E3347" s="24" t="s">
        <v>6650</v>
      </c>
      <c r="F3347" s="24">
        <v>71.11</v>
      </c>
      <c r="G3347" s="24">
        <v>0.0</v>
      </c>
      <c r="H3347" s="24" t="s">
        <v>6696</v>
      </c>
      <c r="I3347" s="24" t="s">
        <v>6650</v>
      </c>
      <c r="J3347" s="24">
        <v>0.0</v>
      </c>
    </row>
    <row r="3348">
      <c r="A3348" s="24">
        <v>399.0</v>
      </c>
      <c r="B3348" s="24">
        <v>0.0</v>
      </c>
      <c r="C3348" s="44">
        <v>12.54</v>
      </c>
      <c r="D3348" s="46">
        <v>45078.0</v>
      </c>
      <c r="E3348" s="24" t="s">
        <v>6650</v>
      </c>
      <c r="F3348" s="24">
        <v>31.43</v>
      </c>
      <c r="G3348" s="24">
        <v>0.0</v>
      </c>
      <c r="H3348" s="24" t="s">
        <v>6680</v>
      </c>
      <c r="I3348" s="24" t="s">
        <v>6650</v>
      </c>
      <c r="J3348" s="24">
        <v>0.0</v>
      </c>
    </row>
    <row r="3349">
      <c r="A3349" s="24">
        <v>92.0</v>
      </c>
      <c r="B3349" s="24">
        <v>0.0</v>
      </c>
      <c r="C3349" s="44">
        <v>11.85</v>
      </c>
      <c r="D3349" s="46">
        <v>45078.0</v>
      </c>
      <c r="E3349" s="24" t="s">
        <v>6650</v>
      </c>
      <c r="F3349" s="24">
        <v>128.8</v>
      </c>
      <c r="G3349" s="24">
        <v>0.0</v>
      </c>
      <c r="H3349" s="24" t="s">
        <v>6695</v>
      </c>
      <c r="I3349" s="24" t="s">
        <v>6650</v>
      </c>
      <c r="J3349" s="24">
        <v>0.0</v>
      </c>
    </row>
    <row r="3350">
      <c r="A3350" s="24">
        <v>563.0</v>
      </c>
      <c r="B3350" s="24">
        <v>2.0</v>
      </c>
      <c r="C3350" s="44">
        <v>11.76</v>
      </c>
      <c r="D3350" s="46">
        <v>45078.0</v>
      </c>
      <c r="E3350" s="24">
        <v>5.88</v>
      </c>
      <c r="F3350" s="24">
        <v>20.89</v>
      </c>
      <c r="G3350" s="24">
        <v>0.36</v>
      </c>
      <c r="H3350" s="24" t="s">
        <v>6700</v>
      </c>
      <c r="I3350" s="24">
        <v>11.76</v>
      </c>
      <c r="J3350" s="24">
        <v>0.0</v>
      </c>
    </row>
    <row r="3351">
      <c r="A3351" s="24">
        <v>1233.0</v>
      </c>
      <c r="B3351" s="24">
        <v>15.0</v>
      </c>
      <c r="C3351" s="44">
        <v>12.18</v>
      </c>
      <c r="D3351" s="46">
        <v>45078.0</v>
      </c>
      <c r="E3351" s="24">
        <v>0.81</v>
      </c>
      <c r="F3351" s="24">
        <v>9.88</v>
      </c>
      <c r="G3351" s="24">
        <v>1.22</v>
      </c>
      <c r="H3351" s="24" t="s">
        <v>6689</v>
      </c>
      <c r="I3351" s="24">
        <v>12.18</v>
      </c>
      <c r="J3351" s="24">
        <v>0.0</v>
      </c>
    </row>
    <row r="3352">
      <c r="A3352" s="24">
        <v>50.0</v>
      </c>
      <c r="B3352" s="24">
        <v>0.0</v>
      </c>
      <c r="C3352" s="44">
        <v>12.42</v>
      </c>
      <c r="D3352" s="46">
        <v>45078.0</v>
      </c>
      <c r="E3352" s="24" t="s">
        <v>6650</v>
      </c>
      <c r="F3352" s="24">
        <v>248.4</v>
      </c>
      <c r="G3352" s="24">
        <v>0.0</v>
      </c>
      <c r="H3352" s="24" t="s">
        <v>6697</v>
      </c>
      <c r="I3352" s="24" t="s">
        <v>6650</v>
      </c>
      <c r="J3352" s="24">
        <v>0.0</v>
      </c>
    </row>
    <row r="3353">
      <c r="A3353" s="24">
        <v>1458.0</v>
      </c>
      <c r="B3353" s="24">
        <v>11.0</v>
      </c>
      <c r="C3353" s="44">
        <v>12.09</v>
      </c>
      <c r="D3353" s="46">
        <v>45078.0</v>
      </c>
      <c r="E3353" s="24">
        <v>1.1</v>
      </c>
      <c r="F3353" s="24">
        <v>8.29</v>
      </c>
      <c r="G3353" s="24">
        <v>0.75</v>
      </c>
      <c r="H3353" s="24" t="s">
        <v>6688</v>
      </c>
      <c r="I3353" s="24">
        <v>3.02</v>
      </c>
      <c r="J3353" s="24">
        <v>0.0</v>
      </c>
    </row>
    <row r="3354">
      <c r="A3354" s="24">
        <v>590.0</v>
      </c>
      <c r="B3354" s="24">
        <v>6.0</v>
      </c>
      <c r="C3354" s="44">
        <v>11.81</v>
      </c>
      <c r="D3354" s="46">
        <v>45078.0</v>
      </c>
      <c r="E3354" s="24">
        <v>1.97</v>
      </c>
      <c r="F3354" s="24">
        <v>20.02</v>
      </c>
      <c r="G3354" s="24">
        <v>1.02</v>
      </c>
      <c r="H3354" s="24" t="s">
        <v>6698</v>
      </c>
      <c r="I3354" s="24" t="s">
        <v>6650</v>
      </c>
      <c r="J3354" s="24">
        <v>0.0</v>
      </c>
    </row>
    <row r="3355">
      <c r="A3355" s="24">
        <v>505.0</v>
      </c>
      <c r="B3355" s="24">
        <v>5.0</v>
      </c>
      <c r="C3355" s="44">
        <v>11.79</v>
      </c>
      <c r="D3355" s="46">
        <v>45078.0</v>
      </c>
      <c r="E3355" s="24">
        <v>2.36</v>
      </c>
      <c r="F3355" s="24">
        <v>23.35</v>
      </c>
      <c r="G3355" s="24">
        <v>0.99</v>
      </c>
      <c r="H3355" s="24" t="s">
        <v>6692</v>
      </c>
      <c r="I3355" s="24" t="s">
        <v>6650</v>
      </c>
      <c r="J3355" s="24">
        <v>0.0</v>
      </c>
    </row>
    <row r="3356">
      <c r="A3356" s="24">
        <v>204.0</v>
      </c>
      <c r="B3356" s="24">
        <v>3.0</v>
      </c>
      <c r="C3356" s="44">
        <v>12.4</v>
      </c>
      <c r="D3356" s="46">
        <v>45078.0</v>
      </c>
      <c r="E3356" s="24">
        <v>4.13</v>
      </c>
      <c r="F3356" s="24">
        <v>60.78</v>
      </c>
      <c r="G3356" s="24">
        <v>1.47</v>
      </c>
      <c r="H3356" s="24" t="s">
        <v>6699</v>
      </c>
      <c r="I3356" s="24">
        <v>12.4</v>
      </c>
      <c r="J3356" s="24">
        <v>0.0</v>
      </c>
    </row>
    <row r="3357">
      <c r="A3357" s="24">
        <v>79.0</v>
      </c>
      <c r="B3357" s="24">
        <v>0.0</v>
      </c>
      <c r="C3357" s="44">
        <v>10.94</v>
      </c>
      <c r="D3357" s="46">
        <v>45078.0</v>
      </c>
      <c r="E3357" s="24" t="s">
        <v>6650</v>
      </c>
      <c r="F3357" s="24">
        <v>138.48</v>
      </c>
      <c r="G3357" s="24">
        <v>0.0</v>
      </c>
      <c r="H3357" s="24" t="s">
        <v>6701</v>
      </c>
      <c r="I3357" s="24">
        <v>10.94</v>
      </c>
      <c r="J3357" s="24">
        <v>0.0</v>
      </c>
    </row>
    <row r="3358">
      <c r="A3358" s="24">
        <v>411.0</v>
      </c>
      <c r="B3358" s="24">
        <v>3.0</v>
      </c>
      <c r="C3358" s="44">
        <v>10.86</v>
      </c>
      <c r="D3358" s="46">
        <v>45079.0</v>
      </c>
      <c r="E3358" s="24">
        <v>3.62</v>
      </c>
      <c r="F3358" s="24">
        <v>26.42</v>
      </c>
      <c r="G3358" s="24">
        <v>0.73</v>
      </c>
      <c r="H3358" s="24" t="s">
        <v>6692</v>
      </c>
      <c r="I3358" s="24">
        <v>10.86</v>
      </c>
      <c r="J3358" s="24">
        <v>0.0</v>
      </c>
    </row>
    <row r="3359">
      <c r="A3359" s="24">
        <v>174.0</v>
      </c>
      <c r="B3359" s="24">
        <v>2.0</v>
      </c>
      <c r="C3359" s="44">
        <v>10.64</v>
      </c>
      <c r="D3359" s="46">
        <v>45079.0</v>
      </c>
      <c r="E3359" s="24">
        <v>5.32</v>
      </c>
      <c r="F3359" s="24">
        <v>61.15</v>
      </c>
      <c r="G3359" s="24">
        <v>1.15</v>
      </c>
      <c r="H3359" s="24" t="s">
        <v>6699</v>
      </c>
      <c r="I3359" s="24" t="s">
        <v>6650</v>
      </c>
      <c r="J3359" s="24">
        <v>0.0</v>
      </c>
    </row>
    <row r="3360">
      <c r="A3360" s="24">
        <v>146.0</v>
      </c>
      <c r="B3360" s="24">
        <v>0.0</v>
      </c>
      <c r="C3360" s="44">
        <v>11.46</v>
      </c>
      <c r="D3360" s="46">
        <v>45079.0</v>
      </c>
      <c r="E3360" s="24" t="s">
        <v>6650</v>
      </c>
      <c r="F3360" s="24">
        <v>78.49</v>
      </c>
      <c r="G3360" s="24">
        <v>0.0</v>
      </c>
      <c r="H3360" s="24" t="s">
        <v>6680</v>
      </c>
      <c r="I3360" s="24" t="s">
        <v>6650</v>
      </c>
      <c r="J3360" s="24">
        <v>0.0</v>
      </c>
    </row>
    <row r="3361">
      <c r="A3361" s="24">
        <v>58.0</v>
      </c>
      <c r="B3361" s="24">
        <v>0.0</v>
      </c>
      <c r="C3361" s="44">
        <v>10.52</v>
      </c>
      <c r="D3361" s="46">
        <v>45079.0</v>
      </c>
      <c r="E3361" s="24" t="s">
        <v>6650</v>
      </c>
      <c r="F3361" s="24">
        <v>181.38</v>
      </c>
      <c r="G3361" s="24">
        <v>0.0</v>
      </c>
      <c r="H3361" s="24" t="s">
        <v>6697</v>
      </c>
      <c r="I3361" s="24" t="s">
        <v>6650</v>
      </c>
      <c r="J3361" s="24">
        <v>0.0</v>
      </c>
    </row>
    <row r="3362">
      <c r="A3362" s="24">
        <v>72.0</v>
      </c>
      <c r="B3362" s="24">
        <v>1.0</v>
      </c>
      <c r="C3362" s="44">
        <v>11.46</v>
      </c>
      <c r="D3362" s="46">
        <v>45079.0</v>
      </c>
      <c r="E3362" s="24">
        <v>11.46</v>
      </c>
      <c r="F3362" s="24">
        <v>159.17</v>
      </c>
      <c r="G3362" s="24">
        <v>1.39</v>
      </c>
      <c r="H3362" s="24" t="s">
        <v>6695</v>
      </c>
      <c r="I3362" s="24" t="s">
        <v>6650</v>
      </c>
      <c r="J3362" s="24">
        <v>0.0</v>
      </c>
    </row>
    <row r="3363">
      <c r="A3363" s="24">
        <v>456.0</v>
      </c>
      <c r="B3363" s="24">
        <v>1.0</v>
      </c>
      <c r="C3363" s="44">
        <v>10.56</v>
      </c>
      <c r="D3363" s="46">
        <v>45079.0</v>
      </c>
      <c r="E3363" s="24">
        <v>10.56</v>
      </c>
      <c r="F3363" s="24">
        <v>23.16</v>
      </c>
      <c r="G3363" s="24">
        <v>0.22</v>
      </c>
      <c r="H3363" s="24" t="s">
        <v>6700</v>
      </c>
      <c r="I3363" s="24">
        <v>5.28</v>
      </c>
      <c r="J3363" s="24">
        <v>0.0</v>
      </c>
    </row>
    <row r="3364">
      <c r="A3364" s="24">
        <v>98.0</v>
      </c>
      <c r="B3364" s="24">
        <v>2.0</v>
      </c>
      <c r="C3364" s="44">
        <v>10.16</v>
      </c>
      <c r="D3364" s="46">
        <v>45079.0</v>
      </c>
      <c r="E3364" s="24">
        <v>5.08</v>
      </c>
      <c r="F3364" s="24">
        <v>103.67</v>
      </c>
      <c r="G3364" s="24">
        <v>2.04</v>
      </c>
      <c r="H3364" s="24" t="s">
        <v>6701</v>
      </c>
      <c r="I3364" s="24" t="s">
        <v>6650</v>
      </c>
      <c r="J3364" s="24">
        <v>0.0</v>
      </c>
    </row>
    <row r="3365">
      <c r="A3365" s="24">
        <v>531.0</v>
      </c>
      <c r="B3365" s="24">
        <v>3.0</v>
      </c>
      <c r="C3365" s="44">
        <v>10.56</v>
      </c>
      <c r="D3365" s="46">
        <v>45079.0</v>
      </c>
      <c r="E3365" s="24">
        <v>3.52</v>
      </c>
      <c r="F3365" s="24">
        <v>19.89</v>
      </c>
      <c r="G3365" s="24">
        <v>0.56</v>
      </c>
      <c r="H3365" s="24" t="s">
        <v>6698</v>
      </c>
      <c r="I3365" s="24">
        <v>2.64</v>
      </c>
      <c r="J3365" s="24">
        <v>0.0</v>
      </c>
    </row>
    <row r="3366">
      <c r="A3366" s="24">
        <v>119.0</v>
      </c>
      <c r="B3366" s="24">
        <v>0.0</v>
      </c>
      <c r="C3366" s="44">
        <v>10.83</v>
      </c>
      <c r="D3366" s="46">
        <v>45079.0</v>
      </c>
      <c r="E3366" s="24" t="s">
        <v>6650</v>
      </c>
      <c r="F3366" s="24">
        <v>91.01</v>
      </c>
      <c r="G3366" s="24">
        <v>0.0</v>
      </c>
      <c r="H3366" s="24" t="s">
        <v>6696</v>
      </c>
      <c r="I3366" s="24">
        <v>5.42</v>
      </c>
      <c r="J3366" s="24">
        <v>0.0</v>
      </c>
    </row>
    <row r="3367">
      <c r="A3367" s="24">
        <v>1582.0</v>
      </c>
      <c r="B3367" s="24">
        <v>10.0</v>
      </c>
      <c r="C3367" s="44">
        <v>11.58</v>
      </c>
      <c r="D3367" s="46">
        <v>45079.0</v>
      </c>
      <c r="E3367" s="24">
        <v>1.16</v>
      </c>
      <c r="F3367" s="24">
        <v>7.32</v>
      </c>
      <c r="G3367" s="24">
        <v>0.63</v>
      </c>
      <c r="H3367" s="24" t="s">
        <v>6688</v>
      </c>
      <c r="I3367" s="24">
        <v>1.93</v>
      </c>
      <c r="J3367" s="24">
        <v>0.0</v>
      </c>
    </row>
    <row r="3368">
      <c r="A3368" s="24">
        <v>979.0</v>
      </c>
      <c r="B3368" s="24">
        <v>12.0</v>
      </c>
      <c r="C3368" s="44">
        <v>10.94</v>
      </c>
      <c r="D3368" s="46">
        <v>45079.0</v>
      </c>
      <c r="E3368" s="24">
        <v>0.91</v>
      </c>
      <c r="F3368" s="24">
        <v>11.17</v>
      </c>
      <c r="G3368" s="24">
        <v>1.23</v>
      </c>
      <c r="H3368" s="24" t="s">
        <v>6689</v>
      </c>
      <c r="I3368" s="24">
        <v>5.47</v>
      </c>
      <c r="J3368" s="24">
        <v>0.0</v>
      </c>
    </row>
    <row r="3369">
      <c r="A3369" s="24">
        <v>158.0</v>
      </c>
      <c r="B3369" s="24">
        <v>1.0</v>
      </c>
      <c r="C3369" s="44">
        <v>7.8</v>
      </c>
      <c r="D3369" s="46">
        <v>45080.0</v>
      </c>
      <c r="E3369" s="24">
        <v>7.8</v>
      </c>
      <c r="F3369" s="24">
        <v>49.37</v>
      </c>
      <c r="G3369" s="24">
        <v>0.63</v>
      </c>
      <c r="H3369" s="24" t="s">
        <v>6680</v>
      </c>
      <c r="I3369" s="24">
        <v>7.8</v>
      </c>
      <c r="J3369" s="24">
        <v>0.0</v>
      </c>
    </row>
    <row r="3370">
      <c r="A3370" s="24">
        <v>78.0</v>
      </c>
      <c r="B3370" s="24">
        <v>0.0</v>
      </c>
      <c r="C3370" s="44">
        <v>6.13</v>
      </c>
      <c r="D3370" s="46">
        <v>45080.0</v>
      </c>
      <c r="E3370" s="24" t="s">
        <v>6650</v>
      </c>
      <c r="F3370" s="24">
        <v>78.59</v>
      </c>
      <c r="G3370" s="24">
        <v>0.0</v>
      </c>
      <c r="H3370" s="24" t="s">
        <v>6699</v>
      </c>
      <c r="I3370" s="24" t="s">
        <v>6650</v>
      </c>
      <c r="J3370" s="24">
        <v>0.0</v>
      </c>
    </row>
    <row r="3371">
      <c r="A3371" s="24">
        <v>739.0</v>
      </c>
      <c r="B3371" s="24">
        <v>7.0</v>
      </c>
      <c r="C3371" s="44">
        <v>6.98</v>
      </c>
      <c r="D3371" s="46">
        <v>45080.0</v>
      </c>
      <c r="E3371" s="24">
        <v>1.0</v>
      </c>
      <c r="F3371" s="24">
        <v>9.45</v>
      </c>
      <c r="G3371" s="24">
        <v>0.95</v>
      </c>
      <c r="H3371" s="24" t="s">
        <v>6688</v>
      </c>
      <c r="I3371" s="24">
        <v>1.4</v>
      </c>
      <c r="J3371" s="24">
        <v>0.0</v>
      </c>
    </row>
    <row r="3372">
      <c r="A3372" s="24">
        <v>27.0</v>
      </c>
      <c r="B3372" s="24">
        <v>0.0</v>
      </c>
      <c r="C3372" s="44">
        <v>5.92</v>
      </c>
      <c r="D3372" s="46">
        <v>45080.0</v>
      </c>
      <c r="E3372" s="24" t="s">
        <v>6650</v>
      </c>
      <c r="F3372" s="24">
        <v>219.26</v>
      </c>
      <c r="G3372" s="24">
        <v>0.0</v>
      </c>
      <c r="H3372" s="24" t="s">
        <v>6695</v>
      </c>
      <c r="I3372" s="24">
        <v>5.92</v>
      </c>
      <c r="J3372" s="24">
        <v>0.0</v>
      </c>
    </row>
    <row r="3373">
      <c r="A3373" s="24">
        <v>233.0</v>
      </c>
      <c r="B3373" s="24">
        <v>5.0</v>
      </c>
      <c r="C3373" s="44">
        <v>6.68</v>
      </c>
      <c r="D3373" s="46">
        <v>45080.0</v>
      </c>
      <c r="E3373" s="24">
        <v>1.34</v>
      </c>
      <c r="F3373" s="24">
        <v>28.67</v>
      </c>
      <c r="G3373" s="24">
        <v>2.15</v>
      </c>
      <c r="H3373" s="24" t="s">
        <v>6698</v>
      </c>
      <c r="I3373" s="24" t="s">
        <v>6650</v>
      </c>
      <c r="J3373" s="24">
        <v>0.0</v>
      </c>
    </row>
    <row r="3374">
      <c r="A3374" s="24">
        <v>33.0</v>
      </c>
      <c r="B3374" s="24">
        <v>0.0</v>
      </c>
      <c r="C3374" s="44">
        <v>8.04</v>
      </c>
      <c r="D3374" s="46">
        <v>45080.0</v>
      </c>
      <c r="E3374" s="24" t="s">
        <v>6650</v>
      </c>
      <c r="F3374" s="24">
        <v>243.64</v>
      </c>
      <c r="G3374" s="24">
        <v>0.0</v>
      </c>
      <c r="H3374" s="24" t="s">
        <v>6697</v>
      </c>
      <c r="I3374" s="24" t="s">
        <v>6650</v>
      </c>
      <c r="J3374" s="24">
        <v>0.0</v>
      </c>
    </row>
    <row r="3375">
      <c r="A3375" s="24">
        <v>245.0</v>
      </c>
      <c r="B3375" s="24">
        <v>2.0</v>
      </c>
      <c r="C3375" s="44">
        <v>5.92</v>
      </c>
      <c r="D3375" s="46">
        <v>45080.0</v>
      </c>
      <c r="E3375" s="24">
        <v>2.96</v>
      </c>
      <c r="F3375" s="24">
        <v>24.16</v>
      </c>
      <c r="G3375" s="24">
        <v>0.82</v>
      </c>
      <c r="H3375" s="24" t="s">
        <v>6692</v>
      </c>
      <c r="I3375" s="24" t="s">
        <v>6650</v>
      </c>
      <c r="J3375" s="24">
        <v>0.0</v>
      </c>
    </row>
    <row r="3376">
      <c r="A3376" s="24">
        <v>399.0</v>
      </c>
      <c r="B3376" s="24">
        <v>9.0</v>
      </c>
      <c r="C3376" s="44">
        <v>6.14</v>
      </c>
      <c r="D3376" s="46">
        <v>45080.0</v>
      </c>
      <c r="E3376" s="24">
        <v>0.68</v>
      </c>
      <c r="F3376" s="24">
        <v>15.39</v>
      </c>
      <c r="G3376" s="24">
        <v>2.26</v>
      </c>
      <c r="H3376" s="24" t="s">
        <v>6689</v>
      </c>
      <c r="I3376" s="24" t="s">
        <v>6650</v>
      </c>
      <c r="J3376" s="24">
        <v>0.0</v>
      </c>
    </row>
    <row r="3377">
      <c r="A3377" s="24">
        <v>338.0</v>
      </c>
      <c r="B3377" s="24">
        <v>0.0</v>
      </c>
      <c r="C3377" s="44">
        <v>6.46</v>
      </c>
      <c r="D3377" s="46">
        <v>45080.0</v>
      </c>
      <c r="E3377" s="24" t="s">
        <v>6650</v>
      </c>
      <c r="F3377" s="24">
        <v>19.11</v>
      </c>
      <c r="G3377" s="24">
        <v>0.0</v>
      </c>
      <c r="H3377" s="24" t="s">
        <v>6700</v>
      </c>
      <c r="I3377" s="24" t="s">
        <v>6650</v>
      </c>
      <c r="J3377" s="24">
        <v>0.0</v>
      </c>
    </row>
    <row r="3378">
      <c r="A3378" s="24">
        <v>38.0</v>
      </c>
      <c r="B3378" s="24">
        <v>1.0</v>
      </c>
      <c r="C3378" s="44">
        <v>6.49</v>
      </c>
      <c r="D3378" s="46">
        <v>45080.0</v>
      </c>
      <c r="E3378" s="24">
        <v>6.49</v>
      </c>
      <c r="F3378" s="24">
        <v>170.79</v>
      </c>
      <c r="G3378" s="24">
        <v>2.63</v>
      </c>
      <c r="H3378" s="24" t="s">
        <v>6696</v>
      </c>
      <c r="I3378" s="24">
        <v>6.49</v>
      </c>
      <c r="J3378" s="24">
        <v>0.0</v>
      </c>
    </row>
    <row r="3379">
      <c r="A3379" s="24">
        <v>35.0</v>
      </c>
      <c r="B3379" s="24">
        <v>1.0</v>
      </c>
      <c r="C3379" s="44">
        <v>6.86</v>
      </c>
      <c r="D3379" s="46">
        <v>45080.0</v>
      </c>
      <c r="E3379" s="24">
        <v>6.86</v>
      </c>
      <c r="F3379" s="24">
        <v>196.0</v>
      </c>
      <c r="G3379" s="24">
        <v>2.86</v>
      </c>
      <c r="H3379" s="24" t="s">
        <v>6701</v>
      </c>
      <c r="I3379" s="24" t="s">
        <v>6650</v>
      </c>
      <c r="J3379" s="24">
        <v>0.0</v>
      </c>
    </row>
    <row r="3380">
      <c r="A3380" s="24">
        <v>25.0</v>
      </c>
      <c r="B3380" s="24">
        <v>1.0</v>
      </c>
      <c r="C3380" s="44">
        <v>3.87</v>
      </c>
      <c r="D3380" s="46">
        <v>45081.0</v>
      </c>
      <c r="E3380" s="24">
        <v>3.87</v>
      </c>
      <c r="F3380" s="24">
        <v>154.8</v>
      </c>
      <c r="G3380" s="24">
        <v>4.0</v>
      </c>
      <c r="H3380" s="24" t="s">
        <v>6695</v>
      </c>
      <c r="I3380" s="24" t="s">
        <v>6650</v>
      </c>
      <c r="J3380" s="24">
        <v>0.0</v>
      </c>
    </row>
    <row r="3381">
      <c r="A3381" s="24">
        <v>85.0</v>
      </c>
      <c r="B3381" s="24">
        <v>1.0</v>
      </c>
      <c r="C3381" s="44">
        <v>6.25</v>
      </c>
      <c r="D3381" s="46">
        <v>45081.0</v>
      </c>
      <c r="E3381" s="24">
        <v>6.25</v>
      </c>
      <c r="F3381" s="24">
        <v>73.53</v>
      </c>
      <c r="G3381" s="24">
        <v>1.18</v>
      </c>
      <c r="H3381" s="24" t="s">
        <v>6680</v>
      </c>
      <c r="I3381" s="24" t="s">
        <v>6650</v>
      </c>
      <c r="J3381" s="24">
        <v>0.0</v>
      </c>
    </row>
    <row r="3382">
      <c r="A3382" s="24">
        <v>196.0</v>
      </c>
      <c r="B3382" s="24">
        <v>1.0</v>
      </c>
      <c r="C3382" s="44">
        <v>5.55</v>
      </c>
      <c r="D3382" s="46">
        <v>45081.0</v>
      </c>
      <c r="E3382" s="24">
        <v>5.55</v>
      </c>
      <c r="F3382" s="24">
        <v>28.32</v>
      </c>
      <c r="G3382" s="24">
        <v>0.51</v>
      </c>
      <c r="H3382" s="24" t="s">
        <v>6692</v>
      </c>
      <c r="I3382" s="24">
        <v>5.55</v>
      </c>
      <c r="J3382" s="24">
        <v>0.0</v>
      </c>
    </row>
    <row r="3383">
      <c r="A3383" s="24">
        <v>189.0</v>
      </c>
      <c r="B3383" s="24">
        <v>1.0</v>
      </c>
      <c r="C3383" s="44">
        <v>6.08</v>
      </c>
      <c r="D3383" s="46">
        <v>45081.0</v>
      </c>
      <c r="E3383" s="24">
        <v>6.08</v>
      </c>
      <c r="F3383" s="24">
        <v>32.17</v>
      </c>
      <c r="G3383" s="24">
        <v>0.53</v>
      </c>
      <c r="H3383" s="24" t="s">
        <v>6698</v>
      </c>
      <c r="I3383" s="24" t="s">
        <v>6650</v>
      </c>
      <c r="J3383" s="24">
        <v>0.0</v>
      </c>
    </row>
    <row r="3384">
      <c r="A3384" s="24">
        <v>1070.0</v>
      </c>
      <c r="B3384" s="24">
        <v>4.0</v>
      </c>
      <c r="C3384" s="44">
        <v>7.23</v>
      </c>
      <c r="D3384" s="46">
        <v>45081.0</v>
      </c>
      <c r="E3384" s="24">
        <v>1.81</v>
      </c>
      <c r="F3384" s="24">
        <v>6.76</v>
      </c>
      <c r="G3384" s="24">
        <v>0.37</v>
      </c>
      <c r="H3384" s="24" t="s">
        <v>6688</v>
      </c>
      <c r="I3384" s="24" t="s">
        <v>6650</v>
      </c>
      <c r="J3384" s="24">
        <v>0.0</v>
      </c>
    </row>
    <row r="3385">
      <c r="A3385" s="24">
        <v>15.0</v>
      </c>
      <c r="B3385" s="24">
        <v>0.0</v>
      </c>
      <c r="C3385" s="44">
        <v>2.44</v>
      </c>
      <c r="D3385" s="46">
        <v>45081.0</v>
      </c>
      <c r="E3385" s="24" t="s">
        <v>6650</v>
      </c>
      <c r="F3385" s="24">
        <v>162.67</v>
      </c>
      <c r="G3385" s="24">
        <v>0.0</v>
      </c>
      <c r="H3385" s="24" t="s">
        <v>6701</v>
      </c>
      <c r="I3385" s="24" t="s">
        <v>6650</v>
      </c>
      <c r="J3385" s="24">
        <v>0.0</v>
      </c>
    </row>
    <row r="3386">
      <c r="A3386" s="24">
        <v>18.0</v>
      </c>
      <c r="B3386" s="24">
        <v>0.0</v>
      </c>
      <c r="C3386" s="44">
        <v>1.62</v>
      </c>
      <c r="D3386" s="46">
        <v>45081.0</v>
      </c>
      <c r="E3386" s="24" t="s">
        <v>6650</v>
      </c>
      <c r="F3386" s="24">
        <v>90.0</v>
      </c>
      <c r="G3386" s="24">
        <v>0.0</v>
      </c>
      <c r="H3386" s="24" t="s">
        <v>6697</v>
      </c>
      <c r="I3386" s="24" t="s">
        <v>6650</v>
      </c>
      <c r="J3386" s="24">
        <v>0.0</v>
      </c>
    </row>
    <row r="3387">
      <c r="A3387" s="24">
        <v>189.0</v>
      </c>
      <c r="B3387" s="24">
        <v>2.0</v>
      </c>
      <c r="C3387" s="44">
        <v>5.38</v>
      </c>
      <c r="D3387" s="46">
        <v>45081.0</v>
      </c>
      <c r="E3387" s="24">
        <v>2.69</v>
      </c>
      <c r="F3387" s="24">
        <v>28.47</v>
      </c>
      <c r="G3387" s="24">
        <v>1.06</v>
      </c>
      <c r="H3387" s="24" t="s">
        <v>6689</v>
      </c>
      <c r="I3387" s="24" t="s">
        <v>6650</v>
      </c>
      <c r="J3387" s="24">
        <v>0.0</v>
      </c>
    </row>
    <row r="3388">
      <c r="A3388" s="24">
        <v>33.0</v>
      </c>
      <c r="B3388" s="24">
        <v>0.0</v>
      </c>
      <c r="C3388" s="44">
        <v>4.4</v>
      </c>
      <c r="D3388" s="46">
        <v>45081.0</v>
      </c>
      <c r="E3388" s="24" t="s">
        <v>6650</v>
      </c>
      <c r="F3388" s="24">
        <v>133.33</v>
      </c>
      <c r="G3388" s="24">
        <v>0.0</v>
      </c>
      <c r="H3388" s="24" t="s">
        <v>6696</v>
      </c>
      <c r="I3388" s="24" t="s">
        <v>6650</v>
      </c>
      <c r="J3388" s="24">
        <v>0.0</v>
      </c>
    </row>
    <row r="3389">
      <c r="A3389" s="24">
        <v>39.0</v>
      </c>
      <c r="B3389" s="24">
        <v>0.0</v>
      </c>
      <c r="C3389" s="44">
        <v>4.18</v>
      </c>
      <c r="D3389" s="46">
        <v>45081.0</v>
      </c>
      <c r="E3389" s="24" t="s">
        <v>6650</v>
      </c>
      <c r="F3389" s="24">
        <v>107.18</v>
      </c>
      <c r="G3389" s="24">
        <v>0.0</v>
      </c>
      <c r="H3389" s="24" t="s">
        <v>6699</v>
      </c>
      <c r="I3389" s="24" t="s">
        <v>6650</v>
      </c>
      <c r="J3389" s="24">
        <v>0.0</v>
      </c>
    </row>
    <row r="3390">
      <c r="A3390" s="24">
        <v>420.0</v>
      </c>
      <c r="B3390" s="24">
        <v>2.0</v>
      </c>
      <c r="C3390" s="44">
        <v>6.59</v>
      </c>
      <c r="D3390" s="46">
        <v>45081.0</v>
      </c>
      <c r="E3390" s="24">
        <v>3.3</v>
      </c>
      <c r="F3390" s="24">
        <v>15.69</v>
      </c>
      <c r="G3390" s="24">
        <v>0.48</v>
      </c>
      <c r="H3390" s="24" t="s">
        <v>6700</v>
      </c>
      <c r="I3390" s="24" t="s">
        <v>6650</v>
      </c>
      <c r="J3390" s="24">
        <v>0.0</v>
      </c>
    </row>
    <row r="3391">
      <c r="A3391" s="24">
        <v>568.0</v>
      </c>
      <c r="B3391" s="24">
        <v>4.0</v>
      </c>
      <c r="C3391" s="44">
        <v>11.48</v>
      </c>
      <c r="D3391" s="46">
        <v>45082.0</v>
      </c>
      <c r="E3391" s="24">
        <v>2.87</v>
      </c>
      <c r="F3391" s="24">
        <v>20.21</v>
      </c>
      <c r="G3391" s="24">
        <v>0.7</v>
      </c>
      <c r="H3391" s="24" t="s">
        <v>6692</v>
      </c>
      <c r="I3391" s="24">
        <v>11.48</v>
      </c>
      <c r="J3391" s="24">
        <v>0.0</v>
      </c>
    </row>
    <row r="3392">
      <c r="A3392" s="24">
        <v>165.0</v>
      </c>
      <c r="B3392" s="24">
        <v>4.0</v>
      </c>
      <c r="C3392" s="44">
        <v>10.37</v>
      </c>
      <c r="D3392" s="46">
        <v>45082.0</v>
      </c>
      <c r="E3392" s="24">
        <v>2.59</v>
      </c>
      <c r="F3392" s="24">
        <v>62.85</v>
      </c>
      <c r="G3392" s="24">
        <v>2.42</v>
      </c>
      <c r="H3392" s="24" t="s">
        <v>6699</v>
      </c>
      <c r="I3392" s="24">
        <v>5.18</v>
      </c>
      <c r="J3392" s="24">
        <v>0.0</v>
      </c>
    </row>
    <row r="3393">
      <c r="A3393" s="24">
        <v>83.0</v>
      </c>
      <c r="B3393" s="24">
        <v>0.0</v>
      </c>
      <c r="C3393" s="44">
        <v>10.8</v>
      </c>
      <c r="D3393" s="46">
        <v>45082.0</v>
      </c>
      <c r="E3393" s="24" t="s">
        <v>6650</v>
      </c>
      <c r="F3393" s="24">
        <v>130.12</v>
      </c>
      <c r="G3393" s="24">
        <v>0.0</v>
      </c>
      <c r="H3393" s="24" t="s">
        <v>6697</v>
      </c>
      <c r="I3393" s="24" t="s">
        <v>6650</v>
      </c>
      <c r="J3393" s="24">
        <v>0.0</v>
      </c>
    </row>
    <row r="3394">
      <c r="A3394" s="24">
        <v>344.0</v>
      </c>
      <c r="B3394" s="24">
        <v>2.0</v>
      </c>
      <c r="C3394" s="44">
        <v>12.92</v>
      </c>
      <c r="D3394" s="46">
        <v>45082.0</v>
      </c>
      <c r="E3394" s="24">
        <v>6.46</v>
      </c>
      <c r="F3394" s="24">
        <v>37.56</v>
      </c>
      <c r="G3394" s="24">
        <v>0.58</v>
      </c>
      <c r="H3394" s="24" t="s">
        <v>6680</v>
      </c>
      <c r="I3394" s="24">
        <v>12.92</v>
      </c>
      <c r="J3394" s="24">
        <v>0.0</v>
      </c>
    </row>
    <row r="3395">
      <c r="A3395" s="24">
        <v>951.0</v>
      </c>
      <c r="B3395" s="24">
        <v>7.0</v>
      </c>
      <c r="C3395" s="44">
        <v>10.47</v>
      </c>
      <c r="D3395" s="46">
        <v>45082.0</v>
      </c>
      <c r="E3395" s="24">
        <v>1.5</v>
      </c>
      <c r="F3395" s="24">
        <v>11.01</v>
      </c>
      <c r="G3395" s="24">
        <v>0.74</v>
      </c>
      <c r="H3395" s="24" t="s">
        <v>6689</v>
      </c>
      <c r="I3395" s="24" t="s">
        <v>6650</v>
      </c>
      <c r="J3395" s="24">
        <v>0.0</v>
      </c>
    </row>
    <row r="3396">
      <c r="A3396" s="24">
        <v>113.0</v>
      </c>
      <c r="B3396" s="24">
        <v>0.0</v>
      </c>
      <c r="C3396" s="44">
        <v>10.58</v>
      </c>
      <c r="D3396" s="46">
        <v>45082.0</v>
      </c>
      <c r="E3396" s="24" t="s">
        <v>6650</v>
      </c>
      <c r="F3396" s="24">
        <v>93.63</v>
      </c>
      <c r="G3396" s="24">
        <v>0.0</v>
      </c>
      <c r="H3396" s="24" t="s">
        <v>6701</v>
      </c>
      <c r="I3396" s="24" t="s">
        <v>6650</v>
      </c>
      <c r="J3396" s="24">
        <v>0.0</v>
      </c>
    </row>
    <row r="3397">
      <c r="A3397" s="24">
        <v>601.0</v>
      </c>
      <c r="B3397" s="24">
        <v>2.0</v>
      </c>
      <c r="C3397" s="44">
        <v>11.16</v>
      </c>
      <c r="D3397" s="46">
        <v>45082.0</v>
      </c>
      <c r="E3397" s="24">
        <v>5.58</v>
      </c>
      <c r="F3397" s="24">
        <v>18.57</v>
      </c>
      <c r="G3397" s="24">
        <v>0.33</v>
      </c>
      <c r="H3397" s="24" t="s">
        <v>6700</v>
      </c>
      <c r="I3397" s="24">
        <v>11.16</v>
      </c>
      <c r="J3397" s="24">
        <v>0.0</v>
      </c>
    </row>
    <row r="3398">
      <c r="A3398" s="24">
        <v>148.0</v>
      </c>
      <c r="B3398" s="24">
        <v>2.0</v>
      </c>
      <c r="C3398" s="44">
        <v>11.79</v>
      </c>
      <c r="D3398" s="46">
        <v>45082.0</v>
      </c>
      <c r="E3398" s="24">
        <v>5.9</v>
      </c>
      <c r="F3398" s="24">
        <v>79.66</v>
      </c>
      <c r="G3398" s="24">
        <v>1.35</v>
      </c>
      <c r="H3398" s="24" t="s">
        <v>6696</v>
      </c>
      <c r="I3398" s="24" t="s">
        <v>6650</v>
      </c>
      <c r="J3398" s="24">
        <v>0.0</v>
      </c>
    </row>
    <row r="3399">
      <c r="A3399" s="24">
        <v>145.0</v>
      </c>
      <c r="B3399" s="24">
        <v>0.0</v>
      </c>
      <c r="C3399" s="44">
        <v>10.77</v>
      </c>
      <c r="D3399" s="46">
        <v>45082.0</v>
      </c>
      <c r="E3399" s="24" t="s">
        <v>6650</v>
      </c>
      <c r="F3399" s="24">
        <v>74.28</v>
      </c>
      <c r="G3399" s="24">
        <v>0.0</v>
      </c>
      <c r="H3399" s="24" t="s">
        <v>6695</v>
      </c>
      <c r="I3399" s="24" t="s">
        <v>6650</v>
      </c>
      <c r="J3399" s="24">
        <v>0.0</v>
      </c>
    </row>
    <row r="3400">
      <c r="A3400" s="24">
        <v>449.0</v>
      </c>
      <c r="B3400" s="24">
        <v>5.0</v>
      </c>
      <c r="C3400" s="44">
        <v>11.22</v>
      </c>
      <c r="D3400" s="46">
        <v>45082.0</v>
      </c>
      <c r="E3400" s="24">
        <v>2.24</v>
      </c>
      <c r="F3400" s="24">
        <v>24.99</v>
      </c>
      <c r="G3400" s="24">
        <v>1.11</v>
      </c>
      <c r="H3400" s="24" t="s">
        <v>6698</v>
      </c>
      <c r="I3400" s="24">
        <v>11.22</v>
      </c>
      <c r="J3400" s="24">
        <v>0.0</v>
      </c>
    </row>
    <row r="3401">
      <c r="A3401" s="24">
        <v>2172.0</v>
      </c>
      <c r="B3401" s="24">
        <v>20.0</v>
      </c>
      <c r="C3401" s="44">
        <v>11.02</v>
      </c>
      <c r="D3401" s="46">
        <v>45082.0</v>
      </c>
      <c r="E3401" s="24">
        <v>0.55</v>
      </c>
      <c r="F3401" s="24">
        <v>5.07</v>
      </c>
      <c r="G3401" s="24">
        <v>0.92</v>
      </c>
      <c r="H3401" s="24" t="s">
        <v>6688</v>
      </c>
      <c r="I3401" s="24">
        <v>2.76</v>
      </c>
      <c r="J3401" s="24">
        <v>0.0</v>
      </c>
    </row>
    <row r="3402">
      <c r="A3402" s="24">
        <v>1135.0</v>
      </c>
      <c r="B3402" s="24">
        <v>7.0</v>
      </c>
      <c r="C3402" s="44">
        <v>11.96</v>
      </c>
      <c r="D3402" s="46">
        <v>45083.0</v>
      </c>
      <c r="E3402" s="24">
        <v>1.71</v>
      </c>
      <c r="F3402" s="24">
        <v>10.54</v>
      </c>
      <c r="G3402" s="24">
        <v>0.62</v>
      </c>
      <c r="H3402" s="24" t="s">
        <v>6689</v>
      </c>
      <c r="I3402" s="24">
        <v>11.96</v>
      </c>
      <c r="J3402" s="24">
        <v>0.0</v>
      </c>
    </row>
    <row r="3403">
      <c r="A3403" s="24">
        <v>616.0</v>
      </c>
      <c r="B3403" s="24">
        <v>1.0</v>
      </c>
      <c r="C3403" s="44">
        <v>11.79</v>
      </c>
      <c r="D3403" s="46">
        <v>45083.0</v>
      </c>
      <c r="E3403" s="24">
        <v>11.79</v>
      </c>
      <c r="F3403" s="24">
        <v>19.14</v>
      </c>
      <c r="G3403" s="24">
        <v>0.16</v>
      </c>
      <c r="H3403" s="24" t="s">
        <v>6700</v>
      </c>
      <c r="I3403" s="24" t="s">
        <v>6650</v>
      </c>
      <c r="J3403" s="24">
        <v>0.0</v>
      </c>
    </row>
    <row r="3404">
      <c r="A3404" s="24">
        <v>2128.0</v>
      </c>
      <c r="B3404" s="24">
        <v>21.0</v>
      </c>
      <c r="C3404" s="44">
        <v>11.37</v>
      </c>
      <c r="D3404" s="46">
        <v>45083.0</v>
      </c>
      <c r="E3404" s="24">
        <v>0.54</v>
      </c>
      <c r="F3404" s="24">
        <v>5.34</v>
      </c>
      <c r="G3404" s="24">
        <v>0.99</v>
      </c>
      <c r="H3404" s="24" t="s">
        <v>6688</v>
      </c>
      <c r="I3404" s="24">
        <v>1.42</v>
      </c>
      <c r="J3404" s="24">
        <v>0.0</v>
      </c>
    </row>
    <row r="3405">
      <c r="A3405" s="24">
        <v>144.0</v>
      </c>
      <c r="B3405" s="24">
        <v>0.0</v>
      </c>
      <c r="C3405" s="44">
        <v>12.76</v>
      </c>
      <c r="D3405" s="46">
        <v>45083.0</v>
      </c>
      <c r="E3405" s="24" t="s">
        <v>6650</v>
      </c>
      <c r="F3405" s="24">
        <v>88.61</v>
      </c>
      <c r="G3405" s="24">
        <v>0.0</v>
      </c>
      <c r="H3405" s="24" t="s">
        <v>6701</v>
      </c>
      <c r="I3405" s="24">
        <v>12.76</v>
      </c>
      <c r="J3405" s="24">
        <v>0.0</v>
      </c>
    </row>
    <row r="3406">
      <c r="A3406" s="24">
        <v>66.0</v>
      </c>
      <c r="B3406" s="24">
        <v>0.0</v>
      </c>
      <c r="C3406" s="44">
        <v>12.18</v>
      </c>
      <c r="D3406" s="46">
        <v>45083.0</v>
      </c>
      <c r="E3406" s="24" t="s">
        <v>6650</v>
      </c>
      <c r="F3406" s="24">
        <v>184.55</v>
      </c>
      <c r="G3406" s="24">
        <v>0.0</v>
      </c>
      <c r="H3406" s="24" t="s">
        <v>6697</v>
      </c>
      <c r="I3406" s="24" t="s">
        <v>6650</v>
      </c>
      <c r="J3406" s="24">
        <v>0.0</v>
      </c>
    </row>
    <row r="3407">
      <c r="A3407" s="24">
        <v>487.0</v>
      </c>
      <c r="B3407" s="24">
        <v>2.0</v>
      </c>
      <c r="C3407" s="44">
        <v>12.02</v>
      </c>
      <c r="D3407" s="46">
        <v>45083.0</v>
      </c>
      <c r="E3407" s="24">
        <v>6.01</v>
      </c>
      <c r="F3407" s="24">
        <v>24.68</v>
      </c>
      <c r="G3407" s="24">
        <v>0.41</v>
      </c>
      <c r="H3407" s="24" t="s">
        <v>6692</v>
      </c>
      <c r="I3407" s="24">
        <v>12.02</v>
      </c>
      <c r="J3407" s="24">
        <v>0.0</v>
      </c>
    </row>
    <row r="3408">
      <c r="A3408" s="24">
        <v>84.0</v>
      </c>
      <c r="B3408" s="24">
        <v>0.0</v>
      </c>
      <c r="C3408" s="44">
        <v>12.67</v>
      </c>
      <c r="D3408" s="46">
        <v>45083.0</v>
      </c>
      <c r="E3408" s="24" t="s">
        <v>6650</v>
      </c>
      <c r="F3408" s="24">
        <v>150.83</v>
      </c>
      <c r="G3408" s="24">
        <v>0.0</v>
      </c>
      <c r="H3408" s="24" t="s">
        <v>6695</v>
      </c>
      <c r="I3408" s="24" t="s">
        <v>6650</v>
      </c>
      <c r="J3408" s="24">
        <v>0.0</v>
      </c>
    </row>
    <row r="3409">
      <c r="A3409" s="24">
        <v>468.0</v>
      </c>
      <c r="B3409" s="24">
        <v>9.0</v>
      </c>
      <c r="C3409" s="44">
        <v>11.85</v>
      </c>
      <c r="D3409" s="46">
        <v>45083.0</v>
      </c>
      <c r="E3409" s="24">
        <v>1.32</v>
      </c>
      <c r="F3409" s="24">
        <v>25.32</v>
      </c>
      <c r="G3409" s="24">
        <v>1.92</v>
      </c>
      <c r="H3409" s="24" t="s">
        <v>6698</v>
      </c>
      <c r="I3409" s="24" t="s">
        <v>6650</v>
      </c>
      <c r="J3409" s="24">
        <v>0.0</v>
      </c>
    </row>
    <row r="3410">
      <c r="A3410" s="24">
        <v>214.0</v>
      </c>
      <c r="B3410" s="24">
        <v>2.0</v>
      </c>
      <c r="C3410" s="44">
        <v>13.44</v>
      </c>
      <c r="D3410" s="46">
        <v>45083.0</v>
      </c>
      <c r="E3410" s="24">
        <v>6.72</v>
      </c>
      <c r="F3410" s="24">
        <v>62.8</v>
      </c>
      <c r="G3410" s="24">
        <v>0.93</v>
      </c>
      <c r="H3410" s="24" t="s">
        <v>6680</v>
      </c>
      <c r="I3410" s="24" t="s">
        <v>6650</v>
      </c>
      <c r="J3410" s="24">
        <v>0.0</v>
      </c>
    </row>
    <row r="3411">
      <c r="A3411" s="24">
        <v>197.0</v>
      </c>
      <c r="B3411" s="24">
        <v>4.0</v>
      </c>
      <c r="C3411" s="44">
        <v>12.6</v>
      </c>
      <c r="D3411" s="46">
        <v>45083.0</v>
      </c>
      <c r="E3411" s="24">
        <v>3.15</v>
      </c>
      <c r="F3411" s="24">
        <v>63.96</v>
      </c>
      <c r="G3411" s="24">
        <v>2.03</v>
      </c>
      <c r="H3411" s="24" t="s">
        <v>6699</v>
      </c>
      <c r="I3411" s="24">
        <v>12.6</v>
      </c>
      <c r="J3411" s="24">
        <v>0.0</v>
      </c>
    </row>
    <row r="3412">
      <c r="A3412" s="24">
        <v>155.0</v>
      </c>
      <c r="B3412" s="24">
        <v>0.0</v>
      </c>
      <c r="C3412" s="44">
        <v>12.65</v>
      </c>
      <c r="D3412" s="46">
        <v>45083.0</v>
      </c>
      <c r="E3412" s="24" t="s">
        <v>6650</v>
      </c>
      <c r="F3412" s="24">
        <v>81.61</v>
      </c>
      <c r="G3412" s="24">
        <v>0.0</v>
      </c>
      <c r="H3412" s="24" t="s">
        <v>6696</v>
      </c>
      <c r="I3412" s="24" t="s">
        <v>6650</v>
      </c>
      <c r="J3412" s="24">
        <v>0.0</v>
      </c>
    </row>
    <row r="3413">
      <c r="A3413" s="24">
        <v>1217.0</v>
      </c>
      <c r="B3413" s="24">
        <v>17.0</v>
      </c>
      <c r="C3413" s="44">
        <v>11.96</v>
      </c>
      <c r="D3413" s="46">
        <v>45084.0</v>
      </c>
      <c r="E3413" s="24">
        <v>0.7</v>
      </c>
      <c r="F3413" s="24">
        <v>9.83</v>
      </c>
      <c r="G3413" s="24">
        <v>1.4</v>
      </c>
      <c r="H3413" s="24" t="s">
        <v>6689</v>
      </c>
      <c r="I3413" s="24">
        <v>11.96</v>
      </c>
      <c r="J3413" s="24">
        <v>0.0</v>
      </c>
    </row>
    <row r="3414">
      <c r="A3414" s="24">
        <v>121.0</v>
      </c>
      <c r="B3414" s="24">
        <v>2.0</v>
      </c>
      <c r="C3414" s="44">
        <v>13.17</v>
      </c>
      <c r="D3414" s="46">
        <v>45084.0</v>
      </c>
      <c r="E3414" s="24">
        <v>6.58</v>
      </c>
      <c r="F3414" s="24">
        <v>108.84</v>
      </c>
      <c r="G3414" s="24">
        <v>1.65</v>
      </c>
      <c r="H3414" s="24" t="s">
        <v>6699</v>
      </c>
      <c r="I3414" s="24">
        <v>13.17</v>
      </c>
      <c r="J3414" s="24">
        <v>0.0</v>
      </c>
    </row>
    <row r="3415">
      <c r="A3415" s="24">
        <v>52.0</v>
      </c>
      <c r="B3415" s="24">
        <v>0.0</v>
      </c>
      <c r="C3415" s="44">
        <v>15.0</v>
      </c>
      <c r="D3415" s="46">
        <v>45084.0</v>
      </c>
      <c r="E3415" s="24" t="s">
        <v>6650</v>
      </c>
      <c r="F3415" s="24">
        <v>288.46</v>
      </c>
      <c r="G3415" s="24">
        <v>0.0</v>
      </c>
      <c r="H3415" s="24" t="s">
        <v>6697</v>
      </c>
      <c r="I3415" s="24" t="s">
        <v>6650</v>
      </c>
      <c r="J3415" s="24">
        <v>0.0</v>
      </c>
    </row>
    <row r="3416">
      <c r="A3416" s="24">
        <v>470.0</v>
      </c>
      <c r="B3416" s="24">
        <v>2.0</v>
      </c>
      <c r="C3416" s="44">
        <v>11.77</v>
      </c>
      <c r="D3416" s="46">
        <v>45084.0</v>
      </c>
      <c r="E3416" s="24">
        <v>5.88</v>
      </c>
      <c r="F3416" s="24">
        <v>25.04</v>
      </c>
      <c r="G3416" s="24">
        <v>0.43</v>
      </c>
      <c r="H3416" s="24" t="s">
        <v>6700</v>
      </c>
      <c r="I3416" s="24">
        <v>3.92</v>
      </c>
      <c r="J3416" s="24">
        <v>0.0</v>
      </c>
    </row>
    <row r="3417">
      <c r="A3417" s="24">
        <v>280.0</v>
      </c>
      <c r="B3417" s="24">
        <v>0.0</v>
      </c>
      <c r="C3417" s="44">
        <v>12.18</v>
      </c>
      <c r="D3417" s="46">
        <v>45084.0</v>
      </c>
      <c r="E3417" s="24" t="s">
        <v>6650</v>
      </c>
      <c r="F3417" s="24">
        <v>43.5</v>
      </c>
      <c r="G3417" s="24">
        <v>0.0</v>
      </c>
      <c r="H3417" s="24" t="s">
        <v>6692</v>
      </c>
      <c r="I3417" s="24" t="s">
        <v>6650</v>
      </c>
      <c r="J3417" s="24">
        <v>0.0</v>
      </c>
    </row>
    <row r="3418">
      <c r="A3418" s="24">
        <v>551.0</v>
      </c>
      <c r="B3418" s="24">
        <v>8.0</v>
      </c>
      <c r="C3418" s="44">
        <v>11.65</v>
      </c>
      <c r="D3418" s="46">
        <v>45084.0</v>
      </c>
      <c r="E3418" s="24">
        <v>1.46</v>
      </c>
      <c r="F3418" s="24">
        <v>21.14</v>
      </c>
      <c r="G3418" s="24">
        <v>1.45</v>
      </c>
      <c r="H3418" s="24" t="s">
        <v>6698</v>
      </c>
      <c r="I3418" s="24">
        <v>3.88</v>
      </c>
      <c r="J3418" s="24">
        <v>0.0</v>
      </c>
    </row>
    <row r="3419">
      <c r="A3419" s="24">
        <v>89.0</v>
      </c>
      <c r="B3419" s="24">
        <v>0.0</v>
      </c>
      <c r="C3419" s="44">
        <v>12.41</v>
      </c>
      <c r="D3419" s="46">
        <v>45084.0</v>
      </c>
      <c r="E3419" s="24" t="s">
        <v>6650</v>
      </c>
      <c r="F3419" s="24">
        <v>139.44</v>
      </c>
      <c r="G3419" s="24">
        <v>0.0</v>
      </c>
      <c r="H3419" s="24" t="s">
        <v>6701</v>
      </c>
      <c r="I3419" s="24" t="s">
        <v>6650</v>
      </c>
      <c r="J3419" s="24">
        <v>0.0</v>
      </c>
    </row>
    <row r="3420">
      <c r="A3420" s="24">
        <v>81.0</v>
      </c>
      <c r="B3420" s="24">
        <v>0.0</v>
      </c>
      <c r="C3420" s="44">
        <v>12.69</v>
      </c>
      <c r="D3420" s="46">
        <v>45084.0</v>
      </c>
      <c r="E3420" s="24" t="s">
        <v>6650</v>
      </c>
      <c r="F3420" s="24">
        <v>156.67</v>
      </c>
      <c r="G3420" s="24">
        <v>0.0</v>
      </c>
      <c r="H3420" s="24" t="s">
        <v>6695</v>
      </c>
      <c r="I3420" s="24" t="s">
        <v>6650</v>
      </c>
      <c r="J3420" s="24">
        <v>0.0</v>
      </c>
    </row>
    <row r="3421">
      <c r="A3421" s="24">
        <v>2355.0</v>
      </c>
      <c r="B3421" s="24">
        <v>14.0</v>
      </c>
      <c r="C3421" s="44">
        <v>11.56</v>
      </c>
      <c r="D3421" s="46">
        <v>45084.0</v>
      </c>
      <c r="E3421" s="24">
        <v>0.83</v>
      </c>
      <c r="F3421" s="24">
        <v>4.91</v>
      </c>
      <c r="G3421" s="24">
        <v>0.59</v>
      </c>
      <c r="H3421" s="24" t="s">
        <v>6688</v>
      </c>
      <c r="I3421" s="24">
        <v>1.93</v>
      </c>
      <c r="J3421" s="24">
        <v>0.0</v>
      </c>
    </row>
    <row r="3422">
      <c r="A3422" s="24">
        <v>119.0</v>
      </c>
      <c r="B3422" s="24">
        <v>1.0</v>
      </c>
      <c r="C3422" s="44">
        <v>12.54</v>
      </c>
      <c r="D3422" s="46">
        <v>45084.0</v>
      </c>
      <c r="E3422" s="24">
        <v>12.54</v>
      </c>
      <c r="F3422" s="24">
        <v>105.38</v>
      </c>
      <c r="G3422" s="24">
        <v>0.84</v>
      </c>
      <c r="H3422" s="24" t="s">
        <v>6696</v>
      </c>
      <c r="I3422" s="24">
        <v>12.54</v>
      </c>
      <c r="J3422" s="24">
        <v>0.0</v>
      </c>
    </row>
    <row r="3423">
      <c r="A3423" s="24">
        <v>192.0</v>
      </c>
      <c r="B3423" s="24">
        <v>3.0</v>
      </c>
      <c r="C3423" s="44">
        <v>12.82</v>
      </c>
      <c r="D3423" s="46">
        <v>45084.0</v>
      </c>
      <c r="E3423" s="24">
        <v>4.27</v>
      </c>
      <c r="F3423" s="24">
        <v>66.77</v>
      </c>
      <c r="G3423" s="24">
        <v>1.56</v>
      </c>
      <c r="H3423" s="24" t="s">
        <v>6680</v>
      </c>
      <c r="I3423" s="24">
        <v>12.82</v>
      </c>
      <c r="J3423" s="24">
        <v>0.0</v>
      </c>
    </row>
    <row r="3424">
      <c r="A3424" s="24">
        <v>163.0</v>
      </c>
      <c r="B3424" s="24">
        <v>2.0</v>
      </c>
      <c r="C3424" s="44">
        <v>12.69</v>
      </c>
      <c r="D3424" s="46">
        <v>45085.0</v>
      </c>
      <c r="E3424" s="24">
        <v>6.34</v>
      </c>
      <c r="F3424" s="24">
        <v>77.85</v>
      </c>
      <c r="G3424" s="24">
        <v>1.23</v>
      </c>
      <c r="H3424" s="24" t="s">
        <v>6699</v>
      </c>
      <c r="I3424" s="24">
        <v>12.69</v>
      </c>
      <c r="J3424" s="24">
        <v>0.0</v>
      </c>
    </row>
    <row r="3425">
      <c r="A3425" s="24">
        <v>2500.0</v>
      </c>
      <c r="B3425" s="24">
        <v>10.0</v>
      </c>
      <c r="C3425" s="44">
        <v>11.36</v>
      </c>
      <c r="D3425" s="46">
        <v>45085.0</v>
      </c>
      <c r="E3425" s="24">
        <v>1.14</v>
      </c>
      <c r="F3425" s="24">
        <v>4.54</v>
      </c>
      <c r="G3425" s="24">
        <v>0.4</v>
      </c>
      <c r="H3425" s="24" t="s">
        <v>6688</v>
      </c>
      <c r="I3425" s="24">
        <v>1.03</v>
      </c>
      <c r="J3425" s="24">
        <v>0.0</v>
      </c>
    </row>
    <row r="3426">
      <c r="A3426" s="24">
        <v>76.0</v>
      </c>
      <c r="B3426" s="24">
        <v>3.0</v>
      </c>
      <c r="C3426" s="44">
        <v>11.71</v>
      </c>
      <c r="D3426" s="46">
        <v>45085.0</v>
      </c>
      <c r="E3426" s="24">
        <v>3.9</v>
      </c>
      <c r="F3426" s="24">
        <v>154.08</v>
      </c>
      <c r="G3426" s="24">
        <v>3.95</v>
      </c>
      <c r="H3426" s="24" t="s">
        <v>6695</v>
      </c>
      <c r="I3426" s="24" t="s">
        <v>6650</v>
      </c>
      <c r="J3426" s="24">
        <v>0.0</v>
      </c>
    </row>
    <row r="3427">
      <c r="A3427" s="24">
        <v>88.0</v>
      </c>
      <c r="B3427" s="24">
        <v>1.0</v>
      </c>
      <c r="C3427" s="44">
        <v>11.68</v>
      </c>
      <c r="D3427" s="46">
        <v>45085.0</v>
      </c>
      <c r="E3427" s="24">
        <v>11.68</v>
      </c>
      <c r="F3427" s="24">
        <v>132.73</v>
      </c>
      <c r="G3427" s="24">
        <v>1.14</v>
      </c>
      <c r="H3427" s="24" t="s">
        <v>6696</v>
      </c>
      <c r="I3427" s="24">
        <v>11.68</v>
      </c>
      <c r="J3427" s="24">
        <v>0.0</v>
      </c>
    </row>
    <row r="3428">
      <c r="A3428" s="24">
        <v>357.0</v>
      </c>
      <c r="B3428" s="24">
        <v>4.0</v>
      </c>
      <c r="C3428" s="44">
        <v>11.8</v>
      </c>
      <c r="D3428" s="46">
        <v>45085.0</v>
      </c>
      <c r="E3428" s="24">
        <v>2.95</v>
      </c>
      <c r="F3428" s="24">
        <v>33.05</v>
      </c>
      <c r="G3428" s="24">
        <v>1.12</v>
      </c>
      <c r="H3428" s="24" t="s">
        <v>6692</v>
      </c>
      <c r="I3428" s="24">
        <v>11.8</v>
      </c>
      <c r="J3428" s="24">
        <v>0.0</v>
      </c>
    </row>
    <row r="3429">
      <c r="A3429" s="24">
        <v>417.0</v>
      </c>
      <c r="B3429" s="24">
        <v>6.0</v>
      </c>
      <c r="C3429" s="44">
        <v>11.85</v>
      </c>
      <c r="D3429" s="46">
        <v>45085.0</v>
      </c>
      <c r="E3429" s="24">
        <v>1.98</v>
      </c>
      <c r="F3429" s="24">
        <v>28.42</v>
      </c>
      <c r="G3429" s="24">
        <v>1.44</v>
      </c>
      <c r="H3429" s="24" t="s">
        <v>6698</v>
      </c>
      <c r="I3429" s="24">
        <v>11.85</v>
      </c>
      <c r="J3429" s="24">
        <v>0.0</v>
      </c>
    </row>
    <row r="3430">
      <c r="A3430" s="24">
        <v>157.0</v>
      </c>
      <c r="B3430" s="24">
        <v>0.0</v>
      </c>
      <c r="C3430" s="44">
        <v>12.98</v>
      </c>
      <c r="D3430" s="46">
        <v>45085.0</v>
      </c>
      <c r="E3430" s="24" t="s">
        <v>6650</v>
      </c>
      <c r="F3430" s="24">
        <v>82.68</v>
      </c>
      <c r="G3430" s="24">
        <v>0.0</v>
      </c>
      <c r="H3430" s="24" t="s">
        <v>6680</v>
      </c>
      <c r="I3430" s="24" t="s">
        <v>6650</v>
      </c>
      <c r="J3430" s="24">
        <v>0.0</v>
      </c>
    </row>
    <row r="3431">
      <c r="A3431" s="24">
        <v>1044.0</v>
      </c>
      <c r="B3431" s="24">
        <v>8.0</v>
      </c>
      <c r="C3431" s="44">
        <v>12.22</v>
      </c>
      <c r="D3431" s="46">
        <v>45085.0</v>
      </c>
      <c r="E3431" s="24">
        <v>1.53</v>
      </c>
      <c r="F3431" s="24">
        <v>11.7</v>
      </c>
      <c r="G3431" s="24">
        <v>0.77</v>
      </c>
      <c r="H3431" s="24" t="s">
        <v>6689</v>
      </c>
      <c r="I3431" s="24" t="s">
        <v>6650</v>
      </c>
      <c r="J3431" s="24">
        <v>0.0</v>
      </c>
    </row>
    <row r="3432">
      <c r="A3432" s="24">
        <v>43.0</v>
      </c>
      <c r="B3432" s="24">
        <v>1.0</v>
      </c>
      <c r="C3432" s="44">
        <v>12.29</v>
      </c>
      <c r="D3432" s="46">
        <v>45085.0</v>
      </c>
      <c r="E3432" s="24">
        <v>12.29</v>
      </c>
      <c r="F3432" s="24">
        <v>285.81</v>
      </c>
      <c r="G3432" s="24">
        <v>2.33</v>
      </c>
      <c r="H3432" s="24" t="s">
        <v>6697</v>
      </c>
      <c r="I3432" s="24">
        <v>12.29</v>
      </c>
      <c r="J3432" s="24">
        <v>1.0</v>
      </c>
    </row>
    <row r="3433">
      <c r="A3433" s="24">
        <v>258.0</v>
      </c>
      <c r="B3433" s="24">
        <v>0.0</v>
      </c>
      <c r="C3433" s="44">
        <v>15.0</v>
      </c>
      <c r="D3433" s="46">
        <v>45085.0</v>
      </c>
      <c r="E3433" s="24" t="s">
        <v>6650</v>
      </c>
      <c r="F3433" s="24">
        <v>58.14</v>
      </c>
      <c r="G3433" s="24">
        <v>0.0</v>
      </c>
      <c r="H3433" s="24" t="s">
        <v>6700</v>
      </c>
      <c r="I3433" s="24">
        <v>15.0</v>
      </c>
      <c r="J3433" s="24">
        <v>0.0</v>
      </c>
    </row>
    <row r="3434">
      <c r="A3434" s="24">
        <v>81.0</v>
      </c>
      <c r="B3434" s="24">
        <v>0.0</v>
      </c>
      <c r="C3434" s="44">
        <v>13.03</v>
      </c>
      <c r="D3434" s="46">
        <v>45085.0</v>
      </c>
      <c r="E3434" s="24" t="s">
        <v>6650</v>
      </c>
      <c r="F3434" s="24">
        <v>160.86</v>
      </c>
      <c r="G3434" s="24">
        <v>0.0</v>
      </c>
      <c r="H3434" s="24" t="s">
        <v>6701</v>
      </c>
      <c r="I3434" s="24" t="s">
        <v>6650</v>
      </c>
      <c r="J3434" s="24">
        <v>0.0</v>
      </c>
    </row>
    <row r="3435">
      <c r="A3435" s="24">
        <v>259.0</v>
      </c>
      <c r="B3435" s="24">
        <v>0.0</v>
      </c>
      <c r="C3435" s="44">
        <v>10.71</v>
      </c>
      <c r="D3435" s="46">
        <v>45086.0</v>
      </c>
      <c r="E3435" s="24" t="s">
        <v>6650</v>
      </c>
      <c r="F3435" s="24">
        <v>41.35</v>
      </c>
      <c r="G3435" s="24">
        <v>0.0</v>
      </c>
      <c r="H3435" s="24" t="s">
        <v>6692</v>
      </c>
      <c r="I3435" s="24" t="s">
        <v>6650</v>
      </c>
      <c r="J3435" s="24">
        <v>0.0</v>
      </c>
    </row>
    <row r="3436">
      <c r="A3436" s="24">
        <v>105.0</v>
      </c>
      <c r="B3436" s="24">
        <v>1.0</v>
      </c>
      <c r="C3436" s="44">
        <v>10.44</v>
      </c>
      <c r="D3436" s="46">
        <v>45086.0</v>
      </c>
      <c r="E3436" s="24">
        <v>10.44</v>
      </c>
      <c r="F3436" s="24">
        <v>99.43</v>
      </c>
      <c r="G3436" s="24">
        <v>0.95</v>
      </c>
      <c r="H3436" s="24" t="s">
        <v>6696</v>
      </c>
      <c r="I3436" s="24" t="s">
        <v>6650</v>
      </c>
      <c r="J3436" s="24">
        <v>0.0</v>
      </c>
    </row>
    <row r="3437">
      <c r="A3437" s="24">
        <v>30.0</v>
      </c>
      <c r="B3437" s="24">
        <v>0.0</v>
      </c>
      <c r="C3437" s="44">
        <v>9.79</v>
      </c>
      <c r="D3437" s="46">
        <v>45086.0</v>
      </c>
      <c r="E3437" s="24" t="s">
        <v>6650</v>
      </c>
      <c r="F3437" s="24">
        <v>326.33</v>
      </c>
      <c r="G3437" s="24">
        <v>0.0</v>
      </c>
      <c r="H3437" s="24" t="s">
        <v>6697</v>
      </c>
      <c r="I3437" s="24" t="s">
        <v>6650</v>
      </c>
      <c r="J3437" s="24">
        <v>0.0</v>
      </c>
    </row>
    <row r="3438">
      <c r="A3438" s="24">
        <v>89.0</v>
      </c>
      <c r="B3438" s="24">
        <v>1.0</v>
      </c>
      <c r="C3438" s="44">
        <v>10.64</v>
      </c>
      <c r="D3438" s="46">
        <v>45086.0</v>
      </c>
      <c r="E3438" s="24">
        <v>10.64</v>
      </c>
      <c r="F3438" s="24">
        <v>119.55</v>
      </c>
      <c r="G3438" s="24">
        <v>1.12</v>
      </c>
      <c r="H3438" s="24" t="s">
        <v>6701</v>
      </c>
      <c r="I3438" s="24" t="s">
        <v>6650</v>
      </c>
      <c r="J3438" s="24">
        <v>0.0</v>
      </c>
    </row>
    <row r="3439">
      <c r="A3439" s="24">
        <v>121.0</v>
      </c>
      <c r="B3439" s="24">
        <v>0.0</v>
      </c>
      <c r="C3439" s="44">
        <v>10.94</v>
      </c>
      <c r="D3439" s="46">
        <v>45086.0</v>
      </c>
      <c r="E3439" s="24" t="s">
        <v>6650</v>
      </c>
      <c r="F3439" s="24">
        <v>90.41</v>
      </c>
      <c r="G3439" s="24">
        <v>0.0</v>
      </c>
      <c r="H3439" s="24" t="s">
        <v>6680</v>
      </c>
      <c r="I3439" s="24" t="s">
        <v>6650</v>
      </c>
      <c r="J3439" s="24">
        <v>0.0</v>
      </c>
    </row>
    <row r="3440">
      <c r="A3440" s="24">
        <v>832.0</v>
      </c>
      <c r="B3440" s="24">
        <v>10.0</v>
      </c>
      <c r="C3440" s="44">
        <v>11.37</v>
      </c>
      <c r="D3440" s="46">
        <v>45086.0</v>
      </c>
      <c r="E3440" s="24">
        <v>1.14</v>
      </c>
      <c r="F3440" s="24">
        <v>13.67</v>
      </c>
      <c r="G3440" s="24">
        <v>1.2</v>
      </c>
      <c r="H3440" s="24" t="s">
        <v>6689</v>
      </c>
      <c r="I3440" s="24" t="s">
        <v>6650</v>
      </c>
      <c r="J3440" s="24">
        <v>0.0</v>
      </c>
    </row>
    <row r="3441">
      <c r="A3441" s="24">
        <v>42.0</v>
      </c>
      <c r="B3441" s="24">
        <v>0.0</v>
      </c>
      <c r="C3441" s="44">
        <v>11.33</v>
      </c>
      <c r="D3441" s="46">
        <v>45086.0</v>
      </c>
      <c r="E3441" s="24" t="s">
        <v>6650</v>
      </c>
      <c r="F3441" s="24">
        <v>269.76</v>
      </c>
      <c r="G3441" s="24">
        <v>0.0</v>
      </c>
      <c r="H3441" s="24" t="s">
        <v>6695</v>
      </c>
      <c r="I3441" s="24" t="s">
        <v>6650</v>
      </c>
      <c r="J3441" s="24">
        <v>0.0</v>
      </c>
    </row>
    <row r="3442">
      <c r="A3442" s="24">
        <v>1870.0</v>
      </c>
      <c r="B3442" s="24">
        <v>8.0</v>
      </c>
      <c r="C3442" s="44">
        <v>11.13</v>
      </c>
      <c r="D3442" s="46">
        <v>45086.0</v>
      </c>
      <c r="E3442" s="24">
        <v>1.39</v>
      </c>
      <c r="F3442" s="24">
        <v>5.95</v>
      </c>
      <c r="G3442" s="24">
        <v>0.43</v>
      </c>
      <c r="H3442" s="24" t="s">
        <v>6688</v>
      </c>
      <c r="I3442" s="24">
        <v>3.71</v>
      </c>
      <c r="J3442" s="24">
        <v>0.0</v>
      </c>
    </row>
    <row r="3443">
      <c r="A3443" s="24">
        <v>476.0</v>
      </c>
      <c r="B3443" s="24">
        <v>2.0</v>
      </c>
      <c r="C3443" s="44">
        <v>9.31</v>
      </c>
      <c r="D3443" s="46">
        <v>45086.0</v>
      </c>
      <c r="E3443" s="24">
        <v>4.66</v>
      </c>
      <c r="F3443" s="24">
        <v>19.56</v>
      </c>
      <c r="G3443" s="24">
        <v>0.42</v>
      </c>
      <c r="H3443" s="24" t="s">
        <v>6700</v>
      </c>
      <c r="I3443" s="24">
        <v>4.66</v>
      </c>
      <c r="J3443" s="24">
        <v>0.0</v>
      </c>
    </row>
    <row r="3444">
      <c r="A3444" s="24">
        <v>351.0</v>
      </c>
      <c r="B3444" s="24">
        <v>6.0</v>
      </c>
      <c r="C3444" s="44">
        <v>10.71</v>
      </c>
      <c r="D3444" s="46">
        <v>45086.0</v>
      </c>
      <c r="E3444" s="24">
        <v>1.78</v>
      </c>
      <c r="F3444" s="24">
        <v>30.51</v>
      </c>
      <c r="G3444" s="24">
        <v>1.71</v>
      </c>
      <c r="H3444" s="24" t="s">
        <v>6698</v>
      </c>
      <c r="I3444" s="24">
        <v>5.36</v>
      </c>
      <c r="J3444" s="24">
        <v>0.0</v>
      </c>
    </row>
    <row r="3445">
      <c r="A3445" s="24">
        <v>138.0</v>
      </c>
      <c r="B3445" s="24">
        <v>4.0</v>
      </c>
      <c r="C3445" s="44">
        <v>10.33</v>
      </c>
      <c r="D3445" s="46">
        <v>45086.0</v>
      </c>
      <c r="E3445" s="24">
        <v>2.58</v>
      </c>
      <c r="F3445" s="24">
        <v>74.86</v>
      </c>
      <c r="G3445" s="24">
        <v>2.9</v>
      </c>
      <c r="H3445" s="24" t="s">
        <v>6699</v>
      </c>
      <c r="I3445" s="24" t="s">
        <v>6650</v>
      </c>
      <c r="J3445" s="24">
        <v>0.0</v>
      </c>
    </row>
    <row r="3446">
      <c r="A3446" s="24">
        <v>22.0</v>
      </c>
      <c r="B3446" s="24">
        <v>0.0</v>
      </c>
      <c r="C3446" s="44">
        <v>9.91</v>
      </c>
      <c r="D3446" s="46">
        <v>45087.0</v>
      </c>
      <c r="E3446" s="24" t="s">
        <v>6650</v>
      </c>
      <c r="F3446" s="24">
        <v>450.45</v>
      </c>
      <c r="G3446" s="24">
        <v>0.0</v>
      </c>
      <c r="H3446" s="24" t="s">
        <v>6697</v>
      </c>
      <c r="I3446" s="24" t="s">
        <v>6650</v>
      </c>
      <c r="J3446" s="24">
        <v>0.0</v>
      </c>
    </row>
    <row r="3447">
      <c r="A3447" s="24">
        <v>317.0</v>
      </c>
      <c r="B3447" s="24">
        <v>4.0</v>
      </c>
      <c r="C3447" s="44">
        <v>6.49</v>
      </c>
      <c r="D3447" s="46">
        <v>45087.0</v>
      </c>
      <c r="E3447" s="24">
        <v>1.62</v>
      </c>
      <c r="F3447" s="24">
        <v>20.47</v>
      </c>
      <c r="G3447" s="24">
        <v>1.26</v>
      </c>
      <c r="H3447" s="24" t="s">
        <v>6689</v>
      </c>
      <c r="I3447" s="24" t="s">
        <v>6650</v>
      </c>
      <c r="J3447" s="24">
        <v>0.0</v>
      </c>
    </row>
    <row r="3448">
      <c r="A3448" s="24">
        <v>87.0</v>
      </c>
      <c r="B3448" s="24">
        <v>0.0</v>
      </c>
      <c r="C3448" s="44">
        <v>6.79</v>
      </c>
      <c r="D3448" s="46">
        <v>45087.0</v>
      </c>
      <c r="E3448" s="24" t="s">
        <v>6650</v>
      </c>
      <c r="F3448" s="24">
        <v>78.05</v>
      </c>
      <c r="G3448" s="24">
        <v>0.0</v>
      </c>
      <c r="H3448" s="24" t="s">
        <v>6692</v>
      </c>
      <c r="I3448" s="24" t="s">
        <v>6650</v>
      </c>
      <c r="J3448" s="24">
        <v>0.0</v>
      </c>
    </row>
    <row r="3449">
      <c r="A3449" s="24">
        <v>1559.0</v>
      </c>
      <c r="B3449" s="24">
        <v>12.0</v>
      </c>
      <c r="C3449" s="44">
        <v>6.99</v>
      </c>
      <c r="D3449" s="46">
        <v>45087.0</v>
      </c>
      <c r="E3449" s="24">
        <v>0.58</v>
      </c>
      <c r="F3449" s="24">
        <v>4.48</v>
      </c>
      <c r="G3449" s="24">
        <v>0.77</v>
      </c>
      <c r="H3449" s="24" t="s">
        <v>6688</v>
      </c>
      <c r="I3449" s="24">
        <v>6.99</v>
      </c>
      <c r="J3449" s="24">
        <v>0.0</v>
      </c>
    </row>
    <row r="3450">
      <c r="A3450" s="24">
        <v>41.0</v>
      </c>
      <c r="B3450" s="24">
        <v>1.0</v>
      </c>
      <c r="C3450" s="44">
        <v>5.93</v>
      </c>
      <c r="D3450" s="46">
        <v>45087.0</v>
      </c>
      <c r="E3450" s="24">
        <v>5.93</v>
      </c>
      <c r="F3450" s="24">
        <v>144.63</v>
      </c>
      <c r="G3450" s="24">
        <v>2.44</v>
      </c>
      <c r="H3450" s="24" t="s">
        <v>6696</v>
      </c>
      <c r="I3450" s="24" t="s">
        <v>6650</v>
      </c>
      <c r="J3450" s="24">
        <v>0.0</v>
      </c>
    </row>
    <row r="3451">
      <c r="A3451" s="24">
        <v>285.0</v>
      </c>
      <c r="B3451" s="24">
        <v>11.0</v>
      </c>
      <c r="C3451" s="44">
        <v>6.29</v>
      </c>
      <c r="D3451" s="46">
        <v>45087.0</v>
      </c>
      <c r="E3451" s="24">
        <v>0.57</v>
      </c>
      <c r="F3451" s="24">
        <v>22.07</v>
      </c>
      <c r="G3451" s="24">
        <v>3.86</v>
      </c>
      <c r="H3451" s="24" t="s">
        <v>6698</v>
      </c>
      <c r="I3451" s="24">
        <v>2.1</v>
      </c>
      <c r="J3451" s="24">
        <v>0.0</v>
      </c>
    </row>
    <row r="3452">
      <c r="A3452" s="24">
        <v>68.0</v>
      </c>
      <c r="B3452" s="24">
        <v>2.0</v>
      </c>
      <c r="C3452" s="44">
        <v>6.51</v>
      </c>
      <c r="D3452" s="46">
        <v>45087.0</v>
      </c>
      <c r="E3452" s="24">
        <v>3.26</v>
      </c>
      <c r="F3452" s="24">
        <v>95.74</v>
      </c>
      <c r="G3452" s="24">
        <v>2.94</v>
      </c>
      <c r="H3452" s="24" t="s">
        <v>6699</v>
      </c>
      <c r="I3452" s="24">
        <v>6.51</v>
      </c>
      <c r="J3452" s="24">
        <v>0.0</v>
      </c>
    </row>
    <row r="3453">
      <c r="A3453" s="24">
        <v>74.0</v>
      </c>
      <c r="B3453" s="24">
        <v>1.0</v>
      </c>
      <c r="C3453" s="44">
        <v>8.31</v>
      </c>
      <c r="D3453" s="46">
        <v>45087.0</v>
      </c>
      <c r="E3453" s="24">
        <v>8.31</v>
      </c>
      <c r="F3453" s="24">
        <v>112.3</v>
      </c>
      <c r="G3453" s="24">
        <v>1.35</v>
      </c>
      <c r="H3453" s="24" t="s">
        <v>6680</v>
      </c>
      <c r="I3453" s="24" t="s">
        <v>6650</v>
      </c>
      <c r="J3453" s="24">
        <v>0.0</v>
      </c>
    </row>
    <row r="3454">
      <c r="A3454" s="24">
        <v>27.0</v>
      </c>
      <c r="B3454" s="24">
        <v>0.0</v>
      </c>
      <c r="C3454" s="44">
        <v>8.69</v>
      </c>
      <c r="D3454" s="46">
        <v>45087.0</v>
      </c>
      <c r="E3454" s="24" t="s">
        <v>6650</v>
      </c>
      <c r="F3454" s="24">
        <v>321.85</v>
      </c>
      <c r="G3454" s="24">
        <v>0.0</v>
      </c>
      <c r="H3454" s="24" t="s">
        <v>6695</v>
      </c>
      <c r="I3454" s="24" t="s">
        <v>6650</v>
      </c>
      <c r="J3454" s="24">
        <v>0.0</v>
      </c>
    </row>
    <row r="3455">
      <c r="A3455" s="24">
        <v>217.0</v>
      </c>
      <c r="B3455" s="24">
        <v>0.0</v>
      </c>
      <c r="C3455" s="44">
        <v>5.43</v>
      </c>
      <c r="D3455" s="46">
        <v>45087.0</v>
      </c>
      <c r="E3455" s="24" t="s">
        <v>6650</v>
      </c>
      <c r="F3455" s="24">
        <v>25.02</v>
      </c>
      <c r="G3455" s="24">
        <v>0.0</v>
      </c>
      <c r="H3455" s="24" t="s">
        <v>6700</v>
      </c>
      <c r="I3455" s="24">
        <v>5.43</v>
      </c>
      <c r="J3455" s="24">
        <v>0.0</v>
      </c>
    </row>
    <row r="3456">
      <c r="A3456" s="24">
        <v>52.0</v>
      </c>
      <c r="B3456" s="24">
        <v>0.0</v>
      </c>
      <c r="C3456" s="44">
        <v>6.63</v>
      </c>
      <c r="D3456" s="46">
        <v>45087.0</v>
      </c>
      <c r="E3456" s="24" t="s">
        <v>6650</v>
      </c>
      <c r="F3456" s="24">
        <v>127.5</v>
      </c>
      <c r="G3456" s="24">
        <v>0.0</v>
      </c>
      <c r="H3456" s="24" t="s">
        <v>6701</v>
      </c>
      <c r="I3456" s="24" t="s">
        <v>6650</v>
      </c>
      <c r="J3456" s="24">
        <v>0.0</v>
      </c>
    </row>
    <row r="3457">
      <c r="A3457" s="24">
        <v>20.0</v>
      </c>
      <c r="B3457" s="24">
        <v>0.0</v>
      </c>
      <c r="C3457" s="44">
        <v>3.95</v>
      </c>
      <c r="D3457" s="46">
        <v>45088.0</v>
      </c>
      <c r="E3457" s="24" t="s">
        <v>6650</v>
      </c>
      <c r="F3457" s="24">
        <v>197.5</v>
      </c>
      <c r="G3457" s="24">
        <v>0.0</v>
      </c>
      <c r="H3457" s="24" t="s">
        <v>6701</v>
      </c>
      <c r="I3457" s="24" t="s">
        <v>6650</v>
      </c>
      <c r="J3457" s="24">
        <v>0.0</v>
      </c>
    </row>
    <row r="3458">
      <c r="A3458" s="24">
        <v>4.0</v>
      </c>
      <c r="B3458" s="24">
        <v>0.0</v>
      </c>
      <c r="C3458" s="44">
        <v>0.03</v>
      </c>
      <c r="D3458" s="46">
        <v>45088.0</v>
      </c>
      <c r="E3458" s="24" t="s">
        <v>6650</v>
      </c>
      <c r="F3458" s="24">
        <v>7.5</v>
      </c>
      <c r="G3458" s="24">
        <v>0.0</v>
      </c>
      <c r="H3458" s="24" t="s">
        <v>6697</v>
      </c>
      <c r="I3458" s="24" t="s">
        <v>6650</v>
      </c>
      <c r="J3458" s="24">
        <v>0.0</v>
      </c>
    </row>
    <row r="3459">
      <c r="A3459" s="24">
        <v>97.0</v>
      </c>
      <c r="B3459" s="24">
        <v>1.0</v>
      </c>
      <c r="C3459" s="44">
        <v>5.59</v>
      </c>
      <c r="D3459" s="46">
        <v>45088.0</v>
      </c>
      <c r="E3459" s="24">
        <v>5.59</v>
      </c>
      <c r="F3459" s="24">
        <v>57.63</v>
      </c>
      <c r="G3459" s="24">
        <v>1.03</v>
      </c>
      <c r="H3459" s="24" t="s">
        <v>6680</v>
      </c>
      <c r="I3459" s="24" t="s">
        <v>6650</v>
      </c>
      <c r="J3459" s="24">
        <v>0.0</v>
      </c>
    </row>
    <row r="3460">
      <c r="A3460" s="24">
        <v>262.0</v>
      </c>
      <c r="B3460" s="24">
        <v>4.0</v>
      </c>
      <c r="C3460" s="44">
        <v>5.53</v>
      </c>
      <c r="D3460" s="46">
        <v>45088.0</v>
      </c>
      <c r="E3460" s="24">
        <v>1.38</v>
      </c>
      <c r="F3460" s="24">
        <v>21.11</v>
      </c>
      <c r="G3460" s="24">
        <v>1.53</v>
      </c>
      <c r="H3460" s="24" t="s">
        <v>6689</v>
      </c>
      <c r="I3460" s="24">
        <v>5.53</v>
      </c>
      <c r="J3460" s="24">
        <v>0.0</v>
      </c>
    </row>
    <row r="3461">
      <c r="A3461" s="24">
        <v>44.0</v>
      </c>
      <c r="B3461" s="24">
        <v>0.0</v>
      </c>
      <c r="C3461" s="44">
        <v>4.33</v>
      </c>
      <c r="D3461" s="46">
        <v>45088.0</v>
      </c>
      <c r="E3461" s="24" t="s">
        <v>6650</v>
      </c>
      <c r="F3461" s="24">
        <v>98.41</v>
      </c>
      <c r="G3461" s="24">
        <v>0.0</v>
      </c>
      <c r="H3461" s="24" t="s">
        <v>6699</v>
      </c>
      <c r="I3461" s="24" t="s">
        <v>6650</v>
      </c>
      <c r="J3461" s="24">
        <v>0.0</v>
      </c>
    </row>
    <row r="3462">
      <c r="A3462" s="24">
        <v>30.0</v>
      </c>
      <c r="B3462" s="24">
        <v>0.0</v>
      </c>
      <c r="C3462" s="44">
        <v>4.97</v>
      </c>
      <c r="D3462" s="46">
        <v>45088.0</v>
      </c>
      <c r="E3462" s="24" t="s">
        <v>6650</v>
      </c>
      <c r="F3462" s="24">
        <v>165.67</v>
      </c>
      <c r="G3462" s="24">
        <v>0.0</v>
      </c>
      <c r="H3462" s="24" t="s">
        <v>6696</v>
      </c>
      <c r="I3462" s="24" t="s">
        <v>6650</v>
      </c>
      <c r="J3462" s="24">
        <v>0.0</v>
      </c>
    </row>
    <row r="3463">
      <c r="A3463" s="24">
        <v>39.0</v>
      </c>
      <c r="B3463" s="24">
        <v>1.0</v>
      </c>
      <c r="C3463" s="44">
        <v>2.14</v>
      </c>
      <c r="D3463" s="46">
        <v>45088.0</v>
      </c>
      <c r="E3463" s="24">
        <v>2.14</v>
      </c>
      <c r="F3463" s="24">
        <v>54.87</v>
      </c>
      <c r="G3463" s="24">
        <v>2.56</v>
      </c>
      <c r="H3463" s="24" t="s">
        <v>6695</v>
      </c>
      <c r="I3463" s="24" t="s">
        <v>6650</v>
      </c>
      <c r="J3463" s="24">
        <v>0.0</v>
      </c>
    </row>
    <row r="3464">
      <c r="A3464" s="24">
        <v>203.0</v>
      </c>
      <c r="B3464" s="24">
        <v>1.0</v>
      </c>
      <c r="C3464" s="44">
        <v>6.43</v>
      </c>
      <c r="D3464" s="46">
        <v>45088.0</v>
      </c>
      <c r="E3464" s="24">
        <v>6.43</v>
      </c>
      <c r="F3464" s="24">
        <v>31.67</v>
      </c>
      <c r="G3464" s="24">
        <v>0.49</v>
      </c>
      <c r="H3464" s="24" t="s">
        <v>6698</v>
      </c>
      <c r="I3464" s="24" t="s">
        <v>6650</v>
      </c>
      <c r="J3464" s="24">
        <v>0.0</v>
      </c>
    </row>
    <row r="3465">
      <c r="A3465" s="24">
        <v>54.0</v>
      </c>
      <c r="B3465" s="24">
        <v>0.0</v>
      </c>
      <c r="C3465" s="44">
        <v>5.02</v>
      </c>
      <c r="D3465" s="46">
        <v>45088.0</v>
      </c>
      <c r="E3465" s="24" t="s">
        <v>6650</v>
      </c>
      <c r="F3465" s="24">
        <v>92.96</v>
      </c>
      <c r="G3465" s="24">
        <v>0.0</v>
      </c>
      <c r="H3465" s="24" t="s">
        <v>6692</v>
      </c>
      <c r="I3465" s="24" t="s">
        <v>6650</v>
      </c>
      <c r="J3465" s="24">
        <v>0.0</v>
      </c>
    </row>
    <row r="3466">
      <c r="A3466" s="24">
        <v>1086.0</v>
      </c>
      <c r="B3466" s="24">
        <v>11.0</v>
      </c>
      <c r="C3466" s="44">
        <v>6.53</v>
      </c>
      <c r="D3466" s="46">
        <v>45088.0</v>
      </c>
      <c r="E3466" s="24">
        <v>0.59</v>
      </c>
      <c r="F3466" s="24">
        <v>6.01</v>
      </c>
      <c r="G3466" s="24">
        <v>1.01</v>
      </c>
      <c r="H3466" s="24" t="s">
        <v>6688</v>
      </c>
      <c r="I3466" s="24">
        <v>6.53</v>
      </c>
      <c r="J3466" s="24">
        <v>0.0</v>
      </c>
    </row>
    <row r="3467">
      <c r="A3467" s="24">
        <v>141.0</v>
      </c>
      <c r="B3467" s="24">
        <v>0.0</v>
      </c>
      <c r="C3467" s="44">
        <v>5.54</v>
      </c>
      <c r="D3467" s="46">
        <v>45088.0</v>
      </c>
      <c r="E3467" s="24" t="s">
        <v>6650</v>
      </c>
      <c r="F3467" s="24">
        <v>39.29</v>
      </c>
      <c r="G3467" s="24">
        <v>0.0</v>
      </c>
      <c r="H3467" s="24" t="s">
        <v>6700</v>
      </c>
      <c r="I3467" s="24">
        <v>5.54</v>
      </c>
      <c r="J3467" s="24">
        <v>0.0</v>
      </c>
    </row>
    <row r="3468">
      <c r="A3468" s="24">
        <v>54.0</v>
      </c>
      <c r="B3468" s="24">
        <v>0.0</v>
      </c>
      <c r="C3468" s="44">
        <v>10.98</v>
      </c>
      <c r="D3468" s="46">
        <v>45089.0</v>
      </c>
      <c r="E3468" s="24" t="s">
        <v>6650</v>
      </c>
      <c r="F3468" s="24">
        <v>203.33</v>
      </c>
      <c r="G3468" s="24">
        <v>0.0</v>
      </c>
      <c r="H3468" s="24" t="s">
        <v>6701</v>
      </c>
      <c r="I3468" s="24" t="s">
        <v>6650</v>
      </c>
      <c r="J3468" s="24">
        <v>0.0</v>
      </c>
    </row>
    <row r="3469">
      <c r="A3469" s="24">
        <v>570.0</v>
      </c>
      <c r="B3469" s="24">
        <v>9.0</v>
      </c>
      <c r="C3469" s="44">
        <v>11.26</v>
      </c>
      <c r="D3469" s="46">
        <v>45089.0</v>
      </c>
      <c r="E3469" s="24">
        <v>1.25</v>
      </c>
      <c r="F3469" s="24">
        <v>19.75</v>
      </c>
      <c r="G3469" s="24">
        <v>1.58</v>
      </c>
      <c r="H3469" s="24" t="s">
        <v>6698</v>
      </c>
      <c r="I3469" s="24">
        <v>3.75</v>
      </c>
      <c r="J3469" s="24">
        <v>0.0</v>
      </c>
    </row>
    <row r="3470">
      <c r="A3470" s="24">
        <v>61.0</v>
      </c>
      <c r="B3470" s="24">
        <v>1.0</v>
      </c>
      <c r="C3470" s="44">
        <v>10.93</v>
      </c>
      <c r="D3470" s="46">
        <v>45089.0</v>
      </c>
      <c r="E3470" s="24">
        <v>10.93</v>
      </c>
      <c r="F3470" s="24">
        <v>179.18</v>
      </c>
      <c r="G3470" s="24">
        <v>1.64</v>
      </c>
      <c r="H3470" s="24" t="s">
        <v>6697</v>
      </c>
      <c r="I3470" s="24" t="s">
        <v>6650</v>
      </c>
      <c r="J3470" s="24">
        <v>0.0</v>
      </c>
    </row>
    <row r="3471">
      <c r="A3471" s="24">
        <v>103.0</v>
      </c>
      <c r="B3471" s="24">
        <v>0.0</v>
      </c>
      <c r="C3471" s="44">
        <v>11.88</v>
      </c>
      <c r="D3471" s="46">
        <v>45089.0</v>
      </c>
      <c r="E3471" s="24" t="s">
        <v>6650</v>
      </c>
      <c r="F3471" s="24">
        <v>115.34</v>
      </c>
      <c r="G3471" s="24">
        <v>0.0</v>
      </c>
      <c r="H3471" s="24" t="s">
        <v>6696</v>
      </c>
      <c r="I3471" s="24">
        <v>11.88</v>
      </c>
      <c r="J3471" s="24">
        <v>0.0</v>
      </c>
    </row>
    <row r="3472">
      <c r="A3472" s="24">
        <v>172.0</v>
      </c>
      <c r="B3472" s="24">
        <v>2.0</v>
      </c>
      <c r="C3472" s="44">
        <v>10.48</v>
      </c>
      <c r="D3472" s="46">
        <v>45089.0</v>
      </c>
      <c r="E3472" s="24">
        <v>5.24</v>
      </c>
      <c r="F3472" s="24">
        <v>60.93</v>
      </c>
      <c r="G3472" s="24">
        <v>1.16</v>
      </c>
      <c r="H3472" s="24" t="s">
        <v>6699</v>
      </c>
      <c r="I3472" s="24">
        <v>10.48</v>
      </c>
      <c r="J3472" s="24">
        <v>0.0</v>
      </c>
    </row>
    <row r="3473">
      <c r="A3473" s="24">
        <v>2062.0</v>
      </c>
      <c r="B3473" s="24">
        <v>13.0</v>
      </c>
      <c r="C3473" s="44">
        <v>10.49</v>
      </c>
      <c r="D3473" s="46">
        <v>45089.0</v>
      </c>
      <c r="E3473" s="24">
        <v>0.81</v>
      </c>
      <c r="F3473" s="24">
        <v>5.09</v>
      </c>
      <c r="G3473" s="24">
        <v>0.63</v>
      </c>
      <c r="H3473" s="24" t="s">
        <v>6688</v>
      </c>
      <c r="I3473" s="24">
        <v>2.1</v>
      </c>
      <c r="J3473" s="24">
        <v>0.0</v>
      </c>
    </row>
    <row r="3474">
      <c r="A3474" s="24">
        <v>85.0</v>
      </c>
      <c r="B3474" s="24">
        <v>0.0</v>
      </c>
      <c r="C3474" s="44">
        <v>12.3</v>
      </c>
      <c r="D3474" s="46">
        <v>45089.0</v>
      </c>
      <c r="E3474" s="24" t="s">
        <v>6650</v>
      </c>
      <c r="F3474" s="24">
        <v>144.71</v>
      </c>
      <c r="G3474" s="24">
        <v>0.0</v>
      </c>
      <c r="H3474" s="24" t="s">
        <v>6695</v>
      </c>
      <c r="I3474" s="24" t="s">
        <v>6650</v>
      </c>
      <c r="J3474" s="24">
        <v>0.0</v>
      </c>
    </row>
    <row r="3475">
      <c r="A3475" s="24">
        <v>884.0</v>
      </c>
      <c r="B3475" s="24">
        <v>11.0</v>
      </c>
      <c r="C3475" s="44">
        <v>10.17</v>
      </c>
      <c r="D3475" s="46">
        <v>45089.0</v>
      </c>
      <c r="E3475" s="24">
        <v>0.92</v>
      </c>
      <c r="F3475" s="24">
        <v>11.5</v>
      </c>
      <c r="G3475" s="24">
        <v>1.24</v>
      </c>
      <c r="H3475" s="24" t="s">
        <v>6689</v>
      </c>
      <c r="I3475" s="24" t="s">
        <v>6650</v>
      </c>
      <c r="J3475" s="24">
        <v>0.0</v>
      </c>
    </row>
    <row r="3476">
      <c r="A3476" s="24">
        <v>339.0</v>
      </c>
      <c r="B3476" s="24">
        <v>0.0</v>
      </c>
      <c r="C3476" s="44">
        <v>11.25</v>
      </c>
      <c r="D3476" s="46">
        <v>45089.0</v>
      </c>
      <c r="E3476" s="24" t="s">
        <v>6650</v>
      </c>
      <c r="F3476" s="24">
        <v>33.19</v>
      </c>
      <c r="G3476" s="24">
        <v>0.0</v>
      </c>
      <c r="H3476" s="24" t="s">
        <v>6692</v>
      </c>
      <c r="I3476" s="24">
        <v>11.25</v>
      </c>
      <c r="J3476" s="24">
        <v>0.0</v>
      </c>
    </row>
    <row r="3477">
      <c r="A3477" s="24">
        <v>474.0</v>
      </c>
      <c r="B3477" s="24">
        <v>0.0</v>
      </c>
      <c r="C3477" s="44">
        <v>11.28</v>
      </c>
      <c r="D3477" s="46">
        <v>45089.0</v>
      </c>
      <c r="E3477" s="24" t="s">
        <v>6650</v>
      </c>
      <c r="F3477" s="24">
        <v>23.8</v>
      </c>
      <c r="G3477" s="24">
        <v>0.0</v>
      </c>
      <c r="H3477" s="24" t="s">
        <v>6700</v>
      </c>
      <c r="I3477" s="24">
        <v>11.28</v>
      </c>
      <c r="J3477" s="24">
        <v>0.0</v>
      </c>
    </row>
    <row r="3478">
      <c r="A3478" s="24">
        <v>298.0</v>
      </c>
      <c r="B3478" s="24">
        <v>0.0</v>
      </c>
      <c r="C3478" s="44">
        <v>12.82</v>
      </c>
      <c r="D3478" s="46">
        <v>45089.0</v>
      </c>
      <c r="E3478" s="24" t="s">
        <v>6650</v>
      </c>
      <c r="F3478" s="24">
        <v>43.02</v>
      </c>
      <c r="G3478" s="24">
        <v>0.0</v>
      </c>
      <c r="H3478" s="24" t="s">
        <v>6680</v>
      </c>
      <c r="I3478" s="24" t="s">
        <v>6650</v>
      </c>
      <c r="J3478" s="24">
        <v>0.0</v>
      </c>
    </row>
    <row r="3479">
      <c r="A3479" s="24">
        <v>63.0</v>
      </c>
      <c r="B3479" s="24">
        <v>0.0</v>
      </c>
      <c r="C3479" s="44">
        <v>13.57</v>
      </c>
      <c r="D3479" s="46">
        <v>45090.0</v>
      </c>
      <c r="E3479" s="24" t="s">
        <v>6650</v>
      </c>
      <c r="F3479" s="24">
        <v>215.4</v>
      </c>
      <c r="G3479" s="24">
        <v>0.0</v>
      </c>
      <c r="H3479" s="24" t="s">
        <v>6695</v>
      </c>
      <c r="I3479" s="24" t="s">
        <v>6650</v>
      </c>
      <c r="J3479" s="24">
        <v>0.0</v>
      </c>
    </row>
    <row r="3480">
      <c r="A3480" s="24">
        <v>137.0</v>
      </c>
      <c r="B3480" s="24">
        <v>0.0</v>
      </c>
      <c r="C3480" s="44">
        <v>12.32</v>
      </c>
      <c r="D3480" s="46">
        <v>45090.0</v>
      </c>
      <c r="E3480" s="24" t="s">
        <v>6650</v>
      </c>
      <c r="F3480" s="24">
        <v>89.93</v>
      </c>
      <c r="G3480" s="24">
        <v>0.0</v>
      </c>
      <c r="H3480" s="24" t="s">
        <v>6701</v>
      </c>
      <c r="I3480" s="24" t="s">
        <v>6650</v>
      </c>
      <c r="J3480" s="24">
        <v>0.0</v>
      </c>
    </row>
    <row r="3481">
      <c r="A3481" s="24">
        <v>66.0</v>
      </c>
      <c r="B3481" s="24">
        <v>1.0</v>
      </c>
      <c r="C3481" s="44">
        <v>11.98</v>
      </c>
      <c r="D3481" s="46">
        <v>45090.0</v>
      </c>
      <c r="E3481" s="24">
        <v>11.98</v>
      </c>
      <c r="F3481" s="24">
        <v>181.52</v>
      </c>
      <c r="G3481" s="24">
        <v>1.52</v>
      </c>
      <c r="H3481" s="24" t="s">
        <v>6697</v>
      </c>
      <c r="I3481" s="24" t="s">
        <v>6650</v>
      </c>
      <c r="J3481" s="24">
        <v>0.0</v>
      </c>
    </row>
    <row r="3482">
      <c r="A3482" s="24">
        <v>630.0</v>
      </c>
      <c r="B3482" s="24">
        <v>8.0</v>
      </c>
      <c r="C3482" s="44">
        <v>11.94</v>
      </c>
      <c r="D3482" s="46">
        <v>45090.0</v>
      </c>
      <c r="E3482" s="24">
        <v>1.49</v>
      </c>
      <c r="F3482" s="24">
        <v>18.95</v>
      </c>
      <c r="G3482" s="24">
        <v>1.27</v>
      </c>
      <c r="H3482" s="24" t="s">
        <v>6698</v>
      </c>
      <c r="I3482" s="24">
        <v>3.98</v>
      </c>
      <c r="J3482" s="24">
        <v>0.0</v>
      </c>
    </row>
    <row r="3483">
      <c r="A3483" s="24">
        <v>1994.0</v>
      </c>
      <c r="B3483" s="24">
        <v>7.0</v>
      </c>
      <c r="C3483" s="44">
        <v>11.6</v>
      </c>
      <c r="D3483" s="46">
        <v>45090.0</v>
      </c>
      <c r="E3483" s="24">
        <v>1.66</v>
      </c>
      <c r="F3483" s="24">
        <v>5.82</v>
      </c>
      <c r="G3483" s="24">
        <v>0.35</v>
      </c>
      <c r="H3483" s="24" t="s">
        <v>6688</v>
      </c>
      <c r="I3483" s="24">
        <v>2.9</v>
      </c>
      <c r="J3483" s="24">
        <v>0.0</v>
      </c>
    </row>
    <row r="3484">
      <c r="A3484" s="24">
        <v>267.0</v>
      </c>
      <c r="B3484" s="24">
        <v>0.0</v>
      </c>
      <c r="C3484" s="44">
        <v>12.91</v>
      </c>
      <c r="D3484" s="46">
        <v>45090.0</v>
      </c>
      <c r="E3484" s="24" t="s">
        <v>6650</v>
      </c>
      <c r="F3484" s="24">
        <v>48.35</v>
      </c>
      <c r="G3484" s="24">
        <v>0.0</v>
      </c>
      <c r="H3484" s="24" t="s">
        <v>6680</v>
      </c>
      <c r="I3484" s="24" t="s">
        <v>6650</v>
      </c>
      <c r="J3484" s="24">
        <v>0.0</v>
      </c>
    </row>
    <row r="3485">
      <c r="A3485" s="24">
        <v>343.0</v>
      </c>
      <c r="B3485" s="24">
        <v>1.0</v>
      </c>
      <c r="C3485" s="44">
        <v>11.88</v>
      </c>
      <c r="D3485" s="46">
        <v>45090.0</v>
      </c>
      <c r="E3485" s="24">
        <v>11.88</v>
      </c>
      <c r="F3485" s="24">
        <v>34.64</v>
      </c>
      <c r="G3485" s="24">
        <v>0.29</v>
      </c>
      <c r="H3485" s="24" t="s">
        <v>6692</v>
      </c>
      <c r="I3485" s="24" t="s">
        <v>6650</v>
      </c>
      <c r="J3485" s="24">
        <v>0.0</v>
      </c>
    </row>
    <row r="3486">
      <c r="A3486" s="24">
        <v>329.0</v>
      </c>
      <c r="B3486" s="24">
        <v>2.0</v>
      </c>
      <c r="C3486" s="44">
        <v>12.52</v>
      </c>
      <c r="D3486" s="46">
        <v>45090.0</v>
      </c>
      <c r="E3486" s="24">
        <v>6.26</v>
      </c>
      <c r="F3486" s="24">
        <v>38.05</v>
      </c>
      <c r="G3486" s="24">
        <v>0.61</v>
      </c>
      <c r="H3486" s="24" t="s">
        <v>6700</v>
      </c>
      <c r="I3486" s="24">
        <v>12.52</v>
      </c>
      <c r="J3486" s="24">
        <v>0.0</v>
      </c>
    </row>
    <row r="3487">
      <c r="A3487" s="24">
        <v>141.0</v>
      </c>
      <c r="B3487" s="24">
        <v>2.0</v>
      </c>
      <c r="C3487" s="44">
        <v>12.3</v>
      </c>
      <c r="D3487" s="46">
        <v>45090.0</v>
      </c>
      <c r="E3487" s="24">
        <v>6.15</v>
      </c>
      <c r="F3487" s="24">
        <v>87.23</v>
      </c>
      <c r="G3487" s="24">
        <v>1.42</v>
      </c>
      <c r="H3487" s="24" t="s">
        <v>6696</v>
      </c>
      <c r="I3487" s="24">
        <v>12.3</v>
      </c>
      <c r="J3487" s="24">
        <v>0.0</v>
      </c>
    </row>
    <row r="3488">
      <c r="A3488" s="24">
        <v>942.0</v>
      </c>
      <c r="B3488" s="24">
        <v>7.0</v>
      </c>
      <c r="C3488" s="44">
        <v>11.92</v>
      </c>
      <c r="D3488" s="46">
        <v>45090.0</v>
      </c>
      <c r="E3488" s="24">
        <v>1.7</v>
      </c>
      <c r="F3488" s="24">
        <v>12.65</v>
      </c>
      <c r="G3488" s="24">
        <v>0.74</v>
      </c>
      <c r="H3488" s="24" t="s">
        <v>6689</v>
      </c>
      <c r="I3488" s="24">
        <v>11.92</v>
      </c>
      <c r="J3488" s="24">
        <v>0.0</v>
      </c>
    </row>
    <row r="3489">
      <c r="A3489" s="24">
        <v>146.0</v>
      </c>
      <c r="B3489" s="24">
        <v>2.0</v>
      </c>
      <c r="C3489" s="44">
        <v>12.56</v>
      </c>
      <c r="D3489" s="46">
        <v>45090.0</v>
      </c>
      <c r="E3489" s="24">
        <v>6.28</v>
      </c>
      <c r="F3489" s="24">
        <v>86.03</v>
      </c>
      <c r="G3489" s="24">
        <v>1.37</v>
      </c>
      <c r="H3489" s="24" t="s">
        <v>6699</v>
      </c>
      <c r="I3489" s="24" t="s">
        <v>6650</v>
      </c>
      <c r="J3489" s="24">
        <v>0.0</v>
      </c>
    </row>
    <row r="3490">
      <c r="A3490" s="24">
        <v>43.0</v>
      </c>
      <c r="B3490" s="24">
        <v>0.0</v>
      </c>
      <c r="C3490" s="44">
        <v>13.66</v>
      </c>
      <c r="D3490" s="46">
        <v>45091.0</v>
      </c>
      <c r="E3490" s="24" t="s">
        <v>6650</v>
      </c>
      <c r="F3490" s="24">
        <v>317.67</v>
      </c>
      <c r="G3490" s="24">
        <v>0.0</v>
      </c>
      <c r="H3490" s="24" t="s">
        <v>6697</v>
      </c>
      <c r="I3490" s="24" t="s">
        <v>6650</v>
      </c>
      <c r="J3490" s="24">
        <v>0.0</v>
      </c>
    </row>
    <row r="3491">
      <c r="A3491" s="24">
        <v>888.0</v>
      </c>
      <c r="B3491" s="24">
        <v>8.0</v>
      </c>
      <c r="C3491" s="44">
        <v>12.1</v>
      </c>
      <c r="D3491" s="46">
        <v>45091.0</v>
      </c>
      <c r="E3491" s="24">
        <v>1.51</v>
      </c>
      <c r="F3491" s="24">
        <v>13.63</v>
      </c>
      <c r="G3491" s="24">
        <v>0.9</v>
      </c>
      <c r="H3491" s="24" t="s">
        <v>6689</v>
      </c>
      <c r="I3491" s="24">
        <v>12.1</v>
      </c>
      <c r="J3491" s="24">
        <v>0.0</v>
      </c>
    </row>
    <row r="3492">
      <c r="A3492" s="24">
        <v>81.0</v>
      </c>
      <c r="B3492" s="24">
        <v>1.0</v>
      </c>
      <c r="C3492" s="44">
        <v>12.16</v>
      </c>
      <c r="D3492" s="46">
        <v>45091.0</v>
      </c>
      <c r="E3492" s="24">
        <v>12.16</v>
      </c>
      <c r="F3492" s="24">
        <v>150.12</v>
      </c>
      <c r="G3492" s="24">
        <v>1.23</v>
      </c>
      <c r="H3492" s="24" t="s">
        <v>6695</v>
      </c>
      <c r="I3492" s="24" t="s">
        <v>6650</v>
      </c>
      <c r="J3492" s="24">
        <v>0.0</v>
      </c>
    </row>
    <row r="3493">
      <c r="A3493" s="24">
        <v>102.0</v>
      </c>
      <c r="B3493" s="24">
        <v>0.0</v>
      </c>
      <c r="C3493" s="44">
        <v>12.66</v>
      </c>
      <c r="D3493" s="46">
        <v>45091.0</v>
      </c>
      <c r="E3493" s="24" t="s">
        <v>6650</v>
      </c>
      <c r="F3493" s="24">
        <v>124.12</v>
      </c>
      <c r="G3493" s="24">
        <v>0.0</v>
      </c>
      <c r="H3493" s="24" t="s">
        <v>6701</v>
      </c>
      <c r="I3493" s="24" t="s">
        <v>6650</v>
      </c>
      <c r="J3493" s="24">
        <v>0.0</v>
      </c>
    </row>
    <row r="3494">
      <c r="A3494" s="24">
        <v>140.0</v>
      </c>
      <c r="B3494" s="24">
        <v>1.0</v>
      </c>
      <c r="C3494" s="44">
        <v>11.72</v>
      </c>
      <c r="D3494" s="46">
        <v>45091.0</v>
      </c>
      <c r="E3494" s="24">
        <v>11.72</v>
      </c>
      <c r="F3494" s="24">
        <v>83.71</v>
      </c>
      <c r="G3494" s="24">
        <v>0.71</v>
      </c>
      <c r="H3494" s="24" t="s">
        <v>6696</v>
      </c>
      <c r="I3494" s="24" t="s">
        <v>6650</v>
      </c>
      <c r="J3494" s="24">
        <v>0.0</v>
      </c>
    </row>
    <row r="3495">
      <c r="A3495" s="24">
        <v>421.0</v>
      </c>
      <c r="B3495" s="24">
        <v>4.0</v>
      </c>
      <c r="C3495" s="44">
        <v>13.52</v>
      </c>
      <c r="D3495" s="46">
        <v>45091.0</v>
      </c>
      <c r="E3495" s="24">
        <v>3.38</v>
      </c>
      <c r="F3495" s="24">
        <v>32.11</v>
      </c>
      <c r="G3495" s="24">
        <v>0.95</v>
      </c>
      <c r="H3495" s="24" t="s">
        <v>6680</v>
      </c>
      <c r="I3495" s="24" t="s">
        <v>6650</v>
      </c>
      <c r="J3495" s="24">
        <v>0.0</v>
      </c>
    </row>
    <row r="3496">
      <c r="A3496" s="24">
        <v>412.0</v>
      </c>
      <c r="B3496" s="24">
        <v>4.0</v>
      </c>
      <c r="C3496" s="44">
        <v>12.21</v>
      </c>
      <c r="D3496" s="46">
        <v>45091.0</v>
      </c>
      <c r="E3496" s="24">
        <v>3.05</v>
      </c>
      <c r="F3496" s="24">
        <v>29.64</v>
      </c>
      <c r="G3496" s="24">
        <v>0.97</v>
      </c>
      <c r="H3496" s="24" t="s">
        <v>6692</v>
      </c>
      <c r="I3496" s="24" t="s">
        <v>6650</v>
      </c>
      <c r="J3496" s="24">
        <v>0.0</v>
      </c>
    </row>
    <row r="3497">
      <c r="A3497" s="24">
        <v>163.0</v>
      </c>
      <c r="B3497" s="24">
        <v>1.0</v>
      </c>
      <c r="C3497" s="44">
        <v>12.59</v>
      </c>
      <c r="D3497" s="46">
        <v>45091.0</v>
      </c>
      <c r="E3497" s="24">
        <v>12.59</v>
      </c>
      <c r="F3497" s="24">
        <v>77.24</v>
      </c>
      <c r="G3497" s="24">
        <v>0.61</v>
      </c>
      <c r="H3497" s="24" t="s">
        <v>6699</v>
      </c>
      <c r="I3497" s="24">
        <v>12.59</v>
      </c>
      <c r="J3497" s="24">
        <v>0.0</v>
      </c>
    </row>
    <row r="3498">
      <c r="A3498" s="24">
        <v>373.0</v>
      </c>
      <c r="B3498" s="24">
        <v>3.0</v>
      </c>
      <c r="C3498" s="44">
        <v>11.61</v>
      </c>
      <c r="D3498" s="46">
        <v>45091.0</v>
      </c>
      <c r="E3498" s="24">
        <v>3.87</v>
      </c>
      <c r="F3498" s="24">
        <v>31.13</v>
      </c>
      <c r="G3498" s="24">
        <v>0.8</v>
      </c>
      <c r="H3498" s="24" t="s">
        <v>6700</v>
      </c>
      <c r="I3498" s="24" t="s">
        <v>6650</v>
      </c>
      <c r="J3498" s="24">
        <v>0.0</v>
      </c>
    </row>
    <row r="3499">
      <c r="A3499" s="24">
        <v>589.0</v>
      </c>
      <c r="B3499" s="24">
        <v>5.0</v>
      </c>
      <c r="C3499" s="44">
        <v>11.68</v>
      </c>
      <c r="D3499" s="46">
        <v>45091.0</v>
      </c>
      <c r="E3499" s="24">
        <v>2.34</v>
      </c>
      <c r="F3499" s="24">
        <v>19.83</v>
      </c>
      <c r="G3499" s="24">
        <v>0.85</v>
      </c>
      <c r="H3499" s="24" t="s">
        <v>6698</v>
      </c>
      <c r="I3499" s="24">
        <v>11.68</v>
      </c>
      <c r="J3499" s="24">
        <v>0.0</v>
      </c>
    </row>
    <row r="3500">
      <c r="A3500" s="24">
        <v>1970.0</v>
      </c>
      <c r="B3500" s="24">
        <v>6.0</v>
      </c>
      <c r="C3500" s="44">
        <v>11.42</v>
      </c>
      <c r="D3500" s="46">
        <v>45091.0</v>
      </c>
      <c r="E3500" s="24">
        <v>1.9</v>
      </c>
      <c r="F3500" s="24">
        <v>5.8</v>
      </c>
      <c r="G3500" s="24">
        <v>0.3</v>
      </c>
      <c r="H3500" s="24" t="s">
        <v>6688</v>
      </c>
      <c r="I3500" s="24">
        <v>5.71</v>
      </c>
      <c r="J3500" s="24">
        <v>0.0</v>
      </c>
    </row>
    <row r="3501">
      <c r="A3501" s="24">
        <v>208.0</v>
      </c>
      <c r="B3501" s="24">
        <v>3.0</v>
      </c>
      <c r="C3501" s="44">
        <v>11.75</v>
      </c>
      <c r="D3501" s="46">
        <v>45092.0</v>
      </c>
      <c r="E3501" s="24">
        <v>3.92</v>
      </c>
      <c r="F3501" s="24">
        <v>56.49</v>
      </c>
      <c r="G3501" s="24">
        <v>1.44</v>
      </c>
      <c r="H3501" s="24" t="s">
        <v>6699</v>
      </c>
      <c r="I3501" s="24">
        <v>11.75</v>
      </c>
      <c r="J3501" s="24">
        <v>0.0</v>
      </c>
    </row>
    <row r="3502">
      <c r="A3502" s="24">
        <v>106.0</v>
      </c>
      <c r="B3502" s="24">
        <v>0.0</v>
      </c>
      <c r="C3502" s="44">
        <v>11.59</v>
      </c>
      <c r="D3502" s="46">
        <v>45092.0</v>
      </c>
      <c r="E3502" s="24" t="s">
        <v>6650</v>
      </c>
      <c r="F3502" s="24">
        <v>109.34</v>
      </c>
      <c r="G3502" s="24">
        <v>0.0</v>
      </c>
      <c r="H3502" s="24" t="s">
        <v>6696</v>
      </c>
      <c r="I3502" s="24">
        <v>11.59</v>
      </c>
      <c r="J3502" s="24">
        <v>0.0</v>
      </c>
    </row>
    <row r="3503">
      <c r="A3503" s="24">
        <v>287.0</v>
      </c>
      <c r="B3503" s="24">
        <v>1.0</v>
      </c>
      <c r="C3503" s="44">
        <v>11.72</v>
      </c>
      <c r="D3503" s="46">
        <v>45092.0</v>
      </c>
      <c r="E3503" s="24">
        <v>11.72</v>
      </c>
      <c r="F3503" s="24">
        <v>40.84</v>
      </c>
      <c r="G3503" s="24">
        <v>0.35</v>
      </c>
      <c r="H3503" s="24" t="s">
        <v>6700</v>
      </c>
      <c r="I3503" s="24">
        <v>11.72</v>
      </c>
      <c r="J3503" s="24">
        <v>0.0</v>
      </c>
    </row>
    <row r="3504">
      <c r="A3504" s="24">
        <v>250.0</v>
      </c>
      <c r="B3504" s="24">
        <v>1.0</v>
      </c>
      <c r="C3504" s="44">
        <v>12.4</v>
      </c>
      <c r="D3504" s="46">
        <v>45092.0</v>
      </c>
      <c r="E3504" s="24">
        <v>12.4</v>
      </c>
      <c r="F3504" s="24">
        <v>49.6</v>
      </c>
      <c r="G3504" s="24">
        <v>0.4</v>
      </c>
      <c r="H3504" s="24" t="s">
        <v>6680</v>
      </c>
      <c r="I3504" s="24" t="s">
        <v>6650</v>
      </c>
      <c r="J3504" s="24">
        <v>0.0</v>
      </c>
    </row>
    <row r="3505">
      <c r="A3505" s="24">
        <v>52.0</v>
      </c>
      <c r="B3505" s="24">
        <v>0.0</v>
      </c>
      <c r="C3505" s="44">
        <v>11.83</v>
      </c>
      <c r="D3505" s="46">
        <v>45092.0</v>
      </c>
      <c r="E3505" s="24" t="s">
        <v>6650</v>
      </c>
      <c r="F3505" s="24">
        <v>227.5</v>
      </c>
      <c r="G3505" s="24">
        <v>0.0</v>
      </c>
      <c r="H3505" s="24" t="s">
        <v>6695</v>
      </c>
      <c r="I3505" s="24">
        <v>11.83</v>
      </c>
      <c r="J3505" s="24">
        <v>0.0</v>
      </c>
    </row>
    <row r="3506">
      <c r="A3506" s="24">
        <v>97.0</v>
      </c>
      <c r="B3506" s="24">
        <v>0.0</v>
      </c>
      <c r="C3506" s="44">
        <v>15.0</v>
      </c>
      <c r="D3506" s="46">
        <v>45092.0</v>
      </c>
      <c r="E3506" s="24" t="s">
        <v>6650</v>
      </c>
      <c r="F3506" s="24">
        <v>154.64</v>
      </c>
      <c r="G3506" s="24">
        <v>0.0</v>
      </c>
      <c r="H3506" s="24" t="s">
        <v>6701</v>
      </c>
      <c r="I3506" s="24" t="s">
        <v>6650</v>
      </c>
      <c r="J3506" s="24">
        <v>0.0</v>
      </c>
    </row>
    <row r="3507">
      <c r="A3507" s="24">
        <v>752.0</v>
      </c>
      <c r="B3507" s="24">
        <v>7.0</v>
      </c>
      <c r="C3507" s="44">
        <v>11.04</v>
      </c>
      <c r="D3507" s="46">
        <v>45092.0</v>
      </c>
      <c r="E3507" s="24">
        <v>1.58</v>
      </c>
      <c r="F3507" s="24">
        <v>14.68</v>
      </c>
      <c r="G3507" s="24">
        <v>0.93</v>
      </c>
      <c r="H3507" s="24" t="s">
        <v>6689</v>
      </c>
      <c r="I3507" s="24" t="s">
        <v>6650</v>
      </c>
      <c r="J3507" s="24">
        <v>0.0</v>
      </c>
    </row>
    <row r="3508">
      <c r="A3508" s="24">
        <v>373.0</v>
      </c>
      <c r="B3508" s="24">
        <v>2.0</v>
      </c>
      <c r="C3508" s="44">
        <v>11.39</v>
      </c>
      <c r="D3508" s="46">
        <v>45092.0</v>
      </c>
      <c r="E3508" s="24">
        <v>5.7</v>
      </c>
      <c r="F3508" s="24">
        <v>30.54</v>
      </c>
      <c r="G3508" s="24">
        <v>0.54</v>
      </c>
      <c r="H3508" s="24" t="s">
        <v>6692</v>
      </c>
      <c r="I3508" s="24" t="s">
        <v>6650</v>
      </c>
      <c r="J3508" s="24">
        <v>0.0</v>
      </c>
    </row>
    <row r="3509">
      <c r="A3509" s="24">
        <v>585.0</v>
      </c>
      <c r="B3509" s="24">
        <v>5.0</v>
      </c>
      <c r="C3509" s="44">
        <v>11.55</v>
      </c>
      <c r="D3509" s="46">
        <v>45092.0</v>
      </c>
      <c r="E3509" s="24">
        <v>2.31</v>
      </c>
      <c r="F3509" s="24">
        <v>19.74</v>
      </c>
      <c r="G3509" s="24">
        <v>0.85</v>
      </c>
      <c r="H3509" s="24" t="s">
        <v>6698</v>
      </c>
      <c r="I3509" s="24">
        <v>11.55</v>
      </c>
      <c r="J3509" s="24">
        <v>0.0</v>
      </c>
    </row>
    <row r="3510">
      <c r="A3510" s="24">
        <v>1414.0</v>
      </c>
      <c r="B3510" s="24">
        <v>10.0</v>
      </c>
      <c r="C3510" s="44">
        <v>10.4</v>
      </c>
      <c r="D3510" s="46">
        <v>45092.0</v>
      </c>
      <c r="E3510" s="24">
        <v>1.04</v>
      </c>
      <c r="F3510" s="24">
        <v>7.36</v>
      </c>
      <c r="G3510" s="24">
        <v>0.71</v>
      </c>
      <c r="H3510" s="24" t="s">
        <v>6688</v>
      </c>
      <c r="I3510" s="24">
        <v>1.73</v>
      </c>
      <c r="J3510" s="24">
        <v>0.0</v>
      </c>
    </row>
    <row r="3511">
      <c r="A3511" s="24">
        <v>63.0</v>
      </c>
      <c r="B3511" s="24">
        <v>1.0</v>
      </c>
      <c r="C3511" s="44">
        <v>11.91</v>
      </c>
      <c r="D3511" s="46">
        <v>45092.0</v>
      </c>
      <c r="E3511" s="24">
        <v>11.91</v>
      </c>
      <c r="F3511" s="24">
        <v>189.05</v>
      </c>
      <c r="G3511" s="24">
        <v>1.59</v>
      </c>
      <c r="H3511" s="24" t="s">
        <v>6697</v>
      </c>
      <c r="I3511" s="24">
        <v>11.91</v>
      </c>
      <c r="J3511" s="24">
        <v>0.0</v>
      </c>
    </row>
    <row r="3512">
      <c r="A3512" s="24">
        <v>75.0</v>
      </c>
      <c r="B3512" s="24">
        <v>0.0</v>
      </c>
      <c r="C3512" s="44">
        <v>9.91</v>
      </c>
      <c r="D3512" s="46">
        <v>45093.0</v>
      </c>
      <c r="E3512" s="24" t="s">
        <v>6650</v>
      </c>
      <c r="F3512" s="24">
        <v>132.13</v>
      </c>
      <c r="G3512" s="24">
        <v>0.0</v>
      </c>
      <c r="H3512" s="24" t="s">
        <v>6701</v>
      </c>
      <c r="I3512" s="24" t="s">
        <v>6650</v>
      </c>
      <c r="J3512" s="24">
        <v>0.0</v>
      </c>
    </row>
    <row r="3513">
      <c r="A3513" s="24">
        <v>137.0</v>
      </c>
      <c r="B3513" s="24">
        <v>3.0</v>
      </c>
      <c r="C3513" s="44">
        <v>10.96</v>
      </c>
      <c r="D3513" s="46">
        <v>45093.0</v>
      </c>
      <c r="E3513" s="24">
        <v>3.65</v>
      </c>
      <c r="F3513" s="24">
        <v>80.0</v>
      </c>
      <c r="G3513" s="24">
        <v>2.19</v>
      </c>
      <c r="H3513" s="24" t="s">
        <v>6696</v>
      </c>
      <c r="I3513" s="24" t="s">
        <v>6650</v>
      </c>
      <c r="J3513" s="24">
        <v>1.0</v>
      </c>
    </row>
    <row r="3514">
      <c r="A3514" s="24">
        <v>63.0</v>
      </c>
      <c r="B3514" s="24">
        <v>0.0</v>
      </c>
      <c r="C3514" s="44">
        <v>11.4</v>
      </c>
      <c r="D3514" s="46">
        <v>45093.0</v>
      </c>
      <c r="E3514" s="24" t="s">
        <v>6650</v>
      </c>
      <c r="F3514" s="24">
        <v>180.95</v>
      </c>
      <c r="G3514" s="24">
        <v>0.0</v>
      </c>
      <c r="H3514" s="24" t="s">
        <v>6697</v>
      </c>
      <c r="I3514" s="24" t="s">
        <v>6650</v>
      </c>
      <c r="J3514" s="24">
        <v>0.0</v>
      </c>
    </row>
    <row r="3515">
      <c r="A3515" s="24">
        <v>48.0</v>
      </c>
      <c r="B3515" s="24">
        <v>2.0</v>
      </c>
      <c r="C3515" s="44">
        <v>10.38</v>
      </c>
      <c r="D3515" s="46">
        <v>45093.0</v>
      </c>
      <c r="E3515" s="24">
        <v>5.19</v>
      </c>
      <c r="F3515" s="24">
        <v>216.25</v>
      </c>
      <c r="G3515" s="24">
        <v>4.17</v>
      </c>
      <c r="H3515" s="24" t="s">
        <v>6695</v>
      </c>
      <c r="I3515" s="24" t="s">
        <v>6650</v>
      </c>
      <c r="J3515" s="24">
        <v>0.0</v>
      </c>
    </row>
    <row r="3516">
      <c r="A3516" s="24">
        <v>64.0</v>
      </c>
      <c r="B3516" s="24">
        <v>0.0</v>
      </c>
      <c r="C3516" s="44">
        <v>0.51</v>
      </c>
      <c r="D3516" s="46">
        <v>45093.0</v>
      </c>
      <c r="E3516" s="24" t="s">
        <v>6650</v>
      </c>
      <c r="F3516" s="24">
        <v>7.97</v>
      </c>
      <c r="G3516" s="24">
        <v>0.0</v>
      </c>
      <c r="H3516" s="24" t="s">
        <v>6688</v>
      </c>
      <c r="I3516" s="24">
        <v>0.51</v>
      </c>
      <c r="J3516" s="24">
        <v>0.0</v>
      </c>
    </row>
    <row r="3517">
      <c r="A3517" s="24">
        <v>254.0</v>
      </c>
      <c r="B3517" s="24">
        <v>3.0</v>
      </c>
      <c r="C3517" s="44">
        <v>3.02</v>
      </c>
      <c r="D3517" s="46">
        <v>45093.0</v>
      </c>
      <c r="E3517" s="24">
        <v>1.01</v>
      </c>
      <c r="F3517" s="24">
        <v>11.89</v>
      </c>
      <c r="G3517" s="24">
        <v>1.18</v>
      </c>
      <c r="H3517" s="24" t="s">
        <v>6689</v>
      </c>
      <c r="I3517" s="24">
        <v>3.02</v>
      </c>
      <c r="J3517" s="24">
        <v>0.0</v>
      </c>
    </row>
    <row r="3518">
      <c r="A3518" s="24">
        <v>498.0</v>
      </c>
      <c r="B3518" s="24">
        <v>4.0</v>
      </c>
      <c r="C3518" s="44">
        <v>10.7</v>
      </c>
      <c r="D3518" s="46">
        <v>45093.0</v>
      </c>
      <c r="E3518" s="24">
        <v>2.68</v>
      </c>
      <c r="F3518" s="24">
        <v>21.49</v>
      </c>
      <c r="G3518" s="24">
        <v>0.8</v>
      </c>
      <c r="H3518" s="24" t="s">
        <v>6698</v>
      </c>
      <c r="I3518" s="24">
        <v>10.7</v>
      </c>
      <c r="J3518" s="24">
        <v>0.0</v>
      </c>
    </row>
    <row r="3519">
      <c r="A3519" s="24">
        <v>370.0</v>
      </c>
      <c r="B3519" s="24">
        <v>0.0</v>
      </c>
      <c r="C3519" s="44">
        <v>10.39</v>
      </c>
      <c r="D3519" s="46">
        <v>45093.0</v>
      </c>
      <c r="E3519" s="24" t="s">
        <v>6650</v>
      </c>
      <c r="F3519" s="24">
        <v>28.08</v>
      </c>
      <c r="G3519" s="24">
        <v>0.0</v>
      </c>
      <c r="H3519" s="24" t="s">
        <v>6700</v>
      </c>
      <c r="I3519" s="24">
        <v>10.39</v>
      </c>
      <c r="J3519" s="24">
        <v>0.0</v>
      </c>
    </row>
    <row r="3520">
      <c r="A3520" s="24">
        <v>157.0</v>
      </c>
      <c r="B3520" s="24">
        <v>2.0</v>
      </c>
      <c r="C3520" s="44">
        <v>11.8</v>
      </c>
      <c r="D3520" s="46">
        <v>45093.0</v>
      </c>
      <c r="E3520" s="24">
        <v>5.9</v>
      </c>
      <c r="F3520" s="24">
        <v>75.16</v>
      </c>
      <c r="G3520" s="24">
        <v>1.27</v>
      </c>
      <c r="H3520" s="24" t="s">
        <v>6699</v>
      </c>
      <c r="I3520" s="24">
        <v>11.8</v>
      </c>
      <c r="J3520" s="24">
        <v>0.0</v>
      </c>
    </row>
    <row r="3521">
      <c r="A3521" s="24">
        <v>339.0</v>
      </c>
      <c r="B3521" s="24">
        <v>0.0</v>
      </c>
      <c r="C3521" s="44">
        <v>10.62</v>
      </c>
      <c r="D3521" s="46">
        <v>45093.0</v>
      </c>
      <c r="E3521" s="24" t="s">
        <v>6650</v>
      </c>
      <c r="F3521" s="24">
        <v>31.33</v>
      </c>
      <c r="G3521" s="24">
        <v>0.0</v>
      </c>
      <c r="H3521" s="24" t="s">
        <v>6692</v>
      </c>
      <c r="I3521" s="24" t="s">
        <v>6650</v>
      </c>
      <c r="J3521" s="24">
        <v>0.0</v>
      </c>
    </row>
    <row r="3522">
      <c r="A3522" s="24">
        <v>297.0</v>
      </c>
      <c r="B3522" s="24">
        <v>0.0</v>
      </c>
      <c r="C3522" s="44">
        <v>11.4</v>
      </c>
      <c r="D3522" s="46">
        <v>45093.0</v>
      </c>
      <c r="E3522" s="24" t="s">
        <v>6650</v>
      </c>
      <c r="F3522" s="24">
        <v>38.38</v>
      </c>
      <c r="G3522" s="24">
        <v>0.0</v>
      </c>
      <c r="H3522" s="24" t="s">
        <v>6680</v>
      </c>
      <c r="I3522" s="24">
        <v>11.4</v>
      </c>
      <c r="J3522" s="24">
        <v>0.0</v>
      </c>
    </row>
    <row r="3523">
      <c r="A3523" s="24">
        <v>26.0</v>
      </c>
      <c r="B3523" s="24">
        <v>0.0</v>
      </c>
      <c r="C3523" s="44">
        <v>5.34</v>
      </c>
      <c r="D3523" s="46">
        <v>45094.0</v>
      </c>
      <c r="E3523" s="24" t="s">
        <v>6650</v>
      </c>
      <c r="F3523" s="24">
        <v>205.38</v>
      </c>
      <c r="G3523" s="24">
        <v>0.0</v>
      </c>
      <c r="H3523" s="24" t="s">
        <v>6695</v>
      </c>
      <c r="I3523" s="24" t="s">
        <v>6650</v>
      </c>
      <c r="J3523" s="24">
        <v>0.0</v>
      </c>
    </row>
    <row r="3524">
      <c r="A3524" s="24">
        <v>175.0</v>
      </c>
      <c r="B3524" s="24">
        <v>0.0</v>
      </c>
      <c r="C3524" s="44">
        <v>7.4</v>
      </c>
      <c r="D3524" s="46">
        <v>45094.0</v>
      </c>
      <c r="E3524" s="24" t="s">
        <v>6650</v>
      </c>
      <c r="F3524" s="24">
        <v>42.29</v>
      </c>
      <c r="G3524" s="24">
        <v>0.0</v>
      </c>
      <c r="H3524" s="24" t="s">
        <v>6692</v>
      </c>
      <c r="I3524" s="24" t="s">
        <v>6650</v>
      </c>
      <c r="J3524" s="24">
        <v>0.0</v>
      </c>
    </row>
    <row r="3525">
      <c r="A3525" s="24">
        <v>190.0</v>
      </c>
      <c r="B3525" s="24">
        <v>3.0</v>
      </c>
      <c r="C3525" s="44">
        <v>7.65</v>
      </c>
      <c r="D3525" s="46">
        <v>45094.0</v>
      </c>
      <c r="E3525" s="24">
        <v>2.55</v>
      </c>
      <c r="F3525" s="24">
        <v>40.26</v>
      </c>
      <c r="G3525" s="24">
        <v>1.58</v>
      </c>
      <c r="H3525" s="24" t="s">
        <v>6680</v>
      </c>
      <c r="I3525" s="24" t="s">
        <v>6650</v>
      </c>
      <c r="J3525" s="24">
        <v>0.0</v>
      </c>
    </row>
    <row r="3526">
      <c r="A3526" s="24">
        <v>210.0</v>
      </c>
      <c r="B3526" s="24">
        <v>2.0</v>
      </c>
      <c r="C3526" s="44">
        <v>6.37</v>
      </c>
      <c r="D3526" s="46">
        <v>45094.0</v>
      </c>
      <c r="E3526" s="24">
        <v>3.18</v>
      </c>
      <c r="F3526" s="24">
        <v>30.33</v>
      </c>
      <c r="G3526" s="24">
        <v>0.95</v>
      </c>
      <c r="H3526" s="24" t="s">
        <v>6698</v>
      </c>
      <c r="I3526" s="24">
        <v>3.18</v>
      </c>
      <c r="J3526" s="24">
        <v>0.0</v>
      </c>
    </row>
    <row r="3527">
      <c r="A3527" s="24">
        <v>39.0</v>
      </c>
      <c r="B3527" s="24">
        <v>0.0</v>
      </c>
      <c r="C3527" s="44">
        <v>5.19</v>
      </c>
      <c r="D3527" s="46">
        <v>45094.0</v>
      </c>
      <c r="E3527" s="24" t="s">
        <v>6650</v>
      </c>
      <c r="F3527" s="24">
        <v>133.08</v>
      </c>
      <c r="G3527" s="24">
        <v>0.0</v>
      </c>
      <c r="H3527" s="24" t="s">
        <v>6701</v>
      </c>
      <c r="I3527" s="24" t="s">
        <v>6650</v>
      </c>
      <c r="J3527" s="24">
        <v>0.0</v>
      </c>
    </row>
    <row r="3528">
      <c r="A3528" s="24">
        <v>38.0</v>
      </c>
      <c r="B3528" s="24">
        <v>1.0</v>
      </c>
      <c r="C3528" s="44">
        <v>0.23</v>
      </c>
      <c r="D3528" s="46">
        <v>45094.0</v>
      </c>
      <c r="E3528" s="24">
        <v>0.23</v>
      </c>
      <c r="F3528" s="24">
        <v>6.05</v>
      </c>
      <c r="G3528" s="24">
        <v>2.63</v>
      </c>
      <c r="H3528" s="24" t="s">
        <v>6688</v>
      </c>
      <c r="I3528" s="24" t="s">
        <v>6650</v>
      </c>
      <c r="J3528" s="24">
        <v>0.0</v>
      </c>
    </row>
    <row r="3529">
      <c r="A3529" s="24">
        <v>29.0</v>
      </c>
      <c r="B3529" s="24">
        <v>1.0</v>
      </c>
      <c r="C3529" s="44">
        <v>6.31</v>
      </c>
      <c r="D3529" s="46">
        <v>45094.0</v>
      </c>
      <c r="E3529" s="24">
        <v>6.31</v>
      </c>
      <c r="F3529" s="24">
        <v>217.59</v>
      </c>
      <c r="G3529" s="24">
        <v>3.45</v>
      </c>
      <c r="H3529" s="24" t="s">
        <v>6697</v>
      </c>
      <c r="I3529" s="24" t="s">
        <v>6650</v>
      </c>
      <c r="J3529" s="24">
        <v>0.0</v>
      </c>
    </row>
    <row r="3530">
      <c r="A3530" s="24">
        <v>32.0</v>
      </c>
      <c r="B3530" s="24">
        <v>0.0</v>
      </c>
      <c r="C3530" s="44">
        <v>6.1</v>
      </c>
      <c r="D3530" s="46">
        <v>45094.0</v>
      </c>
      <c r="E3530" s="24" t="s">
        <v>6650</v>
      </c>
      <c r="F3530" s="24">
        <v>190.62</v>
      </c>
      <c r="G3530" s="24">
        <v>0.0</v>
      </c>
      <c r="H3530" s="24" t="s">
        <v>6696</v>
      </c>
      <c r="I3530" s="24">
        <v>6.1</v>
      </c>
      <c r="J3530" s="24">
        <v>0.0</v>
      </c>
    </row>
    <row r="3531">
      <c r="A3531" s="24">
        <v>55.0</v>
      </c>
      <c r="B3531" s="24">
        <v>0.0</v>
      </c>
      <c r="C3531" s="44">
        <v>6.09</v>
      </c>
      <c r="D3531" s="46">
        <v>45094.0</v>
      </c>
      <c r="E3531" s="24" t="s">
        <v>6650</v>
      </c>
      <c r="F3531" s="24">
        <v>110.73</v>
      </c>
      <c r="G3531" s="24">
        <v>0.0</v>
      </c>
      <c r="H3531" s="24" t="s">
        <v>6699</v>
      </c>
      <c r="I3531" s="24" t="s">
        <v>6650</v>
      </c>
      <c r="J3531" s="24">
        <v>0.0</v>
      </c>
    </row>
    <row r="3532">
      <c r="A3532" s="24">
        <v>486.0</v>
      </c>
      <c r="B3532" s="24">
        <v>5.0</v>
      </c>
      <c r="C3532" s="44">
        <v>3.64</v>
      </c>
      <c r="D3532" s="46">
        <v>45094.0</v>
      </c>
      <c r="E3532" s="24">
        <v>0.73</v>
      </c>
      <c r="F3532" s="24">
        <v>7.49</v>
      </c>
      <c r="G3532" s="24">
        <v>1.03</v>
      </c>
      <c r="H3532" s="24" t="s">
        <v>6689</v>
      </c>
      <c r="I3532" s="24" t="s">
        <v>6650</v>
      </c>
      <c r="J3532" s="24">
        <v>0.0</v>
      </c>
    </row>
    <row r="3533">
      <c r="A3533" s="24">
        <v>161.0</v>
      </c>
      <c r="B3533" s="24">
        <v>0.0</v>
      </c>
      <c r="C3533" s="44">
        <v>6.28</v>
      </c>
      <c r="D3533" s="46">
        <v>45094.0</v>
      </c>
      <c r="E3533" s="24" t="s">
        <v>6650</v>
      </c>
      <c r="F3533" s="24">
        <v>39.01</v>
      </c>
      <c r="G3533" s="24">
        <v>0.0</v>
      </c>
      <c r="H3533" s="24" t="s">
        <v>6700</v>
      </c>
      <c r="I3533" s="24">
        <v>6.28</v>
      </c>
      <c r="J3533" s="24">
        <v>0.0</v>
      </c>
    </row>
    <row r="3534">
      <c r="A3534" s="24">
        <v>72.0</v>
      </c>
      <c r="B3534" s="24">
        <v>0.0</v>
      </c>
      <c r="C3534" s="44">
        <v>6.3</v>
      </c>
      <c r="D3534" s="46">
        <v>45095.0</v>
      </c>
      <c r="E3534" s="24" t="s">
        <v>6650</v>
      </c>
      <c r="F3534" s="24">
        <v>87.5</v>
      </c>
      <c r="G3534" s="24">
        <v>0.0</v>
      </c>
      <c r="H3534" s="24" t="s">
        <v>6680</v>
      </c>
      <c r="I3534" s="24" t="s">
        <v>6650</v>
      </c>
      <c r="J3534" s="24">
        <v>0.0</v>
      </c>
    </row>
    <row r="3535">
      <c r="A3535" s="24">
        <v>31.0</v>
      </c>
      <c r="B3535" s="24">
        <v>0.0</v>
      </c>
      <c r="C3535" s="44">
        <v>5.45</v>
      </c>
      <c r="D3535" s="46">
        <v>45095.0</v>
      </c>
      <c r="E3535" s="24" t="s">
        <v>6650</v>
      </c>
      <c r="F3535" s="24">
        <v>175.81</v>
      </c>
      <c r="G3535" s="24">
        <v>0.0</v>
      </c>
      <c r="H3535" s="24" t="s">
        <v>6696</v>
      </c>
      <c r="I3535" s="24" t="s">
        <v>6650</v>
      </c>
      <c r="J3535" s="24">
        <v>0.0</v>
      </c>
    </row>
    <row r="3536">
      <c r="A3536" s="24">
        <v>37.0</v>
      </c>
      <c r="B3536" s="24">
        <v>1.0</v>
      </c>
      <c r="C3536" s="44">
        <v>3.94</v>
      </c>
      <c r="D3536" s="46">
        <v>45095.0</v>
      </c>
      <c r="E3536" s="24">
        <v>3.94</v>
      </c>
      <c r="F3536" s="24">
        <v>106.49</v>
      </c>
      <c r="G3536" s="24">
        <v>2.7</v>
      </c>
      <c r="H3536" s="24" t="s">
        <v>6701</v>
      </c>
      <c r="I3536" s="24" t="s">
        <v>6650</v>
      </c>
      <c r="J3536" s="24">
        <v>0.0</v>
      </c>
    </row>
    <row r="3537">
      <c r="A3537" s="24">
        <v>341.0</v>
      </c>
      <c r="B3537" s="24">
        <v>4.0</v>
      </c>
      <c r="C3537" s="44">
        <v>6.39</v>
      </c>
      <c r="D3537" s="46">
        <v>45095.0</v>
      </c>
      <c r="E3537" s="24">
        <v>1.6</v>
      </c>
      <c r="F3537" s="24">
        <v>18.74</v>
      </c>
      <c r="G3537" s="24">
        <v>1.17</v>
      </c>
      <c r="H3537" s="24" t="s">
        <v>6689</v>
      </c>
      <c r="I3537" s="24" t="s">
        <v>6650</v>
      </c>
      <c r="J3537" s="24">
        <v>0.0</v>
      </c>
    </row>
    <row r="3538">
      <c r="A3538" s="24">
        <v>97.0</v>
      </c>
      <c r="B3538" s="24">
        <v>2.0</v>
      </c>
      <c r="C3538" s="44">
        <v>5.25</v>
      </c>
      <c r="D3538" s="46">
        <v>45095.0</v>
      </c>
      <c r="E3538" s="24">
        <v>2.62</v>
      </c>
      <c r="F3538" s="24">
        <v>54.12</v>
      </c>
      <c r="G3538" s="24">
        <v>2.06</v>
      </c>
      <c r="H3538" s="24" t="s">
        <v>6692</v>
      </c>
      <c r="I3538" s="24" t="s">
        <v>6650</v>
      </c>
      <c r="J3538" s="24">
        <v>0.0</v>
      </c>
    </row>
    <row r="3539">
      <c r="A3539" s="24">
        <v>41.0</v>
      </c>
      <c r="B3539" s="24">
        <v>0.0</v>
      </c>
      <c r="C3539" s="44">
        <v>4.73</v>
      </c>
      <c r="D3539" s="46">
        <v>45095.0</v>
      </c>
      <c r="E3539" s="24" t="s">
        <v>6650</v>
      </c>
      <c r="F3539" s="24">
        <v>115.37</v>
      </c>
      <c r="G3539" s="24">
        <v>0.0</v>
      </c>
      <c r="H3539" s="24" t="s">
        <v>6699</v>
      </c>
      <c r="I3539" s="24" t="s">
        <v>6650</v>
      </c>
      <c r="J3539" s="24">
        <v>0.0</v>
      </c>
    </row>
    <row r="3540">
      <c r="A3540" s="24">
        <v>37.0</v>
      </c>
      <c r="B3540" s="24">
        <v>0.0</v>
      </c>
      <c r="C3540" s="44">
        <v>0.32</v>
      </c>
      <c r="D3540" s="46">
        <v>45095.0</v>
      </c>
      <c r="E3540" s="24" t="s">
        <v>6650</v>
      </c>
      <c r="F3540" s="24">
        <v>8.65</v>
      </c>
      <c r="G3540" s="24">
        <v>0.0</v>
      </c>
      <c r="H3540" s="24" t="s">
        <v>6688</v>
      </c>
      <c r="I3540" s="24" t="s">
        <v>6650</v>
      </c>
      <c r="J3540" s="24">
        <v>0.0</v>
      </c>
    </row>
    <row r="3541">
      <c r="A3541" s="24">
        <v>237.0</v>
      </c>
      <c r="B3541" s="24">
        <v>1.0</v>
      </c>
      <c r="C3541" s="44">
        <v>6.2</v>
      </c>
      <c r="D3541" s="46">
        <v>45095.0</v>
      </c>
      <c r="E3541" s="24">
        <v>6.2</v>
      </c>
      <c r="F3541" s="24">
        <v>26.16</v>
      </c>
      <c r="G3541" s="24">
        <v>0.42</v>
      </c>
      <c r="H3541" s="24" t="s">
        <v>6700</v>
      </c>
      <c r="I3541" s="24" t="s">
        <v>6650</v>
      </c>
      <c r="J3541" s="24">
        <v>0.0</v>
      </c>
    </row>
    <row r="3542">
      <c r="A3542" s="24">
        <v>20.0</v>
      </c>
      <c r="B3542" s="24">
        <v>0.0</v>
      </c>
      <c r="C3542" s="44">
        <v>4.42</v>
      </c>
      <c r="D3542" s="46">
        <v>45095.0</v>
      </c>
      <c r="E3542" s="24" t="s">
        <v>6650</v>
      </c>
      <c r="F3542" s="24">
        <v>221.0</v>
      </c>
      <c r="G3542" s="24">
        <v>0.0</v>
      </c>
      <c r="H3542" s="24" t="s">
        <v>6695</v>
      </c>
      <c r="I3542" s="24" t="s">
        <v>6650</v>
      </c>
      <c r="J3542" s="24">
        <v>0.0</v>
      </c>
    </row>
    <row r="3543">
      <c r="A3543" s="24">
        <v>19.0</v>
      </c>
      <c r="B3543" s="24">
        <v>0.0</v>
      </c>
      <c r="C3543" s="44">
        <v>3.81</v>
      </c>
      <c r="D3543" s="46">
        <v>45095.0</v>
      </c>
      <c r="E3543" s="24" t="s">
        <v>6650</v>
      </c>
      <c r="F3543" s="24">
        <v>200.53</v>
      </c>
      <c r="G3543" s="24">
        <v>0.0</v>
      </c>
      <c r="H3543" s="24" t="s">
        <v>6697</v>
      </c>
      <c r="I3543" s="24" t="s">
        <v>6650</v>
      </c>
      <c r="J3543" s="24">
        <v>0.0</v>
      </c>
    </row>
    <row r="3544">
      <c r="A3544" s="24">
        <v>126.0</v>
      </c>
      <c r="B3544" s="24">
        <v>2.0</v>
      </c>
      <c r="C3544" s="44">
        <v>6.5</v>
      </c>
      <c r="D3544" s="46">
        <v>45095.0</v>
      </c>
      <c r="E3544" s="24">
        <v>3.25</v>
      </c>
      <c r="F3544" s="24">
        <v>51.59</v>
      </c>
      <c r="G3544" s="24">
        <v>1.59</v>
      </c>
      <c r="H3544" s="24" t="s">
        <v>6698</v>
      </c>
      <c r="I3544" s="24" t="s">
        <v>6650</v>
      </c>
      <c r="J3544" s="24">
        <v>0.0</v>
      </c>
    </row>
    <row r="3545">
      <c r="A3545" s="24">
        <v>323.0</v>
      </c>
      <c r="B3545" s="24">
        <v>2.0</v>
      </c>
      <c r="C3545" s="44">
        <v>7.53</v>
      </c>
      <c r="D3545" s="46">
        <v>45096.0</v>
      </c>
      <c r="E3545" s="24">
        <v>3.76</v>
      </c>
      <c r="F3545" s="24">
        <v>23.31</v>
      </c>
      <c r="G3545" s="24">
        <v>0.62</v>
      </c>
      <c r="H3545" s="24" t="s">
        <v>6689</v>
      </c>
      <c r="I3545" s="24" t="s">
        <v>6650</v>
      </c>
      <c r="J3545" s="24">
        <v>0.0</v>
      </c>
    </row>
    <row r="3546">
      <c r="A3546" s="24">
        <v>168.0</v>
      </c>
      <c r="B3546" s="24">
        <v>1.0</v>
      </c>
      <c r="C3546" s="44">
        <v>12.92</v>
      </c>
      <c r="D3546" s="46">
        <v>45096.0</v>
      </c>
      <c r="E3546" s="24">
        <v>12.92</v>
      </c>
      <c r="F3546" s="24">
        <v>76.9</v>
      </c>
      <c r="G3546" s="24">
        <v>0.6</v>
      </c>
      <c r="H3546" s="24" t="s">
        <v>6680</v>
      </c>
      <c r="I3546" s="24" t="s">
        <v>6650</v>
      </c>
      <c r="J3546" s="24">
        <v>0.0</v>
      </c>
    </row>
    <row r="3547">
      <c r="A3547" s="24">
        <v>181.0</v>
      </c>
      <c r="B3547" s="24">
        <v>1.0</v>
      </c>
      <c r="C3547" s="44">
        <v>10.91</v>
      </c>
      <c r="D3547" s="46">
        <v>45096.0</v>
      </c>
      <c r="E3547" s="24">
        <v>10.91</v>
      </c>
      <c r="F3547" s="24">
        <v>60.28</v>
      </c>
      <c r="G3547" s="24">
        <v>0.55</v>
      </c>
      <c r="H3547" s="24" t="s">
        <v>6699</v>
      </c>
      <c r="I3547" s="24">
        <v>10.91</v>
      </c>
      <c r="J3547" s="24">
        <v>0.0</v>
      </c>
    </row>
    <row r="3548">
      <c r="A3548" s="24">
        <v>66.0</v>
      </c>
      <c r="B3548" s="24">
        <v>0.0</v>
      </c>
      <c r="C3548" s="44">
        <v>10.79</v>
      </c>
      <c r="D3548" s="46">
        <v>45096.0</v>
      </c>
      <c r="E3548" s="24" t="s">
        <v>6650</v>
      </c>
      <c r="F3548" s="24">
        <v>163.48</v>
      </c>
      <c r="G3548" s="24">
        <v>0.0</v>
      </c>
      <c r="H3548" s="24" t="s">
        <v>6697</v>
      </c>
      <c r="I3548" s="24">
        <v>10.79</v>
      </c>
      <c r="J3548" s="24">
        <v>0.0</v>
      </c>
    </row>
    <row r="3549">
      <c r="A3549" s="24">
        <v>635.0</v>
      </c>
      <c r="B3549" s="24">
        <v>7.0</v>
      </c>
      <c r="C3549" s="44">
        <v>11.36</v>
      </c>
      <c r="D3549" s="46">
        <v>45096.0</v>
      </c>
      <c r="E3549" s="24">
        <v>1.62</v>
      </c>
      <c r="F3549" s="24">
        <v>17.89</v>
      </c>
      <c r="G3549" s="24">
        <v>1.1</v>
      </c>
      <c r="H3549" s="24" t="s">
        <v>6698</v>
      </c>
      <c r="I3549" s="24">
        <v>11.36</v>
      </c>
      <c r="J3549" s="24">
        <v>0.0</v>
      </c>
    </row>
    <row r="3550">
      <c r="A3550" s="24">
        <v>167.0</v>
      </c>
      <c r="B3550" s="24">
        <v>0.0</v>
      </c>
      <c r="C3550" s="44">
        <v>11.46</v>
      </c>
      <c r="D3550" s="46">
        <v>45096.0</v>
      </c>
      <c r="E3550" s="24" t="s">
        <v>6650</v>
      </c>
      <c r="F3550" s="24">
        <v>68.62</v>
      </c>
      <c r="G3550" s="24">
        <v>0.0</v>
      </c>
      <c r="H3550" s="24" t="s">
        <v>6696</v>
      </c>
      <c r="I3550" s="24">
        <v>11.46</v>
      </c>
      <c r="J3550" s="24">
        <v>0.0</v>
      </c>
    </row>
    <row r="3551">
      <c r="A3551" s="24">
        <v>135.0</v>
      </c>
      <c r="B3551" s="24">
        <v>0.0</v>
      </c>
      <c r="C3551" s="44">
        <v>11.14</v>
      </c>
      <c r="D3551" s="46">
        <v>45096.0</v>
      </c>
      <c r="E3551" s="24" t="s">
        <v>6650</v>
      </c>
      <c r="F3551" s="24">
        <v>82.52</v>
      </c>
      <c r="G3551" s="24">
        <v>0.0</v>
      </c>
      <c r="H3551" s="24" t="s">
        <v>6701</v>
      </c>
      <c r="I3551" s="24">
        <v>5.57</v>
      </c>
      <c r="J3551" s="24">
        <v>0.0</v>
      </c>
    </row>
    <row r="3552">
      <c r="A3552" s="24">
        <v>440.0</v>
      </c>
      <c r="B3552" s="24">
        <v>1.0</v>
      </c>
      <c r="C3552" s="44">
        <v>11.33</v>
      </c>
      <c r="D3552" s="46">
        <v>45096.0</v>
      </c>
      <c r="E3552" s="24">
        <v>11.33</v>
      </c>
      <c r="F3552" s="24">
        <v>25.75</v>
      </c>
      <c r="G3552" s="24">
        <v>0.23</v>
      </c>
      <c r="H3552" s="24" t="s">
        <v>6700</v>
      </c>
      <c r="I3552" s="24" t="s">
        <v>6650</v>
      </c>
      <c r="J3552" s="24">
        <v>0.0</v>
      </c>
    </row>
    <row r="3553">
      <c r="A3553" s="24">
        <v>67.0</v>
      </c>
      <c r="B3553" s="24">
        <v>3.0</v>
      </c>
      <c r="C3553" s="44">
        <v>13.07</v>
      </c>
      <c r="D3553" s="46">
        <v>45096.0</v>
      </c>
      <c r="E3553" s="24">
        <v>4.36</v>
      </c>
      <c r="F3553" s="24">
        <v>195.07</v>
      </c>
      <c r="G3553" s="24">
        <v>4.48</v>
      </c>
      <c r="H3553" s="24" t="s">
        <v>6695</v>
      </c>
      <c r="I3553" s="24" t="s">
        <v>6650</v>
      </c>
      <c r="J3553" s="24">
        <v>0.0</v>
      </c>
    </row>
    <row r="3554">
      <c r="A3554" s="24">
        <v>336.0</v>
      </c>
      <c r="B3554" s="24">
        <v>2.0</v>
      </c>
      <c r="C3554" s="44">
        <v>11.42</v>
      </c>
      <c r="D3554" s="46">
        <v>45096.0</v>
      </c>
      <c r="E3554" s="24">
        <v>5.71</v>
      </c>
      <c r="F3554" s="24">
        <v>33.99</v>
      </c>
      <c r="G3554" s="24">
        <v>0.6</v>
      </c>
      <c r="H3554" s="24" t="s">
        <v>6692</v>
      </c>
      <c r="I3554" s="24" t="s">
        <v>6650</v>
      </c>
      <c r="J3554" s="24">
        <v>0.0</v>
      </c>
    </row>
    <row r="3555">
      <c r="A3555" s="24">
        <v>45.0</v>
      </c>
      <c r="B3555" s="24">
        <v>0.0</v>
      </c>
      <c r="C3555" s="44">
        <v>0.75</v>
      </c>
      <c r="D3555" s="46">
        <v>45096.0</v>
      </c>
      <c r="E3555" s="24" t="s">
        <v>6650</v>
      </c>
      <c r="F3555" s="24">
        <v>16.67</v>
      </c>
      <c r="G3555" s="24">
        <v>0.0</v>
      </c>
      <c r="H3555" s="24" t="s">
        <v>6688</v>
      </c>
      <c r="I3555" s="24" t="s">
        <v>6650</v>
      </c>
      <c r="J3555" s="24">
        <v>0.0</v>
      </c>
    </row>
    <row r="3556">
      <c r="A3556" s="24">
        <v>130.0</v>
      </c>
      <c r="B3556" s="24">
        <v>0.0</v>
      </c>
      <c r="C3556" s="44">
        <v>12.83</v>
      </c>
      <c r="D3556" s="46">
        <v>45097.0</v>
      </c>
      <c r="E3556" s="24" t="s">
        <v>6650</v>
      </c>
      <c r="F3556" s="24">
        <v>98.69</v>
      </c>
      <c r="G3556" s="24">
        <v>0.0</v>
      </c>
      <c r="H3556" s="24" t="s">
        <v>6699</v>
      </c>
      <c r="I3556" s="24">
        <v>12.83</v>
      </c>
      <c r="J3556" s="24">
        <v>0.0</v>
      </c>
    </row>
    <row r="3557">
      <c r="A3557" s="24">
        <v>70.0</v>
      </c>
      <c r="B3557" s="24">
        <v>0.0</v>
      </c>
      <c r="C3557" s="44">
        <v>13.47</v>
      </c>
      <c r="D3557" s="46">
        <v>45097.0</v>
      </c>
      <c r="E3557" s="24" t="s">
        <v>6650</v>
      </c>
      <c r="F3557" s="24">
        <v>192.43</v>
      </c>
      <c r="G3557" s="24">
        <v>0.0</v>
      </c>
      <c r="H3557" s="24" t="s">
        <v>6695</v>
      </c>
      <c r="I3557" s="24" t="s">
        <v>6650</v>
      </c>
      <c r="J3557" s="24">
        <v>0.0</v>
      </c>
    </row>
    <row r="3558">
      <c r="A3558" s="24">
        <v>309.0</v>
      </c>
      <c r="B3558" s="24">
        <v>0.0</v>
      </c>
      <c r="C3558" s="44">
        <v>13.35</v>
      </c>
      <c r="D3558" s="46">
        <v>45097.0</v>
      </c>
      <c r="E3558" s="24" t="s">
        <v>6650</v>
      </c>
      <c r="F3558" s="24">
        <v>43.2</v>
      </c>
      <c r="G3558" s="24">
        <v>0.0</v>
      </c>
      <c r="H3558" s="24" t="s">
        <v>6680</v>
      </c>
      <c r="I3558" s="24" t="s">
        <v>6650</v>
      </c>
      <c r="J3558" s="24">
        <v>0.0</v>
      </c>
    </row>
    <row r="3559">
      <c r="A3559" s="24">
        <v>371.0</v>
      </c>
      <c r="B3559" s="24">
        <v>0.0</v>
      </c>
      <c r="C3559" s="44">
        <v>12.64</v>
      </c>
      <c r="D3559" s="46">
        <v>45097.0</v>
      </c>
      <c r="E3559" s="24" t="s">
        <v>6650</v>
      </c>
      <c r="F3559" s="24">
        <v>34.07</v>
      </c>
      <c r="G3559" s="24">
        <v>0.0</v>
      </c>
      <c r="H3559" s="24" t="s">
        <v>6688</v>
      </c>
      <c r="I3559" s="24" t="s">
        <v>6650</v>
      </c>
      <c r="J3559" s="24">
        <v>0.0</v>
      </c>
    </row>
    <row r="3560">
      <c r="A3560" s="24">
        <v>320.0</v>
      </c>
      <c r="B3560" s="24">
        <v>3.0</v>
      </c>
      <c r="C3560" s="44">
        <v>12.45</v>
      </c>
      <c r="D3560" s="46">
        <v>45097.0</v>
      </c>
      <c r="E3560" s="24">
        <v>4.15</v>
      </c>
      <c r="F3560" s="24">
        <v>38.91</v>
      </c>
      <c r="G3560" s="24">
        <v>0.94</v>
      </c>
      <c r="H3560" s="24" t="s">
        <v>6700</v>
      </c>
      <c r="I3560" s="24">
        <v>12.45</v>
      </c>
      <c r="J3560" s="24">
        <v>0.0</v>
      </c>
    </row>
    <row r="3561">
      <c r="A3561" s="24">
        <v>90.0</v>
      </c>
      <c r="B3561" s="24">
        <v>0.0</v>
      </c>
      <c r="C3561" s="44">
        <v>15.0</v>
      </c>
      <c r="D3561" s="46">
        <v>45097.0</v>
      </c>
      <c r="E3561" s="24" t="s">
        <v>6650</v>
      </c>
      <c r="F3561" s="24">
        <v>166.67</v>
      </c>
      <c r="G3561" s="24">
        <v>0.0</v>
      </c>
      <c r="H3561" s="24" t="s">
        <v>6701</v>
      </c>
      <c r="I3561" s="24" t="s">
        <v>6650</v>
      </c>
      <c r="J3561" s="24">
        <v>0.0</v>
      </c>
    </row>
    <row r="3562">
      <c r="A3562" s="24">
        <v>499.0</v>
      </c>
      <c r="B3562" s="24">
        <v>11.0</v>
      </c>
      <c r="C3562" s="44">
        <v>11.97</v>
      </c>
      <c r="D3562" s="46">
        <v>45097.0</v>
      </c>
      <c r="E3562" s="24">
        <v>1.09</v>
      </c>
      <c r="F3562" s="24">
        <v>23.99</v>
      </c>
      <c r="G3562" s="24">
        <v>2.2</v>
      </c>
      <c r="H3562" s="24" t="s">
        <v>6698</v>
      </c>
      <c r="I3562" s="24">
        <v>3.99</v>
      </c>
      <c r="J3562" s="24">
        <v>0.0</v>
      </c>
    </row>
    <row r="3563">
      <c r="A3563" s="24">
        <v>830.0</v>
      </c>
      <c r="B3563" s="24">
        <v>5.0</v>
      </c>
      <c r="C3563" s="44">
        <v>12.59</v>
      </c>
      <c r="D3563" s="46">
        <v>45097.0</v>
      </c>
      <c r="E3563" s="24">
        <v>2.52</v>
      </c>
      <c r="F3563" s="24">
        <v>15.17</v>
      </c>
      <c r="G3563" s="24">
        <v>0.6</v>
      </c>
      <c r="H3563" s="24" t="s">
        <v>6689</v>
      </c>
      <c r="I3563" s="24">
        <v>12.59</v>
      </c>
      <c r="J3563" s="24">
        <v>0.0</v>
      </c>
    </row>
    <row r="3564">
      <c r="A3564" s="24">
        <v>56.0</v>
      </c>
      <c r="B3564" s="24">
        <v>0.0</v>
      </c>
      <c r="C3564" s="44">
        <v>15.0</v>
      </c>
      <c r="D3564" s="46">
        <v>45097.0</v>
      </c>
      <c r="E3564" s="24" t="s">
        <v>6650</v>
      </c>
      <c r="F3564" s="24">
        <v>267.86</v>
      </c>
      <c r="G3564" s="24">
        <v>0.0</v>
      </c>
      <c r="H3564" s="24" t="s">
        <v>6697</v>
      </c>
      <c r="I3564" s="24">
        <v>15.0</v>
      </c>
      <c r="J3564" s="24">
        <v>0.0</v>
      </c>
    </row>
    <row r="3565">
      <c r="A3565" s="24">
        <v>155.0</v>
      </c>
      <c r="B3565" s="24">
        <v>2.0</v>
      </c>
      <c r="C3565" s="44">
        <v>14.11</v>
      </c>
      <c r="D3565" s="46">
        <v>45097.0</v>
      </c>
      <c r="E3565" s="24">
        <v>7.06</v>
      </c>
      <c r="F3565" s="24">
        <v>91.03</v>
      </c>
      <c r="G3565" s="24">
        <v>1.29</v>
      </c>
      <c r="H3565" s="24" t="s">
        <v>6696</v>
      </c>
      <c r="I3565" s="24" t="s">
        <v>6650</v>
      </c>
      <c r="J3565" s="24">
        <v>1.0</v>
      </c>
    </row>
    <row r="3566">
      <c r="A3566" s="24">
        <v>389.0</v>
      </c>
      <c r="B3566" s="24">
        <v>0.0</v>
      </c>
      <c r="C3566" s="44">
        <v>11.88</v>
      </c>
      <c r="D3566" s="46">
        <v>45097.0</v>
      </c>
      <c r="E3566" s="24" t="s">
        <v>6650</v>
      </c>
      <c r="F3566" s="24">
        <v>30.54</v>
      </c>
      <c r="G3566" s="24">
        <v>0.0</v>
      </c>
      <c r="H3566" s="24" t="s">
        <v>6692</v>
      </c>
      <c r="I3566" s="24" t="s">
        <v>6650</v>
      </c>
      <c r="J3566" s="24">
        <v>0.0</v>
      </c>
    </row>
    <row r="3567">
      <c r="A3567" s="24">
        <v>95.0</v>
      </c>
      <c r="B3567" s="24">
        <v>1.0</v>
      </c>
      <c r="C3567" s="44">
        <v>15.0</v>
      </c>
      <c r="D3567" s="46">
        <v>45098.0</v>
      </c>
      <c r="E3567" s="24">
        <v>15.0</v>
      </c>
      <c r="F3567" s="24">
        <v>157.89</v>
      </c>
      <c r="G3567" s="24">
        <v>1.05</v>
      </c>
      <c r="H3567" s="24" t="s">
        <v>6699</v>
      </c>
      <c r="I3567" s="24" t="s">
        <v>6650</v>
      </c>
      <c r="J3567" s="24">
        <v>0.0</v>
      </c>
    </row>
    <row r="3568">
      <c r="A3568" s="24">
        <v>405.0</v>
      </c>
      <c r="B3568" s="24">
        <v>7.0</v>
      </c>
      <c r="C3568" s="44">
        <v>12.4</v>
      </c>
      <c r="D3568" s="46">
        <v>45098.0</v>
      </c>
      <c r="E3568" s="24">
        <v>1.77</v>
      </c>
      <c r="F3568" s="24">
        <v>30.62</v>
      </c>
      <c r="G3568" s="24">
        <v>1.73</v>
      </c>
      <c r="H3568" s="24" t="s">
        <v>6698</v>
      </c>
      <c r="I3568" s="24">
        <v>12.4</v>
      </c>
      <c r="J3568" s="24">
        <v>0.0</v>
      </c>
    </row>
    <row r="3569">
      <c r="A3569" s="24">
        <v>63.0</v>
      </c>
      <c r="B3569" s="24">
        <v>0.0</v>
      </c>
      <c r="C3569" s="44">
        <v>12.6</v>
      </c>
      <c r="D3569" s="46">
        <v>45098.0</v>
      </c>
      <c r="E3569" s="24" t="s">
        <v>6650</v>
      </c>
      <c r="F3569" s="24">
        <v>200.0</v>
      </c>
      <c r="G3569" s="24">
        <v>0.0</v>
      </c>
      <c r="H3569" s="24" t="s">
        <v>6701</v>
      </c>
      <c r="I3569" s="24" t="s">
        <v>6650</v>
      </c>
      <c r="J3569" s="24">
        <v>0.0</v>
      </c>
    </row>
    <row r="3570">
      <c r="A3570" s="24">
        <v>1957.0</v>
      </c>
      <c r="B3570" s="24">
        <v>17.0</v>
      </c>
      <c r="C3570" s="44">
        <v>13.56</v>
      </c>
      <c r="D3570" s="46">
        <v>45098.0</v>
      </c>
      <c r="E3570" s="24">
        <v>0.8</v>
      </c>
      <c r="F3570" s="24">
        <v>6.93</v>
      </c>
      <c r="G3570" s="24">
        <v>0.87</v>
      </c>
      <c r="H3570" s="24" t="s">
        <v>6688</v>
      </c>
      <c r="I3570" s="24">
        <v>4.52</v>
      </c>
      <c r="J3570" s="24">
        <v>0.0</v>
      </c>
    </row>
    <row r="3571">
      <c r="A3571" s="24">
        <v>105.0</v>
      </c>
      <c r="B3571" s="24">
        <v>2.0</v>
      </c>
      <c r="C3571" s="44">
        <v>11.64</v>
      </c>
      <c r="D3571" s="46">
        <v>45098.0</v>
      </c>
      <c r="E3571" s="24">
        <v>5.82</v>
      </c>
      <c r="F3571" s="24">
        <v>110.86</v>
      </c>
      <c r="G3571" s="24">
        <v>1.9</v>
      </c>
      <c r="H3571" s="24" t="s">
        <v>6696</v>
      </c>
      <c r="I3571" s="24">
        <v>11.64</v>
      </c>
      <c r="J3571" s="24">
        <v>0.0</v>
      </c>
    </row>
    <row r="3572">
      <c r="A3572" s="24">
        <v>314.0</v>
      </c>
      <c r="B3572" s="24">
        <v>0.0</v>
      </c>
      <c r="C3572" s="44">
        <v>11.79</v>
      </c>
      <c r="D3572" s="46">
        <v>45098.0</v>
      </c>
      <c r="E3572" s="24" t="s">
        <v>6650</v>
      </c>
      <c r="F3572" s="24">
        <v>37.55</v>
      </c>
      <c r="G3572" s="24">
        <v>0.0</v>
      </c>
      <c r="H3572" s="24" t="s">
        <v>6700</v>
      </c>
      <c r="I3572" s="24">
        <v>11.79</v>
      </c>
      <c r="J3572" s="24">
        <v>0.0</v>
      </c>
    </row>
    <row r="3573">
      <c r="A3573" s="24">
        <v>55.0</v>
      </c>
      <c r="B3573" s="24">
        <v>0.0</v>
      </c>
      <c r="C3573" s="44">
        <v>12.64</v>
      </c>
      <c r="D3573" s="46">
        <v>45098.0</v>
      </c>
      <c r="E3573" s="24" t="s">
        <v>6650</v>
      </c>
      <c r="F3573" s="24">
        <v>229.82</v>
      </c>
      <c r="G3573" s="24">
        <v>0.0</v>
      </c>
      <c r="H3573" s="24" t="s">
        <v>6697</v>
      </c>
      <c r="I3573" s="24" t="s">
        <v>6650</v>
      </c>
      <c r="J3573" s="24">
        <v>0.0</v>
      </c>
    </row>
    <row r="3574">
      <c r="A3574" s="24">
        <v>260.0</v>
      </c>
      <c r="B3574" s="24">
        <v>0.0</v>
      </c>
      <c r="C3574" s="44">
        <v>12.27</v>
      </c>
      <c r="D3574" s="46">
        <v>45098.0</v>
      </c>
      <c r="E3574" s="24" t="s">
        <v>6650</v>
      </c>
      <c r="F3574" s="24">
        <v>47.19</v>
      </c>
      <c r="G3574" s="24">
        <v>0.0</v>
      </c>
      <c r="H3574" s="24" t="s">
        <v>6692</v>
      </c>
      <c r="I3574" s="24" t="s">
        <v>6650</v>
      </c>
      <c r="J3574" s="24">
        <v>0.0</v>
      </c>
    </row>
    <row r="3575">
      <c r="A3575" s="24">
        <v>299.0</v>
      </c>
      <c r="B3575" s="24">
        <v>0.0</v>
      </c>
      <c r="C3575" s="44">
        <v>13.67</v>
      </c>
      <c r="D3575" s="46">
        <v>45098.0</v>
      </c>
      <c r="E3575" s="24" t="s">
        <v>6650</v>
      </c>
      <c r="F3575" s="24">
        <v>45.72</v>
      </c>
      <c r="G3575" s="24">
        <v>0.0</v>
      </c>
      <c r="H3575" s="24" t="s">
        <v>6680</v>
      </c>
      <c r="I3575" s="24" t="s">
        <v>6650</v>
      </c>
      <c r="J3575" s="24">
        <v>0.0</v>
      </c>
    </row>
    <row r="3576">
      <c r="A3576" s="24">
        <v>1062.0</v>
      </c>
      <c r="B3576" s="24">
        <v>8.0</v>
      </c>
      <c r="C3576" s="44">
        <v>13.09</v>
      </c>
      <c r="D3576" s="46">
        <v>45098.0</v>
      </c>
      <c r="E3576" s="24">
        <v>1.64</v>
      </c>
      <c r="F3576" s="24">
        <v>12.33</v>
      </c>
      <c r="G3576" s="24">
        <v>0.75</v>
      </c>
      <c r="H3576" s="24" t="s">
        <v>6689</v>
      </c>
      <c r="I3576" s="24" t="s">
        <v>6650</v>
      </c>
      <c r="J3576" s="24">
        <v>0.0</v>
      </c>
    </row>
    <row r="3577">
      <c r="A3577" s="24">
        <v>80.0</v>
      </c>
      <c r="B3577" s="24">
        <v>1.0</v>
      </c>
      <c r="C3577" s="44">
        <v>13.04</v>
      </c>
      <c r="D3577" s="46">
        <v>45098.0</v>
      </c>
      <c r="E3577" s="24">
        <v>13.04</v>
      </c>
      <c r="F3577" s="24">
        <v>163.0</v>
      </c>
      <c r="G3577" s="24">
        <v>1.25</v>
      </c>
      <c r="H3577" s="24" t="s">
        <v>6695</v>
      </c>
      <c r="I3577" s="24" t="s">
        <v>6650</v>
      </c>
      <c r="J3577" s="24">
        <v>0.0</v>
      </c>
    </row>
    <row r="3578">
      <c r="A3578" s="24">
        <v>61.0</v>
      </c>
      <c r="B3578" s="24">
        <v>1.0</v>
      </c>
      <c r="C3578" s="44">
        <v>10.85</v>
      </c>
      <c r="D3578" s="46">
        <v>45099.0</v>
      </c>
      <c r="E3578" s="24">
        <v>10.85</v>
      </c>
      <c r="F3578" s="24">
        <v>177.87</v>
      </c>
      <c r="G3578" s="24">
        <v>1.64</v>
      </c>
      <c r="H3578" s="24" t="s">
        <v>6695</v>
      </c>
      <c r="I3578" s="24" t="s">
        <v>6650</v>
      </c>
      <c r="J3578" s="24">
        <v>0.0</v>
      </c>
    </row>
    <row r="3579">
      <c r="A3579" s="24">
        <v>123.0</v>
      </c>
      <c r="B3579" s="24">
        <v>0.0</v>
      </c>
      <c r="C3579" s="44">
        <v>10.8</v>
      </c>
      <c r="D3579" s="46">
        <v>45099.0</v>
      </c>
      <c r="E3579" s="24" t="s">
        <v>6650</v>
      </c>
      <c r="F3579" s="24">
        <v>87.8</v>
      </c>
      <c r="G3579" s="24">
        <v>0.0</v>
      </c>
      <c r="H3579" s="24" t="s">
        <v>6696</v>
      </c>
      <c r="I3579" s="24" t="s">
        <v>6650</v>
      </c>
      <c r="J3579" s="24">
        <v>0.0</v>
      </c>
    </row>
    <row r="3580">
      <c r="A3580" s="24">
        <v>48.0</v>
      </c>
      <c r="B3580" s="24">
        <v>1.0</v>
      </c>
      <c r="C3580" s="44">
        <v>11.59</v>
      </c>
      <c r="D3580" s="46">
        <v>45099.0</v>
      </c>
      <c r="E3580" s="24">
        <v>11.59</v>
      </c>
      <c r="F3580" s="24">
        <v>241.46</v>
      </c>
      <c r="G3580" s="24">
        <v>2.08</v>
      </c>
      <c r="H3580" s="24" t="s">
        <v>6697</v>
      </c>
      <c r="I3580" s="24" t="s">
        <v>6650</v>
      </c>
      <c r="J3580" s="24">
        <v>0.0</v>
      </c>
    </row>
    <row r="3581">
      <c r="A3581" s="24">
        <v>1063.0</v>
      </c>
      <c r="B3581" s="24">
        <v>10.0</v>
      </c>
      <c r="C3581" s="44">
        <v>12.1</v>
      </c>
      <c r="D3581" s="46">
        <v>45099.0</v>
      </c>
      <c r="E3581" s="24">
        <v>1.21</v>
      </c>
      <c r="F3581" s="24">
        <v>11.38</v>
      </c>
      <c r="G3581" s="24">
        <v>0.94</v>
      </c>
      <c r="H3581" s="24" t="s">
        <v>6689</v>
      </c>
      <c r="I3581" s="24">
        <v>6.05</v>
      </c>
      <c r="J3581" s="24">
        <v>0.0</v>
      </c>
    </row>
    <row r="3582">
      <c r="A3582" s="24">
        <v>420.0</v>
      </c>
      <c r="B3582" s="24">
        <v>1.0</v>
      </c>
      <c r="C3582" s="44">
        <v>13.21</v>
      </c>
      <c r="D3582" s="46">
        <v>45099.0</v>
      </c>
      <c r="E3582" s="24">
        <v>13.21</v>
      </c>
      <c r="F3582" s="24">
        <v>31.45</v>
      </c>
      <c r="G3582" s="24">
        <v>0.24</v>
      </c>
      <c r="H3582" s="24" t="s">
        <v>6680</v>
      </c>
      <c r="I3582" s="24" t="s">
        <v>6650</v>
      </c>
      <c r="J3582" s="24">
        <v>0.0</v>
      </c>
    </row>
    <row r="3583">
      <c r="A3583" s="24">
        <v>2182.0</v>
      </c>
      <c r="B3583" s="24">
        <v>15.0</v>
      </c>
      <c r="C3583" s="44">
        <v>13.7</v>
      </c>
      <c r="D3583" s="46">
        <v>45099.0</v>
      </c>
      <c r="E3583" s="24">
        <v>0.91</v>
      </c>
      <c r="F3583" s="24">
        <v>6.28</v>
      </c>
      <c r="G3583" s="24">
        <v>0.69</v>
      </c>
      <c r="H3583" s="24" t="s">
        <v>6688</v>
      </c>
      <c r="I3583" s="24">
        <v>13.7</v>
      </c>
      <c r="J3583" s="24">
        <v>0.0</v>
      </c>
    </row>
    <row r="3584">
      <c r="A3584" s="24">
        <v>341.0</v>
      </c>
      <c r="B3584" s="24">
        <v>5.0</v>
      </c>
      <c r="C3584" s="44">
        <v>11.22</v>
      </c>
      <c r="D3584" s="46">
        <v>45099.0</v>
      </c>
      <c r="E3584" s="24">
        <v>2.24</v>
      </c>
      <c r="F3584" s="24">
        <v>32.9</v>
      </c>
      <c r="G3584" s="24">
        <v>1.47</v>
      </c>
      <c r="H3584" s="24" t="s">
        <v>6698</v>
      </c>
      <c r="I3584" s="24">
        <v>5.61</v>
      </c>
      <c r="J3584" s="24">
        <v>0.0</v>
      </c>
    </row>
    <row r="3585">
      <c r="A3585" s="24">
        <v>92.0</v>
      </c>
      <c r="B3585" s="24">
        <v>1.0</v>
      </c>
      <c r="C3585" s="44">
        <v>11.17</v>
      </c>
      <c r="D3585" s="46">
        <v>45099.0</v>
      </c>
      <c r="E3585" s="24">
        <v>11.17</v>
      </c>
      <c r="F3585" s="24">
        <v>121.41</v>
      </c>
      <c r="G3585" s="24">
        <v>1.09</v>
      </c>
      <c r="H3585" s="24" t="s">
        <v>6699</v>
      </c>
      <c r="I3585" s="24" t="s">
        <v>6650</v>
      </c>
      <c r="J3585" s="24">
        <v>0.0</v>
      </c>
    </row>
    <row r="3586">
      <c r="A3586" s="24">
        <v>324.0</v>
      </c>
      <c r="B3586" s="24">
        <v>2.0</v>
      </c>
      <c r="C3586" s="44">
        <v>11.79</v>
      </c>
      <c r="D3586" s="46">
        <v>45099.0</v>
      </c>
      <c r="E3586" s="24">
        <v>5.9</v>
      </c>
      <c r="F3586" s="24">
        <v>36.39</v>
      </c>
      <c r="G3586" s="24">
        <v>0.62</v>
      </c>
      <c r="H3586" s="24" t="s">
        <v>6692</v>
      </c>
      <c r="I3586" s="24">
        <v>11.79</v>
      </c>
      <c r="J3586" s="24">
        <v>0.0</v>
      </c>
    </row>
    <row r="3587">
      <c r="A3587" s="24">
        <v>68.0</v>
      </c>
      <c r="B3587" s="24">
        <v>0.0</v>
      </c>
      <c r="C3587" s="44">
        <v>13.12</v>
      </c>
      <c r="D3587" s="46">
        <v>45099.0</v>
      </c>
      <c r="E3587" s="24" t="s">
        <v>6650</v>
      </c>
      <c r="F3587" s="24">
        <v>192.94</v>
      </c>
      <c r="G3587" s="24">
        <v>0.0</v>
      </c>
      <c r="H3587" s="24" t="s">
        <v>6701</v>
      </c>
      <c r="I3587" s="24" t="s">
        <v>6650</v>
      </c>
      <c r="J3587" s="24">
        <v>0.0</v>
      </c>
    </row>
    <row r="3588">
      <c r="A3588" s="24">
        <v>351.0</v>
      </c>
      <c r="B3588" s="24">
        <v>3.0</v>
      </c>
      <c r="C3588" s="44">
        <v>11.47</v>
      </c>
      <c r="D3588" s="46">
        <v>45099.0</v>
      </c>
      <c r="E3588" s="24">
        <v>3.82</v>
      </c>
      <c r="F3588" s="24">
        <v>32.68</v>
      </c>
      <c r="G3588" s="24">
        <v>0.85</v>
      </c>
      <c r="H3588" s="24" t="s">
        <v>6700</v>
      </c>
      <c r="I3588" s="24">
        <v>11.47</v>
      </c>
      <c r="J3588" s="24">
        <v>0.0</v>
      </c>
    </row>
    <row r="3589">
      <c r="A3589" s="24">
        <v>101.0</v>
      </c>
      <c r="B3589" s="24">
        <v>0.0</v>
      </c>
      <c r="C3589" s="44">
        <v>11.03</v>
      </c>
      <c r="D3589" s="46">
        <v>45100.0</v>
      </c>
      <c r="E3589" s="24" t="s">
        <v>6650</v>
      </c>
      <c r="F3589" s="24">
        <v>109.21</v>
      </c>
      <c r="G3589" s="24">
        <v>0.0</v>
      </c>
      <c r="H3589" s="24" t="s">
        <v>6700</v>
      </c>
      <c r="I3589" s="24">
        <v>11.03</v>
      </c>
      <c r="J3589" s="24">
        <v>0.0</v>
      </c>
    </row>
    <row r="3590">
      <c r="A3590" s="24">
        <v>88.0</v>
      </c>
      <c r="B3590" s="24">
        <v>2.0</v>
      </c>
      <c r="C3590" s="44">
        <v>10.75</v>
      </c>
      <c r="D3590" s="46">
        <v>45100.0</v>
      </c>
      <c r="E3590" s="24">
        <v>5.38</v>
      </c>
      <c r="F3590" s="24">
        <v>122.16</v>
      </c>
      <c r="G3590" s="24">
        <v>2.27</v>
      </c>
      <c r="H3590" s="24" t="s">
        <v>6699</v>
      </c>
      <c r="I3590" s="24" t="s">
        <v>6650</v>
      </c>
      <c r="J3590" s="24">
        <v>0.0</v>
      </c>
    </row>
    <row r="3591">
      <c r="A3591" s="24">
        <v>32.0</v>
      </c>
      <c r="B3591" s="24">
        <v>0.0</v>
      </c>
      <c r="C3591" s="44">
        <v>10.89</v>
      </c>
      <c r="D3591" s="46">
        <v>45100.0</v>
      </c>
      <c r="E3591" s="24" t="s">
        <v>6650</v>
      </c>
      <c r="F3591" s="24">
        <v>340.31</v>
      </c>
      <c r="G3591" s="24">
        <v>0.0</v>
      </c>
      <c r="H3591" s="24" t="s">
        <v>6697</v>
      </c>
      <c r="I3591" s="24" t="s">
        <v>6650</v>
      </c>
      <c r="J3591" s="24">
        <v>0.0</v>
      </c>
    </row>
    <row r="3592">
      <c r="A3592" s="24">
        <v>948.0</v>
      </c>
      <c r="B3592" s="24">
        <v>11.0</v>
      </c>
      <c r="C3592" s="44">
        <v>12.11</v>
      </c>
      <c r="D3592" s="46">
        <v>45100.0</v>
      </c>
      <c r="E3592" s="24">
        <v>1.1</v>
      </c>
      <c r="F3592" s="24">
        <v>12.77</v>
      </c>
      <c r="G3592" s="24">
        <v>1.16</v>
      </c>
      <c r="H3592" s="24" t="s">
        <v>6689</v>
      </c>
      <c r="I3592" s="24" t="s">
        <v>6650</v>
      </c>
      <c r="J3592" s="24">
        <v>0.0</v>
      </c>
    </row>
    <row r="3593">
      <c r="A3593" s="24">
        <v>116.0</v>
      </c>
      <c r="B3593" s="24">
        <v>0.0</v>
      </c>
      <c r="C3593" s="44">
        <v>11.68</v>
      </c>
      <c r="D3593" s="46">
        <v>45100.0</v>
      </c>
      <c r="E3593" s="24" t="s">
        <v>6650</v>
      </c>
      <c r="F3593" s="24">
        <v>100.69</v>
      </c>
      <c r="G3593" s="24">
        <v>0.0</v>
      </c>
      <c r="H3593" s="24" t="s">
        <v>6680</v>
      </c>
      <c r="I3593" s="24" t="s">
        <v>6650</v>
      </c>
      <c r="J3593" s="24">
        <v>0.0</v>
      </c>
    </row>
    <row r="3594">
      <c r="A3594" s="24">
        <v>335.0</v>
      </c>
      <c r="B3594" s="24">
        <v>1.0</v>
      </c>
      <c r="C3594" s="44">
        <v>10.45</v>
      </c>
      <c r="D3594" s="46">
        <v>45100.0</v>
      </c>
      <c r="E3594" s="24">
        <v>10.45</v>
      </c>
      <c r="F3594" s="24">
        <v>31.19</v>
      </c>
      <c r="G3594" s="24">
        <v>0.3</v>
      </c>
      <c r="H3594" s="24" t="s">
        <v>6698</v>
      </c>
      <c r="I3594" s="24">
        <v>10.45</v>
      </c>
      <c r="J3594" s="24">
        <v>0.0</v>
      </c>
    </row>
    <row r="3595">
      <c r="A3595" s="24">
        <v>1827.0</v>
      </c>
      <c r="B3595" s="24">
        <v>11.0</v>
      </c>
      <c r="C3595" s="44">
        <v>13.46</v>
      </c>
      <c r="D3595" s="46">
        <v>45100.0</v>
      </c>
      <c r="E3595" s="24">
        <v>1.22</v>
      </c>
      <c r="F3595" s="24">
        <v>7.37</v>
      </c>
      <c r="G3595" s="24">
        <v>0.6</v>
      </c>
      <c r="H3595" s="24" t="s">
        <v>6688</v>
      </c>
      <c r="I3595" s="24">
        <v>4.49</v>
      </c>
      <c r="J3595" s="24">
        <v>0.0</v>
      </c>
    </row>
    <row r="3596">
      <c r="A3596" s="24">
        <v>37.0</v>
      </c>
      <c r="B3596" s="24">
        <v>0.0</v>
      </c>
      <c r="C3596" s="44">
        <v>9.7</v>
      </c>
      <c r="D3596" s="46">
        <v>45100.0</v>
      </c>
      <c r="E3596" s="24" t="s">
        <v>6650</v>
      </c>
      <c r="F3596" s="24">
        <v>262.16</v>
      </c>
      <c r="G3596" s="24">
        <v>0.0</v>
      </c>
      <c r="H3596" s="24" t="s">
        <v>6695</v>
      </c>
      <c r="I3596" s="24" t="s">
        <v>6650</v>
      </c>
      <c r="J3596" s="24">
        <v>0.0</v>
      </c>
    </row>
    <row r="3597">
      <c r="A3597" s="24">
        <v>79.0</v>
      </c>
      <c r="B3597" s="24">
        <v>1.0</v>
      </c>
      <c r="C3597" s="44">
        <v>10.44</v>
      </c>
      <c r="D3597" s="46">
        <v>45100.0</v>
      </c>
      <c r="E3597" s="24">
        <v>10.44</v>
      </c>
      <c r="F3597" s="24">
        <v>132.15</v>
      </c>
      <c r="G3597" s="24">
        <v>1.27</v>
      </c>
      <c r="H3597" s="24" t="s">
        <v>6692</v>
      </c>
      <c r="I3597" s="24" t="s">
        <v>6650</v>
      </c>
      <c r="J3597" s="24">
        <v>0.0</v>
      </c>
    </row>
    <row r="3598">
      <c r="A3598" s="24">
        <v>133.0</v>
      </c>
      <c r="B3598" s="24">
        <v>2.0</v>
      </c>
      <c r="C3598" s="44">
        <v>10.76</v>
      </c>
      <c r="D3598" s="46">
        <v>45100.0</v>
      </c>
      <c r="E3598" s="24">
        <v>5.38</v>
      </c>
      <c r="F3598" s="24">
        <v>80.9</v>
      </c>
      <c r="G3598" s="24">
        <v>1.5</v>
      </c>
      <c r="H3598" s="24" t="s">
        <v>6696</v>
      </c>
      <c r="I3598" s="24" t="s">
        <v>6650</v>
      </c>
      <c r="J3598" s="24">
        <v>0.0</v>
      </c>
    </row>
    <row r="3599">
      <c r="A3599" s="24">
        <v>50.0</v>
      </c>
      <c r="B3599" s="24">
        <v>1.0</v>
      </c>
      <c r="C3599" s="44">
        <v>12.01</v>
      </c>
      <c r="D3599" s="46">
        <v>45100.0</v>
      </c>
      <c r="E3599" s="24">
        <v>12.01</v>
      </c>
      <c r="F3599" s="24">
        <v>240.2</v>
      </c>
      <c r="G3599" s="24">
        <v>2.0</v>
      </c>
      <c r="H3599" s="24" t="s">
        <v>6701</v>
      </c>
      <c r="I3599" s="24" t="s">
        <v>6650</v>
      </c>
      <c r="J3599" s="24">
        <v>0.0</v>
      </c>
    </row>
    <row r="3600">
      <c r="A3600" s="24">
        <v>23.0</v>
      </c>
      <c r="B3600" s="24">
        <v>0.0</v>
      </c>
      <c r="C3600" s="44">
        <v>3.91</v>
      </c>
      <c r="D3600" s="46">
        <v>45101.0</v>
      </c>
      <c r="E3600" s="24" t="s">
        <v>6650</v>
      </c>
      <c r="F3600" s="24">
        <v>170.0</v>
      </c>
      <c r="G3600" s="24">
        <v>0.0</v>
      </c>
      <c r="H3600" s="24" t="s">
        <v>6701</v>
      </c>
      <c r="I3600" s="24" t="s">
        <v>6650</v>
      </c>
      <c r="J3600" s="24">
        <v>0.0</v>
      </c>
    </row>
    <row r="3601">
      <c r="A3601" s="24">
        <v>259.0</v>
      </c>
      <c r="B3601" s="24">
        <v>1.0</v>
      </c>
      <c r="C3601" s="44">
        <v>6.42</v>
      </c>
      <c r="D3601" s="46">
        <v>45101.0</v>
      </c>
      <c r="E3601" s="24">
        <v>6.42</v>
      </c>
      <c r="F3601" s="24">
        <v>24.79</v>
      </c>
      <c r="G3601" s="24">
        <v>0.39</v>
      </c>
      <c r="H3601" s="24" t="s">
        <v>6698</v>
      </c>
      <c r="I3601" s="24">
        <v>6.42</v>
      </c>
      <c r="J3601" s="24">
        <v>0.0</v>
      </c>
    </row>
    <row r="3602">
      <c r="A3602" s="24">
        <v>1236.0</v>
      </c>
      <c r="B3602" s="24">
        <v>12.0</v>
      </c>
      <c r="C3602" s="44">
        <v>8.01</v>
      </c>
      <c r="D3602" s="46">
        <v>45101.0</v>
      </c>
      <c r="E3602" s="24">
        <v>0.67</v>
      </c>
      <c r="F3602" s="24">
        <v>6.48</v>
      </c>
      <c r="G3602" s="24">
        <v>0.97</v>
      </c>
      <c r="H3602" s="24" t="s">
        <v>6688</v>
      </c>
      <c r="I3602" s="24">
        <v>2.67</v>
      </c>
      <c r="J3602" s="24">
        <v>0.0</v>
      </c>
    </row>
    <row r="3603">
      <c r="A3603" s="24">
        <v>44.0</v>
      </c>
      <c r="B3603" s="24">
        <v>0.0</v>
      </c>
      <c r="C3603" s="44">
        <v>6.32</v>
      </c>
      <c r="D3603" s="46">
        <v>45101.0</v>
      </c>
      <c r="E3603" s="24" t="s">
        <v>6650</v>
      </c>
      <c r="F3603" s="24">
        <v>143.64</v>
      </c>
      <c r="G3603" s="24">
        <v>0.0</v>
      </c>
      <c r="H3603" s="24" t="s">
        <v>6700</v>
      </c>
      <c r="I3603" s="24" t="s">
        <v>6650</v>
      </c>
      <c r="J3603" s="24">
        <v>0.0</v>
      </c>
    </row>
    <row r="3604">
      <c r="A3604" s="24">
        <v>359.0</v>
      </c>
      <c r="B3604" s="24">
        <v>5.0</v>
      </c>
      <c r="C3604" s="44">
        <v>6.7</v>
      </c>
      <c r="D3604" s="46">
        <v>45101.0</v>
      </c>
      <c r="E3604" s="24">
        <v>1.34</v>
      </c>
      <c r="F3604" s="24">
        <v>18.66</v>
      </c>
      <c r="G3604" s="24">
        <v>1.39</v>
      </c>
      <c r="H3604" s="24" t="s">
        <v>6689</v>
      </c>
      <c r="I3604" s="24" t="s">
        <v>6650</v>
      </c>
      <c r="J3604" s="24">
        <v>0.0</v>
      </c>
    </row>
    <row r="3605">
      <c r="A3605" s="24">
        <v>15.0</v>
      </c>
      <c r="B3605" s="24">
        <v>0.0</v>
      </c>
      <c r="C3605" s="44">
        <v>7.36</v>
      </c>
      <c r="D3605" s="46">
        <v>45101.0</v>
      </c>
      <c r="E3605" s="24" t="s">
        <v>6650</v>
      </c>
      <c r="F3605" s="24">
        <v>490.67</v>
      </c>
      <c r="G3605" s="24">
        <v>0.0</v>
      </c>
      <c r="H3605" s="24" t="s">
        <v>6695</v>
      </c>
      <c r="I3605" s="24" t="s">
        <v>6650</v>
      </c>
      <c r="J3605" s="24">
        <v>0.0</v>
      </c>
    </row>
    <row r="3606">
      <c r="A3606" s="24">
        <v>47.0</v>
      </c>
      <c r="B3606" s="24">
        <v>1.0</v>
      </c>
      <c r="C3606" s="44">
        <v>6.97</v>
      </c>
      <c r="D3606" s="46">
        <v>45101.0</v>
      </c>
      <c r="E3606" s="24">
        <v>6.97</v>
      </c>
      <c r="F3606" s="24">
        <v>148.3</v>
      </c>
      <c r="G3606" s="24">
        <v>2.13</v>
      </c>
      <c r="H3606" s="24" t="s">
        <v>6680</v>
      </c>
      <c r="I3606" s="24" t="s">
        <v>6650</v>
      </c>
      <c r="J3606" s="24">
        <v>0.0</v>
      </c>
    </row>
    <row r="3607">
      <c r="A3607" s="24">
        <v>53.0</v>
      </c>
      <c r="B3607" s="24">
        <v>1.0</v>
      </c>
      <c r="C3607" s="44">
        <v>7.44</v>
      </c>
      <c r="D3607" s="46">
        <v>45101.0</v>
      </c>
      <c r="E3607" s="24">
        <v>7.44</v>
      </c>
      <c r="F3607" s="24">
        <v>140.38</v>
      </c>
      <c r="G3607" s="24">
        <v>1.89</v>
      </c>
      <c r="H3607" s="24" t="s">
        <v>6696</v>
      </c>
      <c r="I3607" s="24">
        <v>7.44</v>
      </c>
      <c r="J3607" s="24">
        <v>0.0</v>
      </c>
    </row>
    <row r="3608">
      <c r="A3608" s="24">
        <v>28.0</v>
      </c>
      <c r="B3608" s="24">
        <v>0.0</v>
      </c>
      <c r="C3608" s="44">
        <v>7.44</v>
      </c>
      <c r="D3608" s="46">
        <v>45101.0</v>
      </c>
      <c r="E3608" s="24" t="s">
        <v>6650</v>
      </c>
      <c r="F3608" s="24">
        <v>265.71</v>
      </c>
      <c r="G3608" s="24">
        <v>0.0</v>
      </c>
      <c r="H3608" s="24" t="s">
        <v>6692</v>
      </c>
      <c r="I3608" s="24">
        <v>7.44</v>
      </c>
      <c r="J3608" s="24">
        <v>0.0</v>
      </c>
    </row>
    <row r="3609">
      <c r="A3609" s="24">
        <v>11.0</v>
      </c>
      <c r="B3609" s="24">
        <v>0.0</v>
      </c>
      <c r="C3609" s="44">
        <v>8.46</v>
      </c>
      <c r="D3609" s="46">
        <v>45101.0</v>
      </c>
      <c r="E3609" s="24" t="s">
        <v>6650</v>
      </c>
      <c r="F3609" s="24">
        <v>769.09</v>
      </c>
      <c r="G3609" s="24">
        <v>0.0</v>
      </c>
      <c r="H3609" s="24" t="s">
        <v>6697</v>
      </c>
      <c r="I3609" s="24" t="s">
        <v>6650</v>
      </c>
      <c r="J3609" s="24">
        <v>0.0</v>
      </c>
    </row>
    <row r="3610">
      <c r="A3610" s="24">
        <v>50.0</v>
      </c>
      <c r="B3610" s="24">
        <v>1.0</v>
      </c>
      <c r="C3610" s="44">
        <v>5.3</v>
      </c>
      <c r="D3610" s="46">
        <v>45101.0</v>
      </c>
      <c r="E3610" s="24">
        <v>5.3</v>
      </c>
      <c r="F3610" s="24">
        <v>106.0</v>
      </c>
      <c r="G3610" s="24">
        <v>2.0</v>
      </c>
      <c r="H3610" s="24" t="s">
        <v>6699</v>
      </c>
      <c r="I3610" s="24">
        <v>5.3</v>
      </c>
      <c r="J3610" s="24">
        <v>0.0</v>
      </c>
    </row>
    <row r="3611">
      <c r="A3611" s="24">
        <v>41.0</v>
      </c>
      <c r="B3611" s="24">
        <v>1.0</v>
      </c>
      <c r="C3611" s="44">
        <v>4.04</v>
      </c>
      <c r="D3611" s="46">
        <v>45102.0</v>
      </c>
      <c r="E3611" s="24">
        <v>4.04</v>
      </c>
      <c r="F3611" s="24">
        <v>98.54</v>
      </c>
      <c r="G3611" s="24">
        <v>2.44</v>
      </c>
      <c r="H3611" s="24" t="s">
        <v>6699</v>
      </c>
      <c r="I3611" s="24" t="s">
        <v>6650</v>
      </c>
      <c r="J3611" s="24">
        <v>0.0</v>
      </c>
    </row>
    <row r="3612">
      <c r="A3612" s="24">
        <v>61.0</v>
      </c>
      <c r="B3612" s="24">
        <v>0.0</v>
      </c>
      <c r="C3612" s="44">
        <v>3.79</v>
      </c>
      <c r="D3612" s="46">
        <v>45102.0</v>
      </c>
      <c r="E3612" s="24" t="s">
        <v>6650</v>
      </c>
      <c r="F3612" s="24">
        <v>62.13</v>
      </c>
      <c r="G3612" s="24">
        <v>0.0</v>
      </c>
      <c r="H3612" s="24" t="s">
        <v>6696</v>
      </c>
      <c r="I3612" s="24" t="s">
        <v>6650</v>
      </c>
      <c r="J3612" s="24">
        <v>0.0</v>
      </c>
    </row>
    <row r="3613">
      <c r="A3613" s="24">
        <v>44.0</v>
      </c>
      <c r="B3613" s="24">
        <v>0.0</v>
      </c>
      <c r="C3613" s="44">
        <v>5.2</v>
      </c>
      <c r="D3613" s="46">
        <v>45102.0</v>
      </c>
      <c r="E3613" s="24" t="s">
        <v>6650</v>
      </c>
      <c r="F3613" s="24">
        <v>118.18</v>
      </c>
      <c r="G3613" s="24">
        <v>0.0</v>
      </c>
      <c r="H3613" s="24" t="s">
        <v>6680</v>
      </c>
      <c r="I3613" s="24" t="s">
        <v>6650</v>
      </c>
      <c r="J3613" s="24">
        <v>0.0</v>
      </c>
    </row>
    <row r="3614">
      <c r="A3614" s="24">
        <v>7.0</v>
      </c>
      <c r="B3614" s="24">
        <v>1.0</v>
      </c>
      <c r="C3614" s="44">
        <v>0.63</v>
      </c>
      <c r="D3614" s="46">
        <v>45102.0</v>
      </c>
      <c r="E3614" s="24">
        <v>0.63</v>
      </c>
      <c r="F3614" s="24">
        <v>90.0</v>
      </c>
      <c r="G3614" s="24">
        <v>14.29</v>
      </c>
      <c r="H3614" s="24" t="s">
        <v>6697</v>
      </c>
      <c r="I3614" s="24" t="s">
        <v>6650</v>
      </c>
      <c r="J3614" s="24">
        <v>1.0</v>
      </c>
    </row>
    <row r="3615">
      <c r="A3615" s="24">
        <v>22.0</v>
      </c>
      <c r="B3615" s="24">
        <v>0.0</v>
      </c>
      <c r="C3615" s="44">
        <v>2.51</v>
      </c>
      <c r="D3615" s="46">
        <v>45102.0</v>
      </c>
      <c r="E3615" s="24" t="s">
        <v>6650</v>
      </c>
      <c r="F3615" s="24">
        <v>114.09</v>
      </c>
      <c r="G3615" s="24">
        <v>0.0</v>
      </c>
      <c r="H3615" s="24" t="s">
        <v>6695</v>
      </c>
      <c r="I3615" s="24" t="s">
        <v>6650</v>
      </c>
      <c r="J3615" s="24">
        <v>0.0</v>
      </c>
    </row>
    <row r="3616">
      <c r="A3616" s="24">
        <v>1166.0</v>
      </c>
      <c r="B3616" s="24">
        <v>10.0</v>
      </c>
      <c r="C3616" s="44">
        <v>7.69</v>
      </c>
      <c r="D3616" s="46">
        <v>45102.0</v>
      </c>
      <c r="E3616" s="24">
        <v>0.77</v>
      </c>
      <c r="F3616" s="24">
        <v>6.6</v>
      </c>
      <c r="G3616" s="24">
        <v>0.86</v>
      </c>
      <c r="H3616" s="24" t="s">
        <v>6688</v>
      </c>
      <c r="I3616" s="24">
        <v>1.28</v>
      </c>
      <c r="J3616" s="24">
        <v>0.0</v>
      </c>
    </row>
    <row r="3617">
      <c r="A3617" s="24">
        <v>41.0</v>
      </c>
      <c r="B3617" s="24">
        <v>0.0</v>
      </c>
      <c r="C3617" s="44">
        <v>5.61</v>
      </c>
      <c r="D3617" s="46">
        <v>45102.0</v>
      </c>
      <c r="E3617" s="24" t="s">
        <v>6650</v>
      </c>
      <c r="F3617" s="24">
        <v>136.83</v>
      </c>
      <c r="G3617" s="24">
        <v>0.0</v>
      </c>
      <c r="H3617" s="24" t="s">
        <v>6700</v>
      </c>
      <c r="I3617" s="24" t="s">
        <v>6650</v>
      </c>
      <c r="J3617" s="24">
        <v>0.0</v>
      </c>
    </row>
    <row r="3618">
      <c r="A3618" s="24">
        <v>16.0</v>
      </c>
      <c r="B3618" s="24">
        <v>0.0</v>
      </c>
      <c r="C3618" s="44">
        <v>2.22</v>
      </c>
      <c r="D3618" s="46">
        <v>45102.0</v>
      </c>
      <c r="E3618" s="24" t="s">
        <v>6650</v>
      </c>
      <c r="F3618" s="24">
        <v>138.75</v>
      </c>
      <c r="G3618" s="24">
        <v>0.0</v>
      </c>
      <c r="H3618" s="24" t="s">
        <v>6701</v>
      </c>
      <c r="I3618" s="24">
        <v>2.22</v>
      </c>
      <c r="J3618" s="24">
        <v>0.0</v>
      </c>
    </row>
    <row r="3619">
      <c r="A3619" s="24">
        <v>149.0</v>
      </c>
      <c r="B3619" s="24">
        <v>3.0</v>
      </c>
      <c r="C3619" s="44">
        <v>6.18</v>
      </c>
      <c r="D3619" s="46">
        <v>45102.0</v>
      </c>
      <c r="E3619" s="24">
        <v>2.06</v>
      </c>
      <c r="F3619" s="24">
        <v>41.48</v>
      </c>
      <c r="G3619" s="24">
        <v>2.01</v>
      </c>
      <c r="H3619" s="24" t="s">
        <v>6698</v>
      </c>
      <c r="I3619" s="24" t="s">
        <v>6650</v>
      </c>
      <c r="J3619" s="24">
        <v>0.0</v>
      </c>
    </row>
    <row r="3620">
      <c r="A3620" s="24">
        <v>449.0</v>
      </c>
      <c r="B3620" s="24">
        <v>7.0</v>
      </c>
      <c r="C3620" s="44">
        <v>5.88</v>
      </c>
      <c r="D3620" s="46">
        <v>45102.0</v>
      </c>
      <c r="E3620" s="24">
        <v>0.84</v>
      </c>
      <c r="F3620" s="24">
        <v>13.1</v>
      </c>
      <c r="G3620" s="24">
        <v>1.56</v>
      </c>
      <c r="H3620" s="24" t="s">
        <v>6689</v>
      </c>
      <c r="I3620" s="24" t="s">
        <v>6650</v>
      </c>
      <c r="J3620" s="24">
        <v>0.0</v>
      </c>
    </row>
    <row r="3621">
      <c r="A3621" s="24">
        <v>36.0</v>
      </c>
      <c r="B3621" s="24">
        <v>0.0</v>
      </c>
      <c r="C3621" s="44">
        <v>4.76</v>
      </c>
      <c r="D3621" s="46">
        <v>45102.0</v>
      </c>
      <c r="E3621" s="24" t="s">
        <v>6650</v>
      </c>
      <c r="F3621" s="24">
        <v>132.22</v>
      </c>
      <c r="G3621" s="24">
        <v>0.0</v>
      </c>
      <c r="H3621" s="24" t="s">
        <v>6692</v>
      </c>
      <c r="I3621" s="24" t="s">
        <v>6650</v>
      </c>
      <c r="J3621" s="24">
        <v>0.0</v>
      </c>
    </row>
    <row r="3622">
      <c r="A3622" s="24">
        <v>67.0</v>
      </c>
      <c r="B3622" s="24">
        <v>0.0</v>
      </c>
      <c r="C3622" s="44">
        <v>10.38</v>
      </c>
      <c r="D3622" s="46">
        <v>45103.0</v>
      </c>
      <c r="E3622" s="24" t="s">
        <v>6650</v>
      </c>
      <c r="F3622" s="24">
        <v>154.93</v>
      </c>
      <c r="G3622" s="24">
        <v>0.0</v>
      </c>
      <c r="H3622" s="24" t="s">
        <v>6701</v>
      </c>
      <c r="I3622" s="24" t="s">
        <v>6650</v>
      </c>
      <c r="J3622" s="24">
        <v>0.0</v>
      </c>
    </row>
    <row r="3623">
      <c r="A3623" s="24">
        <v>198.0</v>
      </c>
      <c r="B3623" s="24">
        <v>1.0</v>
      </c>
      <c r="C3623" s="44">
        <v>11.57</v>
      </c>
      <c r="D3623" s="46">
        <v>45103.0</v>
      </c>
      <c r="E3623" s="24">
        <v>11.57</v>
      </c>
      <c r="F3623" s="24">
        <v>58.43</v>
      </c>
      <c r="G3623" s="24">
        <v>0.51</v>
      </c>
      <c r="H3623" s="24" t="s">
        <v>6696</v>
      </c>
      <c r="I3623" s="24">
        <v>11.57</v>
      </c>
      <c r="J3623" s="24">
        <v>0.0</v>
      </c>
    </row>
    <row r="3624">
      <c r="A3624" s="24">
        <v>588.0</v>
      </c>
      <c r="B3624" s="24">
        <v>11.0</v>
      </c>
      <c r="C3624" s="44">
        <v>11.32</v>
      </c>
      <c r="D3624" s="46">
        <v>45103.0</v>
      </c>
      <c r="E3624" s="24">
        <v>1.03</v>
      </c>
      <c r="F3624" s="24">
        <v>19.25</v>
      </c>
      <c r="G3624" s="24">
        <v>1.87</v>
      </c>
      <c r="H3624" s="24" t="s">
        <v>6698</v>
      </c>
      <c r="I3624" s="24" t="s">
        <v>6650</v>
      </c>
      <c r="J3624" s="24">
        <v>0.0</v>
      </c>
    </row>
    <row r="3625">
      <c r="A3625" s="24">
        <v>152.0</v>
      </c>
      <c r="B3625" s="24">
        <v>4.0</v>
      </c>
      <c r="C3625" s="44">
        <v>10.22</v>
      </c>
      <c r="D3625" s="46">
        <v>45103.0</v>
      </c>
      <c r="E3625" s="24">
        <v>2.56</v>
      </c>
      <c r="F3625" s="24">
        <v>67.24</v>
      </c>
      <c r="G3625" s="24">
        <v>2.63</v>
      </c>
      <c r="H3625" s="24" t="s">
        <v>6699</v>
      </c>
      <c r="I3625" s="24">
        <v>10.22</v>
      </c>
      <c r="J3625" s="24">
        <v>0.0</v>
      </c>
    </row>
    <row r="3626">
      <c r="A3626" s="24">
        <v>1771.0</v>
      </c>
      <c r="B3626" s="24">
        <v>8.0</v>
      </c>
      <c r="C3626" s="44">
        <v>11.41</v>
      </c>
      <c r="D3626" s="46">
        <v>45103.0</v>
      </c>
      <c r="E3626" s="24">
        <v>1.43</v>
      </c>
      <c r="F3626" s="24">
        <v>6.44</v>
      </c>
      <c r="G3626" s="24">
        <v>0.45</v>
      </c>
      <c r="H3626" s="24" t="s">
        <v>6688</v>
      </c>
      <c r="I3626" s="24">
        <v>11.41</v>
      </c>
      <c r="J3626" s="24">
        <v>0.0</v>
      </c>
    </row>
    <row r="3627">
      <c r="A3627" s="24">
        <v>245.0</v>
      </c>
      <c r="B3627" s="24">
        <v>1.0</v>
      </c>
      <c r="C3627" s="44">
        <v>12.5</v>
      </c>
      <c r="D3627" s="46">
        <v>45103.0</v>
      </c>
      <c r="E3627" s="24">
        <v>12.5</v>
      </c>
      <c r="F3627" s="24">
        <v>51.02</v>
      </c>
      <c r="G3627" s="24">
        <v>0.41</v>
      </c>
      <c r="H3627" s="24" t="s">
        <v>6680</v>
      </c>
      <c r="I3627" s="24" t="s">
        <v>6650</v>
      </c>
      <c r="J3627" s="24">
        <v>0.0</v>
      </c>
    </row>
    <row r="3628">
      <c r="A3628" s="24">
        <v>45.0</v>
      </c>
      <c r="B3628" s="24">
        <v>0.0</v>
      </c>
      <c r="C3628" s="44">
        <v>10.56</v>
      </c>
      <c r="D3628" s="46">
        <v>45103.0</v>
      </c>
      <c r="E3628" s="24" t="s">
        <v>6650</v>
      </c>
      <c r="F3628" s="24">
        <v>234.67</v>
      </c>
      <c r="G3628" s="24">
        <v>0.0</v>
      </c>
      <c r="H3628" s="24" t="s">
        <v>6697</v>
      </c>
      <c r="I3628" s="24" t="s">
        <v>6650</v>
      </c>
      <c r="J3628" s="24">
        <v>0.0</v>
      </c>
    </row>
    <row r="3629">
      <c r="A3629" s="24">
        <v>114.0</v>
      </c>
      <c r="B3629" s="24">
        <v>1.0</v>
      </c>
      <c r="C3629" s="44">
        <v>12.15</v>
      </c>
      <c r="D3629" s="46">
        <v>45103.0</v>
      </c>
      <c r="E3629" s="24">
        <v>12.15</v>
      </c>
      <c r="F3629" s="24">
        <v>106.58</v>
      </c>
      <c r="G3629" s="24">
        <v>0.88</v>
      </c>
      <c r="H3629" s="24" t="s">
        <v>6700</v>
      </c>
      <c r="I3629" s="24">
        <v>12.15</v>
      </c>
      <c r="J3629" s="24">
        <v>0.0</v>
      </c>
    </row>
    <row r="3630">
      <c r="A3630" s="24">
        <v>122.0</v>
      </c>
      <c r="B3630" s="24">
        <v>0.0</v>
      </c>
      <c r="C3630" s="44">
        <v>11.19</v>
      </c>
      <c r="D3630" s="46">
        <v>45103.0</v>
      </c>
      <c r="E3630" s="24" t="s">
        <v>6650</v>
      </c>
      <c r="F3630" s="24">
        <v>91.72</v>
      </c>
      <c r="G3630" s="24">
        <v>0.0</v>
      </c>
      <c r="H3630" s="24" t="s">
        <v>6692</v>
      </c>
      <c r="I3630" s="24" t="s">
        <v>6650</v>
      </c>
      <c r="J3630" s="24">
        <v>0.0</v>
      </c>
    </row>
    <row r="3631">
      <c r="A3631" s="24">
        <v>1080.0</v>
      </c>
      <c r="B3631" s="24">
        <v>8.0</v>
      </c>
      <c r="C3631" s="44">
        <v>9.86</v>
      </c>
      <c r="D3631" s="46">
        <v>45103.0</v>
      </c>
      <c r="E3631" s="24">
        <v>1.23</v>
      </c>
      <c r="F3631" s="24">
        <v>9.13</v>
      </c>
      <c r="G3631" s="24">
        <v>0.74</v>
      </c>
      <c r="H3631" s="24" t="s">
        <v>6689</v>
      </c>
      <c r="I3631" s="24">
        <v>4.93</v>
      </c>
      <c r="J3631" s="24">
        <v>0.0</v>
      </c>
    </row>
    <row r="3632">
      <c r="A3632" s="24">
        <v>51.0</v>
      </c>
      <c r="B3632" s="24">
        <v>0.0</v>
      </c>
      <c r="C3632" s="44">
        <v>11.33</v>
      </c>
      <c r="D3632" s="46">
        <v>45103.0</v>
      </c>
      <c r="E3632" s="24" t="s">
        <v>6650</v>
      </c>
      <c r="F3632" s="24">
        <v>222.16</v>
      </c>
      <c r="G3632" s="24">
        <v>0.0</v>
      </c>
      <c r="H3632" s="24" t="s">
        <v>6695</v>
      </c>
      <c r="I3632" s="24" t="s">
        <v>6650</v>
      </c>
      <c r="J3632" s="24">
        <v>0.0</v>
      </c>
    </row>
    <row r="3633">
      <c r="A3633" s="24">
        <v>598.0</v>
      </c>
      <c r="B3633" s="24">
        <v>1.0</v>
      </c>
      <c r="C3633" s="44">
        <v>13.03</v>
      </c>
      <c r="D3633" s="46">
        <v>45104.0</v>
      </c>
      <c r="E3633" s="24">
        <v>13.03</v>
      </c>
      <c r="F3633" s="24">
        <v>21.79</v>
      </c>
      <c r="G3633" s="24">
        <v>0.17</v>
      </c>
      <c r="H3633" s="24" t="s">
        <v>6680</v>
      </c>
      <c r="I3633" s="24" t="s">
        <v>6650</v>
      </c>
      <c r="J3633" s="24">
        <v>0.0</v>
      </c>
    </row>
    <row r="3634">
      <c r="A3634" s="24">
        <v>58.0</v>
      </c>
      <c r="B3634" s="24">
        <v>0.0</v>
      </c>
      <c r="C3634" s="44">
        <v>13.8</v>
      </c>
      <c r="D3634" s="46">
        <v>45104.0</v>
      </c>
      <c r="E3634" s="24" t="s">
        <v>6650</v>
      </c>
      <c r="F3634" s="24">
        <v>237.93</v>
      </c>
      <c r="G3634" s="24">
        <v>0.0</v>
      </c>
      <c r="H3634" s="24" t="s">
        <v>6699</v>
      </c>
      <c r="I3634" s="24" t="s">
        <v>6650</v>
      </c>
      <c r="J3634" s="24">
        <v>0.0</v>
      </c>
    </row>
    <row r="3635">
      <c r="A3635" s="24">
        <v>1172.0</v>
      </c>
      <c r="B3635" s="24">
        <v>8.0</v>
      </c>
      <c r="C3635" s="44">
        <v>11.8</v>
      </c>
      <c r="D3635" s="46">
        <v>45104.0</v>
      </c>
      <c r="E3635" s="24">
        <v>1.48</v>
      </c>
      <c r="F3635" s="24">
        <v>10.07</v>
      </c>
      <c r="G3635" s="24">
        <v>0.68</v>
      </c>
      <c r="H3635" s="24" t="s">
        <v>6689</v>
      </c>
      <c r="I3635" s="24" t="s">
        <v>6650</v>
      </c>
      <c r="J3635" s="24">
        <v>0.0</v>
      </c>
    </row>
    <row r="3636">
      <c r="A3636" s="24">
        <v>394.0</v>
      </c>
      <c r="B3636" s="24">
        <v>4.0</v>
      </c>
      <c r="C3636" s="44">
        <v>11.86</v>
      </c>
      <c r="D3636" s="46">
        <v>45104.0</v>
      </c>
      <c r="E3636" s="24">
        <v>2.96</v>
      </c>
      <c r="F3636" s="24">
        <v>30.1</v>
      </c>
      <c r="G3636" s="24">
        <v>1.02</v>
      </c>
      <c r="H3636" s="24" t="s">
        <v>6692</v>
      </c>
      <c r="I3636" s="24" t="s">
        <v>6650</v>
      </c>
      <c r="J3636" s="24">
        <v>0.0</v>
      </c>
    </row>
    <row r="3637">
      <c r="A3637" s="24">
        <v>477.0</v>
      </c>
      <c r="B3637" s="24">
        <v>6.0</v>
      </c>
      <c r="C3637" s="44">
        <v>12.24</v>
      </c>
      <c r="D3637" s="46">
        <v>45104.0</v>
      </c>
      <c r="E3637" s="24">
        <v>2.04</v>
      </c>
      <c r="F3637" s="24">
        <v>25.66</v>
      </c>
      <c r="G3637" s="24">
        <v>1.26</v>
      </c>
      <c r="H3637" s="24" t="s">
        <v>6698</v>
      </c>
      <c r="I3637" s="24">
        <v>6.12</v>
      </c>
      <c r="J3637" s="24">
        <v>0.0</v>
      </c>
    </row>
    <row r="3638">
      <c r="A3638" s="24">
        <v>400.0</v>
      </c>
      <c r="B3638" s="24">
        <v>1.0</v>
      </c>
      <c r="C3638" s="44">
        <v>11.95</v>
      </c>
      <c r="D3638" s="46">
        <v>45104.0</v>
      </c>
      <c r="E3638" s="24">
        <v>11.95</v>
      </c>
      <c r="F3638" s="24">
        <v>29.88</v>
      </c>
      <c r="G3638" s="24">
        <v>0.25</v>
      </c>
      <c r="H3638" s="24" t="s">
        <v>6700</v>
      </c>
      <c r="I3638" s="24" t="s">
        <v>6650</v>
      </c>
      <c r="J3638" s="24">
        <v>0.0</v>
      </c>
    </row>
    <row r="3639">
      <c r="A3639" s="24">
        <v>82.0</v>
      </c>
      <c r="B3639" s="24">
        <v>0.0</v>
      </c>
      <c r="C3639" s="44">
        <v>11.72</v>
      </c>
      <c r="D3639" s="46">
        <v>45104.0</v>
      </c>
      <c r="E3639" s="24" t="s">
        <v>6650</v>
      </c>
      <c r="F3639" s="24">
        <v>142.93</v>
      </c>
      <c r="G3639" s="24">
        <v>0.0</v>
      </c>
      <c r="H3639" s="24" t="s">
        <v>6696</v>
      </c>
      <c r="I3639" s="24">
        <v>11.72</v>
      </c>
      <c r="J3639" s="24">
        <v>0.0</v>
      </c>
    </row>
    <row r="3640">
      <c r="A3640" s="24">
        <v>124.0</v>
      </c>
      <c r="B3640" s="24">
        <v>0.0</v>
      </c>
      <c r="C3640" s="44">
        <v>13.0</v>
      </c>
      <c r="D3640" s="46">
        <v>45104.0</v>
      </c>
      <c r="E3640" s="24" t="s">
        <v>6650</v>
      </c>
      <c r="F3640" s="24">
        <v>104.84</v>
      </c>
      <c r="G3640" s="24">
        <v>0.0</v>
      </c>
      <c r="H3640" s="24" t="s">
        <v>6701</v>
      </c>
      <c r="I3640" s="24" t="s">
        <v>6650</v>
      </c>
      <c r="J3640" s="24">
        <v>0.0</v>
      </c>
    </row>
    <row r="3641">
      <c r="A3641" s="24">
        <v>64.0</v>
      </c>
      <c r="B3641" s="24">
        <v>2.0</v>
      </c>
      <c r="C3641" s="44">
        <v>12.02</v>
      </c>
      <c r="D3641" s="46">
        <v>45104.0</v>
      </c>
      <c r="E3641" s="24">
        <v>6.01</v>
      </c>
      <c r="F3641" s="24">
        <v>187.81</v>
      </c>
      <c r="G3641" s="24">
        <v>3.12</v>
      </c>
      <c r="H3641" s="24" t="s">
        <v>6697</v>
      </c>
      <c r="I3641" s="24" t="s">
        <v>6650</v>
      </c>
      <c r="J3641" s="24">
        <v>0.0</v>
      </c>
    </row>
    <row r="3642">
      <c r="A3642" s="24">
        <v>1254.0</v>
      </c>
      <c r="B3642" s="24">
        <v>9.0</v>
      </c>
      <c r="C3642" s="44">
        <v>11.68</v>
      </c>
      <c r="D3642" s="46">
        <v>45104.0</v>
      </c>
      <c r="E3642" s="24">
        <v>1.3</v>
      </c>
      <c r="F3642" s="24">
        <v>9.31</v>
      </c>
      <c r="G3642" s="24">
        <v>0.72</v>
      </c>
      <c r="H3642" s="24" t="s">
        <v>6688</v>
      </c>
      <c r="I3642" s="24">
        <v>11.68</v>
      </c>
      <c r="J3642" s="24">
        <v>0.0</v>
      </c>
    </row>
    <row r="3643">
      <c r="A3643" s="24">
        <v>75.0</v>
      </c>
      <c r="B3643" s="24">
        <v>0.0</v>
      </c>
      <c r="C3643" s="44">
        <v>12.95</v>
      </c>
      <c r="D3643" s="46">
        <v>45104.0</v>
      </c>
      <c r="E3643" s="24" t="s">
        <v>6650</v>
      </c>
      <c r="F3643" s="24">
        <v>172.67</v>
      </c>
      <c r="G3643" s="24">
        <v>0.0</v>
      </c>
      <c r="H3643" s="24" t="s">
        <v>6695</v>
      </c>
      <c r="I3643" s="24" t="s">
        <v>6650</v>
      </c>
      <c r="J3643" s="24">
        <v>0.0</v>
      </c>
    </row>
    <row r="3644">
      <c r="A3644" s="24">
        <v>451.0</v>
      </c>
      <c r="B3644" s="24">
        <v>2.0</v>
      </c>
      <c r="C3644" s="44">
        <v>13.92</v>
      </c>
      <c r="D3644" s="46">
        <v>45105.0</v>
      </c>
      <c r="E3644" s="24">
        <v>6.96</v>
      </c>
      <c r="F3644" s="24">
        <v>30.86</v>
      </c>
      <c r="G3644" s="24">
        <v>0.44</v>
      </c>
      <c r="H3644" s="24" t="s">
        <v>6680</v>
      </c>
      <c r="I3644" s="24">
        <v>13.92</v>
      </c>
      <c r="J3644" s="24">
        <v>0.0</v>
      </c>
    </row>
    <row r="3645">
      <c r="A3645" s="24">
        <v>1183.0</v>
      </c>
      <c r="B3645" s="24">
        <v>13.0</v>
      </c>
      <c r="C3645" s="44">
        <v>11.63</v>
      </c>
      <c r="D3645" s="46">
        <v>45105.0</v>
      </c>
      <c r="E3645" s="24">
        <v>0.89</v>
      </c>
      <c r="F3645" s="24">
        <v>9.83</v>
      </c>
      <c r="G3645" s="24">
        <v>1.1</v>
      </c>
      <c r="H3645" s="24" t="s">
        <v>6688</v>
      </c>
      <c r="I3645" s="24">
        <v>11.63</v>
      </c>
      <c r="J3645" s="24">
        <v>0.0</v>
      </c>
    </row>
    <row r="3646">
      <c r="A3646" s="24">
        <v>69.0</v>
      </c>
      <c r="B3646" s="24">
        <v>0.0</v>
      </c>
      <c r="C3646" s="44">
        <v>13.89</v>
      </c>
      <c r="D3646" s="46">
        <v>45105.0</v>
      </c>
      <c r="E3646" s="24" t="s">
        <v>6650</v>
      </c>
      <c r="F3646" s="24">
        <v>201.3</v>
      </c>
      <c r="G3646" s="24">
        <v>0.0</v>
      </c>
      <c r="H3646" s="24" t="s">
        <v>6695</v>
      </c>
      <c r="I3646" s="24" t="s">
        <v>6650</v>
      </c>
      <c r="J3646" s="24">
        <v>0.0</v>
      </c>
    </row>
    <row r="3647">
      <c r="A3647" s="24">
        <v>62.0</v>
      </c>
      <c r="B3647" s="24">
        <v>0.0</v>
      </c>
      <c r="C3647" s="44">
        <v>11.8</v>
      </c>
      <c r="D3647" s="46">
        <v>45105.0</v>
      </c>
      <c r="E3647" s="24" t="s">
        <v>6650</v>
      </c>
      <c r="F3647" s="24">
        <v>190.32</v>
      </c>
      <c r="G3647" s="24">
        <v>0.0</v>
      </c>
      <c r="H3647" s="24" t="s">
        <v>6696</v>
      </c>
      <c r="I3647" s="24" t="s">
        <v>6650</v>
      </c>
      <c r="J3647" s="24">
        <v>0.0</v>
      </c>
    </row>
    <row r="3648">
      <c r="A3648" s="24">
        <v>75.0</v>
      </c>
      <c r="B3648" s="24">
        <v>0.0</v>
      </c>
      <c r="C3648" s="44">
        <v>13.21</v>
      </c>
      <c r="D3648" s="46">
        <v>45105.0</v>
      </c>
      <c r="E3648" s="24" t="s">
        <v>6650</v>
      </c>
      <c r="F3648" s="24">
        <v>176.13</v>
      </c>
      <c r="G3648" s="24">
        <v>0.0</v>
      </c>
      <c r="H3648" s="24" t="s">
        <v>6697</v>
      </c>
      <c r="I3648" s="24">
        <v>13.21</v>
      </c>
      <c r="J3648" s="24">
        <v>0.0</v>
      </c>
    </row>
    <row r="3649">
      <c r="A3649" s="24">
        <v>281.0</v>
      </c>
      <c r="B3649" s="24">
        <v>1.0</v>
      </c>
      <c r="C3649" s="44">
        <v>11.89</v>
      </c>
      <c r="D3649" s="46">
        <v>45105.0</v>
      </c>
      <c r="E3649" s="24">
        <v>11.89</v>
      </c>
      <c r="F3649" s="24">
        <v>42.31</v>
      </c>
      <c r="G3649" s="24">
        <v>0.36</v>
      </c>
      <c r="H3649" s="24" t="s">
        <v>6700</v>
      </c>
      <c r="I3649" s="24" t="s">
        <v>6650</v>
      </c>
      <c r="J3649" s="24">
        <v>0.0</v>
      </c>
    </row>
    <row r="3650">
      <c r="A3650" s="24">
        <v>56.0</v>
      </c>
      <c r="B3650" s="24">
        <v>1.0</v>
      </c>
      <c r="C3650" s="44">
        <v>15.0</v>
      </c>
      <c r="D3650" s="46">
        <v>45105.0</v>
      </c>
      <c r="E3650" s="24">
        <v>15.0</v>
      </c>
      <c r="F3650" s="24">
        <v>267.86</v>
      </c>
      <c r="G3650" s="24">
        <v>1.79</v>
      </c>
      <c r="H3650" s="24" t="s">
        <v>6699</v>
      </c>
      <c r="I3650" s="24">
        <v>15.0</v>
      </c>
      <c r="J3650" s="24">
        <v>0.0</v>
      </c>
    </row>
    <row r="3651">
      <c r="A3651" s="24">
        <v>322.0</v>
      </c>
      <c r="B3651" s="24">
        <v>2.0</v>
      </c>
      <c r="C3651" s="44">
        <v>12.72</v>
      </c>
      <c r="D3651" s="46">
        <v>45105.0</v>
      </c>
      <c r="E3651" s="24">
        <v>6.36</v>
      </c>
      <c r="F3651" s="24">
        <v>39.5</v>
      </c>
      <c r="G3651" s="24">
        <v>0.62</v>
      </c>
      <c r="H3651" s="24" t="s">
        <v>6692</v>
      </c>
      <c r="I3651" s="24" t="s">
        <v>6650</v>
      </c>
      <c r="J3651" s="24">
        <v>0.0</v>
      </c>
    </row>
    <row r="3652">
      <c r="A3652" s="24">
        <v>1164.0</v>
      </c>
      <c r="B3652" s="24">
        <v>8.0</v>
      </c>
      <c r="C3652" s="44">
        <v>12.63</v>
      </c>
      <c r="D3652" s="46">
        <v>45105.0</v>
      </c>
      <c r="E3652" s="24">
        <v>1.58</v>
      </c>
      <c r="F3652" s="24">
        <v>10.85</v>
      </c>
      <c r="G3652" s="24">
        <v>0.69</v>
      </c>
      <c r="H3652" s="24" t="s">
        <v>6689</v>
      </c>
      <c r="I3652" s="24">
        <v>12.63</v>
      </c>
      <c r="J3652" s="24">
        <v>0.0</v>
      </c>
    </row>
    <row r="3653">
      <c r="A3653" s="24">
        <v>425.0</v>
      </c>
      <c r="B3653" s="24">
        <v>5.0</v>
      </c>
      <c r="C3653" s="44">
        <v>11.71</v>
      </c>
      <c r="D3653" s="46">
        <v>45105.0</v>
      </c>
      <c r="E3653" s="24">
        <v>2.34</v>
      </c>
      <c r="F3653" s="24">
        <v>27.55</v>
      </c>
      <c r="G3653" s="24">
        <v>1.18</v>
      </c>
      <c r="H3653" s="24" t="s">
        <v>6698</v>
      </c>
      <c r="I3653" s="24">
        <v>11.71</v>
      </c>
      <c r="J3653" s="24">
        <v>0.0</v>
      </c>
    </row>
    <row r="3654">
      <c r="A3654" s="24">
        <v>103.0</v>
      </c>
      <c r="B3654" s="24">
        <v>2.0</v>
      </c>
      <c r="C3654" s="44">
        <v>12.82</v>
      </c>
      <c r="D3654" s="46">
        <v>45105.0</v>
      </c>
      <c r="E3654" s="24">
        <v>6.41</v>
      </c>
      <c r="F3654" s="24">
        <v>124.47</v>
      </c>
      <c r="G3654" s="24">
        <v>1.94</v>
      </c>
      <c r="H3654" s="24" t="s">
        <v>6701</v>
      </c>
      <c r="I3654" s="24" t="s">
        <v>6650</v>
      </c>
      <c r="J3654" s="24">
        <v>0.0</v>
      </c>
    </row>
    <row r="3655">
      <c r="A3655" s="24">
        <v>97.0</v>
      </c>
      <c r="B3655" s="24">
        <v>0.0</v>
      </c>
      <c r="C3655" s="44">
        <v>12.48</v>
      </c>
      <c r="D3655" s="46">
        <v>45106.0</v>
      </c>
      <c r="E3655" s="24" t="s">
        <v>6650</v>
      </c>
      <c r="F3655" s="24">
        <v>128.66</v>
      </c>
      <c r="G3655" s="24">
        <v>0.0</v>
      </c>
      <c r="H3655" s="24" t="s">
        <v>6701</v>
      </c>
      <c r="I3655" s="24">
        <v>12.48</v>
      </c>
      <c r="J3655" s="24">
        <v>0.0</v>
      </c>
    </row>
    <row r="3656">
      <c r="A3656" s="24">
        <v>318.0</v>
      </c>
      <c r="B3656" s="24">
        <v>2.0</v>
      </c>
      <c r="C3656" s="44">
        <v>11.26</v>
      </c>
      <c r="D3656" s="46">
        <v>45106.0</v>
      </c>
      <c r="E3656" s="24">
        <v>5.63</v>
      </c>
      <c r="F3656" s="24">
        <v>35.41</v>
      </c>
      <c r="G3656" s="24">
        <v>0.63</v>
      </c>
      <c r="H3656" s="24" t="s">
        <v>6692</v>
      </c>
      <c r="I3656" s="24">
        <v>11.26</v>
      </c>
      <c r="J3656" s="24">
        <v>0.0</v>
      </c>
    </row>
    <row r="3657">
      <c r="A3657" s="24">
        <v>491.0</v>
      </c>
      <c r="B3657" s="24">
        <v>3.0</v>
      </c>
      <c r="C3657" s="44">
        <v>11.4</v>
      </c>
      <c r="D3657" s="46">
        <v>45106.0</v>
      </c>
      <c r="E3657" s="24">
        <v>3.8</v>
      </c>
      <c r="F3657" s="24">
        <v>23.22</v>
      </c>
      <c r="G3657" s="24">
        <v>0.61</v>
      </c>
      <c r="H3657" s="24" t="s">
        <v>6698</v>
      </c>
      <c r="I3657" s="24">
        <v>11.4</v>
      </c>
      <c r="J3657" s="24">
        <v>0.0</v>
      </c>
    </row>
    <row r="3658">
      <c r="A3658" s="24">
        <v>982.0</v>
      </c>
      <c r="B3658" s="24">
        <v>8.0</v>
      </c>
      <c r="C3658" s="44">
        <v>11.74</v>
      </c>
      <c r="D3658" s="46">
        <v>45106.0</v>
      </c>
      <c r="E3658" s="24">
        <v>1.47</v>
      </c>
      <c r="F3658" s="24">
        <v>11.96</v>
      </c>
      <c r="G3658" s="24">
        <v>0.81</v>
      </c>
      <c r="H3658" s="24" t="s">
        <v>6688</v>
      </c>
      <c r="I3658" s="24" t="s">
        <v>6650</v>
      </c>
      <c r="J3658" s="24">
        <v>0.0</v>
      </c>
    </row>
    <row r="3659">
      <c r="A3659" s="24">
        <v>67.0</v>
      </c>
      <c r="B3659" s="24">
        <v>1.0</v>
      </c>
      <c r="C3659" s="44">
        <v>13.15</v>
      </c>
      <c r="D3659" s="46">
        <v>45106.0</v>
      </c>
      <c r="E3659" s="24">
        <v>13.15</v>
      </c>
      <c r="F3659" s="24">
        <v>196.27</v>
      </c>
      <c r="G3659" s="24">
        <v>1.49</v>
      </c>
      <c r="H3659" s="24" t="s">
        <v>6697</v>
      </c>
      <c r="I3659" s="24" t="s">
        <v>6650</v>
      </c>
      <c r="J3659" s="24">
        <v>1.0</v>
      </c>
    </row>
    <row r="3660">
      <c r="A3660" s="24">
        <v>49.0</v>
      </c>
      <c r="B3660" s="24">
        <v>0.0</v>
      </c>
      <c r="C3660" s="44">
        <v>12.07</v>
      </c>
      <c r="D3660" s="46">
        <v>45106.0</v>
      </c>
      <c r="E3660" s="24" t="s">
        <v>6650</v>
      </c>
      <c r="F3660" s="24">
        <v>246.33</v>
      </c>
      <c r="G3660" s="24">
        <v>0.0</v>
      </c>
      <c r="H3660" s="24" t="s">
        <v>6695</v>
      </c>
      <c r="I3660" s="24" t="s">
        <v>6650</v>
      </c>
      <c r="J3660" s="24">
        <v>0.0</v>
      </c>
    </row>
    <row r="3661">
      <c r="A3661" s="24">
        <v>65.0</v>
      </c>
      <c r="B3661" s="24">
        <v>2.0</v>
      </c>
      <c r="C3661" s="44">
        <v>12.32</v>
      </c>
      <c r="D3661" s="46">
        <v>45106.0</v>
      </c>
      <c r="E3661" s="24">
        <v>6.16</v>
      </c>
      <c r="F3661" s="24">
        <v>189.54</v>
      </c>
      <c r="G3661" s="24">
        <v>3.08</v>
      </c>
      <c r="H3661" s="24" t="s">
        <v>6696</v>
      </c>
      <c r="I3661" s="24" t="s">
        <v>6650</v>
      </c>
      <c r="J3661" s="24">
        <v>1.0</v>
      </c>
    </row>
    <row r="3662">
      <c r="A3662" s="24">
        <v>411.0</v>
      </c>
      <c r="B3662" s="24">
        <v>0.0</v>
      </c>
      <c r="C3662" s="44">
        <v>12.42</v>
      </c>
      <c r="D3662" s="46">
        <v>45106.0</v>
      </c>
      <c r="E3662" s="24" t="s">
        <v>6650</v>
      </c>
      <c r="F3662" s="24">
        <v>30.22</v>
      </c>
      <c r="G3662" s="24">
        <v>0.0</v>
      </c>
      <c r="H3662" s="24" t="s">
        <v>6680</v>
      </c>
      <c r="I3662" s="24" t="s">
        <v>6650</v>
      </c>
      <c r="J3662" s="24">
        <v>0.0</v>
      </c>
    </row>
    <row r="3663">
      <c r="A3663" s="24">
        <v>1122.0</v>
      </c>
      <c r="B3663" s="24">
        <v>7.0</v>
      </c>
      <c r="C3663" s="44">
        <v>11.86</v>
      </c>
      <c r="D3663" s="46">
        <v>45106.0</v>
      </c>
      <c r="E3663" s="24">
        <v>1.69</v>
      </c>
      <c r="F3663" s="24">
        <v>10.57</v>
      </c>
      <c r="G3663" s="24">
        <v>0.62</v>
      </c>
      <c r="H3663" s="24" t="s">
        <v>6689</v>
      </c>
      <c r="I3663" s="24">
        <v>11.86</v>
      </c>
      <c r="J3663" s="24">
        <v>0.0</v>
      </c>
    </row>
    <row r="3664">
      <c r="A3664" s="24">
        <v>318.0</v>
      </c>
      <c r="B3664" s="24">
        <v>0.0</v>
      </c>
      <c r="C3664" s="44">
        <v>11.17</v>
      </c>
      <c r="D3664" s="46">
        <v>45106.0</v>
      </c>
      <c r="E3664" s="24" t="s">
        <v>6650</v>
      </c>
      <c r="F3664" s="24">
        <v>35.13</v>
      </c>
      <c r="G3664" s="24">
        <v>0.0</v>
      </c>
      <c r="H3664" s="24" t="s">
        <v>6700</v>
      </c>
      <c r="I3664" s="24">
        <v>11.17</v>
      </c>
      <c r="J3664" s="24">
        <v>0.0</v>
      </c>
    </row>
    <row r="3665">
      <c r="A3665" s="24">
        <v>86.0</v>
      </c>
      <c r="B3665" s="24">
        <v>1.0</v>
      </c>
      <c r="C3665" s="44">
        <v>10.68</v>
      </c>
      <c r="D3665" s="46">
        <v>45106.0</v>
      </c>
      <c r="E3665" s="24">
        <v>10.68</v>
      </c>
      <c r="F3665" s="24">
        <v>124.19</v>
      </c>
      <c r="G3665" s="24">
        <v>1.16</v>
      </c>
      <c r="H3665" s="24" t="s">
        <v>6699</v>
      </c>
      <c r="I3665" s="24">
        <v>3.56</v>
      </c>
      <c r="J3665" s="24">
        <v>0.0</v>
      </c>
    </row>
    <row r="3666">
      <c r="A3666" s="24">
        <v>298.0</v>
      </c>
      <c r="B3666" s="24">
        <v>3.0</v>
      </c>
      <c r="C3666" s="44">
        <v>10.55</v>
      </c>
      <c r="D3666" s="46">
        <v>45107.0</v>
      </c>
      <c r="E3666" s="24">
        <v>3.52</v>
      </c>
      <c r="F3666" s="24">
        <v>35.4</v>
      </c>
      <c r="G3666" s="24">
        <v>1.01</v>
      </c>
      <c r="H3666" s="24" t="s">
        <v>6692</v>
      </c>
      <c r="I3666" s="24" t="s">
        <v>6650</v>
      </c>
      <c r="J3666" s="24">
        <v>0.0</v>
      </c>
    </row>
    <row r="3667">
      <c r="A3667" s="24">
        <v>49.0</v>
      </c>
      <c r="B3667" s="24">
        <v>0.0</v>
      </c>
      <c r="C3667" s="44">
        <v>11.68</v>
      </c>
      <c r="D3667" s="46">
        <v>45107.0</v>
      </c>
      <c r="E3667" s="24" t="s">
        <v>6650</v>
      </c>
      <c r="F3667" s="24">
        <v>238.37</v>
      </c>
      <c r="G3667" s="24">
        <v>0.0</v>
      </c>
      <c r="H3667" s="24" t="s">
        <v>6697</v>
      </c>
      <c r="I3667" s="24" t="s">
        <v>6650</v>
      </c>
      <c r="J3667" s="24">
        <v>0.0</v>
      </c>
    </row>
    <row r="3668">
      <c r="A3668" s="24">
        <v>86.0</v>
      </c>
      <c r="B3668" s="24">
        <v>1.0</v>
      </c>
      <c r="C3668" s="44">
        <v>10.52</v>
      </c>
      <c r="D3668" s="46">
        <v>45107.0</v>
      </c>
      <c r="E3668" s="24">
        <v>10.52</v>
      </c>
      <c r="F3668" s="24">
        <v>122.33</v>
      </c>
      <c r="G3668" s="24">
        <v>1.16</v>
      </c>
      <c r="H3668" s="24" t="s">
        <v>6699</v>
      </c>
      <c r="I3668" s="24">
        <v>10.52</v>
      </c>
      <c r="J3668" s="24">
        <v>0.0</v>
      </c>
    </row>
    <row r="3669">
      <c r="A3669" s="24">
        <v>43.0</v>
      </c>
      <c r="B3669" s="24">
        <v>1.0</v>
      </c>
      <c r="C3669" s="44">
        <v>12.86</v>
      </c>
      <c r="D3669" s="46">
        <v>45107.0</v>
      </c>
      <c r="E3669" s="24">
        <v>12.86</v>
      </c>
      <c r="F3669" s="24">
        <v>299.07</v>
      </c>
      <c r="G3669" s="24">
        <v>2.33</v>
      </c>
      <c r="H3669" s="24" t="s">
        <v>6695</v>
      </c>
      <c r="I3669" s="24" t="s">
        <v>6650</v>
      </c>
      <c r="J3669" s="24">
        <v>0.0</v>
      </c>
    </row>
    <row r="3670">
      <c r="A3670" s="24">
        <v>431.0</v>
      </c>
      <c r="B3670" s="24">
        <v>5.0</v>
      </c>
      <c r="C3670" s="44">
        <v>11.18</v>
      </c>
      <c r="D3670" s="46">
        <v>45107.0</v>
      </c>
      <c r="E3670" s="24">
        <v>2.24</v>
      </c>
      <c r="F3670" s="24">
        <v>25.94</v>
      </c>
      <c r="G3670" s="24">
        <v>1.16</v>
      </c>
      <c r="H3670" s="24" t="s">
        <v>6698</v>
      </c>
      <c r="I3670" s="24">
        <v>3.73</v>
      </c>
      <c r="J3670" s="24">
        <v>0.0</v>
      </c>
    </row>
    <row r="3671">
      <c r="A3671" s="24">
        <v>252.0</v>
      </c>
      <c r="B3671" s="24">
        <v>0.0</v>
      </c>
      <c r="C3671" s="44">
        <v>10.45</v>
      </c>
      <c r="D3671" s="46">
        <v>45107.0</v>
      </c>
      <c r="E3671" s="24" t="s">
        <v>6650</v>
      </c>
      <c r="F3671" s="24">
        <v>41.47</v>
      </c>
      <c r="G3671" s="24">
        <v>0.0</v>
      </c>
      <c r="H3671" s="24" t="s">
        <v>6700</v>
      </c>
      <c r="I3671" s="24">
        <v>3.48</v>
      </c>
      <c r="J3671" s="24">
        <v>0.0</v>
      </c>
    </row>
    <row r="3672">
      <c r="A3672" s="24">
        <v>80.0</v>
      </c>
      <c r="B3672" s="24">
        <v>0.0</v>
      </c>
      <c r="C3672" s="44">
        <v>11.36</v>
      </c>
      <c r="D3672" s="46">
        <v>45107.0</v>
      </c>
      <c r="E3672" s="24" t="s">
        <v>6650</v>
      </c>
      <c r="F3672" s="24">
        <v>142.0</v>
      </c>
      <c r="G3672" s="24">
        <v>0.0</v>
      </c>
      <c r="H3672" s="24" t="s">
        <v>6701</v>
      </c>
      <c r="I3672" s="24" t="s">
        <v>6650</v>
      </c>
      <c r="J3672" s="24">
        <v>0.0</v>
      </c>
    </row>
    <row r="3673">
      <c r="A3673" s="24">
        <v>948.0</v>
      </c>
      <c r="B3673" s="24">
        <v>9.0</v>
      </c>
      <c r="C3673" s="44">
        <v>11.59</v>
      </c>
      <c r="D3673" s="46">
        <v>45107.0</v>
      </c>
      <c r="E3673" s="24">
        <v>1.29</v>
      </c>
      <c r="F3673" s="24">
        <v>12.23</v>
      </c>
      <c r="G3673" s="24">
        <v>0.95</v>
      </c>
      <c r="H3673" s="24" t="s">
        <v>6689</v>
      </c>
      <c r="I3673" s="24" t="s">
        <v>6650</v>
      </c>
      <c r="J3673" s="24">
        <v>0.0</v>
      </c>
    </row>
    <row r="3674">
      <c r="A3674" s="24">
        <v>910.0</v>
      </c>
      <c r="B3674" s="24">
        <v>7.0</v>
      </c>
      <c r="C3674" s="44">
        <v>10.81</v>
      </c>
      <c r="D3674" s="46">
        <v>45107.0</v>
      </c>
      <c r="E3674" s="24">
        <v>1.54</v>
      </c>
      <c r="F3674" s="24">
        <v>11.88</v>
      </c>
      <c r="G3674" s="24">
        <v>0.77</v>
      </c>
      <c r="H3674" s="24" t="s">
        <v>6688</v>
      </c>
      <c r="I3674" s="24">
        <v>2.16</v>
      </c>
      <c r="J3674" s="24">
        <v>0.0</v>
      </c>
    </row>
    <row r="3675">
      <c r="A3675" s="24">
        <v>64.0</v>
      </c>
      <c r="B3675" s="24">
        <v>0.0</v>
      </c>
      <c r="C3675" s="44">
        <v>11.3</v>
      </c>
      <c r="D3675" s="46">
        <v>45107.0</v>
      </c>
      <c r="E3675" s="24" t="s">
        <v>6650</v>
      </c>
      <c r="F3675" s="24">
        <v>176.56</v>
      </c>
      <c r="G3675" s="24">
        <v>0.0</v>
      </c>
      <c r="H3675" s="24" t="s">
        <v>6696</v>
      </c>
      <c r="I3675" s="24" t="s">
        <v>6650</v>
      </c>
      <c r="J3675" s="24">
        <v>0.0</v>
      </c>
    </row>
    <row r="3676">
      <c r="A3676" s="24">
        <v>383.0</v>
      </c>
      <c r="B3676" s="24">
        <v>4.0</v>
      </c>
      <c r="C3676" s="44">
        <v>12.22</v>
      </c>
      <c r="D3676" s="46">
        <v>45107.0</v>
      </c>
      <c r="E3676" s="24">
        <v>3.06</v>
      </c>
      <c r="F3676" s="24">
        <v>31.91</v>
      </c>
      <c r="G3676" s="24">
        <v>1.04</v>
      </c>
      <c r="H3676" s="24" t="s">
        <v>6680</v>
      </c>
      <c r="I3676" s="24">
        <v>12.22</v>
      </c>
      <c r="J3676" s="24">
        <v>0.0</v>
      </c>
    </row>
    <row r="3677">
      <c r="A3677" s="24">
        <v>21.0</v>
      </c>
      <c r="B3677" s="24">
        <v>0.0</v>
      </c>
      <c r="C3677" s="44">
        <v>5.57</v>
      </c>
      <c r="D3677" s="46">
        <v>45108.0</v>
      </c>
      <c r="E3677" s="24" t="s">
        <v>6650</v>
      </c>
      <c r="F3677" s="24">
        <v>265.24</v>
      </c>
      <c r="G3677" s="24">
        <v>0.0</v>
      </c>
      <c r="H3677" s="24" t="s">
        <v>6697</v>
      </c>
      <c r="I3677" s="24" t="s">
        <v>6650</v>
      </c>
      <c r="J3677" s="24">
        <v>0.0</v>
      </c>
    </row>
    <row r="3678">
      <c r="A3678" s="24">
        <v>270.0</v>
      </c>
      <c r="B3678" s="24">
        <v>2.0</v>
      </c>
      <c r="C3678" s="44">
        <v>7.74</v>
      </c>
      <c r="D3678" s="46">
        <v>45108.0</v>
      </c>
      <c r="E3678" s="24">
        <v>3.87</v>
      </c>
      <c r="F3678" s="24">
        <v>28.67</v>
      </c>
      <c r="G3678" s="24">
        <v>0.74</v>
      </c>
      <c r="H3678" s="24" t="s">
        <v>6680</v>
      </c>
      <c r="I3678" s="24">
        <v>7.74</v>
      </c>
      <c r="J3678" s="24">
        <v>0.0</v>
      </c>
    </row>
    <row r="3679">
      <c r="A3679" s="24">
        <v>40.0</v>
      </c>
      <c r="B3679" s="24">
        <v>0.0</v>
      </c>
      <c r="C3679" s="44">
        <v>5.65</v>
      </c>
      <c r="D3679" s="46">
        <v>45108.0</v>
      </c>
      <c r="E3679" s="24" t="s">
        <v>6650</v>
      </c>
      <c r="F3679" s="24">
        <v>141.25</v>
      </c>
      <c r="G3679" s="24">
        <v>0.0</v>
      </c>
      <c r="H3679" s="24" t="s">
        <v>6701</v>
      </c>
      <c r="I3679" s="24" t="s">
        <v>6650</v>
      </c>
      <c r="J3679" s="24">
        <v>0.0</v>
      </c>
    </row>
    <row r="3680">
      <c r="A3680" s="24">
        <v>28.0</v>
      </c>
      <c r="B3680" s="24">
        <v>1.0</v>
      </c>
      <c r="C3680" s="44">
        <v>5.94</v>
      </c>
      <c r="D3680" s="46">
        <v>45108.0</v>
      </c>
      <c r="E3680" s="24">
        <v>5.94</v>
      </c>
      <c r="F3680" s="24">
        <v>212.14</v>
      </c>
      <c r="G3680" s="24">
        <v>3.57</v>
      </c>
      <c r="H3680" s="24" t="s">
        <v>6699</v>
      </c>
      <c r="I3680" s="24">
        <v>5.94</v>
      </c>
      <c r="J3680" s="24">
        <v>0.0</v>
      </c>
    </row>
    <row r="3681">
      <c r="A3681" s="24">
        <v>568.0</v>
      </c>
      <c r="B3681" s="24">
        <v>5.0</v>
      </c>
      <c r="C3681" s="44">
        <v>6.48</v>
      </c>
      <c r="D3681" s="46">
        <v>45108.0</v>
      </c>
      <c r="E3681" s="24">
        <v>1.3</v>
      </c>
      <c r="F3681" s="24">
        <v>11.41</v>
      </c>
      <c r="G3681" s="24">
        <v>0.88</v>
      </c>
      <c r="H3681" s="24" t="s">
        <v>6688</v>
      </c>
      <c r="I3681" s="24">
        <v>6.48</v>
      </c>
      <c r="J3681" s="24">
        <v>0.0</v>
      </c>
    </row>
    <row r="3682">
      <c r="A3682" s="24">
        <v>146.0</v>
      </c>
      <c r="B3682" s="24">
        <v>0.0</v>
      </c>
      <c r="C3682" s="44">
        <v>6.62</v>
      </c>
      <c r="D3682" s="46">
        <v>45108.0</v>
      </c>
      <c r="E3682" s="24" t="s">
        <v>6650</v>
      </c>
      <c r="F3682" s="24">
        <v>45.34</v>
      </c>
      <c r="G3682" s="24">
        <v>0.0</v>
      </c>
      <c r="H3682" s="24" t="s">
        <v>6700</v>
      </c>
      <c r="I3682" s="24">
        <v>6.62</v>
      </c>
      <c r="J3682" s="24">
        <v>0.0</v>
      </c>
    </row>
    <row r="3683">
      <c r="A3683" s="24">
        <v>35.0</v>
      </c>
      <c r="B3683" s="24">
        <v>1.0</v>
      </c>
      <c r="C3683" s="44">
        <v>5.04</v>
      </c>
      <c r="D3683" s="46">
        <v>45108.0</v>
      </c>
      <c r="E3683" s="24">
        <v>5.04</v>
      </c>
      <c r="F3683" s="24">
        <v>144.0</v>
      </c>
      <c r="G3683" s="24">
        <v>2.86</v>
      </c>
      <c r="H3683" s="24" t="s">
        <v>6695</v>
      </c>
      <c r="I3683" s="24" t="s">
        <v>6650</v>
      </c>
      <c r="J3683" s="24">
        <v>0.0</v>
      </c>
    </row>
    <row r="3684">
      <c r="A3684" s="24">
        <v>158.0</v>
      </c>
      <c r="B3684" s="24">
        <v>1.0</v>
      </c>
      <c r="C3684" s="44">
        <v>6.33</v>
      </c>
      <c r="D3684" s="46">
        <v>45108.0</v>
      </c>
      <c r="E3684" s="24">
        <v>6.33</v>
      </c>
      <c r="F3684" s="24">
        <v>40.06</v>
      </c>
      <c r="G3684" s="24">
        <v>0.63</v>
      </c>
      <c r="H3684" s="24" t="s">
        <v>6692</v>
      </c>
      <c r="I3684" s="24" t="s">
        <v>6650</v>
      </c>
      <c r="J3684" s="24">
        <v>0.0</v>
      </c>
    </row>
    <row r="3685">
      <c r="A3685" s="24">
        <v>28.0</v>
      </c>
      <c r="B3685" s="24">
        <v>0.0</v>
      </c>
      <c r="C3685" s="44">
        <v>6.12</v>
      </c>
      <c r="D3685" s="46">
        <v>45108.0</v>
      </c>
      <c r="E3685" s="24" t="s">
        <v>6650</v>
      </c>
      <c r="F3685" s="24">
        <v>218.57</v>
      </c>
      <c r="G3685" s="24">
        <v>0.0</v>
      </c>
      <c r="H3685" s="24" t="s">
        <v>6696</v>
      </c>
      <c r="I3685" s="24" t="s">
        <v>6650</v>
      </c>
      <c r="J3685" s="24">
        <v>0.0</v>
      </c>
    </row>
    <row r="3686">
      <c r="A3686" s="24">
        <v>452.0</v>
      </c>
      <c r="B3686" s="24">
        <v>3.0</v>
      </c>
      <c r="C3686" s="44">
        <v>5.99</v>
      </c>
      <c r="D3686" s="46">
        <v>45108.0</v>
      </c>
      <c r="E3686" s="24">
        <v>2.0</v>
      </c>
      <c r="F3686" s="24">
        <v>13.25</v>
      </c>
      <c r="G3686" s="24">
        <v>0.66</v>
      </c>
      <c r="H3686" s="24" t="s">
        <v>6698</v>
      </c>
      <c r="I3686" s="24" t="s">
        <v>6650</v>
      </c>
      <c r="J3686" s="24">
        <v>0.0</v>
      </c>
    </row>
    <row r="3687">
      <c r="A3687" s="24">
        <v>521.0</v>
      </c>
      <c r="B3687" s="24">
        <v>4.0</v>
      </c>
      <c r="C3687" s="44">
        <v>6.69</v>
      </c>
      <c r="D3687" s="46">
        <v>45108.0</v>
      </c>
      <c r="E3687" s="24">
        <v>1.67</v>
      </c>
      <c r="F3687" s="24">
        <v>12.84</v>
      </c>
      <c r="G3687" s="24">
        <v>0.77</v>
      </c>
      <c r="H3687" s="24" t="s">
        <v>6689</v>
      </c>
      <c r="I3687" s="24" t="s">
        <v>6650</v>
      </c>
      <c r="J3687" s="24">
        <v>0.0</v>
      </c>
    </row>
    <row r="3688">
      <c r="A3688" s="24">
        <v>139.0</v>
      </c>
      <c r="B3688" s="24">
        <v>0.0</v>
      </c>
      <c r="C3688" s="44">
        <v>5.17</v>
      </c>
      <c r="D3688" s="46">
        <v>45109.0</v>
      </c>
      <c r="E3688" s="24" t="s">
        <v>6650</v>
      </c>
      <c r="F3688" s="24">
        <v>37.19</v>
      </c>
      <c r="G3688" s="24">
        <v>0.0</v>
      </c>
      <c r="H3688" s="24" t="s">
        <v>6680</v>
      </c>
      <c r="I3688" s="24">
        <v>5.17</v>
      </c>
      <c r="J3688" s="24">
        <v>0.0</v>
      </c>
    </row>
    <row r="3689">
      <c r="A3689" s="24">
        <v>24.0</v>
      </c>
      <c r="B3689" s="24">
        <v>1.0</v>
      </c>
      <c r="C3689" s="44">
        <v>1.86</v>
      </c>
      <c r="D3689" s="46">
        <v>45109.0</v>
      </c>
      <c r="E3689" s="24">
        <v>1.86</v>
      </c>
      <c r="F3689" s="24">
        <v>77.5</v>
      </c>
      <c r="G3689" s="24">
        <v>4.17</v>
      </c>
      <c r="H3689" s="24" t="s">
        <v>6695</v>
      </c>
      <c r="I3689" s="24" t="s">
        <v>6650</v>
      </c>
      <c r="J3689" s="24">
        <v>0.0</v>
      </c>
    </row>
    <row r="3690">
      <c r="A3690" s="24">
        <v>489.0</v>
      </c>
      <c r="B3690" s="24">
        <v>2.0</v>
      </c>
      <c r="C3690" s="44">
        <v>5.57</v>
      </c>
      <c r="D3690" s="46">
        <v>45109.0</v>
      </c>
      <c r="E3690" s="24">
        <v>2.78</v>
      </c>
      <c r="F3690" s="24">
        <v>11.39</v>
      </c>
      <c r="G3690" s="24">
        <v>0.41</v>
      </c>
      <c r="H3690" s="24" t="s">
        <v>6689</v>
      </c>
      <c r="I3690" s="24" t="s">
        <v>6650</v>
      </c>
      <c r="J3690" s="24">
        <v>0.0</v>
      </c>
    </row>
    <row r="3691">
      <c r="A3691" s="24">
        <v>22.0</v>
      </c>
      <c r="B3691" s="24">
        <v>0.0</v>
      </c>
      <c r="C3691" s="44">
        <v>3.81</v>
      </c>
      <c r="D3691" s="46">
        <v>45109.0</v>
      </c>
      <c r="E3691" s="24" t="s">
        <v>6650</v>
      </c>
      <c r="F3691" s="24">
        <v>173.18</v>
      </c>
      <c r="G3691" s="24">
        <v>0.0</v>
      </c>
      <c r="H3691" s="24" t="s">
        <v>6697</v>
      </c>
      <c r="I3691" s="24" t="s">
        <v>6650</v>
      </c>
      <c r="J3691" s="24">
        <v>0.0</v>
      </c>
    </row>
    <row r="3692">
      <c r="A3692" s="24">
        <v>396.0</v>
      </c>
      <c r="B3692" s="24">
        <v>3.0</v>
      </c>
      <c r="C3692" s="44">
        <v>6.16</v>
      </c>
      <c r="D3692" s="46">
        <v>45109.0</v>
      </c>
      <c r="E3692" s="24">
        <v>2.05</v>
      </c>
      <c r="F3692" s="24">
        <v>15.56</v>
      </c>
      <c r="G3692" s="24">
        <v>0.76</v>
      </c>
      <c r="H3692" s="24" t="s">
        <v>6698</v>
      </c>
      <c r="I3692" s="24">
        <v>6.16</v>
      </c>
      <c r="J3692" s="24">
        <v>0.0</v>
      </c>
    </row>
    <row r="3693">
      <c r="A3693" s="24">
        <v>154.0</v>
      </c>
      <c r="B3693" s="24">
        <v>2.0</v>
      </c>
      <c r="C3693" s="44">
        <v>5.77</v>
      </c>
      <c r="D3693" s="46">
        <v>45109.0</v>
      </c>
      <c r="E3693" s="24">
        <v>2.88</v>
      </c>
      <c r="F3693" s="24">
        <v>37.47</v>
      </c>
      <c r="G3693" s="24">
        <v>1.3</v>
      </c>
      <c r="H3693" s="24" t="s">
        <v>6700</v>
      </c>
      <c r="I3693" s="24" t="s">
        <v>6650</v>
      </c>
      <c r="J3693" s="24">
        <v>0.0</v>
      </c>
    </row>
    <row r="3694">
      <c r="A3694" s="24">
        <v>538.0</v>
      </c>
      <c r="B3694" s="24">
        <v>4.0</v>
      </c>
      <c r="C3694" s="44">
        <v>6.25</v>
      </c>
      <c r="D3694" s="46">
        <v>45109.0</v>
      </c>
      <c r="E3694" s="24">
        <v>1.56</v>
      </c>
      <c r="F3694" s="24">
        <v>11.62</v>
      </c>
      <c r="G3694" s="24">
        <v>0.74</v>
      </c>
      <c r="H3694" s="24" t="s">
        <v>6688</v>
      </c>
      <c r="I3694" s="24" t="s">
        <v>6650</v>
      </c>
      <c r="J3694" s="24">
        <v>0.0</v>
      </c>
    </row>
    <row r="3695">
      <c r="A3695" s="24">
        <v>45.0</v>
      </c>
      <c r="B3695" s="24">
        <v>1.0</v>
      </c>
      <c r="C3695" s="44">
        <v>5.17</v>
      </c>
      <c r="D3695" s="46">
        <v>45109.0</v>
      </c>
      <c r="E3695" s="24">
        <v>5.17</v>
      </c>
      <c r="F3695" s="24">
        <v>114.89</v>
      </c>
      <c r="G3695" s="24">
        <v>2.22</v>
      </c>
      <c r="H3695" s="24" t="s">
        <v>6696</v>
      </c>
      <c r="I3695" s="24" t="s">
        <v>6650</v>
      </c>
      <c r="J3695" s="24">
        <v>1.0</v>
      </c>
    </row>
    <row r="3696">
      <c r="A3696" s="24">
        <v>40.0</v>
      </c>
      <c r="B3696" s="24">
        <v>0.0</v>
      </c>
      <c r="C3696" s="44">
        <v>4.31</v>
      </c>
      <c r="D3696" s="46">
        <v>45109.0</v>
      </c>
      <c r="E3696" s="24" t="s">
        <v>6650</v>
      </c>
      <c r="F3696" s="24">
        <v>107.75</v>
      </c>
      <c r="G3696" s="24">
        <v>0.0</v>
      </c>
      <c r="H3696" s="24" t="s">
        <v>6701</v>
      </c>
      <c r="I3696" s="24" t="s">
        <v>6650</v>
      </c>
      <c r="J3696" s="24">
        <v>0.0</v>
      </c>
    </row>
    <row r="3697">
      <c r="A3697" s="24">
        <v>25.0</v>
      </c>
      <c r="B3697" s="24">
        <v>0.0</v>
      </c>
      <c r="C3697" s="44">
        <v>3.84</v>
      </c>
      <c r="D3697" s="46">
        <v>45109.0</v>
      </c>
      <c r="E3697" s="24" t="s">
        <v>6650</v>
      </c>
      <c r="F3697" s="24">
        <v>153.6</v>
      </c>
      <c r="G3697" s="24">
        <v>0.0</v>
      </c>
      <c r="H3697" s="24" t="s">
        <v>6699</v>
      </c>
      <c r="I3697" s="24" t="s">
        <v>6650</v>
      </c>
      <c r="J3697" s="24">
        <v>0.0</v>
      </c>
    </row>
    <row r="3698">
      <c r="A3698" s="24">
        <v>214.0</v>
      </c>
      <c r="B3698" s="24">
        <v>1.0</v>
      </c>
      <c r="C3698" s="44">
        <v>6.09</v>
      </c>
      <c r="D3698" s="46">
        <v>45109.0</v>
      </c>
      <c r="E3698" s="24">
        <v>6.09</v>
      </c>
      <c r="F3698" s="24">
        <v>28.46</v>
      </c>
      <c r="G3698" s="24">
        <v>0.47</v>
      </c>
      <c r="H3698" s="24" t="s">
        <v>6692</v>
      </c>
      <c r="I3698" s="24" t="s">
        <v>6650</v>
      </c>
      <c r="J3698" s="24">
        <v>0.0</v>
      </c>
    </row>
    <row r="3699">
      <c r="A3699" s="24">
        <v>614.0</v>
      </c>
      <c r="B3699" s="24">
        <v>5.0</v>
      </c>
      <c r="C3699" s="44">
        <v>11.24</v>
      </c>
      <c r="D3699" s="46">
        <v>45110.0</v>
      </c>
      <c r="E3699" s="24">
        <v>2.25</v>
      </c>
      <c r="F3699" s="24">
        <v>18.31</v>
      </c>
      <c r="G3699" s="24">
        <v>0.81</v>
      </c>
      <c r="H3699" s="24" t="s">
        <v>6698</v>
      </c>
      <c r="I3699" s="24">
        <v>11.24</v>
      </c>
      <c r="J3699" s="24">
        <v>0.0</v>
      </c>
    </row>
    <row r="3700">
      <c r="A3700" s="24">
        <v>105.0</v>
      </c>
      <c r="B3700" s="24">
        <v>3.0</v>
      </c>
      <c r="C3700" s="44">
        <v>12.15</v>
      </c>
      <c r="D3700" s="46">
        <v>45110.0</v>
      </c>
      <c r="E3700" s="24">
        <v>4.05</v>
      </c>
      <c r="F3700" s="24">
        <v>115.71</v>
      </c>
      <c r="G3700" s="24">
        <v>2.86</v>
      </c>
      <c r="H3700" s="24" t="s">
        <v>6695</v>
      </c>
      <c r="I3700" s="24" t="s">
        <v>6650</v>
      </c>
      <c r="J3700" s="24">
        <v>0.0</v>
      </c>
    </row>
    <row r="3701">
      <c r="A3701" s="24">
        <v>1005.0</v>
      </c>
      <c r="B3701" s="24">
        <v>9.0</v>
      </c>
      <c r="C3701" s="44">
        <v>7.74</v>
      </c>
      <c r="D3701" s="46">
        <v>45110.0</v>
      </c>
      <c r="E3701" s="24">
        <v>0.86</v>
      </c>
      <c r="F3701" s="24">
        <v>7.7</v>
      </c>
      <c r="G3701" s="24">
        <v>0.9</v>
      </c>
      <c r="H3701" s="24" t="s">
        <v>6688</v>
      </c>
      <c r="I3701" s="24">
        <v>7.74</v>
      </c>
      <c r="J3701" s="24">
        <v>0.0</v>
      </c>
    </row>
    <row r="3702">
      <c r="A3702" s="24">
        <v>606.0</v>
      </c>
      <c r="B3702" s="24">
        <v>8.0</v>
      </c>
      <c r="C3702" s="44">
        <v>11.12</v>
      </c>
      <c r="D3702" s="46">
        <v>45110.0</v>
      </c>
      <c r="E3702" s="24">
        <v>1.39</v>
      </c>
      <c r="F3702" s="24">
        <v>18.35</v>
      </c>
      <c r="G3702" s="24">
        <v>1.32</v>
      </c>
      <c r="H3702" s="24" t="s">
        <v>6689</v>
      </c>
      <c r="I3702" s="24">
        <v>11.12</v>
      </c>
      <c r="J3702" s="24">
        <v>0.0</v>
      </c>
    </row>
    <row r="3703">
      <c r="A3703" s="24">
        <v>193.0</v>
      </c>
      <c r="B3703" s="24">
        <v>2.0</v>
      </c>
      <c r="C3703" s="44">
        <v>11.65</v>
      </c>
      <c r="D3703" s="46">
        <v>45110.0</v>
      </c>
      <c r="E3703" s="24">
        <v>5.82</v>
      </c>
      <c r="F3703" s="24">
        <v>60.36</v>
      </c>
      <c r="G3703" s="24">
        <v>1.04</v>
      </c>
      <c r="H3703" s="24" t="s">
        <v>6692</v>
      </c>
      <c r="I3703" s="24" t="s">
        <v>6650</v>
      </c>
      <c r="J3703" s="24">
        <v>1.0</v>
      </c>
    </row>
    <row r="3704">
      <c r="A3704" s="24">
        <v>129.0</v>
      </c>
      <c r="B3704" s="24">
        <v>0.0</v>
      </c>
      <c r="C3704" s="44">
        <v>11.49</v>
      </c>
      <c r="D3704" s="46">
        <v>45110.0</v>
      </c>
      <c r="E3704" s="24" t="s">
        <v>6650</v>
      </c>
      <c r="F3704" s="24">
        <v>89.07</v>
      </c>
      <c r="G3704" s="24">
        <v>0.0</v>
      </c>
      <c r="H3704" s="24" t="s">
        <v>6696</v>
      </c>
      <c r="I3704" s="24" t="s">
        <v>6650</v>
      </c>
      <c r="J3704" s="24">
        <v>0.0</v>
      </c>
    </row>
    <row r="3705">
      <c r="A3705" s="24">
        <v>305.0</v>
      </c>
      <c r="B3705" s="24">
        <v>1.0</v>
      </c>
      <c r="C3705" s="44">
        <v>12.45</v>
      </c>
      <c r="D3705" s="46">
        <v>45110.0</v>
      </c>
      <c r="E3705" s="24">
        <v>12.45</v>
      </c>
      <c r="F3705" s="24">
        <v>40.82</v>
      </c>
      <c r="G3705" s="24">
        <v>0.33</v>
      </c>
      <c r="H3705" s="24" t="s">
        <v>6680</v>
      </c>
      <c r="I3705" s="24" t="s">
        <v>6650</v>
      </c>
      <c r="J3705" s="24">
        <v>0.0</v>
      </c>
    </row>
    <row r="3706">
      <c r="A3706" s="24">
        <v>642.0</v>
      </c>
      <c r="B3706" s="24">
        <v>3.0</v>
      </c>
      <c r="C3706" s="44">
        <v>11.24</v>
      </c>
      <c r="D3706" s="46">
        <v>45110.0</v>
      </c>
      <c r="E3706" s="24">
        <v>3.75</v>
      </c>
      <c r="F3706" s="24">
        <v>17.51</v>
      </c>
      <c r="G3706" s="24">
        <v>0.47</v>
      </c>
      <c r="H3706" s="24" t="s">
        <v>6700</v>
      </c>
      <c r="I3706" s="24">
        <v>11.24</v>
      </c>
      <c r="J3706" s="24">
        <v>0.0</v>
      </c>
    </row>
    <row r="3707">
      <c r="A3707" s="24">
        <v>214.0</v>
      </c>
      <c r="B3707" s="24">
        <v>1.0</v>
      </c>
      <c r="C3707" s="44">
        <v>10.77</v>
      </c>
      <c r="D3707" s="46">
        <v>45110.0</v>
      </c>
      <c r="E3707" s="24">
        <v>10.77</v>
      </c>
      <c r="F3707" s="24">
        <v>50.33</v>
      </c>
      <c r="G3707" s="24">
        <v>0.47</v>
      </c>
      <c r="H3707" s="24" t="s">
        <v>6701</v>
      </c>
      <c r="I3707" s="24" t="s">
        <v>6650</v>
      </c>
      <c r="J3707" s="24">
        <v>0.0</v>
      </c>
    </row>
    <row r="3708">
      <c r="A3708" s="24">
        <v>94.0</v>
      </c>
      <c r="B3708" s="24">
        <v>0.0</v>
      </c>
      <c r="C3708" s="44">
        <v>11.09</v>
      </c>
      <c r="D3708" s="46">
        <v>45110.0</v>
      </c>
      <c r="E3708" s="24" t="s">
        <v>6650</v>
      </c>
      <c r="F3708" s="24">
        <v>117.98</v>
      </c>
      <c r="G3708" s="24">
        <v>0.0</v>
      </c>
      <c r="H3708" s="24" t="s">
        <v>6697</v>
      </c>
      <c r="I3708" s="24">
        <v>11.09</v>
      </c>
      <c r="J3708" s="24">
        <v>0.0</v>
      </c>
    </row>
    <row r="3709">
      <c r="A3709" s="24">
        <v>154.0</v>
      </c>
      <c r="B3709" s="24">
        <v>2.0</v>
      </c>
      <c r="C3709" s="44">
        <v>10.8</v>
      </c>
      <c r="D3709" s="46">
        <v>45110.0</v>
      </c>
      <c r="E3709" s="24">
        <v>5.4</v>
      </c>
      <c r="F3709" s="24">
        <v>70.13</v>
      </c>
      <c r="G3709" s="24">
        <v>1.3</v>
      </c>
      <c r="H3709" s="24" t="s">
        <v>6699</v>
      </c>
      <c r="I3709" s="24" t="s">
        <v>6650</v>
      </c>
      <c r="J3709" s="24">
        <v>0.0</v>
      </c>
    </row>
    <row r="3710">
      <c r="A3710" s="24">
        <v>594.0</v>
      </c>
      <c r="B3710" s="24">
        <v>1.0</v>
      </c>
      <c r="C3710" s="44">
        <v>13.2</v>
      </c>
      <c r="D3710" s="46">
        <v>45111.0</v>
      </c>
      <c r="E3710" s="24">
        <v>13.2</v>
      </c>
      <c r="F3710" s="24">
        <v>22.22</v>
      </c>
      <c r="G3710" s="24">
        <v>0.17</v>
      </c>
      <c r="H3710" s="24" t="s">
        <v>6680</v>
      </c>
      <c r="I3710" s="24">
        <v>13.2</v>
      </c>
      <c r="J3710" s="24">
        <v>0.0</v>
      </c>
    </row>
    <row r="3711">
      <c r="A3711" s="24">
        <v>460.0</v>
      </c>
      <c r="B3711" s="24">
        <v>6.0</v>
      </c>
      <c r="C3711" s="44">
        <v>12.56</v>
      </c>
      <c r="D3711" s="46">
        <v>45111.0</v>
      </c>
      <c r="E3711" s="24">
        <v>2.09</v>
      </c>
      <c r="F3711" s="24">
        <v>27.3</v>
      </c>
      <c r="G3711" s="24">
        <v>1.3</v>
      </c>
      <c r="H3711" s="24" t="s">
        <v>6698</v>
      </c>
      <c r="I3711" s="24">
        <v>4.19</v>
      </c>
      <c r="J3711" s="24">
        <v>0.0</v>
      </c>
    </row>
    <row r="3712">
      <c r="A3712" s="24">
        <v>573.0</v>
      </c>
      <c r="B3712" s="24">
        <v>4.0</v>
      </c>
      <c r="C3712" s="44">
        <v>12.43</v>
      </c>
      <c r="D3712" s="46">
        <v>45111.0</v>
      </c>
      <c r="E3712" s="24">
        <v>3.11</v>
      </c>
      <c r="F3712" s="24">
        <v>21.69</v>
      </c>
      <c r="G3712" s="24">
        <v>0.7</v>
      </c>
      <c r="H3712" s="24" t="s">
        <v>6700</v>
      </c>
      <c r="I3712" s="24">
        <v>4.14</v>
      </c>
      <c r="J3712" s="24">
        <v>0.0</v>
      </c>
    </row>
    <row r="3713">
      <c r="A3713" s="24">
        <v>52.0</v>
      </c>
      <c r="B3713" s="24">
        <v>1.0</v>
      </c>
      <c r="C3713" s="44">
        <v>15.0</v>
      </c>
      <c r="D3713" s="46">
        <v>45111.0</v>
      </c>
      <c r="E3713" s="24">
        <v>15.0</v>
      </c>
      <c r="F3713" s="24">
        <v>288.46</v>
      </c>
      <c r="G3713" s="24">
        <v>1.92</v>
      </c>
      <c r="H3713" s="24" t="s">
        <v>6695</v>
      </c>
      <c r="I3713" s="24" t="s">
        <v>6650</v>
      </c>
      <c r="J3713" s="24">
        <v>0.0</v>
      </c>
    </row>
    <row r="3714">
      <c r="A3714" s="24">
        <v>2143.0</v>
      </c>
      <c r="B3714" s="24">
        <v>9.0</v>
      </c>
      <c r="C3714" s="44">
        <v>12.58</v>
      </c>
      <c r="D3714" s="46">
        <v>45111.0</v>
      </c>
      <c r="E3714" s="24">
        <v>1.4</v>
      </c>
      <c r="F3714" s="24">
        <v>5.87</v>
      </c>
      <c r="G3714" s="24">
        <v>0.42</v>
      </c>
      <c r="H3714" s="24" t="s">
        <v>6688</v>
      </c>
      <c r="I3714" s="24">
        <v>4.19</v>
      </c>
      <c r="J3714" s="24">
        <v>0.0</v>
      </c>
    </row>
    <row r="3715">
      <c r="A3715" s="24">
        <v>58.0</v>
      </c>
      <c r="B3715" s="24">
        <v>0.0</v>
      </c>
      <c r="C3715" s="44">
        <v>12.48</v>
      </c>
      <c r="D3715" s="46">
        <v>45111.0</v>
      </c>
      <c r="E3715" s="24" t="s">
        <v>6650</v>
      </c>
      <c r="F3715" s="24">
        <v>215.17</v>
      </c>
      <c r="G3715" s="24">
        <v>0.0</v>
      </c>
      <c r="H3715" s="24" t="s">
        <v>6697</v>
      </c>
      <c r="I3715" s="24" t="s">
        <v>6650</v>
      </c>
      <c r="J3715" s="24">
        <v>0.0</v>
      </c>
    </row>
    <row r="3716">
      <c r="A3716" s="24">
        <v>45.0</v>
      </c>
      <c r="B3716" s="24">
        <v>0.0</v>
      </c>
      <c r="C3716" s="44">
        <v>13.64</v>
      </c>
      <c r="D3716" s="46">
        <v>45111.0</v>
      </c>
      <c r="E3716" s="24" t="s">
        <v>6650</v>
      </c>
      <c r="F3716" s="24">
        <v>303.11</v>
      </c>
      <c r="G3716" s="24">
        <v>0.0</v>
      </c>
      <c r="H3716" s="24" t="s">
        <v>6699</v>
      </c>
      <c r="I3716" s="24">
        <v>13.64</v>
      </c>
      <c r="J3716" s="24">
        <v>0.0</v>
      </c>
    </row>
    <row r="3717">
      <c r="A3717" s="24">
        <v>1268.0</v>
      </c>
      <c r="B3717" s="24">
        <v>10.0</v>
      </c>
      <c r="C3717" s="44">
        <v>11.79</v>
      </c>
      <c r="D3717" s="46">
        <v>45111.0</v>
      </c>
      <c r="E3717" s="24">
        <v>1.18</v>
      </c>
      <c r="F3717" s="24">
        <v>9.3</v>
      </c>
      <c r="G3717" s="24">
        <v>0.79</v>
      </c>
      <c r="H3717" s="24" t="s">
        <v>6689</v>
      </c>
      <c r="I3717" s="24" t="s">
        <v>6650</v>
      </c>
      <c r="J3717" s="24">
        <v>0.0</v>
      </c>
    </row>
    <row r="3718">
      <c r="A3718" s="24">
        <v>429.0</v>
      </c>
      <c r="B3718" s="24">
        <v>1.0</v>
      </c>
      <c r="C3718" s="44">
        <v>12.25</v>
      </c>
      <c r="D3718" s="46">
        <v>45111.0</v>
      </c>
      <c r="E3718" s="24">
        <v>12.25</v>
      </c>
      <c r="F3718" s="24">
        <v>28.55</v>
      </c>
      <c r="G3718" s="24">
        <v>0.23</v>
      </c>
      <c r="H3718" s="24" t="s">
        <v>6692</v>
      </c>
      <c r="I3718" s="24">
        <v>12.25</v>
      </c>
      <c r="J3718" s="24">
        <v>0.0</v>
      </c>
    </row>
    <row r="3719">
      <c r="A3719" s="24">
        <v>91.0</v>
      </c>
      <c r="B3719" s="24">
        <v>0.0</v>
      </c>
      <c r="C3719" s="44">
        <v>14.84</v>
      </c>
      <c r="D3719" s="46">
        <v>45111.0</v>
      </c>
      <c r="E3719" s="24" t="s">
        <v>6650</v>
      </c>
      <c r="F3719" s="24">
        <v>163.08</v>
      </c>
      <c r="G3719" s="24">
        <v>0.0</v>
      </c>
      <c r="H3719" s="24" t="s">
        <v>6701</v>
      </c>
      <c r="I3719" s="24" t="s">
        <v>6650</v>
      </c>
      <c r="J3719" s="24">
        <v>0.0</v>
      </c>
    </row>
    <row r="3720">
      <c r="A3720" s="24">
        <v>129.0</v>
      </c>
      <c r="B3720" s="24">
        <v>1.0</v>
      </c>
      <c r="C3720" s="44">
        <v>12.69</v>
      </c>
      <c r="D3720" s="46">
        <v>45111.0</v>
      </c>
      <c r="E3720" s="24">
        <v>12.69</v>
      </c>
      <c r="F3720" s="24">
        <v>98.37</v>
      </c>
      <c r="G3720" s="24">
        <v>0.78</v>
      </c>
      <c r="H3720" s="24" t="s">
        <v>6696</v>
      </c>
      <c r="I3720" s="24" t="s">
        <v>6650</v>
      </c>
      <c r="J3720" s="24">
        <v>0.0</v>
      </c>
    </row>
    <row r="3721">
      <c r="A3721" s="24">
        <v>78.0</v>
      </c>
      <c r="B3721" s="24">
        <v>0.0</v>
      </c>
      <c r="C3721" s="44">
        <v>12.21</v>
      </c>
      <c r="D3721" s="46">
        <v>45112.0</v>
      </c>
      <c r="E3721" s="24" t="s">
        <v>6650</v>
      </c>
      <c r="F3721" s="24">
        <v>156.54</v>
      </c>
      <c r="G3721" s="24">
        <v>0.0</v>
      </c>
      <c r="H3721" s="24" t="s">
        <v>6695</v>
      </c>
      <c r="I3721" s="24" t="s">
        <v>6650</v>
      </c>
      <c r="J3721" s="24">
        <v>0.0</v>
      </c>
    </row>
    <row r="3722">
      <c r="A3722" s="24">
        <v>604.0</v>
      </c>
      <c r="B3722" s="24">
        <v>8.0</v>
      </c>
      <c r="C3722" s="44">
        <v>12.19</v>
      </c>
      <c r="D3722" s="46">
        <v>45112.0</v>
      </c>
      <c r="E3722" s="24">
        <v>1.52</v>
      </c>
      <c r="F3722" s="24">
        <v>20.18</v>
      </c>
      <c r="G3722" s="24">
        <v>1.32</v>
      </c>
      <c r="H3722" s="24" t="s">
        <v>6698</v>
      </c>
      <c r="I3722" s="24">
        <v>6.1</v>
      </c>
      <c r="J3722" s="24">
        <v>0.0</v>
      </c>
    </row>
    <row r="3723">
      <c r="A3723" s="24">
        <v>1245.0</v>
      </c>
      <c r="B3723" s="24">
        <v>9.0</v>
      </c>
      <c r="C3723" s="44">
        <v>12.37</v>
      </c>
      <c r="D3723" s="46">
        <v>45112.0</v>
      </c>
      <c r="E3723" s="24">
        <v>1.37</v>
      </c>
      <c r="F3723" s="24">
        <v>9.94</v>
      </c>
      <c r="G3723" s="24">
        <v>0.72</v>
      </c>
      <c r="H3723" s="24" t="s">
        <v>6689</v>
      </c>
      <c r="I3723" s="24">
        <v>6.18</v>
      </c>
      <c r="J3723" s="24">
        <v>0.0</v>
      </c>
    </row>
    <row r="3724">
      <c r="A3724" s="24">
        <v>64.0</v>
      </c>
      <c r="B3724" s="24">
        <v>0.0</v>
      </c>
      <c r="C3724" s="44">
        <v>13.11</v>
      </c>
      <c r="D3724" s="46">
        <v>45112.0</v>
      </c>
      <c r="E3724" s="24" t="s">
        <v>6650</v>
      </c>
      <c r="F3724" s="24">
        <v>204.84</v>
      </c>
      <c r="G3724" s="24">
        <v>0.0</v>
      </c>
      <c r="H3724" s="24" t="s">
        <v>6697</v>
      </c>
      <c r="I3724" s="24" t="s">
        <v>6650</v>
      </c>
      <c r="J3724" s="24">
        <v>0.0</v>
      </c>
    </row>
    <row r="3725">
      <c r="A3725" s="24">
        <v>2446.0</v>
      </c>
      <c r="B3725" s="24">
        <v>18.0</v>
      </c>
      <c r="C3725" s="44">
        <v>12.72</v>
      </c>
      <c r="D3725" s="46">
        <v>45112.0</v>
      </c>
      <c r="E3725" s="24">
        <v>0.71</v>
      </c>
      <c r="F3725" s="24">
        <v>5.2</v>
      </c>
      <c r="G3725" s="24">
        <v>0.74</v>
      </c>
      <c r="H3725" s="24" t="s">
        <v>6688</v>
      </c>
      <c r="I3725" s="24">
        <v>2.54</v>
      </c>
      <c r="J3725" s="24">
        <v>0.0</v>
      </c>
    </row>
    <row r="3726">
      <c r="A3726" s="24">
        <v>98.0</v>
      </c>
      <c r="B3726" s="24">
        <v>2.0</v>
      </c>
      <c r="C3726" s="44">
        <v>12.43</v>
      </c>
      <c r="D3726" s="46">
        <v>45112.0</v>
      </c>
      <c r="E3726" s="24">
        <v>6.22</v>
      </c>
      <c r="F3726" s="24">
        <v>126.84</v>
      </c>
      <c r="G3726" s="24">
        <v>2.04</v>
      </c>
      <c r="H3726" s="24" t="s">
        <v>6696</v>
      </c>
      <c r="I3726" s="24" t="s">
        <v>6650</v>
      </c>
      <c r="J3726" s="24">
        <v>1.0</v>
      </c>
    </row>
    <row r="3727">
      <c r="A3727" s="24">
        <v>66.0</v>
      </c>
      <c r="B3727" s="24">
        <v>1.0</v>
      </c>
      <c r="C3727" s="44">
        <v>15.0</v>
      </c>
      <c r="D3727" s="46">
        <v>45112.0</v>
      </c>
      <c r="E3727" s="24">
        <v>15.0</v>
      </c>
      <c r="F3727" s="24">
        <v>227.27</v>
      </c>
      <c r="G3727" s="24">
        <v>1.52</v>
      </c>
      <c r="H3727" s="24" t="s">
        <v>6699</v>
      </c>
      <c r="I3727" s="24" t="s">
        <v>6650</v>
      </c>
      <c r="J3727" s="24">
        <v>0.0</v>
      </c>
    </row>
    <row r="3728">
      <c r="A3728" s="24">
        <v>134.0</v>
      </c>
      <c r="B3728" s="24">
        <v>0.0</v>
      </c>
      <c r="C3728" s="44">
        <v>12.86</v>
      </c>
      <c r="D3728" s="46">
        <v>45112.0</v>
      </c>
      <c r="E3728" s="24" t="s">
        <v>6650</v>
      </c>
      <c r="F3728" s="24">
        <v>95.97</v>
      </c>
      <c r="G3728" s="24">
        <v>0.0</v>
      </c>
      <c r="H3728" s="24" t="s">
        <v>6701</v>
      </c>
      <c r="I3728" s="24" t="s">
        <v>6650</v>
      </c>
      <c r="J3728" s="24">
        <v>0.0</v>
      </c>
    </row>
    <row r="3729">
      <c r="A3729" s="24">
        <v>438.0</v>
      </c>
      <c r="B3729" s="24">
        <v>1.0</v>
      </c>
      <c r="C3729" s="44">
        <v>13.6</v>
      </c>
      <c r="D3729" s="46">
        <v>45112.0</v>
      </c>
      <c r="E3729" s="24">
        <v>13.6</v>
      </c>
      <c r="F3729" s="24">
        <v>31.05</v>
      </c>
      <c r="G3729" s="24">
        <v>0.23</v>
      </c>
      <c r="H3729" s="24" t="s">
        <v>6680</v>
      </c>
      <c r="I3729" s="24">
        <v>13.6</v>
      </c>
      <c r="J3729" s="24">
        <v>0.0</v>
      </c>
    </row>
    <row r="3730">
      <c r="A3730" s="24">
        <v>379.0</v>
      </c>
      <c r="B3730" s="24">
        <v>1.0</v>
      </c>
      <c r="C3730" s="44">
        <v>12.56</v>
      </c>
      <c r="D3730" s="46">
        <v>45112.0</v>
      </c>
      <c r="E3730" s="24">
        <v>12.56</v>
      </c>
      <c r="F3730" s="24">
        <v>33.14</v>
      </c>
      <c r="G3730" s="24">
        <v>0.26</v>
      </c>
      <c r="H3730" s="24" t="s">
        <v>6692</v>
      </c>
      <c r="I3730" s="24" t="s">
        <v>6650</v>
      </c>
      <c r="J3730" s="24">
        <v>0.0</v>
      </c>
    </row>
    <row r="3731">
      <c r="A3731" s="24">
        <v>483.0</v>
      </c>
      <c r="B3731" s="24">
        <v>3.0</v>
      </c>
      <c r="C3731" s="44">
        <v>11.76</v>
      </c>
      <c r="D3731" s="46">
        <v>45112.0</v>
      </c>
      <c r="E3731" s="24">
        <v>3.92</v>
      </c>
      <c r="F3731" s="24">
        <v>24.35</v>
      </c>
      <c r="G3731" s="24">
        <v>0.62</v>
      </c>
      <c r="H3731" s="24" t="s">
        <v>6700</v>
      </c>
      <c r="I3731" s="24" t="s">
        <v>6650</v>
      </c>
      <c r="J3731" s="24">
        <v>0.0</v>
      </c>
    </row>
    <row r="3732">
      <c r="A3732" s="24">
        <v>2003.0</v>
      </c>
      <c r="B3732" s="24">
        <v>13.0</v>
      </c>
      <c r="C3732" s="44">
        <v>11.75</v>
      </c>
      <c r="D3732" s="46">
        <v>45113.0</v>
      </c>
      <c r="E3732" s="24">
        <v>0.9</v>
      </c>
      <c r="F3732" s="24">
        <v>5.87</v>
      </c>
      <c r="G3732" s="24">
        <v>0.65</v>
      </c>
      <c r="H3732" s="24" t="s">
        <v>6688</v>
      </c>
      <c r="I3732" s="24">
        <v>2.35</v>
      </c>
      <c r="J3732" s="24">
        <v>0.0</v>
      </c>
    </row>
    <row r="3733">
      <c r="A3733" s="24">
        <v>173.0</v>
      </c>
      <c r="B3733" s="24">
        <v>2.0</v>
      </c>
      <c r="C3733" s="44">
        <v>10.84</v>
      </c>
      <c r="D3733" s="46">
        <v>45113.0</v>
      </c>
      <c r="E3733" s="24">
        <v>5.42</v>
      </c>
      <c r="F3733" s="24">
        <v>62.66</v>
      </c>
      <c r="G3733" s="24">
        <v>1.16</v>
      </c>
      <c r="H3733" s="24" t="s">
        <v>6699</v>
      </c>
      <c r="I3733" s="24">
        <v>5.42</v>
      </c>
      <c r="J3733" s="24">
        <v>0.0</v>
      </c>
    </row>
    <row r="3734">
      <c r="A3734" s="24">
        <v>49.0</v>
      </c>
      <c r="B3734" s="24">
        <v>1.0</v>
      </c>
      <c r="C3734" s="44">
        <v>11.1</v>
      </c>
      <c r="D3734" s="46">
        <v>45113.0</v>
      </c>
      <c r="E3734" s="24">
        <v>11.1</v>
      </c>
      <c r="F3734" s="24">
        <v>226.53</v>
      </c>
      <c r="G3734" s="24">
        <v>2.04</v>
      </c>
      <c r="H3734" s="24" t="s">
        <v>6695</v>
      </c>
      <c r="I3734" s="24" t="s">
        <v>6650</v>
      </c>
      <c r="J3734" s="24">
        <v>0.0</v>
      </c>
    </row>
    <row r="3735">
      <c r="A3735" s="24">
        <v>381.0</v>
      </c>
      <c r="B3735" s="24">
        <v>2.0</v>
      </c>
      <c r="C3735" s="44">
        <v>11.12</v>
      </c>
      <c r="D3735" s="46">
        <v>45113.0</v>
      </c>
      <c r="E3735" s="24">
        <v>5.56</v>
      </c>
      <c r="F3735" s="24">
        <v>29.19</v>
      </c>
      <c r="G3735" s="24">
        <v>0.52</v>
      </c>
      <c r="H3735" s="24" t="s">
        <v>6698</v>
      </c>
      <c r="I3735" s="24" t="s">
        <v>6650</v>
      </c>
      <c r="J3735" s="24">
        <v>0.0</v>
      </c>
    </row>
    <row r="3736">
      <c r="A3736" s="24">
        <v>77.0</v>
      </c>
      <c r="B3736" s="24">
        <v>0.0</v>
      </c>
      <c r="C3736" s="44">
        <v>11.35</v>
      </c>
      <c r="D3736" s="46">
        <v>45113.0</v>
      </c>
      <c r="E3736" s="24" t="s">
        <v>6650</v>
      </c>
      <c r="F3736" s="24">
        <v>147.4</v>
      </c>
      <c r="G3736" s="24">
        <v>0.0</v>
      </c>
      <c r="H3736" s="24" t="s">
        <v>6697</v>
      </c>
      <c r="I3736" s="24" t="s">
        <v>6650</v>
      </c>
      <c r="J3736" s="24">
        <v>0.0</v>
      </c>
    </row>
    <row r="3737">
      <c r="A3737" s="24">
        <v>637.0</v>
      </c>
      <c r="B3737" s="24">
        <v>0.0</v>
      </c>
      <c r="C3737" s="44">
        <v>11.19</v>
      </c>
      <c r="D3737" s="46">
        <v>45113.0</v>
      </c>
      <c r="E3737" s="24" t="s">
        <v>6650</v>
      </c>
      <c r="F3737" s="24">
        <v>17.57</v>
      </c>
      <c r="G3737" s="24">
        <v>0.0</v>
      </c>
      <c r="H3737" s="24" t="s">
        <v>6700</v>
      </c>
      <c r="I3737" s="24" t="s">
        <v>6650</v>
      </c>
      <c r="J3737" s="24">
        <v>0.0</v>
      </c>
    </row>
    <row r="3738">
      <c r="A3738" s="24">
        <v>681.0</v>
      </c>
      <c r="B3738" s="24">
        <v>0.0</v>
      </c>
      <c r="C3738" s="44">
        <v>12.37</v>
      </c>
      <c r="D3738" s="46">
        <v>45113.0</v>
      </c>
      <c r="E3738" s="24" t="s">
        <v>6650</v>
      </c>
      <c r="F3738" s="24">
        <v>18.16</v>
      </c>
      <c r="G3738" s="24">
        <v>0.0</v>
      </c>
      <c r="H3738" s="24" t="s">
        <v>6680</v>
      </c>
      <c r="I3738" s="24" t="s">
        <v>6650</v>
      </c>
      <c r="J3738" s="24">
        <v>0.0</v>
      </c>
    </row>
    <row r="3739">
      <c r="A3739" s="24">
        <v>281.0</v>
      </c>
      <c r="B3739" s="24">
        <v>0.0</v>
      </c>
      <c r="C3739" s="44">
        <v>11.3</v>
      </c>
      <c r="D3739" s="46">
        <v>45113.0</v>
      </c>
      <c r="E3739" s="24" t="s">
        <v>6650</v>
      </c>
      <c r="F3739" s="24">
        <v>40.21</v>
      </c>
      <c r="G3739" s="24">
        <v>0.0</v>
      </c>
      <c r="H3739" s="24" t="s">
        <v>6692</v>
      </c>
      <c r="I3739" s="24" t="s">
        <v>6650</v>
      </c>
      <c r="J3739" s="24">
        <v>0.0</v>
      </c>
    </row>
    <row r="3740">
      <c r="A3740" s="24">
        <v>53.0</v>
      </c>
      <c r="B3740" s="24">
        <v>1.0</v>
      </c>
      <c r="C3740" s="44">
        <v>11.63</v>
      </c>
      <c r="D3740" s="46">
        <v>45113.0</v>
      </c>
      <c r="E3740" s="24">
        <v>11.63</v>
      </c>
      <c r="F3740" s="24">
        <v>219.43</v>
      </c>
      <c r="G3740" s="24">
        <v>1.89</v>
      </c>
      <c r="H3740" s="24" t="s">
        <v>6696</v>
      </c>
      <c r="I3740" s="24" t="s">
        <v>6650</v>
      </c>
      <c r="J3740" s="24">
        <v>0.0</v>
      </c>
    </row>
    <row r="3741">
      <c r="A3741" s="24">
        <v>1646.0</v>
      </c>
      <c r="B3741" s="24">
        <v>21.0</v>
      </c>
      <c r="C3741" s="44">
        <v>11.71</v>
      </c>
      <c r="D3741" s="46">
        <v>45113.0</v>
      </c>
      <c r="E3741" s="24">
        <v>0.56</v>
      </c>
      <c r="F3741" s="24">
        <v>7.11</v>
      </c>
      <c r="G3741" s="24">
        <v>1.28</v>
      </c>
      <c r="H3741" s="24" t="s">
        <v>6689</v>
      </c>
      <c r="I3741" s="24">
        <v>11.71</v>
      </c>
      <c r="J3741" s="24">
        <v>0.0</v>
      </c>
    </row>
    <row r="3742">
      <c r="A3742" s="24">
        <v>83.0</v>
      </c>
      <c r="B3742" s="24">
        <v>0.0</v>
      </c>
      <c r="C3742" s="44">
        <v>12.32</v>
      </c>
      <c r="D3742" s="46">
        <v>45113.0</v>
      </c>
      <c r="E3742" s="24" t="s">
        <v>6650</v>
      </c>
      <c r="F3742" s="24">
        <v>148.43</v>
      </c>
      <c r="G3742" s="24">
        <v>0.0</v>
      </c>
      <c r="H3742" s="24" t="s">
        <v>6701</v>
      </c>
      <c r="I3742" s="24" t="s">
        <v>6650</v>
      </c>
      <c r="J3742" s="24">
        <v>0.0</v>
      </c>
    </row>
    <row r="3743">
      <c r="A3743" s="24">
        <v>442.0</v>
      </c>
      <c r="B3743" s="24">
        <v>1.0</v>
      </c>
      <c r="C3743" s="44">
        <v>10.56</v>
      </c>
      <c r="D3743" s="46">
        <v>45114.0</v>
      </c>
      <c r="E3743" s="24">
        <v>10.56</v>
      </c>
      <c r="F3743" s="24">
        <v>23.89</v>
      </c>
      <c r="G3743" s="24">
        <v>0.23</v>
      </c>
      <c r="H3743" s="24" t="s">
        <v>6700</v>
      </c>
      <c r="I3743" s="24">
        <v>10.56</v>
      </c>
      <c r="J3743" s="24">
        <v>0.0</v>
      </c>
    </row>
    <row r="3744">
      <c r="A3744" s="24">
        <v>531.0</v>
      </c>
      <c r="B3744" s="24">
        <v>10.0</v>
      </c>
      <c r="C3744" s="44">
        <v>10.31</v>
      </c>
      <c r="D3744" s="46">
        <v>45114.0</v>
      </c>
      <c r="E3744" s="24">
        <v>1.03</v>
      </c>
      <c r="F3744" s="24">
        <v>19.42</v>
      </c>
      <c r="G3744" s="24">
        <v>1.88</v>
      </c>
      <c r="H3744" s="24" t="s">
        <v>6698</v>
      </c>
      <c r="I3744" s="24" t="s">
        <v>6650</v>
      </c>
      <c r="J3744" s="24">
        <v>0.0</v>
      </c>
    </row>
    <row r="3745">
      <c r="A3745" s="24">
        <v>1834.0</v>
      </c>
      <c r="B3745" s="24">
        <v>14.0</v>
      </c>
      <c r="C3745" s="44">
        <v>11.17</v>
      </c>
      <c r="D3745" s="46">
        <v>45114.0</v>
      </c>
      <c r="E3745" s="24">
        <v>0.8</v>
      </c>
      <c r="F3745" s="24">
        <v>6.09</v>
      </c>
      <c r="G3745" s="24">
        <v>0.76</v>
      </c>
      <c r="H3745" s="24" t="s">
        <v>6688</v>
      </c>
      <c r="I3745" s="24">
        <v>3.72</v>
      </c>
      <c r="J3745" s="24">
        <v>0.0</v>
      </c>
    </row>
    <row r="3746">
      <c r="A3746" s="24">
        <v>52.0</v>
      </c>
      <c r="B3746" s="24">
        <v>0.0</v>
      </c>
      <c r="C3746" s="44">
        <v>12.34</v>
      </c>
      <c r="D3746" s="46">
        <v>45114.0</v>
      </c>
      <c r="E3746" s="24" t="s">
        <v>6650</v>
      </c>
      <c r="F3746" s="24">
        <v>237.31</v>
      </c>
      <c r="G3746" s="24">
        <v>0.0</v>
      </c>
      <c r="H3746" s="24" t="s">
        <v>6696</v>
      </c>
      <c r="I3746" s="24" t="s">
        <v>6650</v>
      </c>
      <c r="J3746" s="24">
        <v>0.0</v>
      </c>
    </row>
    <row r="3747">
      <c r="A3747" s="24">
        <v>1245.0</v>
      </c>
      <c r="B3747" s="24">
        <v>12.0</v>
      </c>
      <c r="C3747" s="44">
        <v>11.24</v>
      </c>
      <c r="D3747" s="46">
        <v>45114.0</v>
      </c>
      <c r="E3747" s="24">
        <v>0.94</v>
      </c>
      <c r="F3747" s="24">
        <v>9.03</v>
      </c>
      <c r="G3747" s="24">
        <v>0.96</v>
      </c>
      <c r="H3747" s="24" t="s">
        <v>6689</v>
      </c>
      <c r="I3747" s="24">
        <v>11.24</v>
      </c>
      <c r="J3747" s="24">
        <v>0.0</v>
      </c>
    </row>
    <row r="3748">
      <c r="A3748" s="24">
        <v>62.0</v>
      </c>
      <c r="B3748" s="24">
        <v>1.0</v>
      </c>
      <c r="C3748" s="44">
        <v>10.32</v>
      </c>
      <c r="D3748" s="46">
        <v>45114.0</v>
      </c>
      <c r="E3748" s="24">
        <v>10.32</v>
      </c>
      <c r="F3748" s="24">
        <v>166.45</v>
      </c>
      <c r="G3748" s="24">
        <v>1.61</v>
      </c>
      <c r="H3748" s="24" t="s">
        <v>6699</v>
      </c>
      <c r="I3748" s="24" t="s">
        <v>6650</v>
      </c>
      <c r="J3748" s="24">
        <v>0.0</v>
      </c>
    </row>
    <row r="3749">
      <c r="A3749" s="24">
        <v>714.0</v>
      </c>
      <c r="B3749" s="24">
        <v>3.0</v>
      </c>
      <c r="C3749" s="44">
        <v>11.88</v>
      </c>
      <c r="D3749" s="46">
        <v>45114.0</v>
      </c>
      <c r="E3749" s="24">
        <v>3.96</v>
      </c>
      <c r="F3749" s="24">
        <v>16.64</v>
      </c>
      <c r="G3749" s="24">
        <v>0.42</v>
      </c>
      <c r="H3749" s="24" t="s">
        <v>6680</v>
      </c>
      <c r="I3749" s="24">
        <v>11.88</v>
      </c>
      <c r="J3749" s="24">
        <v>0.0</v>
      </c>
    </row>
    <row r="3750">
      <c r="A3750" s="24">
        <v>52.0</v>
      </c>
      <c r="B3750" s="24">
        <v>0.0</v>
      </c>
      <c r="C3750" s="44">
        <v>12.97</v>
      </c>
      <c r="D3750" s="46">
        <v>45114.0</v>
      </c>
      <c r="E3750" s="24" t="s">
        <v>6650</v>
      </c>
      <c r="F3750" s="24">
        <v>249.42</v>
      </c>
      <c r="G3750" s="24">
        <v>0.0</v>
      </c>
      <c r="H3750" s="24" t="s">
        <v>6697</v>
      </c>
      <c r="I3750" s="24" t="s">
        <v>6650</v>
      </c>
      <c r="J3750" s="24">
        <v>0.0</v>
      </c>
    </row>
    <row r="3751">
      <c r="A3751" s="24">
        <v>152.0</v>
      </c>
      <c r="B3751" s="24">
        <v>1.0</v>
      </c>
      <c r="C3751" s="44">
        <v>10.38</v>
      </c>
      <c r="D3751" s="46">
        <v>45114.0</v>
      </c>
      <c r="E3751" s="24">
        <v>10.38</v>
      </c>
      <c r="F3751" s="24">
        <v>68.29</v>
      </c>
      <c r="G3751" s="24">
        <v>0.66</v>
      </c>
      <c r="H3751" s="24" t="s">
        <v>6692</v>
      </c>
      <c r="I3751" s="24" t="s">
        <v>6650</v>
      </c>
      <c r="J3751" s="24">
        <v>0.0</v>
      </c>
    </row>
    <row r="3752">
      <c r="A3752" s="24">
        <v>62.0</v>
      </c>
      <c r="B3752" s="24">
        <v>0.0</v>
      </c>
      <c r="C3752" s="44">
        <v>10.24</v>
      </c>
      <c r="D3752" s="46">
        <v>45114.0</v>
      </c>
      <c r="E3752" s="24" t="s">
        <v>6650</v>
      </c>
      <c r="F3752" s="24">
        <v>165.16</v>
      </c>
      <c r="G3752" s="24">
        <v>0.0</v>
      </c>
      <c r="H3752" s="24" t="s">
        <v>6695</v>
      </c>
      <c r="I3752" s="24" t="s">
        <v>6650</v>
      </c>
      <c r="J3752" s="24">
        <v>0.0</v>
      </c>
    </row>
    <row r="3753">
      <c r="A3753" s="24">
        <v>62.0</v>
      </c>
      <c r="B3753" s="24">
        <v>0.0</v>
      </c>
      <c r="C3753" s="44">
        <v>10.24</v>
      </c>
      <c r="D3753" s="46">
        <v>45114.0</v>
      </c>
      <c r="E3753" s="24" t="s">
        <v>6650</v>
      </c>
      <c r="F3753" s="24">
        <v>165.16</v>
      </c>
      <c r="G3753" s="24">
        <v>0.0</v>
      </c>
      <c r="H3753" s="24" t="s">
        <v>6701</v>
      </c>
      <c r="I3753" s="24" t="s">
        <v>6650</v>
      </c>
      <c r="J3753" s="24">
        <v>0.0</v>
      </c>
    </row>
    <row r="3754">
      <c r="A3754" s="24">
        <v>101.0</v>
      </c>
      <c r="B3754" s="24">
        <v>1.0</v>
      </c>
      <c r="C3754" s="44">
        <v>6.42</v>
      </c>
      <c r="D3754" s="46">
        <v>45115.0</v>
      </c>
      <c r="E3754" s="24">
        <v>6.42</v>
      </c>
      <c r="F3754" s="24">
        <v>63.56</v>
      </c>
      <c r="G3754" s="24">
        <v>0.99</v>
      </c>
      <c r="H3754" s="24" t="s">
        <v>6692</v>
      </c>
      <c r="I3754" s="24" t="s">
        <v>6650</v>
      </c>
      <c r="J3754" s="24">
        <v>0.0</v>
      </c>
    </row>
    <row r="3755">
      <c r="A3755" s="24">
        <v>52.0</v>
      </c>
      <c r="B3755" s="24">
        <v>0.0</v>
      </c>
      <c r="C3755" s="44">
        <v>5.59</v>
      </c>
      <c r="D3755" s="46">
        <v>45115.0</v>
      </c>
      <c r="E3755" s="24" t="s">
        <v>6650</v>
      </c>
      <c r="F3755" s="24">
        <v>107.5</v>
      </c>
      <c r="G3755" s="24">
        <v>0.0</v>
      </c>
      <c r="H3755" s="24" t="s">
        <v>6696</v>
      </c>
      <c r="I3755" s="24" t="s">
        <v>6650</v>
      </c>
      <c r="J3755" s="24">
        <v>0.0</v>
      </c>
    </row>
    <row r="3756">
      <c r="A3756" s="24">
        <v>151.0</v>
      </c>
      <c r="B3756" s="24">
        <v>4.0</v>
      </c>
      <c r="C3756" s="44">
        <v>7.7</v>
      </c>
      <c r="D3756" s="46">
        <v>45115.0</v>
      </c>
      <c r="E3756" s="24">
        <v>1.92</v>
      </c>
      <c r="F3756" s="24">
        <v>50.99</v>
      </c>
      <c r="G3756" s="24">
        <v>2.65</v>
      </c>
      <c r="H3756" s="24" t="s">
        <v>6698</v>
      </c>
      <c r="I3756" s="24">
        <v>3.85</v>
      </c>
      <c r="J3756" s="24">
        <v>0.0</v>
      </c>
    </row>
    <row r="3757">
      <c r="A3757" s="24">
        <v>310.0</v>
      </c>
      <c r="B3757" s="24">
        <v>0.0</v>
      </c>
      <c r="C3757" s="44">
        <v>7.34</v>
      </c>
      <c r="D3757" s="46">
        <v>45115.0</v>
      </c>
      <c r="E3757" s="24" t="s">
        <v>6650</v>
      </c>
      <c r="F3757" s="24">
        <v>23.68</v>
      </c>
      <c r="G3757" s="24">
        <v>0.0</v>
      </c>
      <c r="H3757" s="24" t="s">
        <v>6680</v>
      </c>
      <c r="I3757" s="24">
        <v>7.34</v>
      </c>
      <c r="J3757" s="24">
        <v>0.0</v>
      </c>
    </row>
    <row r="3758">
      <c r="A3758" s="24">
        <v>129.0</v>
      </c>
      <c r="B3758" s="24">
        <v>0.0</v>
      </c>
      <c r="C3758" s="44">
        <v>6.47</v>
      </c>
      <c r="D3758" s="46">
        <v>45115.0</v>
      </c>
      <c r="E3758" s="24" t="s">
        <v>6650</v>
      </c>
      <c r="F3758" s="24">
        <v>50.16</v>
      </c>
      <c r="G3758" s="24">
        <v>0.0</v>
      </c>
      <c r="H3758" s="24" t="s">
        <v>6700</v>
      </c>
      <c r="I3758" s="24">
        <v>3.24</v>
      </c>
      <c r="J3758" s="24">
        <v>0.0</v>
      </c>
    </row>
    <row r="3759">
      <c r="A3759" s="24">
        <v>1152.0</v>
      </c>
      <c r="B3759" s="24">
        <v>11.0</v>
      </c>
      <c r="C3759" s="44">
        <v>7.01</v>
      </c>
      <c r="D3759" s="46">
        <v>45115.0</v>
      </c>
      <c r="E3759" s="24">
        <v>0.64</v>
      </c>
      <c r="F3759" s="24">
        <v>6.09</v>
      </c>
      <c r="G3759" s="24">
        <v>0.95</v>
      </c>
      <c r="H3759" s="24" t="s">
        <v>6688</v>
      </c>
      <c r="I3759" s="24">
        <v>7.01</v>
      </c>
      <c r="J3759" s="24">
        <v>0.0</v>
      </c>
    </row>
    <row r="3760">
      <c r="A3760" s="24">
        <v>24.0</v>
      </c>
      <c r="B3760" s="24">
        <v>0.0</v>
      </c>
      <c r="C3760" s="44">
        <v>5.96</v>
      </c>
      <c r="D3760" s="46">
        <v>45115.0</v>
      </c>
      <c r="E3760" s="24" t="s">
        <v>6650</v>
      </c>
      <c r="F3760" s="24">
        <v>248.33</v>
      </c>
      <c r="G3760" s="24">
        <v>0.0</v>
      </c>
      <c r="H3760" s="24" t="s">
        <v>6695</v>
      </c>
      <c r="I3760" s="24" t="s">
        <v>6650</v>
      </c>
      <c r="J3760" s="24">
        <v>0.0</v>
      </c>
    </row>
    <row r="3761">
      <c r="A3761" s="24">
        <v>28.0</v>
      </c>
      <c r="B3761" s="24">
        <v>1.0</v>
      </c>
      <c r="C3761" s="44">
        <v>6.09</v>
      </c>
      <c r="D3761" s="46">
        <v>45115.0</v>
      </c>
      <c r="E3761" s="24">
        <v>6.09</v>
      </c>
      <c r="F3761" s="24">
        <v>217.5</v>
      </c>
      <c r="G3761" s="24">
        <v>3.57</v>
      </c>
      <c r="H3761" s="24" t="s">
        <v>6697</v>
      </c>
      <c r="I3761" s="24">
        <v>6.09</v>
      </c>
      <c r="J3761" s="24">
        <v>0.0</v>
      </c>
    </row>
    <row r="3762">
      <c r="A3762" s="24">
        <v>37.0</v>
      </c>
      <c r="B3762" s="24">
        <v>2.0</v>
      </c>
      <c r="C3762" s="44">
        <v>5.25</v>
      </c>
      <c r="D3762" s="46">
        <v>45115.0</v>
      </c>
      <c r="E3762" s="24">
        <v>2.62</v>
      </c>
      <c r="F3762" s="24">
        <v>141.89</v>
      </c>
      <c r="G3762" s="24">
        <v>5.41</v>
      </c>
      <c r="H3762" s="24" t="s">
        <v>6699</v>
      </c>
      <c r="I3762" s="24">
        <v>2.62</v>
      </c>
      <c r="J3762" s="24">
        <v>0.0</v>
      </c>
    </row>
    <row r="3763">
      <c r="A3763" s="24">
        <v>39.0</v>
      </c>
      <c r="B3763" s="24">
        <v>1.0</v>
      </c>
      <c r="C3763" s="44">
        <v>4.93</v>
      </c>
      <c r="D3763" s="46">
        <v>45115.0</v>
      </c>
      <c r="E3763" s="24">
        <v>4.93</v>
      </c>
      <c r="F3763" s="24">
        <v>126.41</v>
      </c>
      <c r="G3763" s="24">
        <v>2.56</v>
      </c>
      <c r="H3763" s="24" t="s">
        <v>6701</v>
      </c>
      <c r="I3763" s="24" t="s">
        <v>6650</v>
      </c>
      <c r="J3763" s="24">
        <v>0.0</v>
      </c>
    </row>
    <row r="3764">
      <c r="A3764" s="24">
        <v>741.0</v>
      </c>
      <c r="B3764" s="24">
        <v>9.0</v>
      </c>
      <c r="C3764" s="44">
        <v>6.46</v>
      </c>
      <c r="D3764" s="46">
        <v>45115.0</v>
      </c>
      <c r="E3764" s="24">
        <v>0.72</v>
      </c>
      <c r="F3764" s="24">
        <v>8.72</v>
      </c>
      <c r="G3764" s="24">
        <v>1.21</v>
      </c>
      <c r="H3764" s="24" t="s">
        <v>6689</v>
      </c>
      <c r="I3764" s="24" t="s">
        <v>6650</v>
      </c>
      <c r="J3764" s="24">
        <v>0.0</v>
      </c>
    </row>
    <row r="3765">
      <c r="A3765" s="24">
        <v>35.0</v>
      </c>
      <c r="B3765" s="24">
        <v>0.0</v>
      </c>
      <c r="C3765" s="44">
        <v>3.83</v>
      </c>
      <c r="D3765" s="46">
        <v>45116.0</v>
      </c>
      <c r="E3765" s="24" t="s">
        <v>6650</v>
      </c>
      <c r="F3765" s="24">
        <v>109.43</v>
      </c>
      <c r="G3765" s="24">
        <v>0.0</v>
      </c>
      <c r="H3765" s="24" t="s">
        <v>6696</v>
      </c>
      <c r="I3765" s="24">
        <v>1.28</v>
      </c>
      <c r="J3765" s="24">
        <v>0.0</v>
      </c>
    </row>
    <row r="3766">
      <c r="A3766" s="24">
        <v>43.0</v>
      </c>
      <c r="B3766" s="24">
        <v>0.0</v>
      </c>
      <c r="C3766" s="44">
        <v>4.04</v>
      </c>
      <c r="D3766" s="46">
        <v>45116.0</v>
      </c>
      <c r="E3766" s="24" t="s">
        <v>6650</v>
      </c>
      <c r="F3766" s="24">
        <v>93.95</v>
      </c>
      <c r="G3766" s="24">
        <v>0.0</v>
      </c>
      <c r="H3766" s="24" t="s">
        <v>6701</v>
      </c>
      <c r="I3766" s="24" t="s">
        <v>6650</v>
      </c>
      <c r="J3766" s="24">
        <v>0.0</v>
      </c>
    </row>
    <row r="3767">
      <c r="A3767" s="24">
        <v>529.0</v>
      </c>
      <c r="B3767" s="24">
        <v>9.0</v>
      </c>
      <c r="C3767" s="44">
        <v>5.31</v>
      </c>
      <c r="D3767" s="46">
        <v>45116.0</v>
      </c>
      <c r="E3767" s="24">
        <v>0.59</v>
      </c>
      <c r="F3767" s="24">
        <v>10.04</v>
      </c>
      <c r="G3767" s="24">
        <v>1.7</v>
      </c>
      <c r="H3767" s="24" t="s">
        <v>6689</v>
      </c>
      <c r="I3767" s="24" t="s">
        <v>6650</v>
      </c>
      <c r="J3767" s="24">
        <v>0.0</v>
      </c>
    </row>
    <row r="3768">
      <c r="A3768" s="24">
        <v>176.0</v>
      </c>
      <c r="B3768" s="24">
        <v>1.0</v>
      </c>
      <c r="C3768" s="44">
        <v>6.16</v>
      </c>
      <c r="D3768" s="46">
        <v>45116.0</v>
      </c>
      <c r="E3768" s="24">
        <v>6.16</v>
      </c>
      <c r="F3768" s="24">
        <v>35.0</v>
      </c>
      <c r="G3768" s="24">
        <v>0.57</v>
      </c>
      <c r="H3768" s="24" t="s">
        <v>6680</v>
      </c>
      <c r="I3768" s="24" t="s">
        <v>6650</v>
      </c>
      <c r="J3768" s="24">
        <v>0.0</v>
      </c>
    </row>
    <row r="3769">
      <c r="A3769" s="24">
        <v>408.0</v>
      </c>
      <c r="B3769" s="24">
        <v>2.0</v>
      </c>
      <c r="C3769" s="44">
        <v>4.88</v>
      </c>
      <c r="D3769" s="46">
        <v>45116.0</v>
      </c>
      <c r="E3769" s="24">
        <v>2.44</v>
      </c>
      <c r="F3769" s="24">
        <v>11.96</v>
      </c>
      <c r="G3769" s="24">
        <v>0.49</v>
      </c>
      <c r="H3769" s="24" t="s">
        <v>6698</v>
      </c>
      <c r="I3769" s="24">
        <v>1.63</v>
      </c>
      <c r="J3769" s="24">
        <v>0.0</v>
      </c>
    </row>
    <row r="3770">
      <c r="A3770" s="24">
        <v>29.0</v>
      </c>
      <c r="B3770" s="24">
        <v>2.0</v>
      </c>
      <c r="C3770" s="44">
        <v>4.15</v>
      </c>
      <c r="D3770" s="46">
        <v>45116.0</v>
      </c>
      <c r="E3770" s="24">
        <v>2.08</v>
      </c>
      <c r="F3770" s="24">
        <v>143.1</v>
      </c>
      <c r="G3770" s="24">
        <v>6.9</v>
      </c>
      <c r="H3770" s="24" t="s">
        <v>6699</v>
      </c>
      <c r="I3770" s="24">
        <v>4.15</v>
      </c>
      <c r="J3770" s="24">
        <v>0.0</v>
      </c>
    </row>
    <row r="3771">
      <c r="A3771" s="24">
        <v>1239.0</v>
      </c>
      <c r="B3771" s="24">
        <v>11.0</v>
      </c>
      <c r="C3771" s="44">
        <v>7.03</v>
      </c>
      <c r="D3771" s="46">
        <v>45116.0</v>
      </c>
      <c r="E3771" s="24">
        <v>0.64</v>
      </c>
      <c r="F3771" s="24">
        <v>5.67</v>
      </c>
      <c r="G3771" s="24">
        <v>0.89</v>
      </c>
      <c r="H3771" s="24" t="s">
        <v>6688</v>
      </c>
      <c r="I3771" s="24">
        <v>1.41</v>
      </c>
      <c r="J3771" s="24">
        <v>0.0</v>
      </c>
    </row>
    <row r="3772">
      <c r="A3772" s="24">
        <v>18.0</v>
      </c>
      <c r="B3772" s="24">
        <v>0.0</v>
      </c>
      <c r="C3772" s="44">
        <v>2.91</v>
      </c>
      <c r="D3772" s="46">
        <v>45116.0</v>
      </c>
      <c r="E3772" s="24" t="s">
        <v>6650</v>
      </c>
      <c r="F3772" s="24">
        <v>161.67</v>
      </c>
      <c r="G3772" s="24">
        <v>0.0</v>
      </c>
      <c r="H3772" s="24" t="s">
        <v>6697</v>
      </c>
      <c r="I3772" s="24" t="s">
        <v>6650</v>
      </c>
      <c r="J3772" s="24">
        <v>0.0</v>
      </c>
    </row>
    <row r="3773">
      <c r="A3773" s="24">
        <v>17.0</v>
      </c>
      <c r="B3773" s="24">
        <v>0.0</v>
      </c>
      <c r="C3773" s="44">
        <v>3.34</v>
      </c>
      <c r="D3773" s="46">
        <v>45116.0</v>
      </c>
      <c r="E3773" s="24" t="s">
        <v>6650</v>
      </c>
      <c r="F3773" s="24">
        <v>196.47</v>
      </c>
      <c r="G3773" s="24">
        <v>0.0</v>
      </c>
      <c r="H3773" s="24" t="s">
        <v>6695</v>
      </c>
      <c r="I3773" s="24" t="s">
        <v>6650</v>
      </c>
      <c r="J3773" s="24">
        <v>0.0</v>
      </c>
    </row>
    <row r="3774">
      <c r="A3774" s="24">
        <v>214.0</v>
      </c>
      <c r="B3774" s="24">
        <v>1.0</v>
      </c>
      <c r="C3774" s="44">
        <v>6.35</v>
      </c>
      <c r="D3774" s="46">
        <v>45116.0</v>
      </c>
      <c r="E3774" s="24">
        <v>6.35</v>
      </c>
      <c r="F3774" s="24">
        <v>29.67</v>
      </c>
      <c r="G3774" s="24">
        <v>0.47</v>
      </c>
      <c r="H3774" s="24" t="s">
        <v>6700</v>
      </c>
      <c r="I3774" s="24">
        <v>2.12</v>
      </c>
      <c r="J3774" s="24">
        <v>0.0</v>
      </c>
    </row>
    <row r="3775">
      <c r="A3775" s="24">
        <v>76.0</v>
      </c>
      <c r="B3775" s="24">
        <v>1.0</v>
      </c>
      <c r="C3775" s="44">
        <v>5.44</v>
      </c>
      <c r="D3775" s="46">
        <v>45116.0</v>
      </c>
      <c r="E3775" s="24">
        <v>5.44</v>
      </c>
      <c r="F3775" s="24">
        <v>71.58</v>
      </c>
      <c r="G3775" s="24">
        <v>1.32</v>
      </c>
      <c r="H3775" s="24" t="s">
        <v>6692</v>
      </c>
      <c r="I3775" s="24" t="s">
        <v>6650</v>
      </c>
      <c r="J3775" s="24">
        <v>0.0</v>
      </c>
    </row>
    <row r="3776">
      <c r="A3776" s="24">
        <v>58.0</v>
      </c>
      <c r="B3776" s="24">
        <v>1.0</v>
      </c>
      <c r="C3776" s="44">
        <v>11.56</v>
      </c>
      <c r="D3776" s="46">
        <v>45117.0</v>
      </c>
      <c r="E3776" s="24">
        <v>11.56</v>
      </c>
      <c r="F3776" s="24">
        <v>199.31</v>
      </c>
      <c r="G3776" s="24">
        <v>1.72</v>
      </c>
      <c r="H3776" s="24" t="s">
        <v>6695</v>
      </c>
      <c r="I3776" s="24" t="s">
        <v>6650</v>
      </c>
      <c r="J3776" s="24">
        <v>0.0</v>
      </c>
    </row>
    <row r="3777">
      <c r="A3777" s="24">
        <v>415.0</v>
      </c>
      <c r="B3777" s="24">
        <v>2.0</v>
      </c>
      <c r="C3777" s="44">
        <v>11.57</v>
      </c>
      <c r="D3777" s="46">
        <v>45117.0</v>
      </c>
      <c r="E3777" s="24">
        <v>5.78</v>
      </c>
      <c r="F3777" s="24">
        <v>27.88</v>
      </c>
      <c r="G3777" s="24">
        <v>0.48</v>
      </c>
      <c r="H3777" s="24" t="s">
        <v>6692</v>
      </c>
      <c r="I3777" s="24">
        <v>11.57</v>
      </c>
      <c r="J3777" s="24">
        <v>0.0</v>
      </c>
    </row>
    <row r="3778">
      <c r="A3778" s="24">
        <v>606.0</v>
      </c>
      <c r="B3778" s="24">
        <v>1.0</v>
      </c>
      <c r="C3778" s="44">
        <v>11.86</v>
      </c>
      <c r="D3778" s="46">
        <v>45117.0</v>
      </c>
      <c r="E3778" s="24">
        <v>11.86</v>
      </c>
      <c r="F3778" s="24">
        <v>19.57</v>
      </c>
      <c r="G3778" s="24">
        <v>0.17</v>
      </c>
      <c r="H3778" s="24" t="s">
        <v>6680</v>
      </c>
      <c r="I3778" s="24">
        <v>11.86</v>
      </c>
      <c r="J3778" s="24">
        <v>0.0</v>
      </c>
    </row>
    <row r="3779">
      <c r="A3779" s="24">
        <v>42.0</v>
      </c>
      <c r="B3779" s="24">
        <v>0.0</v>
      </c>
      <c r="C3779" s="44">
        <v>10.26</v>
      </c>
      <c r="D3779" s="46">
        <v>45117.0</v>
      </c>
      <c r="E3779" s="24" t="s">
        <v>6650</v>
      </c>
      <c r="F3779" s="24">
        <v>244.29</v>
      </c>
      <c r="G3779" s="24">
        <v>0.0</v>
      </c>
      <c r="H3779" s="24" t="s">
        <v>6697</v>
      </c>
      <c r="I3779" s="24" t="s">
        <v>6650</v>
      </c>
      <c r="J3779" s="24">
        <v>0.0</v>
      </c>
    </row>
    <row r="3780">
      <c r="A3780" s="24">
        <v>106.0</v>
      </c>
      <c r="B3780" s="24">
        <v>0.0</v>
      </c>
      <c r="C3780" s="44">
        <v>10.27</v>
      </c>
      <c r="D3780" s="46">
        <v>45117.0</v>
      </c>
      <c r="E3780" s="24" t="s">
        <v>6650</v>
      </c>
      <c r="F3780" s="24">
        <v>96.89</v>
      </c>
      <c r="G3780" s="24">
        <v>0.0</v>
      </c>
      <c r="H3780" s="24" t="s">
        <v>6701</v>
      </c>
      <c r="I3780" s="24" t="s">
        <v>6650</v>
      </c>
      <c r="J3780" s="24">
        <v>0.0</v>
      </c>
    </row>
    <row r="3781">
      <c r="A3781" s="24">
        <v>206.0</v>
      </c>
      <c r="B3781" s="24">
        <v>3.0</v>
      </c>
      <c r="C3781" s="44">
        <v>12.32</v>
      </c>
      <c r="D3781" s="46">
        <v>45117.0</v>
      </c>
      <c r="E3781" s="24">
        <v>4.11</v>
      </c>
      <c r="F3781" s="24">
        <v>59.81</v>
      </c>
      <c r="G3781" s="24">
        <v>1.46</v>
      </c>
      <c r="H3781" s="24" t="s">
        <v>6698</v>
      </c>
      <c r="I3781" s="24">
        <v>12.32</v>
      </c>
      <c r="J3781" s="24">
        <v>0.0</v>
      </c>
    </row>
    <row r="3782">
      <c r="A3782" s="24">
        <v>593.0</v>
      </c>
      <c r="B3782" s="24">
        <v>5.0</v>
      </c>
      <c r="C3782" s="44">
        <v>7.82</v>
      </c>
      <c r="D3782" s="46">
        <v>45117.0</v>
      </c>
      <c r="E3782" s="24">
        <v>1.56</v>
      </c>
      <c r="F3782" s="24">
        <v>13.19</v>
      </c>
      <c r="G3782" s="24">
        <v>0.84</v>
      </c>
      <c r="H3782" s="24" t="s">
        <v>6689</v>
      </c>
      <c r="I3782" s="24" t="s">
        <v>6650</v>
      </c>
      <c r="J3782" s="24">
        <v>0.0</v>
      </c>
    </row>
    <row r="3783">
      <c r="A3783" s="24">
        <v>60.0</v>
      </c>
      <c r="B3783" s="24">
        <v>3.0</v>
      </c>
      <c r="C3783" s="44">
        <v>10.75</v>
      </c>
      <c r="D3783" s="46">
        <v>45117.0</v>
      </c>
      <c r="E3783" s="24">
        <v>3.58</v>
      </c>
      <c r="F3783" s="24">
        <v>179.17</v>
      </c>
      <c r="G3783" s="24">
        <v>5.0</v>
      </c>
      <c r="H3783" s="24" t="s">
        <v>6699</v>
      </c>
      <c r="I3783" s="24">
        <v>5.38</v>
      </c>
      <c r="J3783" s="24">
        <v>0.0</v>
      </c>
    </row>
    <row r="3784">
      <c r="A3784" s="24">
        <v>1956.0</v>
      </c>
      <c r="B3784" s="24">
        <v>12.0</v>
      </c>
      <c r="C3784" s="44">
        <v>11.07</v>
      </c>
      <c r="D3784" s="46">
        <v>45117.0</v>
      </c>
      <c r="E3784" s="24">
        <v>0.92</v>
      </c>
      <c r="F3784" s="24">
        <v>5.66</v>
      </c>
      <c r="G3784" s="24">
        <v>0.61</v>
      </c>
      <c r="H3784" s="24" t="s">
        <v>6688</v>
      </c>
      <c r="I3784" s="24">
        <v>1.11</v>
      </c>
      <c r="J3784" s="24">
        <v>0.0</v>
      </c>
    </row>
    <row r="3785">
      <c r="A3785" s="24">
        <v>503.0</v>
      </c>
      <c r="B3785" s="24">
        <v>1.0</v>
      </c>
      <c r="C3785" s="44">
        <v>12.05</v>
      </c>
      <c r="D3785" s="46">
        <v>45117.0</v>
      </c>
      <c r="E3785" s="24">
        <v>12.05</v>
      </c>
      <c r="F3785" s="24">
        <v>23.96</v>
      </c>
      <c r="G3785" s="24">
        <v>0.2</v>
      </c>
      <c r="H3785" s="24" t="s">
        <v>6700</v>
      </c>
      <c r="I3785" s="24">
        <v>6.02</v>
      </c>
      <c r="J3785" s="24">
        <v>0.0</v>
      </c>
    </row>
    <row r="3786">
      <c r="A3786" s="24">
        <v>119.0</v>
      </c>
      <c r="B3786" s="24">
        <v>3.0</v>
      </c>
      <c r="C3786" s="44">
        <v>12.65</v>
      </c>
      <c r="D3786" s="46">
        <v>45117.0</v>
      </c>
      <c r="E3786" s="24">
        <v>4.22</v>
      </c>
      <c r="F3786" s="24">
        <v>106.3</v>
      </c>
      <c r="G3786" s="24">
        <v>2.52</v>
      </c>
      <c r="H3786" s="24" t="s">
        <v>6696</v>
      </c>
      <c r="I3786" s="24" t="s">
        <v>6650</v>
      </c>
      <c r="J3786" s="24">
        <v>0.0</v>
      </c>
    </row>
    <row r="3787">
      <c r="A3787" s="24">
        <v>86.0</v>
      </c>
      <c r="B3787" s="24">
        <v>0.0</v>
      </c>
      <c r="C3787" s="44">
        <v>7.87</v>
      </c>
      <c r="D3787" s="46">
        <v>45118.0</v>
      </c>
      <c r="E3787" s="24" t="s">
        <v>6650</v>
      </c>
      <c r="F3787" s="24">
        <v>91.51</v>
      </c>
      <c r="G3787" s="24">
        <v>0.0</v>
      </c>
      <c r="H3787" s="24" t="s">
        <v>6696</v>
      </c>
      <c r="I3787" s="24" t="s">
        <v>6650</v>
      </c>
      <c r="J3787" s="24">
        <v>0.0</v>
      </c>
    </row>
    <row r="3788">
      <c r="A3788" s="24">
        <v>113.0</v>
      </c>
      <c r="B3788" s="24">
        <v>4.0</v>
      </c>
      <c r="C3788" s="44">
        <v>3.88</v>
      </c>
      <c r="D3788" s="46">
        <v>45118.0</v>
      </c>
      <c r="E3788" s="24">
        <v>0.97</v>
      </c>
      <c r="F3788" s="24">
        <v>34.34</v>
      </c>
      <c r="G3788" s="24">
        <v>3.54</v>
      </c>
      <c r="H3788" s="24" t="s">
        <v>6699</v>
      </c>
      <c r="I3788" s="24" t="s">
        <v>6650</v>
      </c>
      <c r="J3788" s="24">
        <v>0.0</v>
      </c>
    </row>
    <row r="3789">
      <c r="A3789" s="24">
        <v>44.0</v>
      </c>
      <c r="B3789" s="24">
        <v>1.0</v>
      </c>
      <c r="C3789" s="44">
        <v>6.37</v>
      </c>
      <c r="D3789" s="46">
        <v>45118.0</v>
      </c>
      <c r="E3789" s="24">
        <v>6.37</v>
      </c>
      <c r="F3789" s="24">
        <v>144.77</v>
      </c>
      <c r="G3789" s="24">
        <v>2.27</v>
      </c>
      <c r="H3789" s="24" t="s">
        <v>6697</v>
      </c>
      <c r="I3789" s="24" t="s">
        <v>6650</v>
      </c>
      <c r="J3789" s="24">
        <v>0.0</v>
      </c>
    </row>
    <row r="3790">
      <c r="A3790" s="24">
        <v>952.0</v>
      </c>
      <c r="B3790" s="24">
        <v>9.0</v>
      </c>
      <c r="C3790" s="44">
        <v>11.04</v>
      </c>
      <c r="D3790" s="46">
        <v>45118.0</v>
      </c>
      <c r="E3790" s="24">
        <v>1.23</v>
      </c>
      <c r="F3790" s="24">
        <v>11.6</v>
      </c>
      <c r="G3790" s="24">
        <v>0.95</v>
      </c>
      <c r="H3790" s="24" t="s">
        <v>6689</v>
      </c>
      <c r="I3790" s="24" t="s">
        <v>6650</v>
      </c>
      <c r="J3790" s="24">
        <v>0.0</v>
      </c>
    </row>
    <row r="3791">
      <c r="A3791" s="24">
        <v>442.0</v>
      </c>
      <c r="B3791" s="24">
        <v>2.0</v>
      </c>
      <c r="C3791" s="44">
        <v>6.96</v>
      </c>
      <c r="D3791" s="46">
        <v>45118.0</v>
      </c>
      <c r="E3791" s="24">
        <v>3.48</v>
      </c>
      <c r="F3791" s="24">
        <v>15.75</v>
      </c>
      <c r="G3791" s="24">
        <v>0.45</v>
      </c>
      <c r="H3791" s="24" t="s">
        <v>6698</v>
      </c>
      <c r="I3791" s="24" t="s">
        <v>6650</v>
      </c>
      <c r="J3791" s="24">
        <v>0.0</v>
      </c>
    </row>
    <row r="3792">
      <c r="A3792" s="24">
        <v>48.0</v>
      </c>
      <c r="B3792" s="24">
        <v>1.0</v>
      </c>
      <c r="C3792" s="44">
        <v>3.52</v>
      </c>
      <c r="D3792" s="46">
        <v>45118.0</v>
      </c>
      <c r="E3792" s="24">
        <v>3.52</v>
      </c>
      <c r="F3792" s="24">
        <v>73.33</v>
      </c>
      <c r="G3792" s="24">
        <v>2.08</v>
      </c>
      <c r="H3792" s="24" t="s">
        <v>6695</v>
      </c>
      <c r="I3792" s="24" t="s">
        <v>6650</v>
      </c>
      <c r="J3792" s="24">
        <v>0.0</v>
      </c>
    </row>
    <row r="3793">
      <c r="A3793" s="24">
        <v>150.0</v>
      </c>
      <c r="B3793" s="24">
        <v>0.0</v>
      </c>
      <c r="C3793" s="44">
        <v>2.42</v>
      </c>
      <c r="D3793" s="46">
        <v>45118.0</v>
      </c>
      <c r="E3793" s="24" t="s">
        <v>6650</v>
      </c>
      <c r="F3793" s="24">
        <v>16.13</v>
      </c>
      <c r="G3793" s="24">
        <v>0.0</v>
      </c>
      <c r="H3793" s="24" t="s">
        <v>6680</v>
      </c>
      <c r="I3793" s="24">
        <v>2.42</v>
      </c>
      <c r="J3793" s="24">
        <v>0.0</v>
      </c>
    </row>
    <row r="3794">
      <c r="A3794" s="24">
        <v>97.0</v>
      </c>
      <c r="B3794" s="24">
        <v>0.0</v>
      </c>
      <c r="C3794" s="44">
        <v>5.56</v>
      </c>
      <c r="D3794" s="46">
        <v>45118.0</v>
      </c>
      <c r="E3794" s="24" t="s">
        <v>6650</v>
      </c>
      <c r="F3794" s="24">
        <v>57.32</v>
      </c>
      <c r="G3794" s="24">
        <v>0.0</v>
      </c>
      <c r="H3794" s="24" t="s">
        <v>6692</v>
      </c>
      <c r="I3794" s="24" t="s">
        <v>6650</v>
      </c>
      <c r="J3794" s="24">
        <v>0.0</v>
      </c>
    </row>
    <row r="3795">
      <c r="A3795" s="24">
        <v>112.0</v>
      </c>
      <c r="B3795" s="24">
        <v>0.0</v>
      </c>
      <c r="C3795" s="44">
        <v>6.74</v>
      </c>
      <c r="D3795" s="46">
        <v>45118.0</v>
      </c>
      <c r="E3795" s="24" t="s">
        <v>6650</v>
      </c>
      <c r="F3795" s="24">
        <v>60.18</v>
      </c>
      <c r="G3795" s="24">
        <v>0.0</v>
      </c>
      <c r="H3795" s="24" t="s">
        <v>6700</v>
      </c>
      <c r="I3795" s="24" t="s">
        <v>6650</v>
      </c>
      <c r="J3795" s="24">
        <v>0.0</v>
      </c>
    </row>
    <row r="3796">
      <c r="A3796" s="24">
        <v>61.0</v>
      </c>
      <c r="B3796" s="24">
        <v>0.0</v>
      </c>
      <c r="C3796" s="44">
        <v>4.6</v>
      </c>
      <c r="D3796" s="46">
        <v>45118.0</v>
      </c>
      <c r="E3796" s="24" t="s">
        <v>6650</v>
      </c>
      <c r="F3796" s="24">
        <v>75.41</v>
      </c>
      <c r="G3796" s="24">
        <v>0.0</v>
      </c>
      <c r="H3796" s="24" t="s">
        <v>6701</v>
      </c>
      <c r="I3796" s="24" t="s">
        <v>6650</v>
      </c>
      <c r="J3796" s="24">
        <v>0.0</v>
      </c>
    </row>
    <row r="3797">
      <c r="A3797" s="24">
        <v>2333.0</v>
      </c>
      <c r="B3797" s="24">
        <v>14.0</v>
      </c>
      <c r="C3797" s="44">
        <v>8.65</v>
      </c>
      <c r="D3797" s="46">
        <v>45118.0</v>
      </c>
      <c r="E3797" s="24">
        <v>0.62</v>
      </c>
      <c r="F3797" s="24">
        <v>3.71</v>
      </c>
      <c r="G3797" s="24">
        <v>0.6</v>
      </c>
      <c r="H3797" s="24" t="s">
        <v>6688</v>
      </c>
      <c r="I3797" s="24">
        <v>1.44</v>
      </c>
      <c r="J3797" s="24">
        <v>0.0</v>
      </c>
    </row>
    <row r="3798">
      <c r="A3798" s="24">
        <v>71.0</v>
      </c>
      <c r="B3798" s="24">
        <v>0.0</v>
      </c>
      <c r="C3798" s="44">
        <v>10.2</v>
      </c>
      <c r="D3798" s="46">
        <v>45119.0</v>
      </c>
      <c r="E3798" s="24" t="s">
        <v>6650</v>
      </c>
      <c r="F3798" s="24">
        <v>143.66</v>
      </c>
      <c r="G3798" s="24">
        <v>0.0</v>
      </c>
      <c r="H3798" s="24" t="s">
        <v>6695</v>
      </c>
      <c r="I3798" s="24" t="s">
        <v>6650</v>
      </c>
      <c r="J3798" s="24">
        <v>0.0</v>
      </c>
    </row>
    <row r="3799">
      <c r="A3799" s="24">
        <v>178.0</v>
      </c>
      <c r="B3799" s="24">
        <v>0.0</v>
      </c>
      <c r="C3799" s="44">
        <v>4.52</v>
      </c>
      <c r="D3799" s="46">
        <v>45119.0</v>
      </c>
      <c r="E3799" s="24" t="s">
        <v>6650</v>
      </c>
      <c r="F3799" s="24">
        <v>25.39</v>
      </c>
      <c r="G3799" s="24">
        <v>0.0</v>
      </c>
      <c r="H3799" s="24" t="s">
        <v>6680</v>
      </c>
      <c r="I3799" s="24" t="s">
        <v>6650</v>
      </c>
      <c r="J3799" s="24">
        <v>0.0</v>
      </c>
    </row>
    <row r="3800">
      <c r="A3800" s="24">
        <v>153.0</v>
      </c>
      <c r="B3800" s="24">
        <v>2.0</v>
      </c>
      <c r="C3800" s="44">
        <v>5.06</v>
      </c>
      <c r="D3800" s="46">
        <v>45119.0</v>
      </c>
      <c r="E3800" s="24">
        <v>2.53</v>
      </c>
      <c r="F3800" s="24">
        <v>33.07</v>
      </c>
      <c r="G3800" s="24">
        <v>1.31</v>
      </c>
      <c r="H3800" s="24" t="s">
        <v>6692</v>
      </c>
      <c r="I3800" s="24" t="s">
        <v>6650</v>
      </c>
      <c r="J3800" s="24">
        <v>0.0</v>
      </c>
    </row>
    <row r="3801">
      <c r="A3801" s="24">
        <v>47.0</v>
      </c>
      <c r="B3801" s="24">
        <v>0.0</v>
      </c>
      <c r="C3801" s="44">
        <v>6.89</v>
      </c>
      <c r="D3801" s="46">
        <v>45119.0</v>
      </c>
      <c r="E3801" s="24" t="s">
        <v>6650</v>
      </c>
      <c r="F3801" s="24">
        <v>146.6</v>
      </c>
      <c r="G3801" s="24">
        <v>0.0</v>
      </c>
      <c r="H3801" s="24" t="s">
        <v>6701</v>
      </c>
      <c r="I3801" s="24" t="s">
        <v>6650</v>
      </c>
      <c r="J3801" s="24">
        <v>0.0</v>
      </c>
    </row>
    <row r="3802">
      <c r="A3802" s="24">
        <v>32.0</v>
      </c>
      <c r="B3802" s="24">
        <v>0.0</v>
      </c>
      <c r="C3802" s="44">
        <v>5.06</v>
      </c>
      <c r="D3802" s="46">
        <v>45119.0</v>
      </c>
      <c r="E3802" s="24" t="s">
        <v>6650</v>
      </c>
      <c r="F3802" s="24">
        <v>158.12</v>
      </c>
      <c r="G3802" s="24">
        <v>0.0</v>
      </c>
      <c r="H3802" s="24" t="s">
        <v>6697</v>
      </c>
      <c r="I3802" s="24" t="s">
        <v>6650</v>
      </c>
      <c r="J3802" s="24">
        <v>0.0</v>
      </c>
    </row>
    <row r="3803">
      <c r="A3803" s="24">
        <v>174.0</v>
      </c>
      <c r="B3803" s="24">
        <v>2.0</v>
      </c>
      <c r="C3803" s="44">
        <v>5.57</v>
      </c>
      <c r="D3803" s="46">
        <v>45119.0</v>
      </c>
      <c r="E3803" s="24">
        <v>2.78</v>
      </c>
      <c r="F3803" s="24">
        <v>32.01</v>
      </c>
      <c r="G3803" s="24">
        <v>1.15</v>
      </c>
      <c r="H3803" s="24" t="s">
        <v>6700</v>
      </c>
      <c r="I3803" s="24">
        <v>2.78</v>
      </c>
      <c r="J3803" s="24">
        <v>0.0</v>
      </c>
    </row>
    <row r="3804">
      <c r="A3804" s="24">
        <v>157.0</v>
      </c>
      <c r="B3804" s="24">
        <v>0.0</v>
      </c>
      <c r="C3804" s="44">
        <v>1.78</v>
      </c>
      <c r="D3804" s="46">
        <v>45119.0</v>
      </c>
      <c r="E3804" s="24" t="s">
        <v>6650</v>
      </c>
      <c r="F3804" s="24">
        <v>11.34</v>
      </c>
      <c r="G3804" s="24">
        <v>0.0</v>
      </c>
      <c r="H3804" s="24" t="s">
        <v>6699</v>
      </c>
      <c r="I3804" s="24">
        <v>0.59</v>
      </c>
      <c r="J3804" s="24">
        <v>0.0</v>
      </c>
    </row>
    <row r="3805">
      <c r="A3805" s="24">
        <v>2123.0</v>
      </c>
      <c r="B3805" s="24">
        <v>14.0</v>
      </c>
      <c r="C3805" s="44">
        <v>8.73</v>
      </c>
      <c r="D3805" s="46">
        <v>45119.0</v>
      </c>
      <c r="E3805" s="24">
        <v>0.62</v>
      </c>
      <c r="F3805" s="24">
        <v>4.11</v>
      </c>
      <c r="G3805" s="24">
        <v>0.66</v>
      </c>
      <c r="H3805" s="24" t="s">
        <v>6688</v>
      </c>
      <c r="I3805" s="24">
        <v>1.75</v>
      </c>
      <c r="J3805" s="24">
        <v>0.0</v>
      </c>
    </row>
    <row r="3806">
      <c r="A3806" s="24">
        <v>1189.0</v>
      </c>
      <c r="B3806" s="24">
        <v>8.0</v>
      </c>
      <c r="C3806" s="44">
        <v>11.26</v>
      </c>
      <c r="D3806" s="46">
        <v>45119.0</v>
      </c>
      <c r="E3806" s="24">
        <v>1.41</v>
      </c>
      <c r="F3806" s="24">
        <v>9.47</v>
      </c>
      <c r="G3806" s="24">
        <v>0.67</v>
      </c>
      <c r="H3806" s="24" t="s">
        <v>6689</v>
      </c>
      <c r="I3806" s="24" t="s">
        <v>6650</v>
      </c>
      <c r="J3806" s="24">
        <v>0.0</v>
      </c>
    </row>
    <row r="3807">
      <c r="A3807" s="24">
        <v>50.0</v>
      </c>
      <c r="B3807" s="24">
        <v>0.0</v>
      </c>
      <c r="C3807" s="44">
        <v>4.83</v>
      </c>
      <c r="D3807" s="46">
        <v>45119.0</v>
      </c>
      <c r="E3807" s="24" t="s">
        <v>6650</v>
      </c>
      <c r="F3807" s="24">
        <v>96.6</v>
      </c>
      <c r="G3807" s="24">
        <v>0.0</v>
      </c>
      <c r="H3807" s="24" t="s">
        <v>6696</v>
      </c>
      <c r="I3807" s="24" t="s">
        <v>6650</v>
      </c>
      <c r="J3807" s="24">
        <v>0.0</v>
      </c>
    </row>
    <row r="3808">
      <c r="A3808" s="24">
        <v>656.0</v>
      </c>
      <c r="B3808" s="24">
        <v>9.0</v>
      </c>
      <c r="C3808" s="44">
        <v>8.9</v>
      </c>
      <c r="D3808" s="46">
        <v>45119.0</v>
      </c>
      <c r="E3808" s="24">
        <v>0.99</v>
      </c>
      <c r="F3808" s="24">
        <v>13.57</v>
      </c>
      <c r="G3808" s="24">
        <v>1.37</v>
      </c>
      <c r="H3808" s="24" t="s">
        <v>6698</v>
      </c>
      <c r="I3808" s="24">
        <v>4.45</v>
      </c>
      <c r="J3808" s="24">
        <v>0.0</v>
      </c>
    </row>
    <row r="3809">
      <c r="A3809" s="24">
        <v>149.0</v>
      </c>
      <c r="B3809" s="24">
        <v>2.0</v>
      </c>
      <c r="C3809" s="44">
        <v>12.56</v>
      </c>
      <c r="D3809" s="46">
        <v>45120.0</v>
      </c>
      <c r="E3809" s="24">
        <v>6.28</v>
      </c>
      <c r="F3809" s="24">
        <v>84.3</v>
      </c>
      <c r="G3809" s="24">
        <v>1.34</v>
      </c>
      <c r="H3809" s="24" t="s">
        <v>6699</v>
      </c>
      <c r="I3809" s="24">
        <v>12.56</v>
      </c>
      <c r="J3809" s="24">
        <v>0.0</v>
      </c>
    </row>
    <row r="3810">
      <c r="A3810" s="24">
        <v>151.0</v>
      </c>
      <c r="B3810" s="24">
        <v>0.0</v>
      </c>
      <c r="C3810" s="44">
        <v>13.48</v>
      </c>
      <c r="D3810" s="46">
        <v>45120.0</v>
      </c>
      <c r="E3810" s="24" t="s">
        <v>6650</v>
      </c>
      <c r="F3810" s="24">
        <v>89.27</v>
      </c>
      <c r="G3810" s="24">
        <v>0.0</v>
      </c>
      <c r="H3810" s="24" t="s">
        <v>6680</v>
      </c>
      <c r="I3810" s="24" t="s">
        <v>6650</v>
      </c>
      <c r="J3810" s="24">
        <v>0.0</v>
      </c>
    </row>
    <row r="3811">
      <c r="A3811" s="24">
        <v>78.0</v>
      </c>
      <c r="B3811" s="24">
        <v>1.0</v>
      </c>
      <c r="C3811" s="44">
        <v>12.48</v>
      </c>
      <c r="D3811" s="46">
        <v>45120.0</v>
      </c>
      <c r="E3811" s="24">
        <v>12.48</v>
      </c>
      <c r="F3811" s="24">
        <v>160.0</v>
      </c>
      <c r="G3811" s="24">
        <v>1.28</v>
      </c>
      <c r="H3811" s="24" t="s">
        <v>6701</v>
      </c>
      <c r="I3811" s="24" t="s">
        <v>6650</v>
      </c>
      <c r="J3811" s="24">
        <v>0.0</v>
      </c>
    </row>
    <row r="3812">
      <c r="A3812" s="24">
        <v>9.0</v>
      </c>
      <c r="B3812" s="24">
        <v>3.0</v>
      </c>
      <c r="C3812" s="44">
        <v>6.75</v>
      </c>
      <c r="D3812" s="46">
        <v>45120.0</v>
      </c>
      <c r="E3812" s="24">
        <v>2.25</v>
      </c>
      <c r="F3812" s="24">
        <v>750.0</v>
      </c>
      <c r="G3812" s="24">
        <v>33.33</v>
      </c>
      <c r="H3812" s="24" t="s">
        <v>6702</v>
      </c>
      <c r="I3812" s="24" t="s">
        <v>6650</v>
      </c>
      <c r="J3812" s="24">
        <v>0.0</v>
      </c>
    </row>
    <row r="3813">
      <c r="A3813" s="24">
        <v>78.0</v>
      </c>
      <c r="B3813" s="24">
        <v>3.0</v>
      </c>
      <c r="C3813" s="44">
        <v>11.87</v>
      </c>
      <c r="D3813" s="46">
        <v>45120.0</v>
      </c>
      <c r="E3813" s="24">
        <v>3.96</v>
      </c>
      <c r="F3813" s="24">
        <v>152.18</v>
      </c>
      <c r="G3813" s="24">
        <v>3.85</v>
      </c>
      <c r="H3813" s="24" t="s">
        <v>6696</v>
      </c>
      <c r="I3813" s="24" t="s">
        <v>6650</v>
      </c>
      <c r="J3813" s="24">
        <v>0.0</v>
      </c>
    </row>
    <row r="3814">
      <c r="A3814" s="24">
        <v>120.0</v>
      </c>
      <c r="B3814" s="24">
        <v>0.0</v>
      </c>
      <c r="C3814" s="44">
        <v>12.6</v>
      </c>
      <c r="D3814" s="46">
        <v>45120.0</v>
      </c>
      <c r="E3814" s="24" t="s">
        <v>6650</v>
      </c>
      <c r="F3814" s="24">
        <v>105.0</v>
      </c>
      <c r="G3814" s="24">
        <v>0.0</v>
      </c>
      <c r="H3814" s="24" t="s">
        <v>6692</v>
      </c>
      <c r="I3814" s="24" t="s">
        <v>6650</v>
      </c>
      <c r="J3814" s="24">
        <v>0.0</v>
      </c>
    </row>
    <row r="3815">
      <c r="A3815" s="24">
        <v>665.0</v>
      </c>
      <c r="B3815" s="24">
        <v>14.0</v>
      </c>
      <c r="C3815" s="44">
        <v>13.47</v>
      </c>
      <c r="D3815" s="46">
        <v>45120.0</v>
      </c>
      <c r="E3815" s="24">
        <v>0.96</v>
      </c>
      <c r="F3815" s="24">
        <v>20.26</v>
      </c>
      <c r="G3815" s="24">
        <v>2.11</v>
      </c>
      <c r="H3815" s="24" t="s">
        <v>6698</v>
      </c>
      <c r="I3815" s="24">
        <v>4.49</v>
      </c>
      <c r="J3815" s="24">
        <v>0.0</v>
      </c>
    </row>
    <row r="3816">
      <c r="A3816" s="24">
        <v>61.0</v>
      </c>
      <c r="B3816" s="24">
        <v>0.0</v>
      </c>
      <c r="C3816" s="44">
        <v>12.01</v>
      </c>
      <c r="D3816" s="46">
        <v>45120.0</v>
      </c>
      <c r="E3816" s="24" t="s">
        <v>6650</v>
      </c>
      <c r="F3816" s="24">
        <v>196.89</v>
      </c>
      <c r="G3816" s="24">
        <v>0.0</v>
      </c>
      <c r="H3816" s="24" t="s">
        <v>6695</v>
      </c>
      <c r="I3816" s="24" t="s">
        <v>6650</v>
      </c>
      <c r="J3816" s="24">
        <v>0.0</v>
      </c>
    </row>
    <row r="3817">
      <c r="A3817" s="24">
        <v>1523.0</v>
      </c>
      <c r="B3817" s="24">
        <v>7.0</v>
      </c>
      <c r="C3817" s="44">
        <v>13.66</v>
      </c>
      <c r="D3817" s="46">
        <v>45120.0</v>
      </c>
      <c r="E3817" s="24">
        <v>1.95</v>
      </c>
      <c r="F3817" s="24">
        <v>8.97</v>
      </c>
      <c r="G3817" s="24">
        <v>0.46</v>
      </c>
      <c r="H3817" s="24" t="s">
        <v>6689</v>
      </c>
      <c r="I3817" s="24">
        <v>13.66</v>
      </c>
      <c r="J3817" s="24">
        <v>0.0</v>
      </c>
    </row>
    <row r="3818">
      <c r="A3818" s="24">
        <v>2296.0</v>
      </c>
      <c r="B3818" s="24">
        <v>8.0</v>
      </c>
      <c r="C3818" s="44">
        <v>12.05</v>
      </c>
      <c r="D3818" s="46">
        <v>45120.0</v>
      </c>
      <c r="E3818" s="24">
        <v>1.51</v>
      </c>
      <c r="F3818" s="24">
        <v>5.25</v>
      </c>
      <c r="G3818" s="24">
        <v>0.35</v>
      </c>
      <c r="H3818" s="24" t="s">
        <v>6688</v>
      </c>
      <c r="I3818" s="24">
        <v>6.02</v>
      </c>
      <c r="J3818" s="24">
        <v>0.0</v>
      </c>
    </row>
    <row r="3819">
      <c r="A3819" s="24">
        <v>293.0</v>
      </c>
      <c r="B3819" s="24">
        <v>1.0</v>
      </c>
      <c r="C3819" s="44">
        <v>14.54</v>
      </c>
      <c r="D3819" s="46">
        <v>45120.0</v>
      </c>
      <c r="E3819" s="24">
        <v>14.54</v>
      </c>
      <c r="F3819" s="24">
        <v>49.62</v>
      </c>
      <c r="G3819" s="24">
        <v>0.34</v>
      </c>
      <c r="H3819" s="24" t="s">
        <v>6700</v>
      </c>
      <c r="I3819" s="24">
        <v>7.27</v>
      </c>
      <c r="J3819" s="24">
        <v>0.0</v>
      </c>
    </row>
    <row r="3820">
      <c r="A3820" s="24">
        <v>48.0</v>
      </c>
      <c r="B3820" s="24">
        <v>1.0</v>
      </c>
      <c r="C3820" s="44">
        <v>13.83</v>
      </c>
      <c r="D3820" s="46">
        <v>45120.0</v>
      </c>
      <c r="E3820" s="24">
        <v>13.83</v>
      </c>
      <c r="F3820" s="24">
        <v>288.12</v>
      </c>
      <c r="G3820" s="24">
        <v>2.08</v>
      </c>
      <c r="H3820" s="24" t="s">
        <v>6697</v>
      </c>
      <c r="I3820" s="24" t="s">
        <v>6650</v>
      </c>
      <c r="J3820" s="24">
        <v>0.0</v>
      </c>
    </row>
    <row r="3821">
      <c r="A3821" s="24">
        <v>169.0</v>
      </c>
      <c r="B3821" s="24">
        <v>0.0</v>
      </c>
      <c r="C3821" s="44">
        <v>10.08</v>
      </c>
      <c r="D3821" s="46">
        <v>45121.0</v>
      </c>
      <c r="E3821" s="24" t="s">
        <v>6650</v>
      </c>
      <c r="F3821" s="24">
        <v>59.64</v>
      </c>
      <c r="G3821" s="24">
        <v>0.0</v>
      </c>
      <c r="H3821" s="24" t="s">
        <v>6700</v>
      </c>
      <c r="I3821" s="24">
        <v>10.08</v>
      </c>
      <c r="J3821" s="24">
        <v>0.0</v>
      </c>
    </row>
    <row r="3822">
      <c r="A3822" s="24">
        <v>8.0</v>
      </c>
      <c r="B3822" s="24">
        <v>3.0</v>
      </c>
      <c r="C3822" s="44">
        <v>6.0</v>
      </c>
      <c r="D3822" s="46">
        <v>45121.0</v>
      </c>
      <c r="E3822" s="24">
        <v>2.0</v>
      </c>
      <c r="F3822" s="24">
        <v>750.0</v>
      </c>
      <c r="G3822" s="24">
        <v>37.5</v>
      </c>
      <c r="H3822" s="24" t="s">
        <v>6702</v>
      </c>
      <c r="I3822" s="24" t="s">
        <v>6650</v>
      </c>
      <c r="J3822" s="24">
        <v>0.0</v>
      </c>
    </row>
    <row r="3823">
      <c r="A3823" s="24">
        <v>134.0</v>
      </c>
      <c r="B3823" s="24">
        <v>1.0</v>
      </c>
      <c r="C3823" s="44">
        <v>14.17</v>
      </c>
      <c r="D3823" s="46">
        <v>45121.0</v>
      </c>
      <c r="E3823" s="24">
        <v>14.17</v>
      </c>
      <c r="F3823" s="24">
        <v>105.75</v>
      </c>
      <c r="G3823" s="24">
        <v>0.75</v>
      </c>
      <c r="H3823" s="24" t="s">
        <v>6701</v>
      </c>
      <c r="I3823" s="24" t="s">
        <v>6650</v>
      </c>
      <c r="J3823" s="24">
        <v>0.0</v>
      </c>
    </row>
    <row r="3824">
      <c r="A3824" s="24">
        <v>64.0</v>
      </c>
      <c r="B3824" s="24">
        <v>0.0</v>
      </c>
      <c r="C3824" s="44">
        <v>15.0</v>
      </c>
      <c r="D3824" s="46">
        <v>45121.0</v>
      </c>
      <c r="E3824" s="24" t="s">
        <v>6650</v>
      </c>
      <c r="F3824" s="24">
        <v>234.38</v>
      </c>
      <c r="G3824" s="24">
        <v>0.0</v>
      </c>
      <c r="H3824" s="24" t="s">
        <v>6695</v>
      </c>
      <c r="I3824" s="24" t="s">
        <v>6650</v>
      </c>
      <c r="J3824" s="24">
        <v>0.0</v>
      </c>
    </row>
    <row r="3825">
      <c r="A3825" s="24">
        <v>1969.0</v>
      </c>
      <c r="B3825" s="24">
        <v>6.0</v>
      </c>
      <c r="C3825" s="44">
        <v>11.11</v>
      </c>
      <c r="D3825" s="46">
        <v>45121.0</v>
      </c>
      <c r="E3825" s="24">
        <v>1.85</v>
      </c>
      <c r="F3825" s="24">
        <v>5.64</v>
      </c>
      <c r="G3825" s="24">
        <v>0.3</v>
      </c>
      <c r="H3825" s="24" t="s">
        <v>6688</v>
      </c>
      <c r="I3825" s="24">
        <v>11.11</v>
      </c>
      <c r="J3825" s="24">
        <v>0.0</v>
      </c>
    </row>
    <row r="3826">
      <c r="A3826" s="24">
        <v>265.0</v>
      </c>
      <c r="B3826" s="24">
        <v>2.0</v>
      </c>
      <c r="C3826" s="44">
        <v>15.7</v>
      </c>
      <c r="D3826" s="46">
        <v>45121.0</v>
      </c>
      <c r="E3826" s="24">
        <v>7.85</v>
      </c>
      <c r="F3826" s="24">
        <v>59.25</v>
      </c>
      <c r="G3826" s="24">
        <v>0.75</v>
      </c>
      <c r="H3826" s="24" t="s">
        <v>6680</v>
      </c>
      <c r="I3826" s="24" t="s">
        <v>6650</v>
      </c>
      <c r="J3826" s="24">
        <v>0.0</v>
      </c>
    </row>
    <row r="3827">
      <c r="A3827" s="24">
        <v>1156.0</v>
      </c>
      <c r="B3827" s="24">
        <v>8.0</v>
      </c>
      <c r="C3827" s="44">
        <v>12.1</v>
      </c>
      <c r="D3827" s="46">
        <v>45121.0</v>
      </c>
      <c r="E3827" s="24">
        <v>1.51</v>
      </c>
      <c r="F3827" s="24">
        <v>10.47</v>
      </c>
      <c r="G3827" s="24">
        <v>0.69</v>
      </c>
      <c r="H3827" s="24" t="s">
        <v>6689</v>
      </c>
      <c r="I3827" s="24" t="s">
        <v>6650</v>
      </c>
      <c r="J3827" s="24">
        <v>0.0</v>
      </c>
    </row>
    <row r="3828">
      <c r="A3828" s="24">
        <v>173.0</v>
      </c>
      <c r="B3828" s="24">
        <v>0.0</v>
      </c>
      <c r="C3828" s="44">
        <v>11.14</v>
      </c>
      <c r="D3828" s="46">
        <v>45121.0</v>
      </c>
      <c r="E3828" s="24" t="s">
        <v>6650</v>
      </c>
      <c r="F3828" s="24">
        <v>64.39</v>
      </c>
      <c r="G3828" s="24">
        <v>0.0</v>
      </c>
      <c r="H3828" s="24" t="s">
        <v>6692</v>
      </c>
      <c r="I3828" s="24" t="s">
        <v>6650</v>
      </c>
      <c r="J3828" s="24">
        <v>0.0</v>
      </c>
    </row>
    <row r="3829">
      <c r="A3829" s="24">
        <v>107.0</v>
      </c>
      <c r="B3829" s="24">
        <v>0.0</v>
      </c>
      <c r="C3829" s="44">
        <v>13.6</v>
      </c>
      <c r="D3829" s="46">
        <v>45121.0</v>
      </c>
      <c r="E3829" s="24" t="s">
        <v>6650</v>
      </c>
      <c r="F3829" s="24">
        <v>127.1</v>
      </c>
      <c r="G3829" s="24">
        <v>0.0</v>
      </c>
      <c r="H3829" s="24" t="s">
        <v>6696</v>
      </c>
      <c r="I3829" s="24" t="s">
        <v>6650</v>
      </c>
      <c r="J3829" s="24">
        <v>0.0</v>
      </c>
    </row>
    <row r="3830">
      <c r="A3830" s="24">
        <v>48.0</v>
      </c>
      <c r="B3830" s="24">
        <v>0.0</v>
      </c>
      <c r="C3830" s="44">
        <v>10.32</v>
      </c>
      <c r="D3830" s="46">
        <v>45121.0</v>
      </c>
      <c r="E3830" s="24" t="s">
        <v>6650</v>
      </c>
      <c r="F3830" s="24">
        <v>215.0</v>
      </c>
      <c r="G3830" s="24">
        <v>0.0</v>
      </c>
      <c r="H3830" s="24" t="s">
        <v>6697</v>
      </c>
      <c r="I3830" s="24" t="s">
        <v>6650</v>
      </c>
      <c r="J3830" s="24">
        <v>0.0</v>
      </c>
    </row>
    <row r="3831">
      <c r="A3831" s="24">
        <v>571.0</v>
      </c>
      <c r="B3831" s="24">
        <v>11.0</v>
      </c>
      <c r="C3831" s="44">
        <v>11.81</v>
      </c>
      <c r="D3831" s="46">
        <v>45121.0</v>
      </c>
      <c r="E3831" s="24">
        <v>1.07</v>
      </c>
      <c r="F3831" s="24">
        <v>20.68</v>
      </c>
      <c r="G3831" s="24">
        <v>1.93</v>
      </c>
      <c r="H3831" s="24" t="s">
        <v>6698</v>
      </c>
      <c r="I3831" s="24">
        <v>11.81</v>
      </c>
      <c r="J3831" s="24">
        <v>0.0</v>
      </c>
    </row>
    <row r="3832">
      <c r="A3832" s="24">
        <v>135.0</v>
      </c>
      <c r="B3832" s="24">
        <v>0.0</v>
      </c>
      <c r="C3832" s="44">
        <v>13.66</v>
      </c>
      <c r="D3832" s="46">
        <v>45121.0</v>
      </c>
      <c r="E3832" s="24" t="s">
        <v>6650</v>
      </c>
      <c r="F3832" s="24">
        <v>101.19</v>
      </c>
      <c r="G3832" s="24">
        <v>0.0</v>
      </c>
      <c r="H3832" s="24" t="s">
        <v>6699</v>
      </c>
      <c r="I3832" s="24" t="s">
        <v>6650</v>
      </c>
      <c r="J3832" s="24">
        <v>0.0</v>
      </c>
    </row>
    <row r="3833">
      <c r="A3833" s="24">
        <v>816.0</v>
      </c>
      <c r="B3833" s="24">
        <v>3.0</v>
      </c>
      <c r="C3833" s="44">
        <v>7.78</v>
      </c>
      <c r="D3833" s="46">
        <v>45122.0</v>
      </c>
      <c r="E3833" s="24">
        <v>2.59</v>
      </c>
      <c r="F3833" s="24">
        <v>9.53</v>
      </c>
      <c r="G3833" s="24">
        <v>0.37</v>
      </c>
      <c r="H3833" s="24" t="s">
        <v>6689</v>
      </c>
      <c r="I3833" s="24" t="s">
        <v>6650</v>
      </c>
      <c r="J3833" s="24">
        <v>0.0</v>
      </c>
    </row>
    <row r="3834">
      <c r="A3834" s="24">
        <v>985.0</v>
      </c>
      <c r="B3834" s="24">
        <v>4.0</v>
      </c>
      <c r="C3834" s="44">
        <v>7.76</v>
      </c>
      <c r="D3834" s="46">
        <v>45122.0</v>
      </c>
      <c r="E3834" s="24">
        <v>1.94</v>
      </c>
      <c r="F3834" s="24">
        <v>7.88</v>
      </c>
      <c r="G3834" s="24">
        <v>0.41</v>
      </c>
      <c r="H3834" s="24" t="s">
        <v>6688</v>
      </c>
      <c r="I3834" s="24">
        <v>3.88</v>
      </c>
      <c r="J3834" s="24">
        <v>0.0</v>
      </c>
    </row>
    <row r="3835">
      <c r="A3835" s="24">
        <v>122.0</v>
      </c>
      <c r="B3835" s="24">
        <v>0.0</v>
      </c>
      <c r="C3835" s="44">
        <v>12.2</v>
      </c>
      <c r="D3835" s="46">
        <v>45122.0</v>
      </c>
      <c r="E3835" s="24" t="s">
        <v>6650</v>
      </c>
      <c r="F3835" s="24">
        <v>100.0</v>
      </c>
      <c r="G3835" s="24">
        <v>0.0</v>
      </c>
      <c r="H3835" s="24" t="s">
        <v>6692</v>
      </c>
      <c r="I3835" s="24">
        <v>12.2</v>
      </c>
      <c r="J3835" s="24">
        <v>0.0</v>
      </c>
    </row>
    <row r="3836">
      <c r="A3836" s="24">
        <v>56.0</v>
      </c>
      <c r="B3836" s="24">
        <v>0.0</v>
      </c>
      <c r="C3836" s="44">
        <v>9.72</v>
      </c>
      <c r="D3836" s="46">
        <v>45122.0</v>
      </c>
      <c r="E3836" s="24" t="s">
        <v>6650</v>
      </c>
      <c r="F3836" s="24">
        <v>173.57</v>
      </c>
      <c r="G3836" s="24">
        <v>0.0</v>
      </c>
      <c r="H3836" s="24" t="s">
        <v>6701</v>
      </c>
      <c r="I3836" s="24" t="s">
        <v>6650</v>
      </c>
      <c r="J3836" s="24">
        <v>0.0</v>
      </c>
    </row>
    <row r="3837">
      <c r="A3837" s="24">
        <v>2.0</v>
      </c>
      <c r="B3837" s="24">
        <v>0.0</v>
      </c>
      <c r="C3837" s="44">
        <v>1.5</v>
      </c>
      <c r="D3837" s="46">
        <v>45122.0</v>
      </c>
      <c r="E3837" s="24" t="s">
        <v>6650</v>
      </c>
      <c r="F3837" s="24">
        <v>750.0</v>
      </c>
      <c r="G3837" s="24">
        <v>0.0</v>
      </c>
      <c r="H3837" s="24" t="s">
        <v>6702</v>
      </c>
      <c r="I3837" s="24" t="s">
        <v>6650</v>
      </c>
      <c r="J3837" s="24">
        <v>0.0</v>
      </c>
    </row>
    <row r="3838">
      <c r="A3838" s="24">
        <v>331.0</v>
      </c>
      <c r="B3838" s="24">
        <v>7.0</v>
      </c>
      <c r="C3838" s="44">
        <v>5.6</v>
      </c>
      <c r="D3838" s="46">
        <v>45122.0</v>
      </c>
      <c r="E3838" s="24">
        <v>0.8</v>
      </c>
      <c r="F3838" s="24">
        <v>16.92</v>
      </c>
      <c r="G3838" s="24">
        <v>2.11</v>
      </c>
      <c r="H3838" s="24" t="s">
        <v>6698</v>
      </c>
      <c r="I3838" s="24">
        <v>2.8</v>
      </c>
      <c r="J3838" s="24">
        <v>0.0</v>
      </c>
    </row>
    <row r="3839">
      <c r="A3839" s="24">
        <v>241.0</v>
      </c>
      <c r="B3839" s="24">
        <v>2.0</v>
      </c>
      <c r="C3839" s="44">
        <v>9.52</v>
      </c>
      <c r="D3839" s="46">
        <v>45122.0</v>
      </c>
      <c r="E3839" s="24">
        <v>4.76</v>
      </c>
      <c r="F3839" s="24">
        <v>39.5</v>
      </c>
      <c r="G3839" s="24">
        <v>0.83</v>
      </c>
      <c r="H3839" s="24" t="s">
        <v>6700</v>
      </c>
      <c r="I3839" s="24">
        <v>4.76</v>
      </c>
      <c r="J3839" s="24">
        <v>0.0</v>
      </c>
    </row>
    <row r="3840">
      <c r="A3840" s="24">
        <v>24.0</v>
      </c>
      <c r="B3840" s="24">
        <v>0.0</v>
      </c>
      <c r="C3840" s="44">
        <v>11.4</v>
      </c>
      <c r="D3840" s="46">
        <v>45122.0</v>
      </c>
      <c r="E3840" s="24" t="s">
        <v>6650</v>
      </c>
      <c r="F3840" s="24">
        <v>475.0</v>
      </c>
      <c r="G3840" s="24">
        <v>0.0</v>
      </c>
      <c r="H3840" s="24" t="s">
        <v>6699</v>
      </c>
      <c r="I3840" s="24" t="s">
        <v>6650</v>
      </c>
      <c r="J3840" s="24">
        <v>0.0</v>
      </c>
    </row>
    <row r="3841">
      <c r="A3841" s="24">
        <v>60.0</v>
      </c>
      <c r="B3841" s="24">
        <v>0.0</v>
      </c>
      <c r="C3841" s="44">
        <v>6.95</v>
      </c>
      <c r="D3841" s="46">
        <v>45122.0</v>
      </c>
      <c r="E3841" s="24" t="s">
        <v>6650</v>
      </c>
      <c r="F3841" s="24">
        <v>115.83</v>
      </c>
      <c r="G3841" s="24">
        <v>0.0</v>
      </c>
      <c r="H3841" s="24" t="s">
        <v>6696</v>
      </c>
      <c r="I3841" s="24">
        <v>6.95</v>
      </c>
      <c r="J3841" s="24">
        <v>0.0</v>
      </c>
    </row>
    <row r="3842">
      <c r="A3842" s="24">
        <v>69.0</v>
      </c>
      <c r="B3842" s="24">
        <v>0.0</v>
      </c>
      <c r="C3842" s="44">
        <v>8.95</v>
      </c>
      <c r="D3842" s="46">
        <v>45122.0</v>
      </c>
      <c r="E3842" s="24" t="s">
        <v>6650</v>
      </c>
      <c r="F3842" s="24">
        <v>129.71</v>
      </c>
      <c r="G3842" s="24">
        <v>0.0</v>
      </c>
      <c r="H3842" s="24" t="s">
        <v>6680</v>
      </c>
      <c r="I3842" s="24" t="s">
        <v>6650</v>
      </c>
      <c r="J3842" s="24">
        <v>0.0</v>
      </c>
    </row>
    <row r="3843">
      <c r="A3843" s="24">
        <v>30.0</v>
      </c>
      <c r="B3843" s="24">
        <v>0.0</v>
      </c>
      <c r="C3843" s="44">
        <v>11.83</v>
      </c>
      <c r="D3843" s="46">
        <v>45122.0</v>
      </c>
      <c r="E3843" s="24" t="s">
        <v>6650</v>
      </c>
      <c r="F3843" s="24">
        <v>394.33</v>
      </c>
      <c r="G3843" s="24">
        <v>0.0</v>
      </c>
      <c r="H3843" s="24" t="s">
        <v>6697</v>
      </c>
      <c r="I3843" s="24" t="s">
        <v>6650</v>
      </c>
      <c r="J3843" s="24">
        <v>0.0</v>
      </c>
    </row>
    <row r="3844">
      <c r="A3844" s="24">
        <v>0.0</v>
      </c>
      <c r="B3844" s="24">
        <v>2.0</v>
      </c>
      <c r="C3844" s="44">
        <v>0.0</v>
      </c>
      <c r="D3844" s="46">
        <v>45123.0</v>
      </c>
      <c r="E3844" s="24">
        <v>0.0</v>
      </c>
      <c r="F3844" s="24" t="s">
        <v>6650</v>
      </c>
      <c r="G3844" s="24" t="s">
        <v>6650</v>
      </c>
      <c r="H3844" s="24" t="s">
        <v>6702</v>
      </c>
      <c r="I3844" s="24" t="s">
        <v>6650</v>
      </c>
      <c r="J3844" s="24">
        <v>0.0</v>
      </c>
    </row>
    <row r="3845">
      <c r="A3845" s="24">
        <v>0.0</v>
      </c>
      <c r="B3845" s="24">
        <v>0.0</v>
      </c>
      <c r="C3845" s="44"/>
      <c r="D3845" s="46">
        <v>45123.0</v>
      </c>
      <c r="E3845" s="24" t="s">
        <v>6650</v>
      </c>
      <c r="F3845" s="24" t="s">
        <v>6650</v>
      </c>
      <c r="G3845" s="24" t="s">
        <v>6650</v>
      </c>
      <c r="H3845" s="24" t="s">
        <v>6701</v>
      </c>
      <c r="I3845" s="24" t="s">
        <v>6650</v>
      </c>
      <c r="J3845" s="24"/>
    </row>
    <row r="3846">
      <c r="A3846" s="24">
        <v>743.0</v>
      </c>
      <c r="B3846" s="24">
        <v>2.0</v>
      </c>
      <c r="C3846" s="44">
        <v>4.02</v>
      </c>
      <c r="D3846" s="46">
        <v>45123.0</v>
      </c>
      <c r="E3846" s="24">
        <v>2.01</v>
      </c>
      <c r="F3846" s="24">
        <v>5.41</v>
      </c>
      <c r="G3846" s="24">
        <v>0.27</v>
      </c>
      <c r="H3846" s="24" t="s">
        <v>6688</v>
      </c>
      <c r="I3846" s="24">
        <v>2.01</v>
      </c>
      <c r="J3846" s="24">
        <v>0.0</v>
      </c>
    </row>
    <row r="3847">
      <c r="A3847" s="24">
        <v>0.0</v>
      </c>
      <c r="B3847" s="24">
        <v>0.0</v>
      </c>
      <c r="C3847" s="44"/>
      <c r="D3847" s="46">
        <v>45123.0</v>
      </c>
      <c r="E3847" s="24" t="s">
        <v>6650</v>
      </c>
      <c r="F3847" s="24" t="s">
        <v>6650</v>
      </c>
      <c r="G3847" s="24" t="s">
        <v>6650</v>
      </c>
      <c r="H3847" s="24" t="s">
        <v>6700</v>
      </c>
      <c r="I3847" s="24" t="s">
        <v>6650</v>
      </c>
      <c r="J3847" s="24"/>
    </row>
    <row r="3848">
      <c r="A3848" s="24">
        <v>566.0</v>
      </c>
      <c r="B3848" s="24">
        <v>6.0</v>
      </c>
      <c r="C3848" s="44">
        <v>5.0</v>
      </c>
      <c r="D3848" s="46">
        <v>45123.0</v>
      </c>
      <c r="E3848" s="24">
        <v>0.83</v>
      </c>
      <c r="F3848" s="24">
        <v>8.83</v>
      </c>
      <c r="G3848" s="24">
        <v>1.06</v>
      </c>
      <c r="H3848" s="24" t="s">
        <v>6689</v>
      </c>
      <c r="I3848" s="24">
        <v>5.0</v>
      </c>
      <c r="J3848" s="24">
        <v>0.0</v>
      </c>
    </row>
    <row r="3849">
      <c r="A3849" s="24">
        <v>313.0</v>
      </c>
      <c r="B3849" s="24">
        <v>2.0</v>
      </c>
      <c r="C3849" s="44">
        <v>4.95</v>
      </c>
      <c r="D3849" s="46">
        <v>45123.0</v>
      </c>
      <c r="E3849" s="24">
        <v>2.48</v>
      </c>
      <c r="F3849" s="24">
        <v>15.81</v>
      </c>
      <c r="G3849" s="24">
        <v>0.64</v>
      </c>
      <c r="H3849" s="24" t="s">
        <v>6698</v>
      </c>
      <c r="I3849" s="24">
        <v>4.95</v>
      </c>
      <c r="J3849" s="24">
        <v>0.0</v>
      </c>
    </row>
    <row r="3850">
      <c r="A3850" s="24">
        <v>62.0</v>
      </c>
      <c r="B3850" s="24">
        <v>0.0</v>
      </c>
      <c r="C3850" s="44">
        <v>7.16</v>
      </c>
      <c r="D3850" s="46">
        <v>45123.0</v>
      </c>
      <c r="E3850" s="24" t="s">
        <v>6650</v>
      </c>
      <c r="F3850" s="24">
        <v>115.48</v>
      </c>
      <c r="G3850" s="24">
        <v>0.0</v>
      </c>
      <c r="H3850" s="24" t="s">
        <v>6696</v>
      </c>
      <c r="I3850" s="24">
        <v>7.16</v>
      </c>
      <c r="J3850" s="24">
        <v>0.0</v>
      </c>
    </row>
    <row r="3851">
      <c r="A3851" s="24">
        <v>0.0</v>
      </c>
      <c r="B3851" s="24">
        <v>0.0</v>
      </c>
      <c r="C3851" s="44"/>
      <c r="D3851" s="46">
        <v>45123.0</v>
      </c>
      <c r="E3851" s="24" t="s">
        <v>6650</v>
      </c>
      <c r="F3851" s="24" t="s">
        <v>6650</v>
      </c>
      <c r="G3851" s="24" t="s">
        <v>6650</v>
      </c>
      <c r="H3851" s="24" t="s">
        <v>6680</v>
      </c>
      <c r="I3851" s="24" t="s">
        <v>6650</v>
      </c>
      <c r="J3851" s="24"/>
    </row>
    <row r="3852">
      <c r="A3852" s="24">
        <v>74.0</v>
      </c>
      <c r="B3852" s="24">
        <v>1.0</v>
      </c>
      <c r="C3852" s="44">
        <v>10.62</v>
      </c>
      <c r="D3852" s="46">
        <v>45124.0</v>
      </c>
      <c r="E3852" s="24">
        <v>10.62</v>
      </c>
      <c r="F3852" s="24">
        <v>143.51</v>
      </c>
      <c r="G3852" s="24">
        <v>1.35</v>
      </c>
      <c r="H3852" s="24" t="s">
        <v>6701</v>
      </c>
      <c r="I3852" s="24" t="s">
        <v>6650</v>
      </c>
      <c r="J3852" s="24">
        <v>0.0</v>
      </c>
    </row>
    <row r="3853">
      <c r="A3853" s="24">
        <v>43.0</v>
      </c>
      <c r="B3853" s="24">
        <v>2.0</v>
      </c>
      <c r="C3853" s="44">
        <v>11.24</v>
      </c>
      <c r="D3853" s="46">
        <v>45124.0</v>
      </c>
      <c r="E3853" s="24">
        <v>5.62</v>
      </c>
      <c r="F3853" s="24">
        <v>261.4</v>
      </c>
      <c r="G3853" s="24">
        <v>4.65</v>
      </c>
      <c r="H3853" s="24" t="s">
        <v>6699</v>
      </c>
      <c r="I3853" s="24">
        <v>11.24</v>
      </c>
      <c r="J3853" s="24">
        <v>0.0</v>
      </c>
    </row>
    <row r="3854">
      <c r="A3854" s="24">
        <v>87.0</v>
      </c>
      <c r="B3854" s="24">
        <v>1.0</v>
      </c>
      <c r="C3854" s="44">
        <v>11.09</v>
      </c>
      <c r="D3854" s="46">
        <v>45124.0</v>
      </c>
      <c r="E3854" s="24">
        <v>11.09</v>
      </c>
      <c r="F3854" s="24">
        <v>127.47</v>
      </c>
      <c r="G3854" s="24">
        <v>1.15</v>
      </c>
      <c r="H3854" s="24" t="s">
        <v>6695</v>
      </c>
      <c r="I3854" s="24" t="s">
        <v>6650</v>
      </c>
      <c r="J3854" s="24">
        <v>0.0</v>
      </c>
    </row>
    <row r="3855">
      <c r="A3855" s="24">
        <v>2513.0</v>
      </c>
      <c r="B3855" s="24">
        <v>14.0</v>
      </c>
      <c r="C3855" s="44">
        <v>11.38</v>
      </c>
      <c r="D3855" s="46">
        <v>45124.0</v>
      </c>
      <c r="E3855" s="24">
        <v>0.81</v>
      </c>
      <c r="F3855" s="24">
        <v>4.53</v>
      </c>
      <c r="G3855" s="24">
        <v>0.56</v>
      </c>
      <c r="H3855" s="24" t="s">
        <v>6688</v>
      </c>
      <c r="I3855" s="24">
        <v>1.63</v>
      </c>
      <c r="J3855" s="24">
        <v>0.0</v>
      </c>
    </row>
    <row r="3856">
      <c r="A3856" s="24">
        <v>779.0</v>
      </c>
      <c r="B3856" s="24">
        <v>9.0</v>
      </c>
      <c r="C3856" s="44">
        <v>12.01</v>
      </c>
      <c r="D3856" s="46">
        <v>45124.0</v>
      </c>
      <c r="E3856" s="24">
        <v>1.33</v>
      </c>
      <c r="F3856" s="24">
        <v>15.42</v>
      </c>
      <c r="G3856" s="24">
        <v>1.16</v>
      </c>
      <c r="H3856" s="24" t="s">
        <v>6698</v>
      </c>
      <c r="I3856" s="24">
        <v>12.01</v>
      </c>
      <c r="J3856" s="24">
        <v>0.0</v>
      </c>
    </row>
    <row r="3857">
      <c r="A3857" s="24">
        <v>1165.0</v>
      </c>
      <c r="B3857" s="24">
        <v>4.0</v>
      </c>
      <c r="C3857" s="44">
        <v>9.77</v>
      </c>
      <c r="D3857" s="46">
        <v>45124.0</v>
      </c>
      <c r="E3857" s="24">
        <v>2.44</v>
      </c>
      <c r="F3857" s="24">
        <v>8.39</v>
      </c>
      <c r="G3857" s="24">
        <v>0.34</v>
      </c>
      <c r="H3857" s="24" t="s">
        <v>6689</v>
      </c>
      <c r="I3857" s="24" t="s">
        <v>6650</v>
      </c>
      <c r="J3857" s="24">
        <v>0.0</v>
      </c>
    </row>
    <row r="3858">
      <c r="A3858" s="24">
        <v>136.0</v>
      </c>
      <c r="B3858" s="24">
        <v>2.0</v>
      </c>
      <c r="C3858" s="44">
        <v>12.07</v>
      </c>
      <c r="D3858" s="46">
        <v>45124.0</v>
      </c>
      <c r="E3858" s="24">
        <v>6.04</v>
      </c>
      <c r="F3858" s="24">
        <v>88.75</v>
      </c>
      <c r="G3858" s="24">
        <v>1.47</v>
      </c>
      <c r="H3858" s="24" t="s">
        <v>6696</v>
      </c>
      <c r="I3858" s="24" t="s">
        <v>6650</v>
      </c>
      <c r="J3858" s="24">
        <v>0.0</v>
      </c>
    </row>
    <row r="3859">
      <c r="A3859" s="24">
        <v>15.0</v>
      </c>
      <c r="B3859" s="24">
        <v>5.0</v>
      </c>
      <c r="C3859" s="44">
        <v>11.25</v>
      </c>
      <c r="D3859" s="46">
        <v>45124.0</v>
      </c>
      <c r="E3859" s="24">
        <v>2.25</v>
      </c>
      <c r="F3859" s="24">
        <v>750.0</v>
      </c>
      <c r="G3859" s="24">
        <v>33.33</v>
      </c>
      <c r="H3859" s="24" t="s">
        <v>6702</v>
      </c>
      <c r="I3859" s="24" t="s">
        <v>6650</v>
      </c>
      <c r="J3859" s="24">
        <v>0.0</v>
      </c>
    </row>
    <row r="3860">
      <c r="A3860" s="24">
        <v>376.0</v>
      </c>
      <c r="B3860" s="24">
        <v>5.0</v>
      </c>
      <c r="C3860" s="44">
        <v>12.2</v>
      </c>
      <c r="D3860" s="46">
        <v>45124.0</v>
      </c>
      <c r="E3860" s="24">
        <v>2.44</v>
      </c>
      <c r="F3860" s="24">
        <v>32.45</v>
      </c>
      <c r="G3860" s="24">
        <v>1.33</v>
      </c>
      <c r="H3860" s="24" t="s">
        <v>6700</v>
      </c>
      <c r="I3860" s="24">
        <v>12.2</v>
      </c>
      <c r="J3860" s="24">
        <v>0.0</v>
      </c>
    </row>
    <row r="3861">
      <c r="A3861" s="24">
        <v>179.0</v>
      </c>
      <c r="B3861" s="24">
        <v>3.0</v>
      </c>
      <c r="C3861" s="44">
        <v>11.77</v>
      </c>
      <c r="D3861" s="46">
        <v>45124.0</v>
      </c>
      <c r="E3861" s="24">
        <v>3.92</v>
      </c>
      <c r="F3861" s="24">
        <v>65.75</v>
      </c>
      <c r="G3861" s="24">
        <v>1.68</v>
      </c>
      <c r="H3861" s="24" t="s">
        <v>6692</v>
      </c>
      <c r="I3861" s="24" t="s">
        <v>6650</v>
      </c>
      <c r="J3861" s="24">
        <v>0.0</v>
      </c>
    </row>
    <row r="3862">
      <c r="A3862" s="24">
        <v>359.0</v>
      </c>
      <c r="B3862" s="24">
        <v>1.0</v>
      </c>
      <c r="C3862" s="44">
        <v>12.3</v>
      </c>
      <c r="D3862" s="46">
        <v>45124.0</v>
      </c>
      <c r="E3862" s="24">
        <v>12.3</v>
      </c>
      <c r="F3862" s="24">
        <v>34.26</v>
      </c>
      <c r="G3862" s="24">
        <v>0.28</v>
      </c>
      <c r="H3862" s="24" t="s">
        <v>6680</v>
      </c>
      <c r="I3862" s="24">
        <v>12.3</v>
      </c>
      <c r="J3862" s="24">
        <v>0.0</v>
      </c>
    </row>
    <row r="3863">
      <c r="A3863" s="24">
        <v>38.0</v>
      </c>
      <c r="B3863" s="24">
        <v>2.0</v>
      </c>
      <c r="C3863" s="44">
        <v>10.55</v>
      </c>
      <c r="D3863" s="46">
        <v>45124.0</v>
      </c>
      <c r="E3863" s="24">
        <v>5.28</v>
      </c>
      <c r="F3863" s="24">
        <v>277.63</v>
      </c>
      <c r="G3863" s="24">
        <v>5.26</v>
      </c>
      <c r="H3863" s="24" t="s">
        <v>6697</v>
      </c>
      <c r="I3863" s="24" t="s">
        <v>6650</v>
      </c>
      <c r="J3863" s="24">
        <v>0.0</v>
      </c>
    </row>
    <row r="3864">
      <c r="A3864" s="24">
        <v>106.0</v>
      </c>
      <c r="B3864" s="24">
        <v>0.0</v>
      </c>
      <c r="C3864" s="44">
        <v>12.8</v>
      </c>
      <c r="D3864" s="46">
        <v>45125.0</v>
      </c>
      <c r="E3864" s="24" t="s">
        <v>6650</v>
      </c>
      <c r="F3864" s="24">
        <v>120.75</v>
      </c>
      <c r="G3864" s="24">
        <v>0.0</v>
      </c>
      <c r="H3864" s="24" t="s">
        <v>6701</v>
      </c>
      <c r="I3864" s="24">
        <v>6.4</v>
      </c>
      <c r="J3864" s="24">
        <v>0.0</v>
      </c>
    </row>
    <row r="3865">
      <c r="A3865" s="24">
        <v>946.0</v>
      </c>
      <c r="B3865" s="24">
        <v>3.0</v>
      </c>
      <c r="C3865" s="44">
        <v>11.55</v>
      </c>
      <c r="D3865" s="46">
        <v>45125.0</v>
      </c>
      <c r="E3865" s="24">
        <v>3.85</v>
      </c>
      <c r="F3865" s="24">
        <v>12.21</v>
      </c>
      <c r="G3865" s="24">
        <v>0.32</v>
      </c>
      <c r="H3865" s="24" t="s">
        <v>6689</v>
      </c>
      <c r="I3865" s="24" t="s">
        <v>6650</v>
      </c>
      <c r="J3865" s="24">
        <v>0.0</v>
      </c>
    </row>
    <row r="3866">
      <c r="A3866" s="24">
        <v>533.0</v>
      </c>
      <c r="B3866" s="24">
        <v>3.0</v>
      </c>
      <c r="C3866" s="44">
        <v>11.78</v>
      </c>
      <c r="D3866" s="46">
        <v>45125.0</v>
      </c>
      <c r="E3866" s="24">
        <v>3.93</v>
      </c>
      <c r="F3866" s="24">
        <v>22.1</v>
      </c>
      <c r="G3866" s="24">
        <v>0.56</v>
      </c>
      <c r="H3866" s="24" t="s">
        <v>6698</v>
      </c>
      <c r="I3866" s="24">
        <v>11.78</v>
      </c>
      <c r="J3866" s="24">
        <v>0.0</v>
      </c>
    </row>
    <row r="3867">
      <c r="A3867" s="24">
        <v>154.0</v>
      </c>
      <c r="B3867" s="24">
        <v>2.0</v>
      </c>
      <c r="C3867" s="44">
        <v>11.67</v>
      </c>
      <c r="D3867" s="46">
        <v>45125.0</v>
      </c>
      <c r="E3867" s="24">
        <v>5.84</v>
      </c>
      <c r="F3867" s="24">
        <v>75.78</v>
      </c>
      <c r="G3867" s="24">
        <v>1.3</v>
      </c>
      <c r="H3867" s="24" t="s">
        <v>6692</v>
      </c>
      <c r="I3867" s="24" t="s">
        <v>6650</v>
      </c>
      <c r="J3867" s="24">
        <v>0.0</v>
      </c>
    </row>
    <row r="3868">
      <c r="A3868" s="24">
        <v>251.0</v>
      </c>
      <c r="B3868" s="24">
        <v>0.0</v>
      </c>
      <c r="C3868" s="44">
        <v>13.5</v>
      </c>
      <c r="D3868" s="46">
        <v>45125.0</v>
      </c>
      <c r="E3868" s="24" t="s">
        <v>6650</v>
      </c>
      <c r="F3868" s="24">
        <v>53.78</v>
      </c>
      <c r="G3868" s="24">
        <v>0.0</v>
      </c>
      <c r="H3868" s="24" t="s">
        <v>6680</v>
      </c>
      <c r="I3868" s="24">
        <v>13.5</v>
      </c>
      <c r="J3868" s="24">
        <v>0.0</v>
      </c>
    </row>
    <row r="3869">
      <c r="A3869" s="24">
        <v>15.0</v>
      </c>
      <c r="B3869" s="24">
        <v>4.0</v>
      </c>
      <c r="C3869" s="44">
        <v>11.25</v>
      </c>
      <c r="D3869" s="46">
        <v>45125.0</v>
      </c>
      <c r="E3869" s="24">
        <v>2.81</v>
      </c>
      <c r="F3869" s="24">
        <v>750.0</v>
      </c>
      <c r="G3869" s="24">
        <v>26.67</v>
      </c>
      <c r="H3869" s="24" t="s">
        <v>6702</v>
      </c>
      <c r="I3869" s="24" t="s">
        <v>6650</v>
      </c>
      <c r="J3869" s="24">
        <v>0.0</v>
      </c>
    </row>
    <row r="3870">
      <c r="A3870" s="24">
        <v>86.0</v>
      </c>
      <c r="B3870" s="24">
        <v>5.0</v>
      </c>
      <c r="C3870" s="44">
        <v>12.34</v>
      </c>
      <c r="D3870" s="46">
        <v>45125.0</v>
      </c>
      <c r="E3870" s="24">
        <v>2.47</v>
      </c>
      <c r="F3870" s="24">
        <v>143.49</v>
      </c>
      <c r="G3870" s="24">
        <v>5.81</v>
      </c>
      <c r="H3870" s="24" t="s">
        <v>6696</v>
      </c>
      <c r="I3870" s="24" t="s">
        <v>6650</v>
      </c>
      <c r="J3870" s="24">
        <v>0.0</v>
      </c>
    </row>
    <row r="3871">
      <c r="A3871" s="24">
        <v>2609.0</v>
      </c>
      <c r="B3871" s="24">
        <v>11.0</v>
      </c>
      <c r="C3871" s="44">
        <v>11.65</v>
      </c>
      <c r="D3871" s="46">
        <v>45125.0</v>
      </c>
      <c r="E3871" s="24">
        <v>1.06</v>
      </c>
      <c r="F3871" s="24">
        <v>4.47</v>
      </c>
      <c r="G3871" s="24">
        <v>0.42</v>
      </c>
      <c r="H3871" s="24" t="s">
        <v>6688</v>
      </c>
      <c r="I3871" s="24">
        <v>11.65</v>
      </c>
      <c r="J3871" s="24">
        <v>0.0</v>
      </c>
    </row>
    <row r="3872">
      <c r="A3872" s="24">
        <v>141.0</v>
      </c>
      <c r="B3872" s="24">
        <v>0.0</v>
      </c>
      <c r="C3872" s="44">
        <v>12.94</v>
      </c>
      <c r="D3872" s="46">
        <v>45125.0</v>
      </c>
      <c r="E3872" s="24" t="s">
        <v>6650</v>
      </c>
      <c r="F3872" s="24">
        <v>91.77</v>
      </c>
      <c r="G3872" s="24">
        <v>0.0</v>
      </c>
      <c r="H3872" s="24" t="s">
        <v>6700</v>
      </c>
      <c r="I3872" s="24">
        <v>12.94</v>
      </c>
      <c r="J3872" s="24">
        <v>0.0</v>
      </c>
    </row>
    <row r="3873">
      <c r="A3873" s="24">
        <v>43.0</v>
      </c>
      <c r="B3873" s="24">
        <v>0.0</v>
      </c>
      <c r="C3873" s="44">
        <v>12.87</v>
      </c>
      <c r="D3873" s="46">
        <v>45125.0</v>
      </c>
      <c r="E3873" s="24" t="s">
        <v>6650</v>
      </c>
      <c r="F3873" s="24">
        <v>299.3</v>
      </c>
      <c r="G3873" s="24">
        <v>0.0</v>
      </c>
      <c r="H3873" s="24" t="s">
        <v>6697</v>
      </c>
      <c r="I3873" s="24" t="s">
        <v>6650</v>
      </c>
      <c r="J3873" s="24">
        <v>0.0</v>
      </c>
    </row>
    <row r="3874">
      <c r="A3874" s="24">
        <v>33.0</v>
      </c>
      <c r="B3874" s="24">
        <v>2.0</v>
      </c>
      <c r="C3874" s="44">
        <v>15.0</v>
      </c>
      <c r="D3874" s="46">
        <v>45125.0</v>
      </c>
      <c r="E3874" s="24">
        <v>7.5</v>
      </c>
      <c r="F3874" s="24">
        <v>454.55</v>
      </c>
      <c r="G3874" s="24">
        <v>6.06</v>
      </c>
      <c r="H3874" s="24" t="s">
        <v>6699</v>
      </c>
      <c r="I3874" s="24">
        <v>15.0</v>
      </c>
      <c r="J3874" s="24">
        <v>0.0</v>
      </c>
    </row>
    <row r="3875">
      <c r="A3875" s="24">
        <v>31.0</v>
      </c>
      <c r="B3875" s="24">
        <v>0.0</v>
      </c>
      <c r="C3875" s="44">
        <v>11.89</v>
      </c>
      <c r="D3875" s="46">
        <v>45125.0</v>
      </c>
      <c r="E3875" s="24" t="s">
        <v>6650</v>
      </c>
      <c r="F3875" s="24">
        <v>383.55</v>
      </c>
      <c r="G3875" s="24">
        <v>0.0</v>
      </c>
      <c r="H3875" s="24" t="s">
        <v>6695</v>
      </c>
      <c r="I3875" s="24" t="s">
        <v>6650</v>
      </c>
      <c r="J3875" s="24">
        <v>0.0</v>
      </c>
    </row>
    <row r="3876">
      <c r="A3876" s="24">
        <v>42.0</v>
      </c>
      <c r="B3876" s="24">
        <v>2.0</v>
      </c>
      <c r="C3876" s="44">
        <v>10.26</v>
      </c>
      <c r="D3876" s="46">
        <v>45126.0</v>
      </c>
      <c r="E3876" s="24">
        <v>5.13</v>
      </c>
      <c r="F3876" s="24">
        <v>244.29</v>
      </c>
      <c r="G3876" s="24">
        <v>4.76</v>
      </c>
      <c r="H3876" s="24" t="s">
        <v>6695</v>
      </c>
      <c r="I3876" s="24" t="s">
        <v>6650</v>
      </c>
      <c r="J3876" s="24">
        <v>0.0</v>
      </c>
    </row>
    <row r="3877">
      <c r="A3877" s="24">
        <v>199.0</v>
      </c>
      <c r="B3877" s="24">
        <v>0.0</v>
      </c>
      <c r="C3877" s="44">
        <v>12.14</v>
      </c>
      <c r="D3877" s="46">
        <v>45126.0</v>
      </c>
      <c r="E3877" s="24" t="s">
        <v>6650</v>
      </c>
      <c r="F3877" s="24">
        <v>61.01</v>
      </c>
      <c r="G3877" s="24">
        <v>0.0</v>
      </c>
      <c r="H3877" s="24" t="s">
        <v>6700</v>
      </c>
      <c r="I3877" s="24">
        <v>4.05</v>
      </c>
      <c r="J3877" s="24">
        <v>0.0</v>
      </c>
    </row>
    <row r="3878">
      <c r="A3878" s="24">
        <v>27.0</v>
      </c>
      <c r="B3878" s="24">
        <v>0.0</v>
      </c>
      <c r="C3878" s="44">
        <v>12.13</v>
      </c>
      <c r="D3878" s="46">
        <v>45126.0</v>
      </c>
      <c r="E3878" s="24" t="s">
        <v>6650</v>
      </c>
      <c r="F3878" s="24">
        <v>449.26</v>
      </c>
      <c r="G3878" s="24">
        <v>0.0</v>
      </c>
      <c r="H3878" s="24" t="s">
        <v>6699</v>
      </c>
      <c r="I3878" s="24" t="s">
        <v>6650</v>
      </c>
      <c r="J3878" s="24">
        <v>0.0</v>
      </c>
    </row>
    <row r="3879">
      <c r="A3879" s="24">
        <v>641.0</v>
      </c>
      <c r="B3879" s="24">
        <v>3.0</v>
      </c>
      <c r="C3879" s="44">
        <v>12.42</v>
      </c>
      <c r="D3879" s="46">
        <v>45126.0</v>
      </c>
      <c r="E3879" s="24">
        <v>4.14</v>
      </c>
      <c r="F3879" s="24">
        <v>19.38</v>
      </c>
      <c r="G3879" s="24">
        <v>0.47</v>
      </c>
      <c r="H3879" s="24" t="s">
        <v>6698</v>
      </c>
      <c r="I3879" s="24">
        <v>2.48</v>
      </c>
      <c r="J3879" s="24">
        <v>0.0</v>
      </c>
    </row>
    <row r="3880">
      <c r="A3880" s="24">
        <v>15.0</v>
      </c>
      <c r="B3880" s="24">
        <v>4.0</v>
      </c>
      <c r="C3880" s="44">
        <v>11.25</v>
      </c>
      <c r="D3880" s="46">
        <v>45126.0</v>
      </c>
      <c r="E3880" s="24">
        <v>2.81</v>
      </c>
      <c r="F3880" s="24">
        <v>750.0</v>
      </c>
      <c r="G3880" s="24">
        <v>26.67</v>
      </c>
      <c r="H3880" s="24" t="s">
        <v>6702</v>
      </c>
      <c r="I3880" s="24" t="s">
        <v>6650</v>
      </c>
      <c r="J3880" s="24">
        <v>0.0</v>
      </c>
    </row>
    <row r="3881">
      <c r="A3881" s="24">
        <v>61.0</v>
      </c>
      <c r="B3881" s="24">
        <v>0.0</v>
      </c>
      <c r="C3881" s="44">
        <v>9.47</v>
      </c>
      <c r="D3881" s="46">
        <v>45126.0</v>
      </c>
      <c r="E3881" s="24" t="s">
        <v>6650</v>
      </c>
      <c r="F3881" s="24">
        <v>155.25</v>
      </c>
      <c r="G3881" s="24">
        <v>0.0</v>
      </c>
      <c r="H3881" s="24" t="s">
        <v>6696</v>
      </c>
      <c r="I3881" s="24" t="s">
        <v>6650</v>
      </c>
      <c r="J3881" s="24">
        <v>0.0</v>
      </c>
    </row>
    <row r="3882">
      <c r="A3882" s="24">
        <v>271.0</v>
      </c>
      <c r="B3882" s="24">
        <v>3.0</v>
      </c>
      <c r="C3882" s="44">
        <v>13.72</v>
      </c>
      <c r="D3882" s="46">
        <v>45126.0</v>
      </c>
      <c r="E3882" s="24">
        <v>4.57</v>
      </c>
      <c r="F3882" s="24">
        <v>50.63</v>
      </c>
      <c r="G3882" s="24">
        <v>1.11</v>
      </c>
      <c r="H3882" s="24" t="s">
        <v>6680</v>
      </c>
      <c r="I3882" s="24">
        <v>13.72</v>
      </c>
      <c r="J3882" s="24">
        <v>0.0</v>
      </c>
    </row>
    <row r="3883">
      <c r="A3883" s="24">
        <v>2314.0</v>
      </c>
      <c r="B3883" s="24">
        <v>12.0</v>
      </c>
      <c r="C3883" s="44">
        <v>11.42</v>
      </c>
      <c r="D3883" s="46">
        <v>45126.0</v>
      </c>
      <c r="E3883" s="24">
        <v>0.95</v>
      </c>
      <c r="F3883" s="24">
        <v>4.94</v>
      </c>
      <c r="G3883" s="24">
        <v>0.52</v>
      </c>
      <c r="H3883" s="24" t="s">
        <v>6688</v>
      </c>
      <c r="I3883" s="24">
        <v>1.9</v>
      </c>
      <c r="J3883" s="24">
        <v>0.0</v>
      </c>
    </row>
    <row r="3884">
      <c r="A3884" s="24">
        <v>130.0</v>
      </c>
      <c r="B3884" s="24">
        <v>0.0</v>
      </c>
      <c r="C3884" s="44">
        <v>11.35</v>
      </c>
      <c r="D3884" s="46">
        <v>45126.0</v>
      </c>
      <c r="E3884" s="24" t="s">
        <v>6650</v>
      </c>
      <c r="F3884" s="24">
        <v>87.31</v>
      </c>
      <c r="G3884" s="24">
        <v>0.0</v>
      </c>
      <c r="H3884" s="24" t="s">
        <v>6692</v>
      </c>
      <c r="I3884" s="24">
        <v>11.35</v>
      </c>
      <c r="J3884" s="24">
        <v>0.0</v>
      </c>
    </row>
    <row r="3885">
      <c r="A3885" s="24">
        <v>1065.0</v>
      </c>
      <c r="B3885" s="24">
        <v>8.0</v>
      </c>
      <c r="C3885" s="44">
        <v>12.35</v>
      </c>
      <c r="D3885" s="46">
        <v>45126.0</v>
      </c>
      <c r="E3885" s="24">
        <v>1.54</v>
      </c>
      <c r="F3885" s="24">
        <v>11.6</v>
      </c>
      <c r="G3885" s="24">
        <v>0.75</v>
      </c>
      <c r="H3885" s="24" t="s">
        <v>6689</v>
      </c>
      <c r="I3885" s="24" t="s">
        <v>6650</v>
      </c>
      <c r="J3885" s="24">
        <v>0.0</v>
      </c>
    </row>
    <row r="3886">
      <c r="A3886" s="24">
        <v>33.0</v>
      </c>
      <c r="B3886" s="24">
        <v>1.0</v>
      </c>
      <c r="C3886" s="44">
        <v>11.12</v>
      </c>
      <c r="D3886" s="46">
        <v>45126.0</v>
      </c>
      <c r="E3886" s="24">
        <v>11.12</v>
      </c>
      <c r="F3886" s="24">
        <v>336.97</v>
      </c>
      <c r="G3886" s="24">
        <v>3.03</v>
      </c>
      <c r="H3886" s="24" t="s">
        <v>6697</v>
      </c>
      <c r="I3886" s="24" t="s">
        <v>6650</v>
      </c>
      <c r="J3886" s="24">
        <v>0.0</v>
      </c>
    </row>
    <row r="3887">
      <c r="A3887" s="24">
        <v>93.0</v>
      </c>
      <c r="B3887" s="24">
        <v>0.0</v>
      </c>
      <c r="C3887" s="44">
        <v>12.89</v>
      </c>
      <c r="D3887" s="46">
        <v>45126.0</v>
      </c>
      <c r="E3887" s="24" t="s">
        <v>6650</v>
      </c>
      <c r="F3887" s="24">
        <v>138.6</v>
      </c>
      <c r="G3887" s="24">
        <v>0.0</v>
      </c>
      <c r="H3887" s="24" t="s">
        <v>6701</v>
      </c>
      <c r="I3887" s="24" t="s">
        <v>6650</v>
      </c>
      <c r="J3887" s="24">
        <v>0.0</v>
      </c>
    </row>
    <row r="3888">
      <c r="A3888" s="24">
        <v>41.0</v>
      </c>
      <c r="B3888" s="24">
        <v>2.0</v>
      </c>
      <c r="C3888" s="44">
        <v>11.59</v>
      </c>
      <c r="D3888" s="46">
        <v>45127.0</v>
      </c>
      <c r="E3888" s="24">
        <v>5.8</v>
      </c>
      <c r="F3888" s="24">
        <v>282.68</v>
      </c>
      <c r="G3888" s="24">
        <v>4.88</v>
      </c>
      <c r="H3888" s="24" t="s">
        <v>6699</v>
      </c>
      <c r="I3888" s="24" t="s">
        <v>6650</v>
      </c>
      <c r="J3888" s="24">
        <v>0.0</v>
      </c>
    </row>
    <row r="3889">
      <c r="A3889" s="24">
        <v>60.0</v>
      </c>
      <c r="B3889" s="24">
        <v>0.0</v>
      </c>
      <c r="C3889" s="44">
        <v>13.43</v>
      </c>
      <c r="D3889" s="46">
        <v>45127.0</v>
      </c>
      <c r="E3889" s="24" t="s">
        <v>6650</v>
      </c>
      <c r="F3889" s="24">
        <v>223.83</v>
      </c>
      <c r="G3889" s="24">
        <v>0.0</v>
      </c>
      <c r="H3889" s="24" t="s">
        <v>6692</v>
      </c>
      <c r="I3889" s="24" t="s">
        <v>6650</v>
      </c>
      <c r="J3889" s="24">
        <v>0.0</v>
      </c>
    </row>
    <row r="3890">
      <c r="A3890" s="24">
        <v>53.0</v>
      </c>
      <c r="B3890" s="24">
        <v>0.0</v>
      </c>
      <c r="C3890" s="44">
        <v>11.72</v>
      </c>
      <c r="D3890" s="46">
        <v>45127.0</v>
      </c>
      <c r="E3890" s="24" t="s">
        <v>6650</v>
      </c>
      <c r="F3890" s="24">
        <v>221.13</v>
      </c>
      <c r="G3890" s="24">
        <v>0.0</v>
      </c>
      <c r="H3890" s="24" t="s">
        <v>6696</v>
      </c>
      <c r="I3890" s="24">
        <v>5.86</v>
      </c>
      <c r="J3890" s="24">
        <v>0.0</v>
      </c>
    </row>
    <row r="3891">
      <c r="A3891" s="24">
        <v>1034.0</v>
      </c>
      <c r="B3891" s="24">
        <v>10.0</v>
      </c>
      <c r="C3891" s="44">
        <v>12.71</v>
      </c>
      <c r="D3891" s="46">
        <v>45127.0</v>
      </c>
      <c r="E3891" s="24">
        <v>1.27</v>
      </c>
      <c r="F3891" s="24">
        <v>12.29</v>
      </c>
      <c r="G3891" s="24">
        <v>0.97</v>
      </c>
      <c r="H3891" s="24" t="s">
        <v>6689</v>
      </c>
      <c r="I3891" s="24" t="s">
        <v>6650</v>
      </c>
      <c r="J3891" s="24">
        <v>0.0</v>
      </c>
    </row>
    <row r="3892">
      <c r="A3892" s="24">
        <v>58.0</v>
      </c>
      <c r="B3892" s="24">
        <v>0.0</v>
      </c>
      <c r="C3892" s="44">
        <v>13.84</v>
      </c>
      <c r="D3892" s="46">
        <v>45127.0</v>
      </c>
      <c r="E3892" s="24" t="s">
        <v>6650</v>
      </c>
      <c r="F3892" s="24">
        <v>238.62</v>
      </c>
      <c r="G3892" s="24">
        <v>0.0</v>
      </c>
      <c r="H3892" s="24" t="s">
        <v>6701</v>
      </c>
      <c r="I3892" s="24" t="s">
        <v>6650</v>
      </c>
      <c r="J3892" s="24">
        <v>0.0</v>
      </c>
    </row>
    <row r="3893">
      <c r="A3893" s="24">
        <v>207.0</v>
      </c>
      <c r="B3893" s="24">
        <v>1.0</v>
      </c>
      <c r="C3893" s="44">
        <v>12.91</v>
      </c>
      <c r="D3893" s="46">
        <v>45127.0</v>
      </c>
      <c r="E3893" s="24">
        <v>12.91</v>
      </c>
      <c r="F3893" s="24">
        <v>62.37</v>
      </c>
      <c r="G3893" s="24">
        <v>0.48</v>
      </c>
      <c r="H3893" s="24" t="s">
        <v>6680</v>
      </c>
      <c r="I3893" s="24" t="s">
        <v>6650</v>
      </c>
      <c r="J3893" s="24">
        <v>0.0</v>
      </c>
    </row>
    <row r="3894">
      <c r="A3894" s="24">
        <v>26.0</v>
      </c>
      <c r="B3894" s="24">
        <v>0.0</v>
      </c>
      <c r="C3894" s="44">
        <v>14.21</v>
      </c>
      <c r="D3894" s="46">
        <v>45127.0</v>
      </c>
      <c r="E3894" s="24" t="s">
        <v>6650</v>
      </c>
      <c r="F3894" s="24">
        <v>546.54</v>
      </c>
      <c r="G3894" s="24">
        <v>0.0</v>
      </c>
      <c r="H3894" s="24" t="s">
        <v>6695</v>
      </c>
      <c r="I3894" s="24" t="s">
        <v>6650</v>
      </c>
      <c r="J3894" s="24">
        <v>0.0</v>
      </c>
    </row>
    <row r="3895">
      <c r="A3895" s="24">
        <v>433.0</v>
      </c>
      <c r="B3895" s="24">
        <v>5.0</v>
      </c>
      <c r="C3895" s="44">
        <v>10.89</v>
      </c>
      <c r="D3895" s="46">
        <v>45127.0</v>
      </c>
      <c r="E3895" s="24">
        <v>2.18</v>
      </c>
      <c r="F3895" s="24">
        <v>25.15</v>
      </c>
      <c r="G3895" s="24">
        <v>1.15</v>
      </c>
      <c r="H3895" s="24" t="s">
        <v>6698</v>
      </c>
      <c r="I3895" s="24">
        <v>2.72</v>
      </c>
      <c r="J3895" s="24">
        <v>0.0</v>
      </c>
    </row>
    <row r="3896">
      <c r="A3896" s="24">
        <v>212.0</v>
      </c>
      <c r="B3896" s="24">
        <v>1.0</v>
      </c>
      <c r="C3896" s="44">
        <v>10.85</v>
      </c>
      <c r="D3896" s="46">
        <v>45127.0</v>
      </c>
      <c r="E3896" s="24">
        <v>10.85</v>
      </c>
      <c r="F3896" s="24">
        <v>51.18</v>
      </c>
      <c r="G3896" s="24">
        <v>0.47</v>
      </c>
      <c r="H3896" s="24" t="s">
        <v>6700</v>
      </c>
      <c r="I3896" s="24">
        <v>3.62</v>
      </c>
      <c r="J3896" s="24">
        <v>0.0</v>
      </c>
    </row>
    <row r="3897">
      <c r="A3897" s="24">
        <v>2064.0</v>
      </c>
      <c r="B3897" s="24">
        <v>8.0</v>
      </c>
      <c r="C3897" s="44">
        <v>11.19</v>
      </c>
      <c r="D3897" s="46">
        <v>45127.0</v>
      </c>
      <c r="E3897" s="24">
        <v>1.4</v>
      </c>
      <c r="F3897" s="24">
        <v>5.42</v>
      </c>
      <c r="G3897" s="24">
        <v>0.39</v>
      </c>
      <c r="H3897" s="24" t="s">
        <v>6688</v>
      </c>
      <c r="I3897" s="24">
        <v>2.8</v>
      </c>
      <c r="J3897" s="24">
        <v>0.0</v>
      </c>
    </row>
    <row r="3898">
      <c r="A3898" s="24">
        <v>30.0</v>
      </c>
      <c r="B3898" s="24">
        <v>0.0</v>
      </c>
      <c r="C3898" s="44">
        <v>15.0</v>
      </c>
      <c r="D3898" s="46">
        <v>45127.0</v>
      </c>
      <c r="E3898" s="24" t="s">
        <v>6650</v>
      </c>
      <c r="F3898" s="24">
        <v>500.0</v>
      </c>
      <c r="G3898" s="24">
        <v>0.0</v>
      </c>
      <c r="H3898" s="24" t="s">
        <v>6697</v>
      </c>
      <c r="I3898" s="24" t="s">
        <v>6650</v>
      </c>
      <c r="J3898" s="24">
        <v>0.0</v>
      </c>
    </row>
    <row r="3899">
      <c r="A3899" s="24">
        <v>7.0</v>
      </c>
      <c r="B3899" s="24">
        <v>3.0</v>
      </c>
      <c r="C3899" s="44">
        <v>5.25</v>
      </c>
      <c r="D3899" s="46">
        <v>45127.0</v>
      </c>
      <c r="E3899" s="24">
        <v>1.75</v>
      </c>
      <c r="F3899" s="24">
        <v>750.0</v>
      </c>
      <c r="G3899" s="24">
        <v>42.86</v>
      </c>
      <c r="H3899" s="24" t="s">
        <v>6702</v>
      </c>
      <c r="I3899" s="24" t="s">
        <v>6650</v>
      </c>
      <c r="J3899" s="24">
        <v>0.0</v>
      </c>
    </row>
    <row r="3900">
      <c r="A3900" s="24">
        <v>524.0</v>
      </c>
      <c r="B3900" s="24">
        <v>4.0</v>
      </c>
      <c r="C3900" s="44">
        <v>10.5</v>
      </c>
      <c r="D3900" s="46">
        <v>45128.0</v>
      </c>
      <c r="E3900" s="24">
        <v>2.62</v>
      </c>
      <c r="F3900" s="24">
        <v>20.04</v>
      </c>
      <c r="G3900" s="24">
        <v>0.76</v>
      </c>
      <c r="H3900" s="24" t="s">
        <v>6698</v>
      </c>
      <c r="I3900" s="24">
        <v>3.5</v>
      </c>
      <c r="J3900" s="24">
        <v>0.0</v>
      </c>
    </row>
    <row r="3901">
      <c r="A3901" s="24">
        <v>48.0</v>
      </c>
      <c r="B3901" s="24">
        <v>0.0</v>
      </c>
      <c r="C3901" s="44">
        <v>11.75</v>
      </c>
      <c r="D3901" s="46">
        <v>45128.0</v>
      </c>
      <c r="E3901" s="24" t="s">
        <v>6650</v>
      </c>
      <c r="F3901" s="24">
        <v>244.79</v>
      </c>
      <c r="G3901" s="24">
        <v>0.0</v>
      </c>
      <c r="H3901" s="24" t="s">
        <v>6695</v>
      </c>
      <c r="I3901" s="24" t="s">
        <v>6650</v>
      </c>
      <c r="J3901" s="24">
        <v>0.0</v>
      </c>
    </row>
    <row r="3902">
      <c r="A3902" s="24">
        <v>34.0</v>
      </c>
      <c r="B3902" s="24">
        <v>1.0</v>
      </c>
      <c r="C3902" s="44">
        <v>12.4</v>
      </c>
      <c r="D3902" s="46">
        <v>45128.0</v>
      </c>
      <c r="E3902" s="24">
        <v>12.4</v>
      </c>
      <c r="F3902" s="24">
        <v>364.71</v>
      </c>
      <c r="G3902" s="24">
        <v>2.94</v>
      </c>
      <c r="H3902" s="24" t="s">
        <v>6701</v>
      </c>
      <c r="I3902" s="24" t="s">
        <v>6650</v>
      </c>
      <c r="J3902" s="24">
        <v>0.0</v>
      </c>
    </row>
    <row r="3903">
      <c r="A3903" s="24">
        <v>148.0</v>
      </c>
      <c r="B3903" s="24">
        <v>1.0</v>
      </c>
      <c r="C3903" s="44">
        <v>10.88</v>
      </c>
      <c r="D3903" s="46">
        <v>45128.0</v>
      </c>
      <c r="E3903" s="24">
        <v>10.88</v>
      </c>
      <c r="F3903" s="24">
        <v>73.51</v>
      </c>
      <c r="G3903" s="24">
        <v>0.68</v>
      </c>
      <c r="H3903" s="24" t="s">
        <v>6700</v>
      </c>
      <c r="I3903" s="24" t="s">
        <v>6650</v>
      </c>
      <c r="J3903" s="24">
        <v>0.0</v>
      </c>
    </row>
    <row r="3904">
      <c r="A3904" s="24">
        <v>35.0</v>
      </c>
      <c r="B3904" s="24">
        <v>0.0</v>
      </c>
      <c r="C3904" s="44">
        <v>11.97</v>
      </c>
      <c r="D3904" s="46">
        <v>45128.0</v>
      </c>
      <c r="E3904" s="24" t="s">
        <v>6650</v>
      </c>
      <c r="F3904" s="24">
        <v>342.0</v>
      </c>
      <c r="G3904" s="24">
        <v>0.0</v>
      </c>
      <c r="H3904" s="24" t="s">
        <v>6697</v>
      </c>
      <c r="I3904" s="24" t="s">
        <v>6650</v>
      </c>
      <c r="J3904" s="24">
        <v>0.0</v>
      </c>
    </row>
    <row r="3905">
      <c r="A3905" s="24">
        <v>224.0</v>
      </c>
      <c r="B3905" s="24">
        <v>1.0</v>
      </c>
      <c r="C3905" s="44">
        <v>11.66</v>
      </c>
      <c r="D3905" s="46">
        <v>45128.0</v>
      </c>
      <c r="E3905" s="24">
        <v>11.66</v>
      </c>
      <c r="F3905" s="24">
        <v>52.05</v>
      </c>
      <c r="G3905" s="24">
        <v>0.45</v>
      </c>
      <c r="H3905" s="24" t="s">
        <v>6680</v>
      </c>
      <c r="I3905" s="24">
        <v>11.66</v>
      </c>
      <c r="J3905" s="24">
        <v>0.0</v>
      </c>
    </row>
    <row r="3906">
      <c r="A3906" s="24">
        <v>14.0</v>
      </c>
      <c r="B3906" s="24">
        <v>4.0</v>
      </c>
      <c r="C3906" s="44">
        <v>10.5</v>
      </c>
      <c r="D3906" s="46">
        <v>45128.0</v>
      </c>
      <c r="E3906" s="24">
        <v>2.62</v>
      </c>
      <c r="F3906" s="24">
        <v>750.0</v>
      </c>
      <c r="G3906" s="24">
        <v>28.57</v>
      </c>
      <c r="H3906" s="24" t="s">
        <v>6702</v>
      </c>
      <c r="I3906" s="24" t="s">
        <v>6650</v>
      </c>
      <c r="J3906" s="24">
        <v>0.0</v>
      </c>
    </row>
    <row r="3907">
      <c r="A3907" s="24">
        <v>806.0</v>
      </c>
      <c r="B3907" s="24">
        <v>5.0</v>
      </c>
      <c r="C3907" s="44">
        <v>11.57</v>
      </c>
      <c r="D3907" s="46">
        <v>45128.0</v>
      </c>
      <c r="E3907" s="24">
        <v>2.31</v>
      </c>
      <c r="F3907" s="24">
        <v>14.35</v>
      </c>
      <c r="G3907" s="24">
        <v>0.62</v>
      </c>
      <c r="H3907" s="24" t="s">
        <v>6689</v>
      </c>
      <c r="I3907" s="24" t="s">
        <v>6650</v>
      </c>
      <c r="J3907" s="24">
        <v>0.0</v>
      </c>
    </row>
    <row r="3908">
      <c r="A3908" s="24">
        <v>52.0</v>
      </c>
      <c r="B3908" s="24">
        <v>1.0</v>
      </c>
      <c r="C3908" s="44">
        <v>12.06</v>
      </c>
      <c r="D3908" s="46">
        <v>45128.0</v>
      </c>
      <c r="E3908" s="24">
        <v>12.06</v>
      </c>
      <c r="F3908" s="24">
        <v>231.92</v>
      </c>
      <c r="G3908" s="24">
        <v>1.92</v>
      </c>
      <c r="H3908" s="24" t="s">
        <v>6699</v>
      </c>
      <c r="I3908" s="24" t="s">
        <v>6650</v>
      </c>
      <c r="J3908" s="24">
        <v>0.0</v>
      </c>
    </row>
    <row r="3909">
      <c r="A3909" s="24">
        <v>88.0</v>
      </c>
      <c r="B3909" s="24">
        <v>0.0</v>
      </c>
      <c r="C3909" s="44">
        <v>10.37</v>
      </c>
      <c r="D3909" s="46">
        <v>45128.0</v>
      </c>
      <c r="E3909" s="24" t="s">
        <v>6650</v>
      </c>
      <c r="F3909" s="24">
        <v>117.84</v>
      </c>
      <c r="G3909" s="24">
        <v>0.0</v>
      </c>
      <c r="H3909" s="24" t="s">
        <v>6692</v>
      </c>
      <c r="I3909" s="24" t="s">
        <v>6650</v>
      </c>
      <c r="J3909" s="24">
        <v>0.0</v>
      </c>
    </row>
    <row r="3910">
      <c r="A3910" s="24">
        <v>90.0</v>
      </c>
      <c r="B3910" s="24">
        <v>1.0</v>
      </c>
      <c r="C3910" s="44">
        <v>11.07</v>
      </c>
      <c r="D3910" s="46">
        <v>45128.0</v>
      </c>
      <c r="E3910" s="24">
        <v>11.07</v>
      </c>
      <c r="F3910" s="24">
        <v>123.0</v>
      </c>
      <c r="G3910" s="24">
        <v>1.11</v>
      </c>
      <c r="H3910" s="24" t="s">
        <v>6696</v>
      </c>
      <c r="I3910" s="24" t="s">
        <v>6650</v>
      </c>
      <c r="J3910" s="24">
        <v>1.0</v>
      </c>
    </row>
    <row r="3911">
      <c r="A3911" s="24">
        <v>1979.0</v>
      </c>
      <c r="B3911" s="24">
        <v>15.0</v>
      </c>
      <c r="C3911" s="44">
        <v>9.67</v>
      </c>
      <c r="D3911" s="46">
        <v>45128.0</v>
      </c>
      <c r="E3911" s="24">
        <v>0.64</v>
      </c>
      <c r="F3911" s="24">
        <v>4.89</v>
      </c>
      <c r="G3911" s="24">
        <v>0.76</v>
      </c>
      <c r="H3911" s="24" t="s">
        <v>6688</v>
      </c>
      <c r="I3911" s="24">
        <v>1.38</v>
      </c>
      <c r="J3911" s="24">
        <v>0.0</v>
      </c>
    </row>
    <row r="3912">
      <c r="A3912" s="24">
        <v>38.0</v>
      </c>
      <c r="B3912" s="24">
        <v>0.0</v>
      </c>
      <c r="C3912" s="44">
        <v>6.36</v>
      </c>
      <c r="D3912" s="46">
        <v>45129.0</v>
      </c>
      <c r="E3912" s="24" t="s">
        <v>6650</v>
      </c>
      <c r="F3912" s="24">
        <v>167.37</v>
      </c>
      <c r="G3912" s="24">
        <v>0.0</v>
      </c>
      <c r="H3912" s="24" t="s">
        <v>6692</v>
      </c>
      <c r="I3912" s="24" t="s">
        <v>6650</v>
      </c>
      <c r="J3912" s="24">
        <v>0.0</v>
      </c>
    </row>
    <row r="3913">
      <c r="A3913" s="24">
        <v>265.0</v>
      </c>
      <c r="B3913" s="24">
        <v>3.0</v>
      </c>
      <c r="C3913" s="44">
        <v>6.28</v>
      </c>
      <c r="D3913" s="46">
        <v>45129.0</v>
      </c>
      <c r="E3913" s="24">
        <v>2.09</v>
      </c>
      <c r="F3913" s="24">
        <v>23.7</v>
      </c>
      <c r="G3913" s="24">
        <v>1.13</v>
      </c>
      <c r="H3913" s="24" t="s">
        <v>6698</v>
      </c>
      <c r="I3913" s="24" t="s">
        <v>6650</v>
      </c>
      <c r="J3913" s="24">
        <v>0.0</v>
      </c>
    </row>
    <row r="3914">
      <c r="A3914" s="24">
        <v>2.0</v>
      </c>
      <c r="B3914" s="24">
        <v>0.0</v>
      </c>
      <c r="C3914" s="44">
        <v>1.5</v>
      </c>
      <c r="D3914" s="46">
        <v>45129.0</v>
      </c>
      <c r="E3914" s="24" t="s">
        <v>6650</v>
      </c>
      <c r="F3914" s="24">
        <v>750.0</v>
      </c>
      <c r="G3914" s="24">
        <v>0.0</v>
      </c>
      <c r="H3914" s="24" t="s">
        <v>6702</v>
      </c>
      <c r="I3914" s="24" t="s">
        <v>6650</v>
      </c>
      <c r="J3914" s="24">
        <v>0.0</v>
      </c>
    </row>
    <row r="3915">
      <c r="A3915" s="24">
        <v>31.0</v>
      </c>
      <c r="B3915" s="24">
        <v>0.0</v>
      </c>
      <c r="C3915" s="44">
        <v>7.46</v>
      </c>
      <c r="D3915" s="46">
        <v>45129.0</v>
      </c>
      <c r="E3915" s="24" t="s">
        <v>6650</v>
      </c>
      <c r="F3915" s="24">
        <v>240.65</v>
      </c>
      <c r="G3915" s="24">
        <v>0.0</v>
      </c>
      <c r="H3915" s="24" t="s">
        <v>6680</v>
      </c>
      <c r="I3915" s="24" t="s">
        <v>6650</v>
      </c>
      <c r="J3915" s="24">
        <v>0.0</v>
      </c>
    </row>
    <row r="3916">
      <c r="A3916" s="24">
        <v>37.0</v>
      </c>
      <c r="B3916" s="24">
        <v>1.0</v>
      </c>
      <c r="C3916" s="44">
        <v>6.36</v>
      </c>
      <c r="D3916" s="46">
        <v>45129.0</v>
      </c>
      <c r="E3916" s="24">
        <v>6.36</v>
      </c>
      <c r="F3916" s="24">
        <v>171.89</v>
      </c>
      <c r="G3916" s="24">
        <v>2.7</v>
      </c>
      <c r="H3916" s="24" t="s">
        <v>6700</v>
      </c>
      <c r="I3916" s="24" t="s">
        <v>6650</v>
      </c>
      <c r="J3916" s="24">
        <v>0.0</v>
      </c>
    </row>
    <row r="3917">
      <c r="A3917" s="24">
        <v>667.0</v>
      </c>
      <c r="B3917" s="24">
        <v>4.0</v>
      </c>
      <c r="C3917" s="44">
        <v>6.61</v>
      </c>
      <c r="D3917" s="46">
        <v>45129.0</v>
      </c>
      <c r="E3917" s="24">
        <v>1.65</v>
      </c>
      <c r="F3917" s="24">
        <v>9.91</v>
      </c>
      <c r="G3917" s="24">
        <v>0.6</v>
      </c>
      <c r="H3917" s="24" t="s">
        <v>6689</v>
      </c>
      <c r="I3917" s="24">
        <v>6.61</v>
      </c>
      <c r="J3917" s="24">
        <v>0.0</v>
      </c>
    </row>
    <row r="3918">
      <c r="A3918" s="24">
        <v>30.0</v>
      </c>
      <c r="B3918" s="24">
        <v>2.0</v>
      </c>
      <c r="C3918" s="44">
        <v>5.48</v>
      </c>
      <c r="D3918" s="46">
        <v>45129.0</v>
      </c>
      <c r="E3918" s="24">
        <v>2.74</v>
      </c>
      <c r="F3918" s="24">
        <v>182.67</v>
      </c>
      <c r="G3918" s="24">
        <v>6.67</v>
      </c>
      <c r="H3918" s="24" t="s">
        <v>6699</v>
      </c>
      <c r="I3918" s="24">
        <v>5.48</v>
      </c>
      <c r="J3918" s="24">
        <v>0.0</v>
      </c>
    </row>
    <row r="3919">
      <c r="A3919" s="24">
        <v>1356.0</v>
      </c>
      <c r="B3919" s="24">
        <v>9.0</v>
      </c>
      <c r="C3919" s="44">
        <v>7.35</v>
      </c>
      <c r="D3919" s="46">
        <v>45129.0</v>
      </c>
      <c r="E3919" s="24">
        <v>0.82</v>
      </c>
      <c r="F3919" s="24">
        <v>5.42</v>
      </c>
      <c r="G3919" s="24">
        <v>0.66</v>
      </c>
      <c r="H3919" s="24" t="s">
        <v>6688</v>
      </c>
      <c r="I3919" s="24">
        <v>7.35</v>
      </c>
      <c r="J3919" s="24">
        <v>0.0</v>
      </c>
    </row>
    <row r="3920">
      <c r="A3920" s="24">
        <v>18.0</v>
      </c>
      <c r="B3920" s="24">
        <v>0.0</v>
      </c>
      <c r="C3920" s="44">
        <v>5.62</v>
      </c>
      <c r="D3920" s="46">
        <v>45129.0</v>
      </c>
      <c r="E3920" s="24" t="s">
        <v>6650</v>
      </c>
      <c r="F3920" s="24">
        <v>312.22</v>
      </c>
      <c r="G3920" s="24">
        <v>0.0</v>
      </c>
      <c r="H3920" s="24" t="s">
        <v>6701</v>
      </c>
      <c r="I3920" s="24">
        <v>5.62</v>
      </c>
      <c r="J3920" s="24">
        <v>0.0</v>
      </c>
    </row>
    <row r="3921">
      <c r="A3921" s="24">
        <v>14.0</v>
      </c>
      <c r="B3921" s="24">
        <v>0.0</v>
      </c>
      <c r="C3921" s="44">
        <v>8.49</v>
      </c>
      <c r="D3921" s="46">
        <v>45129.0</v>
      </c>
      <c r="E3921" s="24" t="s">
        <v>6650</v>
      </c>
      <c r="F3921" s="24">
        <v>606.43</v>
      </c>
      <c r="G3921" s="24">
        <v>0.0</v>
      </c>
      <c r="H3921" s="24" t="s">
        <v>6697</v>
      </c>
      <c r="I3921" s="24" t="s">
        <v>6650</v>
      </c>
      <c r="J3921" s="24">
        <v>0.0</v>
      </c>
    </row>
    <row r="3922">
      <c r="A3922" s="24">
        <v>21.0</v>
      </c>
      <c r="B3922" s="24">
        <v>0.0</v>
      </c>
      <c r="C3922" s="44">
        <v>10.8</v>
      </c>
      <c r="D3922" s="46">
        <v>45129.0</v>
      </c>
      <c r="E3922" s="24" t="s">
        <v>6650</v>
      </c>
      <c r="F3922" s="24">
        <v>514.29</v>
      </c>
      <c r="G3922" s="24">
        <v>0.0</v>
      </c>
      <c r="H3922" s="24" t="s">
        <v>6695</v>
      </c>
      <c r="I3922" s="24" t="s">
        <v>6650</v>
      </c>
      <c r="J3922" s="24">
        <v>0.0</v>
      </c>
    </row>
    <row r="3923">
      <c r="A3923" s="24">
        <v>38.0</v>
      </c>
      <c r="B3923" s="24">
        <v>0.0</v>
      </c>
      <c r="C3923" s="44">
        <v>6.98</v>
      </c>
      <c r="D3923" s="46">
        <v>45129.0</v>
      </c>
      <c r="E3923" s="24" t="s">
        <v>6650</v>
      </c>
      <c r="F3923" s="24">
        <v>183.68</v>
      </c>
      <c r="G3923" s="24">
        <v>0.0</v>
      </c>
      <c r="H3923" s="24" t="s">
        <v>6696</v>
      </c>
      <c r="I3923" s="24" t="s">
        <v>6650</v>
      </c>
      <c r="J3923" s="24">
        <v>0.0</v>
      </c>
    </row>
    <row r="3924">
      <c r="A3924" s="24">
        <v>1340.0</v>
      </c>
      <c r="B3924" s="24">
        <v>9.0</v>
      </c>
      <c r="C3924" s="44">
        <v>7.17</v>
      </c>
      <c r="D3924" s="46">
        <v>45130.0</v>
      </c>
      <c r="E3924" s="24">
        <v>0.8</v>
      </c>
      <c r="F3924" s="24">
        <v>5.35</v>
      </c>
      <c r="G3924" s="24">
        <v>0.67</v>
      </c>
      <c r="H3924" s="24" t="s">
        <v>6688</v>
      </c>
      <c r="I3924" s="24">
        <v>1.79</v>
      </c>
      <c r="J3924" s="24">
        <v>0.0</v>
      </c>
    </row>
    <row r="3925">
      <c r="A3925" s="24">
        <v>52.0</v>
      </c>
      <c r="B3925" s="24">
        <v>1.0</v>
      </c>
      <c r="C3925" s="44">
        <v>4.63</v>
      </c>
      <c r="D3925" s="46">
        <v>45130.0</v>
      </c>
      <c r="E3925" s="24">
        <v>4.63</v>
      </c>
      <c r="F3925" s="24">
        <v>89.04</v>
      </c>
      <c r="G3925" s="24">
        <v>1.92</v>
      </c>
      <c r="H3925" s="24" t="s">
        <v>6700</v>
      </c>
      <c r="I3925" s="24" t="s">
        <v>6650</v>
      </c>
      <c r="J3925" s="24">
        <v>0.0</v>
      </c>
    </row>
    <row r="3926">
      <c r="A3926" s="24">
        <v>46.0</v>
      </c>
      <c r="B3926" s="24">
        <v>0.0</v>
      </c>
      <c r="C3926" s="44">
        <v>5.05</v>
      </c>
      <c r="D3926" s="46">
        <v>45130.0</v>
      </c>
      <c r="E3926" s="24" t="s">
        <v>6650</v>
      </c>
      <c r="F3926" s="24">
        <v>109.78</v>
      </c>
      <c r="G3926" s="24">
        <v>0.0</v>
      </c>
      <c r="H3926" s="24" t="s">
        <v>6692</v>
      </c>
      <c r="I3926" s="24" t="s">
        <v>6650</v>
      </c>
      <c r="J3926" s="24">
        <v>0.0</v>
      </c>
    </row>
    <row r="3927">
      <c r="A3927" s="24">
        <v>7.0</v>
      </c>
      <c r="B3927" s="24">
        <v>0.0</v>
      </c>
      <c r="C3927" s="44">
        <v>1.83</v>
      </c>
      <c r="D3927" s="46">
        <v>45130.0</v>
      </c>
      <c r="E3927" s="24" t="s">
        <v>6650</v>
      </c>
      <c r="F3927" s="24">
        <v>261.43</v>
      </c>
      <c r="G3927" s="24">
        <v>0.0</v>
      </c>
      <c r="H3927" s="24" t="s">
        <v>6701</v>
      </c>
      <c r="I3927" s="24" t="s">
        <v>6650</v>
      </c>
      <c r="J3927" s="24">
        <v>0.0</v>
      </c>
    </row>
    <row r="3928">
      <c r="A3928" s="24">
        <v>56.0</v>
      </c>
      <c r="B3928" s="24">
        <v>0.0</v>
      </c>
      <c r="C3928" s="44">
        <v>5.45</v>
      </c>
      <c r="D3928" s="46">
        <v>45130.0</v>
      </c>
      <c r="E3928" s="24" t="s">
        <v>6650</v>
      </c>
      <c r="F3928" s="24">
        <v>97.32</v>
      </c>
      <c r="G3928" s="24">
        <v>0.0</v>
      </c>
      <c r="H3928" s="24" t="s">
        <v>6680</v>
      </c>
      <c r="I3928" s="24" t="s">
        <v>6650</v>
      </c>
      <c r="J3928" s="24">
        <v>0.0</v>
      </c>
    </row>
    <row r="3929">
      <c r="A3929" s="24">
        <v>3.0</v>
      </c>
      <c r="B3929" s="24">
        <v>1.0</v>
      </c>
      <c r="C3929" s="44">
        <v>2.25</v>
      </c>
      <c r="D3929" s="46">
        <v>45130.0</v>
      </c>
      <c r="E3929" s="24">
        <v>2.25</v>
      </c>
      <c r="F3929" s="24">
        <v>750.0</v>
      </c>
      <c r="G3929" s="24">
        <v>33.33</v>
      </c>
      <c r="H3929" s="24" t="s">
        <v>6702</v>
      </c>
      <c r="I3929" s="24" t="s">
        <v>6650</v>
      </c>
      <c r="J3929" s="24">
        <v>0.0</v>
      </c>
    </row>
    <row r="3930">
      <c r="A3930" s="24">
        <v>45.0</v>
      </c>
      <c r="B3930" s="24">
        <v>0.0</v>
      </c>
      <c r="C3930" s="44">
        <v>6.35</v>
      </c>
      <c r="D3930" s="46">
        <v>45130.0</v>
      </c>
      <c r="E3930" s="24" t="s">
        <v>6650</v>
      </c>
      <c r="F3930" s="24">
        <v>141.11</v>
      </c>
      <c r="G3930" s="24">
        <v>0.0</v>
      </c>
      <c r="H3930" s="24" t="s">
        <v>6696</v>
      </c>
      <c r="I3930" s="24" t="s">
        <v>6650</v>
      </c>
      <c r="J3930" s="24">
        <v>0.0</v>
      </c>
    </row>
    <row r="3931">
      <c r="A3931" s="24">
        <v>241.0</v>
      </c>
      <c r="B3931" s="24">
        <v>1.0</v>
      </c>
      <c r="C3931" s="44">
        <v>6.12</v>
      </c>
      <c r="D3931" s="46">
        <v>45130.0</v>
      </c>
      <c r="E3931" s="24">
        <v>6.12</v>
      </c>
      <c r="F3931" s="24">
        <v>25.39</v>
      </c>
      <c r="G3931" s="24">
        <v>0.41</v>
      </c>
      <c r="H3931" s="24" t="s">
        <v>6698</v>
      </c>
      <c r="I3931" s="24" t="s">
        <v>6650</v>
      </c>
      <c r="J3931" s="24">
        <v>0.0</v>
      </c>
    </row>
    <row r="3932">
      <c r="A3932" s="24">
        <v>22.0</v>
      </c>
      <c r="B3932" s="24">
        <v>2.0</v>
      </c>
      <c r="C3932" s="44">
        <v>2.5</v>
      </c>
      <c r="D3932" s="46">
        <v>45130.0</v>
      </c>
      <c r="E3932" s="24">
        <v>1.25</v>
      </c>
      <c r="F3932" s="24">
        <v>113.64</v>
      </c>
      <c r="G3932" s="24">
        <v>9.09</v>
      </c>
      <c r="H3932" s="24" t="s">
        <v>6699</v>
      </c>
      <c r="I3932" s="24" t="s">
        <v>6650</v>
      </c>
      <c r="J3932" s="24">
        <v>0.0</v>
      </c>
    </row>
    <row r="3933">
      <c r="A3933" s="24">
        <v>515.0</v>
      </c>
      <c r="B3933" s="24">
        <v>9.0</v>
      </c>
      <c r="C3933" s="44">
        <v>5.44</v>
      </c>
      <c r="D3933" s="46">
        <v>45130.0</v>
      </c>
      <c r="E3933" s="24">
        <v>0.6</v>
      </c>
      <c r="F3933" s="24">
        <v>10.56</v>
      </c>
      <c r="G3933" s="24">
        <v>1.75</v>
      </c>
      <c r="H3933" s="24" t="s">
        <v>6689</v>
      </c>
      <c r="I3933" s="24" t="s">
        <v>6650</v>
      </c>
      <c r="J3933" s="24">
        <v>0.0</v>
      </c>
    </row>
    <row r="3934">
      <c r="A3934" s="24">
        <v>29.0</v>
      </c>
      <c r="B3934" s="24">
        <v>0.0</v>
      </c>
      <c r="C3934" s="44">
        <v>11.75</v>
      </c>
      <c r="D3934" s="46">
        <v>45131.0</v>
      </c>
      <c r="E3934" s="24" t="s">
        <v>6650</v>
      </c>
      <c r="F3934" s="24">
        <v>405.17</v>
      </c>
      <c r="G3934" s="24">
        <v>0.0</v>
      </c>
      <c r="H3934" s="24" t="s">
        <v>6697</v>
      </c>
      <c r="I3934" s="24" t="s">
        <v>6650</v>
      </c>
      <c r="J3934" s="24">
        <v>0.0</v>
      </c>
    </row>
    <row r="3935">
      <c r="A3935" s="24">
        <v>50.0</v>
      </c>
      <c r="B3935" s="24">
        <v>0.0</v>
      </c>
      <c r="C3935" s="44">
        <v>15.0</v>
      </c>
      <c r="D3935" s="46">
        <v>45131.0</v>
      </c>
      <c r="E3935" s="24" t="s">
        <v>6650</v>
      </c>
      <c r="F3935" s="24">
        <v>300.0</v>
      </c>
      <c r="G3935" s="24">
        <v>0.0</v>
      </c>
      <c r="H3935" s="24" t="s">
        <v>6701</v>
      </c>
      <c r="I3935" s="24" t="s">
        <v>6650</v>
      </c>
      <c r="J3935" s="24">
        <v>0.0</v>
      </c>
    </row>
    <row r="3936">
      <c r="A3936" s="24">
        <v>77.0</v>
      </c>
      <c r="B3936" s="24">
        <v>1.0</v>
      </c>
      <c r="C3936" s="44">
        <v>11.93</v>
      </c>
      <c r="D3936" s="46">
        <v>45131.0</v>
      </c>
      <c r="E3936" s="24">
        <v>11.93</v>
      </c>
      <c r="F3936" s="24">
        <v>154.94</v>
      </c>
      <c r="G3936" s="24">
        <v>1.3</v>
      </c>
      <c r="H3936" s="24" t="s">
        <v>6699</v>
      </c>
      <c r="I3936" s="24" t="s">
        <v>6650</v>
      </c>
      <c r="J3936" s="24">
        <v>0.0</v>
      </c>
    </row>
    <row r="3937">
      <c r="A3937" s="24">
        <v>845.0</v>
      </c>
      <c r="B3937" s="24">
        <v>8.0</v>
      </c>
      <c r="C3937" s="44">
        <v>10.55</v>
      </c>
      <c r="D3937" s="46">
        <v>45131.0</v>
      </c>
      <c r="E3937" s="24">
        <v>1.32</v>
      </c>
      <c r="F3937" s="24">
        <v>12.49</v>
      </c>
      <c r="G3937" s="24">
        <v>0.95</v>
      </c>
      <c r="H3937" s="24" t="s">
        <v>6689</v>
      </c>
      <c r="I3937" s="24" t="s">
        <v>6650</v>
      </c>
      <c r="J3937" s="24">
        <v>0.0</v>
      </c>
    </row>
    <row r="3938">
      <c r="A3938" s="24">
        <v>126.0</v>
      </c>
      <c r="B3938" s="24">
        <v>1.0</v>
      </c>
      <c r="C3938" s="44">
        <v>12.7</v>
      </c>
      <c r="D3938" s="46">
        <v>45131.0</v>
      </c>
      <c r="E3938" s="24">
        <v>12.7</v>
      </c>
      <c r="F3938" s="24">
        <v>100.79</v>
      </c>
      <c r="G3938" s="24">
        <v>0.79</v>
      </c>
      <c r="H3938" s="24" t="s">
        <v>6696</v>
      </c>
      <c r="I3938" s="24" t="s">
        <v>6650</v>
      </c>
      <c r="J3938" s="24">
        <v>0.0</v>
      </c>
    </row>
    <row r="3939">
      <c r="A3939" s="24">
        <v>31.0</v>
      </c>
      <c r="B3939" s="24">
        <v>0.0</v>
      </c>
      <c r="C3939" s="44">
        <v>14.96</v>
      </c>
      <c r="D3939" s="46">
        <v>45131.0</v>
      </c>
      <c r="E3939" s="24" t="s">
        <v>6650</v>
      </c>
      <c r="F3939" s="24">
        <v>482.58</v>
      </c>
      <c r="G3939" s="24">
        <v>0.0</v>
      </c>
      <c r="H3939" s="24" t="s">
        <v>6695</v>
      </c>
      <c r="I3939" s="24" t="s">
        <v>6650</v>
      </c>
      <c r="J3939" s="24">
        <v>0.0</v>
      </c>
    </row>
    <row r="3940">
      <c r="A3940" s="24">
        <v>8.0</v>
      </c>
      <c r="B3940" s="24">
        <v>4.0</v>
      </c>
      <c r="C3940" s="44">
        <v>6.0</v>
      </c>
      <c r="D3940" s="46">
        <v>45131.0</v>
      </c>
      <c r="E3940" s="24">
        <v>1.5</v>
      </c>
      <c r="F3940" s="24">
        <v>750.0</v>
      </c>
      <c r="G3940" s="24">
        <v>50.0</v>
      </c>
      <c r="H3940" s="24" t="s">
        <v>6702</v>
      </c>
      <c r="I3940" s="24" t="s">
        <v>6650</v>
      </c>
      <c r="J3940" s="24">
        <v>0.0</v>
      </c>
    </row>
    <row r="3941">
      <c r="A3941" s="24">
        <v>672.0</v>
      </c>
      <c r="B3941" s="24">
        <v>9.0</v>
      </c>
      <c r="C3941" s="44">
        <v>12.14</v>
      </c>
      <c r="D3941" s="46">
        <v>45131.0</v>
      </c>
      <c r="E3941" s="24">
        <v>1.35</v>
      </c>
      <c r="F3941" s="24">
        <v>18.07</v>
      </c>
      <c r="G3941" s="24">
        <v>1.34</v>
      </c>
      <c r="H3941" s="24" t="s">
        <v>6698</v>
      </c>
      <c r="I3941" s="24">
        <v>12.14</v>
      </c>
      <c r="J3941" s="24">
        <v>0.0</v>
      </c>
    </row>
    <row r="3942">
      <c r="A3942" s="24">
        <v>163.0</v>
      </c>
      <c r="B3942" s="24">
        <v>2.0</v>
      </c>
      <c r="C3942" s="44">
        <v>12.44</v>
      </c>
      <c r="D3942" s="46">
        <v>45131.0</v>
      </c>
      <c r="E3942" s="24">
        <v>6.22</v>
      </c>
      <c r="F3942" s="24">
        <v>76.32</v>
      </c>
      <c r="G3942" s="24">
        <v>1.23</v>
      </c>
      <c r="H3942" s="24" t="s">
        <v>6700</v>
      </c>
      <c r="I3942" s="24">
        <v>12.44</v>
      </c>
      <c r="J3942" s="24">
        <v>0.0</v>
      </c>
    </row>
    <row r="3943">
      <c r="A3943" s="24">
        <v>2258.0</v>
      </c>
      <c r="B3943" s="24">
        <v>13.0</v>
      </c>
      <c r="C3943" s="44">
        <v>11.07</v>
      </c>
      <c r="D3943" s="46">
        <v>45131.0</v>
      </c>
      <c r="E3943" s="24">
        <v>0.85</v>
      </c>
      <c r="F3943" s="24">
        <v>4.9</v>
      </c>
      <c r="G3943" s="24">
        <v>0.58</v>
      </c>
      <c r="H3943" s="24" t="s">
        <v>6688</v>
      </c>
      <c r="I3943" s="24">
        <v>3.69</v>
      </c>
      <c r="J3943" s="24">
        <v>0.0</v>
      </c>
    </row>
    <row r="3944">
      <c r="A3944" s="24">
        <v>134.0</v>
      </c>
      <c r="B3944" s="24">
        <v>0.0</v>
      </c>
      <c r="C3944" s="44">
        <v>12.36</v>
      </c>
      <c r="D3944" s="46">
        <v>45131.0</v>
      </c>
      <c r="E3944" s="24" t="s">
        <v>6650</v>
      </c>
      <c r="F3944" s="24">
        <v>92.24</v>
      </c>
      <c r="G3944" s="24">
        <v>0.0</v>
      </c>
      <c r="H3944" s="24" t="s">
        <v>6692</v>
      </c>
      <c r="I3944" s="24" t="s">
        <v>6650</v>
      </c>
      <c r="J3944" s="24">
        <v>0.0</v>
      </c>
    </row>
    <row r="3945">
      <c r="A3945" s="24">
        <v>164.0</v>
      </c>
      <c r="B3945" s="24">
        <v>0.0</v>
      </c>
      <c r="C3945" s="44">
        <v>13.33</v>
      </c>
      <c r="D3945" s="46">
        <v>45131.0</v>
      </c>
      <c r="E3945" s="24" t="s">
        <v>6650</v>
      </c>
      <c r="F3945" s="24">
        <v>81.28</v>
      </c>
      <c r="G3945" s="24">
        <v>0.0</v>
      </c>
      <c r="H3945" s="24" t="s">
        <v>6680</v>
      </c>
      <c r="I3945" s="24" t="s">
        <v>6650</v>
      </c>
      <c r="J3945" s="24">
        <v>0.0</v>
      </c>
    </row>
    <row r="3946">
      <c r="A3946" s="24">
        <v>63.0</v>
      </c>
      <c r="B3946" s="24">
        <v>1.0</v>
      </c>
      <c r="C3946" s="44">
        <v>10.95</v>
      </c>
      <c r="D3946" s="46">
        <v>45132.0</v>
      </c>
      <c r="E3946" s="24">
        <v>10.95</v>
      </c>
      <c r="F3946" s="24">
        <v>173.81</v>
      </c>
      <c r="G3946" s="24">
        <v>1.59</v>
      </c>
      <c r="H3946" s="24" t="s">
        <v>6695</v>
      </c>
      <c r="I3946" s="24" t="s">
        <v>6650</v>
      </c>
      <c r="J3946" s="24">
        <v>0.0</v>
      </c>
    </row>
    <row r="3947">
      <c r="A3947" s="24">
        <v>13.0</v>
      </c>
      <c r="B3947" s="24">
        <v>5.0</v>
      </c>
      <c r="C3947" s="44">
        <v>9.75</v>
      </c>
      <c r="D3947" s="46">
        <v>45132.0</v>
      </c>
      <c r="E3947" s="24">
        <v>1.95</v>
      </c>
      <c r="F3947" s="24">
        <v>750.0</v>
      </c>
      <c r="G3947" s="24">
        <v>38.46</v>
      </c>
      <c r="H3947" s="24" t="s">
        <v>6702</v>
      </c>
      <c r="I3947" s="24" t="s">
        <v>6650</v>
      </c>
      <c r="J3947" s="24">
        <v>0.0</v>
      </c>
    </row>
    <row r="3948">
      <c r="A3948" s="24">
        <v>42.0</v>
      </c>
      <c r="B3948" s="24">
        <v>1.0</v>
      </c>
      <c r="C3948" s="44">
        <v>12.53</v>
      </c>
      <c r="D3948" s="46">
        <v>45132.0</v>
      </c>
      <c r="E3948" s="24">
        <v>12.53</v>
      </c>
      <c r="F3948" s="24">
        <v>298.33</v>
      </c>
      <c r="G3948" s="24">
        <v>2.38</v>
      </c>
      <c r="H3948" s="24" t="s">
        <v>6697</v>
      </c>
      <c r="I3948" s="24" t="s">
        <v>6650</v>
      </c>
      <c r="J3948" s="24">
        <v>0.0</v>
      </c>
    </row>
    <row r="3949">
      <c r="A3949" s="24">
        <v>48.0</v>
      </c>
      <c r="B3949" s="24">
        <v>0.0</v>
      </c>
      <c r="C3949" s="44">
        <v>15.0</v>
      </c>
      <c r="D3949" s="46">
        <v>45132.0</v>
      </c>
      <c r="E3949" s="24" t="s">
        <v>6650</v>
      </c>
      <c r="F3949" s="24">
        <v>312.5</v>
      </c>
      <c r="G3949" s="24">
        <v>0.0</v>
      </c>
      <c r="H3949" s="24" t="s">
        <v>6699</v>
      </c>
      <c r="I3949" s="24" t="s">
        <v>6650</v>
      </c>
      <c r="J3949" s="24">
        <v>0.0</v>
      </c>
    </row>
    <row r="3950">
      <c r="A3950" s="24">
        <v>255.0</v>
      </c>
      <c r="B3950" s="24">
        <v>1.0</v>
      </c>
      <c r="C3950" s="44">
        <v>12.95</v>
      </c>
      <c r="D3950" s="46">
        <v>45132.0</v>
      </c>
      <c r="E3950" s="24">
        <v>12.95</v>
      </c>
      <c r="F3950" s="24">
        <v>50.78</v>
      </c>
      <c r="G3950" s="24">
        <v>0.39</v>
      </c>
      <c r="H3950" s="24" t="s">
        <v>6680</v>
      </c>
      <c r="I3950" s="24" t="s">
        <v>6650</v>
      </c>
      <c r="J3950" s="24">
        <v>0.0</v>
      </c>
    </row>
    <row r="3951">
      <c r="A3951" s="24">
        <v>173.0</v>
      </c>
      <c r="B3951" s="24">
        <v>1.0</v>
      </c>
      <c r="C3951" s="44">
        <v>12.19</v>
      </c>
      <c r="D3951" s="46">
        <v>45132.0</v>
      </c>
      <c r="E3951" s="24">
        <v>12.19</v>
      </c>
      <c r="F3951" s="24">
        <v>70.46</v>
      </c>
      <c r="G3951" s="24">
        <v>0.58</v>
      </c>
      <c r="H3951" s="24" t="s">
        <v>6700</v>
      </c>
      <c r="I3951" s="24">
        <v>6.1</v>
      </c>
      <c r="J3951" s="24">
        <v>0.0</v>
      </c>
    </row>
    <row r="3952">
      <c r="A3952" s="24">
        <v>133.0</v>
      </c>
      <c r="B3952" s="24">
        <v>1.0</v>
      </c>
      <c r="C3952" s="44">
        <v>12.16</v>
      </c>
      <c r="D3952" s="46">
        <v>45132.0</v>
      </c>
      <c r="E3952" s="24">
        <v>12.16</v>
      </c>
      <c r="F3952" s="24">
        <v>91.43</v>
      </c>
      <c r="G3952" s="24">
        <v>0.75</v>
      </c>
      <c r="H3952" s="24" t="s">
        <v>6692</v>
      </c>
      <c r="I3952" s="24" t="s">
        <v>6650</v>
      </c>
      <c r="J3952" s="24">
        <v>0.0</v>
      </c>
    </row>
    <row r="3953">
      <c r="A3953" s="24">
        <v>78.0</v>
      </c>
      <c r="B3953" s="24">
        <v>0.0</v>
      </c>
      <c r="C3953" s="44">
        <v>13.02</v>
      </c>
      <c r="D3953" s="46">
        <v>45132.0</v>
      </c>
      <c r="E3953" s="24" t="s">
        <v>6650</v>
      </c>
      <c r="F3953" s="24">
        <v>166.92</v>
      </c>
      <c r="G3953" s="24">
        <v>0.0</v>
      </c>
      <c r="H3953" s="24" t="s">
        <v>6696</v>
      </c>
      <c r="I3953" s="24" t="s">
        <v>6650</v>
      </c>
      <c r="J3953" s="24">
        <v>0.0</v>
      </c>
    </row>
    <row r="3954">
      <c r="A3954" s="24">
        <v>48.0</v>
      </c>
      <c r="B3954" s="24">
        <v>0.0</v>
      </c>
      <c r="C3954" s="44">
        <v>13.17</v>
      </c>
      <c r="D3954" s="46">
        <v>45132.0</v>
      </c>
      <c r="E3954" s="24" t="s">
        <v>6650</v>
      </c>
      <c r="F3954" s="24">
        <v>274.38</v>
      </c>
      <c r="G3954" s="24">
        <v>0.0</v>
      </c>
      <c r="H3954" s="24" t="s">
        <v>6701</v>
      </c>
      <c r="I3954" s="24" t="s">
        <v>6650</v>
      </c>
      <c r="J3954" s="24">
        <v>0.0</v>
      </c>
    </row>
    <row r="3955">
      <c r="A3955" s="24">
        <v>570.0</v>
      </c>
      <c r="B3955" s="24">
        <v>3.0</v>
      </c>
      <c r="C3955" s="44">
        <v>11.94</v>
      </c>
      <c r="D3955" s="46">
        <v>45132.0</v>
      </c>
      <c r="E3955" s="24">
        <v>3.98</v>
      </c>
      <c r="F3955" s="24">
        <v>20.95</v>
      </c>
      <c r="G3955" s="24">
        <v>0.53</v>
      </c>
      <c r="H3955" s="24" t="s">
        <v>6698</v>
      </c>
      <c r="I3955" s="24">
        <v>5.97</v>
      </c>
      <c r="J3955" s="24">
        <v>0.0</v>
      </c>
    </row>
    <row r="3956">
      <c r="A3956" s="24">
        <v>2201.0</v>
      </c>
      <c r="B3956" s="24">
        <v>10.0</v>
      </c>
      <c r="C3956" s="44">
        <v>11.86</v>
      </c>
      <c r="D3956" s="46">
        <v>45132.0</v>
      </c>
      <c r="E3956" s="24">
        <v>1.19</v>
      </c>
      <c r="F3956" s="24">
        <v>5.39</v>
      </c>
      <c r="G3956" s="24">
        <v>0.45</v>
      </c>
      <c r="H3956" s="24" t="s">
        <v>6688</v>
      </c>
      <c r="I3956" s="24">
        <v>5.93</v>
      </c>
      <c r="J3956" s="24">
        <v>0.0</v>
      </c>
    </row>
    <row r="3957">
      <c r="A3957" s="24">
        <v>1039.0</v>
      </c>
      <c r="B3957" s="24">
        <v>8.0</v>
      </c>
      <c r="C3957" s="44">
        <v>11.4</v>
      </c>
      <c r="D3957" s="46">
        <v>45132.0</v>
      </c>
      <c r="E3957" s="24">
        <v>1.42</v>
      </c>
      <c r="F3957" s="24">
        <v>10.97</v>
      </c>
      <c r="G3957" s="24">
        <v>0.77</v>
      </c>
      <c r="H3957" s="24" t="s">
        <v>6689</v>
      </c>
      <c r="I3957" s="24" t="s">
        <v>6650</v>
      </c>
      <c r="J3957" s="24">
        <v>0.0</v>
      </c>
    </row>
    <row r="3958">
      <c r="A3958" s="24">
        <v>7.0</v>
      </c>
      <c r="B3958" s="24">
        <v>7.0</v>
      </c>
      <c r="C3958" s="44">
        <v>5.25</v>
      </c>
      <c r="D3958" s="46">
        <v>45133.0</v>
      </c>
      <c r="E3958" s="24">
        <v>0.75</v>
      </c>
      <c r="F3958" s="24">
        <v>750.0</v>
      </c>
      <c r="G3958" s="24">
        <v>100.0</v>
      </c>
      <c r="H3958" s="24" t="s">
        <v>6702</v>
      </c>
      <c r="I3958" s="24" t="s">
        <v>6650</v>
      </c>
      <c r="J3958" s="24">
        <v>0.0</v>
      </c>
    </row>
    <row r="3959">
      <c r="A3959" s="24">
        <v>86.0</v>
      </c>
      <c r="B3959" s="24">
        <v>1.0</v>
      </c>
      <c r="C3959" s="44">
        <v>12.15</v>
      </c>
      <c r="D3959" s="46">
        <v>45133.0</v>
      </c>
      <c r="E3959" s="24">
        <v>12.15</v>
      </c>
      <c r="F3959" s="24">
        <v>141.28</v>
      </c>
      <c r="G3959" s="24">
        <v>1.16</v>
      </c>
      <c r="H3959" s="24" t="s">
        <v>6700</v>
      </c>
      <c r="I3959" s="24">
        <v>4.05</v>
      </c>
      <c r="J3959" s="24">
        <v>0.0</v>
      </c>
    </row>
    <row r="3960">
      <c r="A3960" s="24">
        <v>33.0</v>
      </c>
      <c r="B3960" s="24">
        <v>0.0</v>
      </c>
      <c r="C3960" s="44">
        <v>12.47</v>
      </c>
      <c r="D3960" s="46">
        <v>45133.0</v>
      </c>
      <c r="E3960" s="24" t="s">
        <v>6650</v>
      </c>
      <c r="F3960" s="24">
        <v>377.88</v>
      </c>
      <c r="G3960" s="24">
        <v>0.0</v>
      </c>
      <c r="H3960" s="24" t="s">
        <v>6701</v>
      </c>
      <c r="I3960" s="24" t="s">
        <v>6650</v>
      </c>
      <c r="J3960" s="24">
        <v>0.0</v>
      </c>
    </row>
    <row r="3961">
      <c r="A3961" s="24">
        <v>152.0</v>
      </c>
      <c r="B3961" s="24">
        <v>2.0</v>
      </c>
      <c r="C3961" s="44">
        <v>13.23</v>
      </c>
      <c r="D3961" s="46">
        <v>45133.0</v>
      </c>
      <c r="E3961" s="24">
        <v>6.62</v>
      </c>
      <c r="F3961" s="24">
        <v>87.04</v>
      </c>
      <c r="G3961" s="24">
        <v>1.32</v>
      </c>
      <c r="H3961" s="24" t="s">
        <v>6692</v>
      </c>
      <c r="I3961" s="24" t="s">
        <v>6650</v>
      </c>
      <c r="J3961" s="24">
        <v>0.0</v>
      </c>
    </row>
    <row r="3962">
      <c r="A3962" s="24">
        <v>2408.0</v>
      </c>
      <c r="B3962" s="24">
        <v>12.0</v>
      </c>
      <c r="C3962" s="44">
        <v>11.7</v>
      </c>
      <c r="D3962" s="46">
        <v>45133.0</v>
      </c>
      <c r="E3962" s="24">
        <v>0.98</v>
      </c>
      <c r="F3962" s="24">
        <v>4.86</v>
      </c>
      <c r="G3962" s="24">
        <v>0.5</v>
      </c>
      <c r="H3962" s="24" t="s">
        <v>6688</v>
      </c>
      <c r="I3962" s="24">
        <v>2.34</v>
      </c>
      <c r="J3962" s="24">
        <v>0.0</v>
      </c>
    </row>
    <row r="3963">
      <c r="A3963" s="24">
        <v>640.0</v>
      </c>
      <c r="B3963" s="24">
        <v>5.0</v>
      </c>
      <c r="C3963" s="44">
        <v>11.67</v>
      </c>
      <c r="D3963" s="46">
        <v>45133.0</v>
      </c>
      <c r="E3963" s="24">
        <v>2.33</v>
      </c>
      <c r="F3963" s="24">
        <v>18.23</v>
      </c>
      <c r="G3963" s="24">
        <v>0.78</v>
      </c>
      <c r="H3963" s="24" t="s">
        <v>6698</v>
      </c>
      <c r="I3963" s="24">
        <v>3.89</v>
      </c>
      <c r="J3963" s="24">
        <v>0.0</v>
      </c>
    </row>
    <row r="3964">
      <c r="A3964" s="24">
        <v>80.0</v>
      </c>
      <c r="B3964" s="24">
        <v>1.0</v>
      </c>
      <c r="C3964" s="44">
        <v>14.89</v>
      </c>
      <c r="D3964" s="46">
        <v>45133.0</v>
      </c>
      <c r="E3964" s="24">
        <v>14.89</v>
      </c>
      <c r="F3964" s="24">
        <v>186.12</v>
      </c>
      <c r="G3964" s="24">
        <v>1.25</v>
      </c>
      <c r="H3964" s="24" t="s">
        <v>6696</v>
      </c>
      <c r="I3964" s="24" t="s">
        <v>6650</v>
      </c>
      <c r="J3964" s="24">
        <v>0.0</v>
      </c>
    </row>
    <row r="3965">
      <c r="A3965" s="24">
        <v>109.0</v>
      </c>
      <c r="B3965" s="24">
        <v>0.0</v>
      </c>
      <c r="C3965" s="44">
        <v>12.05</v>
      </c>
      <c r="D3965" s="46">
        <v>45133.0</v>
      </c>
      <c r="E3965" s="24" t="s">
        <v>6650</v>
      </c>
      <c r="F3965" s="24">
        <v>110.55</v>
      </c>
      <c r="G3965" s="24">
        <v>0.0</v>
      </c>
      <c r="H3965" s="24" t="s">
        <v>6699</v>
      </c>
      <c r="I3965" s="24" t="s">
        <v>6650</v>
      </c>
      <c r="J3965" s="24">
        <v>0.0</v>
      </c>
    </row>
    <row r="3966">
      <c r="A3966" s="24">
        <v>35.0</v>
      </c>
      <c r="B3966" s="24">
        <v>2.0</v>
      </c>
      <c r="C3966" s="44">
        <v>13.42</v>
      </c>
      <c r="D3966" s="46">
        <v>45133.0</v>
      </c>
      <c r="E3966" s="24">
        <v>6.71</v>
      </c>
      <c r="F3966" s="24">
        <v>383.43</v>
      </c>
      <c r="G3966" s="24">
        <v>5.71</v>
      </c>
      <c r="H3966" s="24" t="s">
        <v>6697</v>
      </c>
      <c r="I3966" s="24" t="s">
        <v>6650</v>
      </c>
      <c r="J3966" s="24">
        <v>0.0</v>
      </c>
    </row>
    <row r="3967">
      <c r="A3967" s="24">
        <v>1175.0</v>
      </c>
      <c r="B3967" s="24">
        <v>8.0</v>
      </c>
      <c r="C3967" s="44">
        <v>12.46</v>
      </c>
      <c r="D3967" s="46">
        <v>45133.0</v>
      </c>
      <c r="E3967" s="24">
        <v>1.56</v>
      </c>
      <c r="F3967" s="24">
        <v>10.6</v>
      </c>
      <c r="G3967" s="24">
        <v>0.68</v>
      </c>
      <c r="H3967" s="24" t="s">
        <v>6689</v>
      </c>
      <c r="I3967" s="24" t="s">
        <v>6650</v>
      </c>
      <c r="J3967" s="24">
        <v>0.0</v>
      </c>
    </row>
    <row r="3968">
      <c r="A3968" s="24">
        <v>33.0</v>
      </c>
      <c r="B3968" s="24">
        <v>0.0</v>
      </c>
      <c r="C3968" s="44">
        <v>12.88</v>
      </c>
      <c r="D3968" s="46">
        <v>45133.0</v>
      </c>
      <c r="E3968" s="24" t="s">
        <v>6650</v>
      </c>
      <c r="F3968" s="24">
        <v>390.3</v>
      </c>
      <c r="G3968" s="24">
        <v>0.0</v>
      </c>
      <c r="H3968" s="24" t="s">
        <v>6695</v>
      </c>
      <c r="I3968" s="24" t="s">
        <v>6650</v>
      </c>
      <c r="J3968" s="24">
        <v>0.0</v>
      </c>
    </row>
    <row r="3969">
      <c r="A3969" s="24">
        <v>93.0</v>
      </c>
      <c r="B3969" s="24">
        <v>0.0</v>
      </c>
      <c r="C3969" s="44">
        <v>13.76</v>
      </c>
      <c r="D3969" s="46">
        <v>45133.0</v>
      </c>
      <c r="E3969" s="24" t="s">
        <v>6650</v>
      </c>
      <c r="F3969" s="24">
        <v>147.96</v>
      </c>
      <c r="G3969" s="24">
        <v>0.0</v>
      </c>
      <c r="H3969" s="24" t="s">
        <v>6680</v>
      </c>
      <c r="I3969" s="24" t="s">
        <v>6650</v>
      </c>
      <c r="J3969" s="24">
        <v>0.0</v>
      </c>
    </row>
    <row r="3970">
      <c r="A3970" s="24">
        <v>228.0</v>
      </c>
      <c r="B3970" s="24">
        <v>0.0</v>
      </c>
      <c r="C3970" s="44">
        <v>11.86</v>
      </c>
      <c r="D3970" s="46">
        <v>45134.0</v>
      </c>
      <c r="E3970" s="24" t="s">
        <v>6650</v>
      </c>
      <c r="F3970" s="24">
        <v>52.02</v>
      </c>
      <c r="G3970" s="24">
        <v>0.0</v>
      </c>
      <c r="H3970" s="24" t="s">
        <v>6692</v>
      </c>
      <c r="I3970" s="24" t="s">
        <v>6650</v>
      </c>
      <c r="J3970" s="24">
        <v>0.0</v>
      </c>
    </row>
    <row r="3971">
      <c r="A3971" s="24">
        <v>62.0</v>
      </c>
      <c r="B3971" s="24">
        <v>0.0</v>
      </c>
      <c r="C3971" s="44">
        <v>12.14</v>
      </c>
      <c r="D3971" s="46">
        <v>45134.0</v>
      </c>
      <c r="E3971" s="24" t="s">
        <v>6650</v>
      </c>
      <c r="F3971" s="24">
        <v>195.81</v>
      </c>
      <c r="G3971" s="24">
        <v>0.0</v>
      </c>
      <c r="H3971" s="24" t="s">
        <v>6699</v>
      </c>
      <c r="I3971" s="24" t="s">
        <v>6650</v>
      </c>
      <c r="J3971" s="24">
        <v>0.0</v>
      </c>
    </row>
    <row r="3972">
      <c r="A3972" s="24">
        <v>352.0</v>
      </c>
      <c r="B3972" s="24">
        <v>7.0</v>
      </c>
      <c r="C3972" s="44">
        <v>11.53</v>
      </c>
      <c r="D3972" s="46">
        <v>45134.0</v>
      </c>
      <c r="E3972" s="24">
        <v>1.65</v>
      </c>
      <c r="F3972" s="24">
        <v>32.76</v>
      </c>
      <c r="G3972" s="24">
        <v>1.99</v>
      </c>
      <c r="H3972" s="24" t="s">
        <v>6698</v>
      </c>
      <c r="I3972" s="24">
        <v>11.53</v>
      </c>
      <c r="J3972" s="24">
        <v>0.0</v>
      </c>
    </row>
    <row r="3973">
      <c r="A3973" s="24">
        <v>51.0</v>
      </c>
      <c r="B3973" s="24">
        <v>0.0</v>
      </c>
      <c r="C3973" s="44">
        <v>12.57</v>
      </c>
      <c r="D3973" s="46">
        <v>45134.0</v>
      </c>
      <c r="E3973" s="24" t="s">
        <v>6650</v>
      </c>
      <c r="F3973" s="24">
        <v>246.47</v>
      </c>
      <c r="G3973" s="24">
        <v>0.0</v>
      </c>
      <c r="H3973" s="24" t="s">
        <v>6701</v>
      </c>
      <c r="I3973" s="24" t="s">
        <v>6650</v>
      </c>
      <c r="J3973" s="24">
        <v>0.0</v>
      </c>
    </row>
    <row r="3974">
      <c r="A3974" s="24">
        <v>201.0</v>
      </c>
      <c r="B3974" s="24">
        <v>0.0</v>
      </c>
      <c r="C3974" s="44">
        <v>11.79</v>
      </c>
      <c r="D3974" s="46">
        <v>45134.0</v>
      </c>
      <c r="E3974" s="24" t="s">
        <v>6650</v>
      </c>
      <c r="F3974" s="24">
        <v>58.66</v>
      </c>
      <c r="G3974" s="24">
        <v>0.0</v>
      </c>
      <c r="H3974" s="24" t="s">
        <v>6700</v>
      </c>
      <c r="I3974" s="24" t="s">
        <v>6650</v>
      </c>
      <c r="J3974" s="24">
        <v>0.0</v>
      </c>
    </row>
    <row r="3975">
      <c r="A3975" s="24">
        <v>2161.0</v>
      </c>
      <c r="B3975" s="24">
        <v>8.0</v>
      </c>
      <c r="C3975" s="44">
        <v>11.19</v>
      </c>
      <c r="D3975" s="46">
        <v>45134.0</v>
      </c>
      <c r="E3975" s="24">
        <v>1.4</v>
      </c>
      <c r="F3975" s="24">
        <v>5.18</v>
      </c>
      <c r="G3975" s="24">
        <v>0.37</v>
      </c>
      <c r="H3975" s="24" t="s">
        <v>6688</v>
      </c>
      <c r="I3975" s="24">
        <v>2.24</v>
      </c>
      <c r="J3975" s="24">
        <v>0.0</v>
      </c>
    </row>
    <row r="3976">
      <c r="A3976" s="24">
        <v>16.0</v>
      </c>
      <c r="B3976" s="24">
        <v>6.0</v>
      </c>
      <c r="C3976" s="44">
        <v>12.0</v>
      </c>
      <c r="D3976" s="46">
        <v>45134.0</v>
      </c>
      <c r="E3976" s="24">
        <v>2.0</v>
      </c>
      <c r="F3976" s="24">
        <v>750.0</v>
      </c>
      <c r="G3976" s="24">
        <v>37.5</v>
      </c>
      <c r="H3976" s="24" t="s">
        <v>6702</v>
      </c>
      <c r="I3976" s="24" t="s">
        <v>6650</v>
      </c>
      <c r="J3976" s="24">
        <v>0.0</v>
      </c>
    </row>
    <row r="3977">
      <c r="A3977" s="24">
        <v>36.0</v>
      </c>
      <c r="B3977" s="24">
        <v>0.0</v>
      </c>
      <c r="C3977" s="44">
        <v>15.0</v>
      </c>
      <c r="D3977" s="46">
        <v>45134.0</v>
      </c>
      <c r="E3977" s="24" t="s">
        <v>6650</v>
      </c>
      <c r="F3977" s="24">
        <v>416.67</v>
      </c>
      <c r="G3977" s="24">
        <v>0.0</v>
      </c>
      <c r="H3977" s="24" t="s">
        <v>6695</v>
      </c>
      <c r="I3977" s="24" t="s">
        <v>6650</v>
      </c>
      <c r="J3977" s="24">
        <v>0.0</v>
      </c>
    </row>
    <row r="3978">
      <c r="A3978" s="24">
        <v>179.0</v>
      </c>
      <c r="B3978" s="24">
        <v>2.0</v>
      </c>
      <c r="C3978" s="44">
        <v>13.63</v>
      </c>
      <c r="D3978" s="46">
        <v>45134.0</v>
      </c>
      <c r="E3978" s="24">
        <v>6.82</v>
      </c>
      <c r="F3978" s="24">
        <v>76.15</v>
      </c>
      <c r="G3978" s="24">
        <v>1.12</v>
      </c>
      <c r="H3978" s="24" t="s">
        <v>6696</v>
      </c>
      <c r="I3978" s="24" t="s">
        <v>6650</v>
      </c>
      <c r="J3978" s="24">
        <v>1.0</v>
      </c>
    </row>
    <row r="3979">
      <c r="A3979" s="24">
        <v>39.0</v>
      </c>
      <c r="B3979" s="24">
        <v>0.0</v>
      </c>
      <c r="C3979" s="44">
        <v>12.5</v>
      </c>
      <c r="D3979" s="46">
        <v>45134.0</v>
      </c>
      <c r="E3979" s="24" t="s">
        <v>6650</v>
      </c>
      <c r="F3979" s="24">
        <v>320.51</v>
      </c>
      <c r="G3979" s="24">
        <v>0.0</v>
      </c>
      <c r="H3979" s="24" t="s">
        <v>6697</v>
      </c>
      <c r="I3979" s="24" t="s">
        <v>6650</v>
      </c>
      <c r="J3979" s="24">
        <v>0.0</v>
      </c>
    </row>
    <row r="3980">
      <c r="A3980" s="24">
        <v>941.0</v>
      </c>
      <c r="B3980" s="24">
        <v>8.0</v>
      </c>
      <c r="C3980" s="44">
        <v>12.64</v>
      </c>
      <c r="D3980" s="46">
        <v>45134.0</v>
      </c>
      <c r="E3980" s="24">
        <v>1.58</v>
      </c>
      <c r="F3980" s="24">
        <v>13.43</v>
      </c>
      <c r="G3980" s="24">
        <v>0.85</v>
      </c>
      <c r="H3980" s="24" t="s">
        <v>6689</v>
      </c>
      <c r="I3980" s="24" t="s">
        <v>6650</v>
      </c>
      <c r="J3980" s="24">
        <v>0.0</v>
      </c>
    </row>
    <row r="3981">
      <c r="A3981" s="24">
        <v>291.0</v>
      </c>
      <c r="B3981" s="24">
        <v>0.0</v>
      </c>
      <c r="C3981" s="44">
        <v>13.48</v>
      </c>
      <c r="D3981" s="46">
        <v>45134.0</v>
      </c>
      <c r="E3981" s="24" t="s">
        <v>6650</v>
      </c>
      <c r="F3981" s="24">
        <v>46.32</v>
      </c>
      <c r="G3981" s="24">
        <v>0.0</v>
      </c>
      <c r="H3981" s="24" t="s">
        <v>6680</v>
      </c>
      <c r="I3981" s="24" t="s">
        <v>6650</v>
      </c>
      <c r="J3981" s="24">
        <v>0.0</v>
      </c>
    </row>
    <row r="3982">
      <c r="A3982" s="24">
        <v>30.0</v>
      </c>
      <c r="B3982" s="24">
        <v>0.0</v>
      </c>
      <c r="C3982" s="44">
        <v>12.24</v>
      </c>
      <c r="D3982" s="46">
        <v>45135.0</v>
      </c>
      <c r="E3982" s="24" t="s">
        <v>6650</v>
      </c>
      <c r="F3982" s="24">
        <v>408.0</v>
      </c>
      <c r="G3982" s="24">
        <v>0.0</v>
      </c>
      <c r="H3982" s="24" t="s">
        <v>6697</v>
      </c>
      <c r="I3982" s="24" t="s">
        <v>6650</v>
      </c>
      <c r="J3982" s="24">
        <v>0.0</v>
      </c>
    </row>
    <row r="3983">
      <c r="A3983" s="24">
        <v>37.0</v>
      </c>
      <c r="B3983" s="24">
        <v>0.0</v>
      </c>
      <c r="C3983" s="44">
        <v>9.47</v>
      </c>
      <c r="D3983" s="46">
        <v>45135.0</v>
      </c>
      <c r="E3983" s="24" t="s">
        <v>6650</v>
      </c>
      <c r="F3983" s="24">
        <v>255.95</v>
      </c>
      <c r="G3983" s="24">
        <v>0.0</v>
      </c>
      <c r="H3983" s="24" t="s">
        <v>6701</v>
      </c>
      <c r="I3983" s="24" t="s">
        <v>6650</v>
      </c>
      <c r="J3983" s="24">
        <v>0.0</v>
      </c>
    </row>
    <row r="3984">
      <c r="A3984" s="24">
        <v>118.0</v>
      </c>
      <c r="B3984" s="24">
        <v>1.0</v>
      </c>
      <c r="C3984" s="44">
        <v>10.57</v>
      </c>
      <c r="D3984" s="46">
        <v>45135.0</v>
      </c>
      <c r="E3984" s="24">
        <v>10.57</v>
      </c>
      <c r="F3984" s="24">
        <v>89.58</v>
      </c>
      <c r="G3984" s="24">
        <v>0.85</v>
      </c>
      <c r="H3984" s="24" t="s">
        <v>6680</v>
      </c>
      <c r="I3984" s="24" t="s">
        <v>6650</v>
      </c>
      <c r="J3984" s="24">
        <v>0.0</v>
      </c>
    </row>
    <row r="3985">
      <c r="A3985" s="24">
        <v>68.0</v>
      </c>
      <c r="B3985" s="24">
        <v>1.0</v>
      </c>
      <c r="C3985" s="44">
        <v>9.65</v>
      </c>
      <c r="D3985" s="46">
        <v>45135.0</v>
      </c>
      <c r="E3985" s="24">
        <v>9.65</v>
      </c>
      <c r="F3985" s="24">
        <v>141.91</v>
      </c>
      <c r="G3985" s="24">
        <v>1.47</v>
      </c>
      <c r="H3985" s="24" t="s">
        <v>6692</v>
      </c>
      <c r="I3985" s="24" t="s">
        <v>6650</v>
      </c>
      <c r="J3985" s="24">
        <v>0.0</v>
      </c>
    </row>
    <row r="3986">
      <c r="A3986" s="24">
        <v>831.0</v>
      </c>
      <c r="B3986" s="24">
        <v>8.0</v>
      </c>
      <c r="C3986" s="44">
        <v>11.27</v>
      </c>
      <c r="D3986" s="46">
        <v>45135.0</v>
      </c>
      <c r="E3986" s="24">
        <v>1.41</v>
      </c>
      <c r="F3986" s="24">
        <v>13.56</v>
      </c>
      <c r="G3986" s="24">
        <v>0.96</v>
      </c>
      <c r="H3986" s="24" t="s">
        <v>6689</v>
      </c>
      <c r="I3986" s="24" t="s">
        <v>6650</v>
      </c>
      <c r="J3986" s="24">
        <v>0.0</v>
      </c>
    </row>
    <row r="3987">
      <c r="A3987" s="24">
        <v>116.0</v>
      </c>
      <c r="B3987" s="24">
        <v>0.0</v>
      </c>
      <c r="C3987" s="44">
        <v>9.62</v>
      </c>
      <c r="D3987" s="46">
        <v>45135.0</v>
      </c>
      <c r="E3987" s="24" t="s">
        <v>6650</v>
      </c>
      <c r="F3987" s="24">
        <v>82.93</v>
      </c>
      <c r="G3987" s="24">
        <v>0.0</v>
      </c>
      <c r="H3987" s="24" t="s">
        <v>6700</v>
      </c>
      <c r="I3987" s="24" t="s">
        <v>6650</v>
      </c>
      <c r="J3987" s="24">
        <v>0.0</v>
      </c>
    </row>
    <row r="3988">
      <c r="A3988" s="24">
        <v>46.0</v>
      </c>
      <c r="B3988" s="24">
        <v>1.0</v>
      </c>
      <c r="C3988" s="44">
        <v>9.42</v>
      </c>
      <c r="D3988" s="46">
        <v>45135.0</v>
      </c>
      <c r="E3988" s="24">
        <v>9.42</v>
      </c>
      <c r="F3988" s="24">
        <v>204.78</v>
      </c>
      <c r="G3988" s="24">
        <v>2.17</v>
      </c>
      <c r="H3988" s="24" t="s">
        <v>6695</v>
      </c>
      <c r="I3988" s="24" t="s">
        <v>6650</v>
      </c>
      <c r="J3988" s="24">
        <v>0.0</v>
      </c>
    </row>
    <row r="3989">
      <c r="A3989" s="24">
        <v>2034.0</v>
      </c>
      <c r="B3989" s="24">
        <v>7.0</v>
      </c>
      <c r="C3989" s="44">
        <v>9.95</v>
      </c>
      <c r="D3989" s="46">
        <v>45135.0</v>
      </c>
      <c r="E3989" s="24">
        <v>1.42</v>
      </c>
      <c r="F3989" s="24">
        <v>4.89</v>
      </c>
      <c r="G3989" s="24">
        <v>0.34</v>
      </c>
      <c r="H3989" s="24" t="s">
        <v>6688</v>
      </c>
      <c r="I3989" s="24">
        <v>1.42</v>
      </c>
      <c r="J3989" s="24">
        <v>0.0</v>
      </c>
    </row>
    <row r="3990">
      <c r="A3990" s="24">
        <v>31.0</v>
      </c>
      <c r="B3990" s="24">
        <v>0.0</v>
      </c>
      <c r="C3990" s="44">
        <v>10.47</v>
      </c>
      <c r="D3990" s="46">
        <v>45135.0</v>
      </c>
      <c r="E3990" s="24" t="s">
        <v>6650</v>
      </c>
      <c r="F3990" s="24">
        <v>337.74</v>
      </c>
      <c r="G3990" s="24">
        <v>0.0</v>
      </c>
      <c r="H3990" s="24" t="s">
        <v>6699</v>
      </c>
      <c r="I3990" s="24" t="s">
        <v>6650</v>
      </c>
      <c r="J3990" s="24">
        <v>0.0</v>
      </c>
    </row>
    <row r="3991">
      <c r="A3991" s="24">
        <v>727.0</v>
      </c>
      <c r="B3991" s="24">
        <v>3.0</v>
      </c>
      <c r="C3991" s="44">
        <v>10.0</v>
      </c>
      <c r="D3991" s="46">
        <v>45135.0</v>
      </c>
      <c r="E3991" s="24">
        <v>3.33</v>
      </c>
      <c r="F3991" s="24">
        <v>13.76</v>
      </c>
      <c r="G3991" s="24">
        <v>0.41</v>
      </c>
      <c r="H3991" s="24" t="s">
        <v>6698</v>
      </c>
      <c r="I3991" s="24">
        <v>10.0</v>
      </c>
      <c r="J3991" s="24">
        <v>0.0</v>
      </c>
    </row>
    <row r="3992">
      <c r="A3992" s="24">
        <v>9.0</v>
      </c>
      <c r="B3992" s="24">
        <v>3.0</v>
      </c>
      <c r="C3992" s="44">
        <v>6.75</v>
      </c>
      <c r="D3992" s="46">
        <v>45135.0</v>
      </c>
      <c r="E3992" s="24">
        <v>2.25</v>
      </c>
      <c r="F3992" s="24">
        <v>750.0</v>
      </c>
      <c r="G3992" s="24">
        <v>33.33</v>
      </c>
      <c r="H3992" s="24" t="s">
        <v>6702</v>
      </c>
      <c r="I3992" s="24" t="s">
        <v>6650</v>
      </c>
      <c r="J3992" s="24">
        <v>0.0</v>
      </c>
    </row>
    <row r="3993">
      <c r="A3993" s="24">
        <v>107.0</v>
      </c>
      <c r="B3993" s="24">
        <v>0.0</v>
      </c>
      <c r="C3993" s="44">
        <v>7.3</v>
      </c>
      <c r="D3993" s="46">
        <v>45135.0</v>
      </c>
      <c r="E3993" s="24" t="s">
        <v>6650</v>
      </c>
      <c r="F3993" s="24">
        <v>68.22</v>
      </c>
      <c r="G3993" s="24">
        <v>0.0</v>
      </c>
      <c r="H3993" s="24" t="s">
        <v>6696</v>
      </c>
      <c r="I3993" s="24" t="s">
        <v>6650</v>
      </c>
      <c r="J3993" s="24">
        <v>0.0</v>
      </c>
    </row>
    <row r="3994">
      <c r="A3994" s="24">
        <v>41.0</v>
      </c>
      <c r="B3994" s="24">
        <v>0.0</v>
      </c>
      <c r="C3994" s="44">
        <v>6.99</v>
      </c>
      <c r="D3994" s="46">
        <v>45136.0</v>
      </c>
      <c r="E3994" s="24" t="s">
        <v>6650</v>
      </c>
      <c r="F3994" s="24">
        <v>170.49</v>
      </c>
      <c r="G3994" s="24">
        <v>0.0</v>
      </c>
      <c r="H3994" s="24" t="s">
        <v>6680</v>
      </c>
      <c r="I3994" s="24">
        <v>6.99</v>
      </c>
      <c r="J3994" s="24">
        <v>0.0</v>
      </c>
    </row>
    <row r="3995">
      <c r="A3995" s="24">
        <v>24.0</v>
      </c>
      <c r="B3995" s="24">
        <v>0.0</v>
      </c>
      <c r="C3995" s="44">
        <v>5.57</v>
      </c>
      <c r="D3995" s="46">
        <v>45136.0</v>
      </c>
      <c r="E3995" s="24" t="s">
        <v>6650</v>
      </c>
      <c r="F3995" s="24">
        <v>232.08</v>
      </c>
      <c r="G3995" s="24">
        <v>0.0</v>
      </c>
      <c r="H3995" s="24" t="s">
        <v>6699</v>
      </c>
      <c r="I3995" s="24" t="s">
        <v>6650</v>
      </c>
      <c r="J3995" s="24">
        <v>0.0</v>
      </c>
    </row>
    <row r="3996">
      <c r="A3996" s="24">
        <v>536.0</v>
      </c>
      <c r="B3996" s="24">
        <v>7.0</v>
      </c>
      <c r="C3996" s="44">
        <v>6.51</v>
      </c>
      <c r="D3996" s="46">
        <v>45136.0</v>
      </c>
      <c r="E3996" s="24">
        <v>0.93</v>
      </c>
      <c r="F3996" s="24">
        <v>12.15</v>
      </c>
      <c r="G3996" s="24">
        <v>1.31</v>
      </c>
      <c r="H3996" s="24" t="s">
        <v>6689</v>
      </c>
      <c r="I3996" s="24" t="s">
        <v>6650</v>
      </c>
      <c r="J3996" s="24">
        <v>0.0</v>
      </c>
    </row>
    <row r="3997">
      <c r="A3997" s="24">
        <v>40.0</v>
      </c>
      <c r="B3997" s="24">
        <v>1.0</v>
      </c>
      <c r="C3997" s="44">
        <v>5.82</v>
      </c>
      <c r="D3997" s="46">
        <v>45136.0</v>
      </c>
      <c r="E3997" s="24">
        <v>5.82</v>
      </c>
      <c r="F3997" s="24">
        <v>145.5</v>
      </c>
      <c r="G3997" s="24">
        <v>2.5</v>
      </c>
      <c r="H3997" s="24" t="s">
        <v>6692</v>
      </c>
      <c r="I3997" s="24" t="s">
        <v>6650</v>
      </c>
      <c r="J3997" s="24">
        <v>0.0</v>
      </c>
    </row>
    <row r="3998">
      <c r="A3998" s="24">
        <v>44.0</v>
      </c>
      <c r="B3998" s="24">
        <v>0.0</v>
      </c>
      <c r="C3998" s="44">
        <v>10.81</v>
      </c>
      <c r="D3998" s="46">
        <v>45136.0</v>
      </c>
      <c r="E3998" s="24" t="s">
        <v>6650</v>
      </c>
      <c r="F3998" s="24">
        <v>245.68</v>
      </c>
      <c r="G3998" s="24">
        <v>0.0</v>
      </c>
      <c r="H3998" s="24" t="s">
        <v>6698</v>
      </c>
      <c r="I3998" s="24">
        <v>5.4</v>
      </c>
      <c r="J3998" s="24">
        <v>0.0</v>
      </c>
    </row>
    <row r="3999">
      <c r="A3999" s="24">
        <v>16.0</v>
      </c>
      <c r="B3999" s="24">
        <v>1.0</v>
      </c>
      <c r="C3999" s="44">
        <v>3.96</v>
      </c>
      <c r="D3999" s="46">
        <v>45136.0</v>
      </c>
      <c r="E3999" s="24">
        <v>3.96</v>
      </c>
      <c r="F3999" s="24">
        <v>247.5</v>
      </c>
      <c r="G3999" s="24">
        <v>6.25</v>
      </c>
      <c r="H3999" s="24" t="s">
        <v>6695</v>
      </c>
      <c r="I3999" s="24" t="s">
        <v>6650</v>
      </c>
      <c r="J3999" s="24">
        <v>0.0</v>
      </c>
    </row>
    <row r="4000">
      <c r="A4000" s="24">
        <v>24.0</v>
      </c>
      <c r="B4000" s="24">
        <v>1.0</v>
      </c>
      <c r="C4000" s="44">
        <v>5.01</v>
      </c>
      <c r="D4000" s="46">
        <v>45136.0</v>
      </c>
      <c r="E4000" s="24">
        <v>5.01</v>
      </c>
      <c r="F4000" s="24">
        <v>208.75</v>
      </c>
      <c r="G4000" s="24">
        <v>4.17</v>
      </c>
      <c r="H4000" s="24" t="s">
        <v>6701</v>
      </c>
      <c r="I4000" s="24" t="s">
        <v>6650</v>
      </c>
      <c r="J4000" s="24">
        <v>0.0</v>
      </c>
    </row>
    <row r="4001">
      <c r="A4001" s="24">
        <v>4.0</v>
      </c>
      <c r="B4001" s="24">
        <v>3.0</v>
      </c>
      <c r="C4001" s="44">
        <v>3.0</v>
      </c>
      <c r="D4001" s="46">
        <v>45136.0</v>
      </c>
      <c r="E4001" s="24">
        <v>1.0</v>
      </c>
      <c r="F4001" s="24">
        <v>750.0</v>
      </c>
      <c r="G4001" s="24">
        <v>75.0</v>
      </c>
      <c r="H4001" s="24" t="s">
        <v>6702</v>
      </c>
      <c r="I4001" s="24" t="s">
        <v>6650</v>
      </c>
      <c r="J4001" s="24">
        <v>0.0</v>
      </c>
    </row>
    <row r="4002">
      <c r="A4002" s="24">
        <v>1514.0</v>
      </c>
      <c r="B4002" s="24">
        <v>9.0</v>
      </c>
      <c r="C4002" s="44">
        <v>6.9</v>
      </c>
      <c r="D4002" s="46">
        <v>45136.0</v>
      </c>
      <c r="E4002" s="24">
        <v>0.77</v>
      </c>
      <c r="F4002" s="24">
        <v>4.56</v>
      </c>
      <c r="G4002" s="24">
        <v>0.59</v>
      </c>
      <c r="H4002" s="24" t="s">
        <v>6688</v>
      </c>
      <c r="I4002" s="24">
        <v>3.45</v>
      </c>
      <c r="J4002" s="24">
        <v>0.0</v>
      </c>
    </row>
    <row r="4003">
      <c r="A4003" s="24">
        <v>32.0</v>
      </c>
      <c r="B4003" s="24">
        <v>0.0</v>
      </c>
      <c r="C4003" s="44">
        <v>8.46</v>
      </c>
      <c r="D4003" s="46">
        <v>45136.0</v>
      </c>
      <c r="E4003" s="24" t="s">
        <v>6650</v>
      </c>
      <c r="F4003" s="24">
        <v>264.38</v>
      </c>
      <c r="G4003" s="24">
        <v>0.0</v>
      </c>
      <c r="H4003" s="24" t="s">
        <v>6696</v>
      </c>
      <c r="I4003" s="24" t="s">
        <v>6650</v>
      </c>
      <c r="J4003" s="24">
        <v>0.0</v>
      </c>
    </row>
    <row r="4004">
      <c r="A4004" s="24">
        <v>19.0</v>
      </c>
      <c r="B4004" s="24">
        <v>1.0</v>
      </c>
      <c r="C4004" s="44">
        <v>6.66</v>
      </c>
      <c r="D4004" s="46">
        <v>45136.0</v>
      </c>
      <c r="E4004" s="24">
        <v>6.66</v>
      </c>
      <c r="F4004" s="24">
        <v>350.53</v>
      </c>
      <c r="G4004" s="24">
        <v>5.26</v>
      </c>
      <c r="H4004" s="24" t="s">
        <v>6697</v>
      </c>
      <c r="I4004" s="24" t="s">
        <v>6650</v>
      </c>
      <c r="J4004" s="24">
        <v>0.0</v>
      </c>
    </row>
    <row r="4005">
      <c r="A4005" s="24">
        <v>52.0</v>
      </c>
      <c r="B4005" s="24">
        <v>0.0</v>
      </c>
      <c r="C4005" s="44">
        <v>11.81</v>
      </c>
      <c r="D4005" s="46">
        <v>45136.0</v>
      </c>
      <c r="E4005" s="24" t="s">
        <v>6650</v>
      </c>
      <c r="F4005" s="24">
        <v>227.12</v>
      </c>
      <c r="G4005" s="24">
        <v>0.0</v>
      </c>
      <c r="H4005" s="24" t="s">
        <v>6700</v>
      </c>
      <c r="I4005" s="24" t="s">
        <v>6650</v>
      </c>
      <c r="J4005" s="24">
        <v>0.0</v>
      </c>
    </row>
    <row r="4006">
      <c r="A4006" s="24">
        <v>190.0</v>
      </c>
      <c r="B4006" s="24">
        <v>2.0</v>
      </c>
      <c r="C4006" s="44">
        <v>1.91</v>
      </c>
      <c r="D4006" s="46">
        <v>45137.0</v>
      </c>
      <c r="E4006" s="24">
        <v>0.96</v>
      </c>
      <c r="F4006" s="24">
        <v>10.05</v>
      </c>
      <c r="G4006" s="24">
        <v>1.05</v>
      </c>
      <c r="H4006" s="24" t="s">
        <v>6698</v>
      </c>
      <c r="I4006" s="24">
        <v>1.91</v>
      </c>
      <c r="J4006" s="24">
        <v>0.0</v>
      </c>
    </row>
    <row r="4007">
      <c r="A4007" s="24">
        <v>0.0</v>
      </c>
      <c r="B4007" s="24">
        <v>0.0</v>
      </c>
      <c r="C4007" s="44"/>
      <c r="D4007" s="46">
        <v>45137.0</v>
      </c>
      <c r="E4007" s="24" t="s">
        <v>6650</v>
      </c>
      <c r="F4007" s="24" t="s">
        <v>6650</v>
      </c>
      <c r="G4007" s="24" t="s">
        <v>6650</v>
      </c>
      <c r="H4007" s="24" t="s">
        <v>6700</v>
      </c>
      <c r="I4007" s="24" t="s">
        <v>6650</v>
      </c>
      <c r="J4007" s="24"/>
    </row>
    <row r="4008">
      <c r="A4008" s="24">
        <v>8.0</v>
      </c>
      <c r="B4008" s="24">
        <v>0.0</v>
      </c>
      <c r="C4008" s="44">
        <v>0.9</v>
      </c>
      <c r="D4008" s="46">
        <v>45137.0</v>
      </c>
      <c r="E4008" s="24" t="s">
        <v>6650</v>
      </c>
      <c r="F4008" s="24">
        <v>112.5</v>
      </c>
      <c r="G4008" s="24">
        <v>0.0</v>
      </c>
      <c r="H4008" s="24" t="s">
        <v>6697</v>
      </c>
      <c r="I4008" s="24" t="s">
        <v>6650</v>
      </c>
      <c r="J4008" s="24">
        <v>0.0</v>
      </c>
    </row>
    <row r="4009">
      <c r="A4009" s="24">
        <v>1593.0</v>
      </c>
      <c r="B4009" s="24">
        <v>8.0</v>
      </c>
      <c r="C4009" s="44">
        <v>7.15</v>
      </c>
      <c r="D4009" s="46">
        <v>45137.0</v>
      </c>
      <c r="E4009" s="24">
        <v>0.89</v>
      </c>
      <c r="F4009" s="24">
        <v>4.49</v>
      </c>
      <c r="G4009" s="24">
        <v>0.5</v>
      </c>
      <c r="H4009" s="24" t="s">
        <v>6688</v>
      </c>
      <c r="I4009" s="24">
        <v>7.15</v>
      </c>
      <c r="J4009" s="24">
        <v>0.0</v>
      </c>
    </row>
    <row r="4010">
      <c r="A4010" s="24">
        <v>10.0</v>
      </c>
      <c r="B4010" s="24">
        <v>0.0</v>
      </c>
      <c r="C4010" s="44">
        <v>2.83</v>
      </c>
      <c r="D4010" s="46">
        <v>45137.0</v>
      </c>
      <c r="E4010" s="24" t="s">
        <v>6650</v>
      </c>
      <c r="F4010" s="24">
        <v>283.0</v>
      </c>
      <c r="G4010" s="24">
        <v>0.0</v>
      </c>
      <c r="H4010" s="24" t="s">
        <v>6695</v>
      </c>
      <c r="I4010" s="24" t="s">
        <v>6650</v>
      </c>
      <c r="J4010" s="24">
        <v>0.0</v>
      </c>
    </row>
    <row r="4011">
      <c r="A4011" s="24">
        <v>17.0</v>
      </c>
      <c r="B4011" s="24">
        <v>0.0</v>
      </c>
      <c r="C4011" s="44">
        <v>2.31</v>
      </c>
      <c r="D4011" s="46">
        <v>45137.0</v>
      </c>
      <c r="E4011" s="24" t="s">
        <v>6650</v>
      </c>
      <c r="F4011" s="24">
        <v>135.88</v>
      </c>
      <c r="G4011" s="24">
        <v>0.0</v>
      </c>
      <c r="H4011" s="24" t="s">
        <v>6701</v>
      </c>
      <c r="I4011" s="24" t="s">
        <v>6650</v>
      </c>
      <c r="J4011" s="24">
        <v>0.0</v>
      </c>
    </row>
    <row r="4012">
      <c r="A4012" s="24">
        <v>359.0</v>
      </c>
      <c r="B4012" s="24">
        <v>4.0</v>
      </c>
      <c r="C4012" s="44">
        <v>5.17</v>
      </c>
      <c r="D4012" s="46">
        <v>45137.0</v>
      </c>
      <c r="E4012" s="24">
        <v>1.29</v>
      </c>
      <c r="F4012" s="24">
        <v>14.4</v>
      </c>
      <c r="G4012" s="24">
        <v>1.11</v>
      </c>
      <c r="H4012" s="24" t="s">
        <v>6689</v>
      </c>
      <c r="I4012" s="24" t="s">
        <v>6650</v>
      </c>
      <c r="J4012" s="24">
        <v>0.0</v>
      </c>
    </row>
    <row r="4013">
      <c r="A4013" s="24">
        <v>22.0</v>
      </c>
      <c r="B4013" s="24">
        <v>0.0</v>
      </c>
      <c r="C4013" s="44">
        <v>2.84</v>
      </c>
      <c r="D4013" s="46">
        <v>45137.0</v>
      </c>
      <c r="E4013" s="24" t="s">
        <v>6650</v>
      </c>
      <c r="F4013" s="24">
        <v>129.09</v>
      </c>
      <c r="G4013" s="24">
        <v>0.0</v>
      </c>
      <c r="H4013" s="24" t="s">
        <v>6699</v>
      </c>
      <c r="I4013" s="24" t="s">
        <v>6650</v>
      </c>
      <c r="J4013" s="24">
        <v>0.0</v>
      </c>
    </row>
    <row r="4014">
      <c r="A4014" s="24">
        <v>26.0</v>
      </c>
      <c r="B4014" s="24">
        <v>0.0</v>
      </c>
      <c r="C4014" s="44">
        <v>4.92</v>
      </c>
      <c r="D4014" s="46">
        <v>45137.0</v>
      </c>
      <c r="E4014" s="24" t="s">
        <v>6650</v>
      </c>
      <c r="F4014" s="24">
        <v>189.23</v>
      </c>
      <c r="G4014" s="24">
        <v>0.0</v>
      </c>
      <c r="H4014" s="24" t="s">
        <v>6692</v>
      </c>
      <c r="I4014" s="24" t="s">
        <v>6650</v>
      </c>
      <c r="J4014" s="24">
        <v>0.0</v>
      </c>
    </row>
    <row r="4015">
      <c r="A4015" s="24">
        <v>5.0</v>
      </c>
      <c r="B4015" s="24">
        <v>0.0</v>
      </c>
      <c r="C4015" s="44">
        <v>3.75</v>
      </c>
      <c r="D4015" s="46">
        <v>45137.0</v>
      </c>
      <c r="E4015" s="24" t="s">
        <v>6650</v>
      </c>
      <c r="F4015" s="24">
        <v>750.0</v>
      </c>
      <c r="G4015" s="24">
        <v>0.0</v>
      </c>
      <c r="H4015" s="24" t="s">
        <v>6702</v>
      </c>
      <c r="I4015" s="24" t="s">
        <v>6650</v>
      </c>
      <c r="J4015" s="24">
        <v>0.0</v>
      </c>
    </row>
    <row r="4016">
      <c r="A4016" s="24">
        <v>56.0</v>
      </c>
      <c r="B4016" s="24">
        <v>0.0</v>
      </c>
      <c r="C4016" s="44">
        <v>5.92</v>
      </c>
      <c r="D4016" s="46">
        <v>45137.0</v>
      </c>
      <c r="E4016" s="24" t="s">
        <v>6650</v>
      </c>
      <c r="F4016" s="24">
        <v>105.71</v>
      </c>
      <c r="G4016" s="24">
        <v>0.0</v>
      </c>
      <c r="H4016" s="24" t="s">
        <v>6680</v>
      </c>
      <c r="I4016" s="24" t="s">
        <v>6650</v>
      </c>
      <c r="J4016" s="24">
        <v>0.0</v>
      </c>
    </row>
    <row r="4017">
      <c r="A4017" s="24">
        <v>7.0</v>
      </c>
      <c r="B4017" s="24">
        <v>3.0</v>
      </c>
      <c r="C4017" s="44">
        <v>5.25</v>
      </c>
      <c r="D4017" s="46">
        <v>45138.0</v>
      </c>
      <c r="E4017" s="24">
        <v>1.75</v>
      </c>
      <c r="F4017" s="24">
        <v>750.0</v>
      </c>
      <c r="G4017" s="24">
        <v>42.86</v>
      </c>
      <c r="H4017" s="24" t="s">
        <v>6702</v>
      </c>
      <c r="I4017" s="24" t="s">
        <v>6650</v>
      </c>
      <c r="J4017" s="24">
        <v>0.0</v>
      </c>
    </row>
    <row r="4018">
      <c r="A4018" s="24">
        <v>959.0</v>
      </c>
      <c r="B4018" s="24">
        <v>10.0</v>
      </c>
      <c r="C4018" s="44">
        <v>10.28</v>
      </c>
      <c r="D4018" s="46">
        <v>45138.0</v>
      </c>
      <c r="E4018" s="24">
        <v>1.03</v>
      </c>
      <c r="F4018" s="24">
        <v>10.72</v>
      </c>
      <c r="G4018" s="24">
        <v>1.04</v>
      </c>
      <c r="H4018" s="24" t="s">
        <v>6689</v>
      </c>
      <c r="I4018" s="24" t="s">
        <v>6650</v>
      </c>
      <c r="J4018" s="24">
        <v>0.0</v>
      </c>
    </row>
    <row r="4019">
      <c r="A4019" s="24">
        <v>59.0</v>
      </c>
      <c r="B4019" s="24">
        <v>2.0</v>
      </c>
      <c r="C4019" s="44">
        <v>14.04</v>
      </c>
      <c r="D4019" s="46">
        <v>45138.0</v>
      </c>
      <c r="E4019" s="24">
        <v>7.02</v>
      </c>
      <c r="F4019" s="24">
        <v>237.97</v>
      </c>
      <c r="G4019" s="24">
        <v>3.39</v>
      </c>
      <c r="H4019" s="24" t="s">
        <v>6701</v>
      </c>
      <c r="I4019" s="24" t="s">
        <v>6650</v>
      </c>
      <c r="J4019" s="24">
        <v>0.0</v>
      </c>
    </row>
    <row r="4020">
      <c r="A4020" s="24">
        <v>54.0</v>
      </c>
      <c r="B4020" s="24">
        <v>1.0</v>
      </c>
      <c r="C4020" s="44">
        <v>11.08</v>
      </c>
      <c r="D4020" s="46">
        <v>45138.0</v>
      </c>
      <c r="E4020" s="24">
        <v>11.08</v>
      </c>
      <c r="F4020" s="24">
        <v>205.19</v>
      </c>
      <c r="G4020" s="24">
        <v>1.85</v>
      </c>
      <c r="H4020" s="24" t="s">
        <v>6695</v>
      </c>
      <c r="I4020" s="24" t="s">
        <v>6650</v>
      </c>
      <c r="J4020" s="24">
        <v>0.0</v>
      </c>
    </row>
    <row r="4021">
      <c r="A4021" s="24">
        <v>530.0</v>
      </c>
      <c r="B4021" s="24">
        <v>1.0</v>
      </c>
      <c r="C4021" s="44">
        <v>12.15</v>
      </c>
      <c r="D4021" s="46">
        <v>45138.0</v>
      </c>
      <c r="E4021" s="24">
        <v>12.15</v>
      </c>
      <c r="F4021" s="24">
        <v>22.92</v>
      </c>
      <c r="G4021" s="24">
        <v>0.19</v>
      </c>
      <c r="H4021" s="24" t="s">
        <v>6700</v>
      </c>
      <c r="I4021" s="24">
        <v>12.15</v>
      </c>
      <c r="J4021" s="24">
        <v>0.0</v>
      </c>
    </row>
    <row r="4022">
      <c r="A4022" s="24">
        <v>2159.0</v>
      </c>
      <c r="B4022" s="24">
        <v>8.0</v>
      </c>
      <c r="C4022" s="44">
        <v>11.24</v>
      </c>
      <c r="D4022" s="46">
        <v>45138.0</v>
      </c>
      <c r="E4022" s="24">
        <v>1.4</v>
      </c>
      <c r="F4022" s="24">
        <v>5.21</v>
      </c>
      <c r="G4022" s="24">
        <v>0.37</v>
      </c>
      <c r="H4022" s="24" t="s">
        <v>6688</v>
      </c>
      <c r="I4022" s="24">
        <v>2.81</v>
      </c>
      <c r="J4022" s="24">
        <v>0.0</v>
      </c>
    </row>
    <row r="4023">
      <c r="A4023" s="24">
        <v>536.0</v>
      </c>
      <c r="B4023" s="24">
        <v>2.0</v>
      </c>
      <c r="C4023" s="44">
        <v>12.02</v>
      </c>
      <c r="D4023" s="46">
        <v>45138.0</v>
      </c>
      <c r="E4023" s="24">
        <v>6.01</v>
      </c>
      <c r="F4023" s="24">
        <v>22.43</v>
      </c>
      <c r="G4023" s="24">
        <v>0.37</v>
      </c>
      <c r="H4023" s="24" t="s">
        <v>6698</v>
      </c>
      <c r="I4023" s="24">
        <v>12.02</v>
      </c>
      <c r="J4023" s="24">
        <v>0.0</v>
      </c>
    </row>
    <row r="4024">
      <c r="A4024" s="24">
        <v>79.0</v>
      </c>
      <c r="B4024" s="24">
        <v>2.0</v>
      </c>
      <c r="C4024" s="44">
        <v>15.0</v>
      </c>
      <c r="D4024" s="46">
        <v>45138.0</v>
      </c>
      <c r="E4024" s="24">
        <v>7.5</v>
      </c>
      <c r="F4024" s="24">
        <v>189.87</v>
      </c>
      <c r="G4024" s="24">
        <v>2.53</v>
      </c>
      <c r="H4024" s="24" t="s">
        <v>6699</v>
      </c>
      <c r="I4024" s="24" t="s">
        <v>6650</v>
      </c>
      <c r="J4024" s="24">
        <v>0.0</v>
      </c>
    </row>
    <row r="4025">
      <c r="A4025" s="24">
        <v>135.0</v>
      </c>
      <c r="B4025" s="24">
        <v>0.0</v>
      </c>
      <c r="C4025" s="44">
        <v>13.27</v>
      </c>
      <c r="D4025" s="46">
        <v>45138.0</v>
      </c>
      <c r="E4025" s="24" t="s">
        <v>6650</v>
      </c>
      <c r="F4025" s="24">
        <v>98.3</v>
      </c>
      <c r="G4025" s="24">
        <v>0.0</v>
      </c>
      <c r="H4025" s="24" t="s">
        <v>6680</v>
      </c>
      <c r="I4025" s="24" t="s">
        <v>6650</v>
      </c>
      <c r="J4025" s="24">
        <v>0.0</v>
      </c>
    </row>
    <row r="4026">
      <c r="A4026" s="24">
        <v>113.0</v>
      </c>
      <c r="B4026" s="24">
        <v>1.0</v>
      </c>
      <c r="C4026" s="44">
        <v>14.09</v>
      </c>
      <c r="D4026" s="46">
        <v>45138.0</v>
      </c>
      <c r="E4026" s="24">
        <v>14.09</v>
      </c>
      <c r="F4026" s="24">
        <v>124.69</v>
      </c>
      <c r="G4026" s="24">
        <v>0.88</v>
      </c>
      <c r="H4026" s="24" t="s">
        <v>6696</v>
      </c>
      <c r="I4026" s="24" t="s">
        <v>6650</v>
      </c>
      <c r="J4026" s="24">
        <v>0.0</v>
      </c>
    </row>
    <row r="4027">
      <c r="A4027" s="24">
        <v>72.0</v>
      </c>
      <c r="B4027" s="24">
        <v>1.0</v>
      </c>
      <c r="C4027" s="44">
        <v>11.4</v>
      </c>
      <c r="D4027" s="46">
        <v>45138.0</v>
      </c>
      <c r="E4027" s="24">
        <v>11.4</v>
      </c>
      <c r="F4027" s="24">
        <v>158.33</v>
      </c>
      <c r="G4027" s="24">
        <v>1.39</v>
      </c>
      <c r="H4027" s="24" t="s">
        <v>6697</v>
      </c>
      <c r="I4027" s="24" t="s">
        <v>6650</v>
      </c>
      <c r="J4027" s="24">
        <v>0.0</v>
      </c>
    </row>
    <row r="4028">
      <c r="A4028" s="24">
        <v>157.0</v>
      </c>
      <c r="B4028" s="24">
        <v>1.0</v>
      </c>
      <c r="C4028" s="44">
        <v>12.27</v>
      </c>
      <c r="D4028" s="46">
        <v>45138.0</v>
      </c>
      <c r="E4028" s="24">
        <v>12.27</v>
      </c>
      <c r="F4028" s="24">
        <v>78.15</v>
      </c>
      <c r="G4028" s="24">
        <v>0.64</v>
      </c>
      <c r="H4028" s="24" t="s">
        <v>6692</v>
      </c>
      <c r="I4028" s="24" t="s">
        <v>6650</v>
      </c>
      <c r="J4028" s="24">
        <v>0.0</v>
      </c>
    </row>
    <row r="4029">
      <c r="A4029" s="24">
        <v>32.0</v>
      </c>
      <c r="B4029" s="24">
        <v>3.0</v>
      </c>
      <c r="C4029" s="44">
        <v>13.43</v>
      </c>
      <c r="D4029" s="46">
        <v>45139.0</v>
      </c>
      <c r="E4029" s="24">
        <v>4.48</v>
      </c>
      <c r="F4029" s="24">
        <v>419.69</v>
      </c>
      <c r="G4029" s="24">
        <v>9.38</v>
      </c>
      <c r="H4029" s="24" t="s">
        <v>6699</v>
      </c>
      <c r="I4029" s="24" t="s">
        <v>6650</v>
      </c>
      <c r="J4029" s="24">
        <v>0.0</v>
      </c>
    </row>
    <row r="4030">
      <c r="A4030" s="24">
        <v>48.0</v>
      </c>
      <c r="B4030" s="24">
        <v>0.0</v>
      </c>
      <c r="C4030" s="44">
        <v>11.81</v>
      </c>
      <c r="D4030" s="46">
        <v>45139.0</v>
      </c>
      <c r="E4030" s="24" t="s">
        <v>6650</v>
      </c>
      <c r="F4030" s="24">
        <v>246.04</v>
      </c>
      <c r="G4030" s="24">
        <v>0.0</v>
      </c>
      <c r="H4030" s="24" t="s">
        <v>6695</v>
      </c>
      <c r="I4030" s="24" t="s">
        <v>6650</v>
      </c>
      <c r="J4030" s="24">
        <v>0.0</v>
      </c>
    </row>
    <row r="4031">
      <c r="A4031" s="24">
        <v>763.0</v>
      </c>
      <c r="B4031" s="24">
        <v>6.0</v>
      </c>
      <c r="C4031" s="44">
        <v>11.92</v>
      </c>
      <c r="D4031" s="46">
        <v>45139.0</v>
      </c>
      <c r="E4031" s="24">
        <v>1.99</v>
      </c>
      <c r="F4031" s="24">
        <v>15.62</v>
      </c>
      <c r="G4031" s="24">
        <v>0.79</v>
      </c>
      <c r="H4031" s="24" t="s">
        <v>6698</v>
      </c>
      <c r="I4031" s="24">
        <v>11.92</v>
      </c>
      <c r="J4031" s="24">
        <v>0.0</v>
      </c>
    </row>
    <row r="4032">
      <c r="A4032" s="24">
        <v>96.0</v>
      </c>
      <c r="B4032" s="24">
        <v>0.0</v>
      </c>
      <c r="C4032" s="44">
        <v>11.91</v>
      </c>
      <c r="D4032" s="46">
        <v>45139.0</v>
      </c>
      <c r="E4032" s="24" t="s">
        <v>6650</v>
      </c>
      <c r="F4032" s="24">
        <v>124.06</v>
      </c>
      <c r="G4032" s="24">
        <v>0.0</v>
      </c>
      <c r="H4032" s="24" t="s">
        <v>6692</v>
      </c>
      <c r="I4032" s="24" t="s">
        <v>6650</v>
      </c>
      <c r="J4032" s="24">
        <v>0.0</v>
      </c>
    </row>
    <row r="4033">
      <c r="A4033" s="24">
        <v>36.0</v>
      </c>
      <c r="B4033" s="24">
        <v>0.0</v>
      </c>
      <c r="C4033" s="44">
        <v>15.0</v>
      </c>
      <c r="D4033" s="46">
        <v>45139.0</v>
      </c>
      <c r="E4033" s="24" t="s">
        <v>6650</v>
      </c>
      <c r="F4033" s="24">
        <v>416.67</v>
      </c>
      <c r="G4033" s="24">
        <v>0.0</v>
      </c>
      <c r="H4033" s="24" t="s">
        <v>6697</v>
      </c>
      <c r="I4033" s="24" t="s">
        <v>6650</v>
      </c>
      <c r="J4033" s="24">
        <v>0.0</v>
      </c>
    </row>
    <row r="4034">
      <c r="A4034" s="24">
        <v>81.0</v>
      </c>
      <c r="B4034" s="24">
        <v>1.0</v>
      </c>
      <c r="C4034" s="44">
        <v>13.3</v>
      </c>
      <c r="D4034" s="46">
        <v>45139.0</v>
      </c>
      <c r="E4034" s="24">
        <v>13.3</v>
      </c>
      <c r="F4034" s="24">
        <v>164.2</v>
      </c>
      <c r="G4034" s="24">
        <v>1.23</v>
      </c>
      <c r="H4034" s="24" t="s">
        <v>6696</v>
      </c>
      <c r="I4034" s="24">
        <v>13.3</v>
      </c>
      <c r="J4034" s="24">
        <v>0.0</v>
      </c>
    </row>
    <row r="4035">
      <c r="A4035" s="24">
        <v>1147.0</v>
      </c>
      <c r="B4035" s="24">
        <v>8.0</v>
      </c>
      <c r="C4035" s="44">
        <v>11.33</v>
      </c>
      <c r="D4035" s="46">
        <v>45139.0</v>
      </c>
      <c r="E4035" s="24">
        <v>1.42</v>
      </c>
      <c r="F4035" s="24">
        <v>9.88</v>
      </c>
      <c r="G4035" s="24">
        <v>0.7</v>
      </c>
      <c r="H4035" s="24" t="s">
        <v>6689</v>
      </c>
      <c r="I4035" s="24">
        <v>11.33</v>
      </c>
      <c r="J4035" s="24">
        <v>0.0</v>
      </c>
    </row>
    <row r="4036">
      <c r="A4036" s="24">
        <v>2236.0</v>
      </c>
      <c r="B4036" s="24">
        <v>12.0</v>
      </c>
      <c r="C4036" s="44">
        <v>11.7</v>
      </c>
      <c r="D4036" s="46">
        <v>45139.0</v>
      </c>
      <c r="E4036" s="24">
        <v>0.98</v>
      </c>
      <c r="F4036" s="24">
        <v>5.23</v>
      </c>
      <c r="G4036" s="24">
        <v>0.54</v>
      </c>
      <c r="H4036" s="24" t="s">
        <v>6688</v>
      </c>
      <c r="I4036" s="24">
        <v>11.7</v>
      </c>
      <c r="J4036" s="24">
        <v>0.0</v>
      </c>
    </row>
    <row r="4037">
      <c r="A4037" s="24">
        <v>11.0</v>
      </c>
      <c r="B4037" s="24">
        <v>4.0</v>
      </c>
      <c r="C4037" s="44">
        <v>8.25</v>
      </c>
      <c r="D4037" s="46">
        <v>45139.0</v>
      </c>
      <c r="E4037" s="24">
        <v>2.06</v>
      </c>
      <c r="F4037" s="24">
        <v>750.0</v>
      </c>
      <c r="G4037" s="24">
        <v>36.36</v>
      </c>
      <c r="H4037" s="24" t="s">
        <v>6702</v>
      </c>
      <c r="I4037" s="24" t="s">
        <v>6650</v>
      </c>
      <c r="J4037" s="24">
        <v>0.0</v>
      </c>
    </row>
    <row r="4038">
      <c r="A4038" s="24">
        <v>61.0</v>
      </c>
      <c r="B4038" s="24">
        <v>1.0</v>
      </c>
      <c r="C4038" s="44">
        <v>11.72</v>
      </c>
      <c r="D4038" s="46">
        <v>45139.0</v>
      </c>
      <c r="E4038" s="24">
        <v>11.72</v>
      </c>
      <c r="F4038" s="24">
        <v>192.13</v>
      </c>
      <c r="G4038" s="24">
        <v>1.64</v>
      </c>
      <c r="H4038" s="24" t="s">
        <v>6701</v>
      </c>
      <c r="I4038" s="24">
        <v>5.86</v>
      </c>
      <c r="J4038" s="24">
        <v>0.0</v>
      </c>
    </row>
    <row r="4039">
      <c r="A4039" s="24">
        <v>154.0</v>
      </c>
      <c r="B4039" s="24">
        <v>4.0</v>
      </c>
      <c r="C4039" s="44">
        <v>12.03</v>
      </c>
      <c r="D4039" s="46">
        <v>45139.0</v>
      </c>
      <c r="E4039" s="24">
        <v>3.01</v>
      </c>
      <c r="F4039" s="24">
        <v>78.12</v>
      </c>
      <c r="G4039" s="24">
        <v>2.6</v>
      </c>
      <c r="H4039" s="24" t="s">
        <v>6700</v>
      </c>
      <c r="I4039" s="24">
        <v>12.03</v>
      </c>
      <c r="J4039" s="24">
        <v>0.0</v>
      </c>
    </row>
    <row r="4040">
      <c r="A4040" s="24">
        <v>208.0</v>
      </c>
      <c r="B4040" s="24">
        <v>1.0</v>
      </c>
      <c r="C4040" s="44">
        <v>13.27</v>
      </c>
      <c r="D4040" s="46">
        <v>45139.0</v>
      </c>
      <c r="E4040" s="24">
        <v>13.27</v>
      </c>
      <c r="F4040" s="24">
        <v>63.8</v>
      </c>
      <c r="G4040" s="24">
        <v>0.48</v>
      </c>
      <c r="H4040" s="24" t="s">
        <v>6680</v>
      </c>
      <c r="I4040" s="24" t="s">
        <v>6650</v>
      </c>
      <c r="J4040" s="24">
        <v>0.0</v>
      </c>
    </row>
    <row r="4041">
      <c r="A4041" s="24">
        <v>131.0</v>
      </c>
      <c r="B4041" s="24">
        <v>2.0</v>
      </c>
      <c r="C4041" s="44">
        <v>12.73</v>
      </c>
      <c r="D4041" s="46">
        <v>45140.0</v>
      </c>
      <c r="E4041" s="24">
        <v>6.36</v>
      </c>
      <c r="F4041" s="24">
        <v>97.18</v>
      </c>
      <c r="G4041" s="24">
        <v>1.53</v>
      </c>
      <c r="H4041" s="24" t="s">
        <v>6692</v>
      </c>
      <c r="I4041" s="24" t="s">
        <v>6650</v>
      </c>
      <c r="J4041" s="24">
        <v>0.0</v>
      </c>
    </row>
    <row r="4042">
      <c r="A4042" s="24">
        <v>111.0</v>
      </c>
      <c r="B4042" s="24">
        <v>0.0</v>
      </c>
      <c r="C4042" s="44">
        <v>11.07</v>
      </c>
      <c r="D4042" s="46">
        <v>45140.0</v>
      </c>
      <c r="E4042" s="24" t="s">
        <v>6650</v>
      </c>
      <c r="F4042" s="24">
        <v>99.73</v>
      </c>
      <c r="G4042" s="24">
        <v>0.0</v>
      </c>
      <c r="H4042" s="24" t="s">
        <v>6699</v>
      </c>
      <c r="I4042" s="24">
        <v>11.07</v>
      </c>
      <c r="J4042" s="24">
        <v>0.0</v>
      </c>
    </row>
    <row r="4043">
      <c r="A4043" s="24">
        <v>6.0</v>
      </c>
      <c r="B4043" s="24">
        <v>3.0</v>
      </c>
      <c r="C4043" s="44">
        <v>4.5</v>
      </c>
      <c r="D4043" s="46">
        <v>45140.0</v>
      </c>
      <c r="E4043" s="24">
        <v>1.5</v>
      </c>
      <c r="F4043" s="24">
        <v>750.0</v>
      </c>
      <c r="G4043" s="24">
        <v>50.0</v>
      </c>
      <c r="H4043" s="24" t="s">
        <v>6702</v>
      </c>
      <c r="I4043" s="24" t="s">
        <v>6650</v>
      </c>
      <c r="J4043" s="24">
        <v>0.0</v>
      </c>
    </row>
    <row r="4044">
      <c r="A4044" s="24">
        <v>2315.0</v>
      </c>
      <c r="B4044" s="24">
        <v>18.0</v>
      </c>
      <c r="C4044" s="44">
        <v>11.69</v>
      </c>
      <c r="D4044" s="46">
        <v>45140.0</v>
      </c>
      <c r="E4044" s="24">
        <v>0.65</v>
      </c>
      <c r="F4044" s="24">
        <v>5.05</v>
      </c>
      <c r="G4044" s="24">
        <v>0.78</v>
      </c>
      <c r="H4044" s="24" t="s">
        <v>6688</v>
      </c>
      <c r="I4044" s="24">
        <v>2.92</v>
      </c>
      <c r="J4044" s="24">
        <v>0.0</v>
      </c>
    </row>
    <row r="4045">
      <c r="A4045" s="24">
        <v>58.0</v>
      </c>
      <c r="B4045" s="24">
        <v>0.0</v>
      </c>
      <c r="C4045" s="44">
        <v>15.0</v>
      </c>
      <c r="D4045" s="46">
        <v>45140.0</v>
      </c>
      <c r="E4045" s="24" t="s">
        <v>6650</v>
      </c>
      <c r="F4045" s="24">
        <v>258.62</v>
      </c>
      <c r="G4045" s="24">
        <v>0.0</v>
      </c>
      <c r="H4045" s="24" t="s">
        <v>6695</v>
      </c>
      <c r="I4045" s="24" t="s">
        <v>6650</v>
      </c>
      <c r="J4045" s="24">
        <v>0.0</v>
      </c>
    </row>
    <row r="4046">
      <c r="A4046" s="24">
        <v>180.0</v>
      </c>
      <c r="B4046" s="24">
        <v>0.0</v>
      </c>
      <c r="C4046" s="44">
        <v>13.06</v>
      </c>
      <c r="D4046" s="46">
        <v>45140.0</v>
      </c>
      <c r="E4046" s="24" t="s">
        <v>6650</v>
      </c>
      <c r="F4046" s="24">
        <v>72.56</v>
      </c>
      <c r="G4046" s="24">
        <v>0.0</v>
      </c>
      <c r="H4046" s="24" t="s">
        <v>6680</v>
      </c>
      <c r="I4046" s="24" t="s">
        <v>6650</v>
      </c>
      <c r="J4046" s="24">
        <v>0.0</v>
      </c>
    </row>
    <row r="4047">
      <c r="A4047" s="24">
        <v>1286.0</v>
      </c>
      <c r="B4047" s="24">
        <v>11.0</v>
      </c>
      <c r="C4047" s="44">
        <v>11.69</v>
      </c>
      <c r="D4047" s="46">
        <v>45140.0</v>
      </c>
      <c r="E4047" s="24">
        <v>1.06</v>
      </c>
      <c r="F4047" s="24">
        <v>9.09</v>
      </c>
      <c r="G4047" s="24">
        <v>0.86</v>
      </c>
      <c r="H4047" s="24" t="s">
        <v>6689</v>
      </c>
      <c r="I4047" s="24">
        <v>3.9</v>
      </c>
      <c r="J4047" s="24">
        <v>0.0</v>
      </c>
    </row>
    <row r="4048">
      <c r="A4048" s="24">
        <v>104.0</v>
      </c>
      <c r="B4048" s="24">
        <v>2.0</v>
      </c>
      <c r="C4048" s="44">
        <v>11.24</v>
      </c>
      <c r="D4048" s="46">
        <v>45140.0</v>
      </c>
      <c r="E4048" s="24">
        <v>5.62</v>
      </c>
      <c r="F4048" s="24">
        <v>108.08</v>
      </c>
      <c r="G4048" s="24">
        <v>1.92</v>
      </c>
      <c r="H4048" s="24" t="s">
        <v>6696</v>
      </c>
      <c r="I4048" s="24">
        <v>11.24</v>
      </c>
      <c r="J4048" s="24">
        <v>0.0</v>
      </c>
    </row>
    <row r="4049">
      <c r="A4049" s="24">
        <v>48.0</v>
      </c>
      <c r="B4049" s="24">
        <v>0.0</v>
      </c>
      <c r="C4049" s="44">
        <v>13.38</v>
      </c>
      <c r="D4049" s="46">
        <v>45140.0</v>
      </c>
      <c r="E4049" s="24" t="s">
        <v>6650</v>
      </c>
      <c r="F4049" s="24">
        <v>278.75</v>
      </c>
      <c r="G4049" s="24">
        <v>0.0</v>
      </c>
      <c r="H4049" s="24" t="s">
        <v>6697</v>
      </c>
      <c r="I4049" s="24" t="s">
        <v>6650</v>
      </c>
      <c r="J4049" s="24">
        <v>0.0</v>
      </c>
    </row>
    <row r="4050">
      <c r="A4050" s="24">
        <v>826.0</v>
      </c>
      <c r="B4050" s="24">
        <v>10.0</v>
      </c>
      <c r="C4050" s="44">
        <v>11.41</v>
      </c>
      <c r="D4050" s="46">
        <v>45140.0</v>
      </c>
      <c r="E4050" s="24">
        <v>1.14</v>
      </c>
      <c r="F4050" s="24">
        <v>13.81</v>
      </c>
      <c r="G4050" s="24">
        <v>1.21</v>
      </c>
      <c r="H4050" s="24" t="s">
        <v>6698</v>
      </c>
      <c r="I4050" s="24">
        <v>2.85</v>
      </c>
      <c r="J4050" s="24">
        <v>0.0</v>
      </c>
    </row>
    <row r="4051">
      <c r="A4051" s="24">
        <v>59.0</v>
      </c>
      <c r="B4051" s="24">
        <v>0.0</v>
      </c>
      <c r="C4051" s="44">
        <v>11.92</v>
      </c>
      <c r="D4051" s="46">
        <v>45140.0</v>
      </c>
      <c r="E4051" s="24" t="s">
        <v>6650</v>
      </c>
      <c r="F4051" s="24">
        <v>202.03</v>
      </c>
      <c r="G4051" s="24">
        <v>0.0</v>
      </c>
      <c r="H4051" s="24" t="s">
        <v>6701</v>
      </c>
      <c r="I4051" s="24" t="s">
        <v>6650</v>
      </c>
      <c r="J4051" s="24">
        <v>0.0</v>
      </c>
    </row>
    <row r="4052">
      <c r="A4052" s="24">
        <v>110.0</v>
      </c>
      <c r="B4052" s="24">
        <v>0.0</v>
      </c>
      <c r="C4052" s="44">
        <v>12.12</v>
      </c>
      <c r="D4052" s="46">
        <v>45140.0</v>
      </c>
      <c r="E4052" s="24" t="s">
        <v>6650</v>
      </c>
      <c r="F4052" s="24">
        <v>110.18</v>
      </c>
      <c r="G4052" s="24">
        <v>0.0</v>
      </c>
      <c r="H4052" s="24" t="s">
        <v>6700</v>
      </c>
      <c r="I4052" s="24">
        <v>6.06</v>
      </c>
      <c r="J4052" s="24">
        <v>0.0</v>
      </c>
    </row>
    <row r="4053">
      <c r="A4053" s="24">
        <v>66.0</v>
      </c>
      <c r="B4053" s="24">
        <v>0.0</v>
      </c>
      <c r="C4053" s="44">
        <v>12.45</v>
      </c>
      <c r="D4053" s="46">
        <v>45141.0</v>
      </c>
      <c r="E4053" s="24" t="s">
        <v>6650</v>
      </c>
      <c r="F4053" s="24">
        <v>188.64</v>
      </c>
      <c r="G4053" s="24">
        <v>0.0</v>
      </c>
      <c r="H4053" s="24" t="s">
        <v>6695</v>
      </c>
      <c r="I4053" s="24" t="s">
        <v>6650</v>
      </c>
      <c r="J4053" s="24">
        <v>0.0</v>
      </c>
    </row>
    <row r="4054">
      <c r="A4054" s="24">
        <v>60.0</v>
      </c>
      <c r="B4054" s="24">
        <v>0.0</v>
      </c>
      <c r="C4054" s="44">
        <v>11.23</v>
      </c>
      <c r="D4054" s="46">
        <v>45141.0</v>
      </c>
      <c r="E4054" s="24" t="s">
        <v>6650</v>
      </c>
      <c r="F4054" s="24">
        <v>187.17</v>
      </c>
      <c r="G4054" s="24">
        <v>0.0</v>
      </c>
      <c r="H4054" s="24" t="s">
        <v>6696</v>
      </c>
      <c r="I4054" s="24">
        <v>11.23</v>
      </c>
      <c r="J4054" s="24">
        <v>0.0</v>
      </c>
    </row>
    <row r="4055">
      <c r="A4055" s="24">
        <v>283.0</v>
      </c>
      <c r="B4055" s="24">
        <v>1.0</v>
      </c>
      <c r="C4055" s="44">
        <v>11.78</v>
      </c>
      <c r="D4055" s="46">
        <v>45141.0</v>
      </c>
      <c r="E4055" s="24">
        <v>11.78</v>
      </c>
      <c r="F4055" s="24">
        <v>41.63</v>
      </c>
      <c r="G4055" s="24">
        <v>0.35</v>
      </c>
      <c r="H4055" s="24" t="s">
        <v>6698</v>
      </c>
      <c r="I4055" s="24">
        <v>11.78</v>
      </c>
      <c r="J4055" s="24">
        <v>0.0</v>
      </c>
    </row>
    <row r="4056">
      <c r="A4056" s="24">
        <v>35.0</v>
      </c>
      <c r="B4056" s="24">
        <v>1.0</v>
      </c>
      <c r="C4056" s="44">
        <v>12.66</v>
      </c>
      <c r="D4056" s="46">
        <v>45141.0</v>
      </c>
      <c r="E4056" s="24">
        <v>12.66</v>
      </c>
      <c r="F4056" s="24">
        <v>361.71</v>
      </c>
      <c r="G4056" s="24">
        <v>2.86</v>
      </c>
      <c r="H4056" s="24" t="s">
        <v>6697</v>
      </c>
      <c r="I4056" s="24" t="s">
        <v>6650</v>
      </c>
      <c r="J4056" s="24">
        <v>0.0</v>
      </c>
    </row>
    <row r="4057">
      <c r="A4057" s="24">
        <v>168.0</v>
      </c>
      <c r="B4057" s="24">
        <v>1.0</v>
      </c>
      <c r="C4057" s="44">
        <v>12.52</v>
      </c>
      <c r="D4057" s="46">
        <v>45141.0</v>
      </c>
      <c r="E4057" s="24">
        <v>12.52</v>
      </c>
      <c r="F4057" s="24">
        <v>74.52</v>
      </c>
      <c r="G4057" s="24">
        <v>0.6</v>
      </c>
      <c r="H4057" s="24" t="s">
        <v>6680</v>
      </c>
      <c r="I4057" s="24" t="s">
        <v>6650</v>
      </c>
      <c r="J4057" s="24">
        <v>0.0</v>
      </c>
    </row>
    <row r="4058">
      <c r="A4058" s="24">
        <v>1074.0</v>
      </c>
      <c r="B4058" s="24">
        <v>8.0</v>
      </c>
      <c r="C4058" s="44">
        <v>12.88</v>
      </c>
      <c r="D4058" s="46">
        <v>45141.0</v>
      </c>
      <c r="E4058" s="24">
        <v>1.61</v>
      </c>
      <c r="F4058" s="24">
        <v>11.99</v>
      </c>
      <c r="G4058" s="24">
        <v>0.74</v>
      </c>
      <c r="H4058" s="24" t="s">
        <v>6689</v>
      </c>
      <c r="I4058" s="24" t="s">
        <v>6650</v>
      </c>
      <c r="J4058" s="24">
        <v>0.0</v>
      </c>
    </row>
    <row r="4059">
      <c r="A4059" s="24">
        <v>9.0</v>
      </c>
      <c r="B4059" s="24">
        <v>5.0</v>
      </c>
      <c r="C4059" s="44">
        <v>6.75</v>
      </c>
      <c r="D4059" s="46">
        <v>45141.0</v>
      </c>
      <c r="E4059" s="24">
        <v>1.35</v>
      </c>
      <c r="F4059" s="24">
        <v>750.0</v>
      </c>
      <c r="G4059" s="24">
        <v>55.56</v>
      </c>
      <c r="H4059" s="24" t="s">
        <v>6702</v>
      </c>
      <c r="I4059" s="24" t="s">
        <v>6650</v>
      </c>
      <c r="J4059" s="24">
        <v>0.0</v>
      </c>
    </row>
    <row r="4060">
      <c r="A4060" s="24">
        <v>48.0</v>
      </c>
      <c r="B4060" s="24">
        <v>0.0</v>
      </c>
      <c r="C4060" s="44">
        <v>12.08</v>
      </c>
      <c r="D4060" s="46">
        <v>45141.0</v>
      </c>
      <c r="E4060" s="24" t="s">
        <v>6650</v>
      </c>
      <c r="F4060" s="24">
        <v>251.67</v>
      </c>
      <c r="G4060" s="24">
        <v>0.0</v>
      </c>
      <c r="H4060" s="24" t="s">
        <v>6701</v>
      </c>
      <c r="I4060" s="24" t="s">
        <v>6650</v>
      </c>
      <c r="J4060" s="24">
        <v>0.0</v>
      </c>
    </row>
    <row r="4061">
      <c r="A4061" s="24">
        <v>351.0</v>
      </c>
      <c r="B4061" s="24">
        <v>1.0</v>
      </c>
      <c r="C4061" s="44">
        <v>10.89</v>
      </c>
      <c r="D4061" s="46">
        <v>45141.0</v>
      </c>
      <c r="E4061" s="24">
        <v>10.89</v>
      </c>
      <c r="F4061" s="24">
        <v>31.03</v>
      </c>
      <c r="G4061" s="24">
        <v>0.28</v>
      </c>
      <c r="H4061" s="24" t="s">
        <v>6700</v>
      </c>
      <c r="I4061" s="24">
        <v>10.89</v>
      </c>
      <c r="J4061" s="24">
        <v>0.0</v>
      </c>
    </row>
    <row r="4062">
      <c r="A4062" s="24">
        <v>2136.0</v>
      </c>
      <c r="B4062" s="24">
        <v>10.0</v>
      </c>
      <c r="C4062" s="44">
        <v>11.14</v>
      </c>
      <c r="D4062" s="46">
        <v>45141.0</v>
      </c>
      <c r="E4062" s="24">
        <v>1.11</v>
      </c>
      <c r="F4062" s="24">
        <v>5.22</v>
      </c>
      <c r="G4062" s="24">
        <v>0.47</v>
      </c>
      <c r="H4062" s="24" t="s">
        <v>6688</v>
      </c>
      <c r="I4062" s="24">
        <v>1.39</v>
      </c>
      <c r="J4062" s="24">
        <v>0.0</v>
      </c>
    </row>
    <row r="4063">
      <c r="A4063" s="24">
        <v>124.0</v>
      </c>
      <c r="B4063" s="24">
        <v>1.0</v>
      </c>
      <c r="C4063" s="44">
        <v>12.71</v>
      </c>
      <c r="D4063" s="46">
        <v>45141.0</v>
      </c>
      <c r="E4063" s="24">
        <v>12.71</v>
      </c>
      <c r="F4063" s="24">
        <v>102.5</v>
      </c>
      <c r="G4063" s="24">
        <v>0.81</v>
      </c>
      <c r="H4063" s="24" t="s">
        <v>6692</v>
      </c>
      <c r="I4063" s="24" t="s">
        <v>6650</v>
      </c>
      <c r="J4063" s="24">
        <v>0.0</v>
      </c>
    </row>
    <row r="4064">
      <c r="A4064" s="24">
        <v>75.0</v>
      </c>
      <c r="B4064" s="24">
        <v>0.0</v>
      </c>
      <c r="C4064" s="44">
        <v>11.39</v>
      </c>
      <c r="D4064" s="46">
        <v>45141.0</v>
      </c>
      <c r="E4064" s="24" t="s">
        <v>6650</v>
      </c>
      <c r="F4064" s="24">
        <v>151.87</v>
      </c>
      <c r="G4064" s="24">
        <v>0.0</v>
      </c>
      <c r="H4064" s="24" t="s">
        <v>6699</v>
      </c>
      <c r="I4064" s="24" t="s">
        <v>6650</v>
      </c>
      <c r="J4064" s="24">
        <v>0.0</v>
      </c>
    </row>
    <row r="4065">
      <c r="A4065" s="24">
        <v>1444.0</v>
      </c>
      <c r="B4065" s="24">
        <v>8.0</v>
      </c>
      <c r="C4065" s="44">
        <v>10.14</v>
      </c>
      <c r="D4065" s="46">
        <v>45142.0</v>
      </c>
      <c r="E4065" s="24">
        <v>1.27</v>
      </c>
      <c r="F4065" s="24">
        <v>7.02</v>
      </c>
      <c r="G4065" s="24">
        <v>0.55</v>
      </c>
      <c r="H4065" s="24" t="s">
        <v>6688</v>
      </c>
      <c r="I4065" s="24">
        <v>10.14</v>
      </c>
      <c r="J4065" s="24">
        <v>0.0</v>
      </c>
    </row>
    <row r="4066">
      <c r="A4066" s="24">
        <v>880.0</v>
      </c>
      <c r="B4066" s="24">
        <v>5.0</v>
      </c>
      <c r="C4066" s="44">
        <v>11.94</v>
      </c>
      <c r="D4066" s="46">
        <v>45142.0</v>
      </c>
      <c r="E4066" s="24">
        <v>2.39</v>
      </c>
      <c r="F4066" s="24">
        <v>13.57</v>
      </c>
      <c r="G4066" s="24">
        <v>0.57</v>
      </c>
      <c r="H4066" s="24" t="s">
        <v>6689</v>
      </c>
      <c r="I4066" s="24">
        <v>11.94</v>
      </c>
      <c r="J4066" s="24">
        <v>0.0</v>
      </c>
    </row>
    <row r="4067">
      <c r="A4067" s="24">
        <v>178.0</v>
      </c>
      <c r="B4067" s="24">
        <v>1.0</v>
      </c>
      <c r="C4067" s="44">
        <v>12.56</v>
      </c>
      <c r="D4067" s="46">
        <v>45142.0</v>
      </c>
      <c r="E4067" s="24">
        <v>12.56</v>
      </c>
      <c r="F4067" s="24">
        <v>70.56</v>
      </c>
      <c r="G4067" s="24">
        <v>0.56</v>
      </c>
      <c r="H4067" s="24" t="s">
        <v>6700</v>
      </c>
      <c r="I4067" s="24" t="s">
        <v>6650</v>
      </c>
      <c r="J4067" s="24">
        <v>0.0</v>
      </c>
    </row>
    <row r="4068">
      <c r="A4068" s="24">
        <v>90.0</v>
      </c>
      <c r="B4068" s="24">
        <v>0.0</v>
      </c>
      <c r="C4068" s="44">
        <v>10.58</v>
      </c>
      <c r="D4068" s="46">
        <v>45142.0</v>
      </c>
      <c r="E4068" s="24" t="s">
        <v>6650</v>
      </c>
      <c r="F4068" s="24">
        <v>117.56</v>
      </c>
      <c r="G4068" s="24">
        <v>0.0</v>
      </c>
      <c r="H4068" s="24" t="s">
        <v>6692</v>
      </c>
      <c r="I4068" s="24" t="s">
        <v>6650</v>
      </c>
      <c r="J4068" s="24">
        <v>0.0</v>
      </c>
    </row>
    <row r="4069">
      <c r="A4069" s="24">
        <v>4.0</v>
      </c>
      <c r="B4069" s="24">
        <v>4.0</v>
      </c>
      <c r="C4069" s="44">
        <v>3.0</v>
      </c>
      <c r="D4069" s="46">
        <v>45142.0</v>
      </c>
      <c r="E4069" s="24">
        <v>0.75</v>
      </c>
      <c r="F4069" s="24">
        <v>750.0</v>
      </c>
      <c r="G4069" s="24">
        <v>100.0</v>
      </c>
      <c r="H4069" s="24" t="s">
        <v>6702</v>
      </c>
      <c r="I4069" s="24" t="s">
        <v>6650</v>
      </c>
      <c r="J4069" s="24">
        <v>0.0</v>
      </c>
    </row>
    <row r="4070">
      <c r="A4070" s="24">
        <v>54.0</v>
      </c>
      <c r="B4070" s="24">
        <v>1.0</v>
      </c>
      <c r="C4070" s="44">
        <v>9.76</v>
      </c>
      <c r="D4070" s="46">
        <v>45142.0</v>
      </c>
      <c r="E4070" s="24">
        <v>9.76</v>
      </c>
      <c r="F4070" s="24">
        <v>180.74</v>
      </c>
      <c r="G4070" s="24">
        <v>1.85</v>
      </c>
      <c r="H4070" s="24" t="s">
        <v>6696</v>
      </c>
      <c r="I4070" s="24">
        <v>9.76</v>
      </c>
      <c r="J4070" s="24">
        <v>0.0</v>
      </c>
    </row>
    <row r="4071">
      <c r="A4071" s="24">
        <v>54.0</v>
      </c>
      <c r="B4071" s="24">
        <v>0.0</v>
      </c>
      <c r="C4071" s="44">
        <v>11.14</v>
      </c>
      <c r="D4071" s="46">
        <v>45142.0</v>
      </c>
      <c r="E4071" s="24" t="s">
        <v>6650</v>
      </c>
      <c r="F4071" s="24">
        <v>206.3</v>
      </c>
      <c r="G4071" s="24">
        <v>0.0</v>
      </c>
      <c r="H4071" s="24" t="s">
        <v>6699</v>
      </c>
      <c r="I4071" s="24" t="s">
        <v>6650</v>
      </c>
      <c r="J4071" s="24">
        <v>0.0</v>
      </c>
    </row>
    <row r="4072">
      <c r="A4072" s="24">
        <v>210.0</v>
      </c>
      <c r="B4072" s="24">
        <v>1.0</v>
      </c>
      <c r="C4072" s="44">
        <v>12.04</v>
      </c>
      <c r="D4072" s="46">
        <v>45142.0</v>
      </c>
      <c r="E4072" s="24">
        <v>12.04</v>
      </c>
      <c r="F4072" s="24">
        <v>57.33</v>
      </c>
      <c r="G4072" s="24">
        <v>0.48</v>
      </c>
      <c r="H4072" s="24" t="s">
        <v>6680</v>
      </c>
      <c r="I4072" s="24">
        <v>12.04</v>
      </c>
      <c r="J4072" s="24">
        <v>0.0</v>
      </c>
    </row>
    <row r="4073">
      <c r="A4073" s="24">
        <v>40.0</v>
      </c>
      <c r="B4073" s="24">
        <v>0.0</v>
      </c>
      <c r="C4073" s="44">
        <v>9.86</v>
      </c>
      <c r="D4073" s="46">
        <v>45142.0</v>
      </c>
      <c r="E4073" s="24" t="s">
        <v>6650</v>
      </c>
      <c r="F4073" s="24">
        <v>246.5</v>
      </c>
      <c r="G4073" s="24">
        <v>0.0</v>
      </c>
      <c r="H4073" s="24" t="s">
        <v>6697</v>
      </c>
      <c r="I4073" s="24" t="s">
        <v>6650</v>
      </c>
      <c r="J4073" s="24">
        <v>0.0</v>
      </c>
    </row>
    <row r="4074">
      <c r="A4074" s="24">
        <v>40.0</v>
      </c>
      <c r="B4074" s="24">
        <v>0.0</v>
      </c>
      <c r="C4074" s="44">
        <v>11.46</v>
      </c>
      <c r="D4074" s="46">
        <v>45142.0</v>
      </c>
      <c r="E4074" s="24" t="s">
        <v>6650</v>
      </c>
      <c r="F4074" s="24">
        <v>286.5</v>
      </c>
      <c r="G4074" s="24">
        <v>0.0</v>
      </c>
      <c r="H4074" s="24" t="s">
        <v>6701</v>
      </c>
      <c r="I4074" s="24" t="s">
        <v>6650</v>
      </c>
      <c r="J4074" s="24">
        <v>0.0</v>
      </c>
    </row>
    <row r="4075">
      <c r="A4075" s="24">
        <v>30.0</v>
      </c>
      <c r="B4075" s="24">
        <v>0.0</v>
      </c>
      <c r="C4075" s="44">
        <v>10.51</v>
      </c>
      <c r="D4075" s="46">
        <v>45142.0</v>
      </c>
      <c r="E4075" s="24" t="s">
        <v>6650</v>
      </c>
      <c r="F4075" s="24">
        <v>350.33</v>
      </c>
      <c r="G4075" s="24">
        <v>0.0</v>
      </c>
      <c r="H4075" s="24" t="s">
        <v>6695</v>
      </c>
      <c r="I4075" s="24" t="s">
        <v>6650</v>
      </c>
      <c r="J4075" s="24">
        <v>0.0</v>
      </c>
    </row>
    <row r="4076">
      <c r="A4076" s="24">
        <v>385.0</v>
      </c>
      <c r="B4076" s="24">
        <v>1.0</v>
      </c>
      <c r="C4076" s="44">
        <v>10.53</v>
      </c>
      <c r="D4076" s="46">
        <v>45142.0</v>
      </c>
      <c r="E4076" s="24">
        <v>10.53</v>
      </c>
      <c r="F4076" s="24">
        <v>27.35</v>
      </c>
      <c r="G4076" s="24">
        <v>0.26</v>
      </c>
      <c r="H4076" s="24" t="s">
        <v>6698</v>
      </c>
      <c r="I4076" s="24">
        <v>5.26</v>
      </c>
      <c r="J4076" s="24">
        <v>0.0</v>
      </c>
    </row>
    <row r="4077">
      <c r="A4077" s="24">
        <v>31.0</v>
      </c>
      <c r="B4077" s="24">
        <v>0.0</v>
      </c>
      <c r="C4077" s="44">
        <v>5.17</v>
      </c>
      <c r="D4077" s="46">
        <v>45143.0</v>
      </c>
      <c r="E4077" s="24" t="s">
        <v>6650</v>
      </c>
      <c r="F4077" s="24">
        <v>166.77</v>
      </c>
      <c r="G4077" s="24">
        <v>0.0</v>
      </c>
      <c r="H4077" s="24" t="s">
        <v>6692</v>
      </c>
      <c r="I4077" s="24" t="s">
        <v>6650</v>
      </c>
      <c r="J4077" s="24">
        <v>0.0</v>
      </c>
    </row>
    <row r="4078">
      <c r="A4078" s="24">
        <v>34.0</v>
      </c>
      <c r="B4078" s="24">
        <v>0.0</v>
      </c>
      <c r="C4078" s="44">
        <v>5.84</v>
      </c>
      <c r="D4078" s="46">
        <v>45143.0</v>
      </c>
      <c r="E4078" s="24" t="s">
        <v>6650</v>
      </c>
      <c r="F4078" s="24">
        <v>171.76</v>
      </c>
      <c r="G4078" s="24">
        <v>0.0</v>
      </c>
      <c r="H4078" s="24" t="s">
        <v>6699</v>
      </c>
      <c r="I4078" s="24" t="s">
        <v>6650</v>
      </c>
      <c r="J4078" s="24">
        <v>0.0</v>
      </c>
    </row>
    <row r="4079">
      <c r="A4079" s="24">
        <v>98.0</v>
      </c>
      <c r="B4079" s="24">
        <v>1.0</v>
      </c>
      <c r="C4079" s="44">
        <v>8.09</v>
      </c>
      <c r="D4079" s="46">
        <v>45143.0</v>
      </c>
      <c r="E4079" s="24">
        <v>8.09</v>
      </c>
      <c r="F4079" s="24">
        <v>82.55</v>
      </c>
      <c r="G4079" s="24">
        <v>1.02</v>
      </c>
      <c r="H4079" s="24" t="s">
        <v>6698</v>
      </c>
      <c r="I4079" s="24">
        <v>8.09</v>
      </c>
      <c r="J4079" s="24">
        <v>0.0</v>
      </c>
    </row>
    <row r="4080">
      <c r="A4080" s="24">
        <v>492.0</v>
      </c>
      <c r="B4080" s="24">
        <v>6.0</v>
      </c>
      <c r="C4080" s="44">
        <v>6.54</v>
      </c>
      <c r="D4080" s="46">
        <v>45143.0</v>
      </c>
      <c r="E4080" s="24">
        <v>1.09</v>
      </c>
      <c r="F4080" s="24">
        <v>13.29</v>
      </c>
      <c r="G4080" s="24">
        <v>1.22</v>
      </c>
      <c r="H4080" s="24" t="s">
        <v>6689</v>
      </c>
      <c r="I4080" s="24">
        <v>6.54</v>
      </c>
      <c r="J4080" s="24">
        <v>0.0</v>
      </c>
    </row>
    <row r="4081">
      <c r="A4081" s="24">
        <v>1565.0</v>
      </c>
      <c r="B4081" s="24">
        <v>10.0</v>
      </c>
      <c r="C4081" s="44">
        <v>6.85</v>
      </c>
      <c r="D4081" s="46">
        <v>45143.0</v>
      </c>
      <c r="E4081" s="24">
        <v>0.68</v>
      </c>
      <c r="F4081" s="24">
        <v>4.38</v>
      </c>
      <c r="G4081" s="24">
        <v>0.64</v>
      </c>
      <c r="H4081" s="24" t="s">
        <v>6688</v>
      </c>
      <c r="I4081" s="24">
        <v>6.85</v>
      </c>
      <c r="J4081" s="24">
        <v>0.0</v>
      </c>
    </row>
    <row r="4082">
      <c r="A4082" s="24">
        <v>15.0</v>
      </c>
      <c r="B4082" s="24">
        <v>0.0</v>
      </c>
      <c r="C4082" s="44">
        <v>9.15</v>
      </c>
      <c r="D4082" s="46">
        <v>45143.0</v>
      </c>
      <c r="E4082" s="24" t="s">
        <v>6650</v>
      </c>
      <c r="F4082" s="24">
        <v>610.0</v>
      </c>
      <c r="G4082" s="24">
        <v>0.0</v>
      </c>
      <c r="H4082" s="24" t="s">
        <v>6695</v>
      </c>
      <c r="I4082" s="24" t="s">
        <v>6650</v>
      </c>
      <c r="J4082" s="24">
        <v>0.0</v>
      </c>
    </row>
    <row r="4083">
      <c r="A4083" s="24">
        <v>6.0</v>
      </c>
      <c r="B4083" s="24">
        <v>2.0</v>
      </c>
      <c r="C4083" s="44">
        <v>4.5</v>
      </c>
      <c r="D4083" s="46">
        <v>45143.0</v>
      </c>
      <c r="E4083" s="24">
        <v>2.25</v>
      </c>
      <c r="F4083" s="24">
        <v>750.0</v>
      </c>
      <c r="G4083" s="24">
        <v>33.33</v>
      </c>
      <c r="H4083" s="24" t="s">
        <v>6702</v>
      </c>
      <c r="I4083" s="24" t="s">
        <v>6650</v>
      </c>
      <c r="J4083" s="24">
        <v>0.0</v>
      </c>
    </row>
    <row r="4084">
      <c r="A4084" s="24">
        <v>59.0</v>
      </c>
      <c r="B4084" s="24">
        <v>0.0</v>
      </c>
      <c r="C4084" s="44">
        <v>7.56</v>
      </c>
      <c r="D4084" s="46">
        <v>45143.0</v>
      </c>
      <c r="E4084" s="24" t="s">
        <v>6650</v>
      </c>
      <c r="F4084" s="24">
        <v>128.14</v>
      </c>
      <c r="G4084" s="24">
        <v>0.0</v>
      </c>
      <c r="H4084" s="24" t="s">
        <v>6680</v>
      </c>
      <c r="I4084" s="24">
        <v>7.56</v>
      </c>
      <c r="J4084" s="24">
        <v>0.0</v>
      </c>
    </row>
    <row r="4085">
      <c r="A4085" s="24">
        <v>230.0</v>
      </c>
      <c r="B4085" s="24">
        <v>1.0</v>
      </c>
      <c r="C4085" s="44">
        <v>5.81</v>
      </c>
      <c r="D4085" s="46">
        <v>45143.0</v>
      </c>
      <c r="E4085" s="24">
        <v>5.81</v>
      </c>
      <c r="F4085" s="24">
        <v>25.26</v>
      </c>
      <c r="G4085" s="24">
        <v>0.43</v>
      </c>
      <c r="H4085" s="24" t="s">
        <v>6700</v>
      </c>
      <c r="I4085" s="24" t="s">
        <v>6650</v>
      </c>
      <c r="J4085" s="24">
        <v>0.0</v>
      </c>
    </row>
    <row r="4086">
      <c r="A4086" s="24">
        <v>34.0</v>
      </c>
      <c r="B4086" s="24">
        <v>0.0</v>
      </c>
      <c r="C4086" s="44">
        <v>5.62</v>
      </c>
      <c r="D4086" s="46">
        <v>45143.0</v>
      </c>
      <c r="E4086" s="24" t="s">
        <v>6650</v>
      </c>
      <c r="F4086" s="24">
        <v>165.29</v>
      </c>
      <c r="G4086" s="24">
        <v>0.0</v>
      </c>
      <c r="H4086" s="24" t="s">
        <v>6696</v>
      </c>
      <c r="I4086" s="24" t="s">
        <v>6650</v>
      </c>
      <c r="J4086" s="24">
        <v>0.0</v>
      </c>
    </row>
    <row r="4087">
      <c r="A4087" s="24">
        <v>25.0</v>
      </c>
      <c r="B4087" s="24">
        <v>0.0</v>
      </c>
      <c r="C4087" s="44">
        <v>6.64</v>
      </c>
      <c r="D4087" s="46">
        <v>45143.0</v>
      </c>
      <c r="E4087" s="24" t="s">
        <v>6650</v>
      </c>
      <c r="F4087" s="24">
        <v>265.6</v>
      </c>
      <c r="G4087" s="24">
        <v>0.0</v>
      </c>
      <c r="H4087" s="24" t="s">
        <v>6701</v>
      </c>
      <c r="I4087" s="24" t="s">
        <v>6650</v>
      </c>
      <c r="J4087" s="24">
        <v>0.0</v>
      </c>
    </row>
    <row r="4088">
      <c r="A4088" s="24">
        <v>13.0</v>
      </c>
      <c r="B4088" s="24">
        <v>0.0</v>
      </c>
      <c r="C4088" s="44">
        <v>5.88</v>
      </c>
      <c r="D4088" s="46">
        <v>45143.0</v>
      </c>
      <c r="E4088" s="24" t="s">
        <v>6650</v>
      </c>
      <c r="F4088" s="24">
        <v>452.31</v>
      </c>
      <c r="G4088" s="24">
        <v>0.0</v>
      </c>
      <c r="H4088" s="24" t="s">
        <v>6697</v>
      </c>
      <c r="I4088" s="24" t="s">
        <v>6650</v>
      </c>
      <c r="J4088" s="24">
        <v>0.0</v>
      </c>
    </row>
    <row r="4089">
      <c r="A4089" s="24">
        <v>31.0</v>
      </c>
      <c r="B4089" s="24">
        <v>0.0</v>
      </c>
      <c r="C4089" s="44">
        <v>4.63</v>
      </c>
      <c r="D4089" s="46">
        <v>45144.0</v>
      </c>
      <c r="E4089" s="24" t="s">
        <v>6650</v>
      </c>
      <c r="F4089" s="24">
        <v>149.35</v>
      </c>
      <c r="G4089" s="24">
        <v>0.0</v>
      </c>
      <c r="H4089" s="24" t="s">
        <v>6692</v>
      </c>
      <c r="I4089" s="24" t="s">
        <v>6650</v>
      </c>
      <c r="J4089" s="24">
        <v>0.0</v>
      </c>
    </row>
    <row r="4090">
      <c r="A4090" s="24">
        <v>63.0</v>
      </c>
      <c r="B4090" s="24">
        <v>0.0</v>
      </c>
      <c r="C4090" s="44">
        <v>4.44</v>
      </c>
      <c r="D4090" s="46">
        <v>45144.0</v>
      </c>
      <c r="E4090" s="24" t="s">
        <v>6650</v>
      </c>
      <c r="F4090" s="24">
        <v>70.48</v>
      </c>
      <c r="G4090" s="24">
        <v>0.0</v>
      </c>
      <c r="H4090" s="24" t="s">
        <v>6700</v>
      </c>
      <c r="I4090" s="24">
        <v>4.44</v>
      </c>
      <c r="J4090" s="24">
        <v>0.0</v>
      </c>
    </row>
    <row r="4091">
      <c r="A4091" s="24">
        <v>382.0</v>
      </c>
      <c r="B4091" s="24">
        <v>1.0</v>
      </c>
      <c r="C4091" s="44">
        <v>4.25</v>
      </c>
      <c r="D4091" s="46">
        <v>45144.0</v>
      </c>
      <c r="E4091" s="24">
        <v>4.25</v>
      </c>
      <c r="F4091" s="24">
        <v>11.13</v>
      </c>
      <c r="G4091" s="24">
        <v>0.26</v>
      </c>
      <c r="H4091" s="24" t="s">
        <v>6698</v>
      </c>
      <c r="I4091" s="24" t="s">
        <v>6650</v>
      </c>
      <c r="J4091" s="24">
        <v>0.0</v>
      </c>
    </row>
    <row r="4092">
      <c r="A4092" s="24">
        <v>456.0</v>
      </c>
      <c r="B4092" s="24">
        <v>5.0</v>
      </c>
      <c r="C4092" s="44">
        <v>5.34</v>
      </c>
      <c r="D4092" s="46">
        <v>45144.0</v>
      </c>
      <c r="E4092" s="24">
        <v>1.07</v>
      </c>
      <c r="F4092" s="24">
        <v>11.71</v>
      </c>
      <c r="G4092" s="24">
        <v>1.1</v>
      </c>
      <c r="H4092" s="24" t="s">
        <v>6689</v>
      </c>
      <c r="I4092" s="24" t="s">
        <v>6650</v>
      </c>
      <c r="J4092" s="24">
        <v>0.0</v>
      </c>
    </row>
    <row r="4093">
      <c r="A4093" s="24">
        <v>2.0</v>
      </c>
      <c r="B4093" s="24">
        <v>2.0</v>
      </c>
      <c r="C4093" s="44">
        <v>1.5</v>
      </c>
      <c r="D4093" s="46">
        <v>45144.0</v>
      </c>
      <c r="E4093" s="24">
        <v>0.75</v>
      </c>
      <c r="F4093" s="24">
        <v>750.0</v>
      </c>
      <c r="G4093" s="24">
        <v>100.0</v>
      </c>
      <c r="H4093" s="24" t="s">
        <v>6702</v>
      </c>
      <c r="I4093" s="24" t="s">
        <v>6650</v>
      </c>
      <c r="J4093" s="24">
        <v>0.0</v>
      </c>
    </row>
    <row r="4094">
      <c r="A4094" s="24">
        <v>74.0</v>
      </c>
      <c r="B4094" s="24">
        <v>0.0</v>
      </c>
      <c r="C4094" s="44">
        <v>5.28</v>
      </c>
      <c r="D4094" s="46">
        <v>45144.0</v>
      </c>
      <c r="E4094" s="24" t="s">
        <v>6650</v>
      </c>
      <c r="F4094" s="24">
        <v>71.35</v>
      </c>
      <c r="G4094" s="24">
        <v>0.0</v>
      </c>
      <c r="H4094" s="24" t="s">
        <v>6680</v>
      </c>
      <c r="I4094" s="24" t="s">
        <v>6650</v>
      </c>
      <c r="J4094" s="24">
        <v>0.0</v>
      </c>
    </row>
    <row r="4095">
      <c r="A4095" s="24">
        <v>1277.0</v>
      </c>
      <c r="B4095" s="24">
        <v>12.0</v>
      </c>
      <c r="C4095" s="44">
        <v>7.14</v>
      </c>
      <c r="D4095" s="46">
        <v>45144.0</v>
      </c>
      <c r="E4095" s="24">
        <v>0.6</v>
      </c>
      <c r="F4095" s="24">
        <v>5.59</v>
      </c>
      <c r="G4095" s="24">
        <v>0.94</v>
      </c>
      <c r="H4095" s="24" t="s">
        <v>6688</v>
      </c>
      <c r="I4095" s="24">
        <v>7.14</v>
      </c>
      <c r="J4095" s="24">
        <v>0.0</v>
      </c>
    </row>
    <row r="4096">
      <c r="A4096" s="24">
        <v>14.0</v>
      </c>
      <c r="B4096" s="24">
        <v>0.0</v>
      </c>
      <c r="C4096" s="44">
        <v>2.13</v>
      </c>
      <c r="D4096" s="46">
        <v>45144.0</v>
      </c>
      <c r="E4096" s="24" t="s">
        <v>6650</v>
      </c>
      <c r="F4096" s="24">
        <v>152.14</v>
      </c>
      <c r="G4096" s="24">
        <v>0.0</v>
      </c>
      <c r="H4096" s="24" t="s">
        <v>6699</v>
      </c>
      <c r="I4096" s="24" t="s">
        <v>6650</v>
      </c>
      <c r="J4096" s="24">
        <v>0.0</v>
      </c>
    </row>
    <row r="4097">
      <c r="A4097" s="24">
        <v>20.0</v>
      </c>
      <c r="B4097" s="24">
        <v>0.0</v>
      </c>
      <c r="C4097" s="44">
        <v>4.76</v>
      </c>
      <c r="D4097" s="46">
        <v>45144.0</v>
      </c>
      <c r="E4097" s="24" t="s">
        <v>6650</v>
      </c>
      <c r="F4097" s="24">
        <v>238.0</v>
      </c>
      <c r="G4097" s="24">
        <v>0.0</v>
      </c>
      <c r="H4097" s="24" t="s">
        <v>6696</v>
      </c>
      <c r="I4097" s="24" t="s">
        <v>6650</v>
      </c>
      <c r="J4097" s="24">
        <v>0.0</v>
      </c>
    </row>
    <row r="4098">
      <c r="A4098" s="24">
        <v>7.0</v>
      </c>
      <c r="B4098" s="24">
        <v>0.0</v>
      </c>
      <c r="C4098" s="44">
        <v>2.14</v>
      </c>
      <c r="D4098" s="46">
        <v>45144.0</v>
      </c>
      <c r="E4098" s="24" t="s">
        <v>6650</v>
      </c>
      <c r="F4098" s="24">
        <v>305.71</v>
      </c>
      <c r="G4098" s="24">
        <v>0.0</v>
      </c>
      <c r="H4098" s="24" t="s">
        <v>6701</v>
      </c>
      <c r="I4098" s="24" t="s">
        <v>6650</v>
      </c>
      <c r="J4098" s="24">
        <v>0.0</v>
      </c>
    </row>
    <row r="4099">
      <c r="A4099" s="24">
        <v>6.0</v>
      </c>
      <c r="B4099" s="24">
        <v>0.0</v>
      </c>
      <c r="C4099" s="44">
        <v>1.82</v>
      </c>
      <c r="D4099" s="46">
        <v>45144.0</v>
      </c>
      <c r="E4099" s="24" t="s">
        <v>6650</v>
      </c>
      <c r="F4099" s="24">
        <v>303.33</v>
      </c>
      <c r="G4099" s="24">
        <v>0.0</v>
      </c>
      <c r="H4099" s="24" t="s">
        <v>6697</v>
      </c>
      <c r="I4099" s="24" t="s">
        <v>6650</v>
      </c>
      <c r="J4099" s="24">
        <v>0.0</v>
      </c>
    </row>
    <row r="4100">
      <c r="A4100" s="24">
        <v>60.0</v>
      </c>
      <c r="B4100" s="24">
        <v>1.0</v>
      </c>
      <c r="C4100" s="44">
        <v>11.47</v>
      </c>
      <c r="D4100" s="46">
        <v>45145.0</v>
      </c>
      <c r="E4100" s="24">
        <v>11.47</v>
      </c>
      <c r="F4100" s="24">
        <v>191.17</v>
      </c>
      <c r="G4100" s="24">
        <v>1.67</v>
      </c>
      <c r="H4100" s="24" t="s">
        <v>6697</v>
      </c>
      <c r="I4100" s="24">
        <v>11.47</v>
      </c>
      <c r="J4100" s="24">
        <v>0.0</v>
      </c>
    </row>
    <row r="4101">
      <c r="A4101" s="24">
        <v>220.0</v>
      </c>
      <c r="B4101" s="24">
        <v>3.0</v>
      </c>
      <c r="C4101" s="44">
        <v>11.58</v>
      </c>
      <c r="D4101" s="46">
        <v>45145.0</v>
      </c>
      <c r="E4101" s="24">
        <v>3.86</v>
      </c>
      <c r="F4101" s="24">
        <v>52.64</v>
      </c>
      <c r="G4101" s="24">
        <v>1.36</v>
      </c>
      <c r="H4101" s="24" t="s">
        <v>6698</v>
      </c>
      <c r="I4101" s="24" t="s">
        <v>6650</v>
      </c>
      <c r="J4101" s="24">
        <v>0.0</v>
      </c>
    </row>
    <row r="4102">
      <c r="A4102" s="24">
        <v>2091.0</v>
      </c>
      <c r="B4102" s="24">
        <v>15.0</v>
      </c>
      <c r="C4102" s="44">
        <v>10.57</v>
      </c>
      <c r="D4102" s="46">
        <v>45145.0</v>
      </c>
      <c r="E4102" s="24">
        <v>0.7</v>
      </c>
      <c r="F4102" s="24">
        <v>5.05</v>
      </c>
      <c r="G4102" s="24">
        <v>0.72</v>
      </c>
      <c r="H4102" s="24" t="s">
        <v>6688</v>
      </c>
      <c r="I4102" s="24">
        <v>10.57</v>
      </c>
      <c r="J4102" s="24">
        <v>0.0</v>
      </c>
    </row>
    <row r="4103">
      <c r="A4103" s="24">
        <v>36.0</v>
      </c>
      <c r="B4103" s="24">
        <v>0.0</v>
      </c>
      <c r="C4103" s="44">
        <v>14.25</v>
      </c>
      <c r="D4103" s="46">
        <v>45145.0</v>
      </c>
      <c r="E4103" s="24" t="s">
        <v>6650</v>
      </c>
      <c r="F4103" s="24">
        <v>395.83</v>
      </c>
      <c r="G4103" s="24">
        <v>0.0</v>
      </c>
      <c r="H4103" s="24" t="s">
        <v>6695</v>
      </c>
      <c r="I4103" s="24" t="s">
        <v>6650</v>
      </c>
      <c r="J4103" s="24">
        <v>0.0</v>
      </c>
    </row>
    <row r="4104">
      <c r="A4104" s="24">
        <v>69.0</v>
      </c>
      <c r="B4104" s="24">
        <v>0.0</v>
      </c>
      <c r="C4104" s="44">
        <v>11.23</v>
      </c>
      <c r="D4104" s="46">
        <v>45145.0</v>
      </c>
      <c r="E4104" s="24" t="s">
        <v>6650</v>
      </c>
      <c r="F4104" s="24">
        <v>162.75</v>
      </c>
      <c r="G4104" s="24">
        <v>0.0</v>
      </c>
      <c r="H4104" s="24" t="s">
        <v>6701</v>
      </c>
      <c r="I4104" s="24" t="s">
        <v>6650</v>
      </c>
      <c r="J4104" s="24">
        <v>0.0</v>
      </c>
    </row>
    <row r="4105">
      <c r="A4105" s="24">
        <v>101.0</v>
      </c>
      <c r="B4105" s="24">
        <v>0.0</v>
      </c>
      <c r="C4105" s="44">
        <v>11.82</v>
      </c>
      <c r="D4105" s="46">
        <v>45145.0</v>
      </c>
      <c r="E4105" s="24" t="s">
        <v>6650</v>
      </c>
      <c r="F4105" s="24">
        <v>117.03</v>
      </c>
      <c r="G4105" s="24">
        <v>0.0</v>
      </c>
      <c r="H4105" s="24" t="s">
        <v>6696</v>
      </c>
      <c r="I4105" s="24" t="s">
        <v>6650</v>
      </c>
      <c r="J4105" s="24">
        <v>0.0</v>
      </c>
    </row>
    <row r="4106">
      <c r="A4106" s="24">
        <v>2.0</v>
      </c>
      <c r="B4106" s="24">
        <v>0.0</v>
      </c>
      <c r="C4106" s="44">
        <v>1.5</v>
      </c>
      <c r="D4106" s="46">
        <v>45145.0</v>
      </c>
      <c r="E4106" s="24" t="s">
        <v>6650</v>
      </c>
      <c r="F4106" s="24">
        <v>750.0</v>
      </c>
      <c r="G4106" s="24">
        <v>0.0</v>
      </c>
      <c r="H4106" s="24" t="s">
        <v>6702</v>
      </c>
      <c r="I4106" s="24" t="s">
        <v>6650</v>
      </c>
      <c r="J4106" s="24">
        <v>0.0</v>
      </c>
    </row>
    <row r="4107">
      <c r="A4107" s="24">
        <v>121.0</v>
      </c>
      <c r="B4107" s="24">
        <v>0.0</v>
      </c>
      <c r="C4107" s="44">
        <v>13.22</v>
      </c>
      <c r="D4107" s="46">
        <v>45145.0</v>
      </c>
      <c r="E4107" s="24" t="s">
        <v>6650</v>
      </c>
      <c r="F4107" s="24">
        <v>109.26</v>
      </c>
      <c r="G4107" s="24">
        <v>0.0</v>
      </c>
      <c r="H4107" s="24" t="s">
        <v>6680</v>
      </c>
      <c r="I4107" s="24">
        <v>13.22</v>
      </c>
      <c r="J4107" s="24">
        <v>0.0</v>
      </c>
    </row>
    <row r="4108">
      <c r="A4108" s="24">
        <v>41.0</v>
      </c>
      <c r="B4108" s="24">
        <v>0.0</v>
      </c>
      <c r="C4108" s="44">
        <v>12.32</v>
      </c>
      <c r="D4108" s="46">
        <v>45145.0</v>
      </c>
      <c r="E4108" s="24" t="s">
        <v>6650</v>
      </c>
      <c r="F4108" s="24">
        <v>300.49</v>
      </c>
      <c r="G4108" s="24">
        <v>0.0</v>
      </c>
      <c r="H4108" s="24" t="s">
        <v>6699</v>
      </c>
      <c r="I4108" s="24" t="s">
        <v>6650</v>
      </c>
      <c r="J4108" s="24">
        <v>0.0</v>
      </c>
    </row>
    <row r="4109">
      <c r="A4109" s="24">
        <v>990.0</v>
      </c>
      <c r="B4109" s="24">
        <v>9.0</v>
      </c>
      <c r="C4109" s="44">
        <v>10.67</v>
      </c>
      <c r="D4109" s="46">
        <v>45145.0</v>
      </c>
      <c r="E4109" s="24">
        <v>1.19</v>
      </c>
      <c r="F4109" s="24">
        <v>10.78</v>
      </c>
      <c r="G4109" s="24">
        <v>0.91</v>
      </c>
      <c r="H4109" s="24" t="s">
        <v>6689</v>
      </c>
      <c r="I4109" s="24" t="s">
        <v>6650</v>
      </c>
      <c r="J4109" s="24">
        <v>0.0</v>
      </c>
    </row>
    <row r="4110">
      <c r="A4110" s="24">
        <v>160.0</v>
      </c>
      <c r="B4110" s="24">
        <v>1.0</v>
      </c>
      <c r="C4110" s="44">
        <v>11.86</v>
      </c>
      <c r="D4110" s="46">
        <v>45145.0</v>
      </c>
      <c r="E4110" s="24">
        <v>11.86</v>
      </c>
      <c r="F4110" s="24">
        <v>74.12</v>
      </c>
      <c r="G4110" s="24">
        <v>0.62</v>
      </c>
      <c r="H4110" s="24" t="s">
        <v>6700</v>
      </c>
      <c r="I4110" s="24" t="s">
        <v>6650</v>
      </c>
      <c r="J4110" s="24">
        <v>0.0</v>
      </c>
    </row>
    <row r="4111">
      <c r="A4111" s="24">
        <v>103.0</v>
      </c>
      <c r="B4111" s="24">
        <v>0.0</v>
      </c>
      <c r="C4111" s="44">
        <v>12.43</v>
      </c>
      <c r="D4111" s="46">
        <v>45145.0</v>
      </c>
      <c r="E4111" s="24" t="s">
        <v>6650</v>
      </c>
      <c r="F4111" s="24">
        <v>120.68</v>
      </c>
      <c r="G4111" s="24">
        <v>0.0</v>
      </c>
      <c r="H4111" s="24" t="s">
        <v>6692</v>
      </c>
      <c r="I4111" s="24" t="s">
        <v>6650</v>
      </c>
      <c r="J4111" s="24">
        <v>0.0</v>
      </c>
    </row>
    <row r="4112">
      <c r="A4112" s="24">
        <v>219.0</v>
      </c>
      <c r="B4112" s="24">
        <v>1.0</v>
      </c>
      <c r="C4112" s="44">
        <v>12.61</v>
      </c>
      <c r="D4112" s="46">
        <v>45146.0</v>
      </c>
      <c r="E4112" s="24">
        <v>12.61</v>
      </c>
      <c r="F4112" s="24">
        <v>57.58</v>
      </c>
      <c r="G4112" s="24">
        <v>0.46</v>
      </c>
      <c r="H4112" s="24" t="s">
        <v>6700</v>
      </c>
      <c r="I4112" s="24">
        <v>12.61</v>
      </c>
      <c r="J4112" s="24">
        <v>0.0</v>
      </c>
    </row>
    <row r="4113">
      <c r="A4113" s="24">
        <v>2063.0</v>
      </c>
      <c r="B4113" s="24">
        <v>13.0</v>
      </c>
      <c r="C4113" s="44">
        <v>11.29</v>
      </c>
      <c r="D4113" s="46">
        <v>45146.0</v>
      </c>
      <c r="E4113" s="24">
        <v>0.87</v>
      </c>
      <c r="F4113" s="24">
        <v>5.47</v>
      </c>
      <c r="G4113" s="24">
        <v>0.63</v>
      </c>
      <c r="H4113" s="24" t="s">
        <v>6688</v>
      </c>
      <c r="I4113" s="24">
        <v>5.64</v>
      </c>
      <c r="J4113" s="24">
        <v>0.0</v>
      </c>
    </row>
    <row r="4114">
      <c r="A4114" s="24">
        <v>603.0</v>
      </c>
      <c r="B4114" s="24">
        <v>5.0</v>
      </c>
      <c r="C4114" s="44">
        <v>11.9</v>
      </c>
      <c r="D4114" s="46">
        <v>45146.0</v>
      </c>
      <c r="E4114" s="24">
        <v>2.38</v>
      </c>
      <c r="F4114" s="24">
        <v>19.73</v>
      </c>
      <c r="G4114" s="24">
        <v>0.83</v>
      </c>
      <c r="H4114" s="24" t="s">
        <v>6698</v>
      </c>
      <c r="I4114" s="24">
        <v>3.97</v>
      </c>
      <c r="J4114" s="24">
        <v>0.0</v>
      </c>
    </row>
    <row r="4115">
      <c r="A4115" s="24">
        <v>2.0</v>
      </c>
      <c r="B4115" s="24">
        <v>2.0</v>
      </c>
      <c r="C4115" s="44">
        <v>1.5</v>
      </c>
      <c r="D4115" s="46">
        <v>45146.0</v>
      </c>
      <c r="E4115" s="24">
        <v>0.75</v>
      </c>
      <c r="F4115" s="24">
        <v>750.0</v>
      </c>
      <c r="G4115" s="24">
        <v>100.0</v>
      </c>
      <c r="H4115" s="24" t="s">
        <v>6702</v>
      </c>
      <c r="I4115" s="24" t="s">
        <v>6650</v>
      </c>
      <c r="J4115" s="24">
        <v>0.0</v>
      </c>
    </row>
    <row r="4116">
      <c r="A4116" s="24">
        <v>60.0</v>
      </c>
      <c r="B4116" s="24">
        <v>1.0</v>
      </c>
      <c r="C4116" s="44">
        <v>13.11</v>
      </c>
      <c r="D4116" s="46">
        <v>45146.0</v>
      </c>
      <c r="E4116" s="24">
        <v>13.11</v>
      </c>
      <c r="F4116" s="24">
        <v>218.5</v>
      </c>
      <c r="G4116" s="24">
        <v>1.67</v>
      </c>
      <c r="H4116" s="24" t="s">
        <v>6699</v>
      </c>
      <c r="I4116" s="24" t="s">
        <v>6650</v>
      </c>
      <c r="J4116" s="24">
        <v>0.0</v>
      </c>
    </row>
    <row r="4117">
      <c r="A4117" s="24">
        <v>107.0</v>
      </c>
      <c r="B4117" s="24">
        <v>1.0</v>
      </c>
      <c r="C4117" s="44">
        <v>11.75</v>
      </c>
      <c r="D4117" s="46">
        <v>45146.0</v>
      </c>
      <c r="E4117" s="24">
        <v>11.75</v>
      </c>
      <c r="F4117" s="24">
        <v>109.81</v>
      </c>
      <c r="G4117" s="24">
        <v>0.93</v>
      </c>
      <c r="H4117" s="24" t="s">
        <v>6692</v>
      </c>
      <c r="I4117" s="24" t="s">
        <v>6650</v>
      </c>
      <c r="J4117" s="24">
        <v>0.0</v>
      </c>
    </row>
    <row r="4118">
      <c r="A4118" s="24">
        <v>37.0</v>
      </c>
      <c r="B4118" s="24">
        <v>0.0</v>
      </c>
      <c r="C4118" s="44">
        <v>12.7</v>
      </c>
      <c r="D4118" s="46">
        <v>45146.0</v>
      </c>
      <c r="E4118" s="24" t="s">
        <v>6650</v>
      </c>
      <c r="F4118" s="24">
        <v>343.24</v>
      </c>
      <c r="G4118" s="24">
        <v>0.0</v>
      </c>
      <c r="H4118" s="24" t="s">
        <v>6695</v>
      </c>
      <c r="I4118" s="24" t="s">
        <v>6650</v>
      </c>
      <c r="J4118" s="24">
        <v>0.0</v>
      </c>
    </row>
    <row r="4119">
      <c r="A4119" s="24">
        <v>66.0</v>
      </c>
      <c r="B4119" s="24">
        <v>1.0</v>
      </c>
      <c r="C4119" s="44">
        <v>13.45</v>
      </c>
      <c r="D4119" s="46">
        <v>45146.0</v>
      </c>
      <c r="E4119" s="24">
        <v>13.45</v>
      </c>
      <c r="F4119" s="24">
        <v>203.79</v>
      </c>
      <c r="G4119" s="24">
        <v>1.52</v>
      </c>
      <c r="H4119" s="24" t="s">
        <v>6697</v>
      </c>
      <c r="I4119" s="24">
        <v>13.45</v>
      </c>
      <c r="J4119" s="24">
        <v>1.0</v>
      </c>
    </row>
    <row r="4120">
      <c r="A4120" s="24">
        <v>46.0</v>
      </c>
      <c r="B4120" s="24">
        <v>0.0</v>
      </c>
      <c r="C4120" s="44">
        <v>14.44</v>
      </c>
      <c r="D4120" s="46">
        <v>45146.0</v>
      </c>
      <c r="E4120" s="24" t="s">
        <v>6650</v>
      </c>
      <c r="F4120" s="24">
        <v>313.91</v>
      </c>
      <c r="G4120" s="24">
        <v>0.0</v>
      </c>
      <c r="H4120" s="24" t="s">
        <v>6701</v>
      </c>
      <c r="I4120" s="24" t="s">
        <v>6650</v>
      </c>
      <c r="J4120" s="24">
        <v>0.0</v>
      </c>
    </row>
    <row r="4121">
      <c r="A4121" s="24">
        <v>1244.0</v>
      </c>
      <c r="B4121" s="24">
        <v>10.0</v>
      </c>
      <c r="C4121" s="44">
        <v>12.05</v>
      </c>
      <c r="D4121" s="46">
        <v>45146.0</v>
      </c>
      <c r="E4121" s="24">
        <v>1.2</v>
      </c>
      <c r="F4121" s="24">
        <v>9.69</v>
      </c>
      <c r="G4121" s="24">
        <v>0.8</v>
      </c>
      <c r="H4121" s="24" t="s">
        <v>6689</v>
      </c>
      <c r="I4121" s="24">
        <v>12.05</v>
      </c>
      <c r="J4121" s="24">
        <v>0.0</v>
      </c>
    </row>
    <row r="4122">
      <c r="A4122" s="24">
        <v>89.0</v>
      </c>
      <c r="B4122" s="24">
        <v>1.0</v>
      </c>
      <c r="C4122" s="44">
        <v>11.77</v>
      </c>
      <c r="D4122" s="46">
        <v>45146.0</v>
      </c>
      <c r="E4122" s="24">
        <v>11.77</v>
      </c>
      <c r="F4122" s="24">
        <v>132.25</v>
      </c>
      <c r="G4122" s="24">
        <v>1.12</v>
      </c>
      <c r="H4122" s="24" t="s">
        <v>6696</v>
      </c>
      <c r="I4122" s="24" t="s">
        <v>6650</v>
      </c>
      <c r="J4122" s="24">
        <v>0.0</v>
      </c>
    </row>
    <row r="4123">
      <c r="A4123" s="24">
        <v>202.0</v>
      </c>
      <c r="B4123" s="24">
        <v>1.0</v>
      </c>
      <c r="C4123" s="44">
        <v>13.4</v>
      </c>
      <c r="D4123" s="46">
        <v>45146.0</v>
      </c>
      <c r="E4123" s="24">
        <v>13.4</v>
      </c>
      <c r="F4123" s="24">
        <v>66.34</v>
      </c>
      <c r="G4123" s="24">
        <v>0.5</v>
      </c>
      <c r="H4123" s="24" t="s">
        <v>6680</v>
      </c>
      <c r="I4123" s="24" t="s">
        <v>6650</v>
      </c>
      <c r="J4123" s="24">
        <v>0.0</v>
      </c>
    </row>
    <row r="4124">
      <c r="A4124" s="24">
        <v>52.0</v>
      </c>
      <c r="B4124" s="24">
        <v>0.0</v>
      </c>
      <c r="C4124" s="44">
        <v>11.4</v>
      </c>
      <c r="D4124" s="46">
        <v>45147.0</v>
      </c>
      <c r="E4124" s="24" t="s">
        <v>6650</v>
      </c>
      <c r="F4124" s="24">
        <v>219.23</v>
      </c>
      <c r="G4124" s="24">
        <v>0.0</v>
      </c>
      <c r="H4124" s="24" t="s">
        <v>6695</v>
      </c>
      <c r="I4124" s="24" t="s">
        <v>6650</v>
      </c>
      <c r="J4124" s="24">
        <v>0.0</v>
      </c>
    </row>
    <row r="4125">
      <c r="A4125" s="24">
        <v>279.0</v>
      </c>
      <c r="B4125" s="24">
        <v>0.0</v>
      </c>
      <c r="C4125" s="44">
        <v>12.73</v>
      </c>
      <c r="D4125" s="46">
        <v>45147.0</v>
      </c>
      <c r="E4125" s="24" t="s">
        <v>6650</v>
      </c>
      <c r="F4125" s="24">
        <v>45.63</v>
      </c>
      <c r="G4125" s="24">
        <v>0.0</v>
      </c>
      <c r="H4125" s="24" t="s">
        <v>6692</v>
      </c>
      <c r="I4125" s="24">
        <v>12.73</v>
      </c>
      <c r="J4125" s="24">
        <v>0.0</v>
      </c>
    </row>
    <row r="4126">
      <c r="A4126" s="24">
        <v>314.0</v>
      </c>
      <c r="B4126" s="24">
        <v>3.0</v>
      </c>
      <c r="C4126" s="44">
        <v>12.08</v>
      </c>
      <c r="D4126" s="46">
        <v>45147.0</v>
      </c>
      <c r="E4126" s="24">
        <v>4.03</v>
      </c>
      <c r="F4126" s="24">
        <v>38.47</v>
      </c>
      <c r="G4126" s="24">
        <v>0.96</v>
      </c>
      <c r="H4126" s="24" t="s">
        <v>6698</v>
      </c>
      <c r="I4126" s="24">
        <v>4.03</v>
      </c>
      <c r="J4126" s="24">
        <v>0.0</v>
      </c>
    </row>
    <row r="4127">
      <c r="A4127" s="24">
        <v>2123.0</v>
      </c>
      <c r="B4127" s="24">
        <v>12.0</v>
      </c>
      <c r="C4127" s="44">
        <v>11.51</v>
      </c>
      <c r="D4127" s="46">
        <v>45147.0</v>
      </c>
      <c r="E4127" s="24">
        <v>0.96</v>
      </c>
      <c r="F4127" s="24">
        <v>5.42</v>
      </c>
      <c r="G4127" s="24">
        <v>0.57</v>
      </c>
      <c r="H4127" s="24" t="s">
        <v>6688</v>
      </c>
      <c r="I4127" s="24">
        <v>11.51</v>
      </c>
      <c r="J4127" s="24">
        <v>0.0</v>
      </c>
    </row>
    <row r="4128">
      <c r="A4128" s="24">
        <v>1143.0</v>
      </c>
      <c r="B4128" s="24">
        <v>13.0</v>
      </c>
      <c r="C4128" s="44">
        <v>12.19</v>
      </c>
      <c r="D4128" s="46">
        <v>45147.0</v>
      </c>
      <c r="E4128" s="24">
        <v>0.94</v>
      </c>
      <c r="F4128" s="24">
        <v>10.66</v>
      </c>
      <c r="G4128" s="24">
        <v>1.14</v>
      </c>
      <c r="H4128" s="24" t="s">
        <v>6689</v>
      </c>
      <c r="I4128" s="24">
        <v>12.19</v>
      </c>
      <c r="J4128" s="24">
        <v>0.0</v>
      </c>
    </row>
    <row r="4129">
      <c r="A4129" s="24">
        <v>126.0</v>
      </c>
      <c r="B4129" s="24">
        <v>0.0</v>
      </c>
      <c r="C4129" s="44">
        <v>13.28</v>
      </c>
      <c r="D4129" s="46">
        <v>45147.0</v>
      </c>
      <c r="E4129" s="24" t="s">
        <v>6650</v>
      </c>
      <c r="F4129" s="24">
        <v>105.4</v>
      </c>
      <c r="G4129" s="24">
        <v>0.0</v>
      </c>
      <c r="H4129" s="24" t="s">
        <v>6696</v>
      </c>
      <c r="I4129" s="24">
        <v>13.28</v>
      </c>
      <c r="J4129" s="24">
        <v>0.0</v>
      </c>
    </row>
    <row r="4130">
      <c r="A4130" s="24">
        <v>11.0</v>
      </c>
      <c r="B4130" s="24">
        <v>5.0</v>
      </c>
      <c r="C4130" s="44">
        <v>8.25</v>
      </c>
      <c r="D4130" s="46">
        <v>45147.0</v>
      </c>
      <c r="E4130" s="24">
        <v>1.65</v>
      </c>
      <c r="F4130" s="24">
        <v>750.0</v>
      </c>
      <c r="G4130" s="24">
        <v>45.45</v>
      </c>
      <c r="H4130" s="24" t="s">
        <v>6702</v>
      </c>
      <c r="I4130" s="24" t="s">
        <v>6650</v>
      </c>
      <c r="J4130" s="24">
        <v>0.0</v>
      </c>
    </row>
    <row r="4131">
      <c r="A4131" s="24">
        <v>202.0</v>
      </c>
      <c r="B4131" s="24">
        <v>0.0</v>
      </c>
      <c r="C4131" s="44">
        <v>13.47</v>
      </c>
      <c r="D4131" s="46">
        <v>45147.0</v>
      </c>
      <c r="E4131" s="24" t="s">
        <v>6650</v>
      </c>
      <c r="F4131" s="24">
        <v>66.68</v>
      </c>
      <c r="G4131" s="24">
        <v>0.0</v>
      </c>
      <c r="H4131" s="24" t="s">
        <v>6680</v>
      </c>
      <c r="I4131" s="24">
        <v>13.47</v>
      </c>
      <c r="J4131" s="24">
        <v>0.0</v>
      </c>
    </row>
    <row r="4132">
      <c r="A4132" s="24">
        <v>51.0</v>
      </c>
      <c r="B4132" s="24">
        <v>2.0</v>
      </c>
      <c r="C4132" s="44">
        <v>12.05</v>
      </c>
      <c r="D4132" s="46">
        <v>45147.0</v>
      </c>
      <c r="E4132" s="24">
        <v>6.02</v>
      </c>
      <c r="F4132" s="24">
        <v>236.27</v>
      </c>
      <c r="G4132" s="24">
        <v>3.92</v>
      </c>
      <c r="H4132" s="24" t="s">
        <v>6699</v>
      </c>
      <c r="I4132" s="24" t="s">
        <v>6650</v>
      </c>
      <c r="J4132" s="24">
        <v>0.0</v>
      </c>
    </row>
    <row r="4133">
      <c r="A4133" s="24">
        <v>50.0</v>
      </c>
      <c r="B4133" s="24">
        <v>0.0</v>
      </c>
      <c r="C4133" s="44">
        <v>12.56</v>
      </c>
      <c r="D4133" s="46">
        <v>45147.0</v>
      </c>
      <c r="E4133" s="24" t="s">
        <v>6650</v>
      </c>
      <c r="F4133" s="24">
        <v>251.2</v>
      </c>
      <c r="G4133" s="24">
        <v>0.0</v>
      </c>
      <c r="H4133" s="24" t="s">
        <v>6701</v>
      </c>
      <c r="I4133" s="24" t="s">
        <v>6650</v>
      </c>
      <c r="J4133" s="24">
        <v>0.0</v>
      </c>
    </row>
    <row r="4134">
      <c r="A4134" s="24">
        <v>52.0</v>
      </c>
      <c r="B4134" s="24">
        <v>0.0</v>
      </c>
      <c r="C4134" s="44">
        <v>13.41</v>
      </c>
      <c r="D4134" s="46">
        <v>45147.0</v>
      </c>
      <c r="E4134" s="24" t="s">
        <v>6650</v>
      </c>
      <c r="F4134" s="24">
        <v>257.88</v>
      </c>
      <c r="G4134" s="24">
        <v>0.0</v>
      </c>
      <c r="H4134" s="24" t="s">
        <v>6697</v>
      </c>
      <c r="I4134" s="24" t="s">
        <v>6650</v>
      </c>
      <c r="J4134" s="24">
        <v>0.0</v>
      </c>
    </row>
    <row r="4135">
      <c r="A4135" s="24">
        <v>161.0</v>
      </c>
      <c r="B4135" s="24">
        <v>1.0</v>
      </c>
      <c r="C4135" s="44">
        <v>11.99</v>
      </c>
      <c r="D4135" s="46">
        <v>45147.0</v>
      </c>
      <c r="E4135" s="24">
        <v>11.99</v>
      </c>
      <c r="F4135" s="24">
        <v>74.47</v>
      </c>
      <c r="G4135" s="24">
        <v>0.62</v>
      </c>
      <c r="H4135" s="24" t="s">
        <v>6700</v>
      </c>
      <c r="I4135" s="24">
        <v>6.0</v>
      </c>
      <c r="J4135" s="24">
        <v>0.0</v>
      </c>
    </row>
    <row r="4136">
      <c r="A4136" s="24">
        <v>87.0</v>
      </c>
      <c r="B4136" s="24">
        <v>2.0</v>
      </c>
      <c r="C4136" s="44">
        <v>11.33</v>
      </c>
      <c r="D4136" s="46">
        <v>45148.0</v>
      </c>
      <c r="E4136" s="24">
        <v>5.66</v>
      </c>
      <c r="F4136" s="24">
        <v>130.23</v>
      </c>
      <c r="G4136" s="24">
        <v>2.3</v>
      </c>
      <c r="H4136" s="24" t="s">
        <v>6696</v>
      </c>
      <c r="I4136" s="24" t="s">
        <v>6650</v>
      </c>
      <c r="J4136" s="24">
        <v>0.0</v>
      </c>
    </row>
    <row r="4137">
      <c r="A4137" s="24">
        <v>254.0</v>
      </c>
      <c r="B4137" s="24">
        <v>1.0</v>
      </c>
      <c r="C4137" s="44">
        <v>13.83</v>
      </c>
      <c r="D4137" s="46">
        <v>45148.0</v>
      </c>
      <c r="E4137" s="24">
        <v>13.83</v>
      </c>
      <c r="F4137" s="24">
        <v>54.45</v>
      </c>
      <c r="G4137" s="24">
        <v>0.39</v>
      </c>
      <c r="H4137" s="24" t="s">
        <v>6680</v>
      </c>
      <c r="I4137" s="24" t="s">
        <v>6650</v>
      </c>
      <c r="J4137" s="24">
        <v>0.0</v>
      </c>
    </row>
    <row r="4138">
      <c r="A4138" s="24">
        <v>41.0</v>
      </c>
      <c r="B4138" s="24">
        <v>1.0</v>
      </c>
      <c r="C4138" s="44">
        <v>13.06</v>
      </c>
      <c r="D4138" s="46">
        <v>45148.0</v>
      </c>
      <c r="E4138" s="24">
        <v>13.06</v>
      </c>
      <c r="F4138" s="24">
        <v>318.54</v>
      </c>
      <c r="G4138" s="24">
        <v>2.44</v>
      </c>
      <c r="H4138" s="24" t="s">
        <v>6697</v>
      </c>
      <c r="I4138" s="24" t="s">
        <v>6650</v>
      </c>
      <c r="J4138" s="24">
        <v>0.0</v>
      </c>
    </row>
    <row r="4139">
      <c r="A4139" s="24">
        <v>424.0</v>
      </c>
      <c r="B4139" s="24">
        <v>3.0</v>
      </c>
      <c r="C4139" s="44">
        <v>11.02</v>
      </c>
      <c r="D4139" s="46">
        <v>45148.0</v>
      </c>
      <c r="E4139" s="24">
        <v>3.67</v>
      </c>
      <c r="F4139" s="24">
        <v>25.99</v>
      </c>
      <c r="G4139" s="24">
        <v>0.71</v>
      </c>
      <c r="H4139" s="24" t="s">
        <v>6698</v>
      </c>
      <c r="I4139" s="24">
        <v>11.02</v>
      </c>
      <c r="J4139" s="24">
        <v>0.0</v>
      </c>
    </row>
    <row r="4140">
      <c r="A4140" s="24">
        <v>64.0</v>
      </c>
      <c r="B4140" s="24">
        <v>0.0</v>
      </c>
      <c r="C4140" s="44">
        <v>11.67</v>
      </c>
      <c r="D4140" s="46">
        <v>45148.0</v>
      </c>
      <c r="E4140" s="24" t="s">
        <v>6650</v>
      </c>
      <c r="F4140" s="24">
        <v>182.34</v>
      </c>
      <c r="G4140" s="24">
        <v>0.0</v>
      </c>
      <c r="H4140" s="24" t="s">
        <v>6699</v>
      </c>
      <c r="I4140" s="24" t="s">
        <v>6650</v>
      </c>
      <c r="J4140" s="24">
        <v>0.0</v>
      </c>
    </row>
    <row r="4141">
      <c r="A4141" s="24">
        <v>37.0</v>
      </c>
      <c r="B4141" s="24">
        <v>1.0</v>
      </c>
      <c r="C4141" s="44">
        <v>15.0</v>
      </c>
      <c r="D4141" s="46">
        <v>45148.0</v>
      </c>
      <c r="E4141" s="24">
        <v>15.0</v>
      </c>
      <c r="F4141" s="24">
        <v>405.41</v>
      </c>
      <c r="G4141" s="24">
        <v>2.7</v>
      </c>
      <c r="H4141" s="24" t="s">
        <v>6695</v>
      </c>
      <c r="I4141" s="24" t="s">
        <v>6650</v>
      </c>
      <c r="J4141" s="24">
        <v>0.0</v>
      </c>
    </row>
    <row r="4142">
      <c r="A4142" s="24">
        <v>5.0</v>
      </c>
      <c r="B4142" s="24">
        <v>4.0</v>
      </c>
      <c r="C4142" s="44">
        <v>3.75</v>
      </c>
      <c r="D4142" s="46">
        <v>45148.0</v>
      </c>
      <c r="E4142" s="24">
        <v>0.94</v>
      </c>
      <c r="F4142" s="24">
        <v>750.0</v>
      </c>
      <c r="G4142" s="24">
        <v>80.0</v>
      </c>
      <c r="H4142" s="24" t="s">
        <v>6702</v>
      </c>
      <c r="I4142" s="24" t="s">
        <v>6650</v>
      </c>
      <c r="J4142" s="24">
        <v>0.0</v>
      </c>
    </row>
    <row r="4143">
      <c r="A4143" s="24">
        <v>1031.0</v>
      </c>
      <c r="B4143" s="24">
        <v>6.0</v>
      </c>
      <c r="C4143" s="44">
        <v>12.19</v>
      </c>
      <c r="D4143" s="46">
        <v>45148.0</v>
      </c>
      <c r="E4143" s="24">
        <v>2.03</v>
      </c>
      <c r="F4143" s="24">
        <v>11.82</v>
      </c>
      <c r="G4143" s="24">
        <v>0.58</v>
      </c>
      <c r="H4143" s="24" t="s">
        <v>6689</v>
      </c>
      <c r="I4143" s="24" t="s">
        <v>6650</v>
      </c>
      <c r="J4143" s="24">
        <v>0.0</v>
      </c>
    </row>
    <row r="4144">
      <c r="A4144" s="24">
        <v>169.0</v>
      </c>
      <c r="B4144" s="24">
        <v>2.0</v>
      </c>
      <c r="C4144" s="44">
        <v>10.81</v>
      </c>
      <c r="D4144" s="46">
        <v>45148.0</v>
      </c>
      <c r="E4144" s="24">
        <v>5.4</v>
      </c>
      <c r="F4144" s="24">
        <v>63.96</v>
      </c>
      <c r="G4144" s="24">
        <v>1.18</v>
      </c>
      <c r="H4144" s="24" t="s">
        <v>6692</v>
      </c>
      <c r="I4144" s="24" t="s">
        <v>6650</v>
      </c>
      <c r="J4144" s="24">
        <v>0.0</v>
      </c>
    </row>
    <row r="4145">
      <c r="A4145" s="24">
        <v>188.0</v>
      </c>
      <c r="B4145" s="24">
        <v>0.0</v>
      </c>
      <c r="C4145" s="44">
        <v>10.98</v>
      </c>
      <c r="D4145" s="46">
        <v>45148.0</v>
      </c>
      <c r="E4145" s="24" t="s">
        <v>6650</v>
      </c>
      <c r="F4145" s="24">
        <v>58.4</v>
      </c>
      <c r="G4145" s="24">
        <v>0.0</v>
      </c>
      <c r="H4145" s="24" t="s">
        <v>6700</v>
      </c>
      <c r="I4145" s="24">
        <v>10.98</v>
      </c>
      <c r="J4145" s="24">
        <v>0.0</v>
      </c>
    </row>
    <row r="4146">
      <c r="A4146" s="24">
        <v>2054.0</v>
      </c>
      <c r="B4146" s="24">
        <v>3.0</v>
      </c>
      <c r="C4146" s="44">
        <v>11.05</v>
      </c>
      <c r="D4146" s="46">
        <v>45148.0</v>
      </c>
      <c r="E4146" s="24">
        <v>3.68</v>
      </c>
      <c r="F4146" s="24">
        <v>5.38</v>
      </c>
      <c r="G4146" s="24">
        <v>0.15</v>
      </c>
      <c r="H4146" s="24" t="s">
        <v>6688</v>
      </c>
      <c r="I4146" s="24">
        <v>2.76</v>
      </c>
      <c r="J4146" s="24">
        <v>0.0</v>
      </c>
    </row>
    <row r="4147">
      <c r="A4147" s="24">
        <v>43.0</v>
      </c>
      <c r="B4147" s="24">
        <v>0.0</v>
      </c>
      <c r="C4147" s="44">
        <v>11.72</v>
      </c>
      <c r="D4147" s="46">
        <v>45148.0</v>
      </c>
      <c r="E4147" s="24" t="s">
        <v>6650</v>
      </c>
      <c r="F4147" s="24">
        <v>272.56</v>
      </c>
      <c r="G4147" s="24">
        <v>0.0</v>
      </c>
      <c r="H4147" s="24" t="s">
        <v>6701</v>
      </c>
      <c r="I4147" s="24" t="s">
        <v>6650</v>
      </c>
      <c r="J4147" s="24">
        <v>0.0</v>
      </c>
    </row>
    <row r="4148">
      <c r="A4148" s="24">
        <v>95.0</v>
      </c>
      <c r="B4148" s="24">
        <v>0.0</v>
      </c>
      <c r="C4148" s="44">
        <v>11.65</v>
      </c>
      <c r="D4148" s="46">
        <v>45149.0</v>
      </c>
      <c r="E4148" s="24" t="s">
        <v>6650</v>
      </c>
      <c r="F4148" s="24">
        <v>122.63</v>
      </c>
      <c r="G4148" s="24">
        <v>0.0</v>
      </c>
      <c r="H4148" s="24" t="s">
        <v>6680</v>
      </c>
      <c r="I4148" s="24">
        <v>11.65</v>
      </c>
      <c r="J4148" s="24">
        <v>0.0</v>
      </c>
    </row>
    <row r="4149">
      <c r="A4149" s="24">
        <v>2.0</v>
      </c>
      <c r="B4149" s="24">
        <v>2.0</v>
      </c>
      <c r="C4149" s="44">
        <v>1.5</v>
      </c>
      <c r="D4149" s="46">
        <v>45149.0</v>
      </c>
      <c r="E4149" s="24">
        <v>0.75</v>
      </c>
      <c r="F4149" s="24">
        <v>750.0</v>
      </c>
      <c r="G4149" s="24">
        <v>100.0</v>
      </c>
      <c r="H4149" s="24" t="s">
        <v>6702</v>
      </c>
      <c r="I4149" s="24" t="s">
        <v>6650</v>
      </c>
      <c r="J4149" s="24">
        <v>0.0</v>
      </c>
    </row>
    <row r="4150">
      <c r="A4150" s="24">
        <v>2210.0</v>
      </c>
      <c r="B4150" s="24">
        <v>13.0</v>
      </c>
      <c r="C4150" s="44">
        <v>10.61</v>
      </c>
      <c r="D4150" s="46">
        <v>45149.0</v>
      </c>
      <c r="E4150" s="24">
        <v>0.82</v>
      </c>
      <c r="F4150" s="24">
        <v>4.8</v>
      </c>
      <c r="G4150" s="24">
        <v>0.59</v>
      </c>
      <c r="H4150" s="24" t="s">
        <v>6688</v>
      </c>
      <c r="I4150" s="24">
        <v>2.65</v>
      </c>
      <c r="J4150" s="24">
        <v>0.0</v>
      </c>
    </row>
    <row r="4151">
      <c r="A4151" s="24">
        <v>48.0</v>
      </c>
      <c r="B4151" s="24">
        <v>2.0</v>
      </c>
      <c r="C4151" s="44">
        <v>11.05</v>
      </c>
      <c r="D4151" s="46">
        <v>45149.0</v>
      </c>
      <c r="E4151" s="24">
        <v>5.52</v>
      </c>
      <c r="F4151" s="24">
        <v>230.21</v>
      </c>
      <c r="G4151" s="24">
        <v>4.17</v>
      </c>
      <c r="H4151" s="24" t="s">
        <v>6701</v>
      </c>
      <c r="I4151" s="24" t="s">
        <v>6650</v>
      </c>
      <c r="J4151" s="24">
        <v>0.0</v>
      </c>
    </row>
    <row r="4152">
      <c r="A4152" s="24">
        <v>48.0</v>
      </c>
      <c r="B4152" s="24">
        <v>3.0</v>
      </c>
      <c r="C4152" s="44">
        <v>8.49</v>
      </c>
      <c r="D4152" s="46">
        <v>45149.0</v>
      </c>
      <c r="E4152" s="24">
        <v>2.83</v>
      </c>
      <c r="F4152" s="24">
        <v>176.88</v>
      </c>
      <c r="G4152" s="24">
        <v>6.25</v>
      </c>
      <c r="H4152" s="24" t="s">
        <v>6695</v>
      </c>
      <c r="I4152" s="24" t="s">
        <v>6650</v>
      </c>
      <c r="J4152" s="24">
        <v>0.0</v>
      </c>
    </row>
    <row r="4153">
      <c r="A4153" s="24">
        <v>134.0</v>
      </c>
      <c r="B4153" s="24">
        <v>2.0</v>
      </c>
      <c r="C4153" s="44">
        <v>10.82</v>
      </c>
      <c r="D4153" s="46">
        <v>45149.0</v>
      </c>
      <c r="E4153" s="24">
        <v>5.41</v>
      </c>
      <c r="F4153" s="24">
        <v>80.75</v>
      </c>
      <c r="G4153" s="24">
        <v>1.49</v>
      </c>
      <c r="H4153" s="24" t="s">
        <v>6700</v>
      </c>
      <c r="I4153" s="24">
        <v>10.82</v>
      </c>
      <c r="J4153" s="24">
        <v>0.0</v>
      </c>
    </row>
    <row r="4154">
      <c r="A4154" s="24">
        <v>70.0</v>
      </c>
      <c r="B4154" s="24">
        <v>1.0</v>
      </c>
      <c r="C4154" s="44">
        <v>10.56</v>
      </c>
      <c r="D4154" s="46">
        <v>45149.0</v>
      </c>
      <c r="E4154" s="24">
        <v>10.56</v>
      </c>
      <c r="F4154" s="24">
        <v>150.86</v>
      </c>
      <c r="G4154" s="24">
        <v>1.43</v>
      </c>
      <c r="H4154" s="24" t="s">
        <v>6696</v>
      </c>
      <c r="I4154" s="24">
        <v>10.56</v>
      </c>
      <c r="J4154" s="24">
        <v>0.0</v>
      </c>
    </row>
    <row r="4155">
      <c r="A4155" s="24">
        <v>72.0</v>
      </c>
      <c r="B4155" s="24">
        <v>1.0</v>
      </c>
      <c r="C4155" s="44">
        <v>11.57</v>
      </c>
      <c r="D4155" s="46">
        <v>45149.0</v>
      </c>
      <c r="E4155" s="24">
        <v>11.57</v>
      </c>
      <c r="F4155" s="24">
        <v>160.69</v>
      </c>
      <c r="G4155" s="24">
        <v>1.39</v>
      </c>
      <c r="H4155" s="24" t="s">
        <v>6699</v>
      </c>
      <c r="I4155" s="24">
        <v>11.57</v>
      </c>
      <c r="J4155" s="24">
        <v>0.0</v>
      </c>
    </row>
    <row r="4156">
      <c r="A4156" s="24">
        <v>301.0</v>
      </c>
      <c r="B4156" s="24">
        <v>3.0</v>
      </c>
      <c r="C4156" s="44">
        <v>11.42</v>
      </c>
      <c r="D4156" s="46">
        <v>45149.0</v>
      </c>
      <c r="E4156" s="24">
        <v>3.81</v>
      </c>
      <c r="F4156" s="24">
        <v>37.94</v>
      </c>
      <c r="G4156" s="24">
        <v>1.0</v>
      </c>
      <c r="H4156" s="24" t="s">
        <v>6698</v>
      </c>
      <c r="I4156" s="24">
        <v>11.42</v>
      </c>
      <c r="J4156" s="24">
        <v>0.0</v>
      </c>
    </row>
    <row r="4157">
      <c r="A4157" s="24">
        <v>806.0</v>
      </c>
      <c r="B4157" s="24">
        <v>9.0</v>
      </c>
      <c r="C4157" s="44">
        <v>11.17</v>
      </c>
      <c r="D4157" s="46">
        <v>45149.0</v>
      </c>
      <c r="E4157" s="24">
        <v>1.24</v>
      </c>
      <c r="F4157" s="24">
        <v>13.86</v>
      </c>
      <c r="G4157" s="24">
        <v>1.12</v>
      </c>
      <c r="H4157" s="24" t="s">
        <v>6689</v>
      </c>
      <c r="I4157" s="24">
        <v>3.72</v>
      </c>
      <c r="J4157" s="24">
        <v>0.0</v>
      </c>
    </row>
    <row r="4158">
      <c r="A4158" s="24">
        <v>48.0</v>
      </c>
      <c r="B4158" s="24">
        <v>0.0</v>
      </c>
      <c r="C4158" s="44">
        <v>11.0</v>
      </c>
      <c r="D4158" s="46">
        <v>45149.0</v>
      </c>
      <c r="E4158" s="24" t="s">
        <v>6650</v>
      </c>
      <c r="F4158" s="24">
        <v>229.17</v>
      </c>
      <c r="G4158" s="24">
        <v>0.0</v>
      </c>
      <c r="H4158" s="24" t="s">
        <v>6697</v>
      </c>
      <c r="I4158" s="24" t="s">
        <v>6650</v>
      </c>
      <c r="J4158" s="24">
        <v>0.0</v>
      </c>
    </row>
    <row r="4159">
      <c r="A4159" s="24">
        <v>77.0</v>
      </c>
      <c r="B4159" s="24">
        <v>0.0</v>
      </c>
      <c r="C4159" s="44">
        <v>10.04</v>
      </c>
      <c r="D4159" s="46">
        <v>45149.0</v>
      </c>
      <c r="E4159" s="24" t="s">
        <v>6650</v>
      </c>
      <c r="F4159" s="24">
        <v>130.39</v>
      </c>
      <c r="G4159" s="24">
        <v>0.0</v>
      </c>
      <c r="H4159" s="24" t="s">
        <v>6692</v>
      </c>
      <c r="I4159" s="24" t="s">
        <v>6650</v>
      </c>
      <c r="J4159" s="24">
        <v>0.0</v>
      </c>
    </row>
    <row r="4160">
      <c r="A4160" s="24">
        <v>28.0</v>
      </c>
      <c r="B4160" s="24">
        <v>0.0</v>
      </c>
      <c r="C4160" s="44">
        <v>7.69</v>
      </c>
      <c r="D4160" s="46">
        <v>45150.0</v>
      </c>
      <c r="E4160" s="24" t="s">
        <v>6650</v>
      </c>
      <c r="F4160" s="24">
        <v>274.64</v>
      </c>
      <c r="G4160" s="24">
        <v>0.0</v>
      </c>
      <c r="H4160" s="24" t="s">
        <v>6696</v>
      </c>
      <c r="I4160" s="24">
        <v>7.69</v>
      </c>
      <c r="J4160" s="24">
        <v>0.0</v>
      </c>
    </row>
    <row r="4161">
      <c r="A4161" s="24">
        <v>59.0</v>
      </c>
      <c r="B4161" s="24">
        <v>2.0</v>
      </c>
      <c r="C4161" s="44">
        <v>9.46</v>
      </c>
      <c r="D4161" s="46">
        <v>45150.0</v>
      </c>
      <c r="E4161" s="24">
        <v>4.73</v>
      </c>
      <c r="F4161" s="24">
        <v>160.34</v>
      </c>
      <c r="G4161" s="24">
        <v>3.39</v>
      </c>
      <c r="H4161" s="24" t="s">
        <v>6692</v>
      </c>
      <c r="I4161" s="24">
        <v>9.46</v>
      </c>
      <c r="J4161" s="24">
        <v>1.0</v>
      </c>
    </row>
    <row r="4162">
      <c r="A4162" s="24">
        <v>22.0</v>
      </c>
      <c r="B4162" s="24">
        <v>0.0</v>
      </c>
      <c r="C4162" s="44">
        <v>6.02</v>
      </c>
      <c r="D4162" s="46">
        <v>45150.0</v>
      </c>
      <c r="E4162" s="24" t="s">
        <v>6650</v>
      </c>
      <c r="F4162" s="24">
        <v>273.64</v>
      </c>
      <c r="G4162" s="24">
        <v>0.0</v>
      </c>
      <c r="H4162" s="24" t="s">
        <v>6699</v>
      </c>
      <c r="I4162" s="24" t="s">
        <v>6650</v>
      </c>
      <c r="J4162" s="24">
        <v>0.0</v>
      </c>
    </row>
    <row r="4163">
      <c r="A4163" s="24">
        <v>67.0</v>
      </c>
      <c r="B4163" s="24">
        <v>0.0</v>
      </c>
      <c r="C4163" s="44">
        <v>6.37</v>
      </c>
      <c r="D4163" s="46">
        <v>45150.0</v>
      </c>
      <c r="E4163" s="24" t="s">
        <v>6650</v>
      </c>
      <c r="F4163" s="24">
        <v>95.07</v>
      </c>
      <c r="G4163" s="24">
        <v>0.0</v>
      </c>
      <c r="H4163" s="24" t="s">
        <v>6700</v>
      </c>
      <c r="I4163" s="24" t="s">
        <v>6650</v>
      </c>
      <c r="J4163" s="24">
        <v>0.0</v>
      </c>
    </row>
    <row r="4164">
      <c r="A4164" s="24">
        <v>38.0</v>
      </c>
      <c r="B4164" s="24">
        <v>1.0</v>
      </c>
      <c r="C4164" s="44">
        <v>6.54</v>
      </c>
      <c r="D4164" s="46">
        <v>45150.0</v>
      </c>
      <c r="E4164" s="24">
        <v>6.54</v>
      </c>
      <c r="F4164" s="24">
        <v>172.11</v>
      </c>
      <c r="G4164" s="24">
        <v>2.63</v>
      </c>
      <c r="H4164" s="24" t="s">
        <v>6680</v>
      </c>
      <c r="I4164" s="24">
        <v>6.54</v>
      </c>
      <c r="J4164" s="24">
        <v>0.0</v>
      </c>
    </row>
    <row r="4165">
      <c r="A4165" s="24">
        <v>12.0</v>
      </c>
      <c r="B4165" s="24">
        <v>0.0</v>
      </c>
      <c r="C4165" s="44">
        <v>4.63</v>
      </c>
      <c r="D4165" s="46">
        <v>45150.0</v>
      </c>
      <c r="E4165" s="24" t="s">
        <v>6650</v>
      </c>
      <c r="F4165" s="24">
        <v>385.83</v>
      </c>
      <c r="G4165" s="24">
        <v>0.0</v>
      </c>
      <c r="H4165" s="24" t="s">
        <v>6697</v>
      </c>
      <c r="I4165" s="24" t="s">
        <v>6650</v>
      </c>
      <c r="J4165" s="24">
        <v>0.0</v>
      </c>
    </row>
    <row r="4166">
      <c r="A4166" s="24">
        <v>20.0</v>
      </c>
      <c r="B4166" s="24">
        <v>1.0</v>
      </c>
      <c r="C4166" s="44">
        <v>5.11</v>
      </c>
      <c r="D4166" s="46">
        <v>45150.0</v>
      </c>
      <c r="E4166" s="24">
        <v>5.11</v>
      </c>
      <c r="F4166" s="24">
        <v>255.5</v>
      </c>
      <c r="G4166" s="24">
        <v>5.0</v>
      </c>
      <c r="H4166" s="24" t="s">
        <v>6695</v>
      </c>
      <c r="I4166" s="24" t="s">
        <v>6650</v>
      </c>
      <c r="J4166" s="24">
        <v>0.0</v>
      </c>
    </row>
    <row r="4167">
      <c r="A4167" s="24">
        <v>181.0</v>
      </c>
      <c r="B4167" s="24">
        <v>0.0</v>
      </c>
      <c r="C4167" s="44">
        <v>6.26</v>
      </c>
      <c r="D4167" s="46">
        <v>45150.0</v>
      </c>
      <c r="E4167" s="24" t="s">
        <v>6650</v>
      </c>
      <c r="F4167" s="24">
        <v>34.59</v>
      </c>
      <c r="G4167" s="24">
        <v>0.0</v>
      </c>
      <c r="H4167" s="24" t="s">
        <v>6698</v>
      </c>
      <c r="I4167" s="24">
        <v>6.26</v>
      </c>
      <c r="J4167" s="24">
        <v>0.0</v>
      </c>
    </row>
    <row r="4168">
      <c r="A4168" s="24">
        <v>25.0</v>
      </c>
      <c r="B4168" s="24">
        <v>0.0</v>
      </c>
      <c r="C4168" s="44">
        <v>7.03</v>
      </c>
      <c r="D4168" s="46">
        <v>45150.0</v>
      </c>
      <c r="E4168" s="24" t="s">
        <v>6650</v>
      </c>
      <c r="F4168" s="24">
        <v>281.2</v>
      </c>
      <c r="G4168" s="24">
        <v>0.0</v>
      </c>
      <c r="H4168" s="24" t="s">
        <v>6701</v>
      </c>
      <c r="I4168" s="24" t="s">
        <v>6650</v>
      </c>
      <c r="J4168" s="24">
        <v>0.0</v>
      </c>
    </row>
    <row r="4169">
      <c r="A4169" s="24">
        <v>1631.0</v>
      </c>
      <c r="B4169" s="24">
        <v>9.0</v>
      </c>
      <c r="C4169" s="44">
        <v>7.03</v>
      </c>
      <c r="D4169" s="46">
        <v>45150.0</v>
      </c>
      <c r="E4169" s="24">
        <v>0.78</v>
      </c>
      <c r="F4169" s="24">
        <v>4.31</v>
      </c>
      <c r="G4169" s="24">
        <v>0.55</v>
      </c>
      <c r="H4169" s="24" t="s">
        <v>6688</v>
      </c>
      <c r="I4169" s="24">
        <v>3.52</v>
      </c>
      <c r="J4169" s="24">
        <v>0.0</v>
      </c>
    </row>
    <row r="4170">
      <c r="A4170" s="24">
        <v>584.0</v>
      </c>
      <c r="B4170" s="24">
        <v>7.0</v>
      </c>
      <c r="C4170" s="44">
        <v>6.48</v>
      </c>
      <c r="D4170" s="46">
        <v>45150.0</v>
      </c>
      <c r="E4170" s="24">
        <v>0.93</v>
      </c>
      <c r="F4170" s="24">
        <v>11.1</v>
      </c>
      <c r="G4170" s="24">
        <v>1.2</v>
      </c>
      <c r="H4170" s="24" t="s">
        <v>6689</v>
      </c>
      <c r="I4170" s="24" t="s">
        <v>6650</v>
      </c>
      <c r="J4170" s="24">
        <v>0.0</v>
      </c>
    </row>
    <row r="4171">
      <c r="A4171" s="24">
        <v>1.0</v>
      </c>
      <c r="B4171" s="24">
        <v>1.0</v>
      </c>
      <c r="C4171" s="44">
        <v>0.75</v>
      </c>
      <c r="D4171" s="46">
        <v>45150.0</v>
      </c>
      <c r="E4171" s="24">
        <v>0.75</v>
      </c>
      <c r="F4171" s="24">
        <v>750.0</v>
      </c>
      <c r="G4171" s="24">
        <v>100.0</v>
      </c>
      <c r="H4171" s="24" t="s">
        <v>6702</v>
      </c>
      <c r="I4171" s="24" t="s">
        <v>6650</v>
      </c>
      <c r="J4171" s="24">
        <v>0.0</v>
      </c>
    </row>
    <row r="4172">
      <c r="A4172" s="24">
        <v>74.0</v>
      </c>
      <c r="B4172" s="24">
        <v>1.0</v>
      </c>
      <c r="C4172" s="44">
        <v>3.55</v>
      </c>
      <c r="D4172" s="46">
        <v>45151.0</v>
      </c>
      <c r="E4172" s="24">
        <v>3.55</v>
      </c>
      <c r="F4172" s="24">
        <v>47.97</v>
      </c>
      <c r="G4172" s="24">
        <v>1.35</v>
      </c>
      <c r="H4172" s="24" t="s">
        <v>6696</v>
      </c>
      <c r="I4172" s="24">
        <v>3.55</v>
      </c>
      <c r="J4172" s="24">
        <v>0.0</v>
      </c>
    </row>
    <row r="4173">
      <c r="A4173" s="24">
        <v>51.0</v>
      </c>
      <c r="B4173" s="24">
        <v>0.0</v>
      </c>
      <c r="C4173" s="44">
        <v>5.37</v>
      </c>
      <c r="D4173" s="46">
        <v>45151.0</v>
      </c>
      <c r="E4173" s="24" t="s">
        <v>6650</v>
      </c>
      <c r="F4173" s="24">
        <v>105.29</v>
      </c>
      <c r="G4173" s="24">
        <v>0.0</v>
      </c>
      <c r="H4173" s="24" t="s">
        <v>6700</v>
      </c>
      <c r="I4173" s="24" t="s">
        <v>6650</v>
      </c>
      <c r="J4173" s="24">
        <v>0.0</v>
      </c>
    </row>
    <row r="4174">
      <c r="A4174" s="24">
        <v>1509.0</v>
      </c>
      <c r="B4174" s="24">
        <v>14.0</v>
      </c>
      <c r="C4174" s="44">
        <v>7.81</v>
      </c>
      <c r="D4174" s="46">
        <v>45151.0</v>
      </c>
      <c r="E4174" s="24">
        <v>0.56</v>
      </c>
      <c r="F4174" s="24">
        <v>5.18</v>
      </c>
      <c r="G4174" s="24">
        <v>0.93</v>
      </c>
      <c r="H4174" s="24" t="s">
        <v>6688</v>
      </c>
      <c r="I4174" s="24">
        <v>2.6</v>
      </c>
      <c r="J4174" s="24">
        <v>0.0</v>
      </c>
    </row>
    <row r="4175">
      <c r="A4175" s="24">
        <v>20.0</v>
      </c>
      <c r="B4175" s="24">
        <v>0.0</v>
      </c>
      <c r="C4175" s="44">
        <v>1.97</v>
      </c>
      <c r="D4175" s="46">
        <v>45151.0</v>
      </c>
      <c r="E4175" s="24" t="s">
        <v>6650</v>
      </c>
      <c r="F4175" s="24">
        <v>98.5</v>
      </c>
      <c r="G4175" s="24">
        <v>0.0</v>
      </c>
      <c r="H4175" s="24" t="s">
        <v>6701</v>
      </c>
      <c r="I4175" s="24">
        <v>1.97</v>
      </c>
      <c r="J4175" s="24">
        <v>0.0</v>
      </c>
    </row>
    <row r="4176">
      <c r="A4176" s="24">
        <v>13.0</v>
      </c>
      <c r="B4176" s="24">
        <v>0.0</v>
      </c>
      <c r="C4176" s="44">
        <v>3.26</v>
      </c>
      <c r="D4176" s="46">
        <v>45151.0</v>
      </c>
      <c r="E4176" s="24" t="s">
        <v>6650</v>
      </c>
      <c r="F4176" s="24">
        <v>250.77</v>
      </c>
      <c r="G4176" s="24">
        <v>0.0</v>
      </c>
      <c r="H4176" s="24" t="s">
        <v>6699</v>
      </c>
      <c r="I4176" s="24" t="s">
        <v>6650</v>
      </c>
      <c r="J4176" s="24">
        <v>0.0</v>
      </c>
    </row>
    <row r="4177">
      <c r="A4177" s="24">
        <v>9.0</v>
      </c>
      <c r="B4177" s="24">
        <v>1.0</v>
      </c>
      <c r="C4177" s="44">
        <v>2.98</v>
      </c>
      <c r="D4177" s="46">
        <v>45151.0</v>
      </c>
      <c r="E4177" s="24">
        <v>2.98</v>
      </c>
      <c r="F4177" s="24">
        <v>331.11</v>
      </c>
      <c r="G4177" s="24">
        <v>11.11</v>
      </c>
      <c r="H4177" s="24" t="s">
        <v>6697</v>
      </c>
      <c r="I4177" s="24" t="s">
        <v>6650</v>
      </c>
      <c r="J4177" s="24">
        <v>0.0</v>
      </c>
    </row>
    <row r="4178">
      <c r="A4178" s="24">
        <v>234.0</v>
      </c>
      <c r="B4178" s="24">
        <v>4.0</v>
      </c>
      <c r="C4178" s="44">
        <v>5.74</v>
      </c>
      <c r="D4178" s="46">
        <v>45151.0</v>
      </c>
      <c r="E4178" s="24">
        <v>1.44</v>
      </c>
      <c r="F4178" s="24">
        <v>24.53</v>
      </c>
      <c r="G4178" s="24">
        <v>1.71</v>
      </c>
      <c r="H4178" s="24" t="s">
        <v>6698</v>
      </c>
      <c r="I4178" s="24" t="s">
        <v>6650</v>
      </c>
      <c r="J4178" s="24">
        <v>0.0</v>
      </c>
    </row>
    <row r="4179">
      <c r="A4179" s="24">
        <v>32.0</v>
      </c>
      <c r="B4179" s="24">
        <v>0.0</v>
      </c>
      <c r="C4179" s="44">
        <v>4.89</v>
      </c>
      <c r="D4179" s="46">
        <v>45151.0</v>
      </c>
      <c r="E4179" s="24" t="s">
        <v>6650</v>
      </c>
      <c r="F4179" s="24">
        <v>152.81</v>
      </c>
      <c r="G4179" s="24">
        <v>0.0</v>
      </c>
      <c r="H4179" s="24" t="s">
        <v>6680</v>
      </c>
      <c r="I4179" s="24" t="s">
        <v>6650</v>
      </c>
      <c r="J4179" s="24">
        <v>0.0</v>
      </c>
    </row>
    <row r="4180">
      <c r="A4180" s="24">
        <v>426.0</v>
      </c>
      <c r="B4180" s="24">
        <v>5.0</v>
      </c>
      <c r="C4180" s="44">
        <v>5.25</v>
      </c>
      <c r="D4180" s="46">
        <v>45151.0</v>
      </c>
      <c r="E4180" s="24">
        <v>1.05</v>
      </c>
      <c r="F4180" s="24">
        <v>12.32</v>
      </c>
      <c r="G4180" s="24">
        <v>1.17</v>
      </c>
      <c r="H4180" s="24" t="s">
        <v>6689</v>
      </c>
      <c r="I4180" s="24" t="s">
        <v>6650</v>
      </c>
      <c r="J4180" s="24">
        <v>0.0</v>
      </c>
    </row>
    <row r="4181">
      <c r="A4181" s="24">
        <v>8.0</v>
      </c>
      <c r="B4181" s="24">
        <v>0.0</v>
      </c>
      <c r="C4181" s="44">
        <v>3.05</v>
      </c>
      <c r="D4181" s="46">
        <v>45151.0</v>
      </c>
      <c r="E4181" s="24" t="s">
        <v>6650</v>
      </c>
      <c r="F4181" s="24">
        <v>381.25</v>
      </c>
      <c r="G4181" s="24">
        <v>0.0</v>
      </c>
      <c r="H4181" s="24" t="s">
        <v>6695</v>
      </c>
      <c r="I4181" s="24" t="s">
        <v>6650</v>
      </c>
      <c r="J4181" s="24">
        <v>0.0</v>
      </c>
    </row>
    <row r="4182">
      <c r="A4182" s="24">
        <v>3.0</v>
      </c>
      <c r="B4182" s="24">
        <v>1.0</v>
      </c>
      <c r="C4182" s="44">
        <v>2.25</v>
      </c>
      <c r="D4182" s="46">
        <v>45151.0</v>
      </c>
      <c r="E4182" s="24">
        <v>2.25</v>
      </c>
      <c r="F4182" s="24">
        <v>750.0</v>
      </c>
      <c r="G4182" s="24">
        <v>33.33</v>
      </c>
      <c r="H4182" s="24" t="s">
        <v>6702</v>
      </c>
      <c r="I4182" s="24" t="s">
        <v>6650</v>
      </c>
      <c r="J4182" s="24">
        <v>0.0</v>
      </c>
    </row>
    <row r="4183">
      <c r="A4183" s="24">
        <v>134.0</v>
      </c>
      <c r="B4183" s="24">
        <v>0.0</v>
      </c>
      <c r="C4183" s="44">
        <v>2.78</v>
      </c>
      <c r="D4183" s="46">
        <v>45151.0</v>
      </c>
      <c r="E4183" s="24" t="s">
        <v>6650</v>
      </c>
      <c r="F4183" s="24">
        <v>20.75</v>
      </c>
      <c r="G4183" s="24">
        <v>0.0</v>
      </c>
      <c r="H4183" s="24" t="s">
        <v>6692</v>
      </c>
      <c r="I4183" s="24" t="s">
        <v>6650</v>
      </c>
      <c r="J4183" s="24">
        <v>0.0</v>
      </c>
    </row>
    <row r="4184">
      <c r="A4184" s="24">
        <v>53.0</v>
      </c>
      <c r="B4184" s="24">
        <v>0.0</v>
      </c>
      <c r="C4184" s="44">
        <v>12.68</v>
      </c>
      <c r="D4184" s="46">
        <v>45152.0</v>
      </c>
      <c r="E4184" s="24" t="s">
        <v>6650</v>
      </c>
      <c r="F4184" s="24">
        <v>239.25</v>
      </c>
      <c r="G4184" s="24">
        <v>0.0</v>
      </c>
      <c r="H4184" s="24" t="s">
        <v>6701</v>
      </c>
      <c r="I4184" s="24" t="s">
        <v>6650</v>
      </c>
      <c r="J4184" s="24">
        <v>0.0</v>
      </c>
    </row>
    <row r="4185">
      <c r="A4185" s="24">
        <v>314.0</v>
      </c>
      <c r="B4185" s="24">
        <v>7.0</v>
      </c>
      <c r="C4185" s="44">
        <v>11.51</v>
      </c>
      <c r="D4185" s="46">
        <v>45152.0</v>
      </c>
      <c r="E4185" s="24">
        <v>1.64</v>
      </c>
      <c r="F4185" s="24">
        <v>36.66</v>
      </c>
      <c r="G4185" s="24">
        <v>2.23</v>
      </c>
      <c r="H4185" s="24" t="s">
        <v>6698</v>
      </c>
      <c r="I4185" s="24" t="s">
        <v>6650</v>
      </c>
      <c r="J4185" s="24">
        <v>0.0</v>
      </c>
    </row>
    <row r="4186">
      <c r="A4186" s="24">
        <v>2206.0</v>
      </c>
      <c r="B4186" s="24">
        <v>16.0</v>
      </c>
      <c r="C4186" s="44">
        <v>10.5</v>
      </c>
      <c r="D4186" s="46">
        <v>45152.0</v>
      </c>
      <c r="E4186" s="24">
        <v>0.66</v>
      </c>
      <c r="F4186" s="24">
        <v>4.76</v>
      </c>
      <c r="G4186" s="24">
        <v>0.73</v>
      </c>
      <c r="H4186" s="24" t="s">
        <v>6688</v>
      </c>
      <c r="I4186" s="24">
        <v>2.1</v>
      </c>
      <c r="J4186" s="24">
        <v>0.0</v>
      </c>
    </row>
    <row r="4187">
      <c r="A4187" s="24">
        <v>8.0</v>
      </c>
      <c r="B4187" s="24">
        <v>5.0</v>
      </c>
      <c r="C4187" s="44">
        <v>6.0</v>
      </c>
      <c r="D4187" s="46">
        <v>45152.0</v>
      </c>
      <c r="E4187" s="24">
        <v>1.2</v>
      </c>
      <c r="F4187" s="24">
        <v>750.0</v>
      </c>
      <c r="G4187" s="24">
        <v>62.5</v>
      </c>
      <c r="H4187" s="24" t="s">
        <v>6702</v>
      </c>
      <c r="I4187" s="24" t="s">
        <v>6650</v>
      </c>
      <c r="J4187" s="24">
        <v>0.0</v>
      </c>
    </row>
    <row r="4188">
      <c r="A4188" s="24">
        <v>76.0</v>
      </c>
      <c r="B4188" s="24">
        <v>0.0</v>
      </c>
      <c r="C4188" s="44">
        <v>12.66</v>
      </c>
      <c r="D4188" s="46">
        <v>45152.0</v>
      </c>
      <c r="E4188" s="24" t="s">
        <v>6650</v>
      </c>
      <c r="F4188" s="24">
        <v>166.58</v>
      </c>
      <c r="G4188" s="24">
        <v>0.0</v>
      </c>
      <c r="H4188" s="24" t="s">
        <v>6696</v>
      </c>
      <c r="I4188" s="24" t="s">
        <v>6650</v>
      </c>
      <c r="J4188" s="24">
        <v>0.0</v>
      </c>
    </row>
    <row r="4189">
      <c r="A4189" s="24">
        <v>98.0</v>
      </c>
      <c r="B4189" s="24">
        <v>2.0</v>
      </c>
      <c r="C4189" s="44">
        <v>11.98</v>
      </c>
      <c r="D4189" s="46">
        <v>45152.0</v>
      </c>
      <c r="E4189" s="24">
        <v>5.99</v>
      </c>
      <c r="F4189" s="24">
        <v>122.24</v>
      </c>
      <c r="G4189" s="24">
        <v>2.04</v>
      </c>
      <c r="H4189" s="24" t="s">
        <v>6692</v>
      </c>
      <c r="I4189" s="24" t="s">
        <v>6650</v>
      </c>
      <c r="J4189" s="24">
        <v>0.0</v>
      </c>
    </row>
    <row r="4190">
      <c r="A4190" s="24">
        <v>111.0</v>
      </c>
      <c r="B4190" s="24">
        <v>1.0</v>
      </c>
      <c r="C4190" s="44">
        <v>11.17</v>
      </c>
      <c r="D4190" s="46">
        <v>45152.0</v>
      </c>
      <c r="E4190" s="24">
        <v>11.17</v>
      </c>
      <c r="F4190" s="24">
        <v>100.63</v>
      </c>
      <c r="G4190" s="24">
        <v>0.9</v>
      </c>
      <c r="H4190" s="24" t="s">
        <v>6699</v>
      </c>
      <c r="I4190" s="24" t="s">
        <v>6650</v>
      </c>
      <c r="J4190" s="24">
        <v>0.0</v>
      </c>
    </row>
    <row r="4191">
      <c r="A4191" s="24">
        <v>1019.0</v>
      </c>
      <c r="B4191" s="24">
        <v>10.0</v>
      </c>
      <c r="C4191" s="44">
        <v>10.62</v>
      </c>
      <c r="D4191" s="46">
        <v>45152.0</v>
      </c>
      <c r="E4191" s="24">
        <v>1.06</v>
      </c>
      <c r="F4191" s="24">
        <v>10.42</v>
      </c>
      <c r="G4191" s="24">
        <v>0.98</v>
      </c>
      <c r="H4191" s="24" t="s">
        <v>6689</v>
      </c>
      <c r="I4191" s="24" t="s">
        <v>6650</v>
      </c>
      <c r="J4191" s="24">
        <v>0.0</v>
      </c>
    </row>
    <row r="4192">
      <c r="A4192" s="24">
        <v>58.0</v>
      </c>
      <c r="B4192" s="24">
        <v>2.0</v>
      </c>
      <c r="C4192" s="44">
        <v>11.99</v>
      </c>
      <c r="D4192" s="46">
        <v>45152.0</v>
      </c>
      <c r="E4192" s="24">
        <v>6.0</v>
      </c>
      <c r="F4192" s="24">
        <v>206.72</v>
      </c>
      <c r="G4192" s="24">
        <v>3.45</v>
      </c>
      <c r="H4192" s="24" t="s">
        <v>6697</v>
      </c>
      <c r="I4192" s="24" t="s">
        <v>6650</v>
      </c>
      <c r="J4192" s="24">
        <v>0.0</v>
      </c>
    </row>
    <row r="4193">
      <c r="A4193" s="24">
        <v>52.0</v>
      </c>
      <c r="B4193" s="24">
        <v>0.0</v>
      </c>
      <c r="C4193" s="44">
        <v>12.31</v>
      </c>
      <c r="D4193" s="46">
        <v>45152.0</v>
      </c>
      <c r="E4193" s="24" t="s">
        <v>6650</v>
      </c>
      <c r="F4193" s="24">
        <v>236.73</v>
      </c>
      <c r="G4193" s="24">
        <v>0.0</v>
      </c>
      <c r="H4193" s="24" t="s">
        <v>6695</v>
      </c>
      <c r="I4193" s="24" t="s">
        <v>6650</v>
      </c>
      <c r="J4193" s="24">
        <v>0.0</v>
      </c>
    </row>
    <row r="4194">
      <c r="A4194" s="24">
        <v>159.0</v>
      </c>
      <c r="B4194" s="24">
        <v>0.0</v>
      </c>
      <c r="C4194" s="44">
        <v>11.89</v>
      </c>
      <c r="D4194" s="46">
        <v>45152.0</v>
      </c>
      <c r="E4194" s="24" t="s">
        <v>6650</v>
      </c>
      <c r="F4194" s="24">
        <v>74.78</v>
      </c>
      <c r="G4194" s="24">
        <v>0.0</v>
      </c>
      <c r="H4194" s="24" t="s">
        <v>6700</v>
      </c>
      <c r="I4194" s="24" t="s">
        <v>6650</v>
      </c>
      <c r="J4194" s="24">
        <v>0.0</v>
      </c>
    </row>
    <row r="4195">
      <c r="A4195" s="24">
        <v>223.0</v>
      </c>
      <c r="B4195" s="24">
        <v>1.0</v>
      </c>
      <c r="C4195" s="44">
        <v>12.76</v>
      </c>
      <c r="D4195" s="46">
        <v>45152.0</v>
      </c>
      <c r="E4195" s="24">
        <v>12.76</v>
      </c>
      <c r="F4195" s="24">
        <v>57.22</v>
      </c>
      <c r="G4195" s="24">
        <v>0.45</v>
      </c>
      <c r="H4195" s="24" t="s">
        <v>6680</v>
      </c>
      <c r="I4195" s="24" t="s">
        <v>6650</v>
      </c>
      <c r="J4195" s="24">
        <v>0.0</v>
      </c>
    </row>
    <row r="4196">
      <c r="A4196" s="24">
        <v>31.0</v>
      </c>
      <c r="B4196" s="24">
        <v>0.0</v>
      </c>
      <c r="C4196" s="44">
        <v>13.21</v>
      </c>
      <c r="D4196" s="46">
        <v>45153.0</v>
      </c>
      <c r="E4196" s="24" t="s">
        <v>6650</v>
      </c>
      <c r="F4196" s="24">
        <v>426.13</v>
      </c>
      <c r="G4196" s="24">
        <v>0.0</v>
      </c>
      <c r="H4196" s="24" t="s">
        <v>6695</v>
      </c>
      <c r="I4196" s="24" t="s">
        <v>6650</v>
      </c>
      <c r="J4196" s="24">
        <v>0.0</v>
      </c>
    </row>
    <row r="4197">
      <c r="A4197" s="24">
        <v>85.0</v>
      </c>
      <c r="B4197" s="24">
        <v>3.0</v>
      </c>
      <c r="C4197" s="44">
        <v>10.96</v>
      </c>
      <c r="D4197" s="46">
        <v>45153.0</v>
      </c>
      <c r="E4197" s="24">
        <v>3.65</v>
      </c>
      <c r="F4197" s="24">
        <v>128.94</v>
      </c>
      <c r="G4197" s="24">
        <v>3.53</v>
      </c>
      <c r="H4197" s="24" t="s">
        <v>6696</v>
      </c>
      <c r="I4197" s="24" t="s">
        <v>6650</v>
      </c>
      <c r="J4197" s="24">
        <v>0.0</v>
      </c>
    </row>
    <row r="4198">
      <c r="A4198" s="24">
        <v>418.0</v>
      </c>
      <c r="B4198" s="24">
        <v>8.0</v>
      </c>
      <c r="C4198" s="44">
        <v>11.1</v>
      </c>
      <c r="D4198" s="46">
        <v>45153.0</v>
      </c>
      <c r="E4198" s="24">
        <v>1.39</v>
      </c>
      <c r="F4198" s="24">
        <v>26.56</v>
      </c>
      <c r="G4198" s="24">
        <v>1.91</v>
      </c>
      <c r="H4198" s="24" t="s">
        <v>6698</v>
      </c>
      <c r="I4198" s="24">
        <v>5.55</v>
      </c>
      <c r="J4198" s="24">
        <v>0.0</v>
      </c>
    </row>
    <row r="4199">
      <c r="A4199" s="24">
        <v>118.0</v>
      </c>
      <c r="B4199" s="24">
        <v>0.0</v>
      </c>
      <c r="C4199" s="44">
        <v>12.33</v>
      </c>
      <c r="D4199" s="46">
        <v>45153.0</v>
      </c>
      <c r="E4199" s="24" t="s">
        <v>6650</v>
      </c>
      <c r="F4199" s="24">
        <v>104.49</v>
      </c>
      <c r="G4199" s="24">
        <v>0.0</v>
      </c>
      <c r="H4199" s="24" t="s">
        <v>6700</v>
      </c>
      <c r="I4199" s="24">
        <v>6.16</v>
      </c>
      <c r="J4199" s="24">
        <v>0.0</v>
      </c>
    </row>
    <row r="4200">
      <c r="A4200" s="24">
        <v>63.0</v>
      </c>
      <c r="B4200" s="24">
        <v>0.0</v>
      </c>
      <c r="C4200" s="44">
        <v>12.35</v>
      </c>
      <c r="D4200" s="46">
        <v>45153.0</v>
      </c>
      <c r="E4200" s="24" t="s">
        <v>6650</v>
      </c>
      <c r="F4200" s="24">
        <v>196.03</v>
      </c>
      <c r="G4200" s="24">
        <v>0.0</v>
      </c>
      <c r="H4200" s="24" t="s">
        <v>6701</v>
      </c>
      <c r="I4200" s="24" t="s">
        <v>6650</v>
      </c>
      <c r="J4200" s="24">
        <v>0.0</v>
      </c>
    </row>
    <row r="4201">
      <c r="A4201" s="24">
        <v>10.0</v>
      </c>
      <c r="B4201" s="24">
        <v>8.0</v>
      </c>
      <c r="C4201" s="44">
        <v>7.5</v>
      </c>
      <c r="D4201" s="46">
        <v>45153.0</v>
      </c>
      <c r="E4201" s="24">
        <v>0.94</v>
      </c>
      <c r="F4201" s="24">
        <v>750.0</v>
      </c>
      <c r="G4201" s="24">
        <v>80.0</v>
      </c>
      <c r="H4201" s="24" t="s">
        <v>6702</v>
      </c>
      <c r="I4201" s="24" t="s">
        <v>6650</v>
      </c>
      <c r="J4201" s="24">
        <v>0.0</v>
      </c>
    </row>
    <row r="4202">
      <c r="A4202" s="24">
        <v>92.0</v>
      </c>
      <c r="B4202" s="24">
        <v>1.0</v>
      </c>
      <c r="C4202" s="44">
        <v>12.97</v>
      </c>
      <c r="D4202" s="46">
        <v>45153.0</v>
      </c>
      <c r="E4202" s="24">
        <v>12.97</v>
      </c>
      <c r="F4202" s="24">
        <v>140.98</v>
      </c>
      <c r="G4202" s="24">
        <v>1.09</v>
      </c>
      <c r="H4202" s="24" t="s">
        <v>6699</v>
      </c>
      <c r="I4202" s="24" t="s">
        <v>6650</v>
      </c>
      <c r="J4202" s="24">
        <v>0.0</v>
      </c>
    </row>
    <row r="4203">
      <c r="A4203" s="24">
        <v>1023.0</v>
      </c>
      <c r="B4203" s="24">
        <v>8.0</v>
      </c>
      <c r="C4203" s="44">
        <v>11.41</v>
      </c>
      <c r="D4203" s="46">
        <v>45153.0</v>
      </c>
      <c r="E4203" s="24">
        <v>1.43</v>
      </c>
      <c r="F4203" s="24">
        <v>11.15</v>
      </c>
      <c r="G4203" s="24">
        <v>0.78</v>
      </c>
      <c r="H4203" s="24" t="s">
        <v>6689</v>
      </c>
      <c r="I4203" s="24">
        <v>11.41</v>
      </c>
      <c r="J4203" s="24">
        <v>0.0</v>
      </c>
    </row>
    <row r="4204">
      <c r="A4204" s="24">
        <v>169.0</v>
      </c>
      <c r="B4204" s="24">
        <v>1.0</v>
      </c>
      <c r="C4204" s="44">
        <v>12.94</v>
      </c>
      <c r="D4204" s="46">
        <v>45153.0</v>
      </c>
      <c r="E4204" s="24">
        <v>12.94</v>
      </c>
      <c r="F4204" s="24">
        <v>76.57</v>
      </c>
      <c r="G4204" s="24">
        <v>0.59</v>
      </c>
      <c r="H4204" s="24" t="s">
        <v>6680</v>
      </c>
      <c r="I4204" s="24" t="s">
        <v>6650</v>
      </c>
      <c r="J4204" s="24">
        <v>0.0</v>
      </c>
    </row>
    <row r="4205">
      <c r="A4205" s="24">
        <v>113.0</v>
      </c>
      <c r="B4205" s="24">
        <v>3.0</v>
      </c>
      <c r="C4205" s="44">
        <v>11.08</v>
      </c>
      <c r="D4205" s="46">
        <v>45153.0</v>
      </c>
      <c r="E4205" s="24">
        <v>3.69</v>
      </c>
      <c r="F4205" s="24">
        <v>98.05</v>
      </c>
      <c r="G4205" s="24">
        <v>2.65</v>
      </c>
      <c r="H4205" s="24" t="s">
        <v>6692</v>
      </c>
      <c r="I4205" s="24">
        <v>11.08</v>
      </c>
      <c r="J4205" s="24">
        <v>1.0</v>
      </c>
    </row>
    <row r="4206">
      <c r="A4206" s="24">
        <v>53.0</v>
      </c>
      <c r="B4206" s="24">
        <v>0.0</v>
      </c>
      <c r="C4206" s="44">
        <v>11.91</v>
      </c>
      <c r="D4206" s="46">
        <v>45153.0</v>
      </c>
      <c r="E4206" s="24" t="s">
        <v>6650</v>
      </c>
      <c r="F4206" s="24">
        <v>224.72</v>
      </c>
      <c r="G4206" s="24">
        <v>0.0</v>
      </c>
      <c r="H4206" s="24" t="s">
        <v>6697</v>
      </c>
      <c r="I4206" s="24" t="s">
        <v>6650</v>
      </c>
      <c r="J4206" s="24">
        <v>0.0</v>
      </c>
    </row>
    <row r="4207">
      <c r="A4207" s="24">
        <v>1926.0</v>
      </c>
      <c r="B4207" s="24">
        <v>9.0</v>
      </c>
      <c r="C4207" s="44">
        <v>10.93</v>
      </c>
      <c r="D4207" s="46">
        <v>45153.0</v>
      </c>
      <c r="E4207" s="24">
        <v>1.21</v>
      </c>
      <c r="F4207" s="24">
        <v>5.67</v>
      </c>
      <c r="G4207" s="24">
        <v>0.47</v>
      </c>
      <c r="H4207" s="24" t="s">
        <v>6688</v>
      </c>
      <c r="I4207" s="24">
        <v>3.64</v>
      </c>
      <c r="J4207" s="24">
        <v>0.0</v>
      </c>
    </row>
    <row r="4208">
      <c r="A4208" s="24">
        <v>50.0</v>
      </c>
      <c r="B4208" s="24">
        <v>0.0</v>
      </c>
      <c r="C4208" s="44">
        <v>13.3</v>
      </c>
      <c r="D4208" s="46">
        <v>45154.0</v>
      </c>
      <c r="E4208" s="24" t="s">
        <v>6650</v>
      </c>
      <c r="F4208" s="24">
        <v>266.0</v>
      </c>
      <c r="G4208" s="24">
        <v>0.0</v>
      </c>
      <c r="H4208" s="24" t="s">
        <v>6701</v>
      </c>
      <c r="I4208" s="24" t="s">
        <v>6650</v>
      </c>
      <c r="J4208" s="24">
        <v>0.0</v>
      </c>
    </row>
    <row r="4209">
      <c r="A4209" s="24">
        <v>2353.0</v>
      </c>
      <c r="B4209" s="24">
        <v>12.0</v>
      </c>
      <c r="C4209" s="44">
        <v>12.38</v>
      </c>
      <c r="D4209" s="46">
        <v>45154.0</v>
      </c>
      <c r="E4209" s="24">
        <v>1.03</v>
      </c>
      <c r="F4209" s="24">
        <v>5.26</v>
      </c>
      <c r="G4209" s="24">
        <v>0.51</v>
      </c>
      <c r="H4209" s="24" t="s">
        <v>6688</v>
      </c>
      <c r="I4209" s="24">
        <v>4.13</v>
      </c>
      <c r="J4209" s="24">
        <v>0.0</v>
      </c>
    </row>
    <row r="4210">
      <c r="A4210" s="24">
        <v>84.0</v>
      </c>
      <c r="B4210" s="24">
        <v>1.0</v>
      </c>
      <c r="C4210" s="44">
        <v>11.92</v>
      </c>
      <c r="D4210" s="46">
        <v>45154.0</v>
      </c>
      <c r="E4210" s="24">
        <v>11.92</v>
      </c>
      <c r="F4210" s="24">
        <v>141.9</v>
      </c>
      <c r="G4210" s="24">
        <v>1.19</v>
      </c>
      <c r="H4210" s="24" t="s">
        <v>6699</v>
      </c>
      <c r="I4210" s="24" t="s">
        <v>6650</v>
      </c>
      <c r="J4210" s="24">
        <v>0.0</v>
      </c>
    </row>
    <row r="4211">
      <c r="A4211" s="24">
        <v>200.0</v>
      </c>
      <c r="B4211" s="24">
        <v>2.0</v>
      </c>
      <c r="C4211" s="44">
        <v>12.41</v>
      </c>
      <c r="D4211" s="46">
        <v>45154.0</v>
      </c>
      <c r="E4211" s="24">
        <v>6.2</v>
      </c>
      <c r="F4211" s="24">
        <v>62.05</v>
      </c>
      <c r="G4211" s="24">
        <v>1.0</v>
      </c>
      <c r="H4211" s="24" t="s">
        <v>6692</v>
      </c>
      <c r="I4211" s="24" t="s">
        <v>6650</v>
      </c>
      <c r="J4211" s="24">
        <v>0.0</v>
      </c>
    </row>
    <row r="4212">
      <c r="A4212" s="24">
        <v>119.0</v>
      </c>
      <c r="B4212" s="24">
        <v>0.0</v>
      </c>
      <c r="C4212" s="44">
        <v>11.76</v>
      </c>
      <c r="D4212" s="46">
        <v>45154.0</v>
      </c>
      <c r="E4212" s="24" t="s">
        <v>6650</v>
      </c>
      <c r="F4212" s="24">
        <v>98.82</v>
      </c>
      <c r="G4212" s="24">
        <v>0.0</v>
      </c>
      <c r="H4212" s="24" t="s">
        <v>6700</v>
      </c>
      <c r="I4212" s="24" t="s">
        <v>6650</v>
      </c>
      <c r="J4212" s="24">
        <v>0.0</v>
      </c>
    </row>
    <row r="4213">
      <c r="A4213" s="24">
        <v>466.0</v>
      </c>
      <c r="B4213" s="24">
        <v>5.0</v>
      </c>
      <c r="C4213" s="44">
        <v>12.0</v>
      </c>
      <c r="D4213" s="46">
        <v>45154.0</v>
      </c>
      <c r="E4213" s="24">
        <v>2.4</v>
      </c>
      <c r="F4213" s="24">
        <v>25.75</v>
      </c>
      <c r="G4213" s="24">
        <v>1.07</v>
      </c>
      <c r="H4213" s="24" t="s">
        <v>6698</v>
      </c>
      <c r="I4213" s="24">
        <v>6.0</v>
      </c>
      <c r="J4213" s="24">
        <v>0.0</v>
      </c>
    </row>
    <row r="4214">
      <c r="A4214" s="24">
        <v>111.0</v>
      </c>
      <c r="B4214" s="24">
        <v>2.0</v>
      </c>
      <c r="C4214" s="44">
        <v>13.82</v>
      </c>
      <c r="D4214" s="46">
        <v>45154.0</v>
      </c>
      <c r="E4214" s="24">
        <v>6.91</v>
      </c>
      <c r="F4214" s="24">
        <v>124.5</v>
      </c>
      <c r="G4214" s="24">
        <v>1.8</v>
      </c>
      <c r="H4214" s="24" t="s">
        <v>6680</v>
      </c>
      <c r="I4214" s="24">
        <v>13.82</v>
      </c>
      <c r="J4214" s="24">
        <v>0.0</v>
      </c>
    </row>
    <row r="4215">
      <c r="A4215" s="24">
        <v>6.0</v>
      </c>
      <c r="B4215" s="24">
        <v>3.0</v>
      </c>
      <c r="C4215" s="44">
        <v>4.5</v>
      </c>
      <c r="D4215" s="46">
        <v>45154.0</v>
      </c>
      <c r="E4215" s="24">
        <v>1.5</v>
      </c>
      <c r="F4215" s="24">
        <v>750.0</v>
      </c>
      <c r="G4215" s="24">
        <v>50.0</v>
      </c>
      <c r="H4215" s="24" t="s">
        <v>6702</v>
      </c>
      <c r="I4215" s="24" t="s">
        <v>6650</v>
      </c>
      <c r="J4215" s="24">
        <v>0.0</v>
      </c>
    </row>
    <row r="4216">
      <c r="A4216" s="24">
        <v>44.0</v>
      </c>
      <c r="B4216" s="24">
        <v>0.0</v>
      </c>
      <c r="C4216" s="44">
        <v>12.89</v>
      </c>
      <c r="D4216" s="46">
        <v>45154.0</v>
      </c>
      <c r="E4216" s="24" t="s">
        <v>6650</v>
      </c>
      <c r="F4216" s="24">
        <v>292.95</v>
      </c>
      <c r="G4216" s="24">
        <v>0.0</v>
      </c>
      <c r="H4216" s="24" t="s">
        <v>6697</v>
      </c>
      <c r="I4216" s="24" t="s">
        <v>6650</v>
      </c>
      <c r="J4216" s="24">
        <v>0.0</v>
      </c>
    </row>
    <row r="4217">
      <c r="A4217" s="24">
        <v>64.0</v>
      </c>
      <c r="B4217" s="24">
        <v>3.0</v>
      </c>
      <c r="C4217" s="44">
        <v>12.48</v>
      </c>
      <c r="D4217" s="46">
        <v>45154.0</v>
      </c>
      <c r="E4217" s="24">
        <v>4.16</v>
      </c>
      <c r="F4217" s="24">
        <v>195.0</v>
      </c>
      <c r="G4217" s="24">
        <v>4.69</v>
      </c>
      <c r="H4217" s="24" t="s">
        <v>6696</v>
      </c>
      <c r="I4217" s="24" t="s">
        <v>6650</v>
      </c>
      <c r="J4217" s="24">
        <v>0.0</v>
      </c>
    </row>
    <row r="4218">
      <c r="A4218" s="24">
        <v>33.0</v>
      </c>
      <c r="B4218" s="24">
        <v>0.0</v>
      </c>
      <c r="C4218" s="44">
        <v>12.24</v>
      </c>
      <c r="D4218" s="46">
        <v>45154.0</v>
      </c>
      <c r="E4218" s="24" t="s">
        <v>6650</v>
      </c>
      <c r="F4218" s="24">
        <v>370.91</v>
      </c>
      <c r="G4218" s="24">
        <v>0.0</v>
      </c>
      <c r="H4218" s="24" t="s">
        <v>6695</v>
      </c>
      <c r="I4218" s="24" t="s">
        <v>6650</v>
      </c>
      <c r="J4218" s="24">
        <v>0.0</v>
      </c>
    </row>
    <row r="4219">
      <c r="A4219" s="24">
        <v>857.0</v>
      </c>
      <c r="B4219" s="24">
        <v>5.0</v>
      </c>
      <c r="C4219" s="44">
        <v>12.21</v>
      </c>
      <c r="D4219" s="46">
        <v>45154.0</v>
      </c>
      <c r="E4219" s="24">
        <v>2.44</v>
      </c>
      <c r="F4219" s="24">
        <v>14.25</v>
      </c>
      <c r="G4219" s="24">
        <v>0.58</v>
      </c>
      <c r="H4219" s="24" t="s">
        <v>6689</v>
      </c>
      <c r="I4219" s="24" t="s">
        <v>6650</v>
      </c>
      <c r="J4219" s="24">
        <v>0.0</v>
      </c>
    </row>
    <row r="4220">
      <c r="A4220" s="24">
        <v>72.0</v>
      </c>
      <c r="B4220" s="24">
        <v>1.0</v>
      </c>
      <c r="C4220" s="44">
        <v>12.54</v>
      </c>
      <c r="D4220" s="46">
        <v>45155.0</v>
      </c>
      <c r="E4220" s="24">
        <v>12.54</v>
      </c>
      <c r="F4220" s="24">
        <v>174.17</v>
      </c>
      <c r="G4220" s="24">
        <v>1.39</v>
      </c>
      <c r="H4220" s="24" t="s">
        <v>6692</v>
      </c>
      <c r="I4220" s="24" t="s">
        <v>6650</v>
      </c>
      <c r="J4220" s="24">
        <v>0.0</v>
      </c>
    </row>
    <row r="4221">
      <c r="A4221" s="24">
        <v>252.0</v>
      </c>
      <c r="B4221" s="24">
        <v>2.0</v>
      </c>
      <c r="C4221" s="44">
        <v>14.4</v>
      </c>
      <c r="D4221" s="46">
        <v>45155.0</v>
      </c>
      <c r="E4221" s="24">
        <v>7.2</v>
      </c>
      <c r="F4221" s="24">
        <v>57.14</v>
      </c>
      <c r="G4221" s="24">
        <v>0.79</v>
      </c>
      <c r="H4221" s="24" t="s">
        <v>6680</v>
      </c>
      <c r="I4221" s="24">
        <v>7.2</v>
      </c>
      <c r="J4221" s="24">
        <v>0.0</v>
      </c>
    </row>
    <row r="4222">
      <c r="A4222" s="24">
        <v>4.0</v>
      </c>
      <c r="B4222" s="24">
        <v>3.0</v>
      </c>
      <c r="C4222" s="44">
        <v>3.0</v>
      </c>
      <c r="D4222" s="46">
        <v>45155.0</v>
      </c>
      <c r="E4222" s="24">
        <v>1.0</v>
      </c>
      <c r="F4222" s="24">
        <v>750.0</v>
      </c>
      <c r="G4222" s="24">
        <v>75.0</v>
      </c>
      <c r="H4222" s="24" t="s">
        <v>6702</v>
      </c>
      <c r="I4222" s="24" t="s">
        <v>6650</v>
      </c>
      <c r="J4222" s="24">
        <v>0.0</v>
      </c>
    </row>
    <row r="4223">
      <c r="A4223" s="24">
        <v>1930.0</v>
      </c>
      <c r="B4223" s="24">
        <v>11.0</v>
      </c>
      <c r="C4223" s="44">
        <v>11.08</v>
      </c>
      <c r="D4223" s="46">
        <v>45155.0</v>
      </c>
      <c r="E4223" s="24">
        <v>1.01</v>
      </c>
      <c r="F4223" s="24">
        <v>5.74</v>
      </c>
      <c r="G4223" s="24">
        <v>0.57</v>
      </c>
      <c r="H4223" s="24" t="s">
        <v>6688</v>
      </c>
      <c r="I4223" s="24">
        <v>3.69</v>
      </c>
      <c r="J4223" s="24">
        <v>0.0</v>
      </c>
    </row>
    <row r="4224">
      <c r="A4224" s="24">
        <v>26.0</v>
      </c>
      <c r="B4224" s="24">
        <v>1.0</v>
      </c>
      <c r="C4224" s="44">
        <v>15.0</v>
      </c>
      <c r="D4224" s="46">
        <v>45155.0</v>
      </c>
      <c r="E4224" s="24">
        <v>15.0</v>
      </c>
      <c r="F4224" s="24">
        <v>576.92</v>
      </c>
      <c r="G4224" s="24">
        <v>3.85</v>
      </c>
      <c r="H4224" s="24" t="s">
        <v>6697</v>
      </c>
      <c r="I4224" s="24" t="s">
        <v>6650</v>
      </c>
      <c r="J4224" s="24">
        <v>0.0</v>
      </c>
    </row>
    <row r="4225">
      <c r="A4225" s="24">
        <v>51.0</v>
      </c>
      <c r="B4225" s="24">
        <v>0.0</v>
      </c>
      <c r="C4225" s="44">
        <v>13.55</v>
      </c>
      <c r="D4225" s="46">
        <v>45155.0</v>
      </c>
      <c r="E4225" s="24" t="s">
        <v>6650</v>
      </c>
      <c r="F4225" s="24">
        <v>265.69</v>
      </c>
      <c r="G4225" s="24">
        <v>0.0</v>
      </c>
      <c r="H4225" s="24" t="s">
        <v>6695</v>
      </c>
      <c r="I4225" s="24" t="s">
        <v>6650</v>
      </c>
      <c r="J4225" s="24">
        <v>0.0</v>
      </c>
    </row>
    <row r="4226">
      <c r="A4226" s="24">
        <v>50.0</v>
      </c>
      <c r="B4226" s="24">
        <v>0.0</v>
      </c>
      <c r="C4226" s="44">
        <v>13.01</v>
      </c>
      <c r="D4226" s="46">
        <v>45155.0</v>
      </c>
      <c r="E4226" s="24" t="s">
        <v>6650</v>
      </c>
      <c r="F4226" s="24">
        <v>260.2</v>
      </c>
      <c r="G4226" s="24">
        <v>0.0</v>
      </c>
      <c r="H4226" s="24" t="s">
        <v>6701</v>
      </c>
      <c r="I4226" s="24" t="s">
        <v>6650</v>
      </c>
      <c r="J4226" s="24">
        <v>0.0</v>
      </c>
    </row>
    <row r="4227">
      <c r="A4227" s="24">
        <v>58.0</v>
      </c>
      <c r="B4227" s="24">
        <v>0.0</v>
      </c>
      <c r="C4227" s="44">
        <v>12.57</v>
      </c>
      <c r="D4227" s="46">
        <v>45155.0</v>
      </c>
      <c r="E4227" s="24" t="s">
        <v>6650</v>
      </c>
      <c r="F4227" s="24">
        <v>216.72</v>
      </c>
      <c r="G4227" s="24">
        <v>0.0</v>
      </c>
      <c r="H4227" s="24" t="s">
        <v>6696</v>
      </c>
      <c r="I4227" s="24">
        <v>12.57</v>
      </c>
      <c r="J4227" s="24">
        <v>0.0</v>
      </c>
    </row>
    <row r="4228">
      <c r="A4228" s="24">
        <v>875.0</v>
      </c>
      <c r="B4228" s="24">
        <v>3.0</v>
      </c>
      <c r="C4228" s="44">
        <v>12.43</v>
      </c>
      <c r="D4228" s="46">
        <v>45155.0</v>
      </c>
      <c r="E4228" s="24">
        <v>4.14</v>
      </c>
      <c r="F4228" s="24">
        <v>14.21</v>
      </c>
      <c r="G4228" s="24">
        <v>0.34</v>
      </c>
      <c r="H4228" s="24" t="s">
        <v>6689</v>
      </c>
      <c r="I4228" s="24">
        <v>12.43</v>
      </c>
      <c r="J4228" s="24">
        <v>0.0</v>
      </c>
    </row>
    <row r="4229">
      <c r="A4229" s="24">
        <v>526.0</v>
      </c>
      <c r="B4229" s="24">
        <v>6.0</v>
      </c>
      <c r="C4229" s="44">
        <v>11.5</v>
      </c>
      <c r="D4229" s="46">
        <v>45155.0</v>
      </c>
      <c r="E4229" s="24">
        <v>1.92</v>
      </c>
      <c r="F4229" s="24">
        <v>21.86</v>
      </c>
      <c r="G4229" s="24">
        <v>1.14</v>
      </c>
      <c r="H4229" s="24" t="s">
        <v>6698</v>
      </c>
      <c r="I4229" s="24">
        <v>11.5</v>
      </c>
      <c r="J4229" s="24">
        <v>0.0</v>
      </c>
    </row>
    <row r="4230">
      <c r="A4230" s="24">
        <v>121.0</v>
      </c>
      <c r="B4230" s="24">
        <v>0.0</v>
      </c>
      <c r="C4230" s="44">
        <v>11.47</v>
      </c>
      <c r="D4230" s="46">
        <v>45155.0</v>
      </c>
      <c r="E4230" s="24" t="s">
        <v>6650</v>
      </c>
      <c r="F4230" s="24">
        <v>94.79</v>
      </c>
      <c r="G4230" s="24">
        <v>0.0</v>
      </c>
      <c r="H4230" s="24" t="s">
        <v>6700</v>
      </c>
      <c r="I4230" s="24" t="s">
        <v>6650</v>
      </c>
      <c r="J4230" s="24">
        <v>0.0</v>
      </c>
    </row>
    <row r="4231">
      <c r="A4231" s="24">
        <v>33.0</v>
      </c>
      <c r="B4231" s="24">
        <v>1.0</v>
      </c>
      <c r="C4231" s="44">
        <v>12.78</v>
      </c>
      <c r="D4231" s="46">
        <v>45155.0</v>
      </c>
      <c r="E4231" s="24">
        <v>12.78</v>
      </c>
      <c r="F4231" s="24">
        <v>387.27</v>
      </c>
      <c r="G4231" s="24">
        <v>3.03</v>
      </c>
      <c r="H4231" s="24" t="s">
        <v>6699</v>
      </c>
      <c r="I4231" s="24">
        <v>12.78</v>
      </c>
      <c r="J4231" s="24">
        <v>0.0</v>
      </c>
    </row>
    <row r="4232">
      <c r="A4232" s="24">
        <v>71.0</v>
      </c>
      <c r="B4232" s="24">
        <v>1.0</v>
      </c>
      <c r="C4232" s="44">
        <v>10.62</v>
      </c>
      <c r="D4232" s="46">
        <v>45156.0</v>
      </c>
      <c r="E4232" s="24">
        <v>10.62</v>
      </c>
      <c r="F4232" s="24">
        <v>149.58</v>
      </c>
      <c r="G4232" s="24">
        <v>1.41</v>
      </c>
      <c r="H4232" s="24" t="s">
        <v>6699</v>
      </c>
      <c r="I4232" s="24" t="s">
        <v>6650</v>
      </c>
      <c r="J4232" s="24">
        <v>0.0</v>
      </c>
    </row>
    <row r="4233">
      <c r="A4233" s="24">
        <v>834.0</v>
      </c>
      <c r="B4233" s="24">
        <v>8.0</v>
      </c>
      <c r="C4233" s="44">
        <v>11.14</v>
      </c>
      <c r="D4233" s="46">
        <v>45156.0</v>
      </c>
      <c r="E4233" s="24">
        <v>1.39</v>
      </c>
      <c r="F4233" s="24">
        <v>13.36</v>
      </c>
      <c r="G4233" s="24">
        <v>0.96</v>
      </c>
      <c r="H4233" s="24" t="s">
        <v>6689</v>
      </c>
      <c r="I4233" s="24">
        <v>11.14</v>
      </c>
      <c r="J4233" s="24">
        <v>0.0</v>
      </c>
    </row>
    <row r="4234">
      <c r="A4234" s="24">
        <v>43.0</v>
      </c>
      <c r="B4234" s="24">
        <v>1.0</v>
      </c>
      <c r="C4234" s="44">
        <v>11.66</v>
      </c>
      <c r="D4234" s="46">
        <v>45156.0</v>
      </c>
      <c r="E4234" s="24">
        <v>11.66</v>
      </c>
      <c r="F4234" s="24">
        <v>271.16</v>
      </c>
      <c r="G4234" s="24">
        <v>2.33</v>
      </c>
      <c r="H4234" s="24" t="s">
        <v>6697</v>
      </c>
      <c r="I4234" s="24" t="s">
        <v>6650</v>
      </c>
      <c r="J4234" s="24">
        <v>0.0</v>
      </c>
    </row>
    <row r="4235">
      <c r="A4235" s="24">
        <v>1935.0</v>
      </c>
      <c r="B4235" s="24">
        <v>8.0</v>
      </c>
      <c r="C4235" s="44">
        <v>11.06</v>
      </c>
      <c r="D4235" s="46">
        <v>45156.0</v>
      </c>
      <c r="E4235" s="24">
        <v>1.38</v>
      </c>
      <c r="F4235" s="24">
        <v>5.72</v>
      </c>
      <c r="G4235" s="24">
        <v>0.41</v>
      </c>
      <c r="H4235" s="24" t="s">
        <v>6688</v>
      </c>
      <c r="I4235" s="24" t="s">
        <v>6650</v>
      </c>
      <c r="J4235" s="24">
        <v>0.0</v>
      </c>
    </row>
    <row r="4236">
      <c r="A4236" s="24">
        <v>60.0</v>
      </c>
      <c r="B4236" s="24">
        <v>0.0</v>
      </c>
      <c r="C4236" s="44">
        <v>10.29</v>
      </c>
      <c r="D4236" s="46">
        <v>45156.0</v>
      </c>
      <c r="E4236" s="24" t="s">
        <v>6650</v>
      </c>
      <c r="F4236" s="24">
        <v>171.5</v>
      </c>
      <c r="G4236" s="24">
        <v>0.0</v>
      </c>
      <c r="H4236" s="24" t="s">
        <v>6696</v>
      </c>
      <c r="I4236" s="24" t="s">
        <v>6650</v>
      </c>
      <c r="J4236" s="24">
        <v>0.0</v>
      </c>
    </row>
    <row r="4237">
      <c r="A4237" s="24">
        <v>5.0</v>
      </c>
      <c r="B4237" s="24">
        <v>3.0</v>
      </c>
      <c r="C4237" s="44">
        <v>3.75</v>
      </c>
      <c r="D4237" s="46">
        <v>45156.0</v>
      </c>
      <c r="E4237" s="24">
        <v>1.25</v>
      </c>
      <c r="F4237" s="24">
        <v>750.0</v>
      </c>
      <c r="G4237" s="24">
        <v>60.0</v>
      </c>
      <c r="H4237" s="24" t="s">
        <v>6702</v>
      </c>
      <c r="I4237" s="24" t="s">
        <v>6650</v>
      </c>
      <c r="J4237" s="24">
        <v>0.0</v>
      </c>
    </row>
    <row r="4238">
      <c r="A4238" s="24">
        <v>72.0</v>
      </c>
      <c r="B4238" s="24">
        <v>0.0</v>
      </c>
      <c r="C4238" s="44">
        <v>10.93</v>
      </c>
      <c r="D4238" s="46">
        <v>45156.0</v>
      </c>
      <c r="E4238" s="24" t="s">
        <v>6650</v>
      </c>
      <c r="F4238" s="24">
        <v>151.81</v>
      </c>
      <c r="G4238" s="24">
        <v>0.0</v>
      </c>
      <c r="H4238" s="24" t="s">
        <v>6680</v>
      </c>
      <c r="I4238" s="24" t="s">
        <v>6650</v>
      </c>
      <c r="J4238" s="24">
        <v>0.0</v>
      </c>
    </row>
    <row r="4239">
      <c r="A4239" s="24">
        <v>39.0</v>
      </c>
      <c r="B4239" s="24">
        <v>0.0</v>
      </c>
      <c r="C4239" s="44">
        <v>9.67</v>
      </c>
      <c r="D4239" s="46">
        <v>45156.0</v>
      </c>
      <c r="E4239" s="24" t="s">
        <v>6650</v>
      </c>
      <c r="F4239" s="24">
        <v>247.95</v>
      </c>
      <c r="G4239" s="24">
        <v>0.0</v>
      </c>
      <c r="H4239" s="24" t="s">
        <v>6701</v>
      </c>
      <c r="I4239" s="24" t="s">
        <v>6650</v>
      </c>
      <c r="J4239" s="24">
        <v>0.0</v>
      </c>
    </row>
    <row r="4240">
      <c r="A4240" s="24">
        <v>87.0</v>
      </c>
      <c r="B4240" s="24">
        <v>0.0</v>
      </c>
      <c r="C4240" s="44">
        <v>9.42</v>
      </c>
      <c r="D4240" s="46">
        <v>45156.0</v>
      </c>
      <c r="E4240" s="24" t="s">
        <v>6650</v>
      </c>
      <c r="F4240" s="24">
        <v>108.28</v>
      </c>
      <c r="G4240" s="24">
        <v>0.0</v>
      </c>
      <c r="H4240" s="24" t="s">
        <v>6692</v>
      </c>
      <c r="I4240" s="24" t="s">
        <v>6650</v>
      </c>
      <c r="J4240" s="24">
        <v>0.0</v>
      </c>
    </row>
    <row r="4241">
      <c r="A4241" s="24">
        <v>186.0</v>
      </c>
      <c r="B4241" s="24">
        <v>0.0</v>
      </c>
      <c r="C4241" s="44">
        <v>10.43</v>
      </c>
      <c r="D4241" s="46">
        <v>45156.0</v>
      </c>
      <c r="E4241" s="24" t="s">
        <v>6650</v>
      </c>
      <c r="F4241" s="24">
        <v>56.08</v>
      </c>
      <c r="G4241" s="24">
        <v>0.0</v>
      </c>
      <c r="H4241" s="24" t="s">
        <v>6700</v>
      </c>
      <c r="I4241" s="24" t="s">
        <v>6650</v>
      </c>
      <c r="J4241" s="24">
        <v>0.0</v>
      </c>
    </row>
    <row r="4242">
      <c r="A4242" s="24">
        <v>288.0</v>
      </c>
      <c r="B4242" s="24">
        <v>1.0</v>
      </c>
      <c r="C4242" s="44">
        <v>11.17</v>
      </c>
      <c r="D4242" s="46">
        <v>45156.0</v>
      </c>
      <c r="E4242" s="24">
        <v>11.17</v>
      </c>
      <c r="F4242" s="24">
        <v>38.78</v>
      </c>
      <c r="G4242" s="24">
        <v>0.35</v>
      </c>
      <c r="H4242" s="24" t="s">
        <v>6698</v>
      </c>
      <c r="I4242" s="24" t="s">
        <v>6650</v>
      </c>
      <c r="J4242" s="24">
        <v>0.0</v>
      </c>
    </row>
    <row r="4243">
      <c r="A4243" s="24">
        <v>30.0</v>
      </c>
      <c r="B4243" s="24">
        <v>0.0</v>
      </c>
      <c r="C4243" s="44">
        <v>9.71</v>
      </c>
      <c r="D4243" s="46">
        <v>45156.0</v>
      </c>
      <c r="E4243" s="24" t="s">
        <v>6650</v>
      </c>
      <c r="F4243" s="24">
        <v>323.67</v>
      </c>
      <c r="G4243" s="24">
        <v>0.0</v>
      </c>
      <c r="H4243" s="24" t="s">
        <v>6695</v>
      </c>
      <c r="I4243" s="24" t="s">
        <v>6650</v>
      </c>
      <c r="J4243" s="24">
        <v>0.0</v>
      </c>
    </row>
    <row r="4244">
      <c r="A4244" s="24">
        <v>29.0</v>
      </c>
      <c r="B4244" s="24">
        <v>0.0</v>
      </c>
      <c r="C4244" s="44">
        <v>7.95</v>
      </c>
      <c r="D4244" s="46">
        <v>45157.0</v>
      </c>
      <c r="E4244" s="24" t="s">
        <v>6650</v>
      </c>
      <c r="F4244" s="24">
        <v>274.14</v>
      </c>
      <c r="G4244" s="24">
        <v>0.0</v>
      </c>
      <c r="H4244" s="24" t="s">
        <v>6699</v>
      </c>
      <c r="I4244" s="24" t="s">
        <v>6650</v>
      </c>
      <c r="J4244" s="24">
        <v>0.0</v>
      </c>
    </row>
    <row r="4245">
      <c r="A4245" s="24">
        <v>1382.0</v>
      </c>
      <c r="B4245" s="24">
        <v>3.0</v>
      </c>
      <c r="C4245" s="44">
        <v>6.81</v>
      </c>
      <c r="D4245" s="46">
        <v>45157.0</v>
      </c>
      <c r="E4245" s="24">
        <v>2.27</v>
      </c>
      <c r="F4245" s="24">
        <v>4.93</v>
      </c>
      <c r="G4245" s="24">
        <v>0.22</v>
      </c>
      <c r="H4245" s="24" t="s">
        <v>6688</v>
      </c>
      <c r="I4245" s="24">
        <v>6.81</v>
      </c>
      <c r="J4245" s="24">
        <v>0.0</v>
      </c>
    </row>
    <row r="4246">
      <c r="A4246" s="24">
        <v>55.0</v>
      </c>
      <c r="B4246" s="24">
        <v>0.0</v>
      </c>
      <c r="C4246" s="44">
        <v>7.1</v>
      </c>
      <c r="D4246" s="46">
        <v>45157.0</v>
      </c>
      <c r="E4246" s="24" t="s">
        <v>6650</v>
      </c>
      <c r="F4246" s="24">
        <v>129.09</v>
      </c>
      <c r="G4246" s="24">
        <v>0.0</v>
      </c>
      <c r="H4246" s="24" t="s">
        <v>6692</v>
      </c>
      <c r="I4246" s="24" t="s">
        <v>6650</v>
      </c>
      <c r="J4246" s="24">
        <v>0.0</v>
      </c>
    </row>
    <row r="4247">
      <c r="A4247" s="24">
        <v>328.0</v>
      </c>
      <c r="B4247" s="24">
        <v>6.0</v>
      </c>
      <c r="C4247" s="44">
        <v>6.48</v>
      </c>
      <c r="D4247" s="46">
        <v>45157.0</v>
      </c>
      <c r="E4247" s="24">
        <v>1.08</v>
      </c>
      <c r="F4247" s="24">
        <v>19.76</v>
      </c>
      <c r="G4247" s="24">
        <v>1.83</v>
      </c>
      <c r="H4247" s="24" t="s">
        <v>6698</v>
      </c>
      <c r="I4247" s="24">
        <v>3.24</v>
      </c>
      <c r="J4247" s="24">
        <v>0.0</v>
      </c>
    </row>
    <row r="4248">
      <c r="A4248" s="24">
        <v>428.0</v>
      </c>
      <c r="B4248" s="24">
        <v>5.0</v>
      </c>
      <c r="C4248" s="44">
        <v>6.65</v>
      </c>
      <c r="D4248" s="46">
        <v>45157.0</v>
      </c>
      <c r="E4248" s="24">
        <v>1.33</v>
      </c>
      <c r="F4248" s="24">
        <v>15.54</v>
      </c>
      <c r="G4248" s="24">
        <v>1.17</v>
      </c>
      <c r="H4248" s="24" t="s">
        <v>6689</v>
      </c>
      <c r="I4248" s="24" t="s">
        <v>6650</v>
      </c>
      <c r="J4248" s="24">
        <v>0.0</v>
      </c>
    </row>
    <row r="4249">
      <c r="A4249" s="24">
        <v>2.0</v>
      </c>
      <c r="B4249" s="24">
        <v>1.0</v>
      </c>
      <c r="C4249" s="44">
        <v>1.5</v>
      </c>
      <c r="D4249" s="46">
        <v>45157.0</v>
      </c>
      <c r="E4249" s="24">
        <v>1.5</v>
      </c>
      <c r="F4249" s="24">
        <v>750.0</v>
      </c>
      <c r="G4249" s="24">
        <v>50.0</v>
      </c>
      <c r="H4249" s="24" t="s">
        <v>6702</v>
      </c>
      <c r="I4249" s="24" t="s">
        <v>6650</v>
      </c>
      <c r="J4249" s="24">
        <v>0.0</v>
      </c>
    </row>
    <row r="4250">
      <c r="A4250" s="24">
        <v>16.0</v>
      </c>
      <c r="B4250" s="24">
        <v>0.0</v>
      </c>
      <c r="C4250" s="44">
        <v>5.65</v>
      </c>
      <c r="D4250" s="46">
        <v>45157.0</v>
      </c>
      <c r="E4250" s="24" t="s">
        <v>6650</v>
      </c>
      <c r="F4250" s="24">
        <v>353.12</v>
      </c>
      <c r="G4250" s="24">
        <v>0.0</v>
      </c>
      <c r="H4250" s="24" t="s">
        <v>6695</v>
      </c>
      <c r="I4250" s="24" t="s">
        <v>6650</v>
      </c>
      <c r="J4250" s="24">
        <v>0.0</v>
      </c>
    </row>
    <row r="4251">
      <c r="A4251" s="24">
        <v>11.0</v>
      </c>
      <c r="B4251" s="24">
        <v>0.0</v>
      </c>
      <c r="C4251" s="44">
        <v>5.54</v>
      </c>
      <c r="D4251" s="46">
        <v>45157.0</v>
      </c>
      <c r="E4251" s="24" t="s">
        <v>6650</v>
      </c>
      <c r="F4251" s="24">
        <v>503.64</v>
      </c>
      <c r="G4251" s="24">
        <v>0.0</v>
      </c>
      <c r="H4251" s="24" t="s">
        <v>6697</v>
      </c>
      <c r="I4251" s="24" t="s">
        <v>6650</v>
      </c>
      <c r="J4251" s="24">
        <v>0.0</v>
      </c>
    </row>
    <row r="4252">
      <c r="A4252" s="24">
        <v>24.0</v>
      </c>
      <c r="B4252" s="24">
        <v>0.0</v>
      </c>
      <c r="C4252" s="44">
        <v>5.71</v>
      </c>
      <c r="D4252" s="46">
        <v>45157.0</v>
      </c>
      <c r="E4252" s="24" t="s">
        <v>6650</v>
      </c>
      <c r="F4252" s="24">
        <v>237.92</v>
      </c>
      <c r="G4252" s="24">
        <v>0.0</v>
      </c>
      <c r="H4252" s="24" t="s">
        <v>6701</v>
      </c>
      <c r="I4252" s="24" t="s">
        <v>6650</v>
      </c>
      <c r="J4252" s="24">
        <v>0.0</v>
      </c>
    </row>
    <row r="4253">
      <c r="A4253" s="24">
        <v>24.0</v>
      </c>
      <c r="B4253" s="24">
        <v>1.0</v>
      </c>
      <c r="C4253" s="44">
        <v>6.38</v>
      </c>
      <c r="D4253" s="46">
        <v>45157.0</v>
      </c>
      <c r="E4253" s="24">
        <v>6.38</v>
      </c>
      <c r="F4253" s="24">
        <v>265.83</v>
      </c>
      <c r="G4253" s="24">
        <v>4.17</v>
      </c>
      <c r="H4253" s="24" t="s">
        <v>6696</v>
      </c>
      <c r="I4253" s="24" t="s">
        <v>6650</v>
      </c>
      <c r="J4253" s="24">
        <v>0.0</v>
      </c>
    </row>
    <row r="4254">
      <c r="A4254" s="24">
        <v>48.0</v>
      </c>
      <c r="B4254" s="24">
        <v>0.0</v>
      </c>
      <c r="C4254" s="44">
        <v>8.4</v>
      </c>
      <c r="D4254" s="46">
        <v>45157.0</v>
      </c>
      <c r="E4254" s="24" t="s">
        <v>6650</v>
      </c>
      <c r="F4254" s="24">
        <v>175.0</v>
      </c>
      <c r="G4254" s="24">
        <v>0.0</v>
      </c>
      <c r="H4254" s="24" t="s">
        <v>6680</v>
      </c>
      <c r="I4254" s="24">
        <v>8.4</v>
      </c>
      <c r="J4254" s="24">
        <v>0.0</v>
      </c>
    </row>
    <row r="4255">
      <c r="A4255" s="24">
        <v>43.0</v>
      </c>
      <c r="B4255" s="24">
        <v>0.0</v>
      </c>
      <c r="C4255" s="44">
        <v>7.48</v>
      </c>
      <c r="D4255" s="46">
        <v>45157.0</v>
      </c>
      <c r="E4255" s="24" t="s">
        <v>6650</v>
      </c>
      <c r="F4255" s="24">
        <v>173.95</v>
      </c>
      <c r="G4255" s="24">
        <v>0.0</v>
      </c>
      <c r="H4255" s="24" t="s">
        <v>6700</v>
      </c>
      <c r="I4255" s="24" t="s">
        <v>6650</v>
      </c>
      <c r="J4255" s="24">
        <v>0.0</v>
      </c>
    </row>
    <row r="4256">
      <c r="A4256" s="24">
        <v>1310.0</v>
      </c>
      <c r="B4256" s="24">
        <v>6.0</v>
      </c>
      <c r="C4256" s="44">
        <v>7.12</v>
      </c>
      <c r="D4256" s="46">
        <v>45158.0</v>
      </c>
      <c r="E4256" s="24">
        <v>1.19</v>
      </c>
      <c r="F4256" s="24">
        <v>5.44</v>
      </c>
      <c r="G4256" s="24">
        <v>0.46</v>
      </c>
      <c r="H4256" s="24" t="s">
        <v>6688</v>
      </c>
      <c r="I4256" s="24" t="s">
        <v>6650</v>
      </c>
      <c r="J4256" s="24">
        <v>0.0</v>
      </c>
    </row>
    <row r="4257">
      <c r="A4257" s="24">
        <v>17.0</v>
      </c>
      <c r="B4257" s="24">
        <v>0.0</v>
      </c>
      <c r="C4257" s="44">
        <v>4.66</v>
      </c>
      <c r="D4257" s="46">
        <v>45158.0</v>
      </c>
      <c r="E4257" s="24" t="s">
        <v>6650</v>
      </c>
      <c r="F4257" s="24">
        <v>274.12</v>
      </c>
      <c r="G4257" s="24">
        <v>0.0</v>
      </c>
      <c r="H4257" s="24" t="s">
        <v>6696</v>
      </c>
      <c r="I4257" s="24" t="s">
        <v>6650</v>
      </c>
      <c r="J4257" s="24">
        <v>0.0</v>
      </c>
    </row>
    <row r="4258">
      <c r="A4258" s="24">
        <v>114.0</v>
      </c>
      <c r="B4258" s="24">
        <v>0.0</v>
      </c>
      <c r="C4258" s="44">
        <v>3.75</v>
      </c>
      <c r="D4258" s="46">
        <v>45158.0</v>
      </c>
      <c r="E4258" s="24" t="s">
        <v>6650</v>
      </c>
      <c r="F4258" s="24">
        <v>32.89</v>
      </c>
      <c r="G4258" s="24">
        <v>0.0</v>
      </c>
      <c r="H4258" s="24" t="s">
        <v>6680</v>
      </c>
      <c r="I4258" s="24" t="s">
        <v>6650</v>
      </c>
      <c r="J4258" s="24">
        <v>0.0</v>
      </c>
    </row>
    <row r="4259">
      <c r="A4259" s="24">
        <v>23.0</v>
      </c>
      <c r="B4259" s="24">
        <v>0.0</v>
      </c>
      <c r="C4259" s="44">
        <v>5.47</v>
      </c>
      <c r="D4259" s="46">
        <v>45158.0</v>
      </c>
      <c r="E4259" s="24" t="s">
        <v>6650</v>
      </c>
      <c r="F4259" s="24">
        <v>237.83</v>
      </c>
      <c r="G4259" s="24">
        <v>0.0</v>
      </c>
      <c r="H4259" s="24" t="s">
        <v>6692</v>
      </c>
      <c r="I4259" s="24" t="s">
        <v>6650</v>
      </c>
      <c r="J4259" s="24">
        <v>0.0</v>
      </c>
    </row>
    <row r="4260">
      <c r="A4260" s="24">
        <v>2.0</v>
      </c>
      <c r="B4260" s="24">
        <v>1.0</v>
      </c>
      <c r="C4260" s="44">
        <v>1.5</v>
      </c>
      <c r="D4260" s="46">
        <v>45158.0</v>
      </c>
      <c r="E4260" s="24">
        <v>1.5</v>
      </c>
      <c r="F4260" s="24">
        <v>750.0</v>
      </c>
      <c r="G4260" s="24">
        <v>50.0</v>
      </c>
      <c r="H4260" s="24" t="s">
        <v>6702</v>
      </c>
      <c r="I4260" s="24" t="s">
        <v>6650</v>
      </c>
      <c r="J4260" s="24">
        <v>0.0</v>
      </c>
    </row>
    <row r="4261">
      <c r="A4261" s="24">
        <v>390.0</v>
      </c>
      <c r="B4261" s="24">
        <v>7.0</v>
      </c>
      <c r="C4261" s="44">
        <v>5.54</v>
      </c>
      <c r="D4261" s="46">
        <v>45158.0</v>
      </c>
      <c r="E4261" s="24">
        <v>0.79</v>
      </c>
      <c r="F4261" s="24">
        <v>14.21</v>
      </c>
      <c r="G4261" s="24">
        <v>1.79</v>
      </c>
      <c r="H4261" s="24" t="s">
        <v>6689</v>
      </c>
      <c r="I4261" s="24" t="s">
        <v>6650</v>
      </c>
      <c r="J4261" s="24">
        <v>0.0</v>
      </c>
    </row>
    <row r="4262">
      <c r="A4262" s="24">
        <v>13.0</v>
      </c>
      <c r="B4262" s="24">
        <v>0.0</v>
      </c>
      <c r="C4262" s="44">
        <v>3.28</v>
      </c>
      <c r="D4262" s="46">
        <v>45158.0</v>
      </c>
      <c r="E4262" s="24" t="s">
        <v>6650</v>
      </c>
      <c r="F4262" s="24">
        <v>252.31</v>
      </c>
      <c r="G4262" s="24">
        <v>0.0</v>
      </c>
      <c r="H4262" s="24" t="s">
        <v>6701</v>
      </c>
      <c r="I4262" s="24" t="s">
        <v>6650</v>
      </c>
      <c r="J4262" s="24">
        <v>0.0</v>
      </c>
    </row>
    <row r="4263">
      <c r="A4263" s="24">
        <v>15.0</v>
      </c>
      <c r="B4263" s="24">
        <v>0.0</v>
      </c>
      <c r="C4263" s="44">
        <v>3.33</v>
      </c>
      <c r="D4263" s="46">
        <v>45158.0</v>
      </c>
      <c r="E4263" s="24" t="s">
        <v>6650</v>
      </c>
      <c r="F4263" s="24">
        <v>222.0</v>
      </c>
      <c r="G4263" s="24">
        <v>0.0</v>
      </c>
      <c r="H4263" s="24" t="s">
        <v>6695</v>
      </c>
      <c r="I4263" s="24" t="s">
        <v>6650</v>
      </c>
      <c r="J4263" s="24">
        <v>0.0</v>
      </c>
    </row>
    <row r="4264">
      <c r="A4264" s="24">
        <v>35.0</v>
      </c>
      <c r="B4264" s="24">
        <v>0.0</v>
      </c>
      <c r="C4264" s="44">
        <v>6.24</v>
      </c>
      <c r="D4264" s="46">
        <v>45158.0</v>
      </c>
      <c r="E4264" s="24" t="s">
        <v>6650</v>
      </c>
      <c r="F4264" s="24">
        <v>178.29</v>
      </c>
      <c r="G4264" s="24">
        <v>0.0</v>
      </c>
      <c r="H4264" s="24" t="s">
        <v>6698</v>
      </c>
      <c r="I4264" s="24" t="s">
        <v>6650</v>
      </c>
      <c r="J4264" s="24">
        <v>0.0</v>
      </c>
    </row>
    <row r="4265">
      <c r="A4265" s="24">
        <v>97.0</v>
      </c>
      <c r="B4265" s="24">
        <v>0.0</v>
      </c>
      <c r="C4265" s="44">
        <v>4.64</v>
      </c>
      <c r="D4265" s="46">
        <v>45158.0</v>
      </c>
      <c r="E4265" s="24" t="s">
        <v>6650</v>
      </c>
      <c r="F4265" s="24">
        <v>47.84</v>
      </c>
      <c r="G4265" s="24">
        <v>0.0</v>
      </c>
      <c r="H4265" s="24" t="s">
        <v>6700</v>
      </c>
      <c r="I4265" s="24" t="s">
        <v>6650</v>
      </c>
      <c r="J4265" s="24">
        <v>0.0</v>
      </c>
    </row>
    <row r="4266">
      <c r="A4266" s="24">
        <v>13.0</v>
      </c>
      <c r="B4266" s="24">
        <v>0.0</v>
      </c>
      <c r="C4266" s="44">
        <v>1.01</v>
      </c>
      <c r="D4266" s="46">
        <v>45158.0</v>
      </c>
      <c r="E4266" s="24" t="s">
        <v>6650</v>
      </c>
      <c r="F4266" s="24">
        <v>77.69</v>
      </c>
      <c r="G4266" s="24">
        <v>0.0</v>
      </c>
      <c r="H4266" s="24" t="s">
        <v>6697</v>
      </c>
      <c r="I4266" s="24" t="s">
        <v>6650</v>
      </c>
      <c r="J4266" s="24">
        <v>0.0</v>
      </c>
    </row>
    <row r="4267">
      <c r="A4267" s="24">
        <v>7.0</v>
      </c>
      <c r="B4267" s="24">
        <v>0.0</v>
      </c>
      <c r="C4267" s="44">
        <v>2.59</v>
      </c>
      <c r="D4267" s="46">
        <v>45158.0</v>
      </c>
      <c r="E4267" s="24" t="s">
        <v>6650</v>
      </c>
      <c r="F4267" s="24">
        <v>370.0</v>
      </c>
      <c r="G4267" s="24">
        <v>0.0</v>
      </c>
      <c r="H4267" s="24" t="s">
        <v>6699</v>
      </c>
      <c r="I4267" s="24" t="s">
        <v>6650</v>
      </c>
      <c r="J4267" s="24">
        <v>0.0</v>
      </c>
    </row>
    <row r="4268">
      <c r="A4268" s="24">
        <v>2030.0</v>
      </c>
      <c r="B4268" s="24">
        <v>14.0</v>
      </c>
      <c r="C4268" s="44">
        <v>10.94</v>
      </c>
      <c r="D4268" s="46">
        <v>45159.0</v>
      </c>
      <c r="E4268" s="24">
        <v>0.78</v>
      </c>
      <c r="F4268" s="24">
        <v>5.39</v>
      </c>
      <c r="G4268" s="24">
        <v>0.69</v>
      </c>
      <c r="H4268" s="24" t="s">
        <v>6688</v>
      </c>
      <c r="I4268" s="24">
        <v>3.65</v>
      </c>
      <c r="J4268" s="24">
        <v>0.0</v>
      </c>
    </row>
    <row r="4269">
      <c r="A4269" s="24">
        <v>52.0</v>
      </c>
      <c r="B4269" s="24">
        <v>0.0</v>
      </c>
      <c r="C4269" s="44">
        <v>15.0</v>
      </c>
      <c r="D4269" s="46">
        <v>45159.0</v>
      </c>
      <c r="E4269" s="24" t="s">
        <v>6650</v>
      </c>
      <c r="F4269" s="24">
        <v>288.46</v>
      </c>
      <c r="G4269" s="24">
        <v>0.0</v>
      </c>
      <c r="H4269" s="24" t="s">
        <v>6697</v>
      </c>
      <c r="I4269" s="24" t="s">
        <v>6650</v>
      </c>
      <c r="J4269" s="24">
        <v>0.0</v>
      </c>
    </row>
    <row r="4270">
      <c r="A4270" s="24">
        <v>71.0</v>
      </c>
      <c r="B4270" s="24">
        <v>0.0</v>
      </c>
      <c r="C4270" s="44">
        <v>11.83</v>
      </c>
      <c r="D4270" s="46">
        <v>45159.0</v>
      </c>
      <c r="E4270" s="24" t="s">
        <v>6650</v>
      </c>
      <c r="F4270" s="24">
        <v>166.62</v>
      </c>
      <c r="G4270" s="24">
        <v>0.0</v>
      </c>
      <c r="H4270" s="24" t="s">
        <v>6696</v>
      </c>
      <c r="I4270" s="24" t="s">
        <v>6650</v>
      </c>
      <c r="J4270" s="24">
        <v>0.0</v>
      </c>
    </row>
    <row r="4271">
      <c r="A4271" s="24">
        <v>309.0</v>
      </c>
      <c r="B4271" s="24">
        <v>2.0</v>
      </c>
      <c r="C4271" s="44">
        <v>11.82</v>
      </c>
      <c r="D4271" s="46">
        <v>45159.0</v>
      </c>
      <c r="E4271" s="24">
        <v>5.91</v>
      </c>
      <c r="F4271" s="24">
        <v>38.25</v>
      </c>
      <c r="G4271" s="24">
        <v>0.65</v>
      </c>
      <c r="H4271" s="24" t="s">
        <v>6698</v>
      </c>
      <c r="I4271" s="24">
        <v>11.82</v>
      </c>
      <c r="J4271" s="24">
        <v>0.0</v>
      </c>
    </row>
    <row r="4272">
      <c r="A4272" s="24">
        <v>159.0</v>
      </c>
      <c r="B4272" s="24">
        <v>1.0</v>
      </c>
      <c r="C4272" s="44">
        <v>11.92</v>
      </c>
      <c r="D4272" s="46">
        <v>45159.0</v>
      </c>
      <c r="E4272" s="24">
        <v>11.92</v>
      </c>
      <c r="F4272" s="24">
        <v>74.97</v>
      </c>
      <c r="G4272" s="24">
        <v>0.63</v>
      </c>
      <c r="H4272" s="24" t="s">
        <v>6700</v>
      </c>
      <c r="I4272" s="24">
        <v>11.92</v>
      </c>
      <c r="J4272" s="24">
        <v>0.0</v>
      </c>
    </row>
    <row r="4273">
      <c r="A4273" s="24">
        <v>50.0</v>
      </c>
      <c r="B4273" s="24">
        <v>2.0</v>
      </c>
      <c r="C4273" s="44">
        <v>12.24</v>
      </c>
      <c r="D4273" s="46">
        <v>45159.0</v>
      </c>
      <c r="E4273" s="24">
        <v>6.12</v>
      </c>
      <c r="F4273" s="24">
        <v>244.8</v>
      </c>
      <c r="G4273" s="24">
        <v>4.0</v>
      </c>
      <c r="H4273" s="24" t="s">
        <v>6695</v>
      </c>
      <c r="I4273" s="24" t="s">
        <v>6650</v>
      </c>
      <c r="J4273" s="24">
        <v>0.0</v>
      </c>
    </row>
    <row r="4274">
      <c r="A4274" s="24">
        <v>255.0</v>
      </c>
      <c r="B4274" s="24">
        <v>0.0</v>
      </c>
      <c r="C4274" s="44">
        <v>13.34</v>
      </c>
      <c r="D4274" s="46">
        <v>45159.0</v>
      </c>
      <c r="E4274" s="24" t="s">
        <v>6650</v>
      </c>
      <c r="F4274" s="24">
        <v>52.31</v>
      </c>
      <c r="G4274" s="24">
        <v>0.0</v>
      </c>
      <c r="H4274" s="24" t="s">
        <v>6680</v>
      </c>
      <c r="I4274" s="24" t="s">
        <v>6650</v>
      </c>
      <c r="J4274" s="24">
        <v>0.0</v>
      </c>
    </row>
    <row r="4275">
      <c r="A4275" s="24">
        <v>1091.0</v>
      </c>
      <c r="B4275" s="24">
        <v>11.0</v>
      </c>
      <c r="C4275" s="44">
        <v>11.07</v>
      </c>
      <c r="D4275" s="46">
        <v>45159.0</v>
      </c>
      <c r="E4275" s="24">
        <v>1.01</v>
      </c>
      <c r="F4275" s="24">
        <v>10.15</v>
      </c>
      <c r="G4275" s="24">
        <v>1.01</v>
      </c>
      <c r="H4275" s="24" t="s">
        <v>6689</v>
      </c>
      <c r="I4275" s="24" t="s">
        <v>6650</v>
      </c>
      <c r="J4275" s="24">
        <v>0.0</v>
      </c>
    </row>
    <row r="4276">
      <c r="A4276" s="24">
        <v>8.0</v>
      </c>
      <c r="B4276" s="24">
        <v>8.0</v>
      </c>
      <c r="C4276" s="44">
        <v>6.0</v>
      </c>
      <c r="D4276" s="46">
        <v>45159.0</v>
      </c>
      <c r="E4276" s="24">
        <v>0.75</v>
      </c>
      <c r="F4276" s="24">
        <v>750.0</v>
      </c>
      <c r="G4276" s="24">
        <v>100.0</v>
      </c>
      <c r="H4276" s="24" t="s">
        <v>6702</v>
      </c>
      <c r="I4276" s="24" t="s">
        <v>6650</v>
      </c>
      <c r="J4276" s="24">
        <v>0.0</v>
      </c>
    </row>
    <row r="4277">
      <c r="A4277" s="24">
        <v>142.0</v>
      </c>
      <c r="B4277" s="24">
        <v>0.0</v>
      </c>
      <c r="C4277" s="44">
        <v>11.59</v>
      </c>
      <c r="D4277" s="46">
        <v>45159.0</v>
      </c>
      <c r="E4277" s="24" t="s">
        <v>6650</v>
      </c>
      <c r="F4277" s="24">
        <v>81.62</v>
      </c>
      <c r="G4277" s="24">
        <v>0.0</v>
      </c>
      <c r="H4277" s="24" t="s">
        <v>6692</v>
      </c>
      <c r="I4277" s="24" t="s">
        <v>6650</v>
      </c>
      <c r="J4277" s="24">
        <v>0.0</v>
      </c>
    </row>
    <row r="4278">
      <c r="A4278" s="24">
        <v>67.0</v>
      </c>
      <c r="B4278" s="24">
        <v>2.0</v>
      </c>
      <c r="C4278" s="44">
        <v>12.57</v>
      </c>
      <c r="D4278" s="46">
        <v>45159.0</v>
      </c>
      <c r="E4278" s="24">
        <v>6.28</v>
      </c>
      <c r="F4278" s="24">
        <v>187.61</v>
      </c>
      <c r="G4278" s="24">
        <v>2.99</v>
      </c>
      <c r="H4278" s="24" t="s">
        <v>6699</v>
      </c>
      <c r="I4278" s="24">
        <v>6.28</v>
      </c>
      <c r="J4278" s="24">
        <v>0.0</v>
      </c>
    </row>
    <row r="4279">
      <c r="A4279" s="24">
        <v>66.0</v>
      </c>
      <c r="B4279" s="24">
        <v>0.0</v>
      </c>
      <c r="C4279" s="44">
        <v>12.42</v>
      </c>
      <c r="D4279" s="46">
        <v>45159.0</v>
      </c>
      <c r="E4279" s="24" t="s">
        <v>6650</v>
      </c>
      <c r="F4279" s="24">
        <v>188.18</v>
      </c>
      <c r="G4279" s="24">
        <v>0.0</v>
      </c>
      <c r="H4279" s="24" t="s">
        <v>6701</v>
      </c>
      <c r="I4279" s="24" t="s">
        <v>6650</v>
      </c>
      <c r="J4279" s="24">
        <v>0.0</v>
      </c>
    </row>
    <row r="4280">
      <c r="A4280" s="24">
        <v>820.0</v>
      </c>
      <c r="B4280" s="24">
        <v>5.0</v>
      </c>
      <c r="C4280" s="44">
        <v>11.86</v>
      </c>
      <c r="D4280" s="46">
        <v>45160.0</v>
      </c>
      <c r="E4280" s="24">
        <v>2.37</v>
      </c>
      <c r="F4280" s="24">
        <v>14.46</v>
      </c>
      <c r="G4280" s="24">
        <v>0.61</v>
      </c>
      <c r="H4280" s="24" t="s">
        <v>6698</v>
      </c>
      <c r="I4280" s="24" t="s">
        <v>6650</v>
      </c>
      <c r="J4280" s="24">
        <v>0.0</v>
      </c>
    </row>
    <row r="4281">
      <c r="A4281" s="24">
        <v>67.0</v>
      </c>
      <c r="B4281" s="24">
        <v>0.0</v>
      </c>
      <c r="C4281" s="44">
        <v>13.15</v>
      </c>
      <c r="D4281" s="46">
        <v>45160.0</v>
      </c>
      <c r="E4281" s="24" t="s">
        <v>6650</v>
      </c>
      <c r="F4281" s="24">
        <v>196.27</v>
      </c>
      <c r="G4281" s="24">
        <v>0.0</v>
      </c>
      <c r="H4281" s="24" t="s">
        <v>6701</v>
      </c>
      <c r="I4281" s="24" t="s">
        <v>6650</v>
      </c>
      <c r="J4281" s="24">
        <v>0.0</v>
      </c>
    </row>
    <row r="4282">
      <c r="A4282" s="24">
        <v>7.0</v>
      </c>
      <c r="B4282" s="24">
        <v>3.0</v>
      </c>
      <c r="C4282" s="44">
        <v>5.25</v>
      </c>
      <c r="D4282" s="46">
        <v>45160.0</v>
      </c>
      <c r="E4282" s="24">
        <v>1.75</v>
      </c>
      <c r="F4282" s="24">
        <v>750.0</v>
      </c>
      <c r="G4282" s="24">
        <v>42.86</v>
      </c>
      <c r="H4282" s="24" t="s">
        <v>6702</v>
      </c>
      <c r="I4282" s="24" t="s">
        <v>6650</v>
      </c>
      <c r="J4282" s="24">
        <v>0.0</v>
      </c>
    </row>
    <row r="4283">
      <c r="A4283" s="24">
        <v>131.0</v>
      </c>
      <c r="B4283" s="24">
        <v>0.0</v>
      </c>
      <c r="C4283" s="44">
        <v>16.5</v>
      </c>
      <c r="D4283" s="46">
        <v>45160.0</v>
      </c>
      <c r="E4283" s="24" t="s">
        <v>6650</v>
      </c>
      <c r="F4283" s="24">
        <v>125.95</v>
      </c>
      <c r="G4283" s="24">
        <v>0.0</v>
      </c>
      <c r="H4283" s="24" t="s">
        <v>6680</v>
      </c>
      <c r="I4283" s="24" t="s">
        <v>6650</v>
      </c>
      <c r="J4283" s="24">
        <v>0.0</v>
      </c>
    </row>
    <row r="4284">
      <c r="A4284" s="24">
        <v>44.0</v>
      </c>
      <c r="B4284" s="24">
        <v>0.0</v>
      </c>
      <c r="C4284" s="44">
        <v>13.15</v>
      </c>
      <c r="D4284" s="46">
        <v>45160.0</v>
      </c>
      <c r="E4284" s="24" t="s">
        <v>6650</v>
      </c>
      <c r="F4284" s="24">
        <v>298.86</v>
      </c>
      <c r="G4284" s="24">
        <v>0.0</v>
      </c>
      <c r="H4284" s="24" t="s">
        <v>6695</v>
      </c>
      <c r="I4284" s="24" t="s">
        <v>6650</v>
      </c>
      <c r="J4284" s="24">
        <v>0.0</v>
      </c>
    </row>
    <row r="4285">
      <c r="A4285" s="24">
        <v>27.0</v>
      </c>
      <c r="B4285" s="24">
        <v>0.0</v>
      </c>
      <c r="C4285" s="44">
        <v>13.52</v>
      </c>
      <c r="D4285" s="46">
        <v>45160.0</v>
      </c>
      <c r="E4285" s="24" t="s">
        <v>6650</v>
      </c>
      <c r="F4285" s="24">
        <v>500.74</v>
      </c>
      <c r="G4285" s="24">
        <v>0.0</v>
      </c>
      <c r="H4285" s="24" t="s">
        <v>6697</v>
      </c>
      <c r="I4285" s="24" t="s">
        <v>6650</v>
      </c>
      <c r="J4285" s="24">
        <v>0.0</v>
      </c>
    </row>
    <row r="4286">
      <c r="A4286" s="24">
        <v>1905.0</v>
      </c>
      <c r="B4286" s="24">
        <v>15.0</v>
      </c>
      <c r="C4286" s="44">
        <v>11.45</v>
      </c>
      <c r="D4286" s="46">
        <v>45160.0</v>
      </c>
      <c r="E4286" s="24">
        <v>0.76</v>
      </c>
      <c r="F4286" s="24">
        <v>6.01</v>
      </c>
      <c r="G4286" s="24">
        <v>0.79</v>
      </c>
      <c r="H4286" s="24" t="s">
        <v>6688</v>
      </c>
      <c r="I4286" s="24" t="s">
        <v>6650</v>
      </c>
      <c r="J4286" s="24">
        <v>0.0</v>
      </c>
    </row>
    <row r="4287">
      <c r="A4287" s="24">
        <v>185.0</v>
      </c>
      <c r="B4287" s="24">
        <v>0.0</v>
      </c>
      <c r="C4287" s="44">
        <v>12.16</v>
      </c>
      <c r="D4287" s="46">
        <v>45160.0</v>
      </c>
      <c r="E4287" s="24" t="s">
        <v>6650</v>
      </c>
      <c r="F4287" s="24">
        <v>65.73</v>
      </c>
      <c r="G4287" s="24">
        <v>0.0</v>
      </c>
      <c r="H4287" s="24" t="s">
        <v>6700</v>
      </c>
      <c r="I4287" s="24" t="s">
        <v>6650</v>
      </c>
      <c r="J4287" s="24">
        <v>0.0</v>
      </c>
    </row>
    <row r="4288">
      <c r="A4288" s="24">
        <v>83.0</v>
      </c>
      <c r="B4288" s="24">
        <v>4.0</v>
      </c>
      <c r="C4288" s="44">
        <v>12.81</v>
      </c>
      <c r="D4288" s="46">
        <v>45160.0</v>
      </c>
      <c r="E4288" s="24">
        <v>3.2</v>
      </c>
      <c r="F4288" s="24">
        <v>154.34</v>
      </c>
      <c r="G4288" s="24">
        <v>4.82</v>
      </c>
      <c r="H4288" s="24" t="s">
        <v>6699</v>
      </c>
      <c r="I4288" s="24">
        <v>12.81</v>
      </c>
      <c r="J4288" s="24">
        <v>0.0</v>
      </c>
    </row>
    <row r="4289">
      <c r="A4289" s="24">
        <v>123.0</v>
      </c>
      <c r="B4289" s="24">
        <v>0.0</v>
      </c>
      <c r="C4289" s="44">
        <v>12.33</v>
      </c>
      <c r="D4289" s="46">
        <v>45160.0</v>
      </c>
      <c r="E4289" s="24" t="s">
        <v>6650</v>
      </c>
      <c r="F4289" s="24">
        <v>100.24</v>
      </c>
      <c r="G4289" s="24">
        <v>0.0</v>
      </c>
      <c r="H4289" s="24" t="s">
        <v>6692</v>
      </c>
      <c r="I4289" s="24" t="s">
        <v>6650</v>
      </c>
      <c r="J4289" s="24">
        <v>0.0</v>
      </c>
    </row>
    <row r="4290">
      <c r="A4290" s="24">
        <v>1016.0</v>
      </c>
      <c r="B4290" s="24">
        <v>5.0</v>
      </c>
      <c r="C4290" s="44">
        <v>12.84</v>
      </c>
      <c r="D4290" s="46">
        <v>45160.0</v>
      </c>
      <c r="E4290" s="24">
        <v>2.57</v>
      </c>
      <c r="F4290" s="24">
        <v>12.64</v>
      </c>
      <c r="G4290" s="24">
        <v>0.49</v>
      </c>
      <c r="H4290" s="24" t="s">
        <v>6689</v>
      </c>
      <c r="I4290" s="24" t="s">
        <v>6650</v>
      </c>
      <c r="J4290" s="24">
        <v>0.0</v>
      </c>
    </row>
    <row r="4291">
      <c r="A4291" s="24">
        <v>31.0</v>
      </c>
      <c r="B4291" s="24">
        <v>0.0</v>
      </c>
      <c r="C4291" s="44">
        <v>13.71</v>
      </c>
      <c r="D4291" s="46">
        <v>45160.0</v>
      </c>
      <c r="E4291" s="24" t="s">
        <v>6650</v>
      </c>
      <c r="F4291" s="24">
        <v>442.26</v>
      </c>
      <c r="G4291" s="24">
        <v>0.0</v>
      </c>
      <c r="H4291" s="24" t="s">
        <v>6696</v>
      </c>
      <c r="I4291" s="24" t="s">
        <v>6650</v>
      </c>
      <c r="J4291" s="24">
        <v>0.0</v>
      </c>
    </row>
    <row r="4292">
      <c r="A4292" s="24">
        <v>876.0</v>
      </c>
      <c r="B4292" s="24">
        <v>3.0</v>
      </c>
      <c r="C4292" s="44">
        <v>12.08</v>
      </c>
      <c r="D4292" s="46">
        <v>45161.0</v>
      </c>
      <c r="E4292" s="24">
        <v>4.03</v>
      </c>
      <c r="F4292" s="24">
        <v>13.79</v>
      </c>
      <c r="G4292" s="24">
        <v>0.34</v>
      </c>
      <c r="H4292" s="24" t="s">
        <v>6689</v>
      </c>
      <c r="I4292" s="24" t="s">
        <v>6650</v>
      </c>
      <c r="J4292" s="24">
        <v>0.0</v>
      </c>
    </row>
    <row r="4293">
      <c r="A4293" s="24">
        <v>6.0</v>
      </c>
      <c r="B4293" s="24">
        <v>1.0</v>
      </c>
      <c r="C4293" s="44">
        <v>4.5</v>
      </c>
      <c r="D4293" s="46">
        <v>45161.0</v>
      </c>
      <c r="E4293" s="24">
        <v>4.5</v>
      </c>
      <c r="F4293" s="24">
        <v>750.0</v>
      </c>
      <c r="G4293" s="24">
        <v>16.67</v>
      </c>
      <c r="H4293" s="24" t="s">
        <v>6702</v>
      </c>
      <c r="I4293" s="24" t="s">
        <v>6650</v>
      </c>
      <c r="J4293" s="24">
        <v>0.0</v>
      </c>
    </row>
    <row r="4294">
      <c r="A4294" s="24">
        <v>354.0</v>
      </c>
      <c r="B4294" s="24">
        <v>3.0</v>
      </c>
      <c r="C4294" s="44">
        <v>12.17</v>
      </c>
      <c r="D4294" s="46">
        <v>45161.0</v>
      </c>
      <c r="E4294" s="24">
        <v>4.06</v>
      </c>
      <c r="F4294" s="24">
        <v>34.38</v>
      </c>
      <c r="G4294" s="24">
        <v>0.85</v>
      </c>
      <c r="H4294" s="24" t="s">
        <v>6698</v>
      </c>
      <c r="I4294" s="24">
        <v>12.17</v>
      </c>
      <c r="J4294" s="24">
        <v>0.0</v>
      </c>
    </row>
    <row r="4295">
      <c r="A4295" s="24">
        <v>173.0</v>
      </c>
      <c r="B4295" s="24">
        <v>1.0</v>
      </c>
      <c r="C4295" s="44">
        <v>12.43</v>
      </c>
      <c r="D4295" s="46">
        <v>45161.0</v>
      </c>
      <c r="E4295" s="24">
        <v>12.43</v>
      </c>
      <c r="F4295" s="24">
        <v>71.85</v>
      </c>
      <c r="G4295" s="24">
        <v>0.58</v>
      </c>
      <c r="H4295" s="24" t="s">
        <v>6700</v>
      </c>
      <c r="I4295" s="24" t="s">
        <v>6650</v>
      </c>
      <c r="J4295" s="24">
        <v>0.0</v>
      </c>
    </row>
    <row r="4296">
      <c r="A4296" s="24">
        <v>48.0</v>
      </c>
      <c r="B4296" s="24">
        <v>2.0</v>
      </c>
      <c r="C4296" s="44">
        <v>12.32</v>
      </c>
      <c r="D4296" s="46">
        <v>45161.0</v>
      </c>
      <c r="E4296" s="24">
        <v>6.16</v>
      </c>
      <c r="F4296" s="24">
        <v>256.67</v>
      </c>
      <c r="G4296" s="24">
        <v>4.17</v>
      </c>
      <c r="H4296" s="24" t="s">
        <v>6695</v>
      </c>
      <c r="I4296" s="24" t="s">
        <v>6650</v>
      </c>
      <c r="J4296" s="24">
        <v>0.0</v>
      </c>
    </row>
    <row r="4297">
      <c r="A4297" s="24">
        <v>31.0</v>
      </c>
      <c r="B4297" s="24">
        <v>0.0</v>
      </c>
      <c r="C4297" s="44">
        <v>11.88</v>
      </c>
      <c r="D4297" s="46">
        <v>45161.0</v>
      </c>
      <c r="E4297" s="24" t="s">
        <v>6650</v>
      </c>
      <c r="F4297" s="24">
        <v>383.23</v>
      </c>
      <c r="G4297" s="24">
        <v>0.0</v>
      </c>
      <c r="H4297" s="24" t="s">
        <v>6697</v>
      </c>
      <c r="I4297" s="24" t="s">
        <v>6650</v>
      </c>
      <c r="J4297" s="24">
        <v>0.0</v>
      </c>
    </row>
    <row r="4298">
      <c r="A4298" s="24">
        <v>338.0</v>
      </c>
      <c r="B4298" s="24">
        <v>5.0</v>
      </c>
      <c r="C4298" s="44">
        <v>13.24</v>
      </c>
      <c r="D4298" s="46">
        <v>45161.0</v>
      </c>
      <c r="E4298" s="24">
        <v>2.65</v>
      </c>
      <c r="F4298" s="24">
        <v>39.17</v>
      </c>
      <c r="G4298" s="24">
        <v>1.48</v>
      </c>
      <c r="H4298" s="24" t="s">
        <v>6680</v>
      </c>
      <c r="I4298" s="24">
        <v>3.31</v>
      </c>
      <c r="J4298" s="24">
        <v>0.0</v>
      </c>
    </row>
    <row r="4299">
      <c r="A4299" s="24">
        <v>2037.0</v>
      </c>
      <c r="B4299" s="24">
        <v>11.0</v>
      </c>
      <c r="C4299" s="44">
        <v>12.04</v>
      </c>
      <c r="D4299" s="46">
        <v>45161.0</v>
      </c>
      <c r="E4299" s="24">
        <v>1.09</v>
      </c>
      <c r="F4299" s="24">
        <v>5.91</v>
      </c>
      <c r="G4299" s="24">
        <v>0.54</v>
      </c>
      <c r="H4299" s="24" t="s">
        <v>6688</v>
      </c>
      <c r="I4299" s="24">
        <v>6.02</v>
      </c>
      <c r="J4299" s="24">
        <v>0.0</v>
      </c>
    </row>
    <row r="4300">
      <c r="A4300" s="24">
        <v>48.0</v>
      </c>
      <c r="B4300" s="24">
        <v>0.0</v>
      </c>
      <c r="C4300" s="44">
        <v>12.72</v>
      </c>
      <c r="D4300" s="46">
        <v>45161.0</v>
      </c>
      <c r="E4300" s="24" t="s">
        <v>6650</v>
      </c>
      <c r="F4300" s="24">
        <v>265.0</v>
      </c>
      <c r="G4300" s="24">
        <v>0.0</v>
      </c>
      <c r="H4300" s="24" t="s">
        <v>6696</v>
      </c>
      <c r="I4300" s="24" t="s">
        <v>6650</v>
      </c>
      <c r="J4300" s="24">
        <v>0.0</v>
      </c>
    </row>
    <row r="4301">
      <c r="A4301" s="24">
        <v>40.0</v>
      </c>
      <c r="B4301" s="24">
        <v>0.0</v>
      </c>
      <c r="C4301" s="44">
        <v>13.29</v>
      </c>
      <c r="D4301" s="46">
        <v>45161.0</v>
      </c>
      <c r="E4301" s="24" t="s">
        <v>6650</v>
      </c>
      <c r="F4301" s="24">
        <v>332.25</v>
      </c>
      <c r="G4301" s="24">
        <v>0.0</v>
      </c>
      <c r="H4301" s="24" t="s">
        <v>6701</v>
      </c>
      <c r="I4301" s="24">
        <v>13.29</v>
      </c>
      <c r="J4301" s="24">
        <v>0.0</v>
      </c>
    </row>
    <row r="4302">
      <c r="A4302" s="24">
        <v>100.0</v>
      </c>
      <c r="B4302" s="24">
        <v>1.0</v>
      </c>
      <c r="C4302" s="44">
        <v>12.07</v>
      </c>
      <c r="D4302" s="46">
        <v>45161.0</v>
      </c>
      <c r="E4302" s="24">
        <v>12.07</v>
      </c>
      <c r="F4302" s="24">
        <v>120.7</v>
      </c>
      <c r="G4302" s="24">
        <v>1.0</v>
      </c>
      <c r="H4302" s="24" t="s">
        <v>6692</v>
      </c>
      <c r="I4302" s="24" t="s">
        <v>6650</v>
      </c>
      <c r="J4302" s="24">
        <v>0.0</v>
      </c>
    </row>
    <row r="4303">
      <c r="A4303" s="24">
        <v>92.0</v>
      </c>
      <c r="B4303" s="24">
        <v>3.0</v>
      </c>
      <c r="C4303" s="44">
        <v>12.74</v>
      </c>
      <c r="D4303" s="46">
        <v>45161.0</v>
      </c>
      <c r="E4303" s="24">
        <v>4.25</v>
      </c>
      <c r="F4303" s="24">
        <v>138.48</v>
      </c>
      <c r="G4303" s="24">
        <v>3.26</v>
      </c>
      <c r="H4303" s="24" t="s">
        <v>6699</v>
      </c>
      <c r="I4303" s="24">
        <v>12.74</v>
      </c>
      <c r="J4303" s="24">
        <v>0.0</v>
      </c>
    </row>
    <row r="4304">
      <c r="A4304" s="24">
        <v>54.0</v>
      </c>
      <c r="B4304" s="24">
        <v>0.0</v>
      </c>
      <c r="C4304" s="44">
        <v>11.1</v>
      </c>
      <c r="D4304" s="46">
        <v>45162.0</v>
      </c>
      <c r="E4304" s="24" t="s">
        <v>6650</v>
      </c>
      <c r="F4304" s="24">
        <v>205.56</v>
      </c>
      <c r="G4304" s="24">
        <v>0.0</v>
      </c>
      <c r="H4304" s="24" t="s">
        <v>6696</v>
      </c>
      <c r="I4304" s="24" t="s">
        <v>6650</v>
      </c>
      <c r="J4304" s="24">
        <v>0.0</v>
      </c>
    </row>
    <row r="4305">
      <c r="A4305" s="24">
        <v>44.0</v>
      </c>
      <c r="B4305" s="24">
        <v>0.0</v>
      </c>
      <c r="C4305" s="44">
        <v>12.23</v>
      </c>
      <c r="D4305" s="46">
        <v>45162.0</v>
      </c>
      <c r="E4305" s="24" t="s">
        <v>6650</v>
      </c>
      <c r="F4305" s="24">
        <v>277.95</v>
      </c>
      <c r="G4305" s="24">
        <v>0.0</v>
      </c>
      <c r="H4305" s="24" t="s">
        <v>6695</v>
      </c>
      <c r="I4305" s="24" t="s">
        <v>6650</v>
      </c>
      <c r="J4305" s="24">
        <v>0.0</v>
      </c>
    </row>
    <row r="4306">
      <c r="A4306" s="24">
        <v>851.0</v>
      </c>
      <c r="B4306" s="24">
        <v>7.0</v>
      </c>
      <c r="C4306" s="44">
        <v>11.62</v>
      </c>
      <c r="D4306" s="46">
        <v>45162.0</v>
      </c>
      <c r="E4306" s="24">
        <v>1.66</v>
      </c>
      <c r="F4306" s="24">
        <v>13.65</v>
      </c>
      <c r="G4306" s="24">
        <v>0.82</v>
      </c>
      <c r="H4306" s="24" t="s">
        <v>6688</v>
      </c>
      <c r="I4306" s="24">
        <v>11.62</v>
      </c>
      <c r="J4306" s="24">
        <v>0.0</v>
      </c>
    </row>
    <row r="4307">
      <c r="A4307" s="24">
        <v>141.0</v>
      </c>
      <c r="B4307" s="24">
        <v>2.0</v>
      </c>
      <c r="C4307" s="44">
        <v>11.74</v>
      </c>
      <c r="D4307" s="46">
        <v>45162.0</v>
      </c>
      <c r="E4307" s="24">
        <v>5.87</v>
      </c>
      <c r="F4307" s="24">
        <v>83.26</v>
      </c>
      <c r="G4307" s="24">
        <v>1.42</v>
      </c>
      <c r="H4307" s="24" t="s">
        <v>6700</v>
      </c>
      <c r="I4307" s="24">
        <v>11.74</v>
      </c>
      <c r="J4307" s="24">
        <v>0.0</v>
      </c>
    </row>
    <row r="4308">
      <c r="A4308" s="24">
        <v>4.0</v>
      </c>
      <c r="B4308" s="24">
        <v>0.0</v>
      </c>
      <c r="C4308" s="44">
        <v>3.0</v>
      </c>
      <c r="D4308" s="46">
        <v>45162.0</v>
      </c>
      <c r="E4308" s="24" t="s">
        <v>6650</v>
      </c>
      <c r="F4308" s="24">
        <v>750.0</v>
      </c>
      <c r="G4308" s="24">
        <v>0.0</v>
      </c>
      <c r="H4308" s="24" t="s">
        <v>6702</v>
      </c>
      <c r="I4308" s="24" t="s">
        <v>6650</v>
      </c>
      <c r="J4308" s="24">
        <v>0.0</v>
      </c>
    </row>
    <row r="4309">
      <c r="A4309" s="24">
        <v>834.0</v>
      </c>
      <c r="B4309" s="24">
        <v>6.0</v>
      </c>
      <c r="C4309" s="44">
        <v>11.91</v>
      </c>
      <c r="D4309" s="46">
        <v>45162.0</v>
      </c>
      <c r="E4309" s="24">
        <v>1.98</v>
      </c>
      <c r="F4309" s="24">
        <v>14.28</v>
      </c>
      <c r="G4309" s="24">
        <v>0.72</v>
      </c>
      <c r="H4309" s="24" t="s">
        <v>6689</v>
      </c>
      <c r="I4309" s="24" t="s">
        <v>6650</v>
      </c>
      <c r="J4309" s="24">
        <v>0.0</v>
      </c>
    </row>
    <row r="4310">
      <c r="A4310" s="24">
        <v>85.0</v>
      </c>
      <c r="B4310" s="24">
        <v>4.0</v>
      </c>
      <c r="C4310" s="44">
        <v>12.44</v>
      </c>
      <c r="D4310" s="46">
        <v>45162.0</v>
      </c>
      <c r="E4310" s="24">
        <v>3.11</v>
      </c>
      <c r="F4310" s="24">
        <v>146.35</v>
      </c>
      <c r="G4310" s="24">
        <v>4.71</v>
      </c>
      <c r="H4310" s="24" t="s">
        <v>6699</v>
      </c>
      <c r="I4310" s="24">
        <v>12.44</v>
      </c>
      <c r="J4310" s="24">
        <v>0.0</v>
      </c>
    </row>
    <row r="4311">
      <c r="A4311" s="24">
        <v>338.0</v>
      </c>
      <c r="B4311" s="24">
        <v>1.0</v>
      </c>
      <c r="C4311" s="44">
        <v>12.73</v>
      </c>
      <c r="D4311" s="46">
        <v>45162.0</v>
      </c>
      <c r="E4311" s="24">
        <v>12.73</v>
      </c>
      <c r="F4311" s="24">
        <v>37.66</v>
      </c>
      <c r="G4311" s="24">
        <v>0.3</v>
      </c>
      <c r="H4311" s="24" t="s">
        <v>6680</v>
      </c>
      <c r="I4311" s="24">
        <v>6.36</v>
      </c>
      <c r="J4311" s="24">
        <v>0.0</v>
      </c>
    </row>
    <row r="4312">
      <c r="A4312" s="24">
        <v>34.0</v>
      </c>
      <c r="B4312" s="24">
        <v>0.0</v>
      </c>
      <c r="C4312" s="44">
        <v>11.77</v>
      </c>
      <c r="D4312" s="46">
        <v>45162.0</v>
      </c>
      <c r="E4312" s="24" t="s">
        <v>6650</v>
      </c>
      <c r="F4312" s="24">
        <v>346.18</v>
      </c>
      <c r="G4312" s="24">
        <v>0.0</v>
      </c>
      <c r="H4312" s="24" t="s">
        <v>6701</v>
      </c>
      <c r="I4312" s="24" t="s">
        <v>6650</v>
      </c>
      <c r="J4312" s="24">
        <v>0.0</v>
      </c>
    </row>
    <row r="4313">
      <c r="A4313" s="24">
        <v>79.0</v>
      </c>
      <c r="B4313" s="24">
        <v>0.0</v>
      </c>
      <c r="C4313" s="44">
        <v>11.71</v>
      </c>
      <c r="D4313" s="46">
        <v>45162.0</v>
      </c>
      <c r="E4313" s="24" t="s">
        <v>6650</v>
      </c>
      <c r="F4313" s="24">
        <v>148.23</v>
      </c>
      <c r="G4313" s="24">
        <v>0.0</v>
      </c>
      <c r="H4313" s="24" t="s">
        <v>6692</v>
      </c>
      <c r="I4313" s="24" t="s">
        <v>6650</v>
      </c>
      <c r="J4313" s="24">
        <v>0.0</v>
      </c>
    </row>
    <row r="4314">
      <c r="A4314" s="24">
        <v>470.0</v>
      </c>
      <c r="B4314" s="24">
        <v>4.0</v>
      </c>
      <c r="C4314" s="44">
        <v>12.07</v>
      </c>
      <c r="D4314" s="46">
        <v>45162.0</v>
      </c>
      <c r="E4314" s="24">
        <v>3.02</v>
      </c>
      <c r="F4314" s="24">
        <v>25.68</v>
      </c>
      <c r="G4314" s="24">
        <v>0.85</v>
      </c>
      <c r="H4314" s="24" t="s">
        <v>6698</v>
      </c>
      <c r="I4314" s="24">
        <v>12.07</v>
      </c>
      <c r="J4314" s="24">
        <v>0.0</v>
      </c>
    </row>
    <row r="4315">
      <c r="A4315" s="24">
        <v>26.0</v>
      </c>
      <c r="B4315" s="24">
        <v>0.0</v>
      </c>
      <c r="C4315" s="44">
        <v>13.63</v>
      </c>
      <c r="D4315" s="46">
        <v>45162.0</v>
      </c>
      <c r="E4315" s="24" t="s">
        <v>6650</v>
      </c>
      <c r="F4315" s="24">
        <v>524.23</v>
      </c>
      <c r="G4315" s="24">
        <v>0.0</v>
      </c>
      <c r="H4315" s="24" t="s">
        <v>6697</v>
      </c>
      <c r="I4315" s="24" t="s">
        <v>6650</v>
      </c>
      <c r="J4315" s="24">
        <v>0.0</v>
      </c>
    </row>
    <row r="4316">
      <c r="A4316" s="24">
        <v>98.0</v>
      </c>
      <c r="B4316" s="24">
        <v>0.0</v>
      </c>
      <c r="C4316" s="44">
        <v>10.52</v>
      </c>
      <c r="D4316" s="46">
        <v>45163.0</v>
      </c>
      <c r="E4316" s="24" t="s">
        <v>6650</v>
      </c>
      <c r="F4316" s="24">
        <v>107.35</v>
      </c>
      <c r="G4316" s="24">
        <v>0.0</v>
      </c>
      <c r="H4316" s="24" t="s">
        <v>6696</v>
      </c>
      <c r="I4316" s="24" t="s">
        <v>6650</v>
      </c>
      <c r="J4316" s="24">
        <v>0.0</v>
      </c>
    </row>
    <row r="4317">
      <c r="A4317" s="24">
        <v>3.0</v>
      </c>
      <c r="B4317" s="24">
        <v>1.0</v>
      </c>
      <c r="C4317" s="44">
        <v>2.25</v>
      </c>
      <c r="D4317" s="46">
        <v>45163.0</v>
      </c>
      <c r="E4317" s="24">
        <v>2.25</v>
      </c>
      <c r="F4317" s="24">
        <v>750.0</v>
      </c>
      <c r="G4317" s="24">
        <v>33.33</v>
      </c>
      <c r="H4317" s="24" t="s">
        <v>6702</v>
      </c>
      <c r="I4317" s="24" t="s">
        <v>6650</v>
      </c>
      <c r="J4317" s="24">
        <v>0.0</v>
      </c>
    </row>
    <row r="4318">
      <c r="A4318" s="24">
        <v>32.0</v>
      </c>
      <c r="B4318" s="24">
        <v>0.0</v>
      </c>
      <c r="C4318" s="44">
        <v>11.72</v>
      </c>
      <c r="D4318" s="46">
        <v>45163.0</v>
      </c>
      <c r="E4318" s="24" t="s">
        <v>6650</v>
      </c>
      <c r="F4318" s="24">
        <v>366.25</v>
      </c>
      <c r="G4318" s="24">
        <v>0.0</v>
      </c>
      <c r="H4318" s="24" t="s">
        <v>6695</v>
      </c>
      <c r="I4318" s="24" t="s">
        <v>6650</v>
      </c>
      <c r="J4318" s="24">
        <v>0.0</v>
      </c>
    </row>
    <row r="4319">
      <c r="A4319" s="24">
        <v>1305.0</v>
      </c>
      <c r="B4319" s="24">
        <v>4.0</v>
      </c>
      <c r="C4319" s="44">
        <v>10.79</v>
      </c>
      <c r="D4319" s="46">
        <v>45163.0</v>
      </c>
      <c r="E4319" s="24">
        <v>2.7</v>
      </c>
      <c r="F4319" s="24">
        <v>8.27</v>
      </c>
      <c r="G4319" s="24">
        <v>0.31</v>
      </c>
      <c r="H4319" s="24" t="s">
        <v>6688</v>
      </c>
      <c r="I4319" s="24">
        <v>2.7</v>
      </c>
      <c r="J4319" s="24">
        <v>0.0</v>
      </c>
    </row>
    <row r="4320">
      <c r="A4320" s="24">
        <v>31.0</v>
      </c>
      <c r="B4320" s="24">
        <v>0.0</v>
      </c>
      <c r="C4320" s="44">
        <v>11.02</v>
      </c>
      <c r="D4320" s="46">
        <v>45163.0</v>
      </c>
      <c r="E4320" s="24" t="s">
        <v>6650</v>
      </c>
      <c r="F4320" s="24">
        <v>355.48</v>
      </c>
      <c r="G4320" s="24">
        <v>0.0</v>
      </c>
      <c r="H4320" s="24" t="s">
        <v>6701</v>
      </c>
      <c r="I4320" s="24" t="s">
        <v>6650</v>
      </c>
      <c r="J4320" s="24">
        <v>0.0</v>
      </c>
    </row>
    <row r="4321">
      <c r="A4321" s="24">
        <v>500.0</v>
      </c>
      <c r="B4321" s="24">
        <v>6.0</v>
      </c>
      <c r="C4321" s="44">
        <v>15.0</v>
      </c>
      <c r="D4321" s="46">
        <v>45163.0</v>
      </c>
      <c r="E4321" s="24">
        <v>2.5</v>
      </c>
      <c r="F4321" s="24">
        <v>30.0</v>
      </c>
      <c r="G4321" s="24">
        <v>1.2</v>
      </c>
      <c r="H4321" s="24" t="s">
        <v>6698</v>
      </c>
      <c r="I4321" s="24">
        <v>7.5</v>
      </c>
      <c r="J4321" s="24">
        <v>0.0</v>
      </c>
    </row>
    <row r="4322">
      <c r="A4322" s="24">
        <v>14.0</v>
      </c>
      <c r="B4322" s="24">
        <v>0.0</v>
      </c>
      <c r="C4322" s="44">
        <v>12.98</v>
      </c>
      <c r="D4322" s="46">
        <v>45163.0</v>
      </c>
      <c r="E4322" s="24" t="s">
        <v>6650</v>
      </c>
      <c r="F4322" s="24">
        <v>927.14</v>
      </c>
      <c r="G4322" s="24">
        <v>0.0</v>
      </c>
      <c r="H4322" s="24" t="s">
        <v>6697</v>
      </c>
      <c r="I4322" s="24" t="s">
        <v>6650</v>
      </c>
      <c r="J4322" s="24">
        <v>0.0</v>
      </c>
    </row>
    <row r="4323">
      <c r="A4323" s="24">
        <v>50.0</v>
      </c>
      <c r="B4323" s="24">
        <v>0.0</v>
      </c>
      <c r="C4323" s="44">
        <v>13.42</v>
      </c>
      <c r="D4323" s="46">
        <v>45163.0</v>
      </c>
      <c r="E4323" s="24" t="s">
        <v>6650</v>
      </c>
      <c r="F4323" s="24">
        <v>268.4</v>
      </c>
      <c r="G4323" s="24">
        <v>0.0</v>
      </c>
      <c r="H4323" s="24" t="s">
        <v>6692</v>
      </c>
      <c r="I4323" s="24" t="s">
        <v>6650</v>
      </c>
      <c r="J4323" s="24">
        <v>0.0</v>
      </c>
    </row>
    <row r="4324">
      <c r="A4324" s="24">
        <v>84.0</v>
      </c>
      <c r="B4324" s="24">
        <v>1.0</v>
      </c>
      <c r="C4324" s="44">
        <v>10.32</v>
      </c>
      <c r="D4324" s="46">
        <v>45163.0</v>
      </c>
      <c r="E4324" s="24">
        <v>10.32</v>
      </c>
      <c r="F4324" s="24">
        <v>122.86</v>
      </c>
      <c r="G4324" s="24">
        <v>1.19</v>
      </c>
      <c r="H4324" s="24" t="s">
        <v>6700</v>
      </c>
      <c r="I4324" s="24">
        <v>10.32</v>
      </c>
      <c r="J4324" s="24">
        <v>0.0</v>
      </c>
    </row>
    <row r="4325">
      <c r="A4325" s="24">
        <v>711.0</v>
      </c>
      <c r="B4325" s="24">
        <v>8.0</v>
      </c>
      <c r="C4325" s="44">
        <v>10.66</v>
      </c>
      <c r="D4325" s="46">
        <v>45163.0</v>
      </c>
      <c r="E4325" s="24">
        <v>1.33</v>
      </c>
      <c r="F4325" s="24">
        <v>14.99</v>
      </c>
      <c r="G4325" s="24">
        <v>1.13</v>
      </c>
      <c r="H4325" s="24" t="s">
        <v>6689</v>
      </c>
      <c r="I4325" s="24" t="s">
        <v>6650</v>
      </c>
      <c r="J4325" s="24">
        <v>0.0</v>
      </c>
    </row>
    <row r="4326">
      <c r="A4326" s="24">
        <v>139.0</v>
      </c>
      <c r="B4326" s="24">
        <v>0.0</v>
      </c>
      <c r="C4326" s="44">
        <v>10.15</v>
      </c>
      <c r="D4326" s="46">
        <v>45163.0</v>
      </c>
      <c r="E4326" s="24" t="s">
        <v>6650</v>
      </c>
      <c r="F4326" s="24">
        <v>73.02</v>
      </c>
      <c r="G4326" s="24">
        <v>0.0</v>
      </c>
      <c r="H4326" s="24" t="s">
        <v>6680</v>
      </c>
      <c r="I4326" s="24" t="s">
        <v>6650</v>
      </c>
      <c r="J4326" s="24">
        <v>0.0</v>
      </c>
    </row>
    <row r="4327">
      <c r="A4327" s="24">
        <v>39.0</v>
      </c>
      <c r="B4327" s="24">
        <v>0.0</v>
      </c>
      <c r="C4327" s="44">
        <v>11.85</v>
      </c>
      <c r="D4327" s="46">
        <v>45163.0</v>
      </c>
      <c r="E4327" s="24" t="s">
        <v>6650</v>
      </c>
      <c r="F4327" s="24">
        <v>303.85</v>
      </c>
      <c r="G4327" s="24">
        <v>0.0</v>
      </c>
      <c r="H4327" s="24" t="s">
        <v>6699</v>
      </c>
      <c r="I4327" s="24" t="s">
        <v>6650</v>
      </c>
      <c r="J4327" s="24">
        <v>0.0</v>
      </c>
    </row>
    <row r="4328">
      <c r="A4328" s="24">
        <v>22.0</v>
      </c>
      <c r="B4328" s="24">
        <v>0.0</v>
      </c>
      <c r="C4328" s="44">
        <v>5.54</v>
      </c>
      <c r="D4328" s="46">
        <v>45164.0</v>
      </c>
      <c r="E4328" s="24" t="s">
        <v>6650</v>
      </c>
      <c r="F4328" s="24">
        <v>251.82</v>
      </c>
      <c r="G4328" s="24">
        <v>0.0</v>
      </c>
      <c r="H4328" s="24" t="s">
        <v>6696</v>
      </c>
      <c r="I4328" s="24" t="s">
        <v>6650</v>
      </c>
      <c r="J4328" s="24">
        <v>0.0</v>
      </c>
    </row>
    <row r="4329">
      <c r="A4329" s="24">
        <v>22.0</v>
      </c>
      <c r="B4329" s="24">
        <v>1.0</v>
      </c>
      <c r="C4329" s="44">
        <v>5.62</v>
      </c>
      <c r="D4329" s="46">
        <v>45164.0</v>
      </c>
      <c r="E4329" s="24">
        <v>5.62</v>
      </c>
      <c r="F4329" s="24">
        <v>255.45</v>
      </c>
      <c r="G4329" s="24">
        <v>4.55</v>
      </c>
      <c r="H4329" s="24" t="s">
        <v>6695</v>
      </c>
      <c r="I4329" s="24" t="s">
        <v>6650</v>
      </c>
      <c r="J4329" s="24">
        <v>0.0</v>
      </c>
    </row>
    <row r="4330">
      <c r="A4330" s="24">
        <v>21.0</v>
      </c>
      <c r="B4330" s="24">
        <v>0.0</v>
      </c>
      <c r="C4330" s="44">
        <v>5.5</v>
      </c>
      <c r="D4330" s="46">
        <v>45164.0</v>
      </c>
      <c r="E4330" s="24" t="s">
        <v>6650</v>
      </c>
      <c r="F4330" s="24">
        <v>261.9</v>
      </c>
      <c r="G4330" s="24">
        <v>0.0</v>
      </c>
      <c r="H4330" s="24" t="s">
        <v>6701</v>
      </c>
      <c r="I4330" s="24" t="s">
        <v>6650</v>
      </c>
      <c r="J4330" s="24">
        <v>0.0</v>
      </c>
    </row>
    <row r="4331">
      <c r="A4331" s="24">
        <v>623.0</v>
      </c>
      <c r="B4331" s="24">
        <v>0.0</v>
      </c>
      <c r="C4331" s="44">
        <v>6.83</v>
      </c>
      <c r="D4331" s="46">
        <v>45164.0</v>
      </c>
      <c r="E4331" s="24" t="s">
        <v>6650</v>
      </c>
      <c r="F4331" s="24">
        <v>10.96</v>
      </c>
      <c r="G4331" s="24">
        <v>0.0</v>
      </c>
      <c r="H4331" s="24" t="s">
        <v>6688</v>
      </c>
      <c r="I4331" s="24">
        <v>6.83</v>
      </c>
      <c r="J4331" s="24">
        <v>0.0</v>
      </c>
    </row>
    <row r="4332">
      <c r="A4332" s="24">
        <v>37.0</v>
      </c>
      <c r="B4332" s="24">
        <v>1.0</v>
      </c>
      <c r="C4332" s="44">
        <v>4.97</v>
      </c>
      <c r="D4332" s="46">
        <v>45164.0</v>
      </c>
      <c r="E4332" s="24">
        <v>4.97</v>
      </c>
      <c r="F4332" s="24">
        <v>134.32</v>
      </c>
      <c r="G4332" s="24">
        <v>2.7</v>
      </c>
      <c r="H4332" s="24" t="s">
        <v>6699</v>
      </c>
      <c r="I4332" s="24">
        <v>4.97</v>
      </c>
      <c r="J4332" s="24">
        <v>0.0</v>
      </c>
    </row>
    <row r="4333">
      <c r="A4333" s="24">
        <v>2.0</v>
      </c>
      <c r="B4333" s="24">
        <v>2.0</v>
      </c>
      <c r="C4333" s="44">
        <v>1.5</v>
      </c>
      <c r="D4333" s="46">
        <v>45164.0</v>
      </c>
      <c r="E4333" s="24">
        <v>0.75</v>
      </c>
      <c r="F4333" s="24">
        <v>750.0</v>
      </c>
      <c r="G4333" s="24">
        <v>100.0</v>
      </c>
      <c r="H4333" s="24" t="s">
        <v>6702</v>
      </c>
      <c r="I4333" s="24" t="s">
        <v>6650</v>
      </c>
      <c r="J4333" s="24">
        <v>0.0</v>
      </c>
    </row>
    <row r="4334">
      <c r="A4334" s="24">
        <v>125.0</v>
      </c>
      <c r="B4334" s="24">
        <v>0.0</v>
      </c>
      <c r="C4334" s="44">
        <v>6.28</v>
      </c>
      <c r="D4334" s="46">
        <v>45164.0</v>
      </c>
      <c r="E4334" s="24" t="s">
        <v>6650</v>
      </c>
      <c r="F4334" s="24">
        <v>50.24</v>
      </c>
      <c r="G4334" s="24">
        <v>0.0</v>
      </c>
      <c r="H4334" s="24" t="s">
        <v>6700</v>
      </c>
      <c r="I4334" s="24">
        <v>3.14</v>
      </c>
      <c r="J4334" s="24">
        <v>0.0</v>
      </c>
    </row>
    <row r="4335">
      <c r="A4335" s="24">
        <v>43.0</v>
      </c>
      <c r="B4335" s="24">
        <v>2.0</v>
      </c>
      <c r="C4335" s="44">
        <v>5.7</v>
      </c>
      <c r="D4335" s="46">
        <v>45164.0</v>
      </c>
      <c r="E4335" s="24">
        <v>2.85</v>
      </c>
      <c r="F4335" s="24">
        <v>132.56</v>
      </c>
      <c r="G4335" s="24">
        <v>4.65</v>
      </c>
      <c r="H4335" s="24" t="s">
        <v>6692</v>
      </c>
      <c r="I4335" s="24">
        <v>5.7</v>
      </c>
      <c r="J4335" s="24">
        <v>2.0</v>
      </c>
    </row>
    <row r="4336">
      <c r="A4336" s="24">
        <v>294.0</v>
      </c>
      <c r="B4336" s="24">
        <v>5.0</v>
      </c>
      <c r="C4336" s="44">
        <v>3.73</v>
      </c>
      <c r="D4336" s="46">
        <v>45164.0</v>
      </c>
      <c r="E4336" s="24">
        <v>0.75</v>
      </c>
      <c r="F4336" s="24">
        <v>12.69</v>
      </c>
      <c r="G4336" s="24">
        <v>1.7</v>
      </c>
      <c r="H4336" s="24" t="s">
        <v>6698</v>
      </c>
      <c r="I4336" s="24">
        <v>1.86</v>
      </c>
      <c r="J4336" s="24">
        <v>0.0</v>
      </c>
    </row>
    <row r="4337">
      <c r="A4337" s="24">
        <v>9.0</v>
      </c>
      <c r="B4337" s="24">
        <v>0.0</v>
      </c>
      <c r="C4337" s="44">
        <v>2.8</v>
      </c>
      <c r="D4337" s="46">
        <v>45164.0</v>
      </c>
      <c r="E4337" s="24" t="s">
        <v>6650</v>
      </c>
      <c r="F4337" s="24">
        <v>311.11</v>
      </c>
      <c r="G4337" s="24">
        <v>0.0</v>
      </c>
      <c r="H4337" s="24" t="s">
        <v>6697</v>
      </c>
      <c r="I4337" s="24" t="s">
        <v>6650</v>
      </c>
      <c r="J4337" s="24">
        <v>0.0</v>
      </c>
    </row>
    <row r="4338">
      <c r="A4338" s="24">
        <v>41.0</v>
      </c>
      <c r="B4338" s="24">
        <v>0.0</v>
      </c>
      <c r="C4338" s="44">
        <v>6.59</v>
      </c>
      <c r="D4338" s="46">
        <v>45164.0</v>
      </c>
      <c r="E4338" s="24" t="s">
        <v>6650</v>
      </c>
      <c r="F4338" s="24">
        <v>160.73</v>
      </c>
      <c r="G4338" s="24">
        <v>0.0</v>
      </c>
      <c r="H4338" s="24" t="s">
        <v>6680</v>
      </c>
      <c r="I4338" s="24" t="s">
        <v>6650</v>
      </c>
      <c r="J4338" s="24">
        <v>0.0</v>
      </c>
    </row>
    <row r="4339">
      <c r="A4339" s="24">
        <v>530.0</v>
      </c>
      <c r="B4339" s="24">
        <v>5.0</v>
      </c>
      <c r="C4339" s="44">
        <v>6.24</v>
      </c>
      <c r="D4339" s="46">
        <v>45164.0</v>
      </c>
      <c r="E4339" s="24">
        <v>1.25</v>
      </c>
      <c r="F4339" s="24">
        <v>11.77</v>
      </c>
      <c r="G4339" s="24">
        <v>0.94</v>
      </c>
      <c r="H4339" s="24" t="s">
        <v>6689</v>
      </c>
      <c r="I4339" s="24" t="s">
        <v>6650</v>
      </c>
      <c r="J4339" s="24">
        <v>0.0</v>
      </c>
    </row>
    <row r="4340">
      <c r="A4340" s="24">
        <v>27.0</v>
      </c>
      <c r="B4340" s="24">
        <v>0.0</v>
      </c>
      <c r="C4340" s="44">
        <v>2.62</v>
      </c>
      <c r="D4340" s="46">
        <v>45165.0</v>
      </c>
      <c r="E4340" s="24" t="s">
        <v>6650</v>
      </c>
      <c r="F4340" s="24">
        <v>97.04</v>
      </c>
      <c r="G4340" s="24">
        <v>0.0</v>
      </c>
      <c r="H4340" s="24" t="s">
        <v>6699</v>
      </c>
      <c r="I4340" s="24" t="s">
        <v>6650</v>
      </c>
      <c r="J4340" s="24">
        <v>0.0</v>
      </c>
    </row>
    <row r="4341">
      <c r="A4341" s="24">
        <v>6.0</v>
      </c>
      <c r="B4341" s="24">
        <v>0.0</v>
      </c>
      <c r="C4341" s="44">
        <v>0.19</v>
      </c>
      <c r="D4341" s="46">
        <v>45165.0</v>
      </c>
      <c r="E4341" s="24" t="s">
        <v>6650</v>
      </c>
      <c r="F4341" s="24">
        <v>31.67</v>
      </c>
      <c r="G4341" s="24">
        <v>0.0</v>
      </c>
      <c r="H4341" s="24" t="s">
        <v>6697</v>
      </c>
      <c r="I4341" s="24" t="s">
        <v>6650</v>
      </c>
      <c r="J4341" s="24">
        <v>0.0</v>
      </c>
    </row>
    <row r="4342">
      <c r="A4342" s="24">
        <v>35.0</v>
      </c>
      <c r="B4342" s="24">
        <v>1.0</v>
      </c>
      <c r="C4342" s="44">
        <v>3.35</v>
      </c>
      <c r="D4342" s="46">
        <v>45165.0</v>
      </c>
      <c r="E4342" s="24">
        <v>3.35</v>
      </c>
      <c r="F4342" s="24">
        <v>95.71</v>
      </c>
      <c r="G4342" s="24">
        <v>2.86</v>
      </c>
      <c r="H4342" s="24" t="s">
        <v>6698</v>
      </c>
      <c r="I4342" s="24">
        <v>1.68</v>
      </c>
      <c r="J4342" s="24">
        <v>0.0</v>
      </c>
    </row>
    <row r="4343">
      <c r="A4343" s="24">
        <v>18.0</v>
      </c>
      <c r="B4343" s="24">
        <v>0.0</v>
      </c>
      <c r="C4343" s="44">
        <v>3.18</v>
      </c>
      <c r="D4343" s="46">
        <v>45165.0</v>
      </c>
      <c r="E4343" s="24" t="s">
        <v>6650</v>
      </c>
      <c r="F4343" s="24">
        <v>176.67</v>
      </c>
      <c r="G4343" s="24">
        <v>0.0</v>
      </c>
      <c r="H4343" s="24" t="s">
        <v>6692</v>
      </c>
      <c r="I4343" s="24" t="s">
        <v>6650</v>
      </c>
      <c r="J4343" s="24">
        <v>0.0</v>
      </c>
    </row>
    <row r="4344">
      <c r="A4344" s="24">
        <v>56.0</v>
      </c>
      <c r="B4344" s="24">
        <v>0.0</v>
      </c>
      <c r="C4344" s="44">
        <v>4.45</v>
      </c>
      <c r="D4344" s="46">
        <v>45165.0</v>
      </c>
      <c r="E4344" s="24" t="s">
        <v>6650</v>
      </c>
      <c r="F4344" s="24">
        <v>79.46</v>
      </c>
      <c r="G4344" s="24">
        <v>0.0</v>
      </c>
      <c r="H4344" s="24" t="s">
        <v>6680</v>
      </c>
      <c r="I4344" s="24" t="s">
        <v>6650</v>
      </c>
      <c r="J4344" s="24">
        <v>0.0</v>
      </c>
    </row>
    <row r="4345">
      <c r="A4345" s="24">
        <v>7.0</v>
      </c>
      <c r="B4345" s="24">
        <v>2.0</v>
      </c>
      <c r="C4345" s="44">
        <v>5.25</v>
      </c>
      <c r="D4345" s="46">
        <v>45165.0</v>
      </c>
      <c r="E4345" s="24">
        <v>2.62</v>
      </c>
      <c r="F4345" s="24">
        <v>750.0</v>
      </c>
      <c r="G4345" s="24">
        <v>28.57</v>
      </c>
      <c r="H4345" s="24" t="s">
        <v>6702</v>
      </c>
      <c r="I4345" s="24" t="s">
        <v>6650</v>
      </c>
      <c r="J4345" s="24">
        <v>0.0</v>
      </c>
    </row>
    <row r="4346">
      <c r="A4346" s="24">
        <v>38.0</v>
      </c>
      <c r="B4346" s="24">
        <v>0.0</v>
      </c>
      <c r="C4346" s="44">
        <v>5.15</v>
      </c>
      <c r="D4346" s="46">
        <v>45165.0</v>
      </c>
      <c r="E4346" s="24" t="s">
        <v>6650</v>
      </c>
      <c r="F4346" s="24">
        <v>135.53</v>
      </c>
      <c r="G4346" s="24">
        <v>0.0</v>
      </c>
      <c r="H4346" s="24" t="s">
        <v>6700</v>
      </c>
      <c r="I4346" s="24" t="s">
        <v>6650</v>
      </c>
      <c r="J4346" s="24">
        <v>0.0</v>
      </c>
    </row>
    <row r="4347">
      <c r="A4347" s="24">
        <v>17.0</v>
      </c>
      <c r="B4347" s="24">
        <v>0.0</v>
      </c>
      <c r="C4347" s="44">
        <v>2.85</v>
      </c>
      <c r="D4347" s="46">
        <v>45165.0</v>
      </c>
      <c r="E4347" s="24" t="s">
        <v>6650</v>
      </c>
      <c r="F4347" s="24">
        <v>167.65</v>
      </c>
      <c r="G4347" s="24">
        <v>0.0</v>
      </c>
      <c r="H4347" s="24" t="s">
        <v>6701</v>
      </c>
      <c r="I4347" s="24" t="s">
        <v>6650</v>
      </c>
      <c r="J4347" s="24">
        <v>0.0</v>
      </c>
    </row>
    <row r="4348">
      <c r="A4348" s="24">
        <v>20.0</v>
      </c>
      <c r="B4348" s="24">
        <v>1.0</v>
      </c>
      <c r="C4348" s="44">
        <v>4.58</v>
      </c>
      <c r="D4348" s="46">
        <v>45165.0</v>
      </c>
      <c r="E4348" s="24">
        <v>4.58</v>
      </c>
      <c r="F4348" s="24">
        <v>229.0</v>
      </c>
      <c r="G4348" s="24">
        <v>5.0</v>
      </c>
      <c r="H4348" s="24" t="s">
        <v>6696</v>
      </c>
      <c r="I4348" s="24" t="s">
        <v>6650</v>
      </c>
      <c r="J4348" s="24">
        <v>1.0</v>
      </c>
    </row>
    <row r="4349">
      <c r="A4349" s="24">
        <v>515.0</v>
      </c>
      <c r="B4349" s="24">
        <v>2.0</v>
      </c>
      <c r="C4349" s="44">
        <v>6.33</v>
      </c>
      <c r="D4349" s="46">
        <v>45165.0</v>
      </c>
      <c r="E4349" s="24">
        <v>3.16</v>
      </c>
      <c r="F4349" s="24">
        <v>12.29</v>
      </c>
      <c r="G4349" s="24">
        <v>0.39</v>
      </c>
      <c r="H4349" s="24" t="s">
        <v>6688</v>
      </c>
      <c r="I4349" s="24" t="s">
        <v>6650</v>
      </c>
      <c r="J4349" s="24">
        <v>0.0</v>
      </c>
    </row>
    <row r="4350">
      <c r="A4350" s="24">
        <v>20.0</v>
      </c>
      <c r="B4350" s="24">
        <v>0.0</v>
      </c>
      <c r="C4350" s="44">
        <v>2.72</v>
      </c>
      <c r="D4350" s="46">
        <v>45165.0</v>
      </c>
      <c r="E4350" s="24" t="s">
        <v>6650</v>
      </c>
      <c r="F4350" s="24">
        <v>136.0</v>
      </c>
      <c r="G4350" s="24">
        <v>0.0</v>
      </c>
      <c r="H4350" s="24" t="s">
        <v>6695</v>
      </c>
      <c r="I4350" s="24" t="s">
        <v>6650</v>
      </c>
      <c r="J4350" s="24">
        <v>0.0</v>
      </c>
    </row>
    <row r="4351">
      <c r="A4351" s="24">
        <v>338.0</v>
      </c>
      <c r="B4351" s="24">
        <v>7.0</v>
      </c>
      <c r="C4351" s="44">
        <v>5.2</v>
      </c>
      <c r="D4351" s="46">
        <v>45165.0</v>
      </c>
      <c r="E4351" s="24">
        <v>0.74</v>
      </c>
      <c r="F4351" s="24">
        <v>15.38</v>
      </c>
      <c r="G4351" s="24">
        <v>2.07</v>
      </c>
      <c r="H4351" s="24" t="s">
        <v>6689</v>
      </c>
      <c r="I4351" s="24" t="s">
        <v>6650</v>
      </c>
      <c r="J4351" s="24">
        <v>0.0</v>
      </c>
    </row>
    <row r="4352">
      <c r="A4352" s="24">
        <v>696.0</v>
      </c>
      <c r="B4352" s="24">
        <v>5.0</v>
      </c>
      <c r="C4352" s="44">
        <v>12.33</v>
      </c>
      <c r="D4352" s="46">
        <v>45166.0</v>
      </c>
      <c r="E4352" s="24">
        <v>2.47</v>
      </c>
      <c r="F4352" s="24">
        <v>17.72</v>
      </c>
      <c r="G4352" s="24">
        <v>0.72</v>
      </c>
      <c r="H4352" s="24" t="s">
        <v>6698</v>
      </c>
      <c r="I4352" s="24" t="s">
        <v>6650</v>
      </c>
      <c r="J4352" s="24">
        <v>0.0</v>
      </c>
    </row>
    <row r="4353">
      <c r="A4353" s="24">
        <v>87.0</v>
      </c>
      <c r="B4353" s="24">
        <v>2.0</v>
      </c>
      <c r="C4353" s="44">
        <v>12.09</v>
      </c>
      <c r="D4353" s="46">
        <v>45166.0</v>
      </c>
      <c r="E4353" s="24">
        <v>6.04</v>
      </c>
      <c r="F4353" s="24">
        <v>138.97</v>
      </c>
      <c r="G4353" s="24">
        <v>2.3</v>
      </c>
      <c r="H4353" s="24" t="s">
        <v>6696</v>
      </c>
      <c r="I4353" s="24" t="s">
        <v>6650</v>
      </c>
      <c r="J4353" s="24">
        <v>1.0</v>
      </c>
    </row>
    <row r="4354">
      <c r="A4354" s="24">
        <v>27.0</v>
      </c>
      <c r="B4354" s="24">
        <v>0.0</v>
      </c>
      <c r="C4354" s="44">
        <v>12.44</v>
      </c>
      <c r="D4354" s="46">
        <v>45166.0</v>
      </c>
      <c r="E4354" s="24" t="s">
        <v>6650</v>
      </c>
      <c r="F4354" s="24">
        <v>460.74</v>
      </c>
      <c r="G4354" s="24">
        <v>0.0</v>
      </c>
      <c r="H4354" s="24" t="s">
        <v>6697</v>
      </c>
      <c r="I4354" s="24" t="s">
        <v>6650</v>
      </c>
      <c r="J4354" s="24">
        <v>0.0</v>
      </c>
    </row>
    <row r="4355">
      <c r="A4355" s="24">
        <v>140.0</v>
      </c>
      <c r="B4355" s="24">
        <v>1.0</v>
      </c>
      <c r="C4355" s="44">
        <v>11.45</v>
      </c>
      <c r="D4355" s="46">
        <v>45166.0</v>
      </c>
      <c r="E4355" s="24">
        <v>11.45</v>
      </c>
      <c r="F4355" s="24">
        <v>81.79</v>
      </c>
      <c r="G4355" s="24">
        <v>0.71</v>
      </c>
      <c r="H4355" s="24" t="s">
        <v>6699</v>
      </c>
      <c r="I4355" s="24" t="s">
        <v>6650</v>
      </c>
      <c r="J4355" s="24">
        <v>0.0</v>
      </c>
    </row>
    <row r="4356">
      <c r="A4356" s="24">
        <v>99.0</v>
      </c>
      <c r="B4356" s="24">
        <v>0.0</v>
      </c>
      <c r="C4356" s="44">
        <v>15.0</v>
      </c>
      <c r="D4356" s="46">
        <v>45166.0</v>
      </c>
      <c r="E4356" s="24" t="s">
        <v>6650</v>
      </c>
      <c r="F4356" s="24">
        <v>151.52</v>
      </c>
      <c r="G4356" s="24">
        <v>0.0</v>
      </c>
      <c r="H4356" s="24" t="s">
        <v>6692</v>
      </c>
      <c r="I4356" s="24" t="s">
        <v>6650</v>
      </c>
      <c r="J4356" s="24">
        <v>0.0</v>
      </c>
    </row>
    <row r="4357">
      <c r="A4357" s="24">
        <v>6.0</v>
      </c>
      <c r="B4357" s="24">
        <v>4.0</v>
      </c>
      <c r="C4357" s="44">
        <v>4.5</v>
      </c>
      <c r="D4357" s="46">
        <v>45166.0</v>
      </c>
      <c r="E4357" s="24">
        <v>1.12</v>
      </c>
      <c r="F4357" s="24">
        <v>750.0</v>
      </c>
      <c r="G4357" s="24">
        <v>66.67</v>
      </c>
      <c r="H4357" s="24" t="s">
        <v>6702</v>
      </c>
      <c r="I4357" s="24" t="s">
        <v>6650</v>
      </c>
      <c r="J4357" s="24">
        <v>0.0</v>
      </c>
    </row>
    <row r="4358">
      <c r="A4358" s="24">
        <v>851.0</v>
      </c>
      <c r="B4358" s="24">
        <v>6.0</v>
      </c>
      <c r="C4358" s="44">
        <v>10.95</v>
      </c>
      <c r="D4358" s="46">
        <v>45166.0</v>
      </c>
      <c r="E4358" s="24">
        <v>1.82</v>
      </c>
      <c r="F4358" s="24">
        <v>12.87</v>
      </c>
      <c r="G4358" s="24">
        <v>0.71</v>
      </c>
      <c r="H4358" s="24" t="s">
        <v>6689</v>
      </c>
      <c r="I4358" s="24" t="s">
        <v>6650</v>
      </c>
      <c r="J4358" s="24">
        <v>0.0</v>
      </c>
    </row>
    <row r="4359">
      <c r="A4359" s="24">
        <v>292.0</v>
      </c>
      <c r="B4359" s="24">
        <v>2.0</v>
      </c>
      <c r="C4359" s="44">
        <v>13.53</v>
      </c>
      <c r="D4359" s="46">
        <v>45166.0</v>
      </c>
      <c r="E4359" s="24">
        <v>6.76</v>
      </c>
      <c r="F4359" s="24">
        <v>46.34</v>
      </c>
      <c r="G4359" s="24">
        <v>0.68</v>
      </c>
      <c r="H4359" s="24" t="s">
        <v>6680</v>
      </c>
      <c r="I4359" s="24">
        <v>13.53</v>
      </c>
      <c r="J4359" s="24">
        <v>0.0</v>
      </c>
    </row>
    <row r="4360">
      <c r="A4360" s="24">
        <v>888.0</v>
      </c>
      <c r="B4360" s="24">
        <v>3.0</v>
      </c>
      <c r="C4360" s="44">
        <v>11.69</v>
      </c>
      <c r="D4360" s="46">
        <v>45166.0</v>
      </c>
      <c r="E4360" s="24">
        <v>3.9</v>
      </c>
      <c r="F4360" s="24">
        <v>13.16</v>
      </c>
      <c r="G4360" s="24">
        <v>0.34</v>
      </c>
      <c r="H4360" s="24" t="s">
        <v>6688</v>
      </c>
      <c r="I4360" s="24" t="s">
        <v>6650</v>
      </c>
      <c r="J4360" s="24">
        <v>0.0</v>
      </c>
    </row>
    <row r="4361">
      <c r="A4361" s="24">
        <v>55.0</v>
      </c>
      <c r="B4361" s="24">
        <v>0.0</v>
      </c>
      <c r="C4361" s="44">
        <v>13.83</v>
      </c>
      <c r="D4361" s="46">
        <v>45166.0</v>
      </c>
      <c r="E4361" s="24" t="s">
        <v>6650</v>
      </c>
      <c r="F4361" s="24">
        <v>251.45</v>
      </c>
      <c r="G4361" s="24">
        <v>0.0</v>
      </c>
      <c r="H4361" s="24" t="s">
        <v>6701</v>
      </c>
      <c r="I4361" s="24" t="s">
        <v>6650</v>
      </c>
      <c r="J4361" s="24">
        <v>0.0</v>
      </c>
    </row>
    <row r="4362">
      <c r="A4362" s="24">
        <v>134.0</v>
      </c>
      <c r="B4362" s="24">
        <v>0.0</v>
      </c>
      <c r="C4362" s="44">
        <v>12.58</v>
      </c>
      <c r="D4362" s="46">
        <v>45166.0</v>
      </c>
      <c r="E4362" s="24" t="s">
        <v>6650</v>
      </c>
      <c r="F4362" s="24">
        <v>93.88</v>
      </c>
      <c r="G4362" s="24">
        <v>0.0</v>
      </c>
      <c r="H4362" s="24" t="s">
        <v>6700</v>
      </c>
      <c r="I4362" s="24" t="s">
        <v>6650</v>
      </c>
      <c r="J4362" s="24">
        <v>0.0</v>
      </c>
    </row>
    <row r="4363">
      <c r="A4363" s="24">
        <v>66.0</v>
      </c>
      <c r="B4363" s="24">
        <v>0.0</v>
      </c>
      <c r="C4363" s="44">
        <v>14.16</v>
      </c>
      <c r="D4363" s="46">
        <v>45166.0</v>
      </c>
      <c r="E4363" s="24" t="s">
        <v>6650</v>
      </c>
      <c r="F4363" s="24">
        <v>214.55</v>
      </c>
      <c r="G4363" s="24">
        <v>0.0</v>
      </c>
      <c r="H4363" s="24" t="s">
        <v>6695</v>
      </c>
      <c r="I4363" s="24" t="s">
        <v>6650</v>
      </c>
      <c r="J4363" s="24">
        <v>0.0</v>
      </c>
    </row>
    <row r="4364">
      <c r="A4364" s="24">
        <v>53.0</v>
      </c>
      <c r="B4364" s="24">
        <v>1.0</v>
      </c>
      <c r="C4364" s="44">
        <v>12.46</v>
      </c>
      <c r="D4364" s="46">
        <v>45167.0</v>
      </c>
      <c r="E4364" s="24">
        <v>12.46</v>
      </c>
      <c r="F4364" s="24">
        <v>235.09</v>
      </c>
      <c r="G4364" s="24">
        <v>1.89</v>
      </c>
      <c r="H4364" s="24" t="s">
        <v>6696</v>
      </c>
      <c r="I4364" s="24">
        <v>6.23</v>
      </c>
      <c r="J4364" s="24">
        <v>0.0</v>
      </c>
    </row>
    <row r="4365">
      <c r="A4365" s="24">
        <v>191.0</v>
      </c>
      <c r="B4365" s="24">
        <v>1.0</v>
      </c>
      <c r="C4365" s="44">
        <v>11.81</v>
      </c>
      <c r="D4365" s="46">
        <v>45167.0</v>
      </c>
      <c r="E4365" s="24">
        <v>11.81</v>
      </c>
      <c r="F4365" s="24">
        <v>61.83</v>
      </c>
      <c r="G4365" s="24">
        <v>0.52</v>
      </c>
      <c r="H4365" s="24" t="s">
        <v>6700</v>
      </c>
      <c r="I4365" s="24">
        <v>11.81</v>
      </c>
      <c r="J4365" s="24">
        <v>0.0</v>
      </c>
    </row>
    <row r="4366">
      <c r="A4366" s="24">
        <v>930.0</v>
      </c>
      <c r="B4366" s="24">
        <v>6.0</v>
      </c>
      <c r="C4366" s="44">
        <v>12.65</v>
      </c>
      <c r="D4366" s="46">
        <v>45167.0</v>
      </c>
      <c r="E4366" s="24">
        <v>2.11</v>
      </c>
      <c r="F4366" s="24">
        <v>13.6</v>
      </c>
      <c r="G4366" s="24">
        <v>0.65</v>
      </c>
      <c r="H4366" s="24" t="s">
        <v>6689</v>
      </c>
      <c r="I4366" s="24">
        <v>12.65</v>
      </c>
      <c r="J4366" s="24">
        <v>0.0</v>
      </c>
    </row>
    <row r="4367">
      <c r="A4367" s="24">
        <v>46.0</v>
      </c>
      <c r="B4367" s="24">
        <v>0.0</v>
      </c>
      <c r="C4367" s="44">
        <v>12.8</v>
      </c>
      <c r="D4367" s="46">
        <v>45167.0</v>
      </c>
      <c r="E4367" s="24" t="s">
        <v>6650</v>
      </c>
      <c r="F4367" s="24">
        <v>278.26</v>
      </c>
      <c r="G4367" s="24">
        <v>0.0</v>
      </c>
      <c r="H4367" s="24" t="s">
        <v>6701</v>
      </c>
      <c r="I4367" s="24">
        <v>12.8</v>
      </c>
      <c r="J4367" s="24">
        <v>0.0</v>
      </c>
    </row>
    <row r="4368">
      <c r="A4368" s="24">
        <v>120.0</v>
      </c>
      <c r="B4368" s="24">
        <v>1.0</v>
      </c>
      <c r="C4368" s="44">
        <v>11.14</v>
      </c>
      <c r="D4368" s="46">
        <v>45167.0</v>
      </c>
      <c r="E4368" s="24">
        <v>11.14</v>
      </c>
      <c r="F4368" s="24">
        <v>92.83</v>
      </c>
      <c r="G4368" s="24">
        <v>0.83</v>
      </c>
      <c r="H4368" s="24" t="s">
        <v>6692</v>
      </c>
      <c r="I4368" s="24" t="s">
        <v>6650</v>
      </c>
      <c r="J4368" s="24">
        <v>0.0</v>
      </c>
    </row>
    <row r="4369">
      <c r="A4369" s="24">
        <v>896.0</v>
      </c>
      <c r="B4369" s="24">
        <v>2.0</v>
      </c>
      <c r="C4369" s="44">
        <v>11.84</v>
      </c>
      <c r="D4369" s="46">
        <v>45167.0</v>
      </c>
      <c r="E4369" s="24">
        <v>5.92</v>
      </c>
      <c r="F4369" s="24">
        <v>13.21</v>
      </c>
      <c r="G4369" s="24">
        <v>0.22</v>
      </c>
      <c r="H4369" s="24" t="s">
        <v>6688</v>
      </c>
      <c r="I4369" s="24">
        <v>11.84</v>
      </c>
      <c r="J4369" s="24">
        <v>0.0</v>
      </c>
    </row>
    <row r="4370">
      <c r="A4370" s="24">
        <v>55.0</v>
      </c>
      <c r="B4370" s="24">
        <v>0.0</v>
      </c>
      <c r="C4370" s="44">
        <v>14.82</v>
      </c>
      <c r="D4370" s="46">
        <v>45167.0</v>
      </c>
      <c r="E4370" s="24" t="s">
        <v>6650</v>
      </c>
      <c r="F4370" s="24">
        <v>269.45</v>
      </c>
      <c r="G4370" s="24">
        <v>0.0</v>
      </c>
      <c r="H4370" s="24" t="s">
        <v>6695</v>
      </c>
      <c r="I4370" s="24" t="s">
        <v>6650</v>
      </c>
      <c r="J4370" s="24">
        <v>0.0</v>
      </c>
    </row>
    <row r="4371">
      <c r="A4371" s="24">
        <v>239.0</v>
      </c>
      <c r="B4371" s="24">
        <v>1.0</v>
      </c>
      <c r="C4371" s="44">
        <v>14.68</v>
      </c>
      <c r="D4371" s="46">
        <v>45167.0</v>
      </c>
      <c r="E4371" s="24">
        <v>14.68</v>
      </c>
      <c r="F4371" s="24">
        <v>61.42</v>
      </c>
      <c r="G4371" s="24">
        <v>0.42</v>
      </c>
      <c r="H4371" s="24" t="s">
        <v>6680</v>
      </c>
      <c r="I4371" s="24">
        <v>3.67</v>
      </c>
      <c r="J4371" s="24">
        <v>0.0</v>
      </c>
    </row>
    <row r="4372">
      <c r="A4372" s="24">
        <v>113.0</v>
      </c>
      <c r="B4372" s="24">
        <v>3.0</v>
      </c>
      <c r="C4372" s="44">
        <v>13.38</v>
      </c>
      <c r="D4372" s="46">
        <v>45167.0</v>
      </c>
      <c r="E4372" s="24">
        <v>4.46</v>
      </c>
      <c r="F4372" s="24">
        <v>118.41</v>
      </c>
      <c r="G4372" s="24">
        <v>2.65</v>
      </c>
      <c r="H4372" s="24" t="s">
        <v>6699</v>
      </c>
      <c r="I4372" s="24" t="s">
        <v>6650</v>
      </c>
      <c r="J4372" s="24">
        <v>0.0</v>
      </c>
    </row>
    <row r="4373">
      <c r="A4373" s="24">
        <v>44.0</v>
      </c>
      <c r="B4373" s="24">
        <v>1.0</v>
      </c>
      <c r="C4373" s="44">
        <v>13.37</v>
      </c>
      <c r="D4373" s="46">
        <v>45167.0</v>
      </c>
      <c r="E4373" s="24">
        <v>13.37</v>
      </c>
      <c r="F4373" s="24">
        <v>303.86</v>
      </c>
      <c r="G4373" s="24">
        <v>2.27</v>
      </c>
      <c r="H4373" s="24" t="s">
        <v>6697</v>
      </c>
      <c r="I4373" s="24" t="s">
        <v>6650</v>
      </c>
      <c r="J4373" s="24">
        <v>0.0</v>
      </c>
    </row>
    <row r="4374">
      <c r="A4374" s="24">
        <v>542.0</v>
      </c>
      <c r="B4374" s="24">
        <v>6.0</v>
      </c>
      <c r="C4374" s="44">
        <v>11.72</v>
      </c>
      <c r="D4374" s="46">
        <v>45167.0</v>
      </c>
      <c r="E4374" s="24">
        <v>1.95</v>
      </c>
      <c r="F4374" s="24">
        <v>21.62</v>
      </c>
      <c r="G4374" s="24">
        <v>1.11</v>
      </c>
      <c r="H4374" s="24" t="s">
        <v>6698</v>
      </c>
      <c r="I4374" s="24">
        <v>11.72</v>
      </c>
      <c r="J4374" s="24">
        <v>0.0</v>
      </c>
    </row>
    <row r="4375">
      <c r="A4375" s="24">
        <v>3.0</v>
      </c>
      <c r="B4375" s="24">
        <v>1.0</v>
      </c>
      <c r="C4375" s="44">
        <v>2.25</v>
      </c>
      <c r="D4375" s="46">
        <v>45167.0</v>
      </c>
      <c r="E4375" s="24">
        <v>2.25</v>
      </c>
      <c r="F4375" s="24">
        <v>750.0</v>
      </c>
      <c r="G4375" s="24">
        <v>33.33</v>
      </c>
      <c r="H4375" s="24" t="s">
        <v>6702</v>
      </c>
      <c r="I4375" s="24" t="s">
        <v>6650</v>
      </c>
      <c r="J4375" s="24">
        <v>0.0</v>
      </c>
    </row>
    <row r="4376">
      <c r="A4376" s="24">
        <v>37.0</v>
      </c>
      <c r="B4376" s="24">
        <v>0.0</v>
      </c>
      <c r="C4376" s="44">
        <v>12.44</v>
      </c>
      <c r="D4376" s="46">
        <v>45168.0</v>
      </c>
      <c r="E4376" s="24" t="s">
        <v>6650</v>
      </c>
      <c r="F4376" s="24">
        <v>336.22</v>
      </c>
      <c r="G4376" s="24">
        <v>0.0</v>
      </c>
      <c r="H4376" s="24" t="s">
        <v>6697</v>
      </c>
      <c r="I4376" s="24" t="s">
        <v>6650</v>
      </c>
      <c r="J4376" s="24">
        <v>0.0</v>
      </c>
    </row>
    <row r="4377">
      <c r="A4377" s="24">
        <v>205.0</v>
      </c>
      <c r="B4377" s="24">
        <v>4.0</v>
      </c>
      <c r="C4377" s="44">
        <v>12.07</v>
      </c>
      <c r="D4377" s="46">
        <v>45168.0</v>
      </c>
      <c r="E4377" s="24">
        <v>3.02</v>
      </c>
      <c r="F4377" s="24">
        <v>58.88</v>
      </c>
      <c r="G4377" s="24">
        <v>1.95</v>
      </c>
      <c r="H4377" s="24" t="s">
        <v>6700</v>
      </c>
      <c r="I4377" s="24">
        <v>6.04</v>
      </c>
      <c r="J4377" s="24">
        <v>0.0</v>
      </c>
    </row>
    <row r="4378">
      <c r="A4378" s="24">
        <v>43.0</v>
      </c>
      <c r="B4378" s="24">
        <v>1.0</v>
      </c>
      <c r="C4378" s="44">
        <v>13.04</v>
      </c>
      <c r="D4378" s="46">
        <v>45168.0</v>
      </c>
      <c r="E4378" s="24">
        <v>13.04</v>
      </c>
      <c r="F4378" s="24">
        <v>303.26</v>
      </c>
      <c r="G4378" s="24">
        <v>2.33</v>
      </c>
      <c r="H4378" s="24" t="s">
        <v>6695</v>
      </c>
      <c r="I4378" s="24" t="s">
        <v>6650</v>
      </c>
      <c r="J4378" s="24">
        <v>0.0</v>
      </c>
    </row>
    <row r="4379">
      <c r="A4379" s="24">
        <v>753.0</v>
      </c>
      <c r="B4379" s="24">
        <v>6.0</v>
      </c>
      <c r="C4379" s="44">
        <v>9.3</v>
      </c>
      <c r="D4379" s="46">
        <v>45168.0</v>
      </c>
      <c r="E4379" s="24">
        <v>1.55</v>
      </c>
      <c r="F4379" s="24">
        <v>12.35</v>
      </c>
      <c r="G4379" s="24">
        <v>0.8</v>
      </c>
      <c r="H4379" s="24" t="s">
        <v>6688</v>
      </c>
      <c r="I4379" s="24">
        <v>9.3</v>
      </c>
      <c r="J4379" s="24">
        <v>0.0</v>
      </c>
    </row>
    <row r="4380">
      <c r="A4380" s="24">
        <v>2.0</v>
      </c>
      <c r="B4380" s="24">
        <v>1.0</v>
      </c>
      <c r="C4380" s="44">
        <v>1.5</v>
      </c>
      <c r="D4380" s="46">
        <v>45168.0</v>
      </c>
      <c r="E4380" s="24">
        <v>1.5</v>
      </c>
      <c r="F4380" s="24">
        <v>750.0</v>
      </c>
      <c r="G4380" s="24">
        <v>50.0</v>
      </c>
      <c r="H4380" s="24" t="s">
        <v>6702</v>
      </c>
      <c r="I4380" s="24" t="s">
        <v>6650</v>
      </c>
      <c r="J4380" s="24">
        <v>0.0</v>
      </c>
    </row>
    <row r="4381">
      <c r="A4381" s="24">
        <v>355.0</v>
      </c>
      <c r="B4381" s="24">
        <v>3.0</v>
      </c>
      <c r="C4381" s="44">
        <v>11.56</v>
      </c>
      <c r="D4381" s="46">
        <v>45168.0</v>
      </c>
      <c r="E4381" s="24">
        <v>3.85</v>
      </c>
      <c r="F4381" s="24">
        <v>32.56</v>
      </c>
      <c r="G4381" s="24">
        <v>0.85</v>
      </c>
      <c r="H4381" s="24" t="s">
        <v>6698</v>
      </c>
      <c r="I4381" s="24">
        <v>3.85</v>
      </c>
      <c r="J4381" s="24">
        <v>0.0</v>
      </c>
    </row>
    <row r="4382">
      <c r="A4382" s="24">
        <v>39.0</v>
      </c>
      <c r="B4382" s="24">
        <v>0.0</v>
      </c>
      <c r="C4382" s="44">
        <v>12.85</v>
      </c>
      <c r="D4382" s="46">
        <v>45168.0</v>
      </c>
      <c r="E4382" s="24" t="s">
        <v>6650</v>
      </c>
      <c r="F4382" s="24">
        <v>329.49</v>
      </c>
      <c r="G4382" s="24">
        <v>0.0</v>
      </c>
      <c r="H4382" s="24" t="s">
        <v>6701</v>
      </c>
      <c r="I4382" s="24">
        <v>12.85</v>
      </c>
      <c r="J4382" s="24">
        <v>0.0</v>
      </c>
    </row>
    <row r="4383">
      <c r="A4383" s="24">
        <v>125.0</v>
      </c>
      <c r="B4383" s="24">
        <v>1.0</v>
      </c>
      <c r="C4383" s="44">
        <v>12.07</v>
      </c>
      <c r="D4383" s="46">
        <v>45168.0</v>
      </c>
      <c r="E4383" s="24">
        <v>12.07</v>
      </c>
      <c r="F4383" s="24">
        <v>96.56</v>
      </c>
      <c r="G4383" s="24">
        <v>0.8</v>
      </c>
      <c r="H4383" s="24" t="s">
        <v>6699</v>
      </c>
      <c r="I4383" s="24">
        <v>12.07</v>
      </c>
      <c r="J4383" s="24">
        <v>0.0</v>
      </c>
    </row>
    <row r="4384">
      <c r="A4384" s="24">
        <v>848.0</v>
      </c>
      <c r="B4384" s="24">
        <v>9.0</v>
      </c>
      <c r="C4384" s="44">
        <v>9.69</v>
      </c>
      <c r="D4384" s="46">
        <v>45168.0</v>
      </c>
      <c r="E4384" s="24">
        <v>1.08</v>
      </c>
      <c r="F4384" s="24">
        <v>11.43</v>
      </c>
      <c r="G4384" s="24">
        <v>1.06</v>
      </c>
      <c r="H4384" s="24" t="s">
        <v>6689</v>
      </c>
      <c r="I4384" s="24">
        <v>3.23</v>
      </c>
      <c r="J4384" s="24">
        <v>0.0</v>
      </c>
    </row>
    <row r="4385">
      <c r="A4385" s="24">
        <v>154.0</v>
      </c>
      <c r="B4385" s="24">
        <v>1.0</v>
      </c>
      <c r="C4385" s="44">
        <v>12.79</v>
      </c>
      <c r="D4385" s="46">
        <v>45168.0</v>
      </c>
      <c r="E4385" s="24">
        <v>12.79</v>
      </c>
      <c r="F4385" s="24">
        <v>83.05</v>
      </c>
      <c r="G4385" s="24">
        <v>0.65</v>
      </c>
      <c r="H4385" s="24" t="s">
        <v>6680</v>
      </c>
      <c r="I4385" s="24">
        <v>12.79</v>
      </c>
      <c r="J4385" s="24">
        <v>0.0</v>
      </c>
    </row>
    <row r="4386">
      <c r="A4386" s="24">
        <v>45.0</v>
      </c>
      <c r="B4386" s="24">
        <v>0.0</v>
      </c>
      <c r="C4386" s="44">
        <v>11.63</v>
      </c>
      <c r="D4386" s="46">
        <v>45168.0</v>
      </c>
      <c r="E4386" s="24" t="s">
        <v>6650</v>
      </c>
      <c r="F4386" s="24">
        <v>258.44</v>
      </c>
      <c r="G4386" s="24">
        <v>0.0</v>
      </c>
      <c r="H4386" s="24" t="s">
        <v>6692</v>
      </c>
      <c r="I4386" s="24" t="s">
        <v>6650</v>
      </c>
      <c r="J4386" s="24">
        <v>0.0</v>
      </c>
    </row>
    <row r="4387">
      <c r="A4387" s="24">
        <v>44.0</v>
      </c>
      <c r="B4387" s="24">
        <v>0.0</v>
      </c>
      <c r="C4387" s="44">
        <v>15.0</v>
      </c>
      <c r="D4387" s="46">
        <v>45168.0</v>
      </c>
      <c r="E4387" s="24" t="s">
        <v>6650</v>
      </c>
      <c r="F4387" s="24">
        <v>340.91</v>
      </c>
      <c r="G4387" s="24">
        <v>0.0</v>
      </c>
      <c r="H4387" s="24" t="s">
        <v>6696</v>
      </c>
      <c r="I4387" s="24">
        <v>15.0</v>
      </c>
      <c r="J4387" s="24">
        <v>0.0</v>
      </c>
    </row>
    <row r="4388">
      <c r="A4388" s="24">
        <v>664.0</v>
      </c>
      <c r="B4388" s="24">
        <v>4.0</v>
      </c>
      <c r="C4388" s="44">
        <v>9.21</v>
      </c>
      <c r="D4388" s="46">
        <v>45169.0</v>
      </c>
      <c r="E4388" s="24">
        <v>2.3</v>
      </c>
      <c r="F4388" s="24">
        <v>13.87</v>
      </c>
      <c r="G4388" s="24">
        <v>0.6</v>
      </c>
      <c r="H4388" s="24" t="s">
        <v>6688</v>
      </c>
      <c r="I4388" s="24" t="s">
        <v>6650</v>
      </c>
      <c r="J4388" s="24">
        <v>0.0</v>
      </c>
    </row>
    <row r="4389">
      <c r="A4389" s="24">
        <v>86.0</v>
      </c>
      <c r="B4389" s="24">
        <v>0.0</v>
      </c>
      <c r="C4389" s="44">
        <v>12.12</v>
      </c>
      <c r="D4389" s="46">
        <v>45169.0</v>
      </c>
      <c r="E4389" s="24" t="s">
        <v>6650</v>
      </c>
      <c r="F4389" s="24">
        <v>140.93</v>
      </c>
      <c r="G4389" s="24">
        <v>0.0</v>
      </c>
      <c r="H4389" s="24" t="s">
        <v>6699</v>
      </c>
      <c r="I4389" s="24" t="s">
        <v>6650</v>
      </c>
      <c r="J4389" s="24">
        <v>0.0</v>
      </c>
    </row>
    <row r="4390">
      <c r="A4390" s="24">
        <v>62.0</v>
      </c>
      <c r="B4390" s="24">
        <v>0.0</v>
      </c>
      <c r="C4390" s="44">
        <v>11.67</v>
      </c>
      <c r="D4390" s="46">
        <v>45169.0</v>
      </c>
      <c r="E4390" s="24" t="s">
        <v>6650</v>
      </c>
      <c r="F4390" s="24">
        <v>188.23</v>
      </c>
      <c r="G4390" s="24">
        <v>0.0</v>
      </c>
      <c r="H4390" s="24" t="s">
        <v>6692</v>
      </c>
      <c r="I4390" s="24" t="s">
        <v>6650</v>
      </c>
      <c r="J4390" s="24">
        <v>0.0</v>
      </c>
    </row>
    <row r="4391">
      <c r="A4391" s="24">
        <v>738.0</v>
      </c>
      <c r="B4391" s="24">
        <v>5.0</v>
      </c>
      <c r="C4391" s="44">
        <v>10.04</v>
      </c>
      <c r="D4391" s="46">
        <v>45169.0</v>
      </c>
      <c r="E4391" s="24">
        <v>2.01</v>
      </c>
      <c r="F4391" s="24">
        <v>13.6</v>
      </c>
      <c r="G4391" s="24">
        <v>0.68</v>
      </c>
      <c r="H4391" s="24" t="s">
        <v>6689</v>
      </c>
      <c r="I4391" s="24">
        <v>10.04</v>
      </c>
      <c r="J4391" s="24">
        <v>0.0</v>
      </c>
    </row>
    <row r="4392">
      <c r="A4392" s="24">
        <v>35.0</v>
      </c>
      <c r="B4392" s="24">
        <v>0.0</v>
      </c>
      <c r="C4392" s="44">
        <v>11.49</v>
      </c>
      <c r="D4392" s="46">
        <v>45169.0</v>
      </c>
      <c r="E4392" s="24" t="s">
        <v>6650</v>
      </c>
      <c r="F4392" s="24">
        <v>328.29</v>
      </c>
      <c r="G4392" s="24">
        <v>0.0</v>
      </c>
      <c r="H4392" s="24" t="s">
        <v>6697</v>
      </c>
      <c r="I4392" s="24" t="s">
        <v>6650</v>
      </c>
      <c r="J4392" s="24">
        <v>0.0</v>
      </c>
    </row>
    <row r="4393">
      <c r="A4393" s="24">
        <v>39.0</v>
      </c>
      <c r="B4393" s="24">
        <v>0.0</v>
      </c>
      <c r="C4393" s="44">
        <v>10.92</v>
      </c>
      <c r="D4393" s="46">
        <v>45169.0</v>
      </c>
      <c r="E4393" s="24" t="s">
        <v>6650</v>
      </c>
      <c r="F4393" s="24">
        <v>280.0</v>
      </c>
      <c r="G4393" s="24">
        <v>0.0</v>
      </c>
      <c r="H4393" s="24" t="s">
        <v>6695</v>
      </c>
      <c r="I4393" s="24" t="s">
        <v>6650</v>
      </c>
      <c r="J4393" s="24">
        <v>0.0</v>
      </c>
    </row>
    <row r="4394">
      <c r="A4394" s="24">
        <v>382.0</v>
      </c>
      <c r="B4394" s="24">
        <v>6.0</v>
      </c>
      <c r="C4394" s="44">
        <v>11.92</v>
      </c>
      <c r="D4394" s="46">
        <v>45169.0</v>
      </c>
      <c r="E4394" s="24">
        <v>1.99</v>
      </c>
      <c r="F4394" s="24">
        <v>31.2</v>
      </c>
      <c r="G4394" s="24">
        <v>1.57</v>
      </c>
      <c r="H4394" s="24" t="s">
        <v>6698</v>
      </c>
      <c r="I4394" s="24">
        <v>3.97</v>
      </c>
      <c r="J4394" s="24">
        <v>0.0</v>
      </c>
    </row>
    <row r="4395">
      <c r="A4395" s="24">
        <v>242.0</v>
      </c>
      <c r="B4395" s="24">
        <v>1.0</v>
      </c>
      <c r="C4395" s="44">
        <v>12.99</v>
      </c>
      <c r="D4395" s="46">
        <v>45169.0</v>
      </c>
      <c r="E4395" s="24">
        <v>12.99</v>
      </c>
      <c r="F4395" s="24">
        <v>53.68</v>
      </c>
      <c r="G4395" s="24">
        <v>0.41</v>
      </c>
      <c r="H4395" s="24" t="s">
        <v>6680</v>
      </c>
      <c r="I4395" s="24" t="s">
        <v>6650</v>
      </c>
      <c r="J4395" s="24">
        <v>0.0</v>
      </c>
    </row>
    <row r="4396">
      <c r="A4396" s="24">
        <v>6.0</v>
      </c>
      <c r="B4396" s="24">
        <v>3.0</v>
      </c>
      <c r="C4396" s="44">
        <v>4.5</v>
      </c>
      <c r="D4396" s="46">
        <v>45169.0</v>
      </c>
      <c r="E4396" s="24">
        <v>1.5</v>
      </c>
      <c r="F4396" s="24">
        <v>750.0</v>
      </c>
      <c r="G4396" s="24">
        <v>50.0</v>
      </c>
      <c r="H4396" s="24" t="s">
        <v>6702</v>
      </c>
      <c r="I4396" s="24" t="s">
        <v>6650</v>
      </c>
      <c r="J4396" s="24">
        <v>0.0</v>
      </c>
    </row>
    <row r="4397">
      <c r="A4397" s="24">
        <v>144.0</v>
      </c>
      <c r="B4397" s="24">
        <v>1.0</v>
      </c>
      <c r="C4397" s="44">
        <v>10.92</v>
      </c>
      <c r="D4397" s="46">
        <v>45169.0</v>
      </c>
      <c r="E4397" s="24">
        <v>10.92</v>
      </c>
      <c r="F4397" s="24">
        <v>75.83</v>
      </c>
      <c r="G4397" s="24">
        <v>0.69</v>
      </c>
      <c r="H4397" s="24" t="s">
        <v>6696</v>
      </c>
      <c r="I4397" s="24" t="s">
        <v>6650</v>
      </c>
      <c r="J4397" s="24">
        <v>0.0</v>
      </c>
    </row>
    <row r="4398">
      <c r="A4398" s="24">
        <v>45.0</v>
      </c>
      <c r="B4398" s="24">
        <v>0.0</v>
      </c>
      <c r="C4398" s="44">
        <v>12.54</v>
      </c>
      <c r="D4398" s="46">
        <v>45169.0</v>
      </c>
      <c r="E4398" s="24" t="s">
        <v>6650</v>
      </c>
      <c r="F4398" s="24">
        <v>278.67</v>
      </c>
      <c r="G4398" s="24">
        <v>0.0</v>
      </c>
      <c r="H4398" s="24" t="s">
        <v>6701</v>
      </c>
      <c r="I4398" s="24" t="s">
        <v>6650</v>
      </c>
      <c r="J4398" s="24">
        <v>0.0</v>
      </c>
    </row>
    <row r="4399">
      <c r="A4399" s="24">
        <v>211.0</v>
      </c>
      <c r="B4399" s="24">
        <v>1.0</v>
      </c>
      <c r="C4399" s="44">
        <v>11.4</v>
      </c>
      <c r="D4399" s="46">
        <v>45169.0</v>
      </c>
      <c r="E4399" s="24">
        <v>11.4</v>
      </c>
      <c r="F4399" s="24">
        <v>54.03</v>
      </c>
      <c r="G4399" s="24">
        <v>0.47</v>
      </c>
      <c r="H4399" s="24" t="s">
        <v>6700</v>
      </c>
      <c r="I4399" s="24">
        <v>5.7</v>
      </c>
      <c r="J4399" s="24">
        <v>0.0</v>
      </c>
    </row>
    <row r="4400">
      <c r="A4400" s="24">
        <v>38.0</v>
      </c>
      <c r="B4400" s="24">
        <v>0.0</v>
      </c>
      <c r="C4400" s="44">
        <v>9.89</v>
      </c>
      <c r="D4400" s="46">
        <v>45170.0</v>
      </c>
      <c r="E4400" s="24" t="s">
        <v>6650</v>
      </c>
      <c r="F4400" s="24">
        <v>260.26</v>
      </c>
      <c r="G4400" s="24">
        <v>0.0</v>
      </c>
      <c r="H4400" s="24" t="s">
        <v>6692</v>
      </c>
      <c r="I4400" s="24" t="s">
        <v>6650</v>
      </c>
      <c r="J4400" s="24">
        <v>0.0</v>
      </c>
    </row>
    <row r="4401">
      <c r="A4401" s="24">
        <v>49.0</v>
      </c>
      <c r="B4401" s="24">
        <v>2.0</v>
      </c>
      <c r="C4401" s="44">
        <v>9.84</v>
      </c>
      <c r="D4401" s="46">
        <v>45170.0</v>
      </c>
      <c r="E4401" s="24">
        <v>4.92</v>
      </c>
      <c r="F4401" s="24">
        <v>200.82</v>
      </c>
      <c r="G4401" s="24">
        <v>4.08</v>
      </c>
      <c r="H4401" s="24" t="s">
        <v>6696</v>
      </c>
      <c r="I4401" s="24" t="s">
        <v>6650</v>
      </c>
      <c r="J4401" s="24">
        <v>0.0</v>
      </c>
    </row>
    <row r="4402">
      <c r="A4402" s="24">
        <v>748.0</v>
      </c>
      <c r="B4402" s="24">
        <v>2.0</v>
      </c>
      <c r="C4402" s="44">
        <v>9.45</v>
      </c>
      <c r="D4402" s="46">
        <v>45170.0</v>
      </c>
      <c r="E4402" s="24">
        <v>4.72</v>
      </c>
      <c r="F4402" s="24">
        <v>12.63</v>
      </c>
      <c r="G4402" s="24">
        <v>0.27</v>
      </c>
      <c r="H4402" s="24" t="s">
        <v>6688</v>
      </c>
      <c r="I4402" s="24" t="s">
        <v>6650</v>
      </c>
      <c r="J4402" s="24">
        <v>0.0</v>
      </c>
    </row>
    <row r="4403">
      <c r="A4403" s="24">
        <v>67.0</v>
      </c>
      <c r="B4403" s="24">
        <v>0.0</v>
      </c>
      <c r="C4403" s="44">
        <v>11.31</v>
      </c>
      <c r="D4403" s="46">
        <v>45170.0</v>
      </c>
      <c r="E4403" s="24" t="s">
        <v>6650</v>
      </c>
      <c r="F4403" s="24">
        <v>168.81</v>
      </c>
      <c r="G4403" s="24">
        <v>0.0</v>
      </c>
      <c r="H4403" s="24" t="s">
        <v>6699</v>
      </c>
      <c r="I4403" s="24" t="s">
        <v>6650</v>
      </c>
      <c r="J4403" s="24">
        <v>0.0</v>
      </c>
    </row>
    <row r="4404">
      <c r="A4404" s="24">
        <v>41.0</v>
      </c>
      <c r="B4404" s="24">
        <v>0.0</v>
      </c>
      <c r="C4404" s="44">
        <v>10.46</v>
      </c>
      <c r="D4404" s="46">
        <v>45170.0</v>
      </c>
      <c r="E4404" s="24" t="s">
        <v>6650</v>
      </c>
      <c r="F4404" s="24">
        <v>255.12</v>
      </c>
      <c r="G4404" s="24">
        <v>0.0</v>
      </c>
      <c r="H4404" s="24" t="s">
        <v>6697</v>
      </c>
      <c r="I4404" s="24" t="s">
        <v>6650</v>
      </c>
      <c r="J4404" s="24">
        <v>0.0</v>
      </c>
    </row>
    <row r="4405">
      <c r="A4405" s="24">
        <v>670.0</v>
      </c>
      <c r="B4405" s="24">
        <v>4.0</v>
      </c>
      <c r="C4405" s="44">
        <v>10.38</v>
      </c>
      <c r="D4405" s="46">
        <v>45170.0</v>
      </c>
      <c r="E4405" s="24">
        <v>2.6</v>
      </c>
      <c r="F4405" s="24">
        <v>15.49</v>
      </c>
      <c r="G4405" s="24">
        <v>0.6</v>
      </c>
      <c r="H4405" s="24" t="s">
        <v>6689</v>
      </c>
      <c r="I4405" s="24" t="s">
        <v>6650</v>
      </c>
      <c r="J4405" s="24">
        <v>0.0</v>
      </c>
    </row>
    <row r="4406">
      <c r="A4406" s="24">
        <v>111.0</v>
      </c>
      <c r="B4406" s="24">
        <v>1.0</v>
      </c>
      <c r="C4406" s="44">
        <v>10.93</v>
      </c>
      <c r="D4406" s="46">
        <v>45170.0</v>
      </c>
      <c r="E4406" s="24">
        <v>10.93</v>
      </c>
      <c r="F4406" s="24">
        <v>98.47</v>
      </c>
      <c r="G4406" s="24">
        <v>0.9</v>
      </c>
      <c r="H4406" s="24" t="s">
        <v>6680</v>
      </c>
      <c r="I4406" s="24">
        <v>5.46</v>
      </c>
      <c r="J4406" s="24">
        <v>0.0</v>
      </c>
    </row>
    <row r="4407">
      <c r="A4407" s="24">
        <v>88.0</v>
      </c>
      <c r="B4407" s="24">
        <v>0.0</v>
      </c>
      <c r="C4407" s="44">
        <v>11.18</v>
      </c>
      <c r="D4407" s="46">
        <v>45170.0</v>
      </c>
      <c r="E4407" s="24" t="s">
        <v>6650</v>
      </c>
      <c r="F4407" s="24">
        <v>127.05</v>
      </c>
      <c r="G4407" s="24">
        <v>0.0</v>
      </c>
      <c r="H4407" s="24" t="s">
        <v>6700</v>
      </c>
      <c r="I4407" s="24" t="s">
        <v>6650</v>
      </c>
      <c r="J4407" s="24">
        <v>0.0</v>
      </c>
    </row>
    <row r="4408">
      <c r="A4408" s="24">
        <v>28.0</v>
      </c>
      <c r="B4408" s="24">
        <v>0.0</v>
      </c>
      <c r="C4408" s="44">
        <v>10.75</v>
      </c>
      <c r="D4408" s="46">
        <v>45170.0</v>
      </c>
      <c r="E4408" s="24" t="s">
        <v>6650</v>
      </c>
      <c r="F4408" s="24">
        <v>383.93</v>
      </c>
      <c r="G4408" s="24">
        <v>0.0</v>
      </c>
      <c r="H4408" s="24" t="s">
        <v>6701</v>
      </c>
      <c r="I4408" s="24" t="s">
        <v>6650</v>
      </c>
      <c r="J4408" s="24">
        <v>0.0</v>
      </c>
    </row>
    <row r="4409">
      <c r="A4409" s="24">
        <v>21.0</v>
      </c>
      <c r="B4409" s="24">
        <v>0.0</v>
      </c>
      <c r="C4409" s="44">
        <v>9.64</v>
      </c>
      <c r="D4409" s="46">
        <v>45170.0</v>
      </c>
      <c r="E4409" s="24" t="s">
        <v>6650</v>
      </c>
      <c r="F4409" s="24">
        <v>459.05</v>
      </c>
      <c r="G4409" s="24">
        <v>0.0</v>
      </c>
      <c r="H4409" s="24" t="s">
        <v>6695</v>
      </c>
      <c r="I4409" s="24" t="s">
        <v>6650</v>
      </c>
      <c r="J4409" s="24">
        <v>0.0</v>
      </c>
    </row>
    <row r="4410">
      <c r="A4410" s="24">
        <v>9.0</v>
      </c>
      <c r="B4410" s="24">
        <v>3.0</v>
      </c>
      <c r="C4410" s="44">
        <v>6.75</v>
      </c>
      <c r="D4410" s="46">
        <v>45170.0</v>
      </c>
      <c r="E4410" s="24">
        <v>2.25</v>
      </c>
      <c r="F4410" s="24">
        <v>750.0</v>
      </c>
      <c r="G4410" s="24">
        <v>33.33</v>
      </c>
      <c r="H4410" s="24" t="s">
        <v>6702</v>
      </c>
      <c r="I4410" s="24" t="s">
        <v>6650</v>
      </c>
      <c r="J4410" s="24">
        <v>0.0</v>
      </c>
    </row>
    <row r="4411">
      <c r="A4411" s="24">
        <v>106.0</v>
      </c>
      <c r="B4411" s="24">
        <v>1.0</v>
      </c>
      <c r="C4411" s="44">
        <v>10.89</v>
      </c>
      <c r="D4411" s="46">
        <v>45170.0</v>
      </c>
      <c r="E4411" s="24">
        <v>10.89</v>
      </c>
      <c r="F4411" s="24">
        <v>102.74</v>
      </c>
      <c r="G4411" s="24">
        <v>0.94</v>
      </c>
      <c r="H4411" s="24" t="s">
        <v>6698</v>
      </c>
      <c r="I4411" s="24" t="s">
        <v>6650</v>
      </c>
      <c r="J4411" s="24">
        <v>0.0</v>
      </c>
    </row>
    <row r="4412">
      <c r="A4412" s="24">
        <v>19.0</v>
      </c>
      <c r="B4412" s="24">
        <v>0.0</v>
      </c>
      <c r="C4412" s="44">
        <v>5.9</v>
      </c>
      <c r="D4412" s="46">
        <v>45171.0</v>
      </c>
      <c r="E4412" s="24" t="s">
        <v>6650</v>
      </c>
      <c r="F4412" s="24">
        <v>310.53</v>
      </c>
      <c r="G4412" s="24">
        <v>0.0</v>
      </c>
      <c r="H4412" s="24" t="s">
        <v>6701</v>
      </c>
      <c r="I4412" s="24" t="s">
        <v>6650</v>
      </c>
      <c r="J4412" s="24">
        <v>0.0</v>
      </c>
    </row>
    <row r="4413">
      <c r="A4413" s="24">
        <v>26.0</v>
      </c>
      <c r="B4413" s="24">
        <v>1.0</v>
      </c>
      <c r="C4413" s="44">
        <v>6.14</v>
      </c>
      <c r="D4413" s="46">
        <v>45171.0</v>
      </c>
      <c r="E4413" s="24">
        <v>6.14</v>
      </c>
      <c r="F4413" s="24">
        <v>236.15</v>
      </c>
      <c r="G4413" s="24">
        <v>3.85</v>
      </c>
      <c r="H4413" s="24" t="s">
        <v>6699</v>
      </c>
      <c r="I4413" s="24" t="s">
        <v>6650</v>
      </c>
      <c r="J4413" s="24">
        <v>0.0</v>
      </c>
    </row>
    <row r="4414">
      <c r="A4414" s="24">
        <v>44.0</v>
      </c>
      <c r="B4414" s="24">
        <v>0.0</v>
      </c>
      <c r="C4414" s="44">
        <v>7.35</v>
      </c>
      <c r="D4414" s="46">
        <v>45171.0</v>
      </c>
      <c r="E4414" s="24" t="s">
        <v>6650</v>
      </c>
      <c r="F4414" s="24">
        <v>167.05</v>
      </c>
      <c r="G4414" s="24">
        <v>0.0</v>
      </c>
      <c r="H4414" s="24" t="s">
        <v>6700</v>
      </c>
      <c r="I4414" s="24" t="s">
        <v>6650</v>
      </c>
      <c r="J4414" s="24">
        <v>0.0</v>
      </c>
    </row>
    <row r="4415">
      <c r="A4415" s="24">
        <v>15.0</v>
      </c>
      <c r="B4415" s="24">
        <v>0.0</v>
      </c>
      <c r="C4415" s="44">
        <v>5.69</v>
      </c>
      <c r="D4415" s="46">
        <v>45171.0</v>
      </c>
      <c r="E4415" s="24" t="s">
        <v>6650</v>
      </c>
      <c r="F4415" s="24">
        <v>379.33</v>
      </c>
      <c r="G4415" s="24">
        <v>0.0</v>
      </c>
      <c r="H4415" s="24" t="s">
        <v>6697</v>
      </c>
      <c r="I4415" s="24" t="s">
        <v>6650</v>
      </c>
      <c r="J4415" s="24">
        <v>0.0</v>
      </c>
    </row>
    <row r="4416">
      <c r="A4416" s="24">
        <v>16.0</v>
      </c>
      <c r="B4416" s="24">
        <v>0.0</v>
      </c>
      <c r="C4416" s="44">
        <v>5.61</v>
      </c>
      <c r="D4416" s="46">
        <v>45171.0</v>
      </c>
      <c r="E4416" s="24" t="s">
        <v>6650</v>
      </c>
      <c r="F4416" s="24">
        <v>350.62</v>
      </c>
      <c r="G4416" s="24">
        <v>0.0</v>
      </c>
      <c r="H4416" s="24" t="s">
        <v>6695</v>
      </c>
      <c r="I4416" s="24" t="s">
        <v>6650</v>
      </c>
      <c r="J4416" s="24">
        <v>0.0</v>
      </c>
    </row>
    <row r="4417">
      <c r="A4417" s="24">
        <v>66.0</v>
      </c>
      <c r="B4417" s="24">
        <v>1.0</v>
      </c>
      <c r="C4417" s="44">
        <v>7.53</v>
      </c>
      <c r="D4417" s="46">
        <v>45171.0</v>
      </c>
      <c r="E4417" s="24">
        <v>7.53</v>
      </c>
      <c r="F4417" s="24">
        <v>114.09</v>
      </c>
      <c r="G4417" s="24">
        <v>1.52</v>
      </c>
      <c r="H4417" s="24" t="s">
        <v>6680</v>
      </c>
      <c r="I4417" s="24">
        <v>7.53</v>
      </c>
      <c r="J4417" s="24">
        <v>0.0</v>
      </c>
    </row>
    <row r="4418">
      <c r="A4418" s="24">
        <v>4.0</v>
      </c>
      <c r="B4418" s="24">
        <v>0.0</v>
      </c>
      <c r="C4418" s="44">
        <v>3.0</v>
      </c>
      <c r="D4418" s="46">
        <v>45171.0</v>
      </c>
      <c r="E4418" s="24" t="s">
        <v>6650</v>
      </c>
      <c r="F4418" s="24">
        <v>750.0</v>
      </c>
      <c r="G4418" s="24">
        <v>0.0</v>
      </c>
      <c r="H4418" s="24" t="s">
        <v>6702</v>
      </c>
      <c r="I4418" s="24" t="s">
        <v>6650</v>
      </c>
      <c r="J4418" s="24">
        <v>0.0</v>
      </c>
    </row>
    <row r="4419">
      <c r="A4419" s="24">
        <v>521.0</v>
      </c>
      <c r="B4419" s="24">
        <v>2.0</v>
      </c>
      <c r="C4419" s="44">
        <v>7.29</v>
      </c>
      <c r="D4419" s="46">
        <v>45171.0</v>
      </c>
      <c r="E4419" s="24">
        <v>3.64</v>
      </c>
      <c r="F4419" s="24">
        <v>13.99</v>
      </c>
      <c r="G4419" s="24">
        <v>0.38</v>
      </c>
      <c r="H4419" s="24" t="s">
        <v>6688</v>
      </c>
      <c r="I4419" s="24" t="s">
        <v>6650</v>
      </c>
      <c r="J4419" s="24">
        <v>0.0</v>
      </c>
    </row>
    <row r="4420">
      <c r="A4420" s="24">
        <v>141.0</v>
      </c>
      <c r="B4420" s="24">
        <v>0.0</v>
      </c>
      <c r="C4420" s="44">
        <v>8.94</v>
      </c>
      <c r="D4420" s="46">
        <v>45171.0</v>
      </c>
      <c r="E4420" s="24" t="s">
        <v>6650</v>
      </c>
      <c r="F4420" s="24">
        <v>63.4</v>
      </c>
      <c r="G4420" s="24">
        <v>0.0</v>
      </c>
      <c r="H4420" s="24" t="s">
        <v>6698</v>
      </c>
      <c r="I4420" s="24" t="s">
        <v>6650</v>
      </c>
      <c r="J4420" s="24">
        <v>0.0</v>
      </c>
    </row>
    <row r="4421">
      <c r="A4421" s="24">
        <v>26.0</v>
      </c>
      <c r="B4421" s="24">
        <v>0.0</v>
      </c>
      <c r="C4421" s="44">
        <v>6.35</v>
      </c>
      <c r="D4421" s="46">
        <v>45171.0</v>
      </c>
      <c r="E4421" s="24" t="s">
        <v>6650</v>
      </c>
      <c r="F4421" s="24">
        <v>244.23</v>
      </c>
      <c r="G4421" s="24">
        <v>0.0</v>
      </c>
      <c r="H4421" s="24" t="s">
        <v>6696</v>
      </c>
      <c r="I4421" s="24" t="s">
        <v>6650</v>
      </c>
      <c r="J4421" s="24">
        <v>0.0</v>
      </c>
    </row>
    <row r="4422">
      <c r="A4422" s="24">
        <v>17.0</v>
      </c>
      <c r="B4422" s="24">
        <v>1.0</v>
      </c>
      <c r="C4422" s="44">
        <v>10.67</v>
      </c>
      <c r="D4422" s="46">
        <v>45171.0</v>
      </c>
      <c r="E4422" s="24">
        <v>10.67</v>
      </c>
      <c r="F4422" s="24">
        <v>627.65</v>
      </c>
      <c r="G4422" s="24">
        <v>5.88</v>
      </c>
      <c r="H4422" s="24" t="s">
        <v>6692</v>
      </c>
      <c r="I4422" s="24" t="s">
        <v>6650</v>
      </c>
      <c r="J4422" s="24">
        <v>0.0</v>
      </c>
    </row>
    <row r="4423">
      <c r="A4423" s="24">
        <v>423.0</v>
      </c>
      <c r="B4423" s="24">
        <v>5.0</v>
      </c>
      <c r="C4423" s="44">
        <v>7.77</v>
      </c>
      <c r="D4423" s="46">
        <v>45171.0</v>
      </c>
      <c r="E4423" s="24">
        <v>1.55</v>
      </c>
      <c r="F4423" s="24">
        <v>18.37</v>
      </c>
      <c r="G4423" s="24">
        <v>1.18</v>
      </c>
      <c r="H4423" s="24" t="s">
        <v>6689</v>
      </c>
      <c r="I4423" s="24">
        <v>7.77</v>
      </c>
      <c r="J4423" s="24">
        <v>0.0</v>
      </c>
    </row>
    <row r="4424">
      <c r="A4424" s="24">
        <v>554.0</v>
      </c>
      <c r="B4424" s="24">
        <v>2.0</v>
      </c>
      <c r="C4424" s="44">
        <v>8.54</v>
      </c>
      <c r="D4424" s="46">
        <v>45172.0</v>
      </c>
      <c r="E4424" s="24">
        <v>4.27</v>
      </c>
      <c r="F4424" s="24">
        <v>15.42</v>
      </c>
      <c r="G4424" s="24">
        <v>0.36</v>
      </c>
      <c r="H4424" s="24" t="s">
        <v>6688</v>
      </c>
      <c r="I4424" s="24">
        <v>8.54</v>
      </c>
      <c r="J4424" s="24">
        <v>0.0</v>
      </c>
    </row>
    <row r="4425">
      <c r="A4425" s="24">
        <v>1.0</v>
      </c>
      <c r="B4425" s="24">
        <v>3.0</v>
      </c>
      <c r="C4425" s="44">
        <v>0.75</v>
      </c>
      <c r="D4425" s="46">
        <v>45172.0</v>
      </c>
      <c r="E4425" s="24">
        <v>0.25</v>
      </c>
      <c r="F4425" s="24">
        <v>750.0</v>
      </c>
      <c r="G4425" s="24">
        <v>300.0</v>
      </c>
      <c r="H4425" s="24" t="s">
        <v>6702</v>
      </c>
      <c r="I4425" s="24" t="s">
        <v>6650</v>
      </c>
      <c r="J4425" s="24">
        <v>0.0</v>
      </c>
    </row>
    <row r="4426">
      <c r="A4426" s="24">
        <v>40.0</v>
      </c>
      <c r="B4426" s="24">
        <v>0.0</v>
      </c>
      <c r="C4426" s="44">
        <v>4.55</v>
      </c>
      <c r="D4426" s="46">
        <v>45172.0</v>
      </c>
      <c r="E4426" s="24" t="s">
        <v>6650</v>
      </c>
      <c r="F4426" s="24">
        <v>113.75</v>
      </c>
      <c r="G4426" s="24">
        <v>0.0</v>
      </c>
      <c r="H4426" s="24" t="s">
        <v>6680</v>
      </c>
      <c r="I4426" s="24" t="s">
        <v>6650</v>
      </c>
      <c r="J4426" s="24">
        <v>0.0</v>
      </c>
    </row>
    <row r="4427">
      <c r="A4427" s="24">
        <v>18.0</v>
      </c>
      <c r="B4427" s="24">
        <v>0.0</v>
      </c>
      <c r="C4427" s="44">
        <v>1.33</v>
      </c>
      <c r="D4427" s="46">
        <v>45172.0</v>
      </c>
      <c r="E4427" s="24" t="s">
        <v>6650</v>
      </c>
      <c r="F4427" s="24">
        <v>73.89</v>
      </c>
      <c r="G4427" s="24">
        <v>0.0</v>
      </c>
      <c r="H4427" s="24" t="s">
        <v>6701</v>
      </c>
      <c r="I4427" s="24" t="s">
        <v>6650</v>
      </c>
      <c r="J4427" s="24">
        <v>0.0</v>
      </c>
    </row>
    <row r="4428">
      <c r="A4428" s="24">
        <v>28.0</v>
      </c>
      <c r="B4428" s="24">
        <v>0.0</v>
      </c>
      <c r="C4428" s="44">
        <v>3.53</v>
      </c>
      <c r="D4428" s="46">
        <v>45172.0</v>
      </c>
      <c r="E4428" s="24" t="s">
        <v>6650</v>
      </c>
      <c r="F4428" s="24">
        <v>126.07</v>
      </c>
      <c r="G4428" s="24">
        <v>0.0</v>
      </c>
      <c r="H4428" s="24" t="s">
        <v>6699</v>
      </c>
      <c r="I4428" s="24" t="s">
        <v>6650</v>
      </c>
      <c r="J4428" s="24">
        <v>0.0</v>
      </c>
    </row>
    <row r="4429">
      <c r="A4429" s="24">
        <v>14.0</v>
      </c>
      <c r="B4429" s="24">
        <v>0.0</v>
      </c>
      <c r="C4429" s="44">
        <v>4.11</v>
      </c>
      <c r="D4429" s="46">
        <v>45172.0</v>
      </c>
      <c r="E4429" s="24" t="s">
        <v>6650</v>
      </c>
      <c r="F4429" s="24">
        <v>293.57</v>
      </c>
      <c r="G4429" s="24">
        <v>0.0</v>
      </c>
      <c r="H4429" s="24" t="s">
        <v>6697</v>
      </c>
      <c r="I4429" s="24" t="s">
        <v>6650</v>
      </c>
      <c r="J4429" s="24">
        <v>0.0</v>
      </c>
    </row>
    <row r="4430">
      <c r="A4430" s="24">
        <v>131.0</v>
      </c>
      <c r="B4430" s="24">
        <v>0.0</v>
      </c>
      <c r="C4430" s="44">
        <v>3.61</v>
      </c>
      <c r="D4430" s="46">
        <v>45172.0</v>
      </c>
      <c r="E4430" s="24" t="s">
        <v>6650</v>
      </c>
      <c r="F4430" s="24">
        <v>27.56</v>
      </c>
      <c r="G4430" s="24">
        <v>0.0</v>
      </c>
      <c r="H4430" s="24" t="s">
        <v>6700</v>
      </c>
      <c r="I4430" s="24" t="s">
        <v>6650</v>
      </c>
      <c r="J4430" s="24">
        <v>0.0</v>
      </c>
    </row>
    <row r="4431">
      <c r="A4431" s="24">
        <v>493.0</v>
      </c>
      <c r="B4431" s="24">
        <v>2.0</v>
      </c>
      <c r="C4431" s="44">
        <v>7.0</v>
      </c>
      <c r="D4431" s="46">
        <v>45172.0</v>
      </c>
      <c r="E4431" s="24">
        <v>3.5</v>
      </c>
      <c r="F4431" s="24">
        <v>14.2</v>
      </c>
      <c r="G4431" s="24">
        <v>0.41</v>
      </c>
      <c r="H4431" s="24" t="s">
        <v>6689</v>
      </c>
      <c r="I4431" s="24">
        <v>7.0</v>
      </c>
      <c r="J4431" s="24">
        <v>0.0</v>
      </c>
    </row>
    <row r="4432">
      <c r="A4432" s="24">
        <v>312.0</v>
      </c>
      <c r="B4432" s="24">
        <v>2.0</v>
      </c>
      <c r="C4432" s="44">
        <v>2.64</v>
      </c>
      <c r="D4432" s="46">
        <v>45172.0</v>
      </c>
      <c r="E4432" s="24">
        <v>1.32</v>
      </c>
      <c r="F4432" s="24">
        <v>8.46</v>
      </c>
      <c r="G4432" s="24">
        <v>0.64</v>
      </c>
      <c r="H4432" s="24" t="s">
        <v>6698</v>
      </c>
      <c r="I4432" s="24" t="s">
        <v>6650</v>
      </c>
      <c r="J4432" s="24">
        <v>0.0</v>
      </c>
    </row>
    <row r="4433">
      <c r="A4433" s="24">
        <v>45.0</v>
      </c>
      <c r="B4433" s="24">
        <v>0.0</v>
      </c>
      <c r="C4433" s="44">
        <v>3.34</v>
      </c>
      <c r="D4433" s="46">
        <v>45172.0</v>
      </c>
      <c r="E4433" s="24" t="s">
        <v>6650</v>
      </c>
      <c r="F4433" s="24">
        <v>74.22</v>
      </c>
      <c r="G4433" s="24">
        <v>0.0</v>
      </c>
      <c r="H4433" s="24" t="s">
        <v>6696</v>
      </c>
      <c r="I4433" s="24" t="s">
        <v>6650</v>
      </c>
      <c r="J4433" s="24">
        <v>0.0</v>
      </c>
    </row>
    <row r="4434">
      <c r="A4434" s="24">
        <v>14.0</v>
      </c>
      <c r="B4434" s="24">
        <v>0.0</v>
      </c>
      <c r="C4434" s="44">
        <v>1.81</v>
      </c>
      <c r="D4434" s="46">
        <v>45172.0</v>
      </c>
      <c r="E4434" s="24" t="s">
        <v>6650</v>
      </c>
      <c r="F4434" s="24">
        <v>129.29</v>
      </c>
      <c r="G4434" s="24">
        <v>0.0</v>
      </c>
      <c r="H4434" s="24" t="s">
        <v>6695</v>
      </c>
      <c r="I4434" s="24" t="s">
        <v>6650</v>
      </c>
      <c r="J4434" s="24">
        <v>0.0</v>
      </c>
    </row>
    <row r="4435">
      <c r="A4435" s="24">
        <v>190.0</v>
      </c>
      <c r="B4435" s="24">
        <v>1.0</v>
      </c>
      <c r="C4435" s="44">
        <v>13.49</v>
      </c>
      <c r="D4435" s="46">
        <v>45173.0</v>
      </c>
      <c r="E4435" s="24">
        <v>13.49</v>
      </c>
      <c r="F4435" s="24">
        <v>71.0</v>
      </c>
      <c r="G4435" s="24">
        <v>0.53</v>
      </c>
      <c r="H4435" s="24" t="s">
        <v>6680</v>
      </c>
      <c r="I4435" s="24">
        <v>13.49</v>
      </c>
      <c r="J4435" s="24">
        <v>0.0</v>
      </c>
    </row>
    <row r="4436">
      <c r="A4436" s="24">
        <v>76.0</v>
      </c>
      <c r="B4436" s="24">
        <v>0.0</v>
      </c>
      <c r="C4436" s="44">
        <v>11.7</v>
      </c>
      <c r="D4436" s="46">
        <v>45173.0</v>
      </c>
      <c r="E4436" s="24" t="s">
        <v>6650</v>
      </c>
      <c r="F4436" s="24">
        <v>153.95</v>
      </c>
      <c r="G4436" s="24">
        <v>0.0</v>
      </c>
      <c r="H4436" s="24" t="s">
        <v>6696</v>
      </c>
      <c r="I4436" s="24" t="s">
        <v>6650</v>
      </c>
      <c r="J4436" s="24">
        <v>0.0</v>
      </c>
    </row>
    <row r="4437">
      <c r="A4437" s="24">
        <v>151.0</v>
      </c>
      <c r="B4437" s="24">
        <v>2.0</v>
      </c>
      <c r="C4437" s="44">
        <v>12.73</v>
      </c>
      <c r="D4437" s="46">
        <v>45173.0</v>
      </c>
      <c r="E4437" s="24">
        <v>6.36</v>
      </c>
      <c r="F4437" s="24">
        <v>84.3</v>
      </c>
      <c r="G4437" s="24">
        <v>1.32</v>
      </c>
      <c r="H4437" s="24" t="s">
        <v>6692</v>
      </c>
      <c r="I4437" s="24" t="s">
        <v>6650</v>
      </c>
      <c r="J4437" s="24">
        <v>0.0</v>
      </c>
    </row>
    <row r="4438">
      <c r="A4438" s="24">
        <v>639.0</v>
      </c>
      <c r="B4438" s="24">
        <v>10.0</v>
      </c>
      <c r="C4438" s="44">
        <v>10.92</v>
      </c>
      <c r="D4438" s="46">
        <v>45173.0</v>
      </c>
      <c r="E4438" s="24">
        <v>1.09</v>
      </c>
      <c r="F4438" s="24">
        <v>17.09</v>
      </c>
      <c r="G4438" s="24">
        <v>1.56</v>
      </c>
      <c r="H4438" s="24" t="s">
        <v>6689</v>
      </c>
      <c r="I4438" s="24" t="s">
        <v>6650</v>
      </c>
      <c r="J4438" s="24">
        <v>0.0</v>
      </c>
    </row>
    <row r="4439">
      <c r="A4439" s="24">
        <v>643.0</v>
      </c>
      <c r="B4439" s="24">
        <v>6.0</v>
      </c>
      <c r="C4439" s="44">
        <v>8.73</v>
      </c>
      <c r="D4439" s="46">
        <v>45173.0</v>
      </c>
      <c r="E4439" s="24">
        <v>1.46</v>
      </c>
      <c r="F4439" s="24">
        <v>13.58</v>
      </c>
      <c r="G4439" s="24">
        <v>0.93</v>
      </c>
      <c r="H4439" s="24" t="s">
        <v>6688</v>
      </c>
      <c r="I4439" s="24" t="s">
        <v>6650</v>
      </c>
      <c r="J4439" s="24">
        <v>0.0</v>
      </c>
    </row>
    <row r="4440">
      <c r="A4440" s="24">
        <v>8.0</v>
      </c>
      <c r="B4440" s="24">
        <v>4.0</v>
      </c>
      <c r="C4440" s="44">
        <v>6.0</v>
      </c>
      <c r="D4440" s="46">
        <v>45173.0</v>
      </c>
      <c r="E4440" s="24">
        <v>1.5</v>
      </c>
      <c r="F4440" s="24">
        <v>750.0</v>
      </c>
      <c r="G4440" s="24">
        <v>50.0</v>
      </c>
      <c r="H4440" s="24" t="s">
        <v>6702</v>
      </c>
      <c r="I4440" s="24" t="s">
        <v>6650</v>
      </c>
      <c r="J4440" s="24">
        <v>0.0</v>
      </c>
    </row>
    <row r="4441">
      <c r="A4441" s="24">
        <v>52.0</v>
      </c>
      <c r="B4441" s="24">
        <v>1.0</v>
      </c>
      <c r="C4441" s="44">
        <v>12.81</v>
      </c>
      <c r="D4441" s="46">
        <v>45173.0</v>
      </c>
      <c r="E4441" s="24">
        <v>12.81</v>
      </c>
      <c r="F4441" s="24">
        <v>246.35</v>
      </c>
      <c r="G4441" s="24">
        <v>1.92</v>
      </c>
      <c r="H4441" s="24" t="s">
        <v>6699</v>
      </c>
      <c r="I4441" s="24" t="s">
        <v>6650</v>
      </c>
      <c r="J4441" s="24">
        <v>0.0</v>
      </c>
    </row>
    <row r="4442">
      <c r="A4442" s="24">
        <v>68.0</v>
      </c>
      <c r="B4442" s="24">
        <v>0.0</v>
      </c>
      <c r="C4442" s="44">
        <v>12.46</v>
      </c>
      <c r="D4442" s="46">
        <v>45173.0</v>
      </c>
      <c r="E4442" s="24" t="s">
        <v>6650</v>
      </c>
      <c r="F4442" s="24">
        <v>183.24</v>
      </c>
      <c r="G4442" s="24">
        <v>0.0</v>
      </c>
      <c r="H4442" s="24" t="s">
        <v>6701</v>
      </c>
      <c r="I4442" s="24" t="s">
        <v>6650</v>
      </c>
      <c r="J4442" s="24">
        <v>0.0</v>
      </c>
    </row>
    <row r="4443">
      <c r="A4443" s="24">
        <v>131.0</v>
      </c>
      <c r="B4443" s="24">
        <v>1.0</v>
      </c>
      <c r="C4443" s="44">
        <v>12.03</v>
      </c>
      <c r="D4443" s="46">
        <v>45173.0</v>
      </c>
      <c r="E4443" s="24">
        <v>12.03</v>
      </c>
      <c r="F4443" s="24">
        <v>91.83</v>
      </c>
      <c r="G4443" s="24">
        <v>0.76</v>
      </c>
      <c r="H4443" s="24" t="s">
        <v>6700</v>
      </c>
      <c r="I4443" s="24">
        <v>12.03</v>
      </c>
      <c r="J4443" s="24">
        <v>0.0</v>
      </c>
    </row>
    <row r="4444">
      <c r="A4444" s="24">
        <v>347.0</v>
      </c>
      <c r="B4444" s="24">
        <v>2.0</v>
      </c>
      <c r="C4444" s="44">
        <v>12.03</v>
      </c>
      <c r="D4444" s="46">
        <v>45173.0</v>
      </c>
      <c r="E4444" s="24">
        <v>6.02</v>
      </c>
      <c r="F4444" s="24">
        <v>34.67</v>
      </c>
      <c r="G4444" s="24">
        <v>0.58</v>
      </c>
      <c r="H4444" s="24" t="s">
        <v>6698</v>
      </c>
      <c r="I4444" s="24">
        <v>12.03</v>
      </c>
      <c r="J4444" s="24">
        <v>0.0</v>
      </c>
    </row>
    <row r="4445">
      <c r="A4445" s="24">
        <v>57.0</v>
      </c>
      <c r="B4445" s="24">
        <v>1.0</v>
      </c>
      <c r="C4445" s="44">
        <v>12.5</v>
      </c>
      <c r="D4445" s="46">
        <v>45173.0</v>
      </c>
      <c r="E4445" s="24">
        <v>12.5</v>
      </c>
      <c r="F4445" s="24">
        <v>219.3</v>
      </c>
      <c r="G4445" s="24">
        <v>1.75</v>
      </c>
      <c r="H4445" s="24" t="s">
        <v>6695</v>
      </c>
      <c r="I4445" s="24" t="s">
        <v>6650</v>
      </c>
      <c r="J4445" s="24">
        <v>1.0</v>
      </c>
    </row>
    <row r="4446">
      <c r="A4446" s="24">
        <v>36.0</v>
      </c>
      <c r="B4446" s="24">
        <v>0.0</v>
      </c>
      <c r="C4446" s="44">
        <v>11.73</v>
      </c>
      <c r="D4446" s="46">
        <v>45173.0</v>
      </c>
      <c r="E4446" s="24" t="s">
        <v>6650</v>
      </c>
      <c r="F4446" s="24">
        <v>325.83</v>
      </c>
      <c r="G4446" s="24">
        <v>0.0</v>
      </c>
      <c r="H4446" s="24" t="s">
        <v>6697</v>
      </c>
      <c r="I4446" s="24" t="s">
        <v>6650</v>
      </c>
      <c r="J4446" s="24">
        <v>0.0</v>
      </c>
    </row>
    <row r="4447">
      <c r="A4447" s="24">
        <v>584.0</v>
      </c>
      <c r="B4447" s="24">
        <v>5.0</v>
      </c>
      <c r="C4447" s="44">
        <v>11.9</v>
      </c>
      <c r="D4447" s="46">
        <v>45174.0</v>
      </c>
      <c r="E4447" s="24">
        <v>2.38</v>
      </c>
      <c r="F4447" s="24">
        <v>20.38</v>
      </c>
      <c r="G4447" s="24">
        <v>0.86</v>
      </c>
      <c r="H4447" s="24" t="s">
        <v>6688</v>
      </c>
      <c r="I4447" s="24" t="s">
        <v>6650</v>
      </c>
      <c r="J4447" s="24">
        <v>0.0</v>
      </c>
    </row>
    <row r="4448">
      <c r="A4448" s="24">
        <v>209.0</v>
      </c>
      <c r="B4448" s="24">
        <v>2.0</v>
      </c>
      <c r="C4448" s="44">
        <v>13.41</v>
      </c>
      <c r="D4448" s="46">
        <v>45174.0</v>
      </c>
      <c r="E4448" s="24">
        <v>6.7</v>
      </c>
      <c r="F4448" s="24">
        <v>64.16</v>
      </c>
      <c r="G4448" s="24">
        <v>0.96</v>
      </c>
      <c r="H4448" s="24" t="s">
        <v>6680</v>
      </c>
      <c r="I4448" s="24">
        <v>13.41</v>
      </c>
      <c r="J4448" s="24">
        <v>0.0</v>
      </c>
    </row>
    <row r="4449">
      <c r="A4449" s="24">
        <v>43.0</v>
      </c>
      <c r="B4449" s="24">
        <v>0.0</v>
      </c>
      <c r="C4449" s="44">
        <v>13.49</v>
      </c>
      <c r="D4449" s="46">
        <v>45174.0</v>
      </c>
      <c r="E4449" s="24" t="s">
        <v>6650</v>
      </c>
      <c r="F4449" s="24">
        <v>313.72</v>
      </c>
      <c r="G4449" s="24">
        <v>0.0</v>
      </c>
      <c r="H4449" s="24" t="s">
        <v>6699</v>
      </c>
      <c r="I4449" s="24" t="s">
        <v>6650</v>
      </c>
      <c r="J4449" s="24">
        <v>0.0</v>
      </c>
    </row>
    <row r="4450">
      <c r="A4450" s="24">
        <v>30.0</v>
      </c>
      <c r="B4450" s="24">
        <v>0.0</v>
      </c>
      <c r="C4450" s="44">
        <v>14.01</v>
      </c>
      <c r="D4450" s="46">
        <v>45174.0</v>
      </c>
      <c r="E4450" s="24" t="s">
        <v>6650</v>
      </c>
      <c r="F4450" s="24">
        <v>467.0</v>
      </c>
      <c r="G4450" s="24">
        <v>0.0</v>
      </c>
      <c r="H4450" s="24" t="s">
        <v>6697</v>
      </c>
      <c r="I4450" s="24" t="s">
        <v>6650</v>
      </c>
      <c r="J4450" s="24">
        <v>0.0</v>
      </c>
    </row>
    <row r="4451">
      <c r="A4451" s="24">
        <v>783.0</v>
      </c>
      <c r="B4451" s="24">
        <v>5.0</v>
      </c>
      <c r="C4451" s="44">
        <v>12.67</v>
      </c>
      <c r="D4451" s="46">
        <v>45174.0</v>
      </c>
      <c r="E4451" s="24">
        <v>2.53</v>
      </c>
      <c r="F4451" s="24">
        <v>16.18</v>
      </c>
      <c r="G4451" s="24">
        <v>0.64</v>
      </c>
      <c r="H4451" s="24" t="s">
        <v>6689</v>
      </c>
      <c r="I4451" s="24" t="s">
        <v>6650</v>
      </c>
      <c r="J4451" s="24">
        <v>0.0</v>
      </c>
    </row>
    <row r="4452">
      <c r="A4452" s="24">
        <v>63.0</v>
      </c>
      <c r="B4452" s="24">
        <v>0.0</v>
      </c>
      <c r="C4452" s="44">
        <v>11.57</v>
      </c>
      <c r="D4452" s="46">
        <v>45174.0</v>
      </c>
      <c r="E4452" s="24" t="s">
        <v>6650</v>
      </c>
      <c r="F4452" s="24">
        <v>183.65</v>
      </c>
      <c r="G4452" s="24">
        <v>0.0</v>
      </c>
      <c r="H4452" s="24" t="s">
        <v>6692</v>
      </c>
      <c r="I4452" s="24" t="s">
        <v>6650</v>
      </c>
      <c r="J4452" s="24">
        <v>0.0</v>
      </c>
    </row>
    <row r="4453">
      <c r="A4453" s="24">
        <v>4.0</v>
      </c>
      <c r="B4453" s="24">
        <v>2.0</v>
      </c>
      <c r="C4453" s="44">
        <v>3.0</v>
      </c>
      <c r="D4453" s="46">
        <v>45174.0</v>
      </c>
      <c r="E4453" s="24">
        <v>1.5</v>
      </c>
      <c r="F4453" s="24">
        <v>750.0</v>
      </c>
      <c r="G4453" s="24">
        <v>50.0</v>
      </c>
      <c r="H4453" s="24" t="s">
        <v>6702</v>
      </c>
      <c r="I4453" s="24" t="s">
        <v>6650</v>
      </c>
      <c r="J4453" s="24">
        <v>0.0</v>
      </c>
    </row>
    <row r="4454">
      <c r="A4454" s="24">
        <v>61.0</v>
      </c>
      <c r="B4454" s="24">
        <v>1.0</v>
      </c>
      <c r="C4454" s="44">
        <v>12.27</v>
      </c>
      <c r="D4454" s="46">
        <v>45174.0</v>
      </c>
      <c r="E4454" s="24">
        <v>12.27</v>
      </c>
      <c r="F4454" s="24">
        <v>201.15</v>
      </c>
      <c r="G4454" s="24">
        <v>1.64</v>
      </c>
      <c r="H4454" s="24" t="s">
        <v>6696</v>
      </c>
      <c r="I4454" s="24" t="s">
        <v>6650</v>
      </c>
      <c r="J4454" s="24">
        <v>0.0</v>
      </c>
    </row>
    <row r="4455">
      <c r="A4455" s="24">
        <v>273.0</v>
      </c>
      <c r="B4455" s="24">
        <v>0.0</v>
      </c>
      <c r="C4455" s="44">
        <v>11.83</v>
      </c>
      <c r="D4455" s="46">
        <v>45174.0</v>
      </c>
      <c r="E4455" s="24" t="s">
        <v>6650</v>
      </c>
      <c r="F4455" s="24">
        <v>43.33</v>
      </c>
      <c r="G4455" s="24">
        <v>0.0</v>
      </c>
      <c r="H4455" s="24" t="s">
        <v>6700</v>
      </c>
      <c r="I4455" s="24" t="s">
        <v>6650</v>
      </c>
      <c r="J4455" s="24">
        <v>0.0</v>
      </c>
    </row>
    <row r="4456">
      <c r="A4456" s="24">
        <v>35.0</v>
      </c>
      <c r="B4456" s="24">
        <v>1.0</v>
      </c>
      <c r="C4456" s="44">
        <v>12.71</v>
      </c>
      <c r="D4456" s="46">
        <v>45174.0</v>
      </c>
      <c r="E4456" s="24">
        <v>12.71</v>
      </c>
      <c r="F4456" s="24">
        <v>363.14</v>
      </c>
      <c r="G4456" s="24">
        <v>2.86</v>
      </c>
      <c r="H4456" s="24" t="s">
        <v>6701</v>
      </c>
      <c r="I4456" s="24" t="s">
        <v>6650</v>
      </c>
      <c r="J4456" s="24">
        <v>0.0</v>
      </c>
    </row>
    <row r="4457">
      <c r="A4457" s="24">
        <v>26.0</v>
      </c>
      <c r="B4457" s="24">
        <v>0.0</v>
      </c>
      <c r="C4457" s="44">
        <v>15.0</v>
      </c>
      <c r="D4457" s="46">
        <v>45174.0</v>
      </c>
      <c r="E4457" s="24" t="s">
        <v>6650</v>
      </c>
      <c r="F4457" s="24">
        <v>576.92</v>
      </c>
      <c r="G4457" s="24">
        <v>0.0</v>
      </c>
      <c r="H4457" s="24" t="s">
        <v>6695</v>
      </c>
      <c r="I4457" s="24" t="s">
        <v>6650</v>
      </c>
      <c r="J4457" s="24">
        <v>0.0</v>
      </c>
    </row>
    <row r="4458">
      <c r="A4458" s="24">
        <v>196.0</v>
      </c>
      <c r="B4458" s="24">
        <v>2.0</v>
      </c>
      <c r="C4458" s="44">
        <v>12.47</v>
      </c>
      <c r="D4458" s="46">
        <v>45174.0</v>
      </c>
      <c r="E4458" s="24">
        <v>6.24</v>
      </c>
      <c r="F4458" s="24">
        <v>63.62</v>
      </c>
      <c r="G4458" s="24">
        <v>1.02</v>
      </c>
      <c r="H4458" s="24" t="s">
        <v>6698</v>
      </c>
      <c r="I4458" s="24" t="s">
        <v>6650</v>
      </c>
      <c r="J4458" s="24">
        <v>0.0</v>
      </c>
    </row>
    <row r="4459">
      <c r="A4459" s="24">
        <v>32.0</v>
      </c>
      <c r="B4459" s="24">
        <v>0.0</v>
      </c>
      <c r="C4459" s="44">
        <v>12.23</v>
      </c>
      <c r="D4459" s="46">
        <v>45175.0</v>
      </c>
      <c r="E4459" s="24" t="s">
        <v>6650</v>
      </c>
      <c r="F4459" s="24">
        <v>382.19</v>
      </c>
      <c r="G4459" s="24">
        <v>0.0</v>
      </c>
      <c r="H4459" s="24" t="s">
        <v>6695</v>
      </c>
      <c r="I4459" s="24" t="s">
        <v>6650</v>
      </c>
      <c r="J4459" s="24">
        <v>0.0</v>
      </c>
    </row>
    <row r="4460">
      <c r="A4460" s="24">
        <v>290.0</v>
      </c>
      <c r="B4460" s="24">
        <v>4.0</v>
      </c>
      <c r="C4460" s="44">
        <v>11.39</v>
      </c>
      <c r="D4460" s="46">
        <v>45175.0</v>
      </c>
      <c r="E4460" s="24">
        <v>2.85</v>
      </c>
      <c r="F4460" s="24">
        <v>39.28</v>
      </c>
      <c r="G4460" s="24">
        <v>1.38</v>
      </c>
      <c r="H4460" s="24" t="s">
        <v>6698</v>
      </c>
      <c r="I4460" s="24">
        <v>5.7</v>
      </c>
      <c r="J4460" s="24">
        <v>0.0</v>
      </c>
    </row>
    <row r="4461">
      <c r="A4461" s="24">
        <v>20.0</v>
      </c>
      <c r="B4461" s="24">
        <v>0.0</v>
      </c>
      <c r="C4461" s="44">
        <v>12.24</v>
      </c>
      <c r="D4461" s="46">
        <v>45175.0</v>
      </c>
      <c r="E4461" s="24" t="s">
        <v>6650</v>
      </c>
      <c r="F4461" s="24">
        <v>612.0</v>
      </c>
      <c r="G4461" s="24">
        <v>0.0</v>
      </c>
      <c r="H4461" s="24" t="s">
        <v>6697</v>
      </c>
      <c r="I4461" s="24" t="s">
        <v>6650</v>
      </c>
      <c r="J4461" s="24">
        <v>0.0</v>
      </c>
    </row>
    <row r="4462">
      <c r="A4462" s="24">
        <v>939.0</v>
      </c>
      <c r="B4462" s="24">
        <v>6.0</v>
      </c>
      <c r="C4462" s="44">
        <v>12.63</v>
      </c>
      <c r="D4462" s="46">
        <v>45175.0</v>
      </c>
      <c r="E4462" s="24">
        <v>2.1</v>
      </c>
      <c r="F4462" s="24">
        <v>13.45</v>
      </c>
      <c r="G4462" s="24">
        <v>0.64</v>
      </c>
      <c r="H4462" s="24" t="s">
        <v>6688</v>
      </c>
      <c r="I4462" s="24">
        <v>12.63</v>
      </c>
      <c r="J4462" s="24">
        <v>0.0</v>
      </c>
    </row>
    <row r="4463">
      <c r="A4463" s="24">
        <v>74.0</v>
      </c>
      <c r="B4463" s="24">
        <v>1.0</v>
      </c>
      <c r="C4463" s="44">
        <v>12.03</v>
      </c>
      <c r="D4463" s="46">
        <v>45175.0</v>
      </c>
      <c r="E4463" s="24">
        <v>12.03</v>
      </c>
      <c r="F4463" s="24">
        <v>162.57</v>
      </c>
      <c r="G4463" s="24">
        <v>1.35</v>
      </c>
      <c r="H4463" s="24" t="s">
        <v>6696</v>
      </c>
      <c r="I4463" s="24" t="s">
        <v>6650</v>
      </c>
      <c r="J4463" s="24">
        <v>0.0</v>
      </c>
    </row>
    <row r="4464">
      <c r="A4464" s="24">
        <v>693.0</v>
      </c>
      <c r="B4464" s="24">
        <v>7.0</v>
      </c>
      <c r="C4464" s="44">
        <v>12.03</v>
      </c>
      <c r="D4464" s="46">
        <v>45175.0</v>
      </c>
      <c r="E4464" s="24">
        <v>1.72</v>
      </c>
      <c r="F4464" s="24">
        <v>17.36</v>
      </c>
      <c r="G4464" s="24">
        <v>1.01</v>
      </c>
      <c r="H4464" s="24" t="s">
        <v>6689</v>
      </c>
      <c r="I4464" s="24" t="s">
        <v>6650</v>
      </c>
      <c r="J4464" s="24">
        <v>0.0</v>
      </c>
    </row>
    <row r="4465">
      <c r="A4465" s="24">
        <v>48.0</v>
      </c>
      <c r="B4465" s="24">
        <v>0.0</v>
      </c>
      <c r="C4465" s="44">
        <v>13.92</v>
      </c>
      <c r="D4465" s="46">
        <v>45175.0</v>
      </c>
      <c r="E4465" s="24" t="s">
        <v>6650</v>
      </c>
      <c r="F4465" s="24">
        <v>290.0</v>
      </c>
      <c r="G4465" s="24">
        <v>0.0</v>
      </c>
      <c r="H4465" s="24" t="s">
        <v>6701</v>
      </c>
      <c r="I4465" s="24">
        <v>13.92</v>
      </c>
      <c r="J4465" s="24">
        <v>0.0</v>
      </c>
    </row>
    <row r="4466">
      <c r="A4466" s="24">
        <v>89.0</v>
      </c>
      <c r="B4466" s="24">
        <v>0.0</v>
      </c>
      <c r="C4466" s="44">
        <v>11.98</v>
      </c>
      <c r="D4466" s="46">
        <v>45175.0</v>
      </c>
      <c r="E4466" s="24" t="s">
        <v>6650</v>
      </c>
      <c r="F4466" s="24">
        <v>134.61</v>
      </c>
      <c r="G4466" s="24">
        <v>0.0</v>
      </c>
      <c r="H4466" s="24" t="s">
        <v>6692</v>
      </c>
      <c r="I4466" s="24">
        <v>11.98</v>
      </c>
      <c r="J4466" s="24">
        <v>0.0</v>
      </c>
    </row>
    <row r="4467">
      <c r="A4467" s="24">
        <v>150.0</v>
      </c>
      <c r="B4467" s="24">
        <v>0.0</v>
      </c>
      <c r="C4467" s="44">
        <v>13.66</v>
      </c>
      <c r="D4467" s="46">
        <v>45175.0</v>
      </c>
      <c r="E4467" s="24" t="s">
        <v>6650</v>
      </c>
      <c r="F4467" s="24">
        <v>91.07</v>
      </c>
      <c r="G4467" s="24">
        <v>0.0</v>
      </c>
      <c r="H4467" s="24" t="s">
        <v>6680</v>
      </c>
      <c r="I4467" s="24" t="s">
        <v>6650</v>
      </c>
      <c r="J4467" s="24">
        <v>0.0</v>
      </c>
    </row>
    <row r="4468">
      <c r="A4468" s="24">
        <v>169.0</v>
      </c>
      <c r="B4468" s="24">
        <v>0.0</v>
      </c>
      <c r="C4468" s="44">
        <v>11.43</v>
      </c>
      <c r="D4468" s="46">
        <v>45175.0</v>
      </c>
      <c r="E4468" s="24" t="s">
        <v>6650</v>
      </c>
      <c r="F4468" s="24">
        <v>67.63</v>
      </c>
      <c r="G4468" s="24">
        <v>0.0</v>
      </c>
      <c r="H4468" s="24" t="s">
        <v>6700</v>
      </c>
      <c r="I4468" s="24">
        <v>11.43</v>
      </c>
      <c r="J4468" s="24">
        <v>0.0</v>
      </c>
    </row>
    <row r="4469">
      <c r="A4469" s="24">
        <v>1.0</v>
      </c>
      <c r="B4469" s="24">
        <v>3.0</v>
      </c>
      <c r="C4469" s="44">
        <v>0.75</v>
      </c>
      <c r="D4469" s="46">
        <v>45175.0</v>
      </c>
      <c r="E4469" s="24">
        <v>0.25</v>
      </c>
      <c r="F4469" s="24">
        <v>750.0</v>
      </c>
      <c r="G4469" s="24">
        <v>300.0</v>
      </c>
      <c r="H4469" s="24" t="s">
        <v>6702</v>
      </c>
      <c r="I4469" s="24" t="s">
        <v>6650</v>
      </c>
      <c r="J4469" s="24">
        <v>0.0</v>
      </c>
    </row>
    <row r="4470">
      <c r="A4470" s="24">
        <v>89.0</v>
      </c>
      <c r="B4470" s="24">
        <v>1.0</v>
      </c>
      <c r="C4470" s="44">
        <v>12.58</v>
      </c>
      <c r="D4470" s="46">
        <v>45175.0</v>
      </c>
      <c r="E4470" s="24">
        <v>12.58</v>
      </c>
      <c r="F4470" s="24">
        <v>141.35</v>
      </c>
      <c r="G4470" s="24">
        <v>1.12</v>
      </c>
      <c r="H4470" s="24" t="s">
        <v>6699</v>
      </c>
      <c r="I4470" s="24" t="s">
        <v>6650</v>
      </c>
      <c r="J4470" s="24">
        <v>0.0</v>
      </c>
    </row>
    <row r="4471">
      <c r="A4471" s="24">
        <v>109.0</v>
      </c>
      <c r="B4471" s="24">
        <v>0.0</v>
      </c>
      <c r="C4471" s="44">
        <v>11.92</v>
      </c>
      <c r="D4471" s="46">
        <v>45176.0</v>
      </c>
      <c r="E4471" s="24" t="s">
        <v>6650</v>
      </c>
      <c r="F4471" s="24">
        <v>109.36</v>
      </c>
      <c r="G4471" s="24">
        <v>0.0</v>
      </c>
      <c r="H4471" s="24" t="s">
        <v>6700</v>
      </c>
      <c r="I4471" s="24" t="s">
        <v>6650</v>
      </c>
      <c r="J4471" s="24">
        <v>0.0</v>
      </c>
    </row>
    <row r="4472">
      <c r="A4472" s="24">
        <v>38.0</v>
      </c>
      <c r="B4472" s="24">
        <v>2.0</v>
      </c>
      <c r="C4472" s="44">
        <v>11.44</v>
      </c>
      <c r="D4472" s="46">
        <v>45176.0</v>
      </c>
      <c r="E4472" s="24">
        <v>5.72</v>
      </c>
      <c r="F4472" s="24">
        <v>301.05</v>
      </c>
      <c r="G4472" s="24">
        <v>5.26</v>
      </c>
      <c r="H4472" s="24" t="s">
        <v>6695</v>
      </c>
      <c r="I4472" s="24" t="s">
        <v>6650</v>
      </c>
      <c r="J4472" s="24">
        <v>0.0</v>
      </c>
    </row>
    <row r="4473">
      <c r="A4473" s="24">
        <v>105.0</v>
      </c>
      <c r="B4473" s="24">
        <v>0.0</v>
      </c>
      <c r="C4473" s="44">
        <v>11.6</v>
      </c>
      <c r="D4473" s="46">
        <v>45176.0</v>
      </c>
      <c r="E4473" s="24" t="s">
        <v>6650</v>
      </c>
      <c r="F4473" s="24">
        <v>110.48</v>
      </c>
      <c r="G4473" s="24">
        <v>0.0</v>
      </c>
      <c r="H4473" s="24" t="s">
        <v>6692</v>
      </c>
      <c r="I4473" s="24" t="s">
        <v>6650</v>
      </c>
      <c r="J4473" s="24">
        <v>0.0</v>
      </c>
    </row>
    <row r="4474">
      <c r="A4474" s="24">
        <v>149.0</v>
      </c>
      <c r="B4474" s="24">
        <v>1.0</v>
      </c>
      <c r="C4474" s="44">
        <v>13.23</v>
      </c>
      <c r="D4474" s="46">
        <v>45176.0</v>
      </c>
      <c r="E4474" s="24">
        <v>13.23</v>
      </c>
      <c r="F4474" s="24">
        <v>88.79</v>
      </c>
      <c r="G4474" s="24">
        <v>0.67</v>
      </c>
      <c r="H4474" s="24" t="s">
        <v>6680</v>
      </c>
      <c r="I4474" s="24" t="s">
        <v>6650</v>
      </c>
      <c r="J4474" s="24">
        <v>0.0</v>
      </c>
    </row>
    <row r="4475">
      <c r="A4475" s="24">
        <v>1.0</v>
      </c>
      <c r="B4475" s="24">
        <v>1.0</v>
      </c>
      <c r="C4475" s="44">
        <v>0.75</v>
      </c>
      <c r="D4475" s="46">
        <v>45176.0</v>
      </c>
      <c r="E4475" s="24">
        <v>0.75</v>
      </c>
      <c r="F4475" s="24">
        <v>750.0</v>
      </c>
      <c r="G4475" s="24">
        <v>100.0</v>
      </c>
      <c r="H4475" s="24" t="s">
        <v>6702</v>
      </c>
      <c r="I4475" s="24" t="s">
        <v>6650</v>
      </c>
      <c r="J4475" s="24">
        <v>0.0</v>
      </c>
    </row>
    <row r="4476">
      <c r="A4476" s="24">
        <v>74.0</v>
      </c>
      <c r="B4476" s="24">
        <v>2.0</v>
      </c>
      <c r="C4476" s="44">
        <v>11.31</v>
      </c>
      <c r="D4476" s="46">
        <v>45176.0</v>
      </c>
      <c r="E4476" s="24">
        <v>5.66</v>
      </c>
      <c r="F4476" s="24">
        <v>152.84</v>
      </c>
      <c r="G4476" s="24">
        <v>2.7</v>
      </c>
      <c r="H4476" s="24" t="s">
        <v>6699</v>
      </c>
      <c r="I4476" s="24" t="s">
        <v>6650</v>
      </c>
      <c r="J4476" s="24">
        <v>0.0</v>
      </c>
    </row>
    <row r="4477">
      <c r="A4477" s="24">
        <v>921.0</v>
      </c>
      <c r="B4477" s="24">
        <v>6.0</v>
      </c>
      <c r="C4477" s="44">
        <v>11.98</v>
      </c>
      <c r="D4477" s="46">
        <v>45176.0</v>
      </c>
      <c r="E4477" s="24">
        <v>2.0</v>
      </c>
      <c r="F4477" s="24">
        <v>13.01</v>
      </c>
      <c r="G4477" s="24">
        <v>0.65</v>
      </c>
      <c r="H4477" s="24" t="s">
        <v>6688</v>
      </c>
      <c r="I4477" s="24" t="s">
        <v>6650</v>
      </c>
      <c r="J4477" s="24">
        <v>0.0</v>
      </c>
    </row>
    <row r="4478">
      <c r="A4478" s="24">
        <v>766.0</v>
      </c>
      <c r="B4478" s="24">
        <v>6.0</v>
      </c>
      <c r="C4478" s="44">
        <v>12.15</v>
      </c>
      <c r="D4478" s="46">
        <v>45176.0</v>
      </c>
      <c r="E4478" s="24">
        <v>2.02</v>
      </c>
      <c r="F4478" s="24">
        <v>15.86</v>
      </c>
      <c r="G4478" s="24">
        <v>0.78</v>
      </c>
      <c r="H4478" s="24" t="s">
        <v>6689</v>
      </c>
      <c r="I4478" s="24" t="s">
        <v>6650</v>
      </c>
      <c r="J4478" s="24">
        <v>0.0</v>
      </c>
    </row>
    <row r="4479">
      <c r="A4479" s="24">
        <v>406.0</v>
      </c>
      <c r="B4479" s="24">
        <v>5.0</v>
      </c>
      <c r="C4479" s="44">
        <v>11.32</v>
      </c>
      <c r="D4479" s="46">
        <v>45176.0</v>
      </c>
      <c r="E4479" s="24">
        <v>2.26</v>
      </c>
      <c r="F4479" s="24">
        <v>27.88</v>
      </c>
      <c r="G4479" s="24">
        <v>1.23</v>
      </c>
      <c r="H4479" s="24" t="s">
        <v>6698</v>
      </c>
      <c r="I4479" s="24">
        <v>11.32</v>
      </c>
      <c r="J4479" s="24">
        <v>0.0</v>
      </c>
    </row>
    <row r="4480">
      <c r="A4480" s="24">
        <v>59.0</v>
      </c>
      <c r="B4480" s="24">
        <v>0.0</v>
      </c>
      <c r="C4480" s="44">
        <v>12.19</v>
      </c>
      <c r="D4480" s="46">
        <v>45176.0</v>
      </c>
      <c r="E4480" s="24" t="s">
        <v>6650</v>
      </c>
      <c r="F4480" s="24">
        <v>206.61</v>
      </c>
      <c r="G4480" s="24">
        <v>0.0</v>
      </c>
      <c r="H4480" s="24" t="s">
        <v>6696</v>
      </c>
      <c r="I4480" s="24" t="s">
        <v>6650</v>
      </c>
      <c r="J4480" s="24">
        <v>0.0</v>
      </c>
    </row>
    <row r="4481">
      <c r="A4481" s="24">
        <v>37.0</v>
      </c>
      <c r="B4481" s="24">
        <v>0.0</v>
      </c>
      <c r="C4481" s="44">
        <v>11.54</v>
      </c>
      <c r="D4481" s="46">
        <v>45176.0</v>
      </c>
      <c r="E4481" s="24" t="s">
        <v>6650</v>
      </c>
      <c r="F4481" s="24">
        <v>311.89</v>
      </c>
      <c r="G4481" s="24">
        <v>0.0</v>
      </c>
      <c r="H4481" s="24" t="s">
        <v>6701</v>
      </c>
      <c r="I4481" s="24" t="s">
        <v>6650</v>
      </c>
      <c r="J4481" s="24">
        <v>0.0</v>
      </c>
    </row>
    <row r="4482">
      <c r="A4482" s="24">
        <v>30.0</v>
      </c>
      <c r="B4482" s="24">
        <v>0.0</v>
      </c>
      <c r="C4482" s="44">
        <v>12.97</v>
      </c>
      <c r="D4482" s="46">
        <v>45176.0</v>
      </c>
      <c r="E4482" s="24" t="s">
        <v>6650</v>
      </c>
      <c r="F4482" s="24">
        <v>432.33</v>
      </c>
      <c r="G4482" s="24">
        <v>0.0</v>
      </c>
      <c r="H4482" s="24" t="s">
        <v>6697</v>
      </c>
      <c r="I4482" s="24" t="s">
        <v>6650</v>
      </c>
      <c r="J4482" s="24">
        <v>0.0</v>
      </c>
    </row>
    <row r="4483">
      <c r="A4483" s="24">
        <v>189.0</v>
      </c>
      <c r="B4483" s="24">
        <v>0.0</v>
      </c>
      <c r="C4483" s="44">
        <v>11.49</v>
      </c>
      <c r="D4483" s="46">
        <v>45177.0</v>
      </c>
      <c r="E4483" s="24" t="s">
        <v>6650</v>
      </c>
      <c r="F4483" s="24">
        <v>60.79</v>
      </c>
      <c r="G4483" s="24">
        <v>0.0</v>
      </c>
      <c r="H4483" s="24" t="s">
        <v>6680</v>
      </c>
      <c r="I4483" s="24" t="s">
        <v>6650</v>
      </c>
      <c r="J4483" s="24">
        <v>0.0</v>
      </c>
    </row>
    <row r="4484">
      <c r="A4484" s="24">
        <v>1.0</v>
      </c>
      <c r="B4484" s="24">
        <v>2.0</v>
      </c>
      <c r="C4484" s="44">
        <v>0.75</v>
      </c>
      <c r="D4484" s="46">
        <v>45177.0</v>
      </c>
      <c r="E4484" s="24">
        <v>0.38</v>
      </c>
      <c r="F4484" s="24">
        <v>750.0</v>
      </c>
      <c r="G4484" s="24">
        <v>200.0</v>
      </c>
      <c r="H4484" s="24" t="s">
        <v>6702</v>
      </c>
      <c r="I4484" s="24" t="s">
        <v>6650</v>
      </c>
      <c r="J4484" s="24">
        <v>0.0</v>
      </c>
    </row>
    <row r="4485">
      <c r="A4485" s="24">
        <v>714.0</v>
      </c>
      <c r="B4485" s="24">
        <v>7.0</v>
      </c>
      <c r="C4485" s="44">
        <v>11.01</v>
      </c>
      <c r="D4485" s="46">
        <v>45177.0</v>
      </c>
      <c r="E4485" s="24">
        <v>1.57</v>
      </c>
      <c r="F4485" s="24">
        <v>15.42</v>
      </c>
      <c r="G4485" s="24">
        <v>0.98</v>
      </c>
      <c r="H4485" s="24" t="s">
        <v>6688</v>
      </c>
      <c r="I4485" s="24" t="s">
        <v>6650</v>
      </c>
      <c r="J4485" s="24">
        <v>0.0</v>
      </c>
    </row>
    <row r="4486">
      <c r="A4486" s="24">
        <v>19.0</v>
      </c>
      <c r="B4486" s="24">
        <v>2.0</v>
      </c>
      <c r="C4486" s="44">
        <v>12.43</v>
      </c>
      <c r="D4486" s="46">
        <v>45177.0</v>
      </c>
      <c r="E4486" s="24">
        <v>6.22</v>
      </c>
      <c r="F4486" s="24">
        <v>654.21</v>
      </c>
      <c r="G4486" s="24">
        <v>10.53</v>
      </c>
      <c r="H4486" s="24" t="s">
        <v>6695</v>
      </c>
      <c r="I4486" s="24" t="s">
        <v>6650</v>
      </c>
      <c r="J4486" s="24">
        <v>0.0</v>
      </c>
    </row>
    <row r="4487">
      <c r="A4487" s="24">
        <v>180.0</v>
      </c>
      <c r="B4487" s="24">
        <v>5.0</v>
      </c>
      <c r="C4487" s="44">
        <v>10.72</v>
      </c>
      <c r="D4487" s="46">
        <v>45177.0</v>
      </c>
      <c r="E4487" s="24">
        <v>2.14</v>
      </c>
      <c r="F4487" s="24">
        <v>59.56</v>
      </c>
      <c r="G4487" s="24">
        <v>2.78</v>
      </c>
      <c r="H4487" s="24" t="s">
        <v>6700</v>
      </c>
      <c r="I4487" s="24">
        <v>3.57</v>
      </c>
      <c r="J4487" s="24">
        <v>0.0</v>
      </c>
    </row>
    <row r="4488">
      <c r="A4488" s="24">
        <v>69.0</v>
      </c>
      <c r="B4488" s="24">
        <v>1.0</v>
      </c>
      <c r="C4488" s="44">
        <v>10.2</v>
      </c>
      <c r="D4488" s="46">
        <v>45177.0</v>
      </c>
      <c r="E4488" s="24">
        <v>10.2</v>
      </c>
      <c r="F4488" s="24">
        <v>147.83</v>
      </c>
      <c r="G4488" s="24">
        <v>1.45</v>
      </c>
      <c r="H4488" s="24" t="s">
        <v>6699</v>
      </c>
      <c r="I4488" s="24">
        <v>5.1</v>
      </c>
      <c r="J4488" s="24">
        <v>0.0</v>
      </c>
    </row>
    <row r="4489">
      <c r="A4489" s="24">
        <v>678.0</v>
      </c>
      <c r="B4489" s="24">
        <v>4.0</v>
      </c>
      <c r="C4489" s="44">
        <v>10.87</v>
      </c>
      <c r="D4489" s="46">
        <v>45177.0</v>
      </c>
      <c r="E4489" s="24">
        <v>2.72</v>
      </c>
      <c r="F4489" s="24">
        <v>16.03</v>
      </c>
      <c r="G4489" s="24">
        <v>0.59</v>
      </c>
      <c r="H4489" s="24" t="s">
        <v>6689</v>
      </c>
      <c r="I4489" s="24" t="s">
        <v>6650</v>
      </c>
      <c r="J4489" s="24">
        <v>0.0</v>
      </c>
    </row>
    <row r="4490">
      <c r="A4490" s="24">
        <v>38.0</v>
      </c>
      <c r="B4490" s="24">
        <v>0.0</v>
      </c>
      <c r="C4490" s="44">
        <v>10.04</v>
      </c>
      <c r="D4490" s="46">
        <v>45177.0</v>
      </c>
      <c r="E4490" s="24" t="s">
        <v>6650</v>
      </c>
      <c r="F4490" s="24">
        <v>264.21</v>
      </c>
      <c r="G4490" s="24">
        <v>0.0</v>
      </c>
      <c r="H4490" s="24" t="s">
        <v>6696</v>
      </c>
      <c r="I4490" s="24" t="s">
        <v>6650</v>
      </c>
      <c r="J4490" s="24">
        <v>0.0</v>
      </c>
    </row>
    <row r="4491">
      <c r="A4491" s="24">
        <v>27.0</v>
      </c>
      <c r="B4491" s="24">
        <v>0.0</v>
      </c>
      <c r="C4491" s="44">
        <v>9.93</v>
      </c>
      <c r="D4491" s="46">
        <v>45177.0</v>
      </c>
      <c r="E4491" s="24" t="s">
        <v>6650</v>
      </c>
      <c r="F4491" s="24">
        <v>367.78</v>
      </c>
      <c r="G4491" s="24">
        <v>0.0</v>
      </c>
      <c r="H4491" s="24" t="s">
        <v>6697</v>
      </c>
      <c r="I4491" s="24" t="s">
        <v>6650</v>
      </c>
      <c r="J4491" s="24">
        <v>0.0</v>
      </c>
    </row>
    <row r="4492">
      <c r="A4492" s="24">
        <v>44.0</v>
      </c>
      <c r="B4492" s="24">
        <v>1.0</v>
      </c>
      <c r="C4492" s="44">
        <v>11.11</v>
      </c>
      <c r="D4492" s="46">
        <v>45177.0</v>
      </c>
      <c r="E4492" s="24">
        <v>11.11</v>
      </c>
      <c r="F4492" s="24">
        <v>252.5</v>
      </c>
      <c r="G4492" s="24">
        <v>2.27</v>
      </c>
      <c r="H4492" s="24" t="s">
        <v>6701</v>
      </c>
      <c r="I4492" s="24">
        <v>11.11</v>
      </c>
      <c r="J4492" s="24">
        <v>0.0</v>
      </c>
    </row>
    <row r="4493">
      <c r="A4493" s="24">
        <v>128.0</v>
      </c>
      <c r="B4493" s="24">
        <v>2.0</v>
      </c>
      <c r="C4493" s="44">
        <v>10.08</v>
      </c>
      <c r="D4493" s="46">
        <v>45177.0</v>
      </c>
      <c r="E4493" s="24">
        <v>5.04</v>
      </c>
      <c r="F4493" s="24">
        <v>78.75</v>
      </c>
      <c r="G4493" s="24">
        <v>1.56</v>
      </c>
      <c r="H4493" s="24" t="s">
        <v>6698</v>
      </c>
      <c r="I4493" s="24">
        <v>5.04</v>
      </c>
      <c r="J4493" s="24">
        <v>0.0</v>
      </c>
    </row>
    <row r="4494">
      <c r="A4494" s="24">
        <v>50.0</v>
      </c>
      <c r="B4494" s="24">
        <v>0.0</v>
      </c>
      <c r="C4494" s="44">
        <v>10.03</v>
      </c>
      <c r="D4494" s="46">
        <v>45177.0</v>
      </c>
      <c r="E4494" s="24" t="s">
        <v>6650</v>
      </c>
      <c r="F4494" s="24">
        <v>200.6</v>
      </c>
      <c r="G4494" s="24">
        <v>0.0</v>
      </c>
      <c r="H4494" s="24" t="s">
        <v>6692</v>
      </c>
      <c r="I4494" s="24" t="s">
        <v>6650</v>
      </c>
      <c r="J4494" s="24">
        <v>0.0</v>
      </c>
    </row>
    <row r="4495">
      <c r="A4495" s="24">
        <v>349.0</v>
      </c>
      <c r="B4495" s="24">
        <v>4.0</v>
      </c>
      <c r="C4495" s="44">
        <v>6.3</v>
      </c>
      <c r="D4495" s="46">
        <v>45178.0</v>
      </c>
      <c r="E4495" s="24">
        <v>1.58</v>
      </c>
      <c r="F4495" s="24">
        <v>18.05</v>
      </c>
      <c r="G4495" s="24">
        <v>1.15</v>
      </c>
      <c r="H4495" s="24" t="s">
        <v>6689</v>
      </c>
      <c r="I4495" s="24" t="s">
        <v>6650</v>
      </c>
      <c r="J4495" s="24">
        <v>0.0</v>
      </c>
    </row>
    <row r="4496">
      <c r="A4496" s="24">
        <v>3.0</v>
      </c>
      <c r="B4496" s="24">
        <v>1.0</v>
      </c>
      <c r="C4496" s="44">
        <v>2.25</v>
      </c>
      <c r="D4496" s="46">
        <v>45178.0</v>
      </c>
      <c r="E4496" s="24">
        <v>2.25</v>
      </c>
      <c r="F4496" s="24">
        <v>750.0</v>
      </c>
      <c r="G4496" s="24">
        <v>33.33</v>
      </c>
      <c r="H4496" s="24" t="s">
        <v>6702</v>
      </c>
      <c r="I4496" s="24" t="s">
        <v>6650</v>
      </c>
      <c r="J4496" s="24">
        <v>0.0</v>
      </c>
    </row>
    <row r="4497">
      <c r="A4497" s="24">
        <v>52.0</v>
      </c>
      <c r="B4497" s="24">
        <v>2.0</v>
      </c>
      <c r="C4497" s="44">
        <v>6.77</v>
      </c>
      <c r="D4497" s="46">
        <v>45178.0</v>
      </c>
      <c r="E4497" s="24">
        <v>3.38</v>
      </c>
      <c r="F4497" s="24">
        <v>130.19</v>
      </c>
      <c r="G4497" s="24">
        <v>3.85</v>
      </c>
      <c r="H4497" s="24" t="s">
        <v>6699</v>
      </c>
      <c r="I4497" s="24" t="s">
        <v>6650</v>
      </c>
      <c r="J4497" s="24">
        <v>0.0</v>
      </c>
    </row>
    <row r="4498">
      <c r="A4498" s="24">
        <v>18.0</v>
      </c>
      <c r="B4498" s="24">
        <v>0.0</v>
      </c>
      <c r="C4498" s="44">
        <v>7.19</v>
      </c>
      <c r="D4498" s="46">
        <v>45178.0</v>
      </c>
      <c r="E4498" s="24" t="s">
        <v>6650</v>
      </c>
      <c r="F4498" s="24">
        <v>399.44</v>
      </c>
      <c r="G4498" s="24">
        <v>0.0</v>
      </c>
      <c r="H4498" s="24" t="s">
        <v>6696</v>
      </c>
      <c r="I4498" s="24" t="s">
        <v>6650</v>
      </c>
      <c r="J4498" s="24">
        <v>0.0</v>
      </c>
    </row>
    <row r="4499">
      <c r="A4499" s="24">
        <v>531.0</v>
      </c>
      <c r="B4499" s="24">
        <v>6.0</v>
      </c>
      <c r="C4499" s="44">
        <v>6.9</v>
      </c>
      <c r="D4499" s="46">
        <v>45178.0</v>
      </c>
      <c r="E4499" s="24">
        <v>1.15</v>
      </c>
      <c r="F4499" s="24">
        <v>12.99</v>
      </c>
      <c r="G4499" s="24">
        <v>1.13</v>
      </c>
      <c r="H4499" s="24" t="s">
        <v>6688</v>
      </c>
      <c r="I4499" s="24">
        <v>3.45</v>
      </c>
      <c r="J4499" s="24">
        <v>0.0</v>
      </c>
    </row>
    <row r="4500">
      <c r="A4500" s="24">
        <v>52.0</v>
      </c>
      <c r="B4500" s="24">
        <v>1.0</v>
      </c>
      <c r="C4500" s="44">
        <v>6.37</v>
      </c>
      <c r="D4500" s="46">
        <v>45178.0</v>
      </c>
      <c r="E4500" s="24">
        <v>6.37</v>
      </c>
      <c r="F4500" s="24">
        <v>122.5</v>
      </c>
      <c r="G4500" s="24">
        <v>1.92</v>
      </c>
      <c r="H4500" s="24" t="s">
        <v>6680</v>
      </c>
      <c r="I4500" s="24">
        <v>6.37</v>
      </c>
      <c r="J4500" s="24">
        <v>0.0</v>
      </c>
    </row>
    <row r="4501">
      <c r="A4501" s="24">
        <v>110.0</v>
      </c>
      <c r="B4501" s="24">
        <v>0.0</v>
      </c>
      <c r="C4501" s="44">
        <v>6.08</v>
      </c>
      <c r="D4501" s="46">
        <v>45178.0</v>
      </c>
      <c r="E4501" s="24" t="s">
        <v>6650</v>
      </c>
      <c r="F4501" s="24">
        <v>55.27</v>
      </c>
      <c r="G4501" s="24">
        <v>0.0</v>
      </c>
      <c r="H4501" s="24" t="s">
        <v>6700</v>
      </c>
      <c r="I4501" s="24" t="s">
        <v>6650</v>
      </c>
      <c r="J4501" s="24">
        <v>0.0</v>
      </c>
    </row>
    <row r="4502">
      <c r="A4502" s="24">
        <v>30.0</v>
      </c>
      <c r="B4502" s="24">
        <v>0.0</v>
      </c>
      <c r="C4502" s="44">
        <v>7.88</v>
      </c>
      <c r="D4502" s="46">
        <v>45178.0</v>
      </c>
      <c r="E4502" s="24" t="s">
        <v>6650</v>
      </c>
      <c r="F4502" s="24">
        <v>262.67</v>
      </c>
      <c r="G4502" s="24">
        <v>0.0</v>
      </c>
      <c r="H4502" s="24" t="s">
        <v>6692</v>
      </c>
      <c r="I4502" s="24">
        <v>7.88</v>
      </c>
      <c r="J4502" s="24">
        <v>0.0</v>
      </c>
    </row>
    <row r="4503">
      <c r="A4503" s="24">
        <v>22.0</v>
      </c>
      <c r="B4503" s="24">
        <v>0.0</v>
      </c>
      <c r="C4503" s="44">
        <v>5.03</v>
      </c>
      <c r="D4503" s="46">
        <v>45178.0</v>
      </c>
      <c r="E4503" s="24" t="s">
        <v>6650</v>
      </c>
      <c r="F4503" s="24">
        <v>228.64</v>
      </c>
      <c r="G4503" s="24">
        <v>0.0</v>
      </c>
      <c r="H4503" s="24" t="s">
        <v>6701</v>
      </c>
      <c r="I4503" s="24" t="s">
        <v>6650</v>
      </c>
      <c r="J4503" s="24">
        <v>0.0</v>
      </c>
    </row>
    <row r="4504">
      <c r="A4504" s="24">
        <v>17.0</v>
      </c>
      <c r="B4504" s="24">
        <v>0.0</v>
      </c>
      <c r="C4504" s="44">
        <v>6.4</v>
      </c>
      <c r="D4504" s="46">
        <v>45178.0</v>
      </c>
      <c r="E4504" s="24" t="s">
        <v>6650</v>
      </c>
      <c r="F4504" s="24">
        <v>376.47</v>
      </c>
      <c r="G4504" s="24">
        <v>0.0</v>
      </c>
      <c r="H4504" s="24" t="s">
        <v>6695</v>
      </c>
      <c r="I4504" s="24" t="s">
        <v>6650</v>
      </c>
      <c r="J4504" s="24">
        <v>0.0</v>
      </c>
    </row>
    <row r="4505">
      <c r="A4505" s="24">
        <v>59.0</v>
      </c>
      <c r="B4505" s="24">
        <v>0.0</v>
      </c>
      <c r="C4505" s="44">
        <v>6.64</v>
      </c>
      <c r="D4505" s="46">
        <v>45178.0</v>
      </c>
      <c r="E4505" s="24" t="s">
        <v>6650</v>
      </c>
      <c r="F4505" s="24">
        <v>112.54</v>
      </c>
      <c r="G4505" s="24">
        <v>0.0</v>
      </c>
      <c r="H4505" s="24" t="s">
        <v>6698</v>
      </c>
      <c r="I4505" s="24" t="s">
        <v>6650</v>
      </c>
      <c r="J4505" s="24">
        <v>0.0</v>
      </c>
    </row>
    <row r="4506">
      <c r="A4506" s="24">
        <v>21.0</v>
      </c>
      <c r="B4506" s="24">
        <v>1.0</v>
      </c>
      <c r="C4506" s="44">
        <v>9.12</v>
      </c>
      <c r="D4506" s="46">
        <v>45178.0</v>
      </c>
      <c r="E4506" s="24">
        <v>9.12</v>
      </c>
      <c r="F4506" s="24">
        <v>434.29</v>
      </c>
      <c r="G4506" s="24">
        <v>4.76</v>
      </c>
      <c r="H4506" s="24" t="s">
        <v>6697</v>
      </c>
      <c r="I4506" s="24" t="s">
        <v>6650</v>
      </c>
      <c r="J4506" s="24">
        <v>1.0</v>
      </c>
    </row>
    <row r="4507">
      <c r="A4507" s="24">
        <v>4.0</v>
      </c>
      <c r="B4507" s="24">
        <v>3.0</v>
      </c>
      <c r="C4507" s="44">
        <v>3.0</v>
      </c>
      <c r="D4507" s="46">
        <v>45179.0</v>
      </c>
      <c r="E4507" s="24">
        <v>1.0</v>
      </c>
      <c r="F4507" s="24">
        <v>750.0</v>
      </c>
      <c r="G4507" s="24">
        <v>75.0</v>
      </c>
      <c r="H4507" s="24" t="s">
        <v>6702</v>
      </c>
      <c r="I4507" s="24" t="s">
        <v>6650</v>
      </c>
      <c r="J4507" s="24">
        <v>0.0</v>
      </c>
    </row>
    <row r="4508">
      <c r="A4508" s="24">
        <v>37.0</v>
      </c>
      <c r="B4508" s="24">
        <v>0.0</v>
      </c>
      <c r="C4508" s="44">
        <v>4.21</v>
      </c>
      <c r="D4508" s="46">
        <v>45179.0</v>
      </c>
      <c r="E4508" s="24" t="s">
        <v>6650</v>
      </c>
      <c r="F4508" s="24">
        <v>113.78</v>
      </c>
      <c r="G4508" s="24">
        <v>0.0</v>
      </c>
      <c r="H4508" s="24" t="s">
        <v>6692</v>
      </c>
      <c r="I4508" s="24" t="s">
        <v>6650</v>
      </c>
      <c r="J4508" s="24">
        <v>0.0</v>
      </c>
    </row>
    <row r="4509">
      <c r="A4509" s="24">
        <v>115.0</v>
      </c>
      <c r="B4509" s="24">
        <v>4.0</v>
      </c>
      <c r="C4509" s="44">
        <v>6.07</v>
      </c>
      <c r="D4509" s="46">
        <v>45179.0</v>
      </c>
      <c r="E4509" s="24">
        <v>1.52</v>
      </c>
      <c r="F4509" s="24">
        <v>52.78</v>
      </c>
      <c r="G4509" s="24">
        <v>3.48</v>
      </c>
      <c r="H4509" s="24" t="s">
        <v>6698</v>
      </c>
      <c r="I4509" s="24" t="s">
        <v>6650</v>
      </c>
      <c r="J4509" s="24">
        <v>0.0</v>
      </c>
    </row>
    <row r="4510">
      <c r="A4510" s="24">
        <v>11.0</v>
      </c>
      <c r="B4510" s="24">
        <v>0.0</v>
      </c>
      <c r="C4510" s="44">
        <v>3.23</v>
      </c>
      <c r="D4510" s="46">
        <v>45179.0</v>
      </c>
      <c r="E4510" s="24" t="s">
        <v>6650</v>
      </c>
      <c r="F4510" s="24">
        <v>293.64</v>
      </c>
      <c r="G4510" s="24">
        <v>0.0</v>
      </c>
      <c r="H4510" s="24" t="s">
        <v>6701</v>
      </c>
      <c r="I4510" s="24" t="s">
        <v>6650</v>
      </c>
      <c r="J4510" s="24">
        <v>0.0</v>
      </c>
    </row>
    <row r="4511">
      <c r="A4511" s="24">
        <v>575.0</v>
      </c>
      <c r="B4511" s="24">
        <v>4.0</v>
      </c>
      <c r="C4511" s="44">
        <v>6.85</v>
      </c>
      <c r="D4511" s="46">
        <v>45179.0</v>
      </c>
      <c r="E4511" s="24">
        <v>1.71</v>
      </c>
      <c r="F4511" s="24">
        <v>11.91</v>
      </c>
      <c r="G4511" s="24">
        <v>0.7</v>
      </c>
      <c r="H4511" s="24" t="s">
        <v>6688</v>
      </c>
      <c r="I4511" s="24" t="s">
        <v>6650</v>
      </c>
      <c r="J4511" s="24">
        <v>0.0</v>
      </c>
    </row>
    <row r="4512">
      <c r="A4512" s="24">
        <v>8.0</v>
      </c>
      <c r="B4512" s="24">
        <v>1.0</v>
      </c>
      <c r="C4512" s="44">
        <v>2.84</v>
      </c>
      <c r="D4512" s="46">
        <v>45179.0</v>
      </c>
      <c r="E4512" s="24">
        <v>2.84</v>
      </c>
      <c r="F4512" s="24">
        <v>355.0</v>
      </c>
      <c r="G4512" s="24">
        <v>12.5</v>
      </c>
      <c r="H4512" s="24" t="s">
        <v>6699</v>
      </c>
      <c r="I4512" s="24" t="s">
        <v>6650</v>
      </c>
      <c r="J4512" s="24">
        <v>0.0</v>
      </c>
    </row>
    <row r="4513">
      <c r="A4513" s="24">
        <v>26.0</v>
      </c>
      <c r="B4513" s="24">
        <v>0.0</v>
      </c>
      <c r="C4513" s="44">
        <v>4.58</v>
      </c>
      <c r="D4513" s="46">
        <v>45179.0</v>
      </c>
      <c r="E4513" s="24" t="s">
        <v>6650</v>
      </c>
      <c r="F4513" s="24">
        <v>176.15</v>
      </c>
      <c r="G4513" s="24">
        <v>0.0</v>
      </c>
      <c r="H4513" s="24" t="s">
        <v>6696</v>
      </c>
      <c r="I4513" s="24" t="s">
        <v>6650</v>
      </c>
      <c r="J4513" s="24">
        <v>0.0</v>
      </c>
    </row>
    <row r="4514">
      <c r="A4514" s="24">
        <v>43.0</v>
      </c>
      <c r="B4514" s="24">
        <v>0.0</v>
      </c>
      <c r="C4514" s="44">
        <v>5.99</v>
      </c>
      <c r="D4514" s="46">
        <v>45179.0</v>
      </c>
      <c r="E4514" s="24" t="s">
        <v>6650</v>
      </c>
      <c r="F4514" s="24">
        <v>139.3</v>
      </c>
      <c r="G4514" s="24">
        <v>0.0</v>
      </c>
      <c r="H4514" s="24" t="s">
        <v>6700</v>
      </c>
      <c r="I4514" s="24" t="s">
        <v>6650</v>
      </c>
      <c r="J4514" s="24">
        <v>0.0</v>
      </c>
    </row>
    <row r="4515">
      <c r="A4515" s="24">
        <v>49.0</v>
      </c>
      <c r="B4515" s="24">
        <v>0.0</v>
      </c>
      <c r="C4515" s="44">
        <v>5.35</v>
      </c>
      <c r="D4515" s="46">
        <v>45179.0</v>
      </c>
      <c r="E4515" s="24" t="s">
        <v>6650</v>
      </c>
      <c r="F4515" s="24">
        <v>109.18</v>
      </c>
      <c r="G4515" s="24">
        <v>0.0</v>
      </c>
      <c r="H4515" s="24" t="s">
        <v>6680</v>
      </c>
      <c r="I4515" s="24" t="s">
        <v>6650</v>
      </c>
      <c r="J4515" s="24">
        <v>0.0</v>
      </c>
    </row>
    <row r="4516">
      <c r="A4516" s="24">
        <v>304.0</v>
      </c>
      <c r="B4516" s="24">
        <v>3.0</v>
      </c>
      <c r="C4516" s="44">
        <v>5.06</v>
      </c>
      <c r="D4516" s="46">
        <v>45179.0</v>
      </c>
      <c r="E4516" s="24">
        <v>1.69</v>
      </c>
      <c r="F4516" s="24">
        <v>16.64</v>
      </c>
      <c r="G4516" s="24">
        <v>0.99</v>
      </c>
      <c r="H4516" s="24" t="s">
        <v>6689</v>
      </c>
      <c r="I4516" s="24" t="s">
        <v>6650</v>
      </c>
      <c r="J4516" s="24">
        <v>0.0</v>
      </c>
    </row>
    <row r="4517">
      <c r="A4517" s="24">
        <v>821.0</v>
      </c>
      <c r="B4517" s="24">
        <v>9.0</v>
      </c>
      <c r="C4517" s="44">
        <v>11.14</v>
      </c>
      <c r="D4517" s="46">
        <v>45180.0</v>
      </c>
      <c r="E4517" s="24">
        <v>1.24</v>
      </c>
      <c r="F4517" s="24">
        <v>13.57</v>
      </c>
      <c r="G4517" s="24">
        <v>1.1</v>
      </c>
      <c r="H4517" s="24" t="s">
        <v>6688</v>
      </c>
      <c r="I4517" s="24">
        <v>5.57</v>
      </c>
      <c r="J4517" s="24">
        <v>0.0</v>
      </c>
    </row>
    <row r="4518">
      <c r="A4518" s="24">
        <v>4.0</v>
      </c>
      <c r="B4518" s="24">
        <v>6.0</v>
      </c>
      <c r="C4518" s="44">
        <v>3.0</v>
      </c>
      <c r="D4518" s="46">
        <v>45180.0</v>
      </c>
      <c r="E4518" s="24">
        <v>0.5</v>
      </c>
      <c r="F4518" s="24">
        <v>750.0</v>
      </c>
      <c r="G4518" s="24">
        <v>150.0</v>
      </c>
      <c r="H4518" s="24" t="s">
        <v>6702</v>
      </c>
      <c r="I4518" s="24" t="s">
        <v>6650</v>
      </c>
      <c r="J4518" s="24">
        <v>0.0</v>
      </c>
    </row>
    <row r="4519">
      <c r="A4519" s="24">
        <v>801.0</v>
      </c>
      <c r="B4519" s="24">
        <v>6.0</v>
      </c>
      <c r="C4519" s="44">
        <v>10.07</v>
      </c>
      <c r="D4519" s="46">
        <v>45180.0</v>
      </c>
      <c r="E4519" s="24">
        <v>1.68</v>
      </c>
      <c r="F4519" s="24">
        <v>12.57</v>
      </c>
      <c r="G4519" s="24">
        <v>0.75</v>
      </c>
      <c r="H4519" s="24" t="s">
        <v>6689</v>
      </c>
      <c r="I4519" s="24" t="s">
        <v>6650</v>
      </c>
      <c r="J4519" s="24">
        <v>0.0</v>
      </c>
    </row>
    <row r="4520">
      <c r="A4520" s="24">
        <v>29.0</v>
      </c>
      <c r="B4520" s="24">
        <v>1.0</v>
      </c>
      <c r="C4520" s="44">
        <v>13.93</v>
      </c>
      <c r="D4520" s="46">
        <v>45180.0</v>
      </c>
      <c r="E4520" s="24">
        <v>13.93</v>
      </c>
      <c r="F4520" s="24">
        <v>480.34</v>
      </c>
      <c r="G4520" s="24">
        <v>3.45</v>
      </c>
      <c r="H4520" s="24" t="s">
        <v>6697</v>
      </c>
      <c r="I4520" s="24" t="s">
        <v>6650</v>
      </c>
      <c r="J4520" s="24">
        <v>0.0</v>
      </c>
    </row>
    <row r="4521">
      <c r="A4521" s="24">
        <v>58.0</v>
      </c>
      <c r="B4521" s="24">
        <v>1.0</v>
      </c>
      <c r="C4521" s="44">
        <v>11.94</v>
      </c>
      <c r="D4521" s="46">
        <v>45180.0</v>
      </c>
      <c r="E4521" s="24">
        <v>11.94</v>
      </c>
      <c r="F4521" s="24">
        <v>205.86</v>
      </c>
      <c r="G4521" s="24">
        <v>1.72</v>
      </c>
      <c r="H4521" s="24" t="s">
        <v>6701</v>
      </c>
      <c r="I4521" s="24" t="s">
        <v>6650</v>
      </c>
      <c r="J4521" s="24">
        <v>0.0</v>
      </c>
    </row>
    <row r="4522">
      <c r="A4522" s="24">
        <v>114.0</v>
      </c>
      <c r="B4522" s="24">
        <v>1.0</v>
      </c>
      <c r="C4522" s="44">
        <v>10.91</v>
      </c>
      <c r="D4522" s="46">
        <v>45180.0</v>
      </c>
      <c r="E4522" s="24">
        <v>10.91</v>
      </c>
      <c r="F4522" s="24">
        <v>95.7</v>
      </c>
      <c r="G4522" s="24">
        <v>0.88</v>
      </c>
      <c r="H4522" s="24" t="s">
        <v>6699</v>
      </c>
      <c r="I4522" s="24" t="s">
        <v>6650</v>
      </c>
      <c r="J4522" s="24">
        <v>0.0</v>
      </c>
    </row>
    <row r="4523">
      <c r="A4523" s="24">
        <v>100.0</v>
      </c>
      <c r="B4523" s="24">
        <v>1.0</v>
      </c>
      <c r="C4523" s="44">
        <v>11.7</v>
      </c>
      <c r="D4523" s="46">
        <v>45180.0</v>
      </c>
      <c r="E4523" s="24">
        <v>11.7</v>
      </c>
      <c r="F4523" s="24">
        <v>117.0</v>
      </c>
      <c r="G4523" s="24">
        <v>1.0</v>
      </c>
      <c r="H4523" s="24" t="s">
        <v>6692</v>
      </c>
      <c r="I4523" s="24" t="s">
        <v>6650</v>
      </c>
      <c r="J4523" s="24">
        <v>0.0</v>
      </c>
    </row>
    <row r="4524">
      <c r="A4524" s="24">
        <v>50.0</v>
      </c>
      <c r="B4524" s="24">
        <v>1.0</v>
      </c>
      <c r="C4524" s="44">
        <v>11.41</v>
      </c>
      <c r="D4524" s="46">
        <v>45180.0</v>
      </c>
      <c r="E4524" s="24">
        <v>11.41</v>
      </c>
      <c r="F4524" s="24">
        <v>228.2</v>
      </c>
      <c r="G4524" s="24">
        <v>2.0</v>
      </c>
      <c r="H4524" s="24" t="s">
        <v>6695</v>
      </c>
      <c r="I4524" s="24" t="s">
        <v>6650</v>
      </c>
      <c r="J4524" s="24">
        <v>0.0</v>
      </c>
    </row>
    <row r="4525">
      <c r="A4525" s="24">
        <v>105.0</v>
      </c>
      <c r="B4525" s="24">
        <v>0.0</v>
      </c>
      <c r="C4525" s="44">
        <v>11.83</v>
      </c>
      <c r="D4525" s="46">
        <v>45180.0</v>
      </c>
      <c r="E4525" s="24" t="s">
        <v>6650</v>
      </c>
      <c r="F4525" s="24">
        <v>112.67</v>
      </c>
      <c r="G4525" s="24">
        <v>0.0</v>
      </c>
      <c r="H4525" s="24" t="s">
        <v>6700</v>
      </c>
      <c r="I4525" s="24" t="s">
        <v>6650</v>
      </c>
      <c r="J4525" s="24">
        <v>0.0</v>
      </c>
    </row>
    <row r="4526">
      <c r="A4526" s="24">
        <v>402.0</v>
      </c>
      <c r="B4526" s="24">
        <v>4.0</v>
      </c>
      <c r="C4526" s="44">
        <v>11.71</v>
      </c>
      <c r="D4526" s="46">
        <v>45180.0</v>
      </c>
      <c r="E4526" s="24">
        <v>2.93</v>
      </c>
      <c r="F4526" s="24">
        <v>29.13</v>
      </c>
      <c r="G4526" s="24">
        <v>1.0</v>
      </c>
      <c r="H4526" s="24" t="s">
        <v>6698</v>
      </c>
      <c r="I4526" s="24" t="s">
        <v>6650</v>
      </c>
      <c r="J4526" s="24">
        <v>0.0</v>
      </c>
    </row>
    <row r="4527">
      <c r="A4527" s="24">
        <v>220.0</v>
      </c>
      <c r="B4527" s="24">
        <v>0.0</v>
      </c>
      <c r="C4527" s="44">
        <v>12.94</v>
      </c>
      <c r="D4527" s="46">
        <v>45180.0</v>
      </c>
      <c r="E4527" s="24" t="s">
        <v>6650</v>
      </c>
      <c r="F4527" s="24">
        <v>58.82</v>
      </c>
      <c r="G4527" s="24">
        <v>0.0</v>
      </c>
      <c r="H4527" s="24" t="s">
        <v>6680</v>
      </c>
      <c r="I4527" s="24">
        <v>4.31</v>
      </c>
      <c r="J4527" s="24">
        <v>0.0</v>
      </c>
    </row>
    <row r="4528">
      <c r="A4528" s="24">
        <v>53.0</v>
      </c>
      <c r="B4528" s="24">
        <v>2.0</v>
      </c>
      <c r="C4528" s="44">
        <v>11.72</v>
      </c>
      <c r="D4528" s="46">
        <v>45180.0</v>
      </c>
      <c r="E4528" s="24">
        <v>5.86</v>
      </c>
      <c r="F4528" s="24">
        <v>221.13</v>
      </c>
      <c r="G4528" s="24">
        <v>3.77</v>
      </c>
      <c r="H4528" s="24" t="s">
        <v>6696</v>
      </c>
      <c r="I4528" s="24" t="s">
        <v>6650</v>
      </c>
      <c r="J4528" s="24">
        <v>0.0</v>
      </c>
    </row>
    <row r="4529">
      <c r="A4529" s="24">
        <v>138.0</v>
      </c>
      <c r="B4529" s="24">
        <v>1.0</v>
      </c>
      <c r="C4529" s="44">
        <v>11.64</v>
      </c>
      <c r="D4529" s="46">
        <v>45181.0</v>
      </c>
      <c r="E4529" s="24">
        <v>11.64</v>
      </c>
      <c r="F4529" s="24">
        <v>84.35</v>
      </c>
      <c r="G4529" s="24">
        <v>0.72</v>
      </c>
      <c r="H4529" s="24" t="s">
        <v>6700</v>
      </c>
      <c r="I4529" s="24" t="s">
        <v>6650</v>
      </c>
      <c r="J4529" s="24">
        <v>0.0</v>
      </c>
    </row>
    <row r="4530">
      <c r="A4530" s="24">
        <v>46.0</v>
      </c>
      <c r="B4530" s="24">
        <v>0.0</v>
      </c>
      <c r="C4530" s="44">
        <v>14.51</v>
      </c>
      <c r="D4530" s="46">
        <v>45181.0</v>
      </c>
      <c r="E4530" s="24" t="s">
        <v>6650</v>
      </c>
      <c r="F4530" s="24">
        <v>315.43</v>
      </c>
      <c r="G4530" s="24">
        <v>0.0</v>
      </c>
      <c r="H4530" s="24" t="s">
        <v>6701</v>
      </c>
      <c r="I4530" s="24" t="s">
        <v>6650</v>
      </c>
      <c r="J4530" s="24">
        <v>0.0</v>
      </c>
    </row>
    <row r="4531">
      <c r="A4531" s="24">
        <v>2.0</v>
      </c>
      <c r="B4531" s="24">
        <v>7.0</v>
      </c>
      <c r="C4531" s="44">
        <v>1.5</v>
      </c>
      <c r="D4531" s="46">
        <v>45181.0</v>
      </c>
      <c r="E4531" s="24">
        <v>0.21</v>
      </c>
      <c r="F4531" s="24">
        <v>750.0</v>
      </c>
      <c r="G4531" s="24">
        <v>350.0</v>
      </c>
      <c r="H4531" s="24" t="s">
        <v>6702</v>
      </c>
      <c r="I4531" s="24" t="s">
        <v>6650</v>
      </c>
      <c r="J4531" s="24">
        <v>0.0</v>
      </c>
    </row>
    <row r="4532">
      <c r="A4532" s="24">
        <v>26.0</v>
      </c>
      <c r="B4532" s="24">
        <v>0.0</v>
      </c>
      <c r="C4532" s="44">
        <v>13.54</v>
      </c>
      <c r="D4532" s="46">
        <v>45181.0</v>
      </c>
      <c r="E4532" s="24" t="s">
        <v>6650</v>
      </c>
      <c r="F4532" s="24">
        <v>520.77</v>
      </c>
      <c r="G4532" s="24">
        <v>0.0</v>
      </c>
      <c r="H4532" s="24" t="s">
        <v>6697</v>
      </c>
      <c r="I4532" s="24" t="s">
        <v>6650</v>
      </c>
      <c r="J4532" s="24">
        <v>0.0</v>
      </c>
    </row>
    <row r="4533">
      <c r="A4533" s="24">
        <v>884.0</v>
      </c>
      <c r="B4533" s="24">
        <v>5.0</v>
      </c>
      <c r="C4533" s="44">
        <v>11.09</v>
      </c>
      <c r="D4533" s="46">
        <v>45181.0</v>
      </c>
      <c r="E4533" s="24">
        <v>2.22</v>
      </c>
      <c r="F4533" s="24">
        <v>12.55</v>
      </c>
      <c r="G4533" s="24">
        <v>0.57</v>
      </c>
      <c r="H4533" s="24" t="s">
        <v>6688</v>
      </c>
      <c r="I4533" s="24">
        <v>5.54</v>
      </c>
      <c r="J4533" s="24">
        <v>0.0</v>
      </c>
    </row>
    <row r="4534">
      <c r="A4534" s="24">
        <v>63.0</v>
      </c>
      <c r="B4534" s="24">
        <v>0.0</v>
      </c>
      <c r="C4534" s="44">
        <v>12.96</v>
      </c>
      <c r="D4534" s="46">
        <v>45181.0</v>
      </c>
      <c r="E4534" s="24" t="s">
        <v>6650</v>
      </c>
      <c r="F4534" s="24">
        <v>205.71</v>
      </c>
      <c r="G4534" s="24">
        <v>0.0</v>
      </c>
      <c r="H4534" s="24" t="s">
        <v>6692</v>
      </c>
      <c r="I4534" s="24" t="s">
        <v>6650</v>
      </c>
      <c r="J4534" s="24">
        <v>0.0</v>
      </c>
    </row>
    <row r="4535">
      <c r="A4535" s="24">
        <v>969.0</v>
      </c>
      <c r="B4535" s="24">
        <v>10.0</v>
      </c>
      <c r="C4535" s="44">
        <v>12.59</v>
      </c>
      <c r="D4535" s="46">
        <v>45181.0</v>
      </c>
      <c r="E4535" s="24">
        <v>1.26</v>
      </c>
      <c r="F4535" s="24">
        <v>12.99</v>
      </c>
      <c r="G4535" s="24">
        <v>1.03</v>
      </c>
      <c r="H4535" s="24" t="s">
        <v>6689</v>
      </c>
      <c r="I4535" s="24">
        <v>12.59</v>
      </c>
      <c r="J4535" s="24">
        <v>0.0</v>
      </c>
    </row>
    <row r="4536">
      <c r="A4536" s="24">
        <v>53.0</v>
      </c>
      <c r="B4536" s="24">
        <v>1.0</v>
      </c>
      <c r="C4536" s="44">
        <v>13.9</v>
      </c>
      <c r="D4536" s="46">
        <v>45181.0</v>
      </c>
      <c r="E4536" s="24">
        <v>13.9</v>
      </c>
      <c r="F4536" s="24">
        <v>262.26</v>
      </c>
      <c r="G4536" s="24">
        <v>1.89</v>
      </c>
      <c r="H4536" s="24" t="s">
        <v>6699</v>
      </c>
      <c r="I4536" s="24">
        <v>13.9</v>
      </c>
      <c r="J4536" s="24">
        <v>0.0</v>
      </c>
    </row>
    <row r="4537">
      <c r="A4537" s="24">
        <v>388.0</v>
      </c>
      <c r="B4537" s="24">
        <v>5.0</v>
      </c>
      <c r="C4537" s="44">
        <v>11.67</v>
      </c>
      <c r="D4537" s="46">
        <v>45181.0</v>
      </c>
      <c r="E4537" s="24">
        <v>2.33</v>
      </c>
      <c r="F4537" s="24">
        <v>30.08</v>
      </c>
      <c r="G4537" s="24">
        <v>1.29</v>
      </c>
      <c r="H4537" s="24" t="s">
        <v>6698</v>
      </c>
      <c r="I4537" s="24" t="s">
        <v>6650</v>
      </c>
      <c r="J4537" s="24">
        <v>0.0</v>
      </c>
    </row>
    <row r="4538">
      <c r="A4538" s="24">
        <v>46.0</v>
      </c>
      <c r="B4538" s="24">
        <v>1.0</v>
      </c>
      <c r="C4538" s="44">
        <v>12.34</v>
      </c>
      <c r="D4538" s="46">
        <v>45181.0</v>
      </c>
      <c r="E4538" s="24">
        <v>12.34</v>
      </c>
      <c r="F4538" s="24">
        <v>268.26</v>
      </c>
      <c r="G4538" s="24">
        <v>2.17</v>
      </c>
      <c r="H4538" s="24" t="s">
        <v>6696</v>
      </c>
      <c r="I4538" s="24">
        <v>12.34</v>
      </c>
      <c r="J4538" s="24">
        <v>0.0</v>
      </c>
    </row>
    <row r="4539">
      <c r="A4539" s="24">
        <v>193.0</v>
      </c>
      <c r="B4539" s="24">
        <v>1.0</v>
      </c>
      <c r="C4539" s="44">
        <v>13.28</v>
      </c>
      <c r="D4539" s="46">
        <v>45181.0</v>
      </c>
      <c r="E4539" s="24">
        <v>13.28</v>
      </c>
      <c r="F4539" s="24">
        <v>68.81</v>
      </c>
      <c r="G4539" s="24">
        <v>0.52</v>
      </c>
      <c r="H4539" s="24" t="s">
        <v>6680</v>
      </c>
      <c r="I4539" s="24" t="s">
        <v>6650</v>
      </c>
      <c r="J4539" s="24">
        <v>0.0</v>
      </c>
    </row>
    <row r="4540">
      <c r="A4540" s="24">
        <v>40.0</v>
      </c>
      <c r="B4540" s="24">
        <v>1.0</v>
      </c>
      <c r="C4540" s="44">
        <v>11.38</v>
      </c>
      <c r="D4540" s="46">
        <v>45181.0</v>
      </c>
      <c r="E4540" s="24">
        <v>11.38</v>
      </c>
      <c r="F4540" s="24">
        <v>284.5</v>
      </c>
      <c r="G4540" s="24">
        <v>2.5</v>
      </c>
      <c r="H4540" s="24" t="s">
        <v>6695</v>
      </c>
      <c r="I4540" s="24" t="s">
        <v>6650</v>
      </c>
      <c r="J4540" s="24">
        <v>0.0</v>
      </c>
    </row>
    <row r="4541">
      <c r="A4541" s="24">
        <v>25.0</v>
      </c>
      <c r="B4541" s="24">
        <v>0.0</v>
      </c>
      <c r="C4541" s="44">
        <v>13.29</v>
      </c>
      <c r="D4541" s="46">
        <v>45182.0</v>
      </c>
      <c r="E4541" s="24" t="s">
        <v>6650</v>
      </c>
      <c r="F4541" s="24">
        <v>531.6</v>
      </c>
      <c r="G4541" s="24">
        <v>0.0</v>
      </c>
      <c r="H4541" s="24" t="s">
        <v>6695</v>
      </c>
      <c r="I4541" s="24" t="s">
        <v>6650</v>
      </c>
      <c r="J4541" s="24">
        <v>0.0</v>
      </c>
    </row>
    <row r="4542">
      <c r="A4542" s="24">
        <v>4.0</v>
      </c>
      <c r="B4542" s="24">
        <v>5.0</v>
      </c>
      <c r="C4542" s="44">
        <v>3.0</v>
      </c>
      <c r="D4542" s="46">
        <v>45182.0</v>
      </c>
      <c r="E4542" s="24">
        <v>0.6</v>
      </c>
      <c r="F4542" s="24">
        <v>750.0</v>
      </c>
      <c r="G4542" s="24">
        <v>125.0</v>
      </c>
      <c r="H4542" s="24" t="s">
        <v>6702</v>
      </c>
      <c r="I4542" s="24" t="s">
        <v>6650</v>
      </c>
      <c r="J4542" s="24">
        <v>0.0</v>
      </c>
    </row>
    <row r="4543">
      <c r="A4543" s="24">
        <v>41.0</v>
      </c>
      <c r="B4543" s="24">
        <v>0.0</v>
      </c>
      <c r="C4543" s="44">
        <v>14.64</v>
      </c>
      <c r="D4543" s="46">
        <v>45182.0</v>
      </c>
      <c r="E4543" s="24" t="s">
        <v>6650</v>
      </c>
      <c r="F4543" s="24">
        <v>357.07</v>
      </c>
      <c r="G4543" s="24">
        <v>0.0</v>
      </c>
      <c r="H4543" s="24" t="s">
        <v>6696</v>
      </c>
      <c r="I4543" s="24" t="s">
        <v>6650</v>
      </c>
      <c r="J4543" s="24">
        <v>0.0</v>
      </c>
    </row>
    <row r="4544">
      <c r="A4544" s="24">
        <v>332.0</v>
      </c>
      <c r="B4544" s="24">
        <v>6.0</v>
      </c>
      <c r="C4544" s="44">
        <v>11.31</v>
      </c>
      <c r="D4544" s="46">
        <v>45182.0</v>
      </c>
      <c r="E4544" s="24">
        <v>1.88</v>
      </c>
      <c r="F4544" s="24">
        <v>34.07</v>
      </c>
      <c r="G4544" s="24">
        <v>1.81</v>
      </c>
      <c r="H4544" s="24" t="s">
        <v>6698</v>
      </c>
      <c r="I4544" s="24">
        <v>11.31</v>
      </c>
      <c r="J4544" s="24">
        <v>0.0</v>
      </c>
    </row>
    <row r="4545">
      <c r="A4545" s="24">
        <v>959.0</v>
      </c>
      <c r="B4545" s="24">
        <v>1.0</v>
      </c>
      <c r="C4545" s="44">
        <v>11.28</v>
      </c>
      <c r="D4545" s="46">
        <v>45182.0</v>
      </c>
      <c r="E4545" s="24">
        <v>11.28</v>
      </c>
      <c r="F4545" s="24">
        <v>11.76</v>
      </c>
      <c r="G4545" s="24">
        <v>0.1</v>
      </c>
      <c r="H4545" s="24" t="s">
        <v>6688</v>
      </c>
      <c r="I4545" s="24">
        <v>11.28</v>
      </c>
      <c r="J4545" s="24">
        <v>0.0</v>
      </c>
    </row>
    <row r="4546">
      <c r="A4546" s="24">
        <v>42.0</v>
      </c>
      <c r="B4546" s="24">
        <v>0.0</v>
      </c>
      <c r="C4546" s="44">
        <v>13.47</v>
      </c>
      <c r="D4546" s="46">
        <v>45182.0</v>
      </c>
      <c r="E4546" s="24" t="s">
        <v>6650</v>
      </c>
      <c r="F4546" s="24">
        <v>320.71</v>
      </c>
      <c r="G4546" s="24">
        <v>0.0</v>
      </c>
      <c r="H4546" s="24" t="s">
        <v>6701</v>
      </c>
      <c r="I4546" s="24" t="s">
        <v>6650</v>
      </c>
      <c r="J4546" s="24">
        <v>0.0</v>
      </c>
    </row>
    <row r="4547">
      <c r="A4547" s="24">
        <v>900.0</v>
      </c>
      <c r="B4547" s="24">
        <v>9.0</v>
      </c>
      <c r="C4547" s="44">
        <v>11.86</v>
      </c>
      <c r="D4547" s="46">
        <v>45182.0</v>
      </c>
      <c r="E4547" s="24">
        <v>1.32</v>
      </c>
      <c r="F4547" s="24">
        <v>13.18</v>
      </c>
      <c r="G4547" s="24">
        <v>1.0</v>
      </c>
      <c r="H4547" s="24" t="s">
        <v>6689</v>
      </c>
      <c r="I4547" s="24" t="s">
        <v>6650</v>
      </c>
      <c r="J4547" s="24">
        <v>0.0</v>
      </c>
    </row>
    <row r="4548">
      <c r="A4548" s="24">
        <v>37.0</v>
      </c>
      <c r="B4548" s="24">
        <v>0.0</v>
      </c>
      <c r="C4548" s="44">
        <v>11.22</v>
      </c>
      <c r="D4548" s="46">
        <v>45182.0</v>
      </c>
      <c r="E4548" s="24" t="s">
        <v>6650</v>
      </c>
      <c r="F4548" s="24">
        <v>303.24</v>
      </c>
      <c r="G4548" s="24">
        <v>0.0</v>
      </c>
      <c r="H4548" s="24" t="s">
        <v>6692</v>
      </c>
      <c r="I4548" s="24" t="s">
        <v>6650</v>
      </c>
      <c r="J4548" s="24">
        <v>0.0</v>
      </c>
    </row>
    <row r="4549">
      <c r="A4549" s="24">
        <v>23.0</v>
      </c>
      <c r="B4549" s="24">
        <v>0.0</v>
      </c>
      <c r="C4549" s="44">
        <v>11.16</v>
      </c>
      <c r="D4549" s="46">
        <v>45182.0</v>
      </c>
      <c r="E4549" s="24" t="s">
        <v>6650</v>
      </c>
      <c r="F4549" s="24">
        <v>485.22</v>
      </c>
      <c r="G4549" s="24">
        <v>0.0</v>
      </c>
      <c r="H4549" s="24" t="s">
        <v>6697</v>
      </c>
      <c r="I4549" s="24" t="s">
        <v>6650</v>
      </c>
      <c r="J4549" s="24">
        <v>0.0</v>
      </c>
    </row>
    <row r="4550">
      <c r="A4550" s="24">
        <v>63.0</v>
      </c>
      <c r="B4550" s="24">
        <v>2.0</v>
      </c>
      <c r="C4550" s="44">
        <v>12.94</v>
      </c>
      <c r="D4550" s="46">
        <v>45182.0</v>
      </c>
      <c r="E4550" s="24">
        <v>6.47</v>
      </c>
      <c r="F4550" s="24">
        <v>205.4</v>
      </c>
      <c r="G4550" s="24">
        <v>3.17</v>
      </c>
      <c r="H4550" s="24" t="s">
        <v>6699</v>
      </c>
      <c r="I4550" s="24">
        <v>12.94</v>
      </c>
      <c r="J4550" s="24">
        <v>0.0</v>
      </c>
    </row>
    <row r="4551">
      <c r="A4551" s="24">
        <v>81.0</v>
      </c>
      <c r="B4551" s="24">
        <v>0.0</v>
      </c>
      <c r="C4551" s="44">
        <v>13.02</v>
      </c>
      <c r="D4551" s="46">
        <v>45182.0</v>
      </c>
      <c r="E4551" s="24" t="s">
        <v>6650</v>
      </c>
      <c r="F4551" s="24">
        <v>160.74</v>
      </c>
      <c r="G4551" s="24">
        <v>0.0</v>
      </c>
      <c r="H4551" s="24" t="s">
        <v>6700</v>
      </c>
      <c r="I4551" s="24" t="s">
        <v>6650</v>
      </c>
      <c r="J4551" s="24">
        <v>0.0</v>
      </c>
    </row>
    <row r="4552">
      <c r="A4552" s="24">
        <v>170.0</v>
      </c>
      <c r="B4552" s="24">
        <v>3.0</v>
      </c>
      <c r="C4552" s="44">
        <v>13.6</v>
      </c>
      <c r="D4552" s="46">
        <v>45182.0</v>
      </c>
      <c r="E4552" s="24">
        <v>4.53</v>
      </c>
      <c r="F4552" s="24">
        <v>80.0</v>
      </c>
      <c r="G4552" s="24">
        <v>1.76</v>
      </c>
      <c r="H4552" s="24" t="s">
        <v>6680</v>
      </c>
      <c r="I4552" s="24">
        <v>6.8</v>
      </c>
      <c r="J4552" s="24">
        <v>0.0</v>
      </c>
    </row>
    <row r="4553">
      <c r="A4553" s="24">
        <v>62.0</v>
      </c>
      <c r="B4553" s="24">
        <v>2.0</v>
      </c>
      <c r="C4553" s="44">
        <v>15.0</v>
      </c>
      <c r="D4553" s="46">
        <v>45183.0</v>
      </c>
      <c r="E4553" s="24">
        <v>7.5</v>
      </c>
      <c r="F4553" s="24">
        <v>241.94</v>
      </c>
      <c r="G4553" s="24">
        <v>3.23</v>
      </c>
      <c r="H4553" s="24" t="s">
        <v>6699</v>
      </c>
      <c r="I4553" s="24" t="s">
        <v>6650</v>
      </c>
      <c r="J4553" s="24">
        <v>0.0</v>
      </c>
    </row>
    <row r="4554">
      <c r="A4554" s="24">
        <v>94.0</v>
      </c>
      <c r="B4554" s="24">
        <v>1.0</v>
      </c>
      <c r="C4554" s="44">
        <v>12.82</v>
      </c>
      <c r="D4554" s="46">
        <v>45183.0</v>
      </c>
      <c r="E4554" s="24">
        <v>12.82</v>
      </c>
      <c r="F4554" s="24">
        <v>136.38</v>
      </c>
      <c r="G4554" s="24">
        <v>1.06</v>
      </c>
      <c r="H4554" s="24" t="s">
        <v>6700</v>
      </c>
      <c r="I4554" s="24">
        <v>12.82</v>
      </c>
      <c r="J4554" s="24">
        <v>0.0</v>
      </c>
    </row>
    <row r="4555">
      <c r="A4555" s="24">
        <v>28.0</v>
      </c>
      <c r="B4555" s="24">
        <v>0.0</v>
      </c>
      <c r="C4555" s="44">
        <v>11.57</v>
      </c>
      <c r="D4555" s="46">
        <v>45183.0</v>
      </c>
      <c r="E4555" s="24" t="s">
        <v>6650</v>
      </c>
      <c r="F4555" s="24">
        <v>413.21</v>
      </c>
      <c r="G4555" s="24">
        <v>0.0</v>
      </c>
      <c r="H4555" s="24" t="s">
        <v>6695</v>
      </c>
      <c r="I4555" s="24" t="s">
        <v>6650</v>
      </c>
      <c r="J4555" s="24">
        <v>0.0</v>
      </c>
    </row>
    <row r="4556">
      <c r="A4556" s="24">
        <v>52.0</v>
      </c>
      <c r="B4556" s="24">
        <v>0.0</v>
      </c>
      <c r="C4556" s="44">
        <v>13.34</v>
      </c>
      <c r="D4556" s="46">
        <v>45183.0</v>
      </c>
      <c r="E4556" s="24" t="s">
        <v>6650</v>
      </c>
      <c r="F4556" s="24">
        <v>256.54</v>
      </c>
      <c r="G4556" s="24">
        <v>0.0</v>
      </c>
      <c r="H4556" s="24" t="s">
        <v>6701</v>
      </c>
      <c r="I4556" s="24" t="s">
        <v>6650</v>
      </c>
      <c r="J4556" s="24">
        <v>0.0</v>
      </c>
    </row>
    <row r="4557">
      <c r="A4557" s="24">
        <v>348.0</v>
      </c>
      <c r="B4557" s="24">
        <v>4.0</v>
      </c>
      <c r="C4557" s="44">
        <v>11.96</v>
      </c>
      <c r="D4557" s="46">
        <v>45183.0</v>
      </c>
      <c r="E4557" s="24">
        <v>2.99</v>
      </c>
      <c r="F4557" s="24">
        <v>34.37</v>
      </c>
      <c r="G4557" s="24">
        <v>1.15</v>
      </c>
      <c r="H4557" s="24" t="s">
        <v>6698</v>
      </c>
      <c r="I4557" s="24">
        <v>3.99</v>
      </c>
      <c r="J4557" s="24">
        <v>0.0</v>
      </c>
    </row>
    <row r="4558">
      <c r="A4558" s="24">
        <v>609.0</v>
      </c>
      <c r="B4558" s="24">
        <v>4.0</v>
      </c>
      <c r="C4558" s="44">
        <v>12.49</v>
      </c>
      <c r="D4558" s="46">
        <v>45183.0</v>
      </c>
      <c r="E4558" s="24">
        <v>3.12</v>
      </c>
      <c r="F4558" s="24">
        <v>20.51</v>
      </c>
      <c r="G4558" s="24">
        <v>0.66</v>
      </c>
      <c r="H4558" s="24" t="s">
        <v>6689</v>
      </c>
      <c r="I4558" s="24" t="s">
        <v>6650</v>
      </c>
      <c r="J4558" s="24">
        <v>0.0</v>
      </c>
    </row>
    <row r="4559">
      <c r="A4559" s="24">
        <v>40.0</v>
      </c>
      <c r="B4559" s="24">
        <v>1.0</v>
      </c>
      <c r="C4559" s="44">
        <v>15.0</v>
      </c>
      <c r="D4559" s="46">
        <v>45183.0</v>
      </c>
      <c r="E4559" s="24">
        <v>15.0</v>
      </c>
      <c r="F4559" s="24">
        <v>375.0</v>
      </c>
      <c r="G4559" s="24">
        <v>2.5</v>
      </c>
      <c r="H4559" s="24" t="s">
        <v>6692</v>
      </c>
      <c r="I4559" s="24" t="s">
        <v>6650</v>
      </c>
      <c r="J4559" s="24">
        <v>0.0</v>
      </c>
    </row>
    <row r="4560">
      <c r="A4560" s="24">
        <v>138.0</v>
      </c>
      <c r="B4560" s="24">
        <v>2.0</v>
      </c>
      <c r="C4560" s="44">
        <v>14.1</v>
      </c>
      <c r="D4560" s="46">
        <v>45183.0</v>
      </c>
      <c r="E4560" s="24">
        <v>7.05</v>
      </c>
      <c r="F4560" s="24">
        <v>102.17</v>
      </c>
      <c r="G4560" s="24">
        <v>1.45</v>
      </c>
      <c r="H4560" s="24" t="s">
        <v>6680</v>
      </c>
      <c r="I4560" s="24">
        <v>14.1</v>
      </c>
      <c r="J4560" s="24">
        <v>0.0</v>
      </c>
    </row>
    <row r="4561">
      <c r="A4561" s="24">
        <v>0.0</v>
      </c>
      <c r="B4561" s="24">
        <v>1.0</v>
      </c>
      <c r="C4561" s="44">
        <v>0.0</v>
      </c>
      <c r="D4561" s="46">
        <v>45183.0</v>
      </c>
      <c r="E4561" s="24">
        <v>0.0</v>
      </c>
      <c r="F4561" s="24" t="s">
        <v>6650</v>
      </c>
      <c r="G4561" s="24" t="s">
        <v>6650</v>
      </c>
      <c r="H4561" s="24" t="s">
        <v>6702</v>
      </c>
      <c r="I4561" s="24" t="s">
        <v>6650</v>
      </c>
      <c r="J4561" s="24">
        <v>0.0</v>
      </c>
    </row>
    <row r="4562">
      <c r="A4562" s="24">
        <v>691.0</v>
      </c>
      <c r="B4562" s="24">
        <v>3.0</v>
      </c>
      <c r="C4562" s="44">
        <v>11.81</v>
      </c>
      <c r="D4562" s="46">
        <v>45183.0</v>
      </c>
      <c r="E4562" s="24">
        <v>3.94</v>
      </c>
      <c r="F4562" s="24">
        <v>17.09</v>
      </c>
      <c r="G4562" s="24">
        <v>0.43</v>
      </c>
      <c r="H4562" s="24" t="s">
        <v>6688</v>
      </c>
      <c r="I4562" s="24">
        <v>11.81</v>
      </c>
      <c r="J4562" s="24">
        <v>0.0</v>
      </c>
    </row>
    <row r="4563">
      <c r="A4563" s="24">
        <v>138.0</v>
      </c>
      <c r="B4563" s="24">
        <v>2.0</v>
      </c>
      <c r="C4563" s="44">
        <v>10.9</v>
      </c>
      <c r="D4563" s="46">
        <v>45183.0</v>
      </c>
      <c r="E4563" s="24">
        <v>5.45</v>
      </c>
      <c r="F4563" s="24">
        <v>78.99</v>
      </c>
      <c r="G4563" s="24">
        <v>1.45</v>
      </c>
      <c r="H4563" s="24" t="s">
        <v>6696</v>
      </c>
      <c r="I4563" s="24">
        <v>10.9</v>
      </c>
      <c r="J4563" s="24">
        <v>0.0</v>
      </c>
    </row>
    <row r="4564">
      <c r="A4564" s="24">
        <v>37.0</v>
      </c>
      <c r="B4564" s="24">
        <v>1.0</v>
      </c>
      <c r="C4564" s="44">
        <v>12.18</v>
      </c>
      <c r="D4564" s="46">
        <v>45183.0</v>
      </c>
      <c r="E4564" s="24">
        <v>12.18</v>
      </c>
      <c r="F4564" s="24">
        <v>329.19</v>
      </c>
      <c r="G4564" s="24">
        <v>2.7</v>
      </c>
      <c r="H4564" s="24" t="s">
        <v>6697</v>
      </c>
      <c r="I4564" s="24" t="s">
        <v>6650</v>
      </c>
      <c r="J4564" s="24">
        <v>0.0</v>
      </c>
    </row>
    <row r="4565">
      <c r="A4565" s="24">
        <v>44.0</v>
      </c>
      <c r="B4565" s="24">
        <v>0.0</v>
      </c>
      <c r="C4565" s="44">
        <v>10.27</v>
      </c>
      <c r="D4565" s="46">
        <v>45184.0</v>
      </c>
      <c r="E4565" s="24" t="s">
        <v>6650</v>
      </c>
      <c r="F4565" s="24">
        <v>233.41</v>
      </c>
      <c r="G4565" s="24">
        <v>0.0</v>
      </c>
      <c r="H4565" s="24" t="s">
        <v>6696</v>
      </c>
      <c r="I4565" s="24" t="s">
        <v>6650</v>
      </c>
      <c r="J4565" s="24">
        <v>0.0</v>
      </c>
    </row>
    <row r="4566">
      <c r="A4566" s="24">
        <v>53.0</v>
      </c>
      <c r="B4566" s="24">
        <v>0.0</v>
      </c>
      <c r="C4566" s="44">
        <v>11.68</v>
      </c>
      <c r="D4566" s="46">
        <v>45184.0</v>
      </c>
      <c r="E4566" s="24" t="s">
        <v>6650</v>
      </c>
      <c r="F4566" s="24">
        <v>220.38</v>
      </c>
      <c r="G4566" s="24">
        <v>0.0</v>
      </c>
      <c r="H4566" s="24" t="s">
        <v>6680</v>
      </c>
      <c r="I4566" s="24">
        <v>11.68</v>
      </c>
      <c r="J4566" s="24">
        <v>0.0</v>
      </c>
    </row>
    <row r="4567">
      <c r="A4567" s="24">
        <v>442.0</v>
      </c>
      <c r="B4567" s="24">
        <v>6.0</v>
      </c>
      <c r="C4567" s="44">
        <v>10.6</v>
      </c>
      <c r="D4567" s="46">
        <v>45184.0</v>
      </c>
      <c r="E4567" s="24">
        <v>1.77</v>
      </c>
      <c r="F4567" s="24">
        <v>23.98</v>
      </c>
      <c r="G4567" s="24">
        <v>1.36</v>
      </c>
      <c r="H4567" s="24" t="s">
        <v>6698</v>
      </c>
      <c r="I4567" s="24">
        <v>5.3</v>
      </c>
      <c r="J4567" s="24">
        <v>0.0</v>
      </c>
    </row>
    <row r="4568">
      <c r="A4568" s="24">
        <v>22.0</v>
      </c>
      <c r="B4568" s="24">
        <v>0.0</v>
      </c>
      <c r="C4568" s="44">
        <v>13.33</v>
      </c>
      <c r="D4568" s="46">
        <v>45184.0</v>
      </c>
      <c r="E4568" s="24" t="s">
        <v>6650</v>
      </c>
      <c r="F4568" s="24">
        <v>605.91</v>
      </c>
      <c r="G4568" s="24">
        <v>0.0</v>
      </c>
      <c r="H4568" s="24" t="s">
        <v>6697</v>
      </c>
      <c r="I4568" s="24" t="s">
        <v>6650</v>
      </c>
      <c r="J4568" s="24">
        <v>0.0</v>
      </c>
    </row>
    <row r="4569">
      <c r="A4569" s="24">
        <v>69.0</v>
      </c>
      <c r="B4569" s="24">
        <v>0.0</v>
      </c>
      <c r="C4569" s="44">
        <v>9.23</v>
      </c>
      <c r="D4569" s="46">
        <v>45184.0</v>
      </c>
      <c r="E4569" s="24" t="s">
        <v>6650</v>
      </c>
      <c r="F4569" s="24">
        <v>133.77</v>
      </c>
      <c r="G4569" s="24">
        <v>0.0</v>
      </c>
      <c r="H4569" s="24" t="s">
        <v>6692</v>
      </c>
      <c r="I4569" s="24" t="s">
        <v>6650</v>
      </c>
      <c r="J4569" s="24">
        <v>0.0</v>
      </c>
    </row>
    <row r="4570">
      <c r="A4570" s="24">
        <v>658.0</v>
      </c>
      <c r="B4570" s="24">
        <v>4.0</v>
      </c>
      <c r="C4570" s="44">
        <v>11.21</v>
      </c>
      <c r="D4570" s="46">
        <v>45184.0</v>
      </c>
      <c r="E4570" s="24">
        <v>2.8</v>
      </c>
      <c r="F4570" s="24">
        <v>17.04</v>
      </c>
      <c r="G4570" s="24">
        <v>0.61</v>
      </c>
      <c r="H4570" s="24" t="s">
        <v>6688</v>
      </c>
      <c r="I4570" s="24" t="s">
        <v>6650</v>
      </c>
      <c r="J4570" s="24">
        <v>0.0</v>
      </c>
    </row>
    <row r="4571">
      <c r="A4571" s="24">
        <v>50.0</v>
      </c>
      <c r="B4571" s="24">
        <v>0.0</v>
      </c>
      <c r="C4571" s="44">
        <v>9.39</v>
      </c>
      <c r="D4571" s="46">
        <v>45184.0</v>
      </c>
      <c r="E4571" s="24" t="s">
        <v>6650</v>
      </c>
      <c r="F4571" s="24">
        <v>187.8</v>
      </c>
      <c r="G4571" s="24">
        <v>0.0</v>
      </c>
      <c r="H4571" s="24" t="s">
        <v>6699</v>
      </c>
      <c r="I4571" s="24">
        <v>9.39</v>
      </c>
      <c r="J4571" s="24">
        <v>0.0</v>
      </c>
    </row>
    <row r="4572">
      <c r="A4572" s="24">
        <v>606.0</v>
      </c>
      <c r="B4572" s="24">
        <v>9.0</v>
      </c>
      <c r="C4572" s="44">
        <v>11.31</v>
      </c>
      <c r="D4572" s="46">
        <v>45184.0</v>
      </c>
      <c r="E4572" s="24">
        <v>1.26</v>
      </c>
      <c r="F4572" s="24">
        <v>18.66</v>
      </c>
      <c r="G4572" s="24">
        <v>1.49</v>
      </c>
      <c r="H4572" s="24" t="s">
        <v>6689</v>
      </c>
      <c r="I4572" s="24" t="s">
        <v>6650</v>
      </c>
      <c r="J4572" s="24">
        <v>0.0</v>
      </c>
    </row>
    <row r="4573">
      <c r="A4573" s="24">
        <v>3.0</v>
      </c>
      <c r="B4573" s="24">
        <v>1.0</v>
      </c>
      <c r="C4573" s="44">
        <v>2.25</v>
      </c>
      <c r="D4573" s="46">
        <v>45184.0</v>
      </c>
      <c r="E4573" s="24">
        <v>2.25</v>
      </c>
      <c r="F4573" s="24">
        <v>750.0</v>
      </c>
      <c r="G4573" s="24">
        <v>33.33</v>
      </c>
      <c r="H4573" s="24" t="s">
        <v>6702</v>
      </c>
      <c r="I4573" s="24" t="s">
        <v>6650</v>
      </c>
      <c r="J4573" s="24">
        <v>0.0</v>
      </c>
    </row>
    <row r="4574">
      <c r="A4574" s="24">
        <v>28.0</v>
      </c>
      <c r="B4574" s="24">
        <v>0.0</v>
      </c>
      <c r="C4574" s="44">
        <v>14.05</v>
      </c>
      <c r="D4574" s="46">
        <v>45184.0</v>
      </c>
      <c r="E4574" s="24" t="s">
        <v>6650</v>
      </c>
      <c r="F4574" s="24">
        <v>501.79</v>
      </c>
      <c r="G4574" s="24">
        <v>0.0</v>
      </c>
      <c r="H4574" s="24" t="s">
        <v>6695</v>
      </c>
      <c r="I4574" s="24" t="s">
        <v>6650</v>
      </c>
      <c r="J4574" s="24">
        <v>0.0</v>
      </c>
    </row>
    <row r="4575">
      <c r="A4575" s="24">
        <v>68.0</v>
      </c>
      <c r="B4575" s="24">
        <v>0.0</v>
      </c>
      <c r="C4575" s="44">
        <v>8.96</v>
      </c>
      <c r="D4575" s="46">
        <v>45184.0</v>
      </c>
      <c r="E4575" s="24" t="s">
        <v>6650</v>
      </c>
      <c r="F4575" s="24">
        <v>131.76</v>
      </c>
      <c r="G4575" s="24">
        <v>0.0</v>
      </c>
      <c r="H4575" s="24" t="s">
        <v>6701</v>
      </c>
      <c r="I4575" s="24" t="s">
        <v>6650</v>
      </c>
      <c r="J4575" s="24">
        <v>0.0</v>
      </c>
    </row>
    <row r="4576">
      <c r="A4576" s="24">
        <v>58.0</v>
      </c>
      <c r="B4576" s="24">
        <v>1.0</v>
      </c>
      <c r="C4576" s="44">
        <v>9.26</v>
      </c>
      <c r="D4576" s="46">
        <v>45184.0</v>
      </c>
      <c r="E4576" s="24">
        <v>9.26</v>
      </c>
      <c r="F4576" s="24">
        <v>159.66</v>
      </c>
      <c r="G4576" s="24">
        <v>1.72</v>
      </c>
      <c r="H4576" s="24" t="s">
        <v>6700</v>
      </c>
      <c r="I4576" s="24">
        <v>4.63</v>
      </c>
      <c r="J4576" s="24">
        <v>0.0</v>
      </c>
    </row>
    <row r="4577">
      <c r="A4577" s="24">
        <v>22.0</v>
      </c>
      <c r="B4577" s="24">
        <v>1.0</v>
      </c>
      <c r="C4577" s="44">
        <v>6.89</v>
      </c>
      <c r="D4577" s="46">
        <v>45185.0</v>
      </c>
      <c r="E4577" s="24">
        <v>6.89</v>
      </c>
      <c r="F4577" s="24">
        <v>313.18</v>
      </c>
      <c r="G4577" s="24">
        <v>4.55</v>
      </c>
      <c r="H4577" s="24" t="s">
        <v>6696</v>
      </c>
      <c r="I4577" s="24" t="s">
        <v>6650</v>
      </c>
      <c r="J4577" s="24">
        <v>0.0</v>
      </c>
    </row>
    <row r="4578">
      <c r="A4578" s="24">
        <v>27.0</v>
      </c>
      <c r="B4578" s="24">
        <v>0.0</v>
      </c>
      <c r="C4578" s="44">
        <v>5.53</v>
      </c>
      <c r="D4578" s="46">
        <v>45185.0</v>
      </c>
      <c r="E4578" s="24" t="s">
        <v>6650</v>
      </c>
      <c r="F4578" s="24">
        <v>204.81</v>
      </c>
      <c r="G4578" s="24">
        <v>0.0</v>
      </c>
      <c r="H4578" s="24" t="s">
        <v>6701</v>
      </c>
      <c r="I4578" s="24" t="s">
        <v>6650</v>
      </c>
      <c r="J4578" s="24">
        <v>0.0</v>
      </c>
    </row>
    <row r="4579">
      <c r="A4579" s="24">
        <v>27.0</v>
      </c>
      <c r="B4579" s="24">
        <v>0.0</v>
      </c>
      <c r="C4579" s="44">
        <v>6.69</v>
      </c>
      <c r="D4579" s="46">
        <v>45185.0</v>
      </c>
      <c r="E4579" s="24" t="s">
        <v>6650</v>
      </c>
      <c r="F4579" s="24">
        <v>247.78</v>
      </c>
      <c r="G4579" s="24">
        <v>0.0</v>
      </c>
      <c r="H4579" s="24" t="s">
        <v>6692</v>
      </c>
      <c r="I4579" s="24" t="s">
        <v>6650</v>
      </c>
      <c r="J4579" s="24">
        <v>0.0</v>
      </c>
    </row>
    <row r="4580">
      <c r="A4580" s="24">
        <v>19.0</v>
      </c>
      <c r="B4580" s="24">
        <v>0.0</v>
      </c>
      <c r="C4580" s="44">
        <v>6.49</v>
      </c>
      <c r="D4580" s="46">
        <v>45185.0</v>
      </c>
      <c r="E4580" s="24" t="s">
        <v>6650</v>
      </c>
      <c r="F4580" s="24">
        <v>341.58</v>
      </c>
      <c r="G4580" s="24">
        <v>0.0</v>
      </c>
      <c r="H4580" s="24" t="s">
        <v>6695</v>
      </c>
      <c r="I4580" s="24" t="s">
        <v>6650</v>
      </c>
      <c r="J4580" s="24">
        <v>0.0</v>
      </c>
    </row>
    <row r="4581">
      <c r="A4581" s="24">
        <v>330.0</v>
      </c>
      <c r="B4581" s="24">
        <v>1.0</v>
      </c>
      <c r="C4581" s="44">
        <v>6.36</v>
      </c>
      <c r="D4581" s="46">
        <v>45185.0</v>
      </c>
      <c r="E4581" s="24">
        <v>6.36</v>
      </c>
      <c r="F4581" s="24">
        <v>19.27</v>
      </c>
      <c r="G4581" s="24">
        <v>0.3</v>
      </c>
      <c r="H4581" s="24" t="s">
        <v>6689</v>
      </c>
      <c r="I4581" s="24" t="s">
        <v>6650</v>
      </c>
      <c r="J4581" s="24">
        <v>0.0</v>
      </c>
    </row>
    <row r="4582">
      <c r="A4582" s="24">
        <v>9.0</v>
      </c>
      <c r="B4582" s="24">
        <v>0.0</v>
      </c>
      <c r="C4582" s="44">
        <v>5.86</v>
      </c>
      <c r="D4582" s="46">
        <v>45185.0</v>
      </c>
      <c r="E4582" s="24" t="s">
        <v>6650</v>
      </c>
      <c r="F4582" s="24">
        <v>651.11</v>
      </c>
      <c r="G4582" s="24">
        <v>0.0</v>
      </c>
      <c r="H4582" s="24" t="s">
        <v>6697</v>
      </c>
      <c r="I4582" s="24" t="s">
        <v>6650</v>
      </c>
      <c r="J4582" s="24">
        <v>0.0</v>
      </c>
    </row>
    <row r="4583">
      <c r="A4583" s="24">
        <v>17.0</v>
      </c>
      <c r="B4583" s="24">
        <v>1.0</v>
      </c>
      <c r="C4583" s="44">
        <v>6.34</v>
      </c>
      <c r="D4583" s="46">
        <v>45185.0</v>
      </c>
      <c r="E4583" s="24">
        <v>6.34</v>
      </c>
      <c r="F4583" s="24">
        <v>372.94</v>
      </c>
      <c r="G4583" s="24">
        <v>5.88</v>
      </c>
      <c r="H4583" s="24" t="s">
        <v>6699</v>
      </c>
      <c r="I4583" s="24" t="s">
        <v>6650</v>
      </c>
      <c r="J4583" s="24">
        <v>0.0</v>
      </c>
    </row>
    <row r="4584">
      <c r="A4584" s="24">
        <v>126.0</v>
      </c>
      <c r="B4584" s="24">
        <v>1.0</v>
      </c>
      <c r="C4584" s="44">
        <v>7.36</v>
      </c>
      <c r="D4584" s="46">
        <v>45185.0</v>
      </c>
      <c r="E4584" s="24">
        <v>7.36</v>
      </c>
      <c r="F4584" s="24">
        <v>58.41</v>
      </c>
      <c r="G4584" s="24">
        <v>0.79</v>
      </c>
      <c r="H4584" s="24" t="s">
        <v>6698</v>
      </c>
      <c r="I4584" s="24" t="s">
        <v>6650</v>
      </c>
      <c r="J4584" s="24">
        <v>0.0</v>
      </c>
    </row>
    <row r="4585">
      <c r="A4585" s="24">
        <v>50.0</v>
      </c>
      <c r="B4585" s="24">
        <v>0.0</v>
      </c>
      <c r="C4585" s="44">
        <v>6.18</v>
      </c>
      <c r="D4585" s="46">
        <v>45185.0</v>
      </c>
      <c r="E4585" s="24" t="s">
        <v>6650</v>
      </c>
      <c r="F4585" s="24">
        <v>123.6</v>
      </c>
      <c r="G4585" s="24">
        <v>0.0</v>
      </c>
      <c r="H4585" s="24" t="s">
        <v>6700</v>
      </c>
      <c r="I4585" s="24" t="s">
        <v>6650</v>
      </c>
      <c r="J4585" s="24">
        <v>0.0</v>
      </c>
    </row>
    <row r="4586">
      <c r="A4586" s="24">
        <v>430.0</v>
      </c>
      <c r="B4586" s="24">
        <v>3.0</v>
      </c>
      <c r="C4586" s="44">
        <v>6.68</v>
      </c>
      <c r="D4586" s="46">
        <v>45185.0</v>
      </c>
      <c r="E4586" s="24">
        <v>2.23</v>
      </c>
      <c r="F4586" s="24">
        <v>15.53</v>
      </c>
      <c r="G4586" s="24">
        <v>0.7</v>
      </c>
      <c r="H4586" s="24" t="s">
        <v>6688</v>
      </c>
      <c r="I4586" s="24" t="s">
        <v>6650</v>
      </c>
      <c r="J4586" s="24">
        <v>0.0</v>
      </c>
    </row>
    <row r="4587">
      <c r="A4587" s="24">
        <v>39.0</v>
      </c>
      <c r="B4587" s="24">
        <v>0.0</v>
      </c>
      <c r="C4587" s="44">
        <v>7.44</v>
      </c>
      <c r="D4587" s="46">
        <v>45185.0</v>
      </c>
      <c r="E4587" s="24" t="s">
        <v>6650</v>
      </c>
      <c r="F4587" s="24">
        <v>190.77</v>
      </c>
      <c r="G4587" s="24">
        <v>0.0</v>
      </c>
      <c r="H4587" s="24" t="s">
        <v>6680</v>
      </c>
      <c r="I4587" s="24" t="s">
        <v>6650</v>
      </c>
      <c r="J4587" s="24">
        <v>0.0</v>
      </c>
    </row>
    <row r="4588">
      <c r="A4588" s="24">
        <v>13.0</v>
      </c>
      <c r="B4588" s="24">
        <v>0.0</v>
      </c>
      <c r="C4588" s="44">
        <v>1.81</v>
      </c>
      <c r="D4588" s="46">
        <v>45186.0</v>
      </c>
      <c r="E4588" s="24" t="s">
        <v>6650</v>
      </c>
      <c r="F4588" s="24">
        <v>139.23</v>
      </c>
      <c r="G4588" s="24">
        <v>0.0</v>
      </c>
      <c r="H4588" s="24" t="s">
        <v>6695</v>
      </c>
      <c r="I4588" s="24" t="s">
        <v>6650</v>
      </c>
      <c r="J4588" s="24">
        <v>0.0</v>
      </c>
    </row>
    <row r="4589">
      <c r="A4589" s="24">
        <v>36.0</v>
      </c>
      <c r="B4589" s="24">
        <v>0.0</v>
      </c>
      <c r="C4589" s="44">
        <v>3.24</v>
      </c>
      <c r="D4589" s="46">
        <v>45186.0</v>
      </c>
      <c r="E4589" s="24" t="s">
        <v>6650</v>
      </c>
      <c r="F4589" s="24">
        <v>90.0</v>
      </c>
      <c r="G4589" s="24">
        <v>0.0</v>
      </c>
      <c r="H4589" s="24" t="s">
        <v>6696</v>
      </c>
      <c r="I4589" s="24" t="s">
        <v>6650</v>
      </c>
      <c r="J4589" s="24">
        <v>0.0</v>
      </c>
    </row>
    <row r="4590">
      <c r="A4590" s="24">
        <v>39.0</v>
      </c>
      <c r="B4590" s="24">
        <v>0.0</v>
      </c>
      <c r="C4590" s="44">
        <v>3.2</v>
      </c>
      <c r="D4590" s="46">
        <v>45186.0</v>
      </c>
      <c r="E4590" s="24" t="s">
        <v>6650</v>
      </c>
      <c r="F4590" s="24">
        <v>82.05</v>
      </c>
      <c r="G4590" s="24">
        <v>0.0</v>
      </c>
      <c r="H4590" s="24" t="s">
        <v>6692</v>
      </c>
      <c r="I4590" s="24" t="s">
        <v>6650</v>
      </c>
      <c r="J4590" s="24">
        <v>0.0</v>
      </c>
    </row>
    <row r="4591">
      <c r="A4591" s="24">
        <v>57.0</v>
      </c>
      <c r="B4591" s="24">
        <v>3.0</v>
      </c>
      <c r="C4591" s="44">
        <v>3.96</v>
      </c>
      <c r="D4591" s="46">
        <v>45186.0</v>
      </c>
      <c r="E4591" s="24">
        <v>1.32</v>
      </c>
      <c r="F4591" s="24">
        <v>69.47</v>
      </c>
      <c r="G4591" s="24">
        <v>5.26</v>
      </c>
      <c r="H4591" s="24" t="s">
        <v>6680</v>
      </c>
      <c r="I4591" s="24">
        <v>1.98</v>
      </c>
      <c r="J4591" s="24">
        <v>0.0</v>
      </c>
    </row>
    <row r="4592">
      <c r="A4592" s="24">
        <v>20.0</v>
      </c>
      <c r="B4592" s="24">
        <v>0.0</v>
      </c>
      <c r="C4592" s="44">
        <v>1.52</v>
      </c>
      <c r="D4592" s="46">
        <v>45186.0</v>
      </c>
      <c r="E4592" s="24" t="s">
        <v>6650</v>
      </c>
      <c r="F4592" s="24">
        <v>76.0</v>
      </c>
      <c r="G4592" s="24">
        <v>0.0</v>
      </c>
      <c r="H4592" s="24" t="s">
        <v>6699</v>
      </c>
      <c r="I4592" s="24" t="s">
        <v>6650</v>
      </c>
      <c r="J4592" s="24">
        <v>0.0</v>
      </c>
    </row>
    <row r="4593">
      <c r="A4593" s="24">
        <v>4.0</v>
      </c>
      <c r="B4593" s="24">
        <v>1.0</v>
      </c>
      <c r="C4593" s="44">
        <v>3.0</v>
      </c>
      <c r="D4593" s="46">
        <v>45186.0</v>
      </c>
      <c r="E4593" s="24">
        <v>3.0</v>
      </c>
      <c r="F4593" s="24">
        <v>750.0</v>
      </c>
      <c r="G4593" s="24">
        <v>25.0</v>
      </c>
      <c r="H4593" s="24" t="s">
        <v>6702</v>
      </c>
      <c r="I4593" s="24" t="s">
        <v>6650</v>
      </c>
      <c r="J4593" s="24">
        <v>0.0</v>
      </c>
    </row>
    <row r="4594">
      <c r="A4594" s="24">
        <v>282.0</v>
      </c>
      <c r="B4594" s="24">
        <v>7.0</v>
      </c>
      <c r="C4594" s="44">
        <v>5.32</v>
      </c>
      <c r="D4594" s="46">
        <v>45186.0</v>
      </c>
      <c r="E4594" s="24">
        <v>0.76</v>
      </c>
      <c r="F4594" s="24">
        <v>18.87</v>
      </c>
      <c r="G4594" s="24">
        <v>2.48</v>
      </c>
      <c r="H4594" s="24" t="s">
        <v>6689</v>
      </c>
      <c r="I4594" s="24" t="s">
        <v>6650</v>
      </c>
      <c r="J4594" s="24">
        <v>0.0</v>
      </c>
    </row>
    <row r="4595">
      <c r="A4595" s="24">
        <v>460.0</v>
      </c>
      <c r="B4595" s="24">
        <v>6.0</v>
      </c>
      <c r="C4595" s="44">
        <v>6.79</v>
      </c>
      <c r="D4595" s="46">
        <v>45186.0</v>
      </c>
      <c r="E4595" s="24">
        <v>1.13</v>
      </c>
      <c r="F4595" s="24">
        <v>14.76</v>
      </c>
      <c r="G4595" s="24">
        <v>1.3</v>
      </c>
      <c r="H4595" s="24" t="s">
        <v>6688</v>
      </c>
      <c r="I4595" s="24" t="s">
        <v>6650</v>
      </c>
      <c r="J4595" s="24">
        <v>0.0</v>
      </c>
    </row>
    <row r="4596">
      <c r="A4596" s="24">
        <v>49.0</v>
      </c>
      <c r="B4596" s="24">
        <v>0.0</v>
      </c>
      <c r="C4596" s="44">
        <v>5.39</v>
      </c>
      <c r="D4596" s="46">
        <v>45186.0</v>
      </c>
      <c r="E4596" s="24" t="s">
        <v>6650</v>
      </c>
      <c r="F4596" s="24">
        <v>110.0</v>
      </c>
      <c r="G4596" s="24">
        <v>0.0</v>
      </c>
      <c r="H4596" s="24" t="s">
        <v>6698</v>
      </c>
      <c r="I4596" s="24">
        <v>5.39</v>
      </c>
      <c r="J4596" s="24">
        <v>0.0</v>
      </c>
    </row>
    <row r="4597">
      <c r="A4597" s="24">
        <v>24.0</v>
      </c>
      <c r="B4597" s="24">
        <v>0.0</v>
      </c>
      <c r="C4597" s="44">
        <v>2.25</v>
      </c>
      <c r="D4597" s="46">
        <v>45186.0</v>
      </c>
      <c r="E4597" s="24" t="s">
        <v>6650</v>
      </c>
      <c r="F4597" s="24">
        <v>93.75</v>
      </c>
      <c r="G4597" s="24">
        <v>0.0</v>
      </c>
      <c r="H4597" s="24" t="s">
        <v>6701</v>
      </c>
      <c r="I4597" s="24" t="s">
        <v>6650</v>
      </c>
      <c r="J4597" s="24">
        <v>0.0</v>
      </c>
    </row>
    <row r="4598">
      <c r="A4598" s="24">
        <v>46.0</v>
      </c>
      <c r="B4598" s="24">
        <v>0.0</v>
      </c>
      <c r="C4598" s="44">
        <v>5.25</v>
      </c>
      <c r="D4598" s="46">
        <v>45186.0</v>
      </c>
      <c r="E4598" s="24" t="s">
        <v>6650</v>
      </c>
      <c r="F4598" s="24">
        <v>114.13</v>
      </c>
      <c r="G4598" s="24">
        <v>0.0</v>
      </c>
      <c r="H4598" s="24" t="s">
        <v>6700</v>
      </c>
      <c r="I4598" s="24" t="s">
        <v>6650</v>
      </c>
      <c r="J4598" s="24">
        <v>0.0</v>
      </c>
    </row>
    <row r="4599">
      <c r="A4599" s="24">
        <v>88.0</v>
      </c>
      <c r="B4599" s="24">
        <v>2.0</v>
      </c>
      <c r="C4599" s="44">
        <v>11.26</v>
      </c>
      <c r="D4599" s="46">
        <v>45187.0</v>
      </c>
      <c r="E4599" s="24">
        <v>5.63</v>
      </c>
      <c r="F4599" s="24">
        <v>127.95</v>
      </c>
      <c r="G4599" s="24">
        <v>2.27</v>
      </c>
      <c r="H4599" s="24" t="s">
        <v>6692</v>
      </c>
      <c r="I4599" s="24" t="s">
        <v>6650</v>
      </c>
      <c r="J4599" s="24">
        <v>0.0</v>
      </c>
    </row>
    <row r="4600">
      <c r="A4600" s="24">
        <v>111.0</v>
      </c>
      <c r="B4600" s="24">
        <v>0.0</v>
      </c>
      <c r="C4600" s="44">
        <v>11.52</v>
      </c>
      <c r="D4600" s="46">
        <v>45187.0</v>
      </c>
      <c r="E4600" s="24" t="s">
        <v>6650</v>
      </c>
      <c r="F4600" s="24">
        <v>103.78</v>
      </c>
      <c r="G4600" s="24">
        <v>0.0</v>
      </c>
      <c r="H4600" s="24" t="s">
        <v>6700</v>
      </c>
      <c r="I4600" s="24" t="s">
        <v>6650</v>
      </c>
      <c r="J4600" s="24">
        <v>0.0</v>
      </c>
    </row>
    <row r="4601">
      <c r="A4601" s="24">
        <v>120.0</v>
      </c>
      <c r="B4601" s="24">
        <v>1.0</v>
      </c>
      <c r="C4601" s="44">
        <v>13.74</v>
      </c>
      <c r="D4601" s="46">
        <v>45187.0</v>
      </c>
      <c r="E4601" s="24">
        <v>13.74</v>
      </c>
      <c r="F4601" s="24">
        <v>114.5</v>
      </c>
      <c r="G4601" s="24">
        <v>0.83</v>
      </c>
      <c r="H4601" s="24" t="s">
        <v>6680</v>
      </c>
      <c r="I4601" s="24" t="s">
        <v>6650</v>
      </c>
      <c r="J4601" s="24">
        <v>0.0</v>
      </c>
    </row>
    <row r="4602">
      <c r="A4602" s="24">
        <v>766.0</v>
      </c>
      <c r="B4602" s="24">
        <v>11.0</v>
      </c>
      <c r="C4602" s="44">
        <v>9.94</v>
      </c>
      <c r="D4602" s="46">
        <v>45187.0</v>
      </c>
      <c r="E4602" s="24">
        <v>0.9</v>
      </c>
      <c r="F4602" s="24">
        <v>12.98</v>
      </c>
      <c r="G4602" s="24">
        <v>1.44</v>
      </c>
      <c r="H4602" s="24" t="s">
        <v>6689</v>
      </c>
      <c r="I4602" s="24" t="s">
        <v>6650</v>
      </c>
      <c r="J4602" s="24">
        <v>0.0</v>
      </c>
    </row>
    <row r="4603">
      <c r="A4603" s="24">
        <v>57.0</v>
      </c>
      <c r="B4603" s="24">
        <v>0.0</v>
      </c>
      <c r="C4603" s="44">
        <v>12.82</v>
      </c>
      <c r="D4603" s="46">
        <v>45187.0</v>
      </c>
      <c r="E4603" s="24" t="s">
        <v>6650</v>
      </c>
      <c r="F4603" s="24">
        <v>224.91</v>
      </c>
      <c r="G4603" s="24">
        <v>0.0</v>
      </c>
      <c r="H4603" s="24" t="s">
        <v>6699</v>
      </c>
      <c r="I4603" s="24" t="s">
        <v>6650</v>
      </c>
      <c r="J4603" s="24">
        <v>0.0</v>
      </c>
    </row>
    <row r="4604">
      <c r="A4604" s="24">
        <v>4.0</v>
      </c>
      <c r="B4604" s="24">
        <v>4.0</v>
      </c>
      <c r="C4604" s="44">
        <v>3.0</v>
      </c>
      <c r="D4604" s="46">
        <v>45187.0</v>
      </c>
      <c r="E4604" s="24">
        <v>0.75</v>
      </c>
      <c r="F4604" s="24">
        <v>750.0</v>
      </c>
      <c r="G4604" s="24">
        <v>100.0</v>
      </c>
      <c r="H4604" s="24" t="s">
        <v>6702</v>
      </c>
      <c r="I4604" s="24" t="s">
        <v>6650</v>
      </c>
      <c r="J4604" s="24">
        <v>0.0</v>
      </c>
    </row>
    <row r="4605">
      <c r="A4605" s="24">
        <v>39.0</v>
      </c>
      <c r="B4605" s="24">
        <v>0.0</v>
      </c>
      <c r="C4605" s="44">
        <v>12.61</v>
      </c>
      <c r="D4605" s="46">
        <v>45187.0</v>
      </c>
      <c r="E4605" s="24" t="s">
        <v>6650</v>
      </c>
      <c r="F4605" s="24">
        <v>323.33</v>
      </c>
      <c r="G4605" s="24">
        <v>0.0</v>
      </c>
      <c r="H4605" s="24" t="s">
        <v>6695</v>
      </c>
      <c r="I4605" s="24" t="s">
        <v>6650</v>
      </c>
      <c r="J4605" s="24">
        <v>0.0</v>
      </c>
    </row>
    <row r="4606">
      <c r="A4606" s="24">
        <v>71.0</v>
      </c>
      <c r="B4606" s="24">
        <v>0.0</v>
      </c>
      <c r="C4606" s="44">
        <v>11.23</v>
      </c>
      <c r="D4606" s="46">
        <v>45187.0</v>
      </c>
      <c r="E4606" s="24" t="s">
        <v>6650</v>
      </c>
      <c r="F4606" s="24">
        <v>158.17</v>
      </c>
      <c r="G4606" s="24">
        <v>0.0</v>
      </c>
      <c r="H4606" s="24" t="s">
        <v>6701</v>
      </c>
      <c r="I4606" s="24" t="s">
        <v>6650</v>
      </c>
      <c r="J4606" s="24">
        <v>0.0</v>
      </c>
    </row>
    <row r="4607">
      <c r="A4607" s="24">
        <v>18.0</v>
      </c>
      <c r="B4607" s="24">
        <v>0.0</v>
      </c>
      <c r="C4607" s="44">
        <v>12.46</v>
      </c>
      <c r="D4607" s="46">
        <v>45187.0</v>
      </c>
      <c r="E4607" s="24" t="s">
        <v>6650</v>
      </c>
      <c r="F4607" s="24">
        <v>692.22</v>
      </c>
      <c r="G4607" s="24">
        <v>0.0</v>
      </c>
      <c r="H4607" s="24" t="s">
        <v>6697</v>
      </c>
      <c r="I4607" s="24" t="s">
        <v>6650</v>
      </c>
      <c r="J4607" s="24">
        <v>0.0</v>
      </c>
    </row>
    <row r="4608">
      <c r="A4608" s="24">
        <v>631.0</v>
      </c>
      <c r="B4608" s="24">
        <v>6.0</v>
      </c>
      <c r="C4608" s="44">
        <v>11.3</v>
      </c>
      <c r="D4608" s="46">
        <v>45187.0</v>
      </c>
      <c r="E4608" s="24">
        <v>1.88</v>
      </c>
      <c r="F4608" s="24">
        <v>17.91</v>
      </c>
      <c r="G4608" s="24">
        <v>0.95</v>
      </c>
      <c r="H4608" s="24" t="s">
        <v>6688</v>
      </c>
      <c r="I4608" s="24" t="s">
        <v>6650</v>
      </c>
      <c r="J4608" s="24">
        <v>0.0</v>
      </c>
    </row>
    <row r="4609">
      <c r="A4609" s="24">
        <v>276.0</v>
      </c>
      <c r="B4609" s="24">
        <v>3.0</v>
      </c>
      <c r="C4609" s="44">
        <v>11.62</v>
      </c>
      <c r="D4609" s="46">
        <v>45187.0</v>
      </c>
      <c r="E4609" s="24">
        <v>3.87</v>
      </c>
      <c r="F4609" s="24">
        <v>42.1</v>
      </c>
      <c r="G4609" s="24">
        <v>1.09</v>
      </c>
      <c r="H4609" s="24" t="s">
        <v>6698</v>
      </c>
      <c r="I4609" s="24">
        <v>5.81</v>
      </c>
      <c r="J4609" s="24">
        <v>0.0</v>
      </c>
    </row>
    <row r="4610">
      <c r="A4610" s="24">
        <v>63.0</v>
      </c>
      <c r="B4610" s="24">
        <v>0.0</v>
      </c>
      <c r="C4610" s="44">
        <v>13.12</v>
      </c>
      <c r="D4610" s="46">
        <v>45187.0</v>
      </c>
      <c r="E4610" s="24" t="s">
        <v>6650</v>
      </c>
      <c r="F4610" s="24">
        <v>208.25</v>
      </c>
      <c r="G4610" s="24">
        <v>0.0</v>
      </c>
      <c r="H4610" s="24" t="s">
        <v>6696</v>
      </c>
      <c r="I4610" s="24" t="s">
        <v>6650</v>
      </c>
      <c r="J4610" s="24">
        <v>0.0</v>
      </c>
    </row>
    <row r="4611">
      <c r="A4611" s="24">
        <v>56.0</v>
      </c>
      <c r="B4611" s="24">
        <v>0.0</v>
      </c>
      <c r="C4611" s="44">
        <v>12.78</v>
      </c>
      <c r="D4611" s="46">
        <v>45188.0</v>
      </c>
      <c r="E4611" s="24" t="s">
        <v>6650</v>
      </c>
      <c r="F4611" s="24">
        <v>228.21</v>
      </c>
      <c r="G4611" s="24">
        <v>0.0</v>
      </c>
      <c r="H4611" s="24" t="s">
        <v>6699</v>
      </c>
      <c r="I4611" s="24" t="s">
        <v>6650</v>
      </c>
      <c r="J4611" s="24">
        <v>0.0</v>
      </c>
    </row>
    <row r="4612">
      <c r="A4612" s="24">
        <v>769.0</v>
      </c>
      <c r="B4612" s="24">
        <v>3.0</v>
      </c>
      <c r="C4612" s="44">
        <v>12.48</v>
      </c>
      <c r="D4612" s="46">
        <v>45188.0</v>
      </c>
      <c r="E4612" s="24">
        <v>4.16</v>
      </c>
      <c r="F4612" s="24">
        <v>16.23</v>
      </c>
      <c r="G4612" s="24">
        <v>0.39</v>
      </c>
      <c r="H4612" s="24" t="s">
        <v>6689</v>
      </c>
      <c r="I4612" s="24" t="s">
        <v>6650</v>
      </c>
      <c r="J4612" s="24">
        <v>0.0</v>
      </c>
    </row>
    <row r="4613">
      <c r="A4613" s="24">
        <v>54.0</v>
      </c>
      <c r="B4613" s="24">
        <v>0.0</v>
      </c>
      <c r="C4613" s="44">
        <v>10.98</v>
      </c>
      <c r="D4613" s="46">
        <v>45188.0</v>
      </c>
      <c r="E4613" s="24" t="s">
        <v>6650</v>
      </c>
      <c r="F4613" s="24">
        <v>203.33</v>
      </c>
      <c r="G4613" s="24">
        <v>0.0</v>
      </c>
      <c r="H4613" s="24" t="s">
        <v>6692</v>
      </c>
      <c r="I4613" s="24" t="s">
        <v>6650</v>
      </c>
      <c r="J4613" s="24">
        <v>0.0</v>
      </c>
    </row>
    <row r="4614">
      <c r="A4614" s="24">
        <v>96.0</v>
      </c>
      <c r="B4614" s="24">
        <v>1.0</v>
      </c>
      <c r="C4614" s="44">
        <v>13.27</v>
      </c>
      <c r="D4614" s="46">
        <v>45188.0</v>
      </c>
      <c r="E4614" s="24">
        <v>13.27</v>
      </c>
      <c r="F4614" s="24">
        <v>138.23</v>
      </c>
      <c r="G4614" s="24">
        <v>1.04</v>
      </c>
      <c r="H4614" s="24" t="s">
        <v>6700</v>
      </c>
      <c r="I4614" s="24">
        <v>13.27</v>
      </c>
      <c r="J4614" s="24">
        <v>0.0</v>
      </c>
    </row>
    <row r="4615">
      <c r="A4615" s="24">
        <v>34.0</v>
      </c>
      <c r="B4615" s="24">
        <v>1.0</v>
      </c>
      <c r="C4615" s="44">
        <v>13.53</v>
      </c>
      <c r="D4615" s="46">
        <v>45188.0</v>
      </c>
      <c r="E4615" s="24">
        <v>13.53</v>
      </c>
      <c r="F4615" s="24">
        <v>397.94</v>
      </c>
      <c r="G4615" s="24">
        <v>2.94</v>
      </c>
      <c r="H4615" s="24" t="s">
        <v>6697</v>
      </c>
      <c r="I4615" s="24" t="s">
        <v>6650</v>
      </c>
      <c r="J4615" s="24">
        <v>0.0</v>
      </c>
    </row>
    <row r="4616">
      <c r="A4616" s="24">
        <v>31.0</v>
      </c>
      <c r="B4616" s="24">
        <v>0.0</v>
      </c>
      <c r="C4616" s="44">
        <v>12.47</v>
      </c>
      <c r="D4616" s="46">
        <v>45188.0</v>
      </c>
      <c r="E4616" s="24" t="s">
        <v>6650</v>
      </c>
      <c r="F4616" s="24">
        <v>402.26</v>
      </c>
      <c r="G4616" s="24">
        <v>0.0</v>
      </c>
      <c r="H4616" s="24" t="s">
        <v>6695</v>
      </c>
      <c r="I4616" s="24" t="s">
        <v>6650</v>
      </c>
      <c r="J4616" s="24">
        <v>0.0</v>
      </c>
    </row>
    <row r="4617">
      <c r="A4617" s="24">
        <v>83.0</v>
      </c>
      <c r="B4617" s="24">
        <v>0.0</v>
      </c>
      <c r="C4617" s="44">
        <v>13.2</v>
      </c>
      <c r="D4617" s="46">
        <v>45188.0</v>
      </c>
      <c r="E4617" s="24" t="s">
        <v>6650</v>
      </c>
      <c r="F4617" s="24">
        <v>159.04</v>
      </c>
      <c r="G4617" s="24">
        <v>0.0</v>
      </c>
      <c r="H4617" s="24" t="s">
        <v>6701</v>
      </c>
      <c r="I4617" s="24">
        <v>13.2</v>
      </c>
      <c r="J4617" s="24">
        <v>0.0</v>
      </c>
    </row>
    <row r="4618">
      <c r="A4618" s="24">
        <v>438.0</v>
      </c>
      <c r="B4618" s="24">
        <v>4.0</v>
      </c>
      <c r="C4618" s="44">
        <v>11.67</v>
      </c>
      <c r="D4618" s="46">
        <v>45188.0</v>
      </c>
      <c r="E4618" s="24">
        <v>2.92</v>
      </c>
      <c r="F4618" s="24">
        <v>26.64</v>
      </c>
      <c r="G4618" s="24">
        <v>0.91</v>
      </c>
      <c r="H4618" s="24" t="s">
        <v>6698</v>
      </c>
      <c r="I4618" s="24">
        <v>3.89</v>
      </c>
      <c r="J4618" s="24">
        <v>0.0</v>
      </c>
    </row>
    <row r="4619">
      <c r="A4619" s="24">
        <v>44.0</v>
      </c>
      <c r="B4619" s="24">
        <v>1.0</v>
      </c>
      <c r="C4619" s="44">
        <v>11.4</v>
      </c>
      <c r="D4619" s="46">
        <v>45188.0</v>
      </c>
      <c r="E4619" s="24">
        <v>11.4</v>
      </c>
      <c r="F4619" s="24">
        <v>259.09</v>
      </c>
      <c r="G4619" s="24">
        <v>2.27</v>
      </c>
      <c r="H4619" s="24" t="s">
        <v>6696</v>
      </c>
      <c r="I4619" s="24" t="s">
        <v>6650</v>
      </c>
      <c r="J4619" s="24">
        <v>0.0</v>
      </c>
    </row>
    <row r="4620">
      <c r="A4620" s="24">
        <v>108.0</v>
      </c>
      <c r="B4620" s="24">
        <v>0.0</v>
      </c>
      <c r="C4620" s="44">
        <v>13.2</v>
      </c>
      <c r="D4620" s="46">
        <v>45188.0</v>
      </c>
      <c r="E4620" s="24" t="s">
        <v>6650</v>
      </c>
      <c r="F4620" s="24">
        <v>122.22</v>
      </c>
      <c r="G4620" s="24">
        <v>0.0</v>
      </c>
      <c r="H4620" s="24" t="s">
        <v>6680</v>
      </c>
      <c r="I4620" s="24" t="s">
        <v>6650</v>
      </c>
      <c r="J4620" s="24">
        <v>0.0</v>
      </c>
    </row>
    <row r="4621">
      <c r="A4621" s="24">
        <v>16.0</v>
      </c>
      <c r="B4621" s="24">
        <v>3.0</v>
      </c>
      <c r="C4621" s="44">
        <v>12.0</v>
      </c>
      <c r="D4621" s="46">
        <v>45188.0</v>
      </c>
      <c r="E4621" s="24">
        <v>4.0</v>
      </c>
      <c r="F4621" s="24">
        <v>750.0</v>
      </c>
      <c r="G4621" s="24">
        <v>18.75</v>
      </c>
      <c r="H4621" s="24" t="s">
        <v>6702</v>
      </c>
      <c r="I4621" s="24" t="s">
        <v>6650</v>
      </c>
      <c r="J4621" s="24">
        <v>0.0</v>
      </c>
    </row>
    <row r="4622">
      <c r="A4622" s="24">
        <v>721.0</v>
      </c>
      <c r="B4622" s="24">
        <v>6.0</v>
      </c>
      <c r="C4622" s="44">
        <v>11.0</v>
      </c>
      <c r="D4622" s="46">
        <v>45188.0</v>
      </c>
      <c r="E4622" s="24">
        <v>1.83</v>
      </c>
      <c r="F4622" s="24">
        <v>15.26</v>
      </c>
      <c r="G4622" s="24">
        <v>0.83</v>
      </c>
      <c r="H4622" s="24" t="s">
        <v>6688</v>
      </c>
      <c r="I4622" s="24" t="s">
        <v>6650</v>
      </c>
      <c r="J4622" s="24">
        <v>0.0</v>
      </c>
    </row>
    <row r="4623">
      <c r="A4623" s="24">
        <v>74.0</v>
      </c>
      <c r="B4623" s="24">
        <v>0.0</v>
      </c>
      <c r="C4623" s="44">
        <v>12.12</v>
      </c>
      <c r="D4623" s="46">
        <v>45189.0</v>
      </c>
      <c r="E4623" s="24" t="s">
        <v>6650</v>
      </c>
      <c r="F4623" s="24">
        <v>163.78</v>
      </c>
      <c r="G4623" s="24">
        <v>0.0</v>
      </c>
      <c r="H4623" s="24" t="s">
        <v>6700</v>
      </c>
      <c r="I4623" s="24" t="s">
        <v>6650</v>
      </c>
      <c r="J4623" s="24">
        <v>0.0</v>
      </c>
    </row>
    <row r="4624">
      <c r="A4624" s="24">
        <v>51.0</v>
      </c>
      <c r="B4624" s="24">
        <v>0.0</v>
      </c>
      <c r="C4624" s="44">
        <v>11.9</v>
      </c>
      <c r="D4624" s="46">
        <v>45189.0</v>
      </c>
      <c r="E4624" s="24" t="s">
        <v>6650</v>
      </c>
      <c r="F4624" s="24">
        <v>233.33</v>
      </c>
      <c r="G4624" s="24">
        <v>0.0</v>
      </c>
      <c r="H4624" s="24" t="s">
        <v>6696</v>
      </c>
      <c r="I4624" s="24">
        <v>11.9</v>
      </c>
      <c r="J4624" s="24">
        <v>0.0</v>
      </c>
    </row>
    <row r="4625">
      <c r="A4625" s="24">
        <v>4.0</v>
      </c>
      <c r="B4625" s="24">
        <v>6.0</v>
      </c>
      <c r="C4625" s="44">
        <v>3.0</v>
      </c>
      <c r="D4625" s="46">
        <v>45189.0</v>
      </c>
      <c r="E4625" s="24">
        <v>0.5</v>
      </c>
      <c r="F4625" s="24">
        <v>750.0</v>
      </c>
      <c r="G4625" s="24">
        <v>150.0</v>
      </c>
      <c r="H4625" s="24" t="s">
        <v>6702</v>
      </c>
      <c r="I4625" s="24" t="s">
        <v>6650</v>
      </c>
      <c r="J4625" s="24">
        <v>0.0</v>
      </c>
    </row>
    <row r="4626">
      <c r="A4626" s="24">
        <v>590.0</v>
      </c>
      <c r="B4626" s="24">
        <v>6.0</v>
      </c>
      <c r="C4626" s="44">
        <v>10.79</v>
      </c>
      <c r="D4626" s="46">
        <v>45189.0</v>
      </c>
      <c r="E4626" s="24">
        <v>1.8</v>
      </c>
      <c r="F4626" s="24">
        <v>18.29</v>
      </c>
      <c r="G4626" s="24">
        <v>1.02</v>
      </c>
      <c r="H4626" s="24" t="s">
        <v>6698</v>
      </c>
      <c r="I4626" s="24">
        <v>5.4</v>
      </c>
      <c r="J4626" s="24">
        <v>0.0</v>
      </c>
    </row>
    <row r="4627">
      <c r="A4627" s="24">
        <v>645.0</v>
      </c>
      <c r="B4627" s="24">
        <v>5.0</v>
      </c>
      <c r="C4627" s="44">
        <v>11.19</v>
      </c>
      <c r="D4627" s="46">
        <v>45189.0</v>
      </c>
      <c r="E4627" s="24">
        <v>2.24</v>
      </c>
      <c r="F4627" s="24">
        <v>17.35</v>
      </c>
      <c r="G4627" s="24">
        <v>0.78</v>
      </c>
      <c r="H4627" s="24" t="s">
        <v>6688</v>
      </c>
      <c r="I4627" s="24">
        <v>11.19</v>
      </c>
      <c r="J4627" s="24">
        <v>0.0</v>
      </c>
    </row>
    <row r="4628">
      <c r="A4628" s="24">
        <v>118.0</v>
      </c>
      <c r="B4628" s="24">
        <v>0.0</v>
      </c>
      <c r="C4628" s="44">
        <v>12.02</v>
      </c>
      <c r="D4628" s="46">
        <v>45189.0</v>
      </c>
      <c r="E4628" s="24" t="s">
        <v>6650</v>
      </c>
      <c r="F4628" s="24">
        <v>101.86</v>
      </c>
      <c r="G4628" s="24">
        <v>0.0</v>
      </c>
      <c r="H4628" s="24" t="s">
        <v>6701</v>
      </c>
      <c r="I4628" s="24" t="s">
        <v>6650</v>
      </c>
      <c r="J4628" s="24">
        <v>0.0</v>
      </c>
    </row>
    <row r="4629">
      <c r="A4629" s="24">
        <v>19.0</v>
      </c>
      <c r="B4629" s="24">
        <v>0.0</v>
      </c>
      <c r="C4629" s="44">
        <v>12.41</v>
      </c>
      <c r="D4629" s="46">
        <v>45189.0</v>
      </c>
      <c r="E4629" s="24" t="s">
        <v>6650</v>
      </c>
      <c r="F4629" s="24">
        <v>653.16</v>
      </c>
      <c r="G4629" s="24">
        <v>0.0</v>
      </c>
      <c r="H4629" s="24" t="s">
        <v>6697</v>
      </c>
      <c r="I4629" s="24" t="s">
        <v>6650</v>
      </c>
      <c r="J4629" s="24">
        <v>0.0</v>
      </c>
    </row>
    <row r="4630">
      <c r="A4630" s="24">
        <v>48.0</v>
      </c>
      <c r="B4630" s="24">
        <v>0.0</v>
      </c>
      <c r="C4630" s="44">
        <v>12.55</v>
      </c>
      <c r="D4630" s="46">
        <v>45189.0</v>
      </c>
      <c r="E4630" s="24" t="s">
        <v>6650</v>
      </c>
      <c r="F4630" s="24">
        <v>261.46</v>
      </c>
      <c r="G4630" s="24">
        <v>0.0</v>
      </c>
      <c r="H4630" s="24" t="s">
        <v>6699</v>
      </c>
      <c r="I4630" s="24" t="s">
        <v>6650</v>
      </c>
      <c r="J4630" s="24">
        <v>0.0</v>
      </c>
    </row>
    <row r="4631">
      <c r="A4631" s="24">
        <v>32.0</v>
      </c>
      <c r="B4631" s="24">
        <v>0.0</v>
      </c>
      <c r="C4631" s="44">
        <v>13.05</v>
      </c>
      <c r="D4631" s="46">
        <v>45189.0</v>
      </c>
      <c r="E4631" s="24" t="s">
        <v>6650</v>
      </c>
      <c r="F4631" s="24">
        <v>407.81</v>
      </c>
      <c r="G4631" s="24">
        <v>0.0</v>
      </c>
      <c r="H4631" s="24" t="s">
        <v>6692</v>
      </c>
      <c r="I4631" s="24" t="s">
        <v>6650</v>
      </c>
      <c r="J4631" s="24">
        <v>0.0</v>
      </c>
    </row>
    <row r="4632">
      <c r="A4632" s="24">
        <v>611.0</v>
      </c>
      <c r="B4632" s="24">
        <v>7.0</v>
      </c>
      <c r="C4632" s="44">
        <v>11.52</v>
      </c>
      <c r="D4632" s="46">
        <v>45189.0</v>
      </c>
      <c r="E4632" s="24">
        <v>1.65</v>
      </c>
      <c r="F4632" s="24">
        <v>18.85</v>
      </c>
      <c r="G4632" s="24">
        <v>1.15</v>
      </c>
      <c r="H4632" s="24" t="s">
        <v>6689</v>
      </c>
      <c r="I4632" s="24" t="s">
        <v>6650</v>
      </c>
      <c r="J4632" s="24">
        <v>0.0</v>
      </c>
    </row>
    <row r="4633">
      <c r="A4633" s="24">
        <v>122.0</v>
      </c>
      <c r="B4633" s="24">
        <v>2.0</v>
      </c>
      <c r="C4633" s="44">
        <v>13.27</v>
      </c>
      <c r="D4633" s="46">
        <v>45189.0</v>
      </c>
      <c r="E4633" s="24">
        <v>6.64</v>
      </c>
      <c r="F4633" s="24">
        <v>108.77</v>
      </c>
      <c r="G4633" s="24">
        <v>1.64</v>
      </c>
      <c r="H4633" s="24" t="s">
        <v>6680</v>
      </c>
      <c r="I4633" s="24" t="s">
        <v>6650</v>
      </c>
      <c r="J4633" s="24">
        <v>0.0</v>
      </c>
    </row>
    <row r="4634">
      <c r="A4634" s="24">
        <v>37.0</v>
      </c>
      <c r="B4634" s="24">
        <v>0.0</v>
      </c>
      <c r="C4634" s="44">
        <v>12.17</v>
      </c>
      <c r="D4634" s="46">
        <v>45189.0</v>
      </c>
      <c r="E4634" s="24" t="s">
        <v>6650</v>
      </c>
      <c r="F4634" s="24">
        <v>328.92</v>
      </c>
      <c r="G4634" s="24">
        <v>0.0</v>
      </c>
      <c r="H4634" s="24" t="s">
        <v>6695</v>
      </c>
      <c r="I4634" s="24" t="s">
        <v>6650</v>
      </c>
      <c r="J4634" s="24">
        <v>0.0</v>
      </c>
    </row>
    <row r="4635">
      <c r="A4635" s="24">
        <v>36.0</v>
      </c>
      <c r="B4635" s="24">
        <v>2.0</v>
      </c>
      <c r="C4635" s="44">
        <v>12.83</v>
      </c>
      <c r="D4635" s="46">
        <v>45190.0</v>
      </c>
      <c r="E4635" s="24">
        <v>6.42</v>
      </c>
      <c r="F4635" s="24">
        <v>356.39</v>
      </c>
      <c r="G4635" s="24">
        <v>5.56</v>
      </c>
      <c r="H4635" s="24" t="s">
        <v>6696</v>
      </c>
      <c r="I4635" s="24">
        <v>12.83</v>
      </c>
      <c r="J4635" s="24">
        <v>0.0</v>
      </c>
    </row>
    <row r="4636">
      <c r="A4636" s="24">
        <v>777.0</v>
      </c>
      <c r="B4636" s="24">
        <v>5.0</v>
      </c>
      <c r="C4636" s="44">
        <v>11.87</v>
      </c>
      <c r="D4636" s="46">
        <v>45190.0</v>
      </c>
      <c r="E4636" s="24">
        <v>2.37</v>
      </c>
      <c r="F4636" s="24">
        <v>15.28</v>
      </c>
      <c r="G4636" s="24">
        <v>0.64</v>
      </c>
      <c r="H4636" s="24" t="s">
        <v>6688</v>
      </c>
      <c r="I4636" s="24">
        <v>11.87</v>
      </c>
      <c r="J4636" s="24">
        <v>0.0</v>
      </c>
    </row>
    <row r="4637">
      <c r="A4637" s="24">
        <v>152.0</v>
      </c>
      <c r="B4637" s="24">
        <v>1.0</v>
      </c>
      <c r="C4637" s="44">
        <v>11.74</v>
      </c>
      <c r="D4637" s="46">
        <v>45190.0</v>
      </c>
      <c r="E4637" s="24">
        <v>11.74</v>
      </c>
      <c r="F4637" s="24">
        <v>77.24</v>
      </c>
      <c r="G4637" s="24">
        <v>0.66</v>
      </c>
      <c r="H4637" s="24" t="s">
        <v>6700</v>
      </c>
      <c r="I4637" s="24" t="s">
        <v>6650</v>
      </c>
      <c r="J4637" s="24">
        <v>0.0</v>
      </c>
    </row>
    <row r="4638">
      <c r="A4638" s="24">
        <v>825.0</v>
      </c>
      <c r="B4638" s="24">
        <v>12.0</v>
      </c>
      <c r="C4638" s="44">
        <v>12.69</v>
      </c>
      <c r="D4638" s="46">
        <v>45190.0</v>
      </c>
      <c r="E4638" s="24">
        <v>1.06</v>
      </c>
      <c r="F4638" s="24">
        <v>15.38</v>
      </c>
      <c r="G4638" s="24">
        <v>1.45</v>
      </c>
      <c r="H4638" s="24" t="s">
        <v>6689</v>
      </c>
      <c r="I4638" s="24">
        <v>12.69</v>
      </c>
      <c r="J4638" s="24">
        <v>0.0</v>
      </c>
    </row>
    <row r="4639">
      <c r="A4639" s="24">
        <v>64.0</v>
      </c>
      <c r="B4639" s="24">
        <v>0.0</v>
      </c>
      <c r="C4639" s="44">
        <v>13.02</v>
      </c>
      <c r="D4639" s="46">
        <v>45190.0</v>
      </c>
      <c r="E4639" s="24" t="s">
        <v>6650</v>
      </c>
      <c r="F4639" s="24">
        <v>203.44</v>
      </c>
      <c r="G4639" s="24">
        <v>0.0</v>
      </c>
      <c r="H4639" s="24" t="s">
        <v>6680</v>
      </c>
      <c r="I4639" s="24">
        <v>13.02</v>
      </c>
      <c r="J4639" s="24">
        <v>0.0</v>
      </c>
    </row>
    <row r="4640">
      <c r="A4640" s="24">
        <v>4.0</v>
      </c>
      <c r="B4640" s="24">
        <v>1.0</v>
      </c>
      <c r="C4640" s="44">
        <v>3.0</v>
      </c>
      <c r="D4640" s="46">
        <v>45190.0</v>
      </c>
      <c r="E4640" s="24">
        <v>3.0</v>
      </c>
      <c r="F4640" s="24">
        <v>750.0</v>
      </c>
      <c r="G4640" s="24">
        <v>25.0</v>
      </c>
      <c r="H4640" s="24" t="s">
        <v>6702</v>
      </c>
      <c r="I4640" s="24" t="s">
        <v>6650</v>
      </c>
      <c r="J4640" s="24">
        <v>0.0</v>
      </c>
    </row>
    <row r="4641">
      <c r="A4641" s="24">
        <v>41.0</v>
      </c>
      <c r="B4641" s="24">
        <v>0.0</v>
      </c>
      <c r="C4641" s="44">
        <v>13.36</v>
      </c>
      <c r="D4641" s="46">
        <v>45190.0</v>
      </c>
      <c r="E4641" s="24" t="s">
        <v>6650</v>
      </c>
      <c r="F4641" s="24">
        <v>325.85</v>
      </c>
      <c r="G4641" s="24">
        <v>0.0</v>
      </c>
      <c r="H4641" s="24" t="s">
        <v>6697</v>
      </c>
      <c r="I4641" s="24" t="s">
        <v>6650</v>
      </c>
      <c r="J4641" s="24">
        <v>0.0</v>
      </c>
    </row>
    <row r="4642">
      <c r="A4642" s="24">
        <v>86.0</v>
      </c>
      <c r="B4642" s="24">
        <v>0.0</v>
      </c>
      <c r="C4642" s="44">
        <v>12.76</v>
      </c>
      <c r="D4642" s="46">
        <v>45190.0</v>
      </c>
      <c r="E4642" s="24" t="s">
        <v>6650</v>
      </c>
      <c r="F4642" s="24">
        <v>148.37</v>
      </c>
      <c r="G4642" s="24">
        <v>0.0</v>
      </c>
      <c r="H4642" s="24" t="s">
        <v>6701</v>
      </c>
      <c r="I4642" s="24" t="s">
        <v>6650</v>
      </c>
      <c r="J4642" s="24">
        <v>0.0</v>
      </c>
    </row>
    <row r="4643">
      <c r="A4643" s="24">
        <v>33.0</v>
      </c>
      <c r="B4643" s="24">
        <v>0.0</v>
      </c>
      <c r="C4643" s="44">
        <v>12.82</v>
      </c>
      <c r="D4643" s="46">
        <v>45190.0</v>
      </c>
      <c r="E4643" s="24" t="s">
        <v>6650</v>
      </c>
      <c r="F4643" s="24">
        <v>388.48</v>
      </c>
      <c r="G4643" s="24">
        <v>0.0</v>
      </c>
      <c r="H4643" s="24" t="s">
        <v>6695</v>
      </c>
      <c r="I4643" s="24" t="s">
        <v>6650</v>
      </c>
      <c r="J4643" s="24">
        <v>0.0</v>
      </c>
    </row>
    <row r="4644">
      <c r="A4644" s="24">
        <v>58.0</v>
      </c>
      <c r="B4644" s="24">
        <v>0.0</v>
      </c>
      <c r="C4644" s="44">
        <v>13.08</v>
      </c>
      <c r="D4644" s="46">
        <v>45190.0</v>
      </c>
      <c r="E4644" s="24" t="s">
        <v>6650</v>
      </c>
      <c r="F4644" s="24">
        <v>225.52</v>
      </c>
      <c r="G4644" s="24">
        <v>0.0</v>
      </c>
      <c r="H4644" s="24" t="s">
        <v>6699</v>
      </c>
      <c r="I4644" s="24" t="s">
        <v>6650</v>
      </c>
      <c r="J4644" s="24">
        <v>0.0</v>
      </c>
    </row>
    <row r="4645">
      <c r="A4645" s="24">
        <v>342.0</v>
      </c>
      <c r="B4645" s="24">
        <v>6.0</v>
      </c>
      <c r="C4645" s="44">
        <v>11.8</v>
      </c>
      <c r="D4645" s="46">
        <v>45190.0</v>
      </c>
      <c r="E4645" s="24">
        <v>1.97</v>
      </c>
      <c r="F4645" s="24">
        <v>34.5</v>
      </c>
      <c r="G4645" s="24">
        <v>1.75</v>
      </c>
      <c r="H4645" s="24" t="s">
        <v>6698</v>
      </c>
      <c r="I4645" s="24">
        <v>11.8</v>
      </c>
      <c r="J4645" s="24">
        <v>0.0</v>
      </c>
    </row>
    <row r="4646">
      <c r="A4646" s="24">
        <v>61.0</v>
      </c>
      <c r="B4646" s="24">
        <v>0.0</v>
      </c>
      <c r="C4646" s="44">
        <v>12.2</v>
      </c>
      <c r="D4646" s="46">
        <v>45190.0</v>
      </c>
      <c r="E4646" s="24" t="s">
        <v>6650</v>
      </c>
      <c r="F4646" s="24">
        <v>200.0</v>
      </c>
      <c r="G4646" s="24">
        <v>0.0</v>
      </c>
      <c r="H4646" s="24" t="s">
        <v>6692</v>
      </c>
      <c r="I4646" s="24" t="s">
        <v>6650</v>
      </c>
      <c r="J4646" s="24">
        <v>0.0</v>
      </c>
    </row>
    <row r="4647">
      <c r="A4647" s="24">
        <v>27.0</v>
      </c>
      <c r="B4647" s="24">
        <v>0.0</v>
      </c>
      <c r="C4647" s="44">
        <v>10.53</v>
      </c>
      <c r="D4647" s="46">
        <v>45191.0</v>
      </c>
      <c r="E4647" s="24" t="s">
        <v>6650</v>
      </c>
      <c r="F4647" s="24">
        <v>390.0</v>
      </c>
      <c r="G4647" s="24">
        <v>0.0</v>
      </c>
      <c r="H4647" s="24" t="s">
        <v>6697</v>
      </c>
      <c r="I4647" s="24" t="s">
        <v>6650</v>
      </c>
      <c r="J4647" s="24">
        <v>0.0</v>
      </c>
    </row>
    <row r="4648">
      <c r="A4648" s="24">
        <v>41.0</v>
      </c>
      <c r="B4648" s="24">
        <v>0.0</v>
      </c>
      <c r="C4648" s="44">
        <v>14.53</v>
      </c>
      <c r="D4648" s="46">
        <v>45191.0</v>
      </c>
      <c r="E4648" s="24" t="s">
        <v>6650</v>
      </c>
      <c r="F4648" s="24">
        <v>354.39</v>
      </c>
      <c r="G4648" s="24">
        <v>0.0</v>
      </c>
      <c r="H4648" s="24" t="s">
        <v>6699</v>
      </c>
      <c r="I4648" s="24" t="s">
        <v>6650</v>
      </c>
      <c r="J4648" s="24">
        <v>0.0</v>
      </c>
    </row>
    <row r="4649">
      <c r="A4649" s="24">
        <v>8.0</v>
      </c>
      <c r="B4649" s="24">
        <v>3.0</v>
      </c>
      <c r="C4649" s="44">
        <v>6.0</v>
      </c>
      <c r="D4649" s="46">
        <v>45191.0</v>
      </c>
      <c r="E4649" s="24">
        <v>2.0</v>
      </c>
      <c r="F4649" s="24">
        <v>750.0</v>
      </c>
      <c r="G4649" s="24">
        <v>37.5</v>
      </c>
      <c r="H4649" s="24" t="s">
        <v>6702</v>
      </c>
      <c r="I4649" s="24" t="s">
        <v>6650</v>
      </c>
      <c r="J4649" s="24">
        <v>0.0</v>
      </c>
    </row>
    <row r="4650">
      <c r="A4650" s="24">
        <v>582.0</v>
      </c>
      <c r="B4650" s="24">
        <v>7.0</v>
      </c>
      <c r="C4650" s="44">
        <v>11.26</v>
      </c>
      <c r="D4650" s="46">
        <v>45191.0</v>
      </c>
      <c r="E4650" s="24">
        <v>1.61</v>
      </c>
      <c r="F4650" s="24">
        <v>19.35</v>
      </c>
      <c r="G4650" s="24">
        <v>1.2</v>
      </c>
      <c r="H4650" s="24" t="s">
        <v>6688</v>
      </c>
      <c r="I4650" s="24">
        <v>2.82</v>
      </c>
      <c r="J4650" s="24">
        <v>0.0</v>
      </c>
    </row>
    <row r="4651">
      <c r="A4651" s="24">
        <v>724.0</v>
      </c>
      <c r="B4651" s="24">
        <v>9.0</v>
      </c>
      <c r="C4651" s="44">
        <v>11.49</v>
      </c>
      <c r="D4651" s="46">
        <v>45191.0</v>
      </c>
      <c r="E4651" s="24">
        <v>1.28</v>
      </c>
      <c r="F4651" s="24">
        <v>15.87</v>
      </c>
      <c r="G4651" s="24">
        <v>1.24</v>
      </c>
      <c r="H4651" s="24" t="s">
        <v>6689</v>
      </c>
      <c r="I4651" s="24" t="s">
        <v>6650</v>
      </c>
      <c r="J4651" s="24">
        <v>0.0</v>
      </c>
    </row>
    <row r="4652">
      <c r="A4652" s="24">
        <v>24.0</v>
      </c>
      <c r="B4652" s="24">
        <v>0.0</v>
      </c>
      <c r="C4652" s="44">
        <v>11.23</v>
      </c>
      <c r="D4652" s="46">
        <v>45191.0</v>
      </c>
      <c r="E4652" s="24" t="s">
        <v>6650</v>
      </c>
      <c r="F4652" s="24">
        <v>467.92</v>
      </c>
      <c r="G4652" s="24">
        <v>0.0</v>
      </c>
      <c r="H4652" s="24" t="s">
        <v>6695</v>
      </c>
      <c r="I4652" s="24" t="s">
        <v>6650</v>
      </c>
      <c r="J4652" s="24">
        <v>0.0</v>
      </c>
    </row>
    <row r="4653">
      <c r="A4653" s="24">
        <v>72.0</v>
      </c>
      <c r="B4653" s="24">
        <v>1.0</v>
      </c>
      <c r="C4653" s="44">
        <v>13.55</v>
      </c>
      <c r="D4653" s="46">
        <v>45191.0</v>
      </c>
      <c r="E4653" s="24">
        <v>13.55</v>
      </c>
      <c r="F4653" s="24">
        <v>188.19</v>
      </c>
      <c r="G4653" s="24">
        <v>1.39</v>
      </c>
      <c r="H4653" s="24" t="s">
        <v>6680</v>
      </c>
      <c r="I4653" s="24">
        <v>13.55</v>
      </c>
      <c r="J4653" s="24">
        <v>0.0</v>
      </c>
    </row>
    <row r="4654">
      <c r="A4654" s="24">
        <v>383.0</v>
      </c>
      <c r="B4654" s="24">
        <v>2.0</v>
      </c>
      <c r="C4654" s="44">
        <v>10.66</v>
      </c>
      <c r="D4654" s="46">
        <v>45191.0</v>
      </c>
      <c r="E4654" s="24">
        <v>5.33</v>
      </c>
      <c r="F4654" s="24">
        <v>27.83</v>
      </c>
      <c r="G4654" s="24">
        <v>0.52</v>
      </c>
      <c r="H4654" s="24" t="s">
        <v>6698</v>
      </c>
      <c r="I4654" s="24">
        <v>5.33</v>
      </c>
      <c r="J4654" s="24">
        <v>0.0</v>
      </c>
    </row>
    <row r="4655">
      <c r="A4655" s="24">
        <v>18.0</v>
      </c>
      <c r="B4655" s="24">
        <v>0.0</v>
      </c>
      <c r="C4655" s="44">
        <v>10.91</v>
      </c>
      <c r="D4655" s="46">
        <v>45191.0</v>
      </c>
      <c r="E4655" s="24" t="s">
        <v>6650</v>
      </c>
      <c r="F4655" s="24">
        <v>606.11</v>
      </c>
      <c r="G4655" s="24">
        <v>0.0</v>
      </c>
      <c r="H4655" s="24" t="s">
        <v>6692</v>
      </c>
      <c r="I4655" s="24">
        <v>5.46</v>
      </c>
      <c r="J4655" s="24">
        <v>0.0</v>
      </c>
    </row>
    <row r="4656">
      <c r="A4656" s="24">
        <v>45.0</v>
      </c>
      <c r="B4656" s="24">
        <v>0.0</v>
      </c>
      <c r="C4656" s="44">
        <v>12.05</v>
      </c>
      <c r="D4656" s="46">
        <v>45191.0</v>
      </c>
      <c r="E4656" s="24" t="s">
        <v>6650</v>
      </c>
      <c r="F4656" s="24">
        <v>267.78</v>
      </c>
      <c r="G4656" s="24">
        <v>0.0</v>
      </c>
      <c r="H4656" s="24" t="s">
        <v>6701</v>
      </c>
      <c r="I4656" s="24" t="s">
        <v>6650</v>
      </c>
      <c r="J4656" s="24">
        <v>0.0</v>
      </c>
    </row>
    <row r="4657">
      <c r="A4657" s="24">
        <v>74.0</v>
      </c>
      <c r="B4657" s="24">
        <v>0.0</v>
      </c>
      <c r="C4657" s="44">
        <v>11.89</v>
      </c>
      <c r="D4657" s="46">
        <v>45191.0</v>
      </c>
      <c r="E4657" s="24" t="s">
        <v>6650</v>
      </c>
      <c r="F4657" s="24">
        <v>160.68</v>
      </c>
      <c r="G4657" s="24">
        <v>0.0</v>
      </c>
      <c r="H4657" s="24" t="s">
        <v>6700</v>
      </c>
      <c r="I4657" s="24" t="s">
        <v>6650</v>
      </c>
      <c r="J4657" s="24">
        <v>0.0</v>
      </c>
    </row>
    <row r="4658">
      <c r="A4658" s="24">
        <v>30.0</v>
      </c>
      <c r="B4658" s="24">
        <v>0.0</v>
      </c>
      <c r="C4658" s="44">
        <v>10.6</v>
      </c>
      <c r="D4658" s="46">
        <v>45191.0</v>
      </c>
      <c r="E4658" s="24" t="s">
        <v>6650</v>
      </c>
      <c r="F4658" s="24">
        <v>353.33</v>
      </c>
      <c r="G4658" s="24">
        <v>0.0</v>
      </c>
      <c r="H4658" s="24" t="s">
        <v>6696</v>
      </c>
      <c r="I4658" s="24">
        <v>10.6</v>
      </c>
      <c r="J4658" s="24">
        <v>0.0</v>
      </c>
    </row>
    <row r="4659">
      <c r="A4659" s="24">
        <v>12.0</v>
      </c>
      <c r="B4659" s="24">
        <v>0.0</v>
      </c>
      <c r="C4659" s="44">
        <v>6.57</v>
      </c>
      <c r="D4659" s="46">
        <v>45192.0</v>
      </c>
      <c r="E4659" s="24" t="s">
        <v>6650</v>
      </c>
      <c r="F4659" s="24">
        <v>547.5</v>
      </c>
      <c r="G4659" s="24">
        <v>0.0</v>
      </c>
      <c r="H4659" s="24" t="s">
        <v>6697</v>
      </c>
      <c r="I4659" s="24" t="s">
        <v>6650</v>
      </c>
      <c r="J4659" s="24">
        <v>0.0</v>
      </c>
    </row>
    <row r="4660">
      <c r="A4660" s="24">
        <v>21.0</v>
      </c>
      <c r="B4660" s="24">
        <v>0.0</v>
      </c>
      <c r="C4660" s="44">
        <v>11.6</v>
      </c>
      <c r="D4660" s="46">
        <v>45192.0</v>
      </c>
      <c r="E4660" s="24" t="s">
        <v>6650</v>
      </c>
      <c r="F4660" s="24">
        <v>552.38</v>
      </c>
      <c r="G4660" s="24">
        <v>0.0</v>
      </c>
      <c r="H4660" s="24" t="s">
        <v>6692</v>
      </c>
      <c r="I4660" s="24" t="s">
        <v>6650</v>
      </c>
      <c r="J4660" s="24">
        <v>0.0</v>
      </c>
    </row>
    <row r="4661">
      <c r="A4661" s="24">
        <v>420.0</v>
      </c>
      <c r="B4661" s="24">
        <v>7.0</v>
      </c>
      <c r="C4661" s="44">
        <v>6.58</v>
      </c>
      <c r="D4661" s="46">
        <v>45192.0</v>
      </c>
      <c r="E4661" s="24">
        <v>0.94</v>
      </c>
      <c r="F4661" s="24">
        <v>15.67</v>
      </c>
      <c r="G4661" s="24">
        <v>1.67</v>
      </c>
      <c r="H4661" s="24" t="s">
        <v>6689</v>
      </c>
      <c r="I4661" s="24" t="s">
        <v>6650</v>
      </c>
      <c r="J4661" s="24">
        <v>0.0</v>
      </c>
    </row>
    <row r="4662">
      <c r="A4662" s="24">
        <v>149.0</v>
      </c>
      <c r="B4662" s="24">
        <v>0.0</v>
      </c>
      <c r="C4662" s="44">
        <v>5.16</v>
      </c>
      <c r="D4662" s="46">
        <v>45192.0</v>
      </c>
      <c r="E4662" s="24" t="s">
        <v>6650</v>
      </c>
      <c r="F4662" s="24">
        <v>34.63</v>
      </c>
      <c r="G4662" s="24">
        <v>0.0</v>
      </c>
      <c r="H4662" s="24" t="s">
        <v>6700</v>
      </c>
      <c r="I4662" s="24" t="s">
        <v>6650</v>
      </c>
      <c r="J4662" s="24">
        <v>0.0</v>
      </c>
    </row>
    <row r="4663">
      <c r="A4663" s="24">
        <v>453.0</v>
      </c>
      <c r="B4663" s="24">
        <v>5.0</v>
      </c>
      <c r="C4663" s="44">
        <v>6.66</v>
      </c>
      <c r="D4663" s="46">
        <v>45192.0</v>
      </c>
      <c r="E4663" s="24">
        <v>1.33</v>
      </c>
      <c r="F4663" s="24">
        <v>14.7</v>
      </c>
      <c r="G4663" s="24">
        <v>1.1</v>
      </c>
      <c r="H4663" s="24" t="s">
        <v>6688</v>
      </c>
      <c r="I4663" s="24" t="s">
        <v>6650</v>
      </c>
      <c r="J4663" s="24">
        <v>0.0</v>
      </c>
    </row>
    <row r="4664">
      <c r="A4664" s="24">
        <v>144.0</v>
      </c>
      <c r="B4664" s="24">
        <v>1.0</v>
      </c>
      <c r="C4664" s="44">
        <v>6.67</v>
      </c>
      <c r="D4664" s="46">
        <v>45192.0</v>
      </c>
      <c r="E4664" s="24">
        <v>6.67</v>
      </c>
      <c r="F4664" s="24">
        <v>46.32</v>
      </c>
      <c r="G4664" s="24">
        <v>0.69</v>
      </c>
      <c r="H4664" s="24" t="s">
        <v>6680</v>
      </c>
      <c r="I4664" s="24" t="s">
        <v>6650</v>
      </c>
      <c r="J4664" s="24">
        <v>0.0</v>
      </c>
    </row>
    <row r="4665">
      <c r="A4665" s="24">
        <v>34.0</v>
      </c>
      <c r="B4665" s="24">
        <v>0.0</v>
      </c>
      <c r="C4665" s="44">
        <v>5.32</v>
      </c>
      <c r="D4665" s="46">
        <v>45192.0</v>
      </c>
      <c r="E4665" s="24" t="s">
        <v>6650</v>
      </c>
      <c r="F4665" s="24">
        <v>156.47</v>
      </c>
      <c r="G4665" s="24">
        <v>0.0</v>
      </c>
      <c r="H4665" s="24" t="s">
        <v>6701</v>
      </c>
      <c r="I4665" s="24" t="s">
        <v>6650</v>
      </c>
      <c r="J4665" s="24">
        <v>0.0</v>
      </c>
    </row>
    <row r="4666">
      <c r="A4666" s="24">
        <v>32.0</v>
      </c>
      <c r="B4666" s="24">
        <v>1.0</v>
      </c>
      <c r="C4666" s="44">
        <v>3.25</v>
      </c>
      <c r="D4666" s="46">
        <v>45192.0</v>
      </c>
      <c r="E4666" s="24">
        <v>3.25</v>
      </c>
      <c r="F4666" s="24">
        <v>101.56</v>
      </c>
      <c r="G4666" s="24">
        <v>3.12</v>
      </c>
      <c r="H4666" s="24" t="s">
        <v>6699</v>
      </c>
      <c r="I4666" s="24" t="s">
        <v>6650</v>
      </c>
      <c r="J4666" s="24">
        <v>0.0</v>
      </c>
    </row>
    <row r="4667">
      <c r="A4667" s="24">
        <v>1.0</v>
      </c>
      <c r="B4667" s="24">
        <v>1.0</v>
      </c>
      <c r="C4667" s="44">
        <v>0.75</v>
      </c>
      <c r="D4667" s="46">
        <v>45192.0</v>
      </c>
      <c r="E4667" s="24">
        <v>0.75</v>
      </c>
      <c r="F4667" s="24">
        <v>750.0</v>
      </c>
      <c r="G4667" s="24">
        <v>100.0</v>
      </c>
      <c r="H4667" s="24" t="s">
        <v>6702</v>
      </c>
      <c r="I4667" s="24" t="s">
        <v>6650</v>
      </c>
      <c r="J4667" s="24">
        <v>0.0</v>
      </c>
    </row>
    <row r="4668">
      <c r="A4668" s="24">
        <v>26.0</v>
      </c>
      <c r="B4668" s="24">
        <v>0.0</v>
      </c>
      <c r="C4668" s="44">
        <v>5.48</v>
      </c>
      <c r="D4668" s="46">
        <v>45192.0</v>
      </c>
      <c r="E4668" s="24" t="s">
        <v>6650</v>
      </c>
      <c r="F4668" s="24">
        <v>210.77</v>
      </c>
      <c r="G4668" s="24">
        <v>0.0</v>
      </c>
      <c r="H4668" s="24" t="s">
        <v>6696</v>
      </c>
      <c r="I4668" s="24" t="s">
        <v>6650</v>
      </c>
      <c r="J4668" s="24">
        <v>0.0</v>
      </c>
    </row>
    <row r="4669">
      <c r="A4669" s="24">
        <v>15.0</v>
      </c>
      <c r="B4669" s="24">
        <v>0.0</v>
      </c>
      <c r="C4669" s="44">
        <v>8.24</v>
      </c>
      <c r="D4669" s="46">
        <v>45192.0</v>
      </c>
      <c r="E4669" s="24" t="s">
        <v>6650</v>
      </c>
      <c r="F4669" s="24">
        <v>549.33</v>
      </c>
      <c r="G4669" s="24">
        <v>0.0</v>
      </c>
      <c r="H4669" s="24" t="s">
        <v>6695</v>
      </c>
      <c r="I4669" s="24" t="s">
        <v>6650</v>
      </c>
      <c r="J4669" s="24">
        <v>0.0</v>
      </c>
    </row>
    <row r="4670">
      <c r="A4670" s="24">
        <v>199.0</v>
      </c>
      <c r="B4670" s="24">
        <v>0.0</v>
      </c>
      <c r="C4670" s="44">
        <v>8.1</v>
      </c>
      <c r="D4670" s="46">
        <v>45192.0</v>
      </c>
      <c r="E4670" s="24" t="s">
        <v>6650</v>
      </c>
      <c r="F4670" s="24">
        <v>40.7</v>
      </c>
      <c r="G4670" s="24">
        <v>0.0</v>
      </c>
      <c r="H4670" s="24" t="s">
        <v>6698</v>
      </c>
      <c r="I4670" s="24" t="s">
        <v>6650</v>
      </c>
      <c r="J4670" s="24">
        <v>0.0</v>
      </c>
    </row>
    <row r="4671">
      <c r="A4671" s="24">
        <v>5.0</v>
      </c>
      <c r="B4671" s="24">
        <v>0.0</v>
      </c>
      <c r="C4671" s="44">
        <v>3.75</v>
      </c>
      <c r="D4671" s="46">
        <v>45193.0</v>
      </c>
      <c r="E4671" s="24" t="s">
        <v>6650</v>
      </c>
      <c r="F4671" s="24">
        <v>750.0</v>
      </c>
      <c r="G4671" s="24">
        <v>0.0</v>
      </c>
      <c r="H4671" s="24" t="s">
        <v>6702</v>
      </c>
      <c r="I4671" s="24" t="s">
        <v>6650</v>
      </c>
      <c r="J4671" s="24">
        <v>0.0</v>
      </c>
    </row>
    <row r="4672">
      <c r="A4672" s="24">
        <v>22.0</v>
      </c>
      <c r="B4672" s="24">
        <v>0.0</v>
      </c>
      <c r="C4672" s="44">
        <v>3.42</v>
      </c>
      <c r="D4672" s="46">
        <v>45193.0</v>
      </c>
      <c r="E4672" s="24" t="s">
        <v>6650</v>
      </c>
      <c r="F4672" s="24">
        <v>155.45</v>
      </c>
      <c r="G4672" s="24">
        <v>0.0</v>
      </c>
      <c r="H4672" s="24" t="s">
        <v>6701</v>
      </c>
      <c r="I4672" s="24">
        <v>3.42</v>
      </c>
      <c r="J4672" s="24">
        <v>0.0</v>
      </c>
    </row>
    <row r="4673">
      <c r="A4673" s="24">
        <v>388.0</v>
      </c>
      <c r="B4673" s="24">
        <v>5.0</v>
      </c>
      <c r="C4673" s="44">
        <v>6.72</v>
      </c>
      <c r="D4673" s="46">
        <v>45193.0</v>
      </c>
      <c r="E4673" s="24">
        <v>1.34</v>
      </c>
      <c r="F4673" s="24">
        <v>17.32</v>
      </c>
      <c r="G4673" s="24">
        <v>1.29</v>
      </c>
      <c r="H4673" s="24" t="s">
        <v>6688</v>
      </c>
      <c r="I4673" s="24">
        <v>3.36</v>
      </c>
      <c r="J4673" s="24">
        <v>0.0</v>
      </c>
    </row>
    <row r="4674">
      <c r="A4674" s="24">
        <v>14.0</v>
      </c>
      <c r="B4674" s="24">
        <v>0.0</v>
      </c>
      <c r="C4674" s="44">
        <v>1.14</v>
      </c>
      <c r="D4674" s="46">
        <v>45193.0</v>
      </c>
      <c r="E4674" s="24" t="s">
        <v>6650</v>
      </c>
      <c r="F4674" s="24">
        <v>81.43</v>
      </c>
      <c r="G4674" s="24">
        <v>0.0</v>
      </c>
      <c r="H4674" s="24" t="s">
        <v>6697</v>
      </c>
      <c r="I4674" s="24" t="s">
        <v>6650</v>
      </c>
      <c r="J4674" s="24">
        <v>0.0</v>
      </c>
    </row>
    <row r="4675">
      <c r="A4675" s="24">
        <v>10.0</v>
      </c>
      <c r="B4675" s="24">
        <v>0.0</v>
      </c>
      <c r="C4675" s="44">
        <v>0.46</v>
      </c>
      <c r="D4675" s="46">
        <v>45193.0</v>
      </c>
      <c r="E4675" s="24" t="s">
        <v>6650</v>
      </c>
      <c r="F4675" s="24">
        <v>46.0</v>
      </c>
      <c r="G4675" s="24">
        <v>0.0</v>
      </c>
      <c r="H4675" s="24" t="s">
        <v>6695</v>
      </c>
      <c r="I4675" s="24" t="s">
        <v>6650</v>
      </c>
      <c r="J4675" s="24">
        <v>0.0</v>
      </c>
    </row>
    <row r="4676">
      <c r="A4676" s="24">
        <v>13.0</v>
      </c>
      <c r="B4676" s="24">
        <v>0.0</v>
      </c>
      <c r="C4676" s="44">
        <v>0.99</v>
      </c>
      <c r="D4676" s="46">
        <v>45193.0</v>
      </c>
      <c r="E4676" s="24" t="s">
        <v>6650</v>
      </c>
      <c r="F4676" s="24">
        <v>76.15</v>
      </c>
      <c r="G4676" s="24">
        <v>0.0</v>
      </c>
      <c r="H4676" s="24" t="s">
        <v>6699</v>
      </c>
      <c r="I4676" s="24">
        <v>0.99</v>
      </c>
      <c r="J4676" s="24">
        <v>0.0</v>
      </c>
    </row>
    <row r="4677">
      <c r="A4677" s="24">
        <v>102.0</v>
      </c>
      <c r="B4677" s="24">
        <v>0.0</v>
      </c>
      <c r="C4677" s="44">
        <v>5.36</v>
      </c>
      <c r="D4677" s="46">
        <v>45193.0</v>
      </c>
      <c r="E4677" s="24" t="s">
        <v>6650</v>
      </c>
      <c r="F4677" s="24">
        <v>52.55</v>
      </c>
      <c r="G4677" s="24">
        <v>0.0</v>
      </c>
      <c r="H4677" s="24" t="s">
        <v>6698</v>
      </c>
      <c r="I4677" s="24">
        <v>5.36</v>
      </c>
      <c r="J4677" s="24">
        <v>0.0</v>
      </c>
    </row>
    <row r="4678">
      <c r="A4678" s="24">
        <v>19.0</v>
      </c>
      <c r="B4678" s="24">
        <v>0.0</v>
      </c>
      <c r="C4678" s="44">
        <v>4.67</v>
      </c>
      <c r="D4678" s="46">
        <v>45193.0</v>
      </c>
      <c r="E4678" s="24" t="s">
        <v>6650</v>
      </c>
      <c r="F4678" s="24">
        <v>245.79</v>
      </c>
      <c r="G4678" s="24">
        <v>0.0</v>
      </c>
      <c r="H4678" s="24" t="s">
        <v>6696</v>
      </c>
      <c r="I4678" s="24">
        <v>4.67</v>
      </c>
      <c r="J4678" s="24">
        <v>0.0</v>
      </c>
    </row>
    <row r="4679">
      <c r="A4679" s="24">
        <v>44.0</v>
      </c>
      <c r="B4679" s="24">
        <v>0.0</v>
      </c>
      <c r="C4679" s="44">
        <v>4.3</v>
      </c>
      <c r="D4679" s="46">
        <v>45193.0</v>
      </c>
      <c r="E4679" s="24" t="s">
        <v>6650</v>
      </c>
      <c r="F4679" s="24">
        <v>97.73</v>
      </c>
      <c r="G4679" s="24">
        <v>0.0</v>
      </c>
      <c r="H4679" s="24" t="s">
        <v>6700</v>
      </c>
      <c r="I4679" s="24">
        <v>4.3</v>
      </c>
      <c r="J4679" s="24">
        <v>0.0</v>
      </c>
    </row>
    <row r="4680">
      <c r="A4680" s="24">
        <v>52.0</v>
      </c>
      <c r="B4680" s="24">
        <v>0.0</v>
      </c>
      <c r="C4680" s="44">
        <v>3.55</v>
      </c>
      <c r="D4680" s="46">
        <v>45193.0</v>
      </c>
      <c r="E4680" s="24" t="s">
        <v>6650</v>
      </c>
      <c r="F4680" s="24">
        <v>68.27</v>
      </c>
      <c r="G4680" s="24">
        <v>0.0</v>
      </c>
      <c r="H4680" s="24" t="s">
        <v>6680</v>
      </c>
      <c r="I4680" s="24" t="s">
        <v>6650</v>
      </c>
      <c r="J4680" s="24">
        <v>0.0</v>
      </c>
    </row>
    <row r="4681">
      <c r="A4681" s="24">
        <v>309.0</v>
      </c>
      <c r="B4681" s="24">
        <v>5.0</v>
      </c>
      <c r="C4681" s="44">
        <v>5.3</v>
      </c>
      <c r="D4681" s="46">
        <v>45193.0</v>
      </c>
      <c r="E4681" s="24">
        <v>1.06</v>
      </c>
      <c r="F4681" s="24">
        <v>17.15</v>
      </c>
      <c r="G4681" s="24">
        <v>1.62</v>
      </c>
      <c r="H4681" s="24" t="s">
        <v>6689</v>
      </c>
      <c r="I4681" s="24">
        <v>5.3</v>
      </c>
      <c r="J4681" s="24">
        <v>0.0</v>
      </c>
    </row>
    <row r="4682">
      <c r="A4682" s="24">
        <v>80.0</v>
      </c>
      <c r="B4682" s="24">
        <v>0.0</v>
      </c>
      <c r="C4682" s="44">
        <v>11.95</v>
      </c>
      <c r="D4682" s="46">
        <v>45194.0</v>
      </c>
      <c r="E4682" s="24" t="s">
        <v>6650</v>
      </c>
      <c r="F4682" s="24">
        <v>149.37</v>
      </c>
      <c r="G4682" s="24">
        <v>0.0</v>
      </c>
      <c r="H4682" s="24" t="s">
        <v>6701</v>
      </c>
      <c r="I4682" s="24" t="s">
        <v>6650</v>
      </c>
      <c r="J4682" s="24">
        <v>0.0</v>
      </c>
    </row>
    <row r="4683">
      <c r="A4683" s="24">
        <v>40.0</v>
      </c>
      <c r="B4683" s="24">
        <v>1.0</v>
      </c>
      <c r="C4683" s="44">
        <v>11.74</v>
      </c>
      <c r="D4683" s="46">
        <v>45194.0</v>
      </c>
      <c r="E4683" s="24">
        <v>11.74</v>
      </c>
      <c r="F4683" s="24">
        <v>293.5</v>
      </c>
      <c r="G4683" s="24">
        <v>2.5</v>
      </c>
      <c r="H4683" s="24" t="s">
        <v>6695</v>
      </c>
      <c r="I4683" s="24" t="s">
        <v>6650</v>
      </c>
      <c r="J4683" s="24">
        <v>0.0</v>
      </c>
    </row>
    <row r="4684">
      <c r="A4684" s="24">
        <v>814.0</v>
      </c>
      <c r="B4684" s="24">
        <v>6.0</v>
      </c>
      <c r="C4684" s="44">
        <v>11.22</v>
      </c>
      <c r="D4684" s="46">
        <v>45194.0</v>
      </c>
      <c r="E4684" s="24">
        <v>1.87</v>
      </c>
      <c r="F4684" s="24">
        <v>13.78</v>
      </c>
      <c r="G4684" s="24">
        <v>0.74</v>
      </c>
      <c r="H4684" s="24" t="s">
        <v>6688</v>
      </c>
      <c r="I4684" s="24">
        <v>11.22</v>
      </c>
      <c r="J4684" s="24">
        <v>0.0</v>
      </c>
    </row>
    <row r="4685">
      <c r="A4685" s="24">
        <v>89.0</v>
      </c>
      <c r="B4685" s="24">
        <v>0.0</v>
      </c>
      <c r="C4685" s="44">
        <v>15.61</v>
      </c>
      <c r="D4685" s="46">
        <v>45194.0</v>
      </c>
      <c r="E4685" s="24" t="s">
        <v>6650</v>
      </c>
      <c r="F4685" s="24">
        <v>175.39</v>
      </c>
      <c r="G4685" s="24">
        <v>0.0</v>
      </c>
      <c r="H4685" s="24" t="s">
        <v>6680</v>
      </c>
      <c r="I4685" s="24" t="s">
        <v>6650</v>
      </c>
      <c r="J4685" s="24">
        <v>0.0</v>
      </c>
    </row>
    <row r="4686">
      <c r="A4686" s="24">
        <v>103.0</v>
      </c>
      <c r="B4686" s="24">
        <v>0.0</v>
      </c>
      <c r="C4686" s="44">
        <v>11.64</v>
      </c>
      <c r="D4686" s="46">
        <v>45194.0</v>
      </c>
      <c r="E4686" s="24" t="s">
        <v>6650</v>
      </c>
      <c r="F4686" s="24">
        <v>113.01</v>
      </c>
      <c r="G4686" s="24">
        <v>0.0</v>
      </c>
      <c r="H4686" s="24" t="s">
        <v>6700</v>
      </c>
      <c r="I4686" s="24" t="s">
        <v>6650</v>
      </c>
      <c r="J4686" s="24">
        <v>0.0</v>
      </c>
    </row>
    <row r="4687">
      <c r="A4687" s="24">
        <v>322.0</v>
      </c>
      <c r="B4687" s="24">
        <v>4.0</v>
      </c>
      <c r="C4687" s="44">
        <v>11.82</v>
      </c>
      <c r="D4687" s="46">
        <v>45194.0</v>
      </c>
      <c r="E4687" s="24">
        <v>2.96</v>
      </c>
      <c r="F4687" s="24">
        <v>36.71</v>
      </c>
      <c r="G4687" s="24">
        <v>1.24</v>
      </c>
      <c r="H4687" s="24" t="s">
        <v>6698</v>
      </c>
      <c r="I4687" s="24" t="s">
        <v>6650</v>
      </c>
      <c r="J4687" s="24">
        <v>0.0</v>
      </c>
    </row>
    <row r="4688">
      <c r="A4688" s="24">
        <v>739.0</v>
      </c>
      <c r="B4688" s="24">
        <v>11.0</v>
      </c>
      <c r="C4688" s="44">
        <v>10.37</v>
      </c>
      <c r="D4688" s="46">
        <v>45194.0</v>
      </c>
      <c r="E4688" s="24">
        <v>0.94</v>
      </c>
      <c r="F4688" s="24">
        <v>14.03</v>
      </c>
      <c r="G4688" s="24">
        <v>1.49</v>
      </c>
      <c r="H4688" s="24" t="s">
        <v>6689</v>
      </c>
      <c r="I4688" s="24">
        <v>10.37</v>
      </c>
      <c r="J4688" s="24">
        <v>0.0</v>
      </c>
    </row>
    <row r="4689">
      <c r="A4689" s="24">
        <v>103.0</v>
      </c>
      <c r="B4689" s="24">
        <v>0.0</v>
      </c>
      <c r="C4689" s="44">
        <v>14.96</v>
      </c>
      <c r="D4689" s="46">
        <v>45194.0</v>
      </c>
      <c r="E4689" s="24" t="s">
        <v>6650</v>
      </c>
      <c r="F4689" s="24">
        <v>145.24</v>
      </c>
      <c r="G4689" s="24">
        <v>0.0</v>
      </c>
      <c r="H4689" s="24" t="s">
        <v>6699</v>
      </c>
      <c r="I4689" s="24" t="s">
        <v>6650</v>
      </c>
      <c r="J4689" s="24">
        <v>0.0</v>
      </c>
    </row>
    <row r="4690">
      <c r="A4690" s="24">
        <v>59.0</v>
      </c>
      <c r="B4690" s="24">
        <v>0.0</v>
      </c>
      <c r="C4690" s="44">
        <v>12.16</v>
      </c>
      <c r="D4690" s="46">
        <v>45194.0</v>
      </c>
      <c r="E4690" s="24" t="s">
        <v>6650</v>
      </c>
      <c r="F4690" s="24">
        <v>206.1</v>
      </c>
      <c r="G4690" s="24">
        <v>0.0</v>
      </c>
      <c r="H4690" s="24" t="s">
        <v>6696</v>
      </c>
      <c r="I4690" s="24" t="s">
        <v>6650</v>
      </c>
      <c r="J4690" s="24">
        <v>0.0</v>
      </c>
    </row>
    <row r="4691">
      <c r="A4691" s="24">
        <v>46.0</v>
      </c>
      <c r="B4691" s="24">
        <v>1.0</v>
      </c>
      <c r="C4691" s="44">
        <v>15.0</v>
      </c>
      <c r="D4691" s="46">
        <v>45194.0</v>
      </c>
      <c r="E4691" s="24">
        <v>15.0</v>
      </c>
      <c r="F4691" s="24">
        <v>326.09</v>
      </c>
      <c r="G4691" s="24">
        <v>2.17</v>
      </c>
      <c r="H4691" s="24" t="s">
        <v>6697</v>
      </c>
      <c r="I4691" s="24" t="s">
        <v>6650</v>
      </c>
      <c r="J4691" s="24">
        <v>0.0</v>
      </c>
    </row>
    <row r="4692">
      <c r="A4692" s="24">
        <v>22.0</v>
      </c>
      <c r="B4692" s="24">
        <v>0.0</v>
      </c>
      <c r="C4692" s="44">
        <v>3.68</v>
      </c>
      <c r="D4692" s="46">
        <v>45194.0</v>
      </c>
      <c r="E4692" s="24" t="s">
        <v>6650</v>
      </c>
      <c r="F4692" s="24">
        <v>167.27</v>
      </c>
      <c r="G4692" s="24">
        <v>0.0</v>
      </c>
      <c r="H4692" s="24" t="s">
        <v>6692</v>
      </c>
      <c r="I4692" s="24" t="s">
        <v>6650</v>
      </c>
      <c r="J4692" s="24">
        <v>0.0</v>
      </c>
    </row>
    <row r="4693">
      <c r="A4693" s="24">
        <v>8.0</v>
      </c>
      <c r="B4693" s="24">
        <v>6.0</v>
      </c>
      <c r="C4693" s="44">
        <v>6.0</v>
      </c>
      <c r="D4693" s="46">
        <v>45194.0</v>
      </c>
      <c r="E4693" s="24">
        <v>1.0</v>
      </c>
      <c r="F4693" s="24">
        <v>750.0</v>
      </c>
      <c r="G4693" s="24">
        <v>75.0</v>
      </c>
      <c r="H4693" s="24" t="s">
        <v>6702</v>
      </c>
      <c r="I4693" s="24" t="s">
        <v>6650</v>
      </c>
      <c r="J4693" s="24">
        <v>0.0</v>
      </c>
    </row>
    <row r="4694">
      <c r="A4694" s="24">
        <v>78.0</v>
      </c>
      <c r="B4694" s="24">
        <v>0.0</v>
      </c>
      <c r="C4694" s="44">
        <v>12.03</v>
      </c>
      <c r="D4694" s="46">
        <v>45195.0</v>
      </c>
      <c r="E4694" s="24" t="s">
        <v>6650</v>
      </c>
      <c r="F4694" s="24">
        <v>154.23</v>
      </c>
      <c r="G4694" s="24">
        <v>0.0</v>
      </c>
      <c r="H4694" s="24" t="s">
        <v>6696</v>
      </c>
      <c r="I4694" s="24" t="s">
        <v>6650</v>
      </c>
      <c r="J4694" s="24">
        <v>0.0</v>
      </c>
    </row>
    <row r="4695">
      <c r="A4695" s="24">
        <v>29.0</v>
      </c>
      <c r="B4695" s="24">
        <v>0.0</v>
      </c>
      <c r="C4695" s="44">
        <v>12.8</v>
      </c>
      <c r="D4695" s="46">
        <v>45195.0</v>
      </c>
      <c r="E4695" s="24" t="s">
        <v>6650</v>
      </c>
      <c r="F4695" s="24">
        <v>441.38</v>
      </c>
      <c r="G4695" s="24">
        <v>0.0</v>
      </c>
      <c r="H4695" s="24" t="s">
        <v>6697</v>
      </c>
      <c r="I4695" s="24" t="s">
        <v>6650</v>
      </c>
      <c r="J4695" s="24">
        <v>0.0</v>
      </c>
    </row>
    <row r="4696">
      <c r="A4696" s="24">
        <v>25.0</v>
      </c>
      <c r="B4696" s="24">
        <v>0.0</v>
      </c>
      <c r="C4696" s="44">
        <v>13.37</v>
      </c>
      <c r="D4696" s="46">
        <v>45195.0</v>
      </c>
      <c r="E4696" s="24" t="s">
        <v>6650</v>
      </c>
      <c r="F4696" s="24">
        <v>534.8</v>
      </c>
      <c r="G4696" s="24">
        <v>0.0</v>
      </c>
      <c r="H4696" s="24" t="s">
        <v>6695</v>
      </c>
      <c r="I4696" s="24" t="s">
        <v>6650</v>
      </c>
      <c r="J4696" s="24">
        <v>0.0</v>
      </c>
    </row>
    <row r="4697">
      <c r="A4697" s="24">
        <v>816.0</v>
      </c>
      <c r="B4697" s="24">
        <v>7.0</v>
      </c>
      <c r="C4697" s="44">
        <v>12.37</v>
      </c>
      <c r="D4697" s="46">
        <v>45195.0</v>
      </c>
      <c r="E4697" s="24">
        <v>1.77</v>
      </c>
      <c r="F4697" s="24">
        <v>15.16</v>
      </c>
      <c r="G4697" s="24">
        <v>0.86</v>
      </c>
      <c r="H4697" s="24" t="s">
        <v>6689</v>
      </c>
      <c r="I4697" s="24" t="s">
        <v>6650</v>
      </c>
      <c r="J4697" s="24">
        <v>0.0</v>
      </c>
    </row>
    <row r="4698">
      <c r="A4698" s="24">
        <v>120.0</v>
      </c>
      <c r="B4698" s="24">
        <v>0.0</v>
      </c>
      <c r="C4698" s="44">
        <v>13.38</v>
      </c>
      <c r="D4698" s="46">
        <v>45195.0</v>
      </c>
      <c r="E4698" s="24" t="s">
        <v>6650</v>
      </c>
      <c r="F4698" s="24">
        <v>111.5</v>
      </c>
      <c r="G4698" s="24">
        <v>0.0</v>
      </c>
      <c r="H4698" s="24" t="s">
        <v>6701</v>
      </c>
      <c r="I4698" s="24" t="s">
        <v>6650</v>
      </c>
      <c r="J4698" s="24">
        <v>0.0</v>
      </c>
    </row>
    <row r="4699">
      <c r="A4699" s="24">
        <v>4.0</v>
      </c>
      <c r="B4699" s="24">
        <v>5.0</v>
      </c>
      <c r="C4699" s="44">
        <v>3.0</v>
      </c>
      <c r="D4699" s="46">
        <v>45195.0</v>
      </c>
      <c r="E4699" s="24">
        <v>0.6</v>
      </c>
      <c r="F4699" s="24">
        <v>750.0</v>
      </c>
      <c r="G4699" s="24">
        <v>125.0</v>
      </c>
      <c r="H4699" s="24" t="s">
        <v>6702</v>
      </c>
      <c r="I4699" s="24" t="s">
        <v>6650</v>
      </c>
      <c r="J4699" s="24">
        <v>0.0</v>
      </c>
    </row>
    <row r="4700">
      <c r="A4700" s="24">
        <v>56.0</v>
      </c>
      <c r="B4700" s="24">
        <v>0.0</v>
      </c>
      <c r="C4700" s="44">
        <v>14.4</v>
      </c>
      <c r="D4700" s="46">
        <v>45195.0</v>
      </c>
      <c r="E4700" s="24" t="s">
        <v>6650</v>
      </c>
      <c r="F4700" s="24">
        <v>257.14</v>
      </c>
      <c r="G4700" s="24">
        <v>0.0</v>
      </c>
      <c r="H4700" s="24" t="s">
        <v>6699</v>
      </c>
      <c r="I4700" s="24" t="s">
        <v>6650</v>
      </c>
      <c r="J4700" s="24">
        <v>0.0</v>
      </c>
    </row>
    <row r="4701">
      <c r="A4701" s="24">
        <v>237.0</v>
      </c>
      <c r="B4701" s="24">
        <v>1.0</v>
      </c>
      <c r="C4701" s="44">
        <v>12.94</v>
      </c>
      <c r="D4701" s="46">
        <v>45195.0</v>
      </c>
      <c r="E4701" s="24">
        <v>12.94</v>
      </c>
      <c r="F4701" s="24">
        <v>54.6</v>
      </c>
      <c r="G4701" s="24">
        <v>0.42</v>
      </c>
      <c r="H4701" s="24" t="s">
        <v>6680</v>
      </c>
      <c r="I4701" s="24">
        <v>12.94</v>
      </c>
      <c r="J4701" s="24">
        <v>0.0</v>
      </c>
    </row>
    <row r="4702">
      <c r="A4702" s="24">
        <v>233.0</v>
      </c>
      <c r="B4702" s="24">
        <v>1.0</v>
      </c>
      <c r="C4702" s="44">
        <v>13.47</v>
      </c>
      <c r="D4702" s="46">
        <v>45195.0</v>
      </c>
      <c r="E4702" s="24">
        <v>13.47</v>
      </c>
      <c r="F4702" s="24">
        <v>57.81</v>
      </c>
      <c r="G4702" s="24">
        <v>0.43</v>
      </c>
      <c r="H4702" s="24" t="s">
        <v>6698</v>
      </c>
      <c r="I4702" s="24" t="s">
        <v>6650</v>
      </c>
      <c r="J4702" s="24">
        <v>0.0</v>
      </c>
    </row>
    <row r="4703">
      <c r="A4703" s="24">
        <v>734.0</v>
      </c>
      <c r="B4703" s="24">
        <v>1.0</v>
      </c>
      <c r="C4703" s="44">
        <v>11.58</v>
      </c>
      <c r="D4703" s="46">
        <v>45195.0</v>
      </c>
      <c r="E4703" s="24">
        <v>11.58</v>
      </c>
      <c r="F4703" s="24">
        <v>15.78</v>
      </c>
      <c r="G4703" s="24">
        <v>0.14</v>
      </c>
      <c r="H4703" s="24" t="s">
        <v>6688</v>
      </c>
      <c r="I4703" s="24" t="s">
        <v>6650</v>
      </c>
      <c r="J4703" s="24">
        <v>0.0</v>
      </c>
    </row>
    <row r="4704">
      <c r="A4704" s="24">
        <v>162.0</v>
      </c>
      <c r="B4704" s="24">
        <v>0.0</v>
      </c>
      <c r="C4704" s="44">
        <v>13.01</v>
      </c>
      <c r="D4704" s="46">
        <v>45195.0</v>
      </c>
      <c r="E4704" s="24" t="s">
        <v>6650</v>
      </c>
      <c r="F4704" s="24">
        <v>80.31</v>
      </c>
      <c r="G4704" s="24">
        <v>0.0</v>
      </c>
      <c r="H4704" s="24" t="s">
        <v>6700</v>
      </c>
      <c r="I4704" s="24" t="s">
        <v>6650</v>
      </c>
      <c r="J4704" s="24">
        <v>0.0</v>
      </c>
    </row>
    <row r="4705">
      <c r="A4705" s="24">
        <v>783.0</v>
      </c>
      <c r="B4705" s="24">
        <v>9.0</v>
      </c>
      <c r="C4705" s="44">
        <v>11.38</v>
      </c>
      <c r="D4705" s="46">
        <v>45196.0</v>
      </c>
      <c r="E4705" s="24">
        <v>1.26</v>
      </c>
      <c r="F4705" s="24">
        <v>14.53</v>
      </c>
      <c r="G4705" s="24">
        <v>1.15</v>
      </c>
      <c r="H4705" s="24" t="s">
        <v>6688</v>
      </c>
      <c r="I4705" s="24">
        <v>11.38</v>
      </c>
      <c r="J4705" s="24">
        <v>0.0</v>
      </c>
    </row>
    <row r="4706">
      <c r="A4706" s="24">
        <v>81.0</v>
      </c>
      <c r="B4706" s="24">
        <v>0.0</v>
      </c>
      <c r="C4706" s="44">
        <v>11.28</v>
      </c>
      <c r="D4706" s="46">
        <v>45196.0</v>
      </c>
      <c r="E4706" s="24" t="s">
        <v>6650</v>
      </c>
      <c r="F4706" s="24">
        <v>139.26</v>
      </c>
      <c r="G4706" s="24">
        <v>0.0</v>
      </c>
      <c r="H4706" s="24" t="s">
        <v>6700</v>
      </c>
      <c r="I4706" s="24" t="s">
        <v>6650</v>
      </c>
      <c r="J4706" s="24">
        <v>0.0</v>
      </c>
    </row>
    <row r="4707">
      <c r="A4707" s="24">
        <v>1.0</v>
      </c>
      <c r="B4707" s="24">
        <v>2.0</v>
      </c>
      <c r="C4707" s="44">
        <v>0.75</v>
      </c>
      <c r="D4707" s="46">
        <v>45196.0</v>
      </c>
      <c r="E4707" s="24">
        <v>0.38</v>
      </c>
      <c r="F4707" s="24">
        <v>750.0</v>
      </c>
      <c r="G4707" s="24">
        <v>200.0</v>
      </c>
      <c r="H4707" s="24" t="s">
        <v>6702</v>
      </c>
      <c r="I4707" s="24" t="s">
        <v>6650</v>
      </c>
      <c r="J4707" s="24">
        <v>0.0</v>
      </c>
    </row>
    <row r="4708">
      <c r="A4708" s="24">
        <v>442.0</v>
      </c>
      <c r="B4708" s="24">
        <v>7.0</v>
      </c>
      <c r="C4708" s="44">
        <v>11.07</v>
      </c>
      <c r="D4708" s="46">
        <v>45196.0</v>
      </c>
      <c r="E4708" s="24">
        <v>1.58</v>
      </c>
      <c r="F4708" s="24">
        <v>25.05</v>
      </c>
      <c r="G4708" s="24">
        <v>1.58</v>
      </c>
      <c r="H4708" s="24" t="s">
        <v>6698</v>
      </c>
      <c r="I4708" s="24">
        <v>2.77</v>
      </c>
      <c r="J4708" s="24">
        <v>0.0</v>
      </c>
    </row>
    <row r="4709">
      <c r="A4709" s="24">
        <v>52.0</v>
      </c>
      <c r="B4709" s="24">
        <v>0.0</v>
      </c>
      <c r="C4709" s="44">
        <v>11.6</v>
      </c>
      <c r="D4709" s="46">
        <v>45196.0</v>
      </c>
      <c r="E4709" s="24" t="s">
        <v>6650</v>
      </c>
      <c r="F4709" s="24">
        <v>223.08</v>
      </c>
      <c r="G4709" s="24">
        <v>0.0</v>
      </c>
      <c r="H4709" s="24" t="s">
        <v>6699</v>
      </c>
      <c r="I4709" s="24" t="s">
        <v>6650</v>
      </c>
      <c r="J4709" s="24">
        <v>0.0</v>
      </c>
    </row>
    <row r="4710">
      <c r="A4710" s="24">
        <v>100.0</v>
      </c>
      <c r="B4710" s="24">
        <v>1.0</v>
      </c>
      <c r="C4710" s="44">
        <v>13.19</v>
      </c>
      <c r="D4710" s="46">
        <v>45196.0</v>
      </c>
      <c r="E4710" s="24">
        <v>13.19</v>
      </c>
      <c r="F4710" s="24">
        <v>131.9</v>
      </c>
      <c r="G4710" s="24">
        <v>1.0</v>
      </c>
      <c r="H4710" s="24" t="s">
        <v>6701</v>
      </c>
      <c r="I4710" s="24" t="s">
        <v>6650</v>
      </c>
      <c r="J4710" s="24">
        <v>0.0</v>
      </c>
    </row>
    <row r="4711">
      <c r="A4711" s="24">
        <v>26.0</v>
      </c>
      <c r="B4711" s="24">
        <v>0.0</v>
      </c>
      <c r="C4711" s="44">
        <v>12.83</v>
      </c>
      <c r="D4711" s="46">
        <v>45196.0</v>
      </c>
      <c r="E4711" s="24" t="s">
        <v>6650</v>
      </c>
      <c r="F4711" s="24">
        <v>493.46</v>
      </c>
      <c r="G4711" s="24">
        <v>0.0</v>
      </c>
      <c r="H4711" s="24" t="s">
        <v>6695</v>
      </c>
      <c r="I4711" s="24" t="s">
        <v>6650</v>
      </c>
      <c r="J4711" s="24">
        <v>0.0</v>
      </c>
    </row>
    <row r="4712">
      <c r="A4712" s="24">
        <v>23.0</v>
      </c>
      <c r="B4712" s="24">
        <v>1.0</v>
      </c>
      <c r="C4712" s="44">
        <v>12.15</v>
      </c>
      <c r="D4712" s="46">
        <v>45196.0</v>
      </c>
      <c r="E4712" s="24">
        <v>12.15</v>
      </c>
      <c r="F4712" s="24">
        <v>528.26</v>
      </c>
      <c r="G4712" s="24">
        <v>4.35</v>
      </c>
      <c r="H4712" s="24" t="s">
        <v>6697</v>
      </c>
      <c r="I4712" s="24" t="s">
        <v>6650</v>
      </c>
      <c r="J4712" s="24">
        <v>1.0</v>
      </c>
    </row>
    <row r="4713">
      <c r="A4713" s="24">
        <v>45.0</v>
      </c>
      <c r="B4713" s="24">
        <v>0.0</v>
      </c>
      <c r="C4713" s="44">
        <v>13.27</v>
      </c>
      <c r="D4713" s="46">
        <v>45196.0</v>
      </c>
      <c r="E4713" s="24" t="s">
        <v>6650</v>
      </c>
      <c r="F4713" s="24">
        <v>294.89</v>
      </c>
      <c r="G4713" s="24">
        <v>0.0</v>
      </c>
      <c r="H4713" s="24" t="s">
        <v>6696</v>
      </c>
      <c r="I4713" s="24" t="s">
        <v>6650</v>
      </c>
      <c r="J4713" s="24">
        <v>0.0</v>
      </c>
    </row>
    <row r="4714">
      <c r="A4714" s="24">
        <v>60.0</v>
      </c>
      <c r="B4714" s="24">
        <v>1.0</v>
      </c>
      <c r="C4714" s="44">
        <v>13.24</v>
      </c>
      <c r="D4714" s="46">
        <v>45196.0</v>
      </c>
      <c r="E4714" s="24">
        <v>13.24</v>
      </c>
      <c r="F4714" s="24">
        <v>220.67</v>
      </c>
      <c r="G4714" s="24">
        <v>1.67</v>
      </c>
      <c r="H4714" s="24" t="s">
        <v>6680</v>
      </c>
      <c r="I4714" s="24" t="s">
        <v>6650</v>
      </c>
      <c r="J4714" s="24">
        <v>0.0</v>
      </c>
    </row>
    <row r="4715">
      <c r="A4715" s="24">
        <v>898.0</v>
      </c>
      <c r="B4715" s="24">
        <v>6.0</v>
      </c>
      <c r="C4715" s="44">
        <v>12.27</v>
      </c>
      <c r="D4715" s="46">
        <v>45196.0</v>
      </c>
      <c r="E4715" s="24">
        <v>2.04</v>
      </c>
      <c r="F4715" s="24">
        <v>13.66</v>
      </c>
      <c r="G4715" s="24">
        <v>0.67</v>
      </c>
      <c r="H4715" s="24" t="s">
        <v>6689</v>
      </c>
      <c r="I4715" s="24" t="s">
        <v>6650</v>
      </c>
      <c r="J4715" s="24">
        <v>0.0</v>
      </c>
    </row>
    <row r="4716">
      <c r="A4716" s="24">
        <v>57.0</v>
      </c>
      <c r="B4716" s="24">
        <v>2.0</v>
      </c>
      <c r="C4716" s="44">
        <v>14.59</v>
      </c>
      <c r="D4716" s="46">
        <v>45197.0</v>
      </c>
      <c r="E4716" s="24">
        <v>7.3</v>
      </c>
      <c r="F4716" s="24">
        <v>255.96</v>
      </c>
      <c r="G4716" s="24">
        <v>3.51</v>
      </c>
      <c r="H4716" s="24" t="s">
        <v>6701</v>
      </c>
      <c r="I4716" s="24">
        <v>14.59</v>
      </c>
      <c r="J4716" s="24">
        <v>0.0</v>
      </c>
    </row>
    <row r="4717">
      <c r="A4717" s="24">
        <v>25.0</v>
      </c>
      <c r="B4717" s="24">
        <v>0.0</v>
      </c>
      <c r="C4717" s="44">
        <v>11.94</v>
      </c>
      <c r="D4717" s="46">
        <v>45197.0</v>
      </c>
      <c r="E4717" s="24" t="s">
        <v>6650</v>
      </c>
      <c r="F4717" s="24">
        <v>477.6</v>
      </c>
      <c r="G4717" s="24">
        <v>0.0</v>
      </c>
      <c r="H4717" s="24" t="s">
        <v>6697</v>
      </c>
      <c r="I4717" s="24" t="s">
        <v>6650</v>
      </c>
      <c r="J4717" s="24">
        <v>0.0</v>
      </c>
    </row>
    <row r="4718">
      <c r="A4718" s="24">
        <v>555.0</v>
      </c>
      <c r="B4718" s="24">
        <v>5.0</v>
      </c>
      <c r="C4718" s="44">
        <v>10.31</v>
      </c>
      <c r="D4718" s="46">
        <v>45197.0</v>
      </c>
      <c r="E4718" s="24">
        <v>2.06</v>
      </c>
      <c r="F4718" s="24">
        <v>18.58</v>
      </c>
      <c r="G4718" s="24">
        <v>0.9</v>
      </c>
      <c r="H4718" s="24" t="s">
        <v>6698</v>
      </c>
      <c r="I4718" s="24">
        <v>10.31</v>
      </c>
      <c r="J4718" s="24">
        <v>0.0</v>
      </c>
    </row>
    <row r="4719">
      <c r="A4719" s="24">
        <v>31.0</v>
      </c>
      <c r="B4719" s="24">
        <v>0.0</v>
      </c>
      <c r="C4719" s="44">
        <v>11.65</v>
      </c>
      <c r="D4719" s="46">
        <v>45197.0</v>
      </c>
      <c r="E4719" s="24" t="s">
        <v>6650</v>
      </c>
      <c r="F4719" s="24">
        <v>375.81</v>
      </c>
      <c r="G4719" s="24">
        <v>0.0</v>
      </c>
      <c r="H4719" s="24" t="s">
        <v>6695</v>
      </c>
      <c r="I4719" s="24" t="s">
        <v>6650</v>
      </c>
      <c r="J4719" s="24">
        <v>0.0</v>
      </c>
    </row>
    <row r="4720">
      <c r="A4720" s="24">
        <v>730.0</v>
      </c>
      <c r="B4720" s="24">
        <v>8.0</v>
      </c>
      <c r="C4720" s="44">
        <v>12.56</v>
      </c>
      <c r="D4720" s="46">
        <v>45197.0</v>
      </c>
      <c r="E4720" s="24">
        <v>1.57</v>
      </c>
      <c r="F4720" s="24">
        <v>17.21</v>
      </c>
      <c r="G4720" s="24">
        <v>1.1</v>
      </c>
      <c r="H4720" s="24" t="s">
        <v>6689</v>
      </c>
      <c r="I4720" s="24" t="s">
        <v>6650</v>
      </c>
      <c r="J4720" s="24">
        <v>0.0</v>
      </c>
    </row>
    <row r="4721">
      <c r="A4721" s="24">
        <v>136.0</v>
      </c>
      <c r="B4721" s="24">
        <v>2.0</v>
      </c>
      <c r="C4721" s="44">
        <v>14.17</v>
      </c>
      <c r="D4721" s="46">
        <v>45197.0</v>
      </c>
      <c r="E4721" s="24">
        <v>7.08</v>
      </c>
      <c r="F4721" s="24">
        <v>104.19</v>
      </c>
      <c r="G4721" s="24">
        <v>1.47</v>
      </c>
      <c r="H4721" s="24" t="s">
        <v>6680</v>
      </c>
      <c r="I4721" s="24">
        <v>14.17</v>
      </c>
      <c r="J4721" s="24">
        <v>0.0</v>
      </c>
    </row>
    <row r="4722">
      <c r="A4722" s="24">
        <v>47.0</v>
      </c>
      <c r="B4722" s="24">
        <v>0.0</v>
      </c>
      <c r="C4722" s="44">
        <v>11.69</v>
      </c>
      <c r="D4722" s="46">
        <v>45197.0</v>
      </c>
      <c r="E4722" s="24" t="s">
        <v>6650</v>
      </c>
      <c r="F4722" s="24">
        <v>248.72</v>
      </c>
      <c r="G4722" s="24">
        <v>0.0</v>
      </c>
      <c r="H4722" s="24" t="s">
        <v>6699</v>
      </c>
      <c r="I4722" s="24" t="s">
        <v>6650</v>
      </c>
      <c r="J4722" s="24">
        <v>0.0</v>
      </c>
    </row>
    <row r="4723">
      <c r="A4723" s="24">
        <v>36.0</v>
      </c>
      <c r="B4723" s="24">
        <v>0.0</v>
      </c>
      <c r="C4723" s="44">
        <v>11.02</v>
      </c>
      <c r="D4723" s="46">
        <v>45197.0</v>
      </c>
      <c r="E4723" s="24" t="s">
        <v>6650</v>
      </c>
      <c r="F4723" s="24">
        <v>306.11</v>
      </c>
      <c r="G4723" s="24">
        <v>0.0</v>
      </c>
      <c r="H4723" s="24" t="s">
        <v>6696</v>
      </c>
      <c r="I4723" s="24" t="s">
        <v>6650</v>
      </c>
      <c r="J4723" s="24">
        <v>0.0</v>
      </c>
    </row>
    <row r="4724">
      <c r="A4724" s="24">
        <v>501.0</v>
      </c>
      <c r="B4724" s="24">
        <v>3.0</v>
      </c>
      <c r="C4724" s="44">
        <v>11.18</v>
      </c>
      <c r="D4724" s="46">
        <v>45197.0</v>
      </c>
      <c r="E4724" s="24">
        <v>3.73</v>
      </c>
      <c r="F4724" s="24">
        <v>22.32</v>
      </c>
      <c r="G4724" s="24">
        <v>0.6</v>
      </c>
      <c r="H4724" s="24" t="s">
        <v>6688</v>
      </c>
      <c r="I4724" s="24" t="s">
        <v>6650</v>
      </c>
      <c r="J4724" s="24">
        <v>0.0</v>
      </c>
    </row>
    <row r="4725">
      <c r="A4725" s="24">
        <v>79.0</v>
      </c>
      <c r="B4725" s="24">
        <v>1.0</v>
      </c>
      <c r="C4725" s="44">
        <v>11.43</v>
      </c>
      <c r="D4725" s="46">
        <v>45197.0</v>
      </c>
      <c r="E4725" s="24">
        <v>11.43</v>
      </c>
      <c r="F4725" s="24">
        <v>144.68</v>
      </c>
      <c r="G4725" s="24">
        <v>1.27</v>
      </c>
      <c r="H4725" s="24" t="s">
        <v>6700</v>
      </c>
      <c r="I4725" s="24" t="s">
        <v>6650</v>
      </c>
      <c r="J4725" s="24">
        <v>0.0</v>
      </c>
    </row>
    <row r="4726">
      <c r="A4726" s="24">
        <v>7.0</v>
      </c>
      <c r="B4726" s="24">
        <v>3.0</v>
      </c>
      <c r="C4726" s="44">
        <v>5.25</v>
      </c>
      <c r="D4726" s="46">
        <v>45197.0</v>
      </c>
      <c r="E4726" s="24">
        <v>1.75</v>
      </c>
      <c r="F4726" s="24">
        <v>750.0</v>
      </c>
      <c r="G4726" s="24">
        <v>42.86</v>
      </c>
      <c r="H4726" s="24" t="s">
        <v>6702</v>
      </c>
      <c r="I4726" s="24" t="s">
        <v>6650</v>
      </c>
      <c r="J4726" s="24">
        <v>0.0</v>
      </c>
    </row>
    <row r="4727">
      <c r="A4727" s="24">
        <v>92.0</v>
      </c>
      <c r="B4727" s="24">
        <v>0.0</v>
      </c>
      <c r="C4727" s="44">
        <v>10.6</v>
      </c>
      <c r="D4727" s="46">
        <v>45198.0</v>
      </c>
      <c r="E4727" s="24" t="s">
        <v>6650</v>
      </c>
      <c r="F4727" s="24">
        <v>115.22</v>
      </c>
      <c r="G4727" s="24">
        <v>0.0</v>
      </c>
      <c r="H4727" s="24" t="s">
        <v>6701</v>
      </c>
      <c r="I4727" s="24">
        <v>10.6</v>
      </c>
      <c r="J4727" s="24">
        <v>0.0</v>
      </c>
    </row>
    <row r="4728">
      <c r="A4728" s="24">
        <v>514.0</v>
      </c>
      <c r="B4728" s="24">
        <v>4.0</v>
      </c>
      <c r="C4728" s="44">
        <v>10.08</v>
      </c>
      <c r="D4728" s="46">
        <v>45198.0</v>
      </c>
      <c r="E4728" s="24">
        <v>2.52</v>
      </c>
      <c r="F4728" s="24">
        <v>19.61</v>
      </c>
      <c r="G4728" s="24">
        <v>0.78</v>
      </c>
      <c r="H4728" s="24" t="s">
        <v>6698</v>
      </c>
      <c r="I4728" s="24">
        <v>5.04</v>
      </c>
      <c r="J4728" s="24">
        <v>0.0</v>
      </c>
    </row>
    <row r="4729">
      <c r="A4729" s="24">
        <v>62.0</v>
      </c>
      <c r="B4729" s="24">
        <v>0.0</v>
      </c>
      <c r="C4729" s="44">
        <v>10.29</v>
      </c>
      <c r="D4729" s="46">
        <v>45198.0</v>
      </c>
      <c r="E4729" s="24" t="s">
        <v>6650</v>
      </c>
      <c r="F4729" s="24">
        <v>165.97</v>
      </c>
      <c r="G4729" s="24">
        <v>0.0</v>
      </c>
      <c r="H4729" s="24" t="s">
        <v>6696</v>
      </c>
      <c r="I4729" s="24" t="s">
        <v>6650</v>
      </c>
      <c r="J4729" s="24">
        <v>0.0</v>
      </c>
    </row>
    <row r="4730">
      <c r="A4730" s="24">
        <v>576.0</v>
      </c>
      <c r="B4730" s="24">
        <v>3.0</v>
      </c>
      <c r="C4730" s="44">
        <v>10.78</v>
      </c>
      <c r="D4730" s="46">
        <v>45198.0</v>
      </c>
      <c r="E4730" s="24">
        <v>3.59</v>
      </c>
      <c r="F4730" s="24">
        <v>18.72</v>
      </c>
      <c r="G4730" s="24">
        <v>0.52</v>
      </c>
      <c r="H4730" s="24" t="s">
        <v>6688</v>
      </c>
      <c r="I4730" s="24" t="s">
        <v>6650</v>
      </c>
      <c r="J4730" s="24">
        <v>0.0</v>
      </c>
    </row>
    <row r="4731">
      <c r="A4731" s="24">
        <v>43.0</v>
      </c>
      <c r="B4731" s="24">
        <v>0.0</v>
      </c>
      <c r="C4731" s="44">
        <v>10.66</v>
      </c>
      <c r="D4731" s="46">
        <v>45198.0</v>
      </c>
      <c r="E4731" s="24" t="s">
        <v>6650</v>
      </c>
      <c r="F4731" s="24">
        <v>247.91</v>
      </c>
      <c r="G4731" s="24">
        <v>0.0</v>
      </c>
      <c r="H4731" s="24" t="s">
        <v>6680</v>
      </c>
      <c r="I4731" s="24" t="s">
        <v>6650</v>
      </c>
      <c r="J4731" s="24">
        <v>0.0</v>
      </c>
    </row>
    <row r="4732">
      <c r="A4732" s="24">
        <v>623.0</v>
      </c>
      <c r="B4732" s="24">
        <v>4.0</v>
      </c>
      <c r="C4732" s="44">
        <v>11.14</v>
      </c>
      <c r="D4732" s="46">
        <v>45198.0</v>
      </c>
      <c r="E4732" s="24">
        <v>2.78</v>
      </c>
      <c r="F4732" s="24">
        <v>17.88</v>
      </c>
      <c r="G4732" s="24">
        <v>0.64</v>
      </c>
      <c r="H4732" s="24" t="s">
        <v>6689</v>
      </c>
      <c r="I4732" s="24" t="s">
        <v>6650</v>
      </c>
      <c r="J4732" s="24">
        <v>0.0</v>
      </c>
    </row>
    <row r="4733">
      <c r="A4733" s="24">
        <v>132.0</v>
      </c>
      <c r="B4733" s="24">
        <v>0.0</v>
      </c>
      <c r="C4733" s="44">
        <v>10.28</v>
      </c>
      <c r="D4733" s="46">
        <v>45198.0</v>
      </c>
      <c r="E4733" s="24" t="s">
        <v>6650</v>
      </c>
      <c r="F4733" s="24">
        <v>77.88</v>
      </c>
      <c r="G4733" s="24">
        <v>0.0</v>
      </c>
      <c r="H4733" s="24" t="s">
        <v>6700</v>
      </c>
      <c r="I4733" s="24" t="s">
        <v>6650</v>
      </c>
      <c r="J4733" s="24">
        <v>0.0</v>
      </c>
    </row>
    <row r="4734">
      <c r="A4734" s="24">
        <v>31.0</v>
      </c>
      <c r="B4734" s="24">
        <v>1.0</v>
      </c>
      <c r="C4734" s="44">
        <v>11.8</v>
      </c>
      <c r="D4734" s="46">
        <v>45198.0</v>
      </c>
      <c r="E4734" s="24">
        <v>11.8</v>
      </c>
      <c r="F4734" s="24">
        <v>380.65</v>
      </c>
      <c r="G4734" s="24">
        <v>3.23</v>
      </c>
      <c r="H4734" s="24" t="s">
        <v>6697</v>
      </c>
      <c r="I4734" s="24" t="s">
        <v>6650</v>
      </c>
      <c r="J4734" s="24">
        <v>0.0</v>
      </c>
    </row>
    <row r="4735">
      <c r="A4735" s="24">
        <v>26.0</v>
      </c>
      <c r="B4735" s="24">
        <v>0.0</v>
      </c>
      <c r="C4735" s="44">
        <v>10.61</v>
      </c>
      <c r="D4735" s="46">
        <v>45198.0</v>
      </c>
      <c r="E4735" s="24" t="s">
        <v>6650</v>
      </c>
      <c r="F4735" s="24">
        <v>408.08</v>
      </c>
      <c r="G4735" s="24">
        <v>0.0</v>
      </c>
      <c r="H4735" s="24" t="s">
        <v>6695</v>
      </c>
      <c r="I4735" s="24">
        <v>10.61</v>
      </c>
      <c r="J4735" s="24">
        <v>0.0</v>
      </c>
    </row>
    <row r="4736">
      <c r="A4736" s="24">
        <v>5.0</v>
      </c>
      <c r="B4736" s="24">
        <v>3.0</v>
      </c>
      <c r="C4736" s="44">
        <v>3.75</v>
      </c>
      <c r="D4736" s="46">
        <v>45198.0</v>
      </c>
      <c r="E4736" s="24">
        <v>1.25</v>
      </c>
      <c r="F4736" s="24">
        <v>750.0</v>
      </c>
      <c r="G4736" s="24">
        <v>60.0</v>
      </c>
      <c r="H4736" s="24" t="s">
        <v>6702</v>
      </c>
      <c r="I4736" s="24" t="s">
        <v>6650</v>
      </c>
      <c r="J4736" s="24">
        <v>0.0</v>
      </c>
    </row>
    <row r="4737">
      <c r="A4737" s="24">
        <v>34.0</v>
      </c>
      <c r="B4737" s="24">
        <v>0.0</v>
      </c>
      <c r="C4737" s="44">
        <v>9.8</v>
      </c>
      <c r="D4737" s="46">
        <v>45198.0</v>
      </c>
      <c r="E4737" s="24" t="s">
        <v>6650</v>
      </c>
      <c r="F4737" s="24">
        <v>288.24</v>
      </c>
      <c r="G4737" s="24">
        <v>0.0</v>
      </c>
      <c r="H4737" s="24" t="s">
        <v>6699</v>
      </c>
      <c r="I4737" s="24" t="s">
        <v>6650</v>
      </c>
      <c r="J4737" s="24">
        <v>0.0</v>
      </c>
    </row>
    <row r="4738">
      <c r="A4738" s="24">
        <v>15.0</v>
      </c>
      <c r="B4738" s="24">
        <v>0.0</v>
      </c>
      <c r="C4738" s="44">
        <v>5.11</v>
      </c>
      <c r="D4738" s="46">
        <v>45199.0</v>
      </c>
      <c r="E4738" s="24" t="s">
        <v>6650</v>
      </c>
      <c r="F4738" s="24">
        <v>340.67</v>
      </c>
      <c r="G4738" s="24">
        <v>0.0</v>
      </c>
      <c r="H4738" s="24" t="s">
        <v>6699</v>
      </c>
      <c r="I4738" s="24" t="s">
        <v>6650</v>
      </c>
      <c r="J4738" s="24">
        <v>0.0</v>
      </c>
    </row>
    <row r="4739">
      <c r="A4739" s="24">
        <v>19.0</v>
      </c>
      <c r="B4739" s="24">
        <v>0.0</v>
      </c>
      <c r="C4739" s="44">
        <v>8.2</v>
      </c>
      <c r="D4739" s="46">
        <v>45199.0</v>
      </c>
      <c r="E4739" s="24" t="s">
        <v>6650</v>
      </c>
      <c r="F4739" s="24">
        <v>431.58</v>
      </c>
      <c r="G4739" s="24">
        <v>0.0</v>
      </c>
      <c r="H4739" s="24" t="s">
        <v>6695</v>
      </c>
      <c r="I4739" s="24" t="s">
        <v>6650</v>
      </c>
      <c r="J4739" s="24">
        <v>0.0</v>
      </c>
    </row>
    <row r="4740">
      <c r="A4740" s="24">
        <v>401.0</v>
      </c>
      <c r="B4740" s="24">
        <v>4.0</v>
      </c>
      <c r="C4740" s="44">
        <v>7.27</v>
      </c>
      <c r="D4740" s="46">
        <v>45199.0</v>
      </c>
      <c r="E4740" s="24">
        <v>1.82</v>
      </c>
      <c r="F4740" s="24">
        <v>18.13</v>
      </c>
      <c r="G4740" s="24">
        <v>1.0</v>
      </c>
      <c r="H4740" s="24" t="s">
        <v>6688</v>
      </c>
      <c r="I4740" s="24" t="s">
        <v>6650</v>
      </c>
      <c r="J4740" s="24">
        <v>0.0</v>
      </c>
    </row>
    <row r="4741">
      <c r="A4741" s="24">
        <v>267.0</v>
      </c>
      <c r="B4741" s="24">
        <v>5.0</v>
      </c>
      <c r="C4741" s="44">
        <v>6.4</v>
      </c>
      <c r="D4741" s="46">
        <v>45199.0</v>
      </c>
      <c r="E4741" s="24">
        <v>1.28</v>
      </c>
      <c r="F4741" s="24">
        <v>23.97</v>
      </c>
      <c r="G4741" s="24">
        <v>1.87</v>
      </c>
      <c r="H4741" s="24" t="s">
        <v>6689</v>
      </c>
      <c r="I4741" s="24" t="s">
        <v>6650</v>
      </c>
      <c r="J4741" s="24">
        <v>0.0</v>
      </c>
    </row>
    <row r="4742">
      <c r="A4742" s="24">
        <v>2.0</v>
      </c>
      <c r="B4742" s="24">
        <v>1.0</v>
      </c>
      <c r="C4742" s="44">
        <v>1.5</v>
      </c>
      <c r="D4742" s="46">
        <v>45199.0</v>
      </c>
      <c r="E4742" s="24">
        <v>1.5</v>
      </c>
      <c r="F4742" s="24">
        <v>750.0</v>
      </c>
      <c r="G4742" s="24">
        <v>50.0</v>
      </c>
      <c r="H4742" s="24" t="s">
        <v>6702</v>
      </c>
      <c r="I4742" s="24" t="s">
        <v>6650</v>
      </c>
      <c r="J4742" s="24">
        <v>0.0</v>
      </c>
    </row>
    <row r="4743">
      <c r="A4743" s="24">
        <v>177.0</v>
      </c>
      <c r="B4743" s="24">
        <v>0.0</v>
      </c>
      <c r="C4743" s="44">
        <v>6.9</v>
      </c>
      <c r="D4743" s="46">
        <v>45199.0</v>
      </c>
      <c r="E4743" s="24" t="s">
        <v>6650</v>
      </c>
      <c r="F4743" s="24">
        <v>38.98</v>
      </c>
      <c r="G4743" s="24">
        <v>0.0</v>
      </c>
      <c r="H4743" s="24" t="s">
        <v>6698</v>
      </c>
      <c r="I4743" s="24">
        <v>2.3</v>
      </c>
      <c r="J4743" s="24">
        <v>0.0</v>
      </c>
    </row>
    <row r="4744">
      <c r="A4744" s="24">
        <v>30.0</v>
      </c>
      <c r="B4744" s="24">
        <v>0.0</v>
      </c>
      <c r="C4744" s="44">
        <v>6.9</v>
      </c>
      <c r="D4744" s="46">
        <v>45199.0</v>
      </c>
      <c r="E4744" s="24" t="s">
        <v>6650</v>
      </c>
      <c r="F4744" s="24">
        <v>230.0</v>
      </c>
      <c r="G4744" s="24">
        <v>0.0</v>
      </c>
      <c r="H4744" s="24" t="s">
        <v>6700</v>
      </c>
      <c r="I4744" s="24">
        <v>6.9</v>
      </c>
      <c r="J4744" s="24">
        <v>0.0</v>
      </c>
    </row>
    <row r="4745">
      <c r="A4745" s="24">
        <v>38.0</v>
      </c>
      <c r="B4745" s="24">
        <v>0.0</v>
      </c>
      <c r="C4745" s="44">
        <v>6.79</v>
      </c>
      <c r="D4745" s="46">
        <v>45199.0</v>
      </c>
      <c r="E4745" s="24" t="s">
        <v>6650</v>
      </c>
      <c r="F4745" s="24">
        <v>178.68</v>
      </c>
      <c r="G4745" s="24">
        <v>0.0</v>
      </c>
      <c r="H4745" s="24" t="s">
        <v>6680</v>
      </c>
      <c r="I4745" s="24" t="s">
        <v>6650</v>
      </c>
      <c r="J4745" s="24">
        <v>0.0</v>
      </c>
    </row>
    <row r="4746">
      <c r="A4746" s="24">
        <v>31.0</v>
      </c>
      <c r="B4746" s="24">
        <v>0.0</v>
      </c>
      <c r="C4746" s="44">
        <v>4.43</v>
      </c>
      <c r="D4746" s="46">
        <v>45199.0</v>
      </c>
      <c r="E4746" s="24" t="s">
        <v>6650</v>
      </c>
      <c r="F4746" s="24">
        <v>142.9</v>
      </c>
      <c r="G4746" s="24">
        <v>0.0</v>
      </c>
      <c r="H4746" s="24" t="s">
        <v>6701</v>
      </c>
      <c r="I4746" s="24" t="s">
        <v>6650</v>
      </c>
      <c r="J4746" s="24">
        <v>0.0</v>
      </c>
    </row>
    <row r="4747">
      <c r="A4747" s="24">
        <v>10.0</v>
      </c>
      <c r="B4747" s="24">
        <v>0.0</v>
      </c>
      <c r="C4747" s="44">
        <v>4.42</v>
      </c>
      <c r="D4747" s="46">
        <v>45199.0</v>
      </c>
      <c r="E4747" s="24" t="s">
        <v>6650</v>
      </c>
      <c r="F4747" s="24">
        <v>442.0</v>
      </c>
      <c r="G4747" s="24">
        <v>0.0</v>
      </c>
      <c r="H4747" s="24" t="s">
        <v>6697</v>
      </c>
      <c r="I4747" s="24" t="s">
        <v>6650</v>
      </c>
      <c r="J4747" s="24">
        <v>0.0</v>
      </c>
    </row>
    <row r="4748">
      <c r="A4748" s="24">
        <v>17.0</v>
      </c>
      <c r="B4748" s="24">
        <v>0.0</v>
      </c>
      <c r="C4748" s="44">
        <v>7.07</v>
      </c>
      <c r="D4748" s="46">
        <v>45199.0</v>
      </c>
      <c r="E4748" s="24" t="s">
        <v>6650</v>
      </c>
      <c r="F4748" s="24">
        <v>415.88</v>
      </c>
      <c r="G4748" s="24">
        <v>0.0</v>
      </c>
      <c r="H4748" s="24" t="s">
        <v>6696</v>
      </c>
      <c r="I4748" s="24" t="s">
        <v>6650</v>
      </c>
      <c r="J4748" s="24">
        <v>0.0</v>
      </c>
    </row>
    <row r="4749">
      <c r="A4749" s="24">
        <v>5.0</v>
      </c>
      <c r="B4749" s="24">
        <v>0.0</v>
      </c>
      <c r="C4749" s="44">
        <v>1.89</v>
      </c>
      <c r="D4749" s="46">
        <v>45200.0</v>
      </c>
      <c r="E4749" s="24" t="s">
        <v>6650</v>
      </c>
      <c r="F4749" s="24">
        <v>378.0</v>
      </c>
      <c r="G4749" s="24">
        <v>0.0</v>
      </c>
      <c r="H4749" s="24" t="s">
        <v>6697</v>
      </c>
      <c r="I4749" s="24" t="s">
        <v>6650</v>
      </c>
      <c r="J4749" s="24">
        <v>0.0</v>
      </c>
    </row>
    <row r="4750">
      <c r="A4750" s="24">
        <v>397.0</v>
      </c>
      <c r="B4750" s="24">
        <v>0.0</v>
      </c>
      <c r="C4750" s="44">
        <v>6.35</v>
      </c>
      <c r="D4750" s="46">
        <v>45200.0</v>
      </c>
      <c r="E4750" s="24" t="s">
        <v>6650</v>
      </c>
      <c r="F4750" s="24">
        <v>15.99</v>
      </c>
      <c r="G4750" s="24">
        <v>0.0</v>
      </c>
      <c r="H4750" s="24" t="s">
        <v>6698</v>
      </c>
      <c r="I4750" s="24" t="s">
        <v>6650</v>
      </c>
      <c r="J4750" s="24">
        <v>0.0</v>
      </c>
    </row>
    <row r="4751">
      <c r="A4751" s="24">
        <v>20.0</v>
      </c>
      <c r="B4751" s="24">
        <v>0.0</v>
      </c>
      <c r="C4751" s="44">
        <v>1.86</v>
      </c>
      <c r="D4751" s="46">
        <v>45200.0</v>
      </c>
      <c r="E4751" s="24" t="s">
        <v>6650</v>
      </c>
      <c r="F4751" s="24">
        <v>93.0</v>
      </c>
      <c r="G4751" s="24">
        <v>0.0</v>
      </c>
      <c r="H4751" s="24" t="s">
        <v>6701</v>
      </c>
      <c r="I4751" s="24" t="s">
        <v>6650</v>
      </c>
      <c r="J4751" s="24">
        <v>0.0</v>
      </c>
    </row>
    <row r="4752">
      <c r="A4752" s="24">
        <v>14.0</v>
      </c>
      <c r="B4752" s="24">
        <v>0.0</v>
      </c>
      <c r="C4752" s="44">
        <v>1.6</v>
      </c>
      <c r="D4752" s="46">
        <v>45200.0</v>
      </c>
      <c r="E4752" s="24" t="s">
        <v>6650</v>
      </c>
      <c r="F4752" s="24">
        <v>114.29</v>
      </c>
      <c r="G4752" s="24">
        <v>0.0</v>
      </c>
      <c r="H4752" s="24" t="s">
        <v>6695</v>
      </c>
      <c r="I4752" s="24" t="s">
        <v>6650</v>
      </c>
      <c r="J4752" s="24">
        <v>0.0</v>
      </c>
    </row>
    <row r="4753">
      <c r="A4753" s="24">
        <v>62.0</v>
      </c>
      <c r="B4753" s="24">
        <v>2.0</v>
      </c>
      <c r="C4753" s="44">
        <v>5.46</v>
      </c>
      <c r="D4753" s="46">
        <v>45200.0</v>
      </c>
      <c r="E4753" s="24">
        <v>2.73</v>
      </c>
      <c r="F4753" s="24">
        <v>88.06</v>
      </c>
      <c r="G4753" s="24">
        <v>3.23</v>
      </c>
      <c r="H4753" s="24" t="s">
        <v>6700</v>
      </c>
      <c r="I4753" s="24" t="s">
        <v>6650</v>
      </c>
      <c r="J4753" s="24">
        <v>0.0</v>
      </c>
    </row>
    <row r="4754">
      <c r="A4754" s="24">
        <v>21.0</v>
      </c>
      <c r="B4754" s="24">
        <v>0.0</v>
      </c>
      <c r="C4754" s="44">
        <v>2.44</v>
      </c>
      <c r="D4754" s="46">
        <v>45200.0</v>
      </c>
      <c r="E4754" s="24" t="s">
        <v>6650</v>
      </c>
      <c r="F4754" s="24">
        <v>116.19</v>
      </c>
      <c r="G4754" s="24">
        <v>0.0</v>
      </c>
      <c r="H4754" s="24" t="s">
        <v>6699</v>
      </c>
      <c r="I4754" s="24" t="s">
        <v>6650</v>
      </c>
      <c r="J4754" s="24">
        <v>0.0</v>
      </c>
    </row>
    <row r="4755">
      <c r="A4755" s="24">
        <v>250.0</v>
      </c>
      <c r="B4755" s="24">
        <v>3.0</v>
      </c>
      <c r="C4755" s="44">
        <v>4.89</v>
      </c>
      <c r="D4755" s="46">
        <v>45200.0</v>
      </c>
      <c r="E4755" s="24">
        <v>1.63</v>
      </c>
      <c r="F4755" s="24">
        <v>19.56</v>
      </c>
      <c r="G4755" s="24">
        <v>1.2</v>
      </c>
      <c r="H4755" s="24" t="s">
        <v>6689</v>
      </c>
      <c r="I4755" s="24" t="s">
        <v>6650</v>
      </c>
      <c r="J4755" s="24">
        <v>0.0</v>
      </c>
    </row>
    <row r="4756">
      <c r="A4756" s="24">
        <v>96.0</v>
      </c>
      <c r="B4756" s="24">
        <v>2.0</v>
      </c>
      <c r="C4756" s="44">
        <v>3.59</v>
      </c>
      <c r="D4756" s="46">
        <v>45200.0</v>
      </c>
      <c r="E4756" s="24">
        <v>1.8</v>
      </c>
      <c r="F4756" s="24">
        <v>37.4</v>
      </c>
      <c r="G4756" s="24">
        <v>2.08</v>
      </c>
      <c r="H4756" s="24" t="s">
        <v>6680</v>
      </c>
      <c r="I4756" s="24" t="s">
        <v>6650</v>
      </c>
      <c r="J4756" s="24">
        <v>0.0</v>
      </c>
    </row>
    <row r="4757">
      <c r="A4757" s="24">
        <v>4.0</v>
      </c>
      <c r="B4757" s="24">
        <v>2.0</v>
      </c>
      <c r="C4757" s="44">
        <v>3.0</v>
      </c>
      <c r="D4757" s="46">
        <v>45200.0</v>
      </c>
      <c r="E4757" s="24">
        <v>1.5</v>
      </c>
      <c r="F4757" s="24">
        <v>750.0</v>
      </c>
      <c r="G4757" s="24">
        <v>50.0</v>
      </c>
      <c r="H4757" s="24" t="s">
        <v>6702</v>
      </c>
      <c r="I4757" s="24" t="s">
        <v>6650</v>
      </c>
      <c r="J4757" s="24">
        <v>0.0</v>
      </c>
    </row>
    <row r="4758">
      <c r="A4758" s="24">
        <v>584.0</v>
      </c>
      <c r="B4758" s="24">
        <v>7.0</v>
      </c>
      <c r="C4758" s="44">
        <v>6.59</v>
      </c>
      <c r="D4758" s="46">
        <v>45200.0</v>
      </c>
      <c r="E4758" s="24">
        <v>0.94</v>
      </c>
      <c r="F4758" s="24">
        <v>11.28</v>
      </c>
      <c r="G4758" s="24">
        <v>1.2</v>
      </c>
      <c r="H4758" s="24" t="s">
        <v>6688</v>
      </c>
      <c r="I4758" s="24" t="s">
        <v>6650</v>
      </c>
      <c r="J4758" s="24">
        <v>0.0</v>
      </c>
    </row>
    <row r="4759">
      <c r="A4759" s="24">
        <v>25.0</v>
      </c>
      <c r="B4759" s="24">
        <v>1.0</v>
      </c>
      <c r="C4759" s="44">
        <v>4.16</v>
      </c>
      <c r="D4759" s="46">
        <v>45200.0</v>
      </c>
      <c r="E4759" s="24">
        <v>4.16</v>
      </c>
      <c r="F4759" s="24">
        <v>166.4</v>
      </c>
      <c r="G4759" s="24">
        <v>4.0</v>
      </c>
      <c r="H4759" s="24" t="s">
        <v>6696</v>
      </c>
      <c r="I4759" s="24" t="s">
        <v>6650</v>
      </c>
      <c r="J4759" s="24">
        <v>0.0</v>
      </c>
    </row>
    <row r="4760">
      <c r="A4760" s="24">
        <v>97.0</v>
      </c>
      <c r="B4760" s="24">
        <v>0.0</v>
      </c>
      <c r="C4760" s="44">
        <v>16.06</v>
      </c>
      <c r="D4760" s="46">
        <v>45201.0</v>
      </c>
      <c r="E4760" s="24" t="s">
        <v>6650</v>
      </c>
      <c r="F4760" s="24">
        <v>165.57</v>
      </c>
      <c r="G4760" s="24">
        <v>0.0</v>
      </c>
      <c r="H4760" s="24" t="s">
        <v>6680</v>
      </c>
      <c r="I4760" s="24">
        <v>16.06</v>
      </c>
      <c r="J4760" s="24">
        <v>0.0</v>
      </c>
    </row>
    <row r="4761">
      <c r="A4761" s="24">
        <v>5.0</v>
      </c>
      <c r="B4761" s="24">
        <v>4.0</v>
      </c>
      <c r="C4761" s="44">
        <v>3.75</v>
      </c>
      <c r="D4761" s="46">
        <v>45201.0</v>
      </c>
      <c r="E4761" s="24">
        <v>0.94</v>
      </c>
      <c r="F4761" s="24">
        <v>750.0</v>
      </c>
      <c r="G4761" s="24">
        <v>80.0</v>
      </c>
      <c r="H4761" s="24" t="s">
        <v>6702</v>
      </c>
      <c r="I4761" s="24" t="s">
        <v>6650</v>
      </c>
      <c r="J4761" s="24">
        <v>0.0</v>
      </c>
    </row>
    <row r="4762">
      <c r="A4762" s="24">
        <v>48.0</v>
      </c>
      <c r="B4762" s="24">
        <v>2.0</v>
      </c>
      <c r="C4762" s="44">
        <v>14.56</v>
      </c>
      <c r="D4762" s="46">
        <v>45201.0</v>
      </c>
      <c r="E4762" s="24">
        <v>7.28</v>
      </c>
      <c r="F4762" s="24">
        <v>303.33</v>
      </c>
      <c r="G4762" s="24">
        <v>4.17</v>
      </c>
      <c r="H4762" s="24" t="s">
        <v>6695</v>
      </c>
      <c r="I4762" s="24" t="s">
        <v>6650</v>
      </c>
      <c r="J4762" s="24">
        <v>0.0</v>
      </c>
    </row>
    <row r="4763">
      <c r="A4763" s="24">
        <v>66.0</v>
      </c>
      <c r="B4763" s="24">
        <v>1.0</v>
      </c>
      <c r="C4763" s="44">
        <v>11.84</v>
      </c>
      <c r="D4763" s="46">
        <v>45201.0</v>
      </c>
      <c r="E4763" s="24">
        <v>11.84</v>
      </c>
      <c r="F4763" s="24">
        <v>179.39</v>
      </c>
      <c r="G4763" s="24">
        <v>1.52</v>
      </c>
      <c r="H4763" s="24" t="s">
        <v>6696</v>
      </c>
      <c r="I4763" s="24">
        <v>11.84</v>
      </c>
      <c r="J4763" s="24">
        <v>0.0</v>
      </c>
    </row>
    <row r="4764">
      <c r="A4764" s="24">
        <v>96.0</v>
      </c>
      <c r="B4764" s="24">
        <v>2.0</v>
      </c>
      <c r="C4764" s="44">
        <v>10.8</v>
      </c>
      <c r="D4764" s="46">
        <v>45201.0</v>
      </c>
      <c r="E4764" s="24">
        <v>5.4</v>
      </c>
      <c r="F4764" s="24">
        <v>112.5</v>
      </c>
      <c r="G4764" s="24">
        <v>2.08</v>
      </c>
      <c r="H4764" s="24" t="s">
        <v>6701</v>
      </c>
      <c r="I4764" s="24" t="s">
        <v>6650</v>
      </c>
      <c r="J4764" s="24">
        <v>0.0</v>
      </c>
    </row>
    <row r="4765">
      <c r="A4765" s="24">
        <v>100.0</v>
      </c>
      <c r="B4765" s="24">
        <v>0.0</v>
      </c>
      <c r="C4765" s="44">
        <v>11.43</v>
      </c>
      <c r="D4765" s="46">
        <v>45201.0</v>
      </c>
      <c r="E4765" s="24" t="s">
        <v>6650</v>
      </c>
      <c r="F4765" s="24">
        <v>114.3</v>
      </c>
      <c r="G4765" s="24">
        <v>0.0</v>
      </c>
      <c r="H4765" s="24" t="s">
        <v>6700</v>
      </c>
      <c r="I4765" s="24">
        <v>11.43</v>
      </c>
      <c r="J4765" s="24">
        <v>0.0</v>
      </c>
    </row>
    <row r="4766">
      <c r="A4766" s="24">
        <v>948.0</v>
      </c>
      <c r="B4766" s="24">
        <v>5.0</v>
      </c>
      <c r="C4766" s="44">
        <v>10.86</v>
      </c>
      <c r="D4766" s="46">
        <v>45201.0</v>
      </c>
      <c r="E4766" s="24">
        <v>2.17</v>
      </c>
      <c r="F4766" s="24">
        <v>11.46</v>
      </c>
      <c r="G4766" s="24">
        <v>0.53</v>
      </c>
      <c r="H4766" s="24" t="s">
        <v>6688</v>
      </c>
      <c r="I4766" s="24">
        <v>10.86</v>
      </c>
      <c r="J4766" s="24">
        <v>0.0</v>
      </c>
    </row>
    <row r="4767">
      <c r="A4767" s="24">
        <v>547.0</v>
      </c>
      <c r="B4767" s="24">
        <v>13.0</v>
      </c>
      <c r="C4767" s="44">
        <v>10.01</v>
      </c>
      <c r="D4767" s="46">
        <v>45201.0</v>
      </c>
      <c r="E4767" s="24">
        <v>0.77</v>
      </c>
      <c r="F4767" s="24">
        <v>18.3</v>
      </c>
      <c r="G4767" s="24">
        <v>2.38</v>
      </c>
      <c r="H4767" s="24" t="s">
        <v>6689</v>
      </c>
      <c r="I4767" s="24">
        <v>5.0</v>
      </c>
      <c r="J4767" s="24">
        <v>0.0</v>
      </c>
    </row>
    <row r="4768">
      <c r="A4768" s="24">
        <v>283.0</v>
      </c>
      <c r="B4768" s="24">
        <v>3.0</v>
      </c>
      <c r="C4768" s="44">
        <v>11.42</v>
      </c>
      <c r="D4768" s="46">
        <v>45201.0</v>
      </c>
      <c r="E4768" s="24">
        <v>3.81</v>
      </c>
      <c r="F4768" s="24">
        <v>40.35</v>
      </c>
      <c r="G4768" s="24">
        <v>1.06</v>
      </c>
      <c r="H4768" s="24" t="s">
        <v>6698</v>
      </c>
      <c r="I4768" s="24">
        <v>3.81</v>
      </c>
      <c r="J4768" s="24">
        <v>0.0</v>
      </c>
    </row>
    <row r="4769">
      <c r="A4769" s="24">
        <v>58.0</v>
      </c>
      <c r="B4769" s="24">
        <v>0.0</v>
      </c>
      <c r="C4769" s="44">
        <v>13.56</v>
      </c>
      <c r="D4769" s="46">
        <v>45201.0</v>
      </c>
      <c r="E4769" s="24" t="s">
        <v>6650</v>
      </c>
      <c r="F4769" s="24">
        <v>233.79</v>
      </c>
      <c r="G4769" s="24">
        <v>0.0</v>
      </c>
      <c r="H4769" s="24" t="s">
        <v>6699</v>
      </c>
      <c r="I4769" s="24" t="s">
        <v>6650</v>
      </c>
      <c r="J4769" s="24">
        <v>0.0</v>
      </c>
    </row>
    <row r="4770">
      <c r="A4770" s="24">
        <v>29.0</v>
      </c>
      <c r="B4770" s="24">
        <v>1.0</v>
      </c>
      <c r="C4770" s="44">
        <v>10.4</v>
      </c>
      <c r="D4770" s="46">
        <v>45201.0</v>
      </c>
      <c r="E4770" s="24">
        <v>10.4</v>
      </c>
      <c r="F4770" s="24">
        <v>358.62</v>
      </c>
      <c r="G4770" s="24">
        <v>3.45</v>
      </c>
      <c r="H4770" s="24" t="s">
        <v>6697</v>
      </c>
      <c r="I4770" s="24" t="s">
        <v>6650</v>
      </c>
      <c r="J4770" s="24">
        <v>0.0</v>
      </c>
    </row>
    <row r="4771">
      <c r="A4771" s="24">
        <v>45.0</v>
      </c>
      <c r="B4771" s="24">
        <v>2.0</v>
      </c>
      <c r="C4771" s="44">
        <v>12.5</v>
      </c>
      <c r="D4771" s="46">
        <v>45202.0</v>
      </c>
      <c r="E4771" s="24">
        <v>6.25</v>
      </c>
      <c r="F4771" s="24">
        <v>277.78</v>
      </c>
      <c r="G4771" s="24">
        <v>4.44</v>
      </c>
      <c r="H4771" s="24" t="s">
        <v>6695</v>
      </c>
      <c r="I4771" s="24" t="s">
        <v>6650</v>
      </c>
      <c r="J4771" s="24">
        <v>0.0</v>
      </c>
    </row>
    <row r="4772">
      <c r="A4772" s="24">
        <v>835.0</v>
      </c>
      <c r="B4772" s="24">
        <v>7.0</v>
      </c>
      <c r="C4772" s="44">
        <v>11.79</v>
      </c>
      <c r="D4772" s="46">
        <v>45202.0</v>
      </c>
      <c r="E4772" s="24">
        <v>1.68</v>
      </c>
      <c r="F4772" s="24">
        <v>14.12</v>
      </c>
      <c r="G4772" s="24">
        <v>0.84</v>
      </c>
      <c r="H4772" s="24" t="s">
        <v>6689</v>
      </c>
      <c r="I4772" s="24" t="s">
        <v>6650</v>
      </c>
      <c r="J4772" s="24">
        <v>0.0</v>
      </c>
    </row>
    <row r="4773">
      <c r="A4773" s="24">
        <v>80.0</v>
      </c>
      <c r="B4773" s="24">
        <v>0.0</v>
      </c>
      <c r="C4773" s="44">
        <v>13.32</v>
      </c>
      <c r="D4773" s="46">
        <v>45202.0</v>
      </c>
      <c r="E4773" s="24" t="s">
        <v>6650</v>
      </c>
      <c r="F4773" s="24">
        <v>166.5</v>
      </c>
      <c r="G4773" s="24">
        <v>0.0</v>
      </c>
      <c r="H4773" s="24" t="s">
        <v>6699</v>
      </c>
      <c r="I4773" s="24" t="s">
        <v>6650</v>
      </c>
      <c r="J4773" s="24">
        <v>0.0</v>
      </c>
    </row>
    <row r="4774">
      <c r="A4774" s="24">
        <v>74.0</v>
      </c>
      <c r="B4774" s="24">
        <v>0.0</v>
      </c>
      <c r="C4774" s="44">
        <v>12.74</v>
      </c>
      <c r="D4774" s="46">
        <v>45202.0</v>
      </c>
      <c r="E4774" s="24" t="s">
        <v>6650</v>
      </c>
      <c r="F4774" s="24">
        <v>172.16</v>
      </c>
      <c r="G4774" s="24">
        <v>0.0</v>
      </c>
      <c r="H4774" s="24" t="s">
        <v>6700</v>
      </c>
      <c r="I4774" s="24" t="s">
        <v>6650</v>
      </c>
      <c r="J4774" s="24">
        <v>0.0</v>
      </c>
    </row>
    <row r="4775">
      <c r="A4775" s="24">
        <v>110.0</v>
      </c>
      <c r="B4775" s="24">
        <v>1.0</v>
      </c>
      <c r="C4775" s="44">
        <v>12.76</v>
      </c>
      <c r="D4775" s="46">
        <v>45202.0</v>
      </c>
      <c r="E4775" s="24">
        <v>12.76</v>
      </c>
      <c r="F4775" s="24">
        <v>116.0</v>
      </c>
      <c r="G4775" s="24">
        <v>0.91</v>
      </c>
      <c r="H4775" s="24" t="s">
        <v>6701</v>
      </c>
      <c r="I4775" s="24">
        <v>6.38</v>
      </c>
      <c r="J4775" s="24">
        <v>0.0</v>
      </c>
    </row>
    <row r="4776">
      <c r="A4776" s="24">
        <v>50.0</v>
      </c>
      <c r="B4776" s="24">
        <v>1.0</v>
      </c>
      <c r="C4776" s="44">
        <v>13.3</v>
      </c>
      <c r="D4776" s="46">
        <v>45202.0</v>
      </c>
      <c r="E4776" s="24">
        <v>13.3</v>
      </c>
      <c r="F4776" s="24">
        <v>266.0</v>
      </c>
      <c r="G4776" s="24">
        <v>2.0</v>
      </c>
      <c r="H4776" s="24" t="s">
        <v>6696</v>
      </c>
      <c r="I4776" s="24" t="s">
        <v>6650</v>
      </c>
      <c r="J4776" s="24">
        <v>0.0</v>
      </c>
    </row>
    <row r="4777">
      <c r="A4777" s="24">
        <v>251.0</v>
      </c>
      <c r="B4777" s="24">
        <v>3.0</v>
      </c>
      <c r="C4777" s="44">
        <v>13.7</v>
      </c>
      <c r="D4777" s="46">
        <v>45202.0</v>
      </c>
      <c r="E4777" s="24">
        <v>4.57</v>
      </c>
      <c r="F4777" s="24">
        <v>54.58</v>
      </c>
      <c r="G4777" s="24">
        <v>1.2</v>
      </c>
      <c r="H4777" s="24" t="s">
        <v>6680</v>
      </c>
      <c r="I4777" s="24" t="s">
        <v>6650</v>
      </c>
      <c r="J4777" s="24">
        <v>0.0</v>
      </c>
    </row>
    <row r="4778">
      <c r="A4778" s="24">
        <v>582.0</v>
      </c>
      <c r="B4778" s="24">
        <v>2.0</v>
      </c>
      <c r="C4778" s="44">
        <v>11.57</v>
      </c>
      <c r="D4778" s="46">
        <v>45202.0</v>
      </c>
      <c r="E4778" s="24">
        <v>5.78</v>
      </c>
      <c r="F4778" s="24">
        <v>19.88</v>
      </c>
      <c r="G4778" s="24">
        <v>0.34</v>
      </c>
      <c r="H4778" s="24" t="s">
        <v>6698</v>
      </c>
      <c r="I4778" s="24">
        <v>11.57</v>
      </c>
      <c r="J4778" s="24">
        <v>0.0</v>
      </c>
    </row>
    <row r="4779">
      <c r="A4779" s="24">
        <v>11.0</v>
      </c>
      <c r="B4779" s="24">
        <v>7.0</v>
      </c>
      <c r="C4779" s="44">
        <v>8.25</v>
      </c>
      <c r="D4779" s="46">
        <v>45202.0</v>
      </c>
      <c r="E4779" s="24">
        <v>1.18</v>
      </c>
      <c r="F4779" s="24">
        <v>750.0</v>
      </c>
      <c r="G4779" s="24">
        <v>63.64</v>
      </c>
      <c r="H4779" s="24" t="s">
        <v>6702</v>
      </c>
      <c r="I4779" s="24" t="s">
        <v>6650</v>
      </c>
      <c r="J4779" s="24">
        <v>0.0</v>
      </c>
    </row>
    <row r="4780">
      <c r="A4780" s="24">
        <v>828.0</v>
      </c>
      <c r="B4780" s="24">
        <v>7.0</v>
      </c>
      <c r="C4780" s="44">
        <v>11.67</v>
      </c>
      <c r="D4780" s="46">
        <v>45202.0</v>
      </c>
      <c r="E4780" s="24">
        <v>1.67</v>
      </c>
      <c r="F4780" s="24">
        <v>14.09</v>
      </c>
      <c r="G4780" s="24">
        <v>0.85</v>
      </c>
      <c r="H4780" s="24" t="s">
        <v>6688</v>
      </c>
      <c r="I4780" s="24" t="s">
        <v>6650</v>
      </c>
      <c r="J4780" s="24">
        <v>0.0</v>
      </c>
    </row>
    <row r="4781">
      <c r="A4781" s="24">
        <v>44.0</v>
      </c>
      <c r="B4781" s="24">
        <v>0.0</v>
      </c>
      <c r="C4781" s="44">
        <v>12.48</v>
      </c>
      <c r="D4781" s="46">
        <v>45202.0</v>
      </c>
      <c r="E4781" s="24" t="s">
        <v>6650</v>
      </c>
      <c r="F4781" s="24">
        <v>283.64</v>
      </c>
      <c r="G4781" s="24">
        <v>0.0</v>
      </c>
      <c r="H4781" s="24" t="s">
        <v>6697</v>
      </c>
      <c r="I4781" s="24" t="s">
        <v>6650</v>
      </c>
      <c r="J4781" s="24">
        <v>0.0</v>
      </c>
    </row>
    <row r="4782">
      <c r="A4782" s="24">
        <v>82.0</v>
      </c>
      <c r="B4782" s="24">
        <v>1.0</v>
      </c>
      <c r="C4782" s="44">
        <v>12.22</v>
      </c>
      <c r="D4782" s="46">
        <v>45203.0</v>
      </c>
      <c r="E4782" s="24">
        <v>12.22</v>
      </c>
      <c r="F4782" s="24">
        <v>149.02</v>
      </c>
      <c r="G4782" s="24">
        <v>1.22</v>
      </c>
      <c r="H4782" s="24" t="s">
        <v>6680</v>
      </c>
      <c r="I4782" s="24" t="s">
        <v>6650</v>
      </c>
      <c r="J4782" s="24">
        <v>0.0</v>
      </c>
    </row>
    <row r="4783">
      <c r="A4783" s="24">
        <v>734.0</v>
      </c>
      <c r="B4783" s="24">
        <v>7.0</v>
      </c>
      <c r="C4783" s="44">
        <v>11.45</v>
      </c>
      <c r="D4783" s="46">
        <v>45203.0</v>
      </c>
      <c r="E4783" s="24">
        <v>1.64</v>
      </c>
      <c r="F4783" s="24">
        <v>15.6</v>
      </c>
      <c r="G4783" s="24">
        <v>0.95</v>
      </c>
      <c r="H4783" s="24" t="s">
        <v>6688</v>
      </c>
      <c r="I4783" s="24" t="s">
        <v>6650</v>
      </c>
      <c r="J4783" s="24">
        <v>0.0</v>
      </c>
    </row>
    <row r="4784">
      <c r="A4784" s="24">
        <v>817.0</v>
      </c>
      <c r="B4784" s="24">
        <v>7.0</v>
      </c>
      <c r="C4784" s="44">
        <v>12.12</v>
      </c>
      <c r="D4784" s="46">
        <v>45203.0</v>
      </c>
      <c r="E4784" s="24">
        <v>1.73</v>
      </c>
      <c r="F4784" s="24">
        <v>14.83</v>
      </c>
      <c r="G4784" s="24">
        <v>0.86</v>
      </c>
      <c r="H4784" s="24" t="s">
        <v>6689</v>
      </c>
      <c r="I4784" s="24">
        <v>12.12</v>
      </c>
      <c r="J4784" s="24">
        <v>0.0</v>
      </c>
    </row>
    <row r="4785">
      <c r="A4785" s="24">
        <v>10.0</v>
      </c>
      <c r="B4785" s="24">
        <v>3.0</v>
      </c>
      <c r="C4785" s="44">
        <v>7.5</v>
      </c>
      <c r="D4785" s="46">
        <v>45203.0</v>
      </c>
      <c r="E4785" s="24">
        <v>2.5</v>
      </c>
      <c r="F4785" s="24">
        <v>750.0</v>
      </c>
      <c r="G4785" s="24">
        <v>30.0</v>
      </c>
      <c r="H4785" s="24" t="s">
        <v>6702</v>
      </c>
      <c r="I4785" s="24" t="s">
        <v>6650</v>
      </c>
      <c r="J4785" s="24">
        <v>0.0</v>
      </c>
    </row>
    <row r="4786">
      <c r="A4786" s="24">
        <v>24.0</v>
      </c>
      <c r="B4786" s="24">
        <v>0.0</v>
      </c>
      <c r="C4786" s="44">
        <v>11.88</v>
      </c>
      <c r="D4786" s="46">
        <v>45203.0</v>
      </c>
      <c r="E4786" s="24" t="s">
        <v>6650</v>
      </c>
      <c r="F4786" s="24">
        <v>495.0</v>
      </c>
      <c r="G4786" s="24">
        <v>0.0</v>
      </c>
      <c r="H4786" s="24" t="s">
        <v>6695</v>
      </c>
      <c r="I4786" s="24" t="s">
        <v>6650</v>
      </c>
      <c r="J4786" s="24">
        <v>0.0</v>
      </c>
    </row>
    <row r="4787">
      <c r="A4787" s="24">
        <v>46.0</v>
      </c>
      <c r="B4787" s="24">
        <v>0.0</v>
      </c>
      <c r="C4787" s="44">
        <v>11.77</v>
      </c>
      <c r="D4787" s="46">
        <v>45203.0</v>
      </c>
      <c r="E4787" s="24" t="s">
        <v>6650</v>
      </c>
      <c r="F4787" s="24">
        <v>255.87</v>
      </c>
      <c r="G4787" s="24">
        <v>0.0</v>
      </c>
      <c r="H4787" s="24" t="s">
        <v>6699</v>
      </c>
      <c r="I4787" s="24" t="s">
        <v>6650</v>
      </c>
      <c r="J4787" s="24">
        <v>0.0</v>
      </c>
    </row>
    <row r="4788">
      <c r="A4788" s="24">
        <v>92.0</v>
      </c>
      <c r="B4788" s="24">
        <v>0.0</v>
      </c>
      <c r="C4788" s="44">
        <v>11.63</v>
      </c>
      <c r="D4788" s="46">
        <v>45203.0</v>
      </c>
      <c r="E4788" s="24" t="s">
        <v>6650</v>
      </c>
      <c r="F4788" s="24">
        <v>126.41</v>
      </c>
      <c r="G4788" s="24">
        <v>0.0</v>
      </c>
      <c r="H4788" s="24" t="s">
        <v>6696</v>
      </c>
      <c r="I4788" s="24" t="s">
        <v>6650</v>
      </c>
      <c r="J4788" s="24">
        <v>0.0</v>
      </c>
    </row>
    <row r="4789">
      <c r="A4789" s="24">
        <v>94.0</v>
      </c>
      <c r="B4789" s="24">
        <v>0.0</v>
      </c>
      <c r="C4789" s="44">
        <v>11.84</v>
      </c>
      <c r="D4789" s="46">
        <v>45203.0</v>
      </c>
      <c r="E4789" s="24" t="s">
        <v>6650</v>
      </c>
      <c r="F4789" s="24">
        <v>125.96</v>
      </c>
      <c r="G4789" s="24">
        <v>0.0</v>
      </c>
      <c r="H4789" s="24" t="s">
        <v>6700</v>
      </c>
      <c r="I4789" s="24" t="s">
        <v>6650</v>
      </c>
      <c r="J4789" s="24">
        <v>0.0</v>
      </c>
    </row>
    <row r="4790">
      <c r="A4790" s="24">
        <v>45.0</v>
      </c>
      <c r="B4790" s="24">
        <v>0.0</v>
      </c>
      <c r="C4790" s="44">
        <v>13.42</v>
      </c>
      <c r="D4790" s="46">
        <v>45203.0</v>
      </c>
      <c r="E4790" s="24" t="s">
        <v>6650</v>
      </c>
      <c r="F4790" s="24">
        <v>298.22</v>
      </c>
      <c r="G4790" s="24">
        <v>0.0</v>
      </c>
      <c r="H4790" s="24" t="s">
        <v>6697</v>
      </c>
      <c r="I4790" s="24" t="s">
        <v>6650</v>
      </c>
      <c r="J4790" s="24">
        <v>0.0</v>
      </c>
    </row>
    <row r="4791">
      <c r="A4791" s="24">
        <v>520.0</v>
      </c>
      <c r="B4791" s="24">
        <v>1.0</v>
      </c>
      <c r="C4791" s="44">
        <v>11.3</v>
      </c>
      <c r="D4791" s="46">
        <v>45203.0</v>
      </c>
      <c r="E4791" s="24">
        <v>11.3</v>
      </c>
      <c r="F4791" s="24">
        <v>21.73</v>
      </c>
      <c r="G4791" s="24">
        <v>0.19</v>
      </c>
      <c r="H4791" s="24" t="s">
        <v>6698</v>
      </c>
      <c r="I4791" s="24" t="s">
        <v>6650</v>
      </c>
      <c r="J4791" s="24">
        <v>0.0</v>
      </c>
    </row>
    <row r="4792">
      <c r="A4792" s="24">
        <v>81.0</v>
      </c>
      <c r="B4792" s="24">
        <v>0.0</v>
      </c>
      <c r="C4792" s="44">
        <v>11.97</v>
      </c>
      <c r="D4792" s="46">
        <v>45203.0</v>
      </c>
      <c r="E4792" s="24" t="s">
        <v>6650</v>
      </c>
      <c r="F4792" s="24">
        <v>147.78</v>
      </c>
      <c r="G4792" s="24">
        <v>0.0</v>
      </c>
      <c r="H4792" s="24" t="s">
        <v>6701</v>
      </c>
      <c r="I4792" s="24" t="s">
        <v>6650</v>
      </c>
      <c r="J4792" s="24">
        <v>0.0</v>
      </c>
    </row>
    <row r="4793">
      <c r="A4793" s="24">
        <v>32.0</v>
      </c>
      <c r="B4793" s="24">
        <v>0.0</v>
      </c>
      <c r="C4793" s="44">
        <v>10.73</v>
      </c>
      <c r="D4793" s="46">
        <v>45204.0</v>
      </c>
      <c r="E4793" s="24" t="s">
        <v>6650</v>
      </c>
      <c r="F4793" s="24">
        <v>335.31</v>
      </c>
      <c r="G4793" s="24">
        <v>0.0</v>
      </c>
      <c r="H4793" s="24" t="s">
        <v>6695</v>
      </c>
      <c r="I4793" s="24" t="s">
        <v>6650</v>
      </c>
      <c r="J4793" s="24">
        <v>0.0</v>
      </c>
    </row>
    <row r="4794">
      <c r="A4794" s="24">
        <v>85.0</v>
      </c>
      <c r="B4794" s="24">
        <v>0.0</v>
      </c>
      <c r="C4794" s="44">
        <v>12.31</v>
      </c>
      <c r="D4794" s="46">
        <v>45204.0</v>
      </c>
      <c r="E4794" s="24" t="s">
        <v>6650</v>
      </c>
      <c r="F4794" s="24">
        <v>144.82</v>
      </c>
      <c r="G4794" s="24">
        <v>0.0</v>
      </c>
      <c r="H4794" s="24" t="s">
        <v>6680</v>
      </c>
      <c r="I4794" s="24">
        <v>12.31</v>
      </c>
      <c r="J4794" s="24">
        <v>0.0</v>
      </c>
    </row>
    <row r="4795">
      <c r="A4795" s="24">
        <v>45.0</v>
      </c>
      <c r="B4795" s="24">
        <v>0.0</v>
      </c>
      <c r="C4795" s="44">
        <v>12.76</v>
      </c>
      <c r="D4795" s="46">
        <v>45204.0</v>
      </c>
      <c r="E4795" s="24" t="s">
        <v>6650</v>
      </c>
      <c r="F4795" s="24">
        <v>283.56</v>
      </c>
      <c r="G4795" s="24">
        <v>0.0</v>
      </c>
      <c r="H4795" s="24" t="s">
        <v>6699</v>
      </c>
      <c r="I4795" s="24" t="s">
        <v>6650</v>
      </c>
      <c r="J4795" s="24">
        <v>0.0</v>
      </c>
    </row>
    <row r="4796">
      <c r="A4796" s="24">
        <v>89.0</v>
      </c>
      <c r="B4796" s="24">
        <v>2.0</v>
      </c>
      <c r="C4796" s="44">
        <v>12.18</v>
      </c>
      <c r="D4796" s="46">
        <v>45204.0</v>
      </c>
      <c r="E4796" s="24">
        <v>6.09</v>
      </c>
      <c r="F4796" s="24">
        <v>136.85</v>
      </c>
      <c r="G4796" s="24">
        <v>2.25</v>
      </c>
      <c r="H4796" s="24" t="s">
        <v>6701</v>
      </c>
      <c r="I4796" s="24" t="s">
        <v>6650</v>
      </c>
      <c r="J4796" s="24">
        <v>0.0</v>
      </c>
    </row>
    <row r="4797">
      <c r="A4797" s="24">
        <v>113.0</v>
      </c>
      <c r="B4797" s="24">
        <v>1.0</v>
      </c>
      <c r="C4797" s="44">
        <v>11.14</v>
      </c>
      <c r="D4797" s="46">
        <v>45204.0</v>
      </c>
      <c r="E4797" s="24">
        <v>11.14</v>
      </c>
      <c r="F4797" s="24">
        <v>98.58</v>
      </c>
      <c r="G4797" s="24">
        <v>0.88</v>
      </c>
      <c r="H4797" s="24" t="s">
        <v>6700</v>
      </c>
      <c r="I4797" s="24">
        <v>11.14</v>
      </c>
      <c r="J4797" s="24">
        <v>0.0</v>
      </c>
    </row>
    <row r="4798">
      <c r="A4798" s="24">
        <v>636.0</v>
      </c>
      <c r="B4798" s="24">
        <v>7.0</v>
      </c>
      <c r="C4798" s="44">
        <v>12.42</v>
      </c>
      <c r="D4798" s="46">
        <v>45204.0</v>
      </c>
      <c r="E4798" s="24">
        <v>1.77</v>
      </c>
      <c r="F4798" s="24">
        <v>19.53</v>
      </c>
      <c r="G4798" s="24">
        <v>1.1</v>
      </c>
      <c r="H4798" s="24" t="s">
        <v>6689</v>
      </c>
      <c r="I4798" s="24" t="s">
        <v>6650</v>
      </c>
      <c r="J4798" s="24">
        <v>0.0</v>
      </c>
    </row>
    <row r="4799">
      <c r="A4799" s="24">
        <v>527.0</v>
      </c>
      <c r="B4799" s="24">
        <v>1.0</v>
      </c>
      <c r="C4799" s="44">
        <v>11.61</v>
      </c>
      <c r="D4799" s="46">
        <v>45204.0</v>
      </c>
      <c r="E4799" s="24">
        <v>11.61</v>
      </c>
      <c r="F4799" s="24">
        <v>22.03</v>
      </c>
      <c r="G4799" s="24">
        <v>0.19</v>
      </c>
      <c r="H4799" s="24" t="s">
        <v>6698</v>
      </c>
      <c r="I4799" s="24">
        <v>11.61</v>
      </c>
      <c r="J4799" s="24">
        <v>0.0</v>
      </c>
    </row>
    <row r="4800">
      <c r="A4800" s="24">
        <v>675.0</v>
      </c>
      <c r="B4800" s="24">
        <v>4.0</v>
      </c>
      <c r="C4800" s="44">
        <v>11.76</v>
      </c>
      <c r="D4800" s="46">
        <v>45204.0</v>
      </c>
      <c r="E4800" s="24">
        <v>2.94</v>
      </c>
      <c r="F4800" s="24">
        <v>17.42</v>
      </c>
      <c r="G4800" s="24">
        <v>0.59</v>
      </c>
      <c r="H4800" s="24" t="s">
        <v>6688</v>
      </c>
      <c r="I4800" s="24">
        <v>11.76</v>
      </c>
      <c r="J4800" s="24">
        <v>0.0</v>
      </c>
    </row>
    <row r="4801">
      <c r="A4801" s="24">
        <v>3.0</v>
      </c>
      <c r="B4801" s="24">
        <v>4.0</v>
      </c>
      <c r="C4801" s="44">
        <v>2.25</v>
      </c>
      <c r="D4801" s="46">
        <v>45204.0</v>
      </c>
      <c r="E4801" s="24">
        <v>0.56</v>
      </c>
      <c r="F4801" s="24">
        <v>750.0</v>
      </c>
      <c r="G4801" s="24">
        <v>133.33</v>
      </c>
      <c r="H4801" s="24" t="s">
        <v>6702</v>
      </c>
      <c r="I4801" s="24" t="s">
        <v>6650</v>
      </c>
      <c r="J4801" s="24">
        <v>0.0</v>
      </c>
    </row>
    <row r="4802">
      <c r="A4802" s="24">
        <v>31.0</v>
      </c>
      <c r="B4802" s="24">
        <v>1.0</v>
      </c>
      <c r="C4802" s="44">
        <v>13.74</v>
      </c>
      <c r="D4802" s="46">
        <v>45204.0</v>
      </c>
      <c r="E4802" s="24">
        <v>13.74</v>
      </c>
      <c r="F4802" s="24">
        <v>443.23</v>
      </c>
      <c r="G4802" s="24">
        <v>3.23</v>
      </c>
      <c r="H4802" s="24" t="s">
        <v>6697</v>
      </c>
      <c r="I4802" s="24" t="s">
        <v>6650</v>
      </c>
      <c r="J4802" s="24">
        <v>0.0</v>
      </c>
    </row>
    <row r="4803">
      <c r="A4803" s="24">
        <v>102.0</v>
      </c>
      <c r="B4803" s="24">
        <v>0.0</v>
      </c>
      <c r="C4803" s="44">
        <v>10.6</v>
      </c>
      <c r="D4803" s="46">
        <v>45204.0</v>
      </c>
      <c r="E4803" s="24" t="s">
        <v>6650</v>
      </c>
      <c r="F4803" s="24">
        <v>103.92</v>
      </c>
      <c r="G4803" s="24">
        <v>0.0</v>
      </c>
      <c r="H4803" s="24" t="s">
        <v>6696</v>
      </c>
      <c r="I4803" s="24" t="s">
        <v>6650</v>
      </c>
      <c r="J4803" s="24">
        <v>0.0</v>
      </c>
    </row>
    <row r="4804">
      <c r="A4804" s="24">
        <v>6.0</v>
      </c>
      <c r="B4804" s="24">
        <v>2.0</v>
      </c>
      <c r="C4804" s="44">
        <v>4.5</v>
      </c>
      <c r="D4804" s="46">
        <v>45205.0</v>
      </c>
      <c r="E4804" s="24">
        <v>2.25</v>
      </c>
      <c r="F4804" s="24">
        <v>750.0</v>
      </c>
      <c r="G4804" s="24">
        <v>33.33</v>
      </c>
      <c r="H4804" s="24" t="s">
        <v>6702</v>
      </c>
      <c r="I4804" s="24" t="s">
        <v>6650</v>
      </c>
      <c r="J4804" s="24">
        <v>0.0</v>
      </c>
    </row>
    <row r="4805">
      <c r="A4805" s="24">
        <v>698.0</v>
      </c>
      <c r="B4805" s="24">
        <v>6.0</v>
      </c>
      <c r="C4805" s="44">
        <v>11.13</v>
      </c>
      <c r="D4805" s="46">
        <v>45205.0</v>
      </c>
      <c r="E4805" s="24">
        <v>1.86</v>
      </c>
      <c r="F4805" s="24">
        <v>15.95</v>
      </c>
      <c r="G4805" s="24">
        <v>0.86</v>
      </c>
      <c r="H4805" s="24" t="s">
        <v>6688</v>
      </c>
      <c r="I4805" s="24">
        <v>5.56</v>
      </c>
      <c r="J4805" s="24">
        <v>0.0</v>
      </c>
    </row>
    <row r="4806">
      <c r="A4806" s="24">
        <v>29.0</v>
      </c>
      <c r="B4806" s="24">
        <v>0.0</v>
      </c>
      <c r="C4806" s="44">
        <v>14.8</v>
      </c>
      <c r="D4806" s="46">
        <v>45205.0</v>
      </c>
      <c r="E4806" s="24" t="s">
        <v>6650</v>
      </c>
      <c r="F4806" s="24">
        <v>510.34</v>
      </c>
      <c r="G4806" s="24">
        <v>0.0</v>
      </c>
      <c r="H4806" s="24" t="s">
        <v>6695</v>
      </c>
      <c r="I4806" s="24" t="s">
        <v>6650</v>
      </c>
      <c r="J4806" s="24">
        <v>0.0</v>
      </c>
    </row>
    <row r="4807">
      <c r="A4807" s="24">
        <v>30.0</v>
      </c>
      <c r="B4807" s="24">
        <v>0.0</v>
      </c>
      <c r="C4807" s="44">
        <v>9.67</v>
      </c>
      <c r="D4807" s="46">
        <v>45205.0</v>
      </c>
      <c r="E4807" s="24" t="s">
        <v>6650</v>
      </c>
      <c r="F4807" s="24">
        <v>322.33</v>
      </c>
      <c r="G4807" s="24">
        <v>0.0</v>
      </c>
      <c r="H4807" s="24" t="s">
        <v>6699</v>
      </c>
      <c r="I4807" s="24" t="s">
        <v>6650</v>
      </c>
      <c r="J4807" s="24">
        <v>0.0</v>
      </c>
    </row>
    <row r="4808">
      <c r="A4808" s="24">
        <v>129.0</v>
      </c>
      <c r="B4808" s="24">
        <v>0.0</v>
      </c>
      <c r="C4808" s="44">
        <v>10.94</v>
      </c>
      <c r="D4808" s="46">
        <v>45205.0</v>
      </c>
      <c r="E4808" s="24" t="s">
        <v>6650</v>
      </c>
      <c r="F4808" s="24">
        <v>84.81</v>
      </c>
      <c r="G4808" s="24">
        <v>0.0</v>
      </c>
      <c r="H4808" s="24" t="s">
        <v>6700</v>
      </c>
      <c r="I4808" s="24" t="s">
        <v>6650</v>
      </c>
      <c r="J4808" s="24">
        <v>0.0</v>
      </c>
    </row>
    <row r="4809">
      <c r="A4809" s="24">
        <v>94.0</v>
      </c>
      <c r="B4809" s="24">
        <v>0.0</v>
      </c>
      <c r="C4809" s="44">
        <v>12.94</v>
      </c>
      <c r="D4809" s="46">
        <v>45205.0</v>
      </c>
      <c r="E4809" s="24" t="s">
        <v>6650</v>
      </c>
      <c r="F4809" s="24">
        <v>137.66</v>
      </c>
      <c r="G4809" s="24">
        <v>0.0</v>
      </c>
      <c r="H4809" s="24" t="s">
        <v>6701</v>
      </c>
      <c r="I4809" s="24">
        <v>12.94</v>
      </c>
      <c r="J4809" s="24">
        <v>0.0</v>
      </c>
    </row>
    <row r="4810">
      <c r="A4810" s="24">
        <v>28.0</v>
      </c>
      <c r="B4810" s="24">
        <v>0.0</v>
      </c>
      <c r="C4810" s="44">
        <v>12.75</v>
      </c>
      <c r="D4810" s="46">
        <v>45205.0</v>
      </c>
      <c r="E4810" s="24" t="s">
        <v>6650</v>
      </c>
      <c r="F4810" s="24">
        <v>455.36</v>
      </c>
      <c r="G4810" s="24">
        <v>0.0</v>
      </c>
      <c r="H4810" s="24" t="s">
        <v>6697</v>
      </c>
      <c r="I4810" s="24" t="s">
        <v>6650</v>
      </c>
      <c r="J4810" s="24">
        <v>0.0</v>
      </c>
    </row>
    <row r="4811">
      <c r="A4811" s="24">
        <v>748.0</v>
      </c>
      <c r="B4811" s="24">
        <v>7.0</v>
      </c>
      <c r="C4811" s="44">
        <v>11.54</v>
      </c>
      <c r="D4811" s="46">
        <v>45205.0</v>
      </c>
      <c r="E4811" s="24">
        <v>1.65</v>
      </c>
      <c r="F4811" s="24">
        <v>15.43</v>
      </c>
      <c r="G4811" s="24">
        <v>0.94</v>
      </c>
      <c r="H4811" s="24" t="s">
        <v>6689</v>
      </c>
      <c r="I4811" s="24" t="s">
        <v>6650</v>
      </c>
      <c r="J4811" s="24">
        <v>0.0</v>
      </c>
    </row>
    <row r="4812">
      <c r="A4812" s="24">
        <v>347.0</v>
      </c>
      <c r="B4812" s="24">
        <v>5.0</v>
      </c>
      <c r="C4812" s="44">
        <v>10.85</v>
      </c>
      <c r="D4812" s="46">
        <v>45205.0</v>
      </c>
      <c r="E4812" s="24">
        <v>2.17</v>
      </c>
      <c r="F4812" s="24">
        <v>31.27</v>
      </c>
      <c r="G4812" s="24">
        <v>1.44</v>
      </c>
      <c r="H4812" s="24" t="s">
        <v>6698</v>
      </c>
      <c r="I4812" s="24">
        <v>10.85</v>
      </c>
      <c r="J4812" s="24">
        <v>0.0</v>
      </c>
    </row>
    <row r="4813">
      <c r="A4813" s="24">
        <v>76.0</v>
      </c>
      <c r="B4813" s="24">
        <v>0.0</v>
      </c>
      <c r="C4813" s="44">
        <v>11.71</v>
      </c>
      <c r="D4813" s="46">
        <v>45205.0</v>
      </c>
      <c r="E4813" s="24" t="s">
        <v>6650</v>
      </c>
      <c r="F4813" s="24">
        <v>154.08</v>
      </c>
      <c r="G4813" s="24">
        <v>0.0</v>
      </c>
      <c r="H4813" s="24" t="s">
        <v>6680</v>
      </c>
      <c r="I4813" s="24" t="s">
        <v>6650</v>
      </c>
      <c r="J4813" s="24">
        <v>0.0</v>
      </c>
    </row>
    <row r="4814">
      <c r="A4814" s="24">
        <v>26.0</v>
      </c>
      <c r="B4814" s="24">
        <v>1.0</v>
      </c>
      <c r="C4814" s="44">
        <v>15.0</v>
      </c>
      <c r="D4814" s="46">
        <v>45205.0</v>
      </c>
      <c r="E4814" s="24">
        <v>15.0</v>
      </c>
      <c r="F4814" s="24">
        <v>576.92</v>
      </c>
      <c r="G4814" s="24">
        <v>3.85</v>
      </c>
      <c r="H4814" s="24" t="s">
        <v>6696</v>
      </c>
      <c r="I4814" s="24" t="s">
        <v>6650</v>
      </c>
      <c r="J4814" s="24">
        <v>0.0</v>
      </c>
    </row>
    <row r="4815">
      <c r="A4815" s="24">
        <v>12.0</v>
      </c>
      <c r="B4815" s="24">
        <v>0.0</v>
      </c>
      <c r="C4815" s="44">
        <v>5.63</v>
      </c>
      <c r="D4815" s="46">
        <v>45206.0</v>
      </c>
      <c r="E4815" s="24" t="s">
        <v>6650</v>
      </c>
      <c r="F4815" s="24">
        <v>469.17</v>
      </c>
      <c r="G4815" s="24">
        <v>0.0</v>
      </c>
      <c r="H4815" s="24" t="s">
        <v>6697</v>
      </c>
      <c r="I4815" s="24" t="s">
        <v>6650</v>
      </c>
      <c r="J4815" s="24">
        <v>0.0</v>
      </c>
    </row>
    <row r="4816">
      <c r="A4816" s="24">
        <v>388.0</v>
      </c>
      <c r="B4816" s="24">
        <v>4.0</v>
      </c>
      <c r="C4816" s="44">
        <v>6.67</v>
      </c>
      <c r="D4816" s="46">
        <v>45206.0</v>
      </c>
      <c r="E4816" s="24">
        <v>1.67</v>
      </c>
      <c r="F4816" s="24">
        <v>17.19</v>
      </c>
      <c r="G4816" s="24">
        <v>1.03</v>
      </c>
      <c r="H4816" s="24" t="s">
        <v>6689</v>
      </c>
      <c r="I4816" s="24" t="s">
        <v>6650</v>
      </c>
      <c r="J4816" s="24">
        <v>0.0</v>
      </c>
    </row>
    <row r="4817">
      <c r="A4817" s="24">
        <v>40.0</v>
      </c>
      <c r="B4817" s="24">
        <v>0.0</v>
      </c>
      <c r="C4817" s="44">
        <v>7.03</v>
      </c>
      <c r="D4817" s="46">
        <v>45206.0</v>
      </c>
      <c r="E4817" s="24" t="s">
        <v>6650</v>
      </c>
      <c r="F4817" s="24">
        <v>175.75</v>
      </c>
      <c r="G4817" s="24">
        <v>0.0</v>
      </c>
      <c r="H4817" s="24" t="s">
        <v>6680</v>
      </c>
      <c r="I4817" s="24" t="s">
        <v>6650</v>
      </c>
      <c r="J4817" s="24">
        <v>0.0</v>
      </c>
    </row>
    <row r="4818">
      <c r="A4818" s="24">
        <v>19.0</v>
      </c>
      <c r="B4818" s="24">
        <v>1.0</v>
      </c>
      <c r="C4818" s="44">
        <v>7.29</v>
      </c>
      <c r="D4818" s="46">
        <v>45206.0</v>
      </c>
      <c r="E4818" s="24">
        <v>7.29</v>
      </c>
      <c r="F4818" s="24">
        <v>383.68</v>
      </c>
      <c r="G4818" s="24">
        <v>5.26</v>
      </c>
      <c r="H4818" s="24" t="s">
        <v>6699</v>
      </c>
      <c r="I4818" s="24" t="s">
        <v>6650</v>
      </c>
      <c r="J4818" s="24">
        <v>0.0</v>
      </c>
    </row>
    <row r="4819">
      <c r="A4819" s="24">
        <v>25.0</v>
      </c>
      <c r="B4819" s="24">
        <v>0.0</v>
      </c>
      <c r="C4819" s="44">
        <v>5.65</v>
      </c>
      <c r="D4819" s="46">
        <v>45206.0</v>
      </c>
      <c r="E4819" s="24" t="s">
        <v>6650</v>
      </c>
      <c r="F4819" s="24">
        <v>226.0</v>
      </c>
      <c r="G4819" s="24">
        <v>0.0</v>
      </c>
      <c r="H4819" s="24" t="s">
        <v>6701</v>
      </c>
      <c r="I4819" s="24">
        <v>5.65</v>
      </c>
      <c r="J4819" s="24">
        <v>0.0</v>
      </c>
    </row>
    <row r="4820">
      <c r="A4820" s="24">
        <v>16.0</v>
      </c>
      <c r="B4820" s="24">
        <v>0.0</v>
      </c>
      <c r="C4820" s="44">
        <v>5.53</v>
      </c>
      <c r="D4820" s="46">
        <v>45206.0</v>
      </c>
      <c r="E4820" s="24" t="s">
        <v>6650</v>
      </c>
      <c r="F4820" s="24">
        <v>345.62</v>
      </c>
      <c r="G4820" s="24">
        <v>0.0</v>
      </c>
      <c r="H4820" s="24" t="s">
        <v>6695</v>
      </c>
      <c r="I4820" s="24" t="s">
        <v>6650</v>
      </c>
      <c r="J4820" s="24">
        <v>0.0</v>
      </c>
    </row>
    <row r="4821">
      <c r="A4821" s="24">
        <v>111.0</v>
      </c>
      <c r="B4821" s="24">
        <v>1.0</v>
      </c>
      <c r="C4821" s="44">
        <v>7.41</v>
      </c>
      <c r="D4821" s="46">
        <v>45206.0</v>
      </c>
      <c r="E4821" s="24">
        <v>7.41</v>
      </c>
      <c r="F4821" s="24">
        <v>66.76</v>
      </c>
      <c r="G4821" s="24">
        <v>0.9</v>
      </c>
      <c r="H4821" s="24" t="s">
        <v>6698</v>
      </c>
      <c r="I4821" s="24">
        <v>7.41</v>
      </c>
      <c r="J4821" s="24">
        <v>0.0</v>
      </c>
    </row>
    <row r="4822">
      <c r="A4822" s="24">
        <v>29.0</v>
      </c>
      <c r="B4822" s="24">
        <v>0.0</v>
      </c>
      <c r="C4822" s="44">
        <v>4.89</v>
      </c>
      <c r="D4822" s="46">
        <v>45206.0</v>
      </c>
      <c r="E4822" s="24" t="s">
        <v>6650</v>
      </c>
      <c r="F4822" s="24">
        <v>168.62</v>
      </c>
      <c r="G4822" s="24">
        <v>0.0</v>
      </c>
      <c r="H4822" s="24" t="s">
        <v>6696</v>
      </c>
      <c r="I4822" s="24">
        <v>4.89</v>
      </c>
      <c r="J4822" s="24">
        <v>0.0</v>
      </c>
    </row>
    <row r="4823">
      <c r="A4823" s="24">
        <v>495.0</v>
      </c>
      <c r="B4823" s="24">
        <v>4.0</v>
      </c>
      <c r="C4823" s="44">
        <v>6.93</v>
      </c>
      <c r="D4823" s="46">
        <v>45206.0</v>
      </c>
      <c r="E4823" s="24">
        <v>1.73</v>
      </c>
      <c r="F4823" s="24">
        <v>14.0</v>
      </c>
      <c r="G4823" s="24">
        <v>0.81</v>
      </c>
      <c r="H4823" s="24" t="s">
        <v>6688</v>
      </c>
      <c r="I4823" s="24">
        <v>6.93</v>
      </c>
      <c r="J4823" s="24">
        <v>0.0</v>
      </c>
    </row>
    <row r="4824">
      <c r="A4824" s="24">
        <v>52.0</v>
      </c>
      <c r="B4824" s="24">
        <v>0.0</v>
      </c>
      <c r="C4824" s="44">
        <v>6.94</v>
      </c>
      <c r="D4824" s="46">
        <v>45206.0</v>
      </c>
      <c r="E4824" s="24" t="s">
        <v>6650</v>
      </c>
      <c r="F4824" s="24">
        <v>133.46</v>
      </c>
      <c r="G4824" s="24">
        <v>0.0</v>
      </c>
      <c r="H4824" s="24" t="s">
        <v>6700</v>
      </c>
      <c r="I4824" s="24" t="s">
        <v>6650</v>
      </c>
      <c r="J4824" s="24">
        <v>0.0</v>
      </c>
    </row>
    <row r="4825">
      <c r="A4825" s="24">
        <v>1.0</v>
      </c>
      <c r="B4825" s="24">
        <v>0.0</v>
      </c>
      <c r="C4825" s="44">
        <v>0.75</v>
      </c>
      <c r="D4825" s="46">
        <v>45206.0</v>
      </c>
      <c r="E4825" s="24" t="s">
        <v>6650</v>
      </c>
      <c r="F4825" s="24">
        <v>750.0</v>
      </c>
      <c r="G4825" s="24">
        <v>0.0</v>
      </c>
      <c r="H4825" s="24" t="s">
        <v>6702</v>
      </c>
      <c r="I4825" s="24" t="s">
        <v>6650</v>
      </c>
      <c r="J4825" s="24">
        <v>0.0</v>
      </c>
    </row>
    <row r="4826">
      <c r="A4826" s="24">
        <v>42.0</v>
      </c>
      <c r="B4826" s="24">
        <v>0.0</v>
      </c>
      <c r="C4826" s="44">
        <v>3.7</v>
      </c>
      <c r="D4826" s="46">
        <v>45207.0</v>
      </c>
      <c r="E4826" s="24" t="s">
        <v>6650</v>
      </c>
      <c r="F4826" s="24">
        <v>88.1</v>
      </c>
      <c r="G4826" s="24">
        <v>0.0</v>
      </c>
      <c r="H4826" s="24" t="s">
        <v>6701</v>
      </c>
      <c r="I4826" s="24" t="s">
        <v>6650</v>
      </c>
      <c r="J4826" s="24">
        <v>0.0</v>
      </c>
    </row>
    <row r="4827">
      <c r="A4827" s="24">
        <v>7.0</v>
      </c>
      <c r="B4827" s="24">
        <v>0.0</v>
      </c>
      <c r="C4827" s="44">
        <v>1.58</v>
      </c>
      <c r="D4827" s="46">
        <v>45207.0</v>
      </c>
      <c r="E4827" s="24" t="s">
        <v>6650</v>
      </c>
      <c r="F4827" s="24">
        <v>225.71</v>
      </c>
      <c r="G4827" s="24">
        <v>0.0</v>
      </c>
      <c r="H4827" s="24" t="s">
        <v>6697</v>
      </c>
      <c r="I4827" s="24" t="s">
        <v>6650</v>
      </c>
      <c r="J4827" s="24">
        <v>0.0</v>
      </c>
    </row>
    <row r="4828">
      <c r="A4828" s="24">
        <v>749.0</v>
      </c>
      <c r="B4828" s="24">
        <v>6.0</v>
      </c>
      <c r="C4828" s="44">
        <v>6.2</v>
      </c>
      <c r="D4828" s="46">
        <v>45207.0</v>
      </c>
      <c r="E4828" s="24">
        <v>1.03</v>
      </c>
      <c r="F4828" s="24">
        <v>8.28</v>
      </c>
      <c r="G4828" s="24">
        <v>0.8</v>
      </c>
      <c r="H4828" s="24" t="s">
        <v>6688</v>
      </c>
      <c r="I4828" s="24">
        <v>6.2</v>
      </c>
      <c r="J4828" s="24">
        <v>0.0</v>
      </c>
    </row>
    <row r="4829">
      <c r="A4829" s="24">
        <v>19.0</v>
      </c>
      <c r="B4829" s="24">
        <v>0.0</v>
      </c>
      <c r="C4829" s="44">
        <v>2.74</v>
      </c>
      <c r="D4829" s="46">
        <v>45207.0</v>
      </c>
      <c r="E4829" s="24" t="s">
        <v>6650</v>
      </c>
      <c r="F4829" s="24">
        <v>144.21</v>
      </c>
      <c r="G4829" s="24">
        <v>0.0</v>
      </c>
      <c r="H4829" s="24" t="s">
        <v>6696</v>
      </c>
      <c r="I4829" s="24">
        <v>2.74</v>
      </c>
      <c r="J4829" s="24">
        <v>0.0</v>
      </c>
    </row>
    <row r="4830">
      <c r="A4830" s="24">
        <v>26.0</v>
      </c>
      <c r="B4830" s="24">
        <v>0.0</v>
      </c>
      <c r="C4830" s="44">
        <v>1.63</v>
      </c>
      <c r="D4830" s="46">
        <v>45207.0</v>
      </c>
      <c r="E4830" s="24" t="s">
        <v>6650</v>
      </c>
      <c r="F4830" s="24">
        <v>62.69</v>
      </c>
      <c r="G4830" s="24">
        <v>0.0</v>
      </c>
      <c r="H4830" s="24" t="s">
        <v>6699</v>
      </c>
      <c r="I4830" s="24" t="s">
        <v>6650</v>
      </c>
      <c r="J4830" s="24">
        <v>0.0</v>
      </c>
    </row>
    <row r="4831">
      <c r="A4831" s="24">
        <v>53.0</v>
      </c>
      <c r="B4831" s="24">
        <v>0.0</v>
      </c>
      <c r="C4831" s="44">
        <v>3.97</v>
      </c>
      <c r="D4831" s="46">
        <v>45207.0</v>
      </c>
      <c r="E4831" s="24" t="s">
        <v>6650</v>
      </c>
      <c r="F4831" s="24">
        <v>74.91</v>
      </c>
      <c r="G4831" s="24">
        <v>0.0</v>
      </c>
      <c r="H4831" s="24" t="s">
        <v>6680</v>
      </c>
      <c r="I4831" s="24" t="s">
        <v>6650</v>
      </c>
      <c r="J4831" s="24">
        <v>0.0</v>
      </c>
    </row>
    <row r="4832">
      <c r="A4832" s="24">
        <v>79.0</v>
      </c>
      <c r="B4832" s="24">
        <v>1.0</v>
      </c>
      <c r="C4832" s="44">
        <v>4.97</v>
      </c>
      <c r="D4832" s="46">
        <v>45207.0</v>
      </c>
      <c r="E4832" s="24">
        <v>4.97</v>
      </c>
      <c r="F4832" s="24">
        <v>62.91</v>
      </c>
      <c r="G4832" s="24">
        <v>1.27</v>
      </c>
      <c r="H4832" s="24" t="s">
        <v>6700</v>
      </c>
      <c r="I4832" s="24" t="s">
        <v>6650</v>
      </c>
      <c r="J4832" s="24">
        <v>0.0</v>
      </c>
    </row>
    <row r="4833">
      <c r="A4833" s="24">
        <v>222.0</v>
      </c>
      <c r="B4833" s="24">
        <v>1.0</v>
      </c>
      <c r="C4833" s="44">
        <v>5.84</v>
      </c>
      <c r="D4833" s="46">
        <v>45207.0</v>
      </c>
      <c r="E4833" s="24">
        <v>5.84</v>
      </c>
      <c r="F4833" s="24">
        <v>26.31</v>
      </c>
      <c r="G4833" s="24">
        <v>0.45</v>
      </c>
      <c r="H4833" s="24" t="s">
        <v>6698</v>
      </c>
      <c r="I4833" s="24">
        <v>5.84</v>
      </c>
      <c r="J4833" s="24">
        <v>0.0</v>
      </c>
    </row>
    <row r="4834">
      <c r="A4834" s="24">
        <v>281.0</v>
      </c>
      <c r="B4834" s="24">
        <v>6.0</v>
      </c>
      <c r="C4834" s="44">
        <v>5.45</v>
      </c>
      <c r="D4834" s="46">
        <v>45207.0</v>
      </c>
      <c r="E4834" s="24">
        <v>0.91</v>
      </c>
      <c r="F4834" s="24">
        <v>19.4</v>
      </c>
      <c r="G4834" s="24">
        <v>2.14</v>
      </c>
      <c r="H4834" s="24" t="s">
        <v>6689</v>
      </c>
      <c r="I4834" s="24" t="s">
        <v>6650</v>
      </c>
      <c r="J4834" s="24">
        <v>0.0</v>
      </c>
    </row>
    <row r="4835">
      <c r="A4835" s="24">
        <v>2.0</v>
      </c>
      <c r="B4835" s="24">
        <v>0.0</v>
      </c>
      <c r="C4835" s="44">
        <v>1.5</v>
      </c>
      <c r="D4835" s="46">
        <v>45207.0</v>
      </c>
      <c r="E4835" s="24" t="s">
        <v>6650</v>
      </c>
      <c r="F4835" s="24">
        <v>750.0</v>
      </c>
      <c r="G4835" s="24">
        <v>0.0</v>
      </c>
      <c r="H4835" s="24" t="s">
        <v>6702</v>
      </c>
      <c r="I4835" s="24" t="s">
        <v>6650</v>
      </c>
      <c r="J4835" s="24">
        <v>0.0</v>
      </c>
    </row>
    <row r="4836">
      <c r="A4836" s="24">
        <v>119.0</v>
      </c>
      <c r="B4836" s="24">
        <v>1.0</v>
      </c>
      <c r="C4836" s="44">
        <v>13.89</v>
      </c>
      <c r="D4836" s="46">
        <v>45208.0</v>
      </c>
      <c r="E4836" s="24">
        <v>13.89</v>
      </c>
      <c r="F4836" s="24">
        <v>116.72</v>
      </c>
      <c r="G4836" s="24">
        <v>0.84</v>
      </c>
      <c r="H4836" s="24" t="s">
        <v>6680</v>
      </c>
      <c r="I4836" s="24">
        <v>13.89</v>
      </c>
      <c r="J4836" s="24">
        <v>0.0</v>
      </c>
    </row>
    <row r="4837">
      <c r="A4837" s="24">
        <v>8.0</v>
      </c>
      <c r="B4837" s="24">
        <v>3.0</v>
      </c>
      <c r="C4837" s="44">
        <v>6.0</v>
      </c>
      <c r="D4837" s="46">
        <v>45208.0</v>
      </c>
      <c r="E4837" s="24">
        <v>2.0</v>
      </c>
      <c r="F4837" s="24">
        <v>750.0</v>
      </c>
      <c r="G4837" s="24">
        <v>37.5</v>
      </c>
      <c r="H4837" s="24" t="s">
        <v>6702</v>
      </c>
      <c r="I4837" s="24" t="s">
        <v>6650</v>
      </c>
      <c r="J4837" s="24">
        <v>0.0</v>
      </c>
    </row>
    <row r="4838">
      <c r="A4838" s="24">
        <v>56.0</v>
      </c>
      <c r="B4838" s="24">
        <v>2.0</v>
      </c>
      <c r="C4838" s="44">
        <v>11.86</v>
      </c>
      <c r="D4838" s="46">
        <v>45208.0</v>
      </c>
      <c r="E4838" s="24">
        <v>5.93</v>
      </c>
      <c r="F4838" s="24">
        <v>211.79</v>
      </c>
      <c r="G4838" s="24">
        <v>3.57</v>
      </c>
      <c r="H4838" s="24" t="s">
        <v>6699</v>
      </c>
      <c r="I4838" s="24" t="s">
        <v>6650</v>
      </c>
      <c r="J4838" s="24">
        <v>0.0</v>
      </c>
    </row>
    <row r="4839">
      <c r="A4839" s="24">
        <v>482.0</v>
      </c>
      <c r="B4839" s="24">
        <v>2.0</v>
      </c>
      <c r="C4839" s="44">
        <v>11.34</v>
      </c>
      <c r="D4839" s="46">
        <v>45208.0</v>
      </c>
      <c r="E4839" s="24">
        <v>5.67</v>
      </c>
      <c r="F4839" s="24">
        <v>23.53</v>
      </c>
      <c r="G4839" s="24">
        <v>0.41</v>
      </c>
      <c r="H4839" s="24" t="s">
        <v>6698</v>
      </c>
      <c r="I4839" s="24">
        <v>2.84</v>
      </c>
      <c r="J4839" s="24">
        <v>0.0</v>
      </c>
    </row>
    <row r="4840">
      <c r="A4840" s="24">
        <v>67.0</v>
      </c>
      <c r="B4840" s="24">
        <v>0.0</v>
      </c>
      <c r="C4840" s="44">
        <v>12.5</v>
      </c>
      <c r="D4840" s="46">
        <v>45208.0</v>
      </c>
      <c r="E4840" s="24" t="s">
        <v>6650</v>
      </c>
      <c r="F4840" s="24">
        <v>186.57</v>
      </c>
      <c r="G4840" s="24">
        <v>0.0</v>
      </c>
      <c r="H4840" s="24" t="s">
        <v>6696</v>
      </c>
      <c r="I4840" s="24">
        <v>12.5</v>
      </c>
      <c r="J4840" s="24">
        <v>0.0</v>
      </c>
    </row>
    <row r="4841">
      <c r="A4841" s="24">
        <v>131.0</v>
      </c>
      <c r="B4841" s="24">
        <v>2.0</v>
      </c>
      <c r="C4841" s="44">
        <v>11.93</v>
      </c>
      <c r="D4841" s="46">
        <v>45208.0</v>
      </c>
      <c r="E4841" s="24">
        <v>5.96</v>
      </c>
      <c r="F4841" s="24">
        <v>91.07</v>
      </c>
      <c r="G4841" s="24">
        <v>1.53</v>
      </c>
      <c r="H4841" s="24" t="s">
        <v>6700</v>
      </c>
      <c r="I4841" s="24">
        <v>5.96</v>
      </c>
      <c r="J4841" s="24">
        <v>0.0</v>
      </c>
    </row>
    <row r="4842">
      <c r="A4842" s="24">
        <v>919.0</v>
      </c>
      <c r="B4842" s="24">
        <v>8.0</v>
      </c>
      <c r="C4842" s="44">
        <v>10.95</v>
      </c>
      <c r="D4842" s="46">
        <v>45208.0</v>
      </c>
      <c r="E4842" s="24">
        <v>1.37</v>
      </c>
      <c r="F4842" s="24">
        <v>11.92</v>
      </c>
      <c r="G4842" s="24">
        <v>0.87</v>
      </c>
      <c r="H4842" s="24" t="s">
        <v>6688</v>
      </c>
      <c r="I4842" s="24">
        <v>10.95</v>
      </c>
      <c r="J4842" s="24">
        <v>0.0</v>
      </c>
    </row>
    <row r="4843">
      <c r="A4843" s="24">
        <v>49.0</v>
      </c>
      <c r="B4843" s="24">
        <v>0.0</v>
      </c>
      <c r="C4843" s="44">
        <v>12.49</v>
      </c>
      <c r="D4843" s="46">
        <v>45208.0</v>
      </c>
      <c r="E4843" s="24" t="s">
        <v>6650</v>
      </c>
      <c r="F4843" s="24">
        <v>254.9</v>
      </c>
      <c r="G4843" s="24">
        <v>0.0</v>
      </c>
      <c r="H4843" s="24" t="s">
        <v>6695</v>
      </c>
      <c r="I4843" s="24" t="s">
        <v>6650</v>
      </c>
      <c r="J4843" s="24">
        <v>0.0</v>
      </c>
    </row>
    <row r="4844">
      <c r="A4844" s="24">
        <v>39.0</v>
      </c>
      <c r="B4844" s="24">
        <v>0.0</v>
      </c>
      <c r="C4844" s="44">
        <v>13.42</v>
      </c>
      <c r="D4844" s="46">
        <v>45208.0</v>
      </c>
      <c r="E4844" s="24" t="s">
        <v>6650</v>
      </c>
      <c r="F4844" s="24">
        <v>344.1</v>
      </c>
      <c r="G4844" s="24">
        <v>0.0</v>
      </c>
      <c r="H4844" s="24" t="s">
        <v>6697</v>
      </c>
      <c r="I4844" s="24" t="s">
        <v>6650</v>
      </c>
      <c r="J4844" s="24">
        <v>0.0</v>
      </c>
    </row>
    <row r="4845">
      <c r="A4845" s="24">
        <v>713.0</v>
      </c>
      <c r="B4845" s="24">
        <v>12.0</v>
      </c>
      <c r="C4845" s="44">
        <v>11.04</v>
      </c>
      <c r="D4845" s="46">
        <v>45208.0</v>
      </c>
      <c r="E4845" s="24">
        <v>0.92</v>
      </c>
      <c r="F4845" s="24">
        <v>15.48</v>
      </c>
      <c r="G4845" s="24">
        <v>1.68</v>
      </c>
      <c r="H4845" s="24" t="s">
        <v>6689</v>
      </c>
      <c r="I4845" s="24" t="s">
        <v>6650</v>
      </c>
      <c r="J4845" s="24">
        <v>0.0</v>
      </c>
    </row>
    <row r="4846">
      <c r="A4846" s="24">
        <v>76.0</v>
      </c>
      <c r="B4846" s="24">
        <v>0.0</v>
      </c>
      <c r="C4846" s="44">
        <v>12.18</v>
      </c>
      <c r="D4846" s="46">
        <v>45208.0</v>
      </c>
      <c r="E4846" s="24" t="s">
        <v>6650</v>
      </c>
      <c r="F4846" s="24">
        <v>160.26</v>
      </c>
      <c r="G4846" s="24">
        <v>0.0</v>
      </c>
      <c r="H4846" s="24" t="s">
        <v>6701</v>
      </c>
      <c r="I4846" s="24" t="s">
        <v>6650</v>
      </c>
      <c r="J4846" s="24">
        <v>0.0</v>
      </c>
    </row>
    <row r="4847">
      <c r="A4847" s="24">
        <v>892.0</v>
      </c>
      <c r="B4847" s="24">
        <v>6.0</v>
      </c>
      <c r="C4847" s="44">
        <v>12.08</v>
      </c>
      <c r="D4847" s="46">
        <v>45209.0</v>
      </c>
      <c r="E4847" s="24">
        <v>2.01</v>
      </c>
      <c r="F4847" s="24">
        <v>13.54</v>
      </c>
      <c r="G4847" s="24">
        <v>0.67</v>
      </c>
      <c r="H4847" s="24" t="s">
        <v>6688</v>
      </c>
      <c r="I4847" s="24">
        <v>12.08</v>
      </c>
      <c r="J4847" s="24">
        <v>0.0</v>
      </c>
    </row>
    <row r="4848">
      <c r="A4848" s="24">
        <v>749.0</v>
      </c>
      <c r="B4848" s="24">
        <v>14.0</v>
      </c>
      <c r="C4848" s="44">
        <v>12.05</v>
      </c>
      <c r="D4848" s="46">
        <v>45209.0</v>
      </c>
      <c r="E4848" s="24">
        <v>0.86</v>
      </c>
      <c r="F4848" s="24">
        <v>16.09</v>
      </c>
      <c r="G4848" s="24">
        <v>1.87</v>
      </c>
      <c r="H4848" s="24" t="s">
        <v>6689</v>
      </c>
      <c r="I4848" s="24" t="s">
        <v>6650</v>
      </c>
      <c r="J4848" s="24">
        <v>0.0</v>
      </c>
    </row>
    <row r="4849">
      <c r="A4849" s="24">
        <v>11.0</v>
      </c>
      <c r="B4849" s="24">
        <v>8.0</v>
      </c>
      <c r="C4849" s="44">
        <v>8.25</v>
      </c>
      <c r="D4849" s="46">
        <v>45209.0</v>
      </c>
      <c r="E4849" s="24">
        <v>1.03</v>
      </c>
      <c r="F4849" s="24">
        <v>750.0</v>
      </c>
      <c r="G4849" s="24">
        <v>72.73</v>
      </c>
      <c r="H4849" s="24" t="s">
        <v>6702</v>
      </c>
      <c r="I4849" s="24" t="s">
        <v>6650</v>
      </c>
      <c r="J4849" s="24">
        <v>0.0</v>
      </c>
    </row>
    <row r="4850">
      <c r="A4850" s="24">
        <v>26.0</v>
      </c>
      <c r="B4850" s="24">
        <v>0.0</v>
      </c>
      <c r="C4850" s="44">
        <v>12.52</v>
      </c>
      <c r="D4850" s="46">
        <v>45209.0</v>
      </c>
      <c r="E4850" s="24" t="s">
        <v>6650</v>
      </c>
      <c r="F4850" s="24">
        <v>481.54</v>
      </c>
      <c r="G4850" s="24">
        <v>0.0</v>
      </c>
      <c r="H4850" s="24" t="s">
        <v>6695</v>
      </c>
      <c r="I4850" s="24" t="s">
        <v>6650</v>
      </c>
      <c r="J4850" s="24">
        <v>0.0</v>
      </c>
    </row>
    <row r="4851">
      <c r="A4851" s="24">
        <v>87.0</v>
      </c>
      <c r="B4851" s="24">
        <v>0.0</v>
      </c>
      <c r="C4851" s="44">
        <v>12.65</v>
      </c>
      <c r="D4851" s="46">
        <v>45209.0</v>
      </c>
      <c r="E4851" s="24" t="s">
        <v>6650</v>
      </c>
      <c r="F4851" s="24">
        <v>145.4</v>
      </c>
      <c r="G4851" s="24">
        <v>0.0</v>
      </c>
      <c r="H4851" s="24" t="s">
        <v>6696</v>
      </c>
      <c r="I4851" s="24" t="s">
        <v>6650</v>
      </c>
      <c r="J4851" s="24">
        <v>0.0</v>
      </c>
    </row>
    <row r="4852">
      <c r="A4852" s="24">
        <v>148.0</v>
      </c>
      <c r="B4852" s="24">
        <v>1.0</v>
      </c>
      <c r="C4852" s="44">
        <v>14.06</v>
      </c>
      <c r="D4852" s="46">
        <v>45209.0</v>
      </c>
      <c r="E4852" s="24">
        <v>14.06</v>
      </c>
      <c r="F4852" s="24">
        <v>95.0</v>
      </c>
      <c r="G4852" s="24">
        <v>0.68</v>
      </c>
      <c r="H4852" s="24" t="s">
        <v>6680</v>
      </c>
      <c r="I4852" s="24">
        <v>14.06</v>
      </c>
      <c r="J4852" s="24">
        <v>0.0</v>
      </c>
    </row>
    <row r="4853">
      <c r="A4853" s="24">
        <v>113.0</v>
      </c>
      <c r="B4853" s="24">
        <v>0.0</v>
      </c>
      <c r="C4853" s="44">
        <v>12.64</v>
      </c>
      <c r="D4853" s="46">
        <v>45209.0</v>
      </c>
      <c r="E4853" s="24" t="s">
        <v>6650</v>
      </c>
      <c r="F4853" s="24">
        <v>111.86</v>
      </c>
      <c r="G4853" s="24">
        <v>0.0</v>
      </c>
      <c r="H4853" s="24" t="s">
        <v>6700</v>
      </c>
      <c r="I4853" s="24" t="s">
        <v>6650</v>
      </c>
      <c r="J4853" s="24">
        <v>0.0</v>
      </c>
    </row>
    <row r="4854">
      <c r="A4854" s="24">
        <v>99.0</v>
      </c>
      <c r="B4854" s="24">
        <v>0.0</v>
      </c>
      <c r="C4854" s="44">
        <v>13.01</v>
      </c>
      <c r="D4854" s="46">
        <v>45209.0</v>
      </c>
      <c r="E4854" s="24" t="s">
        <v>6650</v>
      </c>
      <c r="F4854" s="24">
        <v>131.41</v>
      </c>
      <c r="G4854" s="24">
        <v>0.0</v>
      </c>
      <c r="H4854" s="24" t="s">
        <v>6698</v>
      </c>
      <c r="I4854" s="24">
        <v>13.01</v>
      </c>
      <c r="J4854" s="24">
        <v>0.0</v>
      </c>
    </row>
    <row r="4855">
      <c r="A4855" s="24">
        <v>36.0</v>
      </c>
      <c r="B4855" s="24">
        <v>0.0</v>
      </c>
      <c r="C4855" s="44">
        <v>15.0</v>
      </c>
      <c r="D4855" s="46">
        <v>45209.0</v>
      </c>
      <c r="E4855" s="24" t="s">
        <v>6650</v>
      </c>
      <c r="F4855" s="24">
        <v>416.67</v>
      </c>
      <c r="G4855" s="24">
        <v>0.0</v>
      </c>
      <c r="H4855" s="24" t="s">
        <v>6699</v>
      </c>
      <c r="I4855" s="24">
        <v>15.0</v>
      </c>
      <c r="J4855" s="24">
        <v>0.0</v>
      </c>
    </row>
    <row r="4856">
      <c r="A4856" s="24">
        <v>78.0</v>
      </c>
      <c r="B4856" s="24">
        <v>0.0</v>
      </c>
      <c r="C4856" s="44">
        <v>13.52</v>
      </c>
      <c r="D4856" s="46">
        <v>45209.0</v>
      </c>
      <c r="E4856" s="24" t="s">
        <v>6650</v>
      </c>
      <c r="F4856" s="24">
        <v>173.33</v>
      </c>
      <c r="G4856" s="24">
        <v>0.0</v>
      </c>
      <c r="H4856" s="24" t="s">
        <v>6701</v>
      </c>
      <c r="I4856" s="24">
        <v>13.52</v>
      </c>
      <c r="J4856" s="24">
        <v>0.0</v>
      </c>
    </row>
    <row r="4857">
      <c r="A4857" s="24">
        <v>39.0</v>
      </c>
      <c r="B4857" s="24">
        <v>0.0</v>
      </c>
      <c r="C4857" s="44">
        <v>13.08</v>
      </c>
      <c r="D4857" s="46">
        <v>45209.0</v>
      </c>
      <c r="E4857" s="24" t="s">
        <v>6650</v>
      </c>
      <c r="F4857" s="24">
        <v>335.38</v>
      </c>
      <c r="G4857" s="24">
        <v>0.0</v>
      </c>
      <c r="H4857" s="24" t="s">
        <v>6697</v>
      </c>
      <c r="I4857" s="24" t="s">
        <v>6650</v>
      </c>
      <c r="J4857" s="24">
        <v>0.0</v>
      </c>
    </row>
    <row r="4858">
      <c r="A4858" s="24">
        <v>121.0</v>
      </c>
      <c r="B4858" s="24">
        <v>0.0</v>
      </c>
      <c r="C4858" s="44">
        <v>12.78</v>
      </c>
      <c r="D4858" s="46">
        <v>45210.0</v>
      </c>
      <c r="E4858" s="24" t="s">
        <v>6650</v>
      </c>
      <c r="F4858" s="24">
        <v>105.62</v>
      </c>
      <c r="G4858" s="24">
        <v>0.0</v>
      </c>
      <c r="H4858" s="24" t="s">
        <v>6680</v>
      </c>
      <c r="I4858" s="24">
        <v>6.39</v>
      </c>
      <c r="J4858" s="24">
        <v>0.0</v>
      </c>
    </row>
    <row r="4859">
      <c r="A4859" s="24">
        <v>39.0</v>
      </c>
      <c r="B4859" s="24">
        <v>1.0</v>
      </c>
      <c r="C4859" s="44">
        <v>12.82</v>
      </c>
      <c r="D4859" s="46">
        <v>45210.0</v>
      </c>
      <c r="E4859" s="24">
        <v>12.82</v>
      </c>
      <c r="F4859" s="24">
        <v>328.72</v>
      </c>
      <c r="G4859" s="24">
        <v>2.56</v>
      </c>
      <c r="H4859" s="24" t="s">
        <v>6696</v>
      </c>
      <c r="I4859" s="24" t="s">
        <v>6650</v>
      </c>
      <c r="J4859" s="24">
        <v>0.0</v>
      </c>
    </row>
    <row r="4860">
      <c r="A4860" s="24">
        <v>90.0</v>
      </c>
      <c r="B4860" s="24">
        <v>0.0</v>
      </c>
      <c r="C4860" s="44">
        <v>11.72</v>
      </c>
      <c r="D4860" s="46">
        <v>45210.0</v>
      </c>
      <c r="E4860" s="24" t="s">
        <v>6650</v>
      </c>
      <c r="F4860" s="24">
        <v>130.22</v>
      </c>
      <c r="G4860" s="24">
        <v>0.0</v>
      </c>
      <c r="H4860" s="24" t="s">
        <v>6701</v>
      </c>
      <c r="I4860" s="24" t="s">
        <v>6650</v>
      </c>
      <c r="J4860" s="24">
        <v>0.0</v>
      </c>
    </row>
    <row r="4861">
      <c r="A4861" s="24">
        <v>623.0</v>
      </c>
      <c r="B4861" s="24">
        <v>2.0</v>
      </c>
      <c r="C4861" s="44">
        <v>11.12</v>
      </c>
      <c r="D4861" s="46">
        <v>45210.0</v>
      </c>
      <c r="E4861" s="24">
        <v>5.56</v>
      </c>
      <c r="F4861" s="24">
        <v>17.85</v>
      </c>
      <c r="G4861" s="24">
        <v>0.32</v>
      </c>
      <c r="H4861" s="24" t="s">
        <v>6698</v>
      </c>
      <c r="I4861" s="24" t="s">
        <v>6650</v>
      </c>
      <c r="J4861" s="24">
        <v>0.0</v>
      </c>
    </row>
    <row r="4862">
      <c r="A4862" s="24">
        <v>73.0</v>
      </c>
      <c r="B4862" s="24">
        <v>1.0</v>
      </c>
      <c r="C4862" s="44">
        <v>11.65</v>
      </c>
      <c r="D4862" s="46">
        <v>45210.0</v>
      </c>
      <c r="E4862" s="24">
        <v>11.65</v>
      </c>
      <c r="F4862" s="24">
        <v>159.59</v>
      </c>
      <c r="G4862" s="24">
        <v>1.37</v>
      </c>
      <c r="H4862" s="24" t="s">
        <v>6699</v>
      </c>
      <c r="I4862" s="24" t="s">
        <v>6650</v>
      </c>
      <c r="J4862" s="24">
        <v>0.0</v>
      </c>
    </row>
    <row r="4863">
      <c r="A4863" s="24">
        <v>963.0</v>
      </c>
      <c r="B4863" s="24">
        <v>3.0</v>
      </c>
      <c r="C4863" s="44">
        <v>11.55</v>
      </c>
      <c r="D4863" s="46">
        <v>45210.0</v>
      </c>
      <c r="E4863" s="24">
        <v>3.85</v>
      </c>
      <c r="F4863" s="24">
        <v>11.99</v>
      </c>
      <c r="G4863" s="24">
        <v>0.31</v>
      </c>
      <c r="H4863" s="24" t="s">
        <v>6688</v>
      </c>
      <c r="I4863" s="24">
        <v>11.55</v>
      </c>
      <c r="J4863" s="24">
        <v>0.0</v>
      </c>
    </row>
    <row r="4864">
      <c r="A4864" s="24">
        <v>86.0</v>
      </c>
      <c r="B4864" s="24">
        <v>0.0</v>
      </c>
      <c r="C4864" s="44">
        <v>11.64</v>
      </c>
      <c r="D4864" s="46">
        <v>45210.0</v>
      </c>
      <c r="E4864" s="24" t="s">
        <v>6650</v>
      </c>
      <c r="F4864" s="24">
        <v>135.35</v>
      </c>
      <c r="G4864" s="24">
        <v>0.0</v>
      </c>
      <c r="H4864" s="24" t="s">
        <v>6700</v>
      </c>
      <c r="I4864" s="24" t="s">
        <v>6650</v>
      </c>
      <c r="J4864" s="24">
        <v>0.0</v>
      </c>
    </row>
    <row r="4865">
      <c r="A4865" s="24">
        <v>42.0</v>
      </c>
      <c r="B4865" s="24">
        <v>0.0</v>
      </c>
      <c r="C4865" s="44">
        <v>13.81</v>
      </c>
      <c r="D4865" s="46">
        <v>45210.0</v>
      </c>
      <c r="E4865" s="24" t="s">
        <v>6650</v>
      </c>
      <c r="F4865" s="24">
        <v>328.81</v>
      </c>
      <c r="G4865" s="24">
        <v>0.0</v>
      </c>
      <c r="H4865" s="24" t="s">
        <v>6697</v>
      </c>
      <c r="I4865" s="24" t="s">
        <v>6650</v>
      </c>
      <c r="J4865" s="24">
        <v>0.0</v>
      </c>
    </row>
    <row r="4866">
      <c r="A4866" s="24">
        <v>31.0</v>
      </c>
      <c r="B4866" s="24">
        <v>0.0</v>
      </c>
      <c r="C4866" s="44">
        <v>12.87</v>
      </c>
      <c r="D4866" s="46">
        <v>45210.0</v>
      </c>
      <c r="E4866" s="24" t="s">
        <v>6650</v>
      </c>
      <c r="F4866" s="24">
        <v>415.16</v>
      </c>
      <c r="G4866" s="24">
        <v>0.0</v>
      </c>
      <c r="H4866" s="24" t="s">
        <v>6695</v>
      </c>
      <c r="I4866" s="24" t="s">
        <v>6650</v>
      </c>
      <c r="J4866" s="24">
        <v>0.0</v>
      </c>
    </row>
    <row r="4867">
      <c r="A4867" s="24">
        <v>5.0</v>
      </c>
      <c r="B4867" s="24">
        <v>4.0</v>
      </c>
      <c r="C4867" s="44">
        <v>3.75</v>
      </c>
      <c r="D4867" s="46">
        <v>45210.0</v>
      </c>
      <c r="E4867" s="24">
        <v>0.94</v>
      </c>
      <c r="F4867" s="24">
        <v>750.0</v>
      </c>
      <c r="G4867" s="24">
        <v>80.0</v>
      </c>
      <c r="H4867" s="24" t="s">
        <v>6702</v>
      </c>
      <c r="I4867" s="24" t="s">
        <v>6650</v>
      </c>
      <c r="J4867" s="24">
        <v>0.0</v>
      </c>
    </row>
    <row r="4868">
      <c r="A4868" s="24">
        <v>709.0</v>
      </c>
      <c r="B4868" s="24">
        <v>10.0</v>
      </c>
      <c r="C4868" s="44">
        <v>12.11</v>
      </c>
      <c r="D4868" s="46">
        <v>45210.0</v>
      </c>
      <c r="E4868" s="24">
        <v>1.21</v>
      </c>
      <c r="F4868" s="24">
        <v>17.08</v>
      </c>
      <c r="G4868" s="24">
        <v>1.41</v>
      </c>
      <c r="H4868" s="24" t="s">
        <v>6689</v>
      </c>
      <c r="I4868" s="24" t="s">
        <v>6650</v>
      </c>
      <c r="J4868" s="24">
        <v>0.0</v>
      </c>
    </row>
    <row r="4869">
      <c r="A4869" s="24">
        <v>117.0</v>
      </c>
      <c r="B4869" s="24">
        <v>2.0</v>
      </c>
      <c r="C4869" s="44">
        <v>12.36</v>
      </c>
      <c r="D4869" s="46">
        <v>45211.0</v>
      </c>
      <c r="E4869" s="24">
        <v>6.18</v>
      </c>
      <c r="F4869" s="24">
        <v>105.64</v>
      </c>
      <c r="G4869" s="24">
        <v>1.71</v>
      </c>
      <c r="H4869" s="24" t="s">
        <v>6701</v>
      </c>
      <c r="I4869" s="24" t="s">
        <v>6650</v>
      </c>
      <c r="J4869" s="24">
        <v>0.0</v>
      </c>
    </row>
    <row r="4870">
      <c r="A4870" s="24">
        <v>259.0</v>
      </c>
      <c r="B4870" s="24">
        <v>1.0</v>
      </c>
      <c r="C4870" s="44">
        <v>11.97</v>
      </c>
      <c r="D4870" s="46">
        <v>45211.0</v>
      </c>
      <c r="E4870" s="24">
        <v>11.97</v>
      </c>
      <c r="F4870" s="24">
        <v>46.22</v>
      </c>
      <c r="G4870" s="24">
        <v>0.39</v>
      </c>
      <c r="H4870" s="24" t="s">
        <v>6700</v>
      </c>
      <c r="I4870" s="24" t="s">
        <v>6650</v>
      </c>
      <c r="J4870" s="24">
        <v>0.0</v>
      </c>
    </row>
    <row r="4871">
      <c r="A4871" s="24">
        <v>23.0</v>
      </c>
      <c r="B4871" s="24">
        <v>0.0</v>
      </c>
      <c r="C4871" s="44">
        <v>12.16</v>
      </c>
      <c r="D4871" s="46">
        <v>45211.0</v>
      </c>
      <c r="E4871" s="24" t="s">
        <v>6650</v>
      </c>
      <c r="F4871" s="24">
        <v>528.7</v>
      </c>
      <c r="G4871" s="24">
        <v>0.0</v>
      </c>
      <c r="H4871" s="24" t="s">
        <v>6697</v>
      </c>
      <c r="I4871" s="24" t="s">
        <v>6650</v>
      </c>
      <c r="J4871" s="24">
        <v>0.0</v>
      </c>
    </row>
    <row r="4872">
      <c r="A4872" s="24">
        <v>62.0</v>
      </c>
      <c r="B4872" s="24">
        <v>0.0</v>
      </c>
      <c r="C4872" s="44">
        <v>13.81</v>
      </c>
      <c r="D4872" s="46">
        <v>45211.0</v>
      </c>
      <c r="E4872" s="24" t="s">
        <v>6650</v>
      </c>
      <c r="F4872" s="24">
        <v>222.74</v>
      </c>
      <c r="G4872" s="24">
        <v>0.0</v>
      </c>
      <c r="H4872" s="24" t="s">
        <v>6680</v>
      </c>
      <c r="I4872" s="24" t="s">
        <v>6650</v>
      </c>
      <c r="J4872" s="24">
        <v>0.0</v>
      </c>
    </row>
    <row r="4873">
      <c r="A4873" s="24">
        <v>3.0</v>
      </c>
      <c r="B4873" s="24">
        <v>2.0</v>
      </c>
      <c r="C4873" s="44">
        <v>2.25</v>
      </c>
      <c r="D4873" s="46">
        <v>45211.0</v>
      </c>
      <c r="E4873" s="24">
        <v>1.12</v>
      </c>
      <c r="F4873" s="24">
        <v>750.0</v>
      </c>
      <c r="G4873" s="24">
        <v>66.67</v>
      </c>
      <c r="H4873" s="24" t="s">
        <v>6702</v>
      </c>
      <c r="I4873" s="24" t="s">
        <v>6650</v>
      </c>
      <c r="J4873" s="24">
        <v>0.0</v>
      </c>
    </row>
    <row r="4874">
      <c r="A4874" s="24">
        <v>69.0</v>
      </c>
      <c r="B4874" s="24">
        <v>0.0</v>
      </c>
      <c r="C4874" s="44">
        <v>12.52</v>
      </c>
      <c r="D4874" s="46">
        <v>45211.0</v>
      </c>
      <c r="E4874" s="24" t="s">
        <v>6650</v>
      </c>
      <c r="F4874" s="24">
        <v>181.45</v>
      </c>
      <c r="G4874" s="24">
        <v>0.0</v>
      </c>
      <c r="H4874" s="24" t="s">
        <v>6699</v>
      </c>
      <c r="I4874" s="24">
        <v>12.52</v>
      </c>
      <c r="J4874" s="24">
        <v>0.0</v>
      </c>
    </row>
    <row r="4875">
      <c r="A4875" s="24">
        <v>32.0</v>
      </c>
      <c r="B4875" s="24">
        <v>0.0</v>
      </c>
      <c r="C4875" s="44">
        <v>10.67</v>
      </c>
      <c r="D4875" s="46">
        <v>45211.0</v>
      </c>
      <c r="E4875" s="24" t="s">
        <v>6650</v>
      </c>
      <c r="F4875" s="24">
        <v>333.44</v>
      </c>
      <c r="G4875" s="24">
        <v>0.0</v>
      </c>
      <c r="H4875" s="24" t="s">
        <v>6696</v>
      </c>
      <c r="I4875" s="24" t="s">
        <v>6650</v>
      </c>
      <c r="J4875" s="24">
        <v>0.0</v>
      </c>
    </row>
    <row r="4876">
      <c r="A4876" s="24">
        <v>29.0</v>
      </c>
      <c r="B4876" s="24">
        <v>0.0</v>
      </c>
      <c r="C4876" s="44">
        <v>11.37</v>
      </c>
      <c r="D4876" s="46">
        <v>45211.0</v>
      </c>
      <c r="E4876" s="24" t="s">
        <v>6650</v>
      </c>
      <c r="F4876" s="24">
        <v>392.07</v>
      </c>
      <c r="G4876" s="24">
        <v>0.0</v>
      </c>
      <c r="H4876" s="24" t="s">
        <v>6695</v>
      </c>
      <c r="I4876" s="24" t="s">
        <v>6650</v>
      </c>
      <c r="J4876" s="24">
        <v>0.0</v>
      </c>
    </row>
    <row r="4877">
      <c r="A4877" s="24">
        <v>886.0</v>
      </c>
      <c r="B4877" s="24">
        <v>5.0</v>
      </c>
      <c r="C4877" s="44">
        <v>11.88</v>
      </c>
      <c r="D4877" s="46">
        <v>45211.0</v>
      </c>
      <c r="E4877" s="24">
        <v>2.38</v>
      </c>
      <c r="F4877" s="24">
        <v>13.41</v>
      </c>
      <c r="G4877" s="24">
        <v>0.56</v>
      </c>
      <c r="H4877" s="24" t="s">
        <v>6688</v>
      </c>
      <c r="I4877" s="24" t="s">
        <v>6650</v>
      </c>
      <c r="J4877" s="24">
        <v>0.0</v>
      </c>
    </row>
    <row r="4878">
      <c r="A4878" s="24">
        <v>606.0</v>
      </c>
      <c r="B4878" s="24">
        <v>5.0</v>
      </c>
      <c r="C4878" s="44">
        <v>12.3</v>
      </c>
      <c r="D4878" s="46">
        <v>45211.0</v>
      </c>
      <c r="E4878" s="24">
        <v>2.46</v>
      </c>
      <c r="F4878" s="24">
        <v>20.3</v>
      </c>
      <c r="G4878" s="24">
        <v>0.83</v>
      </c>
      <c r="H4878" s="24" t="s">
        <v>6689</v>
      </c>
      <c r="I4878" s="24" t="s">
        <v>6650</v>
      </c>
      <c r="J4878" s="24">
        <v>0.0</v>
      </c>
    </row>
    <row r="4879">
      <c r="A4879" s="24">
        <v>124.0</v>
      </c>
      <c r="B4879" s="24">
        <v>0.0</v>
      </c>
      <c r="C4879" s="44">
        <v>11.96</v>
      </c>
      <c r="D4879" s="46">
        <v>45211.0</v>
      </c>
      <c r="E4879" s="24" t="s">
        <v>6650</v>
      </c>
      <c r="F4879" s="24">
        <v>96.45</v>
      </c>
      <c r="G4879" s="24">
        <v>0.0</v>
      </c>
      <c r="H4879" s="24" t="s">
        <v>6698</v>
      </c>
      <c r="I4879" s="24" t="s">
        <v>6650</v>
      </c>
      <c r="J4879" s="24">
        <v>0.0</v>
      </c>
    </row>
    <row r="4880">
      <c r="A4880" s="24">
        <v>18.0</v>
      </c>
      <c r="B4880" s="24">
        <v>1.0</v>
      </c>
      <c r="C4880" s="44">
        <v>10.82</v>
      </c>
      <c r="D4880" s="46">
        <v>45212.0</v>
      </c>
      <c r="E4880" s="24">
        <v>10.82</v>
      </c>
      <c r="F4880" s="24">
        <v>601.11</v>
      </c>
      <c r="G4880" s="24">
        <v>5.56</v>
      </c>
      <c r="H4880" s="24" t="s">
        <v>6697</v>
      </c>
      <c r="I4880" s="24" t="s">
        <v>6650</v>
      </c>
      <c r="J4880" s="24">
        <v>0.0</v>
      </c>
    </row>
    <row r="4881">
      <c r="A4881" s="24">
        <v>656.0</v>
      </c>
      <c r="B4881" s="24">
        <v>2.0</v>
      </c>
      <c r="C4881" s="44">
        <v>10.96</v>
      </c>
      <c r="D4881" s="46">
        <v>45212.0</v>
      </c>
      <c r="E4881" s="24">
        <v>5.48</v>
      </c>
      <c r="F4881" s="24">
        <v>16.71</v>
      </c>
      <c r="G4881" s="24">
        <v>0.3</v>
      </c>
      <c r="H4881" s="24" t="s">
        <v>6689</v>
      </c>
      <c r="I4881" s="24" t="s">
        <v>6650</v>
      </c>
      <c r="J4881" s="24">
        <v>0.0</v>
      </c>
    </row>
    <row r="4882">
      <c r="A4882" s="24">
        <v>72.0</v>
      </c>
      <c r="B4882" s="24">
        <v>0.0</v>
      </c>
      <c r="C4882" s="44">
        <v>11.96</v>
      </c>
      <c r="D4882" s="46">
        <v>45212.0</v>
      </c>
      <c r="E4882" s="24" t="s">
        <v>6650</v>
      </c>
      <c r="F4882" s="24">
        <v>166.11</v>
      </c>
      <c r="G4882" s="24">
        <v>0.0</v>
      </c>
      <c r="H4882" s="24" t="s">
        <v>6680</v>
      </c>
      <c r="I4882" s="24" t="s">
        <v>6650</v>
      </c>
      <c r="J4882" s="24">
        <v>0.0</v>
      </c>
    </row>
    <row r="4883">
      <c r="A4883" s="24">
        <v>23.0</v>
      </c>
      <c r="B4883" s="24">
        <v>0.0</v>
      </c>
      <c r="C4883" s="44">
        <v>11.95</v>
      </c>
      <c r="D4883" s="46">
        <v>45212.0</v>
      </c>
      <c r="E4883" s="24" t="s">
        <v>6650</v>
      </c>
      <c r="F4883" s="24">
        <v>519.57</v>
      </c>
      <c r="G4883" s="24">
        <v>0.0</v>
      </c>
      <c r="H4883" s="24" t="s">
        <v>6695</v>
      </c>
      <c r="I4883" s="24" t="s">
        <v>6650</v>
      </c>
      <c r="J4883" s="24">
        <v>0.0</v>
      </c>
    </row>
    <row r="4884">
      <c r="A4884" s="24">
        <v>841.0</v>
      </c>
      <c r="B4884" s="24">
        <v>5.0</v>
      </c>
      <c r="C4884" s="44">
        <v>10.84</v>
      </c>
      <c r="D4884" s="46">
        <v>45212.0</v>
      </c>
      <c r="E4884" s="24">
        <v>2.17</v>
      </c>
      <c r="F4884" s="24">
        <v>12.89</v>
      </c>
      <c r="G4884" s="24">
        <v>0.59</v>
      </c>
      <c r="H4884" s="24" t="s">
        <v>6688</v>
      </c>
      <c r="I4884" s="24" t="s">
        <v>6650</v>
      </c>
      <c r="J4884" s="24">
        <v>0.0</v>
      </c>
    </row>
    <row r="4885">
      <c r="A4885" s="24">
        <v>50.0</v>
      </c>
      <c r="B4885" s="24">
        <v>0.0</v>
      </c>
      <c r="C4885" s="44">
        <v>13.02</v>
      </c>
      <c r="D4885" s="46">
        <v>45212.0</v>
      </c>
      <c r="E4885" s="24" t="s">
        <v>6650</v>
      </c>
      <c r="F4885" s="24">
        <v>260.4</v>
      </c>
      <c r="G4885" s="24">
        <v>0.0</v>
      </c>
      <c r="H4885" s="24" t="s">
        <v>6700</v>
      </c>
      <c r="I4885" s="24" t="s">
        <v>6650</v>
      </c>
      <c r="J4885" s="24">
        <v>0.0</v>
      </c>
    </row>
    <row r="4886">
      <c r="A4886" s="24">
        <v>3.0</v>
      </c>
      <c r="B4886" s="24">
        <v>1.0</v>
      </c>
      <c r="C4886" s="44">
        <v>2.25</v>
      </c>
      <c r="D4886" s="46">
        <v>45212.0</v>
      </c>
      <c r="E4886" s="24">
        <v>2.25</v>
      </c>
      <c r="F4886" s="24">
        <v>750.0</v>
      </c>
      <c r="G4886" s="24">
        <v>33.33</v>
      </c>
      <c r="H4886" s="24" t="s">
        <v>6702</v>
      </c>
      <c r="I4886" s="24" t="s">
        <v>6650</v>
      </c>
      <c r="J4886" s="24">
        <v>0.0</v>
      </c>
    </row>
    <row r="4887">
      <c r="A4887" s="24">
        <v>76.0</v>
      </c>
      <c r="B4887" s="24">
        <v>0.0</v>
      </c>
      <c r="C4887" s="44">
        <v>10.9</v>
      </c>
      <c r="D4887" s="46">
        <v>45212.0</v>
      </c>
      <c r="E4887" s="24" t="s">
        <v>6650</v>
      </c>
      <c r="F4887" s="24">
        <v>143.42</v>
      </c>
      <c r="G4887" s="24">
        <v>0.0</v>
      </c>
      <c r="H4887" s="24" t="s">
        <v>6701</v>
      </c>
      <c r="I4887" s="24">
        <v>10.9</v>
      </c>
      <c r="J4887" s="24">
        <v>0.0</v>
      </c>
    </row>
    <row r="4888">
      <c r="A4888" s="24">
        <v>37.0</v>
      </c>
      <c r="B4888" s="24">
        <v>0.0</v>
      </c>
      <c r="C4888" s="44">
        <v>12.9</v>
      </c>
      <c r="D4888" s="46">
        <v>45212.0</v>
      </c>
      <c r="E4888" s="24" t="s">
        <v>6650</v>
      </c>
      <c r="F4888" s="24">
        <v>348.65</v>
      </c>
      <c r="G4888" s="24">
        <v>0.0</v>
      </c>
      <c r="H4888" s="24" t="s">
        <v>6699</v>
      </c>
      <c r="I4888" s="24" t="s">
        <v>6650</v>
      </c>
      <c r="J4888" s="24">
        <v>0.0</v>
      </c>
    </row>
    <row r="4889">
      <c r="A4889" s="24">
        <v>445.0</v>
      </c>
      <c r="B4889" s="24">
        <v>2.0</v>
      </c>
      <c r="C4889" s="44">
        <v>11.13</v>
      </c>
      <c r="D4889" s="46">
        <v>45212.0</v>
      </c>
      <c r="E4889" s="24">
        <v>5.56</v>
      </c>
      <c r="F4889" s="24">
        <v>25.01</v>
      </c>
      <c r="G4889" s="24">
        <v>0.45</v>
      </c>
      <c r="H4889" s="24" t="s">
        <v>6698</v>
      </c>
      <c r="I4889" s="24" t="s">
        <v>6650</v>
      </c>
      <c r="J4889" s="24">
        <v>0.0</v>
      </c>
    </row>
    <row r="4890">
      <c r="A4890" s="24">
        <v>50.0</v>
      </c>
      <c r="B4890" s="24">
        <v>0.0</v>
      </c>
      <c r="C4890" s="44">
        <v>10.96</v>
      </c>
      <c r="D4890" s="46">
        <v>45212.0</v>
      </c>
      <c r="E4890" s="24" t="s">
        <v>6650</v>
      </c>
      <c r="F4890" s="24">
        <v>219.2</v>
      </c>
      <c r="G4890" s="24">
        <v>0.0</v>
      </c>
      <c r="H4890" s="24" t="s">
        <v>6696</v>
      </c>
      <c r="I4890" s="24" t="s">
        <v>6650</v>
      </c>
      <c r="J4890" s="24">
        <v>0.0</v>
      </c>
    </row>
    <row r="4891">
      <c r="A4891" s="24">
        <v>18.0</v>
      </c>
      <c r="B4891" s="24">
        <v>0.0</v>
      </c>
      <c r="C4891" s="44">
        <v>8.98</v>
      </c>
      <c r="D4891" s="46">
        <v>45213.0</v>
      </c>
      <c r="E4891" s="24" t="s">
        <v>6650</v>
      </c>
      <c r="F4891" s="24">
        <v>498.89</v>
      </c>
      <c r="G4891" s="24">
        <v>0.0</v>
      </c>
      <c r="H4891" s="24" t="s">
        <v>6696</v>
      </c>
      <c r="I4891" s="24" t="s">
        <v>6650</v>
      </c>
      <c r="J4891" s="24">
        <v>0.0</v>
      </c>
    </row>
    <row r="4892">
      <c r="A4892" s="24">
        <v>14.0</v>
      </c>
      <c r="B4892" s="24">
        <v>0.0</v>
      </c>
      <c r="C4892" s="44">
        <v>7.53</v>
      </c>
      <c r="D4892" s="46">
        <v>45213.0</v>
      </c>
      <c r="E4892" s="24" t="s">
        <v>6650</v>
      </c>
      <c r="F4892" s="24">
        <v>537.86</v>
      </c>
      <c r="G4892" s="24">
        <v>0.0</v>
      </c>
      <c r="H4892" s="24" t="s">
        <v>6680</v>
      </c>
      <c r="I4892" s="24" t="s">
        <v>6650</v>
      </c>
      <c r="J4892" s="24">
        <v>0.0</v>
      </c>
    </row>
    <row r="4893">
      <c r="A4893" s="24">
        <v>404.0</v>
      </c>
      <c r="B4893" s="24">
        <v>5.0</v>
      </c>
      <c r="C4893" s="44">
        <v>6.62</v>
      </c>
      <c r="D4893" s="46">
        <v>45213.0</v>
      </c>
      <c r="E4893" s="24">
        <v>1.32</v>
      </c>
      <c r="F4893" s="24">
        <v>16.39</v>
      </c>
      <c r="G4893" s="24">
        <v>1.24</v>
      </c>
      <c r="H4893" s="24" t="s">
        <v>6688</v>
      </c>
      <c r="I4893" s="24">
        <v>3.31</v>
      </c>
      <c r="J4893" s="24">
        <v>0.0</v>
      </c>
    </row>
    <row r="4894">
      <c r="A4894" s="24">
        <v>58.0</v>
      </c>
      <c r="B4894" s="24">
        <v>1.0</v>
      </c>
      <c r="C4894" s="44">
        <v>6.32</v>
      </c>
      <c r="D4894" s="46">
        <v>45213.0</v>
      </c>
      <c r="E4894" s="24">
        <v>6.32</v>
      </c>
      <c r="F4894" s="24">
        <v>108.97</v>
      </c>
      <c r="G4894" s="24">
        <v>1.72</v>
      </c>
      <c r="H4894" s="24" t="s">
        <v>6698</v>
      </c>
      <c r="I4894" s="24">
        <v>3.16</v>
      </c>
      <c r="J4894" s="24">
        <v>0.0</v>
      </c>
    </row>
    <row r="4895">
      <c r="A4895" s="24">
        <v>19.0</v>
      </c>
      <c r="B4895" s="24">
        <v>0.0</v>
      </c>
      <c r="C4895" s="44">
        <v>8.8</v>
      </c>
      <c r="D4895" s="46">
        <v>45213.0</v>
      </c>
      <c r="E4895" s="24" t="s">
        <v>6650</v>
      </c>
      <c r="F4895" s="24">
        <v>463.16</v>
      </c>
      <c r="G4895" s="24">
        <v>0.0</v>
      </c>
      <c r="H4895" s="24" t="s">
        <v>6695</v>
      </c>
      <c r="I4895" s="24" t="s">
        <v>6650</v>
      </c>
      <c r="J4895" s="24">
        <v>0.0</v>
      </c>
    </row>
    <row r="4896">
      <c r="A4896" s="24">
        <v>305.0</v>
      </c>
      <c r="B4896" s="24">
        <v>3.0</v>
      </c>
      <c r="C4896" s="44">
        <v>4.52</v>
      </c>
      <c r="D4896" s="46">
        <v>45213.0</v>
      </c>
      <c r="E4896" s="24">
        <v>1.51</v>
      </c>
      <c r="F4896" s="24">
        <v>14.82</v>
      </c>
      <c r="G4896" s="24">
        <v>0.98</v>
      </c>
      <c r="H4896" s="24" t="s">
        <v>6700</v>
      </c>
      <c r="I4896" s="24">
        <v>2.26</v>
      </c>
      <c r="J4896" s="24">
        <v>0.0</v>
      </c>
    </row>
    <row r="4897">
      <c r="A4897" s="24">
        <v>15.0</v>
      </c>
      <c r="B4897" s="24">
        <v>0.0</v>
      </c>
      <c r="C4897" s="44">
        <v>5.81</v>
      </c>
      <c r="D4897" s="46">
        <v>45213.0</v>
      </c>
      <c r="E4897" s="24" t="s">
        <v>6650</v>
      </c>
      <c r="F4897" s="24">
        <v>387.33</v>
      </c>
      <c r="G4897" s="24">
        <v>0.0</v>
      </c>
      <c r="H4897" s="24" t="s">
        <v>6701</v>
      </c>
      <c r="I4897" s="24" t="s">
        <v>6650</v>
      </c>
      <c r="J4897" s="24">
        <v>0.0</v>
      </c>
    </row>
    <row r="4898">
      <c r="A4898" s="24">
        <v>14.0</v>
      </c>
      <c r="B4898" s="24">
        <v>0.0</v>
      </c>
      <c r="C4898" s="44">
        <v>6.07</v>
      </c>
      <c r="D4898" s="46">
        <v>45213.0</v>
      </c>
      <c r="E4898" s="24" t="s">
        <v>6650</v>
      </c>
      <c r="F4898" s="24">
        <v>433.57</v>
      </c>
      <c r="G4898" s="24">
        <v>0.0</v>
      </c>
      <c r="H4898" s="24" t="s">
        <v>6699</v>
      </c>
      <c r="I4898" s="24" t="s">
        <v>6650</v>
      </c>
      <c r="J4898" s="24">
        <v>0.0</v>
      </c>
    </row>
    <row r="4899">
      <c r="A4899" s="24">
        <v>281.0</v>
      </c>
      <c r="B4899" s="24">
        <v>5.0</v>
      </c>
      <c r="C4899" s="44">
        <v>6.14</v>
      </c>
      <c r="D4899" s="46">
        <v>45213.0</v>
      </c>
      <c r="E4899" s="24">
        <v>1.23</v>
      </c>
      <c r="F4899" s="24">
        <v>21.85</v>
      </c>
      <c r="G4899" s="24">
        <v>1.78</v>
      </c>
      <c r="H4899" s="24" t="s">
        <v>6689</v>
      </c>
      <c r="I4899" s="24" t="s">
        <v>6650</v>
      </c>
      <c r="J4899" s="24">
        <v>0.0</v>
      </c>
    </row>
    <row r="4900">
      <c r="A4900" s="24">
        <v>14.0</v>
      </c>
      <c r="B4900" s="24">
        <v>0.0</v>
      </c>
      <c r="C4900" s="44">
        <v>4.45</v>
      </c>
      <c r="D4900" s="46">
        <v>45213.0</v>
      </c>
      <c r="E4900" s="24" t="s">
        <v>6650</v>
      </c>
      <c r="F4900" s="24">
        <v>317.86</v>
      </c>
      <c r="G4900" s="24">
        <v>0.0</v>
      </c>
      <c r="H4900" s="24" t="s">
        <v>6697</v>
      </c>
      <c r="I4900" s="24" t="s">
        <v>6650</v>
      </c>
      <c r="J4900" s="24">
        <v>0.0</v>
      </c>
    </row>
    <row r="4901">
      <c r="A4901" s="24">
        <v>2.0</v>
      </c>
      <c r="B4901" s="24">
        <v>1.0</v>
      </c>
      <c r="C4901" s="44">
        <v>1.5</v>
      </c>
      <c r="D4901" s="46">
        <v>45213.0</v>
      </c>
      <c r="E4901" s="24">
        <v>1.5</v>
      </c>
      <c r="F4901" s="24">
        <v>750.0</v>
      </c>
      <c r="G4901" s="24">
        <v>50.0</v>
      </c>
      <c r="H4901" s="24" t="s">
        <v>6702</v>
      </c>
      <c r="I4901" s="24" t="s">
        <v>6650</v>
      </c>
      <c r="J4901" s="24">
        <v>0.0</v>
      </c>
    </row>
    <row r="4902">
      <c r="A4902" s="24">
        <v>10.0</v>
      </c>
      <c r="B4902" s="24">
        <v>0.0</v>
      </c>
      <c r="C4902" s="44">
        <v>3.51</v>
      </c>
      <c r="D4902" s="46">
        <v>45214.0</v>
      </c>
      <c r="E4902" s="24" t="s">
        <v>6650</v>
      </c>
      <c r="F4902" s="24">
        <v>351.0</v>
      </c>
      <c r="G4902" s="24">
        <v>0.0</v>
      </c>
      <c r="H4902" s="24" t="s">
        <v>6701</v>
      </c>
      <c r="I4902" s="24" t="s">
        <v>6650</v>
      </c>
      <c r="J4902" s="24">
        <v>0.0</v>
      </c>
    </row>
    <row r="4903">
      <c r="A4903" s="24">
        <v>10.0</v>
      </c>
      <c r="B4903" s="24">
        <v>1.0</v>
      </c>
      <c r="C4903" s="44">
        <v>2.26</v>
      </c>
      <c r="D4903" s="46">
        <v>45214.0</v>
      </c>
      <c r="E4903" s="24">
        <v>2.26</v>
      </c>
      <c r="F4903" s="24">
        <v>226.0</v>
      </c>
      <c r="G4903" s="24">
        <v>10.0</v>
      </c>
      <c r="H4903" s="24" t="s">
        <v>6697</v>
      </c>
      <c r="I4903" s="24" t="s">
        <v>6650</v>
      </c>
      <c r="J4903" s="24">
        <v>0.0</v>
      </c>
    </row>
    <row r="4904">
      <c r="A4904" s="24">
        <v>41.0</v>
      </c>
      <c r="B4904" s="24">
        <v>0.0</v>
      </c>
      <c r="C4904" s="44">
        <v>1.42</v>
      </c>
      <c r="D4904" s="46">
        <v>45214.0</v>
      </c>
      <c r="E4904" s="24" t="s">
        <v>6650</v>
      </c>
      <c r="F4904" s="24">
        <v>34.63</v>
      </c>
      <c r="G4904" s="24">
        <v>0.0</v>
      </c>
      <c r="H4904" s="24" t="s">
        <v>6696</v>
      </c>
      <c r="I4904" s="24" t="s">
        <v>6650</v>
      </c>
      <c r="J4904" s="24">
        <v>0.0</v>
      </c>
    </row>
    <row r="4905">
      <c r="A4905" s="24">
        <v>61.0</v>
      </c>
      <c r="B4905" s="24">
        <v>0.0</v>
      </c>
      <c r="C4905" s="44">
        <v>2.97</v>
      </c>
      <c r="D4905" s="46">
        <v>45214.0</v>
      </c>
      <c r="E4905" s="24" t="s">
        <v>6650</v>
      </c>
      <c r="F4905" s="24">
        <v>48.69</v>
      </c>
      <c r="G4905" s="24">
        <v>0.0</v>
      </c>
      <c r="H4905" s="24" t="s">
        <v>6680</v>
      </c>
      <c r="I4905" s="24" t="s">
        <v>6650</v>
      </c>
      <c r="J4905" s="24">
        <v>0.0</v>
      </c>
    </row>
    <row r="4906">
      <c r="A4906" s="24">
        <v>482.0</v>
      </c>
      <c r="B4906" s="24">
        <v>4.0</v>
      </c>
      <c r="C4906" s="44">
        <v>6.08</v>
      </c>
      <c r="D4906" s="46">
        <v>45214.0</v>
      </c>
      <c r="E4906" s="24">
        <v>1.52</v>
      </c>
      <c r="F4906" s="24">
        <v>12.61</v>
      </c>
      <c r="G4906" s="24">
        <v>0.83</v>
      </c>
      <c r="H4906" s="24" t="s">
        <v>6688</v>
      </c>
      <c r="I4906" s="24" t="s">
        <v>6650</v>
      </c>
      <c r="J4906" s="24">
        <v>0.0</v>
      </c>
    </row>
    <row r="4907">
      <c r="A4907" s="24">
        <v>54.0</v>
      </c>
      <c r="B4907" s="24">
        <v>0.0</v>
      </c>
      <c r="C4907" s="44">
        <v>4.28</v>
      </c>
      <c r="D4907" s="46">
        <v>45214.0</v>
      </c>
      <c r="E4907" s="24" t="s">
        <v>6650</v>
      </c>
      <c r="F4907" s="24">
        <v>79.26</v>
      </c>
      <c r="G4907" s="24">
        <v>0.0</v>
      </c>
      <c r="H4907" s="24" t="s">
        <v>6700</v>
      </c>
      <c r="I4907" s="24" t="s">
        <v>6650</v>
      </c>
      <c r="J4907" s="24">
        <v>0.0</v>
      </c>
    </row>
    <row r="4908">
      <c r="A4908" s="24">
        <v>235.0</v>
      </c>
      <c r="B4908" s="24">
        <v>7.0</v>
      </c>
      <c r="C4908" s="44">
        <v>5.4</v>
      </c>
      <c r="D4908" s="46">
        <v>45214.0</v>
      </c>
      <c r="E4908" s="24">
        <v>0.77</v>
      </c>
      <c r="F4908" s="24">
        <v>22.98</v>
      </c>
      <c r="G4908" s="24">
        <v>2.98</v>
      </c>
      <c r="H4908" s="24" t="s">
        <v>6689</v>
      </c>
      <c r="I4908" s="24" t="s">
        <v>6650</v>
      </c>
      <c r="J4908" s="24">
        <v>0.0</v>
      </c>
    </row>
    <row r="4909">
      <c r="A4909" s="24">
        <v>2.0</v>
      </c>
      <c r="B4909" s="24">
        <v>1.0</v>
      </c>
      <c r="C4909" s="44">
        <v>1.5</v>
      </c>
      <c r="D4909" s="46">
        <v>45214.0</v>
      </c>
      <c r="E4909" s="24">
        <v>1.5</v>
      </c>
      <c r="F4909" s="24">
        <v>750.0</v>
      </c>
      <c r="G4909" s="24">
        <v>50.0</v>
      </c>
      <c r="H4909" s="24" t="s">
        <v>6702</v>
      </c>
      <c r="I4909" s="24" t="s">
        <v>6650</v>
      </c>
      <c r="J4909" s="24">
        <v>0.0</v>
      </c>
    </row>
    <row r="4910">
      <c r="A4910" s="24">
        <v>45.0</v>
      </c>
      <c r="B4910" s="24">
        <v>0.0</v>
      </c>
      <c r="C4910" s="44">
        <v>5.12</v>
      </c>
      <c r="D4910" s="46">
        <v>45214.0</v>
      </c>
      <c r="E4910" s="24" t="s">
        <v>6650</v>
      </c>
      <c r="F4910" s="24">
        <v>113.78</v>
      </c>
      <c r="G4910" s="24">
        <v>0.0</v>
      </c>
      <c r="H4910" s="24" t="s">
        <v>6698</v>
      </c>
      <c r="I4910" s="24" t="s">
        <v>6650</v>
      </c>
      <c r="J4910" s="24">
        <v>0.0</v>
      </c>
    </row>
    <row r="4911">
      <c r="A4911" s="24">
        <v>45.0</v>
      </c>
      <c r="B4911" s="24">
        <v>1.0</v>
      </c>
      <c r="C4911" s="44">
        <v>13.74</v>
      </c>
      <c r="D4911" s="46">
        <v>45215.0</v>
      </c>
      <c r="E4911" s="24">
        <v>13.74</v>
      </c>
      <c r="F4911" s="24">
        <v>305.33</v>
      </c>
      <c r="G4911" s="24">
        <v>2.22</v>
      </c>
      <c r="H4911" s="24" t="s">
        <v>6699</v>
      </c>
      <c r="I4911" s="24" t="s">
        <v>6650</v>
      </c>
      <c r="J4911" s="24">
        <v>0.0</v>
      </c>
    </row>
    <row r="4912">
      <c r="A4912" s="24">
        <v>866.0</v>
      </c>
      <c r="B4912" s="24">
        <v>7.0</v>
      </c>
      <c r="C4912" s="44">
        <v>11.11</v>
      </c>
      <c r="D4912" s="46">
        <v>45215.0</v>
      </c>
      <c r="E4912" s="24">
        <v>1.59</v>
      </c>
      <c r="F4912" s="24">
        <v>12.83</v>
      </c>
      <c r="G4912" s="24">
        <v>0.81</v>
      </c>
      <c r="H4912" s="24" t="s">
        <v>6688</v>
      </c>
      <c r="I4912" s="24" t="s">
        <v>6650</v>
      </c>
      <c r="J4912" s="24">
        <v>0.0</v>
      </c>
    </row>
    <row r="4913">
      <c r="A4913" s="24">
        <v>84.0</v>
      </c>
      <c r="B4913" s="24">
        <v>0.0</v>
      </c>
      <c r="C4913" s="44">
        <v>11.82</v>
      </c>
      <c r="D4913" s="46">
        <v>45215.0</v>
      </c>
      <c r="E4913" s="24" t="s">
        <v>6650</v>
      </c>
      <c r="F4913" s="24">
        <v>140.71</v>
      </c>
      <c r="G4913" s="24">
        <v>0.0</v>
      </c>
      <c r="H4913" s="24" t="s">
        <v>6696</v>
      </c>
      <c r="I4913" s="24" t="s">
        <v>6650</v>
      </c>
      <c r="J4913" s="24">
        <v>0.0</v>
      </c>
    </row>
    <row r="4914">
      <c r="A4914" s="24">
        <v>363.0</v>
      </c>
      <c r="B4914" s="24">
        <v>4.0</v>
      </c>
      <c r="C4914" s="44">
        <v>11.49</v>
      </c>
      <c r="D4914" s="46">
        <v>45215.0</v>
      </c>
      <c r="E4914" s="24">
        <v>2.87</v>
      </c>
      <c r="F4914" s="24">
        <v>31.65</v>
      </c>
      <c r="G4914" s="24">
        <v>1.1</v>
      </c>
      <c r="H4914" s="24" t="s">
        <v>6698</v>
      </c>
      <c r="I4914" s="24">
        <v>11.49</v>
      </c>
      <c r="J4914" s="24">
        <v>0.0</v>
      </c>
    </row>
    <row r="4915">
      <c r="A4915" s="24">
        <v>104.0</v>
      </c>
      <c r="B4915" s="24">
        <v>0.0</v>
      </c>
      <c r="C4915" s="44">
        <v>13.15</v>
      </c>
      <c r="D4915" s="46">
        <v>45215.0</v>
      </c>
      <c r="E4915" s="24" t="s">
        <v>6650</v>
      </c>
      <c r="F4915" s="24">
        <v>126.44</v>
      </c>
      <c r="G4915" s="24">
        <v>0.0</v>
      </c>
      <c r="H4915" s="24" t="s">
        <v>6680</v>
      </c>
      <c r="I4915" s="24" t="s">
        <v>6650</v>
      </c>
      <c r="J4915" s="24">
        <v>0.0</v>
      </c>
    </row>
    <row r="4916">
      <c r="A4916" s="24">
        <v>37.0</v>
      </c>
      <c r="B4916" s="24">
        <v>0.0</v>
      </c>
      <c r="C4916" s="44">
        <v>11.62</v>
      </c>
      <c r="D4916" s="46">
        <v>45215.0</v>
      </c>
      <c r="E4916" s="24" t="s">
        <v>6650</v>
      </c>
      <c r="F4916" s="24">
        <v>314.05</v>
      </c>
      <c r="G4916" s="24">
        <v>0.0</v>
      </c>
      <c r="H4916" s="24" t="s">
        <v>6697</v>
      </c>
      <c r="I4916" s="24" t="s">
        <v>6650</v>
      </c>
      <c r="J4916" s="24">
        <v>0.0</v>
      </c>
    </row>
    <row r="4917">
      <c r="A4917" s="24">
        <v>25.0</v>
      </c>
      <c r="B4917" s="24">
        <v>0.0</v>
      </c>
      <c r="C4917" s="44">
        <v>12.27</v>
      </c>
      <c r="D4917" s="46">
        <v>45215.0</v>
      </c>
      <c r="E4917" s="24" t="s">
        <v>6650</v>
      </c>
      <c r="F4917" s="24">
        <v>490.8</v>
      </c>
      <c r="G4917" s="24">
        <v>0.0</v>
      </c>
      <c r="H4917" s="24" t="s">
        <v>6695</v>
      </c>
      <c r="I4917" s="24" t="s">
        <v>6650</v>
      </c>
      <c r="J4917" s="24">
        <v>0.0</v>
      </c>
    </row>
    <row r="4918">
      <c r="A4918" s="24">
        <v>179.0</v>
      </c>
      <c r="B4918" s="24">
        <v>1.0</v>
      </c>
      <c r="C4918" s="44">
        <v>14.75</v>
      </c>
      <c r="D4918" s="46">
        <v>45215.0</v>
      </c>
      <c r="E4918" s="24">
        <v>14.75</v>
      </c>
      <c r="F4918" s="24">
        <v>82.4</v>
      </c>
      <c r="G4918" s="24">
        <v>0.56</v>
      </c>
      <c r="H4918" s="24" t="s">
        <v>6700</v>
      </c>
      <c r="I4918" s="24">
        <v>14.75</v>
      </c>
      <c r="J4918" s="24">
        <v>0.0</v>
      </c>
    </row>
    <row r="4919">
      <c r="A4919" s="24">
        <v>45.0</v>
      </c>
      <c r="B4919" s="24">
        <v>0.0</v>
      </c>
      <c r="C4919" s="44">
        <v>14.68</v>
      </c>
      <c r="D4919" s="46">
        <v>45215.0</v>
      </c>
      <c r="E4919" s="24" t="s">
        <v>6650</v>
      </c>
      <c r="F4919" s="24">
        <v>326.22</v>
      </c>
      <c r="G4919" s="24">
        <v>0.0</v>
      </c>
      <c r="H4919" s="24" t="s">
        <v>6701</v>
      </c>
      <c r="I4919" s="24" t="s">
        <v>6650</v>
      </c>
      <c r="J4919" s="24">
        <v>0.0</v>
      </c>
    </row>
    <row r="4920">
      <c r="A4920" s="24">
        <v>9.0</v>
      </c>
      <c r="B4920" s="24">
        <v>5.0</v>
      </c>
      <c r="C4920" s="44">
        <v>6.75</v>
      </c>
      <c r="D4920" s="46">
        <v>45215.0</v>
      </c>
      <c r="E4920" s="24">
        <v>1.35</v>
      </c>
      <c r="F4920" s="24">
        <v>750.0</v>
      </c>
      <c r="G4920" s="24">
        <v>55.56</v>
      </c>
      <c r="H4920" s="24" t="s">
        <v>6702</v>
      </c>
      <c r="I4920" s="24" t="s">
        <v>6650</v>
      </c>
      <c r="J4920" s="24">
        <v>0.0</v>
      </c>
    </row>
    <row r="4921">
      <c r="A4921" s="24">
        <v>567.0</v>
      </c>
      <c r="B4921" s="24">
        <v>4.0</v>
      </c>
      <c r="C4921" s="44">
        <v>11.21</v>
      </c>
      <c r="D4921" s="46">
        <v>45215.0</v>
      </c>
      <c r="E4921" s="24">
        <v>2.8</v>
      </c>
      <c r="F4921" s="24">
        <v>19.77</v>
      </c>
      <c r="G4921" s="24">
        <v>0.71</v>
      </c>
      <c r="H4921" s="24" t="s">
        <v>6689</v>
      </c>
      <c r="I4921" s="24" t="s">
        <v>6650</v>
      </c>
      <c r="J4921" s="24">
        <v>0.0</v>
      </c>
    </row>
    <row r="4922">
      <c r="A4922" s="24">
        <v>26.0</v>
      </c>
      <c r="B4922" s="24">
        <v>1.0</v>
      </c>
      <c r="C4922" s="44">
        <v>12.14</v>
      </c>
      <c r="D4922" s="46">
        <v>45216.0</v>
      </c>
      <c r="E4922" s="24">
        <v>12.14</v>
      </c>
      <c r="F4922" s="24">
        <v>466.92</v>
      </c>
      <c r="G4922" s="24">
        <v>3.85</v>
      </c>
      <c r="H4922" s="24" t="s">
        <v>6699</v>
      </c>
      <c r="I4922" s="24">
        <v>12.14</v>
      </c>
      <c r="J4922" s="24">
        <v>0.0</v>
      </c>
    </row>
    <row r="4923">
      <c r="A4923" s="24">
        <v>52.0</v>
      </c>
      <c r="B4923" s="24">
        <v>0.0</v>
      </c>
      <c r="C4923" s="44">
        <v>12.35</v>
      </c>
      <c r="D4923" s="46">
        <v>45216.0</v>
      </c>
      <c r="E4923" s="24" t="s">
        <v>6650</v>
      </c>
      <c r="F4923" s="24">
        <v>237.5</v>
      </c>
      <c r="G4923" s="24">
        <v>0.0</v>
      </c>
      <c r="H4923" s="24" t="s">
        <v>6696</v>
      </c>
      <c r="I4923" s="24" t="s">
        <v>6650</v>
      </c>
      <c r="J4923" s="24">
        <v>0.0</v>
      </c>
    </row>
    <row r="4924">
      <c r="A4924" s="24">
        <v>24.0</v>
      </c>
      <c r="B4924" s="24">
        <v>0.0</v>
      </c>
      <c r="C4924" s="44">
        <v>11.79</v>
      </c>
      <c r="D4924" s="46">
        <v>45216.0</v>
      </c>
      <c r="E4924" s="24" t="s">
        <v>6650</v>
      </c>
      <c r="F4924" s="24">
        <v>491.25</v>
      </c>
      <c r="G4924" s="24">
        <v>0.0</v>
      </c>
      <c r="H4924" s="24" t="s">
        <v>6697</v>
      </c>
      <c r="I4924" s="24" t="s">
        <v>6650</v>
      </c>
      <c r="J4924" s="24">
        <v>0.0</v>
      </c>
    </row>
    <row r="4925">
      <c r="A4925" s="24">
        <v>254.0</v>
      </c>
      <c r="B4925" s="24">
        <v>1.0</v>
      </c>
      <c r="C4925" s="44">
        <v>11.64</v>
      </c>
      <c r="D4925" s="46">
        <v>45216.0</v>
      </c>
      <c r="E4925" s="24">
        <v>11.64</v>
      </c>
      <c r="F4925" s="24">
        <v>45.83</v>
      </c>
      <c r="G4925" s="24">
        <v>0.39</v>
      </c>
      <c r="H4925" s="24" t="s">
        <v>6698</v>
      </c>
      <c r="I4925" s="24">
        <v>5.82</v>
      </c>
      <c r="J4925" s="24">
        <v>0.0</v>
      </c>
    </row>
    <row r="4926">
      <c r="A4926" s="24">
        <v>11.0</v>
      </c>
      <c r="B4926" s="24">
        <v>2.0</v>
      </c>
      <c r="C4926" s="44">
        <v>8.25</v>
      </c>
      <c r="D4926" s="46">
        <v>45216.0</v>
      </c>
      <c r="E4926" s="24">
        <v>4.12</v>
      </c>
      <c r="F4926" s="24">
        <v>750.0</v>
      </c>
      <c r="G4926" s="24">
        <v>18.18</v>
      </c>
      <c r="H4926" s="24" t="s">
        <v>6702</v>
      </c>
      <c r="I4926" s="24" t="s">
        <v>6650</v>
      </c>
      <c r="J4926" s="24">
        <v>0.0</v>
      </c>
    </row>
    <row r="4927">
      <c r="A4927" s="24">
        <v>520.0</v>
      </c>
      <c r="B4927" s="24">
        <v>3.0</v>
      </c>
      <c r="C4927" s="44">
        <v>9.31</v>
      </c>
      <c r="D4927" s="46">
        <v>45216.0</v>
      </c>
      <c r="E4927" s="24">
        <v>3.1</v>
      </c>
      <c r="F4927" s="24">
        <v>17.9</v>
      </c>
      <c r="G4927" s="24">
        <v>0.58</v>
      </c>
      <c r="H4927" s="24" t="s">
        <v>6688</v>
      </c>
      <c r="I4927" s="24" t="s">
        <v>6650</v>
      </c>
      <c r="J4927" s="24">
        <v>0.0</v>
      </c>
    </row>
    <row r="4928">
      <c r="A4928" s="24">
        <v>54.0</v>
      </c>
      <c r="B4928" s="24">
        <v>0.0</v>
      </c>
      <c r="C4928" s="44">
        <v>11.33</v>
      </c>
      <c r="D4928" s="46">
        <v>45216.0</v>
      </c>
      <c r="E4928" s="24" t="s">
        <v>6650</v>
      </c>
      <c r="F4928" s="24">
        <v>209.81</v>
      </c>
      <c r="G4928" s="24">
        <v>0.0</v>
      </c>
      <c r="H4928" s="24" t="s">
        <v>6701</v>
      </c>
      <c r="I4928" s="24" t="s">
        <v>6650</v>
      </c>
      <c r="J4928" s="24">
        <v>0.0</v>
      </c>
    </row>
    <row r="4929">
      <c r="A4929" s="24">
        <v>45.0</v>
      </c>
      <c r="B4929" s="24">
        <v>0.0</v>
      </c>
      <c r="C4929" s="44">
        <v>14.01</v>
      </c>
      <c r="D4929" s="46">
        <v>45216.0</v>
      </c>
      <c r="E4929" s="24" t="s">
        <v>6650</v>
      </c>
      <c r="F4929" s="24">
        <v>311.33</v>
      </c>
      <c r="G4929" s="24">
        <v>0.0</v>
      </c>
      <c r="H4929" s="24" t="s">
        <v>6695</v>
      </c>
      <c r="I4929" s="24" t="s">
        <v>6650</v>
      </c>
      <c r="J4929" s="24">
        <v>0.0</v>
      </c>
    </row>
    <row r="4930">
      <c r="A4930" s="24">
        <v>409.0</v>
      </c>
      <c r="B4930" s="24">
        <v>1.0</v>
      </c>
      <c r="C4930" s="44">
        <v>10.65</v>
      </c>
      <c r="D4930" s="46">
        <v>45216.0</v>
      </c>
      <c r="E4930" s="24">
        <v>10.65</v>
      </c>
      <c r="F4930" s="24">
        <v>26.04</v>
      </c>
      <c r="G4930" s="24">
        <v>0.24</v>
      </c>
      <c r="H4930" s="24" t="s">
        <v>6700</v>
      </c>
      <c r="I4930" s="24">
        <v>5.32</v>
      </c>
      <c r="J4930" s="24">
        <v>0.0</v>
      </c>
    </row>
    <row r="4931">
      <c r="A4931" s="24">
        <v>87.0</v>
      </c>
      <c r="B4931" s="24">
        <v>0.0</v>
      </c>
      <c r="C4931" s="44">
        <v>14.73</v>
      </c>
      <c r="D4931" s="46">
        <v>45216.0</v>
      </c>
      <c r="E4931" s="24" t="s">
        <v>6650</v>
      </c>
      <c r="F4931" s="24">
        <v>169.31</v>
      </c>
      <c r="G4931" s="24">
        <v>0.0</v>
      </c>
      <c r="H4931" s="24" t="s">
        <v>6680</v>
      </c>
      <c r="I4931" s="24" t="s">
        <v>6650</v>
      </c>
      <c r="J4931" s="24">
        <v>0.0</v>
      </c>
    </row>
    <row r="4932">
      <c r="A4932" s="24">
        <v>428.0</v>
      </c>
      <c r="B4932" s="24">
        <v>4.0</v>
      </c>
      <c r="C4932" s="44">
        <v>10.33</v>
      </c>
      <c r="D4932" s="46">
        <v>45216.0</v>
      </c>
      <c r="E4932" s="24">
        <v>2.58</v>
      </c>
      <c r="F4932" s="24">
        <v>24.14</v>
      </c>
      <c r="G4932" s="24">
        <v>0.93</v>
      </c>
      <c r="H4932" s="24" t="s">
        <v>6689</v>
      </c>
      <c r="I4932" s="24" t="s">
        <v>6650</v>
      </c>
      <c r="J4932" s="24">
        <v>0.0</v>
      </c>
    </row>
    <row r="4933">
      <c r="A4933" s="24">
        <v>82.0</v>
      </c>
      <c r="B4933" s="24">
        <v>0.0</v>
      </c>
      <c r="C4933" s="44">
        <v>8.22</v>
      </c>
      <c r="D4933" s="46">
        <v>45217.0</v>
      </c>
      <c r="E4933" s="24" t="s">
        <v>6650</v>
      </c>
      <c r="F4933" s="24">
        <v>100.24</v>
      </c>
      <c r="G4933" s="24">
        <v>0.0</v>
      </c>
      <c r="H4933" s="24" t="s">
        <v>6698</v>
      </c>
      <c r="I4933" s="24">
        <v>8.22</v>
      </c>
      <c r="J4933" s="24">
        <v>0.0</v>
      </c>
    </row>
    <row r="4934">
      <c r="A4934" s="24">
        <v>27.0</v>
      </c>
      <c r="B4934" s="24">
        <v>1.0</v>
      </c>
      <c r="C4934" s="44">
        <v>10.16</v>
      </c>
      <c r="D4934" s="46">
        <v>45217.0</v>
      </c>
      <c r="E4934" s="24">
        <v>10.16</v>
      </c>
      <c r="F4934" s="24">
        <v>376.3</v>
      </c>
      <c r="G4934" s="24">
        <v>3.7</v>
      </c>
      <c r="H4934" s="24" t="s">
        <v>6697</v>
      </c>
      <c r="I4934" s="24" t="s">
        <v>6650</v>
      </c>
      <c r="J4934" s="24">
        <v>1.0</v>
      </c>
    </row>
    <row r="4935">
      <c r="A4935" s="24">
        <v>41.0</v>
      </c>
      <c r="B4935" s="24">
        <v>0.0</v>
      </c>
      <c r="C4935" s="44">
        <v>13.26</v>
      </c>
      <c r="D4935" s="46">
        <v>45217.0</v>
      </c>
      <c r="E4935" s="24" t="s">
        <v>6650</v>
      </c>
      <c r="F4935" s="24">
        <v>323.41</v>
      </c>
      <c r="G4935" s="24">
        <v>0.0</v>
      </c>
      <c r="H4935" s="24" t="s">
        <v>6701</v>
      </c>
      <c r="I4935" s="24" t="s">
        <v>6650</v>
      </c>
      <c r="J4935" s="24">
        <v>0.0</v>
      </c>
    </row>
    <row r="4936">
      <c r="A4936" s="24">
        <v>313.0</v>
      </c>
      <c r="B4936" s="24">
        <v>3.0</v>
      </c>
      <c r="C4936" s="44">
        <v>6.57</v>
      </c>
      <c r="D4936" s="46">
        <v>45217.0</v>
      </c>
      <c r="E4936" s="24">
        <v>2.19</v>
      </c>
      <c r="F4936" s="24">
        <v>20.99</v>
      </c>
      <c r="G4936" s="24">
        <v>0.96</v>
      </c>
      <c r="H4936" s="24" t="s">
        <v>6689</v>
      </c>
      <c r="I4936" s="24" t="s">
        <v>6650</v>
      </c>
      <c r="J4936" s="24">
        <v>0.0</v>
      </c>
    </row>
    <row r="4937">
      <c r="A4937" s="24">
        <v>55.0</v>
      </c>
      <c r="B4937" s="24">
        <v>0.0</v>
      </c>
      <c r="C4937" s="44">
        <v>10.18</v>
      </c>
      <c r="D4937" s="46">
        <v>45217.0</v>
      </c>
      <c r="E4937" s="24" t="s">
        <v>6650</v>
      </c>
      <c r="F4937" s="24">
        <v>185.09</v>
      </c>
      <c r="G4937" s="24">
        <v>0.0</v>
      </c>
      <c r="H4937" s="24" t="s">
        <v>6680</v>
      </c>
      <c r="I4937" s="24" t="s">
        <v>6650</v>
      </c>
      <c r="J4937" s="24">
        <v>0.0</v>
      </c>
    </row>
    <row r="4938">
      <c r="A4938" s="24">
        <v>42.0</v>
      </c>
      <c r="B4938" s="24">
        <v>0.0</v>
      </c>
      <c r="C4938" s="44">
        <v>9.43</v>
      </c>
      <c r="D4938" s="46">
        <v>45217.0</v>
      </c>
      <c r="E4938" s="24" t="s">
        <v>6650</v>
      </c>
      <c r="F4938" s="24">
        <v>224.52</v>
      </c>
      <c r="G4938" s="24">
        <v>0.0</v>
      </c>
      <c r="H4938" s="24" t="s">
        <v>6699</v>
      </c>
      <c r="I4938" s="24" t="s">
        <v>6650</v>
      </c>
      <c r="J4938" s="24">
        <v>0.0</v>
      </c>
    </row>
    <row r="4939">
      <c r="A4939" s="24">
        <v>18.0</v>
      </c>
      <c r="B4939" s="24">
        <v>1.0</v>
      </c>
      <c r="C4939" s="44">
        <v>10.54</v>
      </c>
      <c r="D4939" s="46">
        <v>45217.0</v>
      </c>
      <c r="E4939" s="24">
        <v>10.54</v>
      </c>
      <c r="F4939" s="24">
        <v>585.56</v>
      </c>
      <c r="G4939" s="24">
        <v>5.56</v>
      </c>
      <c r="H4939" s="24" t="s">
        <v>6695</v>
      </c>
      <c r="I4939" s="24" t="s">
        <v>6650</v>
      </c>
      <c r="J4939" s="24">
        <v>0.0</v>
      </c>
    </row>
    <row r="4940">
      <c r="A4940" s="24">
        <v>97.0</v>
      </c>
      <c r="B4940" s="24">
        <v>0.0</v>
      </c>
      <c r="C4940" s="44">
        <v>10.82</v>
      </c>
      <c r="D4940" s="46">
        <v>45217.0</v>
      </c>
      <c r="E4940" s="24" t="s">
        <v>6650</v>
      </c>
      <c r="F4940" s="24">
        <v>111.55</v>
      </c>
      <c r="G4940" s="24">
        <v>0.0</v>
      </c>
      <c r="H4940" s="24" t="s">
        <v>6700</v>
      </c>
      <c r="I4940" s="24" t="s">
        <v>6650</v>
      </c>
      <c r="J4940" s="24">
        <v>0.0</v>
      </c>
    </row>
    <row r="4941">
      <c r="A4941" s="24">
        <v>6.0</v>
      </c>
      <c r="B4941" s="24">
        <v>4.0</v>
      </c>
      <c r="C4941" s="44">
        <v>4.5</v>
      </c>
      <c r="D4941" s="46">
        <v>45217.0</v>
      </c>
      <c r="E4941" s="24">
        <v>1.12</v>
      </c>
      <c r="F4941" s="24">
        <v>750.0</v>
      </c>
      <c r="G4941" s="24">
        <v>66.67</v>
      </c>
      <c r="H4941" s="24" t="s">
        <v>6702</v>
      </c>
      <c r="I4941" s="24" t="s">
        <v>6650</v>
      </c>
      <c r="J4941" s="24">
        <v>0.0</v>
      </c>
    </row>
    <row r="4942">
      <c r="A4942" s="24">
        <v>28.0</v>
      </c>
      <c r="B4942" s="24">
        <v>0.0</v>
      </c>
      <c r="C4942" s="44">
        <v>0.46</v>
      </c>
      <c r="D4942" s="46">
        <v>45217.0</v>
      </c>
      <c r="E4942" s="24" t="s">
        <v>6650</v>
      </c>
      <c r="F4942" s="24">
        <v>16.43</v>
      </c>
      <c r="G4942" s="24">
        <v>0.0</v>
      </c>
      <c r="H4942" s="24" t="s">
        <v>6688</v>
      </c>
      <c r="I4942" s="24" t="s">
        <v>6650</v>
      </c>
      <c r="J4942" s="24">
        <v>0.0</v>
      </c>
    </row>
    <row r="4943">
      <c r="A4943" s="24">
        <v>31.0</v>
      </c>
      <c r="B4943" s="24">
        <v>0.0</v>
      </c>
      <c r="C4943" s="44">
        <v>9.54</v>
      </c>
      <c r="D4943" s="46">
        <v>45217.0</v>
      </c>
      <c r="E4943" s="24" t="s">
        <v>6650</v>
      </c>
      <c r="F4943" s="24">
        <v>307.74</v>
      </c>
      <c r="G4943" s="24">
        <v>0.0</v>
      </c>
      <c r="H4943" s="24" t="s">
        <v>6696</v>
      </c>
      <c r="I4943" s="24" t="s">
        <v>6650</v>
      </c>
      <c r="J4943" s="24">
        <v>0.0</v>
      </c>
    </row>
    <row r="4944">
      <c r="A4944" s="24">
        <v>14.0</v>
      </c>
      <c r="B4944" s="24">
        <v>0.0</v>
      </c>
      <c r="C4944" s="44">
        <v>8.93</v>
      </c>
      <c r="D4944" s="46">
        <v>45218.0</v>
      </c>
      <c r="E4944" s="24" t="s">
        <v>6650</v>
      </c>
      <c r="F4944" s="24">
        <v>637.86</v>
      </c>
      <c r="G4944" s="24">
        <v>0.0</v>
      </c>
      <c r="H4944" s="24" t="s">
        <v>6696</v>
      </c>
      <c r="I4944" s="24" t="s">
        <v>6650</v>
      </c>
      <c r="J4944" s="24">
        <v>0.0</v>
      </c>
    </row>
    <row r="4945">
      <c r="A4945" s="24">
        <v>8.0</v>
      </c>
      <c r="B4945" s="24">
        <v>4.0</v>
      </c>
      <c r="C4945" s="44">
        <v>6.0</v>
      </c>
      <c r="D4945" s="46">
        <v>45218.0</v>
      </c>
      <c r="E4945" s="24">
        <v>1.5</v>
      </c>
      <c r="F4945" s="24">
        <v>750.0</v>
      </c>
      <c r="G4945" s="24">
        <v>50.0</v>
      </c>
      <c r="H4945" s="24" t="s">
        <v>6702</v>
      </c>
      <c r="I4945" s="24" t="s">
        <v>6650</v>
      </c>
      <c r="J4945" s="24">
        <v>0.0</v>
      </c>
    </row>
    <row r="4946">
      <c r="A4946" s="24">
        <v>23.0</v>
      </c>
      <c r="B4946" s="24">
        <v>0.0</v>
      </c>
      <c r="C4946" s="44">
        <v>10.04</v>
      </c>
      <c r="D4946" s="46">
        <v>45218.0</v>
      </c>
      <c r="E4946" s="24" t="s">
        <v>6650</v>
      </c>
      <c r="F4946" s="24">
        <v>436.52</v>
      </c>
      <c r="G4946" s="24">
        <v>0.0</v>
      </c>
      <c r="H4946" s="24" t="s">
        <v>6695</v>
      </c>
      <c r="I4946" s="24" t="s">
        <v>6650</v>
      </c>
      <c r="J4946" s="24">
        <v>0.0</v>
      </c>
    </row>
    <row r="4947">
      <c r="A4947" s="24">
        <v>55.0</v>
      </c>
      <c r="B4947" s="24">
        <v>2.0</v>
      </c>
      <c r="C4947" s="44">
        <v>9.76</v>
      </c>
      <c r="D4947" s="46">
        <v>45218.0</v>
      </c>
      <c r="E4947" s="24">
        <v>4.88</v>
      </c>
      <c r="F4947" s="24">
        <v>177.45</v>
      </c>
      <c r="G4947" s="24">
        <v>3.64</v>
      </c>
      <c r="H4947" s="24" t="s">
        <v>6680</v>
      </c>
      <c r="I4947" s="24">
        <v>9.76</v>
      </c>
      <c r="J4947" s="24">
        <v>0.0</v>
      </c>
    </row>
    <row r="4948">
      <c r="A4948" s="24">
        <v>19.0</v>
      </c>
      <c r="B4948" s="24">
        <v>0.0</v>
      </c>
      <c r="C4948" s="44">
        <v>14.42</v>
      </c>
      <c r="D4948" s="46">
        <v>45218.0</v>
      </c>
      <c r="E4948" s="24" t="s">
        <v>6650</v>
      </c>
      <c r="F4948" s="24">
        <v>758.95</v>
      </c>
      <c r="G4948" s="24">
        <v>0.0</v>
      </c>
      <c r="H4948" s="24" t="s">
        <v>6697</v>
      </c>
      <c r="I4948" s="24" t="s">
        <v>6650</v>
      </c>
      <c r="J4948" s="24">
        <v>0.0</v>
      </c>
    </row>
    <row r="4949">
      <c r="A4949" s="24">
        <v>478.0</v>
      </c>
      <c r="B4949" s="24">
        <v>2.0</v>
      </c>
      <c r="C4949" s="44">
        <v>12.12</v>
      </c>
      <c r="D4949" s="46">
        <v>45218.0</v>
      </c>
      <c r="E4949" s="24">
        <v>6.06</v>
      </c>
      <c r="F4949" s="24">
        <v>25.36</v>
      </c>
      <c r="G4949" s="24">
        <v>0.42</v>
      </c>
      <c r="H4949" s="24" t="s">
        <v>6689</v>
      </c>
      <c r="I4949" s="24" t="s">
        <v>6650</v>
      </c>
      <c r="J4949" s="24">
        <v>0.0</v>
      </c>
    </row>
    <row r="4950">
      <c r="A4950" s="24">
        <v>40.0</v>
      </c>
      <c r="B4950" s="24">
        <v>0.0</v>
      </c>
      <c r="C4950" s="44">
        <v>11.57</v>
      </c>
      <c r="D4950" s="46">
        <v>45218.0</v>
      </c>
      <c r="E4950" s="24" t="s">
        <v>6650</v>
      </c>
      <c r="F4950" s="24">
        <v>289.25</v>
      </c>
      <c r="G4950" s="24">
        <v>0.0</v>
      </c>
      <c r="H4950" s="24" t="s">
        <v>6699</v>
      </c>
      <c r="I4950" s="24" t="s">
        <v>6650</v>
      </c>
      <c r="J4950" s="24">
        <v>0.0</v>
      </c>
    </row>
    <row r="4951">
      <c r="A4951" s="24">
        <v>49.0</v>
      </c>
      <c r="B4951" s="24">
        <v>0.0</v>
      </c>
      <c r="C4951" s="44">
        <v>10.5</v>
      </c>
      <c r="D4951" s="46">
        <v>45218.0</v>
      </c>
      <c r="E4951" s="24" t="s">
        <v>6650</v>
      </c>
      <c r="F4951" s="24">
        <v>214.29</v>
      </c>
      <c r="G4951" s="24">
        <v>0.0</v>
      </c>
      <c r="H4951" s="24" t="s">
        <v>6701</v>
      </c>
      <c r="I4951" s="24" t="s">
        <v>6650</v>
      </c>
      <c r="J4951" s="24">
        <v>0.0</v>
      </c>
    </row>
    <row r="4952">
      <c r="A4952" s="24">
        <v>111.0</v>
      </c>
      <c r="B4952" s="24">
        <v>1.0</v>
      </c>
      <c r="C4952" s="44">
        <v>11.22</v>
      </c>
      <c r="D4952" s="46">
        <v>45218.0</v>
      </c>
      <c r="E4952" s="24">
        <v>11.22</v>
      </c>
      <c r="F4952" s="24">
        <v>101.08</v>
      </c>
      <c r="G4952" s="24">
        <v>0.9</v>
      </c>
      <c r="H4952" s="24" t="s">
        <v>6700</v>
      </c>
      <c r="I4952" s="24" t="s">
        <v>6650</v>
      </c>
      <c r="J4952" s="24">
        <v>0.0</v>
      </c>
    </row>
    <row r="4953">
      <c r="A4953" s="24">
        <v>614.0</v>
      </c>
      <c r="B4953" s="24">
        <v>2.0</v>
      </c>
      <c r="C4953" s="44">
        <v>12.43</v>
      </c>
      <c r="D4953" s="46">
        <v>45218.0</v>
      </c>
      <c r="E4953" s="24">
        <v>6.22</v>
      </c>
      <c r="F4953" s="24">
        <v>20.24</v>
      </c>
      <c r="G4953" s="24">
        <v>0.33</v>
      </c>
      <c r="H4953" s="24" t="s">
        <v>6688</v>
      </c>
      <c r="I4953" s="24" t="s">
        <v>6650</v>
      </c>
      <c r="J4953" s="24">
        <v>0.0</v>
      </c>
    </row>
    <row r="4954">
      <c r="A4954" s="24">
        <v>36.0</v>
      </c>
      <c r="B4954" s="24">
        <v>0.0</v>
      </c>
      <c r="C4954" s="44">
        <v>11.42</v>
      </c>
      <c r="D4954" s="46">
        <v>45218.0</v>
      </c>
      <c r="E4954" s="24" t="s">
        <v>6650</v>
      </c>
      <c r="F4954" s="24">
        <v>317.22</v>
      </c>
      <c r="G4954" s="24">
        <v>0.0</v>
      </c>
      <c r="H4954" s="24" t="s">
        <v>6698</v>
      </c>
      <c r="I4954" s="24" t="s">
        <v>6650</v>
      </c>
      <c r="J4954" s="24">
        <v>0.0</v>
      </c>
    </row>
    <row r="4955">
      <c r="A4955" s="24">
        <v>75.0</v>
      </c>
      <c r="B4955" s="24">
        <v>0.0</v>
      </c>
      <c r="C4955" s="44">
        <v>10.72</v>
      </c>
      <c r="D4955" s="46">
        <v>45219.0</v>
      </c>
      <c r="E4955" s="24" t="s">
        <v>6650</v>
      </c>
      <c r="F4955" s="24">
        <v>142.93</v>
      </c>
      <c r="G4955" s="24">
        <v>0.0</v>
      </c>
      <c r="H4955" s="24" t="s">
        <v>6700</v>
      </c>
      <c r="I4955" s="24" t="s">
        <v>6650</v>
      </c>
      <c r="J4955" s="24">
        <v>0.0</v>
      </c>
    </row>
    <row r="4956">
      <c r="A4956" s="24">
        <v>655.0</v>
      </c>
      <c r="B4956" s="24">
        <v>8.0</v>
      </c>
      <c r="C4956" s="44">
        <v>14.38</v>
      </c>
      <c r="D4956" s="46">
        <v>45219.0</v>
      </c>
      <c r="E4956" s="24">
        <v>1.8</v>
      </c>
      <c r="F4956" s="24">
        <v>21.95</v>
      </c>
      <c r="G4956" s="24">
        <v>1.22</v>
      </c>
      <c r="H4956" s="24" t="s">
        <v>6689</v>
      </c>
      <c r="I4956" s="24" t="s">
        <v>6650</v>
      </c>
      <c r="J4956" s="24">
        <v>0.0</v>
      </c>
    </row>
    <row r="4957">
      <c r="A4957" s="24">
        <v>42.0</v>
      </c>
      <c r="B4957" s="24">
        <v>0.0</v>
      </c>
      <c r="C4957" s="44">
        <v>14.35</v>
      </c>
      <c r="D4957" s="46">
        <v>45219.0</v>
      </c>
      <c r="E4957" s="24" t="s">
        <v>6650</v>
      </c>
      <c r="F4957" s="24">
        <v>341.67</v>
      </c>
      <c r="G4957" s="24">
        <v>0.0</v>
      </c>
      <c r="H4957" s="24" t="s">
        <v>6680</v>
      </c>
      <c r="I4957" s="24">
        <v>14.35</v>
      </c>
      <c r="J4957" s="24">
        <v>0.0</v>
      </c>
    </row>
    <row r="4958">
      <c r="A4958" s="24">
        <v>23.0</v>
      </c>
      <c r="B4958" s="24">
        <v>0.0</v>
      </c>
      <c r="C4958" s="44">
        <v>15.0</v>
      </c>
      <c r="D4958" s="46">
        <v>45219.0</v>
      </c>
      <c r="E4958" s="24" t="s">
        <v>6650</v>
      </c>
      <c r="F4958" s="24">
        <v>652.17</v>
      </c>
      <c r="G4958" s="24">
        <v>0.0</v>
      </c>
      <c r="H4958" s="24" t="s">
        <v>6698</v>
      </c>
      <c r="I4958" s="24" t="s">
        <v>6650</v>
      </c>
      <c r="J4958" s="24">
        <v>0.0</v>
      </c>
    </row>
    <row r="4959">
      <c r="A4959" s="24">
        <v>11.0</v>
      </c>
      <c r="B4959" s="24">
        <v>9.0</v>
      </c>
      <c r="C4959" s="44">
        <v>8.25</v>
      </c>
      <c r="D4959" s="46">
        <v>45219.0</v>
      </c>
      <c r="E4959" s="24">
        <v>0.92</v>
      </c>
      <c r="F4959" s="24">
        <v>750.0</v>
      </c>
      <c r="G4959" s="24">
        <v>81.82</v>
      </c>
      <c r="H4959" s="24" t="s">
        <v>6702</v>
      </c>
      <c r="I4959" s="24" t="s">
        <v>6650</v>
      </c>
      <c r="J4959" s="24">
        <v>0.0</v>
      </c>
    </row>
    <row r="4960">
      <c r="A4960" s="24">
        <v>15.0</v>
      </c>
      <c r="B4960" s="24">
        <v>1.0</v>
      </c>
      <c r="C4960" s="44">
        <v>15.0</v>
      </c>
      <c r="D4960" s="46">
        <v>45219.0</v>
      </c>
      <c r="E4960" s="24">
        <v>15.0</v>
      </c>
      <c r="F4960" s="24">
        <v>1000.0</v>
      </c>
      <c r="G4960" s="24">
        <v>6.67</v>
      </c>
      <c r="H4960" s="24" t="s">
        <v>6696</v>
      </c>
      <c r="I4960" s="24" t="s">
        <v>6650</v>
      </c>
      <c r="J4960" s="24">
        <v>1.0</v>
      </c>
    </row>
    <row r="4961">
      <c r="A4961" s="24">
        <v>26.0</v>
      </c>
      <c r="B4961" s="24">
        <v>0.0</v>
      </c>
      <c r="C4961" s="44">
        <v>14.85</v>
      </c>
      <c r="D4961" s="46">
        <v>45219.0</v>
      </c>
      <c r="E4961" s="24" t="s">
        <v>6650</v>
      </c>
      <c r="F4961" s="24">
        <v>571.15</v>
      </c>
      <c r="G4961" s="24">
        <v>0.0</v>
      </c>
      <c r="H4961" s="24" t="s">
        <v>6699</v>
      </c>
      <c r="I4961" s="24" t="s">
        <v>6650</v>
      </c>
      <c r="J4961" s="24">
        <v>0.0</v>
      </c>
    </row>
    <row r="4962">
      <c r="A4962" s="24">
        <v>18.0</v>
      </c>
      <c r="B4962" s="24">
        <v>1.0</v>
      </c>
      <c r="C4962" s="44">
        <v>11.54</v>
      </c>
      <c r="D4962" s="46">
        <v>45219.0</v>
      </c>
      <c r="E4962" s="24">
        <v>11.54</v>
      </c>
      <c r="F4962" s="24">
        <v>641.11</v>
      </c>
      <c r="G4962" s="24">
        <v>5.56</v>
      </c>
      <c r="H4962" s="24" t="s">
        <v>6695</v>
      </c>
      <c r="I4962" s="24" t="s">
        <v>6650</v>
      </c>
      <c r="J4962" s="24">
        <v>0.0</v>
      </c>
    </row>
    <row r="4963">
      <c r="A4963" s="24">
        <v>913.0</v>
      </c>
      <c r="B4963" s="24">
        <v>7.0</v>
      </c>
      <c r="C4963" s="44">
        <v>15.0</v>
      </c>
      <c r="D4963" s="46">
        <v>45219.0</v>
      </c>
      <c r="E4963" s="24">
        <v>2.14</v>
      </c>
      <c r="F4963" s="24">
        <v>16.43</v>
      </c>
      <c r="G4963" s="24">
        <v>0.77</v>
      </c>
      <c r="H4963" s="24" t="s">
        <v>6688</v>
      </c>
      <c r="I4963" s="24" t="s">
        <v>6650</v>
      </c>
      <c r="J4963" s="24">
        <v>0.0</v>
      </c>
    </row>
    <row r="4964">
      <c r="A4964" s="24">
        <v>16.0</v>
      </c>
      <c r="B4964" s="24">
        <v>0.0</v>
      </c>
      <c r="C4964" s="44">
        <v>11.66</v>
      </c>
      <c r="D4964" s="46">
        <v>45219.0</v>
      </c>
      <c r="E4964" s="24" t="s">
        <v>6650</v>
      </c>
      <c r="F4964" s="24">
        <v>728.75</v>
      </c>
      <c r="G4964" s="24">
        <v>0.0</v>
      </c>
      <c r="H4964" s="24" t="s">
        <v>6697</v>
      </c>
      <c r="I4964" s="24" t="s">
        <v>6650</v>
      </c>
      <c r="J4964" s="24">
        <v>0.0</v>
      </c>
    </row>
    <row r="4965">
      <c r="A4965" s="24">
        <v>30.0</v>
      </c>
      <c r="B4965" s="24">
        <v>0.0</v>
      </c>
      <c r="C4965" s="44">
        <v>13.49</v>
      </c>
      <c r="D4965" s="46">
        <v>45219.0</v>
      </c>
      <c r="E4965" s="24" t="s">
        <v>6650</v>
      </c>
      <c r="F4965" s="24">
        <v>449.67</v>
      </c>
      <c r="G4965" s="24">
        <v>0.0</v>
      </c>
      <c r="H4965" s="24" t="s">
        <v>6701</v>
      </c>
      <c r="I4965" s="24" t="s">
        <v>6650</v>
      </c>
      <c r="J4965" s="24">
        <v>0.0</v>
      </c>
    </row>
    <row r="4966">
      <c r="A4966" s="24">
        <v>32.0</v>
      </c>
      <c r="B4966" s="24">
        <v>0.0</v>
      </c>
      <c r="C4966" s="44">
        <v>7.81</v>
      </c>
      <c r="D4966" s="46">
        <v>45220.0</v>
      </c>
      <c r="E4966" s="24" t="s">
        <v>6650</v>
      </c>
      <c r="F4966" s="24">
        <v>244.06</v>
      </c>
      <c r="G4966" s="24">
        <v>0.0</v>
      </c>
      <c r="H4966" s="24" t="s">
        <v>6700</v>
      </c>
      <c r="I4966" s="24">
        <v>7.81</v>
      </c>
      <c r="J4966" s="24">
        <v>0.0</v>
      </c>
    </row>
    <row r="4967">
      <c r="A4967" s="24">
        <v>12.0</v>
      </c>
      <c r="B4967" s="24">
        <v>0.0</v>
      </c>
      <c r="C4967" s="44">
        <v>7.26</v>
      </c>
      <c r="D4967" s="46">
        <v>45220.0</v>
      </c>
      <c r="E4967" s="24" t="s">
        <v>6650</v>
      </c>
      <c r="F4967" s="24">
        <v>605.0</v>
      </c>
      <c r="G4967" s="24">
        <v>0.0</v>
      </c>
      <c r="H4967" s="24" t="s">
        <v>6697</v>
      </c>
      <c r="I4967" s="24" t="s">
        <v>6650</v>
      </c>
      <c r="J4967" s="24">
        <v>0.0</v>
      </c>
    </row>
    <row r="4968">
      <c r="A4968" s="24">
        <v>5.0</v>
      </c>
      <c r="B4968" s="24">
        <v>2.0</v>
      </c>
      <c r="C4968" s="44">
        <v>3.75</v>
      </c>
      <c r="D4968" s="46">
        <v>45220.0</v>
      </c>
      <c r="E4968" s="24">
        <v>1.88</v>
      </c>
      <c r="F4968" s="24">
        <v>750.0</v>
      </c>
      <c r="G4968" s="24">
        <v>40.0</v>
      </c>
      <c r="H4968" s="24" t="s">
        <v>6702</v>
      </c>
      <c r="I4968" s="24" t="s">
        <v>6650</v>
      </c>
      <c r="J4968" s="24">
        <v>0.0</v>
      </c>
    </row>
    <row r="4969">
      <c r="A4969" s="24">
        <v>27.0</v>
      </c>
      <c r="B4969" s="24">
        <v>0.0</v>
      </c>
      <c r="C4969" s="44">
        <v>9.37</v>
      </c>
      <c r="D4969" s="46">
        <v>45220.0</v>
      </c>
      <c r="E4969" s="24" t="s">
        <v>6650</v>
      </c>
      <c r="F4969" s="24">
        <v>347.04</v>
      </c>
      <c r="G4969" s="24">
        <v>0.0</v>
      </c>
      <c r="H4969" s="24" t="s">
        <v>6680</v>
      </c>
      <c r="I4969" s="24" t="s">
        <v>6650</v>
      </c>
      <c r="J4969" s="24">
        <v>0.0</v>
      </c>
    </row>
    <row r="4970">
      <c r="A4970" s="24">
        <v>366.0</v>
      </c>
      <c r="B4970" s="24">
        <v>11.0</v>
      </c>
      <c r="C4970" s="44">
        <v>8.34</v>
      </c>
      <c r="D4970" s="46">
        <v>45220.0</v>
      </c>
      <c r="E4970" s="24">
        <v>0.76</v>
      </c>
      <c r="F4970" s="24">
        <v>22.79</v>
      </c>
      <c r="G4970" s="24">
        <v>3.01</v>
      </c>
      <c r="H4970" s="24" t="s">
        <v>6689</v>
      </c>
      <c r="I4970" s="24">
        <v>8.34</v>
      </c>
      <c r="J4970" s="24">
        <v>0.0</v>
      </c>
    </row>
    <row r="4971">
      <c r="A4971" s="24">
        <v>13.0</v>
      </c>
      <c r="B4971" s="24">
        <v>0.0</v>
      </c>
      <c r="C4971" s="44">
        <v>6.43</v>
      </c>
      <c r="D4971" s="46">
        <v>45220.0</v>
      </c>
      <c r="E4971" s="24" t="s">
        <v>6650</v>
      </c>
      <c r="F4971" s="24">
        <v>494.62</v>
      </c>
      <c r="G4971" s="24">
        <v>0.0</v>
      </c>
      <c r="H4971" s="24" t="s">
        <v>6701</v>
      </c>
      <c r="I4971" s="24" t="s">
        <v>6650</v>
      </c>
      <c r="J4971" s="24">
        <v>0.0</v>
      </c>
    </row>
    <row r="4972">
      <c r="A4972" s="24">
        <v>21.0</v>
      </c>
      <c r="B4972" s="24">
        <v>0.0</v>
      </c>
      <c r="C4972" s="44">
        <v>4.8</v>
      </c>
      <c r="D4972" s="46">
        <v>45220.0</v>
      </c>
      <c r="E4972" s="24" t="s">
        <v>6650</v>
      </c>
      <c r="F4972" s="24">
        <v>228.57</v>
      </c>
      <c r="G4972" s="24">
        <v>0.0</v>
      </c>
      <c r="H4972" s="24" t="s">
        <v>6699</v>
      </c>
      <c r="I4972" s="24" t="s">
        <v>6650</v>
      </c>
      <c r="J4972" s="24">
        <v>0.0</v>
      </c>
    </row>
    <row r="4973">
      <c r="A4973" s="24">
        <v>635.0</v>
      </c>
      <c r="B4973" s="24">
        <v>2.0</v>
      </c>
      <c r="C4973" s="44">
        <v>10.81</v>
      </c>
      <c r="D4973" s="46">
        <v>45220.0</v>
      </c>
      <c r="E4973" s="24">
        <v>5.4</v>
      </c>
      <c r="F4973" s="24">
        <v>17.02</v>
      </c>
      <c r="G4973" s="24">
        <v>0.31</v>
      </c>
      <c r="H4973" s="24" t="s">
        <v>6688</v>
      </c>
      <c r="I4973" s="24" t="s">
        <v>6650</v>
      </c>
      <c r="J4973" s="24">
        <v>0.0</v>
      </c>
    </row>
    <row r="4974">
      <c r="A4974" s="24">
        <v>333.0</v>
      </c>
      <c r="B4974" s="24">
        <v>4.0</v>
      </c>
      <c r="C4974" s="44">
        <v>6.07</v>
      </c>
      <c r="D4974" s="46">
        <v>45220.0</v>
      </c>
      <c r="E4974" s="24">
        <v>1.52</v>
      </c>
      <c r="F4974" s="24">
        <v>18.23</v>
      </c>
      <c r="G4974" s="24">
        <v>1.2</v>
      </c>
      <c r="H4974" s="24" t="s">
        <v>6698</v>
      </c>
      <c r="I4974" s="24" t="s">
        <v>6650</v>
      </c>
      <c r="J4974" s="24">
        <v>0.0</v>
      </c>
    </row>
    <row r="4975">
      <c r="A4975" s="24">
        <v>15.0</v>
      </c>
      <c r="B4975" s="24">
        <v>0.0</v>
      </c>
      <c r="C4975" s="44">
        <v>8.04</v>
      </c>
      <c r="D4975" s="46">
        <v>45220.0</v>
      </c>
      <c r="E4975" s="24" t="s">
        <v>6650</v>
      </c>
      <c r="F4975" s="24">
        <v>536.0</v>
      </c>
      <c r="G4975" s="24">
        <v>0.0</v>
      </c>
      <c r="H4975" s="24" t="s">
        <v>6695</v>
      </c>
      <c r="I4975" s="24" t="s">
        <v>6650</v>
      </c>
      <c r="J4975" s="24">
        <v>0.0</v>
      </c>
    </row>
    <row r="4976">
      <c r="A4976" s="24">
        <v>49.0</v>
      </c>
      <c r="B4976" s="24">
        <v>0.0</v>
      </c>
      <c r="C4976" s="44">
        <v>7.49</v>
      </c>
      <c r="D4976" s="46">
        <v>45220.0</v>
      </c>
      <c r="E4976" s="24" t="s">
        <v>6650</v>
      </c>
      <c r="F4976" s="24">
        <v>152.86</v>
      </c>
      <c r="G4976" s="24">
        <v>0.0</v>
      </c>
      <c r="H4976" s="24" t="s">
        <v>6696</v>
      </c>
      <c r="I4976" s="24" t="s">
        <v>6650</v>
      </c>
      <c r="J4976" s="24">
        <v>0.0</v>
      </c>
    </row>
    <row r="4977">
      <c r="A4977" s="24">
        <v>6.0</v>
      </c>
      <c r="B4977" s="24">
        <v>2.0</v>
      </c>
      <c r="C4977" s="44">
        <v>4.5</v>
      </c>
      <c r="D4977" s="46">
        <v>45221.0</v>
      </c>
      <c r="E4977" s="24">
        <v>2.25</v>
      </c>
      <c r="F4977" s="24">
        <v>750.0</v>
      </c>
      <c r="G4977" s="24">
        <v>33.33</v>
      </c>
      <c r="H4977" s="24" t="s">
        <v>6702</v>
      </c>
      <c r="I4977" s="24" t="s">
        <v>6650</v>
      </c>
      <c r="J4977" s="24">
        <v>0.0</v>
      </c>
    </row>
    <row r="4978">
      <c r="A4978" s="24">
        <v>219.0</v>
      </c>
      <c r="B4978" s="24">
        <v>4.0</v>
      </c>
      <c r="C4978" s="44">
        <v>7.05</v>
      </c>
      <c r="D4978" s="46">
        <v>45221.0</v>
      </c>
      <c r="E4978" s="24">
        <v>1.76</v>
      </c>
      <c r="F4978" s="24">
        <v>32.19</v>
      </c>
      <c r="G4978" s="24">
        <v>1.83</v>
      </c>
      <c r="H4978" s="24" t="s">
        <v>6689</v>
      </c>
      <c r="I4978" s="24" t="s">
        <v>6650</v>
      </c>
      <c r="J4978" s="24">
        <v>0.0</v>
      </c>
    </row>
    <row r="4979">
      <c r="A4979" s="24">
        <v>7.0</v>
      </c>
      <c r="B4979" s="24">
        <v>0.0</v>
      </c>
      <c r="C4979" s="44">
        <v>0.31</v>
      </c>
      <c r="D4979" s="46">
        <v>45221.0</v>
      </c>
      <c r="E4979" s="24" t="s">
        <v>6650</v>
      </c>
      <c r="F4979" s="24">
        <v>44.29</v>
      </c>
      <c r="G4979" s="24">
        <v>0.0</v>
      </c>
      <c r="H4979" s="24" t="s">
        <v>6701</v>
      </c>
      <c r="I4979" s="24" t="s">
        <v>6650</v>
      </c>
      <c r="J4979" s="24">
        <v>0.0</v>
      </c>
    </row>
    <row r="4980">
      <c r="A4980" s="24">
        <v>53.0</v>
      </c>
      <c r="B4980" s="24">
        <v>0.0</v>
      </c>
      <c r="C4980" s="44">
        <v>6.16</v>
      </c>
      <c r="D4980" s="46">
        <v>45221.0</v>
      </c>
      <c r="E4980" s="24" t="s">
        <v>6650</v>
      </c>
      <c r="F4980" s="24">
        <v>116.23</v>
      </c>
      <c r="G4980" s="24">
        <v>0.0</v>
      </c>
      <c r="H4980" s="24" t="s">
        <v>6698</v>
      </c>
      <c r="I4980" s="24">
        <v>6.16</v>
      </c>
      <c r="J4980" s="24">
        <v>0.0</v>
      </c>
    </row>
    <row r="4981">
      <c r="A4981" s="24">
        <v>58.0</v>
      </c>
      <c r="B4981" s="24">
        <v>0.0</v>
      </c>
      <c r="C4981" s="44">
        <v>5.46</v>
      </c>
      <c r="D4981" s="46">
        <v>45221.0</v>
      </c>
      <c r="E4981" s="24" t="s">
        <v>6650</v>
      </c>
      <c r="F4981" s="24">
        <v>94.14</v>
      </c>
      <c r="G4981" s="24">
        <v>0.0</v>
      </c>
      <c r="H4981" s="24" t="s">
        <v>6680</v>
      </c>
      <c r="I4981" s="24" t="s">
        <v>6650</v>
      </c>
      <c r="J4981" s="24">
        <v>0.0</v>
      </c>
    </row>
    <row r="4982">
      <c r="A4982" s="24">
        <v>918.0</v>
      </c>
      <c r="B4982" s="24">
        <v>8.0</v>
      </c>
      <c r="C4982" s="44">
        <v>10.88</v>
      </c>
      <c r="D4982" s="46">
        <v>45221.0</v>
      </c>
      <c r="E4982" s="24">
        <v>1.36</v>
      </c>
      <c r="F4982" s="24">
        <v>11.85</v>
      </c>
      <c r="G4982" s="24">
        <v>0.87</v>
      </c>
      <c r="H4982" s="24" t="s">
        <v>6688</v>
      </c>
      <c r="I4982" s="24" t="s">
        <v>6650</v>
      </c>
      <c r="J4982" s="24">
        <v>0.0</v>
      </c>
    </row>
    <row r="4983">
      <c r="A4983" s="24">
        <v>21.0</v>
      </c>
      <c r="B4983" s="24">
        <v>0.0</v>
      </c>
      <c r="C4983" s="44">
        <v>4.87</v>
      </c>
      <c r="D4983" s="46">
        <v>45221.0</v>
      </c>
      <c r="E4983" s="24" t="s">
        <v>6650</v>
      </c>
      <c r="F4983" s="24">
        <v>231.9</v>
      </c>
      <c r="G4983" s="24">
        <v>0.0</v>
      </c>
      <c r="H4983" s="24" t="s">
        <v>6696</v>
      </c>
      <c r="I4983" s="24" t="s">
        <v>6650</v>
      </c>
      <c r="J4983" s="24">
        <v>0.0</v>
      </c>
    </row>
    <row r="4984">
      <c r="A4984" s="24">
        <v>202.0</v>
      </c>
      <c r="B4984" s="24">
        <v>1.0</v>
      </c>
      <c r="C4984" s="44">
        <v>4.03</v>
      </c>
      <c r="D4984" s="46">
        <v>45221.0</v>
      </c>
      <c r="E4984" s="24">
        <v>4.03</v>
      </c>
      <c r="F4984" s="24">
        <v>19.95</v>
      </c>
      <c r="G4984" s="24">
        <v>0.5</v>
      </c>
      <c r="H4984" s="24" t="s">
        <v>6700</v>
      </c>
      <c r="I4984" s="24" t="s">
        <v>6650</v>
      </c>
      <c r="J4984" s="24">
        <v>0.0</v>
      </c>
    </row>
    <row r="4985">
      <c r="A4985" s="24">
        <v>11.0</v>
      </c>
      <c r="B4985" s="24">
        <v>0.0</v>
      </c>
      <c r="C4985" s="44">
        <v>3.09</v>
      </c>
      <c r="D4985" s="46">
        <v>45221.0</v>
      </c>
      <c r="E4985" s="24" t="s">
        <v>6650</v>
      </c>
      <c r="F4985" s="24">
        <v>280.91</v>
      </c>
      <c r="G4985" s="24">
        <v>0.0</v>
      </c>
      <c r="H4985" s="24" t="s">
        <v>6697</v>
      </c>
      <c r="I4985" s="24" t="s">
        <v>6650</v>
      </c>
      <c r="J4985" s="24">
        <v>0.0</v>
      </c>
    </row>
    <row r="4986">
      <c r="A4986" s="24">
        <v>14.0</v>
      </c>
      <c r="B4986" s="24">
        <v>0.0</v>
      </c>
      <c r="C4986" s="44">
        <v>3.47</v>
      </c>
      <c r="D4986" s="46">
        <v>45221.0</v>
      </c>
      <c r="E4986" s="24" t="s">
        <v>6650</v>
      </c>
      <c r="F4986" s="24">
        <v>247.86</v>
      </c>
      <c r="G4986" s="24">
        <v>0.0</v>
      </c>
      <c r="H4986" s="24" t="s">
        <v>6699</v>
      </c>
      <c r="I4986" s="24" t="s">
        <v>6650</v>
      </c>
      <c r="J4986" s="24">
        <v>0.0</v>
      </c>
    </row>
    <row r="4987">
      <c r="A4987" s="24">
        <v>11.0</v>
      </c>
      <c r="B4987" s="24">
        <v>0.0</v>
      </c>
      <c r="C4987" s="44">
        <v>3.56</v>
      </c>
      <c r="D4987" s="46">
        <v>45221.0</v>
      </c>
      <c r="E4987" s="24" t="s">
        <v>6650</v>
      </c>
      <c r="F4987" s="24">
        <v>323.64</v>
      </c>
      <c r="G4987" s="24">
        <v>0.0</v>
      </c>
      <c r="H4987" s="24" t="s">
        <v>6695</v>
      </c>
      <c r="I4987" s="24" t="s">
        <v>6650</v>
      </c>
      <c r="J4987" s="24">
        <v>0.0</v>
      </c>
    </row>
    <row r="4988">
      <c r="A4988" s="24">
        <v>56.0</v>
      </c>
      <c r="B4988" s="24">
        <v>1.0</v>
      </c>
      <c r="C4988" s="44">
        <v>12.67</v>
      </c>
      <c r="D4988" s="46">
        <v>45222.0</v>
      </c>
      <c r="E4988" s="24">
        <v>12.67</v>
      </c>
      <c r="F4988" s="24">
        <v>226.25</v>
      </c>
      <c r="G4988" s="24">
        <v>1.79</v>
      </c>
      <c r="H4988" s="24" t="s">
        <v>6699</v>
      </c>
      <c r="I4988" s="24" t="s">
        <v>6650</v>
      </c>
      <c r="J4988" s="24">
        <v>0.0</v>
      </c>
    </row>
    <row r="4989">
      <c r="A4989" s="24">
        <v>29.0</v>
      </c>
      <c r="B4989" s="24">
        <v>0.0</v>
      </c>
      <c r="C4989" s="44">
        <v>13.45</v>
      </c>
      <c r="D4989" s="46">
        <v>45222.0</v>
      </c>
      <c r="E4989" s="24" t="s">
        <v>6650</v>
      </c>
      <c r="F4989" s="24">
        <v>463.79</v>
      </c>
      <c r="G4989" s="24">
        <v>0.0</v>
      </c>
      <c r="H4989" s="24" t="s">
        <v>6697</v>
      </c>
      <c r="I4989" s="24" t="s">
        <v>6650</v>
      </c>
      <c r="J4989" s="24">
        <v>0.0</v>
      </c>
    </row>
    <row r="4990">
      <c r="A4990" s="24">
        <v>58.0</v>
      </c>
      <c r="B4990" s="24">
        <v>1.0</v>
      </c>
      <c r="C4990" s="44">
        <v>14.88</v>
      </c>
      <c r="D4990" s="46">
        <v>45222.0</v>
      </c>
      <c r="E4990" s="24">
        <v>14.88</v>
      </c>
      <c r="F4990" s="24">
        <v>256.55</v>
      </c>
      <c r="G4990" s="24">
        <v>1.72</v>
      </c>
      <c r="H4990" s="24" t="s">
        <v>6680</v>
      </c>
      <c r="I4990" s="24" t="s">
        <v>6650</v>
      </c>
      <c r="J4990" s="24">
        <v>0.0</v>
      </c>
    </row>
    <row r="4991">
      <c r="A4991" s="24">
        <v>48.0</v>
      </c>
      <c r="B4991" s="24">
        <v>0.0</v>
      </c>
      <c r="C4991" s="44">
        <v>13.56</v>
      </c>
      <c r="D4991" s="46">
        <v>45222.0</v>
      </c>
      <c r="E4991" s="24" t="s">
        <v>6650</v>
      </c>
      <c r="F4991" s="24">
        <v>282.5</v>
      </c>
      <c r="G4991" s="24">
        <v>0.0</v>
      </c>
      <c r="H4991" s="24" t="s">
        <v>6701</v>
      </c>
      <c r="I4991" s="24" t="s">
        <v>6650</v>
      </c>
      <c r="J4991" s="24">
        <v>0.0</v>
      </c>
    </row>
    <row r="4992">
      <c r="A4992" s="24">
        <v>474.0</v>
      </c>
      <c r="B4992" s="24">
        <v>6.0</v>
      </c>
      <c r="C4992" s="44">
        <v>10.99</v>
      </c>
      <c r="D4992" s="46">
        <v>45222.0</v>
      </c>
      <c r="E4992" s="24">
        <v>1.83</v>
      </c>
      <c r="F4992" s="24">
        <v>23.19</v>
      </c>
      <c r="G4992" s="24">
        <v>1.27</v>
      </c>
      <c r="H4992" s="24" t="s">
        <v>6689</v>
      </c>
      <c r="I4992" s="24">
        <v>10.99</v>
      </c>
      <c r="J4992" s="24">
        <v>0.0</v>
      </c>
    </row>
    <row r="4993">
      <c r="A4993" s="24">
        <v>127.0</v>
      </c>
      <c r="B4993" s="24">
        <v>0.0</v>
      </c>
      <c r="C4993" s="44">
        <v>11.38</v>
      </c>
      <c r="D4993" s="46">
        <v>45222.0</v>
      </c>
      <c r="E4993" s="24" t="s">
        <v>6650</v>
      </c>
      <c r="F4993" s="24">
        <v>89.61</v>
      </c>
      <c r="G4993" s="24">
        <v>0.0</v>
      </c>
      <c r="H4993" s="24" t="s">
        <v>6700</v>
      </c>
      <c r="I4993" s="24">
        <v>3.79</v>
      </c>
      <c r="J4993" s="24">
        <v>0.0</v>
      </c>
    </row>
    <row r="4994">
      <c r="A4994" s="24">
        <v>325.0</v>
      </c>
      <c r="B4994" s="24">
        <v>4.0</v>
      </c>
      <c r="C4994" s="44">
        <v>11.99</v>
      </c>
      <c r="D4994" s="46">
        <v>45222.0</v>
      </c>
      <c r="E4994" s="24">
        <v>3.0</v>
      </c>
      <c r="F4994" s="24">
        <v>36.89</v>
      </c>
      <c r="G4994" s="24">
        <v>1.23</v>
      </c>
      <c r="H4994" s="24" t="s">
        <v>6698</v>
      </c>
      <c r="I4994" s="24">
        <v>11.99</v>
      </c>
      <c r="J4994" s="24">
        <v>0.0</v>
      </c>
    </row>
    <row r="4995">
      <c r="A4995" s="24">
        <v>37.0</v>
      </c>
      <c r="B4995" s="24">
        <v>2.0</v>
      </c>
      <c r="C4995" s="44">
        <v>13.2</v>
      </c>
      <c r="D4995" s="46">
        <v>45222.0</v>
      </c>
      <c r="E4995" s="24">
        <v>6.6</v>
      </c>
      <c r="F4995" s="24">
        <v>356.76</v>
      </c>
      <c r="G4995" s="24">
        <v>5.41</v>
      </c>
      <c r="H4995" s="24" t="s">
        <v>6696</v>
      </c>
      <c r="I4995" s="24" t="s">
        <v>6650</v>
      </c>
      <c r="J4995" s="24">
        <v>0.0</v>
      </c>
    </row>
    <row r="4996">
      <c r="A4996" s="24">
        <v>8.0</v>
      </c>
      <c r="B4996" s="24">
        <v>4.0</v>
      </c>
      <c r="C4996" s="44">
        <v>6.0</v>
      </c>
      <c r="D4996" s="46">
        <v>45222.0</v>
      </c>
      <c r="E4996" s="24">
        <v>1.5</v>
      </c>
      <c r="F4996" s="24">
        <v>750.0</v>
      </c>
      <c r="G4996" s="24">
        <v>50.0</v>
      </c>
      <c r="H4996" s="24" t="s">
        <v>6702</v>
      </c>
      <c r="I4996" s="24" t="s">
        <v>6650</v>
      </c>
      <c r="J4996" s="24">
        <v>0.0</v>
      </c>
    </row>
    <row r="4997">
      <c r="A4997" s="24">
        <v>43.0</v>
      </c>
      <c r="B4997" s="24">
        <v>0.0</v>
      </c>
      <c r="C4997" s="44">
        <v>14.44</v>
      </c>
      <c r="D4997" s="46">
        <v>45222.0</v>
      </c>
      <c r="E4997" s="24" t="s">
        <v>6650</v>
      </c>
      <c r="F4997" s="24">
        <v>335.81</v>
      </c>
      <c r="G4997" s="24">
        <v>0.0</v>
      </c>
      <c r="H4997" s="24" t="s">
        <v>6695</v>
      </c>
      <c r="I4997" s="24" t="s">
        <v>6650</v>
      </c>
      <c r="J4997" s="24">
        <v>0.0</v>
      </c>
    </row>
    <row r="4998">
      <c r="A4998" s="24">
        <v>1307.0</v>
      </c>
      <c r="B4998" s="24">
        <v>3.0</v>
      </c>
      <c r="C4998" s="44">
        <v>10.67</v>
      </c>
      <c r="D4998" s="46">
        <v>45222.0</v>
      </c>
      <c r="E4998" s="24">
        <v>3.56</v>
      </c>
      <c r="F4998" s="24">
        <v>8.16</v>
      </c>
      <c r="G4998" s="24">
        <v>0.23</v>
      </c>
      <c r="H4998" s="24" t="s">
        <v>6688</v>
      </c>
      <c r="I4998" s="24" t="s">
        <v>6650</v>
      </c>
      <c r="J4998" s="24">
        <v>0.0</v>
      </c>
    </row>
    <row r="4999">
      <c r="A4999" s="24">
        <v>392.0</v>
      </c>
      <c r="B4999" s="24">
        <v>6.0</v>
      </c>
      <c r="C4999" s="44">
        <v>12.21</v>
      </c>
      <c r="D4999" s="46">
        <v>45223.0</v>
      </c>
      <c r="E4999" s="24">
        <v>2.04</v>
      </c>
      <c r="F4999" s="24">
        <v>31.15</v>
      </c>
      <c r="G4999" s="24">
        <v>1.53</v>
      </c>
      <c r="H4999" s="24" t="s">
        <v>6689</v>
      </c>
      <c r="I4999" s="24" t="s">
        <v>6650</v>
      </c>
      <c r="J4999" s="24">
        <v>0.0</v>
      </c>
    </row>
    <row r="5000">
      <c r="A5000" s="24">
        <v>56.0</v>
      </c>
      <c r="B5000" s="24">
        <v>0.0</v>
      </c>
      <c r="C5000" s="44">
        <v>14.89</v>
      </c>
      <c r="D5000" s="46">
        <v>45223.0</v>
      </c>
      <c r="E5000" s="24" t="s">
        <v>6650</v>
      </c>
      <c r="F5000" s="24">
        <v>265.89</v>
      </c>
      <c r="G5000" s="24">
        <v>0.0</v>
      </c>
      <c r="H5000" s="24" t="s">
        <v>6699</v>
      </c>
      <c r="I5000" s="24" t="s">
        <v>6650</v>
      </c>
      <c r="J5000" s="24">
        <v>0.0</v>
      </c>
    </row>
    <row r="5001">
      <c r="A5001" s="24">
        <v>55.0</v>
      </c>
      <c r="B5001" s="24">
        <v>1.0</v>
      </c>
      <c r="C5001" s="44">
        <v>12.91</v>
      </c>
      <c r="D5001" s="46">
        <v>45223.0</v>
      </c>
      <c r="E5001" s="24">
        <v>12.91</v>
      </c>
      <c r="F5001" s="24">
        <v>234.73</v>
      </c>
      <c r="G5001" s="24">
        <v>1.82</v>
      </c>
      <c r="H5001" s="24" t="s">
        <v>6700</v>
      </c>
      <c r="I5001" s="24" t="s">
        <v>6650</v>
      </c>
      <c r="J5001" s="24">
        <v>0.0</v>
      </c>
    </row>
    <row r="5002">
      <c r="A5002" s="24">
        <v>77.0</v>
      </c>
      <c r="B5002" s="24">
        <v>0.0</v>
      </c>
      <c r="C5002" s="44">
        <v>12.45</v>
      </c>
      <c r="D5002" s="46">
        <v>45223.0</v>
      </c>
      <c r="E5002" s="24" t="s">
        <v>6650</v>
      </c>
      <c r="F5002" s="24">
        <v>161.69</v>
      </c>
      <c r="G5002" s="24">
        <v>0.0</v>
      </c>
      <c r="H5002" s="24" t="s">
        <v>6698</v>
      </c>
      <c r="I5002" s="24" t="s">
        <v>6650</v>
      </c>
      <c r="J5002" s="24">
        <v>0.0</v>
      </c>
    </row>
    <row r="5003">
      <c r="A5003" s="24">
        <v>51.0</v>
      </c>
      <c r="B5003" s="24">
        <v>0.0</v>
      </c>
      <c r="C5003" s="44">
        <v>14.05</v>
      </c>
      <c r="D5003" s="46">
        <v>45223.0</v>
      </c>
      <c r="E5003" s="24" t="s">
        <v>6650</v>
      </c>
      <c r="F5003" s="24">
        <v>275.49</v>
      </c>
      <c r="G5003" s="24">
        <v>0.0</v>
      </c>
      <c r="H5003" s="24" t="s">
        <v>6680</v>
      </c>
      <c r="I5003" s="24" t="s">
        <v>6650</v>
      </c>
      <c r="J5003" s="24">
        <v>0.0</v>
      </c>
    </row>
    <row r="5004">
      <c r="A5004" s="24">
        <v>5.0</v>
      </c>
      <c r="B5004" s="24">
        <v>3.0</v>
      </c>
      <c r="C5004" s="44">
        <v>3.75</v>
      </c>
      <c r="D5004" s="46">
        <v>45223.0</v>
      </c>
      <c r="E5004" s="24">
        <v>1.25</v>
      </c>
      <c r="F5004" s="24">
        <v>750.0</v>
      </c>
      <c r="G5004" s="24">
        <v>60.0</v>
      </c>
      <c r="H5004" s="24" t="s">
        <v>6702</v>
      </c>
      <c r="I5004" s="24" t="s">
        <v>6650</v>
      </c>
      <c r="J5004" s="24">
        <v>0.0</v>
      </c>
    </row>
    <row r="5005">
      <c r="A5005" s="24">
        <v>25.0</v>
      </c>
      <c r="B5005" s="24">
        <v>1.0</v>
      </c>
      <c r="C5005" s="44">
        <v>14.18</v>
      </c>
      <c r="D5005" s="46">
        <v>45223.0</v>
      </c>
      <c r="E5005" s="24">
        <v>14.18</v>
      </c>
      <c r="F5005" s="24">
        <v>567.2</v>
      </c>
      <c r="G5005" s="24">
        <v>4.0</v>
      </c>
      <c r="H5005" s="24" t="s">
        <v>6697</v>
      </c>
      <c r="I5005" s="24" t="s">
        <v>6650</v>
      </c>
      <c r="J5005" s="24">
        <v>0.0</v>
      </c>
    </row>
    <row r="5006">
      <c r="A5006" s="24">
        <v>37.0</v>
      </c>
      <c r="B5006" s="24">
        <v>0.0</v>
      </c>
      <c r="C5006" s="44">
        <v>13.04</v>
      </c>
      <c r="D5006" s="46">
        <v>45223.0</v>
      </c>
      <c r="E5006" s="24" t="s">
        <v>6650</v>
      </c>
      <c r="F5006" s="24">
        <v>352.43</v>
      </c>
      <c r="G5006" s="24">
        <v>0.0</v>
      </c>
      <c r="H5006" s="24" t="s">
        <v>6695</v>
      </c>
      <c r="I5006" s="24" t="s">
        <v>6650</v>
      </c>
      <c r="J5006" s="24">
        <v>0.0</v>
      </c>
    </row>
    <row r="5007">
      <c r="A5007" s="24">
        <v>33.0</v>
      </c>
      <c r="B5007" s="24">
        <v>0.0</v>
      </c>
      <c r="C5007" s="44">
        <v>14.8</v>
      </c>
      <c r="D5007" s="46">
        <v>45223.0</v>
      </c>
      <c r="E5007" s="24" t="s">
        <v>6650</v>
      </c>
      <c r="F5007" s="24">
        <v>448.48</v>
      </c>
      <c r="G5007" s="24">
        <v>0.0</v>
      </c>
      <c r="H5007" s="24" t="s">
        <v>6696</v>
      </c>
      <c r="I5007" s="24" t="s">
        <v>6650</v>
      </c>
      <c r="J5007" s="24">
        <v>0.0</v>
      </c>
    </row>
    <row r="5008">
      <c r="A5008" s="24">
        <v>1359.0</v>
      </c>
      <c r="B5008" s="24">
        <v>4.0</v>
      </c>
      <c r="C5008" s="44">
        <v>11.89</v>
      </c>
      <c r="D5008" s="46">
        <v>45223.0</v>
      </c>
      <c r="E5008" s="24">
        <v>2.97</v>
      </c>
      <c r="F5008" s="24">
        <v>8.75</v>
      </c>
      <c r="G5008" s="24">
        <v>0.29</v>
      </c>
      <c r="H5008" s="24" t="s">
        <v>6688</v>
      </c>
      <c r="I5008" s="24" t="s">
        <v>6650</v>
      </c>
      <c r="J5008" s="24">
        <v>0.0</v>
      </c>
    </row>
    <row r="5009">
      <c r="A5009" s="24">
        <v>34.0</v>
      </c>
      <c r="B5009" s="24">
        <v>0.0</v>
      </c>
      <c r="C5009" s="44">
        <v>13.47</v>
      </c>
      <c r="D5009" s="46">
        <v>45223.0</v>
      </c>
      <c r="E5009" s="24" t="s">
        <v>6650</v>
      </c>
      <c r="F5009" s="24">
        <v>396.18</v>
      </c>
      <c r="G5009" s="24">
        <v>0.0</v>
      </c>
      <c r="H5009" s="24" t="s">
        <v>6701</v>
      </c>
      <c r="I5009" s="24" t="s">
        <v>6650</v>
      </c>
      <c r="J5009" s="24">
        <v>0.0</v>
      </c>
    </row>
    <row r="5010">
      <c r="A5010" s="24">
        <v>85.0</v>
      </c>
      <c r="B5010" s="24">
        <v>0.0</v>
      </c>
      <c r="C5010" s="44">
        <v>12.4</v>
      </c>
      <c r="D5010" s="46">
        <v>45224.0</v>
      </c>
      <c r="E5010" s="24" t="s">
        <v>6650</v>
      </c>
      <c r="F5010" s="24">
        <v>145.88</v>
      </c>
      <c r="G5010" s="24">
        <v>0.0</v>
      </c>
      <c r="H5010" s="24" t="s">
        <v>6680</v>
      </c>
      <c r="I5010" s="24">
        <v>12.4</v>
      </c>
      <c r="J5010" s="24">
        <v>0.0</v>
      </c>
    </row>
    <row r="5011">
      <c r="A5011" s="24">
        <v>766.0</v>
      </c>
      <c r="B5011" s="24">
        <v>9.0</v>
      </c>
      <c r="C5011" s="44">
        <v>12.11</v>
      </c>
      <c r="D5011" s="46">
        <v>45224.0</v>
      </c>
      <c r="E5011" s="24">
        <v>1.35</v>
      </c>
      <c r="F5011" s="24">
        <v>15.81</v>
      </c>
      <c r="G5011" s="24">
        <v>1.17</v>
      </c>
      <c r="H5011" s="24" t="s">
        <v>6689</v>
      </c>
      <c r="I5011" s="24">
        <v>6.06</v>
      </c>
      <c r="J5011" s="24">
        <v>0.0</v>
      </c>
    </row>
    <row r="5012">
      <c r="A5012" s="24">
        <v>3.0</v>
      </c>
      <c r="B5012" s="24">
        <v>2.0</v>
      </c>
      <c r="C5012" s="44">
        <v>2.25</v>
      </c>
      <c r="D5012" s="46">
        <v>45224.0</v>
      </c>
      <c r="E5012" s="24">
        <v>1.12</v>
      </c>
      <c r="F5012" s="24">
        <v>750.0</v>
      </c>
      <c r="G5012" s="24">
        <v>66.67</v>
      </c>
      <c r="H5012" s="24" t="s">
        <v>6702</v>
      </c>
      <c r="I5012" s="24" t="s">
        <v>6650</v>
      </c>
      <c r="J5012" s="24">
        <v>0.0</v>
      </c>
    </row>
    <row r="5013">
      <c r="A5013" s="24">
        <v>65.0</v>
      </c>
      <c r="B5013" s="24">
        <v>0.0</v>
      </c>
      <c r="C5013" s="44">
        <v>13.75</v>
      </c>
      <c r="D5013" s="46">
        <v>45224.0</v>
      </c>
      <c r="E5013" s="24" t="s">
        <v>6650</v>
      </c>
      <c r="F5013" s="24">
        <v>211.54</v>
      </c>
      <c r="G5013" s="24">
        <v>0.0</v>
      </c>
      <c r="H5013" s="24" t="s">
        <v>6696</v>
      </c>
      <c r="I5013" s="24" t="s">
        <v>6650</v>
      </c>
      <c r="J5013" s="24">
        <v>0.0</v>
      </c>
    </row>
    <row r="5014">
      <c r="A5014" s="24">
        <v>1315.0</v>
      </c>
      <c r="B5014" s="24">
        <v>3.0</v>
      </c>
      <c r="C5014" s="44">
        <v>11.59</v>
      </c>
      <c r="D5014" s="46">
        <v>45224.0</v>
      </c>
      <c r="E5014" s="24">
        <v>3.86</v>
      </c>
      <c r="F5014" s="24">
        <v>8.81</v>
      </c>
      <c r="G5014" s="24">
        <v>0.23</v>
      </c>
      <c r="H5014" s="24" t="s">
        <v>6688</v>
      </c>
      <c r="I5014" s="24" t="s">
        <v>6650</v>
      </c>
      <c r="J5014" s="24">
        <v>0.0</v>
      </c>
    </row>
    <row r="5015">
      <c r="A5015" s="24">
        <v>33.0</v>
      </c>
      <c r="B5015" s="24">
        <v>1.0</v>
      </c>
      <c r="C5015" s="44">
        <v>14.18</v>
      </c>
      <c r="D5015" s="46">
        <v>45224.0</v>
      </c>
      <c r="E5015" s="24">
        <v>14.18</v>
      </c>
      <c r="F5015" s="24">
        <v>429.7</v>
      </c>
      <c r="G5015" s="24">
        <v>3.03</v>
      </c>
      <c r="H5015" s="24" t="s">
        <v>6701</v>
      </c>
      <c r="I5015" s="24">
        <v>14.18</v>
      </c>
      <c r="J5015" s="24">
        <v>0.0</v>
      </c>
    </row>
    <row r="5016">
      <c r="A5016" s="24">
        <v>170.0</v>
      </c>
      <c r="B5016" s="24">
        <v>0.0</v>
      </c>
      <c r="C5016" s="44">
        <v>12.8</v>
      </c>
      <c r="D5016" s="46">
        <v>45224.0</v>
      </c>
      <c r="E5016" s="24" t="s">
        <v>6650</v>
      </c>
      <c r="F5016" s="24">
        <v>75.29</v>
      </c>
      <c r="G5016" s="24">
        <v>0.0</v>
      </c>
      <c r="H5016" s="24" t="s">
        <v>6698</v>
      </c>
      <c r="I5016" s="24" t="s">
        <v>6650</v>
      </c>
      <c r="J5016" s="24">
        <v>0.0</v>
      </c>
    </row>
    <row r="5017">
      <c r="A5017" s="24">
        <v>71.0</v>
      </c>
      <c r="B5017" s="24">
        <v>0.0</v>
      </c>
      <c r="C5017" s="44">
        <v>12.09</v>
      </c>
      <c r="D5017" s="46">
        <v>45224.0</v>
      </c>
      <c r="E5017" s="24" t="s">
        <v>6650</v>
      </c>
      <c r="F5017" s="24">
        <v>170.28</v>
      </c>
      <c r="G5017" s="24">
        <v>0.0</v>
      </c>
      <c r="H5017" s="24" t="s">
        <v>6700</v>
      </c>
      <c r="I5017" s="24" t="s">
        <v>6650</v>
      </c>
      <c r="J5017" s="24">
        <v>0.0</v>
      </c>
    </row>
    <row r="5018">
      <c r="A5018" s="24">
        <v>43.0</v>
      </c>
      <c r="B5018" s="24">
        <v>0.0</v>
      </c>
      <c r="C5018" s="44">
        <v>12.87</v>
      </c>
      <c r="D5018" s="46">
        <v>45224.0</v>
      </c>
      <c r="E5018" s="24" t="s">
        <v>6650</v>
      </c>
      <c r="F5018" s="24">
        <v>299.3</v>
      </c>
      <c r="G5018" s="24">
        <v>0.0</v>
      </c>
      <c r="H5018" s="24" t="s">
        <v>6699</v>
      </c>
      <c r="I5018" s="24" t="s">
        <v>6650</v>
      </c>
      <c r="J5018" s="24">
        <v>0.0</v>
      </c>
    </row>
    <row r="5019">
      <c r="A5019" s="24">
        <v>33.0</v>
      </c>
      <c r="B5019" s="24">
        <v>0.0</v>
      </c>
      <c r="C5019" s="44">
        <v>12.0</v>
      </c>
      <c r="D5019" s="46">
        <v>45224.0</v>
      </c>
      <c r="E5019" s="24" t="s">
        <v>6650</v>
      </c>
      <c r="F5019" s="24">
        <v>363.64</v>
      </c>
      <c r="G5019" s="24">
        <v>0.0</v>
      </c>
      <c r="H5019" s="24" t="s">
        <v>6695</v>
      </c>
      <c r="I5019" s="24" t="s">
        <v>6650</v>
      </c>
      <c r="J5019" s="24">
        <v>0.0</v>
      </c>
    </row>
    <row r="5020">
      <c r="A5020" s="24">
        <v>36.0</v>
      </c>
      <c r="B5020" s="24">
        <v>0.0</v>
      </c>
      <c r="C5020" s="44">
        <v>12.17</v>
      </c>
      <c r="D5020" s="46">
        <v>45224.0</v>
      </c>
      <c r="E5020" s="24" t="s">
        <v>6650</v>
      </c>
      <c r="F5020" s="24">
        <v>338.06</v>
      </c>
      <c r="G5020" s="24">
        <v>0.0</v>
      </c>
      <c r="H5020" s="24" t="s">
        <v>6697</v>
      </c>
      <c r="I5020" s="24" t="s">
        <v>6650</v>
      </c>
      <c r="J5020" s="24">
        <v>0.0</v>
      </c>
    </row>
    <row r="5021">
      <c r="A5021" s="24">
        <v>315.0</v>
      </c>
      <c r="B5021" s="24">
        <v>0.0</v>
      </c>
      <c r="C5021" s="44">
        <v>18.0</v>
      </c>
      <c r="D5021" s="46">
        <v>45225.0</v>
      </c>
      <c r="E5021" s="24" t="s">
        <v>6650</v>
      </c>
      <c r="F5021" s="24">
        <v>57.14</v>
      </c>
      <c r="G5021" s="24">
        <v>0.0</v>
      </c>
      <c r="H5021" s="24" t="s">
        <v>6698</v>
      </c>
      <c r="I5021" s="24" t="s">
        <v>6650</v>
      </c>
      <c r="J5021" s="24">
        <v>0.0</v>
      </c>
    </row>
    <row r="5022">
      <c r="A5022" s="24">
        <v>1046.0</v>
      </c>
      <c r="B5022" s="24">
        <v>4.0</v>
      </c>
      <c r="C5022" s="44">
        <v>11.98</v>
      </c>
      <c r="D5022" s="46">
        <v>45225.0</v>
      </c>
      <c r="E5022" s="24">
        <v>3.0</v>
      </c>
      <c r="F5022" s="24">
        <v>11.45</v>
      </c>
      <c r="G5022" s="24">
        <v>0.38</v>
      </c>
      <c r="H5022" s="24" t="s">
        <v>6688</v>
      </c>
      <c r="I5022" s="24" t="s">
        <v>6650</v>
      </c>
      <c r="J5022" s="24">
        <v>0.0</v>
      </c>
    </row>
    <row r="5023">
      <c r="A5023" s="24">
        <v>71.0</v>
      </c>
      <c r="B5023" s="24">
        <v>0.0</v>
      </c>
      <c r="C5023" s="44">
        <v>9.46</v>
      </c>
      <c r="D5023" s="46">
        <v>45225.0</v>
      </c>
      <c r="E5023" s="24" t="s">
        <v>6650</v>
      </c>
      <c r="F5023" s="24">
        <v>133.24</v>
      </c>
      <c r="G5023" s="24">
        <v>0.0</v>
      </c>
      <c r="H5023" s="24" t="s">
        <v>6696</v>
      </c>
      <c r="I5023" s="24" t="s">
        <v>6650</v>
      </c>
      <c r="J5023" s="24">
        <v>0.0</v>
      </c>
    </row>
    <row r="5024">
      <c r="A5024" s="24">
        <v>671.0</v>
      </c>
      <c r="B5024" s="24">
        <v>7.0</v>
      </c>
      <c r="C5024" s="44">
        <v>12.1</v>
      </c>
      <c r="D5024" s="46">
        <v>45225.0</v>
      </c>
      <c r="E5024" s="24">
        <v>1.73</v>
      </c>
      <c r="F5024" s="24">
        <v>18.03</v>
      </c>
      <c r="G5024" s="24">
        <v>1.04</v>
      </c>
      <c r="H5024" s="24" t="s">
        <v>6689</v>
      </c>
      <c r="I5024" s="24" t="s">
        <v>6650</v>
      </c>
      <c r="J5024" s="24">
        <v>0.0</v>
      </c>
    </row>
    <row r="5025">
      <c r="A5025" s="24">
        <v>48.0</v>
      </c>
      <c r="B5025" s="24">
        <v>0.0</v>
      </c>
      <c r="C5025" s="44">
        <v>11.39</v>
      </c>
      <c r="D5025" s="46">
        <v>45225.0</v>
      </c>
      <c r="E5025" s="24" t="s">
        <v>6650</v>
      </c>
      <c r="F5025" s="24">
        <v>237.29</v>
      </c>
      <c r="G5025" s="24">
        <v>0.0</v>
      </c>
      <c r="H5025" s="24" t="s">
        <v>6700</v>
      </c>
      <c r="I5025" s="24" t="s">
        <v>6650</v>
      </c>
      <c r="J5025" s="24">
        <v>0.0</v>
      </c>
    </row>
    <row r="5026">
      <c r="A5026" s="24">
        <v>29.0</v>
      </c>
      <c r="B5026" s="24">
        <v>0.0</v>
      </c>
      <c r="C5026" s="44">
        <v>13.82</v>
      </c>
      <c r="D5026" s="46">
        <v>45225.0</v>
      </c>
      <c r="E5026" s="24" t="s">
        <v>6650</v>
      </c>
      <c r="F5026" s="24">
        <v>476.55</v>
      </c>
      <c r="G5026" s="24">
        <v>0.0</v>
      </c>
      <c r="H5026" s="24" t="s">
        <v>6697</v>
      </c>
      <c r="I5026" s="24" t="s">
        <v>6650</v>
      </c>
      <c r="J5026" s="24">
        <v>0.0</v>
      </c>
    </row>
    <row r="5027">
      <c r="A5027" s="24">
        <v>73.0</v>
      </c>
      <c r="B5027" s="24">
        <v>0.0</v>
      </c>
      <c r="C5027" s="44">
        <v>13.99</v>
      </c>
      <c r="D5027" s="46">
        <v>45225.0</v>
      </c>
      <c r="E5027" s="24" t="s">
        <v>6650</v>
      </c>
      <c r="F5027" s="24">
        <v>191.64</v>
      </c>
      <c r="G5027" s="24">
        <v>0.0</v>
      </c>
      <c r="H5027" s="24" t="s">
        <v>6680</v>
      </c>
      <c r="I5027" s="24">
        <v>13.99</v>
      </c>
      <c r="J5027" s="24">
        <v>0.0</v>
      </c>
    </row>
    <row r="5028">
      <c r="A5028" s="24">
        <v>7.0</v>
      </c>
      <c r="B5028" s="24">
        <v>5.0</v>
      </c>
      <c r="C5028" s="44">
        <v>5.25</v>
      </c>
      <c r="D5028" s="46">
        <v>45225.0</v>
      </c>
      <c r="E5028" s="24">
        <v>1.05</v>
      </c>
      <c r="F5028" s="24">
        <v>750.0</v>
      </c>
      <c r="G5028" s="24">
        <v>71.43</v>
      </c>
      <c r="H5028" s="24" t="s">
        <v>6702</v>
      </c>
      <c r="I5028" s="24" t="s">
        <v>6650</v>
      </c>
      <c r="J5028" s="24">
        <v>0.0</v>
      </c>
    </row>
    <row r="5029">
      <c r="A5029" s="24">
        <v>47.0</v>
      </c>
      <c r="B5029" s="24">
        <v>0.0</v>
      </c>
      <c r="C5029" s="44">
        <v>11.59</v>
      </c>
      <c r="D5029" s="46">
        <v>45225.0</v>
      </c>
      <c r="E5029" s="24" t="s">
        <v>6650</v>
      </c>
      <c r="F5029" s="24">
        <v>246.6</v>
      </c>
      <c r="G5029" s="24">
        <v>0.0</v>
      </c>
      <c r="H5029" s="24" t="s">
        <v>6701</v>
      </c>
      <c r="I5029" s="24" t="s">
        <v>6650</v>
      </c>
      <c r="J5029" s="24">
        <v>0.0</v>
      </c>
    </row>
    <row r="5030">
      <c r="A5030" s="24">
        <v>29.0</v>
      </c>
      <c r="B5030" s="24">
        <v>0.0</v>
      </c>
      <c r="C5030" s="44">
        <v>13.14</v>
      </c>
      <c r="D5030" s="46">
        <v>45225.0</v>
      </c>
      <c r="E5030" s="24" t="s">
        <v>6650</v>
      </c>
      <c r="F5030" s="24">
        <v>453.1</v>
      </c>
      <c r="G5030" s="24">
        <v>0.0</v>
      </c>
      <c r="H5030" s="24" t="s">
        <v>6699</v>
      </c>
      <c r="I5030" s="24" t="s">
        <v>6650</v>
      </c>
      <c r="J5030" s="24">
        <v>0.0</v>
      </c>
    </row>
    <row r="5031">
      <c r="A5031" s="24">
        <v>26.0</v>
      </c>
      <c r="B5031" s="24">
        <v>1.0</v>
      </c>
      <c r="C5031" s="44">
        <v>12.5</v>
      </c>
      <c r="D5031" s="46">
        <v>45225.0</v>
      </c>
      <c r="E5031" s="24">
        <v>12.5</v>
      </c>
      <c r="F5031" s="24">
        <v>480.77</v>
      </c>
      <c r="G5031" s="24">
        <v>3.85</v>
      </c>
      <c r="H5031" s="24" t="s">
        <v>6695</v>
      </c>
      <c r="I5031" s="24" t="s">
        <v>6650</v>
      </c>
      <c r="J5031" s="24">
        <v>0.0</v>
      </c>
    </row>
    <row r="5032">
      <c r="A5032" s="24">
        <v>38.0</v>
      </c>
      <c r="B5032" s="24">
        <v>0.0</v>
      </c>
      <c r="C5032" s="44">
        <v>8.33</v>
      </c>
      <c r="D5032" s="46">
        <v>45226.0</v>
      </c>
      <c r="E5032" s="24" t="s">
        <v>6650</v>
      </c>
      <c r="F5032" s="24">
        <v>219.21</v>
      </c>
      <c r="G5032" s="24">
        <v>0.0</v>
      </c>
      <c r="H5032" s="24" t="s">
        <v>6699</v>
      </c>
      <c r="I5032" s="24" t="s">
        <v>6650</v>
      </c>
      <c r="J5032" s="24">
        <v>0.0</v>
      </c>
    </row>
    <row r="5033">
      <c r="A5033" s="24">
        <v>185.0</v>
      </c>
      <c r="B5033" s="24">
        <v>1.0</v>
      </c>
      <c r="C5033" s="44">
        <v>18.0</v>
      </c>
      <c r="D5033" s="46">
        <v>45226.0</v>
      </c>
      <c r="E5033" s="24">
        <v>18.0</v>
      </c>
      <c r="F5033" s="24">
        <v>97.3</v>
      </c>
      <c r="G5033" s="24">
        <v>0.54</v>
      </c>
      <c r="H5033" s="24" t="s">
        <v>6698</v>
      </c>
      <c r="I5033" s="24" t="s">
        <v>6650</v>
      </c>
      <c r="J5033" s="24">
        <v>0.0</v>
      </c>
    </row>
    <row r="5034">
      <c r="A5034" s="24">
        <v>26.0</v>
      </c>
      <c r="B5034" s="24">
        <v>0.0</v>
      </c>
      <c r="C5034" s="44">
        <v>11.62</v>
      </c>
      <c r="D5034" s="46">
        <v>45226.0</v>
      </c>
      <c r="E5034" s="24" t="s">
        <v>6650</v>
      </c>
      <c r="F5034" s="24">
        <v>446.92</v>
      </c>
      <c r="G5034" s="24">
        <v>0.0</v>
      </c>
      <c r="H5034" s="24" t="s">
        <v>6701</v>
      </c>
      <c r="I5034" s="24" t="s">
        <v>6650</v>
      </c>
      <c r="J5034" s="24">
        <v>0.0</v>
      </c>
    </row>
    <row r="5035">
      <c r="A5035" s="24">
        <v>782.0</v>
      </c>
      <c r="B5035" s="24">
        <v>3.0</v>
      </c>
      <c r="C5035" s="44">
        <v>10.98</v>
      </c>
      <c r="D5035" s="46">
        <v>45226.0</v>
      </c>
      <c r="E5035" s="24">
        <v>3.66</v>
      </c>
      <c r="F5035" s="24">
        <v>14.04</v>
      </c>
      <c r="G5035" s="24">
        <v>0.38</v>
      </c>
      <c r="H5035" s="24" t="s">
        <v>6688</v>
      </c>
      <c r="I5035" s="24">
        <v>10.98</v>
      </c>
      <c r="J5035" s="24">
        <v>0.0</v>
      </c>
    </row>
    <row r="5036">
      <c r="A5036" s="24">
        <v>5.0</v>
      </c>
      <c r="B5036" s="24">
        <v>4.0</v>
      </c>
      <c r="C5036" s="44">
        <v>3.75</v>
      </c>
      <c r="D5036" s="46">
        <v>45226.0</v>
      </c>
      <c r="E5036" s="24">
        <v>0.94</v>
      </c>
      <c r="F5036" s="24">
        <v>750.0</v>
      </c>
      <c r="G5036" s="24">
        <v>80.0</v>
      </c>
      <c r="H5036" s="24" t="s">
        <v>6702</v>
      </c>
      <c r="I5036" s="24" t="s">
        <v>6650</v>
      </c>
      <c r="J5036" s="24">
        <v>0.0</v>
      </c>
    </row>
    <row r="5037">
      <c r="A5037" s="24">
        <v>60.0</v>
      </c>
      <c r="B5037" s="24">
        <v>0.0</v>
      </c>
      <c r="C5037" s="44">
        <v>11.41</v>
      </c>
      <c r="D5037" s="46">
        <v>45226.0</v>
      </c>
      <c r="E5037" s="24" t="s">
        <v>6650</v>
      </c>
      <c r="F5037" s="24">
        <v>190.17</v>
      </c>
      <c r="G5037" s="24">
        <v>0.0</v>
      </c>
      <c r="H5037" s="24" t="s">
        <v>6700</v>
      </c>
      <c r="I5037" s="24" t="s">
        <v>6650</v>
      </c>
      <c r="J5037" s="24">
        <v>0.0</v>
      </c>
    </row>
    <row r="5038">
      <c r="A5038" s="24">
        <v>22.0</v>
      </c>
      <c r="B5038" s="24">
        <v>0.0</v>
      </c>
      <c r="C5038" s="44">
        <v>10.2</v>
      </c>
      <c r="D5038" s="46">
        <v>45226.0</v>
      </c>
      <c r="E5038" s="24" t="s">
        <v>6650</v>
      </c>
      <c r="F5038" s="24">
        <v>463.64</v>
      </c>
      <c r="G5038" s="24">
        <v>0.0</v>
      </c>
      <c r="H5038" s="24" t="s">
        <v>6695</v>
      </c>
      <c r="I5038" s="24" t="s">
        <v>6650</v>
      </c>
      <c r="J5038" s="24">
        <v>0.0</v>
      </c>
    </row>
    <row r="5039">
      <c r="A5039" s="24">
        <v>31.0</v>
      </c>
      <c r="B5039" s="24">
        <v>0.0</v>
      </c>
      <c r="C5039" s="44">
        <v>8.71</v>
      </c>
      <c r="D5039" s="46">
        <v>45226.0</v>
      </c>
      <c r="E5039" s="24" t="s">
        <v>6650</v>
      </c>
      <c r="F5039" s="24">
        <v>280.97</v>
      </c>
      <c r="G5039" s="24">
        <v>0.0</v>
      </c>
      <c r="H5039" s="24" t="s">
        <v>6697</v>
      </c>
      <c r="I5039" s="24" t="s">
        <v>6650</v>
      </c>
      <c r="J5039" s="24">
        <v>0.0</v>
      </c>
    </row>
    <row r="5040">
      <c r="A5040" s="24">
        <v>61.0</v>
      </c>
      <c r="B5040" s="24">
        <v>0.0</v>
      </c>
      <c r="C5040" s="44">
        <v>11.24</v>
      </c>
      <c r="D5040" s="46">
        <v>45226.0</v>
      </c>
      <c r="E5040" s="24" t="s">
        <v>6650</v>
      </c>
      <c r="F5040" s="24">
        <v>184.26</v>
      </c>
      <c r="G5040" s="24">
        <v>0.0</v>
      </c>
      <c r="H5040" s="24" t="s">
        <v>6680</v>
      </c>
      <c r="I5040" s="24" t="s">
        <v>6650</v>
      </c>
      <c r="J5040" s="24">
        <v>0.0</v>
      </c>
    </row>
    <row r="5041">
      <c r="A5041" s="24">
        <v>525.0</v>
      </c>
      <c r="B5041" s="24">
        <v>5.0</v>
      </c>
      <c r="C5041" s="44">
        <v>11.02</v>
      </c>
      <c r="D5041" s="46">
        <v>45226.0</v>
      </c>
      <c r="E5041" s="24">
        <v>2.2</v>
      </c>
      <c r="F5041" s="24">
        <v>20.99</v>
      </c>
      <c r="G5041" s="24">
        <v>0.95</v>
      </c>
      <c r="H5041" s="24" t="s">
        <v>6689</v>
      </c>
      <c r="I5041" s="24" t="s">
        <v>6650</v>
      </c>
      <c r="J5041" s="24">
        <v>0.0</v>
      </c>
    </row>
    <row r="5042">
      <c r="A5042" s="24">
        <v>27.0</v>
      </c>
      <c r="B5042" s="24">
        <v>0.0</v>
      </c>
      <c r="C5042" s="44">
        <v>9.72</v>
      </c>
      <c r="D5042" s="46">
        <v>45226.0</v>
      </c>
      <c r="E5042" s="24" t="s">
        <v>6650</v>
      </c>
      <c r="F5042" s="24">
        <v>360.0</v>
      </c>
      <c r="G5042" s="24">
        <v>0.0</v>
      </c>
      <c r="H5042" s="24" t="s">
        <v>6696</v>
      </c>
      <c r="I5042" s="24" t="s">
        <v>6650</v>
      </c>
      <c r="J5042" s="24">
        <v>0.0</v>
      </c>
    </row>
    <row r="5043">
      <c r="A5043" s="24">
        <v>14.0</v>
      </c>
      <c r="B5043" s="24">
        <v>0.0</v>
      </c>
      <c r="C5043" s="44">
        <v>5.48</v>
      </c>
      <c r="D5043" s="46">
        <v>45227.0</v>
      </c>
      <c r="E5043" s="24" t="s">
        <v>6650</v>
      </c>
      <c r="F5043" s="24">
        <v>391.43</v>
      </c>
      <c r="G5043" s="24">
        <v>0.0</v>
      </c>
      <c r="H5043" s="24" t="s">
        <v>6699</v>
      </c>
      <c r="I5043" s="24" t="s">
        <v>6650</v>
      </c>
      <c r="J5043" s="24">
        <v>0.0</v>
      </c>
    </row>
    <row r="5044">
      <c r="A5044" s="24">
        <v>19.0</v>
      </c>
      <c r="B5044" s="24">
        <v>0.0</v>
      </c>
      <c r="C5044" s="44">
        <v>4.47</v>
      </c>
      <c r="D5044" s="46">
        <v>45227.0</v>
      </c>
      <c r="E5044" s="24" t="s">
        <v>6650</v>
      </c>
      <c r="F5044" s="24">
        <v>235.26</v>
      </c>
      <c r="G5044" s="24">
        <v>0.0</v>
      </c>
      <c r="H5044" s="24" t="s">
        <v>6695</v>
      </c>
      <c r="I5044" s="24" t="s">
        <v>6650</v>
      </c>
      <c r="J5044" s="24">
        <v>0.0</v>
      </c>
    </row>
    <row r="5045">
      <c r="A5045" s="24">
        <v>60.0</v>
      </c>
      <c r="B5045" s="24">
        <v>0.0</v>
      </c>
      <c r="C5045" s="44">
        <v>9.24</v>
      </c>
      <c r="D5045" s="46">
        <v>45227.0</v>
      </c>
      <c r="E5045" s="24" t="s">
        <v>6650</v>
      </c>
      <c r="F5045" s="24">
        <v>154.0</v>
      </c>
      <c r="G5045" s="24">
        <v>0.0</v>
      </c>
      <c r="H5045" s="24" t="s">
        <v>6700</v>
      </c>
      <c r="I5045" s="24" t="s">
        <v>6650</v>
      </c>
      <c r="J5045" s="24">
        <v>0.0</v>
      </c>
    </row>
    <row r="5046">
      <c r="A5046" s="24">
        <v>123.0</v>
      </c>
      <c r="B5046" s="24">
        <v>0.0</v>
      </c>
      <c r="C5046" s="44">
        <v>12.07</v>
      </c>
      <c r="D5046" s="46">
        <v>45227.0</v>
      </c>
      <c r="E5046" s="24" t="s">
        <v>6650</v>
      </c>
      <c r="F5046" s="24">
        <v>98.13</v>
      </c>
      <c r="G5046" s="24">
        <v>0.0</v>
      </c>
      <c r="H5046" s="24" t="s">
        <v>6698</v>
      </c>
      <c r="I5046" s="24" t="s">
        <v>6650</v>
      </c>
      <c r="J5046" s="24">
        <v>0.0</v>
      </c>
    </row>
    <row r="5047">
      <c r="A5047" s="24">
        <v>17.0</v>
      </c>
      <c r="B5047" s="24">
        <v>1.0</v>
      </c>
      <c r="C5047" s="44">
        <v>6.84</v>
      </c>
      <c r="D5047" s="46">
        <v>45227.0</v>
      </c>
      <c r="E5047" s="24">
        <v>6.84</v>
      </c>
      <c r="F5047" s="24">
        <v>402.35</v>
      </c>
      <c r="G5047" s="24">
        <v>5.88</v>
      </c>
      <c r="H5047" s="24" t="s">
        <v>6697</v>
      </c>
      <c r="I5047" s="24" t="s">
        <v>6650</v>
      </c>
      <c r="J5047" s="24">
        <v>0.0</v>
      </c>
    </row>
    <row r="5048">
      <c r="A5048" s="24">
        <v>25.0</v>
      </c>
      <c r="B5048" s="24">
        <v>0.0</v>
      </c>
      <c r="C5048" s="44">
        <v>5.22</v>
      </c>
      <c r="D5048" s="46">
        <v>45227.0</v>
      </c>
      <c r="E5048" s="24" t="s">
        <v>6650</v>
      </c>
      <c r="F5048" s="24">
        <v>208.8</v>
      </c>
      <c r="G5048" s="24">
        <v>0.0</v>
      </c>
      <c r="H5048" s="24" t="s">
        <v>6696</v>
      </c>
      <c r="I5048" s="24" t="s">
        <v>6650</v>
      </c>
      <c r="J5048" s="24">
        <v>0.0</v>
      </c>
    </row>
    <row r="5049">
      <c r="A5049" s="24">
        <v>6.0</v>
      </c>
      <c r="B5049" s="24">
        <v>0.0</v>
      </c>
      <c r="C5049" s="44">
        <v>5.16</v>
      </c>
      <c r="D5049" s="46">
        <v>45227.0</v>
      </c>
      <c r="E5049" s="24" t="s">
        <v>6650</v>
      </c>
      <c r="F5049" s="24">
        <v>860.0</v>
      </c>
      <c r="G5049" s="24">
        <v>0.0</v>
      </c>
      <c r="H5049" s="24" t="s">
        <v>6701</v>
      </c>
      <c r="I5049" s="24" t="s">
        <v>6650</v>
      </c>
      <c r="J5049" s="24">
        <v>0.0</v>
      </c>
    </row>
    <row r="5050">
      <c r="A5050" s="24">
        <v>33.0</v>
      </c>
      <c r="B5050" s="24">
        <v>0.0</v>
      </c>
      <c r="C5050" s="44">
        <v>6.17</v>
      </c>
      <c r="D5050" s="46">
        <v>45227.0</v>
      </c>
      <c r="E5050" s="24" t="s">
        <v>6650</v>
      </c>
      <c r="F5050" s="24">
        <v>186.97</v>
      </c>
      <c r="G5050" s="24">
        <v>0.0</v>
      </c>
      <c r="H5050" s="24" t="s">
        <v>6680</v>
      </c>
      <c r="I5050" s="24" t="s">
        <v>6650</v>
      </c>
      <c r="J5050" s="24">
        <v>0.0</v>
      </c>
    </row>
    <row r="5051">
      <c r="A5051" s="24">
        <v>502.0</v>
      </c>
      <c r="B5051" s="24">
        <v>3.0</v>
      </c>
      <c r="C5051" s="44">
        <v>6.5</v>
      </c>
      <c r="D5051" s="46">
        <v>45227.0</v>
      </c>
      <c r="E5051" s="24">
        <v>2.17</v>
      </c>
      <c r="F5051" s="24">
        <v>12.95</v>
      </c>
      <c r="G5051" s="24">
        <v>0.6</v>
      </c>
      <c r="H5051" s="24" t="s">
        <v>6688</v>
      </c>
      <c r="I5051" s="24" t="s">
        <v>6650</v>
      </c>
      <c r="J5051" s="24">
        <v>0.0</v>
      </c>
    </row>
    <row r="5052">
      <c r="A5052" s="24">
        <v>2.0</v>
      </c>
      <c r="B5052" s="24">
        <v>0.0</v>
      </c>
      <c r="C5052" s="44">
        <v>1.5</v>
      </c>
      <c r="D5052" s="46">
        <v>45227.0</v>
      </c>
      <c r="E5052" s="24" t="s">
        <v>6650</v>
      </c>
      <c r="F5052" s="24">
        <v>750.0</v>
      </c>
      <c r="G5052" s="24">
        <v>0.0</v>
      </c>
      <c r="H5052" s="24" t="s">
        <v>6702</v>
      </c>
      <c r="I5052" s="24" t="s">
        <v>6650</v>
      </c>
      <c r="J5052" s="24">
        <v>0.0</v>
      </c>
    </row>
    <row r="5053">
      <c r="A5053" s="24">
        <v>287.0</v>
      </c>
      <c r="B5053" s="24">
        <v>3.0</v>
      </c>
      <c r="C5053" s="44">
        <v>6.24</v>
      </c>
      <c r="D5053" s="46">
        <v>45227.0</v>
      </c>
      <c r="E5053" s="24">
        <v>2.08</v>
      </c>
      <c r="F5053" s="24">
        <v>21.74</v>
      </c>
      <c r="G5053" s="24">
        <v>1.05</v>
      </c>
      <c r="H5053" s="24" t="s">
        <v>6689</v>
      </c>
      <c r="I5053" s="24" t="s">
        <v>6650</v>
      </c>
      <c r="J5053" s="24">
        <v>0.0</v>
      </c>
    </row>
    <row r="5054">
      <c r="A5054" s="24">
        <v>644.0</v>
      </c>
      <c r="B5054" s="24">
        <v>1.0</v>
      </c>
      <c r="C5054" s="44">
        <v>6.39</v>
      </c>
      <c r="D5054" s="46">
        <v>45228.0</v>
      </c>
      <c r="E5054" s="24">
        <v>6.39</v>
      </c>
      <c r="F5054" s="24">
        <v>9.92</v>
      </c>
      <c r="G5054" s="24">
        <v>0.16</v>
      </c>
      <c r="H5054" s="24" t="s">
        <v>6688</v>
      </c>
      <c r="I5054" s="24">
        <v>6.39</v>
      </c>
      <c r="J5054" s="24">
        <v>0.0</v>
      </c>
    </row>
    <row r="5055">
      <c r="A5055" s="24">
        <v>189.0</v>
      </c>
      <c r="B5055" s="24">
        <v>4.0</v>
      </c>
      <c r="C5055" s="44">
        <v>11.78</v>
      </c>
      <c r="D5055" s="46">
        <v>45228.0</v>
      </c>
      <c r="E5055" s="24">
        <v>2.94</v>
      </c>
      <c r="F5055" s="24">
        <v>62.33</v>
      </c>
      <c r="G5055" s="24">
        <v>2.12</v>
      </c>
      <c r="H5055" s="24" t="s">
        <v>6698</v>
      </c>
      <c r="I5055" s="24">
        <v>11.78</v>
      </c>
      <c r="J5055" s="24">
        <v>0.0</v>
      </c>
    </row>
    <row r="5056">
      <c r="A5056" s="24">
        <v>10.0</v>
      </c>
      <c r="B5056" s="24">
        <v>0.0</v>
      </c>
      <c r="C5056" s="44">
        <v>2.62</v>
      </c>
      <c r="D5056" s="46">
        <v>45228.0</v>
      </c>
      <c r="E5056" s="24" t="s">
        <v>6650</v>
      </c>
      <c r="F5056" s="24">
        <v>262.0</v>
      </c>
      <c r="G5056" s="24">
        <v>0.0</v>
      </c>
      <c r="H5056" s="24" t="s">
        <v>6699</v>
      </c>
      <c r="I5056" s="24" t="s">
        <v>6650</v>
      </c>
      <c r="J5056" s="24">
        <v>0.0</v>
      </c>
    </row>
    <row r="5057">
      <c r="A5057" s="24">
        <v>16.0</v>
      </c>
      <c r="B5057" s="24">
        <v>0.0</v>
      </c>
      <c r="C5057" s="44">
        <v>3.35</v>
      </c>
      <c r="D5057" s="46">
        <v>45228.0</v>
      </c>
      <c r="E5057" s="24" t="s">
        <v>6650</v>
      </c>
      <c r="F5057" s="24">
        <v>209.38</v>
      </c>
      <c r="G5057" s="24">
        <v>0.0</v>
      </c>
      <c r="H5057" s="24" t="s">
        <v>6695</v>
      </c>
      <c r="I5057" s="24" t="s">
        <v>6650</v>
      </c>
      <c r="J5057" s="24">
        <v>0.0</v>
      </c>
    </row>
    <row r="5058">
      <c r="A5058" s="24">
        <v>58.0</v>
      </c>
      <c r="B5058" s="24">
        <v>0.0</v>
      </c>
      <c r="C5058" s="44">
        <v>1.58</v>
      </c>
      <c r="D5058" s="46">
        <v>45228.0</v>
      </c>
      <c r="E5058" s="24" t="s">
        <v>6650</v>
      </c>
      <c r="F5058" s="24">
        <v>27.24</v>
      </c>
      <c r="G5058" s="24">
        <v>0.0</v>
      </c>
      <c r="H5058" s="24" t="s">
        <v>6700</v>
      </c>
      <c r="I5058" s="24">
        <v>1.58</v>
      </c>
      <c r="J5058" s="24">
        <v>0.0</v>
      </c>
    </row>
    <row r="5059">
      <c r="A5059" s="24">
        <v>1.0</v>
      </c>
      <c r="B5059" s="24">
        <v>1.0</v>
      </c>
      <c r="C5059" s="44">
        <v>0.75</v>
      </c>
      <c r="D5059" s="46">
        <v>45228.0</v>
      </c>
      <c r="E5059" s="24">
        <v>0.75</v>
      </c>
      <c r="F5059" s="24">
        <v>750.0</v>
      </c>
      <c r="G5059" s="24">
        <v>100.0</v>
      </c>
      <c r="H5059" s="24" t="s">
        <v>6702</v>
      </c>
      <c r="I5059" s="24" t="s">
        <v>6650</v>
      </c>
      <c r="J5059" s="24">
        <v>0.0</v>
      </c>
    </row>
    <row r="5060">
      <c r="A5060" s="24">
        <v>278.0</v>
      </c>
      <c r="B5060" s="24">
        <v>6.0</v>
      </c>
      <c r="C5060" s="44">
        <v>5.33</v>
      </c>
      <c r="D5060" s="46">
        <v>45228.0</v>
      </c>
      <c r="E5060" s="24">
        <v>0.89</v>
      </c>
      <c r="F5060" s="24">
        <v>19.17</v>
      </c>
      <c r="G5060" s="24">
        <v>2.16</v>
      </c>
      <c r="H5060" s="24" t="s">
        <v>6689</v>
      </c>
      <c r="I5060" s="24" t="s">
        <v>6650</v>
      </c>
      <c r="J5060" s="24">
        <v>0.0</v>
      </c>
    </row>
    <row r="5061">
      <c r="A5061" s="24">
        <v>40.0</v>
      </c>
      <c r="B5061" s="24">
        <v>0.0</v>
      </c>
      <c r="C5061" s="44">
        <v>4.27</v>
      </c>
      <c r="D5061" s="46">
        <v>45228.0</v>
      </c>
      <c r="E5061" s="24" t="s">
        <v>6650</v>
      </c>
      <c r="F5061" s="24">
        <v>106.75</v>
      </c>
      <c r="G5061" s="24">
        <v>0.0</v>
      </c>
      <c r="H5061" s="24" t="s">
        <v>6680</v>
      </c>
      <c r="I5061" s="24" t="s">
        <v>6650</v>
      </c>
      <c r="J5061" s="24">
        <v>0.0</v>
      </c>
    </row>
    <row r="5062">
      <c r="A5062" s="24">
        <v>9.0</v>
      </c>
      <c r="B5062" s="24">
        <v>0.0</v>
      </c>
      <c r="C5062" s="44">
        <v>0.83</v>
      </c>
      <c r="D5062" s="46">
        <v>45228.0</v>
      </c>
      <c r="E5062" s="24" t="s">
        <v>6650</v>
      </c>
      <c r="F5062" s="24">
        <v>92.22</v>
      </c>
      <c r="G5062" s="24">
        <v>0.0</v>
      </c>
      <c r="H5062" s="24" t="s">
        <v>6697</v>
      </c>
      <c r="I5062" s="24" t="s">
        <v>6650</v>
      </c>
      <c r="J5062" s="24">
        <v>0.0</v>
      </c>
    </row>
    <row r="5063">
      <c r="A5063" s="24">
        <v>22.0</v>
      </c>
      <c r="B5063" s="24">
        <v>0.0</v>
      </c>
      <c r="C5063" s="44">
        <v>3.85</v>
      </c>
      <c r="D5063" s="46">
        <v>45228.0</v>
      </c>
      <c r="E5063" s="24" t="s">
        <v>6650</v>
      </c>
      <c r="F5063" s="24">
        <v>175.0</v>
      </c>
      <c r="G5063" s="24">
        <v>0.0</v>
      </c>
      <c r="H5063" s="24" t="s">
        <v>6696</v>
      </c>
      <c r="I5063" s="24" t="s">
        <v>6650</v>
      </c>
      <c r="J5063" s="24">
        <v>0.0</v>
      </c>
    </row>
    <row r="5064">
      <c r="A5064" s="24">
        <v>7.0</v>
      </c>
      <c r="B5064" s="24">
        <v>0.0</v>
      </c>
      <c r="C5064" s="44">
        <v>0.42</v>
      </c>
      <c r="D5064" s="46">
        <v>45228.0</v>
      </c>
      <c r="E5064" s="24" t="s">
        <v>6650</v>
      </c>
      <c r="F5064" s="24">
        <v>60.0</v>
      </c>
      <c r="G5064" s="24">
        <v>0.0</v>
      </c>
      <c r="H5064" s="24" t="s">
        <v>6701</v>
      </c>
      <c r="I5064" s="24" t="s">
        <v>6650</v>
      </c>
      <c r="J5064" s="24">
        <v>0.0</v>
      </c>
    </row>
    <row r="5065">
      <c r="A5065" s="24">
        <v>64.0</v>
      </c>
      <c r="B5065" s="24">
        <v>0.0</v>
      </c>
      <c r="C5065" s="44">
        <v>13.09</v>
      </c>
      <c r="D5065" s="46">
        <v>45229.0</v>
      </c>
      <c r="E5065" s="24" t="s">
        <v>6650</v>
      </c>
      <c r="F5065" s="24">
        <v>204.53</v>
      </c>
      <c r="G5065" s="24">
        <v>0.0</v>
      </c>
      <c r="H5065" s="24" t="s">
        <v>6701</v>
      </c>
      <c r="I5065" s="24" t="s">
        <v>6650</v>
      </c>
      <c r="J5065" s="24">
        <v>0.0</v>
      </c>
    </row>
    <row r="5066">
      <c r="A5066" s="24">
        <v>24.0</v>
      </c>
      <c r="B5066" s="24">
        <v>1.0</v>
      </c>
      <c r="C5066" s="44">
        <v>13.32</v>
      </c>
      <c r="D5066" s="46">
        <v>45229.0</v>
      </c>
      <c r="E5066" s="24">
        <v>13.32</v>
      </c>
      <c r="F5066" s="24">
        <v>555.0</v>
      </c>
      <c r="G5066" s="24">
        <v>4.17</v>
      </c>
      <c r="H5066" s="24" t="s">
        <v>6695</v>
      </c>
      <c r="I5066" s="24" t="s">
        <v>6650</v>
      </c>
      <c r="J5066" s="24">
        <v>0.0</v>
      </c>
    </row>
    <row r="5067">
      <c r="A5067" s="24">
        <v>8.0</v>
      </c>
      <c r="B5067" s="24">
        <v>4.0</v>
      </c>
      <c r="C5067" s="44">
        <v>6.0</v>
      </c>
      <c r="D5067" s="46">
        <v>45229.0</v>
      </c>
      <c r="E5067" s="24">
        <v>1.5</v>
      </c>
      <c r="F5067" s="24">
        <v>750.0</v>
      </c>
      <c r="G5067" s="24">
        <v>50.0</v>
      </c>
      <c r="H5067" s="24" t="s">
        <v>6702</v>
      </c>
      <c r="I5067" s="24" t="s">
        <v>6650</v>
      </c>
      <c r="J5067" s="24">
        <v>0.0</v>
      </c>
    </row>
    <row r="5068">
      <c r="A5068" s="24">
        <v>79.0</v>
      </c>
      <c r="B5068" s="24">
        <v>0.0</v>
      </c>
      <c r="C5068" s="44">
        <v>11.83</v>
      </c>
      <c r="D5068" s="46">
        <v>45229.0</v>
      </c>
      <c r="E5068" s="24" t="s">
        <v>6650</v>
      </c>
      <c r="F5068" s="24">
        <v>149.75</v>
      </c>
      <c r="G5068" s="24">
        <v>0.0</v>
      </c>
      <c r="H5068" s="24" t="s">
        <v>6699</v>
      </c>
      <c r="I5068" s="24" t="s">
        <v>6650</v>
      </c>
      <c r="J5068" s="24">
        <v>0.0</v>
      </c>
    </row>
    <row r="5069">
      <c r="A5069" s="24">
        <v>500.0</v>
      </c>
      <c r="B5069" s="24">
        <v>8.0</v>
      </c>
      <c r="C5069" s="44">
        <v>10.98</v>
      </c>
      <c r="D5069" s="46">
        <v>45229.0</v>
      </c>
      <c r="E5069" s="24">
        <v>1.37</v>
      </c>
      <c r="F5069" s="24">
        <v>21.96</v>
      </c>
      <c r="G5069" s="24">
        <v>1.6</v>
      </c>
      <c r="H5069" s="24" t="s">
        <v>6689</v>
      </c>
      <c r="I5069" s="24">
        <v>10.98</v>
      </c>
      <c r="J5069" s="24">
        <v>0.0</v>
      </c>
    </row>
    <row r="5070">
      <c r="A5070" s="24">
        <v>118.0</v>
      </c>
      <c r="B5070" s="24">
        <v>0.0</v>
      </c>
      <c r="C5070" s="44">
        <v>11.89</v>
      </c>
      <c r="D5070" s="46">
        <v>45229.0</v>
      </c>
      <c r="E5070" s="24" t="s">
        <v>6650</v>
      </c>
      <c r="F5070" s="24">
        <v>100.76</v>
      </c>
      <c r="G5070" s="24">
        <v>0.0</v>
      </c>
      <c r="H5070" s="24" t="s">
        <v>6700</v>
      </c>
      <c r="I5070" s="24" t="s">
        <v>6650</v>
      </c>
      <c r="J5070" s="24">
        <v>0.0</v>
      </c>
    </row>
    <row r="5071">
      <c r="A5071" s="24">
        <v>41.0</v>
      </c>
      <c r="B5071" s="24">
        <v>0.0</v>
      </c>
      <c r="C5071" s="44">
        <v>14.09</v>
      </c>
      <c r="D5071" s="46">
        <v>45229.0</v>
      </c>
      <c r="E5071" s="24" t="s">
        <v>6650</v>
      </c>
      <c r="F5071" s="24">
        <v>343.66</v>
      </c>
      <c r="G5071" s="24">
        <v>0.0</v>
      </c>
      <c r="H5071" s="24" t="s">
        <v>6696</v>
      </c>
      <c r="I5071" s="24" t="s">
        <v>6650</v>
      </c>
      <c r="J5071" s="24">
        <v>0.0</v>
      </c>
    </row>
    <row r="5072">
      <c r="A5072" s="24">
        <v>30.0</v>
      </c>
      <c r="B5072" s="24">
        <v>1.0</v>
      </c>
      <c r="C5072" s="44">
        <v>14.04</v>
      </c>
      <c r="D5072" s="46">
        <v>45229.0</v>
      </c>
      <c r="E5072" s="24">
        <v>14.04</v>
      </c>
      <c r="F5072" s="24">
        <v>468.0</v>
      </c>
      <c r="G5072" s="24">
        <v>3.33</v>
      </c>
      <c r="H5072" s="24" t="s">
        <v>6697</v>
      </c>
      <c r="I5072" s="24" t="s">
        <v>6650</v>
      </c>
      <c r="J5072" s="24">
        <v>0.0</v>
      </c>
    </row>
    <row r="5073">
      <c r="A5073" s="24">
        <v>143.0</v>
      </c>
      <c r="B5073" s="24">
        <v>0.0</v>
      </c>
      <c r="C5073" s="44">
        <v>15.18</v>
      </c>
      <c r="D5073" s="46">
        <v>45229.0</v>
      </c>
      <c r="E5073" s="24" t="s">
        <v>6650</v>
      </c>
      <c r="F5073" s="24">
        <v>106.15</v>
      </c>
      <c r="G5073" s="24">
        <v>0.0</v>
      </c>
      <c r="H5073" s="24" t="s">
        <v>6698</v>
      </c>
      <c r="I5073" s="24">
        <v>15.18</v>
      </c>
      <c r="J5073" s="24">
        <v>0.0</v>
      </c>
    </row>
    <row r="5074">
      <c r="A5074" s="24">
        <v>66.0</v>
      </c>
      <c r="B5074" s="24">
        <v>0.0</v>
      </c>
      <c r="C5074" s="44">
        <v>13.38</v>
      </c>
      <c r="D5074" s="46">
        <v>45229.0</v>
      </c>
      <c r="E5074" s="24" t="s">
        <v>6650</v>
      </c>
      <c r="F5074" s="24">
        <v>202.73</v>
      </c>
      <c r="G5074" s="24">
        <v>0.0</v>
      </c>
      <c r="H5074" s="24" t="s">
        <v>6680</v>
      </c>
      <c r="I5074" s="24" t="s">
        <v>6650</v>
      </c>
      <c r="J5074" s="24">
        <v>0.0</v>
      </c>
    </row>
    <row r="5075">
      <c r="A5075" s="24">
        <v>991.0</v>
      </c>
      <c r="B5075" s="24">
        <v>2.0</v>
      </c>
      <c r="C5075" s="44">
        <v>11.75</v>
      </c>
      <c r="D5075" s="46">
        <v>45229.0</v>
      </c>
      <c r="E5075" s="24">
        <v>5.88</v>
      </c>
      <c r="F5075" s="24">
        <v>11.86</v>
      </c>
      <c r="G5075" s="24">
        <v>0.2</v>
      </c>
      <c r="H5075" s="24" t="s">
        <v>6688</v>
      </c>
      <c r="I5075" s="24" t="s">
        <v>6650</v>
      </c>
      <c r="J5075" s="24">
        <v>0.0</v>
      </c>
    </row>
    <row r="5076">
      <c r="A5076" s="24">
        <v>128.0</v>
      </c>
      <c r="B5076" s="24">
        <v>2.0</v>
      </c>
      <c r="C5076" s="44">
        <v>15.0</v>
      </c>
      <c r="D5076" s="46">
        <v>45230.0</v>
      </c>
      <c r="E5076" s="24">
        <v>7.5</v>
      </c>
      <c r="F5076" s="24">
        <v>117.19</v>
      </c>
      <c r="G5076" s="24">
        <v>1.56</v>
      </c>
      <c r="H5076" s="24" t="s">
        <v>6700</v>
      </c>
      <c r="I5076" s="24" t="s">
        <v>6650</v>
      </c>
      <c r="J5076" s="24">
        <v>0.0</v>
      </c>
    </row>
    <row r="5077">
      <c r="A5077" s="24">
        <v>365.0</v>
      </c>
      <c r="B5077" s="24">
        <v>2.0</v>
      </c>
      <c r="C5077" s="44">
        <v>13.52</v>
      </c>
      <c r="D5077" s="46">
        <v>45230.0</v>
      </c>
      <c r="E5077" s="24">
        <v>6.76</v>
      </c>
      <c r="F5077" s="24">
        <v>37.04</v>
      </c>
      <c r="G5077" s="24">
        <v>0.55</v>
      </c>
      <c r="H5077" s="24" t="s">
        <v>6698</v>
      </c>
      <c r="I5077" s="24" t="s">
        <v>6650</v>
      </c>
      <c r="J5077" s="24">
        <v>0.0</v>
      </c>
    </row>
    <row r="5078">
      <c r="A5078" s="24">
        <v>25.0</v>
      </c>
      <c r="B5078" s="24">
        <v>0.0</v>
      </c>
      <c r="C5078" s="44">
        <v>14.81</v>
      </c>
      <c r="D5078" s="46">
        <v>45230.0</v>
      </c>
      <c r="E5078" s="24" t="s">
        <v>6650</v>
      </c>
      <c r="F5078" s="24">
        <v>592.4</v>
      </c>
      <c r="G5078" s="24">
        <v>0.0</v>
      </c>
      <c r="H5078" s="24" t="s">
        <v>6699</v>
      </c>
      <c r="I5078" s="24" t="s">
        <v>6650</v>
      </c>
      <c r="J5078" s="24">
        <v>0.0</v>
      </c>
    </row>
    <row r="5079">
      <c r="A5079" s="24">
        <v>31.0</v>
      </c>
      <c r="B5079" s="24">
        <v>0.0</v>
      </c>
      <c r="C5079" s="44">
        <v>14.03</v>
      </c>
      <c r="D5079" s="46">
        <v>45230.0</v>
      </c>
      <c r="E5079" s="24" t="s">
        <v>6650</v>
      </c>
      <c r="F5079" s="24">
        <v>452.58</v>
      </c>
      <c r="G5079" s="24">
        <v>0.0</v>
      </c>
      <c r="H5079" s="24" t="s">
        <v>6695</v>
      </c>
      <c r="I5079" s="24" t="s">
        <v>6650</v>
      </c>
      <c r="J5079" s="24">
        <v>0.0</v>
      </c>
    </row>
    <row r="5080">
      <c r="A5080" s="24">
        <v>455.0</v>
      </c>
      <c r="B5080" s="24">
        <v>3.0</v>
      </c>
      <c r="C5080" s="44">
        <v>12.09</v>
      </c>
      <c r="D5080" s="46">
        <v>45230.0</v>
      </c>
      <c r="E5080" s="24">
        <v>4.03</v>
      </c>
      <c r="F5080" s="24">
        <v>26.57</v>
      </c>
      <c r="G5080" s="24">
        <v>0.66</v>
      </c>
      <c r="H5080" s="24" t="s">
        <v>6688</v>
      </c>
      <c r="I5080" s="24">
        <v>6.04</v>
      </c>
      <c r="J5080" s="24">
        <v>0.0</v>
      </c>
    </row>
    <row r="5081">
      <c r="A5081" s="24">
        <v>417.0</v>
      </c>
      <c r="B5081" s="24">
        <v>4.0</v>
      </c>
      <c r="C5081" s="44">
        <v>11.77</v>
      </c>
      <c r="D5081" s="46">
        <v>45230.0</v>
      </c>
      <c r="E5081" s="24">
        <v>2.94</v>
      </c>
      <c r="F5081" s="24">
        <v>28.23</v>
      </c>
      <c r="G5081" s="24">
        <v>0.96</v>
      </c>
      <c r="H5081" s="24" t="s">
        <v>6689</v>
      </c>
      <c r="I5081" s="24" t="s">
        <v>6650</v>
      </c>
      <c r="J5081" s="24">
        <v>0.0</v>
      </c>
    </row>
    <row r="5082">
      <c r="A5082" s="24">
        <v>104.0</v>
      </c>
      <c r="B5082" s="24">
        <v>0.0</v>
      </c>
      <c r="C5082" s="44">
        <v>13.44</v>
      </c>
      <c r="D5082" s="46">
        <v>45230.0</v>
      </c>
      <c r="E5082" s="24" t="s">
        <v>6650</v>
      </c>
      <c r="F5082" s="24">
        <v>129.23</v>
      </c>
      <c r="G5082" s="24">
        <v>0.0</v>
      </c>
      <c r="H5082" s="24" t="s">
        <v>6680</v>
      </c>
      <c r="I5082" s="24" t="s">
        <v>6650</v>
      </c>
      <c r="J5082" s="24">
        <v>0.0</v>
      </c>
    </row>
    <row r="5083">
      <c r="A5083" s="24">
        <v>8.0</v>
      </c>
      <c r="B5083" s="24">
        <v>5.0</v>
      </c>
      <c r="C5083" s="44">
        <v>6.0</v>
      </c>
      <c r="D5083" s="46">
        <v>45230.0</v>
      </c>
      <c r="E5083" s="24">
        <v>1.2</v>
      </c>
      <c r="F5083" s="24">
        <v>750.0</v>
      </c>
      <c r="G5083" s="24">
        <v>62.5</v>
      </c>
      <c r="H5083" s="24" t="s">
        <v>6702</v>
      </c>
      <c r="I5083" s="24" t="s">
        <v>6650</v>
      </c>
      <c r="J5083" s="24">
        <v>0.0</v>
      </c>
    </row>
    <row r="5084">
      <c r="A5084" s="24">
        <v>43.0</v>
      </c>
      <c r="B5084" s="24">
        <v>0.0</v>
      </c>
      <c r="C5084" s="44">
        <v>14.32</v>
      </c>
      <c r="D5084" s="46">
        <v>45230.0</v>
      </c>
      <c r="E5084" s="24" t="s">
        <v>6650</v>
      </c>
      <c r="F5084" s="24">
        <v>333.02</v>
      </c>
      <c r="G5084" s="24">
        <v>0.0</v>
      </c>
      <c r="H5084" s="24" t="s">
        <v>6697</v>
      </c>
      <c r="I5084" s="24" t="s">
        <v>6650</v>
      </c>
      <c r="J5084" s="24">
        <v>0.0</v>
      </c>
    </row>
    <row r="5085">
      <c r="A5085" s="24">
        <v>19.0</v>
      </c>
      <c r="B5085" s="24">
        <v>0.0</v>
      </c>
      <c r="C5085" s="44">
        <v>15.0</v>
      </c>
      <c r="D5085" s="46">
        <v>45230.0</v>
      </c>
      <c r="E5085" s="24" t="s">
        <v>6650</v>
      </c>
      <c r="F5085" s="24">
        <v>789.47</v>
      </c>
      <c r="G5085" s="24">
        <v>0.0</v>
      </c>
      <c r="H5085" s="24" t="s">
        <v>6696</v>
      </c>
      <c r="I5085" s="24" t="s">
        <v>6650</v>
      </c>
      <c r="J5085" s="24">
        <v>0.0</v>
      </c>
    </row>
    <row r="5086">
      <c r="A5086" s="24">
        <v>29.0</v>
      </c>
      <c r="B5086" s="24">
        <v>1.0</v>
      </c>
      <c r="C5086" s="44">
        <v>14.99</v>
      </c>
      <c r="D5086" s="46">
        <v>45230.0</v>
      </c>
      <c r="E5086" s="24">
        <v>14.99</v>
      </c>
      <c r="F5086" s="24">
        <v>516.9</v>
      </c>
      <c r="G5086" s="24">
        <v>3.45</v>
      </c>
      <c r="H5086" s="24" t="s">
        <v>6701</v>
      </c>
      <c r="I5086" s="24" t="s">
        <v>6650</v>
      </c>
      <c r="J5086" s="24">
        <v>0.0</v>
      </c>
    </row>
    <row r="5087">
      <c r="A5087" s="24">
        <v>57.0</v>
      </c>
      <c r="B5087" s="24">
        <v>1.0</v>
      </c>
      <c r="C5087" s="44">
        <v>10.89</v>
      </c>
      <c r="D5087" s="46">
        <v>45231.0</v>
      </c>
      <c r="E5087" s="24">
        <v>10.89</v>
      </c>
      <c r="F5087" s="24">
        <v>191.05</v>
      </c>
      <c r="G5087" s="24">
        <v>1.75</v>
      </c>
      <c r="H5087" s="24" t="s">
        <v>6699</v>
      </c>
      <c r="I5087" s="24">
        <v>10.89</v>
      </c>
      <c r="J5087" s="24">
        <v>0.0</v>
      </c>
    </row>
    <row r="5088">
      <c r="A5088" s="24">
        <v>385.0</v>
      </c>
      <c r="B5088" s="24">
        <v>3.0</v>
      </c>
      <c r="C5088" s="44">
        <v>13.85</v>
      </c>
      <c r="D5088" s="46">
        <v>45231.0</v>
      </c>
      <c r="E5088" s="24">
        <v>4.62</v>
      </c>
      <c r="F5088" s="24">
        <v>35.97</v>
      </c>
      <c r="G5088" s="24">
        <v>0.78</v>
      </c>
      <c r="H5088" s="24" t="s">
        <v>6698</v>
      </c>
      <c r="I5088" s="24">
        <v>13.85</v>
      </c>
      <c r="J5088" s="24">
        <v>0.0</v>
      </c>
    </row>
    <row r="5089">
      <c r="A5089" s="24">
        <v>25.0</v>
      </c>
      <c r="B5089" s="24">
        <v>0.0</v>
      </c>
      <c r="C5089" s="44">
        <v>10.83</v>
      </c>
      <c r="D5089" s="46">
        <v>45231.0</v>
      </c>
      <c r="E5089" s="24" t="s">
        <v>6650</v>
      </c>
      <c r="F5089" s="24">
        <v>433.2</v>
      </c>
      <c r="G5089" s="24">
        <v>0.0</v>
      </c>
      <c r="H5089" s="24" t="s">
        <v>6697</v>
      </c>
      <c r="I5089" s="24" t="s">
        <v>6650</v>
      </c>
      <c r="J5089" s="24">
        <v>0.0</v>
      </c>
    </row>
    <row r="5090">
      <c r="A5090" s="24">
        <v>636.0</v>
      </c>
      <c r="B5090" s="24">
        <v>9.0</v>
      </c>
      <c r="C5090" s="44">
        <v>11.21</v>
      </c>
      <c r="D5090" s="46">
        <v>45231.0</v>
      </c>
      <c r="E5090" s="24">
        <v>1.25</v>
      </c>
      <c r="F5090" s="24">
        <v>17.63</v>
      </c>
      <c r="G5090" s="24">
        <v>1.42</v>
      </c>
      <c r="H5090" s="24" t="s">
        <v>6689</v>
      </c>
      <c r="I5090" s="24">
        <v>5.6</v>
      </c>
      <c r="J5090" s="24">
        <v>0.0</v>
      </c>
    </row>
    <row r="5091">
      <c r="A5091" s="24">
        <v>14.0</v>
      </c>
      <c r="B5091" s="24">
        <v>6.0</v>
      </c>
      <c r="C5091" s="44">
        <v>10.5</v>
      </c>
      <c r="D5091" s="46">
        <v>45231.0</v>
      </c>
      <c r="E5091" s="24">
        <v>1.75</v>
      </c>
      <c r="F5091" s="24">
        <v>750.0</v>
      </c>
      <c r="G5091" s="24">
        <v>42.86</v>
      </c>
      <c r="H5091" s="24" t="s">
        <v>6702</v>
      </c>
      <c r="I5091" s="24" t="s">
        <v>6650</v>
      </c>
      <c r="J5091" s="24">
        <v>0.0</v>
      </c>
    </row>
    <row r="5092">
      <c r="A5092" s="24">
        <v>117.0</v>
      </c>
      <c r="B5092" s="24">
        <v>0.0</v>
      </c>
      <c r="C5092" s="44">
        <v>10.88</v>
      </c>
      <c r="D5092" s="46">
        <v>45231.0</v>
      </c>
      <c r="E5092" s="24" t="s">
        <v>6650</v>
      </c>
      <c r="F5092" s="24">
        <v>92.99</v>
      </c>
      <c r="G5092" s="24">
        <v>0.0</v>
      </c>
      <c r="H5092" s="24" t="s">
        <v>6696</v>
      </c>
      <c r="I5092" s="24" t="s">
        <v>6650</v>
      </c>
      <c r="J5092" s="24">
        <v>0.0</v>
      </c>
    </row>
    <row r="5093">
      <c r="A5093" s="24">
        <v>830.0</v>
      </c>
      <c r="B5093" s="24">
        <v>4.0</v>
      </c>
      <c r="C5093" s="44">
        <v>11.49</v>
      </c>
      <c r="D5093" s="46">
        <v>45231.0</v>
      </c>
      <c r="E5093" s="24">
        <v>2.87</v>
      </c>
      <c r="F5093" s="24">
        <v>13.84</v>
      </c>
      <c r="G5093" s="24">
        <v>0.48</v>
      </c>
      <c r="H5093" s="24" t="s">
        <v>6688</v>
      </c>
      <c r="I5093" s="24">
        <v>5.74</v>
      </c>
      <c r="J5093" s="24">
        <v>0.0</v>
      </c>
    </row>
    <row r="5094">
      <c r="A5094" s="24">
        <v>187.0</v>
      </c>
      <c r="B5094" s="24">
        <v>0.0</v>
      </c>
      <c r="C5094" s="44">
        <v>10.15</v>
      </c>
      <c r="D5094" s="46">
        <v>45231.0</v>
      </c>
      <c r="E5094" s="24" t="s">
        <v>6650</v>
      </c>
      <c r="F5094" s="24">
        <v>54.28</v>
      </c>
      <c r="G5094" s="24">
        <v>0.0</v>
      </c>
      <c r="H5094" s="24" t="s">
        <v>6700</v>
      </c>
      <c r="I5094" s="24" t="s">
        <v>6650</v>
      </c>
      <c r="J5094" s="24">
        <v>0.0</v>
      </c>
    </row>
    <row r="5095">
      <c r="A5095" s="24">
        <v>67.0</v>
      </c>
      <c r="B5095" s="24">
        <v>0.0</v>
      </c>
      <c r="C5095" s="44">
        <v>15.21</v>
      </c>
      <c r="D5095" s="46">
        <v>45231.0</v>
      </c>
      <c r="E5095" s="24" t="s">
        <v>6650</v>
      </c>
      <c r="F5095" s="24">
        <v>227.01</v>
      </c>
      <c r="G5095" s="24">
        <v>0.0</v>
      </c>
      <c r="H5095" s="24" t="s">
        <v>6680</v>
      </c>
      <c r="I5095" s="24" t="s">
        <v>6650</v>
      </c>
      <c r="J5095" s="24">
        <v>0.0</v>
      </c>
    </row>
    <row r="5096">
      <c r="A5096" s="24">
        <v>24.0</v>
      </c>
      <c r="B5096" s="24">
        <v>0.0</v>
      </c>
      <c r="C5096" s="44">
        <v>11.54</v>
      </c>
      <c r="D5096" s="46">
        <v>45231.0</v>
      </c>
      <c r="E5096" s="24" t="s">
        <v>6650</v>
      </c>
      <c r="F5096" s="24">
        <v>480.83</v>
      </c>
      <c r="G5096" s="24">
        <v>0.0</v>
      </c>
      <c r="H5096" s="24" t="s">
        <v>6695</v>
      </c>
      <c r="I5096" s="24" t="s">
        <v>6650</v>
      </c>
      <c r="J5096" s="24">
        <v>0.0</v>
      </c>
    </row>
    <row r="5097">
      <c r="A5097" s="24">
        <v>35.0</v>
      </c>
      <c r="B5097" s="24">
        <v>1.0</v>
      </c>
      <c r="C5097" s="44">
        <v>15.0</v>
      </c>
      <c r="D5097" s="46">
        <v>45231.0</v>
      </c>
      <c r="E5097" s="24">
        <v>15.0</v>
      </c>
      <c r="F5097" s="24">
        <v>428.57</v>
      </c>
      <c r="G5097" s="24">
        <v>2.86</v>
      </c>
      <c r="H5097" s="24" t="s">
        <v>6701</v>
      </c>
      <c r="I5097" s="24">
        <v>7.5</v>
      </c>
      <c r="J5097" s="24">
        <v>0.0</v>
      </c>
    </row>
    <row r="5098">
      <c r="A5098" s="24">
        <v>34.0</v>
      </c>
      <c r="B5098" s="24">
        <v>0.0</v>
      </c>
      <c r="C5098" s="44">
        <v>13.68</v>
      </c>
      <c r="D5098" s="46">
        <v>45232.0</v>
      </c>
      <c r="E5098" s="24" t="s">
        <v>6650</v>
      </c>
      <c r="F5098" s="24">
        <v>402.35</v>
      </c>
      <c r="G5098" s="24">
        <v>0.0</v>
      </c>
      <c r="H5098" s="24" t="s">
        <v>6699</v>
      </c>
      <c r="I5098" s="24" t="s">
        <v>6650</v>
      </c>
      <c r="J5098" s="24">
        <v>0.0</v>
      </c>
    </row>
    <row r="5099">
      <c r="A5099" s="24">
        <v>730.0</v>
      </c>
      <c r="B5099" s="24">
        <v>4.0</v>
      </c>
      <c r="C5099" s="44">
        <v>11.69</v>
      </c>
      <c r="D5099" s="46">
        <v>45232.0</v>
      </c>
      <c r="E5099" s="24">
        <v>2.92</v>
      </c>
      <c r="F5099" s="24">
        <v>16.01</v>
      </c>
      <c r="G5099" s="24">
        <v>0.55</v>
      </c>
      <c r="H5099" s="24" t="s">
        <v>6688</v>
      </c>
      <c r="I5099" s="24">
        <v>11.69</v>
      </c>
      <c r="J5099" s="24">
        <v>0.0</v>
      </c>
    </row>
    <row r="5100">
      <c r="A5100" s="24">
        <v>17.0</v>
      </c>
      <c r="B5100" s="24">
        <v>0.0</v>
      </c>
      <c r="C5100" s="44">
        <v>11.99</v>
      </c>
      <c r="D5100" s="46">
        <v>45232.0</v>
      </c>
      <c r="E5100" s="24" t="s">
        <v>6650</v>
      </c>
      <c r="F5100" s="24">
        <v>705.29</v>
      </c>
      <c r="G5100" s="24">
        <v>0.0</v>
      </c>
      <c r="H5100" s="24" t="s">
        <v>6695</v>
      </c>
      <c r="I5100" s="24" t="s">
        <v>6650</v>
      </c>
      <c r="J5100" s="24">
        <v>0.0</v>
      </c>
    </row>
    <row r="5101">
      <c r="A5101" s="24">
        <v>21.0</v>
      </c>
      <c r="B5101" s="24">
        <v>0.0</v>
      </c>
      <c r="C5101" s="44">
        <v>11.65</v>
      </c>
      <c r="D5101" s="46">
        <v>45232.0</v>
      </c>
      <c r="E5101" s="24" t="s">
        <v>6650</v>
      </c>
      <c r="F5101" s="24">
        <v>554.76</v>
      </c>
      <c r="G5101" s="24">
        <v>0.0</v>
      </c>
      <c r="H5101" s="24" t="s">
        <v>6697</v>
      </c>
      <c r="I5101" s="24" t="s">
        <v>6650</v>
      </c>
      <c r="J5101" s="24">
        <v>0.0</v>
      </c>
    </row>
    <row r="5102">
      <c r="A5102" s="24">
        <v>28.0</v>
      </c>
      <c r="B5102" s="24">
        <v>0.0</v>
      </c>
      <c r="C5102" s="44">
        <v>10.73</v>
      </c>
      <c r="D5102" s="46">
        <v>45232.0</v>
      </c>
      <c r="E5102" s="24" t="s">
        <v>6650</v>
      </c>
      <c r="F5102" s="24">
        <v>383.21</v>
      </c>
      <c r="G5102" s="24">
        <v>0.0</v>
      </c>
      <c r="H5102" s="24" t="s">
        <v>6696</v>
      </c>
      <c r="I5102" s="24" t="s">
        <v>6650</v>
      </c>
      <c r="J5102" s="24">
        <v>0.0</v>
      </c>
    </row>
    <row r="5103">
      <c r="A5103" s="24">
        <v>7.0</v>
      </c>
      <c r="B5103" s="24">
        <v>3.0</v>
      </c>
      <c r="C5103" s="44">
        <v>5.25</v>
      </c>
      <c r="D5103" s="46">
        <v>45232.0</v>
      </c>
      <c r="E5103" s="24">
        <v>1.75</v>
      </c>
      <c r="F5103" s="24">
        <v>750.0</v>
      </c>
      <c r="G5103" s="24">
        <v>42.86</v>
      </c>
      <c r="H5103" s="24" t="s">
        <v>6702</v>
      </c>
      <c r="I5103" s="24" t="s">
        <v>6650</v>
      </c>
      <c r="J5103" s="24">
        <v>0.0</v>
      </c>
    </row>
    <row r="5104">
      <c r="A5104" s="24">
        <v>88.0</v>
      </c>
      <c r="B5104" s="24">
        <v>0.0</v>
      </c>
      <c r="C5104" s="44">
        <v>12.07</v>
      </c>
      <c r="D5104" s="46">
        <v>45232.0</v>
      </c>
      <c r="E5104" s="24" t="s">
        <v>6650</v>
      </c>
      <c r="F5104" s="24">
        <v>137.16</v>
      </c>
      <c r="G5104" s="24">
        <v>0.0</v>
      </c>
      <c r="H5104" s="24" t="s">
        <v>6680</v>
      </c>
      <c r="I5104" s="24" t="s">
        <v>6650</v>
      </c>
      <c r="J5104" s="24">
        <v>0.0</v>
      </c>
    </row>
    <row r="5105">
      <c r="A5105" s="24">
        <v>39.0</v>
      </c>
      <c r="B5105" s="24">
        <v>1.0</v>
      </c>
      <c r="C5105" s="44">
        <v>12.79</v>
      </c>
      <c r="D5105" s="46">
        <v>45232.0</v>
      </c>
      <c r="E5105" s="24">
        <v>12.79</v>
      </c>
      <c r="F5105" s="24">
        <v>327.95</v>
      </c>
      <c r="G5105" s="24">
        <v>2.56</v>
      </c>
      <c r="H5105" s="24" t="s">
        <v>6700</v>
      </c>
      <c r="I5105" s="24" t="s">
        <v>6650</v>
      </c>
      <c r="J5105" s="24">
        <v>0.0</v>
      </c>
    </row>
    <row r="5106">
      <c r="A5106" s="24">
        <v>39.0</v>
      </c>
      <c r="B5106" s="24">
        <v>0.0</v>
      </c>
      <c r="C5106" s="44">
        <v>15.0</v>
      </c>
      <c r="D5106" s="46">
        <v>45232.0</v>
      </c>
      <c r="E5106" s="24" t="s">
        <v>6650</v>
      </c>
      <c r="F5106" s="24">
        <v>384.62</v>
      </c>
      <c r="G5106" s="24">
        <v>0.0</v>
      </c>
      <c r="H5106" s="24" t="s">
        <v>6689</v>
      </c>
      <c r="I5106" s="24" t="s">
        <v>6650</v>
      </c>
      <c r="J5106" s="24">
        <v>0.0</v>
      </c>
    </row>
    <row r="5107">
      <c r="A5107" s="24">
        <v>22.0</v>
      </c>
      <c r="B5107" s="24">
        <v>0.0</v>
      </c>
      <c r="C5107" s="44">
        <v>10.89</v>
      </c>
      <c r="D5107" s="46">
        <v>45232.0</v>
      </c>
      <c r="E5107" s="24" t="s">
        <v>6650</v>
      </c>
      <c r="F5107" s="24">
        <v>495.0</v>
      </c>
      <c r="G5107" s="24">
        <v>0.0</v>
      </c>
      <c r="H5107" s="24" t="s">
        <v>6701</v>
      </c>
      <c r="I5107" s="24" t="s">
        <v>6650</v>
      </c>
      <c r="J5107" s="24">
        <v>0.0</v>
      </c>
    </row>
    <row r="5108">
      <c r="A5108" s="24">
        <v>84.0</v>
      </c>
      <c r="B5108" s="24">
        <v>0.0</v>
      </c>
      <c r="C5108" s="44">
        <v>14.01</v>
      </c>
      <c r="D5108" s="46">
        <v>45232.0</v>
      </c>
      <c r="E5108" s="24" t="s">
        <v>6650</v>
      </c>
      <c r="F5108" s="24">
        <v>166.79</v>
      </c>
      <c r="G5108" s="24">
        <v>0.0</v>
      </c>
      <c r="H5108" s="24" t="s">
        <v>6698</v>
      </c>
      <c r="I5108" s="24" t="s">
        <v>6650</v>
      </c>
      <c r="J5108" s="24">
        <v>0.0</v>
      </c>
    </row>
    <row r="5109">
      <c r="A5109" s="24">
        <v>57.0</v>
      </c>
      <c r="B5109" s="24">
        <v>1.0</v>
      </c>
      <c r="C5109" s="44">
        <v>12.02</v>
      </c>
      <c r="D5109" s="46">
        <v>45233.0</v>
      </c>
      <c r="E5109" s="24">
        <v>12.02</v>
      </c>
      <c r="F5109" s="24">
        <v>210.88</v>
      </c>
      <c r="G5109" s="24">
        <v>1.75</v>
      </c>
      <c r="H5109" s="24" t="s">
        <v>6680</v>
      </c>
      <c r="I5109" s="24">
        <v>12.02</v>
      </c>
      <c r="J5109" s="24">
        <v>0.0</v>
      </c>
    </row>
    <row r="5110">
      <c r="A5110" s="24">
        <v>16.0</v>
      </c>
      <c r="B5110" s="24">
        <v>0.0</v>
      </c>
      <c r="C5110" s="44">
        <v>13.29</v>
      </c>
      <c r="D5110" s="46">
        <v>45233.0</v>
      </c>
      <c r="E5110" s="24" t="s">
        <v>6650</v>
      </c>
      <c r="F5110" s="24">
        <v>830.62</v>
      </c>
      <c r="G5110" s="24">
        <v>0.0</v>
      </c>
      <c r="H5110" s="24" t="s">
        <v>6695</v>
      </c>
      <c r="I5110" s="24">
        <v>13.29</v>
      </c>
      <c r="J5110" s="24">
        <v>0.0</v>
      </c>
    </row>
    <row r="5111">
      <c r="A5111" s="24">
        <v>5.0</v>
      </c>
      <c r="B5111" s="24">
        <v>2.0</v>
      </c>
      <c r="C5111" s="44">
        <v>3.75</v>
      </c>
      <c r="D5111" s="46">
        <v>45233.0</v>
      </c>
      <c r="E5111" s="24">
        <v>1.88</v>
      </c>
      <c r="F5111" s="24">
        <v>750.0</v>
      </c>
      <c r="G5111" s="24">
        <v>40.0</v>
      </c>
      <c r="H5111" s="24" t="s">
        <v>6702</v>
      </c>
      <c r="I5111" s="24" t="s">
        <v>6650</v>
      </c>
      <c r="J5111" s="24">
        <v>0.0</v>
      </c>
    </row>
    <row r="5112">
      <c r="A5112" s="24">
        <v>38.0</v>
      </c>
      <c r="B5112" s="24">
        <v>0.0</v>
      </c>
      <c r="C5112" s="44">
        <v>9.39</v>
      </c>
      <c r="D5112" s="46">
        <v>45233.0</v>
      </c>
      <c r="E5112" s="24" t="s">
        <v>6650</v>
      </c>
      <c r="F5112" s="24">
        <v>247.11</v>
      </c>
      <c r="G5112" s="24">
        <v>0.0</v>
      </c>
      <c r="H5112" s="24" t="s">
        <v>6699</v>
      </c>
      <c r="I5112" s="24" t="s">
        <v>6650</v>
      </c>
      <c r="J5112" s="24">
        <v>0.0</v>
      </c>
    </row>
    <row r="5113">
      <c r="A5113" s="24">
        <v>25.0</v>
      </c>
      <c r="B5113" s="24">
        <v>1.0</v>
      </c>
      <c r="C5113" s="44">
        <v>10.13</v>
      </c>
      <c r="D5113" s="46">
        <v>45233.0</v>
      </c>
      <c r="E5113" s="24">
        <v>10.13</v>
      </c>
      <c r="F5113" s="24">
        <v>405.2</v>
      </c>
      <c r="G5113" s="24">
        <v>4.0</v>
      </c>
      <c r="H5113" s="24" t="s">
        <v>6696</v>
      </c>
      <c r="I5113" s="24">
        <v>10.13</v>
      </c>
      <c r="J5113" s="24">
        <v>0.0</v>
      </c>
    </row>
    <row r="5114">
      <c r="A5114" s="24">
        <v>31.0</v>
      </c>
      <c r="B5114" s="24">
        <v>0.0</v>
      </c>
      <c r="C5114" s="44">
        <v>10.4</v>
      </c>
      <c r="D5114" s="46">
        <v>45233.0</v>
      </c>
      <c r="E5114" s="24" t="s">
        <v>6650</v>
      </c>
      <c r="F5114" s="24">
        <v>335.48</v>
      </c>
      <c r="G5114" s="24">
        <v>0.0</v>
      </c>
      <c r="H5114" s="24" t="s">
        <v>6701</v>
      </c>
      <c r="I5114" s="24" t="s">
        <v>6650</v>
      </c>
      <c r="J5114" s="24">
        <v>0.0</v>
      </c>
    </row>
    <row r="5115">
      <c r="A5115" s="24">
        <v>81.0</v>
      </c>
      <c r="B5115" s="24">
        <v>0.0</v>
      </c>
      <c r="C5115" s="44">
        <v>12.65</v>
      </c>
      <c r="D5115" s="46">
        <v>45233.0</v>
      </c>
      <c r="E5115" s="24" t="s">
        <v>6650</v>
      </c>
      <c r="F5115" s="24">
        <v>156.17</v>
      </c>
      <c r="G5115" s="24">
        <v>0.0</v>
      </c>
      <c r="H5115" s="24" t="s">
        <v>6698</v>
      </c>
      <c r="I5115" s="24">
        <v>4.22</v>
      </c>
      <c r="J5115" s="24">
        <v>0.0</v>
      </c>
    </row>
    <row r="5116">
      <c r="A5116" s="24">
        <v>35.0</v>
      </c>
      <c r="B5116" s="24">
        <v>0.0</v>
      </c>
      <c r="C5116" s="44">
        <v>9.59</v>
      </c>
      <c r="D5116" s="46">
        <v>45233.0</v>
      </c>
      <c r="E5116" s="24" t="s">
        <v>6650</v>
      </c>
      <c r="F5116" s="24">
        <v>274.0</v>
      </c>
      <c r="G5116" s="24">
        <v>0.0</v>
      </c>
      <c r="H5116" s="24" t="s">
        <v>6700</v>
      </c>
      <c r="I5116" s="24">
        <v>9.59</v>
      </c>
      <c r="J5116" s="24">
        <v>0.0</v>
      </c>
    </row>
    <row r="5117">
      <c r="A5117" s="24">
        <v>587.0</v>
      </c>
      <c r="B5117" s="24">
        <v>1.0</v>
      </c>
      <c r="C5117" s="44">
        <v>10.09</v>
      </c>
      <c r="D5117" s="46">
        <v>45233.0</v>
      </c>
      <c r="E5117" s="24">
        <v>10.09</v>
      </c>
      <c r="F5117" s="24">
        <v>17.19</v>
      </c>
      <c r="G5117" s="24">
        <v>0.17</v>
      </c>
      <c r="H5117" s="24" t="s">
        <v>6689</v>
      </c>
      <c r="I5117" s="24" t="s">
        <v>6650</v>
      </c>
      <c r="J5117" s="24">
        <v>0.0</v>
      </c>
    </row>
    <row r="5118">
      <c r="A5118" s="24">
        <v>563.0</v>
      </c>
      <c r="B5118" s="24">
        <v>12.0</v>
      </c>
      <c r="C5118" s="44">
        <v>10.36</v>
      </c>
      <c r="D5118" s="46">
        <v>45233.0</v>
      </c>
      <c r="E5118" s="24">
        <v>0.86</v>
      </c>
      <c r="F5118" s="24">
        <v>18.4</v>
      </c>
      <c r="G5118" s="24">
        <v>2.13</v>
      </c>
      <c r="H5118" s="24" t="s">
        <v>6688</v>
      </c>
      <c r="I5118" s="24">
        <v>5.18</v>
      </c>
      <c r="J5118" s="24">
        <v>0.0</v>
      </c>
    </row>
    <row r="5119">
      <c r="A5119" s="24">
        <v>27.0</v>
      </c>
      <c r="B5119" s="24">
        <v>0.0</v>
      </c>
      <c r="C5119" s="44">
        <v>11.1</v>
      </c>
      <c r="D5119" s="46">
        <v>45233.0</v>
      </c>
      <c r="E5119" s="24" t="s">
        <v>6650</v>
      </c>
      <c r="F5119" s="24">
        <v>411.11</v>
      </c>
      <c r="G5119" s="24">
        <v>0.0</v>
      </c>
      <c r="H5119" s="24" t="s">
        <v>6697</v>
      </c>
      <c r="I5119" s="24" t="s">
        <v>6650</v>
      </c>
      <c r="J5119" s="24">
        <v>0.0</v>
      </c>
    </row>
    <row r="5120">
      <c r="A5120" s="24">
        <v>19.0</v>
      </c>
      <c r="B5120" s="24">
        <v>1.0</v>
      </c>
      <c r="C5120" s="44">
        <v>8.6</v>
      </c>
      <c r="D5120" s="46">
        <v>45234.0</v>
      </c>
      <c r="E5120" s="24">
        <v>8.6</v>
      </c>
      <c r="F5120" s="24">
        <v>452.63</v>
      </c>
      <c r="G5120" s="24">
        <v>5.26</v>
      </c>
      <c r="H5120" s="24" t="s">
        <v>6699</v>
      </c>
      <c r="I5120" s="24" t="s">
        <v>6650</v>
      </c>
      <c r="J5120" s="24">
        <v>0.0</v>
      </c>
    </row>
    <row r="5121">
      <c r="A5121" s="24">
        <v>30.0</v>
      </c>
      <c r="B5121" s="24">
        <v>2.0</v>
      </c>
      <c r="C5121" s="44">
        <v>7.5</v>
      </c>
      <c r="D5121" s="46">
        <v>45234.0</v>
      </c>
      <c r="E5121" s="24">
        <v>3.75</v>
      </c>
      <c r="F5121" s="24">
        <v>250.0</v>
      </c>
      <c r="G5121" s="24">
        <v>6.67</v>
      </c>
      <c r="H5121" s="24" t="s">
        <v>6700</v>
      </c>
      <c r="I5121" s="24">
        <v>7.5</v>
      </c>
      <c r="J5121" s="24">
        <v>0.0</v>
      </c>
    </row>
    <row r="5122">
      <c r="A5122" s="24">
        <v>32.0</v>
      </c>
      <c r="B5122" s="24">
        <v>0.0</v>
      </c>
      <c r="C5122" s="44">
        <v>8.37</v>
      </c>
      <c r="D5122" s="46">
        <v>45234.0</v>
      </c>
      <c r="E5122" s="24" t="s">
        <v>6650</v>
      </c>
      <c r="F5122" s="24">
        <v>261.56</v>
      </c>
      <c r="G5122" s="24">
        <v>0.0</v>
      </c>
      <c r="H5122" s="24" t="s">
        <v>6680</v>
      </c>
      <c r="I5122" s="24" t="s">
        <v>6650</v>
      </c>
      <c r="J5122" s="24">
        <v>0.0</v>
      </c>
    </row>
    <row r="5123">
      <c r="A5123" s="24">
        <v>9.0</v>
      </c>
      <c r="B5123" s="24">
        <v>0.0</v>
      </c>
      <c r="C5123" s="44">
        <v>4.08</v>
      </c>
      <c r="D5123" s="46">
        <v>45234.0</v>
      </c>
      <c r="E5123" s="24" t="s">
        <v>6650</v>
      </c>
      <c r="F5123" s="24">
        <v>453.33</v>
      </c>
      <c r="G5123" s="24">
        <v>0.0</v>
      </c>
      <c r="H5123" s="24" t="s">
        <v>6695</v>
      </c>
      <c r="I5123" s="24" t="s">
        <v>6650</v>
      </c>
      <c r="J5123" s="24">
        <v>0.0</v>
      </c>
    </row>
    <row r="5124">
      <c r="A5124" s="24">
        <v>10.0</v>
      </c>
      <c r="B5124" s="24">
        <v>0.0</v>
      </c>
      <c r="C5124" s="44">
        <v>9.17</v>
      </c>
      <c r="D5124" s="46">
        <v>45234.0</v>
      </c>
      <c r="E5124" s="24" t="s">
        <v>6650</v>
      </c>
      <c r="F5124" s="24">
        <v>917.0</v>
      </c>
      <c r="G5124" s="24">
        <v>0.0</v>
      </c>
      <c r="H5124" s="24" t="s">
        <v>6696</v>
      </c>
      <c r="I5124" s="24" t="s">
        <v>6650</v>
      </c>
      <c r="J5124" s="24">
        <v>0.0</v>
      </c>
    </row>
    <row r="5125">
      <c r="A5125" s="24">
        <v>5.0</v>
      </c>
      <c r="B5125" s="24">
        <v>2.0</v>
      </c>
      <c r="C5125" s="44">
        <v>3.75</v>
      </c>
      <c r="D5125" s="46">
        <v>45234.0</v>
      </c>
      <c r="E5125" s="24">
        <v>1.88</v>
      </c>
      <c r="F5125" s="24">
        <v>750.0</v>
      </c>
      <c r="G5125" s="24">
        <v>40.0</v>
      </c>
      <c r="H5125" s="24" t="s">
        <v>6702</v>
      </c>
      <c r="I5125" s="24" t="s">
        <v>6650</v>
      </c>
      <c r="J5125" s="24">
        <v>0.0</v>
      </c>
    </row>
    <row r="5126">
      <c r="A5126" s="24">
        <v>32.0</v>
      </c>
      <c r="B5126" s="24">
        <v>0.0</v>
      </c>
      <c r="C5126" s="44">
        <v>8.73</v>
      </c>
      <c r="D5126" s="46">
        <v>45234.0</v>
      </c>
      <c r="E5126" s="24" t="s">
        <v>6650</v>
      </c>
      <c r="F5126" s="24">
        <v>272.81</v>
      </c>
      <c r="G5126" s="24">
        <v>0.0</v>
      </c>
      <c r="H5126" s="24" t="s">
        <v>6698</v>
      </c>
      <c r="I5126" s="24" t="s">
        <v>6650</v>
      </c>
      <c r="J5126" s="24">
        <v>0.0</v>
      </c>
    </row>
    <row r="5127">
      <c r="A5127" s="24">
        <v>548.0</v>
      </c>
      <c r="B5127" s="24">
        <v>4.0</v>
      </c>
      <c r="C5127" s="44">
        <v>6.34</v>
      </c>
      <c r="D5127" s="46">
        <v>45234.0</v>
      </c>
      <c r="E5127" s="24">
        <v>1.58</v>
      </c>
      <c r="F5127" s="24">
        <v>11.57</v>
      </c>
      <c r="G5127" s="24">
        <v>0.73</v>
      </c>
      <c r="H5127" s="24" t="s">
        <v>6688</v>
      </c>
      <c r="I5127" s="24" t="s">
        <v>6650</v>
      </c>
      <c r="J5127" s="24">
        <v>0.0</v>
      </c>
    </row>
    <row r="5128">
      <c r="A5128" s="24">
        <v>429.0</v>
      </c>
      <c r="B5128" s="24">
        <v>3.0</v>
      </c>
      <c r="C5128" s="44">
        <v>5.8</v>
      </c>
      <c r="D5128" s="46">
        <v>45234.0</v>
      </c>
      <c r="E5128" s="24">
        <v>1.93</v>
      </c>
      <c r="F5128" s="24">
        <v>13.52</v>
      </c>
      <c r="G5128" s="24">
        <v>0.7</v>
      </c>
      <c r="H5128" s="24" t="s">
        <v>6689</v>
      </c>
      <c r="I5128" s="24" t="s">
        <v>6650</v>
      </c>
      <c r="J5128" s="24">
        <v>0.0</v>
      </c>
    </row>
    <row r="5129">
      <c r="A5129" s="24">
        <v>13.0</v>
      </c>
      <c r="B5129" s="24">
        <v>0.0</v>
      </c>
      <c r="C5129" s="44">
        <v>4.11</v>
      </c>
      <c r="D5129" s="46">
        <v>45234.0</v>
      </c>
      <c r="E5129" s="24" t="s">
        <v>6650</v>
      </c>
      <c r="F5129" s="24">
        <v>316.15</v>
      </c>
      <c r="G5129" s="24">
        <v>0.0</v>
      </c>
      <c r="H5129" s="24" t="s">
        <v>6701</v>
      </c>
      <c r="I5129" s="24" t="s">
        <v>6650</v>
      </c>
      <c r="J5129" s="24">
        <v>0.0</v>
      </c>
    </row>
    <row r="5130">
      <c r="A5130" s="24">
        <v>11.0</v>
      </c>
      <c r="B5130" s="24">
        <v>0.0</v>
      </c>
      <c r="C5130" s="44">
        <v>7.98</v>
      </c>
      <c r="D5130" s="46">
        <v>45234.0</v>
      </c>
      <c r="E5130" s="24" t="s">
        <v>6650</v>
      </c>
      <c r="F5130" s="24">
        <v>725.45</v>
      </c>
      <c r="G5130" s="24">
        <v>0.0</v>
      </c>
      <c r="H5130" s="24" t="s">
        <v>6697</v>
      </c>
      <c r="I5130" s="24" t="s">
        <v>6650</v>
      </c>
      <c r="J5130" s="24">
        <v>0.0</v>
      </c>
    </row>
    <row r="5131">
      <c r="A5131" s="24">
        <v>28.0</v>
      </c>
      <c r="B5131" s="24">
        <v>0.0</v>
      </c>
      <c r="C5131" s="44">
        <v>2.51</v>
      </c>
      <c r="D5131" s="46">
        <v>45235.0</v>
      </c>
      <c r="E5131" s="24" t="s">
        <v>6650</v>
      </c>
      <c r="F5131" s="24">
        <v>89.64</v>
      </c>
      <c r="G5131" s="24">
        <v>0.0</v>
      </c>
      <c r="H5131" s="24" t="s">
        <v>6680</v>
      </c>
      <c r="I5131" s="24" t="s">
        <v>6650</v>
      </c>
      <c r="J5131" s="24">
        <v>0.0</v>
      </c>
    </row>
    <row r="5132">
      <c r="A5132" s="24">
        <v>7.0</v>
      </c>
      <c r="B5132" s="24">
        <v>0.0</v>
      </c>
      <c r="C5132" s="44">
        <v>1.75</v>
      </c>
      <c r="D5132" s="46">
        <v>45235.0</v>
      </c>
      <c r="E5132" s="24" t="s">
        <v>6650</v>
      </c>
      <c r="F5132" s="24">
        <v>250.0</v>
      </c>
      <c r="G5132" s="24">
        <v>0.0</v>
      </c>
      <c r="H5132" s="24" t="s">
        <v>6695</v>
      </c>
      <c r="I5132" s="24" t="s">
        <v>6650</v>
      </c>
      <c r="J5132" s="24">
        <v>0.0</v>
      </c>
    </row>
    <row r="5133">
      <c r="A5133" s="24">
        <v>68.0</v>
      </c>
      <c r="B5133" s="24">
        <v>1.0</v>
      </c>
      <c r="C5133" s="44">
        <v>3.08</v>
      </c>
      <c r="D5133" s="46">
        <v>45235.0</v>
      </c>
      <c r="E5133" s="24">
        <v>3.08</v>
      </c>
      <c r="F5133" s="24">
        <v>45.29</v>
      </c>
      <c r="G5133" s="24">
        <v>1.47</v>
      </c>
      <c r="H5133" s="24" t="s">
        <v>6700</v>
      </c>
      <c r="I5133" s="24" t="s">
        <v>6650</v>
      </c>
      <c r="J5133" s="24">
        <v>0.0</v>
      </c>
    </row>
    <row r="5134">
      <c r="A5134" s="24">
        <v>6.0</v>
      </c>
      <c r="B5134" s="24">
        <v>0.0</v>
      </c>
      <c r="C5134" s="44">
        <v>0.08</v>
      </c>
      <c r="D5134" s="46">
        <v>45235.0</v>
      </c>
      <c r="E5134" s="24" t="s">
        <v>6650</v>
      </c>
      <c r="F5134" s="24">
        <v>13.33</v>
      </c>
      <c r="G5134" s="24">
        <v>0.0</v>
      </c>
      <c r="H5134" s="24" t="s">
        <v>6697</v>
      </c>
      <c r="I5134" s="24" t="s">
        <v>6650</v>
      </c>
      <c r="J5134" s="24">
        <v>0.0</v>
      </c>
    </row>
    <row r="5135">
      <c r="A5135" s="24">
        <v>14.0</v>
      </c>
      <c r="B5135" s="24">
        <v>0.0</v>
      </c>
      <c r="C5135" s="44">
        <v>0.8</v>
      </c>
      <c r="D5135" s="46">
        <v>45235.0</v>
      </c>
      <c r="E5135" s="24" t="s">
        <v>6650</v>
      </c>
      <c r="F5135" s="24">
        <v>57.14</v>
      </c>
      <c r="G5135" s="24">
        <v>0.0</v>
      </c>
      <c r="H5135" s="24" t="s">
        <v>6699</v>
      </c>
      <c r="I5135" s="24" t="s">
        <v>6650</v>
      </c>
      <c r="J5135" s="24">
        <v>0.0</v>
      </c>
    </row>
    <row r="5136">
      <c r="A5136" s="24">
        <v>411.0</v>
      </c>
      <c r="B5136" s="24">
        <v>4.0</v>
      </c>
      <c r="C5136" s="44">
        <v>5.15</v>
      </c>
      <c r="D5136" s="46">
        <v>45235.0</v>
      </c>
      <c r="E5136" s="24">
        <v>1.29</v>
      </c>
      <c r="F5136" s="24">
        <v>12.53</v>
      </c>
      <c r="G5136" s="24">
        <v>0.97</v>
      </c>
      <c r="H5136" s="24" t="s">
        <v>6689</v>
      </c>
      <c r="I5136" s="24" t="s">
        <v>6650</v>
      </c>
      <c r="J5136" s="24">
        <v>0.0</v>
      </c>
    </row>
    <row r="5137">
      <c r="A5137" s="24">
        <v>1.0</v>
      </c>
      <c r="B5137" s="24">
        <v>1.0</v>
      </c>
      <c r="C5137" s="44">
        <v>0.75</v>
      </c>
      <c r="D5137" s="46">
        <v>45235.0</v>
      </c>
      <c r="E5137" s="24">
        <v>0.75</v>
      </c>
      <c r="F5137" s="24">
        <v>750.0</v>
      </c>
      <c r="G5137" s="24">
        <v>100.0</v>
      </c>
      <c r="H5137" s="24" t="s">
        <v>6702</v>
      </c>
      <c r="I5137" s="24" t="s">
        <v>6650</v>
      </c>
      <c r="J5137" s="24">
        <v>0.0</v>
      </c>
    </row>
    <row r="5138">
      <c r="A5138" s="24">
        <v>10.0</v>
      </c>
      <c r="B5138" s="24">
        <v>0.0</v>
      </c>
      <c r="C5138" s="44">
        <v>1.52</v>
      </c>
      <c r="D5138" s="46">
        <v>45235.0</v>
      </c>
      <c r="E5138" s="24" t="s">
        <v>6650</v>
      </c>
      <c r="F5138" s="24">
        <v>152.0</v>
      </c>
      <c r="G5138" s="24">
        <v>0.0</v>
      </c>
      <c r="H5138" s="24" t="s">
        <v>6701</v>
      </c>
      <c r="I5138" s="24" t="s">
        <v>6650</v>
      </c>
      <c r="J5138" s="24">
        <v>0.0</v>
      </c>
    </row>
    <row r="5139">
      <c r="A5139" s="24">
        <v>472.0</v>
      </c>
      <c r="B5139" s="24">
        <v>9.0</v>
      </c>
      <c r="C5139" s="44">
        <v>6.28</v>
      </c>
      <c r="D5139" s="46">
        <v>45235.0</v>
      </c>
      <c r="E5139" s="24">
        <v>0.7</v>
      </c>
      <c r="F5139" s="24">
        <v>13.31</v>
      </c>
      <c r="G5139" s="24">
        <v>1.91</v>
      </c>
      <c r="H5139" s="24" t="s">
        <v>6688</v>
      </c>
      <c r="I5139" s="24">
        <v>2.09</v>
      </c>
      <c r="J5139" s="24">
        <v>0.0</v>
      </c>
    </row>
    <row r="5140">
      <c r="A5140" s="24">
        <v>51.0</v>
      </c>
      <c r="B5140" s="24">
        <v>0.0</v>
      </c>
      <c r="C5140" s="44">
        <v>6.06</v>
      </c>
      <c r="D5140" s="46">
        <v>45235.0</v>
      </c>
      <c r="E5140" s="24" t="s">
        <v>6650</v>
      </c>
      <c r="F5140" s="24">
        <v>118.82</v>
      </c>
      <c r="G5140" s="24">
        <v>0.0</v>
      </c>
      <c r="H5140" s="24" t="s">
        <v>6698</v>
      </c>
      <c r="I5140" s="24" t="s">
        <v>6650</v>
      </c>
      <c r="J5140" s="24">
        <v>0.0</v>
      </c>
    </row>
    <row r="5141">
      <c r="A5141" s="24">
        <v>210.0</v>
      </c>
      <c r="B5141" s="24">
        <v>0.0</v>
      </c>
      <c r="C5141" s="44">
        <v>14.96</v>
      </c>
      <c r="D5141" s="46">
        <v>45236.0</v>
      </c>
      <c r="E5141" s="24" t="s">
        <v>6650</v>
      </c>
      <c r="F5141" s="24">
        <v>71.24</v>
      </c>
      <c r="G5141" s="24">
        <v>0.0</v>
      </c>
      <c r="H5141" s="24" t="s">
        <v>6698</v>
      </c>
      <c r="I5141" s="24">
        <v>14.96</v>
      </c>
      <c r="J5141" s="24">
        <v>0.0</v>
      </c>
    </row>
    <row r="5142">
      <c r="A5142" s="24">
        <v>36.0</v>
      </c>
      <c r="B5142" s="24">
        <v>0.0</v>
      </c>
      <c r="C5142" s="44">
        <v>11.53</v>
      </c>
      <c r="D5142" s="46">
        <v>45236.0</v>
      </c>
      <c r="E5142" s="24" t="s">
        <v>6650</v>
      </c>
      <c r="F5142" s="24">
        <v>320.28</v>
      </c>
      <c r="G5142" s="24">
        <v>0.0</v>
      </c>
      <c r="H5142" s="24" t="s">
        <v>6695</v>
      </c>
      <c r="I5142" s="24" t="s">
        <v>6650</v>
      </c>
      <c r="J5142" s="24">
        <v>0.0</v>
      </c>
    </row>
    <row r="5143">
      <c r="A5143" s="24">
        <v>65.0</v>
      </c>
      <c r="B5143" s="24">
        <v>1.0</v>
      </c>
      <c r="C5143" s="44">
        <v>14.66</v>
      </c>
      <c r="D5143" s="46">
        <v>45236.0</v>
      </c>
      <c r="E5143" s="24">
        <v>14.66</v>
      </c>
      <c r="F5143" s="24">
        <v>225.54</v>
      </c>
      <c r="G5143" s="24">
        <v>1.54</v>
      </c>
      <c r="H5143" s="24" t="s">
        <v>6696</v>
      </c>
      <c r="I5143" s="24" t="s">
        <v>6650</v>
      </c>
      <c r="J5143" s="24">
        <v>0.0</v>
      </c>
    </row>
    <row r="5144">
      <c r="A5144" s="24">
        <v>877.0</v>
      </c>
      <c r="B5144" s="24">
        <v>4.0</v>
      </c>
      <c r="C5144" s="44">
        <v>11.11</v>
      </c>
      <c r="D5144" s="46">
        <v>45236.0</v>
      </c>
      <c r="E5144" s="24">
        <v>2.78</v>
      </c>
      <c r="F5144" s="24">
        <v>12.67</v>
      </c>
      <c r="G5144" s="24">
        <v>0.46</v>
      </c>
      <c r="H5144" s="24" t="s">
        <v>6689</v>
      </c>
      <c r="I5144" s="24" t="s">
        <v>6650</v>
      </c>
      <c r="J5144" s="24">
        <v>0.0</v>
      </c>
    </row>
    <row r="5145">
      <c r="A5145" s="24">
        <v>24.0</v>
      </c>
      <c r="B5145" s="24">
        <v>0.0</v>
      </c>
      <c r="C5145" s="44">
        <v>12.89</v>
      </c>
      <c r="D5145" s="46">
        <v>45236.0</v>
      </c>
      <c r="E5145" s="24" t="s">
        <v>6650</v>
      </c>
      <c r="F5145" s="24">
        <v>537.08</v>
      </c>
      <c r="G5145" s="24">
        <v>0.0</v>
      </c>
      <c r="H5145" s="24" t="s">
        <v>6697</v>
      </c>
      <c r="I5145" s="24" t="s">
        <v>6650</v>
      </c>
      <c r="J5145" s="24">
        <v>0.0</v>
      </c>
    </row>
    <row r="5146">
      <c r="A5146" s="24">
        <v>42.0</v>
      </c>
      <c r="B5146" s="24">
        <v>0.0</v>
      </c>
      <c r="C5146" s="44">
        <v>12.17</v>
      </c>
      <c r="D5146" s="46">
        <v>45236.0</v>
      </c>
      <c r="E5146" s="24" t="s">
        <v>6650</v>
      </c>
      <c r="F5146" s="24">
        <v>289.76</v>
      </c>
      <c r="G5146" s="24">
        <v>0.0</v>
      </c>
      <c r="H5146" s="24" t="s">
        <v>6701</v>
      </c>
      <c r="I5146" s="24" t="s">
        <v>6650</v>
      </c>
      <c r="J5146" s="24">
        <v>0.0</v>
      </c>
    </row>
    <row r="5147">
      <c r="A5147" s="24">
        <v>168.0</v>
      </c>
      <c r="B5147" s="24">
        <v>0.0</v>
      </c>
      <c r="C5147" s="44">
        <v>12.45</v>
      </c>
      <c r="D5147" s="46">
        <v>45236.0</v>
      </c>
      <c r="E5147" s="24" t="s">
        <v>6650</v>
      </c>
      <c r="F5147" s="24">
        <v>74.11</v>
      </c>
      <c r="G5147" s="24">
        <v>0.0</v>
      </c>
      <c r="H5147" s="24" t="s">
        <v>6700</v>
      </c>
      <c r="I5147" s="24">
        <v>12.45</v>
      </c>
      <c r="J5147" s="24">
        <v>0.0</v>
      </c>
    </row>
    <row r="5148">
      <c r="A5148" s="24">
        <v>7.0</v>
      </c>
      <c r="B5148" s="24">
        <v>3.0</v>
      </c>
      <c r="C5148" s="44">
        <v>5.25</v>
      </c>
      <c r="D5148" s="46">
        <v>45236.0</v>
      </c>
      <c r="E5148" s="24">
        <v>1.75</v>
      </c>
      <c r="F5148" s="24">
        <v>750.0</v>
      </c>
      <c r="G5148" s="24">
        <v>42.86</v>
      </c>
      <c r="H5148" s="24" t="s">
        <v>6702</v>
      </c>
      <c r="I5148" s="24" t="s">
        <v>6650</v>
      </c>
      <c r="J5148" s="24">
        <v>0.0</v>
      </c>
    </row>
    <row r="5149">
      <c r="A5149" s="24">
        <v>955.0</v>
      </c>
      <c r="B5149" s="24">
        <v>7.0</v>
      </c>
      <c r="C5149" s="44">
        <v>11.89</v>
      </c>
      <c r="D5149" s="46">
        <v>45236.0</v>
      </c>
      <c r="E5149" s="24">
        <v>1.7</v>
      </c>
      <c r="F5149" s="24">
        <v>12.45</v>
      </c>
      <c r="G5149" s="24">
        <v>0.73</v>
      </c>
      <c r="H5149" s="24" t="s">
        <v>6688</v>
      </c>
      <c r="I5149" s="24">
        <v>5.94</v>
      </c>
      <c r="J5149" s="24">
        <v>0.0</v>
      </c>
    </row>
    <row r="5150">
      <c r="A5150" s="24">
        <v>145.0</v>
      </c>
      <c r="B5150" s="24">
        <v>1.0</v>
      </c>
      <c r="C5150" s="44">
        <v>14.3</v>
      </c>
      <c r="D5150" s="46">
        <v>45236.0</v>
      </c>
      <c r="E5150" s="24">
        <v>14.3</v>
      </c>
      <c r="F5150" s="24">
        <v>98.62</v>
      </c>
      <c r="G5150" s="24">
        <v>0.69</v>
      </c>
      <c r="H5150" s="24" t="s">
        <v>6680</v>
      </c>
      <c r="I5150" s="24" t="s">
        <v>6650</v>
      </c>
      <c r="J5150" s="24">
        <v>0.0</v>
      </c>
    </row>
    <row r="5151">
      <c r="A5151" s="24">
        <v>62.0</v>
      </c>
      <c r="B5151" s="24">
        <v>0.0</v>
      </c>
      <c r="C5151" s="44">
        <v>12.55</v>
      </c>
      <c r="D5151" s="46">
        <v>45236.0</v>
      </c>
      <c r="E5151" s="24" t="s">
        <v>6650</v>
      </c>
      <c r="F5151" s="24">
        <v>202.42</v>
      </c>
      <c r="G5151" s="24">
        <v>0.0</v>
      </c>
      <c r="H5151" s="24" t="s">
        <v>6699</v>
      </c>
      <c r="I5151" s="24" t="s">
        <v>6650</v>
      </c>
      <c r="J5151" s="24">
        <v>0.0</v>
      </c>
    </row>
    <row r="5152">
      <c r="A5152" s="24">
        <v>6.0</v>
      </c>
      <c r="B5152" s="24">
        <v>4.0</v>
      </c>
      <c r="C5152" s="44">
        <v>4.5</v>
      </c>
      <c r="D5152" s="46">
        <v>45237.0</v>
      </c>
      <c r="E5152" s="24">
        <v>1.12</v>
      </c>
      <c r="F5152" s="24">
        <v>750.0</v>
      </c>
      <c r="G5152" s="24">
        <v>66.67</v>
      </c>
      <c r="H5152" s="24" t="s">
        <v>6702</v>
      </c>
      <c r="I5152" s="24" t="s">
        <v>6650</v>
      </c>
      <c r="J5152" s="24">
        <v>0.0</v>
      </c>
    </row>
    <row r="5153">
      <c r="A5153" s="24">
        <v>806.0</v>
      </c>
      <c r="B5153" s="24">
        <v>3.0</v>
      </c>
      <c r="C5153" s="44">
        <v>12.27</v>
      </c>
      <c r="D5153" s="46">
        <v>45237.0</v>
      </c>
      <c r="E5153" s="24">
        <v>4.09</v>
      </c>
      <c r="F5153" s="24">
        <v>15.22</v>
      </c>
      <c r="G5153" s="24">
        <v>0.37</v>
      </c>
      <c r="H5153" s="24" t="s">
        <v>6689</v>
      </c>
      <c r="I5153" s="24" t="s">
        <v>6650</v>
      </c>
      <c r="J5153" s="24">
        <v>0.0</v>
      </c>
    </row>
    <row r="5154">
      <c r="A5154" s="24">
        <v>37.0</v>
      </c>
      <c r="B5154" s="24">
        <v>0.0</v>
      </c>
      <c r="C5154" s="44">
        <v>14.26</v>
      </c>
      <c r="D5154" s="46">
        <v>45237.0</v>
      </c>
      <c r="E5154" s="24" t="s">
        <v>6650</v>
      </c>
      <c r="F5154" s="24">
        <v>385.41</v>
      </c>
      <c r="G5154" s="24">
        <v>0.0</v>
      </c>
      <c r="H5154" s="24" t="s">
        <v>6695</v>
      </c>
      <c r="I5154" s="24" t="s">
        <v>6650</v>
      </c>
      <c r="J5154" s="24">
        <v>0.0</v>
      </c>
    </row>
    <row r="5155">
      <c r="A5155" s="24">
        <v>57.0</v>
      </c>
      <c r="B5155" s="24">
        <v>0.0</v>
      </c>
      <c r="C5155" s="44">
        <v>13.76</v>
      </c>
      <c r="D5155" s="46">
        <v>45237.0</v>
      </c>
      <c r="E5155" s="24" t="s">
        <v>6650</v>
      </c>
      <c r="F5155" s="24">
        <v>241.4</v>
      </c>
      <c r="G5155" s="24">
        <v>0.0</v>
      </c>
      <c r="H5155" s="24" t="s">
        <v>6701</v>
      </c>
      <c r="I5155" s="24" t="s">
        <v>6650</v>
      </c>
      <c r="J5155" s="24">
        <v>0.0</v>
      </c>
    </row>
    <row r="5156">
      <c r="A5156" s="24">
        <v>855.0</v>
      </c>
      <c r="B5156" s="24">
        <v>5.0</v>
      </c>
      <c r="C5156" s="44">
        <v>12.21</v>
      </c>
      <c r="D5156" s="46">
        <v>45237.0</v>
      </c>
      <c r="E5156" s="24">
        <v>2.44</v>
      </c>
      <c r="F5156" s="24">
        <v>14.28</v>
      </c>
      <c r="G5156" s="24">
        <v>0.58</v>
      </c>
      <c r="H5156" s="24" t="s">
        <v>6688</v>
      </c>
      <c r="I5156" s="24">
        <v>12.21</v>
      </c>
      <c r="J5156" s="24">
        <v>0.0</v>
      </c>
    </row>
    <row r="5157">
      <c r="A5157" s="24">
        <v>178.0</v>
      </c>
      <c r="B5157" s="24">
        <v>1.0</v>
      </c>
      <c r="C5157" s="44">
        <v>16.57</v>
      </c>
      <c r="D5157" s="46">
        <v>45237.0</v>
      </c>
      <c r="E5157" s="24">
        <v>16.57</v>
      </c>
      <c r="F5157" s="24">
        <v>93.09</v>
      </c>
      <c r="G5157" s="24">
        <v>0.56</v>
      </c>
      <c r="H5157" s="24" t="s">
        <v>6698</v>
      </c>
      <c r="I5157" s="24">
        <v>16.57</v>
      </c>
      <c r="J5157" s="24">
        <v>0.0</v>
      </c>
    </row>
    <row r="5158">
      <c r="A5158" s="24">
        <v>27.0</v>
      </c>
      <c r="B5158" s="24">
        <v>0.0</v>
      </c>
      <c r="C5158" s="44">
        <v>12.78</v>
      </c>
      <c r="D5158" s="46">
        <v>45237.0</v>
      </c>
      <c r="E5158" s="24" t="s">
        <v>6650</v>
      </c>
      <c r="F5158" s="24">
        <v>473.33</v>
      </c>
      <c r="G5158" s="24">
        <v>0.0</v>
      </c>
      <c r="H5158" s="24" t="s">
        <v>6696</v>
      </c>
      <c r="I5158" s="24">
        <v>6.39</v>
      </c>
      <c r="J5158" s="24">
        <v>0.0</v>
      </c>
    </row>
    <row r="5159">
      <c r="A5159" s="24">
        <v>40.0</v>
      </c>
      <c r="B5159" s="24">
        <v>0.0</v>
      </c>
      <c r="C5159" s="44">
        <v>13.67</v>
      </c>
      <c r="D5159" s="46">
        <v>45237.0</v>
      </c>
      <c r="E5159" s="24" t="s">
        <v>6650</v>
      </c>
      <c r="F5159" s="24">
        <v>341.75</v>
      </c>
      <c r="G5159" s="24">
        <v>0.0</v>
      </c>
      <c r="H5159" s="24" t="s">
        <v>6699</v>
      </c>
      <c r="I5159" s="24" t="s">
        <v>6650</v>
      </c>
      <c r="J5159" s="24">
        <v>0.0</v>
      </c>
    </row>
    <row r="5160">
      <c r="A5160" s="24">
        <v>96.0</v>
      </c>
      <c r="B5160" s="24">
        <v>0.0</v>
      </c>
      <c r="C5160" s="44">
        <v>13.58</v>
      </c>
      <c r="D5160" s="46">
        <v>45237.0</v>
      </c>
      <c r="E5160" s="24" t="s">
        <v>6650</v>
      </c>
      <c r="F5160" s="24">
        <v>141.46</v>
      </c>
      <c r="G5160" s="24">
        <v>0.0</v>
      </c>
      <c r="H5160" s="24" t="s">
        <v>6700</v>
      </c>
      <c r="I5160" s="24">
        <v>13.58</v>
      </c>
      <c r="J5160" s="24">
        <v>0.0</v>
      </c>
    </row>
    <row r="5161">
      <c r="A5161" s="24">
        <v>23.0</v>
      </c>
      <c r="B5161" s="24">
        <v>0.0</v>
      </c>
      <c r="C5161" s="44">
        <v>13.11</v>
      </c>
      <c r="D5161" s="46">
        <v>45237.0</v>
      </c>
      <c r="E5161" s="24" t="s">
        <v>6650</v>
      </c>
      <c r="F5161" s="24">
        <v>570.0</v>
      </c>
      <c r="G5161" s="24">
        <v>0.0</v>
      </c>
      <c r="H5161" s="24" t="s">
        <v>6697</v>
      </c>
      <c r="I5161" s="24" t="s">
        <v>6650</v>
      </c>
      <c r="J5161" s="24">
        <v>0.0</v>
      </c>
    </row>
    <row r="5162">
      <c r="A5162" s="24">
        <v>76.0</v>
      </c>
      <c r="B5162" s="24">
        <v>0.0</v>
      </c>
      <c r="C5162" s="44">
        <v>13.02</v>
      </c>
      <c r="D5162" s="46">
        <v>45237.0</v>
      </c>
      <c r="E5162" s="24" t="s">
        <v>6650</v>
      </c>
      <c r="F5162" s="24">
        <v>171.32</v>
      </c>
      <c r="G5162" s="24">
        <v>0.0</v>
      </c>
      <c r="H5162" s="24" t="s">
        <v>6680</v>
      </c>
      <c r="I5162" s="24" t="s">
        <v>6650</v>
      </c>
      <c r="J5162" s="24">
        <v>0.0</v>
      </c>
    </row>
    <row r="5163">
      <c r="A5163" s="24">
        <v>1.0</v>
      </c>
      <c r="B5163" s="24">
        <v>3.0</v>
      </c>
      <c r="C5163" s="44">
        <v>0.75</v>
      </c>
      <c r="D5163" s="46">
        <v>45238.0</v>
      </c>
      <c r="E5163" s="24">
        <v>0.25</v>
      </c>
      <c r="F5163" s="24">
        <v>750.0</v>
      </c>
      <c r="G5163" s="24">
        <v>300.0</v>
      </c>
      <c r="H5163" s="24" t="s">
        <v>6702</v>
      </c>
      <c r="I5163" s="24" t="s">
        <v>6650</v>
      </c>
      <c r="J5163" s="24">
        <v>0.0</v>
      </c>
    </row>
    <row r="5164">
      <c r="A5164" s="24">
        <v>857.0</v>
      </c>
      <c r="B5164" s="24">
        <v>8.0</v>
      </c>
      <c r="C5164" s="44">
        <v>12.14</v>
      </c>
      <c r="D5164" s="46">
        <v>45238.0</v>
      </c>
      <c r="E5164" s="24">
        <v>1.52</v>
      </c>
      <c r="F5164" s="24">
        <v>14.17</v>
      </c>
      <c r="G5164" s="24">
        <v>0.93</v>
      </c>
      <c r="H5164" s="24" t="s">
        <v>6689</v>
      </c>
      <c r="I5164" s="24" t="s">
        <v>6650</v>
      </c>
      <c r="J5164" s="24">
        <v>0.0</v>
      </c>
    </row>
    <row r="5165">
      <c r="A5165" s="24">
        <v>117.0</v>
      </c>
      <c r="B5165" s="24">
        <v>0.0</v>
      </c>
      <c r="C5165" s="44">
        <v>15.72</v>
      </c>
      <c r="D5165" s="46">
        <v>45238.0</v>
      </c>
      <c r="E5165" s="24" t="s">
        <v>6650</v>
      </c>
      <c r="F5165" s="24">
        <v>134.36</v>
      </c>
      <c r="G5165" s="24">
        <v>0.0</v>
      </c>
      <c r="H5165" s="24" t="s">
        <v>6680</v>
      </c>
      <c r="I5165" s="24" t="s">
        <v>6650</v>
      </c>
      <c r="J5165" s="24">
        <v>0.0</v>
      </c>
    </row>
    <row r="5166">
      <c r="A5166" s="24">
        <v>46.0</v>
      </c>
      <c r="B5166" s="24">
        <v>0.0</v>
      </c>
      <c r="C5166" s="44">
        <v>12.59</v>
      </c>
      <c r="D5166" s="46">
        <v>45238.0</v>
      </c>
      <c r="E5166" s="24" t="s">
        <v>6650</v>
      </c>
      <c r="F5166" s="24">
        <v>273.7</v>
      </c>
      <c r="G5166" s="24">
        <v>0.0</v>
      </c>
      <c r="H5166" s="24" t="s">
        <v>6701</v>
      </c>
      <c r="I5166" s="24" t="s">
        <v>6650</v>
      </c>
      <c r="J5166" s="24">
        <v>0.0</v>
      </c>
    </row>
    <row r="5167">
      <c r="A5167" s="24">
        <v>28.0</v>
      </c>
      <c r="B5167" s="24">
        <v>1.0</v>
      </c>
      <c r="C5167" s="44">
        <v>13.46</v>
      </c>
      <c r="D5167" s="46">
        <v>45238.0</v>
      </c>
      <c r="E5167" s="24">
        <v>13.46</v>
      </c>
      <c r="F5167" s="24">
        <v>480.71</v>
      </c>
      <c r="G5167" s="24">
        <v>3.57</v>
      </c>
      <c r="H5167" s="24" t="s">
        <v>6699</v>
      </c>
      <c r="I5167" s="24" t="s">
        <v>6650</v>
      </c>
      <c r="J5167" s="24">
        <v>0.0</v>
      </c>
    </row>
    <row r="5168">
      <c r="A5168" s="24">
        <v>27.0</v>
      </c>
      <c r="B5168" s="24">
        <v>0.0</v>
      </c>
      <c r="C5168" s="44">
        <v>13.43</v>
      </c>
      <c r="D5168" s="46">
        <v>45238.0</v>
      </c>
      <c r="E5168" s="24" t="s">
        <v>6650</v>
      </c>
      <c r="F5168" s="24">
        <v>497.41</v>
      </c>
      <c r="G5168" s="24">
        <v>0.0</v>
      </c>
      <c r="H5168" s="24" t="s">
        <v>6697</v>
      </c>
      <c r="I5168" s="24" t="s">
        <v>6650</v>
      </c>
      <c r="J5168" s="24">
        <v>0.0</v>
      </c>
    </row>
    <row r="5169">
      <c r="A5169" s="24">
        <v>40.0</v>
      </c>
      <c r="B5169" s="24">
        <v>0.0</v>
      </c>
      <c r="C5169" s="44">
        <v>12.77</v>
      </c>
      <c r="D5169" s="46">
        <v>45238.0</v>
      </c>
      <c r="E5169" s="24" t="s">
        <v>6650</v>
      </c>
      <c r="F5169" s="24">
        <v>319.25</v>
      </c>
      <c r="G5169" s="24">
        <v>0.0</v>
      </c>
      <c r="H5169" s="24" t="s">
        <v>6696</v>
      </c>
      <c r="I5169" s="24" t="s">
        <v>6650</v>
      </c>
      <c r="J5169" s="24">
        <v>0.0</v>
      </c>
    </row>
    <row r="5170">
      <c r="A5170" s="24">
        <v>23.0</v>
      </c>
      <c r="B5170" s="24">
        <v>0.0</v>
      </c>
      <c r="C5170" s="44">
        <v>13.37</v>
      </c>
      <c r="D5170" s="46">
        <v>45238.0</v>
      </c>
      <c r="E5170" s="24" t="s">
        <v>6650</v>
      </c>
      <c r="F5170" s="24">
        <v>581.3</v>
      </c>
      <c r="G5170" s="24">
        <v>0.0</v>
      </c>
      <c r="H5170" s="24" t="s">
        <v>6695</v>
      </c>
      <c r="I5170" s="24" t="s">
        <v>6650</v>
      </c>
      <c r="J5170" s="24">
        <v>0.0</v>
      </c>
    </row>
    <row r="5171">
      <c r="A5171" s="24">
        <v>93.0</v>
      </c>
      <c r="B5171" s="24">
        <v>0.0</v>
      </c>
      <c r="C5171" s="44">
        <v>13.39</v>
      </c>
      <c r="D5171" s="46">
        <v>45238.0</v>
      </c>
      <c r="E5171" s="24" t="s">
        <v>6650</v>
      </c>
      <c r="F5171" s="24">
        <v>143.98</v>
      </c>
      <c r="G5171" s="24">
        <v>0.0</v>
      </c>
      <c r="H5171" s="24" t="s">
        <v>6700</v>
      </c>
      <c r="I5171" s="24">
        <v>13.39</v>
      </c>
      <c r="J5171" s="24">
        <v>0.0</v>
      </c>
    </row>
    <row r="5172">
      <c r="A5172" s="24">
        <v>837.0</v>
      </c>
      <c r="B5172" s="24">
        <v>4.0</v>
      </c>
      <c r="C5172" s="44">
        <v>12.71</v>
      </c>
      <c r="D5172" s="46">
        <v>45238.0</v>
      </c>
      <c r="E5172" s="24">
        <v>3.18</v>
      </c>
      <c r="F5172" s="24">
        <v>15.19</v>
      </c>
      <c r="G5172" s="24">
        <v>0.48</v>
      </c>
      <c r="H5172" s="24" t="s">
        <v>6688</v>
      </c>
      <c r="I5172" s="24">
        <v>12.71</v>
      </c>
      <c r="J5172" s="24">
        <v>0.0</v>
      </c>
    </row>
    <row r="5173">
      <c r="A5173" s="24">
        <v>181.0</v>
      </c>
      <c r="B5173" s="24">
        <v>2.0</v>
      </c>
      <c r="C5173" s="44">
        <v>14.81</v>
      </c>
      <c r="D5173" s="46">
        <v>45238.0</v>
      </c>
      <c r="E5173" s="24">
        <v>7.4</v>
      </c>
      <c r="F5173" s="24">
        <v>81.82</v>
      </c>
      <c r="G5173" s="24">
        <v>1.1</v>
      </c>
      <c r="H5173" s="24" t="s">
        <v>6698</v>
      </c>
      <c r="I5173" s="24" t="s">
        <v>6650</v>
      </c>
      <c r="J5173" s="24">
        <v>0.0</v>
      </c>
    </row>
    <row r="5174">
      <c r="A5174" s="24">
        <v>24.0</v>
      </c>
      <c r="B5174" s="24">
        <v>0.0</v>
      </c>
      <c r="C5174" s="44">
        <v>13.31</v>
      </c>
      <c r="D5174" s="46">
        <v>45239.0</v>
      </c>
      <c r="E5174" s="24" t="s">
        <v>6650</v>
      </c>
      <c r="F5174" s="24">
        <v>554.58</v>
      </c>
      <c r="G5174" s="24">
        <v>0.0</v>
      </c>
      <c r="H5174" s="24" t="s">
        <v>6697</v>
      </c>
      <c r="I5174" s="24" t="s">
        <v>6650</v>
      </c>
      <c r="J5174" s="24">
        <v>0.0</v>
      </c>
    </row>
    <row r="5175">
      <c r="A5175" s="24">
        <v>744.0</v>
      </c>
      <c r="B5175" s="24">
        <v>5.0</v>
      </c>
      <c r="C5175" s="44">
        <v>12.46</v>
      </c>
      <c r="D5175" s="46">
        <v>45239.0</v>
      </c>
      <c r="E5175" s="24">
        <v>2.49</v>
      </c>
      <c r="F5175" s="24">
        <v>16.75</v>
      </c>
      <c r="G5175" s="24">
        <v>0.67</v>
      </c>
      <c r="H5175" s="24" t="s">
        <v>6689</v>
      </c>
      <c r="I5175" s="24">
        <v>12.46</v>
      </c>
      <c r="J5175" s="24">
        <v>0.0</v>
      </c>
    </row>
    <row r="5176">
      <c r="A5176" s="24">
        <v>102.0</v>
      </c>
      <c r="B5176" s="24">
        <v>0.0</v>
      </c>
      <c r="C5176" s="44">
        <v>10.52</v>
      </c>
      <c r="D5176" s="46">
        <v>45239.0</v>
      </c>
      <c r="E5176" s="24" t="s">
        <v>6650</v>
      </c>
      <c r="F5176" s="24">
        <v>103.14</v>
      </c>
      <c r="G5176" s="24">
        <v>0.0</v>
      </c>
      <c r="H5176" s="24" t="s">
        <v>6700</v>
      </c>
      <c r="I5176" s="24">
        <v>5.26</v>
      </c>
      <c r="J5176" s="24">
        <v>0.0</v>
      </c>
    </row>
    <row r="5177">
      <c r="A5177" s="24">
        <v>63.0</v>
      </c>
      <c r="B5177" s="24">
        <v>0.0</v>
      </c>
      <c r="C5177" s="44">
        <v>13.36</v>
      </c>
      <c r="D5177" s="46">
        <v>45239.0</v>
      </c>
      <c r="E5177" s="24" t="s">
        <v>6650</v>
      </c>
      <c r="F5177" s="24">
        <v>212.06</v>
      </c>
      <c r="G5177" s="24">
        <v>0.0</v>
      </c>
      <c r="H5177" s="24" t="s">
        <v>6680</v>
      </c>
      <c r="I5177" s="24" t="s">
        <v>6650</v>
      </c>
      <c r="J5177" s="24">
        <v>0.0</v>
      </c>
    </row>
    <row r="5178">
      <c r="A5178" s="24">
        <v>89.0</v>
      </c>
      <c r="B5178" s="24">
        <v>3.0</v>
      </c>
      <c r="C5178" s="44">
        <v>13.26</v>
      </c>
      <c r="D5178" s="46">
        <v>45239.0</v>
      </c>
      <c r="E5178" s="24">
        <v>4.42</v>
      </c>
      <c r="F5178" s="24">
        <v>148.99</v>
      </c>
      <c r="G5178" s="24">
        <v>3.37</v>
      </c>
      <c r="H5178" s="24" t="s">
        <v>6698</v>
      </c>
      <c r="I5178" s="24">
        <v>4.42</v>
      </c>
      <c r="J5178" s="24">
        <v>0.0</v>
      </c>
    </row>
    <row r="5179">
      <c r="A5179" s="24">
        <v>31.0</v>
      </c>
      <c r="B5179" s="24">
        <v>0.0</v>
      </c>
      <c r="C5179" s="44">
        <v>11.41</v>
      </c>
      <c r="D5179" s="46">
        <v>45239.0</v>
      </c>
      <c r="E5179" s="24" t="s">
        <v>6650</v>
      </c>
      <c r="F5179" s="24">
        <v>368.06</v>
      </c>
      <c r="G5179" s="24">
        <v>0.0</v>
      </c>
      <c r="H5179" s="24" t="s">
        <v>6695</v>
      </c>
      <c r="I5179" s="24">
        <v>11.41</v>
      </c>
      <c r="J5179" s="24">
        <v>0.0</v>
      </c>
    </row>
    <row r="5180">
      <c r="A5180" s="24">
        <v>31.0</v>
      </c>
      <c r="B5180" s="24">
        <v>0.0</v>
      </c>
      <c r="C5180" s="44">
        <v>12.0</v>
      </c>
      <c r="D5180" s="46">
        <v>45239.0</v>
      </c>
      <c r="E5180" s="24" t="s">
        <v>6650</v>
      </c>
      <c r="F5180" s="24">
        <v>387.1</v>
      </c>
      <c r="G5180" s="24">
        <v>0.0</v>
      </c>
      <c r="H5180" s="24" t="s">
        <v>6699</v>
      </c>
      <c r="I5180" s="24" t="s">
        <v>6650</v>
      </c>
      <c r="J5180" s="24">
        <v>0.0</v>
      </c>
    </row>
    <row r="5181">
      <c r="A5181" s="24">
        <v>42.0</v>
      </c>
      <c r="B5181" s="24">
        <v>1.0</v>
      </c>
      <c r="C5181" s="44">
        <v>11.51</v>
      </c>
      <c r="D5181" s="46">
        <v>45239.0</v>
      </c>
      <c r="E5181" s="24">
        <v>11.51</v>
      </c>
      <c r="F5181" s="24">
        <v>274.05</v>
      </c>
      <c r="G5181" s="24">
        <v>2.38</v>
      </c>
      <c r="H5181" s="24" t="s">
        <v>6696</v>
      </c>
      <c r="I5181" s="24">
        <v>11.51</v>
      </c>
      <c r="J5181" s="24">
        <v>0.0</v>
      </c>
    </row>
    <row r="5182">
      <c r="A5182" s="24">
        <v>3.0</v>
      </c>
      <c r="B5182" s="24">
        <v>4.0</v>
      </c>
      <c r="C5182" s="44">
        <v>2.25</v>
      </c>
      <c r="D5182" s="46">
        <v>45239.0</v>
      </c>
      <c r="E5182" s="24">
        <v>0.56</v>
      </c>
      <c r="F5182" s="24">
        <v>750.0</v>
      </c>
      <c r="G5182" s="24">
        <v>133.33</v>
      </c>
      <c r="H5182" s="24" t="s">
        <v>6702</v>
      </c>
      <c r="I5182" s="24" t="s">
        <v>6650</v>
      </c>
      <c r="J5182" s="24">
        <v>0.0</v>
      </c>
    </row>
    <row r="5183">
      <c r="A5183" s="24">
        <v>56.0</v>
      </c>
      <c r="B5183" s="24">
        <v>0.0</v>
      </c>
      <c r="C5183" s="44">
        <v>13.72</v>
      </c>
      <c r="D5183" s="46">
        <v>45239.0</v>
      </c>
      <c r="E5183" s="24" t="s">
        <v>6650</v>
      </c>
      <c r="F5183" s="24">
        <v>245.0</v>
      </c>
      <c r="G5183" s="24">
        <v>0.0</v>
      </c>
      <c r="H5183" s="24" t="s">
        <v>6701</v>
      </c>
      <c r="I5183" s="24" t="s">
        <v>6650</v>
      </c>
      <c r="J5183" s="24">
        <v>0.0</v>
      </c>
    </row>
    <row r="5184">
      <c r="A5184" s="24">
        <v>722.0</v>
      </c>
      <c r="B5184" s="24">
        <v>7.0</v>
      </c>
      <c r="C5184" s="44">
        <v>11.63</v>
      </c>
      <c r="D5184" s="46">
        <v>45239.0</v>
      </c>
      <c r="E5184" s="24">
        <v>1.66</v>
      </c>
      <c r="F5184" s="24">
        <v>16.11</v>
      </c>
      <c r="G5184" s="24">
        <v>0.97</v>
      </c>
      <c r="H5184" s="24" t="s">
        <v>6688</v>
      </c>
      <c r="I5184" s="24">
        <v>11.63</v>
      </c>
      <c r="J5184" s="24">
        <v>0.0</v>
      </c>
    </row>
    <row r="5185">
      <c r="A5185" s="24">
        <v>34.0</v>
      </c>
      <c r="B5185" s="24">
        <v>0.0</v>
      </c>
      <c r="C5185" s="44">
        <v>9.93</v>
      </c>
      <c r="D5185" s="46">
        <v>45240.0</v>
      </c>
      <c r="E5185" s="24" t="s">
        <v>6650</v>
      </c>
      <c r="F5185" s="24">
        <v>292.06</v>
      </c>
      <c r="G5185" s="24">
        <v>0.0</v>
      </c>
      <c r="H5185" s="24" t="s">
        <v>6701</v>
      </c>
      <c r="I5185" s="24" t="s">
        <v>6650</v>
      </c>
      <c r="J5185" s="24">
        <v>0.0</v>
      </c>
    </row>
    <row r="5186">
      <c r="A5186" s="24">
        <v>659.0</v>
      </c>
      <c r="B5186" s="24">
        <v>6.0</v>
      </c>
      <c r="C5186" s="44">
        <v>10.71</v>
      </c>
      <c r="D5186" s="46">
        <v>45240.0</v>
      </c>
      <c r="E5186" s="24">
        <v>1.78</v>
      </c>
      <c r="F5186" s="24">
        <v>16.25</v>
      </c>
      <c r="G5186" s="24">
        <v>0.91</v>
      </c>
      <c r="H5186" s="24" t="s">
        <v>6689</v>
      </c>
      <c r="I5186" s="24" t="s">
        <v>6650</v>
      </c>
      <c r="J5186" s="24">
        <v>0.0</v>
      </c>
    </row>
    <row r="5187">
      <c r="A5187" s="24">
        <v>5.0</v>
      </c>
      <c r="B5187" s="24">
        <v>2.0</v>
      </c>
      <c r="C5187" s="44">
        <v>3.75</v>
      </c>
      <c r="D5187" s="46">
        <v>45240.0</v>
      </c>
      <c r="E5187" s="24">
        <v>1.88</v>
      </c>
      <c r="F5187" s="24">
        <v>750.0</v>
      </c>
      <c r="G5187" s="24">
        <v>40.0</v>
      </c>
      <c r="H5187" s="24" t="s">
        <v>6702</v>
      </c>
      <c r="I5187" s="24" t="s">
        <v>6650</v>
      </c>
      <c r="J5187" s="24">
        <v>0.0</v>
      </c>
    </row>
    <row r="5188">
      <c r="A5188" s="24">
        <v>545.0</v>
      </c>
      <c r="B5188" s="24">
        <v>3.0</v>
      </c>
      <c r="C5188" s="44">
        <v>9.72</v>
      </c>
      <c r="D5188" s="46">
        <v>45240.0</v>
      </c>
      <c r="E5188" s="24">
        <v>3.24</v>
      </c>
      <c r="F5188" s="24">
        <v>17.83</v>
      </c>
      <c r="G5188" s="24">
        <v>0.55</v>
      </c>
      <c r="H5188" s="24" t="s">
        <v>6688</v>
      </c>
      <c r="I5188" s="24">
        <v>9.72</v>
      </c>
      <c r="J5188" s="24">
        <v>0.0</v>
      </c>
    </row>
    <row r="5189">
      <c r="A5189" s="24">
        <v>32.0</v>
      </c>
      <c r="B5189" s="24">
        <v>0.0</v>
      </c>
      <c r="C5189" s="44">
        <v>12.13</v>
      </c>
      <c r="D5189" s="46">
        <v>45240.0</v>
      </c>
      <c r="E5189" s="24" t="s">
        <v>6650</v>
      </c>
      <c r="F5189" s="24">
        <v>379.06</v>
      </c>
      <c r="G5189" s="24">
        <v>0.0</v>
      </c>
      <c r="H5189" s="24" t="s">
        <v>6696</v>
      </c>
      <c r="I5189" s="24" t="s">
        <v>6650</v>
      </c>
      <c r="J5189" s="24">
        <v>0.0</v>
      </c>
    </row>
    <row r="5190">
      <c r="A5190" s="24">
        <v>162.0</v>
      </c>
      <c r="B5190" s="24">
        <v>0.0</v>
      </c>
      <c r="C5190" s="44">
        <v>9.38</v>
      </c>
      <c r="D5190" s="46">
        <v>45240.0</v>
      </c>
      <c r="E5190" s="24" t="s">
        <v>6650</v>
      </c>
      <c r="F5190" s="24">
        <v>57.9</v>
      </c>
      <c r="G5190" s="24">
        <v>0.0</v>
      </c>
      <c r="H5190" s="24" t="s">
        <v>6700</v>
      </c>
      <c r="I5190" s="24" t="s">
        <v>6650</v>
      </c>
      <c r="J5190" s="24">
        <v>0.0</v>
      </c>
    </row>
    <row r="5191">
      <c r="A5191" s="24">
        <v>18.0</v>
      </c>
      <c r="B5191" s="24">
        <v>0.0</v>
      </c>
      <c r="C5191" s="44">
        <v>13.19</v>
      </c>
      <c r="D5191" s="46">
        <v>45240.0</v>
      </c>
      <c r="E5191" s="24" t="s">
        <v>6650</v>
      </c>
      <c r="F5191" s="24">
        <v>732.78</v>
      </c>
      <c r="G5191" s="24">
        <v>0.0</v>
      </c>
      <c r="H5191" s="24" t="s">
        <v>6695</v>
      </c>
      <c r="I5191" s="24" t="s">
        <v>6650</v>
      </c>
      <c r="J5191" s="24">
        <v>0.0</v>
      </c>
    </row>
    <row r="5192">
      <c r="A5192" s="24">
        <v>38.0</v>
      </c>
      <c r="B5192" s="24">
        <v>0.0</v>
      </c>
      <c r="C5192" s="44">
        <v>10.26</v>
      </c>
      <c r="D5192" s="46">
        <v>45240.0</v>
      </c>
      <c r="E5192" s="24" t="s">
        <v>6650</v>
      </c>
      <c r="F5192" s="24">
        <v>270.0</v>
      </c>
      <c r="G5192" s="24">
        <v>0.0</v>
      </c>
      <c r="H5192" s="24" t="s">
        <v>6680</v>
      </c>
      <c r="I5192" s="24" t="s">
        <v>6650</v>
      </c>
      <c r="J5192" s="24">
        <v>0.0</v>
      </c>
    </row>
    <row r="5193">
      <c r="A5193" s="24">
        <v>21.0</v>
      </c>
      <c r="B5193" s="24">
        <v>0.0</v>
      </c>
      <c r="C5193" s="44">
        <v>9.77</v>
      </c>
      <c r="D5193" s="46">
        <v>45240.0</v>
      </c>
      <c r="E5193" s="24" t="s">
        <v>6650</v>
      </c>
      <c r="F5193" s="24">
        <v>465.24</v>
      </c>
      <c r="G5193" s="24">
        <v>0.0</v>
      </c>
      <c r="H5193" s="24" t="s">
        <v>6697</v>
      </c>
      <c r="I5193" s="24" t="s">
        <v>6650</v>
      </c>
      <c r="J5193" s="24">
        <v>0.0</v>
      </c>
    </row>
    <row r="5194">
      <c r="A5194" s="24">
        <v>34.0</v>
      </c>
      <c r="B5194" s="24">
        <v>0.0</v>
      </c>
      <c r="C5194" s="44">
        <v>13.93</v>
      </c>
      <c r="D5194" s="46">
        <v>45240.0</v>
      </c>
      <c r="E5194" s="24" t="s">
        <v>6650</v>
      </c>
      <c r="F5194" s="24">
        <v>409.71</v>
      </c>
      <c r="G5194" s="24">
        <v>0.0</v>
      </c>
      <c r="H5194" s="24" t="s">
        <v>6699</v>
      </c>
      <c r="I5194" s="24" t="s">
        <v>6650</v>
      </c>
      <c r="J5194" s="24">
        <v>0.0</v>
      </c>
    </row>
    <row r="5195">
      <c r="A5195" s="24">
        <v>131.0</v>
      </c>
      <c r="B5195" s="24">
        <v>1.0</v>
      </c>
      <c r="C5195" s="44">
        <v>12.0</v>
      </c>
      <c r="D5195" s="46">
        <v>45240.0</v>
      </c>
      <c r="E5195" s="24">
        <v>12.0</v>
      </c>
      <c r="F5195" s="24">
        <v>91.6</v>
      </c>
      <c r="G5195" s="24">
        <v>0.76</v>
      </c>
      <c r="H5195" s="24" t="s">
        <v>6698</v>
      </c>
      <c r="I5195" s="24" t="s">
        <v>6650</v>
      </c>
      <c r="J5195" s="24">
        <v>0.0</v>
      </c>
    </row>
    <row r="5196">
      <c r="A5196" s="24">
        <v>12.0</v>
      </c>
      <c r="B5196" s="24">
        <v>0.0</v>
      </c>
      <c r="C5196" s="44">
        <v>6.72</v>
      </c>
      <c r="D5196" s="46">
        <v>45241.0</v>
      </c>
      <c r="E5196" s="24" t="s">
        <v>6650</v>
      </c>
      <c r="F5196" s="24">
        <v>560.0</v>
      </c>
      <c r="G5196" s="24">
        <v>0.0</v>
      </c>
      <c r="H5196" s="24" t="s">
        <v>6697</v>
      </c>
      <c r="I5196" s="24" t="s">
        <v>6650</v>
      </c>
      <c r="J5196" s="24">
        <v>0.0</v>
      </c>
    </row>
    <row r="5197">
      <c r="A5197" s="24">
        <v>423.0</v>
      </c>
      <c r="B5197" s="24">
        <v>2.0</v>
      </c>
      <c r="C5197" s="44">
        <v>6.09</v>
      </c>
      <c r="D5197" s="46">
        <v>45241.0</v>
      </c>
      <c r="E5197" s="24">
        <v>3.04</v>
      </c>
      <c r="F5197" s="24">
        <v>14.4</v>
      </c>
      <c r="G5197" s="24">
        <v>0.47</v>
      </c>
      <c r="H5197" s="24" t="s">
        <v>6689</v>
      </c>
      <c r="I5197" s="24">
        <v>3.04</v>
      </c>
      <c r="J5197" s="24">
        <v>0.0</v>
      </c>
    </row>
    <row r="5198">
      <c r="A5198" s="24">
        <v>19.0</v>
      </c>
      <c r="B5198" s="24">
        <v>1.0</v>
      </c>
      <c r="C5198" s="44">
        <v>8.37</v>
      </c>
      <c r="D5198" s="46">
        <v>45241.0</v>
      </c>
      <c r="E5198" s="24">
        <v>8.37</v>
      </c>
      <c r="F5198" s="24">
        <v>440.53</v>
      </c>
      <c r="G5198" s="24">
        <v>5.26</v>
      </c>
      <c r="H5198" s="24" t="s">
        <v>6680</v>
      </c>
      <c r="I5198" s="24" t="s">
        <v>6650</v>
      </c>
      <c r="J5198" s="24">
        <v>0.0</v>
      </c>
    </row>
    <row r="5199">
      <c r="A5199" s="24">
        <v>12.0</v>
      </c>
      <c r="B5199" s="24">
        <v>0.0</v>
      </c>
      <c r="C5199" s="44">
        <v>4.48</v>
      </c>
      <c r="D5199" s="46">
        <v>45241.0</v>
      </c>
      <c r="E5199" s="24" t="s">
        <v>6650</v>
      </c>
      <c r="F5199" s="24">
        <v>373.33</v>
      </c>
      <c r="G5199" s="24">
        <v>0.0</v>
      </c>
      <c r="H5199" s="24" t="s">
        <v>6695</v>
      </c>
      <c r="I5199" s="24" t="s">
        <v>6650</v>
      </c>
      <c r="J5199" s="24">
        <v>0.0</v>
      </c>
    </row>
    <row r="5200">
      <c r="A5200" s="24">
        <v>15.0</v>
      </c>
      <c r="B5200" s="24">
        <v>0.0</v>
      </c>
      <c r="C5200" s="44">
        <v>6.15</v>
      </c>
      <c r="D5200" s="46">
        <v>45241.0</v>
      </c>
      <c r="E5200" s="24" t="s">
        <v>6650</v>
      </c>
      <c r="F5200" s="24">
        <v>410.0</v>
      </c>
      <c r="G5200" s="24">
        <v>0.0</v>
      </c>
      <c r="H5200" s="24" t="s">
        <v>6696</v>
      </c>
      <c r="I5200" s="24">
        <v>6.15</v>
      </c>
      <c r="J5200" s="24">
        <v>0.0</v>
      </c>
    </row>
    <row r="5201">
      <c r="A5201" s="24">
        <v>383.0</v>
      </c>
      <c r="B5201" s="24">
        <v>1.0</v>
      </c>
      <c r="C5201" s="44">
        <v>6.08</v>
      </c>
      <c r="D5201" s="46">
        <v>45241.0</v>
      </c>
      <c r="E5201" s="24">
        <v>6.08</v>
      </c>
      <c r="F5201" s="24">
        <v>15.87</v>
      </c>
      <c r="G5201" s="24">
        <v>0.26</v>
      </c>
      <c r="H5201" s="24" t="s">
        <v>6688</v>
      </c>
      <c r="I5201" s="24">
        <v>6.08</v>
      </c>
      <c r="J5201" s="24">
        <v>0.0</v>
      </c>
    </row>
    <row r="5202">
      <c r="A5202" s="24">
        <v>114.0</v>
      </c>
      <c r="B5202" s="24">
        <v>0.0</v>
      </c>
      <c r="C5202" s="44">
        <v>7.21</v>
      </c>
      <c r="D5202" s="46">
        <v>45241.0</v>
      </c>
      <c r="E5202" s="24" t="s">
        <v>6650</v>
      </c>
      <c r="F5202" s="24">
        <v>63.25</v>
      </c>
      <c r="G5202" s="24">
        <v>0.0</v>
      </c>
      <c r="H5202" s="24" t="s">
        <v>6698</v>
      </c>
      <c r="I5202" s="24" t="s">
        <v>6650</v>
      </c>
      <c r="J5202" s="24">
        <v>0.0</v>
      </c>
    </row>
    <row r="5203">
      <c r="A5203" s="24">
        <v>3.0</v>
      </c>
      <c r="B5203" s="24">
        <v>3.0</v>
      </c>
      <c r="C5203" s="44">
        <v>2.25</v>
      </c>
      <c r="D5203" s="46">
        <v>45241.0</v>
      </c>
      <c r="E5203" s="24">
        <v>0.75</v>
      </c>
      <c r="F5203" s="24">
        <v>750.0</v>
      </c>
      <c r="G5203" s="24">
        <v>100.0</v>
      </c>
      <c r="H5203" s="24" t="s">
        <v>6702</v>
      </c>
      <c r="I5203" s="24" t="s">
        <v>6650</v>
      </c>
      <c r="J5203" s="24">
        <v>0.0</v>
      </c>
    </row>
    <row r="5204">
      <c r="A5204" s="24">
        <v>26.0</v>
      </c>
      <c r="B5204" s="24">
        <v>2.0</v>
      </c>
      <c r="C5204" s="44">
        <v>5.56</v>
      </c>
      <c r="D5204" s="46">
        <v>45241.0</v>
      </c>
      <c r="E5204" s="24">
        <v>2.78</v>
      </c>
      <c r="F5204" s="24">
        <v>213.85</v>
      </c>
      <c r="G5204" s="24">
        <v>7.69</v>
      </c>
      <c r="H5204" s="24" t="s">
        <v>6701</v>
      </c>
      <c r="I5204" s="24" t="s">
        <v>6650</v>
      </c>
      <c r="J5204" s="24">
        <v>0.0</v>
      </c>
    </row>
    <row r="5205">
      <c r="A5205" s="24">
        <v>20.0</v>
      </c>
      <c r="B5205" s="24">
        <v>0.0</v>
      </c>
      <c r="C5205" s="44">
        <v>3.18</v>
      </c>
      <c r="D5205" s="46">
        <v>45241.0</v>
      </c>
      <c r="E5205" s="24" t="s">
        <v>6650</v>
      </c>
      <c r="F5205" s="24">
        <v>159.0</v>
      </c>
      <c r="G5205" s="24">
        <v>0.0</v>
      </c>
      <c r="H5205" s="24" t="s">
        <v>6699</v>
      </c>
      <c r="I5205" s="24" t="s">
        <v>6650</v>
      </c>
      <c r="J5205" s="24">
        <v>0.0</v>
      </c>
    </row>
    <row r="5206">
      <c r="A5206" s="24">
        <v>28.0</v>
      </c>
      <c r="B5206" s="24">
        <v>0.0</v>
      </c>
      <c r="C5206" s="44">
        <v>6.37</v>
      </c>
      <c r="D5206" s="46">
        <v>45241.0</v>
      </c>
      <c r="E5206" s="24" t="s">
        <v>6650</v>
      </c>
      <c r="F5206" s="24">
        <v>227.5</v>
      </c>
      <c r="G5206" s="24">
        <v>0.0</v>
      </c>
      <c r="H5206" s="24" t="s">
        <v>6700</v>
      </c>
      <c r="I5206" s="24" t="s">
        <v>6650</v>
      </c>
      <c r="J5206" s="24">
        <v>0.0</v>
      </c>
    </row>
    <row r="5207">
      <c r="A5207" s="24">
        <v>19.0</v>
      </c>
      <c r="B5207" s="24">
        <v>0.0</v>
      </c>
      <c r="C5207" s="44">
        <v>2.27</v>
      </c>
      <c r="D5207" s="46">
        <v>45242.0</v>
      </c>
      <c r="E5207" s="24" t="s">
        <v>6650</v>
      </c>
      <c r="F5207" s="24">
        <v>119.47</v>
      </c>
      <c r="G5207" s="24">
        <v>0.0</v>
      </c>
      <c r="H5207" s="24" t="s">
        <v>6701</v>
      </c>
      <c r="I5207" s="24">
        <v>2.27</v>
      </c>
      <c r="J5207" s="24">
        <v>0.0</v>
      </c>
    </row>
    <row r="5208">
      <c r="A5208" s="24">
        <v>302.0</v>
      </c>
      <c r="B5208" s="24">
        <v>2.0</v>
      </c>
      <c r="C5208" s="44">
        <v>5.22</v>
      </c>
      <c r="D5208" s="46">
        <v>45242.0</v>
      </c>
      <c r="E5208" s="24">
        <v>2.61</v>
      </c>
      <c r="F5208" s="24">
        <v>17.28</v>
      </c>
      <c r="G5208" s="24">
        <v>0.66</v>
      </c>
      <c r="H5208" s="24" t="s">
        <v>6689</v>
      </c>
      <c r="I5208" s="24">
        <v>1.74</v>
      </c>
      <c r="J5208" s="24">
        <v>0.0</v>
      </c>
    </row>
    <row r="5209">
      <c r="A5209" s="24">
        <v>16.0</v>
      </c>
      <c r="B5209" s="24">
        <v>0.0</v>
      </c>
      <c r="C5209" s="44">
        <v>1.97</v>
      </c>
      <c r="D5209" s="46">
        <v>45242.0</v>
      </c>
      <c r="E5209" s="24" t="s">
        <v>6650</v>
      </c>
      <c r="F5209" s="24">
        <v>123.12</v>
      </c>
      <c r="G5209" s="24">
        <v>0.0</v>
      </c>
      <c r="H5209" s="24" t="s">
        <v>6680</v>
      </c>
      <c r="I5209" s="24">
        <v>1.97</v>
      </c>
      <c r="J5209" s="24">
        <v>0.0</v>
      </c>
    </row>
    <row r="5210">
      <c r="A5210" s="24">
        <v>9.0</v>
      </c>
      <c r="B5210" s="24">
        <v>0.0</v>
      </c>
      <c r="C5210" s="44">
        <v>1.76</v>
      </c>
      <c r="D5210" s="46">
        <v>45242.0</v>
      </c>
      <c r="E5210" s="24" t="s">
        <v>6650</v>
      </c>
      <c r="F5210" s="24">
        <v>195.56</v>
      </c>
      <c r="G5210" s="24">
        <v>0.0</v>
      </c>
      <c r="H5210" s="24" t="s">
        <v>6695</v>
      </c>
      <c r="I5210" s="24" t="s">
        <v>6650</v>
      </c>
      <c r="J5210" s="24">
        <v>0.0</v>
      </c>
    </row>
    <row r="5211">
      <c r="A5211" s="24">
        <v>33.0</v>
      </c>
      <c r="B5211" s="24">
        <v>0.0</v>
      </c>
      <c r="C5211" s="44">
        <v>5.19</v>
      </c>
      <c r="D5211" s="46">
        <v>45242.0</v>
      </c>
      <c r="E5211" s="24" t="s">
        <v>6650</v>
      </c>
      <c r="F5211" s="24">
        <v>157.27</v>
      </c>
      <c r="G5211" s="24">
        <v>0.0</v>
      </c>
      <c r="H5211" s="24" t="s">
        <v>6698</v>
      </c>
      <c r="I5211" s="24">
        <v>5.19</v>
      </c>
      <c r="J5211" s="24">
        <v>0.0</v>
      </c>
    </row>
    <row r="5212">
      <c r="A5212" s="24">
        <v>353.0</v>
      </c>
      <c r="B5212" s="24">
        <v>3.0</v>
      </c>
      <c r="C5212" s="44">
        <v>5.76</v>
      </c>
      <c r="D5212" s="46">
        <v>45242.0</v>
      </c>
      <c r="E5212" s="24">
        <v>1.92</v>
      </c>
      <c r="F5212" s="24">
        <v>16.32</v>
      </c>
      <c r="G5212" s="24">
        <v>0.85</v>
      </c>
      <c r="H5212" s="24" t="s">
        <v>6688</v>
      </c>
      <c r="I5212" s="24">
        <v>5.76</v>
      </c>
      <c r="J5212" s="24">
        <v>0.0</v>
      </c>
    </row>
    <row r="5213">
      <c r="A5213" s="24">
        <v>33.0</v>
      </c>
      <c r="B5213" s="24">
        <v>0.0</v>
      </c>
      <c r="C5213" s="44">
        <v>4.31</v>
      </c>
      <c r="D5213" s="46">
        <v>45242.0</v>
      </c>
      <c r="E5213" s="24" t="s">
        <v>6650</v>
      </c>
      <c r="F5213" s="24">
        <v>130.61</v>
      </c>
      <c r="G5213" s="24">
        <v>0.0</v>
      </c>
      <c r="H5213" s="24" t="s">
        <v>6700</v>
      </c>
      <c r="I5213" s="24" t="s">
        <v>6650</v>
      </c>
      <c r="J5213" s="24">
        <v>0.0</v>
      </c>
    </row>
    <row r="5214">
      <c r="A5214" s="24">
        <v>1.0</v>
      </c>
      <c r="B5214" s="24">
        <v>1.0</v>
      </c>
      <c r="C5214" s="44">
        <v>0.75</v>
      </c>
      <c r="D5214" s="46">
        <v>45242.0</v>
      </c>
      <c r="E5214" s="24">
        <v>0.75</v>
      </c>
      <c r="F5214" s="24">
        <v>750.0</v>
      </c>
      <c r="G5214" s="24">
        <v>100.0</v>
      </c>
      <c r="H5214" s="24" t="s">
        <v>6702</v>
      </c>
      <c r="I5214" s="24" t="s">
        <v>6650</v>
      </c>
      <c r="J5214" s="24">
        <v>0.0</v>
      </c>
    </row>
    <row r="5215">
      <c r="A5215" s="24">
        <v>11.0</v>
      </c>
      <c r="B5215" s="24">
        <v>0.0</v>
      </c>
      <c r="C5215" s="44">
        <v>1.21</v>
      </c>
      <c r="D5215" s="46">
        <v>45242.0</v>
      </c>
      <c r="E5215" s="24" t="s">
        <v>6650</v>
      </c>
      <c r="F5215" s="24">
        <v>110.0</v>
      </c>
      <c r="G5215" s="24">
        <v>0.0</v>
      </c>
      <c r="H5215" s="24" t="s">
        <v>6699</v>
      </c>
      <c r="I5215" s="24" t="s">
        <v>6650</v>
      </c>
      <c r="J5215" s="24">
        <v>0.0</v>
      </c>
    </row>
    <row r="5216">
      <c r="A5216" s="24">
        <v>8.0</v>
      </c>
      <c r="B5216" s="24">
        <v>0.0</v>
      </c>
      <c r="C5216" s="44">
        <v>0.77</v>
      </c>
      <c r="D5216" s="46">
        <v>45242.0</v>
      </c>
      <c r="E5216" s="24" t="s">
        <v>6650</v>
      </c>
      <c r="F5216" s="24">
        <v>96.25</v>
      </c>
      <c r="G5216" s="24">
        <v>0.0</v>
      </c>
      <c r="H5216" s="24" t="s">
        <v>6697</v>
      </c>
      <c r="I5216" s="24" t="s">
        <v>6650</v>
      </c>
      <c r="J5216" s="24">
        <v>0.0</v>
      </c>
    </row>
    <row r="5217">
      <c r="A5217" s="24">
        <v>135.0</v>
      </c>
      <c r="B5217" s="24">
        <v>1.0</v>
      </c>
      <c r="C5217" s="44">
        <v>12.33</v>
      </c>
      <c r="D5217" s="46">
        <v>45243.0</v>
      </c>
      <c r="E5217" s="24">
        <v>12.33</v>
      </c>
      <c r="F5217" s="24">
        <v>91.33</v>
      </c>
      <c r="G5217" s="24">
        <v>0.74</v>
      </c>
      <c r="H5217" s="24" t="s">
        <v>6700</v>
      </c>
      <c r="I5217" s="24" t="s">
        <v>6650</v>
      </c>
      <c r="J5217" s="24">
        <v>0.0</v>
      </c>
    </row>
    <row r="5218">
      <c r="A5218" s="24">
        <v>539.0</v>
      </c>
      <c r="B5218" s="24">
        <v>5.0</v>
      </c>
      <c r="C5218" s="44">
        <v>12.28</v>
      </c>
      <c r="D5218" s="46">
        <v>45243.0</v>
      </c>
      <c r="E5218" s="24">
        <v>2.46</v>
      </c>
      <c r="F5218" s="24">
        <v>22.78</v>
      </c>
      <c r="G5218" s="24">
        <v>0.93</v>
      </c>
      <c r="H5218" s="24" t="s">
        <v>6688</v>
      </c>
      <c r="I5218" s="24">
        <v>12.28</v>
      </c>
      <c r="J5218" s="24">
        <v>0.0</v>
      </c>
    </row>
    <row r="5219">
      <c r="A5219" s="24">
        <v>573.0</v>
      </c>
      <c r="B5219" s="24">
        <v>6.0</v>
      </c>
      <c r="C5219" s="44">
        <v>11.32</v>
      </c>
      <c r="D5219" s="46">
        <v>45243.0</v>
      </c>
      <c r="E5219" s="24">
        <v>1.89</v>
      </c>
      <c r="F5219" s="24">
        <v>19.76</v>
      </c>
      <c r="G5219" s="24">
        <v>1.05</v>
      </c>
      <c r="H5219" s="24" t="s">
        <v>6689</v>
      </c>
      <c r="I5219" s="24" t="s">
        <v>6650</v>
      </c>
      <c r="J5219" s="24">
        <v>0.0</v>
      </c>
    </row>
    <row r="5220">
      <c r="A5220" s="24">
        <v>25.0</v>
      </c>
      <c r="B5220" s="24">
        <v>0.0</v>
      </c>
      <c r="C5220" s="44">
        <v>12.76</v>
      </c>
      <c r="D5220" s="46">
        <v>45243.0</v>
      </c>
      <c r="E5220" s="24" t="s">
        <v>6650</v>
      </c>
      <c r="F5220" s="24">
        <v>510.4</v>
      </c>
      <c r="G5220" s="24">
        <v>0.0</v>
      </c>
      <c r="H5220" s="24" t="s">
        <v>6695</v>
      </c>
      <c r="I5220" s="24" t="s">
        <v>6650</v>
      </c>
      <c r="J5220" s="24">
        <v>0.0</v>
      </c>
    </row>
    <row r="5221">
      <c r="A5221" s="24">
        <v>52.0</v>
      </c>
      <c r="B5221" s="24">
        <v>0.0</v>
      </c>
      <c r="C5221" s="44">
        <v>14.01</v>
      </c>
      <c r="D5221" s="46">
        <v>45243.0</v>
      </c>
      <c r="E5221" s="24" t="s">
        <v>6650</v>
      </c>
      <c r="F5221" s="24">
        <v>269.42</v>
      </c>
      <c r="G5221" s="24">
        <v>0.0</v>
      </c>
      <c r="H5221" s="24" t="s">
        <v>6701</v>
      </c>
      <c r="I5221" s="24" t="s">
        <v>6650</v>
      </c>
      <c r="J5221" s="24">
        <v>0.0</v>
      </c>
    </row>
    <row r="5222">
      <c r="A5222" s="24">
        <v>42.0</v>
      </c>
      <c r="B5222" s="24">
        <v>0.0</v>
      </c>
      <c r="C5222" s="44">
        <v>15.0</v>
      </c>
      <c r="D5222" s="46">
        <v>45243.0</v>
      </c>
      <c r="E5222" s="24" t="s">
        <v>6650</v>
      </c>
      <c r="F5222" s="24">
        <v>357.14</v>
      </c>
      <c r="G5222" s="24">
        <v>0.0</v>
      </c>
      <c r="H5222" s="24" t="s">
        <v>6696</v>
      </c>
      <c r="I5222" s="24" t="s">
        <v>6650</v>
      </c>
      <c r="J5222" s="24">
        <v>0.0</v>
      </c>
    </row>
    <row r="5223">
      <c r="A5223" s="24">
        <v>281.0</v>
      </c>
      <c r="B5223" s="24">
        <v>2.0</v>
      </c>
      <c r="C5223" s="44">
        <v>14.33</v>
      </c>
      <c r="D5223" s="46">
        <v>45243.0</v>
      </c>
      <c r="E5223" s="24">
        <v>7.16</v>
      </c>
      <c r="F5223" s="24">
        <v>51.0</v>
      </c>
      <c r="G5223" s="24">
        <v>0.71</v>
      </c>
      <c r="H5223" s="24" t="s">
        <v>6698</v>
      </c>
      <c r="I5223" s="24">
        <v>14.33</v>
      </c>
      <c r="J5223" s="24">
        <v>0.0</v>
      </c>
    </row>
    <row r="5224">
      <c r="A5224" s="24">
        <v>39.0</v>
      </c>
      <c r="B5224" s="24">
        <v>0.0</v>
      </c>
      <c r="C5224" s="44">
        <v>13.99</v>
      </c>
      <c r="D5224" s="46">
        <v>45243.0</v>
      </c>
      <c r="E5224" s="24" t="s">
        <v>6650</v>
      </c>
      <c r="F5224" s="24">
        <v>358.72</v>
      </c>
      <c r="G5224" s="24">
        <v>0.0</v>
      </c>
      <c r="H5224" s="24" t="s">
        <v>6699</v>
      </c>
      <c r="I5224" s="24" t="s">
        <v>6650</v>
      </c>
      <c r="J5224" s="24">
        <v>0.0</v>
      </c>
    </row>
    <row r="5225">
      <c r="A5225" s="24">
        <v>38.0</v>
      </c>
      <c r="B5225" s="24">
        <v>0.0</v>
      </c>
      <c r="C5225" s="44">
        <v>14.89</v>
      </c>
      <c r="D5225" s="46">
        <v>45243.0</v>
      </c>
      <c r="E5225" s="24" t="s">
        <v>6650</v>
      </c>
      <c r="F5225" s="24">
        <v>391.84</v>
      </c>
      <c r="G5225" s="24">
        <v>0.0</v>
      </c>
      <c r="H5225" s="24" t="s">
        <v>6697</v>
      </c>
      <c r="I5225" s="24" t="s">
        <v>6650</v>
      </c>
      <c r="J5225" s="24">
        <v>0.0</v>
      </c>
    </row>
    <row r="5226">
      <c r="A5226" s="24">
        <v>142.0</v>
      </c>
      <c r="B5226" s="24">
        <v>0.0</v>
      </c>
      <c r="C5226" s="44">
        <v>13.43</v>
      </c>
      <c r="D5226" s="46">
        <v>45243.0</v>
      </c>
      <c r="E5226" s="24" t="s">
        <v>6650</v>
      </c>
      <c r="F5226" s="24">
        <v>94.58</v>
      </c>
      <c r="G5226" s="24">
        <v>0.0</v>
      </c>
      <c r="H5226" s="24" t="s">
        <v>6680</v>
      </c>
      <c r="I5226" s="24" t="s">
        <v>6650</v>
      </c>
      <c r="J5226" s="24">
        <v>0.0</v>
      </c>
    </row>
    <row r="5227">
      <c r="A5227" s="24">
        <v>8.0</v>
      </c>
      <c r="B5227" s="24">
        <v>1.0</v>
      </c>
      <c r="C5227" s="44">
        <v>6.0</v>
      </c>
      <c r="D5227" s="46">
        <v>45243.0</v>
      </c>
      <c r="E5227" s="24">
        <v>6.0</v>
      </c>
      <c r="F5227" s="24">
        <v>750.0</v>
      </c>
      <c r="G5227" s="24">
        <v>12.5</v>
      </c>
      <c r="H5227" s="24" t="s">
        <v>6702</v>
      </c>
      <c r="I5227" s="24" t="s">
        <v>6650</v>
      </c>
      <c r="J5227" s="24">
        <v>0.0</v>
      </c>
    </row>
    <row r="5228">
      <c r="A5228" s="24">
        <v>109.0</v>
      </c>
      <c r="B5228" s="24">
        <v>0.0</v>
      </c>
      <c r="C5228" s="44">
        <v>14.3</v>
      </c>
      <c r="D5228" s="46">
        <v>45244.0</v>
      </c>
      <c r="E5228" s="24" t="s">
        <v>6650</v>
      </c>
      <c r="F5228" s="24">
        <v>131.19</v>
      </c>
      <c r="G5228" s="24">
        <v>0.0</v>
      </c>
      <c r="H5228" s="24" t="s">
        <v>6696</v>
      </c>
      <c r="I5228" s="24" t="s">
        <v>6650</v>
      </c>
      <c r="J5228" s="24">
        <v>0.0</v>
      </c>
    </row>
    <row r="5229">
      <c r="A5229" s="24">
        <v>625.0</v>
      </c>
      <c r="B5229" s="24">
        <v>2.0</v>
      </c>
      <c r="C5229" s="44">
        <v>12.45</v>
      </c>
      <c r="D5229" s="46">
        <v>45244.0</v>
      </c>
      <c r="E5229" s="24">
        <v>6.22</v>
      </c>
      <c r="F5229" s="24">
        <v>19.92</v>
      </c>
      <c r="G5229" s="24">
        <v>0.32</v>
      </c>
      <c r="H5229" s="24" t="s">
        <v>6688</v>
      </c>
      <c r="I5229" s="24" t="s">
        <v>6650</v>
      </c>
      <c r="J5229" s="24">
        <v>0.0</v>
      </c>
    </row>
    <row r="5230">
      <c r="A5230" s="24">
        <v>41.0</v>
      </c>
      <c r="B5230" s="24">
        <v>0.0</v>
      </c>
      <c r="C5230" s="44">
        <v>14.24</v>
      </c>
      <c r="D5230" s="46">
        <v>45244.0</v>
      </c>
      <c r="E5230" s="24" t="s">
        <v>6650</v>
      </c>
      <c r="F5230" s="24">
        <v>347.32</v>
      </c>
      <c r="G5230" s="24">
        <v>0.0</v>
      </c>
      <c r="H5230" s="24" t="s">
        <v>6701</v>
      </c>
      <c r="I5230" s="24" t="s">
        <v>6650</v>
      </c>
      <c r="J5230" s="24">
        <v>0.0</v>
      </c>
    </row>
    <row r="5231">
      <c r="A5231" s="24">
        <v>29.0</v>
      </c>
      <c r="B5231" s="24">
        <v>1.0</v>
      </c>
      <c r="C5231" s="44">
        <v>12.44</v>
      </c>
      <c r="D5231" s="46">
        <v>45244.0</v>
      </c>
      <c r="E5231" s="24">
        <v>12.44</v>
      </c>
      <c r="F5231" s="24">
        <v>428.97</v>
      </c>
      <c r="G5231" s="24">
        <v>3.45</v>
      </c>
      <c r="H5231" s="24" t="s">
        <v>6697</v>
      </c>
      <c r="I5231" s="24" t="s">
        <v>6650</v>
      </c>
      <c r="J5231" s="24">
        <v>0.0</v>
      </c>
    </row>
    <row r="5232">
      <c r="A5232" s="24">
        <v>415.0</v>
      </c>
      <c r="B5232" s="24">
        <v>3.0</v>
      </c>
      <c r="C5232" s="44">
        <v>15.16</v>
      </c>
      <c r="D5232" s="46">
        <v>45244.0</v>
      </c>
      <c r="E5232" s="24">
        <v>5.05</v>
      </c>
      <c r="F5232" s="24">
        <v>36.53</v>
      </c>
      <c r="G5232" s="24">
        <v>0.72</v>
      </c>
      <c r="H5232" s="24" t="s">
        <v>6698</v>
      </c>
      <c r="I5232" s="24" t="s">
        <v>6650</v>
      </c>
      <c r="J5232" s="24">
        <v>0.0</v>
      </c>
    </row>
    <row r="5233">
      <c r="A5233" s="24">
        <v>26.0</v>
      </c>
      <c r="B5233" s="24">
        <v>0.0</v>
      </c>
      <c r="C5233" s="44">
        <v>14.13</v>
      </c>
      <c r="D5233" s="46">
        <v>45244.0</v>
      </c>
      <c r="E5233" s="24" t="s">
        <v>6650</v>
      </c>
      <c r="F5233" s="24">
        <v>543.46</v>
      </c>
      <c r="G5233" s="24">
        <v>0.0</v>
      </c>
      <c r="H5233" s="24" t="s">
        <v>6695</v>
      </c>
      <c r="I5233" s="24" t="s">
        <v>6650</v>
      </c>
      <c r="J5233" s="24">
        <v>0.0</v>
      </c>
    </row>
    <row r="5234">
      <c r="A5234" s="24">
        <v>3.0</v>
      </c>
      <c r="B5234" s="24">
        <v>3.0</v>
      </c>
      <c r="C5234" s="44">
        <v>2.25</v>
      </c>
      <c r="D5234" s="46">
        <v>45244.0</v>
      </c>
      <c r="E5234" s="24">
        <v>0.75</v>
      </c>
      <c r="F5234" s="24">
        <v>750.0</v>
      </c>
      <c r="G5234" s="24">
        <v>100.0</v>
      </c>
      <c r="H5234" s="24" t="s">
        <v>6702</v>
      </c>
      <c r="I5234" s="24" t="s">
        <v>6650</v>
      </c>
      <c r="J5234" s="24">
        <v>0.0</v>
      </c>
    </row>
    <row r="5235">
      <c r="A5235" s="24">
        <v>767.0</v>
      </c>
      <c r="B5235" s="24">
        <v>6.0</v>
      </c>
      <c r="C5235" s="44">
        <v>12.03</v>
      </c>
      <c r="D5235" s="46">
        <v>45244.0</v>
      </c>
      <c r="E5235" s="24">
        <v>2.0</v>
      </c>
      <c r="F5235" s="24">
        <v>15.68</v>
      </c>
      <c r="G5235" s="24">
        <v>0.78</v>
      </c>
      <c r="H5235" s="24" t="s">
        <v>6689</v>
      </c>
      <c r="I5235" s="24">
        <v>6.02</v>
      </c>
      <c r="J5235" s="24">
        <v>0.0</v>
      </c>
    </row>
    <row r="5236">
      <c r="A5236" s="24">
        <v>39.0</v>
      </c>
      <c r="B5236" s="24">
        <v>0.0</v>
      </c>
      <c r="C5236" s="44">
        <v>12.52</v>
      </c>
      <c r="D5236" s="46">
        <v>45244.0</v>
      </c>
      <c r="E5236" s="24" t="s">
        <v>6650</v>
      </c>
      <c r="F5236" s="24">
        <v>321.03</v>
      </c>
      <c r="G5236" s="24">
        <v>0.0</v>
      </c>
      <c r="H5236" s="24" t="s">
        <v>6699</v>
      </c>
      <c r="I5236" s="24" t="s">
        <v>6650</v>
      </c>
      <c r="J5236" s="24">
        <v>0.0</v>
      </c>
    </row>
    <row r="5237">
      <c r="A5237" s="24">
        <v>116.0</v>
      </c>
      <c r="B5237" s="24">
        <v>1.0</v>
      </c>
      <c r="C5237" s="44">
        <v>13.18</v>
      </c>
      <c r="D5237" s="46">
        <v>45244.0</v>
      </c>
      <c r="E5237" s="24">
        <v>13.18</v>
      </c>
      <c r="F5237" s="24">
        <v>113.62</v>
      </c>
      <c r="G5237" s="24">
        <v>0.86</v>
      </c>
      <c r="H5237" s="24" t="s">
        <v>6680</v>
      </c>
      <c r="I5237" s="24" t="s">
        <v>6650</v>
      </c>
      <c r="J5237" s="24">
        <v>0.0</v>
      </c>
    </row>
    <row r="5238">
      <c r="A5238" s="24">
        <v>112.0</v>
      </c>
      <c r="B5238" s="24">
        <v>1.0</v>
      </c>
      <c r="C5238" s="44">
        <v>12.77</v>
      </c>
      <c r="D5238" s="46">
        <v>45244.0</v>
      </c>
      <c r="E5238" s="24">
        <v>12.77</v>
      </c>
      <c r="F5238" s="24">
        <v>114.02</v>
      </c>
      <c r="G5238" s="24">
        <v>0.89</v>
      </c>
      <c r="H5238" s="24" t="s">
        <v>6700</v>
      </c>
      <c r="I5238" s="24" t="s">
        <v>6650</v>
      </c>
      <c r="J5238" s="24">
        <v>0.0</v>
      </c>
    </row>
    <row r="5239">
      <c r="A5239" s="24">
        <v>20.0</v>
      </c>
      <c r="B5239" s="24">
        <v>0.0</v>
      </c>
      <c r="C5239" s="44">
        <v>15.0</v>
      </c>
      <c r="D5239" s="46">
        <v>45245.0</v>
      </c>
      <c r="E5239" s="24" t="s">
        <v>6650</v>
      </c>
      <c r="F5239" s="24">
        <v>750.0</v>
      </c>
      <c r="G5239" s="24">
        <v>0.0</v>
      </c>
      <c r="H5239" s="24" t="s">
        <v>6695</v>
      </c>
      <c r="I5239" s="24" t="s">
        <v>6650</v>
      </c>
      <c r="J5239" s="24">
        <v>0.0</v>
      </c>
    </row>
    <row r="5240">
      <c r="A5240" s="24">
        <v>45.0</v>
      </c>
      <c r="B5240" s="24">
        <v>0.0</v>
      </c>
      <c r="C5240" s="44">
        <v>11.49</v>
      </c>
      <c r="D5240" s="46">
        <v>45245.0</v>
      </c>
      <c r="E5240" s="24" t="s">
        <v>6650</v>
      </c>
      <c r="F5240" s="24">
        <v>255.33</v>
      </c>
      <c r="G5240" s="24">
        <v>0.0</v>
      </c>
      <c r="H5240" s="24" t="s">
        <v>6699</v>
      </c>
      <c r="I5240" s="24" t="s">
        <v>6650</v>
      </c>
      <c r="J5240" s="24">
        <v>0.0</v>
      </c>
    </row>
    <row r="5241">
      <c r="A5241" s="24">
        <v>30.0</v>
      </c>
      <c r="B5241" s="24">
        <v>0.0</v>
      </c>
      <c r="C5241" s="44">
        <v>15.0</v>
      </c>
      <c r="D5241" s="46">
        <v>45245.0</v>
      </c>
      <c r="E5241" s="24" t="s">
        <v>6650</v>
      </c>
      <c r="F5241" s="24">
        <v>500.0</v>
      </c>
      <c r="G5241" s="24">
        <v>0.0</v>
      </c>
      <c r="H5241" s="24" t="s">
        <v>6697</v>
      </c>
      <c r="I5241" s="24" t="s">
        <v>6650</v>
      </c>
      <c r="J5241" s="24">
        <v>0.0</v>
      </c>
    </row>
    <row r="5242">
      <c r="A5242" s="24">
        <v>8.0</v>
      </c>
      <c r="B5242" s="24">
        <v>1.0</v>
      </c>
      <c r="C5242" s="44">
        <v>6.0</v>
      </c>
      <c r="D5242" s="46">
        <v>45245.0</v>
      </c>
      <c r="E5242" s="24">
        <v>6.0</v>
      </c>
      <c r="F5242" s="24">
        <v>750.0</v>
      </c>
      <c r="G5242" s="24">
        <v>12.5</v>
      </c>
      <c r="H5242" s="24" t="s">
        <v>6702</v>
      </c>
      <c r="I5242" s="24" t="s">
        <v>6650</v>
      </c>
      <c r="J5242" s="24">
        <v>0.0</v>
      </c>
    </row>
    <row r="5243">
      <c r="A5243" s="24">
        <v>151.0</v>
      </c>
      <c r="B5243" s="24">
        <v>0.0</v>
      </c>
      <c r="C5243" s="44">
        <v>12.7</v>
      </c>
      <c r="D5243" s="46">
        <v>45245.0</v>
      </c>
      <c r="E5243" s="24" t="s">
        <v>6650</v>
      </c>
      <c r="F5243" s="24">
        <v>84.11</v>
      </c>
      <c r="G5243" s="24">
        <v>0.0</v>
      </c>
      <c r="H5243" s="24" t="s">
        <v>6700</v>
      </c>
      <c r="I5243" s="24" t="s">
        <v>6650</v>
      </c>
      <c r="J5243" s="24">
        <v>0.0</v>
      </c>
    </row>
    <row r="5244">
      <c r="A5244" s="24">
        <v>765.0</v>
      </c>
      <c r="B5244" s="24">
        <v>8.0</v>
      </c>
      <c r="C5244" s="44">
        <v>12.07</v>
      </c>
      <c r="D5244" s="46">
        <v>45245.0</v>
      </c>
      <c r="E5244" s="24">
        <v>1.51</v>
      </c>
      <c r="F5244" s="24">
        <v>15.78</v>
      </c>
      <c r="G5244" s="24">
        <v>1.05</v>
      </c>
      <c r="H5244" s="24" t="s">
        <v>6689</v>
      </c>
      <c r="I5244" s="24" t="s">
        <v>6650</v>
      </c>
      <c r="J5244" s="24">
        <v>0.0</v>
      </c>
    </row>
    <row r="5245">
      <c r="A5245" s="24">
        <v>626.0</v>
      </c>
      <c r="B5245" s="24">
        <v>4.0</v>
      </c>
      <c r="C5245" s="44">
        <v>12.92</v>
      </c>
      <c r="D5245" s="46">
        <v>45245.0</v>
      </c>
      <c r="E5245" s="24">
        <v>3.23</v>
      </c>
      <c r="F5245" s="24">
        <v>20.64</v>
      </c>
      <c r="G5245" s="24">
        <v>0.64</v>
      </c>
      <c r="H5245" s="24" t="s">
        <v>6688</v>
      </c>
      <c r="I5245" s="24">
        <v>4.31</v>
      </c>
      <c r="J5245" s="24">
        <v>0.0</v>
      </c>
    </row>
    <row r="5246">
      <c r="A5246" s="24">
        <v>72.0</v>
      </c>
      <c r="B5246" s="24">
        <v>1.0</v>
      </c>
      <c r="C5246" s="44">
        <v>14.69</v>
      </c>
      <c r="D5246" s="46">
        <v>45245.0</v>
      </c>
      <c r="E5246" s="24">
        <v>14.69</v>
      </c>
      <c r="F5246" s="24">
        <v>204.03</v>
      </c>
      <c r="G5246" s="24">
        <v>1.39</v>
      </c>
      <c r="H5246" s="24" t="s">
        <v>6680</v>
      </c>
      <c r="I5246" s="24">
        <v>14.69</v>
      </c>
      <c r="J5246" s="24">
        <v>0.0</v>
      </c>
    </row>
    <row r="5247">
      <c r="A5247" s="24">
        <v>32.0</v>
      </c>
      <c r="B5247" s="24">
        <v>1.0</v>
      </c>
      <c r="C5247" s="44">
        <v>12.8</v>
      </c>
      <c r="D5247" s="46">
        <v>45245.0</v>
      </c>
      <c r="E5247" s="24">
        <v>12.8</v>
      </c>
      <c r="F5247" s="24">
        <v>400.0</v>
      </c>
      <c r="G5247" s="24">
        <v>3.12</v>
      </c>
      <c r="H5247" s="24" t="s">
        <v>6696</v>
      </c>
      <c r="I5247" s="24" t="s">
        <v>6650</v>
      </c>
      <c r="J5247" s="24">
        <v>0.0</v>
      </c>
    </row>
    <row r="5248">
      <c r="A5248" s="24">
        <v>117.0</v>
      </c>
      <c r="B5248" s="24">
        <v>0.0</v>
      </c>
      <c r="C5248" s="44">
        <v>14.81</v>
      </c>
      <c r="D5248" s="46">
        <v>45245.0</v>
      </c>
      <c r="E5248" s="24" t="s">
        <v>6650</v>
      </c>
      <c r="F5248" s="24">
        <v>126.58</v>
      </c>
      <c r="G5248" s="24">
        <v>0.0</v>
      </c>
      <c r="H5248" s="24" t="s">
        <v>6698</v>
      </c>
      <c r="I5248" s="24">
        <v>14.81</v>
      </c>
      <c r="J5248" s="24">
        <v>0.0</v>
      </c>
    </row>
    <row r="5249">
      <c r="A5249" s="24">
        <v>45.0</v>
      </c>
      <c r="B5249" s="24">
        <v>0.0</v>
      </c>
      <c r="C5249" s="44">
        <v>12.05</v>
      </c>
      <c r="D5249" s="46">
        <v>45245.0</v>
      </c>
      <c r="E5249" s="24" t="s">
        <v>6650</v>
      </c>
      <c r="F5249" s="24">
        <v>267.78</v>
      </c>
      <c r="G5249" s="24">
        <v>0.0</v>
      </c>
      <c r="H5249" s="24" t="s">
        <v>6701</v>
      </c>
      <c r="I5249" s="24" t="s">
        <v>6650</v>
      </c>
      <c r="J5249" s="24">
        <v>0.0</v>
      </c>
    </row>
    <row r="5250">
      <c r="A5250" s="24">
        <v>68.0</v>
      </c>
      <c r="B5250" s="24">
        <v>1.0</v>
      </c>
      <c r="C5250" s="44">
        <v>9.76</v>
      </c>
      <c r="D5250" s="46">
        <v>45246.0</v>
      </c>
      <c r="E5250" s="24">
        <v>9.76</v>
      </c>
      <c r="F5250" s="24">
        <v>143.53</v>
      </c>
      <c r="G5250" s="24">
        <v>1.47</v>
      </c>
      <c r="H5250" s="24" t="s">
        <v>6695</v>
      </c>
      <c r="I5250" s="24" t="s">
        <v>6650</v>
      </c>
      <c r="J5250" s="24">
        <v>0.0</v>
      </c>
    </row>
    <row r="5251">
      <c r="A5251" s="24">
        <v>25.0</v>
      </c>
      <c r="B5251" s="24">
        <v>0.0</v>
      </c>
      <c r="C5251" s="44">
        <v>11.7</v>
      </c>
      <c r="D5251" s="46">
        <v>45246.0</v>
      </c>
      <c r="E5251" s="24" t="s">
        <v>6650</v>
      </c>
      <c r="F5251" s="24">
        <v>468.0</v>
      </c>
      <c r="G5251" s="24">
        <v>0.0</v>
      </c>
      <c r="H5251" s="24" t="s">
        <v>6697</v>
      </c>
      <c r="I5251" s="24" t="s">
        <v>6650</v>
      </c>
      <c r="J5251" s="24">
        <v>0.0</v>
      </c>
    </row>
    <row r="5252">
      <c r="A5252" s="24">
        <v>27.0</v>
      </c>
      <c r="B5252" s="24">
        <v>0.0</v>
      </c>
      <c r="C5252" s="44">
        <v>12.26</v>
      </c>
      <c r="D5252" s="46">
        <v>45246.0</v>
      </c>
      <c r="E5252" s="24" t="s">
        <v>6650</v>
      </c>
      <c r="F5252" s="24">
        <v>454.07</v>
      </c>
      <c r="G5252" s="24">
        <v>0.0</v>
      </c>
      <c r="H5252" s="24" t="s">
        <v>6696</v>
      </c>
      <c r="I5252" s="24" t="s">
        <v>6650</v>
      </c>
      <c r="J5252" s="24">
        <v>0.0</v>
      </c>
    </row>
    <row r="5253">
      <c r="A5253" s="24">
        <v>64.0</v>
      </c>
      <c r="B5253" s="24">
        <v>0.0</v>
      </c>
      <c r="C5253" s="44">
        <v>14.12</v>
      </c>
      <c r="D5253" s="46">
        <v>45246.0</v>
      </c>
      <c r="E5253" s="24" t="s">
        <v>6650</v>
      </c>
      <c r="F5253" s="24">
        <v>220.62</v>
      </c>
      <c r="G5253" s="24">
        <v>0.0</v>
      </c>
      <c r="H5253" s="24" t="s">
        <v>6700</v>
      </c>
      <c r="I5253" s="24" t="s">
        <v>6650</v>
      </c>
      <c r="J5253" s="24">
        <v>0.0</v>
      </c>
    </row>
    <row r="5254">
      <c r="A5254" s="24">
        <v>613.0</v>
      </c>
      <c r="B5254" s="24">
        <v>2.0</v>
      </c>
      <c r="C5254" s="44">
        <v>11.06</v>
      </c>
      <c r="D5254" s="46">
        <v>45246.0</v>
      </c>
      <c r="E5254" s="24">
        <v>5.53</v>
      </c>
      <c r="F5254" s="24">
        <v>18.04</v>
      </c>
      <c r="G5254" s="24">
        <v>0.33</v>
      </c>
      <c r="H5254" s="24" t="s">
        <v>6688</v>
      </c>
      <c r="I5254" s="24">
        <v>11.06</v>
      </c>
      <c r="J5254" s="24">
        <v>0.0</v>
      </c>
    </row>
    <row r="5255">
      <c r="A5255" s="24">
        <v>346.0</v>
      </c>
      <c r="B5255" s="24">
        <v>3.0</v>
      </c>
      <c r="C5255" s="44">
        <v>14.12</v>
      </c>
      <c r="D5255" s="46">
        <v>45246.0</v>
      </c>
      <c r="E5255" s="24">
        <v>4.71</v>
      </c>
      <c r="F5255" s="24">
        <v>40.81</v>
      </c>
      <c r="G5255" s="24">
        <v>0.87</v>
      </c>
      <c r="H5255" s="24" t="s">
        <v>6698</v>
      </c>
      <c r="I5255" s="24">
        <v>7.06</v>
      </c>
      <c r="J5255" s="24">
        <v>0.0</v>
      </c>
    </row>
    <row r="5256">
      <c r="A5256" s="24">
        <v>769.0</v>
      </c>
      <c r="B5256" s="24">
        <v>3.0</v>
      </c>
      <c r="C5256" s="44">
        <v>12.35</v>
      </c>
      <c r="D5256" s="46">
        <v>45246.0</v>
      </c>
      <c r="E5256" s="24">
        <v>4.12</v>
      </c>
      <c r="F5256" s="24">
        <v>16.06</v>
      </c>
      <c r="G5256" s="24">
        <v>0.39</v>
      </c>
      <c r="H5256" s="24" t="s">
        <v>6689</v>
      </c>
      <c r="I5256" s="24">
        <v>6.18</v>
      </c>
      <c r="J5256" s="24">
        <v>0.0</v>
      </c>
    </row>
    <row r="5257">
      <c r="A5257" s="24">
        <v>53.0</v>
      </c>
      <c r="B5257" s="24">
        <v>0.0</v>
      </c>
      <c r="C5257" s="44">
        <v>12.79</v>
      </c>
      <c r="D5257" s="46">
        <v>45246.0</v>
      </c>
      <c r="E5257" s="24" t="s">
        <v>6650</v>
      </c>
      <c r="F5257" s="24">
        <v>241.32</v>
      </c>
      <c r="G5257" s="24">
        <v>0.0</v>
      </c>
      <c r="H5257" s="24" t="s">
        <v>6701</v>
      </c>
      <c r="I5257" s="24" t="s">
        <v>6650</v>
      </c>
      <c r="J5257" s="24">
        <v>0.0</v>
      </c>
    </row>
    <row r="5258">
      <c r="A5258" s="24">
        <v>36.0</v>
      </c>
      <c r="B5258" s="24">
        <v>0.0</v>
      </c>
      <c r="C5258" s="44">
        <v>14.01</v>
      </c>
      <c r="D5258" s="46">
        <v>45246.0</v>
      </c>
      <c r="E5258" s="24" t="s">
        <v>6650</v>
      </c>
      <c r="F5258" s="24">
        <v>389.17</v>
      </c>
      <c r="G5258" s="24">
        <v>0.0</v>
      </c>
      <c r="H5258" s="24" t="s">
        <v>6699</v>
      </c>
      <c r="I5258" s="24" t="s">
        <v>6650</v>
      </c>
      <c r="J5258" s="24">
        <v>0.0</v>
      </c>
    </row>
    <row r="5259">
      <c r="A5259" s="24">
        <v>32.0</v>
      </c>
      <c r="B5259" s="24">
        <v>0.0</v>
      </c>
      <c r="C5259" s="44">
        <v>13.25</v>
      </c>
      <c r="D5259" s="46">
        <v>45246.0</v>
      </c>
      <c r="E5259" s="24" t="s">
        <v>6650</v>
      </c>
      <c r="F5259" s="24">
        <v>414.06</v>
      </c>
      <c r="G5259" s="24">
        <v>0.0</v>
      </c>
      <c r="H5259" s="24" t="s">
        <v>6680</v>
      </c>
      <c r="I5259" s="24" t="s">
        <v>6650</v>
      </c>
      <c r="J5259" s="24">
        <v>0.0</v>
      </c>
    </row>
    <row r="5260">
      <c r="A5260" s="24">
        <v>3.0</v>
      </c>
      <c r="B5260" s="24">
        <v>5.0</v>
      </c>
      <c r="C5260" s="44">
        <v>2.25</v>
      </c>
      <c r="D5260" s="46">
        <v>45246.0</v>
      </c>
      <c r="E5260" s="24">
        <v>0.45</v>
      </c>
      <c r="F5260" s="24">
        <v>750.0</v>
      </c>
      <c r="G5260" s="24">
        <v>166.67</v>
      </c>
      <c r="H5260" s="24" t="s">
        <v>6702</v>
      </c>
      <c r="I5260" s="24" t="s">
        <v>6650</v>
      </c>
      <c r="J5260" s="24">
        <v>0.0</v>
      </c>
    </row>
    <row r="5261">
      <c r="A5261" s="24">
        <v>646.0</v>
      </c>
      <c r="B5261" s="24">
        <v>4.0</v>
      </c>
      <c r="C5261" s="44">
        <v>10.74</v>
      </c>
      <c r="D5261" s="46">
        <v>45247.0</v>
      </c>
      <c r="E5261" s="24">
        <v>2.68</v>
      </c>
      <c r="F5261" s="24">
        <v>16.63</v>
      </c>
      <c r="G5261" s="24">
        <v>0.62</v>
      </c>
      <c r="H5261" s="24" t="s">
        <v>6689</v>
      </c>
      <c r="I5261" s="24" t="s">
        <v>6650</v>
      </c>
      <c r="J5261" s="24">
        <v>0.0</v>
      </c>
    </row>
    <row r="5262">
      <c r="A5262" s="24">
        <v>42.0</v>
      </c>
      <c r="B5262" s="24">
        <v>0.0</v>
      </c>
      <c r="C5262" s="44">
        <v>10.43</v>
      </c>
      <c r="D5262" s="46">
        <v>45247.0</v>
      </c>
      <c r="E5262" s="24" t="s">
        <v>6650</v>
      </c>
      <c r="F5262" s="24">
        <v>248.33</v>
      </c>
      <c r="G5262" s="24">
        <v>0.0</v>
      </c>
      <c r="H5262" s="24" t="s">
        <v>6701</v>
      </c>
      <c r="I5262" s="24" t="s">
        <v>6650</v>
      </c>
      <c r="J5262" s="24">
        <v>0.0</v>
      </c>
    </row>
    <row r="5263">
      <c r="A5263" s="24">
        <v>35.0</v>
      </c>
      <c r="B5263" s="24">
        <v>1.0</v>
      </c>
      <c r="C5263" s="44">
        <v>10.25</v>
      </c>
      <c r="D5263" s="46">
        <v>45247.0</v>
      </c>
      <c r="E5263" s="24">
        <v>10.25</v>
      </c>
      <c r="F5263" s="24">
        <v>292.86</v>
      </c>
      <c r="G5263" s="24">
        <v>2.86</v>
      </c>
      <c r="H5263" s="24" t="s">
        <v>6696</v>
      </c>
      <c r="I5263" s="24" t="s">
        <v>6650</v>
      </c>
      <c r="J5263" s="24">
        <v>0.0</v>
      </c>
    </row>
    <row r="5264">
      <c r="A5264" s="24">
        <v>44.0</v>
      </c>
      <c r="B5264" s="24">
        <v>0.0</v>
      </c>
      <c r="C5264" s="44">
        <v>11.78</v>
      </c>
      <c r="D5264" s="46">
        <v>45247.0</v>
      </c>
      <c r="E5264" s="24" t="s">
        <v>6650</v>
      </c>
      <c r="F5264" s="24">
        <v>267.73</v>
      </c>
      <c r="G5264" s="24">
        <v>0.0</v>
      </c>
      <c r="H5264" s="24" t="s">
        <v>6699</v>
      </c>
      <c r="I5264" s="24" t="s">
        <v>6650</v>
      </c>
      <c r="J5264" s="24">
        <v>0.0</v>
      </c>
    </row>
    <row r="5265">
      <c r="A5265" s="24">
        <v>49.0</v>
      </c>
      <c r="B5265" s="24">
        <v>1.0</v>
      </c>
      <c r="C5265" s="44">
        <v>11.51</v>
      </c>
      <c r="D5265" s="46">
        <v>45247.0</v>
      </c>
      <c r="E5265" s="24">
        <v>11.51</v>
      </c>
      <c r="F5265" s="24">
        <v>234.9</v>
      </c>
      <c r="G5265" s="24">
        <v>2.04</v>
      </c>
      <c r="H5265" s="24" t="s">
        <v>6680</v>
      </c>
      <c r="I5265" s="24" t="s">
        <v>6650</v>
      </c>
      <c r="J5265" s="24">
        <v>0.0</v>
      </c>
    </row>
    <row r="5266">
      <c r="A5266" s="24">
        <v>15.0</v>
      </c>
      <c r="B5266" s="24">
        <v>0.0</v>
      </c>
      <c r="C5266" s="44">
        <v>11.0</v>
      </c>
      <c r="D5266" s="46">
        <v>45247.0</v>
      </c>
      <c r="E5266" s="24" t="s">
        <v>6650</v>
      </c>
      <c r="F5266" s="24">
        <v>733.33</v>
      </c>
      <c r="G5266" s="24">
        <v>0.0</v>
      </c>
      <c r="H5266" s="24" t="s">
        <v>6695</v>
      </c>
      <c r="I5266" s="24" t="s">
        <v>6650</v>
      </c>
      <c r="J5266" s="24">
        <v>0.0</v>
      </c>
    </row>
    <row r="5267">
      <c r="A5267" s="24">
        <v>3.0</v>
      </c>
      <c r="B5267" s="24">
        <v>0.0</v>
      </c>
      <c r="C5267" s="44">
        <v>2.37</v>
      </c>
      <c r="D5267" s="46">
        <v>45247.0</v>
      </c>
      <c r="E5267" s="24" t="s">
        <v>6650</v>
      </c>
      <c r="F5267" s="24">
        <v>790.0</v>
      </c>
      <c r="G5267" s="24">
        <v>0.0</v>
      </c>
      <c r="H5267" s="24" t="s">
        <v>6702</v>
      </c>
      <c r="I5267" s="24" t="s">
        <v>6650</v>
      </c>
      <c r="J5267" s="24">
        <v>0.0</v>
      </c>
    </row>
    <row r="5268">
      <c r="A5268" s="24">
        <v>234.0</v>
      </c>
      <c r="B5268" s="24">
        <v>0.0</v>
      </c>
      <c r="C5268" s="44">
        <v>8.27</v>
      </c>
      <c r="D5268" s="46">
        <v>45247.0</v>
      </c>
      <c r="E5268" s="24" t="s">
        <v>6650</v>
      </c>
      <c r="F5268" s="24">
        <v>35.34</v>
      </c>
      <c r="G5268" s="24">
        <v>0.0</v>
      </c>
      <c r="H5268" s="24" t="s">
        <v>6700</v>
      </c>
      <c r="I5268" s="24" t="s">
        <v>6650</v>
      </c>
      <c r="J5268" s="24">
        <v>0.0</v>
      </c>
    </row>
    <row r="5269">
      <c r="A5269" s="24">
        <v>218.0</v>
      </c>
      <c r="B5269" s="24">
        <v>1.0</v>
      </c>
      <c r="C5269" s="44">
        <v>11.92</v>
      </c>
      <c r="D5269" s="46">
        <v>45247.0</v>
      </c>
      <c r="E5269" s="24">
        <v>11.92</v>
      </c>
      <c r="F5269" s="24">
        <v>54.68</v>
      </c>
      <c r="G5269" s="24">
        <v>0.46</v>
      </c>
      <c r="H5269" s="24" t="s">
        <v>6698</v>
      </c>
      <c r="I5269" s="24">
        <v>5.96</v>
      </c>
      <c r="J5269" s="24">
        <v>0.0</v>
      </c>
    </row>
    <row r="5270">
      <c r="A5270" s="24">
        <v>581.0</v>
      </c>
      <c r="B5270" s="24">
        <v>2.0</v>
      </c>
      <c r="C5270" s="44">
        <v>9.6</v>
      </c>
      <c r="D5270" s="46">
        <v>45247.0</v>
      </c>
      <c r="E5270" s="24">
        <v>4.8</v>
      </c>
      <c r="F5270" s="24">
        <v>16.52</v>
      </c>
      <c r="G5270" s="24">
        <v>0.34</v>
      </c>
      <c r="H5270" s="24" t="s">
        <v>6688</v>
      </c>
      <c r="I5270" s="24" t="s">
        <v>6650</v>
      </c>
      <c r="J5270" s="24">
        <v>0.0</v>
      </c>
    </row>
    <row r="5271">
      <c r="A5271" s="24">
        <v>20.0</v>
      </c>
      <c r="B5271" s="24">
        <v>0.0</v>
      </c>
      <c r="C5271" s="44">
        <v>14.13</v>
      </c>
      <c r="D5271" s="46">
        <v>45247.0</v>
      </c>
      <c r="E5271" s="24" t="s">
        <v>6650</v>
      </c>
      <c r="F5271" s="24">
        <v>706.5</v>
      </c>
      <c r="G5271" s="24">
        <v>0.0</v>
      </c>
      <c r="H5271" s="24" t="s">
        <v>6697</v>
      </c>
      <c r="I5271" s="24" t="s">
        <v>6650</v>
      </c>
      <c r="J5271" s="24">
        <v>0.0</v>
      </c>
    </row>
    <row r="5272">
      <c r="A5272" s="24">
        <v>15.0</v>
      </c>
      <c r="B5272" s="24">
        <v>0.0</v>
      </c>
      <c r="C5272" s="44">
        <v>6.21</v>
      </c>
      <c r="D5272" s="46">
        <v>45248.0</v>
      </c>
      <c r="E5272" s="24" t="s">
        <v>6650</v>
      </c>
      <c r="F5272" s="24">
        <v>414.0</v>
      </c>
      <c r="G5272" s="24">
        <v>0.0</v>
      </c>
      <c r="H5272" s="24" t="s">
        <v>6699</v>
      </c>
      <c r="I5272" s="24" t="s">
        <v>6650</v>
      </c>
      <c r="J5272" s="24">
        <v>0.0</v>
      </c>
    </row>
    <row r="5273">
      <c r="A5273" s="24">
        <v>33.0</v>
      </c>
      <c r="B5273" s="24">
        <v>0.0</v>
      </c>
      <c r="C5273" s="44">
        <v>3.73</v>
      </c>
      <c r="D5273" s="46">
        <v>45248.0</v>
      </c>
      <c r="E5273" s="24" t="s">
        <v>6650</v>
      </c>
      <c r="F5273" s="24">
        <v>113.03</v>
      </c>
      <c r="G5273" s="24">
        <v>0.0</v>
      </c>
      <c r="H5273" s="24" t="s">
        <v>6696</v>
      </c>
      <c r="I5273" s="24" t="s">
        <v>6650</v>
      </c>
      <c r="J5273" s="24">
        <v>0.0</v>
      </c>
    </row>
    <row r="5274">
      <c r="A5274" s="24">
        <v>25.0</v>
      </c>
      <c r="B5274" s="24">
        <v>0.0</v>
      </c>
      <c r="C5274" s="44">
        <v>8.52</v>
      </c>
      <c r="D5274" s="46">
        <v>45248.0</v>
      </c>
      <c r="E5274" s="24" t="s">
        <v>6650</v>
      </c>
      <c r="F5274" s="24">
        <v>340.8</v>
      </c>
      <c r="G5274" s="24">
        <v>0.0</v>
      </c>
      <c r="H5274" s="24" t="s">
        <v>6680</v>
      </c>
      <c r="I5274" s="24" t="s">
        <v>6650</v>
      </c>
      <c r="J5274" s="24">
        <v>0.0</v>
      </c>
    </row>
    <row r="5275">
      <c r="A5275" s="24">
        <v>6.0</v>
      </c>
      <c r="B5275" s="24">
        <v>2.0</v>
      </c>
      <c r="C5275" s="44">
        <v>4.5</v>
      </c>
      <c r="D5275" s="46">
        <v>45248.0</v>
      </c>
      <c r="E5275" s="24">
        <v>2.25</v>
      </c>
      <c r="F5275" s="24">
        <v>750.0</v>
      </c>
      <c r="G5275" s="24">
        <v>33.33</v>
      </c>
      <c r="H5275" s="24" t="s">
        <v>6702</v>
      </c>
      <c r="I5275" s="24" t="s">
        <v>6650</v>
      </c>
      <c r="J5275" s="24">
        <v>0.0</v>
      </c>
    </row>
    <row r="5276">
      <c r="A5276" s="24">
        <v>47.0</v>
      </c>
      <c r="B5276" s="24">
        <v>1.0</v>
      </c>
      <c r="C5276" s="44">
        <v>7.97</v>
      </c>
      <c r="D5276" s="46">
        <v>45248.0</v>
      </c>
      <c r="E5276" s="24">
        <v>7.97</v>
      </c>
      <c r="F5276" s="24">
        <v>169.57</v>
      </c>
      <c r="G5276" s="24">
        <v>2.13</v>
      </c>
      <c r="H5276" s="24" t="s">
        <v>6698</v>
      </c>
      <c r="I5276" s="24" t="s">
        <v>6650</v>
      </c>
      <c r="J5276" s="24">
        <v>0.0</v>
      </c>
    </row>
    <row r="5277">
      <c r="A5277" s="24">
        <v>21.0</v>
      </c>
      <c r="B5277" s="24">
        <v>0.0</v>
      </c>
      <c r="C5277" s="44">
        <v>4.12</v>
      </c>
      <c r="D5277" s="46">
        <v>45248.0</v>
      </c>
      <c r="E5277" s="24" t="s">
        <v>6650</v>
      </c>
      <c r="F5277" s="24">
        <v>196.19</v>
      </c>
      <c r="G5277" s="24">
        <v>0.0</v>
      </c>
      <c r="H5277" s="24" t="s">
        <v>6701</v>
      </c>
      <c r="I5277" s="24" t="s">
        <v>6650</v>
      </c>
      <c r="J5277" s="24">
        <v>0.0</v>
      </c>
    </row>
    <row r="5278">
      <c r="A5278" s="24">
        <v>7.0</v>
      </c>
      <c r="B5278" s="24">
        <v>0.0</v>
      </c>
      <c r="C5278" s="44">
        <v>1.53</v>
      </c>
      <c r="D5278" s="46">
        <v>45248.0</v>
      </c>
      <c r="E5278" s="24" t="s">
        <v>6650</v>
      </c>
      <c r="F5278" s="24">
        <v>218.57</v>
      </c>
      <c r="G5278" s="24">
        <v>0.0</v>
      </c>
      <c r="H5278" s="24" t="s">
        <v>6697</v>
      </c>
      <c r="I5278" s="24" t="s">
        <v>6650</v>
      </c>
      <c r="J5278" s="24">
        <v>0.0</v>
      </c>
    </row>
    <row r="5279">
      <c r="A5279" s="24">
        <v>37.0</v>
      </c>
      <c r="B5279" s="24">
        <v>0.0</v>
      </c>
      <c r="C5279" s="44">
        <v>5.78</v>
      </c>
      <c r="D5279" s="46">
        <v>45248.0</v>
      </c>
      <c r="E5279" s="24" t="s">
        <v>6650</v>
      </c>
      <c r="F5279" s="24">
        <v>156.22</v>
      </c>
      <c r="G5279" s="24">
        <v>0.0</v>
      </c>
      <c r="H5279" s="24" t="s">
        <v>6700</v>
      </c>
      <c r="I5279" s="24" t="s">
        <v>6650</v>
      </c>
      <c r="J5279" s="24">
        <v>0.0</v>
      </c>
    </row>
    <row r="5280">
      <c r="A5280" s="24">
        <v>10.0</v>
      </c>
      <c r="B5280" s="24">
        <v>1.0</v>
      </c>
      <c r="C5280" s="44">
        <v>4.96</v>
      </c>
      <c r="D5280" s="46">
        <v>45248.0</v>
      </c>
      <c r="E5280" s="24">
        <v>4.96</v>
      </c>
      <c r="F5280" s="24">
        <v>496.0</v>
      </c>
      <c r="G5280" s="24">
        <v>10.0</v>
      </c>
      <c r="H5280" s="24" t="s">
        <v>6695</v>
      </c>
      <c r="I5280" s="24" t="s">
        <v>6650</v>
      </c>
      <c r="J5280" s="24">
        <v>0.0</v>
      </c>
    </row>
    <row r="5281">
      <c r="A5281" s="24">
        <v>315.0</v>
      </c>
      <c r="B5281" s="24">
        <v>6.0</v>
      </c>
      <c r="C5281" s="44">
        <v>6.17</v>
      </c>
      <c r="D5281" s="46">
        <v>45248.0</v>
      </c>
      <c r="E5281" s="24">
        <v>1.03</v>
      </c>
      <c r="F5281" s="24">
        <v>19.59</v>
      </c>
      <c r="G5281" s="24">
        <v>1.9</v>
      </c>
      <c r="H5281" s="24" t="s">
        <v>6689</v>
      </c>
      <c r="I5281" s="24">
        <v>6.17</v>
      </c>
      <c r="J5281" s="24">
        <v>0.0</v>
      </c>
    </row>
    <row r="5282">
      <c r="A5282" s="24">
        <v>369.0</v>
      </c>
      <c r="B5282" s="24">
        <v>5.0</v>
      </c>
      <c r="C5282" s="44">
        <v>5.95</v>
      </c>
      <c r="D5282" s="46">
        <v>45248.0</v>
      </c>
      <c r="E5282" s="24">
        <v>1.19</v>
      </c>
      <c r="F5282" s="24">
        <v>16.12</v>
      </c>
      <c r="G5282" s="24">
        <v>1.36</v>
      </c>
      <c r="H5282" s="24" t="s">
        <v>6688</v>
      </c>
      <c r="I5282" s="24" t="s">
        <v>6650</v>
      </c>
      <c r="J5282" s="24">
        <v>0.0</v>
      </c>
    </row>
    <row r="5283">
      <c r="A5283" s="24">
        <v>16.0</v>
      </c>
      <c r="B5283" s="24">
        <v>0.0</v>
      </c>
      <c r="C5283" s="44">
        <v>2.39</v>
      </c>
      <c r="D5283" s="46">
        <v>45249.0</v>
      </c>
      <c r="E5283" s="24" t="s">
        <v>6650</v>
      </c>
      <c r="F5283" s="24">
        <v>149.38</v>
      </c>
      <c r="G5283" s="24">
        <v>0.0</v>
      </c>
      <c r="H5283" s="24" t="s">
        <v>6695</v>
      </c>
      <c r="I5283" s="24" t="s">
        <v>6650</v>
      </c>
      <c r="J5283" s="24">
        <v>0.0</v>
      </c>
    </row>
    <row r="5284">
      <c r="A5284" s="24">
        <v>22.0</v>
      </c>
      <c r="B5284" s="24">
        <v>0.0</v>
      </c>
      <c r="C5284" s="44">
        <v>5.69</v>
      </c>
      <c r="D5284" s="46">
        <v>45249.0</v>
      </c>
      <c r="E5284" s="24" t="s">
        <v>6650</v>
      </c>
      <c r="F5284" s="24">
        <v>258.64</v>
      </c>
      <c r="G5284" s="24">
        <v>0.0</v>
      </c>
      <c r="H5284" s="24" t="s">
        <v>6698</v>
      </c>
      <c r="I5284" s="24">
        <v>2.84</v>
      </c>
      <c r="J5284" s="24">
        <v>0.0</v>
      </c>
    </row>
    <row r="5285">
      <c r="A5285" s="24">
        <v>22.0</v>
      </c>
      <c r="B5285" s="24">
        <v>0.0</v>
      </c>
      <c r="C5285" s="44">
        <v>1.66</v>
      </c>
      <c r="D5285" s="46">
        <v>45249.0</v>
      </c>
      <c r="E5285" s="24" t="s">
        <v>6650</v>
      </c>
      <c r="F5285" s="24">
        <v>75.45</v>
      </c>
      <c r="G5285" s="24">
        <v>0.0</v>
      </c>
      <c r="H5285" s="24" t="s">
        <v>6696</v>
      </c>
      <c r="I5285" s="24" t="s">
        <v>6650</v>
      </c>
      <c r="J5285" s="24">
        <v>0.0</v>
      </c>
    </row>
    <row r="5286">
      <c r="A5286" s="24">
        <v>426.0</v>
      </c>
      <c r="B5286" s="24">
        <v>1.0</v>
      </c>
      <c r="C5286" s="44">
        <v>5.74</v>
      </c>
      <c r="D5286" s="46">
        <v>45249.0</v>
      </c>
      <c r="E5286" s="24">
        <v>5.74</v>
      </c>
      <c r="F5286" s="24">
        <v>13.47</v>
      </c>
      <c r="G5286" s="24">
        <v>0.23</v>
      </c>
      <c r="H5286" s="24" t="s">
        <v>6688</v>
      </c>
      <c r="I5286" s="24" t="s">
        <v>6650</v>
      </c>
      <c r="J5286" s="24">
        <v>0.0</v>
      </c>
    </row>
    <row r="5287">
      <c r="A5287" s="24">
        <v>305.0</v>
      </c>
      <c r="B5287" s="24">
        <v>3.0</v>
      </c>
      <c r="C5287" s="44">
        <v>5.32</v>
      </c>
      <c r="D5287" s="46">
        <v>45249.0</v>
      </c>
      <c r="E5287" s="24">
        <v>1.77</v>
      </c>
      <c r="F5287" s="24">
        <v>17.44</v>
      </c>
      <c r="G5287" s="24">
        <v>0.98</v>
      </c>
      <c r="H5287" s="24" t="s">
        <v>6689</v>
      </c>
      <c r="I5287" s="24" t="s">
        <v>6650</v>
      </c>
      <c r="J5287" s="24">
        <v>0.0</v>
      </c>
    </row>
    <row r="5288">
      <c r="A5288" s="24">
        <v>8.0</v>
      </c>
      <c r="B5288" s="24">
        <v>0.0</v>
      </c>
      <c r="C5288" s="44">
        <v>2.42</v>
      </c>
      <c r="D5288" s="46">
        <v>45249.0</v>
      </c>
      <c r="E5288" s="24" t="s">
        <v>6650</v>
      </c>
      <c r="F5288" s="24">
        <v>302.5</v>
      </c>
      <c r="G5288" s="24">
        <v>0.0</v>
      </c>
      <c r="H5288" s="24" t="s">
        <v>6680</v>
      </c>
      <c r="I5288" s="24" t="s">
        <v>6650</v>
      </c>
      <c r="J5288" s="24">
        <v>0.0</v>
      </c>
    </row>
    <row r="5289">
      <c r="A5289" s="24">
        <v>8.0</v>
      </c>
      <c r="B5289" s="24">
        <v>3.0</v>
      </c>
      <c r="C5289" s="44">
        <v>6.0</v>
      </c>
      <c r="D5289" s="46">
        <v>45249.0</v>
      </c>
      <c r="E5289" s="24">
        <v>2.0</v>
      </c>
      <c r="F5289" s="24">
        <v>750.0</v>
      </c>
      <c r="G5289" s="24">
        <v>37.5</v>
      </c>
      <c r="H5289" s="24" t="s">
        <v>6702</v>
      </c>
      <c r="I5289" s="24" t="s">
        <v>6650</v>
      </c>
      <c r="J5289" s="24">
        <v>0.0</v>
      </c>
    </row>
    <row r="5290">
      <c r="A5290" s="24">
        <v>6.0</v>
      </c>
      <c r="B5290" s="24">
        <v>1.0</v>
      </c>
      <c r="C5290" s="44">
        <v>0.31</v>
      </c>
      <c r="D5290" s="46">
        <v>45249.0</v>
      </c>
      <c r="E5290" s="24">
        <v>0.31</v>
      </c>
      <c r="F5290" s="24">
        <v>51.67</v>
      </c>
      <c r="G5290" s="24">
        <v>16.67</v>
      </c>
      <c r="H5290" s="24" t="s">
        <v>6697</v>
      </c>
      <c r="I5290" s="24" t="s">
        <v>6650</v>
      </c>
      <c r="J5290" s="24">
        <v>1.0</v>
      </c>
    </row>
    <row r="5291">
      <c r="A5291" s="24">
        <v>16.0</v>
      </c>
      <c r="B5291" s="24">
        <v>1.0</v>
      </c>
      <c r="C5291" s="44">
        <v>2.36</v>
      </c>
      <c r="D5291" s="46">
        <v>45249.0</v>
      </c>
      <c r="E5291" s="24">
        <v>2.36</v>
      </c>
      <c r="F5291" s="24">
        <v>147.5</v>
      </c>
      <c r="G5291" s="24">
        <v>6.25</v>
      </c>
      <c r="H5291" s="24" t="s">
        <v>6701</v>
      </c>
      <c r="I5291" s="24" t="s">
        <v>6650</v>
      </c>
      <c r="J5291" s="24">
        <v>0.0</v>
      </c>
    </row>
    <row r="5292">
      <c r="A5292" s="24">
        <v>26.0</v>
      </c>
      <c r="B5292" s="24">
        <v>0.0</v>
      </c>
      <c r="C5292" s="44">
        <v>4.03</v>
      </c>
      <c r="D5292" s="46">
        <v>45249.0</v>
      </c>
      <c r="E5292" s="24" t="s">
        <v>6650</v>
      </c>
      <c r="F5292" s="24">
        <v>155.0</v>
      </c>
      <c r="G5292" s="24">
        <v>0.0</v>
      </c>
      <c r="H5292" s="24" t="s">
        <v>6700</v>
      </c>
      <c r="I5292" s="24" t="s">
        <v>6650</v>
      </c>
      <c r="J5292" s="24">
        <v>0.0</v>
      </c>
    </row>
    <row r="5293">
      <c r="A5293" s="24">
        <v>44.0</v>
      </c>
      <c r="B5293" s="24">
        <v>1.0</v>
      </c>
      <c r="C5293" s="44">
        <v>12.44</v>
      </c>
      <c r="D5293" s="46">
        <v>45250.0</v>
      </c>
      <c r="E5293" s="24">
        <v>12.44</v>
      </c>
      <c r="F5293" s="24">
        <v>282.73</v>
      </c>
      <c r="G5293" s="24">
        <v>2.27</v>
      </c>
      <c r="H5293" s="24" t="s">
        <v>6699</v>
      </c>
      <c r="I5293" s="24">
        <v>12.44</v>
      </c>
      <c r="J5293" s="24">
        <v>0.0</v>
      </c>
    </row>
    <row r="5294">
      <c r="A5294" s="24">
        <v>347.0</v>
      </c>
      <c r="B5294" s="24">
        <v>1.0</v>
      </c>
      <c r="C5294" s="44">
        <v>15.05</v>
      </c>
      <c r="D5294" s="46">
        <v>45250.0</v>
      </c>
      <c r="E5294" s="24">
        <v>15.05</v>
      </c>
      <c r="F5294" s="24">
        <v>43.37</v>
      </c>
      <c r="G5294" s="24">
        <v>0.29</v>
      </c>
      <c r="H5294" s="24" t="s">
        <v>6698</v>
      </c>
      <c r="I5294" s="24" t="s">
        <v>6650</v>
      </c>
      <c r="J5294" s="24">
        <v>0.0</v>
      </c>
    </row>
    <row r="5295">
      <c r="A5295" s="24">
        <v>646.0</v>
      </c>
      <c r="B5295" s="24">
        <v>3.0</v>
      </c>
      <c r="C5295" s="44">
        <v>11.93</v>
      </c>
      <c r="D5295" s="46">
        <v>45250.0</v>
      </c>
      <c r="E5295" s="24">
        <v>3.98</v>
      </c>
      <c r="F5295" s="24">
        <v>18.47</v>
      </c>
      <c r="G5295" s="24">
        <v>0.46</v>
      </c>
      <c r="H5295" s="24" t="s">
        <v>6688</v>
      </c>
      <c r="I5295" s="24" t="s">
        <v>6650</v>
      </c>
      <c r="J5295" s="24">
        <v>0.0</v>
      </c>
    </row>
    <row r="5296">
      <c r="A5296" s="24">
        <v>46.0</v>
      </c>
      <c r="B5296" s="24">
        <v>0.0</v>
      </c>
      <c r="C5296" s="44">
        <v>14.53</v>
      </c>
      <c r="D5296" s="46">
        <v>45250.0</v>
      </c>
      <c r="E5296" s="24" t="s">
        <v>6650</v>
      </c>
      <c r="F5296" s="24">
        <v>315.87</v>
      </c>
      <c r="G5296" s="24">
        <v>0.0</v>
      </c>
      <c r="H5296" s="24" t="s">
        <v>6700</v>
      </c>
      <c r="I5296" s="24" t="s">
        <v>6650</v>
      </c>
      <c r="J5296" s="24">
        <v>0.0</v>
      </c>
    </row>
    <row r="5297">
      <c r="A5297" s="24">
        <v>34.0</v>
      </c>
      <c r="B5297" s="24">
        <v>0.0</v>
      </c>
      <c r="C5297" s="44">
        <v>12.44</v>
      </c>
      <c r="D5297" s="46">
        <v>45250.0</v>
      </c>
      <c r="E5297" s="24" t="s">
        <v>6650</v>
      </c>
      <c r="F5297" s="24">
        <v>365.88</v>
      </c>
      <c r="G5297" s="24">
        <v>0.0</v>
      </c>
      <c r="H5297" s="24" t="s">
        <v>6697</v>
      </c>
      <c r="I5297" s="24" t="s">
        <v>6650</v>
      </c>
      <c r="J5297" s="24">
        <v>0.0</v>
      </c>
    </row>
    <row r="5298">
      <c r="A5298" s="24">
        <v>26.0</v>
      </c>
      <c r="B5298" s="24">
        <v>1.0</v>
      </c>
      <c r="C5298" s="44">
        <v>13.74</v>
      </c>
      <c r="D5298" s="46">
        <v>45250.0</v>
      </c>
      <c r="E5298" s="24">
        <v>13.74</v>
      </c>
      <c r="F5298" s="24">
        <v>528.46</v>
      </c>
      <c r="G5298" s="24">
        <v>3.85</v>
      </c>
      <c r="H5298" s="24" t="s">
        <v>6695</v>
      </c>
      <c r="I5298" s="24" t="s">
        <v>6650</v>
      </c>
      <c r="J5298" s="24">
        <v>0.0</v>
      </c>
    </row>
    <row r="5299">
      <c r="A5299" s="24">
        <v>60.0</v>
      </c>
      <c r="B5299" s="24">
        <v>0.0</v>
      </c>
      <c r="C5299" s="44">
        <v>14.53</v>
      </c>
      <c r="D5299" s="46">
        <v>45250.0</v>
      </c>
      <c r="E5299" s="24" t="s">
        <v>6650</v>
      </c>
      <c r="F5299" s="24">
        <v>242.17</v>
      </c>
      <c r="G5299" s="24">
        <v>0.0</v>
      </c>
      <c r="H5299" s="24" t="s">
        <v>6680</v>
      </c>
      <c r="I5299" s="24" t="s">
        <v>6650</v>
      </c>
      <c r="J5299" s="24">
        <v>0.0</v>
      </c>
    </row>
    <row r="5300">
      <c r="A5300" s="24">
        <v>55.0</v>
      </c>
      <c r="B5300" s="24">
        <v>1.0</v>
      </c>
      <c r="C5300" s="44">
        <v>12.01</v>
      </c>
      <c r="D5300" s="46">
        <v>45250.0</v>
      </c>
      <c r="E5300" s="24">
        <v>12.01</v>
      </c>
      <c r="F5300" s="24">
        <v>218.36</v>
      </c>
      <c r="G5300" s="24">
        <v>1.82</v>
      </c>
      <c r="H5300" s="24" t="s">
        <v>6701</v>
      </c>
      <c r="I5300" s="24" t="s">
        <v>6650</v>
      </c>
      <c r="J5300" s="24">
        <v>0.0</v>
      </c>
    </row>
    <row r="5301">
      <c r="A5301" s="24">
        <v>12.0</v>
      </c>
      <c r="B5301" s="24">
        <v>9.0</v>
      </c>
      <c r="C5301" s="44">
        <v>9.75</v>
      </c>
      <c r="D5301" s="46">
        <v>45250.0</v>
      </c>
      <c r="E5301" s="24">
        <v>1.08</v>
      </c>
      <c r="F5301" s="24">
        <v>812.5</v>
      </c>
      <c r="G5301" s="24">
        <v>75.0</v>
      </c>
      <c r="H5301" s="24" t="s">
        <v>6702</v>
      </c>
      <c r="I5301" s="24" t="s">
        <v>6650</v>
      </c>
      <c r="J5301" s="24">
        <v>0.0</v>
      </c>
    </row>
    <row r="5302">
      <c r="A5302" s="24">
        <v>61.0</v>
      </c>
      <c r="B5302" s="24">
        <v>1.0</v>
      </c>
      <c r="C5302" s="44">
        <v>12.84</v>
      </c>
      <c r="D5302" s="46">
        <v>45250.0</v>
      </c>
      <c r="E5302" s="24">
        <v>12.84</v>
      </c>
      <c r="F5302" s="24">
        <v>210.49</v>
      </c>
      <c r="G5302" s="24">
        <v>1.64</v>
      </c>
      <c r="H5302" s="24" t="s">
        <v>6696</v>
      </c>
      <c r="I5302" s="24" t="s">
        <v>6650</v>
      </c>
      <c r="J5302" s="24">
        <v>0.0</v>
      </c>
    </row>
    <row r="5303">
      <c r="A5303" s="24">
        <v>563.0</v>
      </c>
      <c r="B5303" s="24">
        <v>4.0</v>
      </c>
      <c r="C5303" s="44">
        <v>11.19</v>
      </c>
      <c r="D5303" s="46">
        <v>45250.0</v>
      </c>
      <c r="E5303" s="24">
        <v>2.8</v>
      </c>
      <c r="F5303" s="24">
        <v>19.88</v>
      </c>
      <c r="G5303" s="24">
        <v>0.71</v>
      </c>
      <c r="H5303" s="24" t="s">
        <v>6689</v>
      </c>
      <c r="I5303" s="24" t="s">
        <v>6650</v>
      </c>
      <c r="J5303" s="24">
        <v>0.0</v>
      </c>
    </row>
    <row r="5304">
      <c r="A5304" s="24">
        <v>60.0</v>
      </c>
      <c r="B5304" s="24">
        <v>0.0</v>
      </c>
      <c r="C5304" s="44">
        <v>14.74</v>
      </c>
      <c r="D5304" s="46">
        <v>45251.0</v>
      </c>
      <c r="E5304" s="24" t="s">
        <v>6650</v>
      </c>
      <c r="F5304" s="24">
        <v>245.67</v>
      </c>
      <c r="G5304" s="24">
        <v>0.0</v>
      </c>
      <c r="H5304" s="24" t="s">
        <v>6699</v>
      </c>
      <c r="I5304" s="24" t="s">
        <v>6650</v>
      </c>
      <c r="J5304" s="24">
        <v>0.0</v>
      </c>
    </row>
    <row r="5305">
      <c r="A5305" s="24">
        <v>683.0</v>
      </c>
      <c r="B5305" s="24">
        <v>5.0</v>
      </c>
      <c r="C5305" s="44">
        <v>11.85</v>
      </c>
      <c r="D5305" s="46">
        <v>45251.0</v>
      </c>
      <c r="E5305" s="24">
        <v>2.37</v>
      </c>
      <c r="F5305" s="24">
        <v>17.35</v>
      </c>
      <c r="G5305" s="24">
        <v>0.73</v>
      </c>
      <c r="H5305" s="24" t="s">
        <v>6689</v>
      </c>
      <c r="I5305" s="24" t="s">
        <v>6650</v>
      </c>
      <c r="J5305" s="24">
        <v>0.0</v>
      </c>
    </row>
    <row r="5306">
      <c r="A5306" s="24">
        <v>117.0</v>
      </c>
      <c r="B5306" s="24">
        <v>1.0</v>
      </c>
      <c r="C5306" s="44">
        <v>15.87</v>
      </c>
      <c r="D5306" s="46">
        <v>45251.0</v>
      </c>
      <c r="E5306" s="24">
        <v>15.87</v>
      </c>
      <c r="F5306" s="24">
        <v>135.64</v>
      </c>
      <c r="G5306" s="24">
        <v>0.85</v>
      </c>
      <c r="H5306" s="24" t="s">
        <v>6698</v>
      </c>
      <c r="I5306" s="24" t="s">
        <v>6650</v>
      </c>
      <c r="J5306" s="24">
        <v>0.0</v>
      </c>
    </row>
    <row r="5307">
      <c r="A5307" s="24">
        <v>13.0</v>
      </c>
      <c r="B5307" s="24">
        <v>6.0</v>
      </c>
      <c r="C5307" s="44">
        <v>9.75</v>
      </c>
      <c r="D5307" s="46">
        <v>45251.0</v>
      </c>
      <c r="E5307" s="24">
        <v>1.62</v>
      </c>
      <c r="F5307" s="24">
        <v>750.0</v>
      </c>
      <c r="G5307" s="24">
        <v>46.15</v>
      </c>
      <c r="H5307" s="24" t="s">
        <v>6702</v>
      </c>
      <c r="I5307" s="24" t="s">
        <v>6650</v>
      </c>
      <c r="J5307" s="24">
        <v>0.0</v>
      </c>
    </row>
    <row r="5308">
      <c r="A5308" s="24">
        <v>30.0</v>
      </c>
      <c r="B5308" s="24">
        <v>0.0</v>
      </c>
      <c r="C5308" s="44">
        <v>13.03</v>
      </c>
      <c r="D5308" s="46">
        <v>45251.0</v>
      </c>
      <c r="E5308" s="24" t="s">
        <v>6650</v>
      </c>
      <c r="F5308" s="24">
        <v>434.33</v>
      </c>
      <c r="G5308" s="24">
        <v>0.0</v>
      </c>
      <c r="H5308" s="24" t="s">
        <v>6696</v>
      </c>
      <c r="I5308" s="24" t="s">
        <v>6650</v>
      </c>
      <c r="J5308" s="24">
        <v>0.0</v>
      </c>
    </row>
    <row r="5309">
      <c r="A5309" s="24">
        <v>19.0</v>
      </c>
      <c r="B5309" s="24">
        <v>0.0</v>
      </c>
      <c r="C5309" s="44">
        <v>15.0</v>
      </c>
      <c r="D5309" s="46">
        <v>45251.0</v>
      </c>
      <c r="E5309" s="24" t="s">
        <v>6650</v>
      </c>
      <c r="F5309" s="24">
        <v>789.47</v>
      </c>
      <c r="G5309" s="24">
        <v>0.0</v>
      </c>
      <c r="H5309" s="24" t="s">
        <v>6697</v>
      </c>
      <c r="I5309" s="24" t="s">
        <v>6650</v>
      </c>
      <c r="J5309" s="24">
        <v>0.0</v>
      </c>
    </row>
    <row r="5310">
      <c r="A5310" s="24">
        <v>65.0</v>
      </c>
      <c r="B5310" s="24">
        <v>0.0</v>
      </c>
      <c r="C5310" s="44">
        <v>14.92</v>
      </c>
      <c r="D5310" s="46">
        <v>45251.0</v>
      </c>
      <c r="E5310" s="24" t="s">
        <v>6650</v>
      </c>
      <c r="F5310" s="24">
        <v>229.54</v>
      </c>
      <c r="G5310" s="24">
        <v>0.0</v>
      </c>
      <c r="H5310" s="24" t="s">
        <v>6701</v>
      </c>
      <c r="I5310" s="24">
        <v>14.92</v>
      </c>
      <c r="J5310" s="24">
        <v>0.0</v>
      </c>
    </row>
    <row r="5311">
      <c r="A5311" s="24">
        <v>20.0</v>
      </c>
      <c r="B5311" s="24">
        <v>0.0</v>
      </c>
      <c r="C5311" s="44">
        <v>13.12</v>
      </c>
      <c r="D5311" s="46">
        <v>45251.0</v>
      </c>
      <c r="E5311" s="24" t="s">
        <v>6650</v>
      </c>
      <c r="F5311" s="24">
        <v>656.0</v>
      </c>
      <c r="G5311" s="24">
        <v>0.0</v>
      </c>
      <c r="H5311" s="24" t="s">
        <v>6695</v>
      </c>
      <c r="I5311" s="24" t="s">
        <v>6650</v>
      </c>
      <c r="J5311" s="24">
        <v>0.0</v>
      </c>
    </row>
    <row r="5312">
      <c r="A5312" s="24">
        <v>70.0</v>
      </c>
      <c r="B5312" s="24">
        <v>1.0</v>
      </c>
      <c r="C5312" s="44">
        <v>12.7</v>
      </c>
      <c r="D5312" s="46">
        <v>45251.0</v>
      </c>
      <c r="E5312" s="24">
        <v>12.7</v>
      </c>
      <c r="F5312" s="24">
        <v>181.43</v>
      </c>
      <c r="G5312" s="24">
        <v>1.43</v>
      </c>
      <c r="H5312" s="24" t="s">
        <v>6700</v>
      </c>
      <c r="I5312" s="24" t="s">
        <v>6650</v>
      </c>
      <c r="J5312" s="24">
        <v>0.0</v>
      </c>
    </row>
    <row r="5313">
      <c r="A5313" s="24">
        <v>23.0</v>
      </c>
      <c r="B5313" s="24">
        <v>0.0</v>
      </c>
      <c r="C5313" s="44">
        <v>7.4</v>
      </c>
      <c r="D5313" s="46">
        <v>45251.0</v>
      </c>
      <c r="E5313" s="24" t="s">
        <v>6650</v>
      </c>
      <c r="F5313" s="24">
        <v>321.74</v>
      </c>
      <c r="G5313" s="24">
        <v>0.0</v>
      </c>
      <c r="H5313" s="24" t="s">
        <v>6680</v>
      </c>
      <c r="I5313" s="24" t="s">
        <v>6650</v>
      </c>
      <c r="J5313" s="24">
        <v>0.0</v>
      </c>
    </row>
    <row r="5314">
      <c r="A5314" s="24">
        <v>770.0</v>
      </c>
      <c r="B5314" s="24">
        <v>2.0</v>
      </c>
      <c r="C5314" s="44">
        <v>12.13</v>
      </c>
      <c r="D5314" s="46">
        <v>45251.0</v>
      </c>
      <c r="E5314" s="24">
        <v>6.06</v>
      </c>
      <c r="F5314" s="24">
        <v>15.75</v>
      </c>
      <c r="G5314" s="24">
        <v>0.26</v>
      </c>
      <c r="H5314" s="24" t="s">
        <v>6688</v>
      </c>
      <c r="I5314" s="24" t="s">
        <v>6650</v>
      </c>
      <c r="J5314" s="24">
        <v>0.0</v>
      </c>
    </row>
    <row r="5315">
      <c r="A5315" s="24">
        <v>33.0</v>
      </c>
      <c r="B5315" s="24">
        <v>0.0</v>
      </c>
      <c r="C5315" s="44">
        <v>11.73</v>
      </c>
      <c r="D5315" s="46">
        <v>45252.0</v>
      </c>
      <c r="E5315" s="24" t="s">
        <v>6650</v>
      </c>
      <c r="F5315" s="24">
        <v>355.45</v>
      </c>
      <c r="G5315" s="24">
        <v>0.0</v>
      </c>
      <c r="H5315" s="24" t="s">
        <v>6695</v>
      </c>
      <c r="I5315" s="24" t="s">
        <v>6650</v>
      </c>
      <c r="J5315" s="24">
        <v>0.0</v>
      </c>
    </row>
    <row r="5316">
      <c r="A5316" s="24">
        <v>64.0</v>
      </c>
      <c r="B5316" s="24">
        <v>0.0</v>
      </c>
      <c r="C5316" s="44">
        <v>14.22</v>
      </c>
      <c r="D5316" s="46">
        <v>45252.0</v>
      </c>
      <c r="E5316" s="24" t="s">
        <v>6650</v>
      </c>
      <c r="F5316" s="24">
        <v>222.19</v>
      </c>
      <c r="G5316" s="24">
        <v>0.0</v>
      </c>
      <c r="H5316" s="24" t="s">
        <v>6701</v>
      </c>
      <c r="I5316" s="24" t="s">
        <v>6650</v>
      </c>
      <c r="J5316" s="24">
        <v>0.0</v>
      </c>
    </row>
    <row r="5317">
      <c r="A5317" s="24">
        <v>25.0</v>
      </c>
      <c r="B5317" s="24">
        <v>1.0</v>
      </c>
      <c r="C5317" s="44">
        <v>15.0</v>
      </c>
      <c r="D5317" s="46">
        <v>45252.0</v>
      </c>
      <c r="E5317" s="24">
        <v>15.0</v>
      </c>
      <c r="F5317" s="24">
        <v>600.0</v>
      </c>
      <c r="G5317" s="24">
        <v>4.0</v>
      </c>
      <c r="H5317" s="24" t="s">
        <v>6696</v>
      </c>
      <c r="I5317" s="24" t="s">
        <v>6650</v>
      </c>
      <c r="J5317" s="24">
        <v>0.0</v>
      </c>
    </row>
    <row r="5318">
      <c r="A5318" s="24">
        <v>981.0</v>
      </c>
      <c r="B5318" s="24">
        <v>4.0</v>
      </c>
      <c r="C5318" s="44">
        <v>12.62</v>
      </c>
      <c r="D5318" s="46">
        <v>45252.0</v>
      </c>
      <c r="E5318" s="24">
        <v>3.16</v>
      </c>
      <c r="F5318" s="24">
        <v>12.86</v>
      </c>
      <c r="G5318" s="24">
        <v>0.41</v>
      </c>
      <c r="H5318" s="24" t="s">
        <v>6688</v>
      </c>
      <c r="I5318" s="24" t="s">
        <v>6650</v>
      </c>
      <c r="J5318" s="24">
        <v>0.0</v>
      </c>
    </row>
    <row r="5319">
      <c r="A5319" s="24">
        <v>31.0</v>
      </c>
      <c r="B5319" s="24">
        <v>1.0</v>
      </c>
      <c r="C5319" s="44">
        <v>13.9</v>
      </c>
      <c r="D5319" s="46">
        <v>45252.0</v>
      </c>
      <c r="E5319" s="24">
        <v>13.9</v>
      </c>
      <c r="F5319" s="24">
        <v>448.39</v>
      </c>
      <c r="G5319" s="24">
        <v>3.23</v>
      </c>
      <c r="H5319" s="24" t="s">
        <v>6697</v>
      </c>
      <c r="I5319" s="24" t="s">
        <v>6650</v>
      </c>
      <c r="J5319" s="24">
        <v>0.0</v>
      </c>
    </row>
    <row r="5320">
      <c r="A5320" s="24">
        <v>81.0</v>
      </c>
      <c r="B5320" s="24">
        <v>1.0</v>
      </c>
      <c r="C5320" s="44">
        <v>15.76</v>
      </c>
      <c r="D5320" s="46">
        <v>45252.0</v>
      </c>
      <c r="E5320" s="24">
        <v>15.76</v>
      </c>
      <c r="F5320" s="24">
        <v>194.57</v>
      </c>
      <c r="G5320" s="24">
        <v>1.23</v>
      </c>
      <c r="H5320" s="24" t="s">
        <v>6698</v>
      </c>
      <c r="I5320" s="24" t="s">
        <v>6650</v>
      </c>
      <c r="J5320" s="24">
        <v>0.0</v>
      </c>
    </row>
    <row r="5321">
      <c r="A5321" s="24">
        <v>6.0</v>
      </c>
      <c r="B5321" s="24">
        <v>2.0</v>
      </c>
      <c r="C5321" s="44">
        <v>4.78</v>
      </c>
      <c r="D5321" s="46">
        <v>45252.0</v>
      </c>
      <c r="E5321" s="24">
        <v>2.39</v>
      </c>
      <c r="F5321" s="24">
        <v>796.67</v>
      </c>
      <c r="G5321" s="24">
        <v>33.33</v>
      </c>
      <c r="H5321" s="24" t="s">
        <v>6702</v>
      </c>
      <c r="I5321" s="24" t="s">
        <v>6650</v>
      </c>
      <c r="J5321" s="24">
        <v>0.0</v>
      </c>
    </row>
    <row r="5322">
      <c r="A5322" s="24">
        <v>795.0</v>
      </c>
      <c r="B5322" s="24">
        <v>6.0</v>
      </c>
      <c r="C5322" s="44">
        <v>12.23</v>
      </c>
      <c r="D5322" s="46">
        <v>45252.0</v>
      </c>
      <c r="E5322" s="24">
        <v>2.04</v>
      </c>
      <c r="F5322" s="24">
        <v>15.38</v>
      </c>
      <c r="G5322" s="24">
        <v>0.75</v>
      </c>
      <c r="H5322" s="24" t="s">
        <v>6689</v>
      </c>
      <c r="I5322" s="24" t="s">
        <v>6650</v>
      </c>
      <c r="J5322" s="24">
        <v>0.0</v>
      </c>
    </row>
    <row r="5323">
      <c r="A5323" s="24">
        <v>112.0</v>
      </c>
      <c r="B5323" s="24">
        <v>0.0</v>
      </c>
      <c r="C5323" s="44">
        <v>12.9</v>
      </c>
      <c r="D5323" s="46">
        <v>45252.0</v>
      </c>
      <c r="E5323" s="24" t="s">
        <v>6650</v>
      </c>
      <c r="F5323" s="24">
        <v>115.18</v>
      </c>
      <c r="G5323" s="24">
        <v>0.0</v>
      </c>
      <c r="H5323" s="24" t="s">
        <v>6700</v>
      </c>
      <c r="I5323" s="24" t="s">
        <v>6650</v>
      </c>
      <c r="J5323" s="24">
        <v>0.0</v>
      </c>
    </row>
    <row r="5324">
      <c r="A5324" s="24">
        <v>65.0</v>
      </c>
      <c r="B5324" s="24">
        <v>1.0</v>
      </c>
      <c r="C5324" s="44">
        <v>13.98</v>
      </c>
      <c r="D5324" s="46">
        <v>45252.0</v>
      </c>
      <c r="E5324" s="24">
        <v>13.98</v>
      </c>
      <c r="F5324" s="24">
        <v>215.08</v>
      </c>
      <c r="G5324" s="24">
        <v>1.54</v>
      </c>
      <c r="H5324" s="24" t="s">
        <v>6699</v>
      </c>
      <c r="I5324" s="24" t="s">
        <v>6650</v>
      </c>
      <c r="J5324" s="24">
        <v>0.0</v>
      </c>
    </row>
    <row r="5325">
      <c r="A5325" s="24">
        <v>2.0</v>
      </c>
      <c r="B5325" s="24">
        <v>0.0</v>
      </c>
      <c r="C5325" s="44">
        <v>1.88</v>
      </c>
      <c r="D5325" s="46">
        <v>45253.0</v>
      </c>
      <c r="E5325" s="24" t="s">
        <v>6650</v>
      </c>
      <c r="F5325" s="24">
        <v>940.0</v>
      </c>
      <c r="G5325" s="24">
        <v>0.0</v>
      </c>
      <c r="H5325" s="24" t="s">
        <v>6702</v>
      </c>
      <c r="I5325" s="24" t="s">
        <v>6650</v>
      </c>
      <c r="J5325" s="24">
        <v>0.0</v>
      </c>
    </row>
    <row r="5326">
      <c r="A5326" s="24">
        <v>98.0</v>
      </c>
      <c r="B5326" s="24">
        <v>1.0</v>
      </c>
      <c r="C5326" s="44">
        <v>10.55</v>
      </c>
      <c r="D5326" s="46">
        <v>45253.0</v>
      </c>
      <c r="E5326" s="24">
        <v>10.55</v>
      </c>
      <c r="F5326" s="24">
        <v>107.65</v>
      </c>
      <c r="G5326" s="24">
        <v>1.02</v>
      </c>
      <c r="H5326" s="24" t="s">
        <v>6696</v>
      </c>
      <c r="I5326" s="24" t="s">
        <v>6650</v>
      </c>
      <c r="J5326" s="24">
        <v>0.0</v>
      </c>
    </row>
    <row r="5327">
      <c r="A5327" s="24">
        <v>21.0</v>
      </c>
      <c r="B5327" s="24">
        <v>1.0</v>
      </c>
      <c r="C5327" s="44">
        <v>13.24</v>
      </c>
      <c r="D5327" s="46">
        <v>45253.0</v>
      </c>
      <c r="E5327" s="24">
        <v>13.24</v>
      </c>
      <c r="F5327" s="24">
        <v>630.48</v>
      </c>
      <c r="G5327" s="24">
        <v>4.76</v>
      </c>
      <c r="H5327" s="24" t="s">
        <v>6695</v>
      </c>
      <c r="I5327" s="24" t="s">
        <v>6650</v>
      </c>
      <c r="J5327" s="24">
        <v>0.0</v>
      </c>
    </row>
    <row r="5328">
      <c r="A5328" s="24">
        <v>127.0</v>
      </c>
      <c r="B5328" s="24">
        <v>1.0</v>
      </c>
      <c r="C5328" s="44">
        <v>12.87</v>
      </c>
      <c r="D5328" s="46">
        <v>45253.0</v>
      </c>
      <c r="E5328" s="24">
        <v>12.87</v>
      </c>
      <c r="F5328" s="24">
        <v>101.34</v>
      </c>
      <c r="G5328" s="24">
        <v>0.79</v>
      </c>
      <c r="H5328" s="24" t="s">
        <v>6698</v>
      </c>
      <c r="I5328" s="24">
        <v>12.87</v>
      </c>
      <c r="J5328" s="24">
        <v>0.0</v>
      </c>
    </row>
    <row r="5329">
      <c r="A5329" s="24">
        <v>694.0</v>
      </c>
      <c r="B5329" s="24">
        <v>8.0</v>
      </c>
      <c r="C5329" s="44">
        <v>11.77</v>
      </c>
      <c r="D5329" s="46">
        <v>45253.0</v>
      </c>
      <c r="E5329" s="24">
        <v>1.47</v>
      </c>
      <c r="F5329" s="24">
        <v>16.96</v>
      </c>
      <c r="G5329" s="24">
        <v>1.15</v>
      </c>
      <c r="H5329" s="24" t="s">
        <v>6689</v>
      </c>
      <c r="I5329" s="24">
        <v>11.77</v>
      </c>
      <c r="J5329" s="24">
        <v>0.0</v>
      </c>
    </row>
    <row r="5330">
      <c r="A5330" s="24">
        <v>50.0</v>
      </c>
      <c r="B5330" s="24">
        <v>1.0</v>
      </c>
      <c r="C5330" s="44">
        <v>15.0</v>
      </c>
      <c r="D5330" s="46">
        <v>45253.0</v>
      </c>
      <c r="E5330" s="24">
        <v>15.0</v>
      </c>
      <c r="F5330" s="24">
        <v>300.0</v>
      </c>
      <c r="G5330" s="24">
        <v>2.0</v>
      </c>
      <c r="H5330" s="24" t="s">
        <v>6701</v>
      </c>
      <c r="I5330" s="24" t="s">
        <v>6650</v>
      </c>
      <c r="J5330" s="24">
        <v>0.0</v>
      </c>
    </row>
    <row r="5331">
      <c r="A5331" s="24">
        <v>85.0</v>
      </c>
      <c r="B5331" s="24">
        <v>0.0</v>
      </c>
      <c r="C5331" s="44">
        <v>9.93</v>
      </c>
      <c r="D5331" s="46">
        <v>45253.0</v>
      </c>
      <c r="E5331" s="24" t="s">
        <v>6650</v>
      </c>
      <c r="F5331" s="24">
        <v>116.82</v>
      </c>
      <c r="G5331" s="24">
        <v>0.0</v>
      </c>
      <c r="H5331" s="24" t="s">
        <v>6700</v>
      </c>
      <c r="I5331" s="24" t="s">
        <v>6650</v>
      </c>
      <c r="J5331" s="24">
        <v>0.0</v>
      </c>
    </row>
    <row r="5332">
      <c r="A5332" s="24">
        <v>44.0</v>
      </c>
      <c r="B5332" s="24">
        <v>1.0</v>
      </c>
      <c r="C5332" s="44">
        <v>11.83</v>
      </c>
      <c r="D5332" s="46">
        <v>45253.0</v>
      </c>
      <c r="E5332" s="24">
        <v>11.83</v>
      </c>
      <c r="F5332" s="24">
        <v>268.86</v>
      </c>
      <c r="G5332" s="24">
        <v>2.27</v>
      </c>
      <c r="H5332" s="24" t="s">
        <v>6699</v>
      </c>
      <c r="I5332" s="24" t="s">
        <v>6650</v>
      </c>
      <c r="J5332" s="24">
        <v>0.0</v>
      </c>
    </row>
    <row r="5333">
      <c r="A5333" s="24">
        <v>24.0</v>
      </c>
      <c r="B5333" s="24">
        <v>0.0</v>
      </c>
      <c r="C5333" s="44">
        <v>14.23</v>
      </c>
      <c r="D5333" s="46">
        <v>45253.0</v>
      </c>
      <c r="E5333" s="24" t="s">
        <v>6650</v>
      </c>
      <c r="F5333" s="24">
        <v>592.92</v>
      </c>
      <c r="G5333" s="24">
        <v>0.0</v>
      </c>
      <c r="H5333" s="24" t="s">
        <v>6697</v>
      </c>
      <c r="I5333" s="24" t="s">
        <v>6650</v>
      </c>
      <c r="J5333" s="24">
        <v>0.0</v>
      </c>
    </row>
    <row r="5334">
      <c r="A5334" s="24">
        <v>782.0</v>
      </c>
      <c r="B5334" s="24">
        <v>2.0</v>
      </c>
      <c r="C5334" s="44">
        <v>11.14</v>
      </c>
      <c r="D5334" s="46">
        <v>45253.0</v>
      </c>
      <c r="E5334" s="24">
        <v>5.57</v>
      </c>
      <c r="F5334" s="24">
        <v>14.25</v>
      </c>
      <c r="G5334" s="24">
        <v>0.26</v>
      </c>
      <c r="H5334" s="24" t="s">
        <v>6688</v>
      </c>
      <c r="I5334" s="24" t="s">
        <v>6650</v>
      </c>
      <c r="J5334" s="24">
        <v>0.0</v>
      </c>
    </row>
    <row r="5335">
      <c r="A5335" s="24">
        <v>636.0</v>
      </c>
      <c r="B5335" s="24">
        <v>5.0</v>
      </c>
      <c r="C5335" s="44">
        <v>10.74</v>
      </c>
      <c r="D5335" s="46">
        <v>45254.0</v>
      </c>
      <c r="E5335" s="24">
        <v>2.15</v>
      </c>
      <c r="F5335" s="24">
        <v>16.89</v>
      </c>
      <c r="G5335" s="24">
        <v>0.79</v>
      </c>
      <c r="H5335" s="24" t="s">
        <v>6689</v>
      </c>
      <c r="I5335" s="24">
        <v>10.74</v>
      </c>
      <c r="J5335" s="24">
        <v>0.0</v>
      </c>
    </row>
    <row r="5336">
      <c r="A5336" s="24">
        <v>3.0</v>
      </c>
      <c r="B5336" s="24">
        <v>1.0</v>
      </c>
      <c r="C5336" s="44">
        <v>2.3</v>
      </c>
      <c r="D5336" s="46">
        <v>45254.0</v>
      </c>
      <c r="E5336" s="24">
        <v>2.3</v>
      </c>
      <c r="F5336" s="24">
        <v>766.67</v>
      </c>
      <c r="G5336" s="24">
        <v>33.33</v>
      </c>
      <c r="H5336" s="24" t="s">
        <v>6702</v>
      </c>
      <c r="I5336" s="24" t="s">
        <v>6650</v>
      </c>
      <c r="J5336" s="24">
        <v>0.0</v>
      </c>
    </row>
    <row r="5337">
      <c r="A5337" s="24">
        <v>30.0</v>
      </c>
      <c r="B5337" s="24">
        <v>0.0</v>
      </c>
      <c r="C5337" s="44">
        <v>9.56</v>
      </c>
      <c r="D5337" s="46">
        <v>45254.0</v>
      </c>
      <c r="E5337" s="24" t="s">
        <v>6650</v>
      </c>
      <c r="F5337" s="24">
        <v>318.67</v>
      </c>
      <c r="G5337" s="24">
        <v>0.0</v>
      </c>
      <c r="H5337" s="24" t="s">
        <v>6701</v>
      </c>
      <c r="I5337" s="24" t="s">
        <v>6650</v>
      </c>
      <c r="J5337" s="24">
        <v>0.0</v>
      </c>
    </row>
    <row r="5338">
      <c r="A5338" s="24">
        <v>22.0</v>
      </c>
      <c r="B5338" s="24">
        <v>1.0</v>
      </c>
      <c r="C5338" s="44">
        <v>10.57</v>
      </c>
      <c r="D5338" s="46">
        <v>45254.0</v>
      </c>
      <c r="E5338" s="24">
        <v>10.57</v>
      </c>
      <c r="F5338" s="24">
        <v>480.45</v>
      </c>
      <c r="G5338" s="24">
        <v>4.55</v>
      </c>
      <c r="H5338" s="24" t="s">
        <v>6695</v>
      </c>
      <c r="I5338" s="24" t="s">
        <v>6650</v>
      </c>
      <c r="J5338" s="24">
        <v>0.0</v>
      </c>
    </row>
    <row r="5339">
      <c r="A5339" s="24">
        <v>130.0</v>
      </c>
      <c r="B5339" s="24">
        <v>0.0</v>
      </c>
      <c r="C5339" s="44">
        <v>10.51</v>
      </c>
      <c r="D5339" s="46">
        <v>45254.0</v>
      </c>
      <c r="E5339" s="24" t="s">
        <v>6650</v>
      </c>
      <c r="F5339" s="24">
        <v>80.85</v>
      </c>
      <c r="G5339" s="24">
        <v>0.0</v>
      </c>
      <c r="H5339" s="24" t="s">
        <v>6698</v>
      </c>
      <c r="I5339" s="24">
        <v>10.51</v>
      </c>
      <c r="J5339" s="24">
        <v>0.0</v>
      </c>
    </row>
    <row r="5340">
      <c r="A5340" s="24">
        <v>33.0</v>
      </c>
      <c r="B5340" s="24">
        <v>0.0</v>
      </c>
      <c r="C5340" s="44">
        <v>10.35</v>
      </c>
      <c r="D5340" s="46">
        <v>45254.0</v>
      </c>
      <c r="E5340" s="24" t="s">
        <v>6650</v>
      </c>
      <c r="F5340" s="24">
        <v>313.64</v>
      </c>
      <c r="G5340" s="24">
        <v>0.0</v>
      </c>
      <c r="H5340" s="24" t="s">
        <v>6699</v>
      </c>
      <c r="I5340" s="24" t="s">
        <v>6650</v>
      </c>
      <c r="J5340" s="24">
        <v>0.0</v>
      </c>
    </row>
    <row r="5341">
      <c r="A5341" s="24">
        <v>714.0</v>
      </c>
      <c r="B5341" s="24">
        <v>5.0</v>
      </c>
      <c r="C5341" s="44">
        <v>9.6</v>
      </c>
      <c r="D5341" s="46">
        <v>45254.0</v>
      </c>
      <c r="E5341" s="24">
        <v>1.92</v>
      </c>
      <c r="F5341" s="24">
        <v>13.45</v>
      </c>
      <c r="G5341" s="24">
        <v>0.7</v>
      </c>
      <c r="H5341" s="24" t="s">
        <v>6688</v>
      </c>
      <c r="I5341" s="24" t="s">
        <v>6650</v>
      </c>
      <c r="J5341" s="24">
        <v>0.0</v>
      </c>
    </row>
    <row r="5342">
      <c r="A5342" s="24">
        <v>22.0</v>
      </c>
      <c r="B5342" s="24">
        <v>0.0</v>
      </c>
      <c r="C5342" s="44">
        <v>10.06</v>
      </c>
      <c r="D5342" s="46">
        <v>45254.0</v>
      </c>
      <c r="E5342" s="24" t="s">
        <v>6650</v>
      </c>
      <c r="F5342" s="24">
        <v>457.27</v>
      </c>
      <c r="G5342" s="24">
        <v>0.0</v>
      </c>
      <c r="H5342" s="24" t="s">
        <v>6696</v>
      </c>
      <c r="I5342" s="24" t="s">
        <v>6650</v>
      </c>
      <c r="J5342" s="24">
        <v>0.0</v>
      </c>
    </row>
    <row r="5343">
      <c r="A5343" s="24">
        <v>62.0</v>
      </c>
      <c r="B5343" s="24">
        <v>0.0</v>
      </c>
      <c r="C5343" s="44">
        <v>9.32</v>
      </c>
      <c r="D5343" s="46">
        <v>45254.0</v>
      </c>
      <c r="E5343" s="24" t="s">
        <v>6650</v>
      </c>
      <c r="F5343" s="24">
        <v>150.32</v>
      </c>
      <c r="G5343" s="24">
        <v>0.0</v>
      </c>
      <c r="H5343" s="24" t="s">
        <v>6700</v>
      </c>
      <c r="I5343" s="24" t="s">
        <v>6650</v>
      </c>
      <c r="J5343" s="24">
        <v>0.0</v>
      </c>
    </row>
    <row r="5344">
      <c r="A5344" s="24">
        <v>0.0</v>
      </c>
      <c r="B5344" s="24">
        <v>0.0</v>
      </c>
      <c r="C5344" s="44"/>
      <c r="D5344" s="46">
        <v>45254.0</v>
      </c>
      <c r="E5344" s="24" t="s">
        <v>6650</v>
      </c>
      <c r="F5344" s="24" t="s">
        <v>6650</v>
      </c>
      <c r="G5344" s="24" t="s">
        <v>6650</v>
      </c>
      <c r="H5344" s="24" t="s">
        <v>6680</v>
      </c>
      <c r="I5344" s="24" t="s">
        <v>6650</v>
      </c>
      <c r="J5344" s="24"/>
    </row>
    <row r="5345">
      <c r="A5345" s="24">
        <v>16.0</v>
      </c>
      <c r="B5345" s="24">
        <v>0.0</v>
      </c>
      <c r="C5345" s="44">
        <v>9.47</v>
      </c>
      <c r="D5345" s="46">
        <v>45254.0</v>
      </c>
      <c r="E5345" s="24" t="s">
        <v>6650</v>
      </c>
      <c r="F5345" s="24">
        <v>591.88</v>
      </c>
      <c r="G5345" s="24">
        <v>0.0</v>
      </c>
      <c r="H5345" s="24" t="s">
        <v>6697</v>
      </c>
      <c r="I5345" s="24" t="s">
        <v>6650</v>
      </c>
      <c r="J5345" s="24">
        <v>0.0</v>
      </c>
    </row>
    <row r="5346">
      <c r="A5346" s="24">
        <v>6.0</v>
      </c>
      <c r="B5346" s="24">
        <v>0.0</v>
      </c>
      <c r="C5346" s="44">
        <v>5.26</v>
      </c>
      <c r="D5346" s="46">
        <v>45255.0</v>
      </c>
      <c r="E5346" s="24" t="s">
        <v>6650</v>
      </c>
      <c r="F5346" s="24">
        <v>876.67</v>
      </c>
      <c r="G5346" s="24">
        <v>0.0</v>
      </c>
      <c r="H5346" s="24" t="s">
        <v>6702</v>
      </c>
      <c r="I5346" s="24" t="s">
        <v>6650</v>
      </c>
      <c r="J5346" s="24">
        <v>0.0</v>
      </c>
    </row>
    <row r="5347">
      <c r="A5347" s="24">
        <v>13.0</v>
      </c>
      <c r="B5347" s="24">
        <v>1.0</v>
      </c>
      <c r="C5347" s="44">
        <v>5.42</v>
      </c>
      <c r="D5347" s="46">
        <v>45255.0</v>
      </c>
      <c r="E5347" s="24">
        <v>5.42</v>
      </c>
      <c r="F5347" s="24">
        <v>416.92</v>
      </c>
      <c r="G5347" s="24">
        <v>7.69</v>
      </c>
      <c r="H5347" s="24" t="s">
        <v>6695</v>
      </c>
      <c r="I5347" s="24" t="s">
        <v>6650</v>
      </c>
      <c r="J5347" s="24">
        <v>0.0</v>
      </c>
    </row>
    <row r="5348">
      <c r="A5348" s="24">
        <v>18.0</v>
      </c>
      <c r="B5348" s="24">
        <v>0.0</v>
      </c>
      <c r="C5348" s="44">
        <v>6.66</v>
      </c>
      <c r="D5348" s="46">
        <v>45255.0</v>
      </c>
      <c r="E5348" s="24" t="s">
        <v>6650</v>
      </c>
      <c r="F5348" s="24">
        <v>370.0</v>
      </c>
      <c r="G5348" s="24">
        <v>0.0</v>
      </c>
      <c r="H5348" s="24" t="s">
        <v>6699</v>
      </c>
      <c r="I5348" s="24" t="s">
        <v>6650</v>
      </c>
      <c r="J5348" s="24">
        <v>0.0</v>
      </c>
    </row>
    <row r="5349">
      <c r="A5349" s="24">
        <v>13.0</v>
      </c>
      <c r="B5349" s="24">
        <v>0.0</v>
      </c>
      <c r="C5349" s="44">
        <v>3.84</v>
      </c>
      <c r="D5349" s="46">
        <v>45255.0</v>
      </c>
      <c r="E5349" s="24" t="s">
        <v>6650</v>
      </c>
      <c r="F5349" s="24">
        <v>295.38</v>
      </c>
      <c r="G5349" s="24">
        <v>0.0</v>
      </c>
      <c r="H5349" s="24" t="s">
        <v>6701</v>
      </c>
      <c r="I5349" s="24" t="s">
        <v>6650</v>
      </c>
      <c r="J5349" s="24">
        <v>0.0</v>
      </c>
    </row>
    <row r="5350">
      <c r="A5350" s="24">
        <v>33.0</v>
      </c>
      <c r="B5350" s="24">
        <v>0.0</v>
      </c>
      <c r="C5350" s="44">
        <v>5.78</v>
      </c>
      <c r="D5350" s="46">
        <v>45255.0</v>
      </c>
      <c r="E5350" s="24" t="s">
        <v>6650</v>
      </c>
      <c r="F5350" s="24">
        <v>175.15</v>
      </c>
      <c r="G5350" s="24">
        <v>0.0</v>
      </c>
      <c r="H5350" s="24" t="s">
        <v>6700</v>
      </c>
      <c r="I5350" s="24" t="s">
        <v>6650</v>
      </c>
      <c r="J5350" s="24">
        <v>0.0</v>
      </c>
    </row>
    <row r="5351">
      <c r="A5351" s="24">
        <v>378.0</v>
      </c>
      <c r="B5351" s="24">
        <v>4.0</v>
      </c>
      <c r="C5351" s="44">
        <v>6.49</v>
      </c>
      <c r="D5351" s="46">
        <v>45255.0</v>
      </c>
      <c r="E5351" s="24">
        <v>1.62</v>
      </c>
      <c r="F5351" s="24">
        <v>17.17</v>
      </c>
      <c r="G5351" s="24">
        <v>1.06</v>
      </c>
      <c r="H5351" s="24" t="s">
        <v>6688</v>
      </c>
      <c r="I5351" s="24" t="s">
        <v>6650</v>
      </c>
      <c r="J5351" s="24">
        <v>0.0</v>
      </c>
    </row>
    <row r="5352">
      <c r="A5352" s="24">
        <v>345.0</v>
      </c>
      <c r="B5352" s="24">
        <v>3.0</v>
      </c>
      <c r="C5352" s="44">
        <v>6.7</v>
      </c>
      <c r="D5352" s="46">
        <v>45255.0</v>
      </c>
      <c r="E5352" s="24">
        <v>2.23</v>
      </c>
      <c r="F5352" s="24">
        <v>19.42</v>
      </c>
      <c r="G5352" s="24">
        <v>0.87</v>
      </c>
      <c r="H5352" s="24" t="s">
        <v>6689</v>
      </c>
      <c r="I5352" s="24" t="s">
        <v>6650</v>
      </c>
      <c r="J5352" s="24">
        <v>0.0</v>
      </c>
    </row>
    <row r="5353">
      <c r="A5353" s="24">
        <v>22.0</v>
      </c>
      <c r="B5353" s="24">
        <v>0.0</v>
      </c>
      <c r="C5353" s="44">
        <v>5.23</v>
      </c>
      <c r="D5353" s="46">
        <v>45255.0</v>
      </c>
      <c r="E5353" s="24" t="s">
        <v>6650</v>
      </c>
      <c r="F5353" s="24">
        <v>237.73</v>
      </c>
      <c r="G5353" s="24">
        <v>0.0</v>
      </c>
      <c r="H5353" s="24" t="s">
        <v>6696</v>
      </c>
      <c r="I5353" s="24" t="s">
        <v>6650</v>
      </c>
      <c r="J5353" s="24">
        <v>0.0</v>
      </c>
    </row>
    <row r="5354">
      <c r="A5354" s="24">
        <v>5.0</v>
      </c>
      <c r="B5354" s="24">
        <v>0.0</v>
      </c>
      <c r="C5354" s="44">
        <v>4.96</v>
      </c>
      <c r="D5354" s="46">
        <v>45255.0</v>
      </c>
      <c r="E5354" s="24" t="s">
        <v>6650</v>
      </c>
      <c r="F5354" s="24">
        <v>992.0</v>
      </c>
      <c r="G5354" s="24">
        <v>0.0</v>
      </c>
      <c r="H5354" s="24" t="s">
        <v>6697</v>
      </c>
      <c r="I5354" s="24" t="s">
        <v>6650</v>
      </c>
      <c r="J5354" s="24">
        <v>0.0</v>
      </c>
    </row>
    <row r="5355">
      <c r="A5355" s="24">
        <v>43.0</v>
      </c>
      <c r="B5355" s="24">
        <v>0.0</v>
      </c>
      <c r="C5355" s="44">
        <v>7.38</v>
      </c>
      <c r="D5355" s="46">
        <v>45255.0</v>
      </c>
      <c r="E5355" s="24" t="s">
        <v>6650</v>
      </c>
      <c r="F5355" s="24">
        <v>171.63</v>
      </c>
      <c r="G5355" s="24">
        <v>0.0</v>
      </c>
      <c r="H5355" s="24" t="s">
        <v>6698</v>
      </c>
      <c r="I5355" s="24" t="s">
        <v>6650</v>
      </c>
      <c r="J5355" s="24">
        <v>0.0</v>
      </c>
    </row>
    <row r="5356">
      <c r="A5356" s="24">
        <v>9.0</v>
      </c>
      <c r="B5356" s="24">
        <v>0.0</v>
      </c>
      <c r="C5356" s="44">
        <v>2.18</v>
      </c>
      <c r="D5356" s="46">
        <v>45256.0</v>
      </c>
      <c r="E5356" s="24" t="s">
        <v>6650</v>
      </c>
      <c r="F5356" s="24">
        <v>242.22</v>
      </c>
      <c r="G5356" s="24">
        <v>0.0</v>
      </c>
      <c r="H5356" s="24" t="s">
        <v>6695</v>
      </c>
      <c r="I5356" s="24" t="s">
        <v>6650</v>
      </c>
      <c r="J5356" s="24">
        <v>0.0</v>
      </c>
    </row>
    <row r="5357">
      <c r="A5357" s="24">
        <v>13.0</v>
      </c>
      <c r="B5357" s="24">
        <v>0.0</v>
      </c>
      <c r="C5357" s="44">
        <v>3.29</v>
      </c>
      <c r="D5357" s="46">
        <v>45256.0</v>
      </c>
      <c r="E5357" s="24" t="s">
        <v>6650</v>
      </c>
      <c r="F5357" s="24">
        <v>253.08</v>
      </c>
      <c r="G5357" s="24">
        <v>0.0</v>
      </c>
      <c r="H5357" s="24" t="s">
        <v>6696</v>
      </c>
      <c r="I5357" s="24" t="s">
        <v>6650</v>
      </c>
      <c r="J5357" s="24">
        <v>0.0</v>
      </c>
    </row>
    <row r="5358">
      <c r="A5358" s="24">
        <v>34.0</v>
      </c>
      <c r="B5358" s="24">
        <v>0.0</v>
      </c>
      <c r="C5358" s="44">
        <v>4.84</v>
      </c>
      <c r="D5358" s="46">
        <v>45256.0</v>
      </c>
      <c r="E5358" s="24" t="s">
        <v>6650</v>
      </c>
      <c r="F5358" s="24">
        <v>142.35</v>
      </c>
      <c r="G5358" s="24">
        <v>0.0</v>
      </c>
      <c r="H5358" s="24" t="s">
        <v>6700</v>
      </c>
      <c r="I5358" s="24" t="s">
        <v>6650</v>
      </c>
      <c r="J5358" s="24">
        <v>0.0</v>
      </c>
    </row>
    <row r="5359">
      <c r="A5359" s="24">
        <v>8.0</v>
      </c>
      <c r="B5359" s="24">
        <v>0.0</v>
      </c>
      <c r="C5359" s="44">
        <v>0.45</v>
      </c>
      <c r="D5359" s="46">
        <v>45256.0</v>
      </c>
      <c r="E5359" s="24" t="s">
        <v>6650</v>
      </c>
      <c r="F5359" s="24">
        <v>56.25</v>
      </c>
      <c r="G5359" s="24">
        <v>0.0</v>
      </c>
      <c r="H5359" s="24" t="s">
        <v>6701</v>
      </c>
      <c r="I5359" s="24" t="s">
        <v>6650</v>
      </c>
      <c r="J5359" s="24">
        <v>0.0</v>
      </c>
    </row>
    <row r="5360">
      <c r="A5360" s="24">
        <v>41.0</v>
      </c>
      <c r="B5360" s="24">
        <v>0.0</v>
      </c>
      <c r="C5360" s="44">
        <v>6.56</v>
      </c>
      <c r="D5360" s="46">
        <v>45256.0</v>
      </c>
      <c r="E5360" s="24" t="s">
        <v>6650</v>
      </c>
      <c r="F5360" s="24">
        <v>160.0</v>
      </c>
      <c r="G5360" s="24">
        <v>0.0</v>
      </c>
      <c r="H5360" s="24" t="s">
        <v>6698</v>
      </c>
      <c r="I5360" s="24" t="s">
        <v>6650</v>
      </c>
      <c r="J5360" s="24">
        <v>0.0</v>
      </c>
    </row>
    <row r="5361">
      <c r="A5361" s="24">
        <v>357.0</v>
      </c>
      <c r="B5361" s="24">
        <v>6.0</v>
      </c>
      <c r="C5361" s="44">
        <v>5.52</v>
      </c>
      <c r="D5361" s="46">
        <v>45256.0</v>
      </c>
      <c r="E5361" s="24">
        <v>0.92</v>
      </c>
      <c r="F5361" s="24">
        <v>15.46</v>
      </c>
      <c r="G5361" s="24">
        <v>1.68</v>
      </c>
      <c r="H5361" s="24" t="s">
        <v>6689</v>
      </c>
      <c r="I5361" s="24">
        <v>5.52</v>
      </c>
      <c r="J5361" s="24">
        <v>0.0</v>
      </c>
    </row>
    <row r="5362">
      <c r="A5362" s="24">
        <v>430.0</v>
      </c>
      <c r="B5362" s="24">
        <v>3.0</v>
      </c>
      <c r="C5362" s="44">
        <v>6.09</v>
      </c>
      <c r="D5362" s="46">
        <v>45256.0</v>
      </c>
      <c r="E5362" s="24">
        <v>2.03</v>
      </c>
      <c r="F5362" s="24">
        <v>14.16</v>
      </c>
      <c r="G5362" s="24">
        <v>0.7</v>
      </c>
      <c r="H5362" s="24" t="s">
        <v>6688</v>
      </c>
      <c r="I5362" s="24" t="s">
        <v>6650</v>
      </c>
      <c r="J5362" s="24">
        <v>0.0</v>
      </c>
    </row>
    <row r="5363">
      <c r="A5363" s="24">
        <v>2.0</v>
      </c>
      <c r="B5363" s="24">
        <v>3.0</v>
      </c>
      <c r="C5363" s="44">
        <v>1.5</v>
      </c>
      <c r="D5363" s="46">
        <v>45256.0</v>
      </c>
      <c r="E5363" s="24">
        <v>0.5</v>
      </c>
      <c r="F5363" s="24">
        <v>750.0</v>
      </c>
      <c r="G5363" s="24">
        <v>150.0</v>
      </c>
      <c r="H5363" s="24" t="s">
        <v>6702</v>
      </c>
      <c r="I5363" s="24" t="s">
        <v>6650</v>
      </c>
      <c r="J5363" s="24">
        <v>0.0</v>
      </c>
    </row>
    <row r="5364">
      <c r="A5364" s="24">
        <v>126.0</v>
      </c>
      <c r="B5364" s="24">
        <v>0.0</v>
      </c>
      <c r="C5364" s="44">
        <v>13.48</v>
      </c>
      <c r="D5364" s="46">
        <v>45257.0</v>
      </c>
      <c r="E5364" s="24" t="s">
        <v>6650</v>
      </c>
      <c r="F5364" s="24">
        <v>106.98</v>
      </c>
      <c r="G5364" s="24">
        <v>0.0</v>
      </c>
      <c r="H5364" s="24" t="s">
        <v>6700</v>
      </c>
      <c r="I5364" s="24" t="s">
        <v>6650</v>
      </c>
      <c r="J5364" s="24">
        <v>0.0</v>
      </c>
    </row>
    <row r="5365">
      <c r="A5365" s="24">
        <v>61.0</v>
      </c>
      <c r="B5365" s="24">
        <v>0.0</v>
      </c>
      <c r="C5365" s="44">
        <v>13.32</v>
      </c>
      <c r="D5365" s="46">
        <v>45257.0</v>
      </c>
      <c r="E5365" s="24" t="s">
        <v>6650</v>
      </c>
      <c r="F5365" s="24">
        <v>218.36</v>
      </c>
      <c r="G5365" s="24">
        <v>0.0</v>
      </c>
      <c r="H5365" s="24" t="s">
        <v>6699</v>
      </c>
      <c r="I5365" s="24" t="s">
        <v>6650</v>
      </c>
      <c r="J5365" s="24">
        <v>0.0</v>
      </c>
    </row>
    <row r="5366">
      <c r="A5366" s="24">
        <v>259.0</v>
      </c>
      <c r="B5366" s="24">
        <v>0.0</v>
      </c>
      <c r="C5366" s="44">
        <v>14.71</v>
      </c>
      <c r="D5366" s="46">
        <v>45257.0</v>
      </c>
      <c r="E5366" s="24" t="s">
        <v>6650</v>
      </c>
      <c r="F5366" s="24">
        <v>56.8</v>
      </c>
      <c r="G5366" s="24">
        <v>0.0</v>
      </c>
      <c r="H5366" s="24" t="s">
        <v>6698</v>
      </c>
      <c r="I5366" s="24" t="s">
        <v>6650</v>
      </c>
      <c r="J5366" s="24">
        <v>0.0</v>
      </c>
    </row>
    <row r="5367">
      <c r="A5367" s="24">
        <v>47.0</v>
      </c>
      <c r="B5367" s="24">
        <v>1.0</v>
      </c>
      <c r="C5367" s="44">
        <v>14.47</v>
      </c>
      <c r="D5367" s="46">
        <v>45257.0</v>
      </c>
      <c r="E5367" s="24">
        <v>14.47</v>
      </c>
      <c r="F5367" s="24">
        <v>307.87</v>
      </c>
      <c r="G5367" s="24">
        <v>2.13</v>
      </c>
      <c r="H5367" s="24" t="s">
        <v>6696</v>
      </c>
      <c r="I5367" s="24" t="s">
        <v>6650</v>
      </c>
      <c r="J5367" s="24">
        <v>0.0</v>
      </c>
    </row>
    <row r="5368">
      <c r="A5368" s="24">
        <v>31.0</v>
      </c>
      <c r="B5368" s="24">
        <v>0.0</v>
      </c>
      <c r="C5368" s="44">
        <v>15.0</v>
      </c>
      <c r="D5368" s="46">
        <v>45257.0</v>
      </c>
      <c r="E5368" s="24" t="s">
        <v>6650</v>
      </c>
      <c r="F5368" s="24">
        <v>483.87</v>
      </c>
      <c r="G5368" s="24">
        <v>0.0</v>
      </c>
      <c r="H5368" s="24" t="s">
        <v>6695</v>
      </c>
      <c r="I5368" s="24" t="s">
        <v>6650</v>
      </c>
      <c r="J5368" s="24">
        <v>0.0</v>
      </c>
    </row>
    <row r="5369">
      <c r="A5369" s="24">
        <v>779.0</v>
      </c>
      <c r="B5369" s="24">
        <v>5.0</v>
      </c>
      <c r="C5369" s="44">
        <v>11.84</v>
      </c>
      <c r="D5369" s="46">
        <v>45257.0</v>
      </c>
      <c r="E5369" s="24">
        <v>2.37</v>
      </c>
      <c r="F5369" s="24">
        <v>15.2</v>
      </c>
      <c r="G5369" s="24">
        <v>0.64</v>
      </c>
      <c r="H5369" s="24" t="s">
        <v>6688</v>
      </c>
      <c r="I5369" s="24" t="s">
        <v>6650</v>
      </c>
      <c r="J5369" s="24">
        <v>0.0</v>
      </c>
    </row>
    <row r="5370">
      <c r="A5370" s="24">
        <v>25.0</v>
      </c>
      <c r="B5370" s="24">
        <v>0.0</v>
      </c>
      <c r="C5370" s="44">
        <v>15.0</v>
      </c>
      <c r="D5370" s="46">
        <v>45257.0</v>
      </c>
      <c r="E5370" s="24" t="s">
        <v>6650</v>
      </c>
      <c r="F5370" s="24">
        <v>600.0</v>
      </c>
      <c r="G5370" s="24">
        <v>0.0</v>
      </c>
      <c r="H5370" s="24" t="s">
        <v>6697</v>
      </c>
      <c r="I5370" s="24" t="s">
        <v>6650</v>
      </c>
      <c r="J5370" s="24">
        <v>0.0</v>
      </c>
    </row>
    <row r="5371">
      <c r="A5371" s="24">
        <v>11.0</v>
      </c>
      <c r="B5371" s="24">
        <v>6.0</v>
      </c>
      <c r="C5371" s="44">
        <v>9.17</v>
      </c>
      <c r="D5371" s="46">
        <v>45257.0</v>
      </c>
      <c r="E5371" s="24">
        <v>1.53</v>
      </c>
      <c r="F5371" s="24">
        <v>833.64</v>
      </c>
      <c r="G5371" s="24">
        <v>54.55</v>
      </c>
      <c r="H5371" s="24" t="s">
        <v>6702</v>
      </c>
      <c r="I5371" s="24" t="s">
        <v>6650</v>
      </c>
      <c r="J5371" s="24">
        <v>0.0</v>
      </c>
    </row>
    <row r="5372">
      <c r="A5372" s="24">
        <v>80.0</v>
      </c>
      <c r="B5372" s="24">
        <v>0.0</v>
      </c>
      <c r="C5372" s="44">
        <v>15.0</v>
      </c>
      <c r="D5372" s="46">
        <v>45257.0</v>
      </c>
      <c r="E5372" s="24" t="s">
        <v>6650</v>
      </c>
      <c r="F5372" s="24">
        <v>187.5</v>
      </c>
      <c r="G5372" s="24">
        <v>0.0</v>
      </c>
      <c r="H5372" s="24" t="s">
        <v>6701</v>
      </c>
      <c r="I5372" s="24" t="s">
        <v>6650</v>
      </c>
      <c r="J5372" s="24">
        <v>0.0</v>
      </c>
    </row>
    <row r="5373">
      <c r="A5373" s="24">
        <v>735.0</v>
      </c>
      <c r="B5373" s="24">
        <v>9.0</v>
      </c>
      <c r="C5373" s="44">
        <v>11.43</v>
      </c>
      <c r="D5373" s="46">
        <v>45257.0</v>
      </c>
      <c r="E5373" s="24">
        <v>1.27</v>
      </c>
      <c r="F5373" s="24">
        <v>15.55</v>
      </c>
      <c r="G5373" s="24">
        <v>1.22</v>
      </c>
      <c r="H5373" s="24" t="s">
        <v>6689</v>
      </c>
      <c r="I5373" s="24" t="s">
        <v>6650</v>
      </c>
      <c r="J5373" s="24">
        <v>0.0</v>
      </c>
    </row>
    <row r="5374">
      <c r="A5374" s="24">
        <v>274.0</v>
      </c>
      <c r="B5374" s="24">
        <v>94.0</v>
      </c>
      <c r="C5374" s="44">
        <v>115.47</v>
      </c>
      <c r="D5374" s="46">
        <v>45258.0</v>
      </c>
      <c r="E5374" s="24">
        <v>1.23</v>
      </c>
      <c r="F5374" s="24">
        <v>421.42</v>
      </c>
      <c r="G5374" s="24">
        <v>34.31</v>
      </c>
      <c r="H5374" s="24" t="s">
        <v>6703</v>
      </c>
      <c r="I5374" s="24" t="s">
        <v>6650</v>
      </c>
      <c r="J5374" s="24">
        <v>3.0</v>
      </c>
    </row>
    <row r="5375">
      <c r="A5375" s="24">
        <v>61.0</v>
      </c>
      <c r="B5375" s="24">
        <v>0.0</v>
      </c>
      <c r="C5375" s="44">
        <v>17.7</v>
      </c>
      <c r="D5375" s="46">
        <v>45258.0</v>
      </c>
      <c r="E5375" s="24" t="s">
        <v>6650</v>
      </c>
      <c r="F5375" s="24">
        <v>290.16</v>
      </c>
      <c r="G5375" s="24">
        <v>0.0</v>
      </c>
      <c r="H5375" s="24" t="s">
        <v>6698</v>
      </c>
      <c r="I5375" s="24" t="s">
        <v>6650</v>
      </c>
      <c r="J5375" s="24">
        <v>0.0</v>
      </c>
    </row>
    <row r="5376">
      <c r="A5376" s="24">
        <v>90.0</v>
      </c>
      <c r="B5376" s="24">
        <v>1.0</v>
      </c>
      <c r="C5376" s="44">
        <v>14.38</v>
      </c>
      <c r="D5376" s="46">
        <v>45258.0</v>
      </c>
      <c r="E5376" s="24">
        <v>14.38</v>
      </c>
      <c r="F5376" s="24">
        <v>159.78</v>
      </c>
      <c r="G5376" s="24">
        <v>1.11</v>
      </c>
      <c r="H5376" s="24" t="s">
        <v>6699</v>
      </c>
      <c r="I5376" s="24" t="s">
        <v>6650</v>
      </c>
      <c r="J5376" s="24">
        <v>0.0</v>
      </c>
    </row>
    <row r="5377">
      <c r="A5377" s="24">
        <v>116.0</v>
      </c>
      <c r="B5377" s="24">
        <v>0.0</v>
      </c>
      <c r="C5377" s="44">
        <v>12.53</v>
      </c>
      <c r="D5377" s="46">
        <v>45258.0</v>
      </c>
      <c r="E5377" s="24" t="s">
        <v>6650</v>
      </c>
      <c r="F5377" s="24">
        <v>108.02</v>
      </c>
      <c r="G5377" s="24">
        <v>0.0</v>
      </c>
      <c r="H5377" s="24" t="s">
        <v>6700</v>
      </c>
      <c r="I5377" s="24" t="s">
        <v>6650</v>
      </c>
      <c r="J5377" s="24">
        <v>0.0</v>
      </c>
    </row>
    <row r="5378">
      <c r="A5378" s="24">
        <v>588.0</v>
      </c>
      <c r="B5378" s="24">
        <v>7.0</v>
      </c>
      <c r="C5378" s="44">
        <v>12.33</v>
      </c>
      <c r="D5378" s="46">
        <v>45258.0</v>
      </c>
      <c r="E5378" s="24">
        <v>1.76</v>
      </c>
      <c r="F5378" s="24">
        <v>20.97</v>
      </c>
      <c r="G5378" s="24">
        <v>1.19</v>
      </c>
      <c r="H5378" s="24" t="s">
        <v>6689</v>
      </c>
      <c r="I5378" s="24" t="s">
        <v>6650</v>
      </c>
      <c r="J5378" s="24">
        <v>0.0</v>
      </c>
    </row>
    <row r="5379">
      <c r="A5379" s="24">
        <v>39.0</v>
      </c>
      <c r="B5379" s="24">
        <v>0.0</v>
      </c>
      <c r="C5379" s="44">
        <v>13.37</v>
      </c>
      <c r="D5379" s="46">
        <v>45258.0</v>
      </c>
      <c r="E5379" s="24" t="s">
        <v>6650</v>
      </c>
      <c r="F5379" s="24">
        <v>342.82</v>
      </c>
      <c r="G5379" s="24">
        <v>0.0</v>
      </c>
      <c r="H5379" s="24" t="s">
        <v>6695</v>
      </c>
      <c r="I5379" s="24" t="s">
        <v>6650</v>
      </c>
      <c r="J5379" s="24">
        <v>0.0</v>
      </c>
    </row>
    <row r="5380">
      <c r="A5380" s="24">
        <v>1026.0</v>
      </c>
      <c r="B5380" s="24">
        <v>3.0</v>
      </c>
      <c r="C5380" s="44">
        <v>12.37</v>
      </c>
      <c r="D5380" s="46">
        <v>45258.0</v>
      </c>
      <c r="E5380" s="24">
        <v>4.12</v>
      </c>
      <c r="F5380" s="24">
        <v>12.06</v>
      </c>
      <c r="G5380" s="24">
        <v>0.29</v>
      </c>
      <c r="H5380" s="24" t="s">
        <v>6688</v>
      </c>
      <c r="I5380" s="24" t="s">
        <v>6650</v>
      </c>
      <c r="J5380" s="24">
        <v>0.0</v>
      </c>
    </row>
    <row r="5381">
      <c r="A5381" s="24">
        <v>75.0</v>
      </c>
      <c r="B5381" s="24">
        <v>0.0</v>
      </c>
      <c r="C5381" s="44">
        <v>13.9</v>
      </c>
      <c r="D5381" s="46">
        <v>45258.0</v>
      </c>
      <c r="E5381" s="24" t="s">
        <v>6650</v>
      </c>
      <c r="F5381" s="24">
        <v>185.33</v>
      </c>
      <c r="G5381" s="24">
        <v>0.0</v>
      </c>
      <c r="H5381" s="24" t="s">
        <v>6701</v>
      </c>
      <c r="I5381" s="24" t="s">
        <v>6650</v>
      </c>
      <c r="J5381" s="24">
        <v>0.0</v>
      </c>
    </row>
    <row r="5382">
      <c r="A5382" s="24">
        <v>3.0</v>
      </c>
      <c r="B5382" s="24">
        <v>7.0</v>
      </c>
      <c r="C5382" s="44">
        <v>2.25</v>
      </c>
      <c r="D5382" s="46">
        <v>45258.0</v>
      </c>
      <c r="E5382" s="24">
        <v>0.32</v>
      </c>
      <c r="F5382" s="24">
        <v>750.0</v>
      </c>
      <c r="G5382" s="24">
        <v>233.33</v>
      </c>
      <c r="H5382" s="24" t="s">
        <v>6702</v>
      </c>
      <c r="I5382" s="24" t="s">
        <v>6650</v>
      </c>
      <c r="J5382" s="24">
        <v>0.0</v>
      </c>
    </row>
    <row r="5383">
      <c r="A5383" s="24">
        <v>36.0</v>
      </c>
      <c r="B5383" s="24">
        <v>0.0</v>
      </c>
      <c r="C5383" s="44">
        <v>13.26</v>
      </c>
      <c r="D5383" s="46">
        <v>45258.0</v>
      </c>
      <c r="E5383" s="24" t="s">
        <v>6650</v>
      </c>
      <c r="F5383" s="24">
        <v>368.33</v>
      </c>
      <c r="G5383" s="24">
        <v>0.0</v>
      </c>
      <c r="H5383" s="24" t="s">
        <v>6697</v>
      </c>
      <c r="I5383" s="24" t="s">
        <v>6650</v>
      </c>
      <c r="J5383" s="24">
        <v>0.0</v>
      </c>
    </row>
    <row r="5384">
      <c r="A5384" s="24">
        <v>62.0</v>
      </c>
      <c r="B5384" s="24">
        <v>0.0</v>
      </c>
      <c r="C5384" s="44">
        <v>14.29</v>
      </c>
      <c r="D5384" s="46">
        <v>45258.0</v>
      </c>
      <c r="E5384" s="24" t="s">
        <v>6650</v>
      </c>
      <c r="F5384" s="24">
        <v>230.48</v>
      </c>
      <c r="G5384" s="24">
        <v>0.0</v>
      </c>
      <c r="H5384" s="24" t="s">
        <v>6696</v>
      </c>
      <c r="I5384" s="24" t="s">
        <v>6650</v>
      </c>
      <c r="J5384" s="24">
        <v>0.0</v>
      </c>
    </row>
    <row r="5385">
      <c r="A5385" s="24">
        <v>59.0</v>
      </c>
      <c r="B5385" s="24">
        <v>0.0</v>
      </c>
      <c r="C5385" s="44">
        <v>14.62</v>
      </c>
      <c r="D5385" s="46">
        <v>45259.0</v>
      </c>
      <c r="E5385" s="24" t="s">
        <v>6650</v>
      </c>
      <c r="F5385" s="24">
        <v>247.8</v>
      </c>
      <c r="G5385" s="24">
        <v>0.0</v>
      </c>
      <c r="H5385" s="24" t="s">
        <v>6698</v>
      </c>
      <c r="I5385" s="24">
        <v>7.31</v>
      </c>
      <c r="J5385" s="24">
        <v>0.0</v>
      </c>
    </row>
    <row r="5386">
      <c r="A5386" s="24">
        <v>21.0</v>
      </c>
      <c r="B5386" s="24">
        <v>0.0</v>
      </c>
      <c r="C5386" s="44">
        <v>12.56</v>
      </c>
      <c r="D5386" s="46">
        <v>45259.0</v>
      </c>
      <c r="E5386" s="24" t="s">
        <v>6650</v>
      </c>
      <c r="F5386" s="24">
        <v>598.1</v>
      </c>
      <c r="G5386" s="24">
        <v>0.0</v>
      </c>
      <c r="H5386" s="24" t="s">
        <v>6695</v>
      </c>
      <c r="I5386" s="24" t="s">
        <v>6650</v>
      </c>
      <c r="J5386" s="24">
        <v>0.0</v>
      </c>
    </row>
    <row r="5387">
      <c r="A5387" s="24">
        <v>100.0</v>
      </c>
      <c r="B5387" s="24">
        <v>2.0</v>
      </c>
      <c r="C5387" s="44">
        <v>13.03</v>
      </c>
      <c r="D5387" s="46">
        <v>45259.0</v>
      </c>
      <c r="E5387" s="24">
        <v>6.52</v>
      </c>
      <c r="F5387" s="24">
        <v>130.3</v>
      </c>
      <c r="G5387" s="24">
        <v>2.0</v>
      </c>
      <c r="H5387" s="24" t="s">
        <v>6699</v>
      </c>
      <c r="I5387" s="24">
        <v>13.03</v>
      </c>
      <c r="J5387" s="24">
        <v>0.0</v>
      </c>
    </row>
    <row r="5388">
      <c r="A5388" s="24">
        <v>18.0</v>
      </c>
      <c r="B5388" s="24">
        <v>0.0</v>
      </c>
      <c r="C5388" s="44">
        <v>15.0</v>
      </c>
      <c r="D5388" s="46">
        <v>45259.0</v>
      </c>
      <c r="E5388" s="24" t="s">
        <v>6650</v>
      </c>
      <c r="F5388" s="24">
        <v>833.33</v>
      </c>
      <c r="G5388" s="24">
        <v>0.0</v>
      </c>
      <c r="H5388" s="24" t="s">
        <v>6697</v>
      </c>
      <c r="I5388" s="24" t="s">
        <v>6650</v>
      </c>
      <c r="J5388" s="24">
        <v>0.0</v>
      </c>
    </row>
    <row r="5389">
      <c r="A5389" s="24">
        <v>0.0</v>
      </c>
      <c r="B5389" s="24">
        <v>2.0</v>
      </c>
      <c r="C5389" s="44">
        <v>0.0</v>
      </c>
      <c r="D5389" s="46">
        <v>45259.0</v>
      </c>
      <c r="E5389" s="24">
        <v>0.0</v>
      </c>
      <c r="F5389" s="24" t="s">
        <v>6650</v>
      </c>
      <c r="G5389" s="24" t="s">
        <v>6650</v>
      </c>
      <c r="H5389" s="24" t="s">
        <v>6702</v>
      </c>
      <c r="I5389" s="24" t="s">
        <v>6650</v>
      </c>
      <c r="J5389" s="24">
        <v>0.0</v>
      </c>
    </row>
    <row r="5390">
      <c r="A5390" s="24">
        <v>58.0</v>
      </c>
      <c r="B5390" s="24">
        <v>0.0</v>
      </c>
      <c r="C5390" s="44">
        <v>14.54</v>
      </c>
      <c r="D5390" s="46">
        <v>45259.0</v>
      </c>
      <c r="E5390" s="24" t="s">
        <v>6650</v>
      </c>
      <c r="F5390" s="24">
        <v>250.69</v>
      </c>
      <c r="G5390" s="24">
        <v>0.0</v>
      </c>
      <c r="H5390" s="24" t="s">
        <v>6701</v>
      </c>
      <c r="I5390" s="24" t="s">
        <v>6650</v>
      </c>
      <c r="J5390" s="24">
        <v>0.0</v>
      </c>
    </row>
    <row r="5391">
      <c r="A5391" s="24">
        <v>1180.0</v>
      </c>
      <c r="B5391" s="24">
        <v>7.0</v>
      </c>
      <c r="C5391" s="44">
        <v>12.52</v>
      </c>
      <c r="D5391" s="46">
        <v>45259.0</v>
      </c>
      <c r="E5391" s="24">
        <v>1.79</v>
      </c>
      <c r="F5391" s="24">
        <v>10.61</v>
      </c>
      <c r="G5391" s="24">
        <v>0.59</v>
      </c>
      <c r="H5391" s="24" t="s">
        <v>6688</v>
      </c>
      <c r="I5391" s="24">
        <v>6.26</v>
      </c>
      <c r="J5391" s="24">
        <v>0.0</v>
      </c>
    </row>
    <row r="5392">
      <c r="A5392" s="24">
        <v>142.0</v>
      </c>
      <c r="B5392" s="24">
        <v>0.0</v>
      </c>
      <c r="C5392" s="44">
        <v>12.06</v>
      </c>
      <c r="D5392" s="46">
        <v>45259.0</v>
      </c>
      <c r="E5392" s="24" t="s">
        <v>6650</v>
      </c>
      <c r="F5392" s="24">
        <v>84.93</v>
      </c>
      <c r="G5392" s="24">
        <v>0.0</v>
      </c>
      <c r="H5392" s="24" t="s">
        <v>6700</v>
      </c>
      <c r="I5392" s="24" t="s">
        <v>6650</v>
      </c>
      <c r="J5392" s="24">
        <v>0.0</v>
      </c>
    </row>
    <row r="5393">
      <c r="A5393" s="24">
        <v>456.0</v>
      </c>
      <c r="B5393" s="24">
        <v>3.0</v>
      </c>
      <c r="C5393" s="44">
        <v>12.59</v>
      </c>
      <c r="D5393" s="46">
        <v>45259.0</v>
      </c>
      <c r="E5393" s="24">
        <v>4.2</v>
      </c>
      <c r="F5393" s="24">
        <v>27.61</v>
      </c>
      <c r="G5393" s="24">
        <v>0.66</v>
      </c>
      <c r="H5393" s="24" t="s">
        <v>6689</v>
      </c>
      <c r="I5393" s="24" t="s">
        <v>6650</v>
      </c>
      <c r="J5393" s="24">
        <v>0.0</v>
      </c>
    </row>
    <row r="5394">
      <c r="A5394" s="24">
        <v>26.0</v>
      </c>
      <c r="B5394" s="24">
        <v>2.0</v>
      </c>
      <c r="C5394" s="44">
        <v>11.76</v>
      </c>
      <c r="D5394" s="46">
        <v>45259.0</v>
      </c>
      <c r="E5394" s="24">
        <v>5.88</v>
      </c>
      <c r="F5394" s="24">
        <v>452.31</v>
      </c>
      <c r="G5394" s="24">
        <v>7.69</v>
      </c>
      <c r="H5394" s="24" t="s">
        <v>6696</v>
      </c>
      <c r="I5394" s="24">
        <v>11.76</v>
      </c>
      <c r="J5394" s="24">
        <v>0.0</v>
      </c>
    </row>
    <row r="5395">
      <c r="A5395" s="24">
        <v>296.0</v>
      </c>
      <c r="B5395" s="24">
        <v>159.0</v>
      </c>
      <c r="C5395" s="44">
        <v>114.15</v>
      </c>
      <c r="D5395" s="46">
        <v>45259.0</v>
      </c>
      <c r="E5395" s="24">
        <v>0.72</v>
      </c>
      <c r="F5395" s="24">
        <v>385.64</v>
      </c>
      <c r="G5395" s="24">
        <v>53.72</v>
      </c>
      <c r="H5395" s="24" t="s">
        <v>6703</v>
      </c>
      <c r="I5395" s="24" t="s">
        <v>6650</v>
      </c>
      <c r="J5395" s="24">
        <v>1.0</v>
      </c>
    </row>
    <row r="5396">
      <c r="A5396" s="24">
        <v>47.0</v>
      </c>
      <c r="B5396" s="24">
        <v>0.0</v>
      </c>
      <c r="C5396" s="44">
        <v>9.54</v>
      </c>
      <c r="D5396" s="46">
        <v>45260.0</v>
      </c>
      <c r="E5396" s="24" t="s">
        <v>6650</v>
      </c>
      <c r="F5396" s="24">
        <v>202.98</v>
      </c>
      <c r="G5396" s="24">
        <v>0.0</v>
      </c>
      <c r="H5396" s="24" t="s">
        <v>6701</v>
      </c>
      <c r="I5396" s="24" t="s">
        <v>6650</v>
      </c>
      <c r="J5396" s="24">
        <v>0.0</v>
      </c>
    </row>
    <row r="5397">
      <c r="A5397" s="24">
        <v>0.0</v>
      </c>
      <c r="B5397" s="24">
        <v>1.0</v>
      </c>
      <c r="C5397" s="44">
        <v>0.0</v>
      </c>
      <c r="D5397" s="46">
        <v>45260.0</v>
      </c>
      <c r="E5397" s="24">
        <v>0.0</v>
      </c>
      <c r="F5397" s="24" t="s">
        <v>6650</v>
      </c>
      <c r="G5397" s="24" t="s">
        <v>6650</v>
      </c>
      <c r="H5397" s="24" t="s">
        <v>6702</v>
      </c>
      <c r="I5397" s="24" t="s">
        <v>6650</v>
      </c>
      <c r="J5397" s="24">
        <v>0.0</v>
      </c>
    </row>
    <row r="5398">
      <c r="A5398" s="24">
        <v>23.0</v>
      </c>
      <c r="B5398" s="24">
        <v>0.0</v>
      </c>
      <c r="C5398" s="44">
        <v>10.38</v>
      </c>
      <c r="D5398" s="46">
        <v>45260.0</v>
      </c>
      <c r="E5398" s="24" t="s">
        <v>6650</v>
      </c>
      <c r="F5398" s="24">
        <v>451.3</v>
      </c>
      <c r="G5398" s="24">
        <v>0.0</v>
      </c>
      <c r="H5398" s="24" t="s">
        <v>6697</v>
      </c>
      <c r="I5398" s="24" t="s">
        <v>6650</v>
      </c>
      <c r="J5398" s="24">
        <v>0.0</v>
      </c>
    </row>
    <row r="5399">
      <c r="A5399" s="24">
        <v>63.0</v>
      </c>
      <c r="B5399" s="24">
        <v>0.0</v>
      </c>
      <c r="C5399" s="44">
        <v>17.97</v>
      </c>
      <c r="D5399" s="46">
        <v>45260.0</v>
      </c>
      <c r="E5399" s="24" t="s">
        <v>6650</v>
      </c>
      <c r="F5399" s="24">
        <v>285.24</v>
      </c>
      <c r="G5399" s="24">
        <v>0.0</v>
      </c>
      <c r="H5399" s="24" t="s">
        <v>6698</v>
      </c>
      <c r="I5399" s="24" t="s">
        <v>6650</v>
      </c>
      <c r="J5399" s="24">
        <v>0.0</v>
      </c>
    </row>
    <row r="5400">
      <c r="A5400" s="24">
        <v>55.0</v>
      </c>
      <c r="B5400" s="24">
        <v>2.0</v>
      </c>
      <c r="C5400" s="44">
        <v>10.9</v>
      </c>
      <c r="D5400" s="46">
        <v>45260.0</v>
      </c>
      <c r="E5400" s="24">
        <v>5.45</v>
      </c>
      <c r="F5400" s="24">
        <v>198.18</v>
      </c>
      <c r="G5400" s="24">
        <v>3.64</v>
      </c>
      <c r="H5400" s="24" t="s">
        <v>6699</v>
      </c>
      <c r="I5400" s="24" t="s">
        <v>6650</v>
      </c>
      <c r="J5400" s="24">
        <v>0.0</v>
      </c>
    </row>
    <row r="5401">
      <c r="A5401" s="24">
        <v>995.0</v>
      </c>
      <c r="B5401" s="24">
        <v>6.0</v>
      </c>
      <c r="C5401" s="44">
        <v>121.73</v>
      </c>
      <c r="D5401" s="46">
        <v>45260.0</v>
      </c>
      <c r="E5401" s="24">
        <v>20.29</v>
      </c>
      <c r="F5401" s="24">
        <v>122.34</v>
      </c>
      <c r="G5401" s="24">
        <v>0.6</v>
      </c>
      <c r="H5401" s="24" t="s">
        <v>6704</v>
      </c>
      <c r="I5401" s="24">
        <v>121.73</v>
      </c>
      <c r="J5401" s="24">
        <v>1.0</v>
      </c>
    </row>
    <row r="5402">
      <c r="A5402" s="24">
        <v>1151.0</v>
      </c>
      <c r="B5402" s="24">
        <v>4.0</v>
      </c>
      <c r="C5402" s="44">
        <v>11.09</v>
      </c>
      <c r="D5402" s="46">
        <v>45260.0</v>
      </c>
      <c r="E5402" s="24">
        <v>2.77</v>
      </c>
      <c r="F5402" s="24">
        <v>9.64</v>
      </c>
      <c r="G5402" s="24">
        <v>0.35</v>
      </c>
      <c r="H5402" s="24" t="s">
        <v>6688</v>
      </c>
      <c r="I5402" s="24" t="s">
        <v>6650</v>
      </c>
      <c r="J5402" s="24">
        <v>0.0</v>
      </c>
    </row>
    <row r="5403">
      <c r="A5403" s="24">
        <v>23.0</v>
      </c>
      <c r="B5403" s="24">
        <v>0.0</v>
      </c>
      <c r="C5403" s="44">
        <v>13.21</v>
      </c>
      <c r="D5403" s="46">
        <v>45260.0</v>
      </c>
      <c r="E5403" s="24" t="s">
        <v>6650</v>
      </c>
      <c r="F5403" s="24">
        <v>574.35</v>
      </c>
      <c r="G5403" s="24">
        <v>0.0</v>
      </c>
      <c r="H5403" s="24" t="s">
        <v>6695</v>
      </c>
      <c r="I5403" s="24" t="s">
        <v>6650</v>
      </c>
      <c r="J5403" s="24">
        <v>0.0</v>
      </c>
    </row>
    <row r="5404">
      <c r="A5404" s="24">
        <v>104.0</v>
      </c>
      <c r="B5404" s="24">
        <v>0.0</v>
      </c>
      <c r="C5404" s="44">
        <v>10.9</v>
      </c>
      <c r="D5404" s="46">
        <v>45260.0</v>
      </c>
      <c r="E5404" s="24" t="s">
        <v>6650</v>
      </c>
      <c r="F5404" s="24">
        <v>104.81</v>
      </c>
      <c r="G5404" s="24">
        <v>0.0</v>
      </c>
      <c r="H5404" s="24" t="s">
        <v>6700</v>
      </c>
      <c r="I5404" s="24" t="s">
        <v>6650</v>
      </c>
      <c r="J5404" s="24">
        <v>0.0</v>
      </c>
    </row>
    <row r="5405">
      <c r="A5405" s="24">
        <v>36.0</v>
      </c>
      <c r="B5405" s="24">
        <v>0.0</v>
      </c>
      <c r="C5405" s="44">
        <v>11.1</v>
      </c>
      <c r="D5405" s="46">
        <v>45260.0</v>
      </c>
      <c r="E5405" s="24" t="s">
        <v>6650</v>
      </c>
      <c r="F5405" s="24">
        <v>308.33</v>
      </c>
      <c r="G5405" s="24">
        <v>0.0</v>
      </c>
      <c r="H5405" s="24" t="s">
        <v>6696</v>
      </c>
      <c r="I5405" s="24" t="s">
        <v>6650</v>
      </c>
      <c r="J5405" s="24">
        <v>0.0</v>
      </c>
    </row>
    <row r="5406">
      <c r="A5406" s="24">
        <v>83.0</v>
      </c>
      <c r="B5406" s="24">
        <v>20.0</v>
      </c>
      <c r="C5406" s="44">
        <v>44.89</v>
      </c>
      <c r="D5406" s="46">
        <v>45260.0</v>
      </c>
      <c r="E5406" s="24">
        <v>2.24</v>
      </c>
      <c r="F5406" s="24">
        <v>540.84</v>
      </c>
      <c r="G5406" s="24">
        <v>24.1</v>
      </c>
      <c r="H5406" s="24" t="s">
        <v>6705</v>
      </c>
      <c r="I5406" s="24" t="s">
        <v>6650</v>
      </c>
      <c r="J5406" s="24">
        <v>1.0</v>
      </c>
    </row>
    <row r="5407">
      <c r="A5407" s="24">
        <v>552.0</v>
      </c>
      <c r="B5407" s="24">
        <v>8.0</v>
      </c>
      <c r="C5407" s="44">
        <v>11.09</v>
      </c>
      <c r="D5407" s="46">
        <v>45260.0</v>
      </c>
      <c r="E5407" s="24">
        <v>1.39</v>
      </c>
      <c r="F5407" s="24">
        <v>20.09</v>
      </c>
      <c r="G5407" s="24">
        <v>1.45</v>
      </c>
      <c r="H5407" s="24" t="s">
        <v>6689</v>
      </c>
      <c r="I5407" s="24" t="s">
        <v>6650</v>
      </c>
      <c r="J5407" s="24">
        <v>0.0</v>
      </c>
    </row>
    <row r="5408">
      <c r="A5408" s="24">
        <v>264.0</v>
      </c>
      <c r="B5408" s="24">
        <v>159.0</v>
      </c>
      <c r="C5408" s="44">
        <v>107.23</v>
      </c>
      <c r="D5408" s="46">
        <v>45260.0</v>
      </c>
      <c r="E5408" s="24">
        <v>0.67</v>
      </c>
      <c r="F5408" s="24">
        <v>406.17</v>
      </c>
      <c r="G5408" s="24">
        <v>60.23</v>
      </c>
      <c r="H5408" s="24" t="s">
        <v>6703</v>
      </c>
      <c r="I5408" s="24" t="s">
        <v>6650</v>
      </c>
      <c r="J5408" s="24">
        <v>2.0</v>
      </c>
    </row>
    <row r="5409">
      <c r="A5409" s="24">
        <v>420.0</v>
      </c>
      <c r="B5409" s="24">
        <v>5.0</v>
      </c>
      <c r="C5409" s="44">
        <v>10.44</v>
      </c>
      <c r="D5409" s="46">
        <v>45261.0</v>
      </c>
      <c r="E5409" s="24">
        <v>2.09</v>
      </c>
      <c r="F5409" s="24">
        <v>24.86</v>
      </c>
      <c r="G5409" s="24">
        <v>1.19</v>
      </c>
      <c r="H5409" s="24" t="s">
        <v>6689</v>
      </c>
      <c r="I5409" s="24" t="s">
        <v>6650</v>
      </c>
      <c r="J5409" s="24">
        <v>0.0</v>
      </c>
    </row>
    <row r="5410">
      <c r="A5410" s="24">
        <v>75.0</v>
      </c>
      <c r="B5410" s="24">
        <v>0.0</v>
      </c>
      <c r="C5410" s="44">
        <v>11.36</v>
      </c>
      <c r="D5410" s="46">
        <v>45261.0</v>
      </c>
      <c r="E5410" s="24" t="s">
        <v>6650</v>
      </c>
      <c r="F5410" s="24">
        <v>151.47</v>
      </c>
      <c r="G5410" s="24">
        <v>0.0</v>
      </c>
      <c r="H5410" s="24" t="s">
        <v>6701</v>
      </c>
      <c r="I5410" s="24">
        <v>11.36</v>
      </c>
      <c r="J5410" s="24">
        <v>0.0</v>
      </c>
    </row>
    <row r="5411">
      <c r="A5411" s="24">
        <v>63.0</v>
      </c>
      <c r="B5411" s="24">
        <v>0.0</v>
      </c>
      <c r="C5411" s="44">
        <v>11.34</v>
      </c>
      <c r="D5411" s="46">
        <v>45261.0</v>
      </c>
      <c r="E5411" s="24" t="s">
        <v>6650</v>
      </c>
      <c r="F5411" s="24">
        <v>180.0</v>
      </c>
      <c r="G5411" s="24">
        <v>0.0</v>
      </c>
      <c r="H5411" s="24" t="s">
        <v>6699</v>
      </c>
      <c r="I5411" s="24">
        <v>5.67</v>
      </c>
      <c r="J5411" s="24">
        <v>0.0</v>
      </c>
    </row>
    <row r="5412">
      <c r="A5412" s="24">
        <v>75.0</v>
      </c>
      <c r="B5412" s="24">
        <v>0.0</v>
      </c>
      <c r="C5412" s="44">
        <v>9.67</v>
      </c>
      <c r="D5412" s="46">
        <v>45261.0</v>
      </c>
      <c r="E5412" s="24" t="s">
        <v>6650</v>
      </c>
      <c r="F5412" s="24">
        <v>128.93</v>
      </c>
      <c r="G5412" s="24">
        <v>0.0</v>
      </c>
      <c r="H5412" s="24" t="s">
        <v>6700</v>
      </c>
      <c r="I5412" s="24" t="s">
        <v>6650</v>
      </c>
      <c r="J5412" s="24">
        <v>0.0</v>
      </c>
    </row>
    <row r="5413">
      <c r="A5413" s="24">
        <v>22.0</v>
      </c>
      <c r="B5413" s="24">
        <v>0.0</v>
      </c>
      <c r="C5413" s="44">
        <v>7.82</v>
      </c>
      <c r="D5413" s="46">
        <v>45261.0</v>
      </c>
      <c r="E5413" s="24" t="s">
        <v>6650</v>
      </c>
      <c r="F5413" s="24">
        <v>355.45</v>
      </c>
      <c r="G5413" s="24">
        <v>0.0</v>
      </c>
      <c r="H5413" s="24" t="s">
        <v>6695</v>
      </c>
      <c r="I5413" s="24" t="s">
        <v>6650</v>
      </c>
      <c r="J5413" s="24">
        <v>0.0</v>
      </c>
    </row>
    <row r="5414">
      <c r="A5414" s="24">
        <v>133.0</v>
      </c>
      <c r="B5414" s="24">
        <v>49.0</v>
      </c>
      <c r="C5414" s="44">
        <v>79.8</v>
      </c>
      <c r="D5414" s="46">
        <v>45261.0</v>
      </c>
      <c r="E5414" s="24">
        <v>1.63</v>
      </c>
      <c r="F5414" s="24">
        <v>600.0</v>
      </c>
      <c r="G5414" s="24">
        <v>36.84</v>
      </c>
      <c r="H5414" s="24" t="s">
        <v>6705</v>
      </c>
      <c r="I5414" s="24" t="s">
        <v>6650</v>
      </c>
      <c r="J5414" s="24">
        <v>5.0</v>
      </c>
    </row>
    <row r="5415">
      <c r="A5415" s="24">
        <v>0.0</v>
      </c>
      <c r="B5415" s="24">
        <v>21.0</v>
      </c>
      <c r="C5415" s="44">
        <v>0.0</v>
      </c>
      <c r="D5415" s="46">
        <v>45261.0</v>
      </c>
      <c r="E5415" s="24">
        <v>0.0</v>
      </c>
      <c r="F5415" s="24" t="s">
        <v>6650</v>
      </c>
      <c r="G5415" s="24" t="s">
        <v>6650</v>
      </c>
      <c r="H5415" s="24" t="s">
        <v>6703</v>
      </c>
      <c r="I5415" s="24" t="s">
        <v>6650</v>
      </c>
      <c r="J5415" s="24">
        <v>0.0</v>
      </c>
    </row>
    <row r="5416">
      <c r="A5416" s="24">
        <v>104.0</v>
      </c>
      <c r="B5416" s="24">
        <v>0.0</v>
      </c>
      <c r="C5416" s="44">
        <v>9.42</v>
      </c>
      <c r="D5416" s="46">
        <v>45261.0</v>
      </c>
      <c r="E5416" s="24" t="s">
        <v>6650</v>
      </c>
      <c r="F5416" s="24">
        <v>90.58</v>
      </c>
      <c r="G5416" s="24">
        <v>0.0</v>
      </c>
      <c r="H5416" s="24" t="s">
        <v>6698</v>
      </c>
      <c r="I5416" s="24" t="s">
        <v>6650</v>
      </c>
      <c r="J5416" s="24">
        <v>0.0</v>
      </c>
    </row>
    <row r="5417">
      <c r="A5417" s="24">
        <v>603.0</v>
      </c>
      <c r="B5417" s="24">
        <v>9.0</v>
      </c>
      <c r="C5417" s="44">
        <v>116.73</v>
      </c>
      <c r="D5417" s="46">
        <v>45261.0</v>
      </c>
      <c r="E5417" s="24">
        <v>12.97</v>
      </c>
      <c r="F5417" s="24">
        <v>193.58</v>
      </c>
      <c r="G5417" s="24">
        <v>1.49</v>
      </c>
      <c r="H5417" s="24" t="s">
        <v>6704</v>
      </c>
      <c r="I5417" s="24">
        <v>116.73</v>
      </c>
      <c r="J5417" s="24">
        <v>1.0</v>
      </c>
    </row>
    <row r="5418">
      <c r="A5418" s="24">
        <v>27.0</v>
      </c>
      <c r="B5418" s="24">
        <v>2.0</v>
      </c>
      <c r="C5418" s="44">
        <v>12.0</v>
      </c>
      <c r="D5418" s="46">
        <v>45261.0</v>
      </c>
      <c r="E5418" s="24">
        <v>6.0</v>
      </c>
      <c r="F5418" s="24">
        <v>444.44</v>
      </c>
      <c r="G5418" s="24">
        <v>7.41</v>
      </c>
      <c r="H5418" s="24" t="s">
        <v>6696</v>
      </c>
      <c r="I5418" s="24" t="s">
        <v>6650</v>
      </c>
      <c r="J5418" s="24">
        <v>1.0</v>
      </c>
    </row>
    <row r="5419">
      <c r="A5419" s="24">
        <v>22.0</v>
      </c>
      <c r="B5419" s="24">
        <v>0.0</v>
      </c>
      <c r="C5419" s="44">
        <v>11.13</v>
      </c>
      <c r="D5419" s="46">
        <v>45261.0</v>
      </c>
      <c r="E5419" s="24" t="s">
        <v>6650</v>
      </c>
      <c r="F5419" s="24">
        <v>505.91</v>
      </c>
      <c r="G5419" s="24">
        <v>0.0</v>
      </c>
      <c r="H5419" s="24" t="s">
        <v>6697</v>
      </c>
      <c r="I5419" s="24" t="s">
        <v>6650</v>
      </c>
      <c r="J5419" s="24">
        <v>0.0</v>
      </c>
    </row>
    <row r="5420">
      <c r="A5420" s="24">
        <v>1062.0</v>
      </c>
      <c r="B5420" s="24">
        <v>7.0</v>
      </c>
      <c r="C5420" s="44">
        <v>9.55</v>
      </c>
      <c r="D5420" s="46">
        <v>45261.0</v>
      </c>
      <c r="E5420" s="24">
        <v>1.36</v>
      </c>
      <c r="F5420" s="24">
        <v>8.99</v>
      </c>
      <c r="G5420" s="24">
        <v>0.66</v>
      </c>
      <c r="H5420" s="24" t="s">
        <v>6688</v>
      </c>
      <c r="I5420" s="24">
        <v>9.55</v>
      </c>
      <c r="J5420" s="24">
        <v>0.0</v>
      </c>
    </row>
    <row r="5421">
      <c r="A5421" s="24">
        <v>24.0</v>
      </c>
      <c r="B5421" s="24">
        <v>0.0</v>
      </c>
      <c r="C5421" s="44">
        <v>4.57</v>
      </c>
      <c r="D5421" s="46">
        <v>45262.0</v>
      </c>
      <c r="E5421" s="24" t="s">
        <v>6650</v>
      </c>
      <c r="F5421" s="24">
        <v>190.42</v>
      </c>
      <c r="G5421" s="24">
        <v>0.0</v>
      </c>
      <c r="H5421" s="24" t="s">
        <v>6696</v>
      </c>
      <c r="I5421" s="24" t="s">
        <v>6650</v>
      </c>
      <c r="J5421" s="24">
        <v>0.0</v>
      </c>
    </row>
    <row r="5422">
      <c r="A5422" s="24">
        <v>970.0</v>
      </c>
      <c r="B5422" s="24">
        <v>4.0</v>
      </c>
      <c r="C5422" s="44">
        <v>6.28</v>
      </c>
      <c r="D5422" s="46">
        <v>45262.0</v>
      </c>
      <c r="E5422" s="24">
        <v>1.57</v>
      </c>
      <c r="F5422" s="24">
        <v>6.47</v>
      </c>
      <c r="G5422" s="24">
        <v>0.41</v>
      </c>
      <c r="H5422" s="24" t="s">
        <v>6688</v>
      </c>
      <c r="I5422" s="24">
        <v>6.28</v>
      </c>
      <c r="J5422" s="24">
        <v>0.0</v>
      </c>
    </row>
    <row r="5423">
      <c r="A5423" s="24">
        <v>38.0</v>
      </c>
      <c r="B5423" s="24">
        <v>0.0</v>
      </c>
      <c r="C5423" s="44">
        <v>5.71</v>
      </c>
      <c r="D5423" s="46">
        <v>45262.0</v>
      </c>
      <c r="E5423" s="24" t="s">
        <v>6650</v>
      </c>
      <c r="F5423" s="24">
        <v>150.26</v>
      </c>
      <c r="G5423" s="24">
        <v>0.0</v>
      </c>
      <c r="H5423" s="24" t="s">
        <v>6698</v>
      </c>
      <c r="I5423" s="24" t="s">
        <v>6650</v>
      </c>
      <c r="J5423" s="24">
        <v>0.0</v>
      </c>
    </row>
    <row r="5424">
      <c r="A5424" s="24">
        <v>26.0</v>
      </c>
      <c r="B5424" s="24">
        <v>0.0</v>
      </c>
      <c r="C5424" s="44">
        <v>5.56</v>
      </c>
      <c r="D5424" s="46">
        <v>45262.0</v>
      </c>
      <c r="E5424" s="24" t="s">
        <v>6650</v>
      </c>
      <c r="F5424" s="24">
        <v>213.85</v>
      </c>
      <c r="G5424" s="24">
        <v>0.0</v>
      </c>
      <c r="H5424" s="24" t="s">
        <v>6699</v>
      </c>
      <c r="I5424" s="24" t="s">
        <v>6650</v>
      </c>
      <c r="J5424" s="24">
        <v>0.0</v>
      </c>
    </row>
    <row r="5425">
      <c r="A5425" s="24">
        <v>10.0</v>
      </c>
      <c r="B5425" s="24">
        <v>0.0</v>
      </c>
      <c r="C5425" s="44">
        <v>4.24</v>
      </c>
      <c r="D5425" s="46">
        <v>45262.0</v>
      </c>
      <c r="E5425" s="24" t="s">
        <v>6650</v>
      </c>
      <c r="F5425" s="24">
        <v>424.0</v>
      </c>
      <c r="G5425" s="24">
        <v>0.0</v>
      </c>
      <c r="H5425" s="24" t="s">
        <v>6701</v>
      </c>
      <c r="I5425" s="24" t="s">
        <v>6650</v>
      </c>
      <c r="J5425" s="24">
        <v>0.0</v>
      </c>
    </row>
    <row r="5426">
      <c r="A5426" s="24">
        <v>44.0</v>
      </c>
      <c r="B5426" s="24">
        <v>0.0</v>
      </c>
      <c r="C5426" s="44">
        <v>6.42</v>
      </c>
      <c r="D5426" s="46">
        <v>45262.0</v>
      </c>
      <c r="E5426" s="24" t="s">
        <v>6650</v>
      </c>
      <c r="F5426" s="24">
        <v>145.91</v>
      </c>
      <c r="G5426" s="24">
        <v>0.0</v>
      </c>
      <c r="H5426" s="24" t="s">
        <v>6700</v>
      </c>
      <c r="I5426" s="24" t="s">
        <v>6650</v>
      </c>
      <c r="J5426" s="24">
        <v>0.0</v>
      </c>
    </row>
    <row r="5427">
      <c r="A5427" s="24">
        <v>0.0</v>
      </c>
      <c r="B5427" s="24">
        <v>8.0</v>
      </c>
      <c r="C5427" s="44">
        <v>0.0</v>
      </c>
      <c r="D5427" s="46">
        <v>45262.0</v>
      </c>
      <c r="E5427" s="24">
        <v>0.0</v>
      </c>
      <c r="F5427" s="24" t="s">
        <v>6650</v>
      </c>
      <c r="G5427" s="24" t="s">
        <v>6650</v>
      </c>
      <c r="H5427" s="24" t="s">
        <v>6703</v>
      </c>
      <c r="I5427" s="24" t="s">
        <v>6650</v>
      </c>
      <c r="J5427" s="24">
        <v>0.0</v>
      </c>
    </row>
    <row r="5428">
      <c r="A5428" s="24">
        <v>299.0</v>
      </c>
      <c r="B5428" s="24">
        <v>1.0</v>
      </c>
      <c r="C5428" s="44">
        <v>6.71</v>
      </c>
      <c r="D5428" s="46">
        <v>45262.0</v>
      </c>
      <c r="E5428" s="24">
        <v>6.71</v>
      </c>
      <c r="F5428" s="24">
        <v>22.44</v>
      </c>
      <c r="G5428" s="24">
        <v>0.33</v>
      </c>
      <c r="H5428" s="24" t="s">
        <v>6689</v>
      </c>
      <c r="I5428" s="24" t="s">
        <v>6650</v>
      </c>
      <c r="J5428" s="24">
        <v>0.0</v>
      </c>
    </row>
    <row r="5429">
      <c r="A5429" s="24">
        <v>12.0</v>
      </c>
      <c r="B5429" s="24">
        <v>0.0</v>
      </c>
      <c r="C5429" s="44">
        <v>5.1</v>
      </c>
      <c r="D5429" s="46">
        <v>45262.0</v>
      </c>
      <c r="E5429" s="24" t="s">
        <v>6650</v>
      </c>
      <c r="F5429" s="24">
        <v>425.0</v>
      </c>
      <c r="G5429" s="24">
        <v>0.0</v>
      </c>
      <c r="H5429" s="24" t="s">
        <v>6695</v>
      </c>
      <c r="I5429" s="24" t="s">
        <v>6650</v>
      </c>
      <c r="J5429" s="24">
        <v>0.0</v>
      </c>
    </row>
    <row r="5430">
      <c r="A5430" s="24">
        <v>233.0</v>
      </c>
      <c r="B5430" s="24">
        <v>1.0</v>
      </c>
      <c r="C5430" s="44">
        <v>83.71</v>
      </c>
      <c r="D5430" s="46">
        <v>45262.0</v>
      </c>
      <c r="E5430" s="24">
        <v>83.71</v>
      </c>
      <c r="F5430" s="24">
        <v>359.27</v>
      </c>
      <c r="G5430" s="24">
        <v>0.43</v>
      </c>
      <c r="H5430" s="24" t="s">
        <v>6704</v>
      </c>
      <c r="I5430" s="24">
        <v>83.71</v>
      </c>
      <c r="J5430" s="24">
        <v>1.0</v>
      </c>
    </row>
    <row r="5431">
      <c r="A5431" s="24">
        <v>8.0</v>
      </c>
      <c r="B5431" s="24">
        <v>0.0</v>
      </c>
      <c r="C5431" s="44">
        <v>5.23</v>
      </c>
      <c r="D5431" s="46">
        <v>45262.0</v>
      </c>
      <c r="E5431" s="24" t="s">
        <v>6650</v>
      </c>
      <c r="F5431" s="24">
        <v>653.75</v>
      </c>
      <c r="G5431" s="24">
        <v>0.0</v>
      </c>
      <c r="H5431" s="24" t="s">
        <v>6697</v>
      </c>
      <c r="I5431" s="24" t="s">
        <v>6650</v>
      </c>
      <c r="J5431" s="24">
        <v>0.0</v>
      </c>
    </row>
    <row r="5432">
      <c r="A5432" s="24">
        <v>75.0</v>
      </c>
      <c r="B5432" s="24">
        <v>42.0</v>
      </c>
      <c r="C5432" s="44">
        <v>44.24</v>
      </c>
      <c r="D5432" s="46">
        <v>45262.0</v>
      </c>
      <c r="E5432" s="24">
        <v>1.05</v>
      </c>
      <c r="F5432" s="24">
        <v>589.87</v>
      </c>
      <c r="G5432" s="24">
        <v>56.0</v>
      </c>
      <c r="H5432" s="24" t="s">
        <v>6705</v>
      </c>
      <c r="I5432" s="24" t="s">
        <v>6650</v>
      </c>
      <c r="J5432" s="24">
        <v>2.0</v>
      </c>
    </row>
    <row r="5433">
      <c r="A5433" s="24">
        <v>12.0</v>
      </c>
      <c r="B5433" s="24">
        <v>0.0</v>
      </c>
      <c r="C5433" s="44">
        <v>2.94</v>
      </c>
      <c r="D5433" s="46">
        <v>45263.0</v>
      </c>
      <c r="E5433" s="24" t="s">
        <v>6650</v>
      </c>
      <c r="F5433" s="24">
        <v>245.0</v>
      </c>
      <c r="G5433" s="24">
        <v>0.0</v>
      </c>
      <c r="H5433" s="24" t="s">
        <v>6695</v>
      </c>
      <c r="I5433" s="24" t="s">
        <v>6650</v>
      </c>
      <c r="J5433" s="24">
        <v>0.0</v>
      </c>
    </row>
    <row r="5434">
      <c r="A5434" s="24">
        <v>239.0</v>
      </c>
      <c r="B5434" s="24">
        <v>2.0</v>
      </c>
      <c r="C5434" s="44">
        <v>5.41</v>
      </c>
      <c r="D5434" s="46">
        <v>45263.0</v>
      </c>
      <c r="E5434" s="24">
        <v>2.7</v>
      </c>
      <c r="F5434" s="24">
        <v>22.64</v>
      </c>
      <c r="G5434" s="24">
        <v>0.84</v>
      </c>
      <c r="H5434" s="24" t="s">
        <v>6689</v>
      </c>
      <c r="I5434" s="24">
        <v>5.41</v>
      </c>
      <c r="J5434" s="24">
        <v>0.0</v>
      </c>
    </row>
    <row r="5435">
      <c r="A5435" s="24">
        <v>74.0</v>
      </c>
      <c r="B5435" s="24">
        <v>28.0</v>
      </c>
      <c r="C5435" s="44">
        <v>48.75</v>
      </c>
      <c r="D5435" s="46">
        <v>45263.0</v>
      </c>
      <c r="E5435" s="24">
        <v>1.74</v>
      </c>
      <c r="F5435" s="24">
        <v>658.78</v>
      </c>
      <c r="G5435" s="24">
        <v>37.84</v>
      </c>
      <c r="H5435" s="24" t="s">
        <v>6705</v>
      </c>
      <c r="I5435" s="24" t="s">
        <v>6650</v>
      </c>
      <c r="J5435" s="24">
        <v>0.0</v>
      </c>
    </row>
    <row r="5436">
      <c r="A5436" s="24">
        <v>59.0</v>
      </c>
      <c r="B5436" s="24">
        <v>0.0</v>
      </c>
      <c r="C5436" s="44">
        <v>3.87</v>
      </c>
      <c r="D5436" s="46">
        <v>45263.0</v>
      </c>
      <c r="E5436" s="24" t="s">
        <v>6650</v>
      </c>
      <c r="F5436" s="24">
        <v>65.59</v>
      </c>
      <c r="G5436" s="24">
        <v>0.0</v>
      </c>
      <c r="H5436" s="24" t="s">
        <v>6698</v>
      </c>
      <c r="I5436" s="24" t="s">
        <v>6650</v>
      </c>
      <c r="J5436" s="24">
        <v>0.0</v>
      </c>
    </row>
    <row r="5437">
      <c r="A5437" s="24">
        <v>601.0</v>
      </c>
      <c r="B5437" s="24">
        <v>4.0</v>
      </c>
      <c r="C5437" s="44">
        <v>6.35</v>
      </c>
      <c r="D5437" s="46">
        <v>45263.0</v>
      </c>
      <c r="E5437" s="24">
        <v>1.59</v>
      </c>
      <c r="F5437" s="24">
        <v>10.57</v>
      </c>
      <c r="G5437" s="24">
        <v>0.67</v>
      </c>
      <c r="H5437" s="24" t="s">
        <v>6688</v>
      </c>
      <c r="I5437" s="24" t="s">
        <v>6650</v>
      </c>
      <c r="J5437" s="24">
        <v>0.0</v>
      </c>
    </row>
    <row r="5438">
      <c r="A5438" s="24">
        <v>47.0</v>
      </c>
      <c r="B5438" s="24">
        <v>1.0</v>
      </c>
      <c r="C5438" s="44">
        <v>4.94</v>
      </c>
      <c r="D5438" s="46">
        <v>45263.0</v>
      </c>
      <c r="E5438" s="24">
        <v>4.94</v>
      </c>
      <c r="F5438" s="24">
        <v>105.11</v>
      </c>
      <c r="G5438" s="24">
        <v>2.13</v>
      </c>
      <c r="H5438" s="24" t="s">
        <v>6700</v>
      </c>
      <c r="I5438" s="24" t="s">
        <v>6650</v>
      </c>
      <c r="J5438" s="24">
        <v>0.0</v>
      </c>
    </row>
    <row r="5439">
      <c r="A5439" s="24">
        <v>0.0</v>
      </c>
      <c r="B5439" s="24">
        <v>3.0</v>
      </c>
      <c r="C5439" s="44">
        <v>0.0</v>
      </c>
      <c r="D5439" s="46">
        <v>45263.0</v>
      </c>
      <c r="E5439" s="24">
        <v>0.0</v>
      </c>
      <c r="F5439" s="24" t="s">
        <v>6650</v>
      </c>
      <c r="G5439" s="24" t="s">
        <v>6650</v>
      </c>
      <c r="H5439" s="24" t="s">
        <v>6703</v>
      </c>
      <c r="I5439" s="24" t="s">
        <v>6650</v>
      </c>
      <c r="J5439" s="24">
        <v>0.0</v>
      </c>
    </row>
    <row r="5440">
      <c r="A5440" s="24">
        <v>21.0</v>
      </c>
      <c r="B5440" s="24">
        <v>0.0</v>
      </c>
      <c r="C5440" s="44">
        <v>1.81</v>
      </c>
      <c r="D5440" s="46">
        <v>45263.0</v>
      </c>
      <c r="E5440" s="24" t="s">
        <v>6650</v>
      </c>
      <c r="F5440" s="24">
        <v>86.19</v>
      </c>
      <c r="G5440" s="24">
        <v>0.0</v>
      </c>
      <c r="H5440" s="24" t="s">
        <v>6696</v>
      </c>
      <c r="I5440" s="24" t="s">
        <v>6650</v>
      </c>
      <c r="J5440" s="24">
        <v>0.0</v>
      </c>
    </row>
    <row r="5441">
      <c r="A5441" s="24">
        <v>209.0</v>
      </c>
      <c r="B5441" s="24">
        <v>2.0</v>
      </c>
      <c r="C5441" s="44">
        <v>77.83</v>
      </c>
      <c r="D5441" s="46">
        <v>45263.0</v>
      </c>
      <c r="E5441" s="24">
        <v>38.92</v>
      </c>
      <c r="F5441" s="24">
        <v>372.39</v>
      </c>
      <c r="G5441" s="24">
        <v>0.96</v>
      </c>
      <c r="H5441" s="24" t="s">
        <v>6704</v>
      </c>
      <c r="I5441" s="24" t="s">
        <v>6650</v>
      </c>
      <c r="J5441" s="24">
        <v>0.0</v>
      </c>
    </row>
    <row r="5442">
      <c r="A5442" s="24">
        <v>9.0</v>
      </c>
      <c r="B5442" s="24">
        <v>0.0</v>
      </c>
      <c r="C5442" s="44">
        <v>1.42</v>
      </c>
      <c r="D5442" s="46">
        <v>45263.0</v>
      </c>
      <c r="E5442" s="24" t="s">
        <v>6650</v>
      </c>
      <c r="F5442" s="24">
        <v>157.78</v>
      </c>
      <c r="G5442" s="24">
        <v>0.0</v>
      </c>
      <c r="H5442" s="24" t="s">
        <v>6701</v>
      </c>
      <c r="I5442" s="24" t="s">
        <v>6650</v>
      </c>
      <c r="J5442" s="24">
        <v>0.0</v>
      </c>
    </row>
    <row r="5443">
      <c r="A5443" s="24">
        <v>29.0</v>
      </c>
      <c r="B5443" s="24">
        <v>0.0</v>
      </c>
      <c r="C5443" s="44">
        <v>1.47</v>
      </c>
      <c r="D5443" s="46">
        <v>45263.0</v>
      </c>
      <c r="E5443" s="24" t="s">
        <v>6650</v>
      </c>
      <c r="F5443" s="24">
        <v>50.69</v>
      </c>
      <c r="G5443" s="24">
        <v>0.0</v>
      </c>
      <c r="H5443" s="24" t="s">
        <v>6699</v>
      </c>
      <c r="I5443" s="24" t="s">
        <v>6650</v>
      </c>
      <c r="J5443" s="24">
        <v>0.0</v>
      </c>
    </row>
    <row r="5444">
      <c r="A5444" s="24">
        <v>158.0</v>
      </c>
      <c r="B5444" s="24">
        <v>0.0</v>
      </c>
      <c r="C5444" s="44">
        <v>12.4</v>
      </c>
      <c r="D5444" s="46">
        <v>45264.0</v>
      </c>
      <c r="E5444" s="24" t="s">
        <v>6650</v>
      </c>
      <c r="F5444" s="24">
        <v>78.48</v>
      </c>
      <c r="G5444" s="24">
        <v>0.0</v>
      </c>
      <c r="H5444" s="24" t="s">
        <v>6699</v>
      </c>
      <c r="I5444" s="24" t="s">
        <v>6650</v>
      </c>
      <c r="J5444" s="24">
        <v>0.0</v>
      </c>
    </row>
    <row r="5445">
      <c r="A5445" s="24">
        <v>34.0</v>
      </c>
      <c r="B5445" s="24">
        <v>0.0</v>
      </c>
      <c r="C5445" s="44">
        <v>13.74</v>
      </c>
      <c r="D5445" s="46">
        <v>45264.0</v>
      </c>
      <c r="E5445" s="24" t="s">
        <v>6650</v>
      </c>
      <c r="F5445" s="24">
        <v>404.12</v>
      </c>
      <c r="G5445" s="24">
        <v>0.0</v>
      </c>
      <c r="H5445" s="24" t="s">
        <v>6697</v>
      </c>
      <c r="I5445" s="24" t="s">
        <v>6650</v>
      </c>
      <c r="J5445" s="24">
        <v>0.0</v>
      </c>
    </row>
    <row r="5446">
      <c r="A5446" s="24">
        <v>126.0</v>
      </c>
      <c r="B5446" s="24">
        <v>64.0</v>
      </c>
      <c r="C5446" s="44">
        <v>77.29</v>
      </c>
      <c r="D5446" s="46">
        <v>45264.0</v>
      </c>
      <c r="E5446" s="24">
        <v>1.21</v>
      </c>
      <c r="F5446" s="24">
        <v>613.41</v>
      </c>
      <c r="G5446" s="24">
        <v>50.79</v>
      </c>
      <c r="H5446" s="24" t="s">
        <v>6705</v>
      </c>
      <c r="I5446" s="24">
        <v>25.76</v>
      </c>
      <c r="J5446" s="24">
        <v>5.0</v>
      </c>
    </row>
    <row r="5447">
      <c r="A5447" s="24">
        <v>165.0</v>
      </c>
      <c r="B5447" s="24">
        <v>2.0</v>
      </c>
      <c r="C5447" s="44">
        <v>14.82</v>
      </c>
      <c r="D5447" s="46">
        <v>45264.0</v>
      </c>
      <c r="E5447" s="24">
        <v>7.41</v>
      </c>
      <c r="F5447" s="24">
        <v>89.82</v>
      </c>
      <c r="G5447" s="24">
        <v>1.21</v>
      </c>
      <c r="H5447" s="24" t="s">
        <v>6698</v>
      </c>
      <c r="I5447" s="24">
        <v>7.41</v>
      </c>
      <c r="J5447" s="24">
        <v>0.0</v>
      </c>
    </row>
    <row r="5448">
      <c r="A5448" s="24">
        <v>1010.0</v>
      </c>
      <c r="B5448" s="24">
        <v>2.0</v>
      </c>
      <c r="C5448" s="44">
        <v>11.8</v>
      </c>
      <c r="D5448" s="46">
        <v>45264.0</v>
      </c>
      <c r="E5448" s="24">
        <v>5.9</v>
      </c>
      <c r="F5448" s="24">
        <v>11.68</v>
      </c>
      <c r="G5448" s="24">
        <v>0.2</v>
      </c>
      <c r="H5448" s="24" t="s">
        <v>6688</v>
      </c>
      <c r="I5448" s="24">
        <v>5.9</v>
      </c>
      <c r="J5448" s="24">
        <v>0.0</v>
      </c>
    </row>
    <row r="5449">
      <c r="A5449" s="24">
        <v>83.0</v>
      </c>
      <c r="B5449" s="24">
        <v>0.0</v>
      </c>
      <c r="C5449" s="44">
        <v>12.7</v>
      </c>
      <c r="D5449" s="46">
        <v>45264.0</v>
      </c>
      <c r="E5449" s="24" t="s">
        <v>6650</v>
      </c>
      <c r="F5449" s="24">
        <v>153.01</v>
      </c>
      <c r="G5449" s="24">
        <v>0.0</v>
      </c>
      <c r="H5449" s="24" t="s">
        <v>6701</v>
      </c>
      <c r="I5449" s="24" t="s">
        <v>6650</v>
      </c>
      <c r="J5449" s="24">
        <v>0.0</v>
      </c>
    </row>
    <row r="5450">
      <c r="A5450" s="24">
        <v>474.0</v>
      </c>
      <c r="B5450" s="24">
        <v>10.0</v>
      </c>
      <c r="C5450" s="44">
        <v>113.23</v>
      </c>
      <c r="D5450" s="46">
        <v>45264.0</v>
      </c>
      <c r="E5450" s="24">
        <v>11.32</v>
      </c>
      <c r="F5450" s="24">
        <v>238.88</v>
      </c>
      <c r="G5450" s="24">
        <v>2.11</v>
      </c>
      <c r="H5450" s="24" t="s">
        <v>6704</v>
      </c>
      <c r="I5450" s="24">
        <v>28.31</v>
      </c>
      <c r="J5450" s="24">
        <v>3.0</v>
      </c>
    </row>
    <row r="5451">
      <c r="A5451" s="24">
        <v>0.0</v>
      </c>
      <c r="B5451" s="24">
        <v>21.0</v>
      </c>
      <c r="C5451" s="44">
        <v>0.0</v>
      </c>
      <c r="D5451" s="46">
        <v>45264.0</v>
      </c>
      <c r="E5451" s="24">
        <v>0.0</v>
      </c>
      <c r="F5451" s="24" t="s">
        <v>6650</v>
      </c>
      <c r="G5451" s="24" t="s">
        <v>6650</v>
      </c>
      <c r="H5451" s="24" t="s">
        <v>6703</v>
      </c>
      <c r="I5451" s="24" t="s">
        <v>6650</v>
      </c>
      <c r="J5451" s="24">
        <v>0.0</v>
      </c>
    </row>
    <row r="5452">
      <c r="A5452" s="24">
        <v>62.0</v>
      </c>
      <c r="B5452" s="24">
        <v>0.0</v>
      </c>
      <c r="C5452" s="44">
        <v>12.1</v>
      </c>
      <c r="D5452" s="46">
        <v>45264.0</v>
      </c>
      <c r="E5452" s="24" t="s">
        <v>6650</v>
      </c>
      <c r="F5452" s="24">
        <v>195.16</v>
      </c>
      <c r="G5452" s="24">
        <v>0.0</v>
      </c>
      <c r="H5452" s="24" t="s">
        <v>6696</v>
      </c>
      <c r="I5452" s="24">
        <v>12.1</v>
      </c>
      <c r="J5452" s="24">
        <v>0.0</v>
      </c>
    </row>
    <row r="5453">
      <c r="A5453" s="24">
        <v>23.0</v>
      </c>
      <c r="B5453" s="24">
        <v>0.0</v>
      </c>
      <c r="C5453" s="44">
        <v>12.85</v>
      </c>
      <c r="D5453" s="46">
        <v>45264.0</v>
      </c>
      <c r="E5453" s="24" t="s">
        <v>6650</v>
      </c>
      <c r="F5453" s="24">
        <v>558.7</v>
      </c>
      <c r="G5453" s="24">
        <v>0.0</v>
      </c>
      <c r="H5453" s="24" t="s">
        <v>6695</v>
      </c>
      <c r="I5453" s="24" t="s">
        <v>6650</v>
      </c>
      <c r="J5453" s="24">
        <v>0.0</v>
      </c>
    </row>
    <row r="5454">
      <c r="A5454" s="24">
        <v>524.0</v>
      </c>
      <c r="B5454" s="24">
        <v>4.0</v>
      </c>
      <c r="C5454" s="44">
        <v>11.03</v>
      </c>
      <c r="D5454" s="46">
        <v>45264.0</v>
      </c>
      <c r="E5454" s="24">
        <v>2.76</v>
      </c>
      <c r="F5454" s="24">
        <v>21.05</v>
      </c>
      <c r="G5454" s="24">
        <v>0.76</v>
      </c>
      <c r="H5454" s="24" t="s">
        <v>6689</v>
      </c>
      <c r="I5454" s="24" t="s">
        <v>6650</v>
      </c>
      <c r="J5454" s="24">
        <v>0.0</v>
      </c>
    </row>
    <row r="5455">
      <c r="A5455" s="24">
        <v>112.0</v>
      </c>
      <c r="B5455" s="24">
        <v>0.0</v>
      </c>
      <c r="C5455" s="44">
        <v>11.97</v>
      </c>
      <c r="D5455" s="46">
        <v>45264.0</v>
      </c>
      <c r="E5455" s="24" t="s">
        <v>6650</v>
      </c>
      <c r="F5455" s="24">
        <v>106.88</v>
      </c>
      <c r="G5455" s="24">
        <v>0.0</v>
      </c>
      <c r="H5455" s="24" t="s">
        <v>6700</v>
      </c>
      <c r="I5455" s="24" t="s">
        <v>6650</v>
      </c>
      <c r="J5455" s="24">
        <v>0.0</v>
      </c>
    </row>
    <row r="5456">
      <c r="A5456" s="24">
        <v>0.0</v>
      </c>
      <c r="B5456" s="24">
        <v>1.0</v>
      </c>
      <c r="C5456" s="44">
        <v>0.0</v>
      </c>
      <c r="D5456" s="46">
        <v>45265.0</v>
      </c>
      <c r="E5456" s="24">
        <v>0.0</v>
      </c>
      <c r="F5456" s="24" t="s">
        <v>6650</v>
      </c>
      <c r="G5456" s="24" t="s">
        <v>6650</v>
      </c>
      <c r="H5456" s="24" t="s">
        <v>6702</v>
      </c>
      <c r="I5456" s="24" t="s">
        <v>6650</v>
      </c>
      <c r="J5456" s="24">
        <v>0.0</v>
      </c>
    </row>
    <row r="5457">
      <c r="A5457" s="24">
        <v>82.0</v>
      </c>
      <c r="B5457" s="24">
        <v>0.0</v>
      </c>
      <c r="C5457" s="44">
        <v>14.39</v>
      </c>
      <c r="D5457" s="46">
        <v>45265.0</v>
      </c>
      <c r="E5457" s="24" t="s">
        <v>6650</v>
      </c>
      <c r="F5457" s="24">
        <v>175.49</v>
      </c>
      <c r="G5457" s="24">
        <v>0.0</v>
      </c>
      <c r="H5457" s="24" t="s">
        <v>6701</v>
      </c>
      <c r="I5457" s="24" t="s">
        <v>6650</v>
      </c>
      <c r="J5457" s="24">
        <v>0.0</v>
      </c>
    </row>
    <row r="5458">
      <c r="A5458" s="24">
        <v>469.0</v>
      </c>
      <c r="B5458" s="24">
        <v>4.0</v>
      </c>
      <c r="C5458" s="44">
        <v>122.22</v>
      </c>
      <c r="D5458" s="46">
        <v>45265.0</v>
      </c>
      <c r="E5458" s="24">
        <v>30.56</v>
      </c>
      <c r="F5458" s="24">
        <v>260.6</v>
      </c>
      <c r="G5458" s="24">
        <v>0.85</v>
      </c>
      <c r="H5458" s="24" t="s">
        <v>6704</v>
      </c>
      <c r="I5458" s="24">
        <v>122.22</v>
      </c>
      <c r="J5458" s="24">
        <v>1.0</v>
      </c>
    </row>
    <row r="5459">
      <c r="A5459" s="24">
        <v>23.0</v>
      </c>
      <c r="B5459" s="24">
        <v>0.0</v>
      </c>
      <c r="C5459" s="44">
        <v>13.43</v>
      </c>
      <c r="D5459" s="46">
        <v>45265.0</v>
      </c>
      <c r="E5459" s="24" t="s">
        <v>6650</v>
      </c>
      <c r="F5459" s="24">
        <v>583.91</v>
      </c>
      <c r="G5459" s="24">
        <v>0.0</v>
      </c>
      <c r="H5459" s="24" t="s">
        <v>6695</v>
      </c>
      <c r="I5459" s="24" t="s">
        <v>6650</v>
      </c>
      <c r="J5459" s="24">
        <v>0.0</v>
      </c>
    </row>
    <row r="5460">
      <c r="A5460" s="24">
        <v>31.0</v>
      </c>
      <c r="B5460" s="24">
        <v>0.0</v>
      </c>
      <c r="C5460" s="44">
        <v>12.77</v>
      </c>
      <c r="D5460" s="46">
        <v>45265.0</v>
      </c>
      <c r="E5460" s="24" t="s">
        <v>6650</v>
      </c>
      <c r="F5460" s="24">
        <v>411.94</v>
      </c>
      <c r="G5460" s="24">
        <v>0.0</v>
      </c>
      <c r="H5460" s="24" t="s">
        <v>6696</v>
      </c>
      <c r="I5460" s="24" t="s">
        <v>6650</v>
      </c>
      <c r="J5460" s="24">
        <v>0.0</v>
      </c>
    </row>
    <row r="5461">
      <c r="A5461" s="24">
        <v>113.0</v>
      </c>
      <c r="B5461" s="24">
        <v>61.0</v>
      </c>
      <c r="C5461" s="44">
        <v>74.88</v>
      </c>
      <c r="D5461" s="46">
        <v>45265.0</v>
      </c>
      <c r="E5461" s="24">
        <v>1.23</v>
      </c>
      <c r="F5461" s="24">
        <v>662.65</v>
      </c>
      <c r="G5461" s="24">
        <v>53.98</v>
      </c>
      <c r="H5461" s="24" t="s">
        <v>6705</v>
      </c>
      <c r="I5461" s="24" t="s">
        <v>6650</v>
      </c>
      <c r="J5461" s="24">
        <v>3.0</v>
      </c>
    </row>
    <row r="5462">
      <c r="A5462" s="24">
        <v>47.0</v>
      </c>
      <c r="B5462" s="24">
        <v>0.0</v>
      </c>
      <c r="C5462" s="44">
        <v>11.82</v>
      </c>
      <c r="D5462" s="46">
        <v>45265.0</v>
      </c>
      <c r="E5462" s="24" t="s">
        <v>6650</v>
      </c>
      <c r="F5462" s="24">
        <v>251.49</v>
      </c>
      <c r="G5462" s="24">
        <v>0.0</v>
      </c>
      <c r="H5462" s="24" t="s">
        <v>6700</v>
      </c>
      <c r="I5462" s="24" t="s">
        <v>6650</v>
      </c>
      <c r="J5462" s="24">
        <v>0.0</v>
      </c>
    </row>
    <row r="5463">
      <c r="A5463" s="24">
        <v>61.0</v>
      </c>
      <c r="B5463" s="24">
        <v>1.0</v>
      </c>
      <c r="C5463" s="44">
        <v>13.7</v>
      </c>
      <c r="D5463" s="46">
        <v>45265.0</v>
      </c>
      <c r="E5463" s="24">
        <v>13.7</v>
      </c>
      <c r="F5463" s="24">
        <v>224.59</v>
      </c>
      <c r="G5463" s="24">
        <v>1.64</v>
      </c>
      <c r="H5463" s="24" t="s">
        <v>6699</v>
      </c>
      <c r="I5463" s="24" t="s">
        <v>6650</v>
      </c>
      <c r="J5463" s="24">
        <v>0.0</v>
      </c>
    </row>
    <row r="5464">
      <c r="A5464" s="24">
        <v>0.0</v>
      </c>
      <c r="B5464" s="24">
        <v>19.0</v>
      </c>
      <c r="C5464" s="44">
        <v>0.0</v>
      </c>
      <c r="D5464" s="46">
        <v>45265.0</v>
      </c>
      <c r="E5464" s="24">
        <v>0.0</v>
      </c>
      <c r="F5464" s="24" t="s">
        <v>6650</v>
      </c>
      <c r="G5464" s="24" t="s">
        <v>6650</v>
      </c>
      <c r="H5464" s="24" t="s">
        <v>6703</v>
      </c>
      <c r="I5464" s="24" t="s">
        <v>6650</v>
      </c>
      <c r="J5464" s="24">
        <v>0.0</v>
      </c>
    </row>
    <row r="5465">
      <c r="A5465" s="24">
        <v>32.0</v>
      </c>
      <c r="B5465" s="24">
        <v>0.0</v>
      </c>
      <c r="C5465" s="44">
        <v>15.0</v>
      </c>
      <c r="D5465" s="46">
        <v>45265.0</v>
      </c>
      <c r="E5465" s="24" t="s">
        <v>6650</v>
      </c>
      <c r="F5465" s="24">
        <v>468.75</v>
      </c>
      <c r="G5465" s="24">
        <v>0.0</v>
      </c>
      <c r="H5465" s="24" t="s">
        <v>6697</v>
      </c>
      <c r="I5465" s="24" t="s">
        <v>6650</v>
      </c>
      <c r="J5465" s="24">
        <v>0.0</v>
      </c>
    </row>
    <row r="5466">
      <c r="A5466" s="24">
        <v>899.0</v>
      </c>
      <c r="B5466" s="24">
        <v>5.0</v>
      </c>
      <c r="C5466" s="44">
        <v>11.77</v>
      </c>
      <c r="D5466" s="46">
        <v>45265.0</v>
      </c>
      <c r="E5466" s="24">
        <v>2.35</v>
      </c>
      <c r="F5466" s="24">
        <v>13.09</v>
      </c>
      <c r="G5466" s="24">
        <v>0.56</v>
      </c>
      <c r="H5466" s="24" t="s">
        <v>6688</v>
      </c>
      <c r="I5466" s="24" t="s">
        <v>6650</v>
      </c>
      <c r="J5466" s="24">
        <v>0.0</v>
      </c>
    </row>
    <row r="5467">
      <c r="A5467" s="24">
        <v>89.0</v>
      </c>
      <c r="B5467" s="24">
        <v>1.0</v>
      </c>
      <c r="C5467" s="44">
        <v>15.09</v>
      </c>
      <c r="D5467" s="46">
        <v>45265.0</v>
      </c>
      <c r="E5467" s="24">
        <v>15.09</v>
      </c>
      <c r="F5467" s="24">
        <v>169.55</v>
      </c>
      <c r="G5467" s="24">
        <v>1.12</v>
      </c>
      <c r="H5467" s="24" t="s">
        <v>6698</v>
      </c>
      <c r="I5467" s="24">
        <v>15.09</v>
      </c>
      <c r="J5467" s="24">
        <v>0.0</v>
      </c>
    </row>
    <row r="5468">
      <c r="A5468" s="24">
        <v>759.0</v>
      </c>
      <c r="B5468" s="24">
        <v>5.0</v>
      </c>
      <c r="C5468" s="44">
        <v>12.06</v>
      </c>
      <c r="D5468" s="46">
        <v>45265.0</v>
      </c>
      <c r="E5468" s="24">
        <v>2.41</v>
      </c>
      <c r="F5468" s="24">
        <v>15.89</v>
      </c>
      <c r="G5468" s="24">
        <v>0.66</v>
      </c>
      <c r="H5468" s="24" t="s">
        <v>6689</v>
      </c>
      <c r="I5468" s="24" t="s">
        <v>6650</v>
      </c>
      <c r="J5468" s="24">
        <v>0.0</v>
      </c>
    </row>
    <row r="5469">
      <c r="A5469" s="24">
        <v>87.0</v>
      </c>
      <c r="B5469" s="24">
        <v>1.0</v>
      </c>
      <c r="C5469" s="44">
        <v>11.94</v>
      </c>
      <c r="D5469" s="46">
        <v>45266.0</v>
      </c>
      <c r="E5469" s="24">
        <v>11.94</v>
      </c>
      <c r="F5469" s="24">
        <v>137.24</v>
      </c>
      <c r="G5469" s="24">
        <v>1.15</v>
      </c>
      <c r="H5469" s="24" t="s">
        <v>6700</v>
      </c>
      <c r="I5469" s="24" t="s">
        <v>6650</v>
      </c>
      <c r="J5469" s="24">
        <v>0.0</v>
      </c>
    </row>
    <row r="5470">
      <c r="A5470" s="24">
        <v>29.0</v>
      </c>
      <c r="B5470" s="24">
        <v>1.0</v>
      </c>
      <c r="C5470" s="44">
        <v>12.44</v>
      </c>
      <c r="D5470" s="46">
        <v>45266.0</v>
      </c>
      <c r="E5470" s="24">
        <v>12.44</v>
      </c>
      <c r="F5470" s="24">
        <v>428.97</v>
      </c>
      <c r="G5470" s="24">
        <v>3.45</v>
      </c>
      <c r="H5470" s="24" t="s">
        <v>6696</v>
      </c>
      <c r="I5470" s="24" t="s">
        <v>6650</v>
      </c>
      <c r="J5470" s="24">
        <v>0.0</v>
      </c>
    </row>
    <row r="5471">
      <c r="A5471" s="24">
        <v>982.0</v>
      </c>
      <c r="B5471" s="24">
        <v>3.0</v>
      </c>
      <c r="C5471" s="44">
        <v>11.74</v>
      </c>
      <c r="D5471" s="46">
        <v>45266.0</v>
      </c>
      <c r="E5471" s="24">
        <v>3.91</v>
      </c>
      <c r="F5471" s="24">
        <v>11.96</v>
      </c>
      <c r="G5471" s="24">
        <v>0.31</v>
      </c>
      <c r="H5471" s="24" t="s">
        <v>6688</v>
      </c>
      <c r="I5471" s="24" t="s">
        <v>6650</v>
      </c>
      <c r="J5471" s="24">
        <v>0.0</v>
      </c>
    </row>
    <row r="5472">
      <c r="A5472" s="24">
        <v>68.0</v>
      </c>
      <c r="B5472" s="24">
        <v>0.0</v>
      </c>
      <c r="C5472" s="44">
        <v>12.05</v>
      </c>
      <c r="D5472" s="46">
        <v>45266.0</v>
      </c>
      <c r="E5472" s="24" t="s">
        <v>6650</v>
      </c>
      <c r="F5472" s="24">
        <v>177.21</v>
      </c>
      <c r="G5472" s="24">
        <v>0.0</v>
      </c>
      <c r="H5472" s="24" t="s">
        <v>6699</v>
      </c>
      <c r="I5472" s="24" t="s">
        <v>6650</v>
      </c>
      <c r="J5472" s="24">
        <v>0.0</v>
      </c>
    </row>
    <row r="5473">
      <c r="A5473" s="24">
        <v>84.0</v>
      </c>
      <c r="B5473" s="24">
        <v>1.0</v>
      </c>
      <c r="C5473" s="44">
        <v>12.66</v>
      </c>
      <c r="D5473" s="46">
        <v>45266.0</v>
      </c>
      <c r="E5473" s="24">
        <v>12.66</v>
      </c>
      <c r="F5473" s="24">
        <v>150.71</v>
      </c>
      <c r="G5473" s="24">
        <v>1.19</v>
      </c>
      <c r="H5473" s="24" t="s">
        <v>6701</v>
      </c>
      <c r="I5473" s="24" t="s">
        <v>6650</v>
      </c>
      <c r="J5473" s="24">
        <v>0.0</v>
      </c>
    </row>
    <row r="5474">
      <c r="A5474" s="24">
        <v>862.0</v>
      </c>
      <c r="B5474" s="24">
        <v>8.0</v>
      </c>
      <c r="C5474" s="44">
        <v>12.29</v>
      </c>
      <c r="D5474" s="46">
        <v>45266.0</v>
      </c>
      <c r="E5474" s="24">
        <v>1.54</v>
      </c>
      <c r="F5474" s="24">
        <v>14.26</v>
      </c>
      <c r="G5474" s="24">
        <v>0.93</v>
      </c>
      <c r="H5474" s="24" t="s">
        <v>6689</v>
      </c>
      <c r="I5474" s="24" t="s">
        <v>6650</v>
      </c>
      <c r="J5474" s="24">
        <v>0.0</v>
      </c>
    </row>
    <row r="5475">
      <c r="A5475" s="24">
        <v>24.0</v>
      </c>
      <c r="B5475" s="24">
        <v>0.0</v>
      </c>
      <c r="C5475" s="44">
        <v>12.82</v>
      </c>
      <c r="D5475" s="46">
        <v>45266.0</v>
      </c>
      <c r="E5475" s="24" t="s">
        <v>6650</v>
      </c>
      <c r="F5475" s="24">
        <v>534.17</v>
      </c>
      <c r="G5475" s="24">
        <v>0.0</v>
      </c>
      <c r="H5475" s="24" t="s">
        <v>6697</v>
      </c>
      <c r="I5475" s="24" t="s">
        <v>6650</v>
      </c>
      <c r="J5475" s="24">
        <v>0.0</v>
      </c>
    </row>
    <row r="5476">
      <c r="A5476" s="24">
        <v>0.0</v>
      </c>
      <c r="B5476" s="24">
        <v>7.0</v>
      </c>
      <c r="C5476" s="44">
        <v>0.0</v>
      </c>
      <c r="D5476" s="46">
        <v>45266.0</v>
      </c>
      <c r="E5476" s="24">
        <v>0.0</v>
      </c>
      <c r="F5476" s="24" t="s">
        <v>6650</v>
      </c>
      <c r="G5476" s="24" t="s">
        <v>6650</v>
      </c>
      <c r="H5476" s="24" t="s">
        <v>6703</v>
      </c>
      <c r="I5476" s="24" t="s">
        <v>6650</v>
      </c>
      <c r="J5476" s="24">
        <v>0.0</v>
      </c>
    </row>
    <row r="5477">
      <c r="A5477" s="24">
        <v>337.0</v>
      </c>
      <c r="B5477" s="24">
        <v>5.0</v>
      </c>
      <c r="C5477" s="44">
        <v>122.48</v>
      </c>
      <c r="D5477" s="46">
        <v>45266.0</v>
      </c>
      <c r="E5477" s="24">
        <v>24.5</v>
      </c>
      <c r="F5477" s="24">
        <v>363.44</v>
      </c>
      <c r="G5477" s="24">
        <v>1.48</v>
      </c>
      <c r="H5477" s="24" t="s">
        <v>6704</v>
      </c>
      <c r="I5477" s="24">
        <v>122.48</v>
      </c>
      <c r="J5477" s="24">
        <v>1.0</v>
      </c>
    </row>
    <row r="5478">
      <c r="A5478" s="24">
        <v>149.0</v>
      </c>
      <c r="B5478" s="24">
        <v>0.0</v>
      </c>
      <c r="C5478" s="44">
        <v>14.59</v>
      </c>
      <c r="D5478" s="46">
        <v>45266.0</v>
      </c>
      <c r="E5478" s="24" t="s">
        <v>6650</v>
      </c>
      <c r="F5478" s="24">
        <v>97.92</v>
      </c>
      <c r="G5478" s="24">
        <v>0.0</v>
      </c>
      <c r="H5478" s="24" t="s">
        <v>6698</v>
      </c>
      <c r="I5478" s="24" t="s">
        <v>6650</v>
      </c>
      <c r="J5478" s="24">
        <v>0.0</v>
      </c>
    </row>
    <row r="5479">
      <c r="A5479" s="24">
        <v>27.0</v>
      </c>
      <c r="B5479" s="24">
        <v>0.0</v>
      </c>
      <c r="C5479" s="44">
        <v>12.76</v>
      </c>
      <c r="D5479" s="46">
        <v>45266.0</v>
      </c>
      <c r="E5479" s="24" t="s">
        <v>6650</v>
      </c>
      <c r="F5479" s="24">
        <v>472.59</v>
      </c>
      <c r="G5479" s="24">
        <v>0.0</v>
      </c>
      <c r="H5479" s="24" t="s">
        <v>6695</v>
      </c>
      <c r="I5479" s="24" t="s">
        <v>6650</v>
      </c>
      <c r="J5479" s="24">
        <v>0.0</v>
      </c>
    </row>
    <row r="5480">
      <c r="A5480" s="24">
        <v>125.0</v>
      </c>
      <c r="B5480" s="24">
        <v>68.0</v>
      </c>
      <c r="C5480" s="44">
        <v>81.37</v>
      </c>
      <c r="D5480" s="46">
        <v>45266.0</v>
      </c>
      <c r="E5480" s="24">
        <v>1.2</v>
      </c>
      <c r="F5480" s="24">
        <v>650.96</v>
      </c>
      <c r="G5480" s="24">
        <v>54.4</v>
      </c>
      <c r="H5480" s="24" t="s">
        <v>6705</v>
      </c>
      <c r="I5480" s="24">
        <v>81.37</v>
      </c>
      <c r="J5480" s="24">
        <v>1.0</v>
      </c>
    </row>
    <row r="5481">
      <c r="A5481" s="24">
        <v>779.0</v>
      </c>
      <c r="B5481" s="24">
        <v>6.0</v>
      </c>
      <c r="C5481" s="44">
        <v>11.61</v>
      </c>
      <c r="D5481" s="46">
        <v>45267.0</v>
      </c>
      <c r="E5481" s="24">
        <v>1.93</v>
      </c>
      <c r="F5481" s="24">
        <v>14.9</v>
      </c>
      <c r="G5481" s="24">
        <v>0.77</v>
      </c>
      <c r="H5481" s="24" t="s">
        <v>6689</v>
      </c>
      <c r="I5481" s="24">
        <v>11.61</v>
      </c>
      <c r="J5481" s="24">
        <v>0.0</v>
      </c>
    </row>
    <row r="5482">
      <c r="A5482" s="24">
        <v>17.0</v>
      </c>
      <c r="B5482" s="24">
        <v>0.0</v>
      </c>
      <c r="C5482" s="44">
        <v>11.58</v>
      </c>
      <c r="D5482" s="46">
        <v>45267.0</v>
      </c>
      <c r="E5482" s="24" t="s">
        <v>6650</v>
      </c>
      <c r="F5482" s="24">
        <v>681.18</v>
      </c>
      <c r="G5482" s="24">
        <v>0.0</v>
      </c>
      <c r="H5482" s="24" t="s">
        <v>6695</v>
      </c>
      <c r="I5482" s="24" t="s">
        <v>6650</v>
      </c>
      <c r="J5482" s="24">
        <v>0.0</v>
      </c>
    </row>
    <row r="5483">
      <c r="A5483" s="24">
        <v>18.0</v>
      </c>
      <c r="B5483" s="24">
        <v>0.0</v>
      </c>
      <c r="C5483" s="44">
        <v>10.71</v>
      </c>
      <c r="D5483" s="46">
        <v>45267.0</v>
      </c>
      <c r="E5483" s="24" t="s">
        <v>6650</v>
      </c>
      <c r="F5483" s="24">
        <v>595.0</v>
      </c>
      <c r="G5483" s="24">
        <v>0.0</v>
      </c>
      <c r="H5483" s="24" t="s">
        <v>6697</v>
      </c>
      <c r="I5483" s="24" t="s">
        <v>6650</v>
      </c>
      <c r="J5483" s="24">
        <v>0.0</v>
      </c>
    </row>
    <row r="5484">
      <c r="A5484" s="24">
        <v>0.0</v>
      </c>
      <c r="B5484" s="24">
        <v>4.0</v>
      </c>
      <c r="C5484" s="44">
        <v>0.0</v>
      </c>
      <c r="D5484" s="46">
        <v>45267.0</v>
      </c>
      <c r="E5484" s="24">
        <v>0.0</v>
      </c>
      <c r="F5484" s="24" t="s">
        <v>6650</v>
      </c>
      <c r="G5484" s="24" t="s">
        <v>6650</v>
      </c>
      <c r="H5484" s="24" t="s">
        <v>6703</v>
      </c>
      <c r="I5484" s="24" t="s">
        <v>6650</v>
      </c>
      <c r="J5484" s="24">
        <v>0.0</v>
      </c>
    </row>
    <row r="5485">
      <c r="A5485" s="24">
        <v>101.0</v>
      </c>
      <c r="B5485" s="24">
        <v>0.0</v>
      </c>
      <c r="C5485" s="44">
        <v>14.3</v>
      </c>
      <c r="D5485" s="46">
        <v>45267.0</v>
      </c>
      <c r="E5485" s="24" t="s">
        <v>6650</v>
      </c>
      <c r="F5485" s="24">
        <v>141.58</v>
      </c>
      <c r="G5485" s="24">
        <v>0.0</v>
      </c>
      <c r="H5485" s="24" t="s">
        <v>6698</v>
      </c>
      <c r="I5485" s="24">
        <v>14.3</v>
      </c>
      <c r="J5485" s="24">
        <v>0.0</v>
      </c>
    </row>
    <row r="5486">
      <c r="A5486" s="24">
        <v>24.0</v>
      </c>
      <c r="B5486" s="24">
        <v>2.0</v>
      </c>
      <c r="C5486" s="44">
        <v>13.7</v>
      </c>
      <c r="D5486" s="46">
        <v>45267.0</v>
      </c>
      <c r="E5486" s="24">
        <v>6.85</v>
      </c>
      <c r="F5486" s="24">
        <v>570.83</v>
      </c>
      <c r="G5486" s="24">
        <v>8.33</v>
      </c>
      <c r="H5486" s="24" t="s">
        <v>6696</v>
      </c>
      <c r="I5486" s="24" t="s">
        <v>6650</v>
      </c>
      <c r="J5486" s="24">
        <v>0.0</v>
      </c>
    </row>
    <row r="5487">
      <c r="A5487" s="24">
        <v>87.0</v>
      </c>
      <c r="B5487" s="24">
        <v>0.0</v>
      </c>
      <c r="C5487" s="44">
        <v>12.07</v>
      </c>
      <c r="D5487" s="46">
        <v>45267.0</v>
      </c>
      <c r="E5487" s="24" t="s">
        <v>6650</v>
      </c>
      <c r="F5487" s="24">
        <v>138.74</v>
      </c>
      <c r="G5487" s="24">
        <v>0.0</v>
      </c>
      <c r="H5487" s="24" t="s">
        <v>6701</v>
      </c>
      <c r="I5487" s="24" t="s">
        <v>6650</v>
      </c>
      <c r="J5487" s="24">
        <v>0.0</v>
      </c>
    </row>
    <row r="5488">
      <c r="A5488" s="24">
        <v>75.0</v>
      </c>
      <c r="B5488" s="24">
        <v>0.0</v>
      </c>
      <c r="C5488" s="44">
        <v>12.45</v>
      </c>
      <c r="D5488" s="46">
        <v>45267.0</v>
      </c>
      <c r="E5488" s="24" t="s">
        <v>6650</v>
      </c>
      <c r="F5488" s="24">
        <v>166.0</v>
      </c>
      <c r="G5488" s="24">
        <v>0.0</v>
      </c>
      <c r="H5488" s="24" t="s">
        <v>6700</v>
      </c>
      <c r="I5488" s="24" t="s">
        <v>6650</v>
      </c>
      <c r="J5488" s="24">
        <v>0.0</v>
      </c>
    </row>
    <row r="5489">
      <c r="A5489" s="24">
        <v>54.0</v>
      </c>
      <c r="B5489" s="24">
        <v>0.0</v>
      </c>
      <c r="C5489" s="44">
        <v>13.04</v>
      </c>
      <c r="D5489" s="46">
        <v>45267.0</v>
      </c>
      <c r="E5489" s="24" t="s">
        <v>6650</v>
      </c>
      <c r="F5489" s="24">
        <v>241.48</v>
      </c>
      <c r="G5489" s="24">
        <v>0.0</v>
      </c>
      <c r="H5489" s="24" t="s">
        <v>6699</v>
      </c>
      <c r="I5489" s="24">
        <v>13.04</v>
      </c>
      <c r="J5489" s="24">
        <v>0.0</v>
      </c>
    </row>
    <row r="5490">
      <c r="A5490" s="24">
        <v>995.0</v>
      </c>
      <c r="B5490" s="24">
        <v>4.0</v>
      </c>
      <c r="C5490" s="44">
        <v>11.87</v>
      </c>
      <c r="D5490" s="46">
        <v>45267.0</v>
      </c>
      <c r="E5490" s="24">
        <v>2.97</v>
      </c>
      <c r="F5490" s="24">
        <v>11.93</v>
      </c>
      <c r="G5490" s="24">
        <v>0.4</v>
      </c>
      <c r="H5490" s="24" t="s">
        <v>6688</v>
      </c>
      <c r="I5490" s="24" t="s">
        <v>6650</v>
      </c>
      <c r="J5490" s="24">
        <v>0.0</v>
      </c>
    </row>
    <row r="5491">
      <c r="A5491" s="24">
        <v>359.0</v>
      </c>
      <c r="B5491" s="24">
        <v>5.0</v>
      </c>
      <c r="C5491" s="44">
        <v>114.36</v>
      </c>
      <c r="D5491" s="46">
        <v>45267.0</v>
      </c>
      <c r="E5491" s="24">
        <v>22.87</v>
      </c>
      <c r="F5491" s="24">
        <v>318.55</v>
      </c>
      <c r="G5491" s="24">
        <v>1.39</v>
      </c>
      <c r="H5491" s="24" t="s">
        <v>6704</v>
      </c>
      <c r="I5491" s="24" t="s">
        <v>6650</v>
      </c>
      <c r="J5491" s="24">
        <v>2.0</v>
      </c>
    </row>
    <row r="5492">
      <c r="A5492" s="24">
        <v>99.0</v>
      </c>
      <c r="B5492" s="24">
        <v>42.0</v>
      </c>
      <c r="C5492" s="44">
        <v>63.53</v>
      </c>
      <c r="D5492" s="46">
        <v>45267.0</v>
      </c>
      <c r="E5492" s="24">
        <v>1.51</v>
      </c>
      <c r="F5492" s="24">
        <v>641.72</v>
      </c>
      <c r="G5492" s="24">
        <v>42.42</v>
      </c>
      <c r="H5492" s="24" t="s">
        <v>6705</v>
      </c>
      <c r="I5492" s="24" t="s">
        <v>6650</v>
      </c>
      <c r="J5492" s="24">
        <v>3.0</v>
      </c>
    </row>
    <row r="5493">
      <c r="A5493" s="24">
        <v>0.0</v>
      </c>
      <c r="B5493" s="24">
        <v>8.0</v>
      </c>
      <c r="C5493" s="44">
        <v>0.0</v>
      </c>
      <c r="D5493" s="46">
        <v>45268.0</v>
      </c>
      <c r="E5493" s="24">
        <v>0.0</v>
      </c>
      <c r="F5493" s="24" t="s">
        <v>6650</v>
      </c>
      <c r="G5493" s="24" t="s">
        <v>6650</v>
      </c>
      <c r="H5493" s="24" t="s">
        <v>6703</v>
      </c>
      <c r="I5493" s="24" t="s">
        <v>6650</v>
      </c>
      <c r="J5493" s="24">
        <v>0.0</v>
      </c>
    </row>
    <row r="5494">
      <c r="A5494" s="24">
        <v>81.0</v>
      </c>
      <c r="B5494" s="24">
        <v>0.0</v>
      </c>
      <c r="C5494" s="44">
        <v>14.0</v>
      </c>
      <c r="D5494" s="46">
        <v>45268.0</v>
      </c>
      <c r="E5494" s="24" t="s">
        <v>6650</v>
      </c>
      <c r="F5494" s="24">
        <v>172.84</v>
      </c>
      <c r="G5494" s="24">
        <v>0.0</v>
      </c>
      <c r="H5494" s="24" t="s">
        <v>6698</v>
      </c>
      <c r="I5494" s="24" t="s">
        <v>6650</v>
      </c>
      <c r="J5494" s="24">
        <v>0.0</v>
      </c>
    </row>
    <row r="5495">
      <c r="A5495" s="24">
        <v>72.0</v>
      </c>
      <c r="B5495" s="24">
        <v>1.0</v>
      </c>
      <c r="C5495" s="44">
        <v>11.85</v>
      </c>
      <c r="D5495" s="46">
        <v>45268.0</v>
      </c>
      <c r="E5495" s="24">
        <v>11.85</v>
      </c>
      <c r="F5495" s="24">
        <v>164.58</v>
      </c>
      <c r="G5495" s="24">
        <v>1.39</v>
      </c>
      <c r="H5495" s="24" t="s">
        <v>6699</v>
      </c>
      <c r="I5495" s="24">
        <v>11.85</v>
      </c>
      <c r="J5495" s="24">
        <v>0.0</v>
      </c>
    </row>
    <row r="5496">
      <c r="A5496" s="24">
        <v>97.0</v>
      </c>
      <c r="B5496" s="24">
        <v>48.0</v>
      </c>
      <c r="C5496" s="44">
        <v>57.37</v>
      </c>
      <c r="D5496" s="46">
        <v>45268.0</v>
      </c>
      <c r="E5496" s="24">
        <v>1.2</v>
      </c>
      <c r="F5496" s="24">
        <v>591.44</v>
      </c>
      <c r="G5496" s="24">
        <v>49.48</v>
      </c>
      <c r="H5496" s="24" t="s">
        <v>6705</v>
      </c>
      <c r="I5496" s="24" t="s">
        <v>6650</v>
      </c>
      <c r="J5496" s="24">
        <v>4.0</v>
      </c>
    </row>
    <row r="5497">
      <c r="A5497" s="24">
        <v>13.0</v>
      </c>
      <c r="B5497" s="24">
        <v>0.0</v>
      </c>
      <c r="C5497" s="44">
        <v>11.27</v>
      </c>
      <c r="D5497" s="46">
        <v>45268.0</v>
      </c>
      <c r="E5497" s="24" t="s">
        <v>6650</v>
      </c>
      <c r="F5497" s="24">
        <v>866.92</v>
      </c>
      <c r="G5497" s="24">
        <v>0.0</v>
      </c>
      <c r="H5497" s="24" t="s">
        <v>6697</v>
      </c>
      <c r="I5497" s="24" t="s">
        <v>6650</v>
      </c>
      <c r="J5497" s="24">
        <v>0.0</v>
      </c>
    </row>
    <row r="5498">
      <c r="A5498" s="24">
        <v>803.0</v>
      </c>
      <c r="B5498" s="24">
        <v>3.0</v>
      </c>
      <c r="C5498" s="44">
        <v>10.21</v>
      </c>
      <c r="D5498" s="46">
        <v>45268.0</v>
      </c>
      <c r="E5498" s="24">
        <v>3.4</v>
      </c>
      <c r="F5498" s="24">
        <v>12.71</v>
      </c>
      <c r="G5498" s="24">
        <v>0.37</v>
      </c>
      <c r="H5498" s="24" t="s">
        <v>6688</v>
      </c>
      <c r="I5498" s="24">
        <v>10.21</v>
      </c>
      <c r="J5498" s="24">
        <v>0.0</v>
      </c>
    </row>
    <row r="5499">
      <c r="A5499" s="24">
        <v>371.0</v>
      </c>
      <c r="B5499" s="24">
        <v>2.0</v>
      </c>
      <c r="C5499" s="44">
        <v>107.68</v>
      </c>
      <c r="D5499" s="46">
        <v>45268.0</v>
      </c>
      <c r="E5499" s="24">
        <v>53.84</v>
      </c>
      <c r="F5499" s="24">
        <v>290.24</v>
      </c>
      <c r="G5499" s="24">
        <v>0.54</v>
      </c>
      <c r="H5499" s="24" t="s">
        <v>6704</v>
      </c>
      <c r="I5499" s="24" t="s">
        <v>6650</v>
      </c>
      <c r="J5499" s="24">
        <v>0.0</v>
      </c>
    </row>
    <row r="5500">
      <c r="A5500" s="24">
        <v>819.0</v>
      </c>
      <c r="B5500" s="24">
        <v>7.0</v>
      </c>
      <c r="C5500" s="44">
        <v>10.76</v>
      </c>
      <c r="D5500" s="46">
        <v>45268.0</v>
      </c>
      <c r="E5500" s="24">
        <v>1.54</v>
      </c>
      <c r="F5500" s="24">
        <v>13.14</v>
      </c>
      <c r="G5500" s="24">
        <v>0.85</v>
      </c>
      <c r="H5500" s="24" t="s">
        <v>6689</v>
      </c>
      <c r="I5500" s="24" t="s">
        <v>6650</v>
      </c>
      <c r="J5500" s="24">
        <v>0.0</v>
      </c>
    </row>
    <row r="5501">
      <c r="A5501" s="24">
        <v>53.0</v>
      </c>
      <c r="B5501" s="24">
        <v>0.0</v>
      </c>
      <c r="C5501" s="44">
        <v>8.54</v>
      </c>
      <c r="D5501" s="46">
        <v>45268.0</v>
      </c>
      <c r="E5501" s="24" t="s">
        <v>6650</v>
      </c>
      <c r="F5501" s="24">
        <v>161.13</v>
      </c>
      <c r="G5501" s="24">
        <v>0.0</v>
      </c>
      <c r="H5501" s="24" t="s">
        <v>6701</v>
      </c>
      <c r="I5501" s="24">
        <v>8.54</v>
      </c>
      <c r="J5501" s="24">
        <v>0.0</v>
      </c>
    </row>
    <row r="5502">
      <c r="A5502" s="24">
        <v>23.0</v>
      </c>
      <c r="B5502" s="24">
        <v>0.0</v>
      </c>
      <c r="C5502" s="44">
        <v>9.43</v>
      </c>
      <c r="D5502" s="46">
        <v>45268.0</v>
      </c>
      <c r="E5502" s="24" t="s">
        <v>6650</v>
      </c>
      <c r="F5502" s="24">
        <v>410.0</v>
      </c>
      <c r="G5502" s="24">
        <v>0.0</v>
      </c>
      <c r="H5502" s="24" t="s">
        <v>6695</v>
      </c>
      <c r="I5502" s="24" t="s">
        <v>6650</v>
      </c>
      <c r="J5502" s="24">
        <v>0.0</v>
      </c>
    </row>
    <row r="5503">
      <c r="A5503" s="24">
        <v>0.0</v>
      </c>
      <c r="B5503" s="24">
        <v>1.0</v>
      </c>
      <c r="C5503" s="44">
        <v>0.0</v>
      </c>
      <c r="D5503" s="46">
        <v>45268.0</v>
      </c>
      <c r="E5503" s="24">
        <v>0.0</v>
      </c>
      <c r="F5503" s="24" t="s">
        <v>6650</v>
      </c>
      <c r="G5503" s="24" t="s">
        <v>6650</v>
      </c>
      <c r="H5503" s="24" t="s">
        <v>6702</v>
      </c>
      <c r="I5503" s="24" t="s">
        <v>6650</v>
      </c>
      <c r="J5503" s="24">
        <v>0.0</v>
      </c>
    </row>
    <row r="5504">
      <c r="A5504" s="24">
        <v>53.0</v>
      </c>
      <c r="B5504" s="24">
        <v>2.0</v>
      </c>
      <c r="C5504" s="44">
        <v>10.57</v>
      </c>
      <c r="D5504" s="46">
        <v>45268.0</v>
      </c>
      <c r="E5504" s="24">
        <v>5.28</v>
      </c>
      <c r="F5504" s="24">
        <v>199.43</v>
      </c>
      <c r="G5504" s="24">
        <v>3.77</v>
      </c>
      <c r="H5504" s="24" t="s">
        <v>6700</v>
      </c>
      <c r="I5504" s="24">
        <v>10.57</v>
      </c>
      <c r="J5504" s="24">
        <v>0.0</v>
      </c>
    </row>
    <row r="5505">
      <c r="A5505" s="24">
        <v>41.0</v>
      </c>
      <c r="B5505" s="24">
        <v>1.0</v>
      </c>
      <c r="C5505" s="44">
        <v>10.38</v>
      </c>
      <c r="D5505" s="46">
        <v>45268.0</v>
      </c>
      <c r="E5505" s="24">
        <v>10.38</v>
      </c>
      <c r="F5505" s="24">
        <v>253.17</v>
      </c>
      <c r="G5505" s="24">
        <v>2.44</v>
      </c>
      <c r="H5505" s="24" t="s">
        <v>6696</v>
      </c>
      <c r="I5505" s="24" t="s">
        <v>6650</v>
      </c>
      <c r="J5505" s="24">
        <v>0.0</v>
      </c>
    </row>
    <row r="5506">
      <c r="A5506" s="24">
        <v>43.0</v>
      </c>
      <c r="B5506" s="24">
        <v>17.0</v>
      </c>
      <c r="C5506" s="44">
        <v>29.44</v>
      </c>
      <c r="D5506" s="46">
        <v>45269.0</v>
      </c>
      <c r="E5506" s="24">
        <v>1.73</v>
      </c>
      <c r="F5506" s="24">
        <v>684.65</v>
      </c>
      <c r="G5506" s="24">
        <v>39.53</v>
      </c>
      <c r="H5506" s="24" t="s">
        <v>6705</v>
      </c>
      <c r="I5506" s="24" t="s">
        <v>6650</v>
      </c>
      <c r="J5506" s="24">
        <v>1.0</v>
      </c>
    </row>
    <row r="5507">
      <c r="A5507" s="24">
        <v>180.0</v>
      </c>
      <c r="B5507" s="24">
        <v>0.0</v>
      </c>
      <c r="C5507" s="44">
        <v>64.17</v>
      </c>
      <c r="D5507" s="46">
        <v>45269.0</v>
      </c>
      <c r="E5507" s="24" t="s">
        <v>6650</v>
      </c>
      <c r="F5507" s="24">
        <v>356.5</v>
      </c>
      <c r="G5507" s="24">
        <v>0.0</v>
      </c>
      <c r="H5507" s="24" t="s">
        <v>6704</v>
      </c>
      <c r="I5507" s="24">
        <v>64.17</v>
      </c>
      <c r="J5507" s="24">
        <v>0.0</v>
      </c>
    </row>
    <row r="5508">
      <c r="A5508" s="24">
        <v>13.0</v>
      </c>
      <c r="B5508" s="24">
        <v>0.0</v>
      </c>
      <c r="C5508" s="44">
        <v>5.15</v>
      </c>
      <c r="D5508" s="46">
        <v>45269.0</v>
      </c>
      <c r="E5508" s="24" t="s">
        <v>6650</v>
      </c>
      <c r="F5508" s="24">
        <v>396.15</v>
      </c>
      <c r="G5508" s="24">
        <v>0.0</v>
      </c>
      <c r="H5508" s="24" t="s">
        <v>6696</v>
      </c>
      <c r="I5508" s="24">
        <v>5.15</v>
      </c>
      <c r="J5508" s="24">
        <v>0.0</v>
      </c>
    </row>
    <row r="5509">
      <c r="A5509" s="24">
        <v>27.0</v>
      </c>
      <c r="B5509" s="24">
        <v>0.0</v>
      </c>
      <c r="C5509" s="44">
        <v>6.35</v>
      </c>
      <c r="D5509" s="46">
        <v>45269.0</v>
      </c>
      <c r="E5509" s="24" t="s">
        <v>6650</v>
      </c>
      <c r="F5509" s="24">
        <v>235.19</v>
      </c>
      <c r="G5509" s="24">
        <v>0.0</v>
      </c>
      <c r="H5509" s="24" t="s">
        <v>6700</v>
      </c>
      <c r="I5509" s="24">
        <v>6.35</v>
      </c>
      <c r="J5509" s="24">
        <v>0.0</v>
      </c>
    </row>
    <row r="5510">
      <c r="A5510" s="24">
        <v>26.0</v>
      </c>
      <c r="B5510" s="24">
        <v>0.0</v>
      </c>
      <c r="C5510" s="44">
        <v>7.68</v>
      </c>
      <c r="D5510" s="46">
        <v>45269.0</v>
      </c>
      <c r="E5510" s="24" t="s">
        <v>6650</v>
      </c>
      <c r="F5510" s="24">
        <v>295.38</v>
      </c>
      <c r="G5510" s="24">
        <v>0.0</v>
      </c>
      <c r="H5510" s="24" t="s">
        <v>6701</v>
      </c>
      <c r="I5510" s="24" t="s">
        <v>6650</v>
      </c>
      <c r="J5510" s="24">
        <v>0.0</v>
      </c>
    </row>
    <row r="5511">
      <c r="A5511" s="24">
        <v>9.0</v>
      </c>
      <c r="B5511" s="24">
        <v>0.0</v>
      </c>
      <c r="C5511" s="44">
        <v>6.88</v>
      </c>
      <c r="D5511" s="46">
        <v>45269.0</v>
      </c>
      <c r="E5511" s="24" t="s">
        <v>6650</v>
      </c>
      <c r="F5511" s="24">
        <v>764.44</v>
      </c>
      <c r="G5511" s="24">
        <v>0.0</v>
      </c>
      <c r="H5511" s="24" t="s">
        <v>6695</v>
      </c>
      <c r="I5511" s="24" t="s">
        <v>6650</v>
      </c>
      <c r="J5511" s="24">
        <v>0.0</v>
      </c>
    </row>
    <row r="5512">
      <c r="A5512" s="24">
        <v>0.0</v>
      </c>
      <c r="B5512" s="24">
        <v>2.0</v>
      </c>
      <c r="C5512" s="44">
        <v>0.0</v>
      </c>
      <c r="D5512" s="46">
        <v>45269.0</v>
      </c>
      <c r="E5512" s="24">
        <v>0.0</v>
      </c>
      <c r="F5512" s="24" t="s">
        <v>6650</v>
      </c>
      <c r="G5512" s="24" t="s">
        <v>6650</v>
      </c>
      <c r="H5512" s="24" t="s">
        <v>6703</v>
      </c>
      <c r="I5512" s="24" t="s">
        <v>6650</v>
      </c>
      <c r="J5512" s="24">
        <v>0.0</v>
      </c>
    </row>
    <row r="5513">
      <c r="A5513" s="24">
        <v>420.0</v>
      </c>
      <c r="B5513" s="24">
        <v>4.0</v>
      </c>
      <c r="C5513" s="44">
        <v>6.8</v>
      </c>
      <c r="D5513" s="46">
        <v>45269.0</v>
      </c>
      <c r="E5513" s="24">
        <v>1.7</v>
      </c>
      <c r="F5513" s="24">
        <v>16.19</v>
      </c>
      <c r="G5513" s="24">
        <v>0.95</v>
      </c>
      <c r="H5513" s="24" t="s">
        <v>6689</v>
      </c>
      <c r="I5513" s="24" t="s">
        <v>6650</v>
      </c>
      <c r="J5513" s="24">
        <v>0.0</v>
      </c>
    </row>
    <row r="5514">
      <c r="A5514" s="24">
        <v>15.0</v>
      </c>
      <c r="B5514" s="24">
        <v>0.0</v>
      </c>
      <c r="C5514" s="44">
        <v>6.46</v>
      </c>
      <c r="D5514" s="46">
        <v>45269.0</v>
      </c>
      <c r="E5514" s="24" t="s">
        <v>6650</v>
      </c>
      <c r="F5514" s="24">
        <v>430.67</v>
      </c>
      <c r="G5514" s="24">
        <v>0.0</v>
      </c>
      <c r="H5514" s="24" t="s">
        <v>6697</v>
      </c>
      <c r="I5514" s="24" t="s">
        <v>6650</v>
      </c>
      <c r="J5514" s="24">
        <v>0.0</v>
      </c>
    </row>
    <row r="5515">
      <c r="A5515" s="24">
        <v>15.0</v>
      </c>
      <c r="B5515" s="24">
        <v>0.0</v>
      </c>
      <c r="C5515" s="44">
        <v>6.32</v>
      </c>
      <c r="D5515" s="46">
        <v>45269.0</v>
      </c>
      <c r="E5515" s="24" t="s">
        <v>6650</v>
      </c>
      <c r="F5515" s="24">
        <v>421.33</v>
      </c>
      <c r="G5515" s="24">
        <v>0.0</v>
      </c>
      <c r="H5515" s="24" t="s">
        <v>6699</v>
      </c>
      <c r="I5515" s="24" t="s">
        <v>6650</v>
      </c>
      <c r="J5515" s="24">
        <v>0.0</v>
      </c>
    </row>
    <row r="5516">
      <c r="A5516" s="24">
        <v>95.0</v>
      </c>
      <c r="B5516" s="24">
        <v>0.0</v>
      </c>
      <c r="C5516" s="44">
        <v>6.86</v>
      </c>
      <c r="D5516" s="46">
        <v>45269.0</v>
      </c>
      <c r="E5516" s="24" t="s">
        <v>6650</v>
      </c>
      <c r="F5516" s="24">
        <v>72.21</v>
      </c>
      <c r="G5516" s="24">
        <v>0.0</v>
      </c>
      <c r="H5516" s="24" t="s">
        <v>6698</v>
      </c>
      <c r="I5516" s="24">
        <v>3.43</v>
      </c>
      <c r="J5516" s="24">
        <v>0.0</v>
      </c>
    </row>
    <row r="5517">
      <c r="A5517" s="24">
        <v>588.0</v>
      </c>
      <c r="B5517" s="24">
        <v>3.0</v>
      </c>
      <c r="C5517" s="44">
        <v>6.22</v>
      </c>
      <c r="D5517" s="46">
        <v>45269.0</v>
      </c>
      <c r="E5517" s="24">
        <v>2.07</v>
      </c>
      <c r="F5517" s="24">
        <v>10.58</v>
      </c>
      <c r="G5517" s="24">
        <v>0.51</v>
      </c>
      <c r="H5517" s="24" t="s">
        <v>6688</v>
      </c>
      <c r="I5517" s="24">
        <v>6.22</v>
      </c>
      <c r="J5517" s="24">
        <v>0.0</v>
      </c>
    </row>
    <row r="5518">
      <c r="A5518" s="24">
        <v>83.0</v>
      </c>
      <c r="B5518" s="24">
        <v>2.0</v>
      </c>
      <c r="C5518" s="44">
        <v>55.86</v>
      </c>
      <c r="D5518" s="46">
        <v>45270.0</v>
      </c>
      <c r="E5518" s="24">
        <v>27.93</v>
      </c>
      <c r="F5518" s="24">
        <v>673.01</v>
      </c>
      <c r="G5518" s="24">
        <v>2.41</v>
      </c>
      <c r="H5518" s="24" t="s">
        <v>6704</v>
      </c>
      <c r="I5518" s="24" t="s">
        <v>6650</v>
      </c>
      <c r="J5518" s="24">
        <v>0.0</v>
      </c>
    </row>
    <row r="5519">
      <c r="A5519" s="24">
        <v>53.0</v>
      </c>
      <c r="B5519" s="24">
        <v>0.0</v>
      </c>
      <c r="C5519" s="44">
        <v>4.34</v>
      </c>
      <c r="D5519" s="46">
        <v>45270.0</v>
      </c>
      <c r="E5519" s="24" t="s">
        <v>6650</v>
      </c>
      <c r="F5519" s="24">
        <v>81.89</v>
      </c>
      <c r="G5519" s="24">
        <v>0.0</v>
      </c>
      <c r="H5519" s="24" t="s">
        <v>6698</v>
      </c>
      <c r="I5519" s="24" t="s">
        <v>6650</v>
      </c>
      <c r="J5519" s="24">
        <v>0.0</v>
      </c>
    </row>
    <row r="5520">
      <c r="A5520" s="24">
        <v>56.0</v>
      </c>
      <c r="B5520" s="24">
        <v>20.0</v>
      </c>
      <c r="C5520" s="44">
        <v>34.36</v>
      </c>
      <c r="D5520" s="46">
        <v>45270.0</v>
      </c>
      <c r="E5520" s="24">
        <v>1.72</v>
      </c>
      <c r="F5520" s="24">
        <v>613.57</v>
      </c>
      <c r="G5520" s="24">
        <v>35.71</v>
      </c>
      <c r="H5520" s="24" t="s">
        <v>6705</v>
      </c>
      <c r="I5520" s="24">
        <v>34.36</v>
      </c>
      <c r="J5520" s="24">
        <v>2.0</v>
      </c>
    </row>
    <row r="5521">
      <c r="A5521" s="24">
        <v>363.0</v>
      </c>
      <c r="B5521" s="24">
        <v>4.0</v>
      </c>
      <c r="C5521" s="44">
        <v>5.45</v>
      </c>
      <c r="D5521" s="46">
        <v>45270.0</v>
      </c>
      <c r="E5521" s="24">
        <v>1.36</v>
      </c>
      <c r="F5521" s="24">
        <v>15.01</v>
      </c>
      <c r="G5521" s="24">
        <v>1.1</v>
      </c>
      <c r="H5521" s="24" t="s">
        <v>6689</v>
      </c>
      <c r="I5521" s="24" t="s">
        <v>6650</v>
      </c>
      <c r="J5521" s="24">
        <v>0.0</v>
      </c>
    </row>
    <row r="5522">
      <c r="A5522" s="24">
        <v>9.0</v>
      </c>
      <c r="B5522" s="24">
        <v>0.0</v>
      </c>
      <c r="C5522" s="44">
        <v>0.64</v>
      </c>
      <c r="D5522" s="46">
        <v>45270.0</v>
      </c>
      <c r="E5522" s="24" t="s">
        <v>6650</v>
      </c>
      <c r="F5522" s="24">
        <v>71.11</v>
      </c>
      <c r="G5522" s="24">
        <v>0.0</v>
      </c>
      <c r="H5522" s="24" t="s">
        <v>6699</v>
      </c>
      <c r="I5522" s="24" t="s">
        <v>6650</v>
      </c>
      <c r="J5522" s="24">
        <v>0.0</v>
      </c>
    </row>
    <row r="5523">
      <c r="A5523" s="24">
        <v>10.0</v>
      </c>
      <c r="B5523" s="24">
        <v>0.0</v>
      </c>
      <c r="C5523" s="44">
        <v>3.46</v>
      </c>
      <c r="D5523" s="46">
        <v>45270.0</v>
      </c>
      <c r="E5523" s="24" t="s">
        <v>6650</v>
      </c>
      <c r="F5523" s="24">
        <v>346.0</v>
      </c>
      <c r="G5523" s="24">
        <v>0.0</v>
      </c>
      <c r="H5523" s="24" t="s">
        <v>6696</v>
      </c>
      <c r="I5523" s="24" t="s">
        <v>6650</v>
      </c>
      <c r="J5523" s="24">
        <v>0.0</v>
      </c>
    </row>
    <row r="5524">
      <c r="A5524" s="24">
        <v>14.0</v>
      </c>
      <c r="B5524" s="24">
        <v>0.0</v>
      </c>
      <c r="C5524" s="44">
        <v>4.9</v>
      </c>
      <c r="D5524" s="46">
        <v>45270.0</v>
      </c>
      <c r="E5524" s="24" t="s">
        <v>6650</v>
      </c>
      <c r="F5524" s="24">
        <v>350.0</v>
      </c>
      <c r="G5524" s="24">
        <v>0.0</v>
      </c>
      <c r="H5524" s="24" t="s">
        <v>6700</v>
      </c>
      <c r="I5524" s="24" t="s">
        <v>6650</v>
      </c>
      <c r="J5524" s="24">
        <v>0.0</v>
      </c>
    </row>
    <row r="5525">
      <c r="A5525" s="24">
        <v>583.0</v>
      </c>
      <c r="B5525" s="24">
        <v>6.0</v>
      </c>
      <c r="C5525" s="44">
        <v>6.39</v>
      </c>
      <c r="D5525" s="46">
        <v>45270.0</v>
      </c>
      <c r="E5525" s="24">
        <v>1.06</v>
      </c>
      <c r="F5525" s="24">
        <v>10.96</v>
      </c>
      <c r="G5525" s="24">
        <v>1.03</v>
      </c>
      <c r="H5525" s="24" t="s">
        <v>6688</v>
      </c>
      <c r="I5525" s="24">
        <v>2.13</v>
      </c>
      <c r="J5525" s="24">
        <v>0.0</v>
      </c>
    </row>
    <row r="5526">
      <c r="A5526" s="24">
        <v>0.0</v>
      </c>
      <c r="B5526" s="24">
        <v>2.0</v>
      </c>
      <c r="C5526" s="44">
        <v>0.0</v>
      </c>
      <c r="D5526" s="46">
        <v>45270.0</v>
      </c>
      <c r="E5526" s="24">
        <v>0.0</v>
      </c>
      <c r="F5526" s="24" t="s">
        <v>6650</v>
      </c>
      <c r="G5526" s="24" t="s">
        <v>6650</v>
      </c>
      <c r="H5526" s="24" t="s">
        <v>6703</v>
      </c>
      <c r="I5526" s="24" t="s">
        <v>6650</v>
      </c>
      <c r="J5526" s="24">
        <v>0.0</v>
      </c>
    </row>
    <row r="5527">
      <c r="A5527" s="24">
        <v>13.0</v>
      </c>
      <c r="B5527" s="24">
        <v>0.0</v>
      </c>
      <c r="C5527" s="44">
        <v>3.07</v>
      </c>
      <c r="D5527" s="46">
        <v>45270.0</v>
      </c>
      <c r="E5527" s="24" t="s">
        <v>6650</v>
      </c>
      <c r="F5527" s="24">
        <v>236.15</v>
      </c>
      <c r="G5527" s="24">
        <v>0.0</v>
      </c>
      <c r="H5527" s="24" t="s">
        <v>6695</v>
      </c>
      <c r="I5527" s="24" t="s">
        <v>6650</v>
      </c>
      <c r="J5527" s="24">
        <v>0.0</v>
      </c>
    </row>
    <row r="5528">
      <c r="A5528" s="24">
        <v>13.0</v>
      </c>
      <c r="B5528" s="24">
        <v>0.0</v>
      </c>
      <c r="C5528" s="44">
        <v>1.96</v>
      </c>
      <c r="D5528" s="46">
        <v>45270.0</v>
      </c>
      <c r="E5528" s="24" t="s">
        <v>6650</v>
      </c>
      <c r="F5528" s="24">
        <v>150.77</v>
      </c>
      <c r="G5528" s="24">
        <v>0.0</v>
      </c>
      <c r="H5528" s="24" t="s">
        <v>6701</v>
      </c>
      <c r="I5528" s="24" t="s">
        <v>6650</v>
      </c>
      <c r="J5528" s="24">
        <v>0.0</v>
      </c>
    </row>
    <row r="5529">
      <c r="A5529" s="24">
        <v>37.0</v>
      </c>
      <c r="B5529" s="24">
        <v>0.0</v>
      </c>
      <c r="C5529" s="44">
        <v>5.2</v>
      </c>
      <c r="D5529" s="46">
        <v>45271.0</v>
      </c>
      <c r="E5529" s="24" t="s">
        <v>6650</v>
      </c>
      <c r="F5529" s="24">
        <v>140.54</v>
      </c>
      <c r="G5529" s="24">
        <v>0.0</v>
      </c>
      <c r="H5529" s="24" t="s">
        <v>6699</v>
      </c>
      <c r="I5529" s="24" t="s">
        <v>6650</v>
      </c>
      <c r="J5529" s="24">
        <v>0.0</v>
      </c>
    </row>
    <row r="5530">
      <c r="A5530" s="24">
        <v>370.0</v>
      </c>
      <c r="B5530" s="24">
        <v>3.0</v>
      </c>
      <c r="C5530" s="44">
        <v>6.17</v>
      </c>
      <c r="D5530" s="46">
        <v>45271.0</v>
      </c>
      <c r="E5530" s="24">
        <v>2.06</v>
      </c>
      <c r="F5530" s="24">
        <v>16.68</v>
      </c>
      <c r="G5530" s="24">
        <v>0.81</v>
      </c>
      <c r="H5530" s="24" t="s">
        <v>6689</v>
      </c>
      <c r="I5530" s="24" t="s">
        <v>6650</v>
      </c>
      <c r="J5530" s="24">
        <v>0.0</v>
      </c>
    </row>
    <row r="5531">
      <c r="A5531" s="24">
        <v>0.0</v>
      </c>
      <c r="B5531" s="24">
        <v>3.0</v>
      </c>
      <c r="C5531" s="44">
        <v>0.0</v>
      </c>
      <c r="D5531" s="46">
        <v>45271.0</v>
      </c>
      <c r="E5531" s="24">
        <v>0.0</v>
      </c>
      <c r="F5531" s="24" t="s">
        <v>6650</v>
      </c>
      <c r="G5531" s="24" t="s">
        <v>6650</v>
      </c>
      <c r="H5531" s="24" t="s">
        <v>6703</v>
      </c>
      <c r="I5531" s="24" t="s">
        <v>6650</v>
      </c>
      <c r="J5531" s="24">
        <v>0.0</v>
      </c>
    </row>
    <row r="5532">
      <c r="A5532" s="24">
        <v>42.0</v>
      </c>
      <c r="B5532" s="24">
        <v>1.0</v>
      </c>
      <c r="C5532" s="44">
        <v>7.71</v>
      </c>
      <c r="D5532" s="46">
        <v>45271.0</v>
      </c>
      <c r="E5532" s="24">
        <v>7.71</v>
      </c>
      <c r="F5532" s="24">
        <v>183.57</v>
      </c>
      <c r="G5532" s="24">
        <v>2.38</v>
      </c>
      <c r="H5532" s="24" t="s">
        <v>6700</v>
      </c>
      <c r="I5532" s="24" t="s">
        <v>6650</v>
      </c>
      <c r="J5532" s="24">
        <v>0.0</v>
      </c>
    </row>
    <row r="5533">
      <c r="A5533" s="24">
        <v>23.0</v>
      </c>
      <c r="B5533" s="24">
        <v>0.0</v>
      </c>
      <c r="C5533" s="44">
        <v>13.08</v>
      </c>
      <c r="D5533" s="46">
        <v>45271.0</v>
      </c>
      <c r="E5533" s="24" t="s">
        <v>6650</v>
      </c>
      <c r="F5533" s="24">
        <v>568.7</v>
      </c>
      <c r="G5533" s="24">
        <v>0.0</v>
      </c>
      <c r="H5533" s="24" t="s">
        <v>6695</v>
      </c>
      <c r="I5533" s="24" t="s">
        <v>6650</v>
      </c>
      <c r="J5533" s="24">
        <v>0.0</v>
      </c>
    </row>
    <row r="5534">
      <c r="A5534" s="24">
        <v>97.0</v>
      </c>
      <c r="B5534" s="24">
        <v>53.0</v>
      </c>
      <c r="C5534" s="44">
        <v>60.2</v>
      </c>
      <c r="D5534" s="46">
        <v>45271.0</v>
      </c>
      <c r="E5534" s="24">
        <v>1.14</v>
      </c>
      <c r="F5534" s="24">
        <v>620.62</v>
      </c>
      <c r="G5534" s="24">
        <v>54.64</v>
      </c>
      <c r="H5534" s="24" t="s">
        <v>6705</v>
      </c>
      <c r="I5534" s="24">
        <v>60.2</v>
      </c>
      <c r="J5534" s="24">
        <v>2.0</v>
      </c>
    </row>
    <row r="5535">
      <c r="A5535" s="24">
        <v>23.0</v>
      </c>
      <c r="B5535" s="24">
        <v>0.0</v>
      </c>
      <c r="C5535" s="44">
        <v>13.53</v>
      </c>
      <c r="D5535" s="46">
        <v>45271.0</v>
      </c>
      <c r="E5535" s="24" t="s">
        <v>6650</v>
      </c>
      <c r="F5535" s="24">
        <v>588.26</v>
      </c>
      <c r="G5535" s="24">
        <v>0.0</v>
      </c>
      <c r="H5535" s="24" t="s">
        <v>6697</v>
      </c>
      <c r="I5535" s="24" t="s">
        <v>6650</v>
      </c>
      <c r="J5535" s="24">
        <v>0.0</v>
      </c>
    </row>
    <row r="5536">
      <c r="A5536" s="24">
        <v>689.0</v>
      </c>
      <c r="B5536" s="24">
        <v>1.0</v>
      </c>
      <c r="C5536" s="44">
        <v>7.19</v>
      </c>
      <c r="D5536" s="46">
        <v>45271.0</v>
      </c>
      <c r="E5536" s="24">
        <v>7.19</v>
      </c>
      <c r="F5536" s="24">
        <v>10.44</v>
      </c>
      <c r="G5536" s="24">
        <v>0.15</v>
      </c>
      <c r="H5536" s="24" t="s">
        <v>6688</v>
      </c>
      <c r="I5536" s="24" t="s">
        <v>6650</v>
      </c>
      <c r="J5536" s="24">
        <v>0.0</v>
      </c>
    </row>
    <row r="5537">
      <c r="A5537" s="24">
        <v>175.0</v>
      </c>
      <c r="B5537" s="24">
        <v>2.0</v>
      </c>
      <c r="C5537" s="44">
        <v>53.88</v>
      </c>
      <c r="D5537" s="46">
        <v>45271.0</v>
      </c>
      <c r="E5537" s="24">
        <v>26.94</v>
      </c>
      <c r="F5537" s="24">
        <v>307.89</v>
      </c>
      <c r="G5537" s="24">
        <v>1.14</v>
      </c>
      <c r="H5537" s="24" t="s">
        <v>6704</v>
      </c>
      <c r="I5537" s="24">
        <v>53.88</v>
      </c>
      <c r="J5537" s="24">
        <v>1.0</v>
      </c>
    </row>
    <row r="5538">
      <c r="A5538" s="24">
        <v>0.0</v>
      </c>
      <c r="B5538" s="24">
        <v>1.0</v>
      </c>
      <c r="C5538" s="44">
        <v>0.0</v>
      </c>
      <c r="D5538" s="46">
        <v>45271.0</v>
      </c>
      <c r="E5538" s="24">
        <v>0.0</v>
      </c>
      <c r="F5538" s="24" t="s">
        <v>6650</v>
      </c>
      <c r="G5538" s="24" t="s">
        <v>6650</v>
      </c>
      <c r="H5538" s="24" t="s">
        <v>6702</v>
      </c>
      <c r="I5538" s="24" t="s">
        <v>6650</v>
      </c>
      <c r="J5538" s="24">
        <v>0.0</v>
      </c>
    </row>
    <row r="5539">
      <c r="A5539" s="24">
        <v>69.0</v>
      </c>
      <c r="B5539" s="24">
        <v>0.0</v>
      </c>
      <c r="C5539" s="44">
        <v>8.93</v>
      </c>
      <c r="D5539" s="46">
        <v>45271.0</v>
      </c>
      <c r="E5539" s="24" t="s">
        <v>6650</v>
      </c>
      <c r="F5539" s="24">
        <v>129.42</v>
      </c>
      <c r="G5539" s="24">
        <v>0.0</v>
      </c>
      <c r="H5539" s="24" t="s">
        <v>6698</v>
      </c>
      <c r="I5539" s="24" t="s">
        <v>6650</v>
      </c>
      <c r="J5539" s="24">
        <v>0.0</v>
      </c>
    </row>
    <row r="5540">
      <c r="A5540" s="24">
        <v>51.0</v>
      </c>
      <c r="B5540" s="24">
        <v>0.0</v>
      </c>
      <c r="C5540" s="44">
        <v>13.39</v>
      </c>
      <c r="D5540" s="46">
        <v>45271.0</v>
      </c>
      <c r="E5540" s="24" t="s">
        <v>6650</v>
      </c>
      <c r="F5540" s="24">
        <v>262.55</v>
      </c>
      <c r="G5540" s="24">
        <v>0.0</v>
      </c>
      <c r="H5540" s="24" t="s">
        <v>6696</v>
      </c>
      <c r="I5540" s="24" t="s">
        <v>6650</v>
      </c>
      <c r="J5540" s="24">
        <v>0.0</v>
      </c>
    </row>
    <row r="5541">
      <c r="A5541" s="24">
        <v>20.0</v>
      </c>
      <c r="B5541" s="24">
        <v>0.0</v>
      </c>
      <c r="C5541" s="44">
        <v>2.93</v>
      </c>
      <c r="D5541" s="46">
        <v>45271.0</v>
      </c>
      <c r="E5541" s="24" t="s">
        <v>6650</v>
      </c>
      <c r="F5541" s="24">
        <v>146.5</v>
      </c>
      <c r="G5541" s="24">
        <v>0.0</v>
      </c>
      <c r="H5541" s="24" t="s">
        <v>6701</v>
      </c>
      <c r="I5541" s="24" t="s">
        <v>6650</v>
      </c>
      <c r="J5541" s="24">
        <v>0.0</v>
      </c>
    </row>
    <row r="5542">
      <c r="A5542" s="24">
        <v>26.0</v>
      </c>
      <c r="B5542" s="24">
        <v>0.0</v>
      </c>
      <c r="C5542" s="44">
        <v>13.0</v>
      </c>
      <c r="D5542" s="46">
        <v>45272.0</v>
      </c>
      <c r="E5542" s="24" t="s">
        <v>6650</v>
      </c>
      <c r="F5542" s="24">
        <v>500.0</v>
      </c>
      <c r="G5542" s="24">
        <v>0.0</v>
      </c>
      <c r="H5542" s="24" t="s">
        <v>6697</v>
      </c>
      <c r="I5542" s="24">
        <v>13.0</v>
      </c>
      <c r="J5542" s="24">
        <v>0.0</v>
      </c>
    </row>
    <row r="5543">
      <c r="A5543" s="24">
        <v>26.0</v>
      </c>
      <c r="B5543" s="24">
        <v>1.0</v>
      </c>
      <c r="C5543" s="44">
        <v>13.25</v>
      </c>
      <c r="D5543" s="46">
        <v>45272.0</v>
      </c>
      <c r="E5543" s="24">
        <v>13.25</v>
      </c>
      <c r="F5543" s="24">
        <v>509.62</v>
      </c>
      <c r="G5543" s="24">
        <v>3.85</v>
      </c>
      <c r="H5543" s="24" t="s">
        <v>6695</v>
      </c>
      <c r="I5543" s="24" t="s">
        <v>6650</v>
      </c>
      <c r="J5543" s="24">
        <v>0.0</v>
      </c>
    </row>
    <row r="5544">
      <c r="A5544" s="24">
        <v>30.0</v>
      </c>
      <c r="B5544" s="24">
        <v>0.0</v>
      </c>
      <c r="C5544" s="44">
        <v>15.0</v>
      </c>
      <c r="D5544" s="46">
        <v>45272.0</v>
      </c>
      <c r="E5544" s="24" t="s">
        <v>6650</v>
      </c>
      <c r="F5544" s="24">
        <v>500.0</v>
      </c>
      <c r="G5544" s="24">
        <v>0.0</v>
      </c>
      <c r="H5544" s="24" t="s">
        <v>6696</v>
      </c>
      <c r="I5544" s="24" t="s">
        <v>6650</v>
      </c>
      <c r="J5544" s="24">
        <v>0.0</v>
      </c>
    </row>
    <row r="5545">
      <c r="A5545" s="24">
        <v>216.0</v>
      </c>
      <c r="B5545" s="24">
        <v>144.0</v>
      </c>
      <c r="C5545" s="44">
        <v>119.4</v>
      </c>
      <c r="D5545" s="46">
        <v>45272.0</v>
      </c>
      <c r="E5545" s="24">
        <v>0.83</v>
      </c>
      <c r="F5545" s="24">
        <v>552.78</v>
      </c>
      <c r="G5545" s="24">
        <v>66.67</v>
      </c>
      <c r="H5545" s="24" t="s">
        <v>6705</v>
      </c>
      <c r="I5545" s="24">
        <v>59.7</v>
      </c>
      <c r="J5545" s="24">
        <v>11.0</v>
      </c>
    </row>
    <row r="5546">
      <c r="A5546" s="24">
        <v>0.0</v>
      </c>
      <c r="B5546" s="24">
        <v>0.0</v>
      </c>
      <c r="C5546" s="44"/>
      <c r="D5546" s="46">
        <v>45272.0</v>
      </c>
      <c r="E5546" s="24" t="s">
        <v>6650</v>
      </c>
      <c r="F5546" s="24" t="s">
        <v>6650</v>
      </c>
      <c r="G5546" s="24" t="s">
        <v>6650</v>
      </c>
      <c r="H5546" s="24" t="s">
        <v>6704</v>
      </c>
      <c r="I5546" s="24" t="s">
        <v>6650</v>
      </c>
      <c r="J5546" s="24"/>
    </row>
    <row r="5547">
      <c r="A5547" s="24">
        <v>0.0</v>
      </c>
      <c r="B5547" s="24">
        <v>0.0</v>
      </c>
      <c r="C5547" s="44"/>
      <c r="D5547" s="46">
        <v>45272.0</v>
      </c>
      <c r="E5547" s="24" t="s">
        <v>6650</v>
      </c>
      <c r="F5547" s="24" t="s">
        <v>6650</v>
      </c>
      <c r="G5547" s="24" t="s">
        <v>6650</v>
      </c>
      <c r="H5547" s="24" t="s">
        <v>6700</v>
      </c>
      <c r="I5547" s="24" t="s">
        <v>6650</v>
      </c>
      <c r="J5547" s="24"/>
    </row>
    <row r="5548">
      <c r="A5548" s="24">
        <v>0.0</v>
      </c>
      <c r="B5548" s="24">
        <v>3.0</v>
      </c>
      <c r="C5548" s="44">
        <v>0.0</v>
      </c>
      <c r="D5548" s="46">
        <v>45272.0</v>
      </c>
      <c r="E5548" s="24">
        <v>0.0</v>
      </c>
      <c r="F5548" s="24" t="s">
        <v>6650</v>
      </c>
      <c r="G5548" s="24" t="s">
        <v>6650</v>
      </c>
      <c r="H5548" s="24" t="s">
        <v>6703</v>
      </c>
      <c r="I5548" s="24" t="s">
        <v>6650</v>
      </c>
      <c r="J5548" s="24">
        <v>0.0</v>
      </c>
    </row>
    <row r="5549">
      <c r="A5549" s="24">
        <v>0.0</v>
      </c>
      <c r="B5549" s="24">
        <v>1.0</v>
      </c>
      <c r="C5549" s="44">
        <v>0.0</v>
      </c>
      <c r="D5549" s="46">
        <v>45273.0</v>
      </c>
      <c r="E5549" s="24">
        <v>0.0</v>
      </c>
      <c r="F5549" s="24" t="s">
        <v>6650</v>
      </c>
      <c r="G5549" s="24" t="s">
        <v>6650</v>
      </c>
      <c r="H5549" s="24" t="s">
        <v>6702</v>
      </c>
      <c r="I5549" s="24" t="s">
        <v>6650</v>
      </c>
      <c r="J5549" s="24">
        <v>0.0</v>
      </c>
    </row>
    <row r="5550">
      <c r="A5550" s="24">
        <v>31.0</v>
      </c>
      <c r="B5550" s="24">
        <v>1.0</v>
      </c>
      <c r="C5550" s="44">
        <v>14.44</v>
      </c>
      <c r="D5550" s="46">
        <v>45273.0</v>
      </c>
      <c r="E5550" s="24">
        <v>14.44</v>
      </c>
      <c r="F5550" s="24">
        <v>465.81</v>
      </c>
      <c r="G5550" s="24">
        <v>3.23</v>
      </c>
      <c r="H5550" s="24" t="s">
        <v>6697</v>
      </c>
      <c r="I5550" s="24" t="s">
        <v>6650</v>
      </c>
      <c r="J5550" s="24">
        <v>0.0</v>
      </c>
    </row>
    <row r="5551">
      <c r="A5551" s="24">
        <v>130.0</v>
      </c>
      <c r="B5551" s="24">
        <v>65.0</v>
      </c>
      <c r="C5551" s="44">
        <v>79.84</v>
      </c>
      <c r="D5551" s="46">
        <v>45273.0</v>
      </c>
      <c r="E5551" s="24">
        <v>1.23</v>
      </c>
      <c r="F5551" s="24">
        <v>614.15</v>
      </c>
      <c r="G5551" s="24">
        <v>50.0</v>
      </c>
      <c r="H5551" s="24" t="s">
        <v>6705</v>
      </c>
      <c r="I5551" s="24" t="s">
        <v>6650</v>
      </c>
      <c r="J5551" s="24">
        <v>4.0</v>
      </c>
    </row>
    <row r="5552">
      <c r="A5552" s="24">
        <v>20.0</v>
      </c>
      <c r="B5552" s="24">
        <v>0.0</v>
      </c>
      <c r="C5552" s="44">
        <v>12.91</v>
      </c>
      <c r="D5552" s="46">
        <v>45273.0</v>
      </c>
      <c r="E5552" s="24" t="s">
        <v>6650</v>
      </c>
      <c r="F5552" s="24">
        <v>645.5</v>
      </c>
      <c r="G5552" s="24">
        <v>0.0</v>
      </c>
      <c r="H5552" s="24" t="s">
        <v>6695</v>
      </c>
      <c r="I5552" s="24" t="s">
        <v>6650</v>
      </c>
      <c r="J5552" s="24">
        <v>0.0</v>
      </c>
    </row>
    <row r="5553">
      <c r="A5553" s="24">
        <v>0.0</v>
      </c>
      <c r="B5553" s="24">
        <v>3.0</v>
      </c>
      <c r="C5553" s="44">
        <v>0.0</v>
      </c>
      <c r="D5553" s="46">
        <v>45273.0</v>
      </c>
      <c r="E5553" s="24">
        <v>0.0</v>
      </c>
      <c r="F5553" s="24" t="s">
        <v>6650</v>
      </c>
      <c r="G5553" s="24" t="s">
        <v>6650</v>
      </c>
      <c r="H5553" s="24" t="s">
        <v>6703</v>
      </c>
      <c r="I5553" s="24" t="s">
        <v>6650</v>
      </c>
      <c r="J5553" s="24">
        <v>0.0</v>
      </c>
    </row>
    <row r="5554">
      <c r="A5554" s="24">
        <v>50.0</v>
      </c>
      <c r="B5554" s="24">
        <v>0.0</v>
      </c>
      <c r="C5554" s="44">
        <v>11.85</v>
      </c>
      <c r="D5554" s="46">
        <v>45273.0</v>
      </c>
      <c r="E5554" s="24" t="s">
        <v>6650</v>
      </c>
      <c r="F5554" s="24">
        <v>237.0</v>
      </c>
      <c r="G5554" s="24">
        <v>0.0</v>
      </c>
      <c r="H5554" s="24" t="s">
        <v>6696</v>
      </c>
      <c r="I5554" s="24" t="s">
        <v>6650</v>
      </c>
      <c r="J5554" s="24">
        <v>0.0</v>
      </c>
    </row>
    <row r="5555">
      <c r="A5555" s="24">
        <v>94.0</v>
      </c>
      <c r="B5555" s="24">
        <v>53.0</v>
      </c>
      <c r="C5555" s="44">
        <v>60.48</v>
      </c>
      <c r="D5555" s="46">
        <v>45274.0</v>
      </c>
      <c r="E5555" s="24">
        <v>1.14</v>
      </c>
      <c r="F5555" s="24">
        <v>643.4</v>
      </c>
      <c r="G5555" s="24">
        <v>56.38</v>
      </c>
      <c r="H5555" s="24" t="s">
        <v>6705</v>
      </c>
      <c r="I5555" s="24">
        <v>30.24</v>
      </c>
      <c r="J5555" s="24">
        <v>1.0</v>
      </c>
    </row>
    <row r="5556">
      <c r="A5556" s="24">
        <v>18.0</v>
      </c>
      <c r="B5556" s="24">
        <v>1.0</v>
      </c>
      <c r="C5556" s="44">
        <v>12.06</v>
      </c>
      <c r="D5556" s="46">
        <v>45274.0</v>
      </c>
      <c r="E5556" s="24">
        <v>12.06</v>
      </c>
      <c r="F5556" s="24">
        <v>670.0</v>
      </c>
      <c r="G5556" s="24">
        <v>5.56</v>
      </c>
      <c r="H5556" s="24" t="s">
        <v>6695</v>
      </c>
      <c r="I5556" s="24" t="s">
        <v>6650</v>
      </c>
      <c r="J5556" s="24">
        <v>0.0</v>
      </c>
    </row>
    <row r="5557">
      <c r="A5557" s="24">
        <v>33.0</v>
      </c>
      <c r="B5557" s="24">
        <v>0.0</v>
      </c>
      <c r="C5557" s="44">
        <v>11.07</v>
      </c>
      <c r="D5557" s="46">
        <v>45274.0</v>
      </c>
      <c r="E5557" s="24" t="s">
        <v>6650</v>
      </c>
      <c r="F5557" s="24">
        <v>335.45</v>
      </c>
      <c r="G5557" s="24">
        <v>0.0</v>
      </c>
      <c r="H5557" s="24" t="s">
        <v>6696</v>
      </c>
      <c r="I5557" s="24">
        <v>11.07</v>
      </c>
      <c r="J5557" s="24">
        <v>0.0</v>
      </c>
    </row>
    <row r="5558">
      <c r="A5558" s="24">
        <v>0.0</v>
      </c>
      <c r="B5558" s="24">
        <v>0.0</v>
      </c>
      <c r="C5558" s="44"/>
      <c r="D5558" s="46">
        <v>45274.0</v>
      </c>
      <c r="E5558" s="24" t="s">
        <v>6650</v>
      </c>
      <c r="F5558" s="24" t="s">
        <v>6650</v>
      </c>
      <c r="G5558" s="24" t="s">
        <v>6650</v>
      </c>
      <c r="H5558" s="24" t="s">
        <v>6704</v>
      </c>
      <c r="I5558" s="24" t="s">
        <v>6650</v>
      </c>
      <c r="J5558" s="24"/>
    </row>
    <row r="5559">
      <c r="A5559" s="24">
        <v>0.0</v>
      </c>
      <c r="B5559" s="24">
        <v>0.0</v>
      </c>
      <c r="C5559" s="44"/>
      <c r="D5559" s="46">
        <v>45274.0</v>
      </c>
      <c r="E5559" s="24" t="s">
        <v>6650</v>
      </c>
      <c r="F5559" s="24" t="s">
        <v>6650</v>
      </c>
      <c r="G5559" s="24" t="s">
        <v>6650</v>
      </c>
      <c r="H5559" s="24" t="s">
        <v>6688</v>
      </c>
      <c r="I5559" s="24" t="s">
        <v>6650</v>
      </c>
      <c r="J5559" s="24"/>
    </row>
    <row r="5560">
      <c r="A5560" s="24">
        <v>0.0</v>
      </c>
      <c r="B5560" s="24">
        <v>5.0</v>
      </c>
      <c r="C5560" s="44">
        <v>0.0</v>
      </c>
      <c r="D5560" s="46">
        <v>45274.0</v>
      </c>
      <c r="E5560" s="24">
        <v>0.0</v>
      </c>
      <c r="F5560" s="24" t="s">
        <v>6650</v>
      </c>
      <c r="G5560" s="24" t="s">
        <v>6650</v>
      </c>
      <c r="H5560" s="24" t="s">
        <v>6703</v>
      </c>
      <c r="I5560" s="24" t="s">
        <v>6650</v>
      </c>
      <c r="J5560" s="24">
        <v>0.0</v>
      </c>
    </row>
    <row r="5561">
      <c r="A5561" s="24">
        <v>27.0</v>
      </c>
      <c r="B5561" s="24">
        <v>0.0</v>
      </c>
      <c r="C5561" s="44">
        <v>11.03</v>
      </c>
      <c r="D5561" s="46">
        <v>45274.0</v>
      </c>
      <c r="E5561" s="24" t="s">
        <v>6650</v>
      </c>
      <c r="F5561" s="24">
        <v>408.52</v>
      </c>
      <c r="G5561" s="24">
        <v>0.0</v>
      </c>
      <c r="H5561" s="24" t="s">
        <v>6697</v>
      </c>
      <c r="I5561" s="24" t="s">
        <v>6650</v>
      </c>
      <c r="J5561" s="24">
        <v>0.0</v>
      </c>
    </row>
    <row r="5562">
      <c r="A5562" s="24">
        <v>0.0</v>
      </c>
      <c r="B5562" s="24">
        <v>0.0</v>
      </c>
      <c r="C5562" s="44"/>
      <c r="D5562" s="46">
        <v>45275.0</v>
      </c>
      <c r="E5562" s="24" t="s">
        <v>6650</v>
      </c>
      <c r="F5562" s="24" t="s">
        <v>6650</v>
      </c>
      <c r="G5562" s="24" t="s">
        <v>6650</v>
      </c>
      <c r="H5562" s="24" t="s">
        <v>6704</v>
      </c>
      <c r="I5562" s="24" t="s">
        <v>6650</v>
      </c>
      <c r="J5562" s="24"/>
    </row>
    <row r="5563">
      <c r="A5563" s="24">
        <v>14.0</v>
      </c>
      <c r="B5563" s="24">
        <v>0.0</v>
      </c>
      <c r="C5563" s="44">
        <v>9.53</v>
      </c>
      <c r="D5563" s="46">
        <v>45275.0</v>
      </c>
      <c r="E5563" s="24" t="s">
        <v>6650</v>
      </c>
      <c r="F5563" s="24">
        <v>680.71</v>
      </c>
      <c r="G5563" s="24">
        <v>0.0</v>
      </c>
      <c r="H5563" s="24" t="s">
        <v>6695</v>
      </c>
      <c r="I5563" s="24" t="s">
        <v>6650</v>
      </c>
      <c r="J5563" s="24">
        <v>0.0</v>
      </c>
    </row>
    <row r="5564">
      <c r="A5564" s="24">
        <v>35.0</v>
      </c>
      <c r="B5564" s="24">
        <v>1.0</v>
      </c>
      <c r="C5564" s="44">
        <v>9.35</v>
      </c>
      <c r="D5564" s="46">
        <v>45275.0</v>
      </c>
      <c r="E5564" s="24">
        <v>9.35</v>
      </c>
      <c r="F5564" s="24">
        <v>267.14</v>
      </c>
      <c r="G5564" s="24">
        <v>2.86</v>
      </c>
      <c r="H5564" s="24" t="s">
        <v>6696</v>
      </c>
      <c r="I5564" s="24" t="s">
        <v>6650</v>
      </c>
      <c r="J5564" s="24">
        <v>0.0</v>
      </c>
    </row>
    <row r="5565">
      <c r="A5565" s="24">
        <v>0.0</v>
      </c>
      <c r="B5565" s="24">
        <v>4.0</v>
      </c>
      <c r="C5565" s="44">
        <v>0.0</v>
      </c>
      <c r="D5565" s="46">
        <v>45275.0</v>
      </c>
      <c r="E5565" s="24">
        <v>0.0</v>
      </c>
      <c r="F5565" s="24" t="s">
        <v>6650</v>
      </c>
      <c r="G5565" s="24" t="s">
        <v>6650</v>
      </c>
      <c r="H5565" s="24" t="s">
        <v>6703</v>
      </c>
      <c r="I5565" s="24" t="s">
        <v>6650</v>
      </c>
      <c r="J5565" s="24">
        <v>0.0</v>
      </c>
    </row>
    <row r="5566">
      <c r="A5566" s="24">
        <v>122.0</v>
      </c>
      <c r="B5566" s="24">
        <v>59.0</v>
      </c>
      <c r="C5566" s="44">
        <v>77.63</v>
      </c>
      <c r="D5566" s="46">
        <v>45275.0</v>
      </c>
      <c r="E5566" s="24">
        <v>1.32</v>
      </c>
      <c r="F5566" s="24">
        <v>636.31</v>
      </c>
      <c r="G5566" s="24">
        <v>48.36</v>
      </c>
      <c r="H5566" s="24" t="s">
        <v>6705</v>
      </c>
      <c r="I5566" s="24" t="s">
        <v>6650</v>
      </c>
      <c r="J5566" s="24">
        <v>2.0</v>
      </c>
    </row>
    <row r="5567">
      <c r="A5567" s="24">
        <v>19.0</v>
      </c>
      <c r="B5567" s="24">
        <v>0.0</v>
      </c>
      <c r="C5567" s="44">
        <v>9.33</v>
      </c>
      <c r="D5567" s="46">
        <v>45275.0</v>
      </c>
      <c r="E5567" s="24" t="s">
        <v>6650</v>
      </c>
      <c r="F5567" s="24">
        <v>491.05</v>
      </c>
      <c r="G5567" s="24">
        <v>0.0</v>
      </c>
      <c r="H5567" s="24" t="s">
        <v>6697</v>
      </c>
      <c r="I5567" s="24" t="s">
        <v>6650</v>
      </c>
      <c r="J5567" s="24">
        <v>0.0</v>
      </c>
    </row>
    <row r="5568">
      <c r="A5568" s="24">
        <v>62.0</v>
      </c>
      <c r="B5568" s="24">
        <v>34.0</v>
      </c>
      <c r="C5568" s="44">
        <v>37.65</v>
      </c>
      <c r="D5568" s="46">
        <v>45276.0</v>
      </c>
      <c r="E5568" s="24">
        <v>1.11</v>
      </c>
      <c r="F5568" s="24">
        <v>607.26</v>
      </c>
      <c r="G5568" s="24">
        <v>54.84</v>
      </c>
      <c r="H5568" s="24" t="s">
        <v>6705</v>
      </c>
      <c r="I5568" s="24" t="s">
        <v>6650</v>
      </c>
      <c r="J5568" s="24">
        <v>0.0</v>
      </c>
    </row>
    <row r="5569">
      <c r="A5569" s="24">
        <v>15.0</v>
      </c>
      <c r="B5569" s="24">
        <v>0.0</v>
      </c>
      <c r="C5569" s="44">
        <v>6.53</v>
      </c>
      <c r="D5569" s="46">
        <v>45276.0</v>
      </c>
      <c r="E5569" s="24" t="s">
        <v>6650</v>
      </c>
      <c r="F5569" s="24">
        <v>435.33</v>
      </c>
      <c r="G5569" s="24">
        <v>0.0</v>
      </c>
      <c r="H5569" s="24" t="s">
        <v>6697</v>
      </c>
      <c r="I5569" s="24" t="s">
        <v>6650</v>
      </c>
      <c r="J5569" s="24">
        <v>0.0</v>
      </c>
    </row>
    <row r="5570">
      <c r="A5570" s="24">
        <v>0.0</v>
      </c>
      <c r="B5570" s="24">
        <v>2.0</v>
      </c>
      <c r="C5570" s="44">
        <v>0.0</v>
      </c>
      <c r="D5570" s="46">
        <v>45276.0</v>
      </c>
      <c r="E5570" s="24">
        <v>0.0</v>
      </c>
      <c r="F5570" s="24" t="s">
        <v>6650</v>
      </c>
      <c r="G5570" s="24" t="s">
        <v>6650</v>
      </c>
      <c r="H5570" s="24" t="s">
        <v>6703</v>
      </c>
      <c r="I5570" s="24" t="s">
        <v>6650</v>
      </c>
      <c r="J5570" s="24">
        <v>0.0</v>
      </c>
    </row>
    <row r="5571">
      <c r="A5571" s="24">
        <v>9.0</v>
      </c>
      <c r="B5571" s="24">
        <v>0.0</v>
      </c>
      <c r="C5571" s="44">
        <v>6.33</v>
      </c>
      <c r="D5571" s="46">
        <v>45276.0</v>
      </c>
      <c r="E5571" s="24" t="s">
        <v>6650</v>
      </c>
      <c r="F5571" s="24">
        <v>703.33</v>
      </c>
      <c r="G5571" s="24">
        <v>0.0</v>
      </c>
      <c r="H5571" s="24" t="s">
        <v>6695</v>
      </c>
      <c r="I5571" s="24" t="s">
        <v>6650</v>
      </c>
      <c r="J5571" s="24">
        <v>0.0</v>
      </c>
    </row>
    <row r="5572">
      <c r="A5572" s="24">
        <v>16.0</v>
      </c>
      <c r="B5572" s="24">
        <v>0.0</v>
      </c>
      <c r="C5572" s="44">
        <v>6.68</v>
      </c>
      <c r="D5572" s="46">
        <v>45276.0</v>
      </c>
      <c r="E5572" s="24" t="s">
        <v>6650</v>
      </c>
      <c r="F5572" s="24">
        <v>417.5</v>
      </c>
      <c r="G5572" s="24">
        <v>0.0</v>
      </c>
      <c r="H5572" s="24" t="s">
        <v>6696</v>
      </c>
      <c r="I5572" s="24" t="s">
        <v>6650</v>
      </c>
      <c r="J5572" s="24">
        <v>0.0</v>
      </c>
    </row>
    <row r="5573">
      <c r="A5573" s="24">
        <v>14.0</v>
      </c>
      <c r="B5573" s="24">
        <v>1.0</v>
      </c>
      <c r="C5573" s="44">
        <v>2.84</v>
      </c>
      <c r="D5573" s="46">
        <v>45277.0</v>
      </c>
      <c r="E5573" s="24">
        <v>2.84</v>
      </c>
      <c r="F5573" s="24">
        <v>202.86</v>
      </c>
      <c r="G5573" s="24">
        <v>7.14</v>
      </c>
      <c r="H5573" s="24" t="s">
        <v>6695</v>
      </c>
      <c r="I5573" s="24" t="s">
        <v>6650</v>
      </c>
      <c r="J5573" s="24">
        <v>0.0</v>
      </c>
    </row>
    <row r="5574">
      <c r="A5574" s="24">
        <v>6.0</v>
      </c>
      <c r="B5574" s="24">
        <v>0.0</v>
      </c>
      <c r="C5574" s="44">
        <v>2.14</v>
      </c>
      <c r="D5574" s="46">
        <v>45277.0</v>
      </c>
      <c r="E5574" s="24" t="s">
        <v>6650</v>
      </c>
      <c r="F5574" s="24">
        <v>356.67</v>
      </c>
      <c r="G5574" s="24">
        <v>0.0</v>
      </c>
      <c r="H5574" s="24" t="s">
        <v>6697</v>
      </c>
      <c r="I5574" s="24" t="s">
        <v>6650</v>
      </c>
      <c r="J5574" s="24">
        <v>0.0</v>
      </c>
    </row>
    <row r="5575">
      <c r="A5575" s="24">
        <v>24.0</v>
      </c>
      <c r="B5575" s="24">
        <v>0.0</v>
      </c>
      <c r="C5575" s="44">
        <v>2.66</v>
      </c>
      <c r="D5575" s="46">
        <v>45277.0</v>
      </c>
      <c r="E5575" s="24" t="s">
        <v>6650</v>
      </c>
      <c r="F5575" s="24">
        <v>110.83</v>
      </c>
      <c r="G5575" s="24">
        <v>0.0</v>
      </c>
      <c r="H5575" s="24" t="s">
        <v>6696</v>
      </c>
      <c r="I5575" s="24" t="s">
        <v>6650</v>
      </c>
      <c r="J5575" s="24">
        <v>0.0</v>
      </c>
    </row>
    <row r="5576">
      <c r="A5576" s="24">
        <v>33.0</v>
      </c>
      <c r="B5576" s="24">
        <v>18.0</v>
      </c>
      <c r="C5576" s="44">
        <v>20.18</v>
      </c>
      <c r="D5576" s="46">
        <v>45277.0</v>
      </c>
      <c r="E5576" s="24">
        <v>1.12</v>
      </c>
      <c r="F5576" s="24">
        <v>611.52</v>
      </c>
      <c r="G5576" s="24">
        <v>54.55</v>
      </c>
      <c r="H5576" s="24" t="s">
        <v>6705</v>
      </c>
      <c r="I5576" s="24" t="s">
        <v>6650</v>
      </c>
      <c r="J5576" s="24">
        <v>0.0</v>
      </c>
    </row>
    <row r="5577">
      <c r="A5577" s="24">
        <v>0.0</v>
      </c>
      <c r="B5577" s="24">
        <v>2.0</v>
      </c>
      <c r="C5577" s="44">
        <v>0.0</v>
      </c>
      <c r="D5577" s="46">
        <v>45277.0</v>
      </c>
      <c r="E5577" s="24">
        <v>0.0</v>
      </c>
      <c r="F5577" s="24" t="s">
        <v>6650</v>
      </c>
      <c r="G5577" s="24" t="s">
        <v>6650</v>
      </c>
      <c r="H5577" s="24" t="s">
        <v>6703</v>
      </c>
      <c r="I5577" s="24" t="s">
        <v>6650</v>
      </c>
      <c r="J5577" s="24">
        <v>0.0</v>
      </c>
    </row>
    <row r="5578">
      <c r="A5578" s="24">
        <v>77.0</v>
      </c>
      <c r="B5578" s="24">
        <v>51.0</v>
      </c>
      <c r="C5578" s="44">
        <v>49.0</v>
      </c>
      <c r="D5578" s="46">
        <v>45278.0</v>
      </c>
      <c r="E5578" s="24">
        <v>0.96</v>
      </c>
      <c r="F5578" s="24">
        <v>636.36</v>
      </c>
      <c r="G5578" s="24">
        <v>66.23</v>
      </c>
      <c r="H5578" s="24" t="s">
        <v>6705</v>
      </c>
      <c r="I5578" s="24" t="s">
        <v>6650</v>
      </c>
      <c r="J5578" s="24">
        <v>1.0</v>
      </c>
    </row>
    <row r="5579">
      <c r="A5579" s="24">
        <v>108.0</v>
      </c>
      <c r="B5579" s="24">
        <v>0.0</v>
      </c>
      <c r="C5579" s="44">
        <v>12.55</v>
      </c>
      <c r="D5579" s="46">
        <v>45278.0</v>
      </c>
      <c r="E5579" s="24" t="s">
        <v>6650</v>
      </c>
      <c r="F5579" s="24">
        <v>116.2</v>
      </c>
      <c r="G5579" s="24">
        <v>0.0</v>
      </c>
      <c r="H5579" s="24" t="s">
        <v>6696</v>
      </c>
      <c r="I5579" s="24" t="s">
        <v>6650</v>
      </c>
      <c r="J5579" s="24">
        <v>0.0</v>
      </c>
    </row>
    <row r="5580">
      <c r="A5580" s="24">
        <v>28.0</v>
      </c>
      <c r="B5580" s="24">
        <v>0.0</v>
      </c>
      <c r="C5580" s="44">
        <v>15.0</v>
      </c>
      <c r="D5580" s="46">
        <v>45278.0</v>
      </c>
      <c r="E5580" s="24" t="s">
        <v>6650</v>
      </c>
      <c r="F5580" s="24">
        <v>535.71</v>
      </c>
      <c r="G5580" s="24">
        <v>0.0</v>
      </c>
      <c r="H5580" s="24" t="s">
        <v>6695</v>
      </c>
      <c r="I5580" s="24" t="s">
        <v>6650</v>
      </c>
      <c r="J5580" s="24">
        <v>0.0</v>
      </c>
    </row>
    <row r="5581">
      <c r="A5581" s="24">
        <v>0.0</v>
      </c>
      <c r="B5581" s="24">
        <v>2.0</v>
      </c>
      <c r="C5581" s="44">
        <v>0.0</v>
      </c>
      <c r="D5581" s="46">
        <v>45278.0</v>
      </c>
      <c r="E5581" s="24">
        <v>0.0</v>
      </c>
      <c r="F5581" s="24" t="s">
        <v>6650</v>
      </c>
      <c r="G5581" s="24" t="s">
        <v>6650</v>
      </c>
      <c r="H5581" s="24" t="s">
        <v>6703</v>
      </c>
      <c r="I5581" s="24" t="s">
        <v>6650</v>
      </c>
      <c r="J5581" s="24">
        <v>0.0</v>
      </c>
    </row>
    <row r="5582">
      <c r="A5582" s="24">
        <v>42.0</v>
      </c>
      <c r="B5582" s="24">
        <v>0.0</v>
      </c>
      <c r="C5582" s="44">
        <v>11.96</v>
      </c>
      <c r="D5582" s="46">
        <v>45278.0</v>
      </c>
      <c r="E5582" s="24" t="s">
        <v>6650</v>
      </c>
      <c r="F5582" s="24">
        <v>284.76</v>
      </c>
      <c r="G5582" s="24">
        <v>0.0</v>
      </c>
      <c r="H5582" s="24" t="s">
        <v>6697</v>
      </c>
      <c r="I5582" s="24" t="s">
        <v>6650</v>
      </c>
      <c r="J5582" s="24">
        <v>0.0</v>
      </c>
    </row>
    <row r="5583">
      <c r="A5583" s="24">
        <v>0.0</v>
      </c>
      <c r="B5583" s="24">
        <v>1.0</v>
      </c>
      <c r="C5583" s="44">
        <v>0.0</v>
      </c>
      <c r="D5583" s="46">
        <v>45278.0</v>
      </c>
      <c r="E5583" s="24">
        <v>0.0</v>
      </c>
      <c r="F5583" s="24" t="s">
        <v>6650</v>
      </c>
      <c r="G5583" s="24" t="s">
        <v>6650</v>
      </c>
      <c r="H5583" s="24" t="s">
        <v>6702</v>
      </c>
      <c r="I5583" s="24" t="s">
        <v>6650</v>
      </c>
      <c r="J5583" s="24">
        <v>0.0</v>
      </c>
    </row>
    <row r="5584">
      <c r="A5584" s="24">
        <v>59.0</v>
      </c>
      <c r="B5584" s="24">
        <v>0.0</v>
      </c>
      <c r="C5584" s="44">
        <v>14.0</v>
      </c>
      <c r="D5584" s="46">
        <v>45279.0</v>
      </c>
      <c r="E5584" s="24" t="s">
        <v>6650</v>
      </c>
      <c r="F5584" s="24">
        <v>237.29</v>
      </c>
      <c r="G5584" s="24">
        <v>0.0</v>
      </c>
      <c r="H5584" s="24" t="s">
        <v>6696</v>
      </c>
      <c r="I5584" s="24" t="s">
        <v>6650</v>
      </c>
      <c r="J5584" s="24">
        <v>0.0</v>
      </c>
    </row>
    <row r="5585">
      <c r="A5585" s="24">
        <v>0.0</v>
      </c>
      <c r="B5585" s="24">
        <v>2.0</v>
      </c>
      <c r="C5585" s="44">
        <v>0.0</v>
      </c>
      <c r="D5585" s="46">
        <v>45279.0</v>
      </c>
      <c r="E5585" s="24">
        <v>0.0</v>
      </c>
      <c r="F5585" s="24" t="s">
        <v>6650</v>
      </c>
      <c r="G5585" s="24" t="s">
        <v>6650</v>
      </c>
      <c r="H5585" s="24" t="s">
        <v>6703</v>
      </c>
      <c r="I5585" s="24" t="s">
        <v>6650</v>
      </c>
      <c r="J5585" s="24">
        <v>0.0</v>
      </c>
    </row>
    <row r="5586">
      <c r="A5586" s="24">
        <v>36.0</v>
      </c>
      <c r="B5586" s="24">
        <v>0.0</v>
      </c>
      <c r="C5586" s="44">
        <v>13.84</v>
      </c>
      <c r="D5586" s="46">
        <v>45279.0</v>
      </c>
      <c r="E5586" s="24" t="s">
        <v>6650</v>
      </c>
      <c r="F5586" s="24">
        <v>384.44</v>
      </c>
      <c r="G5586" s="24">
        <v>0.0</v>
      </c>
      <c r="H5586" s="24" t="s">
        <v>6697</v>
      </c>
      <c r="I5586" s="24" t="s">
        <v>6650</v>
      </c>
      <c r="J5586" s="24">
        <v>0.0</v>
      </c>
    </row>
    <row r="5587">
      <c r="A5587" s="24">
        <v>62.0</v>
      </c>
      <c r="B5587" s="24">
        <v>48.0</v>
      </c>
      <c r="C5587" s="44">
        <v>40.7</v>
      </c>
      <c r="D5587" s="46">
        <v>45279.0</v>
      </c>
      <c r="E5587" s="24">
        <v>0.85</v>
      </c>
      <c r="F5587" s="24">
        <v>656.45</v>
      </c>
      <c r="G5587" s="24">
        <v>77.42</v>
      </c>
      <c r="H5587" s="24" t="s">
        <v>6705</v>
      </c>
      <c r="I5587" s="24">
        <v>8.14</v>
      </c>
      <c r="J5587" s="24">
        <v>2.0</v>
      </c>
    </row>
    <row r="5588">
      <c r="A5588" s="24">
        <v>28.0</v>
      </c>
      <c r="B5588" s="24">
        <v>0.0</v>
      </c>
      <c r="C5588" s="44">
        <v>13.63</v>
      </c>
      <c r="D5588" s="46">
        <v>45279.0</v>
      </c>
      <c r="E5588" s="24" t="s">
        <v>6650</v>
      </c>
      <c r="F5588" s="24">
        <v>486.79</v>
      </c>
      <c r="G5588" s="24">
        <v>0.0</v>
      </c>
      <c r="H5588" s="24" t="s">
        <v>6695</v>
      </c>
      <c r="I5588" s="24" t="s">
        <v>6650</v>
      </c>
      <c r="J5588" s="24">
        <v>0.0</v>
      </c>
    </row>
    <row r="5589">
      <c r="A5589" s="24">
        <v>47.0</v>
      </c>
      <c r="B5589" s="24">
        <v>42.0</v>
      </c>
      <c r="C5589" s="44">
        <v>31.58</v>
      </c>
      <c r="D5589" s="46">
        <v>45280.0</v>
      </c>
      <c r="E5589" s="24">
        <v>0.75</v>
      </c>
      <c r="F5589" s="24">
        <v>671.91</v>
      </c>
      <c r="G5589" s="24">
        <v>89.36</v>
      </c>
      <c r="H5589" s="24" t="s">
        <v>6705</v>
      </c>
      <c r="I5589" s="24" t="s">
        <v>6650</v>
      </c>
      <c r="J5589" s="24">
        <v>2.0</v>
      </c>
    </row>
    <row r="5590">
      <c r="A5590" s="24">
        <v>20.0</v>
      </c>
      <c r="B5590" s="24">
        <v>0.0</v>
      </c>
      <c r="C5590" s="44">
        <v>12.31</v>
      </c>
      <c r="D5590" s="46">
        <v>45280.0</v>
      </c>
      <c r="E5590" s="24" t="s">
        <v>6650</v>
      </c>
      <c r="F5590" s="24">
        <v>615.5</v>
      </c>
      <c r="G5590" s="24">
        <v>0.0</v>
      </c>
      <c r="H5590" s="24" t="s">
        <v>6697</v>
      </c>
      <c r="I5590" s="24" t="s">
        <v>6650</v>
      </c>
      <c r="J5590" s="24">
        <v>0.0</v>
      </c>
    </row>
    <row r="5591">
      <c r="A5591" s="24">
        <v>43.0</v>
      </c>
      <c r="B5591" s="24">
        <v>0.0</v>
      </c>
      <c r="C5591" s="44">
        <v>11.75</v>
      </c>
      <c r="D5591" s="46">
        <v>45280.0</v>
      </c>
      <c r="E5591" s="24" t="s">
        <v>6650</v>
      </c>
      <c r="F5591" s="24">
        <v>273.26</v>
      </c>
      <c r="G5591" s="24">
        <v>0.0</v>
      </c>
      <c r="H5591" s="24" t="s">
        <v>6696</v>
      </c>
      <c r="I5591" s="24" t="s">
        <v>6650</v>
      </c>
      <c r="J5591" s="24">
        <v>0.0</v>
      </c>
    </row>
    <row r="5592">
      <c r="A5592" s="24">
        <v>27.0</v>
      </c>
      <c r="B5592" s="24">
        <v>0.0</v>
      </c>
      <c r="C5592" s="44">
        <v>13.23</v>
      </c>
      <c r="D5592" s="46">
        <v>45280.0</v>
      </c>
      <c r="E5592" s="24" t="s">
        <v>6650</v>
      </c>
      <c r="F5592" s="24">
        <v>490.0</v>
      </c>
      <c r="G5592" s="24">
        <v>0.0</v>
      </c>
      <c r="H5592" s="24" t="s">
        <v>6695</v>
      </c>
      <c r="I5592" s="24" t="s">
        <v>6650</v>
      </c>
      <c r="J5592" s="24">
        <v>0.0</v>
      </c>
    </row>
    <row r="5593">
      <c r="A5593" s="24">
        <v>0.0</v>
      </c>
      <c r="B5593" s="24">
        <v>2.0</v>
      </c>
      <c r="C5593" s="44">
        <v>0.0</v>
      </c>
      <c r="D5593" s="46">
        <v>45280.0</v>
      </c>
      <c r="E5593" s="24">
        <v>0.0</v>
      </c>
      <c r="F5593" s="24" t="s">
        <v>6650</v>
      </c>
      <c r="G5593" s="24" t="s">
        <v>6650</v>
      </c>
      <c r="H5593" s="24" t="s">
        <v>6703</v>
      </c>
      <c r="I5593" s="24" t="s">
        <v>6650</v>
      </c>
      <c r="J5593" s="24">
        <v>0.0</v>
      </c>
    </row>
    <row r="5594">
      <c r="A5594" s="24">
        <v>46.0</v>
      </c>
      <c r="B5594" s="24">
        <v>0.0</v>
      </c>
      <c r="C5594" s="44">
        <v>12.2</v>
      </c>
      <c r="D5594" s="46">
        <v>45281.0</v>
      </c>
      <c r="E5594" s="24" t="s">
        <v>6650</v>
      </c>
      <c r="F5594" s="24">
        <v>265.22</v>
      </c>
      <c r="G5594" s="24">
        <v>0.0</v>
      </c>
      <c r="H5594" s="24" t="s">
        <v>6696</v>
      </c>
      <c r="I5594" s="24" t="s">
        <v>6650</v>
      </c>
      <c r="J5594" s="24">
        <v>0.0</v>
      </c>
    </row>
    <row r="5595">
      <c r="A5595" s="24">
        <v>31.0</v>
      </c>
      <c r="B5595" s="24">
        <v>0.0</v>
      </c>
      <c r="C5595" s="44">
        <v>11.91</v>
      </c>
      <c r="D5595" s="46">
        <v>45281.0</v>
      </c>
      <c r="E5595" s="24" t="s">
        <v>6650</v>
      </c>
      <c r="F5595" s="24">
        <v>384.19</v>
      </c>
      <c r="G5595" s="24">
        <v>0.0</v>
      </c>
      <c r="H5595" s="24" t="s">
        <v>6697</v>
      </c>
      <c r="I5595" s="24" t="s">
        <v>6650</v>
      </c>
      <c r="J5595" s="24">
        <v>0.0</v>
      </c>
    </row>
    <row r="5596">
      <c r="A5596" s="24">
        <v>14.0</v>
      </c>
      <c r="B5596" s="24">
        <v>0.0</v>
      </c>
      <c r="C5596" s="44">
        <v>10.69</v>
      </c>
      <c r="D5596" s="46">
        <v>45281.0</v>
      </c>
      <c r="E5596" s="24" t="s">
        <v>6650</v>
      </c>
      <c r="F5596" s="24">
        <v>763.57</v>
      </c>
      <c r="G5596" s="24">
        <v>0.0</v>
      </c>
      <c r="H5596" s="24" t="s">
        <v>6695</v>
      </c>
      <c r="I5596" s="24" t="s">
        <v>6650</v>
      </c>
      <c r="J5596" s="24">
        <v>0.0</v>
      </c>
    </row>
    <row r="5597">
      <c r="A5597" s="24">
        <v>0.0</v>
      </c>
      <c r="B5597" s="24">
        <v>3.0</v>
      </c>
      <c r="C5597" s="44">
        <v>0.0</v>
      </c>
      <c r="D5597" s="46">
        <v>45281.0</v>
      </c>
      <c r="E5597" s="24">
        <v>0.0</v>
      </c>
      <c r="F5597" s="24" t="s">
        <v>6650</v>
      </c>
      <c r="G5597" s="24" t="s">
        <v>6650</v>
      </c>
      <c r="H5597" s="24" t="s">
        <v>6703</v>
      </c>
      <c r="I5597" s="24" t="s">
        <v>6650</v>
      </c>
      <c r="J5597" s="24">
        <v>0.0</v>
      </c>
    </row>
    <row r="5598">
      <c r="A5598" s="24">
        <v>65.0</v>
      </c>
      <c r="B5598" s="24">
        <v>36.0</v>
      </c>
      <c r="C5598" s="44">
        <v>40.58</v>
      </c>
      <c r="D5598" s="46">
        <v>45281.0</v>
      </c>
      <c r="E5598" s="24">
        <v>1.13</v>
      </c>
      <c r="F5598" s="24">
        <v>624.31</v>
      </c>
      <c r="G5598" s="24">
        <v>55.38</v>
      </c>
      <c r="H5598" s="24" t="s">
        <v>6705</v>
      </c>
      <c r="I5598" s="24">
        <v>20.29</v>
      </c>
      <c r="J5598" s="24">
        <v>4.0</v>
      </c>
    </row>
    <row r="5599">
      <c r="A5599" s="24">
        <v>18.0</v>
      </c>
      <c r="B5599" s="24">
        <v>0.0</v>
      </c>
      <c r="C5599" s="44">
        <v>10.14</v>
      </c>
      <c r="D5599" s="46">
        <v>45282.0</v>
      </c>
      <c r="E5599" s="24" t="s">
        <v>6650</v>
      </c>
      <c r="F5599" s="24">
        <v>563.33</v>
      </c>
      <c r="G5599" s="24">
        <v>0.0</v>
      </c>
      <c r="H5599" s="24" t="s">
        <v>6695</v>
      </c>
      <c r="I5599" s="24" t="s">
        <v>6650</v>
      </c>
      <c r="J5599" s="24">
        <v>0.0</v>
      </c>
    </row>
    <row r="5600">
      <c r="A5600" s="24">
        <v>63.0</v>
      </c>
      <c r="B5600" s="24">
        <v>33.0</v>
      </c>
      <c r="C5600" s="44">
        <v>41.35</v>
      </c>
      <c r="D5600" s="46">
        <v>45282.0</v>
      </c>
      <c r="E5600" s="24">
        <v>1.25</v>
      </c>
      <c r="F5600" s="24">
        <v>656.35</v>
      </c>
      <c r="G5600" s="24">
        <v>52.38</v>
      </c>
      <c r="H5600" s="24" t="s">
        <v>6705</v>
      </c>
      <c r="I5600" s="24" t="s">
        <v>6650</v>
      </c>
      <c r="J5600" s="24">
        <v>1.0</v>
      </c>
    </row>
    <row r="5601">
      <c r="A5601" s="24">
        <v>45.0</v>
      </c>
      <c r="B5601" s="24">
        <v>0.0</v>
      </c>
      <c r="C5601" s="44">
        <v>10.72</v>
      </c>
      <c r="D5601" s="46">
        <v>45282.0</v>
      </c>
      <c r="E5601" s="24" t="s">
        <v>6650</v>
      </c>
      <c r="F5601" s="24">
        <v>238.22</v>
      </c>
      <c r="G5601" s="24">
        <v>0.0</v>
      </c>
      <c r="H5601" s="24" t="s">
        <v>6696</v>
      </c>
      <c r="I5601" s="24">
        <v>10.72</v>
      </c>
      <c r="J5601" s="24">
        <v>0.0</v>
      </c>
    </row>
    <row r="5602">
      <c r="A5602" s="24">
        <v>18.0</v>
      </c>
      <c r="B5602" s="24">
        <v>0.0</v>
      </c>
      <c r="C5602" s="44">
        <v>13.97</v>
      </c>
      <c r="D5602" s="46">
        <v>45282.0</v>
      </c>
      <c r="E5602" s="24" t="s">
        <v>6650</v>
      </c>
      <c r="F5602" s="24">
        <v>776.11</v>
      </c>
      <c r="G5602" s="24">
        <v>0.0</v>
      </c>
      <c r="H5602" s="24" t="s">
        <v>6697</v>
      </c>
      <c r="I5602" s="24" t="s">
        <v>6650</v>
      </c>
      <c r="J5602" s="24">
        <v>0.0</v>
      </c>
    </row>
    <row r="5603">
      <c r="A5603" s="24">
        <v>12.0</v>
      </c>
      <c r="B5603" s="24">
        <v>0.0</v>
      </c>
      <c r="C5603" s="44">
        <v>8.2</v>
      </c>
      <c r="D5603" s="46">
        <v>45283.0</v>
      </c>
      <c r="E5603" s="24" t="s">
        <v>6650</v>
      </c>
      <c r="F5603" s="24">
        <v>683.33</v>
      </c>
      <c r="G5603" s="24">
        <v>0.0</v>
      </c>
      <c r="H5603" s="24" t="s">
        <v>6696</v>
      </c>
      <c r="I5603" s="24" t="s">
        <v>6650</v>
      </c>
      <c r="J5603" s="24">
        <v>0.0</v>
      </c>
    </row>
    <row r="5604">
      <c r="A5604" s="24">
        <v>44.0</v>
      </c>
      <c r="B5604" s="24">
        <v>24.0</v>
      </c>
      <c r="C5604" s="44">
        <v>29.42</v>
      </c>
      <c r="D5604" s="46">
        <v>45283.0</v>
      </c>
      <c r="E5604" s="24">
        <v>1.23</v>
      </c>
      <c r="F5604" s="24">
        <v>668.64</v>
      </c>
      <c r="G5604" s="24">
        <v>54.55</v>
      </c>
      <c r="H5604" s="24" t="s">
        <v>6705</v>
      </c>
      <c r="I5604" s="24" t="s">
        <v>6650</v>
      </c>
      <c r="J5604" s="24">
        <v>0.0</v>
      </c>
    </row>
    <row r="5605">
      <c r="A5605" s="24">
        <v>19.0</v>
      </c>
      <c r="B5605" s="24">
        <v>0.0</v>
      </c>
      <c r="C5605" s="44">
        <v>4.42</v>
      </c>
      <c r="D5605" s="46">
        <v>45283.0</v>
      </c>
      <c r="E5605" s="24" t="s">
        <v>6650</v>
      </c>
      <c r="F5605" s="24">
        <v>232.63</v>
      </c>
      <c r="G5605" s="24">
        <v>0.0</v>
      </c>
      <c r="H5605" s="24" t="s">
        <v>6695</v>
      </c>
      <c r="I5605" s="24" t="s">
        <v>6650</v>
      </c>
      <c r="J5605" s="24">
        <v>0.0</v>
      </c>
    </row>
    <row r="5606">
      <c r="A5606" s="24">
        <v>0.0</v>
      </c>
      <c r="B5606" s="24">
        <v>1.0</v>
      </c>
      <c r="C5606" s="44">
        <v>0.0</v>
      </c>
      <c r="D5606" s="46">
        <v>45283.0</v>
      </c>
      <c r="E5606" s="24">
        <v>0.0</v>
      </c>
      <c r="F5606" s="24" t="s">
        <v>6650</v>
      </c>
      <c r="G5606" s="24" t="s">
        <v>6650</v>
      </c>
      <c r="H5606" s="24" t="s">
        <v>6703</v>
      </c>
      <c r="I5606" s="24" t="s">
        <v>6650</v>
      </c>
      <c r="J5606" s="24">
        <v>0.0</v>
      </c>
    </row>
    <row r="5607">
      <c r="A5607" s="24">
        <v>12.0</v>
      </c>
      <c r="B5607" s="24">
        <v>0.0</v>
      </c>
      <c r="C5607" s="44">
        <v>4.99</v>
      </c>
      <c r="D5607" s="46">
        <v>45283.0</v>
      </c>
      <c r="E5607" s="24" t="s">
        <v>6650</v>
      </c>
      <c r="F5607" s="24">
        <v>415.83</v>
      </c>
      <c r="G5607" s="24">
        <v>0.0</v>
      </c>
      <c r="H5607" s="24" t="s">
        <v>6697</v>
      </c>
      <c r="I5607" s="24" t="s">
        <v>6650</v>
      </c>
      <c r="J5607" s="24">
        <v>0.0</v>
      </c>
    </row>
    <row r="5608">
      <c r="A5608" s="24">
        <v>5.0</v>
      </c>
      <c r="B5608" s="24">
        <v>0.0</v>
      </c>
      <c r="C5608" s="44">
        <v>2.89</v>
      </c>
      <c r="D5608" s="46">
        <v>45284.0</v>
      </c>
      <c r="E5608" s="24" t="s">
        <v>6650</v>
      </c>
      <c r="F5608" s="24">
        <v>578.0</v>
      </c>
      <c r="G5608" s="24">
        <v>0.0</v>
      </c>
      <c r="H5608" s="24" t="s">
        <v>6695</v>
      </c>
      <c r="I5608" s="24" t="s">
        <v>6650</v>
      </c>
      <c r="J5608" s="24">
        <v>0.0</v>
      </c>
    </row>
    <row r="5609">
      <c r="A5609" s="24">
        <v>9.0</v>
      </c>
      <c r="B5609" s="24">
        <v>0.0</v>
      </c>
      <c r="C5609" s="44">
        <v>1.02</v>
      </c>
      <c r="D5609" s="46">
        <v>45284.0</v>
      </c>
      <c r="E5609" s="24" t="s">
        <v>6650</v>
      </c>
      <c r="F5609" s="24">
        <v>113.33</v>
      </c>
      <c r="G5609" s="24">
        <v>0.0</v>
      </c>
      <c r="H5609" s="24" t="s">
        <v>6697</v>
      </c>
      <c r="I5609" s="24" t="s">
        <v>6650</v>
      </c>
      <c r="J5609" s="24">
        <v>0.0</v>
      </c>
    </row>
    <row r="5610">
      <c r="A5610" s="24">
        <v>11.0</v>
      </c>
      <c r="B5610" s="24">
        <v>0.0</v>
      </c>
      <c r="C5610" s="44">
        <v>0.58</v>
      </c>
      <c r="D5610" s="46">
        <v>45284.0</v>
      </c>
      <c r="E5610" s="24" t="s">
        <v>6650</v>
      </c>
      <c r="F5610" s="24">
        <v>52.73</v>
      </c>
      <c r="G5610" s="24">
        <v>0.0</v>
      </c>
      <c r="H5610" s="24" t="s">
        <v>6696</v>
      </c>
      <c r="I5610" s="24" t="s">
        <v>6650</v>
      </c>
      <c r="J5610" s="24">
        <v>0.0</v>
      </c>
    </row>
    <row r="5611">
      <c r="A5611" s="24">
        <v>32.0</v>
      </c>
      <c r="B5611" s="24">
        <v>17.0</v>
      </c>
      <c r="C5611" s="44">
        <v>20.07</v>
      </c>
      <c r="D5611" s="46">
        <v>45284.0</v>
      </c>
      <c r="E5611" s="24">
        <v>1.18</v>
      </c>
      <c r="F5611" s="24">
        <v>627.19</v>
      </c>
      <c r="G5611" s="24">
        <v>53.12</v>
      </c>
      <c r="H5611" s="24" t="s">
        <v>6705</v>
      </c>
      <c r="I5611" s="24">
        <v>20.07</v>
      </c>
      <c r="J5611" s="24">
        <v>3.0</v>
      </c>
    </row>
    <row r="5612">
      <c r="A5612" s="24">
        <v>25.0</v>
      </c>
      <c r="B5612" s="24">
        <v>0.0</v>
      </c>
      <c r="C5612" s="44">
        <v>12.12</v>
      </c>
      <c r="D5612" s="46">
        <v>45285.0</v>
      </c>
      <c r="E5612" s="24" t="s">
        <v>6650</v>
      </c>
      <c r="F5612" s="24">
        <v>484.8</v>
      </c>
      <c r="G5612" s="24">
        <v>0.0</v>
      </c>
      <c r="H5612" s="24" t="s">
        <v>6695</v>
      </c>
      <c r="I5612" s="24" t="s">
        <v>6650</v>
      </c>
      <c r="J5612" s="24">
        <v>0.0</v>
      </c>
    </row>
    <row r="5613">
      <c r="A5613" s="24">
        <v>41.0</v>
      </c>
      <c r="B5613" s="24">
        <v>1.0</v>
      </c>
      <c r="C5613" s="44">
        <v>12.91</v>
      </c>
      <c r="D5613" s="46">
        <v>45285.0</v>
      </c>
      <c r="E5613" s="24">
        <v>12.91</v>
      </c>
      <c r="F5613" s="24">
        <v>314.88</v>
      </c>
      <c r="G5613" s="24">
        <v>2.44</v>
      </c>
      <c r="H5613" s="24" t="s">
        <v>6696</v>
      </c>
      <c r="I5613" s="24" t="s">
        <v>6650</v>
      </c>
      <c r="J5613" s="24">
        <v>0.0</v>
      </c>
    </row>
    <row r="5614">
      <c r="A5614" s="24">
        <v>6.0</v>
      </c>
      <c r="B5614" s="24">
        <v>8.0</v>
      </c>
      <c r="C5614" s="44">
        <v>4.1</v>
      </c>
      <c r="D5614" s="46">
        <v>45285.0</v>
      </c>
      <c r="E5614" s="24">
        <v>0.51</v>
      </c>
      <c r="F5614" s="24">
        <v>683.33</v>
      </c>
      <c r="G5614" s="24">
        <v>133.33</v>
      </c>
      <c r="H5614" s="24" t="s">
        <v>6705</v>
      </c>
      <c r="I5614" s="24" t="s">
        <v>6650</v>
      </c>
      <c r="J5614" s="24">
        <v>1.0</v>
      </c>
    </row>
    <row r="5615">
      <c r="A5615" s="24">
        <v>20.0</v>
      </c>
      <c r="B5615" s="24">
        <v>0.0</v>
      </c>
      <c r="C5615" s="44">
        <v>15.0</v>
      </c>
      <c r="D5615" s="46">
        <v>45285.0</v>
      </c>
      <c r="E5615" s="24" t="s">
        <v>6650</v>
      </c>
      <c r="F5615" s="24">
        <v>750.0</v>
      </c>
      <c r="G5615" s="24">
        <v>0.0</v>
      </c>
      <c r="H5615" s="24" t="s">
        <v>6697</v>
      </c>
      <c r="I5615" s="24" t="s">
        <v>6650</v>
      </c>
      <c r="J5615" s="24">
        <v>0.0</v>
      </c>
    </row>
    <row r="5616">
      <c r="A5616" s="24">
        <v>21.0</v>
      </c>
      <c r="B5616" s="24">
        <v>1.0</v>
      </c>
      <c r="C5616" s="44">
        <v>12.46</v>
      </c>
      <c r="D5616" s="46">
        <v>45286.0</v>
      </c>
      <c r="E5616" s="24">
        <v>12.46</v>
      </c>
      <c r="F5616" s="24">
        <v>593.33</v>
      </c>
      <c r="G5616" s="24">
        <v>4.76</v>
      </c>
      <c r="H5616" s="24" t="s">
        <v>6695</v>
      </c>
      <c r="I5616" s="24">
        <v>12.46</v>
      </c>
      <c r="J5616" s="24">
        <v>0.0</v>
      </c>
    </row>
    <row r="5617">
      <c r="A5617" s="24">
        <v>20.0</v>
      </c>
      <c r="B5617" s="24">
        <v>0.0</v>
      </c>
      <c r="C5617" s="44">
        <v>13.7</v>
      </c>
      <c r="D5617" s="46">
        <v>45286.0</v>
      </c>
      <c r="E5617" s="24" t="s">
        <v>6650</v>
      </c>
      <c r="F5617" s="24">
        <v>685.0</v>
      </c>
      <c r="G5617" s="24">
        <v>0.0</v>
      </c>
      <c r="H5617" s="24" t="s">
        <v>6697</v>
      </c>
      <c r="I5617" s="24" t="s">
        <v>6650</v>
      </c>
      <c r="J5617" s="24">
        <v>0.0</v>
      </c>
    </row>
    <row r="5618">
      <c r="A5618" s="24">
        <v>34.0</v>
      </c>
      <c r="B5618" s="24">
        <v>0.0</v>
      </c>
      <c r="C5618" s="44">
        <v>13.47</v>
      </c>
      <c r="D5618" s="46">
        <v>45286.0</v>
      </c>
      <c r="E5618" s="24" t="s">
        <v>6650</v>
      </c>
      <c r="F5618" s="24">
        <v>396.18</v>
      </c>
      <c r="G5618" s="24">
        <v>0.0</v>
      </c>
      <c r="H5618" s="24" t="s">
        <v>6696</v>
      </c>
      <c r="I5618" s="24" t="s">
        <v>6650</v>
      </c>
      <c r="J5618" s="24">
        <v>0.0</v>
      </c>
    </row>
    <row r="5619">
      <c r="A5619" s="24">
        <v>0.0</v>
      </c>
      <c r="B5619" s="24">
        <v>12.0</v>
      </c>
      <c r="C5619" s="44">
        <v>0.0</v>
      </c>
      <c r="D5619" s="46">
        <v>45286.0</v>
      </c>
      <c r="E5619" s="24">
        <v>0.0</v>
      </c>
      <c r="F5619" s="24" t="s">
        <v>6650</v>
      </c>
      <c r="G5619" s="24" t="s">
        <v>6650</v>
      </c>
      <c r="H5619" s="24" t="s">
        <v>6705</v>
      </c>
      <c r="I5619" s="24" t="s">
        <v>6650</v>
      </c>
      <c r="J5619" s="24">
        <v>0.0</v>
      </c>
    </row>
    <row r="5620">
      <c r="A5620" s="24">
        <v>0.0</v>
      </c>
      <c r="B5620" s="24">
        <v>1.0</v>
      </c>
      <c r="C5620" s="44">
        <v>0.0</v>
      </c>
      <c r="D5620" s="46">
        <v>45286.0</v>
      </c>
      <c r="E5620" s="24">
        <v>0.0</v>
      </c>
      <c r="F5620" s="24" t="s">
        <v>6650</v>
      </c>
      <c r="G5620" s="24" t="s">
        <v>6650</v>
      </c>
      <c r="H5620" s="24" t="s">
        <v>6703</v>
      </c>
      <c r="I5620" s="24" t="s">
        <v>6650</v>
      </c>
      <c r="J5620" s="24">
        <v>0.0</v>
      </c>
    </row>
    <row r="5621">
      <c r="A5621" s="24">
        <v>0.0</v>
      </c>
      <c r="B5621" s="24">
        <v>10.0</v>
      </c>
      <c r="C5621" s="44">
        <v>0.0</v>
      </c>
      <c r="D5621" s="46">
        <v>45287.0</v>
      </c>
      <c r="E5621" s="24">
        <v>0.0</v>
      </c>
      <c r="F5621" s="24" t="s">
        <v>6650</v>
      </c>
      <c r="G5621" s="24" t="s">
        <v>6650</v>
      </c>
      <c r="H5621" s="24" t="s">
        <v>6705</v>
      </c>
      <c r="I5621" s="24" t="s">
        <v>6650</v>
      </c>
      <c r="J5621" s="24">
        <v>0.0</v>
      </c>
    </row>
    <row r="5622">
      <c r="A5622" s="24">
        <v>27.0</v>
      </c>
      <c r="B5622" s="24">
        <v>0.0</v>
      </c>
      <c r="C5622" s="44">
        <v>11.59</v>
      </c>
      <c r="D5622" s="46">
        <v>45287.0</v>
      </c>
      <c r="E5622" s="24" t="s">
        <v>6650</v>
      </c>
      <c r="F5622" s="24">
        <v>429.26</v>
      </c>
      <c r="G5622" s="24">
        <v>0.0</v>
      </c>
      <c r="H5622" s="24" t="s">
        <v>6696</v>
      </c>
      <c r="I5622" s="24" t="s">
        <v>6650</v>
      </c>
      <c r="J5622" s="24">
        <v>0.0</v>
      </c>
    </row>
    <row r="5623">
      <c r="A5623" s="24">
        <v>23.0</v>
      </c>
      <c r="B5623" s="24">
        <v>0.0</v>
      </c>
      <c r="C5623" s="44">
        <v>14.86</v>
      </c>
      <c r="D5623" s="46">
        <v>45287.0</v>
      </c>
      <c r="E5623" s="24" t="s">
        <v>6650</v>
      </c>
      <c r="F5623" s="24">
        <v>646.09</v>
      </c>
      <c r="G5623" s="24">
        <v>0.0</v>
      </c>
      <c r="H5623" s="24" t="s">
        <v>6695</v>
      </c>
      <c r="I5623" s="24" t="s">
        <v>6650</v>
      </c>
      <c r="J5623" s="24">
        <v>0.0</v>
      </c>
    </row>
    <row r="5624">
      <c r="A5624" s="24">
        <v>25.0</v>
      </c>
      <c r="B5624" s="24">
        <v>0.0</v>
      </c>
      <c r="C5624" s="44">
        <v>11.98</v>
      </c>
      <c r="D5624" s="46">
        <v>45287.0</v>
      </c>
      <c r="E5624" s="24" t="s">
        <v>6650</v>
      </c>
      <c r="F5624" s="24">
        <v>479.2</v>
      </c>
      <c r="G5624" s="24">
        <v>0.0</v>
      </c>
      <c r="H5624" s="24" t="s">
        <v>6697</v>
      </c>
      <c r="I5624" s="24" t="s">
        <v>6650</v>
      </c>
      <c r="J5624" s="24">
        <v>0.0</v>
      </c>
    </row>
    <row r="5625">
      <c r="A5625" s="24">
        <v>21.0</v>
      </c>
      <c r="B5625" s="24">
        <v>0.0</v>
      </c>
      <c r="C5625" s="44">
        <v>12.3</v>
      </c>
      <c r="D5625" s="46">
        <v>45288.0</v>
      </c>
      <c r="E5625" s="24" t="s">
        <v>6650</v>
      </c>
      <c r="F5625" s="24">
        <v>585.71</v>
      </c>
      <c r="G5625" s="24">
        <v>0.0</v>
      </c>
      <c r="H5625" s="24" t="s">
        <v>6697</v>
      </c>
      <c r="I5625" s="24" t="s">
        <v>6650</v>
      </c>
      <c r="J5625" s="24">
        <v>0.0</v>
      </c>
    </row>
    <row r="5626">
      <c r="A5626" s="24">
        <v>0.0</v>
      </c>
      <c r="B5626" s="24">
        <v>1.0</v>
      </c>
      <c r="C5626" s="44">
        <v>0.0</v>
      </c>
      <c r="D5626" s="46">
        <v>45288.0</v>
      </c>
      <c r="E5626" s="24">
        <v>0.0</v>
      </c>
      <c r="F5626" s="24" t="s">
        <v>6650</v>
      </c>
      <c r="G5626" s="24" t="s">
        <v>6650</v>
      </c>
      <c r="H5626" s="24" t="s">
        <v>6703</v>
      </c>
      <c r="I5626" s="24" t="s">
        <v>6650</v>
      </c>
      <c r="J5626" s="24">
        <v>0.0</v>
      </c>
    </row>
    <row r="5627">
      <c r="A5627" s="24">
        <v>40.0</v>
      </c>
      <c r="B5627" s="24">
        <v>3.0</v>
      </c>
      <c r="C5627" s="44">
        <v>13.56</v>
      </c>
      <c r="D5627" s="46">
        <v>45288.0</v>
      </c>
      <c r="E5627" s="24">
        <v>4.52</v>
      </c>
      <c r="F5627" s="24">
        <v>339.0</v>
      </c>
      <c r="G5627" s="24">
        <v>7.5</v>
      </c>
      <c r="H5627" s="24" t="s">
        <v>6696</v>
      </c>
      <c r="I5627" s="24" t="s">
        <v>6650</v>
      </c>
      <c r="J5627" s="24">
        <v>0.0</v>
      </c>
    </row>
    <row r="5628">
      <c r="A5628" s="24">
        <v>16.0</v>
      </c>
      <c r="B5628" s="24">
        <v>0.0</v>
      </c>
      <c r="C5628" s="44">
        <v>13.69</v>
      </c>
      <c r="D5628" s="46">
        <v>45288.0</v>
      </c>
      <c r="E5628" s="24" t="s">
        <v>6650</v>
      </c>
      <c r="F5628" s="24">
        <v>855.62</v>
      </c>
      <c r="G5628" s="24">
        <v>0.0</v>
      </c>
      <c r="H5628" s="24" t="s">
        <v>6695</v>
      </c>
      <c r="I5628" s="24" t="s">
        <v>6650</v>
      </c>
      <c r="J5628" s="24">
        <v>0.0</v>
      </c>
    </row>
    <row r="5629">
      <c r="A5629" s="24">
        <v>0.0</v>
      </c>
      <c r="B5629" s="24">
        <v>6.0</v>
      </c>
      <c r="C5629" s="44">
        <v>0.0</v>
      </c>
      <c r="D5629" s="46">
        <v>45288.0</v>
      </c>
      <c r="E5629" s="24">
        <v>0.0</v>
      </c>
      <c r="F5629" s="24" t="s">
        <v>6650</v>
      </c>
      <c r="G5629" s="24" t="s">
        <v>6650</v>
      </c>
      <c r="H5629" s="24" t="s">
        <v>6705</v>
      </c>
      <c r="I5629" s="24" t="s">
        <v>6650</v>
      </c>
      <c r="J5629" s="24">
        <v>0.0</v>
      </c>
    </row>
    <row r="5630">
      <c r="A5630" s="24">
        <v>0.0</v>
      </c>
      <c r="B5630" s="24">
        <v>2.0</v>
      </c>
      <c r="C5630" s="44">
        <v>0.0</v>
      </c>
      <c r="D5630" s="46">
        <v>45289.0</v>
      </c>
      <c r="E5630" s="24">
        <v>0.0</v>
      </c>
      <c r="F5630" s="24" t="s">
        <v>6650</v>
      </c>
      <c r="G5630" s="24" t="s">
        <v>6650</v>
      </c>
      <c r="H5630" s="24" t="s">
        <v>6705</v>
      </c>
      <c r="I5630" s="24" t="s">
        <v>6650</v>
      </c>
      <c r="J5630" s="24">
        <v>0.0</v>
      </c>
    </row>
    <row r="5631">
      <c r="A5631" s="24">
        <v>24.0</v>
      </c>
      <c r="B5631" s="24">
        <v>0.0</v>
      </c>
      <c r="C5631" s="44">
        <v>9.86</v>
      </c>
      <c r="D5631" s="46">
        <v>45289.0</v>
      </c>
      <c r="E5631" s="24" t="s">
        <v>6650</v>
      </c>
      <c r="F5631" s="24">
        <v>410.83</v>
      </c>
      <c r="G5631" s="24">
        <v>0.0</v>
      </c>
      <c r="H5631" s="24" t="s">
        <v>6696</v>
      </c>
      <c r="I5631" s="24" t="s">
        <v>6650</v>
      </c>
      <c r="J5631" s="24">
        <v>0.0</v>
      </c>
    </row>
    <row r="5632">
      <c r="A5632" s="24">
        <v>18.0</v>
      </c>
      <c r="B5632" s="24">
        <v>1.0</v>
      </c>
      <c r="C5632" s="44">
        <v>9.56</v>
      </c>
      <c r="D5632" s="46">
        <v>45289.0</v>
      </c>
      <c r="E5632" s="24">
        <v>9.56</v>
      </c>
      <c r="F5632" s="24">
        <v>531.11</v>
      </c>
      <c r="G5632" s="24">
        <v>5.56</v>
      </c>
      <c r="H5632" s="24" t="s">
        <v>6695</v>
      </c>
      <c r="I5632" s="24" t="s">
        <v>6650</v>
      </c>
      <c r="J5632" s="24">
        <v>0.0</v>
      </c>
    </row>
    <row r="5633">
      <c r="A5633" s="24">
        <v>17.0</v>
      </c>
      <c r="B5633" s="24">
        <v>2.0</v>
      </c>
      <c r="C5633" s="44">
        <v>10.15</v>
      </c>
      <c r="D5633" s="46">
        <v>45289.0</v>
      </c>
      <c r="E5633" s="24">
        <v>5.08</v>
      </c>
      <c r="F5633" s="24">
        <v>597.06</v>
      </c>
      <c r="G5633" s="24">
        <v>11.76</v>
      </c>
      <c r="H5633" s="24" t="s">
        <v>6697</v>
      </c>
      <c r="I5633" s="24" t="s">
        <v>6650</v>
      </c>
      <c r="J5633" s="24">
        <v>0.0</v>
      </c>
    </row>
    <row r="5634">
      <c r="A5634" s="24">
        <v>33.0</v>
      </c>
      <c r="B5634" s="24">
        <v>0.0</v>
      </c>
      <c r="C5634" s="44">
        <v>5.41</v>
      </c>
      <c r="D5634" s="46">
        <v>45290.0</v>
      </c>
      <c r="E5634" s="24" t="s">
        <v>6650</v>
      </c>
      <c r="F5634" s="24">
        <v>163.94</v>
      </c>
      <c r="G5634" s="24">
        <v>0.0</v>
      </c>
      <c r="H5634" s="24" t="s">
        <v>6696</v>
      </c>
      <c r="I5634" s="24" t="s">
        <v>6650</v>
      </c>
      <c r="J5634" s="24">
        <v>0.0</v>
      </c>
    </row>
    <row r="5635">
      <c r="A5635" s="24">
        <v>14.0</v>
      </c>
      <c r="B5635" s="24">
        <v>0.0</v>
      </c>
      <c r="C5635" s="44">
        <v>4.81</v>
      </c>
      <c r="D5635" s="46">
        <v>45290.0</v>
      </c>
      <c r="E5635" s="24" t="s">
        <v>6650</v>
      </c>
      <c r="F5635" s="24">
        <v>343.57</v>
      </c>
      <c r="G5635" s="24">
        <v>0.0</v>
      </c>
      <c r="H5635" s="24" t="s">
        <v>6695</v>
      </c>
      <c r="I5635" s="24" t="s">
        <v>6650</v>
      </c>
      <c r="J5635" s="24">
        <v>0.0</v>
      </c>
    </row>
    <row r="5636">
      <c r="A5636" s="24">
        <v>15.0</v>
      </c>
      <c r="B5636" s="24">
        <v>0.0</v>
      </c>
      <c r="C5636" s="44">
        <v>5.32</v>
      </c>
      <c r="D5636" s="46">
        <v>45290.0</v>
      </c>
      <c r="E5636" s="24" t="s">
        <v>6650</v>
      </c>
      <c r="F5636" s="24">
        <v>354.67</v>
      </c>
      <c r="G5636" s="24">
        <v>0.0</v>
      </c>
      <c r="H5636" s="24" t="s">
        <v>6697</v>
      </c>
      <c r="I5636" s="24" t="s">
        <v>6650</v>
      </c>
      <c r="J5636" s="24">
        <v>0.0</v>
      </c>
    </row>
    <row r="5637">
      <c r="A5637" s="24">
        <v>0.0</v>
      </c>
      <c r="B5637" s="24">
        <v>2.0</v>
      </c>
      <c r="C5637" s="44">
        <v>0.0</v>
      </c>
      <c r="D5637" s="46">
        <v>45290.0</v>
      </c>
      <c r="E5637" s="24">
        <v>0.0</v>
      </c>
      <c r="F5637" s="24" t="s">
        <v>6650</v>
      </c>
      <c r="G5637" s="24" t="s">
        <v>6650</v>
      </c>
      <c r="H5637" s="24" t="s">
        <v>6705</v>
      </c>
      <c r="I5637" s="24" t="s">
        <v>6650</v>
      </c>
      <c r="J5637" s="24">
        <v>0.0</v>
      </c>
    </row>
    <row r="5638">
      <c r="A5638" s="24">
        <v>12.0</v>
      </c>
      <c r="B5638" s="24">
        <v>0.0</v>
      </c>
      <c r="C5638" s="44">
        <v>3.2</v>
      </c>
      <c r="D5638" s="46">
        <v>45291.0</v>
      </c>
      <c r="E5638" s="24" t="s">
        <v>6650</v>
      </c>
      <c r="F5638" s="24">
        <v>266.67</v>
      </c>
      <c r="G5638" s="24">
        <v>0.0</v>
      </c>
      <c r="H5638" s="24" t="s">
        <v>6696</v>
      </c>
      <c r="I5638" s="24" t="s">
        <v>6650</v>
      </c>
      <c r="J5638" s="24">
        <v>0.0</v>
      </c>
    </row>
    <row r="5639">
      <c r="A5639" s="24">
        <v>7.0</v>
      </c>
      <c r="B5639" s="24">
        <v>0.0</v>
      </c>
      <c r="C5639" s="44">
        <v>1.55</v>
      </c>
      <c r="D5639" s="46">
        <v>45291.0</v>
      </c>
      <c r="E5639" s="24" t="s">
        <v>6650</v>
      </c>
      <c r="F5639" s="24">
        <v>221.43</v>
      </c>
      <c r="G5639" s="24">
        <v>0.0</v>
      </c>
      <c r="H5639" s="24" t="s">
        <v>6697</v>
      </c>
      <c r="I5639" s="24" t="s">
        <v>6650</v>
      </c>
      <c r="J5639" s="24">
        <v>0.0</v>
      </c>
    </row>
    <row r="5640">
      <c r="A5640" s="24">
        <v>10.0</v>
      </c>
      <c r="B5640" s="24">
        <v>0.0</v>
      </c>
      <c r="C5640" s="44">
        <v>2.5</v>
      </c>
      <c r="D5640" s="46">
        <v>45291.0</v>
      </c>
      <c r="E5640" s="24" t="s">
        <v>6650</v>
      </c>
      <c r="F5640" s="24">
        <v>250.0</v>
      </c>
      <c r="G5640" s="24">
        <v>0.0</v>
      </c>
      <c r="H5640" s="24" t="s">
        <v>6695</v>
      </c>
      <c r="I5640" s="24" t="s">
        <v>6650</v>
      </c>
      <c r="J5640" s="24">
        <v>0.0</v>
      </c>
    </row>
    <row r="5641">
      <c r="A5641" s="24">
        <v>0.0</v>
      </c>
      <c r="B5641" s="24">
        <v>4.0</v>
      </c>
      <c r="C5641" s="44">
        <v>0.0</v>
      </c>
      <c r="D5641" s="46">
        <v>45291.0</v>
      </c>
      <c r="E5641" s="24">
        <v>0.0</v>
      </c>
      <c r="F5641" s="24" t="s">
        <v>6650</v>
      </c>
      <c r="G5641" s="24" t="s">
        <v>6650</v>
      </c>
      <c r="H5641" s="24" t="s">
        <v>6705</v>
      </c>
      <c r="I5641" s="24" t="s">
        <v>6650</v>
      </c>
      <c r="J5641" s="24">
        <v>0.0</v>
      </c>
    </row>
    <row r="5642">
      <c r="A5642" s="24">
        <v>0.0</v>
      </c>
      <c r="B5642" s="24">
        <v>3.0</v>
      </c>
      <c r="C5642" s="44">
        <v>0.0</v>
      </c>
      <c r="D5642" s="46">
        <v>45292.0</v>
      </c>
      <c r="E5642" s="24">
        <v>0.0</v>
      </c>
      <c r="F5642" s="24" t="s">
        <v>6650</v>
      </c>
      <c r="G5642" s="24" t="s">
        <v>6650</v>
      </c>
      <c r="H5642" s="24" t="s">
        <v>6705</v>
      </c>
      <c r="I5642" s="24" t="s">
        <v>6650</v>
      </c>
      <c r="J5642" s="24">
        <v>1.0</v>
      </c>
    </row>
    <row r="5643">
      <c r="A5643" s="24">
        <v>37.0</v>
      </c>
      <c r="B5643" s="24">
        <v>0.0</v>
      </c>
      <c r="C5643" s="44">
        <v>15.0</v>
      </c>
      <c r="D5643" s="46">
        <v>45292.0</v>
      </c>
      <c r="E5643" s="24" t="s">
        <v>6650</v>
      </c>
      <c r="F5643" s="24">
        <v>405.41</v>
      </c>
      <c r="G5643" s="24">
        <v>0.0</v>
      </c>
      <c r="H5643" s="24" t="s">
        <v>6697</v>
      </c>
      <c r="I5643" s="24" t="s">
        <v>6650</v>
      </c>
      <c r="J5643" s="24">
        <v>0.0</v>
      </c>
    </row>
    <row r="5644">
      <c r="A5644" s="24">
        <v>19.0</v>
      </c>
      <c r="B5644" s="24">
        <v>0.0</v>
      </c>
      <c r="C5644" s="44">
        <v>13.31</v>
      </c>
      <c r="D5644" s="46">
        <v>45292.0</v>
      </c>
      <c r="E5644" s="24" t="s">
        <v>6650</v>
      </c>
      <c r="F5644" s="24">
        <v>700.53</v>
      </c>
      <c r="G5644" s="24">
        <v>0.0</v>
      </c>
      <c r="H5644" s="24" t="s">
        <v>6695</v>
      </c>
      <c r="I5644" s="24" t="s">
        <v>6650</v>
      </c>
      <c r="J5644" s="24">
        <v>0.0</v>
      </c>
    </row>
    <row r="5645">
      <c r="A5645" s="24">
        <v>73.0</v>
      </c>
      <c r="B5645" s="24">
        <v>0.0</v>
      </c>
      <c r="C5645" s="44">
        <v>12.4</v>
      </c>
      <c r="D5645" s="46">
        <v>45292.0</v>
      </c>
      <c r="E5645" s="24" t="s">
        <v>6650</v>
      </c>
      <c r="F5645" s="24">
        <v>169.86</v>
      </c>
      <c r="G5645" s="24">
        <v>0.0</v>
      </c>
      <c r="H5645" s="24" t="s">
        <v>6696</v>
      </c>
      <c r="I5645" s="24" t="s">
        <v>6650</v>
      </c>
      <c r="J5645" s="24">
        <v>0.0</v>
      </c>
    </row>
    <row r="5646">
      <c r="A5646" s="24">
        <v>0.0</v>
      </c>
      <c r="B5646" s="24">
        <v>22.0</v>
      </c>
      <c r="C5646" s="44">
        <v>0.0</v>
      </c>
      <c r="D5646" s="46">
        <v>45293.0</v>
      </c>
      <c r="E5646" s="24">
        <v>0.0</v>
      </c>
      <c r="F5646" s="24" t="s">
        <v>6650</v>
      </c>
      <c r="G5646" s="24" t="s">
        <v>6650</v>
      </c>
      <c r="H5646" s="24" t="s">
        <v>6705</v>
      </c>
      <c r="I5646" s="24">
        <v>0.0</v>
      </c>
      <c r="J5646" s="24">
        <v>3.0</v>
      </c>
    </row>
    <row r="5647">
      <c r="A5647" s="24">
        <v>36.0</v>
      </c>
      <c r="B5647" s="24">
        <v>1.0</v>
      </c>
      <c r="C5647" s="44">
        <v>11.41</v>
      </c>
      <c r="D5647" s="46">
        <v>45293.0</v>
      </c>
      <c r="E5647" s="24">
        <v>11.41</v>
      </c>
      <c r="F5647" s="24">
        <v>316.94</v>
      </c>
      <c r="G5647" s="24">
        <v>2.78</v>
      </c>
      <c r="H5647" s="24" t="s">
        <v>6696</v>
      </c>
      <c r="I5647" s="24">
        <v>11.41</v>
      </c>
      <c r="J5647" s="24">
        <v>0.0</v>
      </c>
    </row>
    <row r="5648">
      <c r="A5648" s="24">
        <v>21.0</v>
      </c>
      <c r="B5648" s="24">
        <v>0.0</v>
      </c>
      <c r="C5648" s="44">
        <v>8.53</v>
      </c>
      <c r="D5648" s="46">
        <v>45293.0</v>
      </c>
      <c r="E5648" s="24" t="s">
        <v>6650</v>
      </c>
      <c r="F5648" s="24">
        <v>406.19</v>
      </c>
      <c r="G5648" s="24">
        <v>0.0</v>
      </c>
      <c r="H5648" s="24" t="s">
        <v>6697</v>
      </c>
      <c r="I5648" s="24" t="s">
        <v>6650</v>
      </c>
      <c r="J5648" s="24">
        <v>0.0</v>
      </c>
    </row>
    <row r="5649">
      <c r="A5649" s="24">
        <v>16.0</v>
      </c>
      <c r="B5649" s="24">
        <v>0.0</v>
      </c>
      <c r="C5649" s="44">
        <v>10.34</v>
      </c>
      <c r="D5649" s="46">
        <v>45293.0</v>
      </c>
      <c r="E5649" s="24" t="s">
        <v>6650</v>
      </c>
      <c r="F5649" s="24">
        <v>646.25</v>
      </c>
      <c r="G5649" s="24">
        <v>0.0</v>
      </c>
      <c r="H5649" s="24" t="s">
        <v>6695</v>
      </c>
      <c r="I5649" s="24" t="s">
        <v>6650</v>
      </c>
      <c r="J5649" s="24">
        <v>0.0</v>
      </c>
    </row>
    <row r="5650">
      <c r="A5650" s="24">
        <v>0.0</v>
      </c>
      <c r="B5650" s="24">
        <v>0.0</v>
      </c>
      <c r="C5650" s="44"/>
      <c r="D5650" s="46">
        <v>45294.0</v>
      </c>
      <c r="E5650" s="24" t="s">
        <v>6650</v>
      </c>
      <c r="F5650" s="24" t="s">
        <v>6650</v>
      </c>
      <c r="G5650" s="24" t="s">
        <v>6650</v>
      </c>
      <c r="H5650" s="24" t="s">
        <v>6697</v>
      </c>
      <c r="I5650" s="24" t="s">
        <v>6650</v>
      </c>
      <c r="J5650" s="24"/>
    </row>
    <row r="5651">
      <c r="A5651" s="24">
        <v>0.0</v>
      </c>
      <c r="B5651" s="24">
        <v>12.0</v>
      </c>
      <c r="C5651" s="44">
        <v>0.0</v>
      </c>
      <c r="D5651" s="46">
        <v>45294.0</v>
      </c>
      <c r="E5651" s="24">
        <v>0.0</v>
      </c>
      <c r="F5651" s="24" t="s">
        <v>6650</v>
      </c>
      <c r="G5651" s="24" t="s">
        <v>6650</v>
      </c>
      <c r="H5651" s="24" t="s">
        <v>6705</v>
      </c>
      <c r="I5651" s="24">
        <v>0.0</v>
      </c>
      <c r="J5651" s="24">
        <v>1.0</v>
      </c>
    </row>
    <row r="5652">
      <c r="A5652" s="24">
        <v>43.0</v>
      </c>
      <c r="B5652" s="24">
        <v>24.0</v>
      </c>
      <c r="C5652" s="44">
        <v>34.25</v>
      </c>
      <c r="D5652" s="46">
        <v>45295.0</v>
      </c>
      <c r="E5652" s="24">
        <v>1.43</v>
      </c>
      <c r="F5652" s="24">
        <v>796.51</v>
      </c>
      <c r="G5652" s="24">
        <v>55.81</v>
      </c>
      <c r="H5652" s="24" t="s">
        <v>6705</v>
      </c>
      <c r="I5652" s="24" t="s">
        <v>6650</v>
      </c>
      <c r="J5652" s="24">
        <v>0.0</v>
      </c>
    </row>
    <row r="5653">
      <c r="A5653" s="24">
        <v>65.0</v>
      </c>
      <c r="B5653" s="24">
        <v>30.0</v>
      </c>
      <c r="C5653" s="44">
        <v>51.9</v>
      </c>
      <c r="D5653" s="46">
        <v>45296.0</v>
      </c>
      <c r="E5653" s="24">
        <v>1.73</v>
      </c>
      <c r="F5653" s="24">
        <v>798.46</v>
      </c>
      <c r="G5653" s="24">
        <v>46.15</v>
      </c>
      <c r="H5653" s="24" t="s">
        <v>6705</v>
      </c>
      <c r="I5653" s="24" t="s">
        <v>6650</v>
      </c>
      <c r="J5653" s="24">
        <v>0.0</v>
      </c>
    </row>
    <row r="5654">
      <c r="A5654" s="24">
        <v>33.0</v>
      </c>
      <c r="B5654" s="24">
        <v>11.0</v>
      </c>
      <c r="C5654" s="44">
        <v>24.94</v>
      </c>
      <c r="D5654" s="46">
        <v>45297.0</v>
      </c>
      <c r="E5654" s="24">
        <v>2.27</v>
      </c>
      <c r="F5654" s="24">
        <v>755.76</v>
      </c>
      <c r="G5654" s="24">
        <v>33.33</v>
      </c>
      <c r="H5654" s="24" t="s">
        <v>6705</v>
      </c>
      <c r="I5654" s="24" t="s">
        <v>6650</v>
      </c>
      <c r="J5654" s="24">
        <v>0.0</v>
      </c>
    </row>
    <row r="5655">
      <c r="A5655" s="24">
        <v>24.0</v>
      </c>
      <c r="B5655" s="24">
        <v>14.0</v>
      </c>
      <c r="C5655" s="44">
        <v>15.79</v>
      </c>
      <c r="D5655" s="46">
        <v>45298.0</v>
      </c>
      <c r="E5655" s="24">
        <v>1.13</v>
      </c>
      <c r="F5655" s="24">
        <v>657.92</v>
      </c>
      <c r="G5655" s="24">
        <v>58.33</v>
      </c>
      <c r="H5655" s="24" t="s">
        <v>6705</v>
      </c>
      <c r="I5655" s="24" t="s">
        <v>6650</v>
      </c>
      <c r="J5655" s="24">
        <v>1.0</v>
      </c>
    </row>
    <row r="5656">
      <c r="A5656" s="24">
        <v>60.0</v>
      </c>
      <c r="B5656" s="24">
        <v>34.0</v>
      </c>
      <c r="C5656" s="44">
        <v>38.08</v>
      </c>
      <c r="D5656" s="46">
        <v>45299.0</v>
      </c>
      <c r="E5656" s="24">
        <v>1.12</v>
      </c>
      <c r="F5656" s="24">
        <v>634.67</v>
      </c>
      <c r="G5656" s="24">
        <v>56.67</v>
      </c>
      <c r="H5656" s="24" t="s">
        <v>6705</v>
      </c>
      <c r="I5656" s="24" t="s">
        <v>6650</v>
      </c>
      <c r="J5656" s="24">
        <v>0.0</v>
      </c>
    </row>
    <row r="5657">
      <c r="A5657" s="24">
        <v>61.0</v>
      </c>
      <c r="B5657" s="24">
        <v>41.0</v>
      </c>
      <c r="C5657" s="44">
        <v>40.51</v>
      </c>
      <c r="D5657" s="46">
        <v>45300.0</v>
      </c>
      <c r="E5657" s="24">
        <v>0.99</v>
      </c>
      <c r="F5657" s="24">
        <v>664.1</v>
      </c>
      <c r="G5657" s="24">
        <v>67.21</v>
      </c>
      <c r="H5657" s="24" t="s">
        <v>6705</v>
      </c>
      <c r="I5657" s="24" t="s">
        <v>6650</v>
      </c>
      <c r="J5657" s="24">
        <v>0.0</v>
      </c>
    </row>
    <row r="5658">
      <c r="A5658" s="24">
        <v>0.0</v>
      </c>
      <c r="B5658" s="24">
        <v>1.0</v>
      </c>
      <c r="C5658" s="44">
        <v>0.0</v>
      </c>
      <c r="D5658" s="46">
        <v>45300.0</v>
      </c>
      <c r="E5658" s="24">
        <v>0.0</v>
      </c>
      <c r="F5658" s="24" t="s">
        <v>6650</v>
      </c>
      <c r="G5658" s="24" t="s">
        <v>6650</v>
      </c>
      <c r="H5658" s="24" t="s">
        <v>6703</v>
      </c>
      <c r="I5658" s="24" t="s">
        <v>6650</v>
      </c>
      <c r="J5658" s="24">
        <v>0.0</v>
      </c>
    </row>
    <row r="5659">
      <c r="A5659" s="24">
        <v>229.0</v>
      </c>
      <c r="B5659" s="24">
        <v>93.0</v>
      </c>
      <c r="C5659" s="44">
        <v>144.39</v>
      </c>
      <c r="D5659" s="46">
        <v>45301.0</v>
      </c>
      <c r="E5659" s="24">
        <v>1.55</v>
      </c>
      <c r="F5659" s="24">
        <v>630.52</v>
      </c>
      <c r="G5659" s="24">
        <v>40.61</v>
      </c>
      <c r="H5659" s="24" t="s">
        <v>6705</v>
      </c>
      <c r="I5659" s="24">
        <v>72.19</v>
      </c>
      <c r="J5659" s="24">
        <v>1.0</v>
      </c>
    </row>
    <row r="5660">
      <c r="A5660" s="24">
        <v>0.0</v>
      </c>
      <c r="B5660" s="24">
        <v>1.0</v>
      </c>
      <c r="C5660" s="44">
        <v>0.0</v>
      </c>
      <c r="D5660" s="46">
        <v>45301.0</v>
      </c>
      <c r="E5660" s="24">
        <v>0.0</v>
      </c>
      <c r="F5660" s="24" t="s">
        <v>6650</v>
      </c>
      <c r="G5660" s="24" t="s">
        <v>6650</v>
      </c>
      <c r="H5660" s="24" t="s">
        <v>6703</v>
      </c>
      <c r="I5660" s="24" t="s">
        <v>6650</v>
      </c>
      <c r="J5660" s="24">
        <v>0.0</v>
      </c>
    </row>
    <row r="5661">
      <c r="A5661" s="24">
        <v>167.0</v>
      </c>
      <c r="B5661" s="24">
        <v>95.0</v>
      </c>
      <c r="C5661" s="44">
        <v>106.2</v>
      </c>
      <c r="D5661" s="46">
        <v>45302.0</v>
      </c>
      <c r="E5661" s="24">
        <v>1.12</v>
      </c>
      <c r="F5661" s="24">
        <v>635.93</v>
      </c>
      <c r="G5661" s="24">
        <v>56.89</v>
      </c>
      <c r="H5661" s="24" t="s">
        <v>6705</v>
      </c>
      <c r="I5661" s="24">
        <v>106.2</v>
      </c>
      <c r="J5661" s="24">
        <v>4.0</v>
      </c>
    </row>
    <row r="5662">
      <c r="A5662" s="24">
        <v>222.0</v>
      </c>
      <c r="B5662" s="24">
        <v>111.0</v>
      </c>
      <c r="C5662" s="44">
        <v>145.87</v>
      </c>
      <c r="D5662" s="46">
        <v>45303.0</v>
      </c>
      <c r="E5662" s="24">
        <v>1.31</v>
      </c>
      <c r="F5662" s="24">
        <v>657.07</v>
      </c>
      <c r="G5662" s="24">
        <v>50.0</v>
      </c>
      <c r="H5662" s="24" t="s">
        <v>6705</v>
      </c>
      <c r="I5662" s="24">
        <v>72.94</v>
      </c>
      <c r="J5662" s="24">
        <v>3.0</v>
      </c>
    </row>
    <row r="5663">
      <c r="A5663" s="24">
        <v>150.0</v>
      </c>
      <c r="B5663" s="24">
        <v>67.0</v>
      </c>
      <c r="C5663" s="44">
        <v>98.3</v>
      </c>
      <c r="D5663" s="46">
        <v>45304.0</v>
      </c>
      <c r="E5663" s="24">
        <v>1.47</v>
      </c>
      <c r="F5663" s="24">
        <v>655.33</v>
      </c>
      <c r="G5663" s="24">
        <v>44.67</v>
      </c>
      <c r="H5663" s="24" t="s">
        <v>6705</v>
      </c>
      <c r="I5663" s="24">
        <v>98.3</v>
      </c>
      <c r="J5663" s="24">
        <v>4.0</v>
      </c>
    </row>
    <row r="5664">
      <c r="A5664" s="24">
        <v>98.0</v>
      </c>
      <c r="B5664" s="24">
        <v>42.0</v>
      </c>
      <c r="C5664" s="44">
        <v>63.87</v>
      </c>
      <c r="D5664" s="46">
        <v>45305.0</v>
      </c>
      <c r="E5664" s="24">
        <v>1.52</v>
      </c>
      <c r="F5664" s="24">
        <v>651.73</v>
      </c>
      <c r="G5664" s="24">
        <v>42.86</v>
      </c>
      <c r="H5664" s="24" t="s">
        <v>6705</v>
      </c>
      <c r="I5664" s="24" t="s">
        <v>6650</v>
      </c>
      <c r="J5664" s="24">
        <v>2.0</v>
      </c>
    </row>
    <row r="5665">
      <c r="A5665" s="24">
        <v>117.0</v>
      </c>
      <c r="B5665" s="24">
        <v>62.0</v>
      </c>
      <c r="C5665" s="44">
        <v>77.34</v>
      </c>
      <c r="D5665" s="46">
        <v>45306.0</v>
      </c>
      <c r="E5665" s="24">
        <v>1.25</v>
      </c>
      <c r="F5665" s="24">
        <v>661.03</v>
      </c>
      <c r="G5665" s="24">
        <v>52.99</v>
      </c>
      <c r="H5665" s="24" t="s">
        <v>6705</v>
      </c>
      <c r="I5665" s="24">
        <v>77.34</v>
      </c>
      <c r="J5665" s="24">
        <v>1.0</v>
      </c>
    </row>
    <row r="5666">
      <c r="A5666" s="24">
        <v>174.0</v>
      </c>
      <c r="B5666" s="24">
        <v>118.0</v>
      </c>
      <c r="C5666" s="44">
        <v>118.08</v>
      </c>
      <c r="D5666" s="46">
        <v>45307.0</v>
      </c>
      <c r="E5666" s="24">
        <v>1.0</v>
      </c>
      <c r="F5666" s="24">
        <v>678.62</v>
      </c>
      <c r="G5666" s="24">
        <v>67.82</v>
      </c>
      <c r="H5666" s="24" t="s">
        <v>6705</v>
      </c>
      <c r="I5666" s="24">
        <v>118.08</v>
      </c>
      <c r="J5666" s="24">
        <v>5.0</v>
      </c>
    </row>
    <row r="5667">
      <c r="A5667" s="24">
        <v>157.0</v>
      </c>
      <c r="B5667" s="24">
        <v>88.0</v>
      </c>
      <c r="C5667" s="44">
        <v>98.18</v>
      </c>
      <c r="D5667" s="46">
        <v>45308.0</v>
      </c>
      <c r="E5667" s="24">
        <v>1.12</v>
      </c>
      <c r="F5667" s="24">
        <v>625.35</v>
      </c>
      <c r="G5667" s="24">
        <v>56.05</v>
      </c>
      <c r="H5667" s="24" t="s">
        <v>6705</v>
      </c>
      <c r="I5667" s="24" t="s">
        <v>6650</v>
      </c>
      <c r="J5667" s="24">
        <v>2.0</v>
      </c>
    </row>
    <row r="5668">
      <c r="A5668" s="24">
        <v>158.0</v>
      </c>
      <c r="B5668" s="24">
        <v>80.0</v>
      </c>
      <c r="C5668" s="44">
        <v>107.16</v>
      </c>
      <c r="D5668" s="46">
        <v>45309.0</v>
      </c>
      <c r="E5668" s="24">
        <v>1.34</v>
      </c>
      <c r="F5668" s="24">
        <v>678.23</v>
      </c>
      <c r="G5668" s="24">
        <v>50.63</v>
      </c>
      <c r="H5668" s="24" t="s">
        <v>6705</v>
      </c>
      <c r="I5668" s="24">
        <v>107.16</v>
      </c>
      <c r="J5668" s="24">
        <v>4.0</v>
      </c>
    </row>
    <row r="5669">
      <c r="A5669" s="24">
        <v>120.0</v>
      </c>
      <c r="B5669" s="24">
        <v>68.0</v>
      </c>
      <c r="C5669" s="44">
        <v>82.36</v>
      </c>
      <c r="D5669" s="46">
        <v>45310.0</v>
      </c>
      <c r="E5669" s="24">
        <v>1.21</v>
      </c>
      <c r="F5669" s="24">
        <v>686.33</v>
      </c>
      <c r="G5669" s="24">
        <v>56.67</v>
      </c>
      <c r="H5669" s="24" t="s">
        <v>6705</v>
      </c>
      <c r="I5669" s="24">
        <v>82.36</v>
      </c>
      <c r="J5669" s="24">
        <v>4.0</v>
      </c>
    </row>
    <row r="5670">
      <c r="A5670" s="24">
        <v>106.0</v>
      </c>
      <c r="B5670" s="24">
        <v>48.0</v>
      </c>
      <c r="C5670" s="44">
        <v>70.11</v>
      </c>
      <c r="D5670" s="46">
        <v>45311.0</v>
      </c>
      <c r="E5670" s="24">
        <v>1.46</v>
      </c>
      <c r="F5670" s="24">
        <v>661.42</v>
      </c>
      <c r="G5670" s="24">
        <v>45.28</v>
      </c>
      <c r="H5670" s="24" t="s">
        <v>6705</v>
      </c>
      <c r="I5670" s="24" t="s">
        <v>6650</v>
      </c>
      <c r="J5670" s="24">
        <v>1.0</v>
      </c>
    </row>
    <row r="5671">
      <c r="A5671" s="24">
        <v>104.0</v>
      </c>
      <c r="B5671" s="24">
        <v>48.0</v>
      </c>
      <c r="C5671" s="44">
        <v>66.68</v>
      </c>
      <c r="D5671" s="46">
        <v>45312.0</v>
      </c>
      <c r="E5671" s="24">
        <v>1.39</v>
      </c>
      <c r="F5671" s="24">
        <v>641.15</v>
      </c>
      <c r="G5671" s="24">
        <v>46.15</v>
      </c>
      <c r="H5671" s="24" t="s">
        <v>6705</v>
      </c>
      <c r="I5671" s="24" t="s">
        <v>6650</v>
      </c>
      <c r="J5671" s="24">
        <v>2.0</v>
      </c>
    </row>
    <row r="5672">
      <c r="A5672" s="24">
        <v>132.0</v>
      </c>
      <c r="B5672" s="24">
        <v>98.0</v>
      </c>
      <c r="C5672" s="44">
        <v>86.56</v>
      </c>
      <c r="D5672" s="46">
        <v>45313.0</v>
      </c>
      <c r="E5672" s="24">
        <v>0.88</v>
      </c>
      <c r="F5672" s="24">
        <v>655.76</v>
      </c>
      <c r="G5672" s="24">
        <v>74.24</v>
      </c>
      <c r="H5672" s="24" t="s">
        <v>6705</v>
      </c>
      <c r="I5672" s="24" t="s">
        <v>6650</v>
      </c>
      <c r="J5672" s="24">
        <v>1.0</v>
      </c>
    </row>
    <row r="5673">
      <c r="A5673" s="24">
        <v>131.0</v>
      </c>
      <c r="B5673" s="24">
        <v>71.0</v>
      </c>
      <c r="C5673" s="44">
        <v>92.8</v>
      </c>
      <c r="D5673" s="46">
        <v>45314.0</v>
      </c>
      <c r="E5673" s="24">
        <v>1.31</v>
      </c>
      <c r="F5673" s="24">
        <v>708.4</v>
      </c>
      <c r="G5673" s="24">
        <v>54.2</v>
      </c>
      <c r="H5673" s="24" t="s">
        <v>6705</v>
      </c>
      <c r="I5673" s="24" t="s">
        <v>6650</v>
      </c>
      <c r="J5673" s="24">
        <v>4.0</v>
      </c>
    </row>
    <row r="5674">
      <c r="A5674" s="24">
        <v>118.0</v>
      </c>
      <c r="B5674" s="24">
        <v>76.0</v>
      </c>
      <c r="C5674" s="44">
        <v>75.12</v>
      </c>
      <c r="D5674" s="46">
        <v>45315.0</v>
      </c>
      <c r="E5674" s="24">
        <v>0.99</v>
      </c>
      <c r="F5674" s="24">
        <v>636.61</v>
      </c>
      <c r="G5674" s="24">
        <v>64.41</v>
      </c>
      <c r="H5674" s="24" t="s">
        <v>6705</v>
      </c>
      <c r="I5674" s="24" t="s">
        <v>6650</v>
      </c>
      <c r="J5674" s="24">
        <v>3.0</v>
      </c>
    </row>
    <row r="5675">
      <c r="A5675" s="24">
        <v>0.0</v>
      </c>
      <c r="B5675" s="24">
        <v>1.0</v>
      </c>
      <c r="C5675" s="44">
        <v>0.0</v>
      </c>
      <c r="D5675" s="46">
        <v>45316.0</v>
      </c>
      <c r="E5675" s="24">
        <v>0.0</v>
      </c>
      <c r="F5675" s="24" t="s">
        <v>6650</v>
      </c>
      <c r="G5675" s="24" t="s">
        <v>6650</v>
      </c>
      <c r="H5675" s="24" t="s">
        <v>6702</v>
      </c>
      <c r="I5675" s="24" t="s">
        <v>6650</v>
      </c>
      <c r="J5675" s="24">
        <v>0.0</v>
      </c>
    </row>
    <row r="5676">
      <c r="A5676" s="24">
        <v>108.0</v>
      </c>
      <c r="B5676" s="24">
        <v>58.0</v>
      </c>
      <c r="C5676" s="44">
        <v>73.14</v>
      </c>
      <c r="D5676" s="46">
        <v>45316.0</v>
      </c>
      <c r="E5676" s="24">
        <v>1.26</v>
      </c>
      <c r="F5676" s="24">
        <v>677.22</v>
      </c>
      <c r="G5676" s="24">
        <v>53.7</v>
      </c>
      <c r="H5676" s="24" t="s">
        <v>6705</v>
      </c>
      <c r="I5676" s="24">
        <v>73.14</v>
      </c>
      <c r="J5676" s="24">
        <v>0.0</v>
      </c>
    </row>
    <row r="5677">
      <c r="A5677" s="24">
        <v>74.0</v>
      </c>
      <c r="B5677" s="24">
        <v>39.0</v>
      </c>
      <c r="C5677" s="44">
        <v>48.15</v>
      </c>
      <c r="D5677" s="46">
        <v>45317.0</v>
      </c>
      <c r="E5677" s="24">
        <v>1.23</v>
      </c>
      <c r="F5677" s="24">
        <v>650.68</v>
      </c>
      <c r="G5677" s="24">
        <v>52.7</v>
      </c>
      <c r="H5677" s="24" t="s">
        <v>6705</v>
      </c>
      <c r="I5677" s="24">
        <v>48.15</v>
      </c>
      <c r="J5677" s="24">
        <v>1.0</v>
      </c>
    </row>
    <row r="5678">
      <c r="A5678" s="24">
        <v>65.0</v>
      </c>
      <c r="B5678" s="24">
        <v>28.0</v>
      </c>
      <c r="C5678" s="44">
        <v>42.86</v>
      </c>
      <c r="D5678" s="46">
        <v>45318.0</v>
      </c>
      <c r="E5678" s="24">
        <v>1.53</v>
      </c>
      <c r="F5678" s="24">
        <v>659.38</v>
      </c>
      <c r="G5678" s="24">
        <v>43.08</v>
      </c>
      <c r="H5678" s="24" t="s">
        <v>6705</v>
      </c>
      <c r="I5678" s="24" t="s">
        <v>6650</v>
      </c>
      <c r="J5678" s="24">
        <v>1.0</v>
      </c>
    </row>
    <row r="5679">
      <c r="A5679" s="24">
        <v>71.0</v>
      </c>
      <c r="B5679" s="24">
        <v>35.0</v>
      </c>
      <c r="C5679" s="44">
        <v>49.25</v>
      </c>
      <c r="D5679" s="46">
        <v>45319.0</v>
      </c>
      <c r="E5679" s="24">
        <v>1.41</v>
      </c>
      <c r="F5679" s="24">
        <v>693.66</v>
      </c>
      <c r="G5679" s="24">
        <v>49.3</v>
      </c>
      <c r="H5679" s="24" t="s">
        <v>6705</v>
      </c>
      <c r="I5679" s="24" t="s">
        <v>6650</v>
      </c>
      <c r="J5679" s="24">
        <v>1.0</v>
      </c>
    </row>
    <row r="5680">
      <c r="A5680" s="24">
        <v>92.0</v>
      </c>
      <c r="B5680" s="24">
        <v>76.0</v>
      </c>
      <c r="C5680" s="44">
        <v>56.88</v>
      </c>
      <c r="D5680" s="46">
        <v>45320.0</v>
      </c>
      <c r="E5680" s="24">
        <v>0.75</v>
      </c>
      <c r="F5680" s="24">
        <v>618.26</v>
      </c>
      <c r="G5680" s="24">
        <v>82.61</v>
      </c>
      <c r="H5680" s="24" t="s">
        <v>6705</v>
      </c>
      <c r="I5680" s="24" t="s">
        <v>6650</v>
      </c>
      <c r="J5680" s="24">
        <v>5.0</v>
      </c>
    </row>
    <row r="5681">
      <c r="A5681" s="24">
        <v>126.0</v>
      </c>
      <c r="B5681" s="24">
        <v>55.0</v>
      </c>
      <c r="C5681" s="44">
        <v>79.35</v>
      </c>
      <c r="D5681" s="46">
        <v>45321.0</v>
      </c>
      <c r="E5681" s="24">
        <v>1.44</v>
      </c>
      <c r="F5681" s="24">
        <v>629.76</v>
      </c>
      <c r="G5681" s="24">
        <v>43.65</v>
      </c>
      <c r="H5681" s="24" t="s">
        <v>6705</v>
      </c>
      <c r="I5681" s="24">
        <v>79.35</v>
      </c>
      <c r="J5681" s="24">
        <v>1.0</v>
      </c>
    </row>
    <row r="5682">
      <c r="A5682" s="24">
        <v>132.0</v>
      </c>
      <c r="B5682" s="24">
        <v>64.0</v>
      </c>
      <c r="C5682" s="44">
        <v>85.19</v>
      </c>
      <c r="D5682" s="46">
        <v>45322.0</v>
      </c>
      <c r="E5682" s="24">
        <v>1.33</v>
      </c>
      <c r="F5682" s="24">
        <v>645.38</v>
      </c>
      <c r="G5682" s="24">
        <v>48.48</v>
      </c>
      <c r="H5682" s="24" t="s">
        <v>6705</v>
      </c>
      <c r="I5682" s="24" t="s">
        <v>6650</v>
      </c>
      <c r="J5682" s="24">
        <v>2.0</v>
      </c>
    </row>
    <row r="5683">
      <c r="A5683" s="24">
        <v>124.0</v>
      </c>
      <c r="B5683" s="24">
        <v>81.0</v>
      </c>
      <c r="C5683" s="44">
        <v>81.94</v>
      </c>
      <c r="D5683" s="46">
        <v>45323.0</v>
      </c>
      <c r="E5683" s="24">
        <v>1.01</v>
      </c>
      <c r="F5683" s="24">
        <v>660.81</v>
      </c>
      <c r="G5683" s="24">
        <v>65.32</v>
      </c>
      <c r="H5683" s="24" t="s">
        <v>6705</v>
      </c>
      <c r="I5683" s="24" t="s">
        <v>6650</v>
      </c>
      <c r="J5683" s="24">
        <v>1.0</v>
      </c>
    </row>
    <row r="5684">
      <c r="A5684" s="24">
        <v>105.0</v>
      </c>
      <c r="B5684" s="24">
        <v>70.0</v>
      </c>
      <c r="C5684" s="44">
        <v>65.88</v>
      </c>
      <c r="D5684" s="46">
        <v>45324.0</v>
      </c>
      <c r="E5684" s="24">
        <v>0.94</v>
      </c>
      <c r="F5684" s="24">
        <v>627.43</v>
      </c>
      <c r="G5684" s="24">
        <v>66.67</v>
      </c>
      <c r="H5684" s="24" t="s">
        <v>6705</v>
      </c>
      <c r="I5684" s="24" t="s">
        <v>6650</v>
      </c>
      <c r="J5684" s="24">
        <v>1.0</v>
      </c>
    </row>
    <row r="5685">
      <c r="A5685" s="24">
        <v>76.0</v>
      </c>
      <c r="B5685" s="24">
        <v>43.0</v>
      </c>
      <c r="C5685" s="44">
        <v>49.77</v>
      </c>
      <c r="D5685" s="46">
        <v>45325.0</v>
      </c>
      <c r="E5685" s="24">
        <v>1.16</v>
      </c>
      <c r="F5685" s="24">
        <v>654.87</v>
      </c>
      <c r="G5685" s="24">
        <v>56.58</v>
      </c>
      <c r="H5685" s="24" t="s">
        <v>6705</v>
      </c>
      <c r="I5685" s="24" t="s">
        <v>6650</v>
      </c>
      <c r="J5685" s="24">
        <v>3.0</v>
      </c>
    </row>
    <row r="5686">
      <c r="A5686" s="24">
        <v>79.0</v>
      </c>
      <c r="B5686" s="24">
        <v>39.0</v>
      </c>
      <c r="C5686" s="44">
        <v>51.6</v>
      </c>
      <c r="D5686" s="46">
        <v>45326.0</v>
      </c>
      <c r="E5686" s="24">
        <v>1.32</v>
      </c>
      <c r="F5686" s="24">
        <v>653.16</v>
      </c>
      <c r="G5686" s="24">
        <v>49.37</v>
      </c>
      <c r="H5686" s="24" t="s">
        <v>6705</v>
      </c>
      <c r="I5686" s="24" t="s">
        <v>6650</v>
      </c>
      <c r="J5686" s="24">
        <v>1.0</v>
      </c>
    </row>
    <row r="5687">
      <c r="A5687" s="24">
        <v>116.0</v>
      </c>
      <c r="B5687" s="24">
        <v>75.0</v>
      </c>
      <c r="C5687" s="44">
        <v>75.78</v>
      </c>
      <c r="D5687" s="46">
        <v>45327.0</v>
      </c>
      <c r="E5687" s="24">
        <v>1.01</v>
      </c>
      <c r="F5687" s="24">
        <v>653.28</v>
      </c>
      <c r="G5687" s="24">
        <v>64.66</v>
      </c>
      <c r="H5687" s="24" t="s">
        <v>6705</v>
      </c>
      <c r="I5687" s="24">
        <v>75.78</v>
      </c>
      <c r="J5687" s="24">
        <v>0.0</v>
      </c>
    </row>
    <row r="5688">
      <c r="A5688" s="24">
        <v>98.0</v>
      </c>
      <c r="B5688" s="24">
        <v>70.0</v>
      </c>
      <c r="C5688" s="44">
        <v>69.88</v>
      </c>
      <c r="D5688" s="46">
        <v>45328.0</v>
      </c>
      <c r="E5688" s="24">
        <v>1.0</v>
      </c>
      <c r="F5688" s="24">
        <v>713.06</v>
      </c>
      <c r="G5688" s="24">
        <v>71.43</v>
      </c>
      <c r="H5688" s="24" t="s">
        <v>6705</v>
      </c>
      <c r="I5688" s="24" t="s">
        <v>6650</v>
      </c>
      <c r="J5688" s="24">
        <v>0.0</v>
      </c>
    </row>
    <row r="5689">
      <c r="A5689" s="24">
        <v>60.0</v>
      </c>
      <c r="B5689" s="24">
        <v>48.0</v>
      </c>
      <c r="C5689" s="44">
        <v>37.08</v>
      </c>
      <c r="D5689" s="46">
        <v>45329.0</v>
      </c>
      <c r="E5689" s="24">
        <v>0.77</v>
      </c>
      <c r="F5689" s="24">
        <v>618.0</v>
      </c>
      <c r="G5689" s="24">
        <v>80.0</v>
      </c>
      <c r="H5689" s="24" t="s">
        <v>6705</v>
      </c>
      <c r="I5689" s="24" t="s">
        <v>6650</v>
      </c>
      <c r="J5689" s="24">
        <v>0.0</v>
      </c>
    </row>
    <row r="5690">
      <c r="A5690" s="24">
        <v>70.0</v>
      </c>
      <c r="B5690" s="24">
        <v>46.0</v>
      </c>
      <c r="C5690" s="44">
        <v>48.29</v>
      </c>
      <c r="D5690" s="46">
        <v>45330.0</v>
      </c>
      <c r="E5690" s="24">
        <v>1.05</v>
      </c>
      <c r="F5690" s="24">
        <v>689.86</v>
      </c>
      <c r="G5690" s="24">
        <v>65.71</v>
      </c>
      <c r="H5690" s="24" t="s">
        <v>6705</v>
      </c>
      <c r="I5690" s="24">
        <v>48.29</v>
      </c>
      <c r="J5690" s="24">
        <v>2.0</v>
      </c>
    </row>
    <row r="5691">
      <c r="A5691" s="24">
        <v>53.0</v>
      </c>
      <c r="B5691" s="24">
        <v>34.0</v>
      </c>
      <c r="C5691" s="44">
        <v>37.74</v>
      </c>
      <c r="D5691" s="46">
        <v>45331.0</v>
      </c>
      <c r="E5691" s="24">
        <v>1.11</v>
      </c>
      <c r="F5691" s="24">
        <v>712.08</v>
      </c>
      <c r="G5691" s="24">
        <v>64.15</v>
      </c>
      <c r="H5691" s="24" t="s">
        <v>6705</v>
      </c>
      <c r="I5691" s="24" t="s">
        <v>6650</v>
      </c>
      <c r="J5691" s="24">
        <v>2.0</v>
      </c>
    </row>
    <row r="5692">
      <c r="A5692" s="24">
        <v>45.0</v>
      </c>
      <c r="B5692" s="24">
        <v>24.0</v>
      </c>
      <c r="C5692" s="44">
        <v>32.1</v>
      </c>
      <c r="D5692" s="46">
        <v>45332.0</v>
      </c>
      <c r="E5692" s="24">
        <v>1.34</v>
      </c>
      <c r="F5692" s="24">
        <v>713.33</v>
      </c>
      <c r="G5692" s="24">
        <v>53.33</v>
      </c>
      <c r="H5692" s="24" t="s">
        <v>6705</v>
      </c>
      <c r="I5692" s="24" t="s">
        <v>6650</v>
      </c>
      <c r="J5692" s="24">
        <v>1.0</v>
      </c>
    </row>
    <row r="5693">
      <c r="A5693" s="24">
        <v>30.0</v>
      </c>
      <c r="B5693" s="24">
        <v>15.0</v>
      </c>
      <c r="C5693" s="44">
        <v>20.26</v>
      </c>
      <c r="D5693" s="46">
        <v>45333.0</v>
      </c>
      <c r="E5693" s="24">
        <v>1.35</v>
      </c>
      <c r="F5693" s="24">
        <v>675.33</v>
      </c>
      <c r="G5693" s="24">
        <v>50.0</v>
      </c>
      <c r="H5693" s="24" t="s">
        <v>6705</v>
      </c>
      <c r="I5693" s="24" t="s">
        <v>6650</v>
      </c>
      <c r="J5693" s="24">
        <v>0.0</v>
      </c>
    </row>
    <row r="5694">
      <c r="A5694" s="24">
        <v>59.0</v>
      </c>
      <c r="B5694" s="24">
        <v>39.0</v>
      </c>
      <c r="C5694" s="44">
        <v>35.65</v>
      </c>
      <c r="D5694" s="46">
        <v>45334.0</v>
      </c>
      <c r="E5694" s="24">
        <v>0.91</v>
      </c>
      <c r="F5694" s="24">
        <v>604.24</v>
      </c>
      <c r="G5694" s="24">
        <v>66.1</v>
      </c>
      <c r="H5694" s="24" t="s">
        <v>6705</v>
      </c>
      <c r="I5694" s="24" t="s">
        <v>6650</v>
      </c>
      <c r="J5694" s="24">
        <v>0.0</v>
      </c>
    </row>
    <row r="5695">
      <c r="A5695" s="24">
        <v>32.0</v>
      </c>
      <c r="B5695" s="24">
        <v>35.0</v>
      </c>
      <c r="C5695" s="44">
        <v>21.85</v>
      </c>
      <c r="D5695" s="46">
        <v>45335.0</v>
      </c>
      <c r="E5695" s="24">
        <v>0.62</v>
      </c>
      <c r="F5695" s="24">
        <v>682.81</v>
      </c>
      <c r="G5695" s="24">
        <v>109.38</v>
      </c>
      <c r="H5695" s="24" t="s">
        <v>6705</v>
      </c>
      <c r="I5695" s="24">
        <v>21.85</v>
      </c>
      <c r="J5695" s="24">
        <v>2.0</v>
      </c>
    </row>
    <row r="5696">
      <c r="A5696" s="24">
        <v>16.0</v>
      </c>
      <c r="B5696" s="24">
        <v>2.0</v>
      </c>
      <c r="C5696" s="44">
        <v>9.43</v>
      </c>
      <c r="D5696" s="46">
        <v>45335.0</v>
      </c>
      <c r="E5696" s="24">
        <v>4.72</v>
      </c>
      <c r="F5696" s="24">
        <v>589.38</v>
      </c>
      <c r="G5696" s="24">
        <v>12.5</v>
      </c>
      <c r="H5696" s="24" t="s">
        <v>6706</v>
      </c>
      <c r="I5696" s="24" t="s">
        <v>6650</v>
      </c>
      <c r="J5696" s="24">
        <v>0.0</v>
      </c>
    </row>
    <row r="5697">
      <c r="A5697" s="24">
        <v>32.0</v>
      </c>
      <c r="B5697" s="24">
        <v>19.0</v>
      </c>
      <c r="C5697" s="44">
        <v>21.41</v>
      </c>
      <c r="D5697" s="46">
        <v>45336.0</v>
      </c>
      <c r="E5697" s="24">
        <v>1.13</v>
      </c>
      <c r="F5697" s="24">
        <v>669.06</v>
      </c>
      <c r="G5697" s="24">
        <v>59.38</v>
      </c>
      <c r="H5697" s="24" t="s">
        <v>6705</v>
      </c>
      <c r="I5697" s="24" t="s">
        <v>6650</v>
      </c>
      <c r="J5697" s="24">
        <v>0.0</v>
      </c>
    </row>
    <row r="5698">
      <c r="A5698" s="24">
        <v>19.0</v>
      </c>
      <c r="B5698" s="24">
        <v>4.0</v>
      </c>
      <c r="C5698" s="44">
        <v>12.85</v>
      </c>
      <c r="D5698" s="46">
        <v>45336.0</v>
      </c>
      <c r="E5698" s="24">
        <v>3.21</v>
      </c>
      <c r="F5698" s="24">
        <v>676.32</v>
      </c>
      <c r="G5698" s="24">
        <v>21.05</v>
      </c>
      <c r="H5698" s="24" t="s">
        <v>6706</v>
      </c>
      <c r="I5698" s="24" t="s">
        <v>6650</v>
      </c>
      <c r="J5698" s="24">
        <v>1.0</v>
      </c>
    </row>
    <row r="5699">
      <c r="A5699" s="24">
        <v>46.0</v>
      </c>
      <c r="B5699" s="24">
        <v>28.0</v>
      </c>
      <c r="C5699" s="44">
        <v>29.16</v>
      </c>
      <c r="D5699" s="46">
        <v>45337.0</v>
      </c>
      <c r="E5699" s="24">
        <v>1.04</v>
      </c>
      <c r="F5699" s="24">
        <v>633.91</v>
      </c>
      <c r="G5699" s="24">
        <v>60.87</v>
      </c>
      <c r="H5699" s="24" t="s">
        <v>6705</v>
      </c>
      <c r="I5699" s="24" t="s">
        <v>6650</v>
      </c>
      <c r="J5699" s="24">
        <v>1.0</v>
      </c>
    </row>
    <row r="5700">
      <c r="A5700" s="24">
        <v>19.0</v>
      </c>
      <c r="B5700" s="24">
        <v>12.0</v>
      </c>
      <c r="C5700" s="44">
        <v>12.4</v>
      </c>
      <c r="D5700" s="46">
        <v>45337.0</v>
      </c>
      <c r="E5700" s="24">
        <v>1.03</v>
      </c>
      <c r="F5700" s="24">
        <v>652.63</v>
      </c>
      <c r="G5700" s="24">
        <v>63.16</v>
      </c>
      <c r="H5700" s="24" t="s">
        <v>6706</v>
      </c>
      <c r="I5700" s="24" t="s">
        <v>6650</v>
      </c>
      <c r="J5700" s="24">
        <v>0.0</v>
      </c>
    </row>
    <row r="5701">
      <c r="A5701" s="24">
        <v>13.0</v>
      </c>
      <c r="B5701" s="24">
        <v>6.0</v>
      </c>
      <c r="C5701" s="44">
        <v>8.72</v>
      </c>
      <c r="D5701" s="46">
        <v>45338.0</v>
      </c>
      <c r="E5701" s="24">
        <v>1.45</v>
      </c>
      <c r="F5701" s="24">
        <v>670.77</v>
      </c>
      <c r="G5701" s="24">
        <v>46.15</v>
      </c>
      <c r="H5701" s="24" t="s">
        <v>6706</v>
      </c>
      <c r="I5701" s="24" t="s">
        <v>6650</v>
      </c>
      <c r="J5701" s="24">
        <v>0.0</v>
      </c>
    </row>
    <row r="5702">
      <c r="A5702" s="24">
        <v>38.0</v>
      </c>
      <c r="B5702" s="24">
        <v>26.0</v>
      </c>
      <c r="C5702" s="44">
        <v>24.15</v>
      </c>
      <c r="D5702" s="46">
        <v>45338.0</v>
      </c>
      <c r="E5702" s="24">
        <v>0.93</v>
      </c>
      <c r="F5702" s="24">
        <v>635.53</v>
      </c>
      <c r="G5702" s="24">
        <v>68.42</v>
      </c>
      <c r="H5702" s="24" t="s">
        <v>6705</v>
      </c>
      <c r="I5702" s="24" t="s">
        <v>6650</v>
      </c>
      <c r="J5702" s="24">
        <v>0.0</v>
      </c>
    </row>
    <row r="5703">
      <c r="A5703" s="24">
        <v>23.0</v>
      </c>
      <c r="B5703" s="24">
        <v>10.0</v>
      </c>
      <c r="C5703" s="44">
        <v>16.99</v>
      </c>
      <c r="D5703" s="46">
        <v>45339.0</v>
      </c>
      <c r="E5703" s="24">
        <v>1.7</v>
      </c>
      <c r="F5703" s="24">
        <v>738.7</v>
      </c>
      <c r="G5703" s="24">
        <v>43.48</v>
      </c>
      <c r="H5703" s="24" t="s">
        <v>6705</v>
      </c>
      <c r="I5703" s="24" t="s">
        <v>6650</v>
      </c>
      <c r="J5703" s="24">
        <v>1.0</v>
      </c>
    </row>
    <row r="5704">
      <c r="A5704" s="24">
        <v>16.0</v>
      </c>
      <c r="B5704" s="24">
        <v>4.0</v>
      </c>
      <c r="C5704" s="44">
        <v>11.73</v>
      </c>
      <c r="D5704" s="46">
        <v>45339.0</v>
      </c>
      <c r="E5704" s="24">
        <v>2.93</v>
      </c>
      <c r="F5704" s="24">
        <v>733.12</v>
      </c>
      <c r="G5704" s="24">
        <v>25.0</v>
      </c>
      <c r="H5704" s="24" t="s">
        <v>6706</v>
      </c>
      <c r="I5704" s="24" t="s">
        <v>6650</v>
      </c>
      <c r="J5704" s="24">
        <v>0.0</v>
      </c>
    </row>
    <row r="5705">
      <c r="A5705" s="24">
        <v>9.0</v>
      </c>
      <c r="B5705" s="24">
        <v>5.0</v>
      </c>
      <c r="C5705" s="44">
        <v>6.2</v>
      </c>
      <c r="D5705" s="46">
        <v>45340.0</v>
      </c>
      <c r="E5705" s="24">
        <v>1.24</v>
      </c>
      <c r="F5705" s="24">
        <v>688.89</v>
      </c>
      <c r="G5705" s="24">
        <v>55.56</v>
      </c>
      <c r="H5705" s="24" t="s">
        <v>6706</v>
      </c>
      <c r="I5705" s="24" t="s">
        <v>6650</v>
      </c>
      <c r="J5705" s="24">
        <v>0.0</v>
      </c>
    </row>
    <row r="5706">
      <c r="A5706" s="24">
        <v>22.0</v>
      </c>
      <c r="B5706" s="24">
        <v>7.0</v>
      </c>
      <c r="C5706" s="44">
        <v>13.99</v>
      </c>
      <c r="D5706" s="46">
        <v>45340.0</v>
      </c>
      <c r="E5706" s="24">
        <v>2.0</v>
      </c>
      <c r="F5706" s="24">
        <v>635.91</v>
      </c>
      <c r="G5706" s="24">
        <v>31.82</v>
      </c>
      <c r="H5706" s="24" t="s">
        <v>6705</v>
      </c>
      <c r="I5706" s="24" t="s">
        <v>6650</v>
      </c>
      <c r="J5706" s="24">
        <v>2.0</v>
      </c>
    </row>
    <row r="5707">
      <c r="A5707" s="24">
        <v>20.0</v>
      </c>
      <c r="B5707" s="24">
        <v>8.0</v>
      </c>
      <c r="C5707" s="44">
        <v>14.34</v>
      </c>
      <c r="D5707" s="46">
        <v>45341.0</v>
      </c>
      <c r="E5707" s="24">
        <v>1.79</v>
      </c>
      <c r="F5707" s="24">
        <v>717.0</v>
      </c>
      <c r="G5707" s="24">
        <v>40.0</v>
      </c>
      <c r="H5707" s="24" t="s">
        <v>6706</v>
      </c>
      <c r="I5707" s="24" t="s">
        <v>6650</v>
      </c>
      <c r="J5707" s="24">
        <v>0.0</v>
      </c>
    </row>
    <row r="5708">
      <c r="A5708" s="24">
        <v>26.0</v>
      </c>
      <c r="B5708" s="24">
        <v>30.0</v>
      </c>
      <c r="C5708" s="44">
        <v>16.89</v>
      </c>
      <c r="D5708" s="46">
        <v>45341.0</v>
      </c>
      <c r="E5708" s="24">
        <v>0.56</v>
      </c>
      <c r="F5708" s="24">
        <v>649.62</v>
      </c>
      <c r="G5708" s="24">
        <v>115.38</v>
      </c>
      <c r="H5708" s="24" t="s">
        <v>6705</v>
      </c>
      <c r="I5708" s="24" t="s">
        <v>6650</v>
      </c>
      <c r="J5708" s="24">
        <v>0.0</v>
      </c>
    </row>
    <row r="5709">
      <c r="A5709" s="24">
        <v>36.0</v>
      </c>
      <c r="B5709" s="24">
        <v>20.0</v>
      </c>
      <c r="C5709" s="44">
        <v>28.62</v>
      </c>
      <c r="D5709" s="46">
        <v>45342.0</v>
      </c>
      <c r="E5709" s="24">
        <v>1.43</v>
      </c>
      <c r="F5709" s="24">
        <v>795.0</v>
      </c>
      <c r="G5709" s="24">
        <v>55.56</v>
      </c>
      <c r="H5709" s="24" t="s">
        <v>6705</v>
      </c>
      <c r="I5709" s="24">
        <v>28.62</v>
      </c>
      <c r="J5709" s="24">
        <v>3.0</v>
      </c>
    </row>
    <row r="5710">
      <c r="A5710" s="24">
        <v>17.0</v>
      </c>
      <c r="B5710" s="24">
        <v>6.0</v>
      </c>
      <c r="C5710" s="44">
        <v>11.75</v>
      </c>
      <c r="D5710" s="46">
        <v>45342.0</v>
      </c>
      <c r="E5710" s="24">
        <v>1.96</v>
      </c>
      <c r="F5710" s="24">
        <v>691.18</v>
      </c>
      <c r="G5710" s="24">
        <v>35.29</v>
      </c>
      <c r="H5710" s="24" t="s">
        <v>6706</v>
      </c>
      <c r="I5710" s="24" t="s">
        <v>6650</v>
      </c>
      <c r="J5710" s="24">
        <v>0.0</v>
      </c>
    </row>
    <row r="5711">
      <c r="A5711" s="24">
        <v>31.0</v>
      </c>
      <c r="B5711" s="24">
        <v>29.0</v>
      </c>
      <c r="C5711" s="44">
        <v>27.08</v>
      </c>
      <c r="D5711" s="46">
        <v>45343.0</v>
      </c>
      <c r="E5711" s="24">
        <v>0.93</v>
      </c>
      <c r="F5711" s="24">
        <v>873.55</v>
      </c>
      <c r="G5711" s="24">
        <v>93.55</v>
      </c>
      <c r="H5711" s="24" t="s">
        <v>6705</v>
      </c>
      <c r="I5711" s="24">
        <v>27.08</v>
      </c>
      <c r="J5711" s="24">
        <v>1.0</v>
      </c>
    </row>
    <row r="5712">
      <c r="A5712" s="24">
        <v>20.0</v>
      </c>
      <c r="B5712" s="24">
        <v>12.0</v>
      </c>
      <c r="C5712" s="44">
        <v>13.45</v>
      </c>
      <c r="D5712" s="46">
        <v>45343.0</v>
      </c>
      <c r="E5712" s="24">
        <v>1.12</v>
      </c>
      <c r="F5712" s="24">
        <v>672.5</v>
      </c>
      <c r="G5712" s="24">
        <v>60.0</v>
      </c>
      <c r="H5712" s="24" t="s">
        <v>6706</v>
      </c>
      <c r="I5712" s="24" t="s">
        <v>6650</v>
      </c>
      <c r="J5712" s="24">
        <v>0.0</v>
      </c>
    </row>
    <row r="5713">
      <c r="A5713" s="24">
        <v>223.0</v>
      </c>
      <c r="B5713" s="24">
        <v>99.0</v>
      </c>
      <c r="C5713" s="44">
        <v>117.87</v>
      </c>
      <c r="D5713" s="46">
        <v>45344.0</v>
      </c>
      <c r="E5713" s="24">
        <v>1.19</v>
      </c>
      <c r="F5713" s="24">
        <v>528.57</v>
      </c>
      <c r="G5713" s="24">
        <v>44.39</v>
      </c>
      <c r="H5713" s="24" t="s">
        <v>6707</v>
      </c>
      <c r="I5713" s="24">
        <v>117.87</v>
      </c>
      <c r="J5713" s="24">
        <v>3.0</v>
      </c>
    </row>
    <row r="5714">
      <c r="A5714" s="24">
        <v>35.0</v>
      </c>
      <c r="B5714" s="24">
        <v>19.0</v>
      </c>
      <c r="C5714" s="44">
        <v>28.89</v>
      </c>
      <c r="D5714" s="46">
        <v>45344.0</v>
      </c>
      <c r="E5714" s="24">
        <v>1.52</v>
      </c>
      <c r="F5714" s="24">
        <v>825.43</v>
      </c>
      <c r="G5714" s="24">
        <v>54.29</v>
      </c>
      <c r="H5714" s="24" t="s">
        <v>6705</v>
      </c>
      <c r="I5714" s="24" t="s">
        <v>6650</v>
      </c>
      <c r="J5714" s="24">
        <v>1.0</v>
      </c>
    </row>
    <row r="5715">
      <c r="A5715" s="24">
        <v>21.0</v>
      </c>
      <c r="B5715" s="24">
        <v>8.0</v>
      </c>
      <c r="C5715" s="44">
        <v>15.85</v>
      </c>
      <c r="D5715" s="46">
        <v>45344.0</v>
      </c>
      <c r="E5715" s="24">
        <v>1.98</v>
      </c>
      <c r="F5715" s="24">
        <v>754.76</v>
      </c>
      <c r="G5715" s="24">
        <v>38.1</v>
      </c>
      <c r="H5715" s="24" t="s">
        <v>6706</v>
      </c>
      <c r="I5715" s="24" t="s">
        <v>6650</v>
      </c>
      <c r="J5715" s="24">
        <v>0.0</v>
      </c>
    </row>
    <row r="5716">
      <c r="A5716" s="24">
        <v>37.0</v>
      </c>
      <c r="B5716" s="24">
        <v>23.0</v>
      </c>
      <c r="C5716" s="44">
        <v>26.82</v>
      </c>
      <c r="D5716" s="46">
        <v>45345.0</v>
      </c>
      <c r="E5716" s="24">
        <v>1.17</v>
      </c>
      <c r="F5716" s="24">
        <v>724.86</v>
      </c>
      <c r="G5716" s="24">
        <v>62.16</v>
      </c>
      <c r="H5716" s="24" t="s">
        <v>6705</v>
      </c>
      <c r="I5716" s="24" t="s">
        <v>6650</v>
      </c>
      <c r="J5716" s="24">
        <v>0.0</v>
      </c>
    </row>
    <row r="5717">
      <c r="A5717" s="24">
        <v>11.0</v>
      </c>
      <c r="B5717" s="24">
        <v>2.0</v>
      </c>
      <c r="C5717" s="44">
        <v>10.68</v>
      </c>
      <c r="D5717" s="46">
        <v>45345.0</v>
      </c>
      <c r="E5717" s="24">
        <v>5.34</v>
      </c>
      <c r="F5717" s="24">
        <v>970.91</v>
      </c>
      <c r="G5717" s="24">
        <v>18.18</v>
      </c>
      <c r="H5717" s="24" t="s">
        <v>6706</v>
      </c>
      <c r="I5717" s="24" t="s">
        <v>6650</v>
      </c>
      <c r="J5717" s="24">
        <v>0.0</v>
      </c>
    </row>
    <row r="5718">
      <c r="A5718" s="24">
        <v>200.0</v>
      </c>
      <c r="B5718" s="24">
        <v>98.0</v>
      </c>
      <c r="C5718" s="44">
        <v>112.5</v>
      </c>
      <c r="D5718" s="46">
        <v>45345.0</v>
      </c>
      <c r="E5718" s="24">
        <v>1.15</v>
      </c>
      <c r="F5718" s="24">
        <v>562.5</v>
      </c>
      <c r="G5718" s="24">
        <v>49.0</v>
      </c>
      <c r="H5718" s="24" t="s">
        <v>6707</v>
      </c>
      <c r="I5718" s="24">
        <v>112.5</v>
      </c>
      <c r="J5718" s="24">
        <v>1.0</v>
      </c>
    </row>
    <row r="5719">
      <c r="A5719" s="24">
        <v>14.0</v>
      </c>
      <c r="B5719" s="24">
        <v>5.0</v>
      </c>
      <c r="C5719" s="44">
        <v>11.35</v>
      </c>
      <c r="D5719" s="46">
        <v>45346.0</v>
      </c>
      <c r="E5719" s="24">
        <v>2.27</v>
      </c>
      <c r="F5719" s="24">
        <v>810.71</v>
      </c>
      <c r="G5719" s="24">
        <v>35.71</v>
      </c>
      <c r="H5719" s="24" t="s">
        <v>6706</v>
      </c>
      <c r="I5719" s="24" t="s">
        <v>6650</v>
      </c>
      <c r="J5719" s="24">
        <v>0.0</v>
      </c>
    </row>
    <row r="5720">
      <c r="A5720" s="24">
        <v>20.0</v>
      </c>
      <c r="B5720" s="24">
        <v>7.0</v>
      </c>
      <c r="C5720" s="44">
        <v>16.54</v>
      </c>
      <c r="D5720" s="46">
        <v>45346.0</v>
      </c>
      <c r="E5720" s="24">
        <v>2.36</v>
      </c>
      <c r="F5720" s="24">
        <v>827.0</v>
      </c>
      <c r="G5720" s="24">
        <v>35.0</v>
      </c>
      <c r="H5720" s="24" t="s">
        <v>6705</v>
      </c>
      <c r="I5720" s="24" t="s">
        <v>6650</v>
      </c>
      <c r="J5720" s="24">
        <v>1.0</v>
      </c>
    </row>
    <row r="5721">
      <c r="A5721" s="24">
        <v>151.0</v>
      </c>
      <c r="B5721" s="24">
        <v>65.0</v>
      </c>
      <c r="C5721" s="44">
        <v>89.0</v>
      </c>
      <c r="D5721" s="46">
        <v>45346.0</v>
      </c>
      <c r="E5721" s="24">
        <v>1.37</v>
      </c>
      <c r="F5721" s="24">
        <v>589.4</v>
      </c>
      <c r="G5721" s="24">
        <v>43.05</v>
      </c>
      <c r="H5721" s="24" t="s">
        <v>6707</v>
      </c>
      <c r="I5721" s="24">
        <v>89.0</v>
      </c>
      <c r="J5721" s="24">
        <v>1.0</v>
      </c>
    </row>
    <row r="5722">
      <c r="A5722" s="24">
        <v>21.0</v>
      </c>
      <c r="B5722" s="24">
        <v>7.0</v>
      </c>
      <c r="C5722" s="44">
        <v>15.91</v>
      </c>
      <c r="D5722" s="46">
        <v>45347.0</v>
      </c>
      <c r="E5722" s="24">
        <v>2.27</v>
      </c>
      <c r="F5722" s="24">
        <v>757.62</v>
      </c>
      <c r="G5722" s="24">
        <v>33.33</v>
      </c>
      <c r="H5722" s="24" t="s">
        <v>6705</v>
      </c>
      <c r="I5722" s="24" t="s">
        <v>6650</v>
      </c>
      <c r="J5722" s="24">
        <v>0.0</v>
      </c>
    </row>
    <row r="5723">
      <c r="A5723" s="24">
        <v>145.0</v>
      </c>
      <c r="B5723" s="24">
        <v>77.0</v>
      </c>
      <c r="C5723" s="44">
        <v>80.63</v>
      </c>
      <c r="D5723" s="46">
        <v>45347.0</v>
      </c>
      <c r="E5723" s="24">
        <v>1.05</v>
      </c>
      <c r="F5723" s="24">
        <v>556.07</v>
      </c>
      <c r="G5723" s="24">
        <v>53.1</v>
      </c>
      <c r="H5723" s="24" t="s">
        <v>6707</v>
      </c>
      <c r="I5723" s="24" t="s">
        <v>6650</v>
      </c>
      <c r="J5723" s="24">
        <v>1.0</v>
      </c>
    </row>
    <row r="5724">
      <c r="A5724" s="24">
        <v>7.0</v>
      </c>
      <c r="B5724" s="24">
        <v>4.0</v>
      </c>
      <c r="C5724" s="44">
        <v>6.29</v>
      </c>
      <c r="D5724" s="46">
        <v>45347.0</v>
      </c>
      <c r="E5724" s="24">
        <v>1.57</v>
      </c>
      <c r="F5724" s="24">
        <v>898.57</v>
      </c>
      <c r="G5724" s="24">
        <v>57.14</v>
      </c>
      <c r="H5724" s="24" t="s">
        <v>6706</v>
      </c>
      <c r="I5724" s="24" t="s">
        <v>6650</v>
      </c>
      <c r="J5724" s="24">
        <v>0.0</v>
      </c>
    </row>
    <row r="5725">
      <c r="A5725" s="24">
        <v>19.0</v>
      </c>
      <c r="B5725" s="24">
        <v>9.0</v>
      </c>
      <c r="C5725" s="44">
        <v>11.95</v>
      </c>
      <c r="D5725" s="46">
        <v>45348.0</v>
      </c>
      <c r="E5725" s="24">
        <v>1.33</v>
      </c>
      <c r="F5725" s="24">
        <v>628.95</v>
      </c>
      <c r="G5725" s="24">
        <v>47.37</v>
      </c>
      <c r="H5725" s="24" t="s">
        <v>6706</v>
      </c>
      <c r="I5725" s="24" t="s">
        <v>6650</v>
      </c>
      <c r="J5725" s="24">
        <v>0.0</v>
      </c>
    </row>
    <row r="5726">
      <c r="A5726" s="24">
        <v>170.0</v>
      </c>
      <c r="B5726" s="24">
        <v>128.0</v>
      </c>
      <c r="C5726" s="44">
        <v>103.8</v>
      </c>
      <c r="D5726" s="46">
        <v>45348.0</v>
      </c>
      <c r="E5726" s="24">
        <v>0.81</v>
      </c>
      <c r="F5726" s="24">
        <v>610.59</v>
      </c>
      <c r="G5726" s="24">
        <v>75.29</v>
      </c>
      <c r="H5726" s="24" t="s">
        <v>6707</v>
      </c>
      <c r="I5726" s="24" t="s">
        <v>6650</v>
      </c>
      <c r="J5726" s="24">
        <v>3.0</v>
      </c>
    </row>
    <row r="5727">
      <c r="A5727" s="24">
        <v>39.0</v>
      </c>
      <c r="B5727" s="24">
        <v>24.0</v>
      </c>
      <c r="C5727" s="44">
        <v>31.89</v>
      </c>
      <c r="D5727" s="46">
        <v>45348.0</v>
      </c>
      <c r="E5727" s="24">
        <v>1.33</v>
      </c>
      <c r="F5727" s="24">
        <v>817.69</v>
      </c>
      <c r="G5727" s="24">
        <v>61.54</v>
      </c>
      <c r="H5727" s="24" t="s">
        <v>6705</v>
      </c>
      <c r="I5727" s="24" t="s">
        <v>6650</v>
      </c>
      <c r="J5727" s="24">
        <v>0.0</v>
      </c>
    </row>
    <row r="5728">
      <c r="A5728" s="24">
        <v>17.0</v>
      </c>
      <c r="B5728" s="24">
        <v>6.0</v>
      </c>
      <c r="C5728" s="44">
        <v>13.99</v>
      </c>
      <c r="D5728" s="46">
        <v>45349.0</v>
      </c>
      <c r="E5728" s="24">
        <v>2.33</v>
      </c>
      <c r="F5728" s="24">
        <v>822.94</v>
      </c>
      <c r="G5728" s="24">
        <v>35.29</v>
      </c>
      <c r="H5728" s="24" t="s">
        <v>6706</v>
      </c>
      <c r="I5728" s="24" t="s">
        <v>6650</v>
      </c>
      <c r="J5728" s="24">
        <v>0.0</v>
      </c>
    </row>
    <row r="5729">
      <c r="A5729" s="24">
        <v>181.0</v>
      </c>
      <c r="B5729" s="24">
        <v>131.0</v>
      </c>
      <c r="C5729" s="44">
        <v>113.97</v>
      </c>
      <c r="D5729" s="46">
        <v>45349.0</v>
      </c>
      <c r="E5729" s="24">
        <v>0.87</v>
      </c>
      <c r="F5729" s="24">
        <v>629.67</v>
      </c>
      <c r="G5729" s="24">
        <v>72.38</v>
      </c>
      <c r="H5729" s="24" t="s">
        <v>6707</v>
      </c>
      <c r="I5729" s="24" t="s">
        <v>6650</v>
      </c>
      <c r="J5729" s="24">
        <v>0.0</v>
      </c>
    </row>
    <row r="5730">
      <c r="A5730" s="24">
        <v>34.0</v>
      </c>
      <c r="B5730" s="24">
        <v>17.0</v>
      </c>
      <c r="C5730" s="44">
        <v>28.69</v>
      </c>
      <c r="D5730" s="46">
        <v>45349.0</v>
      </c>
      <c r="E5730" s="24">
        <v>1.69</v>
      </c>
      <c r="F5730" s="24">
        <v>843.82</v>
      </c>
      <c r="G5730" s="24">
        <v>50.0</v>
      </c>
      <c r="H5730" s="24" t="s">
        <v>6705</v>
      </c>
      <c r="I5730" s="24" t="s">
        <v>6650</v>
      </c>
      <c r="J5730" s="24">
        <v>0.0</v>
      </c>
    </row>
    <row r="5731">
      <c r="A5731" s="24">
        <v>7.0</v>
      </c>
      <c r="B5731" s="24">
        <v>4.0</v>
      </c>
      <c r="C5731" s="44">
        <v>5.7</v>
      </c>
      <c r="D5731" s="46">
        <v>45350.0</v>
      </c>
      <c r="E5731" s="24">
        <v>1.42</v>
      </c>
      <c r="F5731" s="24">
        <v>814.29</v>
      </c>
      <c r="G5731" s="24">
        <v>57.14</v>
      </c>
      <c r="H5731" s="24" t="s">
        <v>6706</v>
      </c>
      <c r="I5731" s="24" t="s">
        <v>6650</v>
      </c>
      <c r="J5731" s="24">
        <v>0.0</v>
      </c>
    </row>
    <row r="5732">
      <c r="A5732" s="24">
        <v>164.0</v>
      </c>
      <c r="B5732" s="24">
        <v>104.0</v>
      </c>
      <c r="C5732" s="44">
        <v>114.97</v>
      </c>
      <c r="D5732" s="46">
        <v>45350.0</v>
      </c>
      <c r="E5732" s="24">
        <v>1.11</v>
      </c>
      <c r="F5732" s="24">
        <v>701.04</v>
      </c>
      <c r="G5732" s="24">
        <v>63.41</v>
      </c>
      <c r="H5732" s="24" t="s">
        <v>6707</v>
      </c>
      <c r="I5732" s="24" t="s">
        <v>6650</v>
      </c>
      <c r="J5732" s="24">
        <v>2.0</v>
      </c>
    </row>
    <row r="5733">
      <c r="A5733" s="24">
        <v>23.0</v>
      </c>
      <c r="B5733" s="24">
        <v>18.0</v>
      </c>
      <c r="C5733" s="44">
        <v>18.95</v>
      </c>
      <c r="D5733" s="46">
        <v>45350.0</v>
      </c>
      <c r="E5733" s="24">
        <v>1.05</v>
      </c>
      <c r="F5733" s="24">
        <v>823.91</v>
      </c>
      <c r="G5733" s="24">
        <v>78.26</v>
      </c>
      <c r="H5733" s="24" t="s">
        <v>6705</v>
      </c>
      <c r="I5733" s="24" t="s">
        <v>6650</v>
      </c>
      <c r="J5733" s="24">
        <v>0.0</v>
      </c>
    </row>
    <row r="5734">
      <c r="A5734" s="24">
        <v>16.0</v>
      </c>
      <c r="B5734" s="24">
        <v>6.0</v>
      </c>
      <c r="C5734" s="44">
        <v>11.78</v>
      </c>
      <c r="D5734" s="46">
        <v>45351.0</v>
      </c>
      <c r="E5734" s="24">
        <v>1.96</v>
      </c>
      <c r="F5734" s="24">
        <v>736.25</v>
      </c>
      <c r="G5734" s="24">
        <v>37.5</v>
      </c>
      <c r="H5734" s="24" t="s">
        <v>6706</v>
      </c>
      <c r="I5734" s="24" t="s">
        <v>6650</v>
      </c>
      <c r="J5734" s="24">
        <v>0.0</v>
      </c>
    </row>
    <row r="5735">
      <c r="A5735" s="24">
        <v>23.0</v>
      </c>
      <c r="B5735" s="24">
        <v>9.0</v>
      </c>
      <c r="C5735" s="44">
        <v>17.27</v>
      </c>
      <c r="D5735" s="46">
        <v>45351.0</v>
      </c>
      <c r="E5735" s="24">
        <v>1.92</v>
      </c>
      <c r="F5735" s="24">
        <v>750.87</v>
      </c>
      <c r="G5735" s="24">
        <v>39.13</v>
      </c>
      <c r="H5735" s="24" t="s">
        <v>6705</v>
      </c>
      <c r="I5735" s="24" t="s">
        <v>6650</v>
      </c>
      <c r="J5735" s="24">
        <v>0.0</v>
      </c>
    </row>
    <row r="5736">
      <c r="A5736" s="24">
        <v>156.0</v>
      </c>
      <c r="B5736" s="24">
        <v>111.0</v>
      </c>
      <c r="C5736" s="44">
        <v>108.56</v>
      </c>
      <c r="D5736" s="46">
        <v>45351.0</v>
      </c>
      <c r="E5736" s="24">
        <v>0.98</v>
      </c>
      <c r="F5736" s="24">
        <v>695.9</v>
      </c>
      <c r="G5736" s="24">
        <v>71.15</v>
      </c>
      <c r="H5736" s="24" t="s">
        <v>6707</v>
      </c>
      <c r="I5736" s="24" t="s">
        <v>6650</v>
      </c>
      <c r="J5736" s="24">
        <v>1.0</v>
      </c>
    </row>
    <row r="5737">
      <c r="A5737" s="24">
        <v>20.0</v>
      </c>
      <c r="B5737" s="24">
        <v>15.0</v>
      </c>
      <c r="C5737" s="44">
        <v>16.39</v>
      </c>
      <c r="D5737" s="46">
        <v>45352.0</v>
      </c>
      <c r="E5737" s="24">
        <v>1.09</v>
      </c>
      <c r="F5737" s="24">
        <v>819.5</v>
      </c>
      <c r="G5737" s="24">
        <v>75.0</v>
      </c>
      <c r="H5737" s="24" t="s">
        <v>6705</v>
      </c>
      <c r="I5737" s="24" t="s">
        <v>6650</v>
      </c>
      <c r="J5737" s="24">
        <v>0.0</v>
      </c>
    </row>
    <row r="5738">
      <c r="A5738" s="24">
        <v>153.0</v>
      </c>
      <c r="B5738" s="24">
        <v>85.0</v>
      </c>
      <c r="C5738" s="44">
        <v>103.16</v>
      </c>
      <c r="D5738" s="46">
        <v>45352.0</v>
      </c>
      <c r="E5738" s="24">
        <v>1.21</v>
      </c>
      <c r="F5738" s="24">
        <v>674.25</v>
      </c>
      <c r="G5738" s="24">
        <v>55.56</v>
      </c>
      <c r="H5738" s="24" t="s">
        <v>6707</v>
      </c>
      <c r="I5738" s="24" t="s">
        <v>6650</v>
      </c>
      <c r="J5738" s="24">
        <v>0.0</v>
      </c>
    </row>
    <row r="5739">
      <c r="A5739" s="24">
        <v>12.0</v>
      </c>
      <c r="B5739" s="24">
        <v>6.0</v>
      </c>
      <c r="C5739" s="44">
        <v>9.83</v>
      </c>
      <c r="D5739" s="46">
        <v>45352.0</v>
      </c>
      <c r="E5739" s="24">
        <v>1.64</v>
      </c>
      <c r="F5739" s="24">
        <v>819.17</v>
      </c>
      <c r="G5739" s="24">
        <v>50.0</v>
      </c>
      <c r="H5739" s="24" t="s">
        <v>6706</v>
      </c>
      <c r="I5739" s="24" t="s">
        <v>6650</v>
      </c>
      <c r="J5739" s="24">
        <v>0.0</v>
      </c>
    </row>
    <row r="5740">
      <c r="A5740" s="24">
        <v>16.0</v>
      </c>
      <c r="B5740" s="24">
        <v>2.0</v>
      </c>
      <c r="C5740" s="44">
        <v>15.61</v>
      </c>
      <c r="D5740" s="46">
        <v>45353.0</v>
      </c>
      <c r="E5740" s="24">
        <v>7.8</v>
      </c>
      <c r="F5740" s="24">
        <v>975.62</v>
      </c>
      <c r="G5740" s="24">
        <v>12.5</v>
      </c>
      <c r="H5740" s="24" t="s">
        <v>6706</v>
      </c>
      <c r="I5740" s="24" t="s">
        <v>6650</v>
      </c>
      <c r="J5740" s="24">
        <v>0.0</v>
      </c>
    </row>
    <row r="5741">
      <c r="A5741" s="24">
        <v>14.0</v>
      </c>
      <c r="B5741" s="24">
        <v>6.0</v>
      </c>
      <c r="C5741" s="44">
        <v>13.8</v>
      </c>
      <c r="D5741" s="46">
        <v>45353.0</v>
      </c>
      <c r="E5741" s="24">
        <v>2.3</v>
      </c>
      <c r="F5741" s="24">
        <v>985.71</v>
      </c>
      <c r="G5741" s="24">
        <v>42.86</v>
      </c>
      <c r="H5741" s="24" t="s">
        <v>6705</v>
      </c>
      <c r="I5741" s="24" t="s">
        <v>6650</v>
      </c>
      <c r="J5741" s="24">
        <v>0.0</v>
      </c>
    </row>
    <row r="5742">
      <c r="A5742" s="24">
        <v>113.0</v>
      </c>
      <c r="B5742" s="24">
        <v>63.0</v>
      </c>
      <c r="C5742" s="44">
        <v>78.53</v>
      </c>
      <c r="D5742" s="46">
        <v>45353.0</v>
      </c>
      <c r="E5742" s="24">
        <v>1.25</v>
      </c>
      <c r="F5742" s="24">
        <v>694.96</v>
      </c>
      <c r="G5742" s="24">
        <v>55.75</v>
      </c>
      <c r="H5742" s="24" t="s">
        <v>6707</v>
      </c>
      <c r="I5742" s="24" t="s">
        <v>6650</v>
      </c>
      <c r="J5742" s="24">
        <v>0.0</v>
      </c>
    </row>
    <row r="5743">
      <c r="A5743" s="24">
        <v>7.0</v>
      </c>
      <c r="B5743" s="24">
        <v>3.0</v>
      </c>
      <c r="C5743" s="44">
        <v>4.46</v>
      </c>
      <c r="D5743" s="46">
        <v>45354.0</v>
      </c>
      <c r="E5743" s="24">
        <v>1.49</v>
      </c>
      <c r="F5743" s="24">
        <v>637.14</v>
      </c>
      <c r="G5743" s="24">
        <v>42.86</v>
      </c>
      <c r="H5743" s="24" t="s">
        <v>6706</v>
      </c>
      <c r="I5743" s="24" t="s">
        <v>6650</v>
      </c>
      <c r="J5743" s="24">
        <v>0.0</v>
      </c>
    </row>
    <row r="5744">
      <c r="A5744" s="24">
        <v>20.0</v>
      </c>
      <c r="B5744" s="24">
        <v>8.0</v>
      </c>
      <c r="C5744" s="44">
        <v>16.74</v>
      </c>
      <c r="D5744" s="46">
        <v>45354.0</v>
      </c>
      <c r="E5744" s="24">
        <v>2.09</v>
      </c>
      <c r="F5744" s="24">
        <v>837.0</v>
      </c>
      <c r="G5744" s="24">
        <v>40.0</v>
      </c>
      <c r="H5744" s="24" t="s">
        <v>6705</v>
      </c>
      <c r="I5744" s="24" t="s">
        <v>6650</v>
      </c>
      <c r="J5744" s="24">
        <v>1.0</v>
      </c>
    </row>
    <row r="5745">
      <c r="A5745" s="24">
        <v>111.0</v>
      </c>
      <c r="B5745" s="24">
        <v>55.0</v>
      </c>
      <c r="C5745" s="44">
        <v>77.01</v>
      </c>
      <c r="D5745" s="46">
        <v>45354.0</v>
      </c>
      <c r="E5745" s="24">
        <v>1.4</v>
      </c>
      <c r="F5745" s="24">
        <v>693.78</v>
      </c>
      <c r="G5745" s="24">
        <v>49.55</v>
      </c>
      <c r="H5745" s="24" t="s">
        <v>6707</v>
      </c>
      <c r="I5745" s="24" t="s">
        <v>6650</v>
      </c>
      <c r="J5745" s="24">
        <v>0.0</v>
      </c>
    </row>
    <row r="5746">
      <c r="A5746" s="24">
        <v>30.0</v>
      </c>
      <c r="B5746" s="24">
        <v>12.0</v>
      </c>
      <c r="C5746" s="44">
        <v>22.95</v>
      </c>
      <c r="D5746" s="46">
        <v>45355.0</v>
      </c>
      <c r="E5746" s="24">
        <v>1.91</v>
      </c>
      <c r="F5746" s="24">
        <v>765.0</v>
      </c>
      <c r="G5746" s="24">
        <v>40.0</v>
      </c>
      <c r="H5746" s="24" t="s">
        <v>6705</v>
      </c>
      <c r="I5746" s="24">
        <v>22.95</v>
      </c>
      <c r="J5746" s="24">
        <v>0.0</v>
      </c>
    </row>
    <row r="5747">
      <c r="A5747" s="24">
        <v>9.0</v>
      </c>
      <c r="B5747" s="24">
        <v>6.0</v>
      </c>
      <c r="C5747" s="44">
        <v>8.65</v>
      </c>
      <c r="D5747" s="46">
        <v>45355.0</v>
      </c>
      <c r="E5747" s="24">
        <v>1.44</v>
      </c>
      <c r="F5747" s="24">
        <v>961.11</v>
      </c>
      <c r="G5747" s="24">
        <v>66.67</v>
      </c>
      <c r="H5747" s="24" t="s">
        <v>6706</v>
      </c>
      <c r="I5747" s="24" t="s">
        <v>6650</v>
      </c>
      <c r="J5747" s="24">
        <v>0.0</v>
      </c>
    </row>
    <row r="5748">
      <c r="A5748" s="24">
        <v>158.0</v>
      </c>
      <c r="B5748" s="24">
        <v>120.0</v>
      </c>
      <c r="C5748" s="44">
        <v>104.31</v>
      </c>
      <c r="D5748" s="46">
        <v>45355.0</v>
      </c>
      <c r="E5748" s="24">
        <v>0.87</v>
      </c>
      <c r="F5748" s="24">
        <v>660.19</v>
      </c>
      <c r="G5748" s="24">
        <v>75.95</v>
      </c>
      <c r="H5748" s="24" t="s">
        <v>6707</v>
      </c>
      <c r="I5748" s="24" t="s">
        <v>6650</v>
      </c>
      <c r="J5748" s="24">
        <v>1.0</v>
      </c>
    </row>
    <row r="5749">
      <c r="A5749" s="24">
        <v>6.0</v>
      </c>
      <c r="B5749" s="24">
        <v>7.0</v>
      </c>
      <c r="C5749" s="44">
        <v>4.32</v>
      </c>
      <c r="D5749" s="46">
        <v>45356.0</v>
      </c>
      <c r="E5749" s="24">
        <v>0.62</v>
      </c>
      <c r="F5749" s="24">
        <v>720.0</v>
      </c>
      <c r="G5749" s="24">
        <v>116.67</v>
      </c>
      <c r="H5749" s="24" t="s">
        <v>6706</v>
      </c>
      <c r="I5749" s="24" t="s">
        <v>6650</v>
      </c>
      <c r="J5749" s="24">
        <v>0.0</v>
      </c>
    </row>
    <row r="5750">
      <c r="A5750" s="24">
        <v>17.0</v>
      </c>
      <c r="B5750" s="24">
        <v>7.0</v>
      </c>
      <c r="C5750" s="44">
        <v>14.5</v>
      </c>
      <c r="D5750" s="46">
        <v>45356.0</v>
      </c>
      <c r="E5750" s="24">
        <v>2.07</v>
      </c>
      <c r="F5750" s="24">
        <v>852.94</v>
      </c>
      <c r="G5750" s="24">
        <v>41.18</v>
      </c>
      <c r="H5750" s="24" t="s">
        <v>6705</v>
      </c>
      <c r="I5750" s="24" t="s">
        <v>6650</v>
      </c>
      <c r="J5750" s="24">
        <v>1.0</v>
      </c>
    </row>
    <row r="5751">
      <c r="A5751" s="24">
        <v>169.0</v>
      </c>
      <c r="B5751" s="24">
        <v>100.0</v>
      </c>
      <c r="C5751" s="44">
        <v>116.58</v>
      </c>
      <c r="D5751" s="46">
        <v>45356.0</v>
      </c>
      <c r="E5751" s="24">
        <v>1.17</v>
      </c>
      <c r="F5751" s="24">
        <v>689.82</v>
      </c>
      <c r="G5751" s="24">
        <v>59.17</v>
      </c>
      <c r="H5751" s="24" t="s">
        <v>6707</v>
      </c>
      <c r="I5751" s="24">
        <v>116.58</v>
      </c>
      <c r="J5751" s="24">
        <v>3.0</v>
      </c>
    </row>
    <row r="5752">
      <c r="A5752" s="24">
        <v>183.0</v>
      </c>
      <c r="B5752" s="24">
        <v>76.0</v>
      </c>
      <c r="C5752" s="44">
        <v>119.13</v>
      </c>
      <c r="D5752" s="46">
        <v>45357.0</v>
      </c>
      <c r="E5752" s="24">
        <v>1.57</v>
      </c>
      <c r="F5752" s="24">
        <v>650.98</v>
      </c>
      <c r="G5752" s="24">
        <v>41.53</v>
      </c>
      <c r="H5752" s="24" t="s">
        <v>6708</v>
      </c>
      <c r="I5752" s="24" t="s">
        <v>6650</v>
      </c>
      <c r="J5752" s="24">
        <v>0.0</v>
      </c>
    </row>
    <row r="5753">
      <c r="A5753" s="24">
        <v>15.0</v>
      </c>
      <c r="B5753" s="24">
        <v>13.0</v>
      </c>
      <c r="C5753" s="44">
        <v>13.4</v>
      </c>
      <c r="D5753" s="46">
        <v>45357.0</v>
      </c>
      <c r="E5753" s="24">
        <v>1.03</v>
      </c>
      <c r="F5753" s="24">
        <v>893.33</v>
      </c>
      <c r="G5753" s="24">
        <v>86.67</v>
      </c>
      <c r="H5753" s="24" t="s">
        <v>6705</v>
      </c>
      <c r="I5753" s="24" t="s">
        <v>6650</v>
      </c>
      <c r="J5753" s="24">
        <v>0.0</v>
      </c>
    </row>
    <row r="5754">
      <c r="A5754" s="24">
        <v>3.0</v>
      </c>
      <c r="B5754" s="24">
        <v>1.0</v>
      </c>
      <c r="C5754" s="44">
        <v>2.28</v>
      </c>
      <c r="D5754" s="46">
        <v>45357.0</v>
      </c>
      <c r="E5754" s="24">
        <v>2.28</v>
      </c>
      <c r="F5754" s="24">
        <v>760.0</v>
      </c>
      <c r="G5754" s="24">
        <v>33.33</v>
      </c>
      <c r="H5754" s="24" t="s">
        <v>6706</v>
      </c>
      <c r="I5754" s="24" t="s">
        <v>6650</v>
      </c>
      <c r="J5754" s="24">
        <v>0.0</v>
      </c>
    </row>
    <row r="5755">
      <c r="A5755" s="24">
        <v>54.0</v>
      </c>
      <c r="B5755" s="24">
        <v>59.0</v>
      </c>
      <c r="C5755" s="44">
        <v>39.75</v>
      </c>
      <c r="D5755" s="46">
        <v>45357.0</v>
      </c>
      <c r="E5755" s="24">
        <v>0.67</v>
      </c>
      <c r="F5755" s="24">
        <v>736.11</v>
      </c>
      <c r="G5755" s="24">
        <v>109.26</v>
      </c>
      <c r="H5755" s="24" t="s">
        <v>6707</v>
      </c>
      <c r="I5755" s="24" t="s">
        <v>6650</v>
      </c>
      <c r="J5755" s="24">
        <v>0.0</v>
      </c>
    </row>
    <row r="5756">
      <c r="A5756" s="24">
        <v>0.0</v>
      </c>
      <c r="B5756" s="24">
        <v>27.0</v>
      </c>
      <c r="C5756" s="44">
        <v>0.0</v>
      </c>
      <c r="D5756" s="46">
        <v>45358.0</v>
      </c>
      <c r="E5756" s="24">
        <v>0.0</v>
      </c>
      <c r="F5756" s="24" t="s">
        <v>6650</v>
      </c>
      <c r="G5756" s="24" t="s">
        <v>6650</v>
      </c>
      <c r="H5756" s="24" t="s">
        <v>6707</v>
      </c>
      <c r="I5756" s="24" t="s">
        <v>6650</v>
      </c>
      <c r="J5756" s="24">
        <v>0.0</v>
      </c>
    </row>
    <row r="5757">
      <c r="A5757" s="24">
        <v>22.0</v>
      </c>
      <c r="B5757" s="24">
        <v>16.0</v>
      </c>
      <c r="C5757" s="44">
        <v>17.52</v>
      </c>
      <c r="D5757" s="46">
        <v>45358.0</v>
      </c>
      <c r="E5757" s="24">
        <v>1.1</v>
      </c>
      <c r="F5757" s="24">
        <v>796.36</v>
      </c>
      <c r="G5757" s="24">
        <v>72.73</v>
      </c>
      <c r="H5757" s="24" t="s">
        <v>6705</v>
      </c>
      <c r="I5757" s="24" t="s">
        <v>6650</v>
      </c>
      <c r="J5757" s="24">
        <v>1.0</v>
      </c>
    </row>
    <row r="5758">
      <c r="A5758" s="24">
        <v>172.0</v>
      </c>
      <c r="B5758" s="24">
        <v>87.0</v>
      </c>
      <c r="C5758" s="44">
        <v>113.96</v>
      </c>
      <c r="D5758" s="46">
        <v>45358.0</v>
      </c>
      <c r="E5758" s="24">
        <v>1.31</v>
      </c>
      <c r="F5758" s="24">
        <v>662.56</v>
      </c>
      <c r="G5758" s="24">
        <v>50.58</v>
      </c>
      <c r="H5758" s="24" t="s">
        <v>6708</v>
      </c>
      <c r="I5758" s="24" t="s">
        <v>6650</v>
      </c>
      <c r="J5758" s="24">
        <v>0.0</v>
      </c>
    </row>
    <row r="5759">
      <c r="A5759" s="24">
        <v>7.0</v>
      </c>
      <c r="B5759" s="24">
        <v>5.0</v>
      </c>
      <c r="C5759" s="44">
        <v>4.59</v>
      </c>
      <c r="D5759" s="46">
        <v>45358.0</v>
      </c>
      <c r="E5759" s="24">
        <v>0.92</v>
      </c>
      <c r="F5759" s="24">
        <v>655.71</v>
      </c>
      <c r="G5759" s="24">
        <v>71.43</v>
      </c>
      <c r="H5759" s="24" t="s">
        <v>6706</v>
      </c>
      <c r="I5759" s="24" t="s">
        <v>6650</v>
      </c>
      <c r="J5759" s="24">
        <v>0.0</v>
      </c>
    </row>
    <row r="5760">
      <c r="A5760" s="24">
        <v>2.0</v>
      </c>
      <c r="B5760" s="24">
        <v>2.0</v>
      </c>
      <c r="C5760" s="44">
        <v>2.1</v>
      </c>
      <c r="D5760" s="46">
        <v>45359.0</v>
      </c>
      <c r="E5760" s="24">
        <v>1.05</v>
      </c>
      <c r="F5760" s="24">
        <v>1050.0</v>
      </c>
      <c r="G5760" s="24">
        <v>100.0</v>
      </c>
      <c r="H5760" s="24" t="s">
        <v>6706</v>
      </c>
      <c r="I5760" s="24" t="s">
        <v>6650</v>
      </c>
      <c r="J5760" s="24">
        <v>0.0</v>
      </c>
    </row>
    <row r="5761">
      <c r="A5761" s="24">
        <v>161.0</v>
      </c>
      <c r="B5761" s="24">
        <v>86.0</v>
      </c>
      <c r="C5761" s="44">
        <v>106.34</v>
      </c>
      <c r="D5761" s="46">
        <v>45359.0</v>
      </c>
      <c r="E5761" s="24">
        <v>1.24</v>
      </c>
      <c r="F5761" s="24">
        <v>660.5</v>
      </c>
      <c r="G5761" s="24">
        <v>53.42</v>
      </c>
      <c r="H5761" s="24" t="s">
        <v>6708</v>
      </c>
      <c r="I5761" s="24" t="s">
        <v>6650</v>
      </c>
      <c r="J5761" s="24">
        <v>1.0</v>
      </c>
    </row>
    <row r="5762">
      <c r="A5762" s="24">
        <v>0.0</v>
      </c>
      <c r="B5762" s="24">
        <v>20.0</v>
      </c>
      <c r="C5762" s="44">
        <v>0.0</v>
      </c>
      <c r="D5762" s="46">
        <v>45359.0</v>
      </c>
      <c r="E5762" s="24">
        <v>0.0</v>
      </c>
      <c r="F5762" s="24" t="s">
        <v>6650</v>
      </c>
      <c r="G5762" s="24" t="s">
        <v>6650</v>
      </c>
      <c r="H5762" s="24" t="s">
        <v>6707</v>
      </c>
      <c r="I5762" s="24">
        <v>0.0</v>
      </c>
      <c r="J5762" s="24">
        <v>1.0</v>
      </c>
    </row>
    <row r="5763">
      <c r="A5763" s="24">
        <v>8.0</v>
      </c>
      <c r="B5763" s="24">
        <v>8.0</v>
      </c>
      <c r="C5763" s="44">
        <v>6.81</v>
      </c>
      <c r="D5763" s="46">
        <v>45359.0</v>
      </c>
      <c r="E5763" s="24">
        <v>0.85</v>
      </c>
      <c r="F5763" s="24">
        <v>851.25</v>
      </c>
      <c r="G5763" s="24">
        <v>100.0</v>
      </c>
      <c r="H5763" s="24" t="s">
        <v>6705</v>
      </c>
      <c r="I5763" s="24" t="s">
        <v>6650</v>
      </c>
      <c r="J5763" s="24">
        <v>0.0</v>
      </c>
    </row>
    <row r="5764">
      <c r="A5764" s="24">
        <v>0.0</v>
      </c>
      <c r="B5764" s="24">
        <v>3.0</v>
      </c>
      <c r="C5764" s="44">
        <v>0.0</v>
      </c>
      <c r="D5764" s="46">
        <v>45360.0</v>
      </c>
      <c r="E5764" s="24">
        <v>0.0</v>
      </c>
      <c r="F5764" s="24" t="s">
        <v>6650</v>
      </c>
      <c r="G5764" s="24" t="s">
        <v>6650</v>
      </c>
      <c r="H5764" s="24" t="s">
        <v>6707</v>
      </c>
      <c r="I5764" s="24" t="s">
        <v>6650</v>
      </c>
      <c r="J5764" s="24">
        <v>0.0</v>
      </c>
    </row>
    <row r="5765">
      <c r="A5765" s="24">
        <v>3.0</v>
      </c>
      <c r="B5765" s="24">
        <v>3.0</v>
      </c>
      <c r="C5765" s="44">
        <v>2.3</v>
      </c>
      <c r="D5765" s="46">
        <v>45360.0</v>
      </c>
      <c r="E5765" s="24">
        <v>0.77</v>
      </c>
      <c r="F5765" s="24">
        <v>766.67</v>
      </c>
      <c r="G5765" s="24">
        <v>100.0</v>
      </c>
      <c r="H5765" s="24" t="s">
        <v>6706</v>
      </c>
      <c r="I5765" s="24" t="s">
        <v>6650</v>
      </c>
      <c r="J5765" s="24">
        <v>0.0</v>
      </c>
    </row>
    <row r="5766">
      <c r="A5766" s="24">
        <v>121.0</v>
      </c>
      <c r="B5766" s="24">
        <v>67.0</v>
      </c>
      <c r="C5766" s="44">
        <v>82.02</v>
      </c>
      <c r="D5766" s="46">
        <v>45360.0</v>
      </c>
      <c r="E5766" s="24">
        <v>1.22</v>
      </c>
      <c r="F5766" s="24">
        <v>677.85</v>
      </c>
      <c r="G5766" s="24">
        <v>55.37</v>
      </c>
      <c r="H5766" s="24" t="s">
        <v>6708</v>
      </c>
      <c r="I5766" s="24" t="s">
        <v>6650</v>
      </c>
      <c r="J5766" s="24">
        <v>0.0</v>
      </c>
    </row>
    <row r="5767">
      <c r="A5767" s="24">
        <v>13.0</v>
      </c>
      <c r="B5767" s="24">
        <v>4.0</v>
      </c>
      <c r="C5767" s="44">
        <v>11.52</v>
      </c>
      <c r="D5767" s="46">
        <v>45360.0</v>
      </c>
      <c r="E5767" s="24">
        <v>2.88</v>
      </c>
      <c r="F5767" s="24">
        <v>886.15</v>
      </c>
      <c r="G5767" s="24">
        <v>30.77</v>
      </c>
      <c r="H5767" s="24" t="s">
        <v>6705</v>
      </c>
      <c r="I5767" s="24" t="s">
        <v>6650</v>
      </c>
      <c r="J5767" s="24">
        <v>0.0</v>
      </c>
    </row>
    <row r="5768">
      <c r="A5768" s="24">
        <v>1.0</v>
      </c>
      <c r="B5768" s="24">
        <v>0.0</v>
      </c>
      <c r="C5768" s="44">
        <v>1.15</v>
      </c>
      <c r="D5768" s="46">
        <v>45361.0</v>
      </c>
      <c r="E5768" s="24" t="s">
        <v>6650</v>
      </c>
      <c r="F5768" s="24">
        <v>1150.0</v>
      </c>
      <c r="G5768" s="24">
        <v>0.0</v>
      </c>
      <c r="H5768" s="24" t="s">
        <v>6706</v>
      </c>
      <c r="I5768" s="24" t="s">
        <v>6650</v>
      </c>
      <c r="J5768" s="24">
        <v>0.0</v>
      </c>
    </row>
    <row r="5769">
      <c r="A5769" s="24">
        <v>0.0</v>
      </c>
      <c r="B5769" s="24">
        <v>5.0</v>
      </c>
      <c r="C5769" s="44">
        <v>0.0</v>
      </c>
      <c r="D5769" s="46">
        <v>45361.0</v>
      </c>
      <c r="E5769" s="24">
        <v>0.0</v>
      </c>
      <c r="F5769" s="24" t="s">
        <v>6650</v>
      </c>
      <c r="G5769" s="24" t="s">
        <v>6650</v>
      </c>
      <c r="H5769" s="24" t="s">
        <v>6707</v>
      </c>
      <c r="I5769" s="24" t="s">
        <v>6650</v>
      </c>
      <c r="J5769" s="24">
        <v>0.0</v>
      </c>
    </row>
    <row r="5770">
      <c r="A5770" s="24">
        <v>26.0</v>
      </c>
      <c r="B5770" s="24">
        <v>13.0</v>
      </c>
      <c r="C5770" s="44">
        <v>21.04</v>
      </c>
      <c r="D5770" s="46">
        <v>45361.0</v>
      </c>
      <c r="E5770" s="24">
        <v>1.62</v>
      </c>
      <c r="F5770" s="24">
        <v>809.23</v>
      </c>
      <c r="G5770" s="24">
        <v>50.0</v>
      </c>
      <c r="H5770" s="24" t="s">
        <v>6705</v>
      </c>
      <c r="I5770" s="24" t="s">
        <v>6650</v>
      </c>
      <c r="J5770" s="24">
        <v>0.0</v>
      </c>
    </row>
    <row r="5771">
      <c r="A5771" s="24">
        <v>105.0</v>
      </c>
      <c r="B5771" s="24">
        <v>47.0</v>
      </c>
      <c r="C5771" s="44">
        <v>78.55</v>
      </c>
      <c r="D5771" s="46">
        <v>45361.0</v>
      </c>
      <c r="E5771" s="24">
        <v>1.67</v>
      </c>
      <c r="F5771" s="24">
        <v>748.1</v>
      </c>
      <c r="G5771" s="24">
        <v>44.76</v>
      </c>
      <c r="H5771" s="24" t="s">
        <v>6708</v>
      </c>
      <c r="I5771" s="24">
        <v>78.55</v>
      </c>
      <c r="J5771" s="24">
        <v>1.0</v>
      </c>
    </row>
    <row r="5772">
      <c r="A5772" s="24">
        <v>4.0</v>
      </c>
      <c r="B5772" s="24">
        <v>0.0</v>
      </c>
      <c r="C5772" s="44">
        <v>2.96</v>
      </c>
      <c r="D5772" s="46">
        <v>45362.0</v>
      </c>
      <c r="E5772" s="24" t="s">
        <v>6650</v>
      </c>
      <c r="F5772" s="24">
        <v>740.0</v>
      </c>
      <c r="G5772" s="24">
        <v>0.0</v>
      </c>
      <c r="H5772" s="24" t="s">
        <v>6706</v>
      </c>
      <c r="I5772" s="24" t="s">
        <v>6650</v>
      </c>
      <c r="J5772" s="24">
        <v>0.0</v>
      </c>
    </row>
    <row r="5773">
      <c r="A5773" s="24">
        <v>144.0</v>
      </c>
      <c r="B5773" s="24">
        <v>74.0</v>
      </c>
      <c r="C5773" s="44">
        <v>108.21</v>
      </c>
      <c r="D5773" s="46">
        <v>45362.0</v>
      </c>
      <c r="E5773" s="24">
        <v>1.46</v>
      </c>
      <c r="F5773" s="24">
        <v>751.46</v>
      </c>
      <c r="G5773" s="24">
        <v>51.39</v>
      </c>
      <c r="H5773" s="24" t="s">
        <v>6707</v>
      </c>
      <c r="I5773" s="24" t="s">
        <v>6650</v>
      </c>
      <c r="J5773" s="24">
        <v>1.0</v>
      </c>
    </row>
    <row r="5774">
      <c r="A5774" s="24">
        <v>43.0</v>
      </c>
      <c r="B5774" s="24">
        <v>20.0</v>
      </c>
      <c r="C5774" s="44">
        <v>30.79</v>
      </c>
      <c r="D5774" s="46">
        <v>45362.0</v>
      </c>
      <c r="E5774" s="24">
        <v>1.54</v>
      </c>
      <c r="F5774" s="24">
        <v>716.05</v>
      </c>
      <c r="G5774" s="24">
        <v>46.51</v>
      </c>
      <c r="H5774" s="24" t="s">
        <v>6705</v>
      </c>
      <c r="I5774" s="24" t="s">
        <v>6650</v>
      </c>
      <c r="J5774" s="24">
        <v>0.0</v>
      </c>
    </row>
    <row r="5775">
      <c r="A5775" s="24">
        <v>62.0</v>
      </c>
      <c r="B5775" s="24">
        <v>77.0</v>
      </c>
      <c r="C5775" s="44">
        <v>42.75</v>
      </c>
      <c r="D5775" s="46">
        <v>45362.0</v>
      </c>
      <c r="E5775" s="24">
        <v>0.56</v>
      </c>
      <c r="F5775" s="24">
        <v>689.52</v>
      </c>
      <c r="G5775" s="24">
        <v>124.19</v>
      </c>
      <c r="H5775" s="24" t="s">
        <v>6708</v>
      </c>
      <c r="I5775" s="24" t="s">
        <v>6650</v>
      </c>
      <c r="J5775" s="24">
        <v>1.0</v>
      </c>
    </row>
    <row r="5776">
      <c r="A5776" s="24">
        <v>170.0</v>
      </c>
      <c r="B5776" s="24">
        <v>80.0</v>
      </c>
      <c r="C5776" s="44">
        <v>116.37</v>
      </c>
      <c r="D5776" s="46">
        <v>45363.0</v>
      </c>
      <c r="E5776" s="24">
        <v>1.45</v>
      </c>
      <c r="F5776" s="24">
        <v>684.53</v>
      </c>
      <c r="G5776" s="24">
        <v>47.06</v>
      </c>
      <c r="H5776" s="24" t="s">
        <v>6707</v>
      </c>
      <c r="I5776" s="24" t="s">
        <v>6650</v>
      </c>
      <c r="J5776" s="24">
        <v>0.0</v>
      </c>
    </row>
    <row r="5777">
      <c r="A5777" s="24">
        <v>3.0</v>
      </c>
      <c r="B5777" s="24">
        <v>2.0</v>
      </c>
      <c r="C5777" s="44">
        <v>1.65</v>
      </c>
      <c r="D5777" s="46">
        <v>45363.0</v>
      </c>
      <c r="E5777" s="24">
        <v>0.82</v>
      </c>
      <c r="F5777" s="24">
        <v>550.0</v>
      </c>
      <c r="G5777" s="24">
        <v>66.67</v>
      </c>
      <c r="H5777" s="24" t="s">
        <v>6706</v>
      </c>
      <c r="I5777" s="24" t="s">
        <v>6650</v>
      </c>
      <c r="J5777" s="24">
        <v>1.0</v>
      </c>
    </row>
    <row r="5778">
      <c r="A5778" s="24">
        <v>42.0</v>
      </c>
      <c r="B5778" s="24">
        <v>26.0</v>
      </c>
      <c r="C5778" s="44">
        <v>32.18</v>
      </c>
      <c r="D5778" s="46">
        <v>45363.0</v>
      </c>
      <c r="E5778" s="24">
        <v>1.24</v>
      </c>
      <c r="F5778" s="24">
        <v>766.19</v>
      </c>
      <c r="G5778" s="24">
        <v>61.9</v>
      </c>
      <c r="H5778" s="24" t="s">
        <v>6705</v>
      </c>
      <c r="I5778" s="24" t="s">
        <v>6650</v>
      </c>
      <c r="J5778" s="24">
        <v>0.0</v>
      </c>
    </row>
    <row r="5779">
      <c r="A5779" s="24">
        <v>0.0</v>
      </c>
      <c r="B5779" s="24">
        <v>17.0</v>
      </c>
      <c r="C5779" s="44">
        <v>0.0</v>
      </c>
      <c r="D5779" s="46">
        <v>45363.0</v>
      </c>
      <c r="E5779" s="24">
        <v>0.0</v>
      </c>
      <c r="F5779" s="24" t="s">
        <v>6650</v>
      </c>
      <c r="G5779" s="24" t="s">
        <v>6650</v>
      </c>
      <c r="H5779" s="24" t="s">
        <v>6708</v>
      </c>
      <c r="I5779" s="24" t="s">
        <v>6650</v>
      </c>
      <c r="J5779" s="24">
        <v>1.0</v>
      </c>
    </row>
    <row r="5780">
      <c r="A5780" s="24">
        <v>0.0</v>
      </c>
      <c r="B5780" s="24">
        <v>13.0</v>
      </c>
      <c r="C5780" s="44">
        <v>0.0</v>
      </c>
      <c r="D5780" s="46">
        <v>45364.0</v>
      </c>
      <c r="E5780" s="24">
        <v>0.0</v>
      </c>
      <c r="F5780" s="24" t="s">
        <v>6650</v>
      </c>
      <c r="G5780" s="24" t="s">
        <v>6650</v>
      </c>
      <c r="H5780" s="24" t="s">
        <v>6708</v>
      </c>
      <c r="I5780" s="24" t="s">
        <v>6650</v>
      </c>
      <c r="J5780" s="24">
        <v>0.0</v>
      </c>
    </row>
    <row r="5781">
      <c r="A5781" s="24">
        <v>58.0</v>
      </c>
      <c r="B5781" s="24">
        <v>29.0</v>
      </c>
      <c r="C5781" s="44">
        <v>44.11</v>
      </c>
      <c r="D5781" s="46">
        <v>45364.0</v>
      </c>
      <c r="E5781" s="24">
        <v>1.52</v>
      </c>
      <c r="F5781" s="24">
        <v>760.52</v>
      </c>
      <c r="G5781" s="24">
        <v>50.0</v>
      </c>
      <c r="H5781" s="24" t="s">
        <v>6705</v>
      </c>
      <c r="I5781" s="24" t="s">
        <v>6650</v>
      </c>
      <c r="J5781" s="24">
        <v>0.0</v>
      </c>
    </row>
    <row r="5782">
      <c r="A5782" s="24">
        <v>1.0</v>
      </c>
      <c r="B5782" s="24">
        <v>3.0</v>
      </c>
      <c r="C5782" s="44">
        <v>0.55</v>
      </c>
      <c r="D5782" s="46">
        <v>45364.0</v>
      </c>
      <c r="E5782" s="24">
        <v>0.18</v>
      </c>
      <c r="F5782" s="24">
        <v>550.0</v>
      </c>
      <c r="G5782" s="24">
        <v>300.0</v>
      </c>
      <c r="H5782" s="24" t="s">
        <v>6706</v>
      </c>
      <c r="I5782" s="24">
        <v>0.55</v>
      </c>
      <c r="J5782" s="24">
        <v>0.0</v>
      </c>
    </row>
    <row r="5783">
      <c r="A5783" s="24">
        <v>154.0</v>
      </c>
      <c r="B5783" s="24">
        <v>89.0</v>
      </c>
      <c r="C5783" s="44">
        <v>109.59</v>
      </c>
      <c r="D5783" s="46">
        <v>45364.0</v>
      </c>
      <c r="E5783" s="24">
        <v>1.23</v>
      </c>
      <c r="F5783" s="24">
        <v>711.62</v>
      </c>
      <c r="G5783" s="24">
        <v>57.79</v>
      </c>
      <c r="H5783" s="24" t="s">
        <v>6707</v>
      </c>
      <c r="I5783" s="24" t="s">
        <v>6650</v>
      </c>
      <c r="J5783" s="24">
        <v>2.0</v>
      </c>
    </row>
    <row r="5784">
      <c r="A5784" s="24">
        <v>4.0</v>
      </c>
      <c r="B5784" s="24">
        <v>3.0</v>
      </c>
      <c r="C5784" s="44">
        <v>3.75</v>
      </c>
      <c r="D5784" s="46">
        <v>45365.0</v>
      </c>
      <c r="E5784" s="24">
        <v>1.25</v>
      </c>
      <c r="F5784" s="24">
        <v>937.5</v>
      </c>
      <c r="G5784" s="24">
        <v>75.0</v>
      </c>
      <c r="H5784" s="24" t="s">
        <v>6706</v>
      </c>
      <c r="I5784" s="24" t="s">
        <v>6650</v>
      </c>
      <c r="J5784" s="24">
        <v>0.0</v>
      </c>
    </row>
    <row r="5785">
      <c r="A5785" s="24">
        <v>146.0</v>
      </c>
      <c r="B5785" s="24">
        <v>84.0</v>
      </c>
      <c r="C5785" s="44">
        <v>111.41</v>
      </c>
      <c r="D5785" s="46">
        <v>45365.0</v>
      </c>
      <c r="E5785" s="24">
        <v>1.33</v>
      </c>
      <c r="F5785" s="24">
        <v>763.08</v>
      </c>
      <c r="G5785" s="24">
        <v>57.53</v>
      </c>
      <c r="H5785" s="24" t="s">
        <v>6707</v>
      </c>
      <c r="I5785" s="24" t="s">
        <v>6650</v>
      </c>
      <c r="J5785" s="24">
        <v>0.0</v>
      </c>
    </row>
    <row r="5786">
      <c r="A5786" s="24">
        <v>58.0</v>
      </c>
      <c r="B5786" s="24">
        <v>36.0</v>
      </c>
      <c r="C5786" s="44">
        <v>43.5</v>
      </c>
      <c r="D5786" s="46">
        <v>45365.0</v>
      </c>
      <c r="E5786" s="24">
        <v>1.21</v>
      </c>
      <c r="F5786" s="24">
        <v>750.0</v>
      </c>
      <c r="G5786" s="24">
        <v>62.07</v>
      </c>
      <c r="H5786" s="24" t="s">
        <v>6705</v>
      </c>
      <c r="I5786" s="24" t="s">
        <v>6650</v>
      </c>
      <c r="J5786" s="24">
        <v>0.0</v>
      </c>
    </row>
    <row r="5787">
      <c r="A5787" s="24">
        <v>0.0</v>
      </c>
      <c r="B5787" s="24">
        <v>8.0</v>
      </c>
      <c r="C5787" s="44">
        <v>0.0</v>
      </c>
      <c r="D5787" s="46">
        <v>45365.0</v>
      </c>
      <c r="E5787" s="24">
        <v>0.0</v>
      </c>
      <c r="F5787" s="24" t="s">
        <v>6650</v>
      </c>
      <c r="G5787" s="24" t="s">
        <v>6650</v>
      </c>
      <c r="H5787" s="24" t="s">
        <v>6708</v>
      </c>
      <c r="I5787" s="24" t="s">
        <v>6650</v>
      </c>
      <c r="J5787" s="24">
        <v>0.0</v>
      </c>
    </row>
    <row r="5788">
      <c r="A5788" s="24">
        <v>53.0</v>
      </c>
      <c r="B5788" s="24">
        <v>24.0</v>
      </c>
      <c r="C5788" s="44">
        <v>33.39</v>
      </c>
      <c r="D5788" s="46">
        <v>45366.0</v>
      </c>
      <c r="E5788" s="24">
        <v>1.39</v>
      </c>
      <c r="F5788" s="24">
        <v>630.0</v>
      </c>
      <c r="G5788" s="24">
        <v>45.28</v>
      </c>
      <c r="H5788" s="24" t="s">
        <v>6709</v>
      </c>
      <c r="I5788" s="24" t="s">
        <v>6650</v>
      </c>
      <c r="J5788" s="24">
        <v>1.0</v>
      </c>
    </row>
    <row r="5789">
      <c r="A5789" s="24">
        <v>153.0</v>
      </c>
      <c r="B5789" s="24">
        <v>79.0</v>
      </c>
      <c r="C5789" s="44">
        <v>111.19</v>
      </c>
      <c r="D5789" s="46">
        <v>45366.0</v>
      </c>
      <c r="E5789" s="24">
        <v>1.41</v>
      </c>
      <c r="F5789" s="24">
        <v>726.73</v>
      </c>
      <c r="G5789" s="24">
        <v>51.63</v>
      </c>
      <c r="H5789" s="24" t="s">
        <v>6707</v>
      </c>
      <c r="I5789" s="24">
        <v>111.19</v>
      </c>
      <c r="J5789" s="24">
        <v>2.0</v>
      </c>
    </row>
    <row r="5790">
      <c r="A5790" s="24">
        <v>0.0</v>
      </c>
      <c r="B5790" s="24">
        <v>5.0</v>
      </c>
      <c r="C5790" s="44">
        <v>0.0</v>
      </c>
      <c r="D5790" s="46">
        <v>45366.0</v>
      </c>
      <c r="E5790" s="24">
        <v>0.0</v>
      </c>
      <c r="F5790" s="24" t="s">
        <v>6650</v>
      </c>
      <c r="G5790" s="24" t="s">
        <v>6650</v>
      </c>
      <c r="H5790" s="24" t="s">
        <v>6708</v>
      </c>
      <c r="I5790" s="24" t="s">
        <v>6650</v>
      </c>
      <c r="J5790" s="24">
        <v>0.0</v>
      </c>
    </row>
    <row r="5791">
      <c r="A5791" s="24">
        <v>4.0</v>
      </c>
      <c r="B5791" s="24">
        <v>2.0</v>
      </c>
      <c r="C5791" s="44">
        <v>2.43</v>
      </c>
      <c r="D5791" s="46">
        <v>45366.0</v>
      </c>
      <c r="E5791" s="24">
        <v>1.22</v>
      </c>
      <c r="F5791" s="24">
        <v>607.5</v>
      </c>
      <c r="G5791" s="24">
        <v>50.0</v>
      </c>
      <c r="H5791" s="24" t="s">
        <v>6706</v>
      </c>
      <c r="I5791" s="24" t="s">
        <v>6650</v>
      </c>
      <c r="J5791" s="24">
        <v>0.0</v>
      </c>
    </row>
    <row r="5792">
      <c r="A5792" s="24">
        <v>120.0</v>
      </c>
      <c r="B5792" s="24">
        <v>47.0</v>
      </c>
      <c r="C5792" s="44">
        <v>90.69</v>
      </c>
      <c r="D5792" s="46">
        <v>45366.0</v>
      </c>
      <c r="E5792" s="24">
        <v>1.93</v>
      </c>
      <c r="F5792" s="24">
        <v>755.75</v>
      </c>
      <c r="G5792" s="24">
        <v>39.17</v>
      </c>
      <c r="H5792" s="24" t="s">
        <v>6705</v>
      </c>
      <c r="I5792" s="24" t="s">
        <v>6650</v>
      </c>
      <c r="J5792" s="24">
        <v>1.0</v>
      </c>
    </row>
    <row r="5793">
      <c r="A5793" s="24">
        <v>184.0</v>
      </c>
      <c r="B5793" s="24">
        <v>69.0</v>
      </c>
      <c r="C5793" s="44">
        <v>131.63</v>
      </c>
      <c r="D5793" s="46">
        <v>45366.0</v>
      </c>
      <c r="E5793" s="24">
        <v>1.91</v>
      </c>
      <c r="F5793" s="24">
        <v>715.38</v>
      </c>
      <c r="G5793" s="24">
        <v>37.5</v>
      </c>
      <c r="H5793" s="24" t="s">
        <v>6710</v>
      </c>
      <c r="I5793" s="24" t="s">
        <v>6650</v>
      </c>
      <c r="J5793" s="24">
        <v>1.0</v>
      </c>
    </row>
    <row r="5794">
      <c r="A5794" s="24">
        <v>126.0</v>
      </c>
      <c r="B5794" s="24">
        <v>61.0</v>
      </c>
      <c r="C5794" s="44">
        <v>87.51</v>
      </c>
      <c r="D5794" s="46">
        <v>45367.0</v>
      </c>
      <c r="E5794" s="24">
        <v>1.43</v>
      </c>
      <c r="F5794" s="24">
        <v>694.52</v>
      </c>
      <c r="G5794" s="24">
        <v>48.41</v>
      </c>
      <c r="H5794" s="24" t="s">
        <v>6710</v>
      </c>
      <c r="I5794" s="24" t="s">
        <v>6650</v>
      </c>
      <c r="J5794" s="24">
        <v>2.0</v>
      </c>
    </row>
    <row r="5795">
      <c r="A5795" s="24">
        <v>76.0</v>
      </c>
      <c r="B5795" s="24">
        <v>21.0</v>
      </c>
      <c r="C5795" s="44">
        <v>57.47</v>
      </c>
      <c r="D5795" s="46">
        <v>45367.0</v>
      </c>
      <c r="E5795" s="24">
        <v>2.74</v>
      </c>
      <c r="F5795" s="24">
        <v>756.18</v>
      </c>
      <c r="G5795" s="24">
        <v>27.63</v>
      </c>
      <c r="H5795" s="24" t="s">
        <v>6709</v>
      </c>
      <c r="I5795" s="24" t="s">
        <v>6650</v>
      </c>
      <c r="J5795" s="24">
        <v>1.0</v>
      </c>
    </row>
    <row r="5796">
      <c r="A5796" s="24">
        <v>4.0</v>
      </c>
      <c r="B5796" s="24">
        <v>1.0</v>
      </c>
      <c r="C5796" s="44">
        <v>3.89</v>
      </c>
      <c r="D5796" s="46">
        <v>45367.0</v>
      </c>
      <c r="E5796" s="24">
        <v>3.89</v>
      </c>
      <c r="F5796" s="24">
        <v>972.5</v>
      </c>
      <c r="G5796" s="24">
        <v>25.0</v>
      </c>
      <c r="H5796" s="24" t="s">
        <v>6706</v>
      </c>
      <c r="I5796" s="24" t="s">
        <v>6650</v>
      </c>
      <c r="J5796" s="24">
        <v>0.0</v>
      </c>
    </row>
    <row r="5797">
      <c r="A5797" s="24">
        <v>118.0</v>
      </c>
      <c r="B5797" s="24">
        <v>66.0</v>
      </c>
      <c r="C5797" s="44">
        <v>74.25</v>
      </c>
      <c r="D5797" s="46">
        <v>45367.0</v>
      </c>
      <c r="E5797" s="24">
        <v>1.12</v>
      </c>
      <c r="F5797" s="24">
        <v>629.24</v>
      </c>
      <c r="G5797" s="24">
        <v>55.93</v>
      </c>
      <c r="H5797" s="24" t="s">
        <v>6707</v>
      </c>
      <c r="I5797" s="24" t="s">
        <v>6650</v>
      </c>
      <c r="J5797" s="24">
        <v>2.0</v>
      </c>
    </row>
    <row r="5798">
      <c r="A5798" s="24">
        <v>122.0</v>
      </c>
      <c r="B5798" s="24">
        <v>50.0</v>
      </c>
      <c r="C5798" s="44">
        <v>93.78</v>
      </c>
      <c r="D5798" s="46">
        <v>45367.0</v>
      </c>
      <c r="E5798" s="24">
        <v>1.88</v>
      </c>
      <c r="F5798" s="24">
        <v>768.69</v>
      </c>
      <c r="G5798" s="24">
        <v>40.98</v>
      </c>
      <c r="H5798" s="24" t="s">
        <v>6705</v>
      </c>
      <c r="I5798" s="24" t="s">
        <v>6650</v>
      </c>
      <c r="J5798" s="24">
        <v>2.0</v>
      </c>
    </row>
    <row r="5799">
      <c r="A5799" s="24">
        <v>0.0</v>
      </c>
      <c r="B5799" s="24">
        <v>5.0</v>
      </c>
      <c r="C5799" s="44">
        <v>0.0</v>
      </c>
      <c r="D5799" s="46">
        <v>45367.0</v>
      </c>
      <c r="E5799" s="24">
        <v>0.0</v>
      </c>
      <c r="F5799" s="24" t="s">
        <v>6650</v>
      </c>
      <c r="G5799" s="24" t="s">
        <v>6650</v>
      </c>
      <c r="H5799" s="24" t="s">
        <v>6708</v>
      </c>
      <c r="I5799" s="24" t="s">
        <v>6650</v>
      </c>
      <c r="J5799" s="24">
        <v>0.0</v>
      </c>
    </row>
    <row r="5800">
      <c r="A5800" s="24">
        <v>0.0</v>
      </c>
      <c r="B5800" s="24">
        <v>1.0</v>
      </c>
      <c r="C5800" s="44">
        <v>0.0</v>
      </c>
      <c r="D5800" s="46">
        <v>45368.0</v>
      </c>
      <c r="E5800" s="24">
        <v>0.0</v>
      </c>
      <c r="F5800" s="24" t="s">
        <v>6650</v>
      </c>
      <c r="G5800" s="24" t="s">
        <v>6650</v>
      </c>
      <c r="H5800" s="24" t="s">
        <v>6708</v>
      </c>
      <c r="I5800" s="24" t="s">
        <v>6650</v>
      </c>
      <c r="J5800" s="24">
        <v>0.0</v>
      </c>
    </row>
    <row r="5801">
      <c r="A5801" s="24">
        <v>180.0</v>
      </c>
      <c r="B5801" s="24">
        <v>67.0</v>
      </c>
      <c r="C5801" s="44">
        <v>139.19</v>
      </c>
      <c r="D5801" s="46">
        <v>45368.0</v>
      </c>
      <c r="E5801" s="24">
        <v>2.08</v>
      </c>
      <c r="F5801" s="24">
        <v>773.28</v>
      </c>
      <c r="G5801" s="24">
        <v>37.22</v>
      </c>
      <c r="H5801" s="24" t="s">
        <v>6705</v>
      </c>
      <c r="I5801" s="24">
        <v>139.19</v>
      </c>
      <c r="J5801" s="24">
        <v>3.0</v>
      </c>
    </row>
    <row r="5802">
      <c r="A5802" s="24">
        <v>3.0</v>
      </c>
      <c r="B5802" s="24">
        <v>0.0</v>
      </c>
      <c r="C5802" s="44">
        <v>1.6</v>
      </c>
      <c r="D5802" s="46">
        <v>45368.0</v>
      </c>
      <c r="E5802" s="24" t="s">
        <v>6650</v>
      </c>
      <c r="F5802" s="24">
        <v>533.33</v>
      </c>
      <c r="G5802" s="24">
        <v>0.0</v>
      </c>
      <c r="H5802" s="24" t="s">
        <v>6706</v>
      </c>
      <c r="I5802" s="24" t="s">
        <v>6650</v>
      </c>
      <c r="J5802" s="24">
        <v>0.0</v>
      </c>
    </row>
    <row r="5803">
      <c r="A5803" s="24">
        <v>66.0</v>
      </c>
      <c r="B5803" s="24">
        <v>36.0</v>
      </c>
      <c r="C5803" s="44">
        <v>42.73</v>
      </c>
      <c r="D5803" s="46">
        <v>45368.0</v>
      </c>
      <c r="E5803" s="24">
        <v>1.19</v>
      </c>
      <c r="F5803" s="24">
        <v>647.42</v>
      </c>
      <c r="G5803" s="24">
        <v>54.55</v>
      </c>
      <c r="H5803" s="24" t="s">
        <v>6709</v>
      </c>
      <c r="I5803" s="24" t="s">
        <v>6650</v>
      </c>
      <c r="J5803" s="24">
        <v>3.0</v>
      </c>
    </row>
    <row r="5804">
      <c r="A5804" s="24">
        <v>104.0</v>
      </c>
      <c r="B5804" s="24">
        <v>57.0</v>
      </c>
      <c r="C5804" s="44">
        <v>68.98</v>
      </c>
      <c r="D5804" s="46">
        <v>45368.0</v>
      </c>
      <c r="E5804" s="24">
        <v>1.21</v>
      </c>
      <c r="F5804" s="24">
        <v>663.27</v>
      </c>
      <c r="G5804" s="24">
        <v>54.81</v>
      </c>
      <c r="H5804" s="24" t="s">
        <v>6707</v>
      </c>
      <c r="I5804" s="24" t="s">
        <v>6650</v>
      </c>
      <c r="J5804" s="24">
        <v>0.0</v>
      </c>
    </row>
    <row r="5805">
      <c r="A5805" s="24">
        <v>127.0</v>
      </c>
      <c r="B5805" s="24">
        <v>76.0</v>
      </c>
      <c r="C5805" s="44">
        <v>80.8</v>
      </c>
      <c r="D5805" s="46">
        <v>45368.0</v>
      </c>
      <c r="E5805" s="24">
        <v>1.06</v>
      </c>
      <c r="F5805" s="24">
        <v>636.22</v>
      </c>
      <c r="G5805" s="24">
        <v>59.84</v>
      </c>
      <c r="H5805" s="24" t="s">
        <v>6710</v>
      </c>
      <c r="I5805" s="24">
        <v>80.8</v>
      </c>
      <c r="J5805" s="24">
        <v>0.0</v>
      </c>
    </row>
    <row r="5806">
      <c r="A5806" s="24">
        <v>160.0</v>
      </c>
      <c r="B5806" s="24">
        <v>109.0</v>
      </c>
      <c r="C5806" s="44">
        <v>109.3</v>
      </c>
      <c r="D5806" s="46">
        <v>45369.0</v>
      </c>
      <c r="E5806" s="24">
        <v>1.0</v>
      </c>
      <c r="F5806" s="24">
        <v>683.12</v>
      </c>
      <c r="G5806" s="24">
        <v>68.12</v>
      </c>
      <c r="H5806" s="24" t="s">
        <v>6710</v>
      </c>
      <c r="I5806" s="24">
        <v>109.3</v>
      </c>
      <c r="J5806" s="24">
        <v>0.0</v>
      </c>
    </row>
    <row r="5807">
      <c r="A5807" s="24">
        <v>161.0</v>
      </c>
      <c r="B5807" s="24">
        <v>108.0</v>
      </c>
      <c r="C5807" s="44">
        <v>108.23</v>
      </c>
      <c r="D5807" s="46">
        <v>45369.0</v>
      </c>
      <c r="E5807" s="24">
        <v>1.0</v>
      </c>
      <c r="F5807" s="24">
        <v>672.24</v>
      </c>
      <c r="G5807" s="24">
        <v>67.08</v>
      </c>
      <c r="H5807" s="24" t="s">
        <v>6707</v>
      </c>
      <c r="I5807" s="24" t="s">
        <v>6650</v>
      </c>
      <c r="J5807" s="24">
        <v>0.0</v>
      </c>
    </row>
    <row r="5808">
      <c r="A5808" s="24">
        <v>110.0</v>
      </c>
      <c r="B5808" s="24">
        <v>59.0</v>
      </c>
      <c r="C5808" s="44">
        <v>81.39</v>
      </c>
      <c r="D5808" s="46">
        <v>45369.0</v>
      </c>
      <c r="E5808" s="24">
        <v>1.38</v>
      </c>
      <c r="F5808" s="24">
        <v>739.91</v>
      </c>
      <c r="G5808" s="24">
        <v>53.64</v>
      </c>
      <c r="H5808" s="24" t="s">
        <v>6709</v>
      </c>
      <c r="I5808" s="24">
        <v>81.39</v>
      </c>
      <c r="J5808" s="24">
        <v>1.0</v>
      </c>
    </row>
    <row r="5809">
      <c r="A5809" s="24">
        <v>0.0</v>
      </c>
      <c r="B5809" s="24">
        <v>8.0</v>
      </c>
      <c r="C5809" s="44">
        <v>0.0</v>
      </c>
      <c r="D5809" s="46">
        <v>45369.0</v>
      </c>
      <c r="E5809" s="24">
        <v>0.0</v>
      </c>
      <c r="F5809" s="24" t="s">
        <v>6650</v>
      </c>
      <c r="G5809" s="24" t="s">
        <v>6650</v>
      </c>
      <c r="H5809" s="24" t="s">
        <v>6708</v>
      </c>
      <c r="I5809" s="24" t="s">
        <v>6650</v>
      </c>
      <c r="J5809" s="24">
        <v>0.0</v>
      </c>
    </row>
    <row r="5810">
      <c r="A5810" s="24">
        <v>147.0</v>
      </c>
      <c r="B5810" s="24">
        <v>98.0</v>
      </c>
      <c r="C5810" s="44">
        <v>109.16</v>
      </c>
      <c r="D5810" s="46">
        <v>45369.0</v>
      </c>
      <c r="E5810" s="24">
        <v>1.11</v>
      </c>
      <c r="F5810" s="24">
        <v>742.59</v>
      </c>
      <c r="G5810" s="24">
        <v>66.67</v>
      </c>
      <c r="H5810" s="24" t="s">
        <v>6705</v>
      </c>
      <c r="I5810" s="24" t="s">
        <v>6650</v>
      </c>
      <c r="J5810" s="24">
        <v>2.0</v>
      </c>
    </row>
    <row r="5811">
      <c r="A5811" s="24">
        <v>25.0</v>
      </c>
      <c r="B5811" s="24">
        <v>6.0</v>
      </c>
      <c r="C5811" s="44">
        <v>15.95</v>
      </c>
      <c r="D5811" s="46">
        <v>45369.0</v>
      </c>
      <c r="E5811" s="24">
        <v>2.66</v>
      </c>
      <c r="F5811" s="24">
        <v>638.0</v>
      </c>
      <c r="G5811" s="24">
        <v>24.0</v>
      </c>
      <c r="H5811" s="24" t="s">
        <v>6706</v>
      </c>
      <c r="I5811" s="24" t="s">
        <v>6650</v>
      </c>
      <c r="J5811" s="24">
        <v>0.0</v>
      </c>
    </row>
    <row r="5812">
      <c r="A5812" s="24">
        <v>167.0</v>
      </c>
      <c r="B5812" s="24">
        <v>103.0</v>
      </c>
      <c r="C5812" s="44">
        <v>110.02</v>
      </c>
      <c r="D5812" s="46">
        <v>45370.0</v>
      </c>
      <c r="E5812" s="24">
        <v>1.07</v>
      </c>
      <c r="F5812" s="24">
        <v>658.8</v>
      </c>
      <c r="G5812" s="24">
        <v>61.68</v>
      </c>
      <c r="H5812" s="24" t="s">
        <v>6710</v>
      </c>
      <c r="I5812" s="24" t="s">
        <v>6650</v>
      </c>
      <c r="J5812" s="24">
        <v>4.0</v>
      </c>
    </row>
    <row r="5813">
      <c r="A5813" s="24">
        <v>126.0</v>
      </c>
      <c r="B5813" s="24">
        <v>59.0</v>
      </c>
      <c r="C5813" s="44">
        <v>92.67</v>
      </c>
      <c r="D5813" s="46">
        <v>45370.0</v>
      </c>
      <c r="E5813" s="24">
        <v>1.57</v>
      </c>
      <c r="F5813" s="24">
        <v>735.48</v>
      </c>
      <c r="G5813" s="24">
        <v>46.83</v>
      </c>
      <c r="H5813" s="24" t="s">
        <v>6709</v>
      </c>
      <c r="I5813" s="24">
        <v>92.67</v>
      </c>
      <c r="J5813" s="24">
        <v>3.0</v>
      </c>
    </row>
    <row r="5814">
      <c r="A5814" s="24">
        <v>28.0</v>
      </c>
      <c r="B5814" s="24">
        <v>10.0</v>
      </c>
      <c r="C5814" s="44">
        <v>18.49</v>
      </c>
      <c r="D5814" s="46">
        <v>45370.0</v>
      </c>
      <c r="E5814" s="24">
        <v>1.85</v>
      </c>
      <c r="F5814" s="24">
        <v>660.36</v>
      </c>
      <c r="G5814" s="24">
        <v>35.71</v>
      </c>
      <c r="H5814" s="24" t="s">
        <v>6706</v>
      </c>
      <c r="I5814" s="24" t="s">
        <v>6650</v>
      </c>
      <c r="J5814" s="24">
        <v>0.0</v>
      </c>
    </row>
    <row r="5815">
      <c r="A5815" s="24">
        <v>147.0</v>
      </c>
      <c r="B5815" s="24">
        <v>85.0</v>
      </c>
      <c r="C5815" s="44">
        <v>110.11</v>
      </c>
      <c r="D5815" s="46">
        <v>45370.0</v>
      </c>
      <c r="E5815" s="24">
        <v>1.3</v>
      </c>
      <c r="F5815" s="24">
        <v>749.05</v>
      </c>
      <c r="G5815" s="24">
        <v>57.82</v>
      </c>
      <c r="H5815" s="24" t="s">
        <v>6705</v>
      </c>
      <c r="I5815" s="24" t="s">
        <v>6650</v>
      </c>
      <c r="J5815" s="24">
        <v>6.0</v>
      </c>
    </row>
    <row r="5816">
      <c r="A5816" s="24">
        <v>0.0</v>
      </c>
      <c r="B5816" s="24">
        <v>9.0</v>
      </c>
      <c r="C5816" s="44">
        <v>0.0</v>
      </c>
      <c r="D5816" s="46">
        <v>45370.0</v>
      </c>
      <c r="E5816" s="24">
        <v>0.0</v>
      </c>
      <c r="F5816" s="24" t="s">
        <v>6650</v>
      </c>
      <c r="G5816" s="24" t="s">
        <v>6650</v>
      </c>
      <c r="H5816" s="24" t="s">
        <v>6708</v>
      </c>
      <c r="I5816" s="24" t="s">
        <v>6650</v>
      </c>
      <c r="J5816" s="24">
        <v>0.0</v>
      </c>
    </row>
    <row r="5817">
      <c r="A5817" s="24">
        <v>152.0</v>
      </c>
      <c r="B5817" s="24">
        <v>89.0</v>
      </c>
      <c r="C5817" s="44">
        <v>110.67</v>
      </c>
      <c r="D5817" s="46">
        <v>45370.0</v>
      </c>
      <c r="E5817" s="24">
        <v>1.24</v>
      </c>
      <c r="F5817" s="24">
        <v>728.09</v>
      </c>
      <c r="G5817" s="24">
        <v>58.55</v>
      </c>
      <c r="H5817" s="24" t="s">
        <v>6707</v>
      </c>
      <c r="I5817" s="24" t="s">
        <v>6650</v>
      </c>
      <c r="J5817" s="24">
        <v>1.0</v>
      </c>
    </row>
    <row r="5818">
      <c r="A5818" s="24">
        <v>0.0</v>
      </c>
      <c r="B5818" s="24">
        <v>1.0</v>
      </c>
      <c r="C5818" s="44">
        <v>0.0</v>
      </c>
      <c r="D5818" s="46">
        <v>45371.0</v>
      </c>
      <c r="E5818" s="24">
        <v>0.0</v>
      </c>
      <c r="F5818" s="24" t="s">
        <v>6650</v>
      </c>
      <c r="G5818" s="24" t="s">
        <v>6650</v>
      </c>
      <c r="H5818" s="24" t="s">
        <v>6708</v>
      </c>
      <c r="I5818" s="24" t="s">
        <v>6650</v>
      </c>
      <c r="J5818" s="24">
        <v>0.0</v>
      </c>
    </row>
    <row r="5819">
      <c r="A5819" s="24">
        <v>152.0</v>
      </c>
      <c r="B5819" s="24">
        <v>87.0</v>
      </c>
      <c r="C5819" s="44">
        <v>115.41</v>
      </c>
      <c r="D5819" s="46">
        <v>45371.0</v>
      </c>
      <c r="E5819" s="24">
        <v>1.33</v>
      </c>
      <c r="F5819" s="24">
        <v>759.28</v>
      </c>
      <c r="G5819" s="24">
        <v>57.24</v>
      </c>
      <c r="H5819" s="24" t="s">
        <v>6705</v>
      </c>
      <c r="I5819" s="24">
        <v>57.7</v>
      </c>
      <c r="J5819" s="24">
        <v>1.0</v>
      </c>
    </row>
    <row r="5820">
      <c r="A5820" s="24">
        <v>156.0</v>
      </c>
      <c r="B5820" s="24">
        <v>103.0</v>
      </c>
      <c r="C5820" s="44">
        <v>115.42</v>
      </c>
      <c r="D5820" s="46">
        <v>45371.0</v>
      </c>
      <c r="E5820" s="24">
        <v>1.12</v>
      </c>
      <c r="F5820" s="24">
        <v>739.87</v>
      </c>
      <c r="G5820" s="24">
        <v>66.03</v>
      </c>
      <c r="H5820" s="24" t="s">
        <v>6707</v>
      </c>
      <c r="I5820" s="24" t="s">
        <v>6650</v>
      </c>
      <c r="J5820" s="24">
        <v>1.0</v>
      </c>
    </row>
    <row r="5821">
      <c r="A5821" s="24">
        <v>139.0</v>
      </c>
      <c r="B5821" s="24">
        <v>72.0</v>
      </c>
      <c r="C5821" s="44">
        <v>93.94</v>
      </c>
      <c r="D5821" s="46">
        <v>45371.0</v>
      </c>
      <c r="E5821" s="24">
        <v>1.3</v>
      </c>
      <c r="F5821" s="24">
        <v>675.83</v>
      </c>
      <c r="G5821" s="24">
        <v>51.8</v>
      </c>
      <c r="H5821" s="24" t="s">
        <v>6709</v>
      </c>
      <c r="I5821" s="24">
        <v>31.31</v>
      </c>
      <c r="J5821" s="24">
        <v>2.0</v>
      </c>
    </row>
    <row r="5822">
      <c r="A5822" s="24">
        <v>26.0</v>
      </c>
      <c r="B5822" s="24">
        <v>14.0</v>
      </c>
      <c r="C5822" s="44">
        <v>18.75</v>
      </c>
      <c r="D5822" s="46">
        <v>45371.0</v>
      </c>
      <c r="E5822" s="24">
        <v>1.34</v>
      </c>
      <c r="F5822" s="24">
        <v>721.15</v>
      </c>
      <c r="G5822" s="24">
        <v>53.85</v>
      </c>
      <c r="H5822" s="24" t="s">
        <v>6706</v>
      </c>
      <c r="I5822" s="24" t="s">
        <v>6650</v>
      </c>
      <c r="J5822" s="24">
        <v>1.0</v>
      </c>
    </row>
    <row r="5823">
      <c r="A5823" s="24">
        <v>188.0</v>
      </c>
      <c r="B5823" s="24">
        <v>101.0</v>
      </c>
      <c r="C5823" s="44">
        <v>144.6</v>
      </c>
      <c r="D5823" s="46">
        <v>45371.0</v>
      </c>
      <c r="E5823" s="24">
        <v>1.43</v>
      </c>
      <c r="F5823" s="24">
        <v>769.15</v>
      </c>
      <c r="G5823" s="24">
        <v>53.72</v>
      </c>
      <c r="H5823" s="24" t="s">
        <v>6710</v>
      </c>
      <c r="I5823" s="24" t="s">
        <v>6650</v>
      </c>
      <c r="J5823" s="24">
        <v>0.0</v>
      </c>
    </row>
    <row r="5824">
      <c r="A5824" s="24">
        <v>27.0</v>
      </c>
      <c r="B5824" s="24">
        <v>5.0</v>
      </c>
      <c r="C5824" s="44">
        <v>19.8</v>
      </c>
      <c r="D5824" s="46">
        <v>45372.0</v>
      </c>
      <c r="E5824" s="24">
        <v>3.96</v>
      </c>
      <c r="F5824" s="24">
        <v>733.33</v>
      </c>
      <c r="G5824" s="24">
        <v>18.52</v>
      </c>
      <c r="H5824" s="24" t="s">
        <v>6706</v>
      </c>
      <c r="I5824" s="24" t="s">
        <v>6650</v>
      </c>
      <c r="J5824" s="24">
        <v>1.0</v>
      </c>
    </row>
    <row r="5825">
      <c r="A5825" s="24">
        <v>166.0</v>
      </c>
      <c r="B5825" s="24">
        <v>85.0</v>
      </c>
      <c r="C5825" s="44">
        <v>110.74</v>
      </c>
      <c r="D5825" s="46">
        <v>45372.0</v>
      </c>
      <c r="E5825" s="24">
        <v>1.3</v>
      </c>
      <c r="F5825" s="24">
        <v>667.11</v>
      </c>
      <c r="G5825" s="24">
        <v>51.2</v>
      </c>
      <c r="H5825" s="24" t="s">
        <v>6705</v>
      </c>
      <c r="I5825" s="24" t="s">
        <v>6650</v>
      </c>
      <c r="J5825" s="24">
        <v>1.0</v>
      </c>
    </row>
    <row r="5826">
      <c r="A5826" s="24">
        <v>0.0</v>
      </c>
      <c r="B5826" s="24">
        <v>1.0</v>
      </c>
      <c r="C5826" s="44">
        <v>0.0</v>
      </c>
      <c r="D5826" s="46">
        <v>45372.0</v>
      </c>
      <c r="E5826" s="24">
        <v>0.0</v>
      </c>
      <c r="F5826" s="24" t="s">
        <v>6650</v>
      </c>
      <c r="G5826" s="24" t="s">
        <v>6650</v>
      </c>
      <c r="H5826" s="24" t="s">
        <v>6708</v>
      </c>
      <c r="I5826" s="24" t="s">
        <v>6650</v>
      </c>
      <c r="J5826" s="24">
        <v>0.0</v>
      </c>
    </row>
    <row r="5827">
      <c r="A5827" s="24">
        <v>140.0</v>
      </c>
      <c r="B5827" s="24">
        <v>92.0</v>
      </c>
      <c r="C5827" s="44">
        <v>110.27</v>
      </c>
      <c r="D5827" s="46">
        <v>45372.0</v>
      </c>
      <c r="E5827" s="24">
        <v>1.2</v>
      </c>
      <c r="F5827" s="24">
        <v>787.64</v>
      </c>
      <c r="G5827" s="24">
        <v>65.71</v>
      </c>
      <c r="H5827" s="24" t="s">
        <v>6710</v>
      </c>
      <c r="I5827" s="24">
        <v>110.27</v>
      </c>
      <c r="J5827" s="24">
        <v>1.0</v>
      </c>
    </row>
    <row r="5828">
      <c r="A5828" s="24">
        <v>118.0</v>
      </c>
      <c r="B5828" s="24">
        <v>70.0</v>
      </c>
      <c r="C5828" s="44">
        <v>84.54</v>
      </c>
      <c r="D5828" s="46">
        <v>45372.0</v>
      </c>
      <c r="E5828" s="24">
        <v>1.21</v>
      </c>
      <c r="F5828" s="24">
        <v>716.44</v>
      </c>
      <c r="G5828" s="24">
        <v>59.32</v>
      </c>
      <c r="H5828" s="24" t="s">
        <v>6709</v>
      </c>
      <c r="I5828" s="24">
        <v>84.54</v>
      </c>
      <c r="J5828" s="24">
        <v>1.0</v>
      </c>
    </row>
    <row r="5829">
      <c r="A5829" s="24">
        <v>146.0</v>
      </c>
      <c r="B5829" s="24">
        <v>105.0</v>
      </c>
      <c r="C5829" s="44">
        <v>113.05</v>
      </c>
      <c r="D5829" s="46">
        <v>45372.0</v>
      </c>
      <c r="E5829" s="24">
        <v>1.08</v>
      </c>
      <c r="F5829" s="24">
        <v>774.32</v>
      </c>
      <c r="G5829" s="24">
        <v>71.92</v>
      </c>
      <c r="H5829" s="24" t="s">
        <v>6707</v>
      </c>
      <c r="I5829" s="24" t="s">
        <v>6650</v>
      </c>
      <c r="J5829" s="24">
        <v>1.0</v>
      </c>
    </row>
    <row r="5830">
      <c r="A5830" s="24">
        <v>133.0</v>
      </c>
      <c r="B5830" s="24">
        <v>77.0</v>
      </c>
      <c r="C5830" s="44">
        <v>101.4</v>
      </c>
      <c r="D5830" s="46">
        <v>45373.0</v>
      </c>
      <c r="E5830" s="24">
        <v>1.32</v>
      </c>
      <c r="F5830" s="24">
        <v>762.41</v>
      </c>
      <c r="G5830" s="24">
        <v>57.89</v>
      </c>
      <c r="H5830" s="24" t="s">
        <v>6710</v>
      </c>
      <c r="I5830" s="24" t="s">
        <v>6650</v>
      </c>
      <c r="J5830" s="24">
        <v>0.0</v>
      </c>
    </row>
    <row r="5831">
      <c r="A5831" s="24">
        <v>26.0</v>
      </c>
      <c r="B5831" s="24">
        <v>11.0</v>
      </c>
      <c r="C5831" s="44">
        <v>18.95</v>
      </c>
      <c r="D5831" s="46">
        <v>45373.0</v>
      </c>
      <c r="E5831" s="24">
        <v>1.72</v>
      </c>
      <c r="F5831" s="24">
        <v>728.85</v>
      </c>
      <c r="G5831" s="24">
        <v>42.31</v>
      </c>
      <c r="H5831" s="24" t="s">
        <v>6706</v>
      </c>
      <c r="I5831" s="24" t="s">
        <v>6650</v>
      </c>
      <c r="J5831" s="24">
        <v>0.0</v>
      </c>
    </row>
    <row r="5832">
      <c r="A5832" s="24">
        <v>150.0</v>
      </c>
      <c r="B5832" s="24">
        <v>88.0</v>
      </c>
      <c r="C5832" s="44">
        <v>108.79</v>
      </c>
      <c r="D5832" s="46">
        <v>45373.0</v>
      </c>
      <c r="E5832" s="24">
        <v>1.24</v>
      </c>
      <c r="F5832" s="24">
        <v>725.27</v>
      </c>
      <c r="G5832" s="24">
        <v>58.67</v>
      </c>
      <c r="H5832" s="24" t="s">
        <v>6707</v>
      </c>
      <c r="I5832" s="24">
        <v>54.4</v>
      </c>
      <c r="J5832" s="24">
        <v>1.0</v>
      </c>
    </row>
    <row r="5833">
      <c r="A5833" s="24">
        <v>136.0</v>
      </c>
      <c r="B5833" s="24">
        <v>83.0</v>
      </c>
      <c r="C5833" s="44">
        <v>95.5</v>
      </c>
      <c r="D5833" s="46">
        <v>45373.0</v>
      </c>
      <c r="E5833" s="24">
        <v>1.15</v>
      </c>
      <c r="F5833" s="24">
        <v>702.21</v>
      </c>
      <c r="G5833" s="24">
        <v>61.03</v>
      </c>
      <c r="H5833" s="24" t="s">
        <v>6705</v>
      </c>
      <c r="I5833" s="24">
        <v>95.5</v>
      </c>
      <c r="J5833" s="24">
        <v>3.0</v>
      </c>
    </row>
    <row r="5834">
      <c r="A5834" s="24">
        <v>0.0</v>
      </c>
      <c r="B5834" s="24">
        <v>1.0</v>
      </c>
      <c r="C5834" s="44">
        <v>0.0</v>
      </c>
      <c r="D5834" s="46">
        <v>45373.0</v>
      </c>
      <c r="E5834" s="24">
        <v>0.0</v>
      </c>
      <c r="F5834" s="24" t="s">
        <v>6650</v>
      </c>
      <c r="G5834" s="24" t="s">
        <v>6650</v>
      </c>
      <c r="H5834" s="24" t="s">
        <v>6708</v>
      </c>
      <c r="I5834" s="24" t="s">
        <v>6650</v>
      </c>
      <c r="J5834" s="24">
        <v>0.0</v>
      </c>
    </row>
    <row r="5835">
      <c r="A5835" s="24">
        <v>88.0</v>
      </c>
      <c r="B5835" s="24">
        <v>58.0</v>
      </c>
      <c r="C5835" s="44">
        <v>62.75</v>
      </c>
      <c r="D5835" s="46">
        <v>45373.0</v>
      </c>
      <c r="E5835" s="24">
        <v>1.08</v>
      </c>
      <c r="F5835" s="24">
        <v>713.07</v>
      </c>
      <c r="G5835" s="24">
        <v>65.91</v>
      </c>
      <c r="H5835" s="24" t="s">
        <v>6709</v>
      </c>
      <c r="I5835" s="24" t="s">
        <v>6650</v>
      </c>
      <c r="J5835" s="24">
        <v>3.0</v>
      </c>
    </row>
    <row r="5836">
      <c r="A5836" s="24">
        <v>64.0</v>
      </c>
      <c r="B5836" s="24">
        <v>28.0</v>
      </c>
      <c r="C5836" s="44">
        <v>40.96</v>
      </c>
      <c r="D5836" s="46">
        <v>45374.0</v>
      </c>
      <c r="E5836" s="24">
        <v>1.46</v>
      </c>
      <c r="F5836" s="24">
        <v>640.0</v>
      </c>
      <c r="G5836" s="24">
        <v>43.75</v>
      </c>
      <c r="H5836" s="24" t="s">
        <v>6709</v>
      </c>
      <c r="I5836" s="24">
        <v>40.96</v>
      </c>
      <c r="J5836" s="24">
        <v>4.0</v>
      </c>
    </row>
    <row r="5837">
      <c r="A5837" s="24">
        <v>140.0</v>
      </c>
      <c r="B5837" s="24">
        <v>62.0</v>
      </c>
      <c r="C5837" s="44">
        <v>102.5</v>
      </c>
      <c r="D5837" s="46">
        <v>45374.0</v>
      </c>
      <c r="E5837" s="24">
        <v>1.65</v>
      </c>
      <c r="F5837" s="24">
        <v>732.14</v>
      </c>
      <c r="G5837" s="24">
        <v>44.29</v>
      </c>
      <c r="H5837" s="24" t="s">
        <v>6710</v>
      </c>
      <c r="I5837" s="24" t="s">
        <v>6650</v>
      </c>
      <c r="J5837" s="24">
        <v>2.0</v>
      </c>
    </row>
    <row r="5838">
      <c r="A5838" s="24">
        <v>111.0</v>
      </c>
      <c r="B5838" s="24">
        <v>62.0</v>
      </c>
      <c r="C5838" s="44">
        <v>77.1</v>
      </c>
      <c r="D5838" s="46">
        <v>45374.0</v>
      </c>
      <c r="E5838" s="24">
        <v>1.24</v>
      </c>
      <c r="F5838" s="24">
        <v>694.59</v>
      </c>
      <c r="G5838" s="24">
        <v>55.86</v>
      </c>
      <c r="H5838" s="24" t="s">
        <v>6707</v>
      </c>
      <c r="I5838" s="24">
        <v>77.1</v>
      </c>
      <c r="J5838" s="24">
        <v>1.0</v>
      </c>
    </row>
    <row r="5839">
      <c r="A5839" s="24">
        <v>19.0</v>
      </c>
      <c r="B5839" s="24">
        <v>5.0</v>
      </c>
      <c r="C5839" s="44">
        <v>12.88</v>
      </c>
      <c r="D5839" s="46">
        <v>45374.0</v>
      </c>
      <c r="E5839" s="24">
        <v>2.58</v>
      </c>
      <c r="F5839" s="24">
        <v>677.89</v>
      </c>
      <c r="G5839" s="24">
        <v>26.32</v>
      </c>
      <c r="H5839" s="24" t="s">
        <v>6706</v>
      </c>
      <c r="I5839" s="24">
        <v>12.88</v>
      </c>
      <c r="J5839" s="24">
        <v>0.0</v>
      </c>
    </row>
    <row r="5840">
      <c r="A5840" s="24">
        <v>0.0</v>
      </c>
      <c r="B5840" s="24">
        <v>2.0</v>
      </c>
      <c r="C5840" s="44">
        <v>0.0</v>
      </c>
      <c r="D5840" s="46">
        <v>45374.0</v>
      </c>
      <c r="E5840" s="24">
        <v>0.0</v>
      </c>
      <c r="F5840" s="24" t="s">
        <v>6650</v>
      </c>
      <c r="G5840" s="24" t="s">
        <v>6650</v>
      </c>
      <c r="H5840" s="24" t="s">
        <v>6708</v>
      </c>
      <c r="I5840" s="24" t="s">
        <v>6650</v>
      </c>
      <c r="J5840" s="24">
        <v>0.0</v>
      </c>
    </row>
    <row r="5841">
      <c r="A5841" s="24">
        <v>119.0</v>
      </c>
      <c r="B5841" s="24">
        <v>48.0</v>
      </c>
      <c r="C5841" s="44">
        <v>82.56</v>
      </c>
      <c r="D5841" s="46">
        <v>45374.0</v>
      </c>
      <c r="E5841" s="24">
        <v>1.72</v>
      </c>
      <c r="F5841" s="24">
        <v>693.78</v>
      </c>
      <c r="G5841" s="24">
        <v>40.34</v>
      </c>
      <c r="H5841" s="24" t="s">
        <v>6705</v>
      </c>
      <c r="I5841" s="24" t="s">
        <v>6650</v>
      </c>
      <c r="J5841" s="24">
        <v>2.0</v>
      </c>
    </row>
    <row r="5842">
      <c r="A5842" s="24">
        <v>106.0</v>
      </c>
      <c r="B5842" s="24">
        <v>55.0</v>
      </c>
      <c r="C5842" s="44">
        <v>66.74</v>
      </c>
      <c r="D5842" s="46">
        <v>45375.0</v>
      </c>
      <c r="E5842" s="24">
        <v>1.21</v>
      </c>
      <c r="F5842" s="24">
        <v>629.62</v>
      </c>
      <c r="G5842" s="24">
        <v>51.89</v>
      </c>
      <c r="H5842" s="24" t="s">
        <v>6707</v>
      </c>
      <c r="I5842" s="24" t="s">
        <v>6650</v>
      </c>
      <c r="J5842" s="24">
        <v>1.0</v>
      </c>
    </row>
    <row r="5843">
      <c r="A5843" s="24">
        <v>86.0</v>
      </c>
      <c r="B5843" s="24">
        <v>36.0</v>
      </c>
      <c r="C5843" s="44">
        <v>57.02</v>
      </c>
      <c r="D5843" s="46">
        <v>45375.0</v>
      </c>
      <c r="E5843" s="24">
        <v>1.58</v>
      </c>
      <c r="F5843" s="24">
        <v>663.02</v>
      </c>
      <c r="G5843" s="24">
        <v>41.86</v>
      </c>
      <c r="H5843" s="24" t="s">
        <v>6709</v>
      </c>
      <c r="I5843" s="24">
        <v>57.02</v>
      </c>
      <c r="J5843" s="24">
        <v>1.0</v>
      </c>
    </row>
    <row r="5844">
      <c r="A5844" s="24">
        <v>51.0</v>
      </c>
      <c r="B5844" s="24">
        <v>36.0</v>
      </c>
      <c r="C5844" s="44">
        <v>21.91</v>
      </c>
      <c r="D5844" s="46">
        <v>45375.0</v>
      </c>
      <c r="E5844" s="24">
        <v>0.61</v>
      </c>
      <c r="F5844" s="24">
        <v>429.61</v>
      </c>
      <c r="G5844" s="24">
        <v>70.59</v>
      </c>
      <c r="H5844" s="24" t="s">
        <v>6710</v>
      </c>
      <c r="I5844" s="24" t="s">
        <v>6650</v>
      </c>
      <c r="J5844" s="24">
        <v>0.0</v>
      </c>
    </row>
    <row r="5845">
      <c r="A5845" s="24">
        <v>18.0</v>
      </c>
      <c r="B5845" s="24">
        <v>5.0</v>
      </c>
      <c r="C5845" s="44">
        <v>10.29</v>
      </c>
      <c r="D5845" s="46">
        <v>45375.0</v>
      </c>
      <c r="E5845" s="24">
        <v>2.06</v>
      </c>
      <c r="F5845" s="24">
        <v>571.67</v>
      </c>
      <c r="G5845" s="24">
        <v>27.78</v>
      </c>
      <c r="H5845" s="24" t="s">
        <v>6706</v>
      </c>
      <c r="I5845" s="24" t="s">
        <v>6650</v>
      </c>
      <c r="J5845" s="24">
        <v>0.0</v>
      </c>
    </row>
    <row r="5846">
      <c r="A5846" s="24">
        <v>0.0</v>
      </c>
      <c r="B5846" s="24">
        <v>1.0</v>
      </c>
      <c r="C5846" s="44">
        <v>0.0</v>
      </c>
      <c r="D5846" s="46">
        <v>45375.0</v>
      </c>
      <c r="E5846" s="24">
        <v>0.0</v>
      </c>
      <c r="F5846" s="24" t="s">
        <v>6650</v>
      </c>
      <c r="G5846" s="24" t="s">
        <v>6650</v>
      </c>
      <c r="H5846" s="24" t="s">
        <v>6708</v>
      </c>
      <c r="I5846" s="24" t="s">
        <v>6650</v>
      </c>
      <c r="J5846" s="24">
        <v>0.0</v>
      </c>
    </row>
    <row r="5847">
      <c r="A5847" s="24">
        <v>105.0</v>
      </c>
      <c r="B5847" s="24">
        <v>58.0</v>
      </c>
      <c r="C5847" s="44">
        <v>74.88</v>
      </c>
      <c r="D5847" s="46">
        <v>45375.0</v>
      </c>
      <c r="E5847" s="24">
        <v>1.29</v>
      </c>
      <c r="F5847" s="24">
        <v>713.14</v>
      </c>
      <c r="G5847" s="24">
        <v>55.24</v>
      </c>
      <c r="H5847" s="24" t="s">
        <v>6705</v>
      </c>
      <c r="I5847" s="24" t="s">
        <v>6650</v>
      </c>
      <c r="J5847" s="24">
        <v>1.0</v>
      </c>
    </row>
    <row r="5848">
      <c r="A5848" s="24">
        <v>27.0</v>
      </c>
      <c r="B5848" s="24">
        <v>12.0</v>
      </c>
      <c r="C5848" s="44">
        <v>17.27</v>
      </c>
      <c r="D5848" s="46">
        <v>45376.0</v>
      </c>
      <c r="E5848" s="24">
        <v>1.44</v>
      </c>
      <c r="F5848" s="24">
        <v>639.63</v>
      </c>
      <c r="G5848" s="24">
        <v>44.44</v>
      </c>
      <c r="H5848" s="24" t="s">
        <v>6706</v>
      </c>
      <c r="I5848" s="24" t="s">
        <v>6650</v>
      </c>
      <c r="J5848" s="24">
        <v>0.0</v>
      </c>
    </row>
    <row r="5849">
      <c r="A5849" s="24">
        <v>191.0</v>
      </c>
      <c r="B5849" s="24">
        <v>112.0</v>
      </c>
      <c r="C5849" s="44">
        <v>132.08</v>
      </c>
      <c r="D5849" s="46">
        <v>45376.0</v>
      </c>
      <c r="E5849" s="24">
        <v>1.18</v>
      </c>
      <c r="F5849" s="24">
        <v>691.52</v>
      </c>
      <c r="G5849" s="24">
        <v>58.64</v>
      </c>
      <c r="H5849" s="24" t="s">
        <v>6710</v>
      </c>
      <c r="I5849" s="24" t="s">
        <v>6650</v>
      </c>
      <c r="J5849" s="24">
        <v>0.0</v>
      </c>
    </row>
    <row r="5850">
      <c r="A5850" s="24">
        <v>115.0</v>
      </c>
      <c r="B5850" s="24">
        <v>66.0</v>
      </c>
      <c r="C5850" s="44">
        <v>79.78</v>
      </c>
      <c r="D5850" s="46">
        <v>45376.0</v>
      </c>
      <c r="E5850" s="24">
        <v>1.21</v>
      </c>
      <c r="F5850" s="24">
        <v>693.74</v>
      </c>
      <c r="G5850" s="24">
        <v>57.39</v>
      </c>
      <c r="H5850" s="24" t="s">
        <v>6709</v>
      </c>
      <c r="I5850" s="24">
        <v>79.78</v>
      </c>
      <c r="J5850" s="24">
        <v>2.0</v>
      </c>
    </row>
    <row r="5851">
      <c r="A5851" s="24">
        <v>0.0</v>
      </c>
      <c r="B5851" s="24">
        <v>2.0</v>
      </c>
      <c r="C5851" s="44">
        <v>0.0</v>
      </c>
      <c r="D5851" s="46">
        <v>45376.0</v>
      </c>
      <c r="E5851" s="24">
        <v>0.0</v>
      </c>
      <c r="F5851" s="24" t="s">
        <v>6650</v>
      </c>
      <c r="G5851" s="24" t="s">
        <v>6650</v>
      </c>
      <c r="H5851" s="24" t="s">
        <v>6708</v>
      </c>
      <c r="I5851" s="24" t="s">
        <v>6650</v>
      </c>
      <c r="J5851" s="24">
        <v>0.0</v>
      </c>
    </row>
    <row r="5852">
      <c r="A5852" s="24">
        <v>154.0</v>
      </c>
      <c r="B5852" s="24">
        <v>86.0</v>
      </c>
      <c r="C5852" s="44">
        <v>107.21</v>
      </c>
      <c r="D5852" s="46">
        <v>45376.0</v>
      </c>
      <c r="E5852" s="24">
        <v>1.25</v>
      </c>
      <c r="F5852" s="24">
        <v>696.17</v>
      </c>
      <c r="G5852" s="24">
        <v>55.84</v>
      </c>
      <c r="H5852" s="24" t="s">
        <v>6707</v>
      </c>
      <c r="I5852" s="24">
        <v>107.21</v>
      </c>
      <c r="J5852" s="24">
        <v>1.0</v>
      </c>
    </row>
    <row r="5853">
      <c r="A5853" s="24">
        <v>158.0</v>
      </c>
      <c r="B5853" s="24">
        <v>96.0</v>
      </c>
      <c r="C5853" s="44">
        <v>116.79</v>
      </c>
      <c r="D5853" s="46">
        <v>45376.0</v>
      </c>
      <c r="E5853" s="24">
        <v>1.22</v>
      </c>
      <c r="F5853" s="24">
        <v>739.18</v>
      </c>
      <c r="G5853" s="24">
        <v>60.76</v>
      </c>
      <c r="H5853" s="24" t="s">
        <v>6705</v>
      </c>
      <c r="I5853" s="24" t="s">
        <v>6650</v>
      </c>
      <c r="J5853" s="24">
        <v>2.0</v>
      </c>
    </row>
    <row r="5854">
      <c r="A5854" s="24">
        <v>0.0</v>
      </c>
      <c r="B5854" s="24">
        <v>2.0</v>
      </c>
      <c r="C5854" s="44">
        <v>0.0</v>
      </c>
      <c r="D5854" s="46">
        <v>45377.0</v>
      </c>
      <c r="E5854" s="24">
        <v>0.0</v>
      </c>
      <c r="F5854" s="24" t="s">
        <v>6650</v>
      </c>
      <c r="G5854" s="24" t="s">
        <v>6650</v>
      </c>
      <c r="H5854" s="24" t="s">
        <v>6708</v>
      </c>
      <c r="I5854" s="24" t="s">
        <v>6650</v>
      </c>
      <c r="J5854" s="24">
        <v>0.0</v>
      </c>
    </row>
    <row r="5855">
      <c r="A5855" s="24">
        <v>194.0</v>
      </c>
      <c r="B5855" s="24">
        <v>120.0</v>
      </c>
      <c r="C5855" s="44">
        <v>150.0</v>
      </c>
      <c r="D5855" s="46">
        <v>45377.0</v>
      </c>
      <c r="E5855" s="24">
        <v>1.25</v>
      </c>
      <c r="F5855" s="24">
        <v>773.2</v>
      </c>
      <c r="G5855" s="24">
        <v>61.86</v>
      </c>
      <c r="H5855" s="24" t="s">
        <v>6710</v>
      </c>
      <c r="I5855" s="24" t="s">
        <v>6650</v>
      </c>
      <c r="J5855" s="24">
        <v>0.0</v>
      </c>
    </row>
    <row r="5856">
      <c r="A5856" s="24">
        <v>117.0</v>
      </c>
      <c r="B5856" s="24">
        <v>85.0</v>
      </c>
      <c r="C5856" s="44">
        <v>76.62</v>
      </c>
      <c r="D5856" s="46">
        <v>45377.0</v>
      </c>
      <c r="E5856" s="24">
        <v>0.9</v>
      </c>
      <c r="F5856" s="24">
        <v>654.87</v>
      </c>
      <c r="G5856" s="24">
        <v>72.65</v>
      </c>
      <c r="H5856" s="24" t="s">
        <v>6709</v>
      </c>
      <c r="I5856" s="24">
        <v>38.31</v>
      </c>
      <c r="J5856" s="24">
        <v>4.0</v>
      </c>
    </row>
    <row r="5857">
      <c r="A5857" s="24">
        <v>158.0</v>
      </c>
      <c r="B5857" s="24">
        <v>87.0</v>
      </c>
      <c r="C5857" s="44">
        <v>109.5</v>
      </c>
      <c r="D5857" s="46">
        <v>45377.0</v>
      </c>
      <c r="E5857" s="24">
        <v>1.26</v>
      </c>
      <c r="F5857" s="24">
        <v>693.04</v>
      </c>
      <c r="G5857" s="24">
        <v>55.06</v>
      </c>
      <c r="H5857" s="24" t="s">
        <v>6705</v>
      </c>
      <c r="I5857" s="24" t="s">
        <v>6650</v>
      </c>
      <c r="J5857" s="24">
        <v>3.0</v>
      </c>
    </row>
    <row r="5858">
      <c r="A5858" s="24">
        <v>160.0</v>
      </c>
      <c r="B5858" s="24">
        <v>89.0</v>
      </c>
      <c r="C5858" s="44">
        <v>117.09</v>
      </c>
      <c r="D5858" s="46">
        <v>45377.0</v>
      </c>
      <c r="E5858" s="24">
        <v>1.32</v>
      </c>
      <c r="F5858" s="24">
        <v>731.81</v>
      </c>
      <c r="G5858" s="24">
        <v>55.62</v>
      </c>
      <c r="H5858" s="24" t="s">
        <v>6707</v>
      </c>
      <c r="I5858" s="24" t="s">
        <v>6650</v>
      </c>
      <c r="J5858" s="24">
        <v>0.0</v>
      </c>
    </row>
    <row r="5859">
      <c r="A5859" s="24">
        <v>19.0</v>
      </c>
      <c r="B5859" s="24">
        <v>7.0</v>
      </c>
      <c r="C5859" s="44">
        <v>15.49</v>
      </c>
      <c r="D5859" s="46">
        <v>45377.0</v>
      </c>
      <c r="E5859" s="24">
        <v>2.21</v>
      </c>
      <c r="F5859" s="24">
        <v>815.26</v>
      </c>
      <c r="G5859" s="24">
        <v>36.84</v>
      </c>
      <c r="H5859" s="24" t="s">
        <v>6706</v>
      </c>
      <c r="I5859" s="24" t="s">
        <v>6650</v>
      </c>
      <c r="J5859" s="24">
        <v>0.0</v>
      </c>
    </row>
    <row r="5860">
      <c r="A5860" s="24">
        <v>168.0</v>
      </c>
      <c r="B5860" s="24">
        <v>86.0</v>
      </c>
      <c r="C5860" s="44">
        <v>114.83</v>
      </c>
      <c r="D5860" s="46">
        <v>45378.0</v>
      </c>
      <c r="E5860" s="24">
        <v>1.34</v>
      </c>
      <c r="F5860" s="24">
        <v>683.51</v>
      </c>
      <c r="G5860" s="24">
        <v>51.19</v>
      </c>
      <c r="H5860" s="24" t="s">
        <v>6705</v>
      </c>
      <c r="I5860" s="24" t="s">
        <v>6650</v>
      </c>
      <c r="J5860" s="24">
        <v>1.0</v>
      </c>
    </row>
    <row r="5861">
      <c r="A5861" s="24">
        <v>147.0</v>
      </c>
      <c r="B5861" s="24">
        <v>102.0</v>
      </c>
      <c r="C5861" s="44">
        <v>108.79</v>
      </c>
      <c r="D5861" s="46">
        <v>45378.0</v>
      </c>
      <c r="E5861" s="24">
        <v>1.07</v>
      </c>
      <c r="F5861" s="24">
        <v>740.07</v>
      </c>
      <c r="G5861" s="24">
        <v>69.39</v>
      </c>
      <c r="H5861" s="24" t="s">
        <v>6707</v>
      </c>
      <c r="I5861" s="24" t="s">
        <v>6650</v>
      </c>
      <c r="J5861" s="24">
        <v>1.0</v>
      </c>
    </row>
    <row r="5862">
      <c r="A5862" s="24">
        <v>11.0</v>
      </c>
      <c r="B5862" s="24">
        <v>8.0</v>
      </c>
      <c r="C5862" s="44">
        <v>7.53</v>
      </c>
      <c r="D5862" s="46">
        <v>45378.0</v>
      </c>
      <c r="E5862" s="24">
        <v>0.94</v>
      </c>
      <c r="F5862" s="24">
        <v>684.55</v>
      </c>
      <c r="G5862" s="24">
        <v>72.73</v>
      </c>
      <c r="H5862" s="24" t="s">
        <v>6706</v>
      </c>
      <c r="I5862" s="24" t="s">
        <v>6650</v>
      </c>
      <c r="J5862" s="24">
        <v>0.0</v>
      </c>
    </row>
    <row r="5863">
      <c r="A5863" s="24">
        <v>153.0</v>
      </c>
      <c r="B5863" s="24">
        <v>103.0</v>
      </c>
      <c r="C5863" s="44">
        <v>114.68</v>
      </c>
      <c r="D5863" s="46">
        <v>45378.0</v>
      </c>
      <c r="E5863" s="24">
        <v>1.11</v>
      </c>
      <c r="F5863" s="24">
        <v>749.54</v>
      </c>
      <c r="G5863" s="24">
        <v>67.32</v>
      </c>
      <c r="H5863" s="24" t="s">
        <v>6710</v>
      </c>
      <c r="I5863" s="24" t="s">
        <v>6650</v>
      </c>
      <c r="J5863" s="24">
        <v>0.0</v>
      </c>
    </row>
    <row r="5864">
      <c r="A5864" s="24">
        <v>78.0</v>
      </c>
      <c r="B5864" s="24">
        <v>60.0</v>
      </c>
      <c r="C5864" s="44">
        <v>54.01</v>
      </c>
      <c r="D5864" s="46">
        <v>45378.0</v>
      </c>
      <c r="E5864" s="24">
        <v>0.9</v>
      </c>
      <c r="F5864" s="24">
        <v>692.44</v>
      </c>
      <c r="G5864" s="24">
        <v>76.92</v>
      </c>
      <c r="H5864" s="24" t="s">
        <v>6709</v>
      </c>
      <c r="I5864" s="24">
        <v>27.0</v>
      </c>
      <c r="J5864" s="24">
        <v>4.0</v>
      </c>
    </row>
    <row r="5865">
      <c r="A5865" s="24">
        <v>0.0</v>
      </c>
      <c r="B5865" s="24">
        <v>5.0</v>
      </c>
      <c r="C5865" s="44">
        <v>0.0</v>
      </c>
      <c r="D5865" s="46">
        <v>45378.0</v>
      </c>
      <c r="E5865" s="24">
        <v>0.0</v>
      </c>
      <c r="F5865" s="24" t="s">
        <v>6650</v>
      </c>
      <c r="G5865" s="24" t="s">
        <v>6650</v>
      </c>
      <c r="H5865" s="24" t="s">
        <v>6708</v>
      </c>
      <c r="I5865" s="24" t="s">
        <v>6650</v>
      </c>
      <c r="J5865" s="24">
        <v>0.0</v>
      </c>
    </row>
    <row r="5866">
      <c r="A5866" s="24">
        <v>10.0</v>
      </c>
      <c r="B5866" s="24">
        <v>6.0</v>
      </c>
      <c r="C5866" s="44">
        <v>6.1</v>
      </c>
      <c r="D5866" s="46">
        <v>45379.0</v>
      </c>
      <c r="E5866" s="24">
        <v>1.02</v>
      </c>
      <c r="F5866" s="24">
        <v>610.0</v>
      </c>
      <c r="G5866" s="24">
        <v>60.0</v>
      </c>
      <c r="H5866" s="24" t="s">
        <v>6706</v>
      </c>
      <c r="I5866" s="24" t="s">
        <v>6650</v>
      </c>
      <c r="J5866" s="24">
        <v>0.0</v>
      </c>
    </row>
    <row r="5867">
      <c r="A5867" s="24">
        <v>137.0</v>
      </c>
      <c r="B5867" s="24">
        <v>83.0</v>
      </c>
      <c r="C5867" s="44">
        <v>105.1</v>
      </c>
      <c r="D5867" s="46">
        <v>45379.0</v>
      </c>
      <c r="E5867" s="24">
        <v>1.27</v>
      </c>
      <c r="F5867" s="24">
        <v>767.15</v>
      </c>
      <c r="G5867" s="24">
        <v>60.58</v>
      </c>
      <c r="H5867" s="24" t="s">
        <v>6705</v>
      </c>
      <c r="I5867" s="24">
        <v>52.55</v>
      </c>
      <c r="J5867" s="24">
        <v>3.0</v>
      </c>
    </row>
    <row r="5868">
      <c r="A5868" s="24">
        <v>155.0</v>
      </c>
      <c r="B5868" s="24">
        <v>93.0</v>
      </c>
      <c r="C5868" s="44">
        <v>116.2</v>
      </c>
      <c r="D5868" s="46">
        <v>45379.0</v>
      </c>
      <c r="E5868" s="24">
        <v>1.25</v>
      </c>
      <c r="F5868" s="24">
        <v>749.68</v>
      </c>
      <c r="G5868" s="24">
        <v>60.0</v>
      </c>
      <c r="H5868" s="24" t="s">
        <v>6707</v>
      </c>
      <c r="I5868" s="24">
        <v>116.2</v>
      </c>
      <c r="J5868" s="24">
        <v>0.0</v>
      </c>
    </row>
    <row r="5869">
      <c r="A5869" s="24">
        <v>65.0</v>
      </c>
      <c r="B5869" s="24">
        <v>37.0</v>
      </c>
      <c r="C5869" s="44">
        <v>44.53</v>
      </c>
      <c r="D5869" s="46">
        <v>45379.0</v>
      </c>
      <c r="E5869" s="24">
        <v>1.2</v>
      </c>
      <c r="F5869" s="24">
        <v>685.08</v>
      </c>
      <c r="G5869" s="24">
        <v>56.92</v>
      </c>
      <c r="H5869" s="24" t="s">
        <v>6709</v>
      </c>
      <c r="I5869" s="24" t="s">
        <v>6650</v>
      </c>
      <c r="J5869" s="24">
        <v>4.0</v>
      </c>
    </row>
    <row r="5870">
      <c r="A5870" s="24">
        <v>167.0</v>
      </c>
      <c r="B5870" s="24">
        <v>93.0</v>
      </c>
      <c r="C5870" s="44">
        <v>137.11</v>
      </c>
      <c r="D5870" s="46">
        <v>45379.0</v>
      </c>
      <c r="E5870" s="24">
        <v>1.47</v>
      </c>
      <c r="F5870" s="24">
        <v>821.02</v>
      </c>
      <c r="G5870" s="24">
        <v>55.69</v>
      </c>
      <c r="H5870" s="24" t="s">
        <v>6710</v>
      </c>
      <c r="I5870" s="24">
        <v>137.11</v>
      </c>
      <c r="J5870" s="24">
        <v>1.0</v>
      </c>
    </row>
    <row r="5871">
      <c r="A5871" s="24">
        <v>65.0</v>
      </c>
      <c r="B5871" s="24">
        <v>34.0</v>
      </c>
      <c r="C5871" s="44">
        <v>47.05</v>
      </c>
      <c r="D5871" s="46">
        <v>45380.0</v>
      </c>
      <c r="E5871" s="24">
        <v>1.38</v>
      </c>
      <c r="F5871" s="24">
        <v>723.85</v>
      </c>
      <c r="G5871" s="24">
        <v>52.31</v>
      </c>
      <c r="H5871" s="24" t="s">
        <v>6709</v>
      </c>
      <c r="I5871" s="24">
        <v>15.68</v>
      </c>
      <c r="J5871" s="24">
        <v>2.0</v>
      </c>
    </row>
    <row r="5872">
      <c r="A5872" s="24">
        <v>138.0</v>
      </c>
      <c r="B5872" s="24">
        <v>66.0</v>
      </c>
      <c r="C5872" s="44">
        <v>94.47</v>
      </c>
      <c r="D5872" s="46">
        <v>45380.0</v>
      </c>
      <c r="E5872" s="24">
        <v>1.43</v>
      </c>
      <c r="F5872" s="24">
        <v>684.57</v>
      </c>
      <c r="G5872" s="24">
        <v>47.83</v>
      </c>
      <c r="H5872" s="24" t="s">
        <v>6705</v>
      </c>
      <c r="I5872" s="24" t="s">
        <v>6650</v>
      </c>
      <c r="J5872" s="24">
        <v>1.0</v>
      </c>
    </row>
    <row r="5873">
      <c r="A5873" s="24">
        <v>94.0</v>
      </c>
      <c r="B5873" s="24">
        <v>58.0</v>
      </c>
      <c r="C5873" s="44">
        <v>76.12</v>
      </c>
      <c r="D5873" s="46">
        <v>45380.0</v>
      </c>
      <c r="E5873" s="24">
        <v>1.31</v>
      </c>
      <c r="F5873" s="24">
        <v>809.79</v>
      </c>
      <c r="G5873" s="24">
        <v>61.7</v>
      </c>
      <c r="H5873" s="24" t="s">
        <v>6710</v>
      </c>
      <c r="I5873" s="24">
        <v>76.12</v>
      </c>
      <c r="J5873" s="24">
        <v>1.0</v>
      </c>
    </row>
    <row r="5874">
      <c r="A5874" s="24">
        <v>10.0</v>
      </c>
      <c r="B5874" s="24">
        <v>7.0</v>
      </c>
      <c r="C5874" s="44">
        <v>6.4</v>
      </c>
      <c r="D5874" s="46">
        <v>45380.0</v>
      </c>
      <c r="E5874" s="24">
        <v>0.91</v>
      </c>
      <c r="F5874" s="24">
        <v>640.0</v>
      </c>
      <c r="G5874" s="24">
        <v>70.0</v>
      </c>
      <c r="H5874" s="24" t="s">
        <v>6706</v>
      </c>
      <c r="I5874" s="24">
        <v>6.4</v>
      </c>
      <c r="J5874" s="24">
        <v>0.0</v>
      </c>
    </row>
    <row r="5875">
      <c r="A5875" s="24">
        <v>129.0</v>
      </c>
      <c r="B5875" s="24">
        <v>84.0</v>
      </c>
      <c r="C5875" s="44">
        <v>94.64</v>
      </c>
      <c r="D5875" s="46">
        <v>45380.0</v>
      </c>
      <c r="E5875" s="24">
        <v>1.13</v>
      </c>
      <c r="F5875" s="24">
        <v>733.64</v>
      </c>
      <c r="G5875" s="24">
        <v>65.12</v>
      </c>
      <c r="H5875" s="24" t="s">
        <v>6707</v>
      </c>
      <c r="I5875" s="24" t="s">
        <v>6650</v>
      </c>
      <c r="J5875" s="24">
        <v>2.0</v>
      </c>
    </row>
    <row r="5876">
      <c r="A5876" s="24">
        <v>52.0</v>
      </c>
      <c r="B5876" s="24">
        <v>18.0</v>
      </c>
      <c r="C5876" s="44">
        <v>34.0</v>
      </c>
      <c r="D5876" s="46">
        <v>45381.0</v>
      </c>
      <c r="E5876" s="24">
        <v>1.89</v>
      </c>
      <c r="F5876" s="24">
        <v>653.85</v>
      </c>
      <c r="G5876" s="24">
        <v>34.62</v>
      </c>
      <c r="H5876" s="24" t="s">
        <v>6709</v>
      </c>
      <c r="I5876" s="24" t="s">
        <v>6650</v>
      </c>
      <c r="J5876" s="24">
        <v>0.0</v>
      </c>
    </row>
    <row r="5877">
      <c r="A5877" s="24">
        <v>6.0</v>
      </c>
      <c r="B5877" s="24">
        <v>2.0</v>
      </c>
      <c r="C5877" s="44">
        <v>4.55</v>
      </c>
      <c r="D5877" s="46">
        <v>45381.0</v>
      </c>
      <c r="E5877" s="24">
        <v>2.28</v>
      </c>
      <c r="F5877" s="24">
        <v>758.33</v>
      </c>
      <c r="G5877" s="24">
        <v>33.33</v>
      </c>
      <c r="H5877" s="24" t="s">
        <v>6706</v>
      </c>
      <c r="I5877" s="24" t="s">
        <v>6650</v>
      </c>
      <c r="J5877" s="24">
        <v>0.0</v>
      </c>
    </row>
    <row r="5878">
      <c r="A5878" s="24">
        <v>109.0</v>
      </c>
      <c r="B5878" s="24">
        <v>40.0</v>
      </c>
      <c r="C5878" s="44">
        <v>78.84</v>
      </c>
      <c r="D5878" s="46">
        <v>45381.0</v>
      </c>
      <c r="E5878" s="24">
        <v>1.97</v>
      </c>
      <c r="F5878" s="24">
        <v>723.3</v>
      </c>
      <c r="G5878" s="24">
        <v>36.7</v>
      </c>
      <c r="H5878" s="24" t="s">
        <v>6705</v>
      </c>
      <c r="I5878" s="24">
        <v>78.84</v>
      </c>
      <c r="J5878" s="24">
        <v>0.0</v>
      </c>
    </row>
    <row r="5879">
      <c r="A5879" s="24">
        <v>83.0</v>
      </c>
      <c r="B5879" s="24">
        <v>52.0</v>
      </c>
      <c r="C5879" s="44">
        <v>65.95</v>
      </c>
      <c r="D5879" s="46">
        <v>45381.0</v>
      </c>
      <c r="E5879" s="24">
        <v>1.27</v>
      </c>
      <c r="F5879" s="24">
        <v>794.58</v>
      </c>
      <c r="G5879" s="24">
        <v>62.65</v>
      </c>
      <c r="H5879" s="24" t="s">
        <v>6710</v>
      </c>
      <c r="I5879" s="24" t="s">
        <v>6650</v>
      </c>
      <c r="J5879" s="24">
        <v>1.0</v>
      </c>
    </row>
    <row r="5880">
      <c r="A5880" s="24">
        <v>115.0</v>
      </c>
      <c r="B5880" s="24">
        <v>58.0</v>
      </c>
      <c r="C5880" s="44">
        <v>74.57</v>
      </c>
      <c r="D5880" s="46">
        <v>45381.0</v>
      </c>
      <c r="E5880" s="24">
        <v>1.29</v>
      </c>
      <c r="F5880" s="24">
        <v>648.43</v>
      </c>
      <c r="G5880" s="24">
        <v>50.43</v>
      </c>
      <c r="H5880" s="24" t="s">
        <v>6707</v>
      </c>
      <c r="I5880" s="24" t="s">
        <v>6650</v>
      </c>
      <c r="J5880" s="24">
        <v>1.0</v>
      </c>
    </row>
    <row r="5881">
      <c r="A5881" s="24">
        <v>47.0</v>
      </c>
      <c r="B5881" s="24">
        <v>20.0</v>
      </c>
      <c r="C5881" s="44">
        <v>36.25</v>
      </c>
      <c r="D5881" s="46">
        <v>45382.0</v>
      </c>
      <c r="E5881" s="24">
        <v>1.81</v>
      </c>
      <c r="F5881" s="24">
        <v>771.28</v>
      </c>
      <c r="G5881" s="24">
        <v>42.55</v>
      </c>
      <c r="H5881" s="24" t="s">
        <v>6709</v>
      </c>
      <c r="I5881" s="24" t="s">
        <v>6650</v>
      </c>
      <c r="J5881" s="24">
        <v>2.0</v>
      </c>
    </row>
    <row r="5882">
      <c r="A5882" s="24">
        <v>8.0</v>
      </c>
      <c r="B5882" s="24">
        <v>2.0</v>
      </c>
      <c r="C5882" s="44">
        <v>6.06</v>
      </c>
      <c r="D5882" s="46">
        <v>45382.0</v>
      </c>
      <c r="E5882" s="24">
        <v>3.03</v>
      </c>
      <c r="F5882" s="24">
        <v>757.5</v>
      </c>
      <c r="G5882" s="24">
        <v>25.0</v>
      </c>
      <c r="H5882" s="24" t="s">
        <v>6706</v>
      </c>
      <c r="I5882" s="24" t="s">
        <v>6650</v>
      </c>
      <c r="J5882" s="24">
        <v>0.0</v>
      </c>
    </row>
    <row r="5883">
      <c r="A5883" s="24">
        <v>51.0</v>
      </c>
      <c r="B5883" s="24">
        <v>21.0</v>
      </c>
      <c r="C5883" s="44">
        <v>24.06</v>
      </c>
      <c r="D5883" s="46">
        <v>45382.0</v>
      </c>
      <c r="E5883" s="24">
        <v>1.15</v>
      </c>
      <c r="F5883" s="24">
        <v>471.76</v>
      </c>
      <c r="G5883" s="24">
        <v>41.18</v>
      </c>
      <c r="H5883" s="24" t="s">
        <v>6710</v>
      </c>
      <c r="I5883" s="24">
        <v>24.06</v>
      </c>
      <c r="J5883" s="24">
        <v>0.0</v>
      </c>
    </row>
    <row r="5884">
      <c r="A5884" s="24">
        <v>105.0</v>
      </c>
      <c r="B5884" s="24">
        <v>43.0</v>
      </c>
      <c r="C5884" s="44">
        <v>68.85</v>
      </c>
      <c r="D5884" s="46">
        <v>45382.0</v>
      </c>
      <c r="E5884" s="24">
        <v>1.6</v>
      </c>
      <c r="F5884" s="24">
        <v>655.71</v>
      </c>
      <c r="G5884" s="24">
        <v>40.95</v>
      </c>
      <c r="H5884" s="24" t="s">
        <v>6705</v>
      </c>
      <c r="I5884" s="24" t="s">
        <v>6650</v>
      </c>
      <c r="J5884" s="24">
        <v>3.0</v>
      </c>
    </row>
    <row r="5885">
      <c r="A5885" s="24">
        <v>128.0</v>
      </c>
      <c r="B5885" s="24">
        <v>57.0</v>
      </c>
      <c r="C5885" s="44">
        <v>81.5</v>
      </c>
      <c r="D5885" s="46">
        <v>45382.0</v>
      </c>
      <c r="E5885" s="24">
        <v>1.43</v>
      </c>
      <c r="F5885" s="24">
        <v>636.72</v>
      </c>
      <c r="G5885" s="24">
        <v>44.53</v>
      </c>
      <c r="H5885" s="24" t="s">
        <v>6707</v>
      </c>
      <c r="I5885" s="24">
        <v>81.5</v>
      </c>
      <c r="J5885" s="24">
        <v>1.0</v>
      </c>
    </row>
    <row r="5886">
      <c r="A5886" s="24">
        <v>10.0</v>
      </c>
      <c r="B5886" s="24">
        <v>3.0</v>
      </c>
      <c r="C5886" s="44">
        <v>6.23</v>
      </c>
      <c r="D5886" s="46">
        <v>45383.0</v>
      </c>
      <c r="E5886" s="24">
        <v>2.08</v>
      </c>
      <c r="F5886" s="24">
        <v>623.0</v>
      </c>
      <c r="G5886" s="24">
        <v>30.0</v>
      </c>
      <c r="H5886" s="24" t="s">
        <v>6706</v>
      </c>
      <c r="I5886" s="24" t="s">
        <v>6650</v>
      </c>
      <c r="J5886" s="24">
        <v>0.0</v>
      </c>
    </row>
    <row r="5887">
      <c r="A5887" s="24">
        <v>97.0</v>
      </c>
      <c r="B5887" s="24">
        <v>78.0</v>
      </c>
      <c r="C5887" s="44">
        <v>65.31</v>
      </c>
      <c r="D5887" s="46">
        <v>45383.0</v>
      </c>
      <c r="E5887" s="24">
        <v>0.84</v>
      </c>
      <c r="F5887" s="24">
        <v>673.3</v>
      </c>
      <c r="G5887" s="24">
        <v>80.41</v>
      </c>
      <c r="H5887" s="24" t="s">
        <v>6709</v>
      </c>
      <c r="I5887" s="24" t="s">
        <v>6650</v>
      </c>
      <c r="J5887" s="24">
        <v>0.0</v>
      </c>
    </row>
    <row r="5888">
      <c r="A5888" s="24">
        <v>140.0</v>
      </c>
      <c r="B5888" s="24">
        <v>94.0</v>
      </c>
      <c r="C5888" s="44">
        <v>97.13</v>
      </c>
      <c r="D5888" s="46">
        <v>45383.0</v>
      </c>
      <c r="E5888" s="24">
        <v>1.03</v>
      </c>
      <c r="F5888" s="24">
        <v>693.79</v>
      </c>
      <c r="G5888" s="24">
        <v>67.14</v>
      </c>
      <c r="H5888" s="24" t="s">
        <v>6705</v>
      </c>
      <c r="I5888" s="24" t="s">
        <v>6650</v>
      </c>
      <c r="J5888" s="24">
        <v>2.0</v>
      </c>
    </row>
    <row r="5889">
      <c r="A5889" s="24">
        <v>164.0</v>
      </c>
      <c r="B5889" s="24">
        <v>108.0</v>
      </c>
      <c r="C5889" s="44">
        <v>119.86</v>
      </c>
      <c r="D5889" s="46">
        <v>45383.0</v>
      </c>
      <c r="E5889" s="24">
        <v>1.11</v>
      </c>
      <c r="F5889" s="24">
        <v>730.85</v>
      </c>
      <c r="G5889" s="24">
        <v>65.85</v>
      </c>
      <c r="H5889" s="24" t="s">
        <v>6710</v>
      </c>
      <c r="I5889" s="24" t="s">
        <v>6650</v>
      </c>
      <c r="J5889" s="24">
        <v>2.0</v>
      </c>
    </row>
    <row r="5890">
      <c r="A5890" s="24">
        <v>157.0</v>
      </c>
      <c r="B5890" s="24">
        <v>129.0</v>
      </c>
      <c r="C5890" s="44">
        <v>112.54</v>
      </c>
      <c r="D5890" s="46">
        <v>45383.0</v>
      </c>
      <c r="E5890" s="24">
        <v>0.87</v>
      </c>
      <c r="F5890" s="24">
        <v>716.82</v>
      </c>
      <c r="G5890" s="24">
        <v>82.17</v>
      </c>
      <c r="H5890" s="24" t="s">
        <v>6707</v>
      </c>
      <c r="I5890" s="24">
        <v>112.54</v>
      </c>
      <c r="J5890" s="24">
        <v>1.0</v>
      </c>
    </row>
    <row r="5891">
      <c r="A5891" s="24">
        <v>4.0</v>
      </c>
      <c r="B5891" s="24">
        <v>7.0</v>
      </c>
      <c r="C5891" s="44">
        <v>1.7</v>
      </c>
      <c r="D5891" s="46">
        <v>45384.0</v>
      </c>
      <c r="E5891" s="24">
        <v>0.24</v>
      </c>
      <c r="F5891" s="24">
        <v>425.0</v>
      </c>
      <c r="G5891" s="24">
        <v>175.0</v>
      </c>
      <c r="H5891" s="24" t="s">
        <v>6706</v>
      </c>
      <c r="I5891" s="24" t="s">
        <v>6650</v>
      </c>
      <c r="J5891" s="24">
        <v>0.0</v>
      </c>
    </row>
    <row r="5892">
      <c r="A5892" s="24">
        <v>156.0</v>
      </c>
      <c r="B5892" s="24">
        <v>76.0</v>
      </c>
      <c r="C5892" s="44">
        <v>105.34</v>
      </c>
      <c r="D5892" s="46">
        <v>45384.0</v>
      </c>
      <c r="E5892" s="24">
        <v>1.39</v>
      </c>
      <c r="F5892" s="24">
        <v>675.26</v>
      </c>
      <c r="G5892" s="24">
        <v>48.72</v>
      </c>
      <c r="H5892" s="24" t="s">
        <v>6705</v>
      </c>
      <c r="I5892" s="24">
        <v>52.67</v>
      </c>
      <c r="J5892" s="24">
        <v>4.0</v>
      </c>
    </row>
    <row r="5893">
      <c r="A5893" s="24">
        <v>0.0</v>
      </c>
      <c r="B5893" s="24">
        <v>1.0</v>
      </c>
      <c r="C5893" s="44">
        <v>0.0</v>
      </c>
      <c r="D5893" s="46">
        <v>45384.0</v>
      </c>
      <c r="E5893" s="24">
        <v>0.0</v>
      </c>
      <c r="F5893" s="24" t="s">
        <v>6650</v>
      </c>
      <c r="G5893" s="24" t="s">
        <v>6650</v>
      </c>
      <c r="H5893" s="24" t="s">
        <v>6708</v>
      </c>
      <c r="I5893" s="24" t="s">
        <v>6650</v>
      </c>
      <c r="J5893" s="24">
        <v>0.0</v>
      </c>
    </row>
    <row r="5894">
      <c r="A5894" s="24">
        <v>61.0</v>
      </c>
      <c r="B5894" s="24">
        <v>43.0</v>
      </c>
      <c r="C5894" s="44">
        <v>44.17</v>
      </c>
      <c r="D5894" s="46">
        <v>45384.0</v>
      </c>
      <c r="E5894" s="24">
        <v>1.03</v>
      </c>
      <c r="F5894" s="24">
        <v>724.1</v>
      </c>
      <c r="G5894" s="24">
        <v>70.49</v>
      </c>
      <c r="H5894" s="24" t="s">
        <v>6709</v>
      </c>
      <c r="I5894" s="24">
        <v>44.17</v>
      </c>
      <c r="J5894" s="24">
        <v>4.0</v>
      </c>
    </row>
    <row r="5895">
      <c r="A5895" s="24">
        <v>155.0</v>
      </c>
      <c r="B5895" s="24">
        <v>97.0</v>
      </c>
      <c r="C5895" s="44">
        <v>112.98</v>
      </c>
      <c r="D5895" s="46">
        <v>45384.0</v>
      </c>
      <c r="E5895" s="24">
        <v>1.16</v>
      </c>
      <c r="F5895" s="24">
        <v>728.9</v>
      </c>
      <c r="G5895" s="24">
        <v>62.58</v>
      </c>
      <c r="H5895" s="24" t="s">
        <v>6707</v>
      </c>
      <c r="I5895" s="24" t="s">
        <v>6650</v>
      </c>
      <c r="J5895" s="24">
        <v>2.0</v>
      </c>
    </row>
    <row r="5896">
      <c r="A5896" s="24">
        <v>171.0</v>
      </c>
      <c r="B5896" s="24">
        <v>93.0</v>
      </c>
      <c r="C5896" s="44">
        <v>131.83</v>
      </c>
      <c r="D5896" s="46">
        <v>45384.0</v>
      </c>
      <c r="E5896" s="24">
        <v>1.42</v>
      </c>
      <c r="F5896" s="24">
        <v>770.94</v>
      </c>
      <c r="G5896" s="24">
        <v>54.39</v>
      </c>
      <c r="H5896" s="24" t="s">
        <v>6710</v>
      </c>
      <c r="I5896" s="24" t="s">
        <v>6650</v>
      </c>
      <c r="J5896" s="24">
        <v>1.0</v>
      </c>
    </row>
    <row r="5897">
      <c r="A5897" s="24">
        <v>50.0</v>
      </c>
      <c r="B5897" s="24">
        <v>36.0</v>
      </c>
      <c r="C5897" s="44">
        <v>32.46</v>
      </c>
      <c r="D5897" s="46">
        <v>45385.0</v>
      </c>
      <c r="E5897" s="24">
        <v>0.9</v>
      </c>
      <c r="F5897" s="24">
        <v>649.2</v>
      </c>
      <c r="G5897" s="24">
        <v>72.0</v>
      </c>
      <c r="H5897" s="24" t="s">
        <v>6709</v>
      </c>
      <c r="I5897" s="24">
        <v>32.46</v>
      </c>
      <c r="J5897" s="24">
        <v>1.0</v>
      </c>
    </row>
    <row r="5898">
      <c r="A5898" s="24">
        <v>153.0</v>
      </c>
      <c r="B5898" s="24">
        <v>83.0</v>
      </c>
      <c r="C5898" s="44">
        <v>109.73</v>
      </c>
      <c r="D5898" s="46">
        <v>45385.0</v>
      </c>
      <c r="E5898" s="24">
        <v>1.32</v>
      </c>
      <c r="F5898" s="24">
        <v>717.19</v>
      </c>
      <c r="G5898" s="24">
        <v>54.25</v>
      </c>
      <c r="H5898" s="24" t="s">
        <v>6705</v>
      </c>
      <c r="I5898" s="24" t="s">
        <v>6650</v>
      </c>
      <c r="J5898" s="24">
        <v>1.0</v>
      </c>
    </row>
    <row r="5899">
      <c r="A5899" s="24">
        <v>7.0</v>
      </c>
      <c r="B5899" s="24">
        <v>4.0</v>
      </c>
      <c r="C5899" s="44">
        <v>4.93</v>
      </c>
      <c r="D5899" s="46">
        <v>45385.0</v>
      </c>
      <c r="E5899" s="24">
        <v>1.23</v>
      </c>
      <c r="F5899" s="24">
        <v>704.29</v>
      </c>
      <c r="G5899" s="24">
        <v>57.14</v>
      </c>
      <c r="H5899" s="24" t="s">
        <v>6706</v>
      </c>
      <c r="I5899" s="24" t="s">
        <v>6650</v>
      </c>
      <c r="J5899" s="24">
        <v>0.0</v>
      </c>
    </row>
    <row r="5900">
      <c r="A5900" s="24">
        <v>0.0</v>
      </c>
      <c r="B5900" s="24">
        <v>2.0</v>
      </c>
      <c r="C5900" s="44">
        <v>0.0</v>
      </c>
      <c r="D5900" s="46">
        <v>45385.0</v>
      </c>
      <c r="E5900" s="24">
        <v>0.0</v>
      </c>
      <c r="F5900" s="24" t="s">
        <v>6650</v>
      </c>
      <c r="G5900" s="24" t="s">
        <v>6650</v>
      </c>
      <c r="H5900" s="24" t="s">
        <v>6708</v>
      </c>
      <c r="I5900" s="24" t="s">
        <v>6650</v>
      </c>
      <c r="J5900" s="24">
        <v>0.0</v>
      </c>
    </row>
    <row r="5901">
      <c r="A5901" s="24">
        <v>180.0</v>
      </c>
      <c r="B5901" s="24">
        <v>100.0</v>
      </c>
      <c r="C5901" s="44">
        <v>139.59</v>
      </c>
      <c r="D5901" s="46">
        <v>45385.0</v>
      </c>
      <c r="E5901" s="24">
        <v>1.4</v>
      </c>
      <c r="F5901" s="24">
        <v>775.5</v>
      </c>
      <c r="G5901" s="24">
        <v>55.56</v>
      </c>
      <c r="H5901" s="24" t="s">
        <v>6710</v>
      </c>
      <c r="I5901" s="24" t="s">
        <v>6650</v>
      </c>
      <c r="J5901" s="24">
        <v>0.0</v>
      </c>
    </row>
    <row r="5902">
      <c r="A5902" s="24">
        <v>156.0</v>
      </c>
      <c r="B5902" s="24">
        <v>109.0</v>
      </c>
      <c r="C5902" s="44">
        <v>113.13</v>
      </c>
      <c r="D5902" s="46">
        <v>45385.0</v>
      </c>
      <c r="E5902" s="24">
        <v>1.04</v>
      </c>
      <c r="F5902" s="24">
        <v>725.19</v>
      </c>
      <c r="G5902" s="24">
        <v>69.87</v>
      </c>
      <c r="H5902" s="24" t="s">
        <v>6707</v>
      </c>
      <c r="I5902" s="24" t="s">
        <v>6650</v>
      </c>
      <c r="J5902" s="24">
        <v>1.0</v>
      </c>
    </row>
    <row r="5903">
      <c r="A5903" s="24">
        <v>131.0</v>
      </c>
      <c r="B5903" s="24">
        <v>84.0</v>
      </c>
      <c r="C5903" s="44">
        <v>98.89</v>
      </c>
      <c r="D5903" s="46">
        <v>45386.0</v>
      </c>
      <c r="E5903" s="24">
        <v>1.18</v>
      </c>
      <c r="F5903" s="24">
        <v>754.89</v>
      </c>
      <c r="G5903" s="24">
        <v>64.12</v>
      </c>
      <c r="H5903" s="24" t="s">
        <v>6707</v>
      </c>
      <c r="I5903" s="24" t="s">
        <v>6650</v>
      </c>
      <c r="J5903" s="24">
        <v>1.0</v>
      </c>
    </row>
    <row r="5904">
      <c r="A5904" s="24">
        <v>122.0</v>
      </c>
      <c r="B5904" s="24">
        <v>96.0</v>
      </c>
      <c r="C5904" s="44">
        <v>99.29</v>
      </c>
      <c r="D5904" s="46">
        <v>45386.0</v>
      </c>
      <c r="E5904" s="24">
        <v>1.03</v>
      </c>
      <c r="F5904" s="24">
        <v>813.85</v>
      </c>
      <c r="G5904" s="24">
        <v>78.69</v>
      </c>
      <c r="H5904" s="24" t="s">
        <v>6710</v>
      </c>
      <c r="I5904" s="24" t="s">
        <v>6650</v>
      </c>
      <c r="J5904" s="24">
        <v>0.0</v>
      </c>
    </row>
    <row r="5905">
      <c r="A5905" s="24">
        <v>133.0</v>
      </c>
      <c r="B5905" s="24">
        <v>60.0</v>
      </c>
      <c r="C5905" s="44">
        <v>94.08</v>
      </c>
      <c r="D5905" s="46">
        <v>45386.0</v>
      </c>
      <c r="E5905" s="24">
        <v>1.57</v>
      </c>
      <c r="F5905" s="24">
        <v>707.37</v>
      </c>
      <c r="G5905" s="24">
        <v>45.11</v>
      </c>
      <c r="H5905" s="24" t="s">
        <v>6705</v>
      </c>
      <c r="I5905" s="24">
        <v>94.08</v>
      </c>
      <c r="J5905" s="24">
        <v>2.0</v>
      </c>
    </row>
    <row r="5906">
      <c r="A5906" s="24">
        <v>43.0</v>
      </c>
      <c r="B5906" s="24">
        <v>31.0</v>
      </c>
      <c r="C5906" s="44">
        <v>28.55</v>
      </c>
      <c r="D5906" s="46">
        <v>45386.0</v>
      </c>
      <c r="E5906" s="24">
        <v>0.92</v>
      </c>
      <c r="F5906" s="24">
        <v>663.95</v>
      </c>
      <c r="G5906" s="24">
        <v>72.09</v>
      </c>
      <c r="H5906" s="24" t="s">
        <v>6709</v>
      </c>
      <c r="I5906" s="24">
        <v>28.55</v>
      </c>
      <c r="J5906" s="24">
        <v>0.0</v>
      </c>
    </row>
    <row r="5907">
      <c r="A5907" s="24">
        <v>0.0</v>
      </c>
      <c r="B5907" s="24">
        <v>1.0</v>
      </c>
      <c r="C5907" s="44">
        <v>0.0</v>
      </c>
      <c r="D5907" s="46">
        <v>45386.0</v>
      </c>
      <c r="E5907" s="24">
        <v>0.0</v>
      </c>
      <c r="F5907" s="24" t="s">
        <v>6650</v>
      </c>
      <c r="G5907" s="24" t="s">
        <v>6650</v>
      </c>
      <c r="H5907" s="24" t="s">
        <v>6708</v>
      </c>
      <c r="I5907" s="24" t="s">
        <v>6650</v>
      </c>
      <c r="J5907" s="24">
        <v>0.0</v>
      </c>
    </row>
    <row r="5908">
      <c r="A5908" s="24">
        <v>10.0</v>
      </c>
      <c r="B5908" s="24">
        <v>5.0</v>
      </c>
      <c r="C5908" s="44">
        <v>7.05</v>
      </c>
      <c r="D5908" s="46">
        <v>45386.0</v>
      </c>
      <c r="E5908" s="24">
        <v>1.41</v>
      </c>
      <c r="F5908" s="24">
        <v>705.0</v>
      </c>
      <c r="G5908" s="24">
        <v>50.0</v>
      </c>
      <c r="H5908" s="24" t="s">
        <v>6706</v>
      </c>
      <c r="I5908" s="24" t="s">
        <v>6650</v>
      </c>
      <c r="J5908" s="24">
        <v>0.0</v>
      </c>
    </row>
    <row r="5909">
      <c r="A5909" s="24">
        <v>116.0</v>
      </c>
      <c r="B5909" s="24">
        <v>80.0</v>
      </c>
      <c r="C5909" s="44">
        <v>86.67</v>
      </c>
      <c r="D5909" s="46">
        <v>45387.0</v>
      </c>
      <c r="E5909" s="24">
        <v>1.08</v>
      </c>
      <c r="F5909" s="24">
        <v>747.16</v>
      </c>
      <c r="G5909" s="24">
        <v>68.97</v>
      </c>
      <c r="H5909" s="24" t="s">
        <v>6710</v>
      </c>
      <c r="I5909" s="24" t="s">
        <v>6650</v>
      </c>
      <c r="J5909" s="24">
        <v>1.0</v>
      </c>
    </row>
    <row r="5910">
      <c r="A5910" s="24">
        <v>34.0</v>
      </c>
      <c r="B5910" s="24">
        <v>24.0</v>
      </c>
      <c r="C5910" s="44">
        <v>27.34</v>
      </c>
      <c r="D5910" s="46">
        <v>45387.0</v>
      </c>
      <c r="E5910" s="24">
        <v>1.14</v>
      </c>
      <c r="F5910" s="24">
        <v>804.12</v>
      </c>
      <c r="G5910" s="24">
        <v>70.59</v>
      </c>
      <c r="H5910" s="24" t="s">
        <v>6709</v>
      </c>
      <c r="I5910" s="24">
        <v>13.67</v>
      </c>
      <c r="J5910" s="24">
        <v>2.0</v>
      </c>
    </row>
    <row r="5911">
      <c r="A5911" s="24">
        <v>122.0</v>
      </c>
      <c r="B5911" s="24">
        <v>63.0</v>
      </c>
      <c r="C5911" s="44">
        <v>85.56</v>
      </c>
      <c r="D5911" s="46">
        <v>45387.0</v>
      </c>
      <c r="E5911" s="24">
        <v>1.36</v>
      </c>
      <c r="F5911" s="24">
        <v>701.31</v>
      </c>
      <c r="G5911" s="24">
        <v>51.64</v>
      </c>
      <c r="H5911" s="24" t="s">
        <v>6705</v>
      </c>
      <c r="I5911" s="24" t="s">
        <v>6650</v>
      </c>
      <c r="J5911" s="24">
        <v>1.0</v>
      </c>
    </row>
    <row r="5912">
      <c r="A5912" s="24">
        <v>145.0</v>
      </c>
      <c r="B5912" s="24">
        <v>84.0</v>
      </c>
      <c r="C5912" s="44">
        <v>105.77</v>
      </c>
      <c r="D5912" s="46">
        <v>45387.0</v>
      </c>
      <c r="E5912" s="24">
        <v>1.26</v>
      </c>
      <c r="F5912" s="24">
        <v>729.45</v>
      </c>
      <c r="G5912" s="24">
        <v>57.93</v>
      </c>
      <c r="H5912" s="24" t="s">
        <v>6707</v>
      </c>
      <c r="I5912" s="24" t="s">
        <v>6650</v>
      </c>
      <c r="J5912" s="24">
        <v>2.0</v>
      </c>
    </row>
    <row r="5913">
      <c r="A5913" s="24">
        <v>2.0</v>
      </c>
      <c r="B5913" s="24">
        <v>3.0</v>
      </c>
      <c r="C5913" s="44">
        <v>1.97</v>
      </c>
      <c r="D5913" s="46">
        <v>45387.0</v>
      </c>
      <c r="E5913" s="24">
        <v>0.66</v>
      </c>
      <c r="F5913" s="24">
        <v>985.0</v>
      </c>
      <c r="G5913" s="24">
        <v>150.0</v>
      </c>
      <c r="H5913" s="24" t="s">
        <v>6706</v>
      </c>
      <c r="I5913" s="24" t="s">
        <v>6650</v>
      </c>
      <c r="J5913" s="24">
        <v>0.0</v>
      </c>
    </row>
    <row r="5914">
      <c r="A5914" s="24">
        <v>0.0</v>
      </c>
      <c r="B5914" s="24">
        <v>1.0</v>
      </c>
      <c r="C5914" s="44">
        <v>0.0</v>
      </c>
      <c r="D5914" s="46">
        <v>45387.0</v>
      </c>
      <c r="E5914" s="24">
        <v>0.0</v>
      </c>
      <c r="F5914" s="24" t="s">
        <v>6650</v>
      </c>
      <c r="G5914" s="24" t="s">
        <v>6650</v>
      </c>
      <c r="H5914" s="24" t="s">
        <v>6702</v>
      </c>
      <c r="I5914" s="24" t="s">
        <v>6650</v>
      </c>
      <c r="J5914" s="24">
        <v>0.0</v>
      </c>
    </row>
    <row r="5915">
      <c r="A5915" s="24">
        <v>128.0</v>
      </c>
      <c r="B5915" s="24">
        <v>69.0</v>
      </c>
      <c r="C5915" s="44">
        <v>87.07</v>
      </c>
      <c r="D5915" s="46">
        <v>45388.0</v>
      </c>
      <c r="E5915" s="24">
        <v>1.26</v>
      </c>
      <c r="F5915" s="24">
        <v>680.23</v>
      </c>
      <c r="G5915" s="24">
        <v>53.91</v>
      </c>
      <c r="H5915" s="24" t="s">
        <v>6707</v>
      </c>
      <c r="I5915" s="24" t="s">
        <v>6650</v>
      </c>
      <c r="J5915" s="24">
        <v>2.0</v>
      </c>
    </row>
    <row r="5916">
      <c r="A5916" s="24">
        <v>101.0</v>
      </c>
      <c r="B5916" s="24">
        <v>35.0</v>
      </c>
      <c r="C5916" s="44">
        <v>75.58</v>
      </c>
      <c r="D5916" s="46">
        <v>45388.0</v>
      </c>
      <c r="E5916" s="24">
        <v>2.16</v>
      </c>
      <c r="F5916" s="24">
        <v>748.32</v>
      </c>
      <c r="G5916" s="24">
        <v>34.65</v>
      </c>
      <c r="H5916" s="24" t="s">
        <v>6705</v>
      </c>
      <c r="I5916" s="24" t="s">
        <v>6650</v>
      </c>
      <c r="J5916" s="24">
        <v>2.0</v>
      </c>
    </row>
    <row r="5917">
      <c r="A5917" s="24">
        <v>30.0</v>
      </c>
      <c r="B5917" s="24">
        <v>13.0</v>
      </c>
      <c r="C5917" s="44">
        <v>23.58</v>
      </c>
      <c r="D5917" s="46">
        <v>45388.0</v>
      </c>
      <c r="E5917" s="24">
        <v>1.81</v>
      </c>
      <c r="F5917" s="24">
        <v>786.0</v>
      </c>
      <c r="G5917" s="24">
        <v>43.33</v>
      </c>
      <c r="H5917" s="24" t="s">
        <v>6709</v>
      </c>
      <c r="I5917" s="24" t="s">
        <v>6650</v>
      </c>
      <c r="J5917" s="24">
        <v>1.0</v>
      </c>
    </row>
    <row r="5918">
      <c r="A5918" s="24">
        <v>92.0</v>
      </c>
      <c r="B5918" s="24">
        <v>45.0</v>
      </c>
      <c r="C5918" s="44">
        <v>67.46</v>
      </c>
      <c r="D5918" s="46">
        <v>45388.0</v>
      </c>
      <c r="E5918" s="24">
        <v>1.5</v>
      </c>
      <c r="F5918" s="24">
        <v>733.26</v>
      </c>
      <c r="G5918" s="24">
        <v>48.91</v>
      </c>
      <c r="H5918" s="24" t="s">
        <v>6710</v>
      </c>
      <c r="I5918" s="24" t="s">
        <v>6650</v>
      </c>
      <c r="J5918" s="24">
        <v>0.0</v>
      </c>
    </row>
    <row r="5919">
      <c r="A5919" s="24">
        <v>1.0</v>
      </c>
      <c r="B5919" s="24">
        <v>0.0</v>
      </c>
      <c r="C5919" s="44">
        <v>0.75</v>
      </c>
      <c r="D5919" s="46">
        <v>45388.0</v>
      </c>
      <c r="E5919" s="24" t="s">
        <v>6650</v>
      </c>
      <c r="F5919" s="24">
        <v>750.0</v>
      </c>
      <c r="G5919" s="24">
        <v>0.0</v>
      </c>
      <c r="H5919" s="24" t="s">
        <v>6706</v>
      </c>
      <c r="I5919" s="24" t="s">
        <v>6650</v>
      </c>
      <c r="J5919" s="24">
        <v>0.0</v>
      </c>
    </row>
    <row r="5920">
      <c r="A5920" s="24">
        <v>95.0</v>
      </c>
      <c r="B5920" s="24">
        <v>34.0</v>
      </c>
      <c r="C5920" s="44">
        <v>69.12</v>
      </c>
      <c r="D5920" s="46">
        <v>45389.0</v>
      </c>
      <c r="E5920" s="24">
        <v>2.03</v>
      </c>
      <c r="F5920" s="24">
        <v>727.58</v>
      </c>
      <c r="G5920" s="24">
        <v>35.79</v>
      </c>
      <c r="H5920" s="24" t="s">
        <v>6705</v>
      </c>
      <c r="I5920" s="24" t="s">
        <v>6650</v>
      </c>
      <c r="J5920" s="24">
        <v>1.0</v>
      </c>
    </row>
    <row r="5921">
      <c r="A5921" s="24">
        <v>36.0</v>
      </c>
      <c r="B5921" s="24">
        <v>17.0</v>
      </c>
      <c r="C5921" s="44">
        <v>24.4</v>
      </c>
      <c r="D5921" s="46">
        <v>45389.0</v>
      </c>
      <c r="E5921" s="24">
        <v>1.44</v>
      </c>
      <c r="F5921" s="24">
        <v>677.78</v>
      </c>
      <c r="G5921" s="24">
        <v>47.22</v>
      </c>
      <c r="H5921" s="24" t="s">
        <v>6709</v>
      </c>
      <c r="I5921" s="24" t="s">
        <v>6650</v>
      </c>
      <c r="J5921" s="24">
        <v>2.0</v>
      </c>
    </row>
    <row r="5922">
      <c r="A5922" s="24">
        <v>2.0</v>
      </c>
      <c r="B5922" s="24">
        <v>1.0</v>
      </c>
      <c r="C5922" s="44">
        <v>1.8</v>
      </c>
      <c r="D5922" s="46">
        <v>45389.0</v>
      </c>
      <c r="E5922" s="24">
        <v>1.8</v>
      </c>
      <c r="F5922" s="24">
        <v>900.0</v>
      </c>
      <c r="G5922" s="24">
        <v>50.0</v>
      </c>
      <c r="H5922" s="24" t="s">
        <v>6706</v>
      </c>
      <c r="I5922" s="24" t="s">
        <v>6650</v>
      </c>
      <c r="J5922" s="24">
        <v>0.0</v>
      </c>
    </row>
    <row r="5923">
      <c r="A5923" s="24">
        <v>104.0</v>
      </c>
      <c r="B5923" s="24">
        <v>51.0</v>
      </c>
      <c r="C5923" s="44">
        <v>69.62</v>
      </c>
      <c r="D5923" s="46">
        <v>45389.0</v>
      </c>
      <c r="E5923" s="24">
        <v>1.37</v>
      </c>
      <c r="F5923" s="24">
        <v>669.42</v>
      </c>
      <c r="G5923" s="24">
        <v>49.04</v>
      </c>
      <c r="H5923" s="24" t="s">
        <v>6707</v>
      </c>
      <c r="I5923" s="24" t="s">
        <v>6650</v>
      </c>
      <c r="J5923" s="24">
        <v>1.0</v>
      </c>
    </row>
    <row r="5924">
      <c r="A5924" s="24">
        <v>94.0</v>
      </c>
      <c r="B5924" s="24">
        <v>44.0</v>
      </c>
      <c r="C5924" s="44">
        <v>55.3</v>
      </c>
      <c r="D5924" s="46">
        <v>45389.0</v>
      </c>
      <c r="E5924" s="24">
        <v>1.26</v>
      </c>
      <c r="F5924" s="24">
        <v>588.3</v>
      </c>
      <c r="G5924" s="24">
        <v>46.81</v>
      </c>
      <c r="H5924" s="24" t="s">
        <v>6710</v>
      </c>
      <c r="I5924" s="24" t="s">
        <v>6650</v>
      </c>
      <c r="J5924" s="24">
        <v>0.0</v>
      </c>
    </row>
    <row r="5925">
      <c r="A5925" s="24">
        <v>7.0</v>
      </c>
      <c r="B5925" s="24">
        <v>4.0</v>
      </c>
      <c r="C5925" s="44">
        <v>4.46</v>
      </c>
      <c r="D5925" s="46">
        <v>45390.0</v>
      </c>
      <c r="E5925" s="24">
        <v>1.12</v>
      </c>
      <c r="F5925" s="24">
        <v>637.14</v>
      </c>
      <c r="G5925" s="24">
        <v>57.14</v>
      </c>
      <c r="H5925" s="24" t="s">
        <v>6706</v>
      </c>
      <c r="I5925" s="24" t="s">
        <v>6650</v>
      </c>
      <c r="J5925" s="24">
        <v>0.0</v>
      </c>
    </row>
    <row r="5926">
      <c r="A5926" s="24">
        <v>145.0</v>
      </c>
      <c r="B5926" s="24">
        <v>90.0</v>
      </c>
      <c r="C5926" s="44">
        <v>111.6</v>
      </c>
      <c r="D5926" s="46">
        <v>45390.0</v>
      </c>
      <c r="E5926" s="24">
        <v>1.24</v>
      </c>
      <c r="F5926" s="24">
        <v>769.66</v>
      </c>
      <c r="G5926" s="24">
        <v>62.07</v>
      </c>
      <c r="H5926" s="24" t="s">
        <v>6710</v>
      </c>
      <c r="I5926" s="24" t="s">
        <v>6650</v>
      </c>
      <c r="J5926" s="24">
        <v>0.0</v>
      </c>
    </row>
    <row r="5927">
      <c r="A5927" s="24">
        <v>146.0</v>
      </c>
      <c r="B5927" s="24">
        <v>100.0</v>
      </c>
      <c r="C5927" s="44">
        <v>105.11</v>
      </c>
      <c r="D5927" s="46">
        <v>45390.0</v>
      </c>
      <c r="E5927" s="24">
        <v>1.05</v>
      </c>
      <c r="F5927" s="24">
        <v>719.93</v>
      </c>
      <c r="G5927" s="24">
        <v>68.49</v>
      </c>
      <c r="H5927" s="24" t="s">
        <v>6707</v>
      </c>
      <c r="I5927" s="24" t="s">
        <v>6650</v>
      </c>
      <c r="J5927" s="24">
        <v>1.0</v>
      </c>
    </row>
    <row r="5928">
      <c r="A5928" s="24">
        <v>147.0</v>
      </c>
      <c r="B5928" s="24">
        <v>90.0</v>
      </c>
      <c r="C5928" s="44">
        <v>103.85</v>
      </c>
      <c r="D5928" s="46">
        <v>45390.0</v>
      </c>
      <c r="E5928" s="24">
        <v>1.15</v>
      </c>
      <c r="F5928" s="24">
        <v>706.46</v>
      </c>
      <c r="G5928" s="24">
        <v>61.22</v>
      </c>
      <c r="H5928" s="24" t="s">
        <v>6705</v>
      </c>
      <c r="I5928" s="24">
        <v>103.85</v>
      </c>
      <c r="J5928" s="24">
        <v>2.0</v>
      </c>
    </row>
    <row r="5929">
      <c r="A5929" s="24">
        <v>44.0</v>
      </c>
      <c r="B5929" s="24">
        <v>29.0</v>
      </c>
      <c r="C5929" s="44">
        <v>29.15</v>
      </c>
      <c r="D5929" s="46">
        <v>45390.0</v>
      </c>
      <c r="E5929" s="24">
        <v>1.01</v>
      </c>
      <c r="F5929" s="24">
        <v>662.5</v>
      </c>
      <c r="G5929" s="24">
        <v>65.91</v>
      </c>
      <c r="H5929" s="24" t="s">
        <v>6709</v>
      </c>
      <c r="I5929" s="24">
        <v>29.15</v>
      </c>
      <c r="J5929" s="24">
        <v>0.0</v>
      </c>
    </row>
    <row r="5930">
      <c r="A5930" s="24">
        <v>157.0</v>
      </c>
      <c r="B5930" s="24">
        <v>102.0</v>
      </c>
      <c r="C5930" s="44">
        <v>110.94</v>
      </c>
      <c r="D5930" s="46">
        <v>45391.0</v>
      </c>
      <c r="E5930" s="24">
        <v>1.09</v>
      </c>
      <c r="F5930" s="24">
        <v>706.62</v>
      </c>
      <c r="G5930" s="24">
        <v>64.97</v>
      </c>
      <c r="H5930" s="24" t="s">
        <v>6710</v>
      </c>
      <c r="I5930" s="24" t="s">
        <v>6650</v>
      </c>
      <c r="J5930" s="24">
        <v>1.0</v>
      </c>
    </row>
    <row r="5931">
      <c r="A5931" s="24">
        <v>9.0</v>
      </c>
      <c r="B5931" s="24">
        <v>2.0</v>
      </c>
      <c r="C5931" s="44">
        <v>6.65</v>
      </c>
      <c r="D5931" s="46">
        <v>45391.0</v>
      </c>
      <c r="E5931" s="24">
        <v>3.32</v>
      </c>
      <c r="F5931" s="24">
        <v>738.89</v>
      </c>
      <c r="G5931" s="24">
        <v>22.22</v>
      </c>
      <c r="H5931" s="24" t="s">
        <v>6706</v>
      </c>
      <c r="I5931" s="24" t="s">
        <v>6650</v>
      </c>
      <c r="J5931" s="24">
        <v>0.0</v>
      </c>
    </row>
    <row r="5932">
      <c r="A5932" s="24">
        <v>157.0</v>
      </c>
      <c r="B5932" s="24">
        <v>101.0</v>
      </c>
      <c r="C5932" s="44">
        <v>111.35</v>
      </c>
      <c r="D5932" s="46">
        <v>45391.0</v>
      </c>
      <c r="E5932" s="24">
        <v>1.1</v>
      </c>
      <c r="F5932" s="24">
        <v>709.24</v>
      </c>
      <c r="G5932" s="24">
        <v>64.33</v>
      </c>
      <c r="H5932" s="24" t="s">
        <v>6707</v>
      </c>
      <c r="I5932" s="24">
        <v>37.12</v>
      </c>
      <c r="J5932" s="24">
        <v>0.0</v>
      </c>
    </row>
    <row r="5933">
      <c r="A5933" s="24">
        <v>123.0</v>
      </c>
      <c r="B5933" s="24">
        <v>73.0</v>
      </c>
      <c r="C5933" s="44">
        <v>84.03</v>
      </c>
      <c r="D5933" s="46">
        <v>45391.0</v>
      </c>
      <c r="E5933" s="24">
        <v>1.15</v>
      </c>
      <c r="F5933" s="24">
        <v>683.17</v>
      </c>
      <c r="G5933" s="24">
        <v>59.35</v>
      </c>
      <c r="H5933" s="24" t="s">
        <v>6705</v>
      </c>
      <c r="I5933" s="24" t="s">
        <v>6650</v>
      </c>
      <c r="J5933" s="24">
        <v>2.0</v>
      </c>
    </row>
    <row r="5934">
      <c r="A5934" s="24">
        <v>38.0</v>
      </c>
      <c r="B5934" s="24">
        <v>29.0</v>
      </c>
      <c r="C5934" s="44">
        <v>27.81</v>
      </c>
      <c r="D5934" s="46">
        <v>45391.0</v>
      </c>
      <c r="E5934" s="24">
        <v>0.96</v>
      </c>
      <c r="F5934" s="24">
        <v>731.84</v>
      </c>
      <c r="G5934" s="24">
        <v>76.32</v>
      </c>
      <c r="H5934" s="24" t="s">
        <v>6709</v>
      </c>
      <c r="I5934" s="24">
        <v>27.81</v>
      </c>
      <c r="J5934" s="24">
        <v>2.0</v>
      </c>
    </row>
    <row r="5935">
      <c r="A5935" s="24">
        <v>3492.0</v>
      </c>
      <c r="B5935" s="24">
        <v>68.0</v>
      </c>
      <c r="C5935" s="44">
        <v>111.04</v>
      </c>
      <c r="D5935" s="46">
        <v>45392.0</v>
      </c>
      <c r="E5935" s="24">
        <v>1.63</v>
      </c>
      <c r="F5935" s="24">
        <v>31.8</v>
      </c>
      <c r="G5935" s="24">
        <v>1.95</v>
      </c>
      <c r="H5935" s="24" t="s">
        <v>6711</v>
      </c>
      <c r="I5935" s="24">
        <v>27.76</v>
      </c>
      <c r="J5935" s="24">
        <v>0.0</v>
      </c>
    </row>
    <row r="5936">
      <c r="A5936" s="24">
        <v>3.0</v>
      </c>
      <c r="B5936" s="24">
        <v>2.0</v>
      </c>
      <c r="C5936" s="44">
        <v>2.5</v>
      </c>
      <c r="D5936" s="46">
        <v>45392.0</v>
      </c>
      <c r="E5936" s="24">
        <v>1.25</v>
      </c>
      <c r="F5936" s="24">
        <v>833.33</v>
      </c>
      <c r="G5936" s="24">
        <v>66.67</v>
      </c>
      <c r="H5936" s="24" t="s">
        <v>6706</v>
      </c>
      <c r="I5936" s="24" t="s">
        <v>6650</v>
      </c>
      <c r="J5936" s="24">
        <v>0.0</v>
      </c>
    </row>
    <row r="5937">
      <c r="A5937" s="24">
        <v>102.0</v>
      </c>
      <c r="B5937" s="24">
        <v>53.0</v>
      </c>
      <c r="C5937" s="44">
        <v>70.68</v>
      </c>
      <c r="D5937" s="46">
        <v>45392.0</v>
      </c>
      <c r="E5937" s="24">
        <v>1.33</v>
      </c>
      <c r="F5937" s="24">
        <v>692.94</v>
      </c>
      <c r="G5937" s="24">
        <v>51.96</v>
      </c>
      <c r="H5937" s="24" t="s">
        <v>6705</v>
      </c>
      <c r="I5937" s="24" t="s">
        <v>6650</v>
      </c>
      <c r="J5937" s="24">
        <v>2.0</v>
      </c>
    </row>
    <row r="5938">
      <c r="A5938" s="24">
        <v>16.0</v>
      </c>
      <c r="B5938" s="24">
        <v>18.0</v>
      </c>
      <c r="C5938" s="44">
        <v>11.87</v>
      </c>
      <c r="D5938" s="46">
        <v>45392.0</v>
      </c>
      <c r="E5938" s="24">
        <v>0.66</v>
      </c>
      <c r="F5938" s="24">
        <v>741.88</v>
      </c>
      <c r="G5938" s="24">
        <v>112.5</v>
      </c>
      <c r="H5938" s="24" t="s">
        <v>6709</v>
      </c>
      <c r="I5938" s="24" t="s">
        <v>6650</v>
      </c>
      <c r="J5938" s="24">
        <v>0.0</v>
      </c>
    </row>
    <row r="5939">
      <c r="A5939" s="24">
        <v>158.0</v>
      </c>
      <c r="B5939" s="24">
        <v>87.0</v>
      </c>
      <c r="C5939" s="44">
        <v>110.47</v>
      </c>
      <c r="D5939" s="46">
        <v>45392.0</v>
      </c>
      <c r="E5939" s="24">
        <v>1.27</v>
      </c>
      <c r="F5939" s="24">
        <v>699.18</v>
      </c>
      <c r="G5939" s="24">
        <v>55.06</v>
      </c>
      <c r="H5939" s="24" t="s">
        <v>6707</v>
      </c>
      <c r="I5939" s="24" t="s">
        <v>6650</v>
      </c>
      <c r="J5939" s="24">
        <v>0.0</v>
      </c>
    </row>
    <row r="5940">
      <c r="A5940" s="24">
        <v>0.0</v>
      </c>
      <c r="B5940" s="24">
        <v>1.0</v>
      </c>
      <c r="C5940" s="44">
        <v>0.0</v>
      </c>
      <c r="D5940" s="46">
        <v>45392.0</v>
      </c>
      <c r="E5940" s="24">
        <v>0.0</v>
      </c>
      <c r="F5940" s="24" t="s">
        <v>6650</v>
      </c>
      <c r="G5940" s="24" t="s">
        <v>6650</v>
      </c>
      <c r="H5940" s="24" t="s">
        <v>6703</v>
      </c>
      <c r="I5940" s="24" t="s">
        <v>6650</v>
      </c>
      <c r="J5940" s="24">
        <v>0.0</v>
      </c>
    </row>
    <row r="5941">
      <c r="A5941" s="24">
        <v>148.0</v>
      </c>
      <c r="B5941" s="24">
        <v>88.0</v>
      </c>
      <c r="C5941" s="44">
        <v>108.95</v>
      </c>
      <c r="D5941" s="46">
        <v>45392.0</v>
      </c>
      <c r="E5941" s="24">
        <v>1.24</v>
      </c>
      <c r="F5941" s="24">
        <v>736.15</v>
      </c>
      <c r="G5941" s="24">
        <v>59.46</v>
      </c>
      <c r="H5941" s="24" t="s">
        <v>6710</v>
      </c>
      <c r="I5941" s="24">
        <v>108.95</v>
      </c>
      <c r="J5941" s="24">
        <v>2.0</v>
      </c>
    </row>
    <row r="5942">
      <c r="A5942" s="24">
        <v>25.0</v>
      </c>
      <c r="B5942" s="24">
        <v>19.0</v>
      </c>
      <c r="C5942" s="44">
        <v>16.15</v>
      </c>
      <c r="D5942" s="46">
        <v>45393.0</v>
      </c>
      <c r="E5942" s="24">
        <v>0.85</v>
      </c>
      <c r="F5942" s="24">
        <v>646.0</v>
      </c>
      <c r="G5942" s="24">
        <v>76.0</v>
      </c>
      <c r="H5942" s="24" t="s">
        <v>6709</v>
      </c>
      <c r="I5942" s="24" t="s">
        <v>6650</v>
      </c>
      <c r="J5942" s="24">
        <v>0.0</v>
      </c>
    </row>
    <row r="5943">
      <c r="A5943" s="24">
        <v>152.0</v>
      </c>
      <c r="B5943" s="24">
        <v>86.0</v>
      </c>
      <c r="C5943" s="44">
        <v>108.82</v>
      </c>
      <c r="D5943" s="46">
        <v>45393.0</v>
      </c>
      <c r="E5943" s="24">
        <v>1.27</v>
      </c>
      <c r="F5943" s="24">
        <v>715.92</v>
      </c>
      <c r="G5943" s="24">
        <v>56.58</v>
      </c>
      <c r="H5943" s="24" t="s">
        <v>6710</v>
      </c>
      <c r="I5943" s="24">
        <v>108.82</v>
      </c>
      <c r="J5943" s="24">
        <v>0.0</v>
      </c>
    </row>
    <row r="5944">
      <c r="A5944" s="24">
        <v>7.0</v>
      </c>
      <c r="B5944" s="24">
        <v>0.0</v>
      </c>
      <c r="C5944" s="44">
        <v>4.85</v>
      </c>
      <c r="D5944" s="46">
        <v>45393.0</v>
      </c>
      <c r="E5944" s="24" t="s">
        <v>6650</v>
      </c>
      <c r="F5944" s="24">
        <v>692.86</v>
      </c>
      <c r="G5944" s="24">
        <v>0.0</v>
      </c>
      <c r="H5944" s="24" t="s">
        <v>6706</v>
      </c>
      <c r="I5944" s="24" t="s">
        <v>6650</v>
      </c>
      <c r="J5944" s="24">
        <v>0.0</v>
      </c>
    </row>
    <row r="5945">
      <c r="A5945" s="24">
        <v>147.0</v>
      </c>
      <c r="B5945" s="24">
        <v>94.0</v>
      </c>
      <c r="C5945" s="44">
        <v>105.98</v>
      </c>
      <c r="D5945" s="46">
        <v>45393.0</v>
      </c>
      <c r="E5945" s="24">
        <v>1.13</v>
      </c>
      <c r="F5945" s="24">
        <v>720.95</v>
      </c>
      <c r="G5945" s="24">
        <v>63.95</v>
      </c>
      <c r="H5945" s="24" t="s">
        <v>6707</v>
      </c>
      <c r="I5945" s="24" t="s">
        <v>6650</v>
      </c>
      <c r="J5945" s="24">
        <v>2.0</v>
      </c>
    </row>
    <row r="5946">
      <c r="A5946" s="24">
        <v>3686.0</v>
      </c>
      <c r="B5946" s="24">
        <v>85.0</v>
      </c>
      <c r="C5946" s="44">
        <v>111.77</v>
      </c>
      <c r="D5946" s="46">
        <v>45393.0</v>
      </c>
      <c r="E5946" s="24">
        <v>1.31</v>
      </c>
      <c r="F5946" s="24">
        <v>30.32</v>
      </c>
      <c r="G5946" s="24">
        <v>2.31</v>
      </c>
      <c r="H5946" s="24" t="s">
        <v>6711</v>
      </c>
      <c r="I5946" s="24">
        <v>37.26</v>
      </c>
      <c r="J5946" s="24">
        <v>0.0</v>
      </c>
    </row>
    <row r="5947">
      <c r="A5947" s="24">
        <v>119.0</v>
      </c>
      <c r="B5947" s="24">
        <v>60.0</v>
      </c>
      <c r="C5947" s="44">
        <v>85.94</v>
      </c>
      <c r="D5947" s="46">
        <v>45393.0</v>
      </c>
      <c r="E5947" s="24">
        <v>1.43</v>
      </c>
      <c r="F5947" s="24">
        <v>722.18</v>
      </c>
      <c r="G5947" s="24">
        <v>50.42</v>
      </c>
      <c r="H5947" s="24" t="s">
        <v>6705</v>
      </c>
      <c r="I5947" s="24" t="s">
        <v>6650</v>
      </c>
      <c r="J5947" s="24">
        <v>1.0</v>
      </c>
    </row>
    <row r="5948">
      <c r="A5948" s="24">
        <v>78.0</v>
      </c>
      <c r="B5948" s="24">
        <v>47.0</v>
      </c>
      <c r="C5948" s="44">
        <v>56.13</v>
      </c>
      <c r="D5948" s="46">
        <v>45394.0</v>
      </c>
      <c r="E5948" s="24">
        <v>1.19</v>
      </c>
      <c r="F5948" s="24">
        <v>719.62</v>
      </c>
      <c r="G5948" s="24">
        <v>60.26</v>
      </c>
      <c r="H5948" s="24" t="s">
        <v>6705</v>
      </c>
      <c r="I5948" s="24" t="s">
        <v>6650</v>
      </c>
      <c r="J5948" s="24">
        <v>0.0</v>
      </c>
    </row>
    <row r="5949">
      <c r="A5949" s="24">
        <v>19.0</v>
      </c>
      <c r="B5949" s="24">
        <v>15.0</v>
      </c>
      <c r="C5949" s="44">
        <v>14.18</v>
      </c>
      <c r="D5949" s="46">
        <v>45394.0</v>
      </c>
      <c r="E5949" s="24">
        <v>0.95</v>
      </c>
      <c r="F5949" s="24">
        <v>746.32</v>
      </c>
      <c r="G5949" s="24">
        <v>78.95</v>
      </c>
      <c r="H5949" s="24" t="s">
        <v>6709</v>
      </c>
      <c r="I5949" s="24" t="s">
        <v>6650</v>
      </c>
      <c r="J5949" s="24">
        <v>0.0</v>
      </c>
    </row>
    <row r="5950">
      <c r="A5950" s="24">
        <v>148.0</v>
      </c>
      <c r="B5950" s="24">
        <v>92.0</v>
      </c>
      <c r="C5950" s="44">
        <v>107.97</v>
      </c>
      <c r="D5950" s="46">
        <v>45394.0</v>
      </c>
      <c r="E5950" s="24">
        <v>1.17</v>
      </c>
      <c r="F5950" s="24">
        <v>729.53</v>
      </c>
      <c r="G5950" s="24">
        <v>62.16</v>
      </c>
      <c r="H5950" s="24" t="s">
        <v>6707</v>
      </c>
      <c r="I5950" s="24" t="s">
        <v>6650</v>
      </c>
      <c r="J5950" s="24">
        <v>1.0</v>
      </c>
    </row>
    <row r="5951">
      <c r="A5951" s="24">
        <v>3997.0</v>
      </c>
      <c r="B5951" s="24">
        <v>80.0</v>
      </c>
      <c r="C5951" s="44">
        <v>115.98</v>
      </c>
      <c r="D5951" s="46">
        <v>45394.0</v>
      </c>
      <c r="E5951" s="24">
        <v>1.45</v>
      </c>
      <c r="F5951" s="24">
        <v>29.02</v>
      </c>
      <c r="G5951" s="24">
        <v>2.0</v>
      </c>
      <c r="H5951" s="24" t="s">
        <v>6711</v>
      </c>
      <c r="I5951" s="24">
        <v>115.98</v>
      </c>
      <c r="J5951" s="24">
        <v>0.0</v>
      </c>
    </row>
    <row r="5952">
      <c r="A5952" s="24">
        <v>4.0</v>
      </c>
      <c r="B5952" s="24">
        <v>4.0</v>
      </c>
      <c r="C5952" s="44">
        <v>3.55</v>
      </c>
      <c r="D5952" s="46">
        <v>45394.0</v>
      </c>
      <c r="E5952" s="24">
        <v>0.89</v>
      </c>
      <c r="F5952" s="24">
        <v>887.5</v>
      </c>
      <c r="G5952" s="24">
        <v>100.0</v>
      </c>
      <c r="H5952" s="24" t="s">
        <v>6706</v>
      </c>
      <c r="I5952" s="24" t="s">
        <v>6650</v>
      </c>
      <c r="J5952" s="24">
        <v>0.0</v>
      </c>
    </row>
    <row r="5953">
      <c r="A5953" s="24">
        <v>131.0</v>
      </c>
      <c r="B5953" s="24">
        <v>83.0</v>
      </c>
      <c r="C5953" s="44">
        <v>107.46</v>
      </c>
      <c r="D5953" s="46">
        <v>45394.0</v>
      </c>
      <c r="E5953" s="24">
        <v>1.29</v>
      </c>
      <c r="F5953" s="24">
        <v>820.31</v>
      </c>
      <c r="G5953" s="24">
        <v>63.36</v>
      </c>
      <c r="H5953" s="24" t="s">
        <v>6710</v>
      </c>
      <c r="I5953" s="24" t="s">
        <v>6650</v>
      </c>
      <c r="J5953" s="24">
        <v>1.0</v>
      </c>
    </row>
    <row r="5954">
      <c r="A5954" s="24">
        <v>13.0</v>
      </c>
      <c r="B5954" s="24">
        <v>7.0</v>
      </c>
      <c r="C5954" s="44">
        <v>9.27</v>
      </c>
      <c r="D5954" s="46">
        <v>45395.0</v>
      </c>
      <c r="E5954" s="24">
        <v>1.32</v>
      </c>
      <c r="F5954" s="24">
        <v>713.08</v>
      </c>
      <c r="G5954" s="24">
        <v>53.85</v>
      </c>
      <c r="H5954" s="24" t="s">
        <v>6709</v>
      </c>
      <c r="I5954" s="24" t="s">
        <v>6650</v>
      </c>
      <c r="J5954" s="24">
        <v>1.0</v>
      </c>
    </row>
    <row r="5955">
      <c r="A5955" s="24">
        <v>108.0</v>
      </c>
      <c r="B5955" s="24">
        <v>53.0</v>
      </c>
      <c r="C5955" s="44">
        <v>78.56</v>
      </c>
      <c r="D5955" s="46">
        <v>45395.0</v>
      </c>
      <c r="E5955" s="24">
        <v>1.48</v>
      </c>
      <c r="F5955" s="24">
        <v>727.41</v>
      </c>
      <c r="G5955" s="24">
        <v>49.07</v>
      </c>
      <c r="H5955" s="24" t="s">
        <v>6710</v>
      </c>
      <c r="I5955" s="24" t="s">
        <v>6650</v>
      </c>
      <c r="J5955" s="24">
        <v>0.0</v>
      </c>
    </row>
    <row r="5956">
      <c r="A5956" s="24">
        <v>39.0</v>
      </c>
      <c r="B5956" s="24">
        <v>12.0</v>
      </c>
      <c r="C5956" s="44">
        <v>29.31</v>
      </c>
      <c r="D5956" s="46">
        <v>45395.0</v>
      </c>
      <c r="E5956" s="24">
        <v>2.44</v>
      </c>
      <c r="F5956" s="24">
        <v>751.54</v>
      </c>
      <c r="G5956" s="24">
        <v>30.77</v>
      </c>
      <c r="H5956" s="24" t="s">
        <v>6705</v>
      </c>
      <c r="I5956" s="24" t="s">
        <v>6650</v>
      </c>
      <c r="J5956" s="24">
        <v>0.0</v>
      </c>
    </row>
    <row r="5957">
      <c r="A5957" s="24">
        <v>3113.0</v>
      </c>
      <c r="B5957" s="24">
        <v>72.0</v>
      </c>
      <c r="C5957" s="44">
        <v>68.99</v>
      </c>
      <c r="D5957" s="46">
        <v>45395.0</v>
      </c>
      <c r="E5957" s="24">
        <v>0.96</v>
      </c>
      <c r="F5957" s="24">
        <v>22.16</v>
      </c>
      <c r="G5957" s="24">
        <v>2.31</v>
      </c>
      <c r="H5957" s="24" t="s">
        <v>6711</v>
      </c>
      <c r="I5957" s="24">
        <v>17.25</v>
      </c>
      <c r="J5957" s="24">
        <v>0.0</v>
      </c>
    </row>
    <row r="5958">
      <c r="A5958" s="24">
        <v>3.0</v>
      </c>
      <c r="B5958" s="24">
        <v>0.0</v>
      </c>
      <c r="C5958" s="44">
        <v>2.15</v>
      </c>
      <c r="D5958" s="46">
        <v>45395.0</v>
      </c>
      <c r="E5958" s="24" t="s">
        <v>6650</v>
      </c>
      <c r="F5958" s="24">
        <v>716.67</v>
      </c>
      <c r="G5958" s="24">
        <v>0.0</v>
      </c>
      <c r="H5958" s="24" t="s">
        <v>6706</v>
      </c>
      <c r="I5958" s="24" t="s">
        <v>6650</v>
      </c>
      <c r="J5958" s="24">
        <v>0.0</v>
      </c>
    </row>
    <row r="5959">
      <c r="A5959" s="24">
        <v>106.0</v>
      </c>
      <c r="B5959" s="24">
        <v>51.0</v>
      </c>
      <c r="C5959" s="44">
        <v>73.52</v>
      </c>
      <c r="D5959" s="46">
        <v>45395.0</v>
      </c>
      <c r="E5959" s="24">
        <v>1.44</v>
      </c>
      <c r="F5959" s="24">
        <v>693.58</v>
      </c>
      <c r="G5959" s="24">
        <v>48.11</v>
      </c>
      <c r="H5959" s="24" t="s">
        <v>6707</v>
      </c>
      <c r="I5959" s="24" t="s">
        <v>6650</v>
      </c>
      <c r="J5959" s="24">
        <v>0.0</v>
      </c>
    </row>
    <row r="5960">
      <c r="A5960" s="24">
        <v>33.0</v>
      </c>
      <c r="B5960" s="24">
        <v>22.0</v>
      </c>
      <c r="C5960" s="44">
        <v>24.53</v>
      </c>
      <c r="D5960" s="46">
        <v>45396.0</v>
      </c>
      <c r="E5960" s="24">
        <v>1.12</v>
      </c>
      <c r="F5960" s="24">
        <v>743.33</v>
      </c>
      <c r="G5960" s="24">
        <v>66.67</v>
      </c>
      <c r="H5960" s="24" t="s">
        <v>6705</v>
      </c>
      <c r="I5960" s="24" t="s">
        <v>6650</v>
      </c>
      <c r="J5960" s="24">
        <v>2.0</v>
      </c>
    </row>
    <row r="5961">
      <c r="A5961" s="24">
        <v>23.0</v>
      </c>
      <c r="B5961" s="24">
        <v>11.0</v>
      </c>
      <c r="C5961" s="44">
        <v>20.48</v>
      </c>
      <c r="D5961" s="46">
        <v>45396.0</v>
      </c>
      <c r="E5961" s="24">
        <v>1.86</v>
      </c>
      <c r="F5961" s="24">
        <v>890.43</v>
      </c>
      <c r="G5961" s="24">
        <v>47.83</v>
      </c>
      <c r="H5961" s="24" t="s">
        <v>6709</v>
      </c>
      <c r="I5961" s="24">
        <v>20.48</v>
      </c>
      <c r="J5961" s="24">
        <v>1.0</v>
      </c>
    </row>
    <row r="5962">
      <c r="A5962" s="24">
        <v>2985.0</v>
      </c>
      <c r="B5962" s="24">
        <v>55.0</v>
      </c>
      <c r="C5962" s="44">
        <v>67.78</v>
      </c>
      <c r="D5962" s="46">
        <v>45396.0</v>
      </c>
      <c r="E5962" s="24">
        <v>1.23</v>
      </c>
      <c r="F5962" s="24">
        <v>22.71</v>
      </c>
      <c r="G5962" s="24">
        <v>1.84</v>
      </c>
      <c r="H5962" s="24" t="s">
        <v>6711</v>
      </c>
      <c r="I5962" s="24">
        <v>33.89</v>
      </c>
      <c r="J5962" s="24">
        <v>0.0</v>
      </c>
    </row>
    <row r="5963">
      <c r="A5963" s="24">
        <v>101.0</v>
      </c>
      <c r="B5963" s="24">
        <v>56.0</v>
      </c>
      <c r="C5963" s="44">
        <v>73.67</v>
      </c>
      <c r="D5963" s="46">
        <v>45396.0</v>
      </c>
      <c r="E5963" s="24">
        <v>1.32</v>
      </c>
      <c r="F5963" s="24">
        <v>729.41</v>
      </c>
      <c r="G5963" s="24">
        <v>55.45</v>
      </c>
      <c r="H5963" s="24" t="s">
        <v>6710</v>
      </c>
      <c r="I5963" s="24" t="s">
        <v>6650</v>
      </c>
      <c r="J5963" s="24">
        <v>0.0</v>
      </c>
    </row>
    <row r="5964">
      <c r="A5964" s="24">
        <v>2.0</v>
      </c>
      <c r="B5964" s="24">
        <v>0.0</v>
      </c>
      <c r="C5964" s="44">
        <v>1.25</v>
      </c>
      <c r="D5964" s="46">
        <v>45396.0</v>
      </c>
      <c r="E5964" s="24" t="s">
        <v>6650</v>
      </c>
      <c r="F5964" s="24">
        <v>625.0</v>
      </c>
      <c r="G5964" s="24">
        <v>0.0</v>
      </c>
      <c r="H5964" s="24" t="s">
        <v>6706</v>
      </c>
      <c r="I5964" s="24" t="s">
        <v>6650</v>
      </c>
      <c r="J5964" s="24">
        <v>0.0</v>
      </c>
    </row>
    <row r="5965">
      <c r="A5965" s="24">
        <v>119.0</v>
      </c>
      <c r="B5965" s="24">
        <v>58.0</v>
      </c>
      <c r="C5965" s="44">
        <v>83.56</v>
      </c>
      <c r="D5965" s="46">
        <v>45396.0</v>
      </c>
      <c r="E5965" s="24">
        <v>1.44</v>
      </c>
      <c r="F5965" s="24">
        <v>702.18</v>
      </c>
      <c r="G5965" s="24">
        <v>48.74</v>
      </c>
      <c r="H5965" s="24" t="s">
        <v>6707</v>
      </c>
      <c r="I5965" s="24" t="s">
        <v>6650</v>
      </c>
      <c r="J5965" s="24">
        <v>1.0</v>
      </c>
    </row>
    <row r="5966">
      <c r="A5966" s="24">
        <v>88.0</v>
      </c>
      <c r="B5966" s="24">
        <v>46.0</v>
      </c>
      <c r="C5966" s="44">
        <v>58.54</v>
      </c>
      <c r="D5966" s="46">
        <v>45397.0</v>
      </c>
      <c r="E5966" s="24">
        <v>1.27</v>
      </c>
      <c r="F5966" s="24">
        <v>665.23</v>
      </c>
      <c r="G5966" s="24">
        <v>52.27</v>
      </c>
      <c r="H5966" s="24" t="s">
        <v>6705</v>
      </c>
      <c r="I5966" s="24" t="s">
        <v>6650</v>
      </c>
      <c r="J5966" s="24">
        <v>2.0</v>
      </c>
    </row>
    <row r="5967">
      <c r="A5967" s="24">
        <v>141.0</v>
      </c>
      <c r="B5967" s="24">
        <v>86.0</v>
      </c>
      <c r="C5967" s="44">
        <v>108.39</v>
      </c>
      <c r="D5967" s="46">
        <v>45397.0</v>
      </c>
      <c r="E5967" s="24">
        <v>1.26</v>
      </c>
      <c r="F5967" s="24">
        <v>768.72</v>
      </c>
      <c r="G5967" s="24">
        <v>60.99</v>
      </c>
      <c r="H5967" s="24" t="s">
        <v>6710</v>
      </c>
      <c r="I5967" s="24" t="s">
        <v>6650</v>
      </c>
      <c r="J5967" s="24">
        <v>1.0</v>
      </c>
    </row>
    <row r="5968">
      <c r="A5968" s="24">
        <v>23.0</v>
      </c>
      <c r="B5968" s="24">
        <v>18.0</v>
      </c>
      <c r="C5968" s="44">
        <v>17.72</v>
      </c>
      <c r="D5968" s="46">
        <v>45397.0</v>
      </c>
      <c r="E5968" s="24">
        <v>0.98</v>
      </c>
      <c r="F5968" s="24">
        <v>770.43</v>
      </c>
      <c r="G5968" s="24">
        <v>78.26</v>
      </c>
      <c r="H5968" s="24" t="s">
        <v>6709</v>
      </c>
      <c r="I5968" s="24" t="s">
        <v>6650</v>
      </c>
      <c r="J5968" s="24">
        <v>0.0</v>
      </c>
    </row>
    <row r="5969">
      <c r="A5969" s="24">
        <v>8.0</v>
      </c>
      <c r="B5969" s="24">
        <v>3.0</v>
      </c>
      <c r="C5969" s="44">
        <v>6.11</v>
      </c>
      <c r="D5969" s="46">
        <v>45397.0</v>
      </c>
      <c r="E5969" s="24">
        <v>2.04</v>
      </c>
      <c r="F5969" s="24">
        <v>763.75</v>
      </c>
      <c r="G5969" s="24">
        <v>37.5</v>
      </c>
      <c r="H5969" s="24" t="s">
        <v>6706</v>
      </c>
      <c r="I5969" s="24" t="s">
        <v>6650</v>
      </c>
      <c r="J5969" s="24">
        <v>0.0</v>
      </c>
    </row>
    <row r="5970">
      <c r="A5970" s="24">
        <v>148.0</v>
      </c>
      <c r="B5970" s="24">
        <v>115.0</v>
      </c>
      <c r="C5970" s="44">
        <v>107.94</v>
      </c>
      <c r="D5970" s="46">
        <v>45397.0</v>
      </c>
      <c r="E5970" s="24">
        <v>0.94</v>
      </c>
      <c r="F5970" s="24">
        <v>729.32</v>
      </c>
      <c r="G5970" s="24">
        <v>77.7</v>
      </c>
      <c r="H5970" s="24" t="s">
        <v>6707</v>
      </c>
      <c r="I5970" s="24" t="s">
        <v>6650</v>
      </c>
      <c r="J5970" s="24">
        <v>2.0</v>
      </c>
    </row>
    <row r="5971">
      <c r="A5971" s="24">
        <v>1238.0</v>
      </c>
      <c r="B5971" s="24">
        <v>21.0</v>
      </c>
      <c r="C5971" s="44">
        <v>35.86</v>
      </c>
      <c r="D5971" s="46">
        <v>45397.0</v>
      </c>
      <c r="E5971" s="24">
        <v>1.71</v>
      </c>
      <c r="F5971" s="24">
        <v>28.97</v>
      </c>
      <c r="G5971" s="24">
        <v>1.7</v>
      </c>
      <c r="H5971" s="24" t="s">
        <v>6711</v>
      </c>
      <c r="I5971" s="24">
        <v>17.93</v>
      </c>
      <c r="J5971" s="24">
        <v>0.0</v>
      </c>
    </row>
    <row r="5972">
      <c r="A5972" s="24">
        <v>21.0</v>
      </c>
      <c r="B5972" s="24">
        <v>14.0</v>
      </c>
      <c r="C5972" s="44">
        <v>16.67</v>
      </c>
      <c r="D5972" s="46">
        <v>45398.0</v>
      </c>
      <c r="E5972" s="24">
        <v>1.19</v>
      </c>
      <c r="F5972" s="24">
        <v>793.81</v>
      </c>
      <c r="G5972" s="24">
        <v>66.67</v>
      </c>
      <c r="H5972" s="24" t="s">
        <v>6709</v>
      </c>
      <c r="I5972" s="24" t="s">
        <v>6650</v>
      </c>
      <c r="J5972" s="24">
        <v>0.0</v>
      </c>
    </row>
    <row r="5973">
      <c r="A5973" s="24">
        <v>8.0</v>
      </c>
      <c r="B5973" s="24">
        <v>2.0</v>
      </c>
      <c r="C5973" s="44">
        <v>6.66</v>
      </c>
      <c r="D5973" s="46">
        <v>45398.0</v>
      </c>
      <c r="E5973" s="24">
        <v>3.33</v>
      </c>
      <c r="F5973" s="24">
        <v>832.5</v>
      </c>
      <c r="G5973" s="24">
        <v>25.0</v>
      </c>
      <c r="H5973" s="24" t="s">
        <v>6706</v>
      </c>
      <c r="I5973" s="24" t="s">
        <v>6650</v>
      </c>
      <c r="J5973" s="24">
        <v>0.0</v>
      </c>
    </row>
    <row r="5974">
      <c r="A5974" s="24">
        <v>152.0</v>
      </c>
      <c r="B5974" s="24">
        <v>89.0</v>
      </c>
      <c r="C5974" s="44">
        <v>111.19</v>
      </c>
      <c r="D5974" s="46">
        <v>45398.0</v>
      </c>
      <c r="E5974" s="24">
        <v>1.25</v>
      </c>
      <c r="F5974" s="24">
        <v>731.51</v>
      </c>
      <c r="G5974" s="24">
        <v>58.55</v>
      </c>
      <c r="H5974" s="24" t="s">
        <v>6710</v>
      </c>
      <c r="I5974" s="24" t="s">
        <v>6650</v>
      </c>
      <c r="J5974" s="24">
        <v>1.0</v>
      </c>
    </row>
    <row r="5975">
      <c r="A5975" s="24">
        <v>154.0</v>
      </c>
      <c r="B5975" s="24">
        <v>94.0</v>
      </c>
      <c r="C5975" s="44">
        <v>109.31</v>
      </c>
      <c r="D5975" s="46">
        <v>45398.0</v>
      </c>
      <c r="E5975" s="24">
        <v>1.16</v>
      </c>
      <c r="F5975" s="24">
        <v>709.81</v>
      </c>
      <c r="G5975" s="24">
        <v>61.04</v>
      </c>
      <c r="H5975" s="24" t="s">
        <v>6707</v>
      </c>
      <c r="I5975" s="24">
        <v>109.31</v>
      </c>
      <c r="J5975" s="24">
        <v>2.0</v>
      </c>
    </row>
    <row r="5976">
      <c r="A5976" s="24">
        <v>0.0</v>
      </c>
      <c r="B5976" s="24">
        <v>0.0</v>
      </c>
      <c r="C5976" s="44"/>
      <c r="D5976" s="46">
        <v>45398.0</v>
      </c>
      <c r="E5976" s="24" t="s">
        <v>6650</v>
      </c>
      <c r="F5976" s="24" t="s">
        <v>6650</v>
      </c>
      <c r="G5976" s="24" t="s">
        <v>6650</v>
      </c>
      <c r="H5976" s="24" t="s">
        <v>6711</v>
      </c>
      <c r="I5976" s="24" t="s">
        <v>6650</v>
      </c>
      <c r="J5976" s="24"/>
    </row>
    <row r="5977">
      <c r="A5977" s="24">
        <v>60.0</v>
      </c>
      <c r="B5977" s="24">
        <v>52.0</v>
      </c>
      <c r="C5977" s="44">
        <v>41.36</v>
      </c>
      <c r="D5977" s="46">
        <v>45398.0</v>
      </c>
      <c r="E5977" s="24">
        <v>0.8</v>
      </c>
      <c r="F5977" s="24">
        <v>689.33</v>
      </c>
      <c r="G5977" s="24">
        <v>86.67</v>
      </c>
      <c r="H5977" s="24" t="s">
        <v>6705</v>
      </c>
      <c r="I5977" s="24">
        <v>20.68</v>
      </c>
      <c r="J5977" s="24">
        <v>3.0</v>
      </c>
    </row>
    <row r="5978">
      <c r="A5978" s="24">
        <v>134.0</v>
      </c>
      <c r="B5978" s="24">
        <v>87.0</v>
      </c>
      <c r="C5978" s="44">
        <v>101.37</v>
      </c>
      <c r="D5978" s="46">
        <v>45399.0</v>
      </c>
      <c r="E5978" s="24">
        <v>1.17</v>
      </c>
      <c r="F5978" s="24">
        <v>756.49</v>
      </c>
      <c r="G5978" s="24">
        <v>64.93</v>
      </c>
      <c r="H5978" s="24" t="s">
        <v>6707</v>
      </c>
      <c r="I5978" s="24" t="s">
        <v>6650</v>
      </c>
      <c r="J5978" s="24">
        <v>0.0</v>
      </c>
    </row>
    <row r="5979">
      <c r="A5979" s="24">
        <v>65.0</v>
      </c>
      <c r="B5979" s="24">
        <v>33.0</v>
      </c>
      <c r="C5979" s="44">
        <v>47.32</v>
      </c>
      <c r="D5979" s="46">
        <v>45399.0</v>
      </c>
      <c r="E5979" s="24">
        <v>1.43</v>
      </c>
      <c r="F5979" s="24">
        <v>728.0</v>
      </c>
      <c r="G5979" s="24">
        <v>50.77</v>
      </c>
      <c r="H5979" s="24" t="s">
        <v>6705</v>
      </c>
      <c r="I5979" s="24" t="s">
        <v>6650</v>
      </c>
      <c r="J5979" s="24">
        <v>0.0</v>
      </c>
    </row>
    <row r="5980">
      <c r="A5980" s="24">
        <v>140.0</v>
      </c>
      <c r="B5980" s="24">
        <v>104.0</v>
      </c>
      <c r="C5980" s="44">
        <v>109.18</v>
      </c>
      <c r="D5980" s="46">
        <v>45399.0</v>
      </c>
      <c r="E5980" s="24">
        <v>1.05</v>
      </c>
      <c r="F5980" s="24">
        <v>779.86</v>
      </c>
      <c r="G5980" s="24">
        <v>74.29</v>
      </c>
      <c r="H5980" s="24" t="s">
        <v>6710</v>
      </c>
      <c r="I5980" s="24" t="s">
        <v>6650</v>
      </c>
      <c r="J5980" s="24">
        <v>1.0</v>
      </c>
    </row>
    <row r="5981">
      <c r="A5981" s="24">
        <v>0.0</v>
      </c>
      <c r="B5981" s="24">
        <v>0.0</v>
      </c>
      <c r="C5981" s="44"/>
      <c r="D5981" s="46">
        <v>45399.0</v>
      </c>
      <c r="E5981" s="24" t="s">
        <v>6650</v>
      </c>
      <c r="F5981" s="24" t="s">
        <v>6650</v>
      </c>
      <c r="G5981" s="24" t="s">
        <v>6650</v>
      </c>
      <c r="H5981" s="24" t="s">
        <v>6711</v>
      </c>
      <c r="I5981" s="24" t="s">
        <v>6650</v>
      </c>
      <c r="J5981" s="24"/>
    </row>
    <row r="5982">
      <c r="A5982" s="24">
        <v>7.0</v>
      </c>
      <c r="B5982" s="24">
        <v>5.0</v>
      </c>
      <c r="C5982" s="44">
        <v>6.14</v>
      </c>
      <c r="D5982" s="46">
        <v>45399.0</v>
      </c>
      <c r="E5982" s="24">
        <v>1.23</v>
      </c>
      <c r="F5982" s="24">
        <v>877.14</v>
      </c>
      <c r="G5982" s="24">
        <v>71.43</v>
      </c>
      <c r="H5982" s="24" t="s">
        <v>6706</v>
      </c>
      <c r="I5982" s="24" t="s">
        <v>6650</v>
      </c>
      <c r="J5982" s="24">
        <v>1.0</v>
      </c>
    </row>
    <row r="5983">
      <c r="A5983" s="24">
        <v>17.0</v>
      </c>
      <c r="B5983" s="24">
        <v>13.0</v>
      </c>
      <c r="C5983" s="44">
        <v>11.95</v>
      </c>
      <c r="D5983" s="46">
        <v>45399.0</v>
      </c>
      <c r="E5983" s="24">
        <v>0.92</v>
      </c>
      <c r="F5983" s="24">
        <v>702.94</v>
      </c>
      <c r="G5983" s="24">
        <v>76.47</v>
      </c>
      <c r="H5983" s="24" t="s">
        <v>6709</v>
      </c>
      <c r="I5983" s="24" t="s">
        <v>6650</v>
      </c>
      <c r="J5983" s="24">
        <v>0.0</v>
      </c>
    </row>
    <row r="5984">
      <c r="A5984" s="24">
        <v>145.0</v>
      </c>
      <c r="B5984" s="24">
        <v>91.0</v>
      </c>
      <c r="C5984" s="44">
        <v>111.28</v>
      </c>
      <c r="D5984" s="46">
        <v>45400.0</v>
      </c>
      <c r="E5984" s="24">
        <v>1.22</v>
      </c>
      <c r="F5984" s="24">
        <v>767.45</v>
      </c>
      <c r="G5984" s="24">
        <v>62.76</v>
      </c>
      <c r="H5984" s="24" t="s">
        <v>6710</v>
      </c>
      <c r="I5984" s="24" t="s">
        <v>6650</v>
      </c>
      <c r="J5984" s="24">
        <v>1.0</v>
      </c>
    </row>
    <row r="5985">
      <c r="A5985" s="24">
        <v>131.0</v>
      </c>
      <c r="B5985" s="24">
        <v>103.0</v>
      </c>
      <c r="C5985" s="44">
        <v>101.01</v>
      </c>
      <c r="D5985" s="46">
        <v>45400.0</v>
      </c>
      <c r="E5985" s="24">
        <v>0.98</v>
      </c>
      <c r="F5985" s="24">
        <v>771.07</v>
      </c>
      <c r="G5985" s="24">
        <v>78.63</v>
      </c>
      <c r="H5985" s="24" t="s">
        <v>6707</v>
      </c>
      <c r="I5985" s="24">
        <v>101.01</v>
      </c>
      <c r="J5985" s="24">
        <v>5.0</v>
      </c>
    </row>
    <row r="5986">
      <c r="A5986" s="24">
        <v>62.0</v>
      </c>
      <c r="B5986" s="24">
        <v>38.0</v>
      </c>
      <c r="C5986" s="44">
        <v>43.02</v>
      </c>
      <c r="D5986" s="46">
        <v>45400.0</v>
      </c>
      <c r="E5986" s="24">
        <v>1.13</v>
      </c>
      <c r="F5986" s="24">
        <v>693.87</v>
      </c>
      <c r="G5986" s="24">
        <v>61.29</v>
      </c>
      <c r="H5986" s="24" t="s">
        <v>6705</v>
      </c>
      <c r="I5986" s="24">
        <v>43.02</v>
      </c>
      <c r="J5986" s="24">
        <v>1.0</v>
      </c>
    </row>
    <row r="5987">
      <c r="A5987" s="24">
        <v>0.0</v>
      </c>
      <c r="B5987" s="24">
        <v>2.0</v>
      </c>
      <c r="C5987" s="44">
        <v>0.0</v>
      </c>
      <c r="D5987" s="46">
        <v>45400.0</v>
      </c>
      <c r="E5987" s="24">
        <v>0.0</v>
      </c>
      <c r="F5987" s="24" t="s">
        <v>6650</v>
      </c>
      <c r="G5987" s="24" t="s">
        <v>6650</v>
      </c>
      <c r="H5987" s="24" t="s">
        <v>6706</v>
      </c>
      <c r="I5987" s="24" t="s">
        <v>6650</v>
      </c>
      <c r="J5987" s="24">
        <v>0.0</v>
      </c>
    </row>
    <row r="5988">
      <c r="A5988" s="24">
        <v>20.0</v>
      </c>
      <c r="B5988" s="24">
        <v>15.0</v>
      </c>
      <c r="C5988" s="44">
        <v>13.9</v>
      </c>
      <c r="D5988" s="46">
        <v>45400.0</v>
      </c>
      <c r="E5988" s="24">
        <v>0.93</v>
      </c>
      <c r="F5988" s="24">
        <v>695.0</v>
      </c>
      <c r="G5988" s="24">
        <v>75.0</v>
      </c>
      <c r="H5988" s="24" t="s">
        <v>6709</v>
      </c>
      <c r="I5988" s="24">
        <v>13.9</v>
      </c>
      <c r="J5988" s="24">
        <v>0.0</v>
      </c>
    </row>
    <row r="5989">
      <c r="A5989" s="24">
        <v>0.0</v>
      </c>
      <c r="B5989" s="24">
        <v>0.0</v>
      </c>
      <c r="C5989" s="44"/>
      <c r="D5989" s="46">
        <v>45400.0</v>
      </c>
      <c r="E5989" s="24" t="s">
        <v>6650</v>
      </c>
      <c r="F5989" s="24" t="s">
        <v>6650</v>
      </c>
      <c r="G5989" s="24" t="s">
        <v>6650</v>
      </c>
      <c r="H5989" s="24" t="s">
        <v>6711</v>
      </c>
      <c r="I5989" s="24" t="s">
        <v>6650</v>
      </c>
      <c r="J5989" s="24"/>
    </row>
    <row r="5990">
      <c r="A5990" s="24">
        <v>18.0</v>
      </c>
      <c r="B5990" s="24">
        <v>13.0</v>
      </c>
      <c r="C5990" s="44">
        <v>13.58</v>
      </c>
      <c r="D5990" s="46">
        <v>45401.0</v>
      </c>
      <c r="E5990" s="24">
        <v>1.04</v>
      </c>
      <c r="F5990" s="24">
        <v>754.44</v>
      </c>
      <c r="G5990" s="24">
        <v>72.22</v>
      </c>
      <c r="H5990" s="24" t="s">
        <v>6709</v>
      </c>
      <c r="I5990" s="24">
        <v>13.58</v>
      </c>
      <c r="J5990" s="24">
        <v>1.0</v>
      </c>
    </row>
    <row r="5991">
      <c r="A5991" s="24">
        <v>0.0</v>
      </c>
      <c r="B5991" s="24">
        <v>0.0</v>
      </c>
      <c r="C5991" s="44"/>
      <c r="D5991" s="46">
        <v>45401.0</v>
      </c>
      <c r="E5991" s="24" t="s">
        <v>6650</v>
      </c>
      <c r="F5991" s="24" t="s">
        <v>6650</v>
      </c>
      <c r="G5991" s="24" t="s">
        <v>6650</v>
      </c>
      <c r="H5991" s="24" t="s">
        <v>6711</v>
      </c>
      <c r="I5991" s="24" t="s">
        <v>6650</v>
      </c>
      <c r="J5991" s="24"/>
    </row>
    <row r="5992">
      <c r="A5992" s="24">
        <v>129.0</v>
      </c>
      <c r="B5992" s="24">
        <v>68.0</v>
      </c>
      <c r="C5992" s="44">
        <v>106.94</v>
      </c>
      <c r="D5992" s="46">
        <v>45401.0</v>
      </c>
      <c r="E5992" s="24">
        <v>1.57</v>
      </c>
      <c r="F5992" s="24">
        <v>828.99</v>
      </c>
      <c r="G5992" s="24">
        <v>52.71</v>
      </c>
      <c r="H5992" s="24" t="s">
        <v>6710</v>
      </c>
      <c r="I5992" s="24" t="s">
        <v>6650</v>
      </c>
      <c r="J5992" s="24">
        <v>0.0</v>
      </c>
    </row>
    <row r="5993">
      <c r="A5993" s="24">
        <v>48.0</v>
      </c>
      <c r="B5993" s="24">
        <v>33.0</v>
      </c>
      <c r="C5993" s="44">
        <v>38.91</v>
      </c>
      <c r="D5993" s="46">
        <v>45401.0</v>
      </c>
      <c r="E5993" s="24">
        <v>1.18</v>
      </c>
      <c r="F5993" s="24">
        <v>810.62</v>
      </c>
      <c r="G5993" s="24">
        <v>68.75</v>
      </c>
      <c r="H5993" s="24" t="s">
        <v>6705</v>
      </c>
      <c r="I5993" s="24">
        <v>38.91</v>
      </c>
      <c r="J5993" s="24">
        <v>1.0</v>
      </c>
    </row>
    <row r="5994">
      <c r="A5994" s="24">
        <v>1.0</v>
      </c>
      <c r="B5994" s="24">
        <v>0.0</v>
      </c>
      <c r="C5994" s="44">
        <v>1.0</v>
      </c>
      <c r="D5994" s="46">
        <v>45401.0</v>
      </c>
      <c r="E5994" s="24" t="s">
        <v>6650</v>
      </c>
      <c r="F5994" s="24">
        <v>1000.0</v>
      </c>
      <c r="G5994" s="24">
        <v>0.0</v>
      </c>
      <c r="H5994" s="24" t="s">
        <v>6706</v>
      </c>
      <c r="I5994" s="24" t="s">
        <v>6650</v>
      </c>
      <c r="J5994" s="24">
        <v>0.0</v>
      </c>
    </row>
    <row r="5995">
      <c r="A5995" s="24">
        <v>133.0</v>
      </c>
      <c r="B5995" s="24">
        <v>98.0</v>
      </c>
      <c r="C5995" s="44">
        <v>101.33</v>
      </c>
      <c r="D5995" s="46">
        <v>45401.0</v>
      </c>
      <c r="E5995" s="24">
        <v>1.03</v>
      </c>
      <c r="F5995" s="24">
        <v>761.88</v>
      </c>
      <c r="G5995" s="24">
        <v>73.68</v>
      </c>
      <c r="H5995" s="24" t="s">
        <v>6707</v>
      </c>
      <c r="I5995" s="24" t="s">
        <v>6650</v>
      </c>
      <c r="J5995" s="24">
        <v>1.0</v>
      </c>
    </row>
    <row r="5996">
      <c r="A5996" s="24">
        <v>0.0</v>
      </c>
      <c r="B5996" s="24">
        <v>0.0</v>
      </c>
      <c r="C5996" s="44"/>
      <c r="D5996" s="46">
        <v>45402.0</v>
      </c>
      <c r="E5996" s="24" t="s">
        <v>6650</v>
      </c>
      <c r="F5996" s="24" t="s">
        <v>6650</v>
      </c>
      <c r="G5996" s="24" t="s">
        <v>6650</v>
      </c>
      <c r="H5996" s="24" t="s">
        <v>6711</v>
      </c>
      <c r="I5996" s="24" t="s">
        <v>6650</v>
      </c>
      <c r="J5996" s="24"/>
    </row>
    <row r="5997">
      <c r="A5997" s="24">
        <v>95.0</v>
      </c>
      <c r="B5997" s="24">
        <v>46.0</v>
      </c>
      <c r="C5997" s="44">
        <v>80.83</v>
      </c>
      <c r="D5997" s="46">
        <v>45402.0</v>
      </c>
      <c r="E5997" s="24">
        <v>1.76</v>
      </c>
      <c r="F5997" s="24">
        <v>850.84</v>
      </c>
      <c r="G5997" s="24">
        <v>48.42</v>
      </c>
      <c r="H5997" s="24" t="s">
        <v>6710</v>
      </c>
      <c r="I5997" s="24" t="s">
        <v>6650</v>
      </c>
      <c r="J5997" s="24">
        <v>0.0</v>
      </c>
    </row>
    <row r="5998">
      <c r="A5998" s="24">
        <v>25.0</v>
      </c>
      <c r="B5998" s="24">
        <v>9.0</v>
      </c>
      <c r="C5998" s="44">
        <v>22.96</v>
      </c>
      <c r="D5998" s="46">
        <v>45402.0</v>
      </c>
      <c r="E5998" s="24">
        <v>2.55</v>
      </c>
      <c r="F5998" s="24">
        <v>918.4</v>
      </c>
      <c r="G5998" s="24">
        <v>36.0</v>
      </c>
      <c r="H5998" s="24" t="s">
        <v>6705</v>
      </c>
      <c r="I5998" s="24" t="s">
        <v>6650</v>
      </c>
      <c r="J5998" s="24">
        <v>1.0</v>
      </c>
    </row>
    <row r="5999">
      <c r="A5999" s="24">
        <v>122.0</v>
      </c>
      <c r="B5999" s="24">
        <v>47.0</v>
      </c>
      <c r="C5999" s="44">
        <v>88.03</v>
      </c>
      <c r="D5999" s="46">
        <v>45402.0</v>
      </c>
      <c r="E5999" s="24">
        <v>1.87</v>
      </c>
      <c r="F5999" s="24">
        <v>721.56</v>
      </c>
      <c r="G5999" s="24">
        <v>38.52</v>
      </c>
      <c r="H5999" s="24" t="s">
        <v>6707</v>
      </c>
      <c r="I5999" s="24" t="s">
        <v>6650</v>
      </c>
      <c r="J5999" s="24">
        <v>0.0</v>
      </c>
    </row>
    <row r="6000">
      <c r="A6000" s="24">
        <v>9.0</v>
      </c>
      <c r="B6000" s="24">
        <v>6.0</v>
      </c>
      <c r="C6000" s="44">
        <v>8.59</v>
      </c>
      <c r="D6000" s="46">
        <v>45402.0</v>
      </c>
      <c r="E6000" s="24">
        <v>1.43</v>
      </c>
      <c r="F6000" s="24">
        <v>954.44</v>
      </c>
      <c r="G6000" s="24">
        <v>66.67</v>
      </c>
      <c r="H6000" s="24" t="s">
        <v>6709</v>
      </c>
      <c r="I6000" s="24" t="s">
        <v>6650</v>
      </c>
      <c r="J6000" s="24">
        <v>0.0</v>
      </c>
    </row>
    <row r="6001">
      <c r="A6001" s="24">
        <v>3.0</v>
      </c>
      <c r="B6001" s="24">
        <v>1.0</v>
      </c>
      <c r="C6001" s="44">
        <v>2.75</v>
      </c>
      <c r="D6001" s="46">
        <v>45402.0</v>
      </c>
      <c r="E6001" s="24">
        <v>2.75</v>
      </c>
      <c r="F6001" s="24">
        <v>916.67</v>
      </c>
      <c r="G6001" s="24">
        <v>33.33</v>
      </c>
      <c r="H6001" s="24" t="s">
        <v>6706</v>
      </c>
      <c r="I6001" s="24" t="s">
        <v>6650</v>
      </c>
      <c r="J6001" s="24">
        <v>0.0</v>
      </c>
    </row>
    <row r="6002">
      <c r="A6002" s="24">
        <v>115.0</v>
      </c>
      <c r="B6002" s="24">
        <v>44.0</v>
      </c>
      <c r="C6002" s="44">
        <v>91.01</v>
      </c>
      <c r="D6002" s="46">
        <v>45403.0</v>
      </c>
      <c r="E6002" s="24">
        <v>2.07</v>
      </c>
      <c r="F6002" s="24">
        <v>791.39</v>
      </c>
      <c r="G6002" s="24">
        <v>38.26</v>
      </c>
      <c r="H6002" s="24" t="s">
        <v>6707</v>
      </c>
      <c r="I6002" s="24">
        <v>91.01</v>
      </c>
      <c r="J6002" s="24">
        <v>1.0</v>
      </c>
    </row>
    <row r="6003">
      <c r="A6003" s="24">
        <v>4.0</v>
      </c>
      <c r="B6003" s="24">
        <v>0.0</v>
      </c>
      <c r="C6003" s="44">
        <v>2.08</v>
      </c>
      <c r="D6003" s="46">
        <v>45403.0</v>
      </c>
      <c r="E6003" s="24" t="s">
        <v>6650</v>
      </c>
      <c r="F6003" s="24">
        <v>520.0</v>
      </c>
      <c r="G6003" s="24">
        <v>0.0</v>
      </c>
      <c r="H6003" s="24" t="s">
        <v>6706</v>
      </c>
      <c r="I6003" s="24" t="s">
        <v>6650</v>
      </c>
      <c r="J6003" s="24">
        <v>0.0</v>
      </c>
    </row>
    <row r="6004">
      <c r="A6004" s="24">
        <v>16.0</v>
      </c>
      <c r="B6004" s="24">
        <v>6.0</v>
      </c>
      <c r="C6004" s="44">
        <v>14.4</v>
      </c>
      <c r="D6004" s="46">
        <v>45403.0</v>
      </c>
      <c r="E6004" s="24">
        <v>2.4</v>
      </c>
      <c r="F6004" s="24">
        <v>900.0</v>
      </c>
      <c r="G6004" s="24">
        <v>37.5</v>
      </c>
      <c r="H6004" s="24" t="s">
        <v>6709</v>
      </c>
      <c r="I6004" s="24" t="s">
        <v>6650</v>
      </c>
      <c r="J6004" s="24">
        <v>0.0</v>
      </c>
    </row>
    <row r="6005">
      <c r="A6005" s="24">
        <v>31.0</v>
      </c>
      <c r="B6005" s="24">
        <v>15.0</v>
      </c>
      <c r="C6005" s="44">
        <v>23.37</v>
      </c>
      <c r="D6005" s="46">
        <v>45403.0</v>
      </c>
      <c r="E6005" s="24">
        <v>1.56</v>
      </c>
      <c r="F6005" s="24">
        <v>753.87</v>
      </c>
      <c r="G6005" s="24">
        <v>48.39</v>
      </c>
      <c r="H6005" s="24" t="s">
        <v>6705</v>
      </c>
      <c r="I6005" s="24" t="s">
        <v>6650</v>
      </c>
      <c r="J6005" s="24">
        <v>1.0</v>
      </c>
    </row>
    <row r="6006">
      <c r="A6006" s="24">
        <v>97.0</v>
      </c>
      <c r="B6006" s="24">
        <v>42.0</v>
      </c>
      <c r="C6006" s="44">
        <v>72.19</v>
      </c>
      <c r="D6006" s="46">
        <v>45403.0</v>
      </c>
      <c r="E6006" s="24">
        <v>1.72</v>
      </c>
      <c r="F6006" s="24">
        <v>744.23</v>
      </c>
      <c r="G6006" s="24">
        <v>43.3</v>
      </c>
      <c r="H6006" s="24" t="s">
        <v>6710</v>
      </c>
      <c r="I6006" s="24" t="s">
        <v>6650</v>
      </c>
      <c r="J6006" s="24">
        <v>0.0</v>
      </c>
    </row>
    <row r="6007">
      <c r="A6007" s="24">
        <v>4.0</v>
      </c>
      <c r="B6007" s="24">
        <v>1.0</v>
      </c>
      <c r="C6007" s="44">
        <v>3.41</v>
      </c>
      <c r="D6007" s="46">
        <v>45404.0</v>
      </c>
      <c r="E6007" s="24">
        <v>3.41</v>
      </c>
      <c r="F6007" s="24">
        <v>852.5</v>
      </c>
      <c r="G6007" s="24">
        <v>25.0</v>
      </c>
      <c r="H6007" s="24" t="s">
        <v>6706</v>
      </c>
      <c r="I6007" s="24" t="s">
        <v>6650</v>
      </c>
      <c r="J6007" s="24">
        <v>0.0</v>
      </c>
    </row>
    <row r="6008">
      <c r="A6008" s="24">
        <v>20.0</v>
      </c>
      <c r="B6008" s="24">
        <v>11.0</v>
      </c>
      <c r="C6008" s="44">
        <v>12.77</v>
      </c>
      <c r="D6008" s="46">
        <v>45404.0</v>
      </c>
      <c r="E6008" s="24">
        <v>1.16</v>
      </c>
      <c r="F6008" s="24">
        <v>638.5</v>
      </c>
      <c r="G6008" s="24">
        <v>55.0</v>
      </c>
      <c r="H6008" s="24" t="s">
        <v>6709</v>
      </c>
      <c r="I6008" s="24" t="s">
        <v>6650</v>
      </c>
      <c r="J6008" s="24">
        <v>0.0</v>
      </c>
    </row>
    <row r="6009">
      <c r="A6009" s="24">
        <v>137.0</v>
      </c>
      <c r="B6009" s="24">
        <v>106.0</v>
      </c>
      <c r="C6009" s="44">
        <v>109.34</v>
      </c>
      <c r="D6009" s="46">
        <v>45404.0</v>
      </c>
      <c r="E6009" s="24">
        <v>1.03</v>
      </c>
      <c r="F6009" s="24">
        <v>798.1</v>
      </c>
      <c r="G6009" s="24">
        <v>77.37</v>
      </c>
      <c r="H6009" s="24" t="s">
        <v>6707</v>
      </c>
      <c r="I6009" s="24" t="s">
        <v>6650</v>
      </c>
      <c r="J6009" s="24">
        <v>0.0</v>
      </c>
    </row>
    <row r="6010">
      <c r="A6010" s="24">
        <v>40.0</v>
      </c>
      <c r="B6010" s="24">
        <v>33.0</v>
      </c>
      <c r="C6010" s="44">
        <v>29.44</v>
      </c>
      <c r="D6010" s="46">
        <v>45404.0</v>
      </c>
      <c r="E6010" s="24">
        <v>0.89</v>
      </c>
      <c r="F6010" s="24">
        <v>736.0</v>
      </c>
      <c r="G6010" s="24">
        <v>82.5</v>
      </c>
      <c r="H6010" s="24" t="s">
        <v>6705</v>
      </c>
      <c r="I6010" s="24">
        <v>29.44</v>
      </c>
      <c r="J6010" s="24">
        <v>1.0</v>
      </c>
    </row>
    <row r="6011">
      <c r="A6011" s="24">
        <v>132.0</v>
      </c>
      <c r="B6011" s="24">
        <v>98.0</v>
      </c>
      <c r="C6011" s="44">
        <v>109.78</v>
      </c>
      <c r="D6011" s="46">
        <v>45404.0</v>
      </c>
      <c r="E6011" s="24">
        <v>1.12</v>
      </c>
      <c r="F6011" s="24">
        <v>831.67</v>
      </c>
      <c r="G6011" s="24">
        <v>74.24</v>
      </c>
      <c r="H6011" s="24" t="s">
        <v>6710</v>
      </c>
      <c r="I6011" s="24">
        <v>109.78</v>
      </c>
      <c r="J6011" s="24">
        <v>1.0</v>
      </c>
    </row>
    <row r="6012">
      <c r="A6012" s="24">
        <v>134.0</v>
      </c>
      <c r="B6012" s="24">
        <v>91.0</v>
      </c>
      <c r="C6012" s="44">
        <v>102.32</v>
      </c>
      <c r="D6012" s="46">
        <v>45405.0</v>
      </c>
      <c r="E6012" s="24">
        <v>1.12</v>
      </c>
      <c r="F6012" s="24">
        <v>763.58</v>
      </c>
      <c r="G6012" s="24">
        <v>67.91</v>
      </c>
      <c r="H6012" s="24" t="s">
        <v>6707</v>
      </c>
      <c r="I6012" s="24" t="s">
        <v>6650</v>
      </c>
      <c r="J6012" s="24">
        <v>3.0</v>
      </c>
    </row>
    <row r="6013">
      <c r="A6013" s="24">
        <v>8.0</v>
      </c>
      <c r="B6013" s="24">
        <v>3.0</v>
      </c>
      <c r="C6013" s="44">
        <v>5.73</v>
      </c>
      <c r="D6013" s="46">
        <v>45405.0</v>
      </c>
      <c r="E6013" s="24">
        <v>1.91</v>
      </c>
      <c r="F6013" s="24">
        <v>716.25</v>
      </c>
      <c r="G6013" s="24">
        <v>37.5</v>
      </c>
      <c r="H6013" s="24" t="s">
        <v>6706</v>
      </c>
      <c r="I6013" s="24" t="s">
        <v>6650</v>
      </c>
      <c r="J6013" s="24">
        <v>0.0</v>
      </c>
    </row>
    <row r="6014">
      <c r="A6014" s="24">
        <v>31.0</v>
      </c>
      <c r="B6014" s="24">
        <v>26.0</v>
      </c>
      <c r="C6014" s="44">
        <v>21.55</v>
      </c>
      <c r="D6014" s="46">
        <v>45405.0</v>
      </c>
      <c r="E6014" s="24">
        <v>0.83</v>
      </c>
      <c r="F6014" s="24">
        <v>695.16</v>
      </c>
      <c r="G6014" s="24">
        <v>83.87</v>
      </c>
      <c r="H6014" s="24" t="s">
        <v>6705</v>
      </c>
      <c r="I6014" s="24" t="s">
        <v>6650</v>
      </c>
      <c r="J6014" s="24">
        <v>2.0</v>
      </c>
    </row>
    <row r="6015">
      <c r="A6015" s="24">
        <v>128.0</v>
      </c>
      <c r="B6015" s="24">
        <v>79.0</v>
      </c>
      <c r="C6015" s="44">
        <v>109.92</v>
      </c>
      <c r="D6015" s="46">
        <v>45405.0</v>
      </c>
      <c r="E6015" s="24">
        <v>1.39</v>
      </c>
      <c r="F6015" s="24">
        <v>858.75</v>
      </c>
      <c r="G6015" s="24">
        <v>61.72</v>
      </c>
      <c r="H6015" s="24" t="s">
        <v>6710</v>
      </c>
      <c r="I6015" s="24" t="s">
        <v>6650</v>
      </c>
      <c r="J6015" s="24">
        <v>0.0</v>
      </c>
    </row>
    <row r="6016">
      <c r="A6016" s="24">
        <v>13.0</v>
      </c>
      <c r="B6016" s="24">
        <v>7.0</v>
      </c>
      <c r="C6016" s="44">
        <v>10.34</v>
      </c>
      <c r="D6016" s="46">
        <v>45405.0</v>
      </c>
      <c r="E6016" s="24">
        <v>1.48</v>
      </c>
      <c r="F6016" s="24">
        <v>795.38</v>
      </c>
      <c r="G6016" s="24">
        <v>53.85</v>
      </c>
      <c r="H6016" s="24" t="s">
        <v>6709</v>
      </c>
      <c r="I6016" s="24" t="s">
        <v>6650</v>
      </c>
      <c r="J6016" s="24">
        <v>0.0</v>
      </c>
    </row>
    <row r="6017">
      <c r="A6017" s="24">
        <v>31.0</v>
      </c>
      <c r="B6017" s="24">
        <v>23.0</v>
      </c>
      <c r="C6017" s="44">
        <v>25.77</v>
      </c>
      <c r="D6017" s="46">
        <v>45406.0</v>
      </c>
      <c r="E6017" s="24">
        <v>1.12</v>
      </c>
      <c r="F6017" s="24">
        <v>831.29</v>
      </c>
      <c r="G6017" s="24">
        <v>74.19</v>
      </c>
      <c r="H6017" s="24" t="s">
        <v>6705</v>
      </c>
      <c r="I6017" s="24" t="s">
        <v>6650</v>
      </c>
      <c r="J6017" s="24">
        <v>0.0</v>
      </c>
    </row>
    <row r="6018">
      <c r="A6018" s="24">
        <v>8.0</v>
      </c>
      <c r="B6018" s="24">
        <v>4.0</v>
      </c>
      <c r="C6018" s="44">
        <v>6.04</v>
      </c>
      <c r="D6018" s="46">
        <v>45406.0</v>
      </c>
      <c r="E6018" s="24">
        <v>1.51</v>
      </c>
      <c r="F6018" s="24">
        <v>755.0</v>
      </c>
      <c r="G6018" s="24">
        <v>50.0</v>
      </c>
      <c r="H6018" s="24" t="s">
        <v>6709</v>
      </c>
      <c r="I6018" s="24" t="s">
        <v>6650</v>
      </c>
      <c r="J6018" s="24">
        <v>0.0</v>
      </c>
    </row>
    <row r="6019">
      <c r="A6019" s="24">
        <v>4.0</v>
      </c>
      <c r="B6019" s="24">
        <v>4.0</v>
      </c>
      <c r="C6019" s="44">
        <v>2.4</v>
      </c>
      <c r="D6019" s="46">
        <v>45406.0</v>
      </c>
      <c r="E6019" s="24">
        <v>0.6</v>
      </c>
      <c r="F6019" s="24">
        <v>600.0</v>
      </c>
      <c r="G6019" s="24">
        <v>100.0</v>
      </c>
      <c r="H6019" s="24" t="s">
        <v>6706</v>
      </c>
      <c r="I6019" s="24" t="s">
        <v>6650</v>
      </c>
      <c r="J6019" s="24">
        <v>0.0</v>
      </c>
    </row>
    <row r="6020">
      <c r="A6020" s="24">
        <v>132.0</v>
      </c>
      <c r="B6020" s="24">
        <v>70.0</v>
      </c>
      <c r="C6020" s="44">
        <v>100.96</v>
      </c>
      <c r="D6020" s="46">
        <v>45406.0</v>
      </c>
      <c r="E6020" s="24">
        <v>1.44</v>
      </c>
      <c r="F6020" s="24">
        <v>764.85</v>
      </c>
      <c r="G6020" s="24">
        <v>53.03</v>
      </c>
      <c r="H6020" s="24" t="s">
        <v>6707</v>
      </c>
      <c r="I6020" s="24">
        <v>50.48</v>
      </c>
      <c r="J6020" s="24">
        <v>0.0</v>
      </c>
    </row>
    <row r="6021">
      <c r="A6021" s="24">
        <v>129.0</v>
      </c>
      <c r="B6021" s="24">
        <v>69.0</v>
      </c>
      <c r="C6021" s="44">
        <v>108.41</v>
      </c>
      <c r="D6021" s="46">
        <v>45406.0</v>
      </c>
      <c r="E6021" s="24">
        <v>1.57</v>
      </c>
      <c r="F6021" s="24">
        <v>840.39</v>
      </c>
      <c r="G6021" s="24">
        <v>53.49</v>
      </c>
      <c r="H6021" s="24" t="s">
        <v>6710</v>
      </c>
      <c r="I6021" s="24" t="s">
        <v>6650</v>
      </c>
      <c r="J6021" s="24">
        <v>1.0</v>
      </c>
    </row>
    <row r="6022">
      <c r="A6022" s="24">
        <v>129.0</v>
      </c>
      <c r="B6022" s="24">
        <v>78.0</v>
      </c>
      <c r="C6022" s="44">
        <v>103.61</v>
      </c>
      <c r="D6022" s="46">
        <v>45407.0</v>
      </c>
      <c r="E6022" s="24">
        <v>1.33</v>
      </c>
      <c r="F6022" s="24">
        <v>803.18</v>
      </c>
      <c r="G6022" s="24">
        <v>60.47</v>
      </c>
      <c r="H6022" s="24" t="s">
        <v>6707</v>
      </c>
      <c r="I6022" s="24" t="s">
        <v>6650</v>
      </c>
      <c r="J6022" s="24">
        <v>1.0</v>
      </c>
    </row>
    <row r="6023">
      <c r="A6023" s="24">
        <v>12.0</v>
      </c>
      <c r="B6023" s="24">
        <v>9.0</v>
      </c>
      <c r="C6023" s="44">
        <v>9.67</v>
      </c>
      <c r="D6023" s="46">
        <v>45407.0</v>
      </c>
      <c r="E6023" s="24">
        <v>1.07</v>
      </c>
      <c r="F6023" s="24">
        <v>805.83</v>
      </c>
      <c r="G6023" s="24">
        <v>75.0</v>
      </c>
      <c r="H6023" s="24" t="s">
        <v>6709</v>
      </c>
      <c r="I6023" s="24" t="s">
        <v>6650</v>
      </c>
      <c r="J6023" s="24">
        <v>0.0</v>
      </c>
    </row>
    <row r="6024">
      <c r="A6024" s="24">
        <v>143.0</v>
      </c>
      <c r="B6024" s="24">
        <v>81.0</v>
      </c>
      <c r="C6024" s="44">
        <v>112.94</v>
      </c>
      <c r="D6024" s="46">
        <v>45407.0</v>
      </c>
      <c r="E6024" s="24">
        <v>1.39</v>
      </c>
      <c r="F6024" s="24">
        <v>789.79</v>
      </c>
      <c r="G6024" s="24">
        <v>56.64</v>
      </c>
      <c r="H6024" s="24" t="s">
        <v>6710</v>
      </c>
      <c r="I6024" s="24" t="s">
        <v>6650</v>
      </c>
      <c r="J6024" s="24">
        <v>0.0</v>
      </c>
    </row>
    <row r="6025">
      <c r="A6025" s="24">
        <v>4.0</v>
      </c>
      <c r="B6025" s="24">
        <v>0.0</v>
      </c>
      <c r="C6025" s="44">
        <v>2.15</v>
      </c>
      <c r="D6025" s="46">
        <v>45407.0</v>
      </c>
      <c r="E6025" s="24" t="s">
        <v>6650</v>
      </c>
      <c r="F6025" s="24">
        <v>537.5</v>
      </c>
      <c r="G6025" s="24">
        <v>0.0</v>
      </c>
      <c r="H6025" s="24" t="s">
        <v>6706</v>
      </c>
      <c r="I6025" s="24" t="s">
        <v>6650</v>
      </c>
      <c r="J6025" s="24">
        <v>0.0</v>
      </c>
    </row>
    <row r="6026">
      <c r="A6026" s="24">
        <v>22.0</v>
      </c>
      <c r="B6026" s="24">
        <v>17.0</v>
      </c>
      <c r="C6026" s="44">
        <v>13.74</v>
      </c>
      <c r="D6026" s="46">
        <v>45407.0</v>
      </c>
      <c r="E6026" s="24">
        <v>0.81</v>
      </c>
      <c r="F6026" s="24">
        <v>624.55</v>
      </c>
      <c r="G6026" s="24">
        <v>77.27</v>
      </c>
      <c r="H6026" s="24" t="s">
        <v>6705</v>
      </c>
      <c r="I6026" s="24">
        <v>13.74</v>
      </c>
      <c r="J6026" s="24">
        <v>1.0</v>
      </c>
    </row>
    <row r="6027">
      <c r="A6027" s="24">
        <v>27.0</v>
      </c>
      <c r="B6027" s="24">
        <v>19.0</v>
      </c>
      <c r="C6027" s="44">
        <v>22.96</v>
      </c>
      <c r="D6027" s="46">
        <v>45408.0</v>
      </c>
      <c r="E6027" s="24">
        <v>1.21</v>
      </c>
      <c r="F6027" s="24">
        <v>850.37</v>
      </c>
      <c r="G6027" s="24">
        <v>70.37</v>
      </c>
      <c r="H6027" s="24" t="s">
        <v>6705</v>
      </c>
      <c r="I6027" s="24" t="s">
        <v>6650</v>
      </c>
      <c r="J6027" s="24">
        <v>0.0</v>
      </c>
    </row>
    <row r="6028">
      <c r="A6028" s="24">
        <v>115.0</v>
      </c>
      <c r="B6028" s="24">
        <v>60.0</v>
      </c>
      <c r="C6028" s="44">
        <v>87.43</v>
      </c>
      <c r="D6028" s="46">
        <v>45408.0</v>
      </c>
      <c r="E6028" s="24">
        <v>1.46</v>
      </c>
      <c r="F6028" s="24">
        <v>760.26</v>
      </c>
      <c r="G6028" s="24">
        <v>52.17</v>
      </c>
      <c r="H6028" s="24" t="s">
        <v>6707</v>
      </c>
      <c r="I6028" s="24" t="s">
        <v>6650</v>
      </c>
      <c r="J6028" s="24">
        <v>1.0</v>
      </c>
    </row>
    <row r="6029">
      <c r="A6029" s="24">
        <v>6.0</v>
      </c>
      <c r="B6029" s="24">
        <v>2.0</v>
      </c>
      <c r="C6029" s="44">
        <v>4.2</v>
      </c>
      <c r="D6029" s="46">
        <v>45408.0</v>
      </c>
      <c r="E6029" s="24">
        <v>2.1</v>
      </c>
      <c r="F6029" s="24">
        <v>700.0</v>
      </c>
      <c r="G6029" s="24">
        <v>33.33</v>
      </c>
      <c r="H6029" s="24" t="s">
        <v>6709</v>
      </c>
      <c r="I6029" s="24" t="s">
        <v>6650</v>
      </c>
      <c r="J6029" s="24">
        <v>0.0</v>
      </c>
    </row>
    <row r="6030">
      <c r="A6030" s="24">
        <v>135.0</v>
      </c>
      <c r="B6030" s="24">
        <v>85.0</v>
      </c>
      <c r="C6030" s="44">
        <v>106.15</v>
      </c>
      <c r="D6030" s="46">
        <v>45408.0</v>
      </c>
      <c r="E6030" s="24">
        <v>1.25</v>
      </c>
      <c r="F6030" s="24">
        <v>786.3</v>
      </c>
      <c r="G6030" s="24">
        <v>62.96</v>
      </c>
      <c r="H6030" s="24" t="s">
        <v>6710</v>
      </c>
      <c r="I6030" s="24" t="s">
        <v>6650</v>
      </c>
      <c r="J6030" s="24">
        <v>1.0</v>
      </c>
    </row>
    <row r="6031">
      <c r="A6031" s="24">
        <v>4.0</v>
      </c>
      <c r="B6031" s="24">
        <v>1.0</v>
      </c>
      <c r="C6031" s="44">
        <v>3.73</v>
      </c>
      <c r="D6031" s="46">
        <v>45408.0</v>
      </c>
      <c r="E6031" s="24">
        <v>3.73</v>
      </c>
      <c r="F6031" s="24">
        <v>932.5</v>
      </c>
      <c r="G6031" s="24">
        <v>25.0</v>
      </c>
      <c r="H6031" s="24" t="s">
        <v>6706</v>
      </c>
      <c r="I6031" s="24" t="s">
        <v>6650</v>
      </c>
      <c r="J6031" s="24">
        <v>0.0</v>
      </c>
    </row>
    <row r="6032">
      <c r="A6032" s="24">
        <v>12.0</v>
      </c>
      <c r="B6032" s="24">
        <v>4.0</v>
      </c>
      <c r="C6032" s="44">
        <v>8.1</v>
      </c>
      <c r="D6032" s="46">
        <v>45409.0</v>
      </c>
      <c r="E6032" s="24">
        <v>2.02</v>
      </c>
      <c r="F6032" s="24">
        <v>675.0</v>
      </c>
      <c r="G6032" s="24">
        <v>33.33</v>
      </c>
      <c r="H6032" s="24" t="s">
        <v>6709</v>
      </c>
      <c r="I6032" s="24" t="s">
        <v>6650</v>
      </c>
      <c r="J6032" s="24">
        <v>0.0</v>
      </c>
    </row>
    <row r="6033">
      <c r="A6033" s="24">
        <v>93.0</v>
      </c>
      <c r="B6033" s="24">
        <v>34.0</v>
      </c>
      <c r="C6033" s="44">
        <v>71.51</v>
      </c>
      <c r="D6033" s="46">
        <v>45409.0</v>
      </c>
      <c r="E6033" s="24">
        <v>2.1</v>
      </c>
      <c r="F6033" s="24">
        <v>768.92</v>
      </c>
      <c r="G6033" s="24">
        <v>36.56</v>
      </c>
      <c r="H6033" s="24" t="s">
        <v>6707</v>
      </c>
      <c r="I6033" s="24" t="s">
        <v>6650</v>
      </c>
      <c r="J6033" s="24">
        <v>0.0</v>
      </c>
    </row>
    <row r="6034">
      <c r="A6034" s="24">
        <v>1.0</v>
      </c>
      <c r="B6034" s="24">
        <v>0.0</v>
      </c>
      <c r="C6034" s="44">
        <v>0.89</v>
      </c>
      <c r="D6034" s="46">
        <v>45409.0</v>
      </c>
      <c r="E6034" s="24" t="s">
        <v>6650</v>
      </c>
      <c r="F6034" s="24">
        <v>890.0</v>
      </c>
      <c r="G6034" s="24">
        <v>0.0</v>
      </c>
      <c r="H6034" s="24" t="s">
        <v>6706</v>
      </c>
      <c r="I6034" s="24" t="s">
        <v>6650</v>
      </c>
      <c r="J6034" s="24">
        <v>0.0</v>
      </c>
    </row>
    <row r="6035">
      <c r="A6035" s="24">
        <v>97.0</v>
      </c>
      <c r="B6035" s="24">
        <v>40.0</v>
      </c>
      <c r="C6035" s="44">
        <v>81.76</v>
      </c>
      <c r="D6035" s="46">
        <v>45409.0</v>
      </c>
      <c r="E6035" s="24">
        <v>2.04</v>
      </c>
      <c r="F6035" s="24">
        <v>842.89</v>
      </c>
      <c r="G6035" s="24">
        <v>41.24</v>
      </c>
      <c r="H6035" s="24" t="s">
        <v>6710</v>
      </c>
      <c r="I6035" s="24" t="s">
        <v>6650</v>
      </c>
      <c r="J6035" s="24">
        <v>2.0</v>
      </c>
    </row>
    <row r="6036">
      <c r="A6036" s="24">
        <v>18.0</v>
      </c>
      <c r="B6036" s="24">
        <v>4.0</v>
      </c>
      <c r="C6036" s="44">
        <v>13.58</v>
      </c>
      <c r="D6036" s="46">
        <v>45409.0</v>
      </c>
      <c r="E6036" s="24">
        <v>3.4</v>
      </c>
      <c r="F6036" s="24">
        <v>754.44</v>
      </c>
      <c r="G6036" s="24">
        <v>22.22</v>
      </c>
      <c r="H6036" s="24" t="s">
        <v>6705</v>
      </c>
      <c r="I6036" s="24" t="s">
        <v>6650</v>
      </c>
      <c r="J6036" s="24">
        <v>0.0</v>
      </c>
    </row>
    <row r="6037">
      <c r="A6037" s="24">
        <v>1.0</v>
      </c>
      <c r="B6037" s="24">
        <v>0.0</v>
      </c>
      <c r="C6037" s="44">
        <v>0.7</v>
      </c>
      <c r="D6037" s="46">
        <v>45410.0</v>
      </c>
      <c r="E6037" s="24" t="s">
        <v>6650</v>
      </c>
      <c r="F6037" s="24">
        <v>700.0</v>
      </c>
      <c r="G6037" s="24">
        <v>0.0</v>
      </c>
      <c r="H6037" s="24" t="s">
        <v>6706</v>
      </c>
      <c r="I6037" s="24" t="s">
        <v>6650</v>
      </c>
      <c r="J6037" s="24">
        <v>0.0</v>
      </c>
    </row>
    <row r="6038">
      <c r="A6038" s="24">
        <v>5.0</v>
      </c>
      <c r="B6038" s="24">
        <v>3.0</v>
      </c>
      <c r="C6038" s="44">
        <v>2.63</v>
      </c>
      <c r="D6038" s="46">
        <v>45410.0</v>
      </c>
      <c r="E6038" s="24">
        <v>0.88</v>
      </c>
      <c r="F6038" s="24">
        <v>526.0</v>
      </c>
      <c r="G6038" s="24">
        <v>60.0</v>
      </c>
      <c r="H6038" s="24" t="s">
        <v>6709</v>
      </c>
      <c r="I6038" s="24" t="s">
        <v>6650</v>
      </c>
      <c r="J6038" s="24">
        <v>0.0</v>
      </c>
    </row>
    <row r="6039">
      <c r="A6039" s="24">
        <v>124.0</v>
      </c>
      <c r="B6039" s="24">
        <v>48.0</v>
      </c>
      <c r="C6039" s="44">
        <v>95.62</v>
      </c>
      <c r="D6039" s="46">
        <v>45410.0</v>
      </c>
      <c r="E6039" s="24">
        <v>1.99</v>
      </c>
      <c r="F6039" s="24">
        <v>771.13</v>
      </c>
      <c r="G6039" s="24">
        <v>38.71</v>
      </c>
      <c r="H6039" s="24" t="s">
        <v>6707</v>
      </c>
      <c r="I6039" s="24" t="s">
        <v>6650</v>
      </c>
      <c r="J6039" s="24">
        <v>0.0</v>
      </c>
    </row>
    <row r="6040">
      <c r="A6040" s="24">
        <v>92.0</v>
      </c>
      <c r="B6040" s="24">
        <v>36.0</v>
      </c>
      <c r="C6040" s="44">
        <v>71.04</v>
      </c>
      <c r="D6040" s="46">
        <v>45410.0</v>
      </c>
      <c r="E6040" s="24">
        <v>1.97</v>
      </c>
      <c r="F6040" s="24">
        <v>772.17</v>
      </c>
      <c r="G6040" s="24">
        <v>39.13</v>
      </c>
      <c r="H6040" s="24" t="s">
        <v>6710</v>
      </c>
      <c r="I6040" s="24" t="s">
        <v>6650</v>
      </c>
      <c r="J6040" s="24">
        <v>0.0</v>
      </c>
    </row>
    <row r="6041">
      <c r="A6041" s="24">
        <v>24.0</v>
      </c>
      <c r="B6041" s="24">
        <v>8.0</v>
      </c>
      <c r="C6041" s="44">
        <v>18.49</v>
      </c>
      <c r="D6041" s="46">
        <v>45410.0</v>
      </c>
      <c r="E6041" s="24">
        <v>2.31</v>
      </c>
      <c r="F6041" s="24">
        <v>770.42</v>
      </c>
      <c r="G6041" s="24">
        <v>33.33</v>
      </c>
      <c r="H6041" s="24" t="s">
        <v>6705</v>
      </c>
      <c r="I6041" s="24" t="s">
        <v>6650</v>
      </c>
      <c r="J6041" s="24">
        <v>0.0</v>
      </c>
    </row>
    <row r="6042">
      <c r="A6042" s="24">
        <v>7.0</v>
      </c>
      <c r="B6042" s="24">
        <v>8.0</v>
      </c>
      <c r="C6042" s="44">
        <v>3.86</v>
      </c>
      <c r="D6042" s="46">
        <v>45411.0</v>
      </c>
      <c r="E6042" s="24">
        <v>0.48</v>
      </c>
      <c r="F6042" s="24">
        <v>551.43</v>
      </c>
      <c r="G6042" s="24">
        <v>114.29</v>
      </c>
      <c r="H6042" s="24" t="s">
        <v>6709</v>
      </c>
      <c r="I6042" s="24" t="s">
        <v>6650</v>
      </c>
      <c r="J6042" s="24">
        <v>0.0</v>
      </c>
    </row>
    <row r="6043">
      <c r="A6043" s="24">
        <v>2.0</v>
      </c>
      <c r="B6043" s="24">
        <v>0.0</v>
      </c>
      <c r="C6043" s="44">
        <v>1.1</v>
      </c>
      <c r="D6043" s="46">
        <v>45411.0</v>
      </c>
      <c r="E6043" s="24" t="s">
        <v>6650</v>
      </c>
      <c r="F6043" s="24">
        <v>550.0</v>
      </c>
      <c r="G6043" s="24">
        <v>0.0</v>
      </c>
      <c r="H6043" s="24" t="s">
        <v>6706</v>
      </c>
      <c r="I6043" s="24" t="s">
        <v>6650</v>
      </c>
      <c r="J6043" s="24">
        <v>0.0</v>
      </c>
    </row>
    <row r="6044">
      <c r="A6044" s="24">
        <v>29.0</v>
      </c>
      <c r="B6044" s="24">
        <v>17.0</v>
      </c>
      <c r="C6044" s="44">
        <v>24.55</v>
      </c>
      <c r="D6044" s="46">
        <v>45411.0</v>
      </c>
      <c r="E6044" s="24">
        <v>1.44</v>
      </c>
      <c r="F6044" s="24">
        <v>846.55</v>
      </c>
      <c r="G6044" s="24">
        <v>58.62</v>
      </c>
      <c r="H6044" s="24" t="s">
        <v>6705</v>
      </c>
      <c r="I6044" s="24" t="s">
        <v>6650</v>
      </c>
      <c r="J6044" s="24">
        <v>0.0</v>
      </c>
    </row>
    <row r="6045">
      <c r="A6045" s="24">
        <v>140.0</v>
      </c>
      <c r="B6045" s="24">
        <v>92.0</v>
      </c>
      <c r="C6045" s="44">
        <v>110.22</v>
      </c>
      <c r="D6045" s="46">
        <v>45411.0</v>
      </c>
      <c r="E6045" s="24">
        <v>1.2</v>
      </c>
      <c r="F6045" s="24">
        <v>787.29</v>
      </c>
      <c r="G6045" s="24">
        <v>65.71</v>
      </c>
      <c r="H6045" s="24" t="s">
        <v>6710</v>
      </c>
      <c r="I6045" s="24">
        <v>55.11</v>
      </c>
      <c r="J6045" s="24">
        <v>1.0</v>
      </c>
    </row>
    <row r="6046">
      <c r="A6046" s="24">
        <v>137.0</v>
      </c>
      <c r="B6046" s="24">
        <v>109.0</v>
      </c>
      <c r="C6046" s="44">
        <v>103.61</v>
      </c>
      <c r="D6046" s="46">
        <v>45411.0</v>
      </c>
      <c r="E6046" s="24">
        <v>0.95</v>
      </c>
      <c r="F6046" s="24">
        <v>756.28</v>
      </c>
      <c r="G6046" s="24">
        <v>79.56</v>
      </c>
      <c r="H6046" s="24" t="s">
        <v>6707</v>
      </c>
      <c r="I6046" s="24" t="s">
        <v>6650</v>
      </c>
      <c r="J6046" s="24">
        <v>0.0</v>
      </c>
    </row>
    <row r="6047">
      <c r="A6047" s="24">
        <v>20.0</v>
      </c>
      <c r="B6047" s="24">
        <v>18.0</v>
      </c>
      <c r="C6047" s="44">
        <v>15.85</v>
      </c>
      <c r="D6047" s="46">
        <v>45412.0</v>
      </c>
      <c r="E6047" s="24">
        <v>0.88</v>
      </c>
      <c r="F6047" s="24">
        <v>792.5</v>
      </c>
      <c r="G6047" s="24">
        <v>90.0</v>
      </c>
      <c r="H6047" s="24" t="s">
        <v>6709</v>
      </c>
      <c r="I6047" s="24" t="s">
        <v>6650</v>
      </c>
      <c r="J6047" s="24">
        <v>0.0</v>
      </c>
    </row>
    <row r="6048">
      <c r="A6048" s="24">
        <v>4.0</v>
      </c>
      <c r="B6048" s="24">
        <v>0.0</v>
      </c>
      <c r="C6048" s="44">
        <v>4.07</v>
      </c>
      <c r="D6048" s="46">
        <v>45412.0</v>
      </c>
      <c r="E6048" s="24" t="s">
        <v>6650</v>
      </c>
      <c r="F6048" s="24">
        <v>1017.5</v>
      </c>
      <c r="G6048" s="24">
        <v>0.0</v>
      </c>
      <c r="H6048" s="24" t="s">
        <v>6706</v>
      </c>
      <c r="I6048" s="24" t="s">
        <v>6650</v>
      </c>
      <c r="J6048" s="24">
        <v>0.0</v>
      </c>
    </row>
    <row r="6049">
      <c r="A6049" s="24">
        <v>0.0</v>
      </c>
      <c r="B6049" s="24">
        <v>0.0</v>
      </c>
      <c r="C6049" s="44"/>
      <c r="D6049" s="46">
        <v>45412.0</v>
      </c>
      <c r="E6049" s="24" t="s">
        <v>6650</v>
      </c>
      <c r="F6049" s="24" t="s">
        <v>6650</v>
      </c>
      <c r="G6049" s="24" t="s">
        <v>6650</v>
      </c>
      <c r="H6049" s="24" t="s">
        <v>6711</v>
      </c>
      <c r="I6049" s="24" t="s">
        <v>6650</v>
      </c>
      <c r="J6049" s="24"/>
    </row>
    <row r="6050">
      <c r="A6050" s="24">
        <v>164.0</v>
      </c>
      <c r="B6050" s="24">
        <v>90.0</v>
      </c>
      <c r="C6050" s="44">
        <v>112.62</v>
      </c>
      <c r="D6050" s="46">
        <v>45412.0</v>
      </c>
      <c r="E6050" s="24">
        <v>1.25</v>
      </c>
      <c r="F6050" s="24">
        <v>686.71</v>
      </c>
      <c r="G6050" s="24">
        <v>54.88</v>
      </c>
      <c r="H6050" s="24" t="s">
        <v>6710</v>
      </c>
      <c r="I6050" s="24" t="s">
        <v>6650</v>
      </c>
      <c r="J6050" s="24">
        <v>0.0</v>
      </c>
    </row>
    <row r="6051">
      <c r="A6051" s="24">
        <v>118.0</v>
      </c>
      <c r="B6051" s="24">
        <v>79.0</v>
      </c>
      <c r="C6051" s="44">
        <v>88.44</v>
      </c>
      <c r="D6051" s="46">
        <v>45412.0</v>
      </c>
      <c r="E6051" s="24">
        <v>1.12</v>
      </c>
      <c r="F6051" s="24">
        <v>749.49</v>
      </c>
      <c r="G6051" s="24">
        <v>66.95</v>
      </c>
      <c r="H6051" s="24" t="s">
        <v>6707</v>
      </c>
      <c r="I6051" s="24" t="s">
        <v>6650</v>
      </c>
      <c r="J6051" s="24">
        <v>1.0</v>
      </c>
    </row>
    <row r="6052">
      <c r="A6052" s="24">
        <v>31.0</v>
      </c>
      <c r="B6052" s="24">
        <v>20.0</v>
      </c>
      <c r="C6052" s="44">
        <v>22.2</v>
      </c>
      <c r="D6052" s="46">
        <v>45412.0</v>
      </c>
      <c r="E6052" s="24">
        <v>1.11</v>
      </c>
      <c r="F6052" s="24">
        <v>716.13</v>
      </c>
      <c r="G6052" s="24">
        <v>64.52</v>
      </c>
      <c r="H6052" s="24" t="s">
        <v>6705</v>
      </c>
      <c r="I6052" s="24" t="s">
        <v>6650</v>
      </c>
      <c r="J6052" s="24">
        <v>0.0</v>
      </c>
    </row>
    <row r="6053">
      <c r="A6053" s="24">
        <v>24.0</v>
      </c>
      <c r="B6053" s="24">
        <v>24.0</v>
      </c>
      <c r="C6053" s="44">
        <v>18.15</v>
      </c>
      <c r="D6053" s="46">
        <v>45413.0</v>
      </c>
      <c r="E6053" s="24">
        <v>0.76</v>
      </c>
      <c r="F6053" s="24">
        <v>756.25</v>
      </c>
      <c r="G6053" s="24">
        <v>100.0</v>
      </c>
      <c r="H6053" s="24" t="s">
        <v>6705</v>
      </c>
      <c r="I6053" s="24" t="s">
        <v>6650</v>
      </c>
      <c r="J6053" s="24">
        <v>2.0</v>
      </c>
    </row>
    <row r="6054">
      <c r="A6054" s="24">
        <v>1.0</v>
      </c>
      <c r="B6054" s="24">
        <v>1.0</v>
      </c>
      <c r="C6054" s="44">
        <v>1.5</v>
      </c>
      <c r="D6054" s="46">
        <v>45413.0</v>
      </c>
      <c r="E6054" s="24">
        <v>1.5</v>
      </c>
      <c r="F6054" s="24">
        <v>1500.0</v>
      </c>
      <c r="G6054" s="24">
        <v>100.0</v>
      </c>
      <c r="H6054" s="24" t="s">
        <v>6706</v>
      </c>
      <c r="I6054" s="24" t="s">
        <v>6650</v>
      </c>
      <c r="J6054" s="24">
        <v>0.0</v>
      </c>
    </row>
    <row r="6055">
      <c r="A6055" s="24">
        <v>116.0</v>
      </c>
      <c r="B6055" s="24">
        <v>63.0</v>
      </c>
      <c r="C6055" s="44">
        <v>88.03</v>
      </c>
      <c r="D6055" s="46">
        <v>45413.0</v>
      </c>
      <c r="E6055" s="24">
        <v>1.4</v>
      </c>
      <c r="F6055" s="24">
        <v>758.88</v>
      </c>
      <c r="G6055" s="24">
        <v>54.31</v>
      </c>
      <c r="H6055" s="24" t="s">
        <v>6707</v>
      </c>
      <c r="I6055" s="24">
        <v>88.03</v>
      </c>
      <c r="J6055" s="24">
        <v>1.0</v>
      </c>
    </row>
    <row r="6056">
      <c r="A6056" s="24">
        <v>135.0</v>
      </c>
      <c r="B6056" s="24">
        <v>92.0</v>
      </c>
      <c r="C6056" s="44">
        <v>101.0</v>
      </c>
      <c r="D6056" s="46">
        <v>45413.0</v>
      </c>
      <c r="E6056" s="24">
        <v>1.1</v>
      </c>
      <c r="F6056" s="24">
        <v>748.15</v>
      </c>
      <c r="G6056" s="24">
        <v>68.15</v>
      </c>
      <c r="H6056" s="24" t="s">
        <v>6710</v>
      </c>
      <c r="I6056" s="24" t="s">
        <v>6650</v>
      </c>
      <c r="J6056" s="24">
        <v>0.0</v>
      </c>
    </row>
    <row r="6057">
      <c r="A6057" s="24">
        <v>8.0</v>
      </c>
      <c r="B6057" s="24">
        <v>6.0</v>
      </c>
      <c r="C6057" s="44">
        <v>5.75</v>
      </c>
      <c r="D6057" s="46">
        <v>45413.0</v>
      </c>
      <c r="E6057" s="24">
        <v>0.96</v>
      </c>
      <c r="F6057" s="24">
        <v>718.75</v>
      </c>
      <c r="G6057" s="24">
        <v>75.0</v>
      </c>
      <c r="H6057" s="24" t="s">
        <v>6709</v>
      </c>
      <c r="I6057" s="24" t="s">
        <v>6650</v>
      </c>
      <c r="J6057" s="24">
        <v>1.0</v>
      </c>
    </row>
    <row r="6058">
      <c r="A6058" s="24">
        <v>137.0</v>
      </c>
      <c r="B6058" s="24">
        <v>76.0</v>
      </c>
      <c r="C6058" s="44">
        <v>107.09</v>
      </c>
      <c r="D6058" s="46">
        <v>45414.0</v>
      </c>
      <c r="E6058" s="24">
        <v>1.41</v>
      </c>
      <c r="F6058" s="24">
        <v>781.68</v>
      </c>
      <c r="G6058" s="24">
        <v>55.47</v>
      </c>
      <c r="H6058" s="24" t="s">
        <v>6710</v>
      </c>
      <c r="I6058" s="24" t="s">
        <v>6650</v>
      </c>
      <c r="J6058" s="24">
        <v>0.0</v>
      </c>
    </row>
    <row r="6059">
      <c r="A6059" s="24">
        <v>110.0</v>
      </c>
      <c r="B6059" s="24">
        <v>79.0</v>
      </c>
      <c r="C6059" s="44">
        <v>80.99</v>
      </c>
      <c r="D6059" s="46">
        <v>45414.0</v>
      </c>
      <c r="E6059" s="24">
        <v>1.03</v>
      </c>
      <c r="F6059" s="24">
        <v>736.27</v>
      </c>
      <c r="G6059" s="24">
        <v>71.82</v>
      </c>
      <c r="H6059" s="24" t="s">
        <v>6707</v>
      </c>
      <c r="I6059" s="24" t="s">
        <v>6650</v>
      </c>
      <c r="J6059" s="24">
        <v>1.0</v>
      </c>
    </row>
    <row r="6060">
      <c r="A6060" s="24">
        <v>2.0</v>
      </c>
      <c r="B6060" s="24">
        <v>2.0</v>
      </c>
      <c r="C6060" s="44">
        <v>1.11</v>
      </c>
      <c r="D6060" s="46">
        <v>45414.0</v>
      </c>
      <c r="E6060" s="24">
        <v>0.56</v>
      </c>
      <c r="F6060" s="24">
        <v>555.0</v>
      </c>
      <c r="G6060" s="24">
        <v>100.0</v>
      </c>
      <c r="H6060" s="24" t="s">
        <v>6706</v>
      </c>
      <c r="I6060" s="24" t="s">
        <v>6650</v>
      </c>
      <c r="J6060" s="24">
        <v>0.0</v>
      </c>
    </row>
    <row r="6061">
      <c r="A6061" s="24">
        <v>11.0</v>
      </c>
      <c r="B6061" s="24">
        <v>9.0</v>
      </c>
      <c r="C6061" s="44">
        <v>7.68</v>
      </c>
      <c r="D6061" s="46">
        <v>45414.0</v>
      </c>
      <c r="E6061" s="24">
        <v>0.85</v>
      </c>
      <c r="F6061" s="24">
        <v>698.18</v>
      </c>
      <c r="G6061" s="24">
        <v>81.82</v>
      </c>
      <c r="H6061" s="24" t="s">
        <v>6709</v>
      </c>
      <c r="I6061" s="24" t="s">
        <v>6650</v>
      </c>
      <c r="J6061" s="24">
        <v>0.0</v>
      </c>
    </row>
    <row r="6062">
      <c r="A6062" s="24">
        <v>25.0</v>
      </c>
      <c r="B6062" s="24">
        <v>13.0</v>
      </c>
      <c r="C6062" s="44">
        <v>19.17</v>
      </c>
      <c r="D6062" s="46">
        <v>45414.0</v>
      </c>
      <c r="E6062" s="24">
        <v>1.47</v>
      </c>
      <c r="F6062" s="24">
        <v>766.8</v>
      </c>
      <c r="G6062" s="24">
        <v>52.0</v>
      </c>
      <c r="H6062" s="24" t="s">
        <v>6705</v>
      </c>
      <c r="I6062" s="24" t="s">
        <v>6650</v>
      </c>
      <c r="J6062" s="24">
        <v>0.0</v>
      </c>
    </row>
    <row r="6063">
      <c r="A6063" s="24">
        <v>28.0</v>
      </c>
      <c r="B6063" s="24">
        <v>23.0</v>
      </c>
      <c r="C6063" s="44">
        <v>19.81</v>
      </c>
      <c r="D6063" s="46">
        <v>45415.0</v>
      </c>
      <c r="E6063" s="24">
        <v>0.86</v>
      </c>
      <c r="F6063" s="24">
        <v>707.5</v>
      </c>
      <c r="G6063" s="24">
        <v>82.14</v>
      </c>
      <c r="H6063" s="24" t="s">
        <v>6705</v>
      </c>
      <c r="I6063" s="24" t="s">
        <v>6650</v>
      </c>
      <c r="J6063" s="24">
        <v>0.0</v>
      </c>
    </row>
    <row r="6064">
      <c r="A6064" s="24">
        <v>2.0</v>
      </c>
      <c r="B6064" s="24">
        <v>3.0</v>
      </c>
      <c r="C6064" s="44">
        <v>1.8</v>
      </c>
      <c r="D6064" s="46">
        <v>45415.0</v>
      </c>
      <c r="E6064" s="24">
        <v>0.6</v>
      </c>
      <c r="F6064" s="24">
        <v>900.0</v>
      </c>
      <c r="G6064" s="24">
        <v>150.0</v>
      </c>
      <c r="H6064" s="24" t="s">
        <v>6706</v>
      </c>
      <c r="I6064" s="24" t="s">
        <v>6650</v>
      </c>
      <c r="J6064" s="24">
        <v>0.0</v>
      </c>
    </row>
    <row r="6065">
      <c r="A6065" s="24">
        <v>9.0</v>
      </c>
      <c r="B6065" s="24">
        <v>6.0</v>
      </c>
      <c r="C6065" s="44">
        <v>7.2</v>
      </c>
      <c r="D6065" s="46">
        <v>45415.0</v>
      </c>
      <c r="E6065" s="24">
        <v>1.2</v>
      </c>
      <c r="F6065" s="24">
        <v>800.0</v>
      </c>
      <c r="G6065" s="24">
        <v>66.67</v>
      </c>
      <c r="H6065" s="24" t="s">
        <v>6709</v>
      </c>
      <c r="I6065" s="24">
        <v>7.2</v>
      </c>
      <c r="J6065" s="24">
        <v>0.0</v>
      </c>
    </row>
    <row r="6066">
      <c r="A6066" s="24">
        <v>122.0</v>
      </c>
      <c r="B6066" s="24">
        <v>77.0</v>
      </c>
      <c r="C6066" s="44">
        <v>85.37</v>
      </c>
      <c r="D6066" s="46">
        <v>45415.0</v>
      </c>
      <c r="E6066" s="24">
        <v>1.11</v>
      </c>
      <c r="F6066" s="24">
        <v>699.75</v>
      </c>
      <c r="G6066" s="24">
        <v>63.11</v>
      </c>
      <c r="H6066" s="24" t="s">
        <v>6710</v>
      </c>
      <c r="I6066" s="24" t="s">
        <v>6650</v>
      </c>
      <c r="J6066" s="24">
        <v>5.0</v>
      </c>
    </row>
    <row r="6067">
      <c r="A6067" s="24">
        <v>71.0</v>
      </c>
      <c r="B6067" s="24">
        <v>47.0</v>
      </c>
      <c r="C6067" s="44">
        <v>55.31</v>
      </c>
      <c r="D6067" s="46">
        <v>45415.0</v>
      </c>
      <c r="E6067" s="24">
        <v>1.18</v>
      </c>
      <c r="F6067" s="24">
        <v>779.01</v>
      </c>
      <c r="G6067" s="24">
        <v>66.2</v>
      </c>
      <c r="H6067" s="24" t="s">
        <v>6707</v>
      </c>
      <c r="I6067" s="24" t="s">
        <v>6650</v>
      </c>
      <c r="J6067" s="24">
        <v>0.0</v>
      </c>
    </row>
    <row r="6068">
      <c r="A6068" s="24">
        <v>11.0</v>
      </c>
      <c r="B6068" s="24">
        <v>2.0</v>
      </c>
      <c r="C6068" s="44">
        <v>8.5</v>
      </c>
      <c r="D6068" s="46">
        <v>45416.0</v>
      </c>
      <c r="E6068" s="24">
        <v>4.25</v>
      </c>
      <c r="F6068" s="24">
        <v>772.73</v>
      </c>
      <c r="G6068" s="24">
        <v>18.18</v>
      </c>
      <c r="H6068" s="24" t="s">
        <v>6705</v>
      </c>
      <c r="I6068" s="24" t="s">
        <v>6650</v>
      </c>
      <c r="J6068" s="24">
        <v>0.0</v>
      </c>
    </row>
    <row r="6069">
      <c r="A6069" s="24">
        <v>8.0</v>
      </c>
      <c r="B6069" s="24">
        <v>2.0</v>
      </c>
      <c r="C6069" s="44">
        <v>6.64</v>
      </c>
      <c r="D6069" s="46">
        <v>45416.0</v>
      </c>
      <c r="E6069" s="24">
        <v>3.32</v>
      </c>
      <c r="F6069" s="24">
        <v>830.0</v>
      </c>
      <c r="G6069" s="24">
        <v>25.0</v>
      </c>
      <c r="H6069" s="24" t="s">
        <v>6709</v>
      </c>
      <c r="I6069" s="24" t="s">
        <v>6650</v>
      </c>
      <c r="J6069" s="24">
        <v>0.0</v>
      </c>
    </row>
    <row r="6070">
      <c r="A6070" s="24">
        <v>73.0</v>
      </c>
      <c r="B6070" s="24">
        <v>32.0</v>
      </c>
      <c r="C6070" s="44">
        <v>53.39</v>
      </c>
      <c r="D6070" s="46">
        <v>45416.0</v>
      </c>
      <c r="E6070" s="24">
        <v>1.67</v>
      </c>
      <c r="F6070" s="24">
        <v>731.37</v>
      </c>
      <c r="G6070" s="24">
        <v>43.84</v>
      </c>
      <c r="H6070" s="24" t="s">
        <v>6707</v>
      </c>
      <c r="I6070" s="24" t="s">
        <v>6650</v>
      </c>
      <c r="J6070" s="24">
        <v>2.0</v>
      </c>
    </row>
    <row r="6071">
      <c r="A6071" s="24">
        <v>119.0</v>
      </c>
      <c r="B6071" s="24">
        <v>49.0</v>
      </c>
      <c r="C6071" s="44">
        <v>85.6</v>
      </c>
      <c r="D6071" s="46">
        <v>45416.0</v>
      </c>
      <c r="E6071" s="24">
        <v>1.75</v>
      </c>
      <c r="F6071" s="24">
        <v>719.33</v>
      </c>
      <c r="G6071" s="24">
        <v>41.18</v>
      </c>
      <c r="H6071" s="24" t="s">
        <v>6710</v>
      </c>
      <c r="I6071" s="24" t="s">
        <v>6650</v>
      </c>
      <c r="J6071" s="24">
        <v>0.0</v>
      </c>
    </row>
    <row r="6072">
      <c r="A6072" s="24">
        <v>2.0</v>
      </c>
      <c r="B6072" s="24">
        <v>1.0</v>
      </c>
      <c r="C6072" s="44">
        <v>1.75</v>
      </c>
      <c r="D6072" s="46">
        <v>45416.0</v>
      </c>
      <c r="E6072" s="24">
        <v>1.75</v>
      </c>
      <c r="F6072" s="24">
        <v>875.0</v>
      </c>
      <c r="G6072" s="24">
        <v>50.0</v>
      </c>
      <c r="H6072" s="24" t="s">
        <v>6706</v>
      </c>
      <c r="I6072" s="24" t="s">
        <v>6650</v>
      </c>
      <c r="J6072" s="24">
        <v>0.0</v>
      </c>
    </row>
    <row r="6073">
      <c r="A6073" s="24">
        <v>4.0</v>
      </c>
      <c r="B6073" s="24">
        <v>1.0</v>
      </c>
      <c r="C6073" s="44">
        <v>3.47</v>
      </c>
      <c r="D6073" s="46">
        <v>45417.0</v>
      </c>
      <c r="E6073" s="24">
        <v>3.47</v>
      </c>
      <c r="F6073" s="24">
        <v>867.5</v>
      </c>
      <c r="G6073" s="24">
        <v>25.0</v>
      </c>
      <c r="H6073" s="24" t="s">
        <v>6706</v>
      </c>
      <c r="I6073" s="24" t="s">
        <v>6650</v>
      </c>
      <c r="J6073" s="24">
        <v>0.0</v>
      </c>
    </row>
    <row r="6074">
      <c r="A6074" s="24">
        <v>20.0</v>
      </c>
      <c r="B6074" s="24">
        <v>7.0</v>
      </c>
      <c r="C6074" s="44">
        <v>13.31</v>
      </c>
      <c r="D6074" s="46">
        <v>45417.0</v>
      </c>
      <c r="E6074" s="24">
        <v>1.9</v>
      </c>
      <c r="F6074" s="24">
        <v>665.5</v>
      </c>
      <c r="G6074" s="24">
        <v>35.0</v>
      </c>
      <c r="H6074" s="24" t="s">
        <v>6705</v>
      </c>
      <c r="I6074" s="24" t="s">
        <v>6650</v>
      </c>
      <c r="J6074" s="24">
        <v>0.0</v>
      </c>
    </row>
    <row r="6075">
      <c r="A6075" s="24">
        <v>7.0</v>
      </c>
      <c r="B6075" s="24">
        <v>2.0</v>
      </c>
      <c r="C6075" s="44">
        <v>6.56</v>
      </c>
      <c r="D6075" s="46">
        <v>45417.0</v>
      </c>
      <c r="E6075" s="24">
        <v>3.28</v>
      </c>
      <c r="F6075" s="24">
        <v>937.14</v>
      </c>
      <c r="G6075" s="24">
        <v>28.57</v>
      </c>
      <c r="H6075" s="24" t="s">
        <v>6709</v>
      </c>
      <c r="I6075" s="24" t="s">
        <v>6650</v>
      </c>
      <c r="J6075" s="24">
        <v>0.0</v>
      </c>
    </row>
    <row r="6076">
      <c r="A6076" s="24">
        <v>111.0</v>
      </c>
      <c r="B6076" s="24">
        <v>61.0</v>
      </c>
      <c r="C6076" s="44">
        <v>79.63</v>
      </c>
      <c r="D6076" s="46">
        <v>45417.0</v>
      </c>
      <c r="E6076" s="24">
        <v>1.31</v>
      </c>
      <c r="F6076" s="24">
        <v>717.39</v>
      </c>
      <c r="G6076" s="24">
        <v>54.95</v>
      </c>
      <c r="H6076" s="24" t="s">
        <v>6707</v>
      </c>
      <c r="I6076" s="24" t="s">
        <v>6650</v>
      </c>
      <c r="J6076" s="24">
        <v>0.0</v>
      </c>
    </row>
    <row r="6077">
      <c r="A6077" s="24">
        <v>136.0</v>
      </c>
      <c r="B6077" s="24">
        <v>43.0</v>
      </c>
      <c r="C6077" s="44">
        <v>92.24</v>
      </c>
      <c r="D6077" s="46">
        <v>45417.0</v>
      </c>
      <c r="E6077" s="24">
        <v>2.15</v>
      </c>
      <c r="F6077" s="24">
        <v>678.24</v>
      </c>
      <c r="G6077" s="24">
        <v>31.62</v>
      </c>
      <c r="H6077" s="24" t="s">
        <v>6710</v>
      </c>
      <c r="I6077" s="24">
        <v>92.24</v>
      </c>
      <c r="J6077" s="24">
        <v>1.0</v>
      </c>
    </row>
    <row r="6078">
      <c r="A6078" s="24">
        <v>12.0</v>
      </c>
      <c r="B6078" s="24">
        <v>11.0</v>
      </c>
      <c r="C6078" s="44">
        <v>9.1</v>
      </c>
      <c r="D6078" s="46">
        <v>45418.0</v>
      </c>
      <c r="E6078" s="24">
        <v>0.83</v>
      </c>
      <c r="F6078" s="24">
        <v>758.33</v>
      </c>
      <c r="G6078" s="24">
        <v>91.67</v>
      </c>
      <c r="H6078" s="24" t="s">
        <v>6709</v>
      </c>
      <c r="I6078" s="24" t="s">
        <v>6650</v>
      </c>
      <c r="J6078" s="24">
        <v>0.0</v>
      </c>
    </row>
    <row r="6079">
      <c r="A6079" s="24">
        <v>3.0</v>
      </c>
      <c r="B6079" s="24">
        <v>1.0</v>
      </c>
      <c r="C6079" s="44">
        <v>2.1</v>
      </c>
      <c r="D6079" s="46">
        <v>45418.0</v>
      </c>
      <c r="E6079" s="24">
        <v>2.1</v>
      </c>
      <c r="F6079" s="24">
        <v>700.0</v>
      </c>
      <c r="G6079" s="24">
        <v>33.33</v>
      </c>
      <c r="H6079" s="24" t="s">
        <v>6706</v>
      </c>
      <c r="I6079" s="24" t="s">
        <v>6650</v>
      </c>
      <c r="J6079" s="24">
        <v>0.0</v>
      </c>
    </row>
    <row r="6080">
      <c r="A6080" s="24">
        <v>121.0</v>
      </c>
      <c r="B6080" s="24">
        <v>75.0</v>
      </c>
      <c r="C6080" s="44">
        <v>88.01</v>
      </c>
      <c r="D6080" s="46">
        <v>45418.0</v>
      </c>
      <c r="E6080" s="24">
        <v>1.17</v>
      </c>
      <c r="F6080" s="24">
        <v>727.36</v>
      </c>
      <c r="G6080" s="24">
        <v>61.98</v>
      </c>
      <c r="H6080" s="24" t="s">
        <v>6707</v>
      </c>
      <c r="I6080" s="24" t="s">
        <v>6650</v>
      </c>
      <c r="J6080" s="24">
        <v>1.0</v>
      </c>
    </row>
    <row r="6081">
      <c r="A6081" s="24">
        <v>151.0</v>
      </c>
      <c r="B6081" s="24">
        <v>92.0</v>
      </c>
      <c r="C6081" s="44">
        <v>105.88</v>
      </c>
      <c r="D6081" s="46">
        <v>45418.0</v>
      </c>
      <c r="E6081" s="24">
        <v>1.15</v>
      </c>
      <c r="F6081" s="24">
        <v>701.19</v>
      </c>
      <c r="G6081" s="24">
        <v>60.93</v>
      </c>
      <c r="H6081" s="24" t="s">
        <v>6710</v>
      </c>
      <c r="I6081" s="24" t="s">
        <v>6650</v>
      </c>
      <c r="J6081" s="24">
        <v>0.0</v>
      </c>
    </row>
    <row r="6082">
      <c r="A6082" s="24">
        <v>41.0</v>
      </c>
      <c r="B6082" s="24">
        <v>23.0</v>
      </c>
      <c r="C6082" s="44">
        <v>31.87</v>
      </c>
      <c r="D6082" s="46">
        <v>45418.0</v>
      </c>
      <c r="E6082" s="24">
        <v>1.39</v>
      </c>
      <c r="F6082" s="24">
        <v>777.32</v>
      </c>
      <c r="G6082" s="24">
        <v>56.1</v>
      </c>
      <c r="H6082" s="24" t="s">
        <v>6705</v>
      </c>
      <c r="I6082" s="24">
        <v>31.87</v>
      </c>
      <c r="J6082" s="24">
        <v>1.0</v>
      </c>
    </row>
    <row r="6083">
      <c r="A6083" s="24">
        <v>0.0</v>
      </c>
      <c r="B6083" s="24">
        <v>0.0</v>
      </c>
      <c r="C6083" s="44"/>
      <c r="D6083" s="46">
        <v>45418.0</v>
      </c>
      <c r="E6083" s="24" t="s">
        <v>6650</v>
      </c>
      <c r="F6083" s="24" t="s">
        <v>6650</v>
      </c>
      <c r="G6083" s="24" t="s">
        <v>6650</v>
      </c>
      <c r="H6083" s="24" t="s">
        <v>6711</v>
      </c>
      <c r="I6083" s="24" t="s">
        <v>6650</v>
      </c>
      <c r="J6083" s="24"/>
    </row>
    <row r="6084">
      <c r="A6084" s="24">
        <v>1980.0</v>
      </c>
      <c r="B6084" s="24">
        <v>10.0</v>
      </c>
      <c r="C6084" s="44">
        <v>57.55</v>
      </c>
      <c r="D6084" s="46">
        <v>45419.0</v>
      </c>
      <c r="E6084" s="24">
        <v>5.76</v>
      </c>
      <c r="F6084" s="24">
        <v>29.07</v>
      </c>
      <c r="G6084" s="24">
        <v>0.51</v>
      </c>
      <c r="H6084" s="24" t="s">
        <v>6712</v>
      </c>
      <c r="I6084" s="24">
        <v>28.78</v>
      </c>
      <c r="J6084" s="24">
        <v>0.0</v>
      </c>
    </row>
    <row r="6085">
      <c r="A6085" s="24">
        <v>153.0</v>
      </c>
      <c r="B6085" s="24">
        <v>98.0</v>
      </c>
      <c r="C6085" s="44">
        <v>109.66</v>
      </c>
      <c r="D6085" s="46">
        <v>45419.0</v>
      </c>
      <c r="E6085" s="24">
        <v>1.12</v>
      </c>
      <c r="F6085" s="24">
        <v>716.73</v>
      </c>
      <c r="G6085" s="24">
        <v>64.05</v>
      </c>
      <c r="H6085" s="24" t="s">
        <v>6710</v>
      </c>
      <c r="I6085" s="24" t="s">
        <v>6650</v>
      </c>
      <c r="J6085" s="24">
        <v>0.0</v>
      </c>
    </row>
    <row r="6086">
      <c r="A6086" s="24">
        <v>104.0</v>
      </c>
      <c r="B6086" s="24">
        <v>40.0</v>
      </c>
      <c r="C6086" s="44">
        <v>65.26</v>
      </c>
      <c r="D6086" s="46">
        <v>45419.0</v>
      </c>
      <c r="E6086" s="24">
        <v>1.63</v>
      </c>
      <c r="F6086" s="24">
        <v>627.5</v>
      </c>
      <c r="G6086" s="24">
        <v>38.46</v>
      </c>
      <c r="H6086" s="24" t="s">
        <v>6709</v>
      </c>
      <c r="I6086" s="24" t="s">
        <v>6650</v>
      </c>
      <c r="J6086" s="24">
        <v>0.0</v>
      </c>
    </row>
    <row r="6087">
      <c r="A6087" s="24">
        <v>43.0</v>
      </c>
      <c r="B6087" s="24">
        <v>26.0</v>
      </c>
      <c r="C6087" s="44">
        <v>33.39</v>
      </c>
      <c r="D6087" s="46">
        <v>45419.0</v>
      </c>
      <c r="E6087" s="24">
        <v>1.28</v>
      </c>
      <c r="F6087" s="24">
        <v>776.51</v>
      </c>
      <c r="G6087" s="24">
        <v>60.47</v>
      </c>
      <c r="H6087" s="24" t="s">
        <v>6705</v>
      </c>
      <c r="I6087" s="24" t="s">
        <v>6650</v>
      </c>
      <c r="J6087" s="24">
        <v>1.0</v>
      </c>
    </row>
    <row r="6088">
      <c r="A6088" s="24">
        <v>6.0</v>
      </c>
      <c r="B6088" s="24">
        <v>2.0</v>
      </c>
      <c r="C6088" s="44">
        <v>5.43</v>
      </c>
      <c r="D6088" s="46">
        <v>45419.0</v>
      </c>
      <c r="E6088" s="24">
        <v>2.72</v>
      </c>
      <c r="F6088" s="24">
        <v>905.0</v>
      </c>
      <c r="G6088" s="24">
        <v>33.33</v>
      </c>
      <c r="H6088" s="24" t="s">
        <v>6706</v>
      </c>
      <c r="I6088" s="24" t="s">
        <v>6650</v>
      </c>
      <c r="J6088" s="24">
        <v>0.0</v>
      </c>
    </row>
    <row r="6089">
      <c r="A6089" s="24">
        <v>0.0</v>
      </c>
      <c r="B6089" s="24">
        <v>0.0</v>
      </c>
      <c r="C6089" s="44"/>
      <c r="D6089" s="46">
        <v>45419.0</v>
      </c>
      <c r="E6089" s="24" t="s">
        <v>6650</v>
      </c>
      <c r="F6089" s="24" t="s">
        <v>6650</v>
      </c>
      <c r="G6089" s="24" t="s">
        <v>6650</v>
      </c>
      <c r="H6089" s="24" t="s">
        <v>6711</v>
      </c>
      <c r="I6089" s="24" t="s">
        <v>6650</v>
      </c>
      <c r="J6089" s="24"/>
    </row>
    <row r="6090">
      <c r="A6090" s="24">
        <v>173.0</v>
      </c>
      <c r="B6090" s="24">
        <v>99.0</v>
      </c>
      <c r="C6090" s="44">
        <v>113.63</v>
      </c>
      <c r="D6090" s="46">
        <v>45419.0</v>
      </c>
      <c r="E6090" s="24">
        <v>1.15</v>
      </c>
      <c r="F6090" s="24">
        <v>656.82</v>
      </c>
      <c r="G6090" s="24">
        <v>57.23</v>
      </c>
      <c r="H6090" s="24" t="s">
        <v>6707</v>
      </c>
      <c r="I6090" s="24">
        <v>113.63</v>
      </c>
      <c r="J6090" s="24">
        <v>2.0</v>
      </c>
    </row>
    <row r="6091">
      <c r="A6091" s="24">
        <v>102.0</v>
      </c>
      <c r="B6091" s="24">
        <v>55.0</v>
      </c>
      <c r="C6091" s="44">
        <v>66.19</v>
      </c>
      <c r="D6091" s="46">
        <v>45420.0</v>
      </c>
      <c r="E6091" s="24">
        <v>1.2</v>
      </c>
      <c r="F6091" s="24">
        <v>648.92</v>
      </c>
      <c r="G6091" s="24">
        <v>53.92</v>
      </c>
      <c r="H6091" s="24" t="s">
        <v>6709</v>
      </c>
      <c r="I6091" s="24">
        <v>33.1</v>
      </c>
      <c r="J6091" s="24">
        <v>3.0</v>
      </c>
    </row>
    <row r="6092">
      <c r="A6092" s="24">
        <v>19.0</v>
      </c>
      <c r="B6092" s="24">
        <v>11.0</v>
      </c>
      <c r="C6092" s="44">
        <v>12.42</v>
      </c>
      <c r="D6092" s="46">
        <v>45420.0</v>
      </c>
      <c r="E6092" s="24">
        <v>1.13</v>
      </c>
      <c r="F6092" s="24">
        <v>653.68</v>
      </c>
      <c r="G6092" s="24">
        <v>57.89</v>
      </c>
      <c r="H6092" s="24" t="s">
        <v>6705</v>
      </c>
      <c r="I6092" s="24">
        <v>12.42</v>
      </c>
      <c r="J6092" s="24">
        <v>0.0</v>
      </c>
    </row>
    <row r="6093">
      <c r="A6093" s="24">
        <v>2502.0</v>
      </c>
      <c r="B6093" s="24">
        <v>12.0</v>
      </c>
      <c r="C6093" s="44">
        <v>57.38</v>
      </c>
      <c r="D6093" s="46">
        <v>45420.0</v>
      </c>
      <c r="E6093" s="24">
        <v>4.78</v>
      </c>
      <c r="F6093" s="24">
        <v>22.93</v>
      </c>
      <c r="G6093" s="24">
        <v>0.48</v>
      </c>
      <c r="H6093" s="24" t="s">
        <v>6712</v>
      </c>
      <c r="I6093" s="24">
        <v>11.48</v>
      </c>
      <c r="J6093" s="24">
        <v>0.0</v>
      </c>
    </row>
    <row r="6094">
      <c r="A6094" s="24">
        <v>0.0</v>
      </c>
      <c r="B6094" s="24">
        <v>0.0</v>
      </c>
      <c r="C6094" s="44"/>
      <c r="D6094" s="46">
        <v>45420.0</v>
      </c>
      <c r="E6094" s="24" t="s">
        <v>6650</v>
      </c>
      <c r="F6094" s="24" t="s">
        <v>6650</v>
      </c>
      <c r="G6094" s="24" t="s">
        <v>6650</v>
      </c>
      <c r="H6094" s="24" t="s">
        <v>6711</v>
      </c>
      <c r="I6094" s="24" t="s">
        <v>6650</v>
      </c>
      <c r="J6094" s="24"/>
    </row>
    <row r="6095">
      <c r="A6095" s="24">
        <v>169.0</v>
      </c>
      <c r="B6095" s="24">
        <v>98.0</v>
      </c>
      <c r="C6095" s="44">
        <v>117.57</v>
      </c>
      <c r="D6095" s="46">
        <v>45420.0</v>
      </c>
      <c r="E6095" s="24">
        <v>1.2</v>
      </c>
      <c r="F6095" s="24">
        <v>695.68</v>
      </c>
      <c r="G6095" s="24">
        <v>57.99</v>
      </c>
      <c r="H6095" s="24" t="s">
        <v>6707</v>
      </c>
      <c r="I6095" s="24">
        <v>117.57</v>
      </c>
      <c r="J6095" s="24">
        <v>3.0</v>
      </c>
    </row>
    <row r="6096">
      <c r="A6096" s="24">
        <v>3.0</v>
      </c>
      <c r="B6096" s="24">
        <v>1.0</v>
      </c>
      <c r="C6096" s="44">
        <v>1.66</v>
      </c>
      <c r="D6096" s="46">
        <v>45420.0</v>
      </c>
      <c r="E6096" s="24">
        <v>1.66</v>
      </c>
      <c r="F6096" s="24">
        <v>553.33</v>
      </c>
      <c r="G6096" s="24">
        <v>33.33</v>
      </c>
      <c r="H6096" s="24" t="s">
        <v>6706</v>
      </c>
      <c r="I6096" s="24" t="s">
        <v>6650</v>
      </c>
      <c r="J6096" s="24">
        <v>0.0</v>
      </c>
    </row>
    <row r="6097">
      <c r="A6097" s="24">
        <v>100.0</v>
      </c>
      <c r="B6097" s="24">
        <v>64.0</v>
      </c>
      <c r="C6097" s="44">
        <v>78.0</v>
      </c>
      <c r="D6097" s="46">
        <v>45420.0</v>
      </c>
      <c r="E6097" s="24">
        <v>1.22</v>
      </c>
      <c r="F6097" s="24">
        <v>780.0</v>
      </c>
      <c r="G6097" s="24">
        <v>64.0</v>
      </c>
      <c r="H6097" s="24" t="s">
        <v>6710</v>
      </c>
      <c r="I6097" s="24" t="s">
        <v>6650</v>
      </c>
      <c r="J6097" s="24">
        <v>0.0</v>
      </c>
    </row>
    <row r="6098">
      <c r="A6098" s="24">
        <v>103.0</v>
      </c>
      <c r="B6098" s="24">
        <v>49.0</v>
      </c>
      <c r="C6098" s="44">
        <v>70.35</v>
      </c>
      <c r="D6098" s="46">
        <v>45421.0</v>
      </c>
      <c r="E6098" s="24">
        <v>1.44</v>
      </c>
      <c r="F6098" s="24">
        <v>683.01</v>
      </c>
      <c r="G6098" s="24">
        <v>47.57</v>
      </c>
      <c r="H6098" s="24" t="s">
        <v>6709</v>
      </c>
      <c r="I6098" s="24" t="s">
        <v>6650</v>
      </c>
      <c r="J6098" s="24">
        <v>0.0</v>
      </c>
    </row>
    <row r="6099">
      <c r="A6099" s="24">
        <v>2752.0</v>
      </c>
      <c r="B6099" s="24">
        <v>10.0</v>
      </c>
      <c r="C6099" s="44">
        <v>55.46</v>
      </c>
      <c r="D6099" s="46">
        <v>45421.0</v>
      </c>
      <c r="E6099" s="24">
        <v>5.55</v>
      </c>
      <c r="F6099" s="24">
        <v>20.15</v>
      </c>
      <c r="G6099" s="24">
        <v>0.36</v>
      </c>
      <c r="H6099" s="24" t="s">
        <v>6712</v>
      </c>
      <c r="I6099" s="24">
        <v>7.92</v>
      </c>
      <c r="J6099" s="24">
        <v>0.0</v>
      </c>
    </row>
    <row r="6100">
      <c r="A6100" s="24">
        <v>119.0</v>
      </c>
      <c r="B6100" s="24">
        <v>60.0</v>
      </c>
      <c r="C6100" s="44">
        <v>99.68</v>
      </c>
      <c r="D6100" s="46">
        <v>45421.0</v>
      </c>
      <c r="E6100" s="24">
        <v>1.66</v>
      </c>
      <c r="F6100" s="24">
        <v>837.65</v>
      </c>
      <c r="G6100" s="24">
        <v>50.42</v>
      </c>
      <c r="H6100" s="24" t="s">
        <v>6710</v>
      </c>
      <c r="I6100" s="24">
        <v>49.84</v>
      </c>
      <c r="J6100" s="24">
        <v>2.0</v>
      </c>
    </row>
    <row r="6101">
      <c r="A6101" s="24">
        <v>160.0</v>
      </c>
      <c r="B6101" s="24">
        <v>89.0</v>
      </c>
      <c r="C6101" s="44">
        <v>113.76</v>
      </c>
      <c r="D6101" s="46">
        <v>45421.0</v>
      </c>
      <c r="E6101" s="24">
        <v>1.28</v>
      </c>
      <c r="F6101" s="24">
        <v>711.0</v>
      </c>
      <c r="G6101" s="24">
        <v>55.62</v>
      </c>
      <c r="H6101" s="24" t="s">
        <v>6707</v>
      </c>
      <c r="I6101" s="24">
        <v>56.88</v>
      </c>
      <c r="J6101" s="24">
        <v>1.0</v>
      </c>
    </row>
    <row r="6102">
      <c r="A6102" s="24">
        <v>23.0</v>
      </c>
      <c r="B6102" s="24">
        <v>20.0</v>
      </c>
      <c r="C6102" s="44">
        <v>17.65</v>
      </c>
      <c r="D6102" s="46">
        <v>45421.0</v>
      </c>
      <c r="E6102" s="24">
        <v>0.88</v>
      </c>
      <c r="F6102" s="24">
        <v>767.39</v>
      </c>
      <c r="G6102" s="24">
        <v>86.96</v>
      </c>
      <c r="H6102" s="24" t="s">
        <v>6705</v>
      </c>
      <c r="I6102" s="24" t="s">
        <v>6650</v>
      </c>
      <c r="J6102" s="24">
        <v>0.0</v>
      </c>
    </row>
    <row r="6103">
      <c r="A6103" s="24">
        <v>2.0</v>
      </c>
      <c r="B6103" s="24">
        <v>1.0</v>
      </c>
      <c r="C6103" s="44">
        <v>1.1</v>
      </c>
      <c r="D6103" s="46">
        <v>45421.0</v>
      </c>
      <c r="E6103" s="24">
        <v>1.1</v>
      </c>
      <c r="F6103" s="24">
        <v>550.0</v>
      </c>
      <c r="G6103" s="24">
        <v>50.0</v>
      </c>
      <c r="H6103" s="24" t="s">
        <v>6706</v>
      </c>
      <c r="I6103" s="24" t="s">
        <v>6650</v>
      </c>
      <c r="J6103" s="24">
        <v>0.0</v>
      </c>
    </row>
    <row r="6104">
      <c r="A6104" s="24">
        <v>2.0</v>
      </c>
      <c r="B6104" s="24">
        <v>3.0</v>
      </c>
      <c r="C6104" s="44">
        <v>1.86</v>
      </c>
      <c r="D6104" s="46">
        <v>45422.0</v>
      </c>
      <c r="E6104" s="24">
        <v>0.62</v>
      </c>
      <c r="F6104" s="24">
        <v>930.0</v>
      </c>
      <c r="G6104" s="24">
        <v>150.0</v>
      </c>
      <c r="H6104" s="24" t="s">
        <v>6706</v>
      </c>
      <c r="I6104" s="24" t="s">
        <v>6650</v>
      </c>
      <c r="J6104" s="24">
        <v>0.0</v>
      </c>
    </row>
    <row r="6105">
      <c r="A6105" s="24">
        <v>2593.0</v>
      </c>
      <c r="B6105" s="24">
        <v>13.0</v>
      </c>
      <c r="C6105" s="44">
        <v>61.37</v>
      </c>
      <c r="D6105" s="46">
        <v>45422.0</v>
      </c>
      <c r="E6105" s="24">
        <v>4.72</v>
      </c>
      <c r="F6105" s="24">
        <v>23.67</v>
      </c>
      <c r="G6105" s="24">
        <v>0.5</v>
      </c>
      <c r="H6105" s="24" t="s">
        <v>6712</v>
      </c>
      <c r="I6105" s="24">
        <v>10.23</v>
      </c>
      <c r="J6105" s="24">
        <v>0.0</v>
      </c>
    </row>
    <row r="6106">
      <c r="A6106" s="24">
        <v>13.0</v>
      </c>
      <c r="B6106" s="24">
        <v>7.0</v>
      </c>
      <c r="C6106" s="44">
        <v>8.15</v>
      </c>
      <c r="D6106" s="46">
        <v>45422.0</v>
      </c>
      <c r="E6106" s="24">
        <v>1.16</v>
      </c>
      <c r="F6106" s="24">
        <v>626.92</v>
      </c>
      <c r="G6106" s="24">
        <v>53.85</v>
      </c>
      <c r="H6106" s="24" t="s">
        <v>6705</v>
      </c>
      <c r="I6106" s="24" t="s">
        <v>6650</v>
      </c>
      <c r="J6106" s="24">
        <v>0.0</v>
      </c>
    </row>
    <row r="6107">
      <c r="A6107" s="24">
        <v>158.0</v>
      </c>
      <c r="B6107" s="24">
        <v>90.0</v>
      </c>
      <c r="C6107" s="44">
        <v>109.46</v>
      </c>
      <c r="D6107" s="46">
        <v>45422.0</v>
      </c>
      <c r="E6107" s="24">
        <v>1.22</v>
      </c>
      <c r="F6107" s="24">
        <v>692.78</v>
      </c>
      <c r="G6107" s="24">
        <v>56.96</v>
      </c>
      <c r="H6107" s="24" t="s">
        <v>6707</v>
      </c>
      <c r="I6107" s="24" t="s">
        <v>6650</v>
      </c>
      <c r="J6107" s="24">
        <v>1.0</v>
      </c>
    </row>
    <row r="6108">
      <c r="A6108" s="24">
        <v>131.0</v>
      </c>
      <c r="B6108" s="24">
        <v>73.0</v>
      </c>
      <c r="C6108" s="44">
        <v>106.77</v>
      </c>
      <c r="D6108" s="46">
        <v>45422.0</v>
      </c>
      <c r="E6108" s="24">
        <v>1.46</v>
      </c>
      <c r="F6108" s="24">
        <v>815.04</v>
      </c>
      <c r="G6108" s="24">
        <v>55.73</v>
      </c>
      <c r="H6108" s="24" t="s">
        <v>6710</v>
      </c>
      <c r="I6108" s="24">
        <v>106.77</v>
      </c>
      <c r="J6108" s="24">
        <v>1.0</v>
      </c>
    </row>
    <row r="6109">
      <c r="A6109" s="24">
        <v>70.0</v>
      </c>
      <c r="B6109" s="24">
        <v>38.0</v>
      </c>
      <c r="C6109" s="44">
        <v>42.45</v>
      </c>
      <c r="D6109" s="46">
        <v>45422.0</v>
      </c>
      <c r="E6109" s="24">
        <v>1.12</v>
      </c>
      <c r="F6109" s="24">
        <v>606.43</v>
      </c>
      <c r="G6109" s="24">
        <v>54.29</v>
      </c>
      <c r="H6109" s="24" t="s">
        <v>6709</v>
      </c>
      <c r="I6109" s="24" t="s">
        <v>6650</v>
      </c>
      <c r="J6109" s="24">
        <v>1.0</v>
      </c>
    </row>
    <row r="6110">
      <c r="A6110" s="24">
        <v>60.0</v>
      </c>
      <c r="B6110" s="24">
        <v>28.0</v>
      </c>
      <c r="C6110" s="44">
        <v>37.52</v>
      </c>
      <c r="D6110" s="46">
        <v>45423.0</v>
      </c>
      <c r="E6110" s="24">
        <v>1.34</v>
      </c>
      <c r="F6110" s="24">
        <v>625.33</v>
      </c>
      <c r="G6110" s="24">
        <v>46.67</v>
      </c>
      <c r="H6110" s="24" t="s">
        <v>6709</v>
      </c>
      <c r="I6110" s="24" t="s">
        <v>6650</v>
      </c>
      <c r="J6110" s="24">
        <v>1.0</v>
      </c>
    </row>
    <row r="6111">
      <c r="A6111" s="24">
        <v>113.0</v>
      </c>
      <c r="B6111" s="24">
        <v>62.0</v>
      </c>
      <c r="C6111" s="44">
        <v>82.3</v>
      </c>
      <c r="D6111" s="46">
        <v>45423.0</v>
      </c>
      <c r="E6111" s="24">
        <v>1.33</v>
      </c>
      <c r="F6111" s="24">
        <v>728.32</v>
      </c>
      <c r="G6111" s="24">
        <v>54.87</v>
      </c>
      <c r="H6111" s="24" t="s">
        <v>6707</v>
      </c>
      <c r="I6111" s="24">
        <v>82.3</v>
      </c>
      <c r="J6111" s="24">
        <v>1.0</v>
      </c>
    </row>
    <row r="6112">
      <c r="A6112" s="24">
        <v>15.0</v>
      </c>
      <c r="B6112" s="24">
        <v>7.0</v>
      </c>
      <c r="C6112" s="44">
        <v>10.48</v>
      </c>
      <c r="D6112" s="46">
        <v>45423.0</v>
      </c>
      <c r="E6112" s="24">
        <v>1.5</v>
      </c>
      <c r="F6112" s="24">
        <v>698.67</v>
      </c>
      <c r="G6112" s="24">
        <v>46.67</v>
      </c>
      <c r="H6112" s="24" t="s">
        <v>6705</v>
      </c>
      <c r="I6112" s="24" t="s">
        <v>6650</v>
      </c>
      <c r="J6112" s="24">
        <v>0.0</v>
      </c>
    </row>
    <row r="6113">
      <c r="A6113" s="24">
        <v>5.0</v>
      </c>
      <c r="B6113" s="24">
        <v>2.0</v>
      </c>
      <c r="C6113" s="44">
        <v>3.6</v>
      </c>
      <c r="D6113" s="46">
        <v>45423.0</v>
      </c>
      <c r="E6113" s="24">
        <v>1.8</v>
      </c>
      <c r="F6113" s="24">
        <v>720.0</v>
      </c>
      <c r="G6113" s="24">
        <v>40.0</v>
      </c>
      <c r="H6113" s="24" t="s">
        <v>6706</v>
      </c>
      <c r="I6113" s="24" t="s">
        <v>6650</v>
      </c>
      <c r="J6113" s="24">
        <v>0.0</v>
      </c>
    </row>
    <row r="6114">
      <c r="A6114" s="24">
        <v>115.0</v>
      </c>
      <c r="B6114" s="24">
        <v>46.0</v>
      </c>
      <c r="C6114" s="44">
        <v>90.24</v>
      </c>
      <c r="D6114" s="46">
        <v>45423.0</v>
      </c>
      <c r="E6114" s="24">
        <v>1.96</v>
      </c>
      <c r="F6114" s="24">
        <v>784.7</v>
      </c>
      <c r="G6114" s="24">
        <v>40.0</v>
      </c>
      <c r="H6114" s="24" t="s">
        <v>6710</v>
      </c>
      <c r="I6114" s="24" t="s">
        <v>6650</v>
      </c>
      <c r="J6114" s="24">
        <v>0.0</v>
      </c>
    </row>
    <row r="6115">
      <c r="A6115" s="24">
        <v>1885.0</v>
      </c>
      <c r="B6115" s="24">
        <v>11.0</v>
      </c>
      <c r="C6115" s="44">
        <v>35.22</v>
      </c>
      <c r="D6115" s="46">
        <v>45423.0</v>
      </c>
      <c r="E6115" s="24">
        <v>3.2</v>
      </c>
      <c r="F6115" s="24">
        <v>18.68</v>
      </c>
      <c r="G6115" s="24">
        <v>0.58</v>
      </c>
      <c r="H6115" s="24" t="s">
        <v>6712</v>
      </c>
      <c r="I6115" s="24">
        <v>3.52</v>
      </c>
      <c r="J6115" s="24">
        <v>0.0</v>
      </c>
    </row>
    <row r="6116">
      <c r="A6116" s="24">
        <v>17.0</v>
      </c>
      <c r="B6116" s="24">
        <v>11.0</v>
      </c>
      <c r="C6116" s="44">
        <v>14.21</v>
      </c>
      <c r="D6116" s="46">
        <v>45424.0</v>
      </c>
      <c r="E6116" s="24">
        <v>1.29</v>
      </c>
      <c r="F6116" s="24">
        <v>835.88</v>
      </c>
      <c r="G6116" s="24">
        <v>64.71</v>
      </c>
      <c r="H6116" s="24" t="s">
        <v>6705</v>
      </c>
      <c r="I6116" s="24" t="s">
        <v>6650</v>
      </c>
      <c r="J6116" s="24">
        <v>0.0</v>
      </c>
    </row>
    <row r="6117">
      <c r="A6117" s="24">
        <v>109.0</v>
      </c>
      <c r="B6117" s="24">
        <v>44.0</v>
      </c>
      <c r="C6117" s="44">
        <v>75.27</v>
      </c>
      <c r="D6117" s="46">
        <v>45424.0</v>
      </c>
      <c r="E6117" s="24">
        <v>1.71</v>
      </c>
      <c r="F6117" s="24">
        <v>690.55</v>
      </c>
      <c r="G6117" s="24">
        <v>40.37</v>
      </c>
      <c r="H6117" s="24" t="s">
        <v>6707</v>
      </c>
      <c r="I6117" s="24" t="s">
        <v>6650</v>
      </c>
      <c r="J6117" s="24">
        <v>0.0</v>
      </c>
    </row>
    <row r="6118">
      <c r="A6118" s="24">
        <v>67.0</v>
      </c>
      <c r="B6118" s="24">
        <v>32.0</v>
      </c>
      <c r="C6118" s="44">
        <v>45.28</v>
      </c>
      <c r="D6118" s="46">
        <v>45424.0</v>
      </c>
      <c r="E6118" s="24">
        <v>1.42</v>
      </c>
      <c r="F6118" s="24">
        <v>675.82</v>
      </c>
      <c r="G6118" s="24">
        <v>47.76</v>
      </c>
      <c r="H6118" s="24" t="s">
        <v>6709</v>
      </c>
      <c r="I6118" s="24" t="s">
        <v>6650</v>
      </c>
      <c r="J6118" s="24">
        <v>1.0</v>
      </c>
    </row>
    <row r="6119">
      <c r="A6119" s="24">
        <v>116.0</v>
      </c>
      <c r="B6119" s="24">
        <v>44.0</v>
      </c>
      <c r="C6119" s="44">
        <v>90.48</v>
      </c>
      <c r="D6119" s="46">
        <v>45424.0</v>
      </c>
      <c r="E6119" s="24">
        <v>2.06</v>
      </c>
      <c r="F6119" s="24">
        <v>780.0</v>
      </c>
      <c r="G6119" s="24">
        <v>37.93</v>
      </c>
      <c r="H6119" s="24" t="s">
        <v>6710</v>
      </c>
      <c r="I6119" s="24" t="s">
        <v>6650</v>
      </c>
      <c r="J6119" s="24">
        <v>1.0</v>
      </c>
    </row>
    <row r="6120">
      <c r="A6120" s="24">
        <v>1689.0</v>
      </c>
      <c r="B6120" s="24">
        <v>5.0</v>
      </c>
      <c r="C6120" s="44">
        <v>33.02</v>
      </c>
      <c r="D6120" s="46">
        <v>45424.0</v>
      </c>
      <c r="E6120" s="24">
        <v>6.6</v>
      </c>
      <c r="F6120" s="24">
        <v>19.55</v>
      </c>
      <c r="G6120" s="24">
        <v>0.3</v>
      </c>
      <c r="H6120" s="24" t="s">
        <v>6712</v>
      </c>
      <c r="I6120" s="24">
        <v>11.01</v>
      </c>
      <c r="J6120" s="24">
        <v>0.0</v>
      </c>
    </row>
    <row r="6121">
      <c r="A6121" s="24">
        <v>3.0</v>
      </c>
      <c r="B6121" s="24">
        <v>2.0</v>
      </c>
      <c r="C6121" s="44">
        <v>2.67</v>
      </c>
      <c r="D6121" s="46">
        <v>45424.0</v>
      </c>
      <c r="E6121" s="24">
        <v>1.34</v>
      </c>
      <c r="F6121" s="24">
        <v>890.0</v>
      </c>
      <c r="G6121" s="24">
        <v>66.67</v>
      </c>
      <c r="H6121" s="24" t="s">
        <v>6706</v>
      </c>
      <c r="I6121" s="24" t="s">
        <v>6650</v>
      </c>
      <c r="J6121" s="24">
        <v>0.0</v>
      </c>
    </row>
    <row r="6122">
      <c r="A6122" s="24">
        <v>3341.0</v>
      </c>
      <c r="B6122" s="24">
        <v>14.0</v>
      </c>
      <c r="C6122" s="44">
        <v>56.56</v>
      </c>
      <c r="D6122" s="46">
        <v>45425.0</v>
      </c>
      <c r="E6122" s="24">
        <v>4.04</v>
      </c>
      <c r="F6122" s="24">
        <v>16.93</v>
      </c>
      <c r="G6122" s="24">
        <v>0.42</v>
      </c>
      <c r="H6122" s="24" t="s">
        <v>6712</v>
      </c>
      <c r="I6122" s="24">
        <v>8.08</v>
      </c>
      <c r="J6122" s="24">
        <v>0.0</v>
      </c>
    </row>
    <row r="6123">
      <c r="A6123" s="24">
        <v>136.0</v>
      </c>
      <c r="B6123" s="24">
        <v>97.0</v>
      </c>
      <c r="C6123" s="44">
        <v>109.23</v>
      </c>
      <c r="D6123" s="46">
        <v>45425.0</v>
      </c>
      <c r="E6123" s="24">
        <v>1.13</v>
      </c>
      <c r="F6123" s="24">
        <v>803.16</v>
      </c>
      <c r="G6123" s="24">
        <v>71.32</v>
      </c>
      <c r="H6123" s="24" t="s">
        <v>6710</v>
      </c>
      <c r="I6123" s="24">
        <v>54.62</v>
      </c>
      <c r="J6123" s="24">
        <v>0.0</v>
      </c>
    </row>
    <row r="6124">
      <c r="A6124" s="24">
        <v>91.0</v>
      </c>
      <c r="B6124" s="24">
        <v>49.0</v>
      </c>
      <c r="C6124" s="44">
        <v>59.65</v>
      </c>
      <c r="D6124" s="46">
        <v>45425.0</v>
      </c>
      <c r="E6124" s="24">
        <v>1.22</v>
      </c>
      <c r="F6124" s="24">
        <v>655.49</v>
      </c>
      <c r="G6124" s="24">
        <v>53.85</v>
      </c>
      <c r="H6124" s="24" t="s">
        <v>6709</v>
      </c>
      <c r="I6124" s="24" t="s">
        <v>6650</v>
      </c>
      <c r="J6124" s="24">
        <v>1.0</v>
      </c>
    </row>
    <row r="6125">
      <c r="A6125" s="24">
        <v>152.0</v>
      </c>
      <c r="B6125" s="24">
        <v>108.0</v>
      </c>
      <c r="C6125" s="44">
        <v>109.38</v>
      </c>
      <c r="D6125" s="46">
        <v>45425.0</v>
      </c>
      <c r="E6125" s="24">
        <v>1.01</v>
      </c>
      <c r="F6125" s="24">
        <v>719.61</v>
      </c>
      <c r="G6125" s="24">
        <v>71.05</v>
      </c>
      <c r="H6125" s="24" t="s">
        <v>6707</v>
      </c>
      <c r="I6125" s="24">
        <v>109.38</v>
      </c>
      <c r="J6125" s="24">
        <v>0.0</v>
      </c>
    </row>
    <row r="6126">
      <c r="A6126" s="24">
        <v>18.0</v>
      </c>
      <c r="B6126" s="24">
        <v>12.0</v>
      </c>
      <c r="C6126" s="44">
        <v>13.62</v>
      </c>
      <c r="D6126" s="46">
        <v>45425.0</v>
      </c>
      <c r="E6126" s="24">
        <v>1.14</v>
      </c>
      <c r="F6126" s="24">
        <v>756.67</v>
      </c>
      <c r="G6126" s="24">
        <v>66.67</v>
      </c>
      <c r="H6126" s="24" t="s">
        <v>6705</v>
      </c>
      <c r="I6126" s="24" t="s">
        <v>6650</v>
      </c>
      <c r="J6126" s="24">
        <v>1.0</v>
      </c>
    </row>
    <row r="6127">
      <c r="A6127" s="24">
        <v>2.0</v>
      </c>
      <c r="B6127" s="24">
        <v>1.0</v>
      </c>
      <c r="C6127" s="44">
        <v>1.85</v>
      </c>
      <c r="D6127" s="46">
        <v>45425.0</v>
      </c>
      <c r="E6127" s="24">
        <v>1.85</v>
      </c>
      <c r="F6127" s="24">
        <v>925.0</v>
      </c>
      <c r="G6127" s="24">
        <v>50.0</v>
      </c>
      <c r="H6127" s="24" t="s">
        <v>6706</v>
      </c>
      <c r="I6127" s="24" t="s">
        <v>6650</v>
      </c>
      <c r="J6127" s="24">
        <v>0.0</v>
      </c>
    </row>
    <row r="6128">
      <c r="A6128" s="24">
        <v>3.0</v>
      </c>
      <c r="B6128" s="24">
        <v>0.0</v>
      </c>
      <c r="C6128" s="44">
        <v>1.91</v>
      </c>
      <c r="D6128" s="46">
        <v>45426.0</v>
      </c>
      <c r="E6128" s="24" t="s">
        <v>6650</v>
      </c>
      <c r="F6128" s="24">
        <v>636.67</v>
      </c>
      <c r="G6128" s="24">
        <v>0.0</v>
      </c>
      <c r="H6128" s="24" t="s">
        <v>6706</v>
      </c>
      <c r="I6128" s="24" t="s">
        <v>6650</v>
      </c>
      <c r="J6128" s="24">
        <v>0.0</v>
      </c>
    </row>
    <row r="6129">
      <c r="A6129" s="24">
        <v>3403.0</v>
      </c>
      <c r="B6129" s="24">
        <v>16.0</v>
      </c>
      <c r="C6129" s="44">
        <v>60.79</v>
      </c>
      <c r="D6129" s="46">
        <v>45426.0</v>
      </c>
      <c r="E6129" s="24">
        <v>3.8</v>
      </c>
      <c r="F6129" s="24">
        <v>17.86</v>
      </c>
      <c r="G6129" s="24">
        <v>0.47</v>
      </c>
      <c r="H6129" s="24" t="s">
        <v>6712</v>
      </c>
      <c r="I6129" s="24">
        <v>6.75</v>
      </c>
      <c r="J6129" s="24">
        <v>0.0</v>
      </c>
    </row>
    <row r="6130">
      <c r="A6130" s="24">
        <v>124.0</v>
      </c>
      <c r="B6130" s="24">
        <v>84.0</v>
      </c>
      <c r="C6130" s="44">
        <v>97.8</v>
      </c>
      <c r="D6130" s="46">
        <v>45426.0</v>
      </c>
      <c r="E6130" s="24">
        <v>1.16</v>
      </c>
      <c r="F6130" s="24">
        <v>788.71</v>
      </c>
      <c r="G6130" s="24">
        <v>67.74</v>
      </c>
      <c r="H6130" s="24" t="s">
        <v>6710</v>
      </c>
      <c r="I6130" s="24" t="s">
        <v>6650</v>
      </c>
      <c r="J6130" s="24">
        <v>1.0</v>
      </c>
    </row>
    <row r="6131">
      <c r="A6131" s="24">
        <v>18.0</v>
      </c>
      <c r="B6131" s="24">
        <v>10.0</v>
      </c>
      <c r="C6131" s="44">
        <v>13.7</v>
      </c>
      <c r="D6131" s="46">
        <v>45426.0</v>
      </c>
      <c r="E6131" s="24">
        <v>1.37</v>
      </c>
      <c r="F6131" s="24">
        <v>761.11</v>
      </c>
      <c r="G6131" s="24">
        <v>55.56</v>
      </c>
      <c r="H6131" s="24" t="s">
        <v>6705</v>
      </c>
      <c r="I6131" s="24" t="s">
        <v>6650</v>
      </c>
      <c r="J6131" s="24">
        <v>0.0</v>
      </c>
    </row>
    <row r="6132">
      <c r="A6132" s="24">
        <v>124.0</v>
      </c>
      <c r="B6132" s="24">
        <v>63.0</v>
      </c>
      <c r="C6132" s="44">
        <v>80.63</v>
      </c>
      <c r="D6132" s="46">
        <v>45426.0</v>
      </c>
      <c r="E6132" s="24">
        <v>1.28</v>
      </c>
      <c r="F6132" s="24">
        <v>650.24</v>
      </c>
      <c r="G6132" s="24">
        <v>50.81</v>
      </c>
      <c r="H6132" s="24" t="s">
        <v>6709</v>
      </c>
      <c r="I6132" s="24">
        <v>26.88</v>
      </c>
      <c r="J6132" s="24">
        <v>2.0</v>
      </c>
    </row>
    <row r="6133">
      <c r="A6133" s="24">
        <v>160.0</v>
      </c>
      <c r="B6133" s="24">
        <v>115.0</v>
      </c>
      <c r="C6133" s="44">
        <v>113.55</v>
      </c>
      <c r="D6133" s="46">
        <v>45426.0</v>
      </c>
      <c r="E6133" s="24">
        <v>0.99</v>
      </c>
      <c r="F6133" s="24">
        <v>709.69</v>
      </c>
      <c r="G6133" s="24">
        <v>71.88</v>
      </c>
      <c r="H6133" s="24" t="s">
        <v>6707</v>
      </c>
      <c r="I6133" s="24" t="s">
        <v>6650</v>
      </c>
      <c r="J6133" s="24">
        <v>1.0</v>
      </c>
    </row>
    <row r="6134">
      <c r="A6134" s="24">
        <v>110.0</v>
      </c>
      <c r="B6134" s="24">
        <v>68.0</v>
      </c>
      <c r="C6134" s="44">
        <v>86.97</v>
      </c>
      <c r="D6134" s="46">
        <v>45427.0</v>
      </c>
      <c r="E6134" s="24">
        <v>1.28</v>
      </c>
      <c r="F6134" s="24">
        <v>790.64</v>
      </c>
      <c r="G6134" s="24">
        <v>61.82</v>
      </c>
      <c r="H6134" s="24" t="s">
        <v>6710</v>
      </c>
      <c r="I6134" s="24" t="s">
        <v>6650</v>
      </c>
      <c r="J6134" s="24">
        <v>0.0</v>
      </c>
    </row>
    <row r="6135">
      <c r="A6135" s="24">
        <v>71.0</v>
      </c>
      <c r="B6135" s="24">
        <v>38.0</v>
      </c>
      <c r="C6135" s="44">
        <v>48.64</v>
      </c>
      <c r="D6135" s="46">
        <v>45427.0</v>
      </c>
      <c r="E6135" s="24">
        <v>1.28</v>
      </c>
      <c r="F6135" s="24">
        <v>685.07</v>
      </c>
      <c r="G6135" s="24">
        <v>53.52</v>
      </c>
      <c r="H6135" s="24" t="s">
        <v>6709</v>
      </c>
      <c r="I6135" s="24" t="s">
        <v>6650</v>
      </c>
      <c r="J6135" s="24">
        <v>2.0</v>
      </c>
    </row>
    <row r="6136">
      <c r="A6136" s="24">
        <v>3075.0</v>
      </c>
      <c r="B6136" s="24">
        <v>10.0</v>
      </c>
      <c r="C6136" s="44">
        <v>60.14</v>
      </c>
      <c r="D6136" s="46">
        <v>45427.0</v>
      </c>
      <c r="E6136" s="24">
        <v>6.01</v>
      </c>
      <c r="F6136" s="24">
        <v>19.56</v>
      </c>
      <c r="G6136" s="24">
        <v>0.33</v>
      </c>
      <c r="H6136" s="24" t="s">
        <v>6712</v>
      </c>
      <c r="I6136" s="24">
        <v>15.04</v>
      </c>
      <c r="J6136" s="24">
        <v>0.0</v>
      </c>
    </row>
    <row r="6137">
      <c r="A6137" s="24">
        <v>1.0</v>
      </c>
      <c r="B6137" s="24">
        <v>0.0</v>
      </c>
      <c r="C6137" s="44">
        <v>1.0</v>
      </c>
      <c r="D6137" s="46">
        <v>45427.0</v>
      </c>
      <c r="E6137" s="24" t="s">
        <v>6650</v>
      </c>
      <c r="F6137" s="24">
        <v>1000.0</v>
      </c>
      <c r="G6137" s="24">
        <v>0.0</v>
      </c>
      <c r="H6137" s="24" t="s">
        <v>6706</v>
      </c>
      <c r="I6137" s="24" t="s">
        <v>6650</v>
      </c>
      <c r="J6137" s="24">
        <v>0.0</v>
      </c>
    </row>
    <row r="6138">
      <c r="A6138" s="24">
        <v>20.0</v>
      </c>
      <c r="B6138" s="24">
        <v>15.0</v>
      </c>
      <c r="C6138" s="44">
        <v>13.4</v>
      </c>
      <c r="D6138" s="46">
        <v>45427.0</v>
      </c>
      <c r="E6138" s="24">
        <v>0.89</v>
      </c>
      <c r="F6138" s="24">
        <v>670.0</v>
      </c>
      <c r="G6138" s="24">
        <v>75.0</v>
      </c>
      <c r="H6138" s="24" t="s">
        <v>6705</v>
      </c>
      <c r="I6138" s="24" t="s">
        <v>6650</v>
      </c>
      <c r="J6138" s="24">
        <v>0.0</v>
      </c>
    </row>
    <row r="6139">
      <c r="A6139" s="24">
        <v>155.0</v>
      </c>
      <c r="B6139" s="24">
        <v>89.0</v>
      </c>
      <c r="C6139" s="44">
        <v>114.34</v>
      </c>
      <c r="D6139" s="46">
        <v>45427.0</v>
      </c>
      <c r="E6139" s="24">
        <v>1.28</v>
      </c>
      <c r="F6139" s="24">
        <v>737.68</v>
      </c>
      <c r="G6139" s="24">
        <v>57.42</v>
      </c>
      <c r="H6139" s="24" t="s">
        <v>6707</v>
      </c>
      <c r="I6139" s="24" t="s">
        <v>6650</v>
      </c>
      <c r="J6139" s="24">
        <v>0.0</v>
      </c>
    </row>
    <row r="6140">
      <c r="A6140" s="24">
        <v>91.0</v>
      </c>
      <c r="B6140" s="24">
        <v>39.0</v>
      </c>
      <c r="C6140" s="44">
        <v>57.18</v>
      </c>
      <c r="D6140" s="46">
        <v>45428.0</v>
      </c>
      <c r="E6140" s="24">
        <v>1.47</v>
      </c>
      <c r="F6140" s="24">
        <v>628.35</v>
      </c>
      <c r="G6140" s="24">
        <v>42.86</v>
      </c>
      <c r="H6140" s="24" t="s">
        <v>6709</v>
      </c>
      <c r="I6140" s="24" t="s">
        <v>6650</v>
      </c>
      <c r="J6140" s="24">
        <v>1.0</v>
      </c>
    </row>
    <row r="6141">
      <c r="A6141" s="24">
        <v>3273.0</v>
      </c>
      <c r="B6141" s="24">
        <v>15.0</v>
      </c>
      <c r="C6141" s="44">
        <v>59.95</v>
      </c>
      <c r="D6141" s="46">
        <v>45428.0</v>
      </c>
      <c r="E6141" s="24">
        <v>4.0</v>
      </c>
      <c r="F6141" s="24">
        <v>18.32</v>
      </c>
      <c r="G6141" s="24">
        <v>0.46</v>
      </c>
      <c r="H6141" s="24" t="s">
        <v>6712</v>
      </c>
      <c r="I6141" s="24">
        <v>8.56</v>
      </c>
      <c r="J6141" s="24">
        <v>0.0</v>
      </c>
    </row>
    <row r="6142">
      <c r="A6142" s="24">
        <v>16.0</v>
      </c>
      <c r="B6142" s="24">
        <v>8.0</v>
      </c>
      <c r="C6142" s="44">
        <v>10.84</v>
      </c>
      <c r="D6142" s="46">
        <v>45428.0</v>
      </c>
      <c r="E6142" s="24">
        <v>1.36</v>
      </c>
      <c r="F6142" s="24">
        <v>677.5</v>
      </c>
      <c r="G6142" s="24">
        <v>50.0</v>
      </c>
      <c r="H6142" s="24" t="s">
        <v>6705</v>
      </c>
      <c r="I6142" s="24" t="s">
        <v>6650</v>
      </c>
      <c r="J6142" s="24">
        <v>0.0</v>
      </c>
    </row>
    <row r="6143">
      <c r="A6143" s="24">
        <v>168.0</v>
      </c>
      <c r="B6143" s="24">
        <v>94.0</v>
      </c>
      <c r="C6143" s="44">
        <v>113.44</v>
      </c>
      <c r="D6143" s="46">
        <v>45428.0</v>
      </c>
      <c r="E6143" s="24">
        <v>1.21</v>
      </c>
      <c r="F6143" s="24">
        <v>675.24</v>
      </c>
      <c r="G6143" s="24">
        <v>55.95</v>
      </c>
      <c r="H6143" s="24" t="s">
        <v>6707</v>
      </c>
      <c r="I6143" s="24">
        <v>113.44</v>
      </c>
      <c r="J6143" s="24">
        <v>2.0</v>
      </c>
    </row>
    <row r="6144">
      <c r="A6144" s="24">
        <v>128.0</v>
      </c>
      <c r="B6144" s="24">
        <v>60.0</v>
      </c>
      <c r="C6144" s="44">
        <v>93.47</v>
      </c>
      <c r="D6144" s="46">
        <v>45428.0</v>
      </c>
      <c r="E6144" s="24">
        <v>1.56</v>
      </c>
      <c r="F6144" s="24">
        <v>730.23</v>
      </c>
      <c r="G6144" s="24">
        <v>46.88</v>
      </c>
      <c r="H6144" s="24" t="s">
        <v>6710</v>
      </c>
      <c r="I6144" s="24" t="s">
        <v>6650</v>
      </c>
      <c r="J6144" s="24">
        <v>0.0</v>
      </c>
    </row>
    <row r="6145">
      <c r="A6145" s="24">
        <v>2.0</v>
      </c>
      <c r="B6145" s="24">
        <v>1.0</v>
      </c>
      <c r="C6145" s="44">
        <v>1.65</v>
      </c>
      <c r="D6145" s="46">
        <v>45428.0</v>
      </c>
      <c r="E6145" s="24">
        <v>1.65</v>
      </c>
      <c r="F6145" s="24">
        <v>825.0</v>
      </c>
      <c r="G6145" s="24">
        <v>50.0</v>
      </c>
      <c r="H6145" s="24" t="s">
        <v>6706</v>
      </c>
      <c r="I6145" s="24" t="s">
        <v>6650</v>
      </c>
      <c r="J6145" s="24">
        <v>1.0</v>
      </c>
    </row>
    <row r="6146">
      <c r="A6146" s="24">
        <v>153.0</v>
      </c>
      <c r="B6146" s="24">
        <v>97.0</v>
      </c>
      <c r="C6146" s="44">
        <v>104.15</v>
      </c>
      <c r="D6146" s="46">
        <v>45429.0</v>
      </c>
      <c r="E6146" s="24">
        <v>1.07</v>
      </c>
      <c r="F6146" s="24">
        <v>680.72</v>
      </c>
      <c r="G6146" s="24">
        <v>63.4</v>
      </c>
      <c r="H6146" s="24" t="s">
        <v>6707</v>
      </c>
      <c r="I6146" s="24" t="s">
        <v>6650</v>
      </c>
      <c r="J6146" s="24">
        <v>2.0</v>
      </c>
    </row>
    <row r="6147">
      <c r="A6147" s="24">
        <v>72.0</v>
      </c>
      <c r="B6147" s="24">
        <v>35.0</v>
      </c>
      <c r="C6147" s="44">
        <v>45.83</v>
      </c>
      <c r="D6147" s="46">
        <v>45429.0</v>
      </c>
      <c r="E6147" s="24">
        <v>1.31</v>
      </c>
      <c r="F6147" s="24">
        <v>636.53</v>
      </c>
      <c r="G6147" s="24">
        <v>48.61</v>
      </c>
      <c r="H6147" s="24" t="s">
        <v>6709</v>
      </c>
      <c r="I6147" s="24" t="s">
        <v>6650</v>
      </c>
      <c r="J6147" s="24">
        <v>0.0</v>
      </c>
    </row>
    <row r="6148">
      <c r="A6148" s="24">
        <v>3.0</v>
      </c>
      <c r="B6148" s="24">
        <v>1.0</v>
      </c>
      <c r="C6148" s="44">
        <v>2.15</v>
      </c>
      <c r="D6148" s="46">
        <v>45429.0</v>
      </c>
      <c r="E6148" s="24">
        <v>2.15</v>
      </c>
      <c r="F6148" s="24">
        <v>716.67</v>
      </c>
      <c r="G6148" s="24">
        <v>33.33</v>
      </c>
      <c r="H6148" s="24" t="s">
        <v>6706</v>
      </c>
      <c r="I6148" s="24" t="s">
        <v>6650</v>
      </c>
      <c r="J6148" s="24">
        <v>0.0</v>
      </c>
    </row>
    <row r="6149">
      <c r="A6149" s="24">
        <v>107.0</v>
      </c>
      <c r="B6149" s="24">
        <v>57.0</v>
      </c>
      <c r="C6149" s="44">
        <v>80.67</v>
      </c>
      <c r="D6149" s="46">
        <v>45429.0</v>
      </c>
      <c r="E6149" s="24">
        <v>1.42</v>
      </c>
      <c r="F6149" s="24">
        <v>753.93</v>
      </c>
      <c r="G6149" s="24">
        <v>53.27</v>
      </c>
      <c r="H6149" s="24" t="s">
        <v>6710</v>
      </c>
      <c r="I6149" s="24" t="s">
        <v>6650</v>
      </c>
      <c r="J6149" s="24">
        <v>0.0</v>
      </c>
    </row>
    <row r="6150">
      <c r="A6150" s="24">
        <v>19.0</v>
      </c>
      <c r="B6150" s="24">
        <v>10.0</v>
      </c>
      <c r="C6150" s="44">
        <v>12.6</v>
      </c>
      <c r="D6150" s="46">
        <v>45429.0</v>
      </c>
      <c r="E6150" s="24">
        <v>1.26</v>
      </c>
      <c r="F6150" s="24">
        <v>663.16</v>
      </c>
      <c r="G6150" s="24">
        <v>52.63</v>
      </c>
      <c r="H6150" s="24" t="s">
        <v>6705</v>
      </c>
      <c r="I6150" s="24" t="s">
        <v>6650</v>
      </c>
      <c r="J6150" s="24">
        <v>1.0</v>
      </c>
    </row>
    <row r="6151">
      <c r="A6151" s="24">
        <v>2861.0</v>
      </c>
      <c r="B6151" s="24">
        <v>14.0</v>
      </c>
      <c r="C6151" s="44">
        <v>54.37</v>
      </c>
      <c r="D6151" s="46">
        <v>45429.0</v>
      </c>
      <c r="E6151" s="24">
        <v>3.88</v>
      </c>
      <c r="F6151" s="24">
        <v>19.0</v>
      </c>
      <c r="G6151" s="24">
        <v>0.49</v>
      </c>
      <c r="H6151" s="24" t="s">
        <v>6712</v>
      </c>
      <c r="I6151" s="24">
        <v>9.06</v>
      </c>
      <c r="J6151" s="24">
        <v>0.0</v>
      </c>
    </row>
    <row r="6152">
      <c r="A6152" s="24">
        <v>114.0</v>
      </c>
      <c r="B6152" s="24">
        <v>49.0</v>
      </c>
      <c r="C6152" s="44">
        <v>76.62</v>
      </c>
      <c r="D6152" s="46">
        <v>45430.0</v>
      </c>
      <c r="E6152" s="24">
        <v>1.56</v>
      </c>
      <c r="F6152" s="24">
        <v>672.11</v>
      </c>
      <c r="G6152" s="24">
        <v>42.98</v>
      </c>
      <c r="H6152" s="24" t="s">
        <v>6707</v>
      </c>
      <c r="I6152" s="24">
        <v>76.62</v>
      </c>
      <c r="J6152" s="24">
        <v>1.0</v>
      </c>
    </row>
    <row r="6153">
      <c r="A6153" s="24">
        <v>2.0</v>
      </c>
      <c r="B6153" s="24">
        <v>1.0</v>
      </c>
      <c r="C6153" s="44">
        <v>0.95</v>
      </c>
      <c r="D6153" s="46">
        <v>45430.0</v>
      </c>
      <c r="E6153" s="24">
        <v>0.95</v>
      </c>
      <c r="F6153" s="24">
        <v>475.0</v>
      </c>
      <c r="G6153" s="24">
        <v>50.0</v>
      </c>
      <c r="H6153" s="24" t="s">
        <v>6706</v>
      </c>
      <c r="I6153" s="24" t="s">
        <v>6650</v>
      </c>
      <c r="J6153" s="24">
        <v>0.0</v>
      </c>
    </row>
    <row r="6154">
      <c r="A6154" s="24">
        <v>1785.0</v>
      </c>
      <c r="B6154" s="24">
        <v>12.0</v>
      </c>
      <c r="C6154" s="44">
        <v>30.38</v>
      </c>
      <c r="D6154" s="46">
        <v>45430.0</v>
      </c>
      <c r="E6154" s="24">
        <v>2.53</v>
      </c>
      <c r="F6154" s="24">
        <v>17.02</v>
      </c>
      <c r="G6154" s="24">
        <v>0.67</v>
      </c>
      <c r="H6154" s="24" t="s">
        <v>6712</v>
      </c>
      <c r="I6154" s="24">
        <v>3.04</v>
      </c>
      <c r="J6154" s="24">
        <v>0.0</v>
      </c>
    </row>
    <row r="6155">
      <c r="A6155" s="24">
        <v>62.0</v>
      </c>
      <c r="B6155" s="24">
        <v>25.0</v>
      </c>
      <c r="C6155" s="44">
        <v>38.95</v>
      </c>
      <c r="D6155" s="46">
        <v>45430.0</v>
      </c>
      <c r="E6155" s="24">
        <v>1.56</v>
      </c>
      <c r="F6155" s="24">
        <v>628.23</v>
      </c>
      <c r="G6155" s="24">
        <v>40.32</v>
      </c>
      <c r="H6155" s="24" t="s">
        <v>6709</v>
      </c>
      <c r="I6155" s="24" t="s">
        <v>6650</v>
      </c>
      <c r="J6155" s="24">
        <v>0.0</v>
      </c>
    </row>
    <row r="6156">
      <c r="A6156" s="24">
        <v>83.0</v>
      </c>
      <c r="B6156" s="24">
        <v>33.0</v>
      </c>
      <c r="C6156" s="44">
        <v>60.49</v>
      </c>
      <c r="D6156" s="46">
        <v>45430.0</v>
      </c>
      <c r="E6156" s="24">
        <v>1.83</v>
      </c>
      <c r="F6156" s="24">
        <v>728.8</v>
      </c>
      <c r="G6156" s="24">
        <v>39.76</v>
      </c>
      <c r="H6156" s="24" t="s">
        <v>6710</v>
      </c>
      <c r="I6156" s="24" t="s">
        <v>6650</v>
      </c>
      <c r="J6156" s="24">
        <v>0.0</v>
      </c>
    </row>
    <row r="6157">
      <c r="A6157" s="24">
        <v>25.0</v>
      </c>
      <c r="B6157" s="24">
        <v>9.0</v>
      </c>
      <c r="C6157" s="44">
        <v>21.22</v>
      </c>
      <c r="D6157" s="46">
        <v>45430.0</v>
      </c>
      <c r="E6157" s="24">
        <v>2.36</v>
      </c>
      <c r="F6157" s="24">
        <v>848.8</v>
      </c>
      <c r="G6157" s="24">
        <v>36.0</v>
      </c>
      <c r="H6157" s="24" t="s">
        <v>6705</v>
      </c>
      <c r="I6157" s="24" t="s">
        <v>6650</v>
      </c>
      <c r="J6157" s="24">
        <v>1.0</v>
      </c>
    </row>
    <row r="6158">
      <c r="A6158" s="24">
        <v>112.0</v>
      </c>
      <c r="B6158" s="24">
        <v>45.0</v>
      </c>
      <c r="C6158" s="44">
        <v>81.51</v>
      </c>
      <c r="D6158" s="46">
        <v>45431.0</v>
      </c>
      <c r="E6158" s="24">
        <v>1.81</v>
      </c>
      <c r="F6158" s="24">
        <v>727.77</v>
      </c>
      <c r="G6158" s="24">
        <v>40.18</v>
      </c>
      <c r="H6158" s="24" t="s">
        <v>6710</v>
      </c>
      <c r="I6158" s="24">
        <v>81.51</v>
      </c>
      <c r="J6158" s="24">
        <v>0.0</v>
      </c>
    </row>
    <row r="6159">
      <c r="A6159" s="24">
        <v>79.0</v>
      </c>
      <c r="B6159" s="24">
        <v>43.0</v>
      </c>
      <c r="C6159" s="44">
        <v>54.83</v>
      </c>
      <c r="D6159" s="46">
        <v>45431.0</v>
      </c>
      <c r="E6159" s="24">
        <v>1.28</v>
      </c>
      <c r="F6159" s="24">
        <v>694.05</v>
      </c>
      <c r="G6159" s="24">
        <v>54.43</v>
      </c>
      <c r="H6159" s="24" t="s">
        <v>6709</v>
      </c>
      <c r="I6159" s="24" t="s">
        <v>6650</v>
      </c>
      <c r="J6159" s="24">
        <v>1.0</v>
      </c>
    </row>
    <row r="6160">
      <c r="A6160" s="24">
        <v>2.0</v>
      </c>
      <c r="B6160" s="24">
        <v>0.0</v>
      </c>
      <c r="C6160" s="44">
        <v>1.6</v>
      </c>
      <c r="D6160" s="46">
        <v>45431.0</v>
      </c>
      <c r="E6160" s="24" t="s">
        <v>6650</v>
      </c>
      <c r="F6160" s="24">
        <v>800.0</v>
      </c>
      <c r="G6160" s="24">
        <v>0.0</v>
      </c>
      <c r="H6160" s="24" t="s">
        <v>6706</v>
      </c>
      <c r="I6160" s="24" t="s">
        <v>6650</v>
      </c>
      <c r="J6160" s="24">
        <v>0.0</v>
      </c>
    </row>
    <row r="6161">
      <c r="A6161" s="24">
        <v>1665.0</v>
      </c>
      <c r="B6161" s="24">
        <v>4.0</v>
      </c>
      <c r="C6161" s="44">
        <v>27.81</v>
      </c>
      <c r="D6161" s="46">
        <v>45431.0</v>
      </c>
      <c r="E6161" s="24">
        <v>6.95</v>
      </c>
      <c r="F6161" s="24">
        <v>16.7</v>
      </c>
      <c r="G6161" s="24">
        <v>0.24</v>
      </c>
      <c r="H6161" s="24" t="s">
        <v>6712</v>
      </c>
      <c r="I6161" s="24">
        <v>13.9</v>
      </c>
      <c r="J6161" s="24">
        <v>0.0</v>
      </c>
    </row>
    <row r="6162">
      <c r="A6162" s="24">
        <v>102.0</v>
      </c>
      <c r="B6162" s="24">
        <v>43.0</v>
      </c>
      <c r="C6162" s="44">
        <v>68.52</v>
      </c>
      <c r="D6162" s="46">
        <v>45431.0</v>
      </c>
      <c r="E6162" s="24">
        <v>1.59</v>
      </c>
      <c r="F6162" s="24">
        <v>671.76</v>
      </c>
      <c r="G6162" s="24">
        <v>42.16</v>
      </c>
      <c r="H6162" s="24" t="s">
        <v>6707</v>
      </c>
      <c r="I6162" s="24">
        <v>68.52</v>
      </c>
      <c r="J6162" s="24">
        <v>1.0</v>
      </c>
    </row>
    <row r="6163">
      <c r="A6163" s="24">
        <v>26.0</v>
      </c>
      <c r="B6163" s="24">
        <v>11.0</v>
      </c>
      <c r="C6163" s="44">
        <v>17.94</v>
      </c>
      <c r="D6163" s="46">
        <v>45431.0</v>
      </c>
      <c r="E6163" s="24">
        <v>1.63</v>
      </c>
      <c r="F6163" s="24">
        <v>690.0</v>
      </c>
      <c r="G6163" s="24">
        <v>42.31</v>
      </c>
      <c r="H6163" s="24" t="s">
        <v>6705</v>
      </c>
      <c r="I6163" s="24" t="s">
        <v>6650</v>
      </c>
      <c r="J6163" s="24">
        <v>0.0</v>
      </c>
    </row>
    <row r="6164">
      <c r="A6164" s="24">
        <v>3058.0</v>
      </c>
      <c r="B6164" s="24">
        <v>10.0</v>
      </c>
      <c r="C6164" s="44">
        <v>55.43</v>
      </c>
      <c r="D6164" s="46">
        <v>45432.0</v>
      </c>
      <c r="E6164" s="24">
        <v>5.54</v>
      </c>
      <c r="F6164" s="24">
        <v>18.13</v>
      </c>
      <c r="G6164" s="24">
        <v>0.33</v>
      </c>
      <c r="H6164" s="24" t="s">
        <v>6712</v>
      </c>
      <c r="I6164" s="24">
        <v>6.93</v>
      </c>
      <c r="J6164" s="24">
        <v>0.0</v>
      </c>
    </row>
    <row r="6165">
      <c r="A6165" s="24">
        <v>0.0</v>
      </c>
      <c r="B6165" s="24">
        <v>1.0</v>
      </c>
      <c r="C6165" s="44">
        <v>0.0</v>
      </c>
      <c r="D6165" s="46">
        <v>45432.0</v>
      </c>
      <c r="E6165" s="24">
        <v>0.0</v>
      </c>
      <c r="F6165" s="24" t="s">
        <v>6650</v>
      </c>
      <c r="G6165" s="24" t="s">
        <v>6650</v>
      </c>
      <c r="H6165" s="24" t="s">
        <v>6706</v>
      </c>
      <c r="I6165" s="24" t="s">
        <v>6650</v>
      </c>
      <c r="J6165" s="24">
        <v>0.0</v>
      </c>
    </row>
    <row r="6166">
      <c r="A6166" s="24">
        <v>161.0</v>
      </c>
      <c r="B6166" s="24">
        <v>107.0</v>
      </c>
      <c r="C6166" s="44">
        <v>106.85</v>
      </c>
      <c r="D6166" s="46">
        <v>45432.0</v>
      </c>
      <c r="E6166" s="24">
        <v>1.0</v>
      </c>
      <c r="F6166" s="24">
        <v>663.66</v>
      </c>
      <c r="G6166" s="24">
        <v>66.46</v>
      </c>
      <c r="H6166" s="24" t="s">
        <v>6710</v>
      </c>
      <c r="I6166" s="24" t="s">
        <v>6650</v>
      </c>
      <c r="J6166" s="24">
        <v>1.0</v>
      </c>
    </row>
    <row r="6167">
      <c r="A6167" s="24">
        <v>126.0</v>
      </c>
      <c r="B6167" s="24">
        <v>80.0</v>
      </c>
      <c r="C6167" s="44">
        <v>76.69</v>
      </c>
      <c r="D6167" s="46">
        <v>45432.0</v>
      </c>
      <c r="E6167" s="24">
        <v>0.96</v>
      </c>
      <c r="F6167" s="24">
        <v>608.65</v>
      </c>
      <c r="G6167" s="24">
        <v>63.49</v>
      </c>
      <c r="H6167" s="24" t="s">
        <v>6709</v>
      </c>
      <c r="I6167" s="24">
        <v>76.69</v>
      </c>
      <c r="J6167" s="24">
        <v>4.0</v>
      </c>
    </row>
    <row r="6168">
      <c r="A6168" s="24">
        <v>163.0</v>
      </c>
      <c r="B6168" s="24">
        <v>115.0</v>
      </c>
      <c r="C6168" s="44">
        <v>105.53</v>
      </c>
      <c r="D6168" s="46">
        <v>45432.0</v>
      </c>
      <c r="E6168" s="24">
        <v>0.92</v>
      </c>
      <c r="F6168" s="24">
        <v>647.42</v>
      </c>
      <c r="G6168" s="24">
        <v>70.55</v>
      </c>
      <c r="H6168" s="24" t="s">
        <v>6707</v>
      </c>
      <c r="I6168" s="24">
        <v>105.53</v>
      </c>
      <c r="J6168" s="24">
        <v>2.0</v>
      </c>
    </row>
    <row r="6169">
      <c r="A6169" s="24">
        <v>54.0</v>
      </c>
      <c r="B6169" s="24">
        <v>26.0</v>
      </c>
      <c r="C6169" s="44">
        <v>35.28</v>
      </c>
      <c r="D6169" s="46">
        <v>45432.0</v>
      </c>
      <c r="E6169" s="24">
        <v>1.36</v>
      </c>
      <c r="F6169" s="24">
        <v>653.33</v>
      </c>
      <c r="G6169" s="24">
        <v>48.15</v>
      </c>
      <c r="H6169" s="24" t="s">
        <v>6705</v>
      </c>
      <c r="I6169" s="24">
        <v>35.28</v>
      </c>
      <c r="J6169" s="24">
        <v>1.0</v>
      </c>
    </row>
    <row r="6170">
      <c r="A6170" s="24">
        <v>2.0</v>
      </c>
      <c r="B6170" s="24">
        <v>1.0</v>
      </c>
      <c r="C6170" s="44">
        <v>1.35</v>
      </c>
      <c r="D6170" s="46">
        <v>45433.0</v>
      </c>
      <c r="E6170" s="24">
        <v>1.35</v>
      </c>
      <c r="F6170" s="24">
        <v>675.0</v>
      </c>
      <c r="G6170" s="24">
        <v>50.0</v>
      </c>
      <c r="H6170" s="24" t="s">
        <v>6706</v>
      </c>
      <c r="I6170" s="24" t="s">
        <v>6650</v>
      </c>
      <c r="J6170" s="24">
        <v>0.0</v>
      </c>
    </row>
    <row r="6171">
      <c r="A6171" s="24">
        <v>133.0</v>
      </c>
      <c r="B6171" s="24">
        <v>74.0</v>
      </c>
      <c r="C6171" s="44">
        <v>92.35</v>
      </c>
      <c r="D6171" s="46">
        <v>45433.0</v>
      </c>
      <c r="E6171" s="24">
        <v>1.25</v>
      </c>
      <c r="F6171" s="24">
        <v>694.36</v>
      </c>
      <c r="G6171" s="24">
        <v>55.64</v>
      </c>
      <c r="H6171" s="24" t="s">
        <v>6710</v>
      </c>
      <c r="I6171" s="24">
        <v>92.35</v>
      </c>
      <c r="J6171" s="24">
        <v>0.0</v>
      </c>
    </row>
    <row r="6172">
      <c r="A6172" s="24">
        <v>162.0</v>
      </c>
      <c r="B6172" s="24">
        <v>99.0</v>
      </c>
      <c r="C6172" s="44">
        <v>111.7</v>
      </c>
      <c r="D6172" s="46">
        <v>45433.0</v>
      </c>
      <c r="E6172" s="24">
        <v>1.13</v>
      </c>
      <c r="F6172" s="24">
        <v>689.51</v>
      </c>
      <c r="G6172" s="24">
        <v>61.11</v>
      </c>
      <c r="H6172" s="24" t="s">
        <v>6707</v>
      </c>
      <c r="I6172" s="24">
        <v>111.7</v>
      </c>
      <c r="J6172" s="24">
        <v>0.0</v>
      </c>
    </row>
    <row r="6173">
      <c r="A6173" s="24">
        <v>84.0</v>
      </c>
      <c r="B6173" s="24">
        <v>56.0</v>
      </c>
      <c r="C6173" s="44">
        <v>55.87</v>
      </c>
      <c r="D6173" s="46">
        <v>45433.0</v>
      </c>
      <c r="E6173" s="24">
        <v>1.0</v>
      </c>
      <c r="F6173" s="24">
        <v>665.12</v>
      </c>
      <c r="G6173" s="24">
        <v>66.67</v>
      </c>
      <c r="H6173" s="24" t="s">
        <v>6709</v>
      </c>
      <c r="I6173" s="24">
        <v>18.62</v>
      </c>
      <c r="J6173" s="24">
        <v>1.0</v>
      </c>
    </row>
    <row r="6174">
      <c r="A6174" s="24">
        <v>3204.0</v>
      </c>
      <c r="B6174" s="24">
        <v>6.0</v>
      </c>
      <c r="C6174" s="44">
        <v>59.88</v>
      </c>
      <c r="D6174" s="46">
        <v>45433.0</v>
      </c>
      <c r="E6174" s="24">
        <v>9.98</v>
      </c>
      <c r="F6174" s="24">
        <v>18.69</v>
      </c>
      <c r="G6174" s="24">
        <v>0.19</v>
      </c>
      <c r="H6174" s="24" t="s">
        <v>6712</v>
      </c>
      <c r="I6174" s="24">
        <v>9.98</v>
      </c>
      <c r="J6174" s="24">
        <v>0.0</v>
      </c>
    </row>
    <row r="6175">
      <c r="A6175" s="24">
        <v>44.0</v>
      </c>
      <c r="B6175" s="24">
        <v>16.0</v>
      </c>
      <c r="C6175" s="44">
        <v>29.17</v>
      </c>
      <c r="D6175" s="46">
        <v>45433.0</v>
      </c>
      <c r="E6175" s="24">
        <v>1.82</v>
      </c>
      <c r="F6175" s="24">
        <v>662.95</v>
      </c>
      <c r="G6175" s="24">
        <v>36.36</v>
      </c>
      <c r="H6175" s="24" t="s">
        <v>6705</v>
      </c>
      <c r="I6175" s="24">
        <v>29.17</v>
      </c>
      <c r="J6175" s="24">
        <v>0.0</v>
      </c>
    </row>
    <row r="6176">
      <c r="A6176" s="24">
        <v>3181.0</v>
      </c>
      <c r="B6176" s="24">
        <v>11.0</v>
      </c>
      <c r="C6176" s="44">
        <v>59.77</v>
      </c>
      <c r="D6176" s="46">
        <v>45434.0</v>
      </c>
      <c r="E6176" s="24">
        <v>5.43</v>
      </c>
      <c r="F6176" s="24">
        <v>18.79</v>
      </c>
      <c r="G6176" s="24">
        <v>0.35</v>
      </c>
      <c r="H6176" s="24" t="s">
        <v>6712</v>
      </c>
      <c r="I6176" s="24">
        <v>19.92</v>
      </c>
      <c r="J6176" s="24">
        <v>0.0</v>
      </c>
    </row>
    <row r="6177">
      <c r="A6177" s="24">
        <v>121.0</v>
      </c>
      <c r="B6177" s="24">
        <v>80.0</v>
      </c>
      <c r="C6177" s="44">
        <v>80.68</v>
      </c>
      <c r="D6177" s="46">
        <v>45434.0</v>
      </c>
      <c r="E6177" s="24">
        <v>1.01</v>
      </c>
      <c r="F6177" s="24">
        <v>666.78</v>
      </c>
      <c r="G6177" s="24">
        <v>66.12</v>
      </c>
      <c r="H6177" s="24" t="s">
        <v>6710</v>
      </c>
      <c r="I6177" s="24" t="s">
        <v>6650</v>
      </c>
      <c r="J6177" s="24">
        <v>0.0</v>
      </c>
    </row>
    <row r="6178">
      <c r="A6178" s="24">
        <v>55.0</v>
      </c>
      <c r="B6178" s="24">
        <v>33.0</v>
      </c>
      <c r="C6178" s="44">
        <v>35.37</v>
      </c>
      <c r="D6178" s="46">
        <v>45434.0</v>
      </c>
      <c r="E6178" s="24">
        <v>1.07</v>
      </c>
      <c r="F6178" s="24">
        <v>643.09</v>
      </c>
      <c r="G6178" s="24">
        <v>60.0</v>
      </c>
      <c r="H6178" s="24" t="s">
        <v>6705</v>
      </c>
      <c r="I6178" s="24" t="s">
        <v>6650</v>
      </c>
      <c r="J6178" s="24">
        <v>2.0</v>
      </c>
    </row>
    <row r="6179">
      <c r="A6179" s="24">
        <v>169.0</v>
      </c>
      <c r="B6179" s="24">
        <v>92.0</v>
      </c>
      <c r="C6179" s="44">
        <v>112.2</v>
      </c>
      <c r="D6179" s="46">
        <v>45434.0</v>
      </c>
      <c r="E6179" s="24">
        <v>1.22</v>
      </c>
      <c r="F6179" s="24">
        <v>663.91</v>
      </c>
      <c r="G6179" s="24">
        <v>54.44</v>
      </c>
      <c r="H6179" s="24" t="s">
        <v>6707</v>
      </c>
      <c r="I6179" s="24" t="s">
        <v>6650</v>
      </c>
      <c r="J6179" s="24">
        <v>0.0</v>
      </c>
    </row>
    <row r="6180">
      <c r="A6180" s="24">
        <v>87.0</v>
      </c>
      <c r="B6180" s="24">
        <v>49.0</v>
      </c>
      <c r="C6180" s="44">
        <v>54.7</v>
      </c>
      <c r="D6180" s="46">
        <v>45434.0</v>
      </c>
      <c r="E6180" s="24">
        <v>1.12</v>
      </c>
      <c r="F6180" s="24">
        <v>628.74</v>
      </c>
      <c r="G6180" s="24">
        <v>56.32</v>
      </c>
      <c r="H6180" s="24" t="s">
        <v>6709</v>
      </c>
      <c r="I6180" s="24" t="s">
        <v>6650</v>
      </c>
      <c r="J6180" s="24">
        <v>0.0</v>
      </c>
    </row>
    <row r="6181">
      <c r="A6181" s="24">
        <v>3148.0</v>
      </c>
      <c r="B6181" s="24">
        <v>8.0</v>
      </c>
      <c r="C6181" s="44">
        <v>60.35</v>
      </c>
      <c r="D6181" s="46">
        <v>45435.0</v>
      </c>
      <c r="E6181" s="24">
        <v>7.54</v>
      </c>
      <c r="F6181" s="24">
        <v>19.17</v>
      </c>
      <c r="G6181" s="24">
        <v>0.25</v>
      </c>
      <c r="H6181" s="24" t="s">
        <v>6712</v>
      </c>
      <c r="I6181" s="24">
        <v>60.35</v>
      </c>
      <c r="J6181" s="24">
        <v>0.0</v>
      </c>
    </row>
    <row r="6182">
      <c r="A6182" s="24">
        <v>1.0</v>
      </c>
      <c r="B6182" s="24">
        <v>1.0</v>
      </c>
      <c r="C6182" s="44">
        <v>0.35</v>
      </c>
      <c r="D6182" s="46">
        <v>45435.0</v>
      </c>
      <c r="E6182" s="24">
        <v>0.35</v>
      </c>
      <c r="F6182" s="24">
        <v>350.0</v>
      </c>
      <c r="G6182" s="24">
        <v>100.0</v>
      </c>
      <c r="H6182" s="24" t="s">
        <v>6706</v>
      </c>
      <c r="I6182" s="24" t="s">
        <v>6650</v>
      </c>
      <c r="J6182" s="24">
        <v>0.0</v>
      </c>
    </row>
    <row r="6183">
      <c r="A6183" s="24">
        <v>105.0</v>
      </c>
      <c r="B6183" s="24">
        <v>65.0</v>
      </c>
      <c r="C6183" s="44">
        <v>76.76</v>
      </c>
      <c r="D6183" s="46">
        <v>45435.0</v>
      </c>
      <c r="E6183" s="24">
        <v>1.18</v>
      </c>
      <c r="F6183" s="24">
        <v>731.05</v>
      </c>
      <c r="G6183" s="24">
        <v>61.9</v>
      </c>
      <c r="H6183" s="24" t="s">
        <v>6710</v>
      </c>
      <c r="I6183" s="24" t="s">
        <v>6650</v>
      </c>
      <c r="J6183" s="24">
        <v>0.0</v>
      </c>
    </row>
    <row r="6184">
      <c r="A6184" s="24">
        <v>39.0</v>
      </c>
      <c r="B6184" s="24">
        <v>22.0</v>
      </c>
      <c r="C6184" s="44">
        <v>25.84</v>
      </c>
      <c r="D6184" s="46">
        <v>45435.0</v>
      </c>
      <c r="E6184" s="24">
        <v>1.17</v>
      </c>
      <c r="F6184" s="24">
        <v>662.56</v>
      </c>
      <c r="G6184" s="24">
        <v>56.41</v>
      </c>
      <c r="H6184" s="24" t="s">
        <v>6705</v>
      </c>
      <c r="I6184" s="24">
        <v>25.84</v>
      </c>
      <c r="J6184" s="24">
        <v>3.0</v>
      </c>
    </row>
    <row r="6185">
      <c r="A6185" s="24">
        <v>80.0</v>
      </c>
      <c r="B6185" s="24">
        <v>49.0</v>
      </c>
      <c r="C6185" s="44">
        <v>57.28</v>
      </c>
      <c r="D6185" s="46">
        <v>45435.0</v>
      </c>
      <c r="E6185" s="24">
        <v>1.17</v>
      </c>
      <c r="F6185" s="24">
        <v>716.0</v>
      </c>
      <c r="G6185" s="24">
        <v>61.25</v>
      </c>
      <c r="H6185" s="24" t="s">
        <v>6709</v>
      </c>
      <c r="I6185" s="24">
        <v>57.28</v>
      </c>
      <c r="J6185" s="24">
        <v>6.0</v>
      </c>
    </row>
    <row r="6186">
      <c r="A6186" s="24">
        <v>175.0</v>
      </c>
      <c r="B6186" s="24">
        <v>96.0</v>
      </c>
      <c r="C6186" s="44">
        <v>116.5</v>
      </c>
      <c r="D6186" s="46">
        <v>45435.0</v>
      </c>
      <c r="E6186" s="24">
        <v>1.21</v>
      </c>
      <c r="F6186" s="24">
        <v>665.71</v>
      </c>
      <c r="G6186" s="24">
        <v>54.86</v>
      </c>
      <c r="H6186" s="24" t="s">
        <v>6707</v>
      </c>
      <c r="I6186" s="24">
        <v>116.5</v>
      </c>
      <c r="J6186" s="24">
        <v>2.0</v>
      </c>
    </row>
    <row r="6187">
      <c r="A6187" s="24">
        <v>65.0</v>
      </c>
      <c r="B6187" s="24">
        <v>35.0</v>
      </c>
      <c r="C6187" s="44">
        <v>45.76</v>
      </c>
      <c r="D6187" s="46">
        <v>45436.0</v>
      </c>
      <c r="E6187" s="24">
        <v>1.31</v>
      </c>
      <c r="F6187" s="24">
        <v>704.0</v>
      </c>
      <c r="G6187" s="24">
        <v>53.85</v>
      </c>
      <c r="H6187" s="24" t="s">
        <v>6709</v>
      </c>
      <c r="I6187" s="24" t="s">
        <v>6650</v>
      </c>
      <c r="J6187" s="24">
        <v>2.0</v>
      </c>
    </row>
    <row r="6188">
      <c r="A6188" s="24">
        <v>39.0</v>
      </c>
      <c r="B6188" s="24">
        <v>17.0</v>
      </c>
      <c r="C6188" s="44">
        <v>31.76</v>
      </c>
      <c r="D6188" s="46">
        <v>45436.0</v>
      </c>
      <c r="E6188" s="24">
        <v>1.87</v>
      </c>
      <c r="F6188" s="24">
        <v>814.36</v>
      </c>
      <c r="G6188" s="24">
        <v>43.59</v>
      </c>
      <c r="H6188" s="24" t="s">
        <v>6705</v>
      </c>
      <c r="I6188" s="24" t="s">
        <v>6650</v>
      </c>
      <c r="J6188" s="24">
        <v>0.0</v>
      </c>
    </row>
    <row r="6189">
      <c r="A6189" s="24">
        <v>76.0</v>
      </c>
      <c r="B6189" s="24">
        <v>49.0</v>
      </c>
      <c r="C6189" s="44">
        <v>51.49</v>
      </c>
      <c r="D6189" s="46">
        <v>45436.0</v>
      </c>
      <c r="E6189" s="24">
        <v>1.05</v>
      </c>
      <c r="F6189" s="24">
        <v>677.5</v>
      </c>
      <c r="G6189" s="24">
        <v>64.47</v>
      </c>
      <c r="H6189" s="24" t="s">
        <v>6710</v>
      </c>
      <c r="I6189" s="24" t="s">
        <v>6650</v>
      </c>
      <c r="J6189" s="24">
        <v>0.0</v>
      </c>
    </row>
    <row r="6190">
      <c r="A6190" s="24">
        <v>2435.0</v>
      </c>
      <c r="B6190" s="24">
        <v>6.0</v>
      </c>
      <c r="C6190" s="44">
        <v>55.36</v>
      </c>
      <c r="D6190" s="46">
        <v>45436.0</v>
      </c>
      <c r="E6190" s="24">
        <v>9.23</v>
      </c>
      <c r="F6190" s="24">
        <v>22.74</v>
      </c>
      <c r="G6190" s="24">
        <v>0.25</v>
      </c>
      <c r="H6190" s="24" t="s">
        <v>6712</v>
      </c>
      <c r="I6190" s="24">
        <v>11.07</v>
      </c>
      <c r="J6190" s="24">
        <v>0.0</v>
      </c>
    </row>
    <row r="6191">
      <c r="A6191" s="24">
        <v>2.0</v>
      </c>
      <c r="B6191" s="24">
        <v>0.0</v>
      </c>
      <c r="C6191" s="44">
        <v>1.75</v>
      </c>
      <c r="D6191" s="46">
        <v>45436.0</v>
      </c>
      <c r="E6191" s="24" t="s">
        <v>6650</v>
      </c>
      <c r="F6191" s="24">
        <v>875.0</v>
      </c>
      <c r="G6191" s="24">
        <v>0.0</v>
      </c>
      <c r="H6191" s="24" t="s">
        <v>6706</v>
      </c>
      <c r="I6191" s="24" t="s">
        <v>6650</v>
      </c>
      <c r="J6191" s="24">
        <v>0.0</v>
      </c>
    </row>
    <row r="6192">
      <c r="A6192" s="24">
        <v>154.0</v>
      </c>
      <c r="B6192" s="24">
        <v>77.0</v>
      </c>
      <c r="C6192" s="44">
        <v>105.6</v>
      </c>
      <c r="D6192" s="46">
        <v>45436.0</v>
      </c>
      <c r="E6192" s="24">
        <v>1.37</v>
      </c>
      <c r="F6192" s="24">
        <v>685.71</v>
      </c>
      <c r="G6192" s="24">
        <v>50.0</v>
      </c>
      <c r="H6192" s="24" t="s">
        <v>6707</v>
      </c>
      <c r="I6192" s="24" t="s">
        <v>6650</v>
      </c>
      <c r="J6192" s="24">
        <v>2.0</v>
      </c>
    </row>
    <row r="6193">
      <c r="A6193" s="24">
        <v>93.0</v>
      </c>
      <c r="B6193" s="24">
        <v>36.0</v>
      </c>
      <c r="C6193" s="44">
        <v>66.63</v>
      </c>
      <c r="D6193" s="46">
        <v>45437.0</v>
      </c>
      <c r="E6193" s="24">
        <v>1.85</v>
      </c>
      <c r="F6193" s="24">
        <v>716.45</v>
      </c>
      <c r="G6193" s="24">
        <v>38.71</v>
      </c>
      <c r="H6193" s="24" t="s">
        <v>6710</v>
      </c>
      <c r="I6193" s="24" t="s">
        <v>6650</v>
      </c>
      <c r="J6193" s="24">
        <v>0.0</v>
      </c>
    </row>
    <row r="6194">
      <c r="A6194" s="24">
        <v>52.0</v>
      </c>
      <c r="B6194" s="24">
        <v>19.0</v>
      </c>
      <c r="C6194" s="44">
        <v>32.83</v>
      </c>
      <c r="D6194" s="46">
        <v>45437.0</v>
      </c>
      <c r="E6194" s="24">
        <v>1.73</v>
      </c>
      <c r="F6194" s="24">
        <v>631.35</v>
      </c>
      <c r="G6194" s="24">
        <v>36.54</v>
      </c>
      <c r="H6194" s="24" t="s">
        <v>6709</v>
      </c>
      <c r="I6194" s="24" t="s">
        <v>6650</v>
      </c>
      <c r="J6194" s="24">
        <v>2.0</v>
      </c>
    </row>
    <row r="6195">
      <c r="A6195" s="24">
        <v>1757.0</v>
      </c>
      <c r="B6195" s="24">
        <v>3.0</v>
      </c>
      <c r="C6195" s="44">
        <v>33.51</v>
      </c>
      <c r="D6195" s="46">
        <v>45437.0</v>
      </c>
      <c r="E6195" s="24">
        <v>11.17</v>
      </c>
      <c r="F6195" s="24">
        <v>19.07</v>
      </c>
      <c r="G6195" s="24">
        <v>0.17</v>
      </c>
      <c r="H6195" s="24" t="s">
        <v>6712</v>
      </c>
      <c r="I6195" s="24">
        <v>33.51</v>
      </c>
      <c r="J6195" s="24">
        <v>0.0</v>
      </c>
    </row>
    <row r="6196">
      <c r="A6196" s="24">
        <v>2.0</v>
      </c>
      <c r="B6196" s="24">
        <v>1.0</v>
      </c>
      <c r="C6196" s="44">
        <v>0.92</v>
      </c>
      <c r="D6196" s="46">
        <v>45437.0</v>
      </c>
      <c r="E6196" s="24">
        <v>0.92</v>
      </c>
      <c r="F6196" s="24">
        <v>460.0</v>
      </c>
      <c r="G6196" s="24">
        <v>50.0</v>
      </c>
      <c r="H6196" s="24" t="s">
        <v>6706</v>
      </c>
      <c r="I6196" s="24" t="s">
        <v>6650</v>
      </c>
      <c r="J6196" s="24">
        <v>0.0</v>
      </c>
    </row>
    <row r="6197">
      <c r="A6197" s="24">
        <v>40.0</v>
      </c>
      <c r="B6197" s="24">
        <v>17.0</v>
      </c>
      <c r="C6197" s="44">
        <v>29.43</v>
      </c>
      <c r="D6197" s="46">
        <v>45437.0</v>
      </c>
      <c r="E6197" s="24">
        <v>1.73</v>
      </c>
      <c r="F6197" s="24">
        <v>735.75</v>
      </c>
      <c r="G6197" s="24">
        <v>42.5</v>
      </c>
      <c r="H6197" s="24" t="s">
        <v>6705</v>
      </c>
      <c r="I6197" s="24" t="s">
        <v>6650</v>
      </c>
      <c r="J6197" s="24">
        <v>0.0</v>
      </c>
    </row>
    <row r="6198">
      <c r="A6198" s="24">
        <v>117.0</v>
      </c>
      <c r="B6198" s="24">
        <v>56.0</v>
      </c>
      <c r="C6198" s="44">
        <v>77.88</v>
      </c>
      <c r="D6198" s="46">
        <v>45437.0</v>
      </c>
      <c r="E6198" s="24">
        <v>1.39</v>
      </c>
      <c r="F6198" s="24">
        <v>665.64</v>
      </c>
      <c r="G6198" s="24">
        <v>47.86</v>
      </c>
      <c r="H6198" s="24" t="s">
        <v>6707</v>
      </c>
      <c r="I6198" s="24" t="s">
        <v>6650</v>
      </c>
      <c r="J6198" s="24">
        <v>0.0</v>
      </c>
    </row>
    <row r="6199">
      <c r="A6199" s="24">
        <v>1515.0</v>
      </c>
      <c r="B6199" s="24">
        <v>4.0</v>
      </c>
      <c r="C6199" s="44">
        <v>25.7</v>
      </c>
      <c r="D6199" s="46">
        <v>45438.0</v>
      </c>
      <c r="E6199" s="24">
        <v>6.42</v>
      </c>
      <c r="F6199" s="24">
        <v>16.96</v>
      </c>
      <c r="G6199" s="24">
        <v>0.26</v>
      </c>
      <c r="H6199" s="24" t="s">
        <v>6712</v>
      </c>
      <c r="I6199" s="24">
        <v>12.85</v>
      </c>
      <c r="J6199" s="24">
        <v>0.0</v>
      </c>
    </row>
    <row r="6200">
      <c r="A6200" s="24">
        <v>41.0</v>
      </c>
      <c r="B6200" s="24">
        <v>22.0</v>
      </c>
      <c r="C6200" s="44">
        <v>30.12</v>
      </c>
      <c r="D6200" s="46">
        <v>45438.0</v>
      </c>
      <c r="E6200" s="24">
        <v>1.37</v>
      </c>
      <c r="F6200" s="24">
        <v>734.63</v>
      </c>
      <c r="G6200" s="24">
        <v>53.66</v>
      </c>
      <c r="H6200" s="24" t="s">
        <v>6705</v>
      </c>
      <c r="I6200" s="24" t="s">
        <v>6650</v>
      </c>
      <c r="J6200" s="24">
        <v>1.0</v>
      </c>
    </row>
    <row r="6201">
      <c r="A6201" s="24">
        <v>2.0</v>
      </c>
      <c r="B6201" s="24">
        <v>0.0</v>
      </c>
      <c r="C6201" s="44">
        <v>2.0</v>
      </c>
      <c r="D6201" s="46">
        <v>45438.0</v>
      </c>
      <c r="E6201" s="24" t="s">
        <v>6650</v>
      </c>
      <c r="F6201" s="24">
        <v>1000.0</v>
      </c>
      <c r="G6201" s="24">
        <v>0.0</v>
      </c>
      <c r="H6201" s="24" t="s">
        <v>6706</v>
      </c>
      <c r="I6201" s="24" t="s">
        <v>6650</v>
      </c>
      <c r="J6201" s="24">
        <v>0.0</v>
      </c>
    </row>
    <row r="6202">
      <c r="A6202" s="24">
        <v>116.0</v>
      </c>
      <c r="B6202" s="24">
        <v>50.0</v>
      </c>
      <c r="C6202" s="44">
        <v>70.59</v>
      </c>
      <c r="D6202" s="46">
        <v>45438.0</v>
      </c>
      <c r="E6202" s="24">
        <v>1.41</v>
      </c>
      <c r="F6202" s="24">
        <v>608.53</v>
      </c>
      <c r="G6202" s="24">
        <v>43.1</v>
      </c>
      <c r="H6202" s="24" t="s">
        <v>6707</v>
      </c>
      <c r="I6202" s="24" t="s">
        <v>6650</v>
      </c>
      <c r="J6202" s="24">
        <v>1.0</v>
      </c>
    </row>
    <row r="6203">
      <c r="A6203" s="24">
        <v>59.0</v>
      </c>
      <c r="B6203" s="24">
        <v>26.0</v>
      </c>
      <c r="C6203" s="44">
        <v>42.67</v>
      </c>
      <c r="D6203" s="46">
        <v>45438.0</v>
      </c>
      <c r="E6203" s="24">
        <v>1.64</v>
      </c>
      <c r="F6203" s="24">
        <v>723.22</v>
      </c>
      <c r="G6203" s="24">
        <v>44.07</v>
      </c>
      <c r="H6203" s="24" t="s">
        <v>6709</v>
      </c>
      <c r="I6203" s="24">
        <v>42.67</v>
      </c>
      <c r="J6203" s="24">
        <v>0.0</v>
      </c>
    </row>
    <row r="6204">
      <c r="A6204" s="24">
        <v>87.0</v>
      </c>
      <c r="B6204" s="24">
        <v>36.0</v>
      </c>
      <c r="C6204" s="44">
        <v>63.65</v>
      </c>
      <c r="D6204" s="46">
        <v>45438.0</v>
      </c>
      <c r="E6204" s="24">
        <v>1.77</v>
      </c>
      <c r="F6204" s="24">
        <v>731.61</v>
      </c>
      <c r="G6204" s="24">
        <v>41.38</v>
      </c>
      <c r="H6204" s="24" t="s">
        <v>6710</v>
      </c>
      <c r="I6204" s="24" t="s">
        <v>6650</v>
      </c>
      <c r="J6204" s="24">
        <v>0.0</v>
      </c>
    </row>
    <row r="6205">
      <c r="A6205" s="24">
        <v>153.0</v>
      </c>
      <c r="B6205" s="24">
        <v>61.0</v>
      </c>
      <c r="C6205" s="44">
        <v>104.79</v>
      </c>
      <c r="D6205" s="46">
        <v>45439.0</v>
      </c>
      <c r="E6205" s="24">
        <v>1.72</v>
      </c>
      <c r="F6205" s="24">
        <v>684.9</v>
      </c>
      <c r="G6205" s="24">
        <v>39.87</v>
      </c>
      <c r="H6205" s="24" t="s">
        <v>6710</v>
      </c>
      <c r="I6205" s="24" t="s">
        <v>6650</v>
      </c>
      <c r="J6205" s="24">
        <v>0.0</v>
      </c>
    </row>
    <row r="6206">
      <c r="A6206" s="24">
        <v>3062.0</v>
      </c>
      <c r="B6206" s="24">
        <v>16.0</v>
      </c>
      <c r="C6206" s="44">
        <v>56.77</v>
      </c>
      <c r="D6206" s="46">
        <v>45439.0</v>
      </c>
      <c r="E6206" s="24">
        <v>3.55</v>
      </c>
      <c r="F6206" s="24">
        <v>18.54</v>
      </c>
      <c r="G6206" s="24">
        <v>0.52</v>
      </c>
      <c r="H6206" s="24" t="s">
        <v>6712</v>
      </c>
      <c r="I6206" s="24">
        <v>14.19</v>
      </c>
      <c r="J6206" s="24">
        <v>0.0</v>
      </c>
    </row>
    <row r="6207">
      <c r="A6207" s="24">
        <v>4.0</v>
      </c>
      <c r="B6207" s="24">
        <v>1.0</v>
      </c>
      <c r="C6207" s="44">
        <v>2.6</v>
      </c>
      <c r="D6207" s="46">
        <v>45439.0</v>
      </c>
      <c r="E6207" s="24">
        <v>2.6</v>
      </c>
      <c r="F6207" s="24">
        <v>650.0</v>
      </c>
      <c r="G6207" s="24">
        <v>25.0</v>
      </c>
      <c r="H6207" s="24" t="s">
        <v>6706</v>
      </c>
      <c r="I6207" s="24" t="s">
        <v>6650</v>
      </c>
      <c r="J6207" s="24">
        <v>0.0</v>
      </c>
    </row>
    <row r="6208">
      <c r="A6208" s="24">
        <v>166.0</v>
      </c>
      <c r="B6208" s="24">
        <v>82.0</v>
      </c>
      <c r="C6208" s="44">
        <v>108.86</v>
      </c>
      <c r="D6208" s="46">
        <v>45439.0</v>
      </c>
      <c r="E6208" s="24">
        <v>1.33</v>
      </c>
      <c r="F6208" s="24">
        <v>655.78</v>
      </c>
      <c r="G6208" s="24">
        <v>49.4</v>
      </c>
      <c r="H6208" s="24" t="s">
        <v>6707</v>
      </c>
      <c r="I6208" s="24" t="s">
        <v>6650</v>
      </c>
      <c r="J6208" s="24">
        <v>1.0</v>
      </c>
    </row>
    <row r="6209">
      <c r="A6209" s="24">
        <v>86.0</v>
      </c>
      <c r="B6209" s="24">
        <v>41.0</v>
      </c>
      <c r="C6209" s="44">
        <v>57.74</v>
      </c>
      <c r="D6209" s="46">
        <v>45439.0</v>
      </c>
      <c r="E6209" s="24">
        <v>1.41</v>
      </c>
      <c r="F6209" s="24">
        <v>671.4</v>
      </c>
      <c r="G6209" s="24">
        <v>47.67</v>
      </c>
      <c r="H6209" s="24" t="s">
        <v>6709</v>
      </c>
      <c r="I6209" s="24" t="s">
        <v>6650</v>
      </c>
      <c r="J6209" s="24">
        <v>1.0</v>
      </c>
    </row>
    <row r="6210">
      <c r="A6210" s="24">
        <v>64.0</v>
      </c>
      <c r="B6210" s="24">
        <v>27.0</v>
      </c>
      <c r="C6210" s="44">
        <v>48.34</v>
      </c>
      <c r="D6210" s="46">
        <v>45439.0</v>
      </c>
      <c r="E6210" s="24">
        <v>1.79</v>
      </c>
      <c r="F6210" s="24">
        <v>755.31</v>
      </c>
      <c r="G6210" s="24">
        <v>42.19</v>
      </c>
      <c r="H6210" s="24" t="s">
        <v>6705</v>
      </c>
      <c r="I6210" s="24" t="s">
        <v>6650</v>
      </c>
      <c r="J6210" s="24">
        <v>1.0</v>
      </c>
    </row>
    <row r="6211">
      <c r="A6211" s="24">
        <v>157.0</v>
      </c>
      <c r="B6211" s="24">
        <v>116.0</v>
      </c>
      <c r="C6211" s="44">
        <v>103.0</v>
      </c>
      <c r="D6211" s="46">
        <v>45440.0</v>
      </c>
      <c r="E6211" s="24">
        <v>0.89</v>
      </c>
      <c r="F6211" s="24">
        <v>656.05</v>
      </c>
      <c r="G6211" s="24">
        <v>73.89</v>
      </c>
      <c r="H6211" s="24" t="s">
        <v>6710</v>
      </c>
      <c r="I6211" s="24" t="s">
        <v>6650</v>
      </c>
      <c r="J6211" s="24">
        <v>2.0</v>
      </c>
    </row>
    <row r="6212">
      <c r="A6212" s="24">
        <v>54.0</v>
      </c>
      <c r="B6212" s="24">
        <v>35.0</v>
      </c>
      <c r="C6212" s="44">
        <v>34.37</v>
      </c>
      <c r="D6212" s="46">
        <v>45440.0</v>
      </c>
      <c r="E6212" s="24">
        <v>0.98</v>
      </c>
      <c r="F6212" s="24">
        <v>636.48</v>
      </c>
      <c r="G6212" s="24">
        <v>64.81</v>
      </c>
      <c r="H6212" s="24" t="s">
        <v>6705</v>
      </c>
      <c r="I6212" s="24">
        <v>17.18</v>
      </c>
      <c r="J6212" s="24">
        <v>1.0</v>
      </c>
    </row>
    <row r="6213">
      <c r="A6213" s="24">
        <v>165.0</v>
      </c>
      <c r="B6213" s="24">
        <v>116.0</v>
      </c>
      <c r="C6213" s="44">
        <v>110.69</v>
      </c>
      <c r="D6213" s="46">
        <v>45440.0</v>
      </c>
      <c r="E6213" s="24">
        <v>0.95</v>
      </c>
      <c r="F6213" s="24">
        <v>670.85</v>
      </c>
      <c r="G6213" s="24">
        <v>70.3</v>
      </c>
      <c r="H6213" s="24" t="s">
        <v>6707</v>
      </c>
      <c r="I6213" s="24" t="s">
        <v>6650</v>
      </c>
      <c r="J6213" s="24">
        <v>2.0</v>
      </c>
    </row>
    <row r="6214">
      <c r="A6214" s="24">
        <v>101.0</v>
      </c>
      <c r="B6214" s="24">
        <v>61.0</v>
      </c>
      <c r="C6214" s="44">
        <v>67.62</v>
      </c>
      <c r="D6214" s="46">
        <v>45440.0</v>
      </c>
      <c r="E6214" s="24">
        <v>1.11</v>
      </c>
      <c r="F6214" s="24">
        <v>669.5</v>
      </c>
      <c r="G6214" s="24">
        <v>60.4</v>
      </c>
      <c r="H6214" s="24" t="s">
        <v>6709</v>
      </c>
      <c r="I6214" s="24">
        <v>67.62</v>
      </c>
      <c r="J6214" s="24">
        <v>4.0</v>
      </c>
    </row>
    <row r="6215">
      <c r="A6215" s="24">
        <v>3179.0</v>
      </c>
      <c r="B6215" s="24">
        <v>14.0</v>
      </c>
      <c r="C6215" s="44">
        <v>59.88</v>
      </c>
      <c r="D6215" s="46">
        <v>45440.0</v>
      </c>
      <c r="E6215" s="24">
        <v>4.28</v>
      </c>
      <c r="F6215" s="24">
        <v>18.84</v>
      </c>
      <c r="G6215" s="24">
        <v>0.44</v>
      </c>
      <c r="H6215" s="24" t="s">
        <v>6712</v>
      </c>
      <c r="I6215" s="24">
        <v>5.99</v>
      </c>
      <c r="J6215" s="24">
        <v>0.0</v>
      </c>
    </row>
    <row r="6216">
      <c r="A6216" s="24">
        <v>5.0</v>
      </c>
      <c r="B6216" s="24">
        <v>2.0</v>
      </c>
      <c r="C6216" s="44">
        <v>2.1</v>
      </c>
      <c r="D6216" s="46">
        <v>45440.0</v>
      </c>
      <c r="E6216" s="24">
        <v>1.05</v>
      </c>
      <c r="F6216" s="24">
        <v>420.0</v>
      </c>
      <c r="G6216" s="24">
        <v>40.0</v>
      </c>
      <c r="H6216" s="24" t="s">
        <v>6706</v>
      </c>
      <c r="I6216" s="24" t="s">
        <v>6650</v>
      </c>
      <c r="J6216" s="24">
        <v>1.0</v>
      </c>
    </row>
    <row r="6217">
      <c r="A6217" s="24">
        <v>160.0</v>
      </c>
      <c r="B6217" s="24">
        <v>106.0</v>
      </c>
      <c r="C6217" s="44">
        <v>106.89</v>
      </c>
      <c r="D6217" s="46">
        <v>45441.0</v>
      </c>
      <c r="E6217" s="24">
        <v>1.01</v>
      </c>
      <c r="F6217" s="24">
        <v>668.06</v>
      </c>
      <c r="G6217" s="24">
        <v>66.25</v>
      </c>
      <c r="H6217" s="24" t="s">
        <v>6710</v>
      </c>
      <c r="I6217" s="24">
        <v>106.89</v>
      </c>
      <c r="J6217" s="24">
        <v>1.0</v>
      </c>
    </row>
    <row r="6218">
      <c r="A6218" s="24">
        <v>120.0</v>
      </c>
      <c r="B6218" s="24">
        <v>50.0</v>
      </c>
      <c r="C6218" s="44">
        <v>91.47</v>
      </c>
      <c r="D6218" s="46">
        <v>45441.0</v>
      </c>
      <c r="E6218" s="24">
        <v>1.83</v>
      </c>
      <c r="F6218" s="24">
        <v>762.25</v>
      </c>
      <c r="G6218" s="24">
        <v>41.67</v>
      </c>
      <c r="H6218" s="24" t="s">
        <v>6709</v>
      </c>
      <c r="I6218" s="24" t="s">
        <v>6650</v>
      </c>
      <c r="J6218" s="24">
        <v>0.0</v>
      </c>
    </row>
    <row r="6219">
      <c r="A6219" s="24">
        <v>168.0</v>
      </c>
      <c r="B6219" s="24">
        <v>93.0</v>
      </c>
      <c r="C6219" s="44">
        <v>115.41</v>
      </c>
      <c r="D6219" s="46">
        <v>45441.0</v>
      </c>
      <c r="E6219" s="24">
        <v>1.24</v>
      </c>
      <c r="F6219" s="24">
        <v>686.96</v>
      </c>
      <c r="G6219" s="24">
        <v>55.36</v>
      </c>
      <c r="H6219" s="24" t="s">
        <v>6707</v>
      </c>
      <c r="I6219" s="24" t="s">
        <v>6650</v>
      </c>
      <c r="J6219" s="24">
        <v>0.0</v>
      </c>
    </row>
    <row r="6220">
      <c r="A6220" s="24">
        <v>93.0</v>
      </c>
      <c r="B6220" s="24">
        <v>34.0</v>
      </c>
      <c r="C6220" s="44">
        <v>63.3</v>
      </c>
      <c r="D6220" s="46">
        <v>45441.0</v>
      </c>
      <c r="E6220" s="24">
        <v>1.86</v>
      </c>
      <c r="F6220" s="24">
        <v>680.65</v>
      </c>
      <c r="G6220" s="24">
        <v>36.56</v>
      </c>
      <c r="H6220" s="24" t="s">
        <v>6705</v>
      </c>
      <c r="I6220" s="24" t="s">
        <v>6650</v>
      </c>
      <c r="J6220" s="24">
        <v>0.0</v>
      </c>
    </row>
    <row r="6221">
      <c r="A6221" s="24">
        <v>3089.0</v>
      </c>
      <c r="B6221" s="24">
        <v>15.0</v>
      </c>
      <c r="C6221" s="44">
        <v>60.66</v>
      </c>
      <c r="D6221" s="46">
        <v>45441.0</v>
      </c>
      <c r="E6221" s="24">
        <v>4.04</v>
      </c>
      <c r="F6221" s="24">
        <v>19.64</v>
      </c>
      <c r="G6221" s="24">
        <v>0.49</v>
      </c>
      <c r="H6221" s="24" t="s">
        <v>6712</v>
      </c>
      <c r="I6221" s="24">
        <v>30.33</v>
      </c>
      <c r="J6221" s="24">
        <v>0.0</v>
      </c>
    </row>
    <row r="6222">
      <c r="A6222" s="24">
        <v>6.0</v>
      </c>
      <c r="B6222" s="24">
        <v>2.0</v>
      </c>
      <c r="C6222" s="44">
        <v>4.0</v>
      </c>
      <c r="D6222" s="46">
        <v>45441.0</v>
      </c>
      <c r="E6222" s="24">
        <v>2.0</v>
      </c>
      <c r="F6222" s="24">
        <v>666.67</v>
      </c>
      <c r="G6222" s="24">
        <v>33.33</v>
      </c>
      <c r="H6222" s="24" t="s">
        <v>6706</v>
      </c>
      <c r="I6222" s="24" t="s">
        <v>6650</v>
      </c>
      <c r="J6222" s="24">
        <v>0.0</v>
      </c>
    </row>
    <row r="6223">
      <c r="A6223" s="24">
        <v>121.0</v>
      </c>
      <c r="B6223" s="24">
        <v>52.0</v>
      </c>
      <c r="C6223" s="44">
        <v>90.32</v>
      </c>
      <c r="D6223" s="46">
        <v>45442.0</v>
      </c>
      <c r="E6223" s="24">
        <v>1.74</v>
      </c>
      <c r="F6223" s="24">
        <v>746.45</v>
      </c>
      <c r="G6223" s="24">
        <v>42.98</v>
      </c>
      <c r="H6223" s="24" t="s">
        <v>6705</v>
      </c>
      <c r="I6223" s="24" t="s">
        <v>6650</v>
      </c>
      <c r="J6223" s="24">
        <v>0.0</v>
      </c>
    </row>
    <row r="6224">
      <c r="A6224" s="24">
        <v>168.0</v>
      </c>
      <c r="B6224" s="24">
        <v>103.0</v>
      </c>
      <c r="C6224" s="44">
        <v>108.41</v>
      </c>
      <c r="D6224" s="46">
        <v>45442.0</v>
      </c>
      <c r="E6224" s="24">
        <v>1.05</v>
      </c>
      <c r="F6224" s="24">
        <v>645.3</v>
      </c>
      <c r="G6224" s="24">
        <v>61.31</v>
      </c>
      <c r="H6224" s="24" t="s">
        <v>6707</v>
      </c>
      <c r="I6224" s="24">
        <v>54.2</v>
      </c>
      <c r="J6224" s="24">
        <v>3.0</v>
      </c>
    </row>
    <row r="6225">
      <c r="A6225" s="24">
        <v>14.0</v>
      </c>
      <c r="B6225" s="24">
        <v>7.0</v>
      </c>
      <c r="C6225" s="44">
        <v>10.04</v>
      </c>
      <c r="D6225" s="46">
        <v>45442.0</v>
      </c>
      <c r="E6225" s="24">
        <v>1.43</v>
      </c>
      <c r="F6225" s="24">
        <v>717.14</v>
      </c>
      <c r="G6225" s="24">
        <v>50.0</v>
      </c>
      <c r="H6225" s="24" t="s">
        <v>6706</v>
      </c>
      <c r="I6225" s="24" t="s">
        <v>6650</v>
      </c>
      <c r="J6225" s="24">
        <v>0.0</v>
      </c>
    </row>
    <row r="6226">
      <c r="A6226" s="24">
        <v>3083.0</v>
      </c>
      <c r="B6226" s="24">
        <v>13.0</v>
      </c>
      <c r="C6226" s="44">
        <v>60.34</v>
      </c>
      <c r="D6226" s="46">
        <v>45442.0</v>
      </c>
      <c r="E6226" s="24">
        <v>4.64</v>
      </c>
      <c r="F6226" s="24">
        <v>19.57</v>
      </c>
      <c r="G6226" s="24">
        <v>0.42</v>
      </c>
      <c r="H6226" s="24" t="s">
        <v>6712</v>
      </c>
      <c r="I6226" s="24">
        <v>8.62</v>
      </c>
      <c r="J6226" s="24">
        <v>0.0</v>
      </c>
    </row>
    <row r="6227">
      <c r="A6227" s="24">
        <v>136.0</v>
      </c>
      <c r="B6227" s="24">
        <v>87.0</v>
      </c>
      <c r="C6227" s="44">
        <v>98.47</v>
      </c>
      <c r="D6227" s="46">
        <v>45442.0</v>
      </c>
      <c r="E6227" s="24">
        <v>1.13</v>
      </c>
      <c r="F6227" s="24">
        <v>724.04</v>
      </c>
      <c r="G6227" s="24">
        <v>63.97</v>
      </c>
      <c r="H6227" s="24" t="s">
        <v>6709</v>
      </c>
      <c r="I6227" s="24">
        <v>98.47</v>
      </c>
      <c r="J6227" s="24">
        <v>4.0</v>
      </c>
    </row>
    <row r="6228">
      <c r="A6228" s="24">
        <v>119.0</v>
      </c>
      <c r="B6228" s="24">
        <v>82.0</v>
      </c>
      <c r="C6228" s="44">
        <v>81.61</v>
      </c>
      <c r="D6228" s="46">
        <v>45442.0</v>
      </c>
      <c r="E6228" s="24">
        <v>1.0</v>
      </c>
      <c r="F6228" s="24">
        <v>685.8</v>
      </c>
      <c r="G6228" s="24">
        <v>68.91</v>
      </c>
      <c r="H6228" s="24" t="s">
        <v>6710</v>
      </c>
      <c r="I6228" s="24">
        <v>81.61</v>
      </c>
      <c r="J6228" s="24">
        <v>1.0</v>
      </c>
    </row>
    <row r="6229">
      <c r="A6229" s="24">
        <v>155.0</v>
      </c>
      <c r="B6229" s="24">
        <v>75.0</v>
      </c>
      <c r="C6229" s="44">
        <v>106.73</v>
      </c>
      <c r="D6229" s="46">
        <v>45443.0</v>
      </c>
      <c r="E6229" s="24">
        <v>1.42</v>
      </c>
      <c r="F6229" s="24">
        <v>688.58</v>
      </c>
      <c r="G6229" s="24">
        <v>48.39</v>
      </c>
      <c r="H6229" s="24" t="s">
        <v>6707</v>
      </c>
      <c r="I6229" s="24">
        <v>106.73</v>
      </c>
      <c r="J6229" s="24">
        <v>1.0</v>
      </c>
    </row>
    <row r="6230">
      <c r="A6230" s="24">
        <v>2.0</v>
      </c>
      <c r="B6230" s="24">
        <v>0.0</v>
      </c>
      <c r="C6230" s="44">
        <v>1.11</v>
      </c>
      <c r="D6230" s="46">
        <v>45443.0</v>
      </c>
      <c r="E6230" s="24" t="s">
        <v>6650</v>
      </c>
      <c r="F6230" s="24">
        <v>555.0</v>
      </c>
      <c r="G6230" s="24">
        <v>0.0</v>
      </c>
      <c r="H6230" s="24" t="s">
        <v>6706</v>
      </c>
      <c r="I6230" s="24" t="s">
        <v>6650</v>
      </c>
      <c r="J6230" s="24">
        <v>0.0</v>
      </c>
    </row>
    <row r="6231">
      <c r="A6231" s="24">
        <v>58.0</v>
      </c>
      <c r="B6231" s="24">
        <v>43.0</v>
      </c>
      <c r="C6231" s="44">
        <v>38.52</v>
      </c>
      <c r="D6231" s="46">
        <v>45443.0</v>
      </c>
      <c r="E6231" s="24">
        <v>0.9</v>
      </c>
      <c r="F6231" s="24">
        <v>664.14</v>
      </c>
      <c r="G6231" s="24">
        <v>74.14</v>
      </c>
      <c r="H6231" s="24" t="s">
        <v>6709</v>
      </c>
      <c r="I6231" s="24">
        <v>38.52</v>
      </c>
      <c r="J6231" s="24">
        <v>1.0</v>
      </c>
    </row>
    <row r="6232">
      <c r="A6232" s="24">
        <v>93.0</v>
      </c>
      <c r="B6232" s="24">
        <v>59.0</v>
      </c>
      <c r="C6232" s="44">
        <v>62.21</v>
      </c>
      <c r="D6232" s="46">
        <v>45443.0</v>
      </c>
      <c r="E6232" s="24">
        <v>1.05</v>
      </c>
      <c r="F6232" s="24">
        <v>668.92</v>
      </c>
      <c r="G6232" s="24">
        <v>63.44</v>
      </c>
      <c r="H6232" s="24" t="s">
        <v>6710</v>
      </c>
      <c r="I6232" s="24">
        <v>62.21</v>
      </c>
      <c r="J6232" s="24">
        <v>0.0</v>
      </c>
    </row>
    <row r="6233">
      <c r="A6233" s="24">
        <v>2817.0</v>
      </c>
      <c r="B6233" s="24">
        <v>15.0</v>
      </c>
      <c r="C6233" s="44">
        <v>53.67</v>
      </c>
      <c r="D6233" s="46">
        <v>45443.0</v>
      </c>
      <c r="E6233" s="24">
        <v>3.58</v>
      </c>
      <c r="F6233" s="24">
        <v>19.05</v>
      </c>
      <c r="G6233" s="24">
        <v>0.53</v>
      </c>
      <c r="H6233" s="24" t="s">
        <v>6712</v>
      </c>
      <c r="I6233" s="24">
        <v>17.89</v>
      </c>
      <c r="J6233" s="24">
        <v>0.0</v>
      </c>
    </row>
    <row r="6234">
      <c r="A6234" s="24">
        <v>61.0</v>
      </c>
      <c r="B6234" s="24">
        <v>35.0</v>
      </c>
      <c r="C6234" s="44">
        <v>44.47</v>
      </c>
      <c r="D6234" s="46">
        <v>45443.0</v>
      </c>
      <c r="E6234" s="24">
        <v>1.27</v>
      </c>
      <c r="F6234" s="24">
        <v>729.02</v>
      </c>
      <c r="G6234" s="24">
        <v>57.38</v>
      </c>
      <c r="H6234" s="24" t="s">
        <v>6705</v>
      </c>
      <c r="I6234" s="24">
        <v>44.47</v>
      </c>
      <c r="J6234" s="24">
        <v>0.0</v>
      </c>
    </row>
    <row r="6235">
      <c r="A6235" s="24">
        <v>71.0</v>
      </c>
      <c r="B6235" s="24">
        <v>18.0</v>
      </c>
      <c r="C6235" s="44">
        <v>49.26</v>
      </c>
      <c r="D6235" s="46">
        <v>45444.0</v>
      </c>
      <c r="E6235" s="24">
        <v>2.74</v>
      </c>
      <c r="F6235" s="24">
        <v>693.8</v>
      </c>
      <c r="G6235" s="24">
        <v>25.35</v>
      </c>
      <c r="H6235" s="24" t="s">
        <v>6709</v>
      </c>
      <c r="I6235" s="24" t="s">
        <v>6650</v>
      </c>
      <c r="J6235" s="24">
        <v>0.0</v>
      </c>
    </row>
    <row r="6236">
      <c r="A6236" s="24">
        <v>1847.0</v>
      </c>
      <c r="B6236" s="24">
        <v>11.0</v>
      </c>
      <c r="C6236" s="44">
        <v>30.28</v>
      </c>
      <c r="D6236" s="46">
        <v>45444.0</v>
      </c>
      <c r="E6236" s="24">
        <v>2.75</v>
      </c>
      <c r="F6236" s="24">
        <v>16.39</v>
      </c>
      <c r="G6236" s="24">
        <v>0.6</v>
      </c>
      <c r="H6236" s="24" t="s">
        <v>6712</v>
      </c>
      <c r="I6236" s="24">
        <v>5.05</v>
      </c>
      <c r="J6236" s="24">
        <v>0.0</v>
      </c>
    </row>
    <row r="6237">
      <c r="A6237" s="24">
        <v>86.0</v>
      </c>
      <c r="B6237" s="24">
        <v>28.0</v>
      </c>
      <c r="C6237" s="44">
        <v>64.73</v>
      </c>
      <c r="D6237" s="46">
        <v>45444.0</v>
      </c>
      <c r="E6237" s="24">
        <v>2.31</v>
      </c>
      <c r="F6237" s="24">
        <v>752.67</v>
      </c>
      <c r="G6237" s="24">
        <v>32.56</v>
      </c>
      <c r="H6237" s="24" t="s">
        <v>6710</v>
      </c>
      <c r="I6237" s="24" t="s">
        <v>6650</v>
      </c>
      <c r="J6237" s="24">
        <v>2.0</v>
      </c>
    </row>
    <row r="6238">
      <c r="A6238" s="24">
        <v>33.0</v>
      </c>
      <c r="B6238" s="24">
        <v>12.0</v>
      </c>
      <c r="C6238" s="44">
        <v>22.61</v>
      </c>
      <c r="D6238" s="46">
        <v>45444.0</v>
      </c>
      <c r="E6238" s="24">
        <v>1.88</v>
      </c>
      <c r="F6238" s="24">
        <v>685.15</v>
      </c>
      <c r="G6238" s="24">
        <v>36.36</v>
      </c>
      <c r="H6238" s="24" t="s">
        <v>6705</v>
      </c>
      <c r="I6238" s="24" t="s">
        <v>6650</v>
      </c>
      <c r="J6238" s="24">
        <v>1.0</v>
      </c>
    </row>
    <row r="6239">
      <c r="A6239" s="24">
        <v>112.0</v>
      </c>
      <c r="B6239" s="24">
        <v>41.0</v>
      </c>
      <c r="C6239" s="44">
        <v>76.32</v>
      </c>
      <c r="D6239" s="46">
        <v>45444.0</v>
      </c>
      <c r="E6239" s="24">
        <v>1.86</v>
      </c>
      <c r="F6239" s="24">
        <v>681.43</v>
      </c>
      <c r="G6239" s="24">
        <v>36.61</v>
      </c>
      <c r="H6239" s="24" t="s">
        <v>6707</v>
      </c>
      <c r="I6239" s="24" t="s">
        <v>6650</v>
      </c>
      <c r="J6239" s="24">
        <v>0.0</v>
      </c>
    </row>
    <row r="6240">
      <c r="A6240" s="24">
        <v>90.0</v>
      </c>
      <c r="B6240" s="24">
        <v>32.0</v>
      </c>
      <c r="C6240" s="44">
        <v>63.59</v>
      </c>
      <c r="D6240" s="46">
        <v>45445.0</v>
      </c>
      <c r="E6240" s="24">
        <v>1.99</v>
      </c>
      <c r="F6240" s="24">
        <v>706.56</v>
      </c>
      <c r="G6240" s="24">
        <v>35.56</v>
      </c>
      <c r="H6240" s="24" t="s">
        <v>6710</v>
      </c>
      <c r="I6240" s="24" t="s">
        <v>6650</v>
      </c>
      <c r="J6240" s="24">
        <v>1.0</v>
      </c>
    </row>
    <row r="6241">
      <c r="A6241" s="24">
        <v>1.0</v>
      </c>
      <c r="B6241" s="24">
        <v>0.0</v>
      </c>
      <c r="C6241" s="44">
        <v>1.0</v>
      </c>
      <c r="D6241" s="46">
        <v>45445.0</v>
      </c>
      <c r="E6241" s="24" t="s">
        <v>6650</v>
      </c>
      <c r="F6241" s="24">
        <v>1000.0</v>
      </c>
      <c r="G6241" s="24">
        <v>0.0</v>
      </c>
      <c r="H6241" s="24" t="s">
        <v>6706</v>
      </c>
      <c r="I6241" s="24" t="s">
        <v>6650</v>
      </c>
      <c r="J6241" s="24">
        <v>0.0</v>
      </c>
    </row>
    <row r="6242">
      <c r="A6242" s="24">
        <v>45.0</v>
      </c>
      <c r="B6242" s="24">
        <v>19.0</v>
      </c>
      <c r="C6242" s="44">
        <v>33.14</v>
      </c>
      <c r="D6242" s="46">
        <v>45445.0</v>
      </c>
      <c r="E6242" s="24">
        <v>1.74</v>
      </c>
      <c r="F6242" s="24">
        <v>736.44</v>
      </c>
      <c r="G6242" s="24">
        <v>42.22</v>
      </c>
      <c r="H6242" s="24" t="s">
        <v>6705</v>
      </c>
      <c r="I6242" s="24" t="s">
        <v>6650</v>
      </c>
      <c r="J6242" s="24">
        <v>0.0</v>
      </c>
    </row>
    <row r="6243">
      <c r="A6243" s="24">
        <v>54.0</v>
      </c>
      <c r="B6243" s="24">
        <v>25.0</v>
      </c>
      <c r="C6243" s="44">
        <v>34.29</v>
      </c>
      <c r="D6243" s="46">
        <v>45445.0</v>
      </c>
      <c r="E6243" s="24">
        <v>1.37</v>
      </c>
      <c r="F6243" s="24">
        <v>635.0</v>
      </c>
      <c r="G6243" s="24">
        <v>46.3</v>
      </c>
      <c r="H6243" s="24" t="s">
        <v>6709</v>
      </c>
      <c r="I6243" s="24" t="s">
        <v>6650</v>
      </c>
      <c r="J6243" s="24">
        <v>1.0</v>
      </c>
    </row>
    <row r="6244">
      <c r="A6244" s="24">
        <v>1710.0</v>
      </c>
      <c r="B6244" s="24">
        <v>9.0</v>
      </c>
      <c r="C6244" s="44">
        <v>28.4</v>
      </c>
      <c r="D6244" s="46">
        <v>45445.0</v>
      </c>
      <c r="E6244" s="24">
        <v>3.16</v>
      </c>
      <c r="F6244" s="24">
        <v>16.61</v>
      </c>
      <c r="G6244" s="24">
        <v>0.53</v>
      </c>
      <c r="H6244" s="24" t="s">
        <v>6712</v>
      </c>
      <c r="I6244" s="24">
        <v>3.55</v>
      </c>
      <c r="J6244" s="24">
        <v>0.0</v>
      </c>
    </row>
    <row r="6245">
      <c r="A6245" s="24">
        <v>112.0</v>
      </c>
      <c r="B6245" s="24">
        <v>60.0</v>
      </c>
      <c r="C6245" s="44">
        <v>73.58</v>
      </c>
      <c r="D6245" s="46">
        <v>45445.0</v>
      </c>
      <c r="E6245" s="24">
        <v>1.23</v>
      </c>
      <c r="F6245" s="24">
        <v>656.96</v>
      </c>
      <c r="G6245" s="24">
        <v>53.57</v>
      </c>
      <c r="H6245" s="24" t="s">
        <v>6707</v>
      </c>
      <c r="I6245" s="24" t="s">
        <v>6650</v>
      </c>
      <c r="J6245" s="24">
        <v>2.0</v>
      </c>
    </row>
    <row r="6246">
      <c r="A6246" s="24">
        <v>2990.0</v>
      </c>
      <c r="B6246" s="24">
        <v>11.0</v>
      </c>
      <c r="C6246" s="44">
        <v>54.84</v>
      </c>
      <c r="D6246" s="46">
        <v>45446.0</v>
      </c>
      <c r="E6246" s="24">
        <v>4.99</v>
      </c>
      <c r="F6246" s="24">
        <v>18.34</v>
      </c>
      <c r="G6246" s="24">
        <v>0.37</v>
      </c>
      <c r="H6246" s="24" t="s">
        <v>6712</v>
      </c>
      <c r="I6246" s="24">
        <v>6.09</v>
      </c>
      <c r="J6246" s="24">
        <v>0.0</v>
      </c>
    </row>
    <row r="6247">
      <c r="A6247" s="24">
        <v>5.0</v>
      </c>
      <c r="B6247" s="24">
        <v>3.0</v>
      </c>
      <c r="C6247" s="44">
        <v>4.2</v>
      </c>
      <c r="D6247" s="46">
        <v>45446.0</v>
      </c>
      <c r="E6247" s="24">
        <v>1.4</v>
      </c>
      <c r="F6247" s="24">
        <v>840.0</v>
      </c>
      <c r="G6247" s="24">
        <v>60.0</v>
      </c>
      <c r="H6247" s="24" t="s">
        <v>6706</v>
      </c>
      <c r="I6247" s="24" t="s">
        <v>6650</v>
      </c>
      <c r="J6247" s="24">
        <v>0.0</v>
      </c>
    </row>
    <row r="6248">
      <c r="A6248" s="24">
        <v>157.0</v>
      </c>
      <c r="B6248" s="24">
        <v>122.0</v>
      </c>
      <c r="C6248" s="44">
        <v>110.69</v>
      </c>
      <c r="D6248" s="46">
        <v>45446.0</v>
      </c>
      <c r="E6248" s="24">
        <v>0.91</v>
      </c>
      <c r="F6248" s="24">
        <v>705.03</v>
      </c>
      <c r="G6248" s="24">
        <v>77.71</v>
      </c>
      <c r="H6248" s="24" t="s">
        <v>6707</v>
      </c>
      <c r="I6248" s="24">
        <v>36.9</v>
      </c>
      <c r="J6248" s="24">
        <v>1.0</v>
      </c>
    </row>
    <row r="6249">
      <c r="A6249" s="24">
        <v>121.0</v>
      </c>
      <c r="B6249" s="24">
        <v>77.0</v>
      </c>
      <c r="C6249" s="44">
        <v>85.73</v>
      </c>
      <c r="D6249" s="46">
        <v>45446.0</v>
      </c>
      <c r="E6249" s="24">
        <v>1.11</v>
      </c>
      <c r="F6249" s="24">
        <v>708.51</v>
      </c>
      <c r="G6249" s="24">
        <v>63.64</v>
      </c>
      <c r="H6249" s="24" t="s">
        <v>6710</v>
      </c>
      <c r="I6249" s="24">
        <v>85.73</v>
      </c>
      <c r="J6249" s="24">
        <v>2.0</v>
      </c>
    </row>
    <row r="6250">
      <c r="A6250" s="24">
        <v>86.0</v>
      </c>
      <c r="B6250" s="24">
        <v>65.0</v>
      </c>
      <c r="C6250" s="44">
        <v>56.0</v>
      </c>
      <c r="D6250" s="46">
        <v>45446.0</v>
      </c>
      <c r="E6250" s="24">
        <v>0.86</v>
      </c>
      <c r="F6250" s="24">
        <v>651.16</v>
      </c>
      <c r="G6250" s="24">
        <v>75.58</v>
      </c>
      <c r="H6250" s="24" t="s">
        <v>6709</v>
      </c>
      <c r="I6250" s="24">
        <v>28.0</v>
      </c>
      <c r="J6250" s="24">
        <v>5.0</v>
      </c>
    </row>
    <row r="6251">
      <c r="A6251" s="24">
        <v>82.0</v>
      </c>
      <c r="B6251" s="24">
        <v>43.0</v>
      </c>
      <c r="C6251" s="44">
        <v>55.97</v>
      </c>
      <c r="D6251" s="46">
        <v>45446.0</v>
      </c>
      <c r="E6251" s="24">
        <v>1.3</v>
      </c>
      <c r="F6251" s="24">
        <v>682.56</v>
      </c>
      <c r="G6251" s="24">
        <v>52.44</v>
      </c>
      <c r="H6251" s="24" t="s">
        <v>6705</v>
      </c>
      <c r="I6251" s="24" t="s">
        <v>6650</v>
      </c>
      <c r="J6251" s="24">
        <v>1.0</v>
      </c>
    </row>
    <row r="6252">
      <c r="A6252" s="24">
        <v>94.0</v>
      </c>
      <c r="B6252" s="24">
        <v>65.0</v>
      </c>
      <c r="C6252" s="44">
        <v>66.96</v>
      </c>
      <c r="D6252" s="46">
        <v>45447.0</v>
      </c>
      <c r="E6252" s="24">
        <v>1.03</v>
      </c>
      <c r="F6252" s="24">
        <v>712.34</v>
      </c>
      <c r="G6252" s="24">
        <v>69.15</v>
      </c>
      <c r="H6252" s="24" t="s">
        <v>6709</v>
      </c>
      <c r="I6252" s="24">
        <v>66.96</v>
      </c>
      <c r="J6252" s="24">
        <v>1.0</v>
      </c>
    </row>
    <row r="6253">
      <c r="A6253" s="24">
        <v>92.0</v>
      </c>
      <c r="B6253" s="24">
        <v>56.0</v>
      </c>
      <c r="C6253" s="44">
        <v>60.96</v>
      </c>
      <c r="D6253" s="46">
        <v>45447.0</v>
      </c>
      <c r="E6253" s="24">
        <v>1.09</v>
      </c>
      <c r="F6253" s="24">
        <v>662.61</v>
      </c>
      <c r="G6253" s="24">
        <v>60.87</v>
      </c>
      <c r="H6253" s="24" t="s">
        <v>6705</v>
      </c>
      <c r="I6253" s="24" t="s">
        <v>6650</v>
      </c>
      <c r="J6253" s="24">
        <v>0.0</v>
      </c>
    </row>
    <row r="6254">
      <c r="A6254" s="24">
        <v>3024.0</v>
      </c>
      <c r="B6254" s="24">
        <v>12.0</v>
      </c>
      <c r="C6254" s="44">
        <v>60.62</v>
      </c>
      <c r="D6254" s="46">
        <v>45447.0</v>
      </c>
      <c r="E6254" s="24">
        <v>5.05</v>
      </c>
      <c r="F6254" s="24">
        <v>20.05</v>
      </c>
      <c r="G6254" s="24">
        <v>0.4</v>
      </c>
      <c r="H6254" s="24" t="s">
        <v>6712</v>
      </c>
      <c r="I6254" s="24">
        <v>5.51</v>
      </c>
      <c r="J6254" s="24">
        <v>0.0</v>
      </c>
    </row>
    <row r="6255">
      <c r="A6255" s="24">
        <v>4.0</v>
      </c>
      <c r="B6255" s="24">
        <v>0.0</v>
      </c>
      <c r="C6255" s="44">
        <v>2.0</v>
      </c>
      <c r="D6255" s="46">
        <v>45447.0</v>
      </c>
      <c r="E6255" s="24" t="s">
        <v>6650</v>
      </c>
      <c r="F6255" s="24">
        <v>500.0</v>
      </c>
      <c r="G6255" s="24">
        <v>0.0</v>
      </c>
      <c r="H6255" s="24" t="s">
        <v>6706</v>
      </c>
      <c r="I6255" s="24" t="s">
        <v>6650</v>
      </c>
      <c r="J6255" s="24">
        <v>0.0</v>
      </c>
    </row>
    <row r="6256">
      <c r="A6256" s="24">
        <v>168.0</v>
      </c>
      <c r="B6256" s="24">
        <v>87.0</v>
      </c>
      <c r="C6256" s="44">
        <v>110.75</v>
      </c>
      <c r="D6256" s="46">
        <v>45447.0</v>
      </c>
      <c r="E6256" s="24">
        <v>1.27</v>
      </c>
      <c r="F6256" s="24">
        <v>659.23</v>
      </c>
      <c r="G6256" s="24">
        <v>51.79</v>
      </c>
      <c r="H6256" s="24" t="s">
        <v>6707</v>
      </c>
      <c r="I6256" s="24">
        <v>55.38</v>
      </c>
      <c r="J6256" s="24">
        <v>1.0</v>
      </c>
    </row>
    <row r="6257">
      <c r="A6257" s="24">
        <v>131.0</v>
      </c>
      <c r="B6257" s="24">
        <v>94.0</v>
      </c>
      <c r="C6257" s="44">
        <v>88.68</v>
      </c>
      <c r="D6257" s="46">
        <v>45447.0</v>
      </c>
      <c r="E6257" s="24">
        <v>0.94</v>
      </c>
      <c r="F6257" s="24">
        <v>676.95</v>
      </c>
      <c r="G6257" s="24">
        <v>71.76</v>
      </c>
      <c r="H6257" s="24" t="s">
        <v>6710</v>
      </c>
      <c r="I6257" s="24" t="s">
        <v>6650</v>
      </c>
      <c r="J6257" s="24">
        <v>1.0</v>
      </c>
    </row>
    <row r="6258">
      <c r="A6258" s="24">
        <v>7.0</v>
      </c>
      <c r="B6258" s="24">
        <v>2.0</v>
      </c>
      <c r="C6258" s="44">
        <v>3.77</v>
      </c>
      <c r="D6258" s="46">
        <v>45448.0</v>
      </c>
      <c r="E6258" s="24">
        <v>1.88</v>
      </c>
      <c r="F6258" s="24">
        <v>538.57</v>
      </c>
      <c r="G6258" s="24">
        <v>28.57</v>
      </c>
      <c r="H6258" s="24" t="s">
        <v>6706</v>
      </c>
      <c r="I6258" s="24" t="s">
        <v>6650</v>
      </c>
      <c r="J6258" s="24">
        <v>0.0</v>
      </c>
    </row>
    <row r="6259">
      <c r="A6259" s="24">
        <v>2490.0</v>
      </c>
      <c r="B6259" s="24">
        <v>10.0</v>
      </c>
      <c r="C6259" s="44">
        <v>60.3</v>
      </c>
      <c r="D6259" s="46">
        <v>45448.0</v>
      </c>
      <c r="E6259" s="24">
        <v>6.03</v>
      </c>
      <c r="F6259" s="24">
        <v>24.22</v>
      </c>
      <c r="G6259" s="24">
        <v>0.4</v>
      </c>
      <c r="H6259" s="24" t="s">
        <v>6712</v>
      </c>
      <c r="I6259" s="24">
        <v>6.7</v>
      </c>
      <c r="J6259" s="24">
        <v>0.0</v>
      </c>
    </row>
    <row r="6260">
      <c r="A6260" s="24">
        <v>173.0</v>
      </c>
      <c r="B6260" s="24">
        <v>83.0</v>
      </c>
      <c r="C6260" s="44">
        <v>121.37</v>
      </c>
      <c r="D6260" s="46">
        <v>45448.0</v>
      </c>
      <c r="E6260" s="24">
        <v>1.46</v>
      </c>
      <c r="F6260" s="24">
        <v>701.56</v>
      </c>
      <c r="G6260" s="24">
        <v>47.98</v>
      </c>
      <c r="H6260" s="24" t="s">
        <v>6710</v>
      </c>
      <c r="I6260" s="24">
        <v>60.68</v>
      </c>
      <c r="J6260" s="24">
        <v>1.0</v>
      </c>
    </row>
    <row r="6261">
      <c r="A6261" s="24">
        <v>154.0</v>
      </c>
      <c r="B6261" s="24">
        <v>63.0</v>
      </c>
      <c r="C6261" s="44">
        <v>103.68</v>
      </c>
      <c r="D6261" s="46">
        <v>45448.0</v>
      </c>
      <c r="E6261" s="24">
        <v>1.65</v>
      </c>
      <c r="F6261" s="24">
        <v>673.25</v>
      </c>
      <c r="G6261" s="24">
        <v>40.91</v>
      </c>
      <c r="H6261" s="24" t="s">
        <v>6709</v>
      </c>
      <c r="I6261" s="24" t="s">
        <v>6650</v>
      </c>
      <c r="J6261" s="24">
        <v>3.0</v>
      </c>
    </row>
    <row r="6262">
      <c r="A6262" s="24">
        <v>136.0</v>
      </c>
      <c r="B6262" s="24">
        <v>71.0</v>
      </c>
      <c r="C6262" s="44">
        <v>98.08</v>
      </c>
      <c r="D6262" s="46">
        <v>45448.0</v>
      </c>
      <c r="E6262" s="24">
        <v>1.38</v>
      </c>
      <c r="F6262" s="24">
        <v>721.18</v>
      </c>
      <c r="G6262" s="24">
        <v>52.21</v>
      </c>
      <c r="H6262" s="24" t="s">
        <v>6705</v>
      </c>
      <c r="I6262" s="24">
        <v>49.04</v>
      </c>
      <c r="J6262" s="24">
        <v>1.0</v>
      </c>
    </row>
    <row r="6263">
      <c r="A6263" s="24">
        <v>147.0</v>
      </c>
      <c r="B6263" s="24">
        <v>99.0</v>
      </c>
      <c r="C6263" s="44">
        <v>110.9</v>
      </c>
      <c r="D6263" s="46">
        <v>45448.0</v>
      </c>
      <c r="E6263" s="24">
        <v>1.12</v>
      </c>
      <c r="F6263" s="24">
        <v>754.42</v>
      </c>
      <c r="G6263" s="24">
        <v>67.35</v>
      </c>
      <c r="H6263" s="24" t="s">
        <v>6707</v>
      </c>
      <c r="I6263" s="24" t="s">
        <v>6650</v>
      </c>
      <c r="J6263" s="24">
        <v>1.0</v>
      </c>
    </row>
    <row r="6264">
      <c r="A6264" s="24">
        <v>97.0</v>
      </c>
      <c r="B6264" s="24">
        <v>54.0</v>
      </c>
      <c r="C6264" s="44">
        <v>66.62</v>
      </c>
      <c r="D6264" s="46">
        <v>45449.0</v>
      </c>
      <c r="E6264" s="24">
        <v>1.23</v>
      </c>
      <c r="F6264" s="24">
        <v>686.8</v>
      </c>
      <c r="G6264" s="24">
        <v>55.67</v>
      </c>
      <c r="H6264" s="24" t="s">
        <v>6705</v>
      </c>
      <c r="I6264" s="24" t="s">
        <v>6650</v>
      </c>
      <c r="J6264" s="24">
        <v>0.0</v>
      </c>
    </row>
    <row r="6265">
      <c r="A6265" s="24">
        <v>108.0</v>
      </c>
      <c r="B6265" s="24">
        <v>65.0</v>
      </c>
      <c r="C6265" s="44">
        <v>75.42</v>
      </c>
      <c r="D6265" s="46">
        <v>45449.0</v>
      </c>
      <c r="E6265" s="24">
        <v>1.16</v>
      </c>
      <c r="F6265" s="24">
        <v>698.33</v>
      </c>
      <c r="G6265" s="24">
        <v>60.19</v>
      </c>
      <c r="H6265" s="24" t="s">
        <v>6709</v>
      </c>
      <c r="I6265" s="24">
        <v>15.08</v>
      </c>
      <c r="J6265" s="24">
        <v>1.0</v>
      </c>
    </row>
    <row r="6266">
      <c r="A6266" s="24">
        <v>2535.0</v>
      </c>
      <c r="B6266" s="24">
        <v>6.0</v>
      </c>
      <c r="C6266" s="44">
        <v>60.88</v>
      </c>
      <c r="D6266" s="46">
        <v>45449.0</v>
      </c>
      <c r="E6266" s="24">
        <v>10.15</v>
      </c>
      <c r="F6266" s="24">
        <v>24.02</v>
      </c>
      <c r="G6266" s="24">
        <v>0.24</v>
      </c>
      <c r="H6266" s="24" t="s">
        <v>6712</v>
      </c>
      <c r="I6266" s="24">
        <v>10.15</v>
      </c>
      <c r="J6266" s="24">
        <v>0.0</v>
      </c>
    </row>
    <row r="6267">
      <c r="A6267" s="24">
        <v>8.0</v>
      </c>
      <c r="B6267" s="24">
        <v>1.0</v>
      </c>
      <c r="C6267" s="44">
        <v>4.91</v>
      </c>
      <c r="D6267" s="46">
        <v>45449.0</v>
      </c>
      <c r="E6267" s="24">
        <v>4.91</v>
      </c>
      <c r="F6267" s="24">
        <v>613.75</v>
      </c>
      <c r="G6267" s="24">
        <v>12.5</v>
      </c>
      <c r="H6267" s="24" t="s">
        <v>6706</v>
      </c>
      <c r="I6267" s="24" t="s">
        <v>6650</v>
      </c>
      <c r="J6267" s="24">
        <v>0.0</v>
      </c>
    </row>
    <row r="6268">
      <c r="A6268" s="24">
        <v>165.0</v>
      </c>
      <c r="B6268" s="24">
        <v>100.0</v>
      </c>
      <c r="C6268" s="44">
        <v>113.03</v>
      </c>
      <c r="D6268" s="46">
        <v>45449.0</v>
      </c>
      <c r="E6268" s="24">
        <v>1.13</v>
      </c>
      <c r="F6268" s="24">
        <v>685.03</v>
      </c>
      <c r="G6268" s="24">
        <v>60.61</v>
      </c>
      <c r="H6268" s="24" t="s">
        <v>6707</v>
      </c>
      <c r="I6268" s="24" t="s">
        <v>6650</v>
      </c>
      <c r="J6268" s="24">
        <v>2.0</v>
      </c>
    </row>
    <row r="6269">
      <c r="A6269" s="24">
        <v>180.0</v>
      </c>
      <c r="B6269" s="24">
        <v>95.0</v>
      </c>
      <c r="C6269" s="44">
        <v>124.1</v>
      </c>
      <c r="D6269" s="46">
        <v>45449.0</v>
      </c>
      <c r="E6269" s="24">
        <v>1.31</v>
      </c>
      <c r="F6269" s="24">
        <v>689.44</v>
      </c>
      <c r="G6269" s="24">
        <v>52.78</v>
      </c>
      <c r="H6269" s="24" t="s">
        <v>6710</v>
      </c>
      <c r="I6269" s="24" t="s">
        <v>6650</v>
      </c>
      <c r="J6269" s="24">
        <v>1.0</v>
      </c>
    </row>
    <row r="6270">
      <c r="A6270" s="24">
        <v>87.0</v>
      </c>
      <c r="B6270" s="24">
        <v>53.0</v>
      </c>
      <c r="C6270" s="44">
        <v>65.99</v>
      </c>
      <c r="D6270" s="46">
        <v>45450.0</v>
      </c>
      <c r="E6270" s="24">
        <v>1.25</v>
      </c>
      <c r="F6270" s="24">
        <v>758.51</v>
      </c>
      <c r="G6270" s="24">
        <v>60.92</v>
      </c>
      <c r="H6270" s="24" t="s">
        <v>6709</v>
      </c>
      <c r="I6270" s="24" t="s">
        <v>6650</v>
      </c>
      <c r="J6270" s="24">
        <v>1.0</v>
      </c>
    </row>
    <row r="6271">
      <c r="A6271" s="24">
        <v>79.0</v>
      </c>
      <c r="B6271" s="24">
        <v>29.0</v>
      </c>
      <c r="C6271" s="44">
        <v>59.73</v>
      </c>
      <c r="D6271" s="46">
        <v>45450.0</v>
      </c>
      <c r="E6271" s="24">
        <v>2.06</v>
      </c>
      <c r="F6271" s="24">
        <v>756.08</v>
      </c>
      <c r="G6271" s="24">
        <v>36.71</v>
      </c>
      <c r="H6271" s="24" t="s">
        <v>6705</v>
      </c>
      <c r="I6271" s="24">
        <v>59.73</v>
      </c>
      <c r="J6271" s="24">
        <v>1.0</v>
      </c>
    </row>
    <row r="6272">
      <c r="A6272" s="24">
        <v>2370.0</v>
      </c>
      <c r="B6272" s="24">
        <v>9.0</v>
      </c>
      <c r="C6272" s="44">
        <v>54.28</v>
      </c>
      <c r="D6272" s="46">
        <v>45450.0</v>
      </c>
      <c r="E6272" s="24">
        <v>6.03</v>
      </c>
      <c r="F6272" s="24">
        <v>22.9</v>
      </c>
      <c r="G6272" s="24">
        <v>0.38</v>
      </c>
      <c r="H6272" s="24" t="s">
        <v>6712</v>
      </c>
      <c r="I6272" s="24">
        <v>54.28</v>
      </c>
      <c r="J6272" s="24">
        <v>0.0</v>
      </c>
    </row>
    <row r="6273">
      <c r="A6273" s="24">
        <v>154.0</v>
      </c>
      <c r="B6273" s="24">
        <v>89.0</v>
      </c>
      <c r="C6273" s="44">
        <v>104.27</v>
      </c>
      <c r="D6273" s="46">
        <v>45450.0</v>
      </c>
      <c r="E6273" s="24">
        <v>1.17</v>
      </c>
      <c r="F6273" s="24">
        <v>677.08</v>
      </c>
      <c r="G6273" s="24">
        <v>57.79</v>
      </c>
      <c r="H6273" s="24" t="s">
        <v>6707</v>
      </c>
      <c r="I6273" s="24" t="s">
        <v>6650</v>
      </c>
      <c r="J6273" s="24">
        <v>0.0</v>
      </c>
    </row>
    <row r="6274">
      <c r="A6274" s="24">
        <v>140.0</v>
      </c>
      <c r="B6274" s="24">
        <v>56.0</v>
      </c>
      <c r="C6274" s="44">
        <v>97.42</v>
      </c>
      <c r="D6274" s="46">
        <v>45450.0</v>
      </c>
      <c r="E6274" s="24">
        <v>1.74</v>
      </c>
      <c r="F6274" s="24">
        <v>695.86</v>
      </c>
      <c r="G6274" s="24">
        <v>40.0</v>
      </c>
      <c r="H6274" s="24" t="s">
        <v>6710</v>
      </c>
      <c r="I6274" s="24">
        <v>97.42</v>
      </c>
      <c r="J6274" s="24">
        <v>1.0</v>
      </c>
    </row>
    <row r="6275">
      <c r="A6275" s="24">
        <v>3.0</v>
      </c>
      <c r="B6275" s="24">
        <v>3.0</v>
      </c>
      <c r="C6275" s="44">
        <v>1.5</v>
      </c>
      <c r="D6275" s="46">
        <v>45450.0</v>
      </c>
      <c r="E6275" s="24">
        <v>0.5</v>
      </c>
      <c r="F6275" s="24">
        <v>500.0</v>
      </c>
      <c r="G6275" s="24">
        <v>100.0</v>
      </c>
      <c r="H6275" s="24" t="s">
        <v>6706</v>
      </c>
      <c r="I6275" s="24" t="s">
        <v>6650</v>
      </c>
      <c r="J6275" s="24">
        <v>0.0</v>
      </c>
    </row>
    <row r="6276">
      <c r="A6276" s="24">
        <v>6.0</v>
      </c>
      <c r="B6276" s="24">
        <v>3.0</v>
      </c>
      <c r="C6276" s="44">
        <v>3.82</v>
      </c>
      <c r="D6276" s="46">
        <v>45451.0</v>
      </c>
      <c r="E6276" s="24">
        <v>1.27</v>
      </c>
      <c r="F6276" s="24">
        <v>636.67</v>
      </c>
      <c r="G6276" s="24">
        <v>50.0</v>
      </c>
      <c r="H6276" s="24" t="s">
        <v>6706</v>
      </c>
      <c r="I6276" s="24" t="s">
        <v>6650</v>
      </c>
      <c r="J6276" s="24">
        <v>0.0</v>
      </c>
    </row>
    <row r="6277">
      <c r="A6277" s="24">
        <v>61.0</v>
      </c>
      <c r="B6277" s="24">
        <v>24.0</v>
      </c>
      <c r="C6277" s="44">
        <v>44.99</v>
      </c>
      <c r="D6277" s="46">
        <v>45451.0</v>
      </c>
      <c r="E6277" s="24">
        <v>1.87</v>
      </c>
      <c r="F6277" s="24">
        <v>737.54</v>
      </c>
      <c r="G6277" s="24">
        <v>39.34</v>
      </c>
      <c r="H6277" s="24" t="s">
        <v>6705</v>
      </c>
      <c r="I6277" s="24" t="s">
        <v>6650</v>
      </c>
      <c r="J6277" s="24">
        <v>0.0</v>
      </c>
    </row>
    <row r="6278">
      <c r="A6278" s="24">
        <v>40.0</v>
      </c>
      <c r="B6278" s="24">
        <v>23.0</v>
      </c>
      <c r="C6278" s="44">
        <v>29.31</v>
      </c>
      <c r="D6278" s="46">
        <v>45451.0</v>
      </c>
      <c r="E6278" s="24">
        <v>1.27</v>
      </c>
      <c r="F6278" s="24">
        <v>732.75</v>
      </c>
      <c r="G6278" s="24">
        <v>57.5</v>
      </c>
      <c r="H6278" s="24" t="s">
        <v>6709</v>
      </c>
      <c r="I6278" s="24">
        <v>29.31</v>
      </c>
      <c r="J6278" s="24">
        <v>1.0</v>
      </c>
    </row>
    <row r="6279">
      <c r="A6279" s="24">
        <v>1604.0</v>
      </c>
      <c r="B6279" s="24">
        <v>5.0</v>
      </c>
      <c r="C6279" s="44">
        <v>30.43</v>
      </c>
      <c r="D6279" s="46">
        <v>45451.0</v>
      </c>
      <c r="E6279" s="24">
        <v>6.09</v>
      </c>
      <c r="F6279" s="24">
        <v>18.97</v>
      </c>
      <c r="G6279" s="24">
        <v>0.31</v>
      </c>
      <c r="H6279" s="24" t="s">
        <v>6712</v>
      </c>
      <c r="I6279" s="24">
        <v>10.14</v>
      </c>
      <c r="J6279" s="24">
        <v>0.0</v>
      </c>
    </row>
    <row r="6280">
      <c r="A6280" s="24">
        <v>114.0</v>
      </c>
      <c r="B6280" s="24">
        <v>45.0</v>
      </c>
      <c r="C6280" s="44">
        <v>77.61</v>
      </c>
      <c r="D6280" s="46">
        <v>45451.0</v>
      </c>
      <c r="E6280" s="24">
        <v>1.72</v>
      </c>
      <c r="F6280" s="24">
        <v>680.79</v>
      </c>
      <c r="G6280" s="24">
        <v>39.47</v>
      </c>
      <c r="H6280" s="24" t="s">
        <v>6707</v>
      </c>
      <c r="I6280" s="24" t="s">
        <v>6650</v>
      </c>
      <c r="J6280" s="24">
        <v>0.0</v>
      </c>
    </row>
    <row r="6281">
      <c r="A6281" s="24">
        <v>94.0</v>
      </c>
      <c r="B6281" s="24">
        <v>44.0</v>
      </c>
      <c r="C6281" s="44">
        <v>63.46</v>
      </c>
      <c r="D6281" s="46">
        <v>45451.0</v>
      </c>
      <c r="E6281" s="24">
        <v>1.44</v>
      </c>
      <c r="F6281" s="24">
        <v>675.11</v>
      </c>
      <c r="G6281" s="24">
        <v>46.81</v>
      </c>
      <c r="H6281" s="24" t="s">
        <v>6710</v>
      </c>
      <c r="I6281" s="24" t="s">
        <v>6650</v>
      </c>
      <c r="J6281" s="24">
        <v>0.0</v>
      </c>
    </row>
    <row r="6282">
      <c r="A6282" s="24">
        <v>143.0</v>
      </c>
      <c r="B6282" s="24">
        <v>51.0</v>
      </c>
      <c r="C6282" s="44">
        <v>99.02</v>
      </c>
      <c r="D6282" s="46">
        <v>45452.0</v>
      </c>
      <c r="E6282" s="24">
        <v>1.94</v>
      </c>
      <c r="F6282" s="24">
        <v>692.45</v>
      </c>
      <c r="G6282" s="24">
        <v>35.66</v>
      </c>
      <c r="H6282" s="24" t="s">
        <v>6710</v>
      </c>
      <c r="I6282" s="24">
        <v>99.02</v>
      </c>
      <c r="J6282" s="24">
        <v>1.0</v>
      </c>
    </row>
    <row r="6283">
      <c r="A6283" s="24">
        <v>75.0</v>
      </c>
      <c r="B6283" s="24">
        <v>25.0</v>
      </c>
      <c r="C6283" s="44">
        <v>51.75</v>
      </c>
      <c r="D6283" s="46">
        <v>45452.0</v>
      </c>
      <c r="E6283" s="24">
        <v>2.07</v>
      </c>
      <c r="F6283" s="24">
        <v>690.0</v>
      </c>
      <c r="G6283" s="24">
        <v>33.33</v>
      </c>
      <c r="H6283" s="24" t="s">
        <v>6709</v>
      </c>
      <c r="I6283" s="24" t="s">
        <v>6650</v>
      </c>
      <c r="J6283" s="24">
        <v>0.0</v>
      </c>
    </row>
    <row r="6284">
      <c r="A6284" s="24">
        <v>3.0</v>
      </c>
      <c r="B6284" s="24">
        <v>0.0</v>
      </c>
      <c r="C6284" s="44">
        <v>1.4</v>
      </c>
      <c r="D6284" s="46">
        <v>45452.0</v>
      </c>
      <c r="E6284" s="24" t="s">
        <v>6650</v>
      </c>
      <c r="F6284" s="24">
        <v>466.67</v>
      </c>
      <c r="G6284" s="24">
        <v>0.0</v>
      </c>
      <c r="H6284" s="24" t="s">
        <v>6706</v>
      </c>
      <c r="I6284" s="24" t="s">
        <v>6650</v>
      </c>
      <c r="J6284" s="24">
        <v>0.0</v>
      </c>
    </row>
    <row r="6285">
      <c r="A6285" s="24">
        <v>120.0</v>
      </c>
      <c r="B6285" s="24">
        <v>55.0</v>
      </c>
      <c r="C6285" s="44">
        <v>72.75</v>
      </c>
      <c r="D6285" s="46">
        <v>45452.0</v>
      </c>
      <c r="E6285" s="24">
        <v>1.32</v>
      </c>
      <c r="F6285" s="24">
        <v>606.25</v>
      </c>
      <c r="G6285" s="24">
        <v>45.83</v>
      </c>
      <c r="H6285" s="24" t="s">
        <v>6707</v>
      </c>
      <c r="I6285" s="24" t="s">
        <v>6650</v>
      </c>
      <c r="J6285" s="24">
        <v>0.0</v>
      </c>
    </row>
    <row r="6286">
      <c r="A6286" s="24">
        <v>62.0</v>
      </c>
      <c r="B6286" s="24">
        <v>19.0</v>
      </c>
      <c r="C6286" s="44">
        <v>43.76</v>
      </c>
      <c r="D6286" s="46">
        <v>45452.0</v>
      </c>
      <c r="E6286" s="24">
        <v>2.3</v>
      </c>
      <c r="F6286" s="24">
        <v>705.81</v>
      </c>
      <c r="G6286" s="24">
        <v>30.65</v>
      </c>
      <c r="H6286" s="24" t="s">
        <v>6705</v>
      </c>
      <c r="I6286" s="24" t="s">
        <v>6650</v>
      </c>
      <c r="J6286" s="24">
        <v>1.0</v>
      </c>
    </row>
    <row r="6287">
      <c r="A6287" s="24">
        <v>962.0</v>
      </c>
      <c r="B6287" s="24">
        <v>4.0</v>
      </c>
      <c r="C6287" s="44">
        <v>28.65</v>
      </c>
      <c r="D6287" s="46">
        <v>45452.0</v>
      </c>
      <c r="E6287" s="24">
        <v>7.16</v>
      </c>
      <c r="F6287" s="24">
        <v>29.78</v>
      </c>
      <c r="G6287" s="24">
        <v>0.42</v>
      </c>
      <c r="H6287" s="24" t="s">
        <v>6712</v>
      </c>
      <c r="I6287" s="24">
        <v>14.32</v>
      </c>
      <c r="J6287" s="24">
        <v>0.0</v>
      </c>
    </row>
    <row r="6288">
      <c r="A6288" s="24">
        <v>146.0</v>
      </c>
      <c r="B6288" s="24">
        <v>99.0</v>
      </c>
      <c r="C6288" s="44">
        <v>108.79</v>
      </c>
      <c r="D6288" s="46">
        <v>45453.0</v>
      </c>
      <c r="E6288" s="24">
        <v>1.1</v>
      </c>
      <c r="F6288" s="24">
        <v>745.14</v>
      </c>
      <c r="G6288" s="24">
        <v>67.81</v>
      </c>
      <c r="H6288" s="24" t="s">
        <v>6709</v>
      </c>
      <c r="I6288" s="24">
        <v>54.4</v>
      </c>
      <c r="J6288" s="24">
        <v>6.0</v>
      </c>
    </row>
    <row r="6289">
      <c r="A6289" s="24">
        <v>19.0</v>
      </c>
      <c r="B6289" s="24">
        <v>8.0</v>
      </c>
      <c r="C6289" s="44">
        <v>11.57</v>
      </c>
      <c r="D6289" s="46">
        <v>45453.0</v>
      </c>
      <c r="E6289" s="24">
        <v>1.45</v>
      </c>
      <c r="F6289" s="24">
        <v>608.95</v>
      </c>
      <c r="G6289" s="24">
        <v>42.11</v>
      </c>
      <c r="H6289" s="24" t="s">
        <v>6706</v>
      </c>
      <c r="I6289" s="24" t="s">
        <v>6650</v>
      </c>
      <c r="J6289" s="24">
        <v>1.0</v>
      </c>
    </row>
    <row r="6290">
      <c r="A6290" s="24">
        <v>167.0</v>
      </c>
      <c r="B6290" s="24">
        <v>139.0</v>
      </c>
      <c r="C6290" s="44">
        <v>107.6</v>
      </c>
      <c r="D6290" s="46">
        <v>45453.0</v>
      </c>
      <c r="E6290" s="24">
        <v>0.77</v>
      </c>
      <c r="F6290" s="24">
        <v>644.31</v>
      </c>
      <c r="G6290" s="24">
        <v>83.23</v>
      </c>
      <c r="H6290" s="24" t="s">
        <v>6707</v>
      </c>
      <c r="I6290" s="24" t="s">
        <v>6650</v>
      </c>
      <c r="J6290" s="24">
        <v>2.0</v>
      </c>
    </row>
    <row r="6291">
      <c r="A6291" s="24">
        <v>135.0</v>
      </c>
      <c r="B6291" s="24">
        <v>73.0</v>
      </c>
      <c r="C6291" s="44">
        <v>93.98</v>
      </c>
      <c r="D6291" s="46">
        <v>45453.0</v>
      </c>
      <c r="E6291" s="24">
        <v>1.29</v>
      </c>
      <c r="F6291" s="24">
        <v>696.15</v>
      </c>
      <c r="G6291" s="24">
        <v>54.07</v>
      </c>
      <c r="H6291" s="24" t="s">
        <v>6705</v>
      </c>
      <c r="I6291" s="24" t="s">
        <v>6650</v>
      </c>
      <c r="J6291" s="24">
        <v>2.0</v>
      </c>
    </row>
    <row r="6292">
      <c r="A6292" s="24">
        <v>158.0</v>
      </c>
      <c r="B6292" s="24">
        <v>109.0</v>
      </c>
      <c r="C6292" s="44">
        <v>107.48</v>
      </c>
      <c r="D6292" s="46">
        <v>45453.0</v>
      </c>
      <c r="E6292" s="24">
        <v>0.99</v>
      </c>
      <c r="F6292" s="24">
        <v>680.25</v>
      </c>
      <c r="G6292" s="24">
        <v>68.99</v>
      </c>
      <c r="H6292" s="24" t="s">
        <v>6710</v>
      </c>
      <c r="I6292" s="24" t="s">
        <v>6650</v>
      </c>
      <c r="J6292" s="24">
        <v>1.0</v>
      </c>
    </row>
    <row r="6293">
      <c r="A6293" s="24">
        <v>2605.0</v>
      </c>
      <c r="B6293" s="24">
        <v>10.0</v>
      </c>
      <c r="C6293" s="44">
        <v>54.29</v>
      </c>
      <c r="D6293" s="46">
        <v>45453.0</v>
      </c>
      <c r="E6293" s="24">
        <v>5.43</v>
      </c>
      <c r="F6293" s="24">
        <v>20.84</v>
      </c>
      <c r="G6293" s="24">
        <v>0.38</v>
      </c>
      <c r="H6293" s="24" t="s">
        <v>6712</v>
      </c>
      <c r="I6293" s="24">
        <v>54.29</v>
      </c>
      <c r="J6293" s="24">
        <v>0.0</v>
      </c>
    </row>
    <row r="6294">
      <c r="A6294" s="24">
        <v>2676.0</v>
      </c>
      <c r="B6294" s="24">
        <v>9.0</v>
      </c>
      <c r="C6294" s="44">
        <v>60.54</v>
      </c>
      <c r="D6294" s="46">
        <v>45454.0</v>
      </c>
      <c r="E6294" s="24">
        <v>6.73</v>
      </c>
      <c r="F6294" s="24">
        <v>22.62</v>
      </c>
      <c r="G6294" s="24">
        <v>0.34</v>
      </c>
      <c r="H6294" s="24" t="s">
        <v>6712</v>
      </c>
      <c r="I6294" s="24">
        <v>20.18</v>
      </c>
      <c r="J6294" s="24">
        <v>0.0</v>
      </c>
    </row>
    <row r="6295">
      <c r="A6295" s="24">
        <v>164.0</v>
      </c>
      <c r="B6295" s="24">
        <v>103.0</v>
      </c>
      <c r="C6295" s="44">
        <v>112.65</v>
      </c>
      <c r="D6295" s="46">
        <v>45454.0</v>
      </c>
      <c r="E6295" s="24">
        <v>1.09</v>
      </c>
      <c r="F6295" s="24">
        <v>686.89</v>
      </c>
      <c r="G6295" s="24">
        <v>62.8</v>
      </c>
      <c r="H6295" s="24" t="s">
        <v>6707</v>
      </c>
      <c r="I6295" s="24">
        <v>112.65</v>
      </c>
      <c r="J6295" s="24">
        <v>2.0</v>
      </c>
    </row>
    <row r="6296">
      <c r="A6296" s="24">
        <v>7.0</v>
      </c>
      <c r="B6296" s="24">
        <v>3.0</v>
      </c>
      <c r="C6296" s="44">
        <v>5.83</v>
      </c>
      <c r="D6296" s="46">
        <v>45454.0</v>
      </c>
      <c r="E6296" s="24">
        <v>1.94</v>
      </c>
      <c r="F6296" s="24">
        <v>832.86</v>
      </c>
      <c r="G6296" s="24">
        <v>42.86</v>
      </c>
      <c r="H6296" s="24" t="s">
        <v>6706</v>
      </c>
      <c r="I6296" s="24" t="s">
        <v>6650</v>
      </c>
      <c r="J6296" s="24">
        <v>0.0</v>
      </c>
    </row>
    <row r="6297">
      <c r="A6297" s="24">
        <v>158.0</v>
      </c>
      <c r="B6297" s="24">
        <v>95.0</v>
      </c>
      <c r="C6297" s="44">
        <v>112.42</v>
      </c>
      <c r="D6297" s="46">
        <v>45454.0</v>
      </c>
      <c r="E6297" s="24">
        <v>1.18</v>
      </c>
      <c r="F6297" s="24">
        <v>711.52</v>
      </c>
      <c r="G6297" s="24">
        <v>60.13</v>
      </c>
      <c r="H6297" s="24" t="s">
        <v>6710</v>
      </c>
      <c r="I6297" s="24" t="s">
        <v>6650</v>
      </c>
      <c r="J6297" s="24">
        <v>0.0</v>
      </c>
    </row>
    <row r="6298">
      <c r="A6298" s="24">
        <v>130.0</v>
      </c>
      <c r="B6298" s="24">
        <v>54.0</v>
      </c>
      <c r="C6298" s="44">
        <v>95.71</v>
      </c>
      <c r="D6298" s="46">
        <v>45454.0</v>
      </c>
      <c r="E6298" s="24">
        <v>1.77</v>
      </c>
      <c r="F6298" s="24">
        <v>736.23</v>
      </c>
      <c r="G6298" s="24">
        <v>41.54</v>
      </c>
      <c r="H6298" s="24" t="s">
        <v>6705</v>
      </c>
      <c r="I6298" s="24" t="s">
        <v>6650</v>
      </c>
      <c r="J6298" s="24">
        <v>1.0</v>
      </c>
    </row>
    <row r="6299">
      <c r="A6299" s="24">
        <v>130.0</v>
      </c>
      <c r="B6299" s="24">
        <v>72.0</v>
      </c>
      <c r="C6299" s="44">
        <v>88.99</v>
      </c>
      <c r="D6299" s="46">
        <v>45454.0</v>
      </c>
      <c r="E6299" s="24">
        <v>1.24</v>
      </c>
      <c r="F6299" s="24">
        <v>684.54</v>
      </c>
      <c r="G6299" s="24">
        <v>55.38</v>
      </c>
      <c r="H6299" s="24" t="s">
        <v>6709</v>
      </c>
      <c r="I6299" s="24">
        <v>29.66</v>
      </c>
      <c r="J6299" s="24">
        <v>3.0</v>
      </c>
    </row>
    <row r="6300">
      <c r="A6300" s="24">
        <v>64.0</v>
      </c>
      <c r="B6300" s="24">
        <v>44.0</v>
      </c>
      <c r="C6300" s="44">
        <v>57.64</v>
      </c>
      <c r="D6300" s="46">
        <v>45455.0</v>
      </c>
      <c r="E6300" s="24">
        <v>1.31</v>
      </c>
      <c r="F6300" s="24">
        <v>900.62</v>
      </c>
      <c r="G6300" s="24">
        <v>68.75</v>
      </c>
      <c r="H6300" s="24" t="s">
        <v>6705</v>
      </c>
      <c r="I6300" s="24" t="s">
        <v>6650</v>
      </c>
      <c r="J6300" s="24">
        <v>2.0</v>
      </c>
    </row>
    <row r="6301">
      <c r="A6301" s="24">
        <v>121.0</v>
      </c>
      <c r="B6301" s="24">
        <v>65.0</v>
      </c>
      <c r="C6301" s="44">
        <v>80.56</v>
      </c>
      <c r="D6301" s="46">
        <v>45455.0</v>
      </c>
      <c r="E6301" s="24">
        <v>1.24</v>
      </c>
      <c r="F6301" s="24">
        <v>665.79</v>
      </c>
      <c r="G6301" s="24">
        <v>53.72</v>
      </c>
      <c r="H6301" s="24" t="s">
        <v>6710</v>
      </c>
      <c r="I6301" s="24">
        <v>80.56</v>
      </c>
      <c r="J6301" s="24">
        <v>1.0</v>
      </c>
    </row>
    <row r="6302">
      <c r="A6302" s="24">
        <v>3162.0</v>
      </c>
      <c r="B6302" s="24">
        <v>16.0</v>
      </c>
      <c r="C6302" s="44">
        <v>60.57</v>
      </c>
      <c r="D6302" s="46">
        <v>45455.0</v>
      </c>
      <c r="E6302" s="24">
        <v>3.79</v>
      </c>
      <c r="F6302" s="24">
        <v>19.16</v>
      </c>
      <c r="G6302" s="24">
        <v>0.51</v>
      </c>
      <c r="H6302" s="24" t="s">
        <v>6712</v>
      </c>
      <c r="I6302" s="24">
        <v>10.1</v>
      </c>
      <c r="J6302" s="24">
        <v>0.0</v>
      </c>
    </row>
    <row r="6303">
      <c r="A6303" s="24">
        <v>157.0</v>
      </c>
      <c r="B6303" s="24">
        <v>101.0</v>
      </c>
      <c r="C6303" s="44">
        <v>110.71</v>
      </c>
      <c r="D6303" s="46">
        <v>45455.0</v>
      </c>
      <c r="E6303" s="24">
        <v>1.1</v>
      </c>
      <c r="F6303" s="24">
        <v>705.16</v>
      </c>
      <c r="G6303" s="24">
        <v>64.33</v>
      </c>
      <c r="H6303" s="24" t="s">
        <v>6707</v>
      </c>
      <c r="I6303" s="24" t="s">
        <v>6650</v>
      </c>
      <c r="J6303" s="24">
        <v>0.0</v>
      </c>
    </row>
    <row r="6304">
      <c r="A6304" s="24">
        <v>85.0</v>
      </c>
      <c r="B6304" s="24">
        <v>47.0</v>
      </c>
      <c r="C6304" s="44">
        <v>62.67</v>
      </c>
      <c r="D6304" s="46">
        <v>45455.0</v>
      </c>
      <c r="E6304" s="24">
        <v>1.33</v>
      </c>
      <c r="F6304" s="24">
        <v>737.29</v>
      </c>
      <c r="G6304" s="24">
        <v>55.29</v>
      </c>
      <c r="H6304" s="24" t="s">
        <v>6709</v>
      </c>
      <c r="I6304" s="24">
        <v>31.34</v>
      </c>
      <c r="J6304" s="24">
        <v>1.0</v>
      </c>
    </row>
    <row r="6305">
      <c r="A6305" s="24">
        <v>38.0</v>
      </c>
      <c r="B6305" s="24">
        <v>41.0</v>
      </c>
      <c r="C6305" s="44">
        <v>27.51</v>
      </c>
      <c r="D6305" s="46">
        <v>45456.0</v>
      </c>
      <c r="E6305" s="24">
        <v>0.67</v>
      </c>
      <c r="F6305" s="24">
        <v>723.95</v>
      </c>
      <c r="G6305" s="24">
        <v>107.89</v>
      </c>
      <c r="H6305" s="24" t="s">
        <v>6709</v>
      </c>
      <c r="I6305" s="24">
        <v>27.51</v>
      </c>
      <c r="J6305" s="24">
        <v>3.0</v>
      </c>
    </row>
    <row r="6306">
      <c r="A6306" s="24">
        <v>150.0</v>
      </c>
      <c r="B6306" s="24">
        <v>94.0</v>
      </c>
      <c r="C6306" s="44">
        <v>109.79</v>
      </c>
      <c r="D6306" s="46">
        <v>45456.0</v>
      </c>
      <c r="E6306" s="24">
        <v>1.17</v>
      </c>
      <c r="F6306" s="24">
        <v>731.93</v>
      </c>
      <c r="G6306" s="24">
        <v>62.67</v>
      </c>
      <c r="H6306" s="24" t="s">
        <v>6707</v>
      </c>
      <c r="I6306" s="24">
        <v>109.79</v>
      </c>
      <c r="J6306" s="24">
        <v>3.0</v>
      </c>
    </row>
    <row r="6307">
      <c r="A6307" s="24">
        <v>114.0</v>
      </c>
      <c r="B6307" s="24">
        <v>70.0</v>
      </c>
      <c r="C6307" s="44">
        <v>81.2</v>
      </c>
      <c r="D6307" s="46">
        <v>45456.0</v>
      </c>
      <c r="E6307" s="24">
        <v>1.16</v>
      </c>
      <c r="F6307" s="24">
        <v>712.28</v>
      </c>
      <c r="G6307" s="24">
        <v>61.4</v>
      </c>
      <c r="H6307" s="24" t="s">
        <v>6710</v>
      </c>
      <c r="I6307" s="24">
        <v>81.2</v>
      </c>
      <c r="J6307" s="24">
        <v>1.0</v>
      </c>
    </row>
    <row r="6308">
      <c r="A6308" s="24">
        <v>3034.0</v>
      </c>
      <c r="B6308" s="24">
        <v>8.0</v>
      </c>
      <c r="C6308" s="44">
        <v>60.67</v>
      </c>
      <c r="D6308" s="46">
        <v>45456.0</v>
      </c>
      <c r="E6308" s="24">
        <v>7.58</v>
      </c>
      <c r="F6308" s="24">
        <v>20.0</v>
      </c>
      <c r="G6308" s="24">
        <v>0.26</v>
      </c>
      <c r="H6308" s="24" t="s">
        <v>6712</v>
      </c>
      <c r="I6308" s="24">
        <v>8.67</v>
      </c>
      <c r="J6308" s="24">
        <v>0.0</v>
      </c>
    </row>
    <row r="6309">
      <c r="A6309" s="24">
        <v>0.0</v>
      </c>
      <c r="B6309" s="24">
        <v>3.0</v>
      </c>
      <c r="C6309" s="44">
        <v>0.0</v>
      </c>
      <c r="D6309" s="46">
        <v>45456.0</v>
      </c>
      <c r="E6309" s="24">
        <v>0.0</v>
      </c>
      <c r="F6309" s="24" t="s">
        <v>6650</v>
      </c>
      <c r="G6309" s="24" t="s">
        <v>6650</v>
      </c>
      <c r="H6309" s="24" t="s">
        <v>6706</v>
      </c>
      <c r="I6309" s="24" t="s">
        <v>6650</v>
      </c>
      <c r="J6309" s="24">
        <v>1.0</v>
      </c>
    </row>
    <row r="6310">
      <c r="A6310" s="24">
        <v>46.0</v>
      </c>
      <c r="B6310" s="24">
        <v>37.0</v>
      </c>
      <c r="C6310" s="44">
        <v>36.21</v>
      </c>
      <c r="D6310" s="46">
        <v>45456.0</v>
      </c>
      <c r="E6310" s="24">
        <v>0.98</v>
      </c>
      <c r="F6310" s="24">
        <v>787.17</v>
      </c>
      <c r="G6310" s="24">
        <v>80.43</v>
      </c>
      <c r="H6310" s="24" t="s">
        <v>6705</v>
      </c>
      <c r="I6310" s="24">
        <v>36.21</v>
      </c>
      <c r="J6310" s="24">
        <v>1.0</v>
      </c>
    </row>
    <row r="6311">
      <c r="A6311" s="24">
        <v>25.0</v>
      </c>
      <c r="B6311" s="24">
        <v>20.0</v>
      </c>
      <c r="C6311" s="44">
        <v>19.2</v>
      </c>
      <c r="D6311" s="46">
        <v>45457.0</v>
      </c>
      <c r="E6311" s="24">
        <v>0.96</v>
      </c>
      <c r="F6311" s="24">
        <v>768.0</v>
      </c>
      <c r="G6311" s="24">
        <v>80.0</v>
      </c>
      <c r="H6311" s="24" t="s">
        <v>6705</v>
      </c>
      <c r="I6311" s="24" t="s">
        <v>6650</v>
      </c>
      <c r="J6311" s="24">
        <v>0.0</v>
      </c>
    </row>
    <row r="6312">
      <c r="A6312" s="24">
        <v>2745.0</v>
      </c>
      <c r="B6312" s="24">
        <v>15.0</v>
      </c>
      <c r="C6312" s="44">
        <v>54.11</v>
      </c>
      <c r="D6312" s="46">
        <v>45457.0</v>
      </c>
      <c r="E6312" s="24">
        <v>3.61</v>
      </c>
      <c r="F6312" s="24">
        <v>19.71</v>
      </c>
      <c r="G6312" s="24">
        <v>0.55</v>
      </c>
      <c r="H6312" s="24" t="s">
        <v>6712</v>
      </c>
      <c r="I6312" s="24">
        <v>9.02</v>
      </c>
      <c r="J6312" s="24">
        <v>0.0</v>
      </c>
    </row>
    <row r="6313">
      <c r="A6313" s="24">
        <v>139.0</v>
      </c>
      <c r="B6313" s="24">
        <v>74.0</v>
      </c>
      <c r="C6313" s="44">
        <v>108.99</v>
      </c>
      <c r="D6313" s="46">
        <v>45457.0</v>
      </c>
      <c r="E6313" s="24">
        <v>1.47</v>
      </c>
      <c r="F6313" s="24">
        <v>784.1</v>
      </c>
      <c r="G6313" s="24">
        <v>53.24</v>
      </c>
      <c r="H6313" s="24" t="s">
        <v>6707</v>
      </c>
      <c r="I6313" s="24">
        <v>108.99</v>
      </c>
      <c r="J6313" s="24">
        <v>0.0</v>
      </c>
    </row>
    <row r="6314">
      <c r="A6314" s="24">
        <v>64.0</v>
      </c>
      <c r="B6314" s="24">
        <v>52.0</v>
      </c>
      <c r="C6314" s="44">
        <v>47.32</v>
      </c>
      <c r="D6314" s="46">
        <v>45457.0</v>
      </c>
      <c r="E6314" s="24">
        <v>0.91</v>
      </c>
      <c r="F6314" s="24">
        <v>739.38</v>
      </c>
      <c r="G6314" s="24">
        <v>81.25</v>
      </c>
      <c r="H6314" s="24" t="s">
        <v>6710</v>
      </c>
      <c r="I6314" s="24" t="s">
        <v>6650</v>
      </c>
      <c r="J6314" s="24">
        <v>0.0</v>
      </c>
    </row>
    <row r="6315">
      <c r="A6315" s="24">
        <v>39.0</v>
      </c>
      <c r="B6315" s="24">
        <v>32.0</v>
      </c>
      <c r="C6315" s="44">
        <v>29.79</v>
      </c>
      <c r="D6315" s="46">
        <v>45457.0</v>
      </c>
      <c r="E6315" s="24">
        <v>0.93</v>
      </c>
      <c r="F6315" s="24">
        <v>763.85</v>
      </c>
      <c r="G6315" s="24">
        <v>82.05</v>
      </c>
      <c r="H6315" s="24" t="s">
        <v>6709</v>
      </c>
      <c r="I6315" s="24" t="s">
        <v>6650</v>
      </c>
      <c r="J6315" s="24">
        <v>0.0</v>
      </c>
    </row>
    <row r="6316">
      <c r="A6316" s="24">
        <v>0.0</v>
      </c>
      <c r="B6316" s="24">
        <v>1.0</v>
      </c>
      <c r="C6316" s="44">
        <v>0.0</v>
      </c>
      <c r="D6316" s="46">
        <v>45457.0</v>
      </c>
      <c r="E6316" s="24">
        <v>0.0</v>
      </c>
      <c r="F6316" s="24" t="s">
        <v>6650</v>
      </c>
      <c r="G6316" s="24" t="s">
        <v>6650</v>
      </c>
      <c r="H6316" s="24" t="s">
        <v>6706</v>
      </c>
      <c r="I6316" s="24" t="s">
        <v>6650</v>
      </c>
      <c r="J6316" s="24">
        <v>0.0</v>
      </c>
    </row>
    <row r="6317">
      <c r="A6317" s="24">
        <v>29.0</v>
      </c>
      <c r="B6317" s="24">
        <v>17.0</v>
      </c>
      <c r="C6317" s="44">
        <v>21.35</v>
      </c>
      <c r="D6317" s="46">
        <v>45458.0</v>
      </c>
      <c r="E6317" s="24">
        <v>1.26</v>
      </c>
      <c r="F6317" s="24">
        <v>736.21</v>
      </c>
      <c r="G6317" s="24">
        <v>58.62</v>
      </c>
      <c r="H6317" s="24" t="s">
        <v>6710</v>
      </c>
      <c r="I6317" s="24" t="s">
        <v>6650</v>
      </c>
      <c r="J6317" s="24">
        <v>0.0</v>
      </c>
    </row>
    <row r="6318">
      <c r="A6318" s="24">
        <v>61.0</v>
      </c>
      <c r="B6318" s="24">
        <v>33.0</v>
      </c>
      <c r="C6318" s="44">
        <v>47.51</v>
      </c>
      <c r="D6318" s="46">
        <v>45458.0</v>
      </c>
      <c r="E6318" s="24">
        <v>1.44</v>
      </c>
      <c r="F6318" s="24">
        <v>778.85</v>
      </c>
      <c r="G6318" s="24">
        <v>54.1</v>
      </c>
      <c r="H6318" s="24" t="s">
        <v>6707</v>
      </c>
      <c r="I6318" s="24" t="s">
        <v>6650</v>
      </c>
      <c r="J6318" s="24">
        <v>0.0</v>
      </c>
    </row>
    <row r="6319">
      <c r="A6319" s="24">
        <v>7.0</v>
      </c>
      <c r="B6319" s="24">
        <v>6.0</v>
      </c>
      <c r="C6319" s="44">
        <v>4.68</v>
      </c>
      <c r="D6319" s="46">
        <v>45458.0</v>
      </c>
      <c r="E6319" s="24">
        <v>0.78</v>
      </c>
      <c r="F6319" s="24">
        <v>668.57</v>
      </c>
      <c r="G6319" s="24">
        <v>85.71</v>
      </c>
      <c r="H6319" s="24" t="s">
        <v>6705</v>
      </c>
      <c r="I6319" s="24" t="s">
        <v>6650</v>
      </c>
      <c r="J6319" s="24">
        <v>0.0</v>
      </c>
    </row>
    <row r="6320">
      <c r="A6320" s="24">
        <v>15.0</v>
      </c>
      <c r="B6320" s="24">
        <v>11.0</v>
      </c>
      <c r="C6320" s="44">
        <v>11.3</v>
      </c>
      <c r="D6320" s="46">
        <v>45458.0</v>
      </c>
      <c r="E6320" s="24">
        <v>1.03</v>
      </c>
      <c r="F6320" s="24">
        <v>753.33</v>
      </c>
      <c r="G6320" s="24">
        <v>73.33</v>
      </c>
      <c r="H6320" s="24" t="s">
        <v>6709</v>
      </c>
      <c r="I6320" s="24" t="s">
        <v>6650</v>
      </c>
      <c r="J6320" s="24">
        <v>2.0</v>
      </c>
    </row>
    <row r="6321">
      <c r="A6321" s="24">
        <v>1686.0</v>
      </c>
      <c r="B6321" s="24">
        <v>6.0</v>
      </c>
      <c r="C6321" s="44">
        <v>30.93</v>
      </c>
      <c r="D6321" s="46">
        <v>45458.0</v>
      </c>
      <c r="E6321" s="24">
        <v>5.16</v>
      </c>
      <c r="F6321" s="24">
        <v>18.35</v>
      </c>
      <c r="G6321" s="24">
        <v>0.36</v>
      </c>
      <c r="H6321" s="24" t="s">
        <v>6712</v>
      </c>
      <c r="I6321" s="24">
        <v>7.73</v>
      </c>
      <c r="J6321" s="24">
        <v>0.0</v>
      </c>
    </row>
    <row r="6322">
      <c r="A6322" s="24">
        <v>1.0</v>
      </c>
      <c r="B6322" s="24">
        <v>0.0</v>
      </c>
      <c r="C6322" s="44">
        <v>0.5</v>
      </c>
      <c r="D6322" s="46">
        <v>45459.0</v>
      </c>
      <c r="E6322" s="24" t="s">
        <v>6650</v>
      </c>
      <c r="F6322" s="24">
        <v>500.0</v>
      </c>
      <c r="G6322" s="24">
        <v>0.0</v>
      </c>
      <c r="H6322" s="24" t="s">
        <v>6706</v>
      </c>
      <c r="I6322" s="24" t="s">
        <v>6650</v>
      </c>
      <c r="J6322" s="24">
        <v>0.0</v>
      </c>
    </row>
    <row r="6323">
      <c r="A6323" s="24">
        <v>18.0</v>
      </c>
      <c r="B6323" s="24">
        <v>8.0</v>
      </c>
      <c r="C6323" s="44">
        <v>13.46</v>
      </c>
      <c r="D6323" s="46">
        <v>45459.0</v>
      </c>
      <c r="E6323" s="24">
        <v>1.68</v>
      </c>
      <c r="F6323" s="24">
        <v>747.78</v>
      </c>
      <c r="G6323" s="24">
        <v>44.44</v>
      </c>
      <c r="H6323" s="24" t="s">
        <v>6705</v>
      </c>
      <c r="I6323" s="24" t="s">
        <v>6650</v>
      </c>
      <c r="J6323" s="24">
        <v>0.0</v>
      </c>
    </row>
    <row r="6324">
      <c r="A6324" s="24">
        <v>123.0</v>
      </c>
      <c r="B6324" s="24">
        <v>48.0</v>
      </c>
      <c r="C6324" s="44">
        <v>91.7</v>
      </c>
      <c r="D6324" s="46">
        <v>45459.0</v>
      </c>
      <c r="E6324" s="24">
        <v>1.91</v>
      </c>
      <c r="F6324" s="24">
        <v>745.53</v>
      </c>
      <c r="G6324" s="24">
        <v>39.02</v>
      </c>
      <c r="H6324" s="24" t="s">
        <v>6707</v>
      </c>
      <c r="I6324" s="24" t="s">
        <v>6650</v>
      </c>
      <c r="J6324" s="24">
        <v>0.0</v>
      </c>
    </row>
    <row r="6325">
      <c r="A6325" s="24">
        <v>27.0</v>
      </c>
      <c r="B6325" s="24">
        <v>13.0</v>
      </c>
      <c r="C6325" s="44">
        <v>23.26</v>
      </c>
      <c r="D6325" s="46">
        <v>45459.0</v>
      </c>
      <c r="E6325" s="24">
        <v>1.79</v>
      </c>
      <c r="F6325" s="24">
        <v>861.48</v>
      </c>
      <c r="G6325" s="24">
        <v>48.15</v>
      </c>
      <c r="H6325" s="24" t="s">
        <v>6709</v>
      </c>
      <c r="I6325" s="24" t="s">
        <v>6650</v>
      </c>
      <c r="J6325" s="24">
        <v>2.0</v>
      </c>
    </row>
    <row r="6326">
      <c r="A6326" s="24">
        <v>1479.0</v>
      </c>
      <c r="B6326" s="24">
        <v>1.0</v>
      </c>
      <c r="C6326" s="44">
        <v>28.89</v>
      </c>
      <c r="D6326" s="46">
        <v>45459.0</v>
      </c>
      <c r="E6326" s="24">
        <v>28.89</v>
      </c>
      <c r="F6326" s="24">
        <v>19.53</v>
      </c>
      <c r="G6326" s="24">
        <v>0.07</v>
      </c>
      <c r="H6326" s="24" t="s">
        <v>6712</v>
      </c>
      <c r="I6326" s="24">
        <v>14.44</v>
      </c>
      <c r="J6326" s="24">
        <v>0.0</v>
      </c>
    </row>
    <row r="6327">
      <c r="A6327" s="24">
        <v>76.0</v>
      </c>
      <c r="B6327" s="24">
        <v>26.0</v>
      </c>
      <c r="C6327" s="44">
        <v>54.26</v>
      </c>
      <c r="D6327" s="46">
        <v>45459.0</v>
      </c>
      <c r="E6327" s="24">
        <v>2.09</v>
      </c>
      <c r="F6327" s="24">
        <v>713.95</v>
      </c>
      <c r="G6327" s="24">
        <v>34.21</v>
      </c>
      <c r="H6327" s="24" t="s">
        <v>6710</v>
      </c>
      <c r="I6327" s="24" t="s">
        <v>6650</v>
      </c>
      <c r="J6327" s="24">
        <v>0.0</v>
      </c>
    </row>
    <row r="6328">
      <c r="A6328" s="24">
        <v>71.0</v>
      </c>
      <c r="B6328" s="24">
        <v>34.0</v>
      </c>
      <c r="C6328" s="44">
        <v>51.86</v>
      </c>
      <c r="D6328" s="46">
        <v>45460.0</v>
      </c>
      <c r="E6328" s="24">
        <v>1.53</v>
      </c>
      <c r="F6328" s="24">
        <v>730.42</v>
      </c>
      <c r="G6328" s="24">
        <v>47.89</v>
      </c>
      <c r="H6328" s="24" t="s">
        <v>6709</v>
      </c>
      <c r="I6328" s="24" t="s">
        <v>6650</v>
      </c>
      <c r="J6328" s="24">
        <v>0.0</v>
      </c>
    </row>
    <row r="6329">
      <c r="A6329" s="24">
        <v>2891.0</v>
      </c>
      <c r="B6329" s="24">
        <v>10.0</v>
      </c>
      <c r="C6329" s="44">
        <v>54.53</v>
      </c>
      <c r="D6329" s="46">
        <v>45460.0</v>
      </c>
      <c r="E6329" s="24">
        <v>5.45</v>
      </c>
      <c r="F6329" s="24">
        <v>18.86</v>
      </c>
      <c r="G6329" s="24">
        <v>0.35</v>
      </c>
      <c r="H6329" s="24" t="s">
        <v>6712</v>
      </c>
      <c r="I6329" s="24" t="s">
        <v>6650</v>
      </c>
      <c r="J6329" s="24">
        <v>0.0</v>
      </c>
    </row>
    <row r="6330">
      <c r="A6330" s="24">
        <v>3.0</v>
      </c>
      <c r="B6330" s="24">
        <v>2.0</v>
      </c>
      <c r="C6330" s="44">
        <v>2.46</v>
      </c>
      <c r="D6330" s="46">
        <v>45460.0</v>
      </c>
      <c r="E6330" s="24">
        <v>1.23</v>
      </c>
      <c r="F6330" s="24">
        <v>820.0</v>
      </c>
      <c r="G6330" s="24">
        <v>66.67</v>
      </c>
      <c r="H6330" s="24" t="s">
        <v>6706</v>
      </c>
      <c r="I6330" s="24" t="s">
        <v>6650</v>
      </c>
      <c r="J6330" s="24">
        <v>0.0</v>
      </c>
    </row>
    <row r="6331">
      <c r="A6331" s="24">
        <v>149.0</v>
      </c>
      <c r="B6331" s="24">
        <v>92.0</v>
      </c>
      <c r="C6331" s="44">
        <v>105.61</v>
      </c>
      <c r="D6331" s="46">
        <v>45460.0</v>
      </c>
      <c r="E6331" s="24">
        <v>1.15</v>
      </c>
      <c r="F6331" s="24">
        <v>708.79</v>
      </c>
      <c r="G6331" s="24">
        <v>61.74</v>
      </c>
      <c r="H6331" s="24" t="s">
        <v>6710</v>
      </c>
      <c r="I6331" s="24" t="s">
        <v>6650</v>
      </c>
      <c r="J6331" s="24">
        <v>1.0</v>
      </c>
    </row>
    <row r="6332">
      <c r="A6332" s="24">
        <v>72.0</v>
      </c>
      <c r="B6332" s="24">
        <v>39.0</v>
      </c>
      <c r="C6332" s="44">
        <v>48.66</v>
      </c>
      <c r="D6332" s="46">
        <v>45460.0</v>
      </c>
      <c r="E6332" s="24">
        <v>1.25</v>
      </c>
      <c r="F6332" s="24">
        <v>675.83</v>
      </c>
      <c r="G6332" s="24">
        <v>54.17</v>
      </c>
      <c r="H6332" s="24" t="s">
        <v>6705</v>
      </c>
      <c r="I6332" s="24" t="s">
        <v>6650</v>
      </c>
      <c r="J6332" s="24">
        <v>3.0</v>
      </c>
    </row>
    <row r="6333">
      <c r="A6333" s="24">
        <v>135.0</v>
      </c>
      <c r="B6333" s="24">
        <v>88.0</v>
      </c>
      <c r="C6333" s="44">
        <v>104.35</v>
      </c>
      <c r="D6333" s="46">
        <v>45460.0</v>
      </c>
      <c r="E6333" s="24">
        <v>1.19</v>
      </c>
      <c r="F6333" s="24">
        <v>772.96</v>
      </c>
      <c r="G6333" s="24">
        <v>65.19</v>
      </c>
      <c r="H6333" s="24" t="s">
        <v>6707</v>
      </c>
      <c r="I6333" s="24" t="s">
        <v>6650</v>
      </c>
      <c r="J6333" s="24">
        <v>0.0</v>
      </c>
    </row>
    <row r="6334">
      <c r="A6334" s="24">
        <v>147.0</v>
      </c>
      <c r="B6334" s="24">
        <v>95.0</v>
      </c>
      <c r="C6334" s="44">
        <v>103.16</v>
      </c>
      <c r="D6334" s="46">
        <v>45461.0</v>
      </c>
      <c r="E6334" s="24">
        <v>1.09</v>
      </c>
      <c r="F6334" s="24">
        <v>701.77</v>
      </c>
      <c r="G6334" s="24">
        <v>64.63</v>
      </c>
      <c r="H6334" s="24" t="s">
        <v>6710</v>
      </c>
      <c r="I6334" s="24" t="s">
        <v>6650</v>
      </c>
      <c r="J6334" s="24">
        <v>1.0</v>
      </c>
    </row>
    <row r="6335">
      <c r="A6335" s="24">
        <v>2093.0</v>
      </c>
      <c r="B6335" s="24">
        <v>9.0</v>
      </c>
      <c r="C6335" s="44">
        <v>55.58</v>
      </c>
      <c r="D6335" s="46">
        <v>45461.0</v>
      </c>
      <c r="E6335" s="24">
        <v>6.18</v>
      </c>
      <c r="F6335" s="24">
        <v>26.56</v>
      </c>
      <c r="G6335" s="24">
        <v>0.43</v>
      </c>
      <c r="H6335" s="24" t="s">
        <v>6712</v>
      </c>
      <c r="I6335" s="24">
        <v>18.53</v>
      </c>
      <c r="J6335" s="24">
        <v>0.0</v>
      </c>
    </row>
    <row r="6336">
      <c r="A6336" s="24">
        <v>89.0</v>
      </c>
      <c r="B6336" s="24">
        <v>46.0</v>
      </c>
      <c r="C6336" s="44">
        <v>64.38</v>
      </c>
      <c r="D6336" s="46">
        <v>45461.0</v>
      </c>
      <c r="E6336" s="24">
        <v>1.4</v>
      </c>
      <c r="F6336" s="24">
        <v>723.37</v>
      </c>
      <c r="G6336" s="24">
        <v>51.69</v>
      </c>
      <c r="H6336" s="24" t="s">
        <v>6705</v>
      </c>
      <c r="I6336" s="24">
        <v>64.38</v>
      </c>
      <c r="J6336" s="24">
        <v>1.0</v>
      </c>
    </row>
    <row r="6337">
      <c r="A6337" s="24">
        <v>73.0</v>
      </c>
      <c r="B6337" s="24">
        <v>37.0</v>
      </c>
      <c r="C6337" s="44">
        <v>52.98</v>
      </c>
      <c r="D6337" s="46">
        <v>45461.0</v>
      </c>
      <c r="E6337" s="24">
        <v>1.43</v>
      </c>
      <c r="F6337" s="24">
        <v>725.75</v>
      </c>
      <c r="G6337" s="24">
        <v>50.68</v>
      </c>
      <c r="H6337" s="24" t="s">
        <v>6709</v>
      </c>
      <c r="I6337" s="24">
        <v>52.98</v>
      </c>
      <c r="J6337" s="24">
        <v>0.0</v>
      </c>
    </row>
    <row r="6338">
      <c r="A6338" s="24">
        <v>158.0</v>
      </c>
      <c r="B6338" s="24">
        <v>112.0</v>
      </c>
      <c r="C6338" s="44">
        <v>112.91</v>
      </c>
      <c r="D6338" s="46">
        <v>45461.0</v>
      </c>
      <c r="E6338" s="24">
        <v>1.01</v>
      </c>
      <c r="F6338" s="24">
        <v>714.62</v>
      </c>
      <c r="G6338" s="24">
        <v>70.89</v>
      </c>
      <c r="H6338" s="24" t="s">
        <v>6707</v>
      </c>
      <c r="I6338" s="24" t="s">
        <v>6650</v>
      </c>
      <c r="J6338" s="24">
        <v>0.0</v>
      </c>
    </row>
    <row r="6339">
      <c r="A6339" s="24">
        <v>11.0</v>
      </c>
      <c r="B6339" s="24">
        <v>1.0</v>
      </c>
      <c r="C6339" s="44">
        <v>5.98</v>
      </c>
      <c r="D6339" s="46">
        <v>45461.0</v>
      </c>
      <c r="E6339" s="24">
        <v>5.98</v>
      </c>
      <c r="F6339" s="24">
        <v>543.64</v>
      </c>
      <c r="G6339" s="24">
        <v>9.09</v>
      </c>
      <c r="H6339" s="24" t="s">
        <v>6706</v>
      </c>
      <c r="I6339" s="24" t="s">
        <v>6650</v>
      </c>
      <c r="J6339" s="24">
        <v>0.0</v>
      </c>
    </row>
    <row r="6340">
      <c r="A6340" s="24">
        <v>52.0</v>
      </c>
      <c r="B6340" s="24">
        <v>27.0</v>
      </c>
      <c r="C6340" s="44">
        <v>37.81</v>
      </c>
      <c r="D6340" s="46">
        <v>45462.0</v>
      </c>
      <c r="E6340" s="24">
        <v>1.4</v>
      </c>
      <c r="F6340" s="24">
        <v>727.12</v>
      </c>
      <c r="G6340" s="24">
        <v>51.92</v>
      </c>
      <c r="H6340" s="24" t="s">
        <v>6709</v>
      </c>
      <c r="I6340" s="24" t="s">
        <v>6650</v>
      </c>
      <c r="J6340" s="24">
        <v>0.0</v>
      </c>
    </row>
    <row r="6341">
      <c r="A6341" s="24">
        <v>158.0</v>
      </c>
      <c r="B6341" s="24">
        <v>94.0</v>
      </c>
      <c r="C6341" s="44">
        <v>112.62</v>
      </c>
      <c r="D6341" s="46">
        <v>45462.0</v>
      </c>
      <c r="E6341" s="24">
        <v>1.2</v>
      </c>
      <c r="F6341" s="24">
        <v>712.78</v>
      </c>
      <c r="G6341" s="24">
        <v>59.49</v>
      </c>
      <c r="H6341" s="24" t="s">
        <v>6707</v>
      </c>
      <c r="I6341" s="24" t="s">
        <v>6650</v>
      </c>
      <c r="J6341" s="24">
        <v>2.0</v>
      </c>
    </row>
    <row r="6342">
      <c r="A6342" s="24">
        <v>1291.0</v>
      </c>
      <c r="B6342" s="24">
        <v>3.0</v>
      </c>
      <c r="C6342" s="44">
        <v>55.73</v>
      </c>
      <c r="D6342" s="46">
        <v>45462.0</v>
      </c>
      <c r="E6342" s="24">
        <v>18.58</v>
      </c>
      <c r="F6342" s="24">
        <v>43.17</v>
      </c>
      <c r="G6342" s="24">
        <v>0.23</v>
      </c>
      <c r="H6342" s="24" t="s">
        <v>6712</v>
      </c>
      <c r="I6342" s="24">
        <v>18.58</v>
      </c>
      <c r="J6342" s="24">
        <v>0.0</v>
      </c>
    </row>
    <row r="6343">
      <c r="A6343" s="24">
        <v>63.0</v>
      </c>
      <c r="B6343" s="24">
        <v>25.0</v>
      </c>
      <c r="C6343" s="44">
        <v>46.95</v>
      </c>
      <c r="D6343" s="46">
        <v>45462.0</v>
      </c>
      <c r="E6343" s="24">
        <v>1.88</v>
      </c>
      <c r="F6343" s="24">
        <v>745.24</v>
      </c>
      <c r="G6343" s="24">
        <v>39.68</v>
      </c>
      <c r="H6343" s="24" t="s">
        <v>6705</v>
      </c>
      <c r="I6343" s="24" t="s">
        <v>6650</v>
      </c>
      <c r="J6343" s="24">
        <v>0.0</v>
      </c>
    </row>
    <row r="6344">
      <c r="A6344" s="24">
        <v>17.0</v>
      </c>
      <c r="B6344" s="24">
        <v>8.0</v>
      </c>
      <c r="C6344" s="44">
        <v>13.76</v>
      </c>
      <c r="D6344" s="46">
        <v>45462.0</v>
      </c>
      <c r="E6344" s="24">
        <v>1.72</v>
      </c>
      <c r="F6344" s="24">
        <v>809.41</v>
      </c>
      <c r="G6344" s="24">
        <v>47.06</v>
      </c>
      <c r="H6344" s="24" t="s">
        <v>6706</v>
      </c>
      <c r="I6344" s="24" t="s">
        <v>6650</v>
      </c>
      <c r="J6344" s="24">
        <v>0.0</v>
      </c>
    </row>
    <row r="6345">
      <c r="A6345" s="24">
        <v>136.0</v>
      </c>
      <c r="B6345" s="24">
        <v>84.0</v>
      </c>
      <c r="C6345" s="44">
        <v>97.66</v>
      </c>
      <c r="D6345" s="46">
        <v>45462.0</v>
      </c>
      <c r="E6345" s="24">
        <v>1.16</v>
      </c>
      <c r="F6345" s="24">
        <v>718.09</v>
      </c>
      <c r="G6345" s="24">
        <v>61.76</v>
      </c>
      <c r="H6345" s="24" t="s">
        <v>6710</v>
      </c>
      <c r="I6345" s="24" t="s">
        <v>6650</v>
      </c>
      <c r="J6345" s="24">
        <v>0.0</v>
      </c>
    </row>
    <row r="6346">
      <c r="A6346" s="24">
        <v>88.0</v>
      </c>
      <c r="B6346" s="24">
        <v>50.0</v>
      </c>
      <c r="C6346" s="44">
        <v>66.33</v>
      </c>
      <c r="D6346" s="46">
        <v>45463.0</v>
      </c>
      <c r="E6346" s="24">
        <v>1.33</v>
      </c>
      <c r="F6346" s="24">
        <v>753.75</v>
      </c>
      <c r="G6346" s="24">
        <v>56.82</v>
      </c>
      <c r="H6346" s="24" t="s">
        <v>6705</v>
      </c>
      <c r="I6346" s="24" t="s">
        <v>6650</v>
      </c>
      <c r="J6346" s="24">
        <v>0.0</v>
      </c>
    </row>
    <row r="6347">
      <c r="A6347" s="24">
        <v>148.0</v>
      </c>
      <c r="B6347" s="24">
        <v>101.0</v>
      </c>
      <c r="C6347" s="44">
        <v>112.62</v>
      </c>
      <c r="D6347" s="46">
        <v>45463.0</v>
      </c>
      <c r="E6347" s="24">
        <v>1.12</v>
      </c>
      <c r="F6347" s="24">
        <v>760.95</v>
      </c>
      <c r="G6347" s="24">
        <v>68.24</v>
      </c>
      <c r="H6347" s="24" t="s">
        <v>6707</v>
      </c>
      <c r="I6347" s="24" t="s">
        <v>6650</v>
      </c>
      <c r="J6347" s="24">
        <v>0.0</v>
      </c>
    </row>
    <row r="6348">
      <c r="A6348" s="24">
        <v>95.0</v>
      </c>
      <c r="B6348" s="24">
        <v>48.0</v>
      </c>
      <c r="C6348" s="44">
        <v>68.84</v>
      </c>
      <c r="D6348" s="46">
        <v>45463.0</v>
      </c>
      <c r="E6348" s="24">
        <v>1.43</v>
      </c>
      <c r="F6348" s="24">
        <v>724.63</v>
      </c>
      <c r="G6348" s="24">
        <v>50.53</v>
      </c>
      <c r="H6348" s="24" t="s">
        <v>6709</v>
      </c>
      <c r="I6348" s="24">
        <v>68.84</v>
      </c>
      <c r="J6348" s="24">
        <v>3.0</v>
      </c>
    </row>
    <row r="6349">
      <c r="A6349" s="24">
        <v>18.0</v>
      </c>
      <c r="B6349" s="24">
        <v>8.0</v>
      </c>
      <c r="C6349" s="44">
        <v>13.46</v>
      </c>
      <c r="D6349" s="46">
        <v>45463.0</v>
      </c>
      <c r="E6349" s="24">
        <v>1.68</v>
      </c>
      <c r="F6349" s="24">
        <v>747.78</v>
      </c>
      <c r="G6349" s="24">
        <v>44.44</v>
      </c>
      <c r="H6349" s="24" t="s">
        <v>6706</v>
      </c>
      <c r="I6349" s="24" t="s">
        <v>6650</v>
      </c>
      <c r="J6349" s="24">
        <v>0.0</v>
      </c>
    </row>
    <row r="6350">
      <c r="A6350" s="24">
        <v>1451.0</v>
      </c>
      <c r="B6350" s="24">
        <v>5.0</v>
      </c>
      <c r="C6350" s="44">
        <v>55.91</v>
      </c>
      <c r="D6350" s="46">
        <v>45463.0</v>
      </c>
      <c r="E6350" s="24">
        <v>11.18</v>
      </c>
      <c r="F6350" s="24">
        <v>38.53</v>
      </c>
      <c r="G6350" s="24">
        <v>0.34</v>
      </c>
      <c r="H6350" s="24" t="s">
        <v>6712</v>
      </c>
      <c r="I6350" s="24">
        <v>55.91</v>
      </c>
      <c r="J6350" s="24">
        <v>0.0</v>
      </c>
    </row>
    <row r="6351">
      <c r="A6351" s="24">
        <v>161.0</v>
      </c>
      <c r="B6351" s="24">
        <v>88.0</v>
      </c>
      <c r="C6351" s="44">
        <v>112.99</v>
      </c>
      <c r="D6351" s="46">
        <v>45463.0</v>
      </c>
      <c r="E6351" s="24">
        <v>1.28</v>
      </c>
      <c r="F6351" s="24">
        <v>701.8</v>
      </c>
      <c r="G6351" s="24">
        <v>54.66</v>
      </c>
      <c r="H6351" s="24" t="s">
        <v>6710</v>
      </c>
      <c r="I6351" s="24">
        <v>112.99</v>
      </c>
      <c r="J6351" s="24">
        <v>0.0</v>
      </c>
    </row>
    <row r="6352">
      <c r="A6352" s="24">
        <v>25.0</v>
      </c>
      <c r="B6352" s="24">
        <v>9.0</v>
      </c>
      <c r="C6352" s="44">
        <v>18.47</v>
      </c>
      <c r="D6352" s="46">
        <v>45464.0</v>
      </c>
      <c r="E6352" s="24">
        <v>2.05</v>
      </c>
      <c r="F6352" s="24">
        <v>738.8</v>
      </c>
      <c r="G6352" s="24">
        <v>36.0</v>
      </c>
      <c r="H6352" s="24" t="s">
        <v>6706</v>
      </c>
      <c r="I6352" s="24" t="s">
        <v>6650</v>
      </c>
      <c r="J6352" s="24">
        <v>0.0</v>
      </c>
    </row>
    <row r="6353">
      <c r="A6353" s="24">
        <v>1617.0</v>
      </c>
      <c r="B6353" s="24">
        <v>5.0</v>
      </c>
      <c r="C6353" s="44">
        <v>53.37</v>
      </c>
      <c r="D6353" s="46">
        <v>45464.0</v>
      </c>
      <c r="E6353" s="24">
        <v>10.67</v>
      </c>
      <c r="F6353" s="24">
        <v>33.01</v>
      </c>
      <c r="G6353" s="24">
        <v>0.31</v>
      </c>
      <c r="H6353" s="24" t="s">
        <v>6712</v>
      </c>
      <c r="I6353" s="24" t="s">
        <v>6650</v>
      </c>
      <c r="J6353" s="24">
        <v>0.0</v>
      </c>
    </row>
    <row r="6354">
      <c r="A6354" s="24">
        <v>132.0</v>
      </c>
      <c r="B6354" s="24">
        <v>68.0</v>
      </c>
      <c r="C6354" s="44">
        <v>95.36</v>
      </c>
      <c r="D6354" s="46">
        <v>45464.0</v>
      </c>
      <c r="E6354" s="24">
        <v>1.4</v>
      </c>
      <c r="F6354" s="24">
        <v>722.42</v>
      </c>
      <c r="G6354" s="24">
        <v>51.52</v>
      </c>
      <c r="H6354" s="24" t="s">
        <v>6710</v>
      </c>
      <c r="I6354" s="24" t="s">
        <v>6650</v>
      </c>
      <c r="J6354" s="24">
        <v>1.0</v>
      </c>
    </row>
    <row r="6355">
      <c r="A6355" s="24">
        <v>113.0</v>
      </c>
      <c r="B6355" s="24">
        <v>52.0</v>
      </c>
      <c r="C6355" s="44">
        <v>85.62</v>
      </c>
      <c r="D6355" s="46">
        <v>45464.0</v>
      </c>
      <c r="E6355" s="24">
        <v>1.65</v>
      </c>
      <c r="F6355" s="24">
        <v>757.7</v>
      </c>
      <c r="G6355" s="24">
        <v>46.02</v>
      </c>
      <c r="H6355" s="24" t="s">
        <v>6705</v>
      </c>
      <c r="I6355" s="24" t="s">
        <v>6650</v>
      </c>
      <c r="J6355" s="24">
        <v>1.0</v>
      </c>
    </row>
    <row r="6356">
      <c r="A6356" s="24">
        <v>135.0</v>
      </c>
      <c r="B6356" s="24">
        <v>71.0</v>
      </c>
      <c r="C6356" s="44">
        <v>95.08</v>
      </c>
      <c r="D6356" s="46">
        <v>45464.0</v>
      </c>
      <c r="E6356" s="24">
        <v>1.34</v>
      </c>
      <c r="F6356" s="24">
        <v>704.3</v>
      </c>
      <c r="G6356" s="24">
        <v>52.59</v>
      </c>
      <c r="H6356" s="24" t="s">
        <v>6707</v>
      </c>
      <c r="I6356" s="24">
        <v>95.08</v>
      </c>
      <c r="J6356" s="24">
        <v>0.0</v>
      </c>
    </row>
    <row r="6357">
      <c r="A6357" s="24">
        <v>118.0</v>
      </c>
      <c r="B6357" s="24">
        <v>53.0</v>
      </c>
      <c r="C6357" s="44">
        <v>83.3</v>
      </c>
      <c r="D6357" s="46">
        <v>45464.0</v>
      </c>
      <c r="E6357" s="24">
        <v>1.57</v>
      </c>
      <c r="F6357" s="24">
        <v>705.93</v>
      </c>
      <c r="G6357" s="24">
        <v>44.92</v>
      </c>
      <c r="H6357" s="24" t="s">
        <v>6709</v>
      </c>
      <c r="I6357" s="24" t="s">
        <v>6650</v>
      </c>
      <c r="J6357" s="24">
        <v>1.0</v>
      </c>
    </row>
    <row r="6358">
      <c r="A6358" s="24">
        <v>88.0</v>
      </c>
      <c r="B6358" s="24">
        <v>27.0</v>
      </c>
      <c r="C6358" s="44">
        <v>59.32</v>
      </c>
      <c r="D6358" s="46">
        <v>45465.0</v>
      </c>
      <c r="E6358" s="24">
        <v>2.2</v>
      </c>
      <c r="F6358" s="24">
        <v>674.09</v>
      </c>
      <c r="G6358" s="24">
        <v>30.68</v>
      </c>
      <c r="H6358" s="24" t="s">
        <v>6705</v>
      </c>
      <c r="I6358" s="24" t="s">
        <v>6650</v>
      </c>
      <c r="J6358" s="24">
        <v>1.0</v>
      </c>
    </row>
    <row r="6359">
      <c r="A6359" s="24">
        <v>103.0</v>
      </c>
      <c r="B6359" s="24">
        <v>59.0</v>
      </c>
      <c r="C6359" s="44">
        <v>71.1</v>
      </c>
      <c r="D6359" s="46">
        <v>45465.0</v>
      </c>
      <c r="E6359" s="24">
        <v>1.21</v>
      </c>
      <c r="F6359" s="24">
        <v>690.29</v>
      </c>
      <c r="G6359" s="24">
        <v>57.28</v>
      </c>
      <c r="H6359" s="24" t="s">
        <v>6707</v>
      </c>
      <c r="I6359" s="24" t="s">
        <v>6650</v>
      </c>
      <c r="J6359" s="24">
        <v>0.0</v>
      </c>
    </row>
    <row r="6360">
      <c r="A6360" s="24">
        <v>29.0</v>
      </c>
      <c r="B6360" s="24">
        <v>4.0</v>
      </c>
      <c r="C6360" s="44">
        <v>18.49</v>
      </c>
      <c r="D6360" s="46">
        <v>45465.0</v>
      </c>
      <c r="E6360" s="24">
        <v>4.62</v>
      </c>
      <c r="F6360" s="24">
        <v>637.59</v>
      </c>
      <c r="G6360" s="24">
        <v>13.79</v>
      </c>
      <c r="H6360" s="24" t="s">
        <v>6706</v>
      </c>
      <c r="I6360" s="24" t="s">
        <v>6650</v>
      </c>
      <c r="J6360" s="24">
        <v>0.0</v>
      </c>
    </row>
    <row r="6361">
      <c r="A6361" s="24">
        <v>90.0</v>
      </c>
      <c r="B6361" s="24">
        <v>36.0</v>
      </c>
      <c r="C6361" s="44">
        <v>65.72</v>
      </c>
      <c r="D6361" s="46">
        <v>45465.0</v>
      </c>
      <c r="E6361" s="24">
        <v>1.83</v>
      </c>
      <c r="F6361" s="24">
        <v>730.22</v>
      </c>
      <c r="G6361" s="24">
        <v>40.0</v>
      </c>
      <c r="H6361" s="24" t="s">
        <v>6709</v>
      </c>
      <c r="I6361" s="24" t="s">
        <v>6650</v>
      </c>
      <c r="J6361" s="24">
        <v>1.0</v>
      </c>
    </row>
    <row r="6362">
      <c r="A6362" s="24">
        <v>115.0</v>
      </c>
      <c r="B6362" s="24">
        <v>39.0</v>
      </c>
      <c r="C6362" s="44">
        <v>70.74</v>
      </c>
      <c r="D6362" s="46">
        <v>45465.0</v>
      </c>
      <c r="E6362" s="24">
        <v>1.81</v>
      </c>
      <c r="F6362" s="24">
        <v>615.13</v>
      </c>
      <c r="G6362" s="24">
        <v>33.91</v>
      </c>
      <c r="H6362" s="24" t="s">
        <v>6710</v>
      </c>
      <c r="I6362" s="24" t="s">
        <v>6650</v>
      </c>
      <c r="J6362" s="24">
        <v>0.0</v>
      </c>
    </row>
    <row r="6363">
      <c r="A6363" s="24">
        <v>968.0</v>
      </c>
      <c r="B6363" s="24">
        <v>3.0</v>
      </c>
      <c r="C6363" s="44">
        <v>38.65</v>
      </c>
      <c r="D6363" s="46">
        <v>45465.0</v>
      </c>
      <c r="E6363" s="24">
        <v>12.88</v>
      </c>
      <c r="F6363" s="24">
        <v>39.93</v>
      </c>
      <c r="G6363" s="24">
        <v>0.31</v>
      </c>
      <c r="H6363" s="24" t="s">
        <v>6712</v>
      </c>
      <c r="I6363" s="24">
        <v>38.65</v>
      </c>
      <c r="J6363" s="24">
        <v>0.0</v>
      </c>
    </row>
    <row r="6364">
      <c r="A6364" s="24">
        <v>12.0</v>
      </c>
      <c r="B6364" s="24">
        <v>2.0</v>
      </c>
      <c r="C6364" s="44">
        <v>8.02</v>
      </c>
      <c r="D6364" s="46">
        <v>45466.0</v>
      </c>
      <c r="E6364" s="24">
        <v>4.01</v>
      </c>
      <c r="F6364" s="24">
        <v>668.33</v>
      </c>
      <c r="G6364" s="24">
        <v>16.67</v>
      </c>
      <c r="H6364" s="24" t="s">
        <v>6706</v>
      </c>
      <c r="I6364" s="24" t="s">
        <v>6650</v>
      </c>
      <c r="J6364" s="24">
        <v>0.0</v>
      </c>
    </row>
    <row r="6365">
      <c r="A6365" s="24">
        <v>80.0</v>
      </c>
      <c r="B6365" s="24">
        <v>30.0</v>
      </c>
      <c r="C6365" s="44">
        <v>54.19</v>
      </c>
      <c r="D6365" s="46">
        <v>45466.0</v>
      </c>
      <c r="E6365" s="24">
        <v>1.81</v>
      </c>
      <c r="F6365" s="24">
        <v>677.38</v>
      </c>
      <c r="G6365" s="24">
        <v>37.5</v>
      </c>
      <c r="H6365" s="24" t="s">
        <v>6709</v>
      </c>
      <c r="I6365" s="24" t="s">
        <v>6650</v>
      </c>
      <c r="J6365" s="24">
        <v>1.0</v>
      </c>
    </row>
    <row r="6366">
      <c r="A6366" s="24">
        <v>77.0</v>
      </c>
      <c r="B6366" s="24">
        <v>20.0</v>
      </c>
      <c r="C6366" s="44">
        <v>60.24</v>
      </c>
      <c r="D6366" s="46">
        <v>45466.0</v>
      </c>
      <c r="E6366" s="24">
        <v>3.01</v>
      </c>
      <c r="F6366" s="24">
        <v>782.34</v>
      </c>
      <c r="G6366" s="24">
        <v>25.97</v>
      </c>
      <c r="H6366" s="24" t="s">
        <v>6705</v>
      </c>
      <c r="I6366" s="24" t="s">
        <v>6650</v>
      </c>
      <c r="J6366" s="24">
        <v>2.0</v>
      </c>
    </row>
    <row r="6367">
      <c r="A6367" s="24">
        <v>97.0</v>
      </c>
      <c r="B6367" s="24">
        <v>38.0</v>
      </c>
      <c r="C6367" s="44">
        <v>64.07</v>
      </c>
      <c r="D6367" s="46">
        <v>45466.0</v>
      </c>
      <c r="E6367" s="24">
        <v>1.69</v>
      </c>
      <c r="F6367" s="24">
        <v>660.52</v>
      </c>
      <c r="G6367" s="24">
        <v>39.18</v>
      </c>
      <c r="H6367" s="24" t="s">
        <v>6710</v>
      </c>
      <c r="I6367" s="24" t="s">
        <v>6650</v>
      </c>
      <c r="J6367" s="24">
        <v>0.0</v>
      </c>
    </row>
    <row r="6368">
      <c r="A6368" s="24">
        <v>83.0</v>
      </c>
      <c r="B6368" s="24">
        <v>46.0</v>
      </c>
      <c r="C6368" s="44">
        <v>63.66</v>
      </c>
      <c r="D6368" s="46">
        <v>45466.0</v>
      </c>
      <c r="E6368" s="24">
        <v>1.38</v>
      </c>
      <c r="F6368" s="24">
        <v>766.99</v>
      </c>
      <c r="G6368" s="24">
        <v>55.42</v>
      </c>
      <c r="H6368" s="24" t="s">
        <v>6707</v>
      </c>
      <c r="I6368" s="24" t="s">
        <v>6650</v>
      </c>
      <c r="J6368" s="24">
        <v>1.0</v>
      </c>
    </row>
    <row r="6369">
      <c r="A6369" s="24">
        <v>838.0</v>
      </c>
      <c r="B6369" s="24">
        <v>3.0</v>
      </c>
      <c r="C6369" s="44">
        <v>36.23</v>
      </c>
      <c r="D6369" s="46">
        <v>45466.0</v>
      </c>
      <c r="E6369" s="24">
        <v>12.08</v>
      </c>
      <c r="F6369" s="24">
        <v>43.23</v>
      </c>
      <c r="G6369" s="24">
        <v>0.36</v>
      </c>
      <c r="H6369" s="24" t="s">
        <v>6712</v>
      </c>
      <c r="I6369" s="24">
        <v>36.23</v>
      </c>
      <c r="J6369" s="24">
        <v>0.0</v>
      </c>
    </row>
    <row r="6370">
      <c r="A6370" s="24">
        <v>113.0</v>
      </c>
      <c r="B6370" s="24">
        <v>76.0</v>
      </c>
      <c r="C6370" s="44">
        <v>77.3</v>
      </c>
      <c r="D6370" s="46">
        <v>45467.0</v>
      </c>
      <c r="E6370" s="24">
        <v>1.02</v>
      </c>
      <c r="F6370" s="24">
        <v>684.07</v>
      </c>
      <c r="G6370" s="24">
        <v>67.26</v>
      </c>
      <c r="H6370" s="24" t="s">
        <v>6709</v>
      </c>
      <c r="I6370" s="24">
        <v>77.3</v>
      </c>
      <c r="J6370" s="24">
        <v>5.0</v>
      </c>
    </row>
    <row r="6371">
      <c r="A6371" s="24">
        <v>50.0</v>
      </c>
      <c r="B6371" s="24">
        <v>16.0</v>
      </c>
      <c r="C6371" s="44">
        <v>37.87</v>
      </c>
      <c r="D6371" s="46">
        <v>45467.0</v>
      </c>
      <c r="E6371" s="24">
        <v>2.37</v>
      </c>
      <c r="F6371" s="24">
        <v>757.4</v>
      </c>
      <c r="G6371" s="24">
        <v>32.0</v>
      </c>
      <c r="H6371" s="24" t="s">
        <v>6706</v>
      </c>
      <c r="I6371" s="24" t="s">
        <v>6650</v>
      </c>
      <c r="J6371" s="24">
        <v>0.0</v>
      </c>
    </row>
    <row r="6372">
      <c r="A6372" s="24">
        <v>110.0</v>
      </c>
      <c r="B6372" s="24">
        <v>67.0</v>
      </c>
      <c r="C6372" s="44">
        <v>77.47</v>
      </c>
      <c r="D6372" s="46">
        <v>45467.0</v>
      </c>
      <c r="E6372" s="24">
        <v>1.16</v>
      </c>
      <c r="F6372" s="24">
        <v>704.27</v>
      </c>
      <c r="G6372" s="24">
        <v>60.91</v>
      </c>
      <c r="H6372" s="24" t="s">
        <v>6705</v>
      </c>
      <c r="I6372" s="24">
        <v>77.47</v>
      </c>
      <c r="J6372" s="24">
        <v>1.0</v>
      </c>
    </row>
    <row r="6373">
      <c r="A6373" s="24">
        <v>1756.0</v>
      </c>
      <c r="B6373" s="24">
        <v>5.0</v>
      </c>
      <c r="C6373" s="44">
        <v>55.0</v>
      </c>
      <c r="D6373" s="46">
        <v>45467.0</v>
      </c>
      <c r="E6373" s="24">
        <v>11.0</v>
      </c>
      <c r="F6373" s="24">
        <v>31.32</v>
      </c>
      <c r="G6373" s="24">
        <v>0.28</v>
      </c>
      <c r="H6373" s="24" t="s">
        <v>6712</v>
      </c>
      <c r="I6373" s="24">
        <v>55.0</v>
      </c>
      <c r="J6373" s="24">
        <v>0.0</v>
      </c>
    </row>
    <row r="6374">
      <c r="A6374" s="24">
        <v>110.0</v>
      </c>
      <c r="B6374" s="24">
        <v>102.0</v>
      </c>
      <c r="C6374" s="44">
        <v>77.68</v>
      </c>
      <c r="D6374" s="46">
        <v>45467.0</v>
      </c>
      <c r="E6374" s="24">
        <v>0.76</v>
      </c>
      <c r="F6374" s="24">
        <v>706.18</v>
      </c>
      <c r="G6374" s="24">
        <v>92.73</v>
      </c>
      <c r="H6374" s="24" t="s">
        <v>6710</v>
      </c>
      <c r="I6374" s="24" t="s">
        <v>6650</v>
      </c>
      <c r="J6374" s="24">
        <v>0.0</v>
      </c>
    </row>
    <row r="6375">
      <c r="A6375" s="24">
        <v>107.0</v>
      </c>
      <c r="B6375" s="24">
        <v>81.0</v>
      </c>
      <c r="C6375" s="44">
        <v>77.23</v>
      </c>
      <c r="D6375" s="46">
        <v>45467.0</v>
      </c>
      <c r="E6375" s="24">
        <v>0.95</v>
      </c>
      <c r="F6375" s="24">
        <v>721.78</v>
      </c>
      <c r="G6375" s="24">
        <v>75.7</v>
      </c>
      <c r="H6375" s="24" t="s">
        <v>6707</v>
      </c>
      <c r="I6375" s="24" t="s">
        <v>6650</v>
      </c>
      <c r="J6375" s="24">
        <v>0.0</v>
      </c>
    </row>
    <row r="6376">
      <c r="A6376" s="24">
        <v>107.0</v>
      </c>
      <c r="B6376" s="24">
        <v>54.0</v>
      </c>
      <c r="C6376" s="44">
        <v>73.19</v>
      </c>
      <c r="D6376" s="46">
        <v>45468.0</v>
      </c>
      <c r="E6376" s="24">
        <v>1.36</v>
      </c>
      <c r="F6376" s="24">
        <v>684.02</v>
      </c>
      <c r="G6376" s="24">
        <v>50.47</v>
      </c>
      <c r="H6376" s="24" t="s">
        <v>6705</v>
      </c>
      <c r="I6376" s="24">
        <v>36.6</v>
      </c>
      <c r="J6376" s="24">
        <v>3.0</v>
      </c>
    </row>
    <row r="6377">
      <c r="A6377" s="24">
        <v>31.0</v>
      </c>
      <c r="B6377" s="24">
        <v>17.0</v>
      </c>
      <c r="C6377" s="44">
        <v>21.22</v>
      </c>
      <c r="D6377" s="46">
        <v>45468.0</v>
      </c>
      <c r="E6377" s="24">
        <v>1.25</v>
      </c>
      <c r="F6377" s="24">
        <v>684.52</v>
      </c>
      <c r="G6377" s="24">
        <v>54.84</v>
      </c>
      <c r="H6377" s="24" t="s">
        <v>6706</v>
      </c>
      <c r="I6377" s="24" t="s">
        <v>6650</v>
      </c>
      <c r="J6377" s="24">
        <v>0.0</v>
      </c>
    </row>
    <row r="6378">
      <c r="A6378" s="24">
        <v>116.0</v>
      </c>
      <c r="B6378" s="24">
        <v>55.0</v>
      </c>
      <c r="C6378" s="44">
        <v>78.33</v>
      </c>
      <c r="D6378" s="46">
        <v>45468.0</v>
      </c>
      <c r="E6378" s="24">
        <v>1.42</v>
      </c>
      <c r="F6378" s="24">
        <v>675.26</v>
      </c>
      <c r="G6378" s="24">
        <v>47.41</v>
      </c>
      <c r="H6378" s="24" t="s">
        <v>6707</v>
      </c>
      <c r="I6378" s="24" t="s">
        <v>6650</v>
      </c>
      <c r="J6378" s="24">
        <v>0.0</v>
      </c>
    </row>
    <row r="6379">
      <c r="A6379" s="24">
        <v>1828.0</v>
      </c>
      <c r="B6379" s="24">
        <v>10.0</v>
      </c>
      <c r="C6379" s="44">
        <v>56.21</v>
      </c>
      <c r="D6379" s="46">
        <v>45468.0</v>
      </c>
      <c r="E6379" s="24">
        <v>5.62</v>
      </c>
      <c r="F6379" s="24">
        <v>30.75</v>
      </c>
      <c r="G6379" s="24">
        <v>0.55</v>
      </c>
      <c r="H6379" s="24" t="s">
        <v>6712</v>
      </c>
      <c r="I6379" s="24">
        <v>14.05</v>
      </c>
      <c r="J6379" s="24">
        <v>0.0</v>
      </c>
    </row>
    <row r="6380">
      <c r="A6380" s="24">
        <v>114.0</v>
      </c>
      <c r="B6380" s="24">
        <v>62.0</v>
      </c>
      <c r="C6380" s="44">
        <v>79.61</v>
      </c>
      <c r="D6380" s="46">
        <v>45468.0</v>
      </c>
      <c r="E6380" s="24">
        <v>1.28</v>
      </c>
      <c r="F6380" s="24">
        <v>698.33</v>
      </c>
      <c r="G6380" s="24">
        <v>54.39</v>
      </c>
      <c r="H6380" s="24" t="s">
        <v>6710</v>
      </c>
      <c r="I6380" s="24">
        <v>79.61</v>
      </c>
      <c r="J6380" s="24">
        <v>0.0</v>
      </c>
    </row>
    <row r="6381">
      <c r="A6381" s="24">
        <v>104.0</v>
      </c>
      <c r="B6381" s="24">
        <v>50.0</v>
      </c>
      <c r="C6381" s="44">
        <v>76.94</v>
      </c>
      <c r="D6381" s="46">
        <v>45468.0</v>
      </c>
      <c r="E6381" s="24">
        <v>1.54</v>
      </c>
      <c r="F6381" s="24">
        <v>739.81</v>
      </c>
      <c r="G6381" s="24">
        <v>48.08</v>
      </c>
      <c r="H6381" s="24" t="s">
        <v>6709</v>
      </c>
      <c r="I6381" s="24" t="s">
        <v>6650</v>
      </c>
      <c r="J6381" s="24">
        <v>0.0</v>
      </c>
    </row>
    <row r="6382">
      <c r="A6382" s="24">
        <v>91.0</v>
      </c>
      <c r="B6382" s="24">
        <v>48.0</v>
      </c>
      <c r="C6382" s="44">
        <v>69.34</v>
      </c>
      <c r="D6382" s="46">
        <v>45469.0</v>
      </c>
      <c r="E6382" s="24">
        <v>1.44</v>
      </c>
      <c r="F6382" s="24">
        <v>761.98</v>
      </c>
      <c r="G6382" s="24">
        <v>52.75</v>
      </c>
      <c r="H6382" s="24" t="s">
        <v>6709</v>
      </c>
      <c r="I6382" s="24">
        <v>69.34</v>
      </c>
      <c r="J6382" s="24">
        <v>2.0</v>
      </c>
    </row>
    <row r="6383">
      <c r="A6383" s="24">
        <v>71.0</v>
      </c>
      <c r="B6383" s="24">
        <v>47.0</v>
      </c>
      <c r="C6383" s="44">
        <v>54.99</v>
      </c>
      <c r="D6383" s="46">
        <v>45469.0</v>
      </c>
      <c r="E6383" s="24">
        <v>1.17</v>
      </c>
      <c r="F6383" s="24">
        <v>774.51</v>
      </c>
      <c r="G6383" s="24">
        <v>66.2</v>
      </c>
      <c r="H6383" s="24" t="s">
        <v>6705</v>
      </c>
      <c r="I6383" s="24" t="s">
        <v>6650</v>
      </c>
      <c r="J6383" s="24">
        <v>0.0</v>
      </c>
    </row>
    <row r="6384">
      <c r="A6384" s="24">
        <v>109.0</v>
      </c>
      <c r="B6384" s="24">
        <v>80.0</v>
      </c>
      <c r="C6384" s="44">
        <v>79.09</v>
      </c>
      <c r="D6384" s="46">
        <v>45469.0</v>
      </c>
      <c r="E6384" s="24">
        <v>0.99</v>
      </c>
      <c r="F6384" s="24">
        <v>725.6</v>
      </c>
      <c r="G6384" s="24">
        <v>73.39</v>
      </c>
      <c r="H6384" s="24" t="s">
        <v>6707</v>
      </c>
      <c r="I6384" s="24" t="s">
        <v>6650</v>
      </c>
      <c r="J6384" s="24">
        <v>2.0</v>
      </c>
    </row>
    <row r="6385">
      <c r="A6385" s="24">
        <v>1316.0</v>
      </c>
      <c r="B6385" s="24">
        <v>6.0</v>
      </c>
      <c r="C6385" s="44">
        <v>55.9</v>
      </c>
      <c r="D6385" s="46">
        <v>45469.0</v>
      </c>
      <c r="E6385" s="24">
        <v>9.32</v>
      </c>
      <c r="F6385" s="24">
        <v>42.48</v>
      </c>
      <c r="G6385" s="24">
        <v>0.46</v>
      </c>
      <c r="H6385" s="24" t="s">
        <v>6712</v>
      </c>
      <c r="I6385" s="24">
        <v>9.32</v>
      </c>
      <c r="J6385" s="24">
        <v>0.0</v>
      </c>
    </row>
    <row r="6386">
      <c r="A6386" s="24">
        <v>111.0</v>
      </c>
      <c r="B6386" s="24">
        <v>70.0</v>
      </c>
      <c r="C6386" s="44">
        <v>78.08</v>
      </c>
      <c r="D6386" s="46">
        <v>45469.0</v>
      </c>
      <c r="E6386" s="24">
        <v>1.12</v>
      </c>
      <c r="F6386" s="24">
        <v>703.42</v>
      </c>
      <c r="G6386" s="24">
        <v>63.06</v>
      </c>
      <c r="H6386" s="24" t="s">
        <v>6710</v>
      </c>
      <c r="I6386" s="24" t="s">
        <v>6650</v>
      </c>
      <c r="J6386" s="24">
        <v>1.0</v>
      </c>
    </row>
    <row r="6387">
      <c r="A6387" s="24">
        <v>36.0</v>
      </c>
      <c r="B6387" s="24">
        <v>14.0</v>
      </c>
      <c r="C6387" s="44">
        <v>22.67</v>
      </c>
      <c r="D6387" s="46">
        <v>45469.0</v>
      </c>
      <c r="E6387" s="24">
        <v>1.62</v>
      </c>
      <c r="F6387" s="24">
        <v>629.72</v>
      </c>
      <c r="G6387" s="24">
        <v>38.89</v>
      </c>
      <c r="H6387" s="24" t="s">
        <v>6706</v>
      </c>
      <c r="I6387" s="24" t="s">
        <v>6650</v>
      </c>
      <c r="J6387" s="24">
        <v>0.0</v>
      </c>
    </row>
    <row r="6388">
      <c r="A6388" s="24">
        <v>27.0</v>
      </c>
      <c r="B6388" s="24">
        <v>39.0</v>
      </c>
      <c r="C6388" s="44">
        <v>18.94</v>
      </c>
      <c r="D6388" s="46">
        <v>45470.0</v>
      </c>
      <c r="E6388" s="24">
        <v>0.49</v>
      </c>
      <c r="F6388" s="24">
        <v>701.48</v>
      </c>
      <c r="G6388" s="24">
        <v>144.44</v>
      </c>
      <c r="H6388" s="24" t="s">
        <v>6710</v>
      </c>
      <c r="I6388" s="24" t="s">
        <v>6650</v>
      </c>
      <c r="J6388" s="24">
        <v>1.0</v>
      </c>
    </row>
    <row r="6389">
      <c r="A6389" s="24">
        <v>289.0</v>
      </c>
      <c r="B6389" s="24">
        <v>0.0</v>
      </c>
      <c r="C6389" s="44">
        <v>18.65</v>
      </c>
      <c r="D6389" s="46">
        <v>45470.0</v>
      </c>
      <c r="E6389" s="24" t="s">
        <v>6650</v>
      </c>
      <c r="F6389" s="24">
        <v>64.53</v>
      </c>
      <c r="G6389" s="24">
        <v>0.0</v>
      </c>
      <c r="H6389" s="24" t="s">
        <v>6712</v>
      </c>
      <c r="I6389" s="24">
        <v>18.65</v>
      </c>
      <c r="J6389" s="24">
        <v>0.0</v>
      </c>
    </row>
    <row r="6390">
      <c r="A6390" s="24">
        <v>26.0</v>
      </c>
      <c r="B6390" s="24">
        <v>41.0</v>
      </c>
      <c r="C6390" s="44">
        <v>18.69</v>
      </c>
      <c r="D6390" s="46">
        <v>45470.0</v>
      </c>
      <c r="E6390" s="24">
        <v>0.46</v>
      </c>
      <c r="F6390" s="24">
        <v>718.85</v>
      </c>
      <c r="G6390" s="24">
        <v>157.69</v>
      </c>
      <c r="H6390" s="24" t="s">
        <v>6707</v>
      </c>
      <c r="I6390" s="24" t="s">
        <v>6650</v>
      </c>
      <c r="J6390" s="24">
        <v>0.0</v>
      </c>
    </row>
    <row r="6391">
      <c r="A6391" s="24">
        <v>14.0</v>
      </c>
      <c r="B6391" s="24">
        <v>15.0</v>
      </c>
      <c r="C6391" s="44">
        <v>11.2</v>
      </c>
      <c r="D6391" s="46">
        <v>45470.0</v>
      </c>
      <c r="E6391" s="24">
        <v>0.75</v>
      </c>
      <c r="F6391" s="24">
        <v>800.0</v>
      </c>
      <c r="G6391" s="24">
        <v>107.14</v>
      </c>
      <c r="H6391" s="24" t="s">
        <v>6706</v>
      </c>
      <c r="I6391" s="24" t="s">
        <v>6650</v>
      </c>
      <c r="J6391" s="24">
        <v>1.0</v>
      </c>
    </row>
    <row r="6392">
      <c r="A6392" s="24">
        <v>30.0</v>
      </c>
      <c r="B6392" s="24">
        <v>36.0</v>
      </c>
      <c r="C6392" s="44">
        <v>21.82</v>
      </c>
      <c r="D6392" s="46">
        <v>45470.0</v>
      </c>
      <c r="E6392" s="24">
        <v>0.61</v>
      </c>
      <c r="F6392" s="24">
        <v>727.33</v>
      </c>
      <c r="G6392" s="24">
        <v>120.0</v>
      </c>
      <c r="H6392" s="24" t="s">
        <v>6709</v>
      </c>
      <c r="I6392" s="24" t="s">
        <v>6650</v>
      </c>
      <c r="J6392" s="24">
        <v>1.0</v>
      </c>
    </row>
    <row r="6393">
      <c r="A6393" s="24">
        <v>26.0</v>
      </c>
      <c r="B6393" s="24">
        <v>17.0</v>
      </c>
      <c r="C6393" s="44">
        <v>22.2</v>
      </c>
      <c r="D6393" s="46">
        <v>45470.0</v>
      </c>
      <c r="E6393" s="24">
        <v>1.31</v>
      </c>
      <c r="F6393" s="24">
        <v>853.85</v>
      </c>
      <c r="G6393" s="24">
        <v>65.38</v>
      </c>
      <c r="H6393" s="24" t="s">
        <v>6705</v>
      </c>
      <c r="I6393" s="24" t="s">
        <v>6650</v>
      </c>
      <c r="J6393" s="24">
        <v>1.0</v>
      </c>
    </row>
    <row r="6394">
      <c r="A6394" s="24">
        <v>0.0</v>
      </c>
      <c r="B6394" s="24">
        <v>0.0</v>
      </c>
      <c r="C6394" s="44"/>
      <c r="D6394" s="46">
        <v>45471.0</v>
      </c>
      <c r="E6394" s="24" t="s">
        <v>6650</v>
      </c>
      <c r="F6394" s="24" t="s">
        <v>6650</v>
      </c>
      <c r="G6394" s="24" t="s">
        <v>6650</v>
      </c>
      <c r="H6394" s="24" t="s">
        <v>6712</v>
      </c>
      <c r="I6394" s="24" t="s">
        <v>6650</v>
      </c>
      <c r="J6394" s="24"/>
    </row>
    <row r="6395">
      <c r="A6395" s="24">
        <v>0.0</v>
      </c>
      <c r="B6395" s="24">
        <v>18.0</v>
      </c>
      <c r="C6395" s="44">
        <v>0.0</v>
      </c>
      <c r="D6395" s="46">
        <v>45471.0</v>
      </c>
      <c r="E6395" s="24">
        <v>0.0</v>
      </c>
      <c r="F6395" s="24" t="s">
        <v>6650</v>
      </c>
      <c r="G6395" s="24" t="s">
        <v>6650</v>
      </c>
      <c r="H6395" s="24" t="s">
        <v>6709</v>
      </c>
      <c r="I6395" s="24" t="s">
        <v>6650</v>
      </c>
      <c r="J6395" s="24">
        <v>1.0</v>
      </c>
    </row>
    <row r="6396">
      <c r="A6396" s="24">
        <v>0.0</v>
      </c>
      <c r="B6396" s="24">
        <v>15.0</v>
      </c>
      <c r="C6396" s="44">
        <v>0.0</v>
      </c>
      <c r="D6396" s="46">
        <v>45471.0</v>
      </c>
      <c r="E6396" s="24">
        <v>0.0</v>
      </c>
      <c r="F6396" s="24" t="s">
        <v>6650</v>
      </c>
      <c r="G6396" s="24" t="s">
        <v>6650</v>
      </c>
      <c r="H6396" s="24" t="s">
        <v>6707</v>
      </c>
      <c r="I6396" s="24" t="s">
        <v>6650</v>
      </c>
      <c r="J6396" s="24">
        <v>0.0</v>
      </c>
    </row>
    <row r="6397">
      <c r="A6397" s="24">
        <v>0.0</v>
      </c>
      <c r="B6397" s="24">
        <v>6.0</v>
      </c>
      <c r="C6397" s="44">
        <v>0.0</v>
      </c>
      <c r="D6397" s="46">
        <v>45471.0</v>
      </c>
      <c r="E6397" s="24">
        <v>0.0</v>
      </c>
      <c r="F6397" s="24" t="s">
        <v>6650</v>
      </c>
      <c r="G6397" s="24" t="s">
        <v>6650</v>
      </c>
      <c r="H6397" s="24" t="s">
        <v>6706</v>
      </c>
      <c r="I6397" s="24" t="s">
        <v>6650</v>
      </c>
      <c r="J6397" s="24">
        <v>0.0</v>
      </c>
    </row>
    <row r="6398">
      <c r="A6398" s="24">
        <v>0.0</v>
      </c>
      <c r="B6398" s="24">
        <v>18.0</v>
      </c>
      <c r="C6398" s="44">
        <v>0.0</v>
      </c>
      <c r="D6398" s="46">
        <v>45471.0</v>
      </c>
      <c r="E6398" s="24">
        <v>0.0</v>
      </c>
      <c r="F6398" s="24" t="s">
        <v>6650</v>
      </c>
      <c r="G6398" s="24" t="s">
        <v>6650</v>
      </c>
      <c r="H6398" s="24" t="s">
        <v>6710</v>
      </c>
      <c r="I6398" s="24" t="s">
        <v>6650</v>
      </c>
      <c r="J6398" s="24">
        <v>0.0</v>
      </c>
    </row>
    <row r="6399">
      <c r="A6399" s="24">
        <v>0.0</v>
      </c>
      <c r="B6399" s="24">
        <v>11.0</v>
      </c>
      <c r="C6399" s="44">
        <v>0.0</v>
      </c>
      <c r="D6399" s="46">
        <v>45471.0</v>
      </c>
      <c r="E6399" s="24">
        <v>0.0</v>
      </c>
      <c r="F6399" s="24" t="s">
        <v>6650</v>
      </c>
      <c r="G6399" s="24" t="s">
        <v>6650</v>
      </c>
      <c r="H6399" s="24" t="s">
        <v>6705</v>
      </c>
      <c r="I6399" s="24">
        <v>0.0</v>
      </c>
      <c r="J6399" s="24">
        <v>0.0</v>
      </c>
    </row>
    <row r="6400">
      <c r="A6400" s="24">
        <v>0.0</v>
      </c>
      <c r="B6400" s="24">
        <v>5.0</v>
      </c>
      <c r="C6400" s="44">
        <v>0.0</v>
      </c>
      <c r="D6400" s="46">
        <v>45472.0</v>
      </c>
      <c r="E6400" s="24">
        <v>0.0</v>
      </c>
      <c r="F6400" s="24" t="s">
        <v>6650</v>
      </c>
      <c r="G6400" s="24" t="s">
        <v>6650</v>
      </c>
      <c r="H6400" s="24" t="s">
        <v>6705</v>
      </c>
      <c r="I6400" s="24" t="s">
        <v>6650</v>
      </c>
      <c r="J6400" s="24">
        <v>0.0</v>
      </c>
    </row>
    <row r="6401">
      <c r="A6401" s="24">
        <v>0.0</v>
      </c>
      <c r="B6401" s="24">
        <v>4.0</v>
      </c>
      <c r="C6401" s="44">
        <v>0.0</v>
      </c>
      <c r="D6401" s="46">
        <v>45472.0</v>
      </c>
      <c r="E6401" s="24">
        <v>0.0</v>
      </c>
      <c r="F6401" s="24" t="s">
        <v>6650</v>
      </c>
      <c r="G6401" s="24" t="s">
        <v>6650</v>
      </c>
      <c r="H6401" s="24" t="s">
        <v>6707</v>
      </c>
      <c r="I6401" s="24" t="s">
        <v>6650</v>
      </c>
      <c r="J6401" s="24">
        <v>0.0</v>
      </c>
    </row>
    <row r="6402">
      <c r="A6402" s="24">
        <v>0.0</v>
      </c>
      <c r="B6402" s="24">
        <v>5.0</v>
      </c>
      <c r="C6402" s="44">
        <v>0.0</v>
      </c>
      <c r="D6402" s="46">
        <v>45472.0</v>
      </c>
      <c r="E6402" s="24">
        <v>0.0</v>
      </c>
      <c r="F6402" s="24" t="s">
        <v>6650</v>
      </c>
      <c r="G6402" s="24" t="s">
        <v>6650</v>
      </c>
      <c r="H6402" s="24" t="s">
        <v>6709</v>
      </c>
      <c r="I6402" s="24" t="s">
        <v>6650</v>
      </c>
      <c r="J6402" s="24">
        <v>0.0</v>
      </c>
    </row>
    <row r="6403">
      <c r="A6403" s="24">
        <v>0.0</v>
      </c>
      <c r="B6403" s="24">
        <v>3.0</v>
      </c>
      <c r="C6403" s="44">
        <v>0.0</v>
      </c>
      <c r="D6403" s="46">
        <v>45472.0</v>
      </c>
      <c r="E6403" s="24">
        <v>0.0</v>
      </c>
      <c r="F6403" s="24" t="s">
        <v>6650</v>
      </c>
      <c r="G6403" s="24" t="s">
        <v>6650</v>
      </c>
      <c r="H6403" s="24" t="s">
        <v>6710</v>
      </c>
      <c r="I6403" s="24" t="s">
        <v>6650</v>
      </c>
      <c r="J6403" s="24">
        <v>0.0</v>
      </c>
    </row>
    <row r="6404">
      <c r="A6404" s="24">
        <v>0.0</v>
      </c>
      <c r="B6404" s="24">
        <v>7.0</v>
      </c>
      <c r="C6404" s="44">
        <v>0.0</v>
      </c>
      <c r="D6404" s="46">
        <v>45473.0</v>
      </c>
      <c r="E6404" s="24">
        <v>0.0</v>
      </c>
      <c r="F6404" s="24" t="s">
        <v>6650</v>
      </c>
      <c r="G6404" s="24" t="s">
        <v>6650</v>
      </c>
      <c r="H6404" s="24" t="s">
        <v>6705</v>
      </c>
      <c r="I6404" s="24" t="s">
        <v>6650</v>
      </c>
      <c r="J6404" s="24">
        <v>0.0</v>
      </c>
    </row>
    <row r="6405">
      <c r="A6405" s="24">
        <v>0.0</v>
      </c>
      <c r="B6405" s="24">
        <v>1.0</v>
      </c>
      <c r="C6405" s="44">
        <v>0.0</v>
      </c>
      <c r="D6405" s="46">
        <v>45473.0</v>
      </c>
      <c r="E6405" s="24">
        <v>0.0</v>
      </c>
      <c r="F6405" s="24" t="s">
        <v>6650</v>
      </c>
      <c r="G6405" s="24" t="s">
        <v>6650</v>
      </c>
      <c r="H6405" s="24" t="s">
        <v>6707</v>
      </c>
      <c r="I6405" s="24" t="s">
        <v>6650</v>
      </c>
      <c r="J6405" s="24">
        <v>0.0</v>
      </c>
    </row>
    <row r="6406">
      <c r="A6406" s="24">
        <v>0.0</v>
      </c>
      <c r="B6406" s="24">
        <v>2.0</v>
      </c>
      <c r="C6406" s="44">
        <v>0.0</v>
      </c>
      <c r="D6406" s="46">
        <v>45473.0</v>
      </c>
      <c r="E6406" s="24">
        <v>0.0</v>
      </c>
      <c r="F6406" s="24" t="s">
        <v>6650</v>
      </c>
      <c r="G6406" s="24" t="s">
        <v>6650</v>
      </c>
      <c r="H6406" s="24" t="s">
        <v>6709</v>
      </c>
      <c r="I6406" s="24" t="s">
        <v>6650</v>
      </c>
      <c r="J6406" s="24">
        <v>0.0</v>
      </c>
    </row>
    <row r="6407">
      <c r="A6407" s="24">
        <v>0.0</v>
      </c>
      <c r="B6407" s="24">
        <v>1.0</v>
      </c>
      <c r="C6407" s="44">
        <v>0.0</v>
      </c>
      <c r="D6407" s="46">
        <v>45473.0</v>
      </c>
      <c r="E6407" s="24">
        <v>0.0</v>
      </c>
      <c r="F6407" s="24" t="s">
        <v>6650</v>
      </c>
      <c r="G6407" s="24" t="s">
        <v>6650</v>
      </c>
      <c r="H6407" s="24" t="s">
        <v>6706</v>
      </c>
      <c r="I6407" s="24" t="s">
        <v>6650</v>
      </c>
      <c r="J6407" s="24">
        <v>0.0</v>
      </c>
    </row>
    <row r="6408">
      <c r="A6408" s="24">
        <v>0.0</v>
      </c>
      <c r="B6408" s="24">
        <v>1.0</v>
      </c>
      <c r="C6408" s="44">
        <v>0.0</v>
      </c>
      <c r="D6408" s="46">
        <v>45473.0</v>
      </c>
      <c r="E6408" s="24">
        <v>0.0</v>
      </c>
      <c r="F6408" s="24" t="s">
        <v>6650</v>
      </c>
      <c r="G6408" s="24" t="s">
        <v>6650</v>
      </c>
      <c r="H6408" s="24" t="s">
        <v>6710</v>
      </c>
      <c r="I6408" s="24" t="s">
        <v>6650</v>
      </c>
      <c r="J6408" s="24">
        <v>0.0</v>
      </c>
    </row>
    <row r="6409">
      <c r="A6409" s="24">
        <v>0.0</v>
      </c>
      <c r="B6409" s="24">
        <v>0.0</v>
      </c>
      <c r="C6409" s="44">
        <v>0.0</v>
      </c>
      <c r="D6409" s="46">
        <v>45474.0</v>
      </c>
      <c r="E6409" s="24" t="s">
        <v>6650</v>
      </c>
      <c r="F6409" s="24" t="s">
        <v>6650</v>
      </c>
      <c r="G6409" s="24" t="s">
        <v>6650</v>
      </c>
      <c r="H6409" s="24" t="s">
        <v>6709</v>
      </c>
      <c r="I6409" s="24" t="s">
        <v>6650</v>
      </c>
      <c r="J6409" s="24">
        <v>1.0</v>
      </c>
    </row>
    <row r="6410">
      <c r="A6410" s="24">
        <v>0.0</v>
      </c>
      <c r="B6410" s="24">
        <v>0.0</v>
      </c>
      <c r="C6410" s="44">
        <v>0.0</v>
      </c>
      <c r="D6410" s="46">
        <v>45478.0</v>
      </c>
      <c r="E6410" s="24" t="s">
        <v>6650</v>
      </c>
      <c r="F6410" s="24" t="s">
        <v>6650</v>
      </c>
      <c r="G6410" s="24" t="s">
        <v>6650</v>
      </c>
      <c r="H6410" s="24" t="s">
        <v>6705</v>
      </c>
      <c r="I6410" s="24" t="s">
        <v>6650</v>
      </c>
      <c r="J6410" s="24">
        <v>1.0</v>
      </c>
    </row>
    <row r="6411">
      <c r="A6411" s="24">
        <v>0.0</v>
      </c>
      <c r="B6411" s="24">
        <v>0.0</v>
      </c>
      <c r="C6411" s="44">
        <v>0.0</v>
      </c>
      <c r="D6411" s="46">
        <v>45483.0</v>
      </c>
      <c r="E6411" s="24" t="s">
        <v>6650</v>
      </c>
      <c r="F6411" s="24" t="s">
        <v>6650</v>
      </c>
      <c r="G6411" s="24" t="s">
        <v>6650</v>
      </c>
      <c r="H6411" s="24" t="s">
        <v>6710</v>
      </c>
      <c r="I6411" s="24" t="s">
        <v>6650</v>
      </c>
      <c r="J6411" s="24">
        <v>1.0</v>
      </c>
    </row>
    <row r="6412">
      <c r="A6412" s="24">
        <v>0.0</v>
      </c>
      <c r="B6412" s="24">
        <v>0.0</v>
      </c>
      <c r="C6412" s="44">
        <v>0.0</v>
      </c>
      <c r="D6412" s="46">
        <v>45488.0</v>
      </c>
      <c r="E6412" s="24" t="s">
        <v>6650</v>
      </c>
      <c r="F6412" s="24" t="s">
        <v>6650</v>
      </c>
      <c r="G6412" s="24" t="s">
        <v>6650</v>
      </c>
      <c r="H6412" s="24" t="s">
        <v>6705</v>
      </c>
      <c r="I6412" s="24" t="s">
        <v>6650</v>
      </c>
      <c r="J6412" s="24">
        <v>1.0</v>
      </c>
    </row>
    <row r="6413">
      <c r="A6413" s="24">
        <v>187.0</v>
      </c>
      <c r="B6413" s="24">
        <v>0.0</v>
      </c>
      <c r="C6413" s="44">
        <v>20.93</v>
      </c>
      <c r="D6413" s="46">
        <v>45520.0</v>
      </c>
      <c r="E6413" s="24" t="s">
        <v>6650</v>
      </c>
      <c r="F6413" s="24">
        <v>111.93</v>
      </c>
      <c r="G6413" s="24">
        <v>0.0</v>
      </c>
      <c r="H6413" s="24" t="s">
        <v>6713</v>
      </c>
      <c r="I6413" s="24" t="s">
        <v>6650</v>
      </c>
      <c r="J6413" s="24">
        <v>0.0</v>
      </c>
    </row>
    <row r="6414">
      <c r="A6414" s="24">
        <v>30.0</v>
      </c>
      <c r="B6414" s="24">
        <v>0.0</v>
      </c>
      <c r="C6414" s="44">
        <v>16.14</v>
      </c>
      <c r="D6414" s="46">
        <v>45521.0</v>
      </c>
      <c r="E6414" s="24" t="s">
        <v>6650</v>
      </c>
      <c r="F6414" s="24">
        <v>538.0</v>
      </c>
      <c r="G6414" s="24">
        <v>0.0</v>
      </c>
      <c r="H6414" s="24" t="s">
        <v>6713</v>
      </c>
      <c r="I6414" s="24" t="s">
        <v>6650</v>
      </c>
      <c r="J6414" s="24">
        <v>0.0</v>
      </c>
    </row>
    <row r="6415">
      <c r="A6415" s="24">
        <v>23.0</v>
      </c>
      <c r="B6415" s="24">
        <v>0.0</v>
      </c>
      <c r="C6415" s="44">
        <v>12.52</v>
      </c>
      <c r="D6415" s="46">
        <v>45522.0</v>
      </c>
      <c r="E6415" s="24" t="s">
        <v>6650</v>
      </c>
      <c r="F6415" s="24">
        <v>544.35</v>
      </c>
      <c r="G6415" s="24">
        <v>0.0</v>
      </c>
      <c r="H6415" s="24" t="s">
        <v>6713</v>
      </c>
      <c r="I6415" s="24" t="s">
        <v>6650</v>
      </c>
      <c r="J6415" s="24">
        <v>0.0</v>
      </c>
    </row>
    <row r="6416">
      <c r="A6416" s="24">
        <v>58.0</v>
      </c>
      <c r="B6416" s="24">
        <v>0.0</v>
      </c>
      <c r="C6416" s="44">
        <v>25.43</v>
      </c>
      <c r="D6416" s="46">
        <v>45523.0</v>
      </c>
      <c r="E6416" s="24" t="s">
        <v>6650</v>
      </c>
      <c r="F6416" s="24">
        <v>438.45</v>
      </c>
      <c r="G6416" s="24">
        <v>0.0</v>
      </c>
      <c r="H6416" s="24" t="s">
        <v>6713</v>
      </c>
      <c r="I6416" s="24" t="s">
        <v>6650</v>
      </c>
      <c r="J6416" s="24">
        <v>0.0</v>
      </c>
    </row>
    <row r="6417">
      <c r="A6417" s="24">
        <v>42.0</v>
      </c>
      <c r="B6417" s="24">
        <v>0.0</v>
      </c>
      <c r="C6417" s="44">
        <v>24.51</v>
      </c>
      <c r="D6417" s="46">
        <v>45524.0</v>
      </c>
      <c r="E6417" s="24" t="s">
        <v>6650</v>
      </c>
      <c r="F6417" s="24">
        <v>583.57</v>
      </c>
      <c r="G6417" s="24">
        <v>0.0</v>
      </c>
      <c r="H6417" s="24" t="s">
        <v>6713</v>
      </c>
      <c r="I6417" s="24" t="s">
        <v>6650</v>
      </c>
      <c r="J6417" s="24">
        <v>0.0</v>
      </c>
    </row>
    <row r="6418">
      <c r="A6418" s="24">
        <v>47.0</v>
      </c>
      <c r="B6418" s="24">
        <v>0.0</v>
      </c>
      <c r="C6418" s="44">
        <v>30.0</v>
      </c>
      <c r="D6418" s="46">
        <v>45525.0</v>
      </c>
      <c r="E6418" s="24" t="s">
        <v>6650</v>
      </c>
      <c r="F6418" s="24">
        <v>638.3</v>
      </c>
      <c r="G6418" s="24">
        <v>0.0</v>
      </c>
      <c r="H6418" s="24" t="s">
        <v>6713</v>
      </c>
      <c r="I6418" s="24" t="s">
        <v>6650</v>
      </c>
      <c r="J6418" s="24">
        <v>0.0</v>
      </c>
    </row>
    <row r="6419">
      <c r="A6419" s="24">
        <v>43.0</v>
      </c>
      <c r="B6419" s="24">
        <v>0.0</v>
      </c>
      <c r="C6419" s="44">
        <v>23.76</v>
      </c>
      <c r="D6419" s="46">
        <v>45526.0</v>
      </c>
      <c r="E6419" s="24" t="s">
        <v>6650</v>
      </c>
      <c r="F6419" s="24">
        <v>552.56</v>
      </c>
      <c r="G6419" s="24">
        <v>0.0</v>
      </c>
      <c r="H6419" s="24" t="s">
        <v>6713</v>
      </c>
      <c r="I6419" s="24" t="s">
        <v>6650</v>
      </c>
      <c r="J6419" s="24">
        <v>0.0</v>
      </c>
    </row>
    <row r="6420">
      <c r="A6420" s="24">
        <v>57.0</v>
      </c>
      <c r="B6420" s="24">
        <v>0.0</v>
      </c>
      <c r="C6420" s="44">
        <v>23.99</v>
      </c>
      <c r="D6420" s="46">
        <v>45527.0</v>
      </c>
      <c r="E6420" s="24" t="s">
        <v>6650</v>
      </c>
      <c r="F6420" s="24">
        <v>420.88</v>
      </c>
      <c r="G6420" s="24">
        <v>0.0</v>
      </c>
      <c r="H6420" s="24" t="s">
        <v>6713</v>
      </c>
      <c r="I6420" s="24" t="s">
        <v>6650</v>
      </c>
      <c r="J6420" s="24">
        <v>0.0</v>
      </c>
    </row>
    <row r="6421">
      <c r="A6421" s="24">
        <v>23.0</v>
      </c>
      <c r="B6421" s="24">
        <v>0.0</v>
      </c>
      <c r="C6421" s="44">
        <v>23.54</v>
      </c>
      <c r="D6421" s="46">
        <v>45528.0</v>
      </c>
      <c r="E6421" s="24" t="s">
        <v>6650</v>
      </c>
      <c r="F6421" s="24">
        <v>1023.48</v>
      </c>
      <c r="G6421" s="24">
        <v>0.0</v>
      </c>
      <c r="H6421" s="24" t="s">
        <v>6713</v>
      </c>
      <c r="I6421" s="24" t="s">
        <v>6650</v>
      </c>
      <c r="J6421" s="24">
        <v>0.0</v>
      </c>
    </row>
    <row r="6422">
      <c r="A6422" s="24">
        <v>32.0</v>
      </c>
      <c r="B6422" s="24">
        <v>0.0</v>
      </c>
      <c r="C6422" s="44">
        <v>16.93</v>
      </c>
      <c r="D6422" s="46">
        <v>45529.0</v>
      </c>
      <c r="E6422" s="24" t="s">
        <v>6650</v>
      </c>
      <c r="F6422" s="24">
        <v>529.06</v>
      </c>
      <c r="G6422" s="24">
        <v>0.0</v>
      </c>
      <c r="H6422" s="24" t="s">
        <v>6713</v>
      </c>
      <c r="I6422" s="24" t="s">
        <v>6650</v>
      </c>
      <c r="J6422" s="24">
        <v>0.0</v>
      </c>
    </row>
    <row r="6423">
      <c r="A6423" s="24">
        <v>216.0</v>
      </c>
      <c r="B6423" s="24">
        <v>1.0</v>
      </c>
      <c r="C6423" s="44">
        <v>21.93</v>
      </c>
      <c r="D6423" s="46">
        <v>45530.0</v>
      </c>
      <c r="E6423" s="24">
        <v>21.93</v>
      </c>
      <c r="F6423" s="24">
        <v>101.53</v>
      </c>
      <c r="G6423" s="24">
        <v>0.46</v>
      </c>
      <c r="H6423" s="24" t="s">
        <v>6714</v>
      </c>
      <c r="I6423" s="24" t="s">
        <v>6650</v>
      </c>
      <c r="J6423" s="24">
        <v>0.0</v>
      </c>
    </row>
    <row r="6424">
      <c r="A6424" s="24">
        <v>1397.0</v>
      </c>
      <c r="B6424" s="24">
        <v>2.0</v>
      </c>
      <c r="C6424" s="44">
        <v>34.66</v>
      </c>
      <c r="D6424" s="46">
        <v>45530.0</v>
      </c>
      <c r="E6424" s="24">
        <v>17.33</v>
      </c>
      <c r="F6424" s="24">
        <v>24.81</v>
      </c>
      <c r="G6424" s="24">
        <v>0.14</v>
      </c>
      <c r="H6424" s="24" t="s">
        <v>6715</v>
      </c>
      <c r="I6424" s="24" t="s">
        <v>6650</v>
      </c>
      <c r="J6424" s="24">
        <v>0.0</v>
      </c>
    </row>
    <row r="6425">
      <c r="A6425" s="24">
        <v>7.0</v>
      </c>
      <c r="B6425" s="24">
        <v>0.0</v>
      </c>
      <c r="C6425" s="44">
        <v>6.84</v>
      </c>
      <c r="D6425" s="46">
        <v>45530.0</v>
      </c>
      <c r="E6425" s="24" t="s">
        <v>6650</v>
      </c>
      <c r="F6425" s="24">
        <v>977.14</v>
      </c>
      <c r="G6425" s="24">
        <v>0.0</v>
      </c>
      <c r="H6425" s="24" t="s">
        <v>6713</v>
      </c>
      <c r="I6425" s="24" t="s">
        <v>6650</v>
      </c>
      <c r="J6425" s="24">
        <v>0.0</v>
      </c>
    </row>
    <row r="6426">
      <c r="A6426" s="24">
        <v>851.0</v>
      </c>
      <c r="B6426" s="24">
        <v>6.0</v>
      </c>
      <c r="C6426" s="44">
        <v>35.81</v>
      </c>
      <c r="D6426" s="46">
        <v>45531.0</v>
      </c>
      <c r="E6426" s="24">
        <v>5.97</v>
      </c>
      <c r="F6426" s="24">
        <v>42.08</v>
      </c>
      <c r="G6426" s="24">
        <v>0.71</v>
      </c>
      <c r="H6426" s="24" t="s">
        <v>6715</v>
      </c>
      <c r="I6426" s="24">
        <v>17.9</v>
      </c>
      <c r="J6426" s="24">
        <v>0.0</v>
      </c>
    </row>
    <row r="6427">
      <c r="A6427" s="24">
        <v>84.0</v>
      </c>
      <c r="B6427" s="24">
        <v>0.0</v>
      </c>
      <c r="C6427" s="44">
        <v>24.43</v>
      </c>
      <c r="D6427" s="46">
        <v>45531.0</v>
      </c>
      <c r="E6427" s="24" t="s">
        <v>6650</v>
      </c>
      <c r="F6427" s="24">
        <v>290.83</v>
      </c>
      <c r="G6427" s="24">
        <v>0.0</v>
      </c>
      <c r="H6427" s="24" t="s">
        <v>6714</v>
      </c>
      <c r="I6427" s="24" t="s">
        <v>6650</v>
      </c>
      <c r="J6427" s="24">
        <v>0.0</v>
      </c>
    </row>
    <row r="6428">
      <c r="A6428" s="24">
        <v>67.0</v>
      </c>
      <c r="B6428" s="24">
        <v>0.0</v>
      </c>
      <c r="C6428" s="44">
        <v>27.54</v>
      </c>
      <c r="D6428" s="46">
        <v>45532.0</v>
      </c>
      <c r="E6428" s="24" t="s">
        <v>6650</v>
      </c>
      <c r="F6428" s="24">
        <v>411.04</v>
      </c>
      <c r="G6428" s="24">
        <v>0.0</v>
      </c>
      <c r="H6428" s="24" t="s">
        <v>6714</v>
      </c>
      <c r="I6428" s="24" t="s">
        <v>6650</v>
      </c>
      <c r="J6428" s="24">
        <v>0.0</v>
      </c>
    </row>
    <row r="6429">
      <c r="A6429" s="24">
        <v>939.0</v>
      </c>
      <c r="B6429" s="24">
        <v>8.0</v>
      </c>
      <c r="C6429" s="44">
        <v>36.03</v>
      </c>
      <c r="D6429" s="46">
        <v>45532.0</v>
      </c>
      <c r="E6429" s="24">
        <v>4.5</v>
      </c>
      <c r="F6429" s="24">
        <v>38.37</v>
      </c>
      <c r="G6429" s="24">
        <v>0.85</v>
      </c>
      <c r="H6429" s="24" t="s">
        <v>6715</v>
      </c>
      <c r="I6429" s="24" t="s">
        <v>6650</v>
      </c>
      <c r="J6429" s="24">
        <v>0.0</v>
      </c>
    </row>
    <row r="6430">
      <c r="A6430" s="24">
        <v>51.0</v>
      </c>
      <c r="B6430" s="24">
        <v>0.0</v>
      </c>
      <c r="C6430" s="44">
        <v>25.09</v>
      </c>
      <c r="D6430" s="46">
        <v>45533.0</v>
      </c>
      <c r="E6430" s="24" t="s">
        <v>6650</v>
      </c>
      <c r="F6430" s="24">
        <v>491.96</v>
      </c>
      <c r="G6430" s="24">
        <v>0.0</v>
      </c>
      <c r="H6430" s="24" t="s">
        <v>6714</v>
      </c>
      <c r="I6430" s="24" t="s">
        <v>6650</v>
      </c>
      <c r="J6430" s="24">
        <v>0.0</v>
      </c>
    </row>
    <row r="6431">
      <c r="A6431" s="24">
        <v>286.0</v>
      </c>
      <c r="B6431" s="24">
        <v>4.0</v>
      </c>
      <c r="C6431" s="44">
        <v>42.0</v>
      </c>
      <c r="D6431" s="46">
        <v>45533.0</v>
      </c>
      <c r="E6431" s="24">
        <v>10.5</v>
      </c>
      <c r="F6431" s="24">
        <v>146.85</v>
      </c>
      <c r="G6431" s="24">
        <v>1.4</v>
      </c>
      <c r="H6431" s="24" t="s">
        <v>6715</v>
      </c>
      <c r="I6431" s="24" t="s">
        <v>6650</v>
      </c>
      <c r="J6431" s="24">
        <v>0.0</v>
      </c>
    </row>
    <row r="6432">
      <c r="A6432" s="24">
        <v>877.0</v>
      </c>
      <c r="B6432" s="24">
        <v>1.0</v>
      </c>
      <c r="C6432" s="44">
        <v>36.09</v>
      </c>
      <c r="D6432" s="46">
        <v>45534.0</v>
      </c>
      <c r="E6432" s="24">
        <v>36.09</v>
      </c>
      <c r="F6432" s="24">
        <v>41.15</v>
      </c>
      <c r="G6432" s="24">
        <v>0.11</v>
      </c>
      <c r="H6432" s="24" t="s">
        <v>6715</v>
      </c>
      <c r="I6432" s="24" t="s">
        <v>6650</v>
      </c>
      <c r="J6432" s="24">
        <v>0.0</v>
      </c>
    </row>
    <row r="6433">
      <c r="A6433" s="24">
        <v>53.0</v>
      </c>
      <c r="B6433" s="24">
        <v>0.0</v>
      </c>
      <c r="C6433" s="44">
        <v>21.85</v>
      </c>
      <c r="D6433" s="46">
        <v>45534.0</v>
      </c>
      <c r="E6433" s="24" t="s">
        <v>6650</v>
      </c>
      <c r="F6433" s="24">
        <v>412.26</v>
      </c>
      <c r="G6433" s="24">
        <v>0.0</v>
      </c>
      <c r="H6433" s="24" t="s">
        <v>6714</v>
      </c>
      <c r="I6433" s="24" t="s">
        <v>6650</v>
      </c>
      <c r="J6433" s="24">
        <v>0.0</v>
      </c>
    </row>
    <row r="6434">
      <c r="A6434" s="24">
        <v>317.0</v>
      </c>
      <c r="B6434" s="24">
        <v>2.0</v>
      </c>
      <c r="C6434" s="44">
        <v>21.25</v>
      </c>
      <c r="D6434" s="46">
        <v>45535.0</v>
      </c>
      <c r="E6434" s="24">
        <v>10.62</v>
      </c>
      <c r="F6434" s="24">
        <v>67.03</v>
      </c>
      <c r="G6434" s="24">
        <v>0.63</v>
      </c>
      <c r="H6434" s="24" t="s">
        <v>6715</v>
      </c>
      <c r="I6434" s="24" t="s">
        <v>6650</v>
      </c>
      <c r="J6434" s="24">
        <v>0.0</v>
      </c>
    </row>
    <row r="6435">
      <c r="A6435" s="24">
        <v>24.0</v>
      </c>
      <c r="B6435" s="24">
        <v>1.0</v>
      </c>
      <c r="C6435" s="44">
        <v>11.62</v>
      </c>
      <c r="D6435" s="46">
        <v>45535.0</v>
      </c>
      <c r="E6435" s="24">
        <v>11.62</v>
      </c>
      <c r="F6435" s="24">
        <v>484.17</v>
      </c>
      <c r="G6435" s="24">
        <v>4.17</v>
      </c>
      <c r="H6435" s="24" t="s">
        <v>6714</v>
      </c>
      <c r="I6435" s="24" t="s">
        <v>6650</v>
      </c>
      <c r="J6435" s="24">
        <v>0.0</v>
      </c>
    </row>
    <row r="6436">
      <c r="A6436" s="24">
        <v>20.0</v>
      </c>
      <c r="B6436" s="24">
        <v>0.0</v>
      </c>
      <c r="C6436" s="44">
        <v>7.54</v>
      </c>
      <c r="D6436" s="46">
        <v>45536.0</v>
      </c>
      <c r="E6436" s="24" t="s">
        <v>6650</v>
      </c>
      <c r="F6436" s="24">
        <v>377.0</v>
      </c>
      <c r="G6436" s="24">
        <v>0.0</v>
      </c>
      <c r="H6436" s="24" t="s">
        <v>6714</v>
      </c>
      <c r="I6436" s="24" t="s">
        <v>6650</v>
      </c>
      <c r="J6436" s="24">
        <v>0.0</v>
      </c>
    </row>
    <row r="6437">
      <c r="A6437" s="24">
        <v>135.0</v>
      </c>
      <c r="B6437" s="24">
        <v>1.0</v>
      </c>
      <c r="C6437" s="44">
        <v>18.16</v>
      </c>
      <c r="D6437" s="46">
        <v>45536.0</v>
      </c>
      <c r="E6437" s="24">
        <v>18.16</v>
      </c>
      <c r="F6437" s="24">
        <v>134.52</v>
      </c>
      <c r="G6437" s="24">
        <v>0.74</v>
      </c>
      <c r="H6437" s="24" t="s">
        <v>6715</v>
      </c>
      <c r="I6437" s="24" t="s">
        <v>6650</v>
      </c>
      <c r="J6437" s="24">
        <v>0.0</v>
      </c>
    </row>
    <row r="6438">
      <c r="A6438" s="24">
        <v>973.0</v>
      </c>
      <c r="B6438" s="24">
        <v>3.0</v>
      </c>
      <c r="C6438" s="44">
        <v>35.39</v>
      </c>
      <c r="D6438" s="46">
        <v>45537.0</v>
      </c>
      <c r="E6438" s="24">
        <v>11.8</v>
      </c>
      <c r="F6438" s="24">
        <v>36.37</v>
      </c>
      <c r="G6438" s="24">
        <v>0.31</v>
      </c>
      <c r="H6438" s="24" t="s">
        <v>6715</v>
      </c>
      <c r="I6438" s="24" t="s">
        <v>6650</v>
      </c>
      <c r="J6438" s="24">
        <v>0.0</v>
      </c>
    </row>
    <row r="6439">
      <c r="A6439" s="24">
        <v>46.0</v>
      </c>
      <c r="B6439" s="24">
        <v>0.0</v>
      </c>
      <c r="C6439" s="44">
        <v>23.7</v>
      </c>
      <c r="D6439" s="46">
        <v>45537.0</v>
      </c>
      <c r="E6439" s="24" t="s">
        <v>6650</v>
      </c>
      <c r="F6439" s="24">
        <v>515.22</v>
      </c>
      <c r="G6439" s="24">
        <v>0.0</v>
      </c>
      <c r="H6439" s="24" t="s">
        <v>6714</v>
      </c>
      <c r="I6439" s="24" t="s">
        <v>6650</v>
      </c>
      <c r="J6439" s="24">
        <v>0.0</v>
      </c>
    </row>
    <row r="6440">
      <c r="A6440" s="24">
        <v>1290.0</v>
      </c>
      <c r="B6440" s="24">
        <v>4.0</v>
      </c>
      <c r="C6440" s="44">
        <v>45.11</v>
      </c>
      <c r="D6440" s="46">
        <v>45538.0</v>
      </c>
      <c r="E6440" s="24">
        <v>11.28</v>
      </c>
      <c r="F6440" s="24">
        <v>34.97</v>
      </c>
      <c r="G6440" s="24">
        <v>0.31</v>
      </c>
      <c r="H6440" s="24" t="s">
        <v>6716</v>
      </c>
      <c r="I6440" s="24">
        <v>45.11</v>
      </c>
      <c r="J6440" s="24">
        <v>0.0</v>
      </c>
    </row>
    <row r="6441">
      <c r="A6441" s="24">
        <v>852.0</v>
      </c>
      <c r="B6441" s="24">
        <v>2.0</v>
      </c>
      <c r="C6441" s="44">
        <v>36.33</v>
      </c>
      <c r="D6441" s="46">
        <v>45538.0</v>
      </c>
      <c r="E6441" s="24">
        <v>18.16</v>
      </c>
      <c r="F6441" s="24">
        <v>42.64</v>
      </c>
      <c r="G6441" s="24">
        <v>0.23</v>
      </c>
      <c r="H6441" s="24" t="s">
        <v>6715</v>
      </c>
      <c r="I6441" s="24">
        <v>36.33</v>
      </c>
      <c r="J6441" s="24">
        <v>0.0</v>
      </c>
    </row>
    <row r="6442">
      <c r="A6442" s="24">
        <v>51.0</v>
      </c>
      <c r="B6442" s="24">
        <v>0.0</v>
      </c>
      <c r="C6442" s="44">
        <v>23.19</v>
      </c>
      <c r="D6442" s="46">
        <v>45538.0</v>
      </c>
      <c r="E6442" s="24" t="s">
        <v>6650</v>
      </c>
      <c r="F6442" s="24">
        <v>454.71</v>
      </c>
      <c r="G6442" s="24">
        <v>0.0</v>
      </c>
      <c r="H6442" s="24" t="s">
        <v>6714</v>
      </c>
      <c r="I6442" s="24" t="s">
        <v>6650</v>
      </c>
      <c r="J6442" s="24">
        <v>0.0</v>
      </c>
    </row>
    <row r="6443">
      <c r="A6443" s="24">
        <v>501.0</v>
      </c>
      <c r="B6443" s="24">
        <v>2.0</v>
      </c>
      <c r="C6443" s="44">
        <v>38.18</v>
      </c>
      <c r="D6443" s="46">
        <v>45539.0</v>
      </c>
      <c r="E6443" s="24">
        <v>19.09</v>
      </c>
      <c r="F6443" s="24">
        <v>76.21</v>
      </c>
      <c r="G6443" s="24">
        <v>0.4</v>
      </c>
      <c r="H6443" s="24" t="s">
        <v>6715</v>
      </c>
      <c r="I6443" s="24">
        <v>38.18</v>
      </c>
      <c r="J6443" s="24">
        <v>0.0</v>
      </c>
    </row>
    <row r="6444">
      <c r="A6444" s="24">
        <v>57.0</v>
      </c>
      <c r="B6444" s="24">
        <v>0.0</v>
      </c>
      <c r="C6444" s="44">
        <v>24.89</v>
      </c>
      <c r="D6444" s="46">
        <v>45539.0</v>
      </c>
      <c r="E6444" s="24" t="s">
        <v>6650</v>
      </c>
      <c r="F6444" s="24">
        <v>436.67</v>
      </c>
      <c r="G6444" s="24">
        <v>0.0</v>
      </c>
      <c r="H6444" s="24" t="s">
        <v>6714</v>
      </c>
      <c r="I6444" s="24" t="s">
        <v>6650</v>
      </c>
      <c r="J6444" s="24">
        <v>0.0</v>
      </c>
    </row>
    <row r="6445">
      <c r="A6445" s="24">
        <v>1210.0</v>
      </c>
      <c r="B6445" s="24">
        <v>7.0</v>
      </c>
      <c r="C6445" s="44">
        <v>45.5</v>
      </c>
      <c r="D6445" s="46">
        <v>45539.0</v>
      </c>
      <c r="E6445" s="24">
        <v>6.5</v>
      </c>
      <c r="F6445" s="24">
        <v>37.6</v>
      </c>
      <c r="G6445" s="24">
        <v>0.58</v>
      </c>
      <c r="H6445" s="24" t="s">
        <v>6716</v>
      </c>
      <c r="I6445" s="24" t="s">
        <v>6650</v>
      </c>
      <c r="J6445" s="24">
        <v>0.0</v>
      </c>
    </row>
    <row r="6446">
      <c r="A6446" s="24">
        <v>1180.0</v>
      </c>
      <c r="B6446" s="24">
        <v>3.0</v>
      </c>
      <c r="C6446" s="44">
        <v>48.38</v>
      </c>
      <c r="D6446" s="46">
        <v>45540.0</v>
      </c>
      <c r="E6446" s="24">
        <v>16.13</v>
      </c>
      <c r="F6446" s="24">
        <v>41.0</v>
      </c>
      <c r="G6446" s="24">
        <v>0.25</v>
      </c>
      <c r="H6446" s="24" t="s">
        <v>6716</v>
      </c>
      <c r="I6446" s="24">
        <v>48.38</v>
      </c>
      <c r="J6446" s="24">
        <v>0.0</v>
      </c>
    </row>
    <row r="6447">
      <c r="A6447" s="24">
        <v>179.0</v>
      </c>
      <c r="B6447" s="24">
        <v>1.0</v>
      </c>
      <c r="C6447" s="44">
        <v>40.97</v>
      </c>
      <c r="D6447" s="46">
        <v>45540.0</v>
      </c>
      <c r="E6447" s="24">
        <v>40.97</v>
      </c>
      <c r="F6447" s="24">
        <v>228.88</v>
      </c>
      <c r="G6447" s="24">
        <v>0.56</v>
      </c>
      <c r="H6447" s="24" t="s">
        <v>6715</v>
      </c>
      <c r="I6447" s="24">
        <v>40.97</v>
      </c>
      <c r="J6447" s="24">
        <v>0.0</v>
      </c>
    </row>
    <row r="6448">
      <c r="A6448" s="24">
        <v>49.0</v>
      </c>
      <c r="B6448" s="24">
        <v>1.0</v>
      </c>
      <c r="C6448" s="44">
        <v>27.11</v>
      </c>
      <c r="D6448" s="46">
        <v>45540.0</v>
      </c>
      <c r="E6448" s="24">
        <v>27.11</v>
      </c>
      <c r="F6448" s="24">
        <v>553.27</v>
      </c>
      <c r="G6448" s="24">
        <v>2.04</v>
      </c>
      <c r="H6448" s="24" t="s">
        <v>6714</v>
      </c>
      <c r="I6448" s="24" t="s">
        <v>6650</v>
      </c>
      <c r="J6448" s="24">
        <v>0.0</v>
      </c>
    </row>
    <row r="6449">
      <c r="A6449" s="24">
        <v>892.0</v>
      </c>
      <c r="B6449" s="24">
        <v>2.0</v>
      </c>
      <c r="C6449" s="44">
        <v>43.58</v>
      </c>
      <c r="D6449" s="46">
        <v>45541.0</v>
      </c>
      <c r="E6449" s="24">
        <v>21.79</v>
      </c>
      <c r="F6449" s="24">
        <v>48.86</v>
      </c>
      <c r="G6449" s="24">
        <v>0.22</v>
      </c>
      <c r="H6449" s="24" t="s">
        <v>6716</v>
      </c>
      <c r="I6449" s="24" t="s">
        <v>6650</v>
      </c>
      <c r="J6449" s="24">
        <v>0.0</v>
      </c>
    </row>
    <row r="6450">
      <c r="A6450" s="24">
        <v>647.0</v>
      </c>
      <c r="B6450" s="24">
        <v>3.0</v>
      </c>
      <c r="C6450" s="44">
        <v>35.95</v>
      </c>
      <c r="D6450" s="46">
        <v>45541.0</v>
      </c>
      <c r="E6450" s="24">
        <v>11.98</v>
      </c>
      <c r="F6450" s="24">
        <v>55.56</v>
      </c>
      <c r="G6450" s="24">
        <v>0.46</v>
      </c>
      <c r="H6450" s="24" t="s">
        <v>6715</v>
      </c>
      <c r="I6450" s="24" t="s">
        <v>6650</v>
      </c>
      <c r="J6450" s="24">
        <v>0.0</v>
      </c>
    </row>
    <row r="6451">
      <c r="A6451" s="24">
        <v>52.0</v>
      </c>
      <c r="B6451" s="24">
        <v>0.0</v>
      </c>
      <c r="C6451" s="44">
        <v>20.69</v>
      </c>
      <c r="D6451" s="46">
        <v>45541.0</v>
      </c>
      <c r="E6451" s="24" t="s">
        <v>6650</v>
      </c>
      <c r="F6451" s="24">
        <v>397.88</v>
      </c>
      <c r="G6451" s="24">
        <v>0.0</v>
      </c>
      <c r="H6451" s="24" t="s">
        <v>6714</v>
      </c>
      <c r="I6451" s="24" t="s">
        <v>6650</v>
      </c>
      <c r="J6451" s="24">
        <v>0.0</v>
      </c>
    </row>
    <row r="6452">
      <c r="A6452" s="24">
        <v>1869.0</v>
      </c>
      <c r="B6452" s="24">
        <v>10.0</v>
      </c>
      <c r="C6452" s="44">
        <v>18.82</v>
      </c>
      <c r="D6452" s="46">
        <v>45541.0</v>
      </c>
      <c r="E6452" s="24">
        <v>1.88</v>
      </c>
      <c r="F6452" s="24">
        <v>10.07</v>
      </c>
      <c r="G6452" s="24">
        <v>0.54</v>
      </c>
      <c r="H6452" s="24" t="s">
        <v>6717</v>
      </c>
      <c r="I6452" s="24" t="s">
        <v>6650</v>
      </c>
      <c r="J6452" s="24">
        <v>0.0</v>
      </c>
    </row>
    <row r="6453">
      <c r="A6453" s="24">
        <v>2357.0</v>
      </c>
      <c r="B6453" s="24">
        <v>13.0</v>
      </c>
      <c r="C6453" s="44">
        <v>13.42</v>
      </c>
      <c r="D6453" s="46">
        <v>45542.0</v>
      </c>
      <c r="E6453" s="24">
        <v>1.03</v>
      </c>
      <c r="F6453" s="24">
        <v>5.69</v>
      </c>
      <c r="G6453" s="24">
        <v>0.55</v>
      </c>
      <c r="H6453" s="24" t="s">
        <v>6717</v>
      </c>
      <c r="I6453" s="24" t="s">
        <v>6650</v>
      </c>
      <c r="J6453" s="24">
        <v>0.0</v>
      </c>
    </row>
    <row r="6454">
      <c r="A6454" s="24">
        <v>159.0</v>
      </c>
      <c r="B6454" s="24">
        <v>0.0</v>
      </c>
      <c r="C6454" s="44">
        <v>25.88</v>
      </c>
      <c r="D6454" s="46">
        <v>45542.0</v>
      </c>
      <c r="E6454" s="24" t="s">
        <v>6650</v>
      </c>
      <c r="F6454" s="24">
        <v>162.77</v>
      </c>
      <c r="G6454" s="24">
        <v>0.0</v>
      </c>
      <c r="H6454" s="24" t="s">
        <v>6716</v>
      </c>
      <c r="I6454" s="24" t="s">
        <v>6650</v>
      </c>
      <c r="J6454" s="24">
        <v>0.0</v>
      </c>
    </row>
    <row r="6455">
      <c r="A6455" s="24">
        <v>30.0</v>
      </c>
      <c r="B6455" s="24">
        <v>0.0</v>
      </c>
      <c r="C6455" s="44">
        <v>11.59</v>
      </c>
      <c r="D6455" s="46">
        <v>45542.0</v>
      </c>
      <c r="E6455" s="24" t="s">
        <v>6650</v>
      </c>
      <c r="F6455" s="24">
        <v>386.33</v>
      </c>
      <c r="G6455" s="24">
        <v>0.0</v>
      </c>
      <c r="H6455" s="24" t="s">
        <v>6714</v>
      </c>
      <c r="I6455" s="24" t="s">
        <v>6650</v>
      </c>
      <c r="J6455" s="24">
        <v>0.0</v>
      </c>
    </row>
    <row r="6456">
      <c r="A6456" s="24">
        <v>250.0</v>
      </c>
      <c r="B6456" s="24">
        <v>2.0</v>
      </c>
      <c r="C6456" s="44">
        <v>20.18</v>
      </c>
      <c r="D6456" s="46">
        <v>45542.0</v>
      </c>
      <c r="E6456" s="24">
        <v>10.09</v>
      </c>
      <c r="F6456" s="24">
        <v>80.72</v>
      </c>
      <c r="G6456" s="24">
        <v>0.8</v>
      </c>
      <c r="H6456" s="24" t="s">
        <v>6715</v>
      </c>
      <c r="I6456" s="24" t="s">
        <v>6650</v>
      </c>
      <c r="J6456" s="24">
        <v>0.0</v>
      </c>
    </row>
    <row r="6457">
      <c r="A6457" s="24">
        <v>132.0</v>
      </c>
      <c r="B6457" s="24">
        <v>3.0</v>
      </c>
      <c r="C6457" s="44">
        <v>17.0</v>
      </c>
      <c r="D6457" s="46">
        <v>45543.0</v>
      </c>
      <c r="E6457" s="24">
        <v>5.67</v>
      </c>
      <c r="F6457" s="24">
        <v>128.79</v>
      </c>
      <c r="G6457" s="24">
        <v>2.27</v>
      </c>
      <c r="H6457" s="24" t="s">
        <v>6715</v>
      </c>
      <c r="I6457" s="24">
        <v>17.0</v>
      </c>
      <c r="J6457" s="24">
        <v>0.0</v>
      </c>
    </row>
    <row r="6458">
      <c r="A6458" s="24">
        <v>118.0</v>
      </c>
      <c r="B6458" s="24">
        <v>0.0</v>
      </c>
      <c r="C6458" s="44">
        <v>23.64</v>
      </c>
      <c r="D6458" s="46">
        <v>45543.0</v>
      </c>
      <c r="E6458" s="24" t="s">
        <v>6650</v>
      </c>
      <c r="F6458" s="24">
        <v>200.34</v>
      </c>
      <c r="G6458" s="24">
        <v>0.0</v>
      </c>
      <c r="H6458" s="24" t="s">
        <v>6716</v>
      </c>
      <c r="I6458" s="24" t="s">
        <v>6650</v>
      </c>
      <c r="J6458" s="24">
        <v>0.0</v>
      </c>
    </row>
    <row r="6459">
      <c r="A6459" s="24">
        <v>1651.0</v>
      </c>
      <c r="B6459" s="24">
        <v>8.0</v>
      </c>
      <c r="C6459" s="44">
        <v>12.74</v>
      </c>
      <c r="D6459" s="46">
        <v>45543.0</v>
      </c>
      <c r="E6459" s="24">
        <v>1.59</v>
      </c>
      <c r="F6459" s="24">
        <v>7.72</v>
      </c>
      <c r="G6459" s="24">
        <v>0.48</v>
      </c>
      <c r="H6459" s="24" t="s">
        <v>6717</v>
      </c>
      <c r="I6459" s="24" t="s">
        <v>6650</v>
      </c>
      <c r="J6459" s="24">
        <v>0.0</v>
      </c>
    </row>
    <row r="6460">
      <c r="A6460" s="24">
        <v>16.0</v>
      </c>
      <c r="B6460" s="24">
        <v>0.0</v>
      </c>
      <c r="C6460" s="44">
        <v>8.83</v>
      </c>
      <c r="D6460" s="46">
        <v>45543.0</v>
      </c>
      <c r="E6460" s="24" t="s">
        <v>6650</v>
      </c>
      <c r="F6460" s="24">
        <v>551.88</v>
      </c>
      <c r="G6460" s="24">
        <v>0.0</v>
      </c>
      <c r="H6460" s="24" t="s">
        <v>6714</v>
      </c>
      <c r="I6460" s="24" t="s">
        <v>6650</v>
      </c>
      <c r="J6460" s="24">
        <v>0.0</v>
      </c>
    </row>
    <row r="6461">
      <c r="A6461" s="24">
        <v>370.0</v>
      </c>
      <c r="B6461" s="24">
        <v>1.0</v>
      </c>
      <c r="C6461" s="44">
        <v>43.4</v>
      </c>
      <c r="D6461" s="46">
        <v>45544.0</v>
      </c>
      <c r="E6461" s="24">
        <v>43.4</v>
      </c>
      <c r="F6461" s="24">
        <v>117.3</v>
      </c>
      <c r="G6461" s="24">
        <v>0.27</v>
      </c>
      <c r="H6461" s="24" t="s">
        <v>6716</v>
      </c>
      <c r="I6461" s="24" t="s">
        <v>6650</v>
      </c>
      <c r="J6461" s="24">
        <v>0.0</v>
      </c>
    </row>
    <row r="6462">
      <c r="A6462" s="24">
        <v>2054.0</v>
      </c>
      <c r="B6462" s="24">
        <v>10.0</v>
      </c>
      <c r="C6462" s="44">
        <v>16.34</v>
      </c>
      <c r="D6462" s="46">
        <v>45544.0</v>
      </c>
      <c r="E6462" s="24">
        <v>1.63</v>
      </c>
      <c r="F6462" s="24">
        <v>7.96</v>
      </c>
      <c r="G6462" s="24">
        <v>0.49</v>
      </c>
      <c r="H6462" s="24" t="s">
        <v>6717</v>
      </c>
      <c r="I6462" s="24" t="s">
        <v>6650</v>
      </c>
      <c r="J6462" s="24">
        <v>0.0</v>
      </c>
    </row>
    <row r="6463">
      <c r="A6463" s="24">
        <v>802.0</v>
      </c>
      <c r="B6463" s="24">
        <v>3.0</v>
      </c>
      <c r="C6463" s="44">
        <v>35.38</v>
      </c>
      <c r="D6463" s="46">
        <v>45544.0</v>
      </c>
      <c r="E6463" s="24">
        <v>11.79</v>
      </c>
      <c r="F6463" s="24">
        <v>44.11</v>
      </c>
      <c r="G6463" s="24">
        <v>0.37</v>
      </c>
      <c r="H6463" s="24" t="s">
        <v>6715</v>
      </c>
      <c r="I6463" s="24" t="s">
        <v>6650</v>
      </c>
      <c r="J6463" s="24">
        <v>0.0</v>
      </c>
    </row>
    <row r="6464">
      <c r="A6464" s="24">
        <v>50.0</v>
      </c>
      <c r="B6464" s="24">
        <v>1.0</v>
      </c>
      <c r="C6464" s="44">
        <v>22.54</v>
      </c>
      <c r="D6464" s="46">
        <v>45544.0</v>
      </c>
      <c r="E6464" s="24">
        <v>22.54</v>
      </c>
      <c r="F6464" s="24">
        <v>450.8</v>
      </c>
      <c r="G6464" s="24">
        <v>2.0</v>
      </c>
      <c r="H6464" s="24" t="s">
        <v>6714</v>
      </c>
      <c r="I6464" s="24" t="s">
        <v>6650</v>
      </c>
      <c r="J6464" s="24">
        <v>0.0</v>
      </c>
    </row>
    <row r="6465">
      <c r="A6465" s="24">
        <v>865.0</v>
      </c>
      <c r="B6465" s="24">
        <v>4.0</v>
      </c>
      <c r="C6465" s="44">
        <v>50.08</v>
      </c>
      <c r="D6465" s="46">
        <v>45545.0</v>
      </c>
      <c r="E6465" s="24">
        <v>12.52</v>
      </c>
      <c r="F6465" s="24">
        <v>57.9</v>
      </c>
      <c r="G6465" s="24">
        <v>0.46</v>
      </c>
      <c r="H6465" s="24" t="s">
        <v>6716</v>
      </c>
      <c r="I6465" s="24">
        <v>50.08</v>
      </c>
      <c r="J6465" s="24">
        <v>0.0</v>
      </c>
    </row>
    <row r="6466">
      <c r="A6466" s="24">
        <v>64.0</v>
      </c>
      <c r="B6466" s="24">
        <v>1.0</v>
      </c>
      <c r="C6466" s="44">
        <v>27.95</v>
      </c>
      <c r="D6466" s="46">
        <v>45545.0</v>
      </c>
      <c r="E6466" s="24">
        <v>27.95</v>
      </c>
      <c r="F6466" s="24">
        <v>436.72</v>
      </c>
      <c r="G6466" s="24">
        <v>1.56</v>
      </c>
      <c r="H6466" s="24" t="s">
        <v>6714</v>
      </c>
      <c r="I6466" s="24" t="s">
        <v>6650</v>
      </c>
      <c r="J6466" s="24">
        <v>0.0</v>
      </c>
    </row>
    <row r="6467">
      <c r="A6467" s="24">
        <v>429.0</v>
      </c>
      <c r="B6467" s="24">
        <v>1.0</v>
      </c>
      <c r="C6467" s="44">
        <v>39.13</v>
      </c>
      <c r="D6467" s="46">
        <v>45545.0</v>
      </c>
      <c r="E6467" s="24">
        <v>39.13</v>
      </c>
      <c r="F6467" s="24">
        <v>91.21</v>
      </c>
      <c r="G6467" s="24">
        <v>0.23</v>
      </c>
      <c r="H6467" s="24" t="s">
        <v>6715</v>
      </c>
      <c r="I6467" s="24">
        <v>39.13</v>
      </c>
      <c r="J6467" s="24">
        <v>0.0</v>
      </c>
    </row>
    <row r="6468">
      <c r="A6468" s="24">
        <v>1130.0</v>
      </c>
      <c r="B6468" s="24">
        <v>11.0</v>
      </c>
      <c r="C6468" s="44">
        <v>17.79</v>
      </c>
      <c r="D6468" s="46">
        <v>45545.0</v>
      </c>
      <c r="E6468" s="24">
        <v>1.62</v>
      </c>
      <c r="F6468" s="24">
        <v>15.74</v>
      </c>
      <c r="G6468" s="24">
        <v>0.97</v>
      </c>
      <c r="H6468" s="24" t="s">
        <v>6717</v>
      </c>
      <c r="I6468" s="24" t="s">
        <v>6650</v>
      </c>
      <c r="J6468" s="24">
        <v>0.0</v>
      </c>
    </row>
    <row r="6469">
      <c r="A6469" s="24">
        <v>927.0</v>
      </c>
      <c r="B6469" s="24">
        <v>6.0</v>
      </c>
      <c r="C6469" s="44">
        <v>49.06</v>
      </c>
      <c r="D6469" s="46">
        <v>45546.0</v>
      </c>
      <c r="E6469" s="24">
        <v>8.18</v>
      </c>
      <c r="F6469" s="24">
        <v>52.92</v>
      </c>
      <c r="G6469" s="24">
        <v>0.65</v>
      </c>
      <c r="H6469" s="24" t="s">
        <v>6716</v>
      </c>
      <c r="I6469" s="24">
        <v>24.53</v>
      </c>
      <c r="J6469" s="24">
        <v>0.0</v>
      </c>
    </row>
    <row r="6470">
      <c r="A6470" s="24">
        <v>705.0</v>
      </c>
      <c r="B6470" s="24">
        <v>3.0</v>
      </c>
      <c r="C6470" s="44">
        <v>34.56</v>
      </c>
      <c r="D6470" s="46">
        <v>45546.0</v>
      </c>
      <c r="E6470" s="24">
        <v>11.52</v>
      </c>
      <c r="F6470" s="24">
        <v>49.02</v>
      </c>
      <c r="G6470" s="24">
        <v>0.43</v>
      </c>
      <c r="H6470" s="24" t="s">
        <v>6715</v>
      </c>
      <c r="I6470" s="24" t="s">
        <v>6650</v>
      </c>
      <c r="J6470" s="24">
        <v>0.0</v>
      </c>
    </row>
    <row r="6471">
      <c r="A6471" s="24">
        <v>1568.0</v>
      </c>
      <c r="B6471" s="24">
        <v>7.0</v>
      </c>
      <c r="C6471" s="44">
        <v>17.59</v>
      </c>
      <c r="D6471" s="46">
        <v>45546.0</v>
      </c>
      <c r="E6471" s="24">
        <v>2.51</v>
      </c>
      <c r="F6471" s="24">
        <v>11.22</v>
      </c>
      <c r="G6471" s="24">
        <v>0.45</v>
      </c>
      <c r="H6471" s="24" t="s">
        <v>6717</v>
      </c>
      <c r="I6471" s="24">
        <v>17.59</v>
      </c>
      <c r="J6471" s="24">
        <v>0.0</v>
      </c>
    </row>
    <row r="6472">
      <c r="A6472" s="24">
        <v>39.0</v>
      </c>
      <c r="B6472" s="24">
        <v>0.0</v>
      </c>
      <c r="C6472" s="44">
        <v>10.06</v>
      </c>
      <c r="D6472" s="46">
        <v>45546.0</v>
      </c>
      <c r="E6472" s="24" t="s">
        <v>6650</v>
      </c>
      <c r="F6472" s="24">
        <v>257.95</v>
      </c>
      <c r="G6472" s="24">
        <v>0.0</v>
      </c>
      <c r="H6472" s="24" t="s">
        <v>6714</v>
      </c>
      <c r="I6472" s="24">
        <v>10.06</v>
      </c>
      <c r="J6472" s="24">
        <v>0.0</v>
      </c>
    </row>
    <row r="6473">
      <c r="A6473" s="24">
        <v>2232.0</v>
      </c>
      <c r="B6473" s="24">
        <v>17.0</v>
      </c>
      <c r="C6473" s="44">
        <v>18.01</v>
      </c>
      <c r="D6473" s="46">
        <v>45547.0</v>
      </c>
      <c r="E6473" s="24">
        <v>1.06</v>
      </c>
      <c r="F6473" s="24">
        <v>8.07</v>
      </c>
      <c r="G6473" s="24">
        <v>0.76</v>
      </c>
      <c r="H6473" s="24" t="s">
        <v>6717</v>
      </c>
      <c r="I6473" s="24" t="s">
        <v>6650</v>
      </c>
      <c r="J6473" s="24">
        <v>0.0</v>
      </c>
    </row>
    <row r="6474">
      <c r="A6474" s="24">
        <v>1023.0</v>
      </c>
      <c r="B6474" s="24">
        <v>4.0</v>
      </c>
      <c r="C6474" s="44">
        <v>40.39</v>
      </c>
      <c r="D6474" s="46">
        <v>45547.0</v>
      </c>
      <c r="E6474" s="24">
        <v>10.1</v>
      </c>
      <c r="F6474" s="24">
        <v>39.48</v>
      </c>
      <c r="G6474" s="24">
        <v>0.39</v>
      </c>
      <c r="H6474" s="24" t="s">
        <v>6715</v>
      </c>
      <c r="I6474" s="24" t="s">
        <v>6650</v>
      </c>
      <c r="J6474" s="24">
        <v>0.0</v>
      </c>
    </row>
    <row r="6475">
      <c r="A6475" s="24">
        <v>682.0</v>
      </c>
      <c r="B6475" s="24">
        <v>4.0</v>
      </c>
      <c r="C6475" s="44">
        <v>24.03</v>
      </c>
      <c r="D6475" s="46">
        <v>45547.0</v>
      </c>
      <c r="E6475" s="24">
        <v>6.01</v>
      </c>
      <c r="F6475" s="24">
        <v>35.23</v>
      </c>
      <c r="G6475" s="24">
        <v>0.59</v>
      </c>
      <c r="H6475" s="24" t="s">
        <v>6714</v>
      </c>
      <c r="I6475" s="24" t="s">
        <v>6650</v>
      </c>
      <c r="J6475" s="24">
        <v>0.0</v>
      </c>
    </row>
    <row r="6476">
      <c r="A6476" s="24">
        <v>1117.0</v>
      </c>
      <c r="B6476" s="24">
        <v>5.0</v>
      </c>
      <c r="C6476" s="44">
        <v>49.7</v>
      </c>
      <c r="D6476" s="46">
        <v>45547.0</v>
      </c>
      <c r="E6476" s="24">
        <v>9.94</v>
      </c>
      <c r="F6476" s="24">
        <v>44.49</v>
      </c>
      <c r="G6476" s="24">
        <v>0.45</v>
      </c>
      <c r="H6476" s="24" t="s">
        <v>6716</v>
      </c>
      <c r="I6476" s="24" t="s">
        <v>6650</v>
      </c>
      <c r="J6476" s="24">
        <v>0.0</v>
      </c>
    </row>
    <row r="6477">
      <c r="A6477" s="24">
        <v>355.0</v>
      </c>
      <c r="B6477" s="24">
        <v>1.0</v>
      </c>
      <c r="C6477" s="44">
        <v>37.98</v>
      </c>
      <c r="D6477" s="46">
        <v>45548.0</v>
      </c>
      <c r="E6477" s="24">
        <v>37.98</v>
      </c>
      <c r="F6477" s="24">
        <v>106.99</v>
      </c>
      <c r="G6477" s="24">
        <v>0.28</v>
      </c>
      <c r="H6477" s="24" t="s">
        <v>6715</v>
      </c>
      <c r="I6477" s="24">
        <v>37.98</v>
      </c>
      <c r="J6477" s="24">
        <v>0.0</v>
      </c>
    </row>
    <row r="6478">
      <c r="A6478" s="24">
        <v>2033.0</v>
      </c>
      <c r="B6478" s="24">
        <v>14.0</v>
      </c>
      <c r="C6478" s="44">
        <v>16.32</v>
      </c>
      <c r="D6478" s="46">
        <v>45548.0</v>
      </c>
      <c r="E6478" s="24">
        <v>1.17</v>
      </c>
      <c r="F6478" s="24">
        <v>8.03</v>
      </c>
      <c r="G6478" s="24">
        <v>0.69</v>
      </c>
      <c r="H6478" s="24" t="s">
        <v>6717</v>
      </c>
      <c r="I6478" s="24" t="s">
        <v>6650</v>
      </c>
      <c r="J6478" s="24">
        <v>0.0</v>
      </c>
    </row>
    <row r="6479">
      <c r="A6479" s="24">
        <v>827.0</v>
      </c>
      <c r="B6479" s="24">
        <v>6.0</v>
      </c>
      <c r="C6479" s="44">
        <v>22.89</v>
      </c>
      <c r="D6479" s="46">
        <v>45548.0</v>
      </c>
      <c r="E6479" s="24">
        <v>3.82</v>
      </c>
      <c r="F6479" s="24">
        <v>27.68</v>
      </c>
      <c r="G6479" s="24">
        <v>0.73</v>
      </c>
      <c r="H6479" s="24" t="s">
        <v>6714</v>
      </c>
      <c r="I6479" s="24" t="s">
        <v>6650</v>
      </c>
      <c r="J6479" s="24">
        <v>0.0</v>
      </c>
    </row>
    <row r="6480">
      <c r="A6480" s="24">
        <v>1126.0</v>
      </c>
      <c r="B6480" s="24">
        <v>1.0</v>
      </c>
      <c r="C6480" s="44">
        <v>44.11</v>
      </c>
      <c r="D6480" s="46">
        <v>45548.0</v>
      </c>
      <c r="E6480" s="24">
        <v>44.11</v>
      </c>
      <c r="F6480" s="24">
        <v>39.17</v>
      </c>
      <c r="G6480" s="24">
        <v>0.09</v>
      </c>
      <c r="H6480" s="24" t="s">
        <v>6716</v>
      </c>
      <c r="I6480" s="24" t="s">
        <v>6650</v>
      </c>
      <c r="J6480" s="24">
        <v>0.0</v>
      </c>
    </row>
    <row r="6481">
      <c r="A6481" s="24">
        <v>189.0</v>
      </c>
      <c r="B6481" s="24">
        <v>1.0</v>
      </c>
      <c r="C6481" s="44">
        <v>17.01</v>
      </c>
      <c r="D6481" s="46">
        <v>45549.0</v>
      </c>
      <c r="E6481" s="24">
        <v>17.01</v>
      </c>
      <c r="F6481" s="24">
        <v>90.0</v>
      </c>
      <c r="G6481" s="24">
        <v>0.53</v>
      </c>
      <c r="H6481" s="24" t="s">
        <v>6714</v>
      </c>
      <c r="I6481" s="24">
        <v>17.01</v>
      </c>
      <c r="J6481" s="24">
        <v>0.0</v>
      </c>
    </row>
    <row r="6482">
      <c r="A6482" s="24">
        <v>86.0</v>
      </c>
      <c r="B6482" s="24">
        <v>0.0</v>
      </c>
      <c r="C6482" s="44">
        <v>19.8</v>
      </c>
      <c r="D6482" s="46">
        <v>45549.0</v>
      </c>
      <c r="E6482" s="24" t="s">
        <v>6650</v>
      </c>
      <c r="F6482" s="24">
        <v>230.23</v>
      </c>
      <c r="G6482" s="24">
        <v>0.0</v>
      </c>
      <c r="H6482" s="24" t="s">
        <v>6715</v>
      </c>
      <c r="I6482" s="24">
        <v>9.9</v>
      </c>
      <c r="J6482" s="24">
        <v>0.0</v>
      </c>
    </row>
    <row r="6483">
      <c r="A6483" s="24">
        <v>295.0</v>
      </c>
      <c r="B6483" s="24">
        <v>3.0</v>
      </c>
      <c r="C6483" s="44">
        <v>25.54</v>
      </c>
      <c r="D6483" s="46">
        <v>45549.0</v>
      </c>
      <c r="E6483" s="24">
        <v>8.51</v>
      </c>
      <c r="F6483" s="24">
        <v>86.58</v>
      </c>
      <c r="G6483" s="24">
        <v>1.02</v>
      </c>
      <c r="H6483" s="24" t="s">
        <v>6716</v>
      </c>
      <c r="I6483" s="24" t="s">
        <v>6650</v>
      </c>
      <c r="J6483" s="24">
        <v>0.0</v>
      </c>
    </row>
    <row r="6484">
      <c r="A6484" s="24">
        <v>1427.0</v>
      </c>
      <c r="B6484" s="24">
        <v>12.0</v>
      </c>
      <c r="C6484" s="44">
        <v>9.87</v>
      </c>
      <c r="D6484" s="46">
        <v>45549.0</v>
      </c>
      <c r="E6484" s="24">
        <v>0.82</v>
      </c>
      <c r="F6484" s="24">
        <v>6.92</v>
      </c>
      <c r="G6484" s="24">
        <v>0.84</v>
      </c>
      <c r="H6484" s="24" t="s">
        <v>6717</v>
      </c>
      <c r="I6484" s="24">
        <v>9.87</v>
      </c>
      <c r="J6484" s="24">
        <v>0.0</v>
      </c>
    </row>
    <row r="6485">
      <c r="A6485" s="24">
        <v>122.0</v>
      </c>
      <c r="B6485" s="24">
        <v>0.0</v>
      </c>
      <c r="C6485" s="44">
        <v>16.76</v>
      </c>
      <c r="D6485" s="46">
        <v>45550.0</v>
      </c>
      <c r="E6485" s="24" t="s">
        <v>6650</v>
      </c>
      <c r="F6485" s="24">
        <v>137.38</v>
      </c>
      <c r="G6485" s="24">
        <v>0.0</v>
      </c>
      <c r="H6485" s="24" t="s">
        <v>6715</v>
      </c>
      <c r="I6485" s="24" t="s">
        <v>6650</v>
      </c>
      <c r="J6485" s="24">
        <v>0.0</v>
      </c>
    </row>
    <row r="6486">
      <c r="A6486" s="24">
        <v>1485.0</v>
      </c>
      <c r="B6486" s="24">
        <v>10.0</v>
      </c>
      <c r="C6486" s="44">
        <v>9.08</v>
      </c>
      <c r="D6486" s="46">
        <v>45550.0</v>
      </c>
      <c r="E6486" s="24">
        <v>0.91</v>
      </c>
      <c r="F6486" s="24">
        <v>6.11</v>
      </c>
      <c r="G6486" s="24">
        <v>0.67</v>
      </c>
      <c r="H6486" s="24" t="s">
        <v>6717</v>
      </c>
      <c r="I6486" s="24" t="s">
        <v>6650</v>
      </c>
      <c r="J6486" s="24">
        <v>0.0</v>
      </c>
    </row>
    <row r="6487">
      <c r="A6487" s="24">
        <v>126.0</v>
      </c>
      <c r="B6487" s="24">
        <v>2.0</v>
      </c>
      <c r="C6487" s="44">
        <v>24.0</v>
      </c>
      <c r="D6487" s="46">
        <v>45550.0</v>
      </c>
      <c r="E6487" s="24">
        <v>12.0</v>
      </c>
      <c r="F6487" s="24">
        <v>190.48</v>
      </c>
      <c r="G6487" s="24">
        <v>1.59</v>
      </c>
      <c r="H6487" s="24" t="s">
        <v>6716</v>
      </c>
      <c r="I6487" s="24" t="s">
        <v>6650</v>
      </c>
      <c r="J6487" s="24">
        <v>0.0</v>
      </c>
    </row>
    <row r="6488">
      <c r="A6488" s="24">
        <v>133.0</v>
      </c>
      <c r="B6488" s="24">
        <v>1.0</v>
      </c>
      <c r="C6488" s="44">
        <v>15.52</v>
      </c>
      <c r="D6488" s="46">
        <v>45550.0</v>
      </c>
      <c r="E6488" s="24">
        <v>15.52</v>
      </c>
      <c r="F6488" s="24">
        <v>116.69</v>
      </c>
      <c r="G6488" s="24">
        <v>0.75</v>
      </c>
      <c r="H6488" s="24" t="s">
        <v>6714</v>
      </c>
      <c r="I6488" s="24" t="s">
        <v>6650</v>
      </c>
      <c r="J6488" s="24">
        <v>0.0</v>
      </c>
    </row>
    <row r="6489">
      <c r="A6489" s="24">
        <v>2398.0</v>
      </c>
      <c r="B6489" s="24">
        <v>18.0</v>
      </c>
      <c r="C6489" s="44">
        <v>16.26</v>
      </c>
      <c r="D6489" s="46">
        <v>45551.0</v>
      </c>
      <c r="E6489" s="24">
        <v>0.9</v>
      </c>
      <c r="F6489" s="24">
        <v>6.78</v>
      </c>
      <c r="G6489" s="24">
        <v>0.75</v>
      </c>
      <c r="H6489" s="24" t="s">
        <v>6717</v>
      </c>
      <c r="I6489" s="24" t="s">
        <v>6650</v>
      </c>
      <c r="J6489" s="24">
        <v>0.0</v>
      </c>
    </row>
    <row r="6490">
      <c r="A6490" s="24">
        <v>518.0</v>
      </c>
      <c r="B6490" s="24">
        <v>0.0</v>
      </c>
      <c r="C6490" s="44">
        <v>34.18</v>
      </c>
      <c r="D6490" s="46">
        <v>45551.0</v>
      </c>
      <c r="E6490" s="24" t="s">
        <v>6650</v>
      </c>
      <c r="F6490" s="24">
        <v>65.98</v>
      </c>
      <c r="G6490" s="24">
        <v>0.0</v>
      </c>
      <c r="H6490" s="24" t="s">
        <v>6715</v>
      </c>
      <c r="I6490" s="24" t="s">
        <v>6650</v>
      </c>
      <c r="J6490" s="24">
        <v>0.0</v>
      </c>
    </row>
    <row r="6491">
      <c r="A6491" s="24">
        <v>477.0</v>
      </c>
      <c r="B6491" s="24">
        <v>5.0</v>
      </c>
      <c r="C6491" s="44">
        <v>21.67</v>
      </c>
      <c r="D6491" s="46">
        <v>45551.0</v>
      </c>
      <c r="E6491" s="24">
        <v>4.33</v>
      </c>
      <c r="F6491" s="24">
        <v>45.43</v>
      </c>
      <c r="G6491" s="24">
        <v>1.05</v>
      </c>
      <c r="H6491" s="24" t="s">
        <v>6714</v>
      </c>
      <c r="I6491" s="24" t="s">
        <v>6650</v>
      </c>
      <c r="J6491" s="24">
        <v>0.0</v>
      </c>
    </row>
    <row r="6492">
      <c r="A6492" s="24">
        <v>348.0</v>
      </c>
      <c r="B6492" s="24">
        <v>1.0</v>
      </c>
      <c r="C6492" s="44">
        <v>42.29</v>
      </c>
      <c r="D6492" s="46">
        <v>45551.0</v>
      </c>
      <c r="E6492" s="24">
        <v>42.29</v>
      </c>
      <c r="F6492" s="24">
        <v>121.52</v>
      </c>
      <c r="G6492" s="24">
        <v>0.29</v>
      </c>
      <c r="H6492" s="24" t="s">
        <v>6716</v>
      </c>
      <c r="I6492" s="24" t="s">
        <v>6650</v>
      </c>
      <c r="J6492" s="24">
        <v>0.0</v>
      </c>
    </row>
    <row r="6493">
      <c r="A6493" s="24">
        <v>267.0</v>
      </c>
      <c r="B6493" s="24">
        <v>2.0</v>
      </c>
      <c r="C6493" s="44">
        <v>26.12</v>
      </c>
      <c r="D6493" s="46">
        <v>45552.0</v>
      </c>
      <c r="E6493" s="24">
        <v>13.06</v>
      </c>
      <c r="F6493" s="24">
        <v>97.83</v>
      </c>
      <c r="G6493" s="24">
        <v>0.75</v>
      </c>
      <c r="H6493" s="24" t="s">
        <v>6714</v>
      </c>
      <c r="I6493" s="24" t="s">
        <v>6650</v>
      </c>
      <c r="J6493" s="24">
        <v>0.0</v>
      </c>
    </row>
    <row r="6494">
      <c r="A6494" s="24">
        <v>677.0</v>
      </c>
      <c r="B6494" s="24">
        <v>1.0</v>
      </c>
      <c r="C6494" s="44">
        <v>39.31</v>
      </c>
      <c r="D6494" s="46">
        <v>45552.0</v>
      </c>
      <c r="E6494" s="24">
        <v>39.31</v>
      </c>
      <c r="F6494" s="24">
        <v>58.06</v>
      </c>
      <c r="G6494" s="24">
        <v>0.15</v>
      </c>
      <c r="H6494" s="24" t="s">
        <v>6715</v>
      </c>
      <c r="I6494" s="24" t="s">
        <v>6650</v>
      </c>
      <c r="J6494" s="24">
        <v>0.0</v>
      </c>
    </row>
    <row r="6495">
      <c r="A6495" s="24">
        <v>1784.0</v>
      </c>
      <c r="B6495" s="24">
        <v>12.0</v>
      </c>
      <c r="C6495" s="44">
        <v>17.7</v>
      </c>
      <c r="D6495" s="46">
        <v>45552.0</v>
      </c>
      <c r="E6495" s="24">
        <v>1.48</v>
      </c>
      <c r="F6495" s="24">
        <v>9.92</v>
      </c>
      <c r="G6495" s="24">
        <v>0.67</v>
      </c>
      <c r="H6495" s="24" t="s">
        <v>6717</v>
      </c>
      <c r="I6495" s="24">
        <v>8.85</v>
      </c>
      <c r="J6495" s="24">
        <v>0.0</v>
      </c>
    </row>
    <row r="6496">
      <c r="A6496" s="24">
        <v>1047.0</v>
      </c>
      <c r="B6496" s="24">
        <v>2.0</v>
      </c>
      <c r="C6496" s="44">
        <v>48.35</v>
      </c>
      <c r="D6496" s="46">
        <v>45552.0</v>
      </c>
      <c r="E6496" s="24">
        <v>24.18</v>
      </c>
      <c r="F6496" s="24">
        <v>46.18</v>
      </c>
      <c r="G6496" s="24">
        <v>0.19</v>
      </c>
      <c r="H6496" s="24" t="s">
        <v>6716</v>
      </c>
      <c r="I6496" s="24" t="s">
        <v>6650</v>
      </c>
      <c r="J6496" s="24">
        <v>0.0</v>
      </c>
    </row>
    <row r="6497">
      <c r="A6497" s="24">
        <v>721.0</v>
      </c>
      <c r="B6497" s="24">
        <v>4.0</v>
      </c>
      <c r="C6497" s="44">
        <v>38.62</v>
      </c>
      <c r="D6497" s="46">
        <v>45553.0</v>
      </c>
      <c r="E6497" s="24">
        <v>9.65</v>
      </c>
      <c r="F6497" s="24">
        <v>53.56</v>
      </c>
      <c r="G6497" s="24">
        <v>0.55</v>
      </c>
      <c r="H6497" s="24" t="s">
        <v>6715</v>
      </c>
      <c r="I6497" s="24" t="s">
        <v>6650</v>
      </c>
      <c r="J6497" s="24">
        <v>0.0</v>
      </c>
    </row>
    <row r="6498">
      <c r="A6498" s="24">
        <v>224.0</v>
      </c>
      <c r="B6498" s="24">
        <v>1.0</v>
      </c>
      <c r="C6498" s="44">
        <v>24.4</v>
      </c>
      <c r="D6498" s="46">
        <v>45553.0</v>
      </c>
      <c r="E6498" s="24">
        <v>24.4</v>
      </c>
      <c r="F6498" s="24">
        <v>108.93</v>
      </c>
      <c r="G6498" s="24">
        <v>0.45</v>
      </c>
      <c r="H6498" s="24" t="s">
        <v>6714</v>
      </c>
      <c r="I6498" s="24" t="s">
        <v>6650</v>
      </c>
      <c r="J6498" s="24">
        <v>0.0</v>
      </c>
    </row>
    <row r="6499">
      <c r="A6499" s="24">
        <v>727.0</v>
      </c>
      <c r="B6499" s="24">
        <v>2.0</v>
      </c>
      <c r="C6499" s="44">
        <v>49.01</v>
      </c>
      <c r="D6499" s="46">
        <v>45553.0</v>
      </c>
      <c r="E6499" s="24">
        <v>24.5</v>
      </c>
      <c r="F6499" s="24">
        <v>67.41</v>
      </c>
      <c r="G6499" s="24">
        <v>0.28</v>
      </c>
      <c r="H6499" s="24" t="s">
        <v>6716</v>
      </c>
      <c r="I6499" s="24" t="s">
        <v>6650</v>
      </c>
      <c r="J6499" s="24">
        <v>0.0</v>
      </c>
    </row>
    <row r="6500">
      <c r="A6500" s="24">
        <v>2080.0</v>
      </c>
      <c r="B6500" s="24">
        <v>16.0</v>
      </c>
      <c r="C6500" s="44">
        <v>17.86</v>
      </c>
      <c r="D6500" s="46">
        <v>45553.0</v>
      </c>
      <c r="E6500" s="24">
        <v>1.12</v>
      </c>
      <c r="F6500" s="24">
        <v>8.59</v>
      </c>
      <c r="G6500" s="24">
        <v>0.77</v>
      </c>
      <c r="H6500" s="24" t="s">
        <v>6717</v>
      </c>
      <c r="I6500" s="24">
        <v>17.86</v>
      </c>
      <c r="J6500" s="24">
        <v>0.0</v>
      </c>
    </row>
    <row r="6501">
      <c r="A6501" s="24">
        <v>450.0</v>
      </c>
      <c r="B6501" s="24">
        <v>5.0</v>
      </c>
      <c r="C6501" s="44">
        <v>23.09</v>
      </c>
      <c r="D6501" s="46">
        <v>45554.0</v>
      </c>
      <c r="E6501" s="24">
        <v>4.62</v>
      </c>
      <c r="F6501" s="24">
        <v>51.31</v>
      </c>
      <c r="G6501" s="24">
        <v>1.11</v>
      </c>
      <c r="H6501" s="24" t="s">
        <v>6714</v>
      </c>
      <c r="I6501" s="24" t="s">
        <v>6650</v>
      </c>
      <c r="J6501" s="24">
        <v>0.0</v>
      </c>
    </row>
    <row r="6502">
      <c r="A6502" s="24">
        <v>931.0</v>
      </c>
      <c r="B6502" s="24">
        <v>1.0</v>
      </c>
      <c r="C6502" s="44">
        <v>49.7</v>
      </c>
      <c r="D6502" s="46">
        <v>45554.0</v>
      </c>
      <c r="E6502" s="24">
        <v>49.7</v>
      </c>
      <c r="F6502" s="24">
        <v>53.38</v>
      </c>
      <c r="G6502" s="24">
        <v>0.11</v>
      </c>
      <c r="H6502" s="24" t="s">
        <v>6716</v>
      </c>
      <c r="I6502" s="24">
        <v>24.85</v>
      </c>
      <c r="J6502" s="24">
        <v>0.0</v>
      </c>
    </row>
    <row r="6503">
      <c r="A6503" s="24">
        <v>1939.0</v>
      </c>
      <c r="B6503" s="24">
        <v>13.0</v>
      </c>
      <c r="C6503" s="44">
        <v>18.1</v>
      </c>
      <c r="D6503" s="46">
        <v>45554.0</v>
      </c>
      <c r="E6503" s="24">
        <v>1.39</v>
      </c>
      <c r="F6503" s="24">
        <v>9.33</v>
      </c>
      <c r="G6503" s="24">
        <v>0.67</v>
      </c>
      <c r="H6503" s="24" t="s">
        <v>6717</v>
      </c>
      <c r="I6503" s="24" t="s">
        <v>6650</v>
      </c>
      <c r="J6503" s="24">
        <v>0.0</v>
      </c>
    </row>
    <row r="6504">
      <c r="A6504" s="24">
        <v>445.0</v>
      </c>
      <c r="B6504" s="24">
        <v>2.0</v>
      </c>
      <c r="C6504" s="44">
        <v>40.73</v>
      </c>
      <c r="D6504" s="46">
        <v>45554.0</v>
      </c>
      <c r="E6504" s="24">
        <v>20.36</v>
      </c>
      <c r="F6504" s="24">
        <v>91.53</v>
      </c>
      <c r="G6504" s="24">
        <v>0.45</v>
      </c>
      <c r="H6504" s="24" t="s">
        <v>6715</v>
      </c>
      <c r="I6504" s="24">
        <v>40.73</v>
      </c>
      <c r="J6504" s="24">
        <v>0.0</v>
      </c>
    </row>
    <row r="6505">
      <c r="A6505" s="24">
        <v>821.0</v>
      </c>
      <c r="B6505" s="24">
        <v>1.0</v>
      </c>
      <c r="C6505" s="44">
        <v>44.66</v>
      </c>
      <c r="D6505" s="46">
        <v>45555.0</v>
      </c>
      <c r="E6505" s="24">
        <v>44.66</v>
      </c>
      <c r="F6505" s="24">
        <v>54.4</v>
      </c>
      <c r="G6505" s="24">
        <v>0.12</v>
      </c>
      <c r="H6505" s="24" t="s">
        <v>6716</v>
      </c>
      <c r="I6505" s="24" t="s">
        <v>6650</v>
      </c>
      <c r="J6505" s="24">
        <v>0.0</v>
      </c>
    </row>
    <row r="6506">
      <c r="A6506" s="24">
        <v>1711.0</v>
      </c>
      <c r="B6506" s="24">
        <v>6.0</v>
      </c>
      <c r="C6506" s="44">
        <v>16.3</v>
      </c>
      <c r="D6506" s="46">
        <v>45555.0</v>
      </c>
      <c r="E6506" s="24">
        <v>2.72</v>
      </c>
      <c r="F6506" s="24">
        <v>9.53</v>
      </c>
      <c r="G6506" s="24">
        <v>0.35</v>
      </c>
      <c r="H6506" s="24" t="s">
        <v>6717</v>
      </c>
      <c r="I6506" s="24" t="s">
        <v>6650</v>
      </c>
      <c r="J6506" s="24">
        <v>0.0</v>
      </c>
    </row>
    <row r="6507">
      <c r="A6507" s="24">
        <v>453.0</v>
      </c>
      <c r="B6507" s="24">
        <v>2.0</v>
      </c>
      <c r="C6507" s="44">
        <v>34.88</v>
      </c>
      <c r="D6507" s="46">
        <v>45555.0</v>
      </c>
      <c r="E6507" s="24">
        <v>17.44</v>
      </c>
      <c r="F6507" s="24">
        <v>77.0</v>
      </c>
      <c r="G6507" s="24">
        <v>0.44</v>
      </c>
      <c r="H6507" s="24" t="s">
        <v>6715</v>
      </c>
      <c r="I6507" s="24" t="s">
        <v>6650</v>
      </c>
      <c r="J6507" s="24">
        <v>0.0</v>
      </c>
    </row>
    <row r="6508">
      <c r="A6508" s="24">
        <v>356.0</v>
      </c>
      <c r="B6508" s="24">
        <v>1.0</v>
      </c>
      <c r="C6508" s="44">
        <v>20.25</v>
      </c>
      <c r="D6508" s="46">
        <v>45555.0</v>
      </c>
      <c r="E6508" s="24">
        <v>20.25</v>
      </c>
      <c r="F6508" s="24">
        <v>56.88</v>
      </c>
      <c r="G6508" s="24">
        <v>0.28</v>
      </c>
      <c r="H6508" s="24" t="s">
        <v>6714</v>
      </c>
      <c r="I6508" s="24">
        <v>20.25</v>
      </c>
      <c r="J6508" s="24">
        <v>0.0</v>
      </c>
    </row>
    <row r="6509">
      <c r="A6509" s="24">
        <v>1164.0</v>
      </c>
      <c r="B6509" s="24">
        <v>6.0</v>
      </c>
      <c r="C6509" s="44">
        <v>9.78</v>
      </c>
      <c r="D6509" s="46">
        <v>45556.0</v>
      </c>
      <c r="E6509" s="24">
        <v>1.63</v>
      </c>
      <c r="F6509" s="24">
        <v>8.4</v>
      </c>
      <c r="G6509" s="24">
        <v>0.52</v>
      </c>
      <c r="H6509" s="24" t="s">
        <v>6717</v>
      </c>
      <c r="I6509" s="24">
        <v>9.78</v>
      </c>
      <c r="J6509" s="24">
        <v>0.0</v>
      </c>
    </row>
    <row r="6510">
      <c r="A6510" s="24">
        <v>335.0</v>
      </c>
      <c r="B6510" s="24">
        <v>5.0</v>
      </c>
      <c r="C6510" s="44">
        <v>25.67</v>
      </c>
      <c r="D6510" s="46">
        <v>45556.0</v>
      </c>
      <c r="E6510" s="24">
        <v>5.13</v>
      </c>
      <c r="F6510" s="24">
        <v>76.63</v>
      </c>
      <c r="G6510" s="24">
        <v>1.49</v>
      </c>
      <c r="H6510" s="24" t="s">
        <v>6716</v>
      </c>
      <c r="I6510" s="24" t="s">
        <v>6650</v>
      </c>
      <c r="J6510" s="24">
        <v>0.0</v>
      </c>
    </row>
    <row r="6511">
      <c r="A6511" s="24">
        <v>201.0</v>
      </c>
      <c r="B6511" s="24">
        <v>0.0</v>
      </c>
      <c r="C6511" s="44">
        <v>19.5</v>
      </c>
      <c r="D6511" s="46">
        <v>45556.0</v>
      </c>
      <c r="E6511" s="24" t="s">
        <v>6650</v>
      </c>
      <c r="F6511" s="24">
        <v>97.01</v>
      </c>
      <c r="G6511" s="24">
        <v>0.0</v>
      </c>
      <c r="H6511" s="24" t="s">
        <v>6715</v>
      </c>
      <c r="I6511" s="24" t="s">
        <v>6650</v>
      </c>
      <c r="J6511" s="24">
        <v>0.0</v>
      </c>
    </row>
    <row r="6512">
      <c r="A6512" s="24">
        <v>234.0</v>
      </c>
      <c r="B6512" s="24">
        <v>1.0</v>
      </c>
      <c r="C6512" s="44">
        <v>12.98</v>
      </c>
      <c r="D6512" s="46">
        <v>45556.0</v>
      </c>
      <c r="E6512" s="24">
        <v>12.98</v>
      </c>
      <c r="F6512" s="24">
        <v>55.47</v>
      </c>
      <c r="G6512" s="24">
        <v>0.43</v>
      </c>
      <c r="H6512" s="24" t="s">
        <v>6714</v>
      </c>
      <c r="I6512" s="24">
        <v>12.98</v>
      </c>
      <c r="J6512" s="24">
        <v>0.0</v>
      </c>
    </row>
    <row r="6513">
      <c r="A6513" s="24">
        <v>113.0</v>
      </c>
      <c r="B6513" s="24">
        <v>3.0</v>
      </c>
      <c r="C6513" s="44">
        <v>11.49</v>
      </c>
      <c r="D6513" s="46">
        <v>45557.0</v>
      </c>
      <c r="E6513" s="24">
        <v>3.83</v>
      </c>
      <c r="F6513" s="24">
        <v>101.68</v>
      </c>
      <c r="G6513" s="24">
        <v>2.65</v>
      </c>
      <c r="H6513" s="24" t="s">
        <v>6714</v>
      </c>
      <c r="I6513" s="24">
        <v>11.49</v>
      </c>
      <c r="J6513" s="24">
        <v>0.0</v>
      </c>
    </row>
    <row r="6514">
      <c r="A6514" s="24">
        <v>127.0</v>
      </c>
      <c r="B6514" s="24">
        <v>0.0</v>
      </c>
      <c r="C6514" s="44">
        <v>16.78</v>
      </c>
      <c r="D6514" s="46">
        <v>45557.0</v>
      </c>
      <c r="E6514" s="24" t="s">
        <v>6650</v>
      </c>
      <c r="F6514" s="24">
        <v>132.13</v>
      </c>
      <c r="G6514" s="24">
        <v>0.0</v>
      </c>
      <c r="H6514" s="24" t="s">
        <v>6715</v>
      </c>
      <c r="I6514" s="24" t="s">
        <v>6650</v>
      </c>
      <c r="J6514" s="24">
        <v>0.0</v>
      </c>
    </row>
    <row r="6515">
      <c r="A6515" s="24">
        <v>136.0</v>
      </c>
      <c r="B6515" s="24">
        <v>0.0</v>
      </c>
      <c r="C6515" s="44">
        <v>23.13</v>
      </c>
      <c r="D6515" s="46">
        <v>45557.0</v>
      </c>
      <c r="E6515" s="24" t="s">
        <v>6650</v>
      </c>
      <c r="F6515" s="24">
        <v>170.07</v>
      </c>
      <c r="G6515" s="24">
        <v>0.0</v>
      </c>
      <c r="H6515" s="24" t="s">
        <v>6716</v>
      </c>
      <c r="I6515" s="24" t="s">
        <v>6650</v>
      </c>
      <c r="J6515" s="24">
        <v>0.0</v>
      </c>
    </row>
    <row r="6516">
      <c r="A6516" s="24">
        <v>1236.0</v>
      </c>
      <c r="B6516" s="24">
        <v>7.0</v>
      </c>
      <c r="C6516" s="44">
        <v>9.0</v>
      </c>
      <c r="D6516" s="46">
        <v>45557.0</v>
      </c>
      <c r="E6516" s="24">
        <v>1.29</v>
      </c>
      <c r="F6516" s="24">
        <v>7.28</v>
      </c>
      <c r="G6516" s="24">
        <v>0.57</v>
      </c>
      <c r="H6516" s="24" t="s">
        <v>6717</v>
      </c>
      <c r="I6516" s="24">
        <v>4.5</v>
      </c>
      <c r="J6516" s="24">
        <v>0.0</v>
      </c>
    </row>
    <row r="6517">
      <c r="A6517" s="24">
        <v>447.0</v>
      </c>
      <c r="B6517" s="24">
        <v>4.0</v>
      </c>
      <c r="C6517" s="44">
        <v>22.49</v>
      </c>
      <c r="D6517" s="46">
        <v>45558.0</v>
      </c>
      <c r="E6517" s="24">
        <v>5.62</v>
      </c>
      <c r="F6517" s="24">
        <v>50.31</v>
      </c>
      <c r="G6517" s="24">
        <v>0.89</v>
      </c>
      <c r="H6517" s="24" t="s">
        <v>6714</v>
      </c>
      <c r="I6517" s="24">
        <v>11.24</v>
      </c>
      <c r="J6517" s="24">
        <v>0.0</v>
      </c>
    </row>
    <row r="6518">
      <c r="A6518" s="24">
        <v>2141.0</v>
      </c>
      <c r="B6518" s="24">
        <v>12.0</v>
      </c>
      <c r="C6518" s="44">
        <v>16.45</v>
      </c>
      <c r="D6518" s="46">
        <v>45558.0</v>
      </c>
      <c r="E6518" s="24">
        <v>1.37</v>
      </c>
      <c r="F6518" s="24">
        <v>7.68</v>
      </c>
      <c r="G6518" s="24">
        <v>0.56</v>
      </c>
      <c r="H6518" s="24" t="s">
        <v>6717</v>
      </c>
      <c r="I6518" s="24">
        <v>16.45</v>
      </c>
      <c r="J6518" s="24">
        <v>0.0</v>
      </c>
    </row>
    <row r="6519">
      <c r="A6519" s="24">
        <v>690.0</v>
      </c>
      <c r="B6519" s="24">
        <v>4.0</v>
      </c>
      <c r="C6519" s="44">
        <v>43.0</v>
      </c>
      <c r="D6519" s="46">
        <v>45558.0</v>
      </c>
      <c r="E6519" s="24">
        <v>10.75</v>
      </c>
      <c r="F6519" s="24">
        <v>62.32</v>
      </c>
      <c r="G6519" s="24">
        <v>0.58</v>
      </c>
      <c r="H6519" s="24" t="s">
        <v>6716</v>
      </c>
      <c r="I6519" s="24" t="s">
        <v>6650</v>
      </c>
      <c r="J6519" s="24">
        <v>0.0</v>
      </c>
    </row>
    <row r="6520">
      <c r="A6520" s="24">
        <v>398.0</v>
      </c>
      <c r="B6520" s="24">
        <v>2.0</v>
      </c>
      <c r="C6520" s="44">
        <v>35.05</v>
      </c>
      <c r="D6520" s="46">
        <v>45558.0</v>
      </c>
      <c r="E6520" s="24">
        <v>17.52</v>
      </c>
      <c r="F6520" s="24">
        <v>88.07</v>
      </c>
      <c r="G6520" s="24">
        <v>0.5</v>
      </c>
      <c r="H6520" s="24" t="s">
        <v>6715</v>
      </c>
      <c r="I6520" s="24" t="s">
        <v>6650</v>
      </c>
      <c r="J6520" s="24">
        <v>0.0</v>
      </c>
    </row>
    <row r="6521">
      <c r="A6521" s="24">
        <v>590.0</v>
      </c>
      <c r="B6521" s="24">
        <v>8.0</v>
      </c>
      <c r="C6521" s="44">
        <v>24.44</v>
      </c>
      <c r="D6521" s="46">
        <v>45559.0</v>
      </c>
      <c r="E6521" s="24">
        <v>3.06</v>
      </c>
      <c r="F6521" s="24">
        <v>41.42</v>
      </c>
      <c r="G6521" s="24">
        <v>1.36</v>
      </c>
      <c r="H6521" s="24" t="s">
        <v>6714</v>
      </c>
      <c r="I6521" s="24">
        <v>12.22</v>
      </c>
      <c r="J6521" s="24">
        <v>0.0</v>
      </c>
    </row>
    <row r="6522">
      <c r="A6522" s="24">
        <v>729.0</v>
      </c>
      <c r="B6522" s="24">
        <v>6.0</v>
      </c>
      <c r="C6522" s="44">
        <v>38.06</v>
      </c>
      <c r="D6522" s="46">
        <v>45559.0</v>
      </c>
      <c r="E6522" s="24">
        <v>6.34</v>
      </c>
      <c r="F6522" s="24">
        <v>52.21</v>
      </c>
      <c r="G6522" s="24">
        <v>0.82</v>
      </c>
      <c r="H6522" s="24" t="s">
        <v>6715</v>
      </c>
      <c r="I6522" s="24" t="s">
        <v>6650</v>
      </c>
      <c r="J6522" s="24">
        <v>0.0</v>
      </c>
    </row>
    <row r="6523">
      <c r="A6523" s="24">
        <v>562.0</v>
      </c>
      <c r="B6523" s="24">
        <v>2.0</v>
      </c>
      <c r="C6523" s="44">
        <v>47.26</v>
      </c>
      <c r="D6523" s="46">
        <v>45559.0</v>
      </c>
      <c r="E6523" s="24">
        <v>23.63</v>
      </c>
      <c r="F6523" s="24">
        <v>84.09</v>
      </c>
      <c r="G6523" s="24">
        <v>0.36</v>
      </c>
      <c r="H6523" s="24" t="s">
        <v>6716</v>
      </c>
      <c r="I6523" s="24" t="s">
        <v>6650</v>
      </c>
      <c r="J6523" s="24">
        <v>0.0</v>
      </c>
    </row>
    <row r="6524">
      <c r="A6524" s="24">
        <v>2583.0</v>
      </c>
      <c r="B6524" s="24">
        <v>14.0</v>
      </c>
      <c r="C6524" s="44">
        <v>17.79</v>
      </c>
      <c r="D6524" s="46">
        <v>45559.0</v>
      </c>
      <c r="E6524" s="24">
        <v>1.27</v>
      </c>
      <c r="F6524" s="24">
        <v>6.89</v>
      </c>
      <c r="G6524" s="24">
        <v>0.54</v>
      </c>
      <c r="H6524" s="24" t="s">
        <v>6717</v>
      </c>
      <c r="I6524" s="24" t="s">
        <v>6650</v>
      </c>
      <c r="J6524" s="24">
        <v>0.0</v>
      </c>
    </row>
    <row r="6525">
      <c r="A6525" s="24">
        <v>2051.0</v>
      </c>
      <c r="B6525" s="24">
        <v>9.0</v>
      </c>
      <c r="C6525" s="44">
        <v>17.8</v>
      </c>
      <c r="D6525" s="46">
        <v>45560.0</v>
      </c>
      <c r="E6525" s="24">
        <v>1.98</v>
      </c>
      <c r="F6525" s="24">
        <v>8.68</v>
      </c>
      <c r="G6525" s="24">
        <v>0.44</v>
      </c>
      <c r="H6525" s="24" t="s">
        <v>6717</v>
      </c>
      <c r="I6525" s="24" t="s">
        <v>6650</v>
      </c>
      <c r="J6525" s="24">
        <v>0.0</v>
      </c>
    </row>
    <row r="6526">
      <c r="A6526" s="24">
        <v>878.0</v>
      </c>
      <c r="B6526" s="24">
        <v>4.0</v>
      </c>
      <c r="C6526" s="44">
        <v>38.66</v>
      </c>
      <c r="D6526" s="46">
        <v>45560.0</v>
      </c>
      <c r="E6526" s="24">
        <v>9.66</v>
      </c>
      <c r="F6526" s="24">
        <v>44.03</v>
      </c>
      <c r="G6526" s="24">
        <v>0.46</v>
      </c>
      <c r="H6526" s="24" t="s">
        <v>6715</v>
      </c>
      <c r="I6526" s="24" t="s">
        <v>6650</v>
      </c>
      <c r="J6526" s="24">
        <v>0.0</v>
      </c>
    </row>
    <row r="6527">
      <c r="A6527" s="24">
        <v>636.0</v>
      </c>
      <c r="B6527" s="24">
        <v>1.0</v>
      </c>
      <c r="C6527" s="44">
        <v>23.28</v>
      </c>
      <c r="D6527" s="46">
        <v>45560.0</v>
      </c>
      <c r="E6527" s="24">
        <v>23.28</v>
      </c>
      <c r="F6527" s="24">
        <v>36.6</v>
      </c>
      <c r="G6527" s="24">
        <v>0.16</v>
      </c>
      <c r="H6527" s="24" t="s">
        <v>6714</v>
      </c>
      <c r="I6527" s="24" t="s">
        <v>6650</v>
      </c>
      <c r="J6527" s="24">
        <v>0.0</v>
      </c>
    </row>
    <row r="6528">
      <c r="A6528" s="24">
        <v>441.0</v>
      </c>
      <c r="B6528" s="24">
        <v>1.0</v>
      </c>
      <c r="C6528" s="44">
        <v>48.92</v>
      </c>
      <c r="D6528" s="46">
        <v>45560.0</v>
      </c>
      <c r="E6528" s="24">
        <v>48.92</v>
      </c>
      <c r="F6528" s="24">
        <v>110.93</v>
      </c>
      <c r="G6528" s="24">
        <v>0.23</v>
      </c>
      <c r="H6528" s="24" t="s">
        <v>6716</v>
      </c>
      <c r="I6528" s="24" t="s">
        <v>6650</v>
      </c>
      <c r="J6528" s="24">
        <v>0.0</v>
      </c>
    </row>
    <row r="6529">
      <c r="A6529" s="24">
        <v>563.0</v>
      </c>
      <c r="B6529" s="24">
        <v>4.0</v>
      </c>
      <c r="C6529" s="44">
        <v>23.26</v>
      </c>
      <c r="D6529" s="46">
        <v>45561.0</v>
      </c>
      <c r="E6529" s="24">
        <v>5.82</v>
      </c>
      <c r="F6529" s="24">
        <v>41.31</v>
      </c>
      <c r="G6529" s="24">
        <v>0.71</v>
      </c>
      <c r="H6529" s="24" t="s">
        <v>6714</v>
      </c>
      <c r="I6529" s="24">
        <v>11.63</v>
      </c>
      <c r="J6529" s="24">
        <v>0.0</v>
      </c>
    </row>
    <row r="6530">
      <c r="A6530" s="24">
        <v>1288.0</v>
      </c>
      <c r="B6530" s="24">
        <v>4.0</v>
      </c>
      <c r="C6530" s="44">
        <v>58.39</v>
      </c>
      <c r="D6530" s="46">
        <v>45561.0</v>
      </c>
      <c r="E6530" s="24">
        <v>14.6</v>
      </c>
      <c r="F6530" s="24">
        <v>45.33</v>
      </c>
      <c r="G6530" s="24">
        <v>0.31</v>
      </c>
      <c r="H6530" s="24" t="s">
        <v>6716</v>
      </c>
      <c r="I6530" s="24" t="s">
        <v>6650</v>
      </c>
      <c r="J6530" s="24">
        <v>0.0</v>
      </c>
    </row>
    <row r="6531">
      <c r="A6531" s="24">
        <v>683.0</v>
      </c>
      <c r="B6531" s="24">
        <v>3.0</v>
      </c>
      <c r="C6531" s="44">
        <v>39.86</v>
      </c>
      <c r="D6531" s="46">
        <v>45561.0</v>
      </c>
      <c r="E6531" s="24">
        <v>13.29</v>
      </c>
      <c r="F6531" s="24">
        <v>58.36</v>
      </c>
      <c r="G6531" s="24">
        <v>0.44</v>
      </c>
      <c r="H6531" s="24" t="s">
        <v>6715</v>
      </c>
      <c r="I6531" s="24" t="s">
        <v>6650</v>
      </c>
      <c r="J6531" s="24">
        <v>0.0</v>
      </c>
    </row>
    <row r="6532">
      <c r="A6532" s="24">
        <v>2027.0</v>
      </c>
      <c r="B6532" s="24">
        <v>8.0</v>
      </c>
      <c r="C6532" s="44">
        <v>17.76</v>
      </c>
      <c r="D6532" s="46">
        <v>45561.0</v>
      </c>
      <c r="E6532" s="24">
        <v>2.22</v>
      </c>
      <c r="F6532" s="24">
        <v>8.76</v>
      </c>
      <c r="G6532" s="24">
        <v>0.39</v>
      </c>
      <c r="H6532" s="24" t="s">
        <v>6717</v>
      </c>
      <c r="I6532" s="24" t="s">
        <v>6650</v>
      </c>
      <c r="J6532" s="24">
        <v>0.0</v>
      </c>
    </row>
    <row r="6533">
      <c r="A6533" s="24">
        <v>737.0</v>
      </c>
      <c r="B6533" s="24">
        <v>4.0</v>
      </c>
      <c r="C6533" s="44">
        <v>57.79</v>
      </c>
      <c r="D6533" s="46">
        <v>45562.0</v>
      </c>
      <c r="E6533" s="24">
        <v>14.45</v>
      </c>
      <c r="F6533" s="24">
        <v>78.41</v>
      </c>
      <c r="G6533" s="24">
        <v>0.54</v>
      </c>
      <c r="H6533" s="24" t="s">
        <v>6716</v>
      </c>
      <c r="I6533" s="24" t="s">
        <v>6650</v>
      </c>
      <c r="J6533" s="24">
        <v>0.0</v>
      </c>
    </row>
    <row r="6534">
      <c r="A6534" s="24">
        <v>364.0</v>
      </c>
      <c r="B6534" s="24">
        <v>1.0</v>
      </c>
      <c r="C6534" s="44">
        <v>35.33</v>
      </c>
      <c r="D6534" s="46">
        <v>45562.0</v>
      </c>
      <c r="E6534" s="24">
        <v>35.33</v>
      </c>
      <c r="F6534" s="24">
        <v>97.06</v>
      </c>
      <c r="G6534" s="24">
        <v>0.27</v>
      </c>
      <c r="H6534" s="24" t="s">
        <v>6715</v>
      </c>
      <c r="I6534" s="24" t="s">
        <v>6650</v>
      </c>
      <c r="J6534" s="24">
        <v>0.0</v>
      </c>
    </row>
    <row r="6535">
      <c r="A6535" s="24">
        <v>1693.0</v>
      </c>
      <c r="B6535" s="24">
        <v>13.0</v>
      </c>
      <c r="C6535" s="44">
        <v>16.26</v>
      </c>
      <c r="D6535" s="46">
        <v>45562.0</v>
      </c>
      <c r="E6535" s="24">
        <v>1.25</v>
      </c>
      <c r="F6535" s="24">
        <v>9.6</v>
      </c>
      <c r="G6535" s="24">
        <v>0.77</v>
      </c>
      <c r="H6535" s="24" t="s">
        <v>6717</v>
      </c>
      <c r="I6535" s="24">
        <v>16.26</v>
      </c>
      <c r="J6535" s="24">
        <v>0.0</v>
      </c>
    </row>
    <row r="6536">
      <c r="A6536" s="24">
        <v>380.0</v>
      </c>
      <c r="B6536" s="24">
        <v>4.0</v>
      </c>
      <c r="C6536" s="44">
        <v>22.37</v>
      </c>
      <c r="D6536" s="46">
        <v>45562.0</v>
      </c>
      <c r="E6536" s="24">
        <v>5.59</v>
      </c>
      <c r="F6536" s="24">
        <v>58.87</v>
      </c>
      <c r="G6536" s="24">
        <v>1.05</v>
      </c>
      <c r="H6536" s="24" t="s">
        <v>6714</v>
      </c>
      <c r="I6536" s="24">
        <v>4.47</v>
      </c>
      <c r="J6536" s="24">
        <v>0.0</v>
      </c>
    </row>
    <row r="6537">
      <c r="A6537" s="24">
        <v>1155.0</v>
      </c>
      <c r="B6537" s="24">
        <v>7.0</v>
      </c>
      <c r="C6537" s="44">
        <v>9.81</v>
      </c>
      <c r="D6537" s="46">
        <v>45563.0</v>
      </c>
      <c r="E6537" s="24">
        <v>1.4</v>
      </c>
      <c r="F6537" s="24">
        <v>8.49</v>
      </c>
      <c r="G6537" s="24">
        <v>0.61</v>
      </c>
      <c r="H6537" s="24" t="s">
        <v>6717</v>
      </c>
      <c r="I6537" s="24" t="s">
        <v>6650</v>
      </c>
      <c r="J6537" s="24">
        <v>0.0</v>
      </c>
    </row>
    <row r="6538">
      <c r="A6538" s="24">
        <v>143.0</v>
      </c>
      <c r="B6538" s="24">
        <v>1.0</v>
      </c>
      <c r="C6538" s="44">
        <v>19.67</v>
      </c>
      <c r="D6538" s="46">
        <v>45563.0</v>
      </c>
      <c r="E6538" s="24">
        <v>19.67</v>
      </c>
      <c r="F6538" s="24">
        <v>137.55</v>
      </c>
      <c r="G6538" s="24">
        <v>0.7</v>
      </c>
      <c r="H6538" s="24" t="s">
        <v>6715</v>
      </c>
      <c r="I6538" s="24" t="s">
        <v>6650</v>
      </c>
      <c r="J6538" s="24">
        <v>0.0</v>
      </c>
    </row>
    <row r="6539">
      <c r="A6539" s="24">
        <v>236.0</v>
      </c>
      <c r="B6539" s="24">
        <v>1.0</v>
      </c>
      <c r="C6539" s="44">
        <v>12.37</v>
      </c>
      <c r="D6539" s="46">
        <v>45563.0</v>
      </c>
      <c r="E6539" s="24">
        <v>12.37</v>
      </c>
      <c r="F6539" s="24">
        <v>52.42</v>
      </c>
      <c r="G6539" s="24">
        <v>0.42</v>
      </c>
      <c r="H6539" s="24" t="s">
        <v>6714</v>
      </c>
      <c r="I6539" s="24" t="s">
        <v>6650</v>
      </c>
      <c r="J6539" s="24">
        <v>0.0</v>
      </c>
    </row>
    <row r="6540">
      <c r="A6540" s="24">
        <v>355.0</v>
      </c>
      <c r="B6540" s="24">
        <v>2.0</v>
      </c>
      <c r="C6540" s="44">
        <v>33.16</v>
      </c>
      <c r="D6540" s="46">
        <v>45563.0</v>
      </c>
      <c r="E6540" s="24">
        <v>16.58</v>
      </c>
      <c r="F6540" s="24">
        <v>93.41</v>
      </c>
      <c r="G6540" s="24">
        <v>0.56</v>
      </c>
      <c r="H6540" s="24" t="s">
        <v>6716</v>
      </c>
      <c r="I6540" s="24" t="s">
        <v>6650</v>
      </c>
      <c r="J6540" s="24">
        <v>0.0</v>
      </c>
    </row>
    <row r="6541">
      <c r="A6541" s="24">
        <v>76.0</v>
      </c>
      <c r="B6541" s="24">
        <v>0.0</v>
      </c>
      <c r="C6541" s="44">
        <v>11.71</v>
      </c>
      <c r="D6541" s="46">
        <v>45564.0</v>
      </c>
      <c r="E6541" s="24" t="s">
        <v>6650</v>
      </c>
      <c r="F6541" s="24">
        <v>154.08</v>
      </c>
      <c r="G6541" s="24">
        <v>0.0</v>
      </c>
      <c r="H6541" s="24" t="s">
        <v>6714</v>
      </c>
      <c r="I6541" s="24" t="s">
        <v>6650</v>
      </c>
      <c r="J6541" s="24">
        <v>0.0</v>
      </c>
    </row>
    <row r="6542">
      <c r="A6542" s="24">
        <v>174.0</v>
      </c>
      <c r="B6542" s="24">
        <v>0.0</v>
      </c>
      <c r="C6542" s="44">
        <v>29.22</v>
      </c>
      <c r="D6542" s="46">
        <v>45564.0</v>
      </c>
      <c r="E6542" s="24" t="s">
        <v>6650</v>
      </c>
      <c r="F6542" s="24">
        <v>167.93</v>
      </c>
      <c r="G6542" s="24">
        <v>0.0</v>
      </c>
      <c r="H6542" s="24" t="s">
        <v>6716</v>
      </c>
      <c r="I6542" s="24">
        <v>9.74</v>
      </c>
      <c r="J6542" s="24">
        <v>0.0</v>
      </c>
    </row>
    <row r="6543">
      <c r="A6543" s="24">
        <v>645.0</v>
      </c>
      <c r="B6543" s="24">
        <v>4.0</v>
      </c>
      <c r="C6543" s="44">
        <v>9.13</v>
      </c>
      <c r="D6543" s="46">
        <v>45564.0</v>
      </c>
      <c r="E6543" s="24">
        <v>2.28</v>
      </c>
      <c r="F6543" s="24">
        <v>14.16</v>
      </c>
      <c r="G6543" s="24">
        <v>0.62</v>
      </c>
      <c r="H6543" s="24" t="s">
        <v>6717</v>
      </c>
      <c r="I6543" s="24" t="s">
        <v>6650</v>
      </c>
      <c r="J6543" s="24">
        <v>0.0</v>
      </c>
    </row>
    <row r="6544">
      <c r="A6544" s="24">
        <v>110.0</v>
      </c>
      <c r="B6544" s="24">
        <v>1.0</v>
      </c>
      <c r="C6544" s="44">
        <v>17.37</v>
      </c>
      <c r="D6544" s="46">
        <v>45564.0</v>
      </c>
      <c r="E6544" s="24">
        <v>17.37</v>
      </c>
      <c r="F6544" s="24">
        <v>157.91</v>
      </c>
      <c r="G6544" s="24">
        <v>0.91</v>
      </c>
      <c r="H6544" s="24" t="s">
        <v>6715</v>
      </c>
      <c r="I6544" s="24">
        <v>5.79</v>
      </c>
      <c r="J6544" s="24">
        <v>0.0</v>
      </c>
    </row>
    <row r="6545">
      <c r="A6545" s="24">
        <v>478.0</v>
      </c>
      <c r="B6545" s="24">
        <v>1.0</v>
      </c>
      <c r="C6545" s="44">
        <v>18.62</v>
      </c>
      <c r="D6545" s="46">
        <v>45565.0</v>
      </c>
      <c r="E6545" s="24">
        <v>18.62</v>
      </c>
      <c r="F6545" s="24">
        <v>38.95</v>
      </c>
      <c r="G6545" s="24">
        <v>0.21</v>
      </c>
      <c r="H6545" s="24" t="s">
        <v>6718</v>
      </c>
      <c r="I6545" s="24" t="s">
        <v>6650</v>
      </c>
      <c r="J6545" s="24">
        <v>0.0</v>
      </c>
    </row>
    <row r="6546">
      <c r="A6546" s="24">
        <v>186.0</v>
      </c>
      <c r="B6546" s="24">
        <v>3.0</v>
      </c>
      <c r="C6546" s="44">
        <v>35.29</v>
      </c>
      <c r="D6546" s="46">
        <v>45565.0</v>
      </c>
      <c r="E6546" s="24">
        <v>11.76</v>
      </c>
      <c r="F6546" s="24">
        <v>189.73</v>
      </c>
      <c r="G6546" s="24">
        <v>1.61</v>
      </c>
      <c r="H6546" s="24" t="s">
        <v>6715</v>
      </c>
      <c r="I6546" s="24" t="s">
        <v>6650</v>
      </c>
      <c r="J6546" s="24">
        <v>0.0</v>
      </c>
    </row>
    <row r="6547">
      <c r="A6547" s="24">
        <v>1548.0</v>
      </c>
      <c r="B6547" s="24">
        <v>9.0</v>
      </c>
      <c r="C6547" s="44">
        <v>16.18</v>
      </c>
      <c r="D6547" s="46">
        <v>45565.0</v>
      </c>
      <c r="E6547" s="24">
        <v>1.8</v>
      </c>
      <c r="F6547" s="24">
        <v>10.45</v>
      </c>
      <c r="G6547" s="24">
        <v>0.58</v>
      </c>
      <c r="H6547" s="24" t="s">
        <v>6717</v>
      </c>
      <c r="I6547" s="24">
        <v>16.18</v>
      </c>
      <c r="J6547" s="24">
        <v>0.0</v>
      </c>
    </row>
    <row r="6548">
      <c r="A6548" s="24">
        <v>1349.0</v>
      </c>
      <c r="B6548" s="24">
        <v>4.0</v>
      </c>
      <c r="C6548" s="44">
        <v>42.41</v>
      </c>
      <c r="D6548" s="46">
        <v>45565.0</v>
      </c>
      <c r="E6548" s="24">
        <v>10.6</v>
      </c>
      <c r="F6548" s="24">
        <v>31.44</v>
      </c>
      <c r="G6548" s="24">
        <v>0.3</v>
      </c>
      <c r="H6548" s="24" t="s">
        <v>6716</v>
      </c>
      <c r="I6548" s="24" t="s">
        <v>6650</v>
      </c>
      <c r="J6548" s="24">
        <v>0.0</v>
      </c>
    </row>
    <row r="6549">
      <c r="A6549" s="24">
        <v>181.0</v>
      </c>
      <c r="B6549" s="24">
        <v>2.0</v>
      </c>
      <c r="C6549" s="44">
        <v>21.51</v>
      </c>
      <c r="D6549" s="46">
        <v>45565.0</v>
      </c>
      <c r="E6549" s="24">
        <v>10.76</v>
      </c>
      <c r="F6549" s="24">
        <v>118.84</v>
      </c>
      <c r="G6549" s="24">
        <v>1.1</v>
      </c>
      <c r="H6549" s="24" t="s">
        <v>6714</v>
      </c>
      <c r="I6549" s="24" t="s">
        <v>6650</v>
      </c>
      <c r="J6549" s="24">
        <v>0.0</v>
      </c>
    </row>
    <row r="6550">
      <c r="A6550" s="24">
        <v>887.0</v>
      </c>
      <c r="B6550" s="24">
        <v>5.0</v>
      </c>
      <c r="C6550" s="44">
        <v>47.36</v>
      </c>
      <c r="D6550" s="46">
        <v>45566.0</v>
      </c>
      <c r="E6550" s="24">
        <v>9.47</v>
      </c>
      <c r="F6550" s="24">
        <v>53.39</v>
      </c>
      <c r="G6550" s="24">
        <v>0.56</v>
      </c>
      <c r="H6550" s="24" t="s">
        <v>6716</v>
      </c>
      <c r="I6550" s="24">
        <v>23.68</v>
      </c>
      <c r="J6550" s="24">
        <v>0.0</v>
      </c>
    </row>
    <row r="6551">
      <c r="A6551" s="24">
        <v>148.0</v>
      </c>
      <c r="B6551" s="24">
        <v>0.0</v>
      </c>
      <c r="C6551" s="44">
        <v>22.77</v>
      </c>
      <c r="D6551" s="46">
        <v>45566.0</v>
      </c>
      <c r="E6551" s="24" t="s">
        <v>6650</v>
      </c>
      <c r="F6551" s="24">
        <v>153.85</v>
      </c>
      <c r="G6551" s="24">
        <v>0.0</v>
      </c>
      <c r="H6551" s="24" t="s">
        <v>6718</v>
      </c>
      <c r="I6551" s="24" t="s">
        <v>6650</v>
      </c>
      <c r="J6551" s="24">
        <v>0.0</v>
      </c>
    </row>
    <row r="6552">
      <c r="A6552" s="24">
        <v>828.0</v>
      </c>
      <c r="B6552" s="24">
        <v>8.0</v>
      </c>
      <c r="C6552" s="44">
        <v>24.43</v>
      </c>
      <c r="D6552" s="46">
        <v>45566.0</v>
      </c>
      <c r="E6552" s="24">
        <v>3.05</v>
      </c>
      <c r="F6552" s="24">
        <v>29.5</v>
      </c>
      <c r="G6552" s="24">
        <v>0.97</v>
      </c>
      <c r="H6552" s="24" t="s">
        <v>6714</v>
      </c>
      <c r="I6552" s="24">
        <v>24.43</v>
      </c>
      <c r="J6552" s="24">
        <v>0.0</v>
      </c>
    </row>
    <row r="6553">
      <c r="A6553" s="24">
        <v>1034.0</v>
      </c>
      <c r="B6553" s="24">
        <v>6.0</v>
      </c>
      <c r="C6553" s="44">
        <v>37.19</v>
      </c>
      <c r="D6553" s="46">
        <v>45566.0</v>
      </c>
      <c r="E6553" s="24">
        <v>6.2</v>
      </c>
      <c r="F6553" s="24">
        <v>35.97</v>
      </c>
      <c r="G6553" s="24">
        <v>0.58</v>
      </c>
      <c r="H6553" s="24" t="s">
        <v>6715</v>
      </c>
      <c r="I6553" s="24">
        <v>37.19</v>
      </c>
      <c r="J6553" s="24">
        <v>0.0</v>
      </c>
    </row>
    <row r="6554">
      <c r="A6554" s="24">
        <v>2871.0</v>
      </c>
      <c r="B6554" s="24">
        <v>15.0</v>
      </c>
      <c r="C6554" s="44">
        <v>17.56</v>
      </c>
      <c r="D6554" s="46">
        <v>45566.0</v>
      </c>
      <c r="E6554" s="24">
        <v>1.17</v>
      </c>
      <c r="F6554" s="24">
        <v>6.12</v>
      </c>
      <c r="G6554" s="24">
        <v>0.52</v>
      </c>
      <c r="H6554" s="24" t="s">
        <v>6717</v>
      </c>
      <c r="I6554" s="24" t="s">
        <v>6650</v>
      </c>
      <c r="J6554" s="24">
        <v>0.0</v>
      </c>
    </row>
    <row r="6555">
      <c r="A6555" s="24">
        <v>148.0</v>
      </c>
      <c r="B6555" s="24">
        <v>1.0</v>
      </c>
      <c r="C6555" s="44">
        <v>22.55</v>
      </c>
      <c r="D6555" s="46">
        <v>45567.0</v>
      </c>
      <c r="E6555" s="24">
        <v>22.55</v>
      </c>
      <c r="F6555" s="24">
        <v>152.36</v>
      </c>
      <c r="G6555" s="24">
        <v>0.68</v>
      </c>
      <c r="H6555" s="24" t="s">
        <v>6718</v>
      </c>
      <c r="I6555" s="24" t="s">
        <v>6650</v>
      </c>
      <c r="J6555" s="24">
        <v>0.0</v>
      </c>
    </row>
    <row r="6556">
      <c r="A6556" s="24">
        <v>708.0</v>
      </c>
      <c r="B6556" s="24">
        <v>2.0</v>
      </c>
      <c r="C6556" s="44">
        <v>49.08</v>
      </c>
      <c r="D6556" s="46">
        <v>45567.0</v>
      </c>
      <c r="E6556" s="24">
        <v>24.54</v>
      </c>
      <c r="F6556" s="24">
        <v>69.32</v>
      </c>
      <c r="G6556" s="24">
        <v>0.28</v>
      </c>
      <c r="H6556" s="24" t="s">
        <v>6716</v>
      </c>
      <c r="I6556" s="24" t="s">
        <v>6650</v>
      </c>
      <c r="J6556" s="24">
        <v>0.0</v>
      </c>
    </row>
    <row r="6557">
      <c r="A6557" s="24">
        <v>733.0</v>
      </c>
      <c r="B6557" s="24">
        <v>3.0</v>
      </c>
      <c r="C6557" s="44">
        <v>39.54</v>
      </c>
      <c r="D6557" s="46">
        <v>45567.0</v>
      </c>
      <c r="E6557" s="24">
        <v>13.18</v>
      </c>
      <c r="F6557" s="24">
        <v>53.94</v>
      </c>
      <c r="G6557" s="24">
        <v>0.41</v>
      </c>
      <c r="H6557" s="24" t="s">
        <v>6715</v>
      </c>
      <c r="I6557" s="24" t="s">
        <v>6650</v>
      </c>
      <c r="J6557" s="24">
        <v>0.0</v>
      </c>
    </row>
    <row r="6558">
      <c r="A6558" s="24">
        <v>513.0</v>
      </c>
      <c r="B6558" s="24">
        <v>1.0</v>
      </c>
      <c r="C6558" s="44">
        <v>23.52</v>
      </c>
      <c r="D6558" s="46">
        <v>45567.0</v>
      </c>
      <c r="E6558" s="24">
        <v>23.52</v>
      </c>
      <c r="F6558" s="24">
        <v>45.85</v>
      </c>
      <c r="G6558" s="24">
        <v>0.19</v>
      </c>
      <c r="H6558" s="24" t="s">
        <v>6714</v>
      </c>
      <c r="I6558" s="24" t="s">
        <v>6650</v>
      </c>
      <c r="J6558" s="24">
        <v>0.0</v>
      </c>
    </row>
    <row r="6559">
      <c r="A6559" s="24">
        <v>1876.0</v>
      </c>
      <c r="B6559" s="24">
        <v>8.0</v>
      </c>
      <c r="C6559" s="44">
        <v>17.93</v>
      </c>
      <c r="D6559" s="46">
        <v>45567.0</v>
      </c>
      <c r="E6559" s="24">
        <v>2.24</v>
      </c>
      <c r="F6559" s="24">
        <v>9.56</v>
      </c>
      <c r="G6559" s="24">
        <v>0.43</v>
      </c>
      <c r="H6559" s="24" t="s">
        <v>6717</v>
      </c>
      <c r="I6559" s="24" t="s">
        <v>6650</v>
      </c>
      <c r="J6559" s="24">
        <v>0.0</v>
      </c>
    </row>
    <row r="6560">
      <c r="A6560" s="24">
        <v>605.0</v>
      </c>
      <c r="B6560" s="24">
        <v>3.0</v>
      </c>
      <c r="C6560" s="44">
        <v>23.58</v>
      </c>
      <c r="D6560" s="46">
        <v>45568.0</v>
      </c>
      <c r="E6560" s="24">
        <v>7.86</v>
      </c>
      <c r="F6560" s="24">
        <v>38.98</v>
      </c>
      <c r="G6560" s="24">
        <v>0.5</v>
      </c>
      <c r="H6560" s="24" t="s">
        <v>6714</v>
      </c>
      <c r="I6560" s="24" t="s">
        <v>6650</v>
      </c>
      <c r="J6560" s="24">
        <v>0.0</v>
      </c>
    </row>
    <row r="6561">
      <c r="A6561" s="24">
        <v>874.0</v>
      </c>
      <c r="B6561" s="24">
        <v>1.0</v>
      </c>
      <c r="C6561" s="44">
        <v>39.05</v>
      </c>
      <c r="D6561" s="46">
        <v>45568.0</v>
      </c>
      <c r="E6561" s="24">
        <v>39.05</v>
      </c>
      <c r="F6561" s="24">
        <v>44.68</v>
      </c>
      <c r="G6561" s="24">
        <v>0.11</v>
      </c>
      <c r="H6561" s="24" t="s">
        <v>6715</v>
      </c>
      <c r="I6561" s="24" t="s">
        <v>6650</v>
      </c>
      <c r="J6561" s="24">
        <v>0.0</v>
      </c>
    </row>
    <row r="6562">
      <c r="A6562" s="24">
        <v>813.0</v>
      </c>
      <c r="B6562" s="24">
        <v>6.0</v>
      </c>
      <c r="C6562" s="44">
        <v>49.98</v>
      </c>
      <c r="D6562" s="46">
        <v>45568.0</v>
      </c>
      <c r="E6562" s="24">
        <v>8.33</v>
      </c>
      <c r="F6562" s="24">
        <v>61.48</v>
      </c>
      <c r="G6562" s="24">
        <v>0.74</v>
      </c>
      <c r="H6562" s="24" t="s">
        <v>6716</v>
      </c>
      <c r="I6562" s="24" t="s">
        <v>6650</v>
      </c>
      <c r="J6562" s="24">
        <v>0.0</v>
      </c>
    </row>
    <row r="6563">
      <c r="A6563" s="24">
        <v>157.0</v>
      </c>
      <c r="B6563" s="24">
        <v>0.0</v>
      </c>
      <c r="C6563" s="44">
        <v>21.66</v>
      </c>
      <c r="D6563" s="46">
        <v>45568.0</v>
      </c>
      <c r="E6563" s="24" t="s">
        <v>6650</v>
      </c>
      <c r="F6563" s="24">
        <v>137.96</v>
      </c>
      <c r="G6563" s="24">
        <v>0.0</v>
      </c>
      <c r="H6563" s="24" t="s">
        <v>6718</v>
      </c>
      <c r="I6563" s="24" t="s">
        <v>6650</v>
      </c>
      <c r="J6563" s="24">
        <v>0.0</v>
      </c>
    </row>
    <row r="6564">
      <c r="A6564" s="24">
        <v>1996.0</v>
      </c>
      <c r="B6564" s="24">
        <v>7.0</v>
      </c>
      <c r="C6564" s="44">
        <v>17.87</v>
      </c>
      <c r="D6564" s="46">
        <v>45568.0</v>
      </c>
      <c r="E6564" s="24">
        <v>2.55</v>
      </c>
      <c r="F6564" s="24">
        <v>8.95</v>
      </c>
      <c r="G6564" s="24">
        <v>0.35</v>
      </c>
      <c r="H6564" s="24" t="s">
        <v>6717</v>
      </c>
      <c r="I6564" s="24">
        <v>17.87</v>
      </c>
      <c r="J6564" s="24">
        <v>0.0</v>
      </c>
    </row>
    <row r="6565">
      <c r="A6565" s="24">
        <v>342.0</v>
      </c>
      <c r="B6565" s="24">
        <v>1.0</v>
      </c>
      <c r="C6565" s="44">
        <v>21.1</v>
      </c>
      <c r="D6565" s="46">
        <v>45569.0</v>
      </c>
      <c r="E6565" s="24">
        <v>21.1</v>
      </c>
      <c r="F6565" s="24">
        <v>61.7</v>
      </c>
      <c r="G6565" s="24">
        <v>0.29</v>
      </c>
      <c r="H6565" s="24" t="s">
        <v>6714</v>
      </c>
      <c r="I6565" s="24">
        <v>21.1</v>
      </c>
      <c r="J6565" s="24">
        <v>0.0</v>
      </c>
    </row>
    <row r="6566">
      <c r="A6566" s="24">
        <v>732.0</v>
      </c>
      <c r="B6566" s="24">
        <v>5.0</v>
      </c>
      <c r="C6566" s="44">
        <v>34.93</v>
      </c>
      <c r="D6566" s="46">
        <v>45569.0</v>
      </c>
      <c r="E6566" s="24">
        <v>6.99</v>
      </c>
      <c r="F6566" s="24">
        <v>47.72</v>
      </c>
      <c r="G6566" s="24">
        <v>0.68</v>
      </c>
      <c r="H6566" s="24" t="s">
        <v>6715</v>
      </c>
      <c r="I6566" s="24" t="s">
        <v>6650</v>
      </c>
      <c r="J6566" s="24">
        <v>0.0</v>
      </c>
    </row>
    <row r="6567">
      <c r="A6567" s="24">
        <v>348.0</v>
      </c>
      <c r="B6567" s="24">
        <v>1.0</v>
      </c>
      <c r="C6567" s="44">
        <v>45.4</v>
      </c>
      <c r="D6567" s="46">
        <v>45569.0</v>
      </c>
      <c r="E6567" s="24">
        <v>45.4</v>
      </c>
      <c r="F6567" s="24">
        <v>130.46</v>
      </c>
      <c r="G6567" s="24">
        <v>0.29</v>
      </c>
      <c r="H6567" s="24" t="s">
        <v>6716</v>
      </c>
      <c r="I6567" s="24">
        <v>45.4</v>
      </c>
      <c r="J6567" s="24">
        <v>0.0</v>
      </c>
    </row>
    <row r="6568">
      <c r="A6568" s="24">
        <v>1773.0</v>
      </c>
      <c r="B6568" s="24">
        <v>7.0</v>
      </c>
      <c r="C6568" s="44">
        <v>16.57</v>
      </c>
      <c r="D6568" s="46">
        <v>45569.0</v>
      </c>
      <c r="E6568" s="24">
        <v>2.37</v>
      </c>
      <c r="F6568" s="24">
        <v>9.35</v>
      </c>
      <c r="G6568" s="24">
        <v>0.39</v>
      </c>
      <c r="H6568" s="24" t="s">
        <v>6717</v>
      </c>
      <c r="I6568" s="24" t="s">
        <v>6650</v>
      </c>
      <c r="J6568" s="24">
        <v>0.0</v>
      </c>
    </row>
    <row r="6569">
      <c r="A6569" s="24">
        <v>229.0</v>
      </c>
      <c r="B6569" s="24">
        <v>2.0</v>
      </c>
      <c r="C6569" s="44">
        <v>21.48</v>
      </c>
      <c r="D6569" s="46">
        <v>45569.0</v>
      </c>
      <c r="E6569" s="24">
        <v>10.74</v>
      </c>
      <c r="F6569" s="24">
        <v>93.8</v>
      </c>
      <c r="G6569" s="24">
        <v>0.87</v>
      </c>
      <c r="H6569" s="24" t="s">
        <v>6718</v>
      </c>
      <c r="I6569" s="24" t="s">
        <v>6650</v>
      </c>
      <c r="J6569" s="24">
        <v>0.0</v>
      </c>
    </row>
    <row r="6570">
      <c r="A6570" s="24">
        <v>170.0</v>
      </c>
      <c r="B6570" s="24">
        <v>0.0</v>
      </c>
      <c r="C6570" s="44">
        <v>21.55</v>
      </c>
      <c r="D6570" s="46">
        <v>45570.0</v>
      </c>
      <c r="E6570" s="24" t="s">
        <v>6650</v>
      </c>
      <c r="F6570" s="24">
        <v>126.76</v>
      </c>
      <c r="G6570" s="24">
        <v>0.0</v>
      </c>
      <c r="H6570" s="24" t="s">
        <v>6715</v>
      </c>
      <c r="I6570" s="24" t="s">
        <v>6650</v>
      </c>
      <c r="J6570" s="24">
        <v>0.0</v>
      </c>
    </row>
    <row r="6571">
      <c r="A6571" s="24">
        <v>271.0</v>
      </c>
      <c r="B6571" s="24">
        <v>2.0</v>
      </c>
      <c r="C6571" s="44">
        <v>26.06</v>
      </c>
      <c r="D6571" s="46">
        <v>45570.0</v>
      </c>
      <c r="E6571" s="24">
        <v>13.03</v>
      </c>
      <c r="F6571" s="24">
        <v>96.16</v>
      </c>
      <c r="G6571" s="24">
        <v>0.74</v>
      </c>
      <c r="H6571" s="24" t="s">
        <v>6716</v>
      </c>
      <c r="I6571" s="24" t="s">
        <v>6650</v>
      </c>
      <c r="J6571" s="24">
        <v>0.0</v>
      </c>
    </row>
    <row r="6572">
      <c r="A6572" s="24">
        <v>91.0</v>
      </c>
      <c r="B6572" s="24">
        <v>0.0</v>
      </c>
      <c r="C6572" s="44">
        <v>13.56</v>
      </c>
      <c r="D6572" s="46">
        <v>45570.0</v>
      </c>
      <c r="E6572" s="24" t="s">
        <v>6650</v>
      </c>
      <c r="F6572" s="24">
        <v>149.01</v>
      </c>
      <c r="G6572" s="24">
        <v>0.0</v>
      </c>
      <c r="H6572" s="24" t="s">
        <v>6714</v>
      </c>
      <c r="I6572" s="24" t="s">
        <v>6650</v>
      </c>
      <c r="J6572" s="24">
        <v>0.0</v>
      </c>
    </row>
    <row r="6573">
      <c r="A6573" s="24">
        <v>82.0</v>
      </c>
      <c r="B6573" s="24">
        <v>1.0</v>
      </c>
      <c r="C6573" s="44">
        <v>12.15</v>
      </c>
      <c r="D6573" s="46">
        <v>45570.0</v>
      </c>
      <c r="E6573" s="24">
        <v>12.15</v>
      </c>
      <c r="F6573" s="24">
        <v>148.17</v>
      </c>
      <c r="G6573" s="24">
        <v>1.22</v>
      </c>
      <c r="H6573" s="24" t="s">
        <v>6718</v>
      </c>
      <c r="I6573" s="24" t="s">
        <v>6650</v>
      </c>
      <c r="J6573" s="24">
        <v>0.0</v>
      </c>
    </row>
    <row r="6574">
      <c r="A6574" s="24">
        <v>943.0</v>
      </c>
      <c r="B6574" s="24">
        <v>3.0</v>
      </c>
      <c r="C6574" s="44">
        <v>9.77</v>
      </c>
      <c r="D6574" s="46">
        <v>45570.0</v>
      </c>
      <c r="E6574" s="24">
        <v>3.26</v>
      </c>
      <c r="F6574" s="24">
        <v>10.36</v>
      </c>
      <c r="G6574" s="24">
        <v>0.32</v>
      </c>
      <c r="H6574" s="24" t="s">
        <v>6717</v>
      </c>
      <c r="I6574" s="24" t="s">
        <v>6650</v>
      </c>
      <c r="J6574" s="24">
        <v>0.0</v>
      </c>
    </row>
    <row r="6575">
      <c r="A6575" s="24">
        <v>34.0</v>
      </c>
      <c r="B6575" s="24">
        <v>0.0</v>
      </c>
      <c r="C6575" s="44">
        <v>11.37</v>
      </c>
      <c r="D6575" s="46">
        <v>45571.0</v>
      </c>
      <c r="E6575" s="24" t="s">
        <v>6650</v>
      </c>
      <c r="F6575" s="24">
        <v>334.41</v>
      </c>
      <c r="G6575" s="24">
        <v>0.0</v>
      </c>
      <c r="H6575" s="24" t="s">
        <v>6718</v>
      </c>
      <c r="I6575" s="24" t="s">
        <v>6650</v>
      </c>
      <c r="J6575" s="24">
        <v>0.0</v>
      </c>
    </row>
    <row r="6576">
      <c r="A6576" s="24">
        <v>156.0</v>
      </c>
      <c r="B6576" s="24">
        <v>2.0</v>
      </c>
      <c r="C6576" s="44">
        <v>19.71</v>
      </c>
      <c r="D6576" s="46">
        <v>45571.0</v>
      </c>
      <c r="E6576" s="24">
        <v>9.86</v>
      </c>
      <c r="F6576" s="24">
        <v>126.35</v>
      </c>
      <c r="G6576" s="24">
        <v>1.28</v>
      </c>
      <c r="H6576" s="24" t="s">
        <v>6716</v>
      </c>
      <c r="I6576" s="24" t="s">
        <v>6650</v>
      </c>
      <c r="J6576" s="24">
        <v>0.0</v>
      </c>
    </row>
    <row r="6577">
      <c r="A6577" s="24">
        <v>100.0</v>
      </c>
      <c r="B6577" s="24">
        <v>3.0</v>
      </c>
      <c r="C6577" s="44">
        <v>16.43</v>
      </c>
      <c r="D6577" s="46">
        <v>45571.0</v>
      </c>
      <c r="E6577" s="24">
        <v>5.48</v>
      </c>
      <c r="F6577" s="24">
        <v>164.3</v>
      </c>
      <c r="G6577" s="24">
        <v>3.0</v>
      </c>
      <c r="H6577" s="24" t="s">
        <v>6715</v>
      </c>
      <c r="I6577" s="24">
        <v>16.43</v>
      </c>
      <c r="J6577" s="24">
        <v>0.0</v>
      </c>
    </row>
    <row r="6578">
      <c r="A6578" s="24">
        <v>67.0</v>
      </c>
      <c r="B6578" s="24">
        <v>0.0</v>
      </c>
      <c r="C6578" s="44">
        <v>12.15</v>
      </c>
      <c r="D6578" s="46">
        <v>45571.0</v>
      </c>
      <c r="E6578" s="24" t="s">
        <v>6650</v>
      </c>
      <c r="F6578" s="24">
        <v>181.34</v>
      </c>
      <c r="G6578" s="24">
        <v>0.0</v>
      </c>
      <c r="H6578" s="24" t="s">
        <v>6714</v>
      </c>
      <c r="I6578" s="24" t="s">
        <v>6650</v>
      </c>
      <c r="J6578" s="24">
        <v>0.0</v>
      </c>
    </row>
    <row r="6579">
      <c r="A6579" s="24">
        <v>759.0</v>
      </c>
      <c r="B6579" s="24">
        <v>6.0</v>
      </c>
      <c r="C6579" s="44">
        <v>9.12</v>
      </c>
      <c r="D6579" s="46">
        <v>45571.0</v>
      </c>
      <c r="E6579" s="24">
        <v>1.52</v>
      </c>
      <c r="F6579" s="24">
        <v>12.02</v>
      </c>
      <c r="G6579" s="24">
        <v>0.79</v>
      </c>
      <c r="H6579" s="24" t="s">
        <v>6717</v>
      </c>
      <c r="I6579" s="24" t="s">
        <v>6650</v>
      </c>
      <c r="J6579" s="24">
        <v>0.0</v>
      </c>
    </row>
    <row r="6580">
      <c r="A6580" s="24">
        <v>1635.0</v>
      </c>
      <c r="B6580" s="24">
        <v>9.0</v>
      </c>
      <c r="C6580" s="44">
        <v>17.05</v>
      </c>
      <c r="D6580" s="46">
        <v>45572.0</v>
      </c>
      <c r="E6580" s="24">
        <v>1.89</v>
      </c>
      <c r="F6580" s="24">
        <v>10.43</v>
      </c>
      <c r="G6580" s="24">
        <v>0.55</v>
      </c>
      <c r="H6580" s="24" t="s">
        <v>6717</v>
      </c>
      <c r="I6580" s="24" t="s">
        <v>6650</v>
      </c>
      <c r="J6580" s="24">
        <v>0.0</v>
      </c>
    </row>
    <row r="6581">
      <c r="A6581" s="24">
        <v>389.0</v>
      </c>
      <c r="B6581" s="24">
        <v>4.0</v>
      </c>
      <c r="C6581" s="44">
        <v>36.88</v>
      </c>
      <c r="D6581" s="46">
        <v>45572.0</v>
      </c>
      <c r="E6581" s="24">
        <v>9.22</v>
      </c>
      <c r="F6581" s="24">
        <v>94.81</v>
      </c>
      <c r="G6581" s="24">
        <v>1.03</v>
      </c>
      <c r="H6581" s="24" t="s">
        <v>6715</v>
      </c>
      <c r="I6581" s="24">
        <v>36.88</v>
      </c>
      <c r="J6581" s="24">
        <v>0.0</v>
      </c>
    </row>
    <row r="6582">
      <c r="A6582" s="24">
        <v>459.0</v>
      </c>
      <c r="B6582" s="24">
        <v>1.0</v>
      </c>
      <c r="C6582" s="44">
        <v>45.76</v>
      </c>
      <c r="D6582" s="46">
        <v>45572.0</v>
      </c>
      <c r="E6582" s="24">
        <v>45.76</v>
      </c>
      <c r="F6582" s="24">
        <v>99.69</v>
      </c>
      <c r="G6582" s="24">
        <v>0.22</v>
      </c>
      <c r="H6582" s="24" t="s">
        <v>6716</v>
      </c>
      <c r="I6582" s="24">
        <v>22.88</v>
      </c>
      <c r="J6582" s="24">
        <v>0.0</v>
      </c>
    </row>
    <row r="6583">
      <c r="A6583" s="24">
        <v>276.0</v>
      </c>
      <c r="B6583" s="24">
        <v>3.0</v>
      </c>
      <c r="C6583" s="44">
        <v>23.74</v>
      </c>
      <c r="D6583" s="46">
        <v>45572.0</v>
      </c>
      <c r="E6583" s="24">
        <v>7.91</v>
      </c>
      <c r="F6583" s="24">
        <v>86.01</v>
      </c>
      <c r="G6583" s="24">
        <v>1.09</v>
      </c>
      <c r="H6583" s="24" t="s">
        <v>6714</v>
      </c>
      <c r="I6583" s="24">
        <v>23.74</v>
      </c>
      <c r="J6583" s="24">
        <v>0.0</v>
      </c>
    </row>
    <row r="6584">
      <c r="A6584" s="24">
        <v>150.0</v>
      </c>
      <c r="B6584" s="24">
        <v>1.0</v>
      </c>
      <c r="C6584" s="44">
        <v>19.94</v>
      </c>
      <c r="D6584" s="46">
        <v>45572.0</v>
      </c>
      <c r="E6584" s="24">
        <v>19.94</v>
      </c>
      <c r="F6584" s="24">
        <v>132.93</v>
      </c>
      <c r="G6584" s="24">
        <v>0.67</v>
      </c>
      <c r="H6584" s="24" t="s">
        <v>6718</v>
      </c>
      <c r="I6584" s="24" t="s">
        <v>6650</v>
      </c>
      <c r="J6584" s="24">
        <v>0.0</v>
      </c>
    </row>
    <row r="6585">
      <c r="A6585" s="24">
        <v>881.0</v>
      </c>
      <c r="B6585" s="24">
        <v>5.0</v>
      </c>
      <c r="C6585" s="44">
        <v>39.03</v>
      </c>
      <c r="D6585" s="46">
        <v>45573.0</v>
      </c>
      <c r="E6585" s="24">
        <v>7.81</v>
      </c>
      <c r="F6585" s="24">
        <v>44.3</v>
      </c>
      <c r="G6585" s="24">
        <v>0.57</v>
      </c>
      <c r="H6585" s="24" t="s">
        <v>6715</v>
      </c>
      <c r="I6585" s="24">
        <v>39.03</v>
      </c>
      <c r="J6585" s="24">
        <v>0.0</v>
      </c>
    </row>
    <row r="6586">
      <c r="A6586" s="24">
        <v>497.0</v>
      </c>
      <c r="B6586" s="24">
        <v>5.0</v>
      </c>
      <c r="C6586" s="44">
        <v>25.85</v>
      </c>
      <c r="D6586" s="46">
        <v>45573.0</v>
      </c>
      <c r="E6586" s="24">
        <v>5.17</v>
      </c>
      <c r="F6586" s="24">
        <v>52.01</v>
      </c>
      <c r="G6586" s="24">
        <v>1.01</v>
      </c>
      <c r="H6586" s="24" t="s">
        <v>6714</v>
      </c>
      <c r="I6586" s="24">
        <v>12.92</v>
      </c>
      <c r="J6586" s="24">
        <v>0.0</v>
      </c>
    </row>
    <row r="6587">
      <c r="A6587" s="24">
        <v>1263.0</v>
      </c>
      <c r="B6587" s="24">
        <v>3.0</v>
      </c>
      <c r="C6587" s="44">
        <v>49.13</v>
      </c>
      <c r="D6587" s="46">
        <v>45573.0</v>
      </c>
      <c r="E6587" s="24">
        <v>16.38</v>
      </c>
      <c r="F6587" s="24">
        <v>38.9</v>
      </c>
      <c r="G6587" s="24">
        <v>0.24</v>
      </c>
      <c r="H6587" s="24" t="s">
        <v>6716</v>
      </c>
      <c r="I6587" s="24" t="s">
        <v>6650</v>
      </c>
      <c r="J6587" s="24">
        <v>0.0</v>
      </c>
    </row>
    <row r="6588">
      <c r="A6588" s="24">
        <v>64.0</v>
      </c>
      <c r="B6588" s="24">
        <v>0.0</v>
      </c>
      <c r="C6588" s="44">
        <v>22.83</v>
      </c>
      <c r="D6588" s="46">
        <v>45573.0</v>
      </c>
      <c r="E6588" s="24" t="s">
        <v>6650</v>
      </c>
      <c r="F6588" s="24">
        <v>356.72</v>
      </c>
      <c r="G6588" s="24">
        <v>0.0</v>
      </c>
      <c r="H6588" s="24" t="s">
        <v>6718</v>
      </c>
      <c r="I6588" s="24" t="s">
        <v>6650</v>
      </c>
      <c r="J6588" s="24">
        <v>0.0</v>
      </c>
    </row>
    <row r="6589">
      <c r="A6589" s="24">
        <v>2005.0</v>
      </c>
      <c r="B6589" s="24">
        <v>18.0</v>
      </c>
      <c r="C6589" s="44">
        <v>17.85</v>
      </c>
      <c r="D6589" s="46">
        <v>45573.0</v>
      </c>
      <c r="E6589" s="24">
        <v>0.99</v>
      </c>
      <c r="F6589" s="24">
        <v>8.9</v>
      </c>
      <c r="G6589" s="24">
        <v>0.9</v>
      </c>
      <c r="H6589" s="24" t="s">
        <v>6717</v>
      </c>
      <c r="I6589" s="24" t="s">
        <v>6650</v>
      </c>
      <c r="J6589" s="24">
        <v>0.0</v>
      </c>
    </row>
    <row r="6590">
      <c r="A6590" s="24">
        <v>933.0</v>
      </c>
      <c r="B6590" s="24">
        <v>3.0</v>
      </c>
      <c r="C6590" s="44">
        <v>47.63</v>
      </c>
      <c r="D6590" s="46">
        <v>45574.0</v>
      </c>
      <c r="E6590" s="24">
        <v>15.88</v>
      </c>
      <c r="F6590" s="24">
        <v>51.05</v>
      </c>
      <c r="G6590" s="24">
        <v>0.32</v>
      </c>
      <c r="H6590" s="24" t="s">
        <v>6716</v>
      </c>
      <c r="I6590" s="24">
        <v>15.88</v>
      </c>
      <c r="J6590" s="24">
        <v>0.0</v>
      </c>
    </row>
    <row r="6591">
      <c r="A6591" s="24">
        <v>2121.0</v>
      </c>
      <c r="B6591" s="24">
        <v>15.0</v>
      </c>
      <c r="C6591" s="44">
        <v>17.61</v>
      </c>
      <c r="D6591" s="46">
        <v>45574.0</v>
      </c>
      <c r="E6591" s="24">
        <v>1.17</v>
      </c>
      <c r="F6591" s="24">
        <v>8.3</v>
      </c>
      <c r="G6591" s="24">
        <v>0.71</v>
      </c>
      <c r="H6591" s="24" t="s">
        <v>6717</v>
      </c>
      <c r="I6591" s="24">
        <v>17.61</v>
      </c>
      <c r="J6591" s="24">
        <v>0.0</v>
      </c>
    </row>
    <row r="6592">
      <c r="A6592" s="24">
        <v>418.0</v>
      </c>
      <c r="B6592" s="24">
        <v>0.0</v>
      </c>
      <c r="C6592" s="44">
        <v>23.7</v>
      </c>
      <c r="D6592" s="46">
        <v>45574.0</v>
      </c>
      <c r="E6592" s="24" t="s">
        <v>6650</v>
      </c>
      <c r="F6592" s="24">
        <v>56.7</v>
      </c>
      <c r="G6592" s="24">
        <v>0.0</v>
      </c>
      <c r="H6592" s="24" t="s">
        <v>6714</v>
      </c>
      <c r="I6592" s="24" t="s">
        <v>6650</v>
      </c>
      <c r="J6592" s="24">
        <v>0.0</v>
      </c>
    </row>
    <row r="6593">
      <c r="A6593" s="24">
        <v>771.0</v>
      </c>
      <c r="B6593" s="24">
        <v>2.0</v>
      </c>
      <c r="C6593" s="44">
        <v>37.59</v>
      </c>
      <c r="D6593" s="46">
        <v>45574.0</v>
      </c>
      <c r="E6593" s="24">
        <v>18.8</v>
      </c>
      <c r="F6593" s="24">
        <v>48.75</v>
      </c>
      <c r="G6593" s="24">
        <v>0.26</v>
      </c>
      <c r="H6593" s="24" t="s">
        <v>6715</v>
      </c>
      <c r="I6593" s="24">
        <v>9.4</v>
      </c>
      <c r="J6593" s="24">
        <v>0.0</v>
      </c>
    </row>
    <row r="6594">
      <c r="A6594" s="24">
        <v>69.0</v>
      </c>
      <c r="B6594" s="24">
        <v>2.0</v>
      </c>
      <c r="C6594" s="44">
        <v>22.36</v>
      </c>
      <c r="D6594" s="46">
        <v>45574.0</v>
      </c>
      <c r="E6594" s="24">
        <v>11.18</v>
      </c>
      <c r="F6594" s="24">
        <v>324.06</v>
      </c>
      <c r="G6594" s="24">
        <v>2.9</v>
      </c>
      <c r="H6594" s="24" t="s">
        <v>6718</v>
      </c>
      <c r="I6594" s="24" t="s">
        <v>6650</v>
      </c>
      <c r="J6594" s="24">
        <v>0.0</v>
      </c>
    </row>
    <row r="6595">
      <c r="A6595" s="24">
        <v>1869.0</v>
      </c>
      <c r="B6595" s="24">
        <v>13.0</v>
      </c>
      <c r="C6595" s="44">
        <v>17.58</v>
      </c>
      <c r="D6595" s="46">
        <v>45575.0</v>
      </c>
      <c r="E6595" s="24">
        <v>1.35</v>
      </c>
      <c r="F6595" s="24">
        <v>9.41</v>
      </c>
      <c r="G6595" s="24">
        <v>0.7</v>
      </c>
      <c r="H6595" s="24" t="s">
        <v>6717</v>
      </c>
      <c r="I6595" s="24" t="s">
        <v>6650</v>
      </c>
      <c r="J6595" s="24">
        <v>0.0</v>
      </c>
    </row>
    <row r="6596">
      <c r="A6596" s="24">
        <v>827.0</v>
      </c>
      <c r="B6596" s="24">
        <v>3.0</v>
      </c>
      <c r="C6596" s="44">
        <v>45.25</v>
      </c>
      <c r="D6596" s="46">
        <v>45575.0</v>
      </c>
      <c r="E6596" s="24">
        <v>15.08</v>
      </c>
      <c r="F6596" s="24">
        <v>54.72</v>
      </c>
      <c r="G6596" s="24">
        <v>0.36</v>
      </c>
      <c r="H6596" s="24" t="s">
        <v>6716</v>
      </c>
      <c r="I6596" s="24" t="s">
        <v>6650</v>
      </c>
      <c r="J6596" s="24">
        <v>0.0</v>
      </c>
    </row>
    <row r="6597">
      <c r="A6597" s="24">
        <v>60.0</v>
      </c>
      <c r="B6597" s="24">
        <v>1.0</v>
      </c>
      <c r="C6597" s="44">
        <v>22.24</v>
      </c>
      <c r="D6597" s="46">
        <v>45575.0</v>
      </c>
      <c r="E6597" s="24">
        <v>22.24</v>
      </c>
      <c r="F6597" s="24">
        <v>370.67</v>
      </c>
      <c r="G6597" s="24">
        <v>1.67</v>
      </c>
      <c r="H6597" s="24" t="s">
        <v>6718</v>
      </c>
      <c r="I6597" s="24" t="s">
        <v>6650</v>
      </c>
      <c r="J6597" s="24">
        <v>0.0</v>
      </c>
    </row>
    <row r="6598">
      <c r="A6598" s="24">
        <v>244.0</v>
      </c>
      <c r="B6598" s="24">
        <v>0.0</v>
      </c>
      <c r="C6598" s="44">
        <v>23.17</v>
      </c>
      <c r="D6598" s="46">
        <v>45575.0</v>
      </c>
      <c r="E6598" s="24" t="s">
        <v>6650</v>
      </c>
      <c r="F6598" s="24">
        <v>94.96</v>
      </c>
      <c r="G6598" s="24">
        <v>0.0</v>
      </c>
      <c r="H6598" s="24" t="s">
        <v>6714</v>
      </c>
      <c r="I6598" s="24" t="s">
        <v>6650</v>
      </c>
      <c r="J6598" s="24">
        <v>0.0</v>
      </c>
    </row>
    <row r="6599">
      <c r="A6599" s="24">
        <v>765.0</v>
      </c>
      <c r="B6599" s="24">
        <v>2.0</v>
      </c>
      <c r="C6599" s="44">
        <v>40.63</v>
      </c>
      <c r="D6599" s="46">
        <v>45575.0</v>
      </c>
      <c r="E6599" s="24">
        <v>20.32</v>
      </c>
      <c r="F6599" s="24">
        <v>53.11</v>
      </c>
      <c r="G6599" s="24">
        <v>0.26</v>
      </c>
      <c r="H6599" s="24" t="s">
        <v>6715</v>
      </c>
      <c r="I6599" s="24" t="s">
        <v>6650</v>
      </c>
      <c r="J6599" s="24">
        <v>0.0</v>
      </c>
    </row>
    <row r="6600">
      <c r="A6600" s="24">
        <v>1331.0</v>
      </c>
      <c r="B6600" s="24">
        <v>9.0</v>
      </c>
      <c r="C6600" s="44">
        <v>16.22</v>
      </c>
      <c r="D6600" s="46">
        <v>45576.0</v>
      </c>
      <c r="E6600" s="24">
        <v>1.8</v>
      </c>
      <c r="F6600" s="24">
        <v>12.19</v>
      </c>
      <c r="G6600" s="24">
        <v>0.68</v>
      </c>
      <c r="H6600" s="24" t="s">
        <v>6717</v>
      </c>
      <c r="I6600" s="24" t="s">
        <v>6650</v>
      </c>
      <c r="J6600" s="24">
        <v>0.0</v>
      </c>
    </row>
    <row r="6601">
      <c r="A6601" s="24">
        <v>182.0</v>
      </c>
      <c r="B6601" s="24">
        <v>0.0</v>
      </c>
      <c r="C6601" s="44">
        <v>21.67</v>
      </c>
      <c r="D6601" s="46">
        <v>45576.0</v>
      </c>
      <c r="E6601" s="24" t="s">
        <v>6650</v>
      </c>
      <c r="F6601" s="24">
        <v>119.07</v>
      </c>
      <c r="G6601" s="24">
        <v>0.0</v>
      </c>
      <c r="H6601" s="24" t="s">
        <v>6714</v>
      </c>
      <c r="I6601" s="24" t="s">
        <v>6650</v>
      </c>
      <c r="J6601" s="24">
        <v>0.0</v>
      </c>
    </row>
    <row r="6602">
      <c r="A6602" s="24">
        <v>322.0</v>
      </c>
      <c r="B6602" s="24">
        <v>0.0</v>
      </c>
      <c r="C6602" s="44">
        <v>39.13</v>
      </c>
      <c r="D6602" s="46">
        <v>45576.0</v>
      </c>
      <c r="E6602" s="24" t="s">
        <v>6650</v>
      </c>
      <c r="F6602" s="24">
        <v>121.52</v>
      </c>
      <c r="G6602" s="24">
        <v>0.0</v>
      </c>
      <c r="H6602" s="24" t="s">
        <v>6716</v>
      </c>
      <c r="I6602" s="24" t="s">
        <v>6650</v>
      </c>
      <c r="J6602" s="24">
        <v>0.0</v>
      </c>
    </row>
    <row r="6603">
      <c r="A6603" s="24">
        <v>738.0</v>
      </c>
      <c r="B6603" s="24">
        <v>3.0</v>
      </c>
      <c r="C6603" s="44">
        <v>33.39</v>
      </c>
      <c r="D6603" s="46">
        <v>45576.0</v>
      </c>
      <c r="E6603" s="24">
        <v>11.13</v>
      </c>
      <c r="F6603" s="24">
        <v>45.24</v>
      </c>
      <c r="G6603" s="24">
        <v>0.41</v>
      </c>
      <c r="H6603" s="24" t="s">
        <v>6715</v>
      </c>
      <c r="I6603" s="24" t="s">
        <v>6650</v>
      </c>
      <c r="J6603" s="24">
        <v>0.0</v>
      </c>
    </row>
    <row r="6604">
      <c r="A6604" s="24">
        <v>52.0</v>
      </c>
      <c r="B6604" s="24">
        <v>0.0</v>
      </c>
      <c r="C6604" s="44">
        <v>21.27</v>
      </c>
      <c r="D6604" s="46">
        <v>45576.0</v>
      </c>
      <c r="E6604" s="24" t="s">
        <v>6650</v>
      </c>
      <c r="F6604" s="24">
        <v>409.04</v>
      </c>
      <c r="G6604" s="24">
        <v>0.0</v>
      </c>
      <c r="H6604" s="24" t="s">
        <v>6718</v>
      </c>
      <c r="I6604" s="24" t="s">
        <v>6650</v>
      </c>
      <c r="J6604" s="24">
        <v>0.0</v>
      </c>
    </row>
    <row r="6605">
      <c r="A6605" s="24">
        <v>240.0</v>
      </c>
      <c r="B6605" s="24">
        <v>1.0</v>
      </c>
      <c r="C6605" s="44">
        <v>20.48</v>
      </c>
      <c r="D6605" s="46">
        <v>45577.0</v>
      </c>
      <c r="E6605" s="24">
        <v>20.48</v>
      </c>
      <c r="F6605" s="24">
        <v>85.33</v>
      </c>
      <c r="G6605" s="24">
        <v>0.42</v>
      </c>
      <c r="H6605" s="24" t="s">
        <v>6715</v>
      </c>
      <c r="I6605" s="24" t="s">
        <v>6650</v>
      </c>
      <c r="J6605" s="24">
        <v>0.0</v>
      </c>
    </row>
    <row r="6606">
      <c r="A6606" s="24">
        <v>1261.0</v>
      </c>
      <c r="B6606" s="24">
        <v>7.0</v>
      </c>
      <c r="C6606" s="44">
        <v>9.7</v>
      </c>
      <c r="D6606" s="46">
        <v>45577.0</v>
      </c>
      <c r="E6606" s="24">
        <v>1.39</v>
      </c>
      <c r="F6606" s="24">
        <v>7.69</v>
      </c>
      <c r="G6606" s="24">
        <v>0.56</v>
      </c>
      <c r="H6606" s="24" t="s">
        <v>6717</v>
      </c>
      <c r="I6606" s="24" t="s">
        <v>6650</v>
      </c>
      <c r="J6606" s="24">
        <v>0.0</v>
      </c>
    </row>
    <row r="6607">
      <c r="A6607" s="24">
        <v>298.0</v>
      </c>
      <c r="B6607" s="24">
        <v>1.0</v>
      </c>
      <c r="C6607" s="44">
        <v>29.46</v>
      </c>
      <c r="D6607" s="46">
        <v>45577.0</v>
      </c>
      <c r="E6607" s="24">
        <v>29.46</v>
      </c>
      <c r="F6607" s="24">
        <v>98.86</v>
      </c>
      <c r="G6607" s="24">
        <v>0.34</v>
      </c>
      <c r="H6607" s="24" t="s">
        <v>6716</v>
      </c>
      <c r="I6607" s="24" t="s">
        <v>6650</v>
      </c>
      <c r="J6607" s="24">
        <v>0.0</v>
      </c>
    </row>
    <row r="6608">
      <c r="A6608" s="24">
        <v>24.0</v>
      </c>
      <c r="B6608" s="24">
        <v>0.0</v>
      </c>
      <c r="C6608" s="44">
        <v>11.31</v>
      </c>
      <c r="D6608" s="46">
        <v>45577.0</v>
      </c>
      <c r="E6608" s="24" t="s">
        <v>6650</v>
      </c>
      <c r="F6608" s="24">
        <v>471.25</v>
      </c>
      <c r="G6608" s="24">
        <v>0.0</v>
      </c>
      <c r="H6608" s="24" t="s">
        <v>6718</v>
      </c>
      <c r="I6608" s="24" t="s">
        <v>6650</v>
      </c>
      <c r="J6608" s="24">
        <v>0.0</v>
      </c>
    </row>
    <row r="6609">
      <c r="A6609" s="24">
        <v>47.0</v>
      </c>
      <c r="B6609" s="24">
        <v>0.0</v>
      </c>
      <c r="C6609" s="44">
        <v>13.47</v>
      </c>
      <c r="D6609" s="46">
        <v>45577.0</v>
      </c>
      <c r="E6609" s="24" t="s">
        <v>6650</v>
      </c>
      <c r="F6609" s="24">
        <v>286.6</v>
      </c>
      <c r="G6609" s="24">
        <v>0.0</v>
      </c>
      <c r="H6609" s="24" t="s">
        <v>6714</v>
      </c>
      <c r="I6609" s="24" t="s">
        <v>6650</v>
      </c>
      <c r="J6609" s="24">
        <v>0.0</v>
      </c>
    </row>
    <row r="6610">
      <c r="A6610" s="24">
        <v>565.0</v>
      </c>
      <c r="B6610" s="24">
        <v>4.0</v>
      </c>
      <c r="C6610" s="44">
        <v>8.99</v>
      </c>
      <c r="D6610" s="46">
        <v>45578.0</v>
      </c>
      <c r="E6610" s="24">
        <v>2.25</v>
      </c>
      <c r="F6610" s="24">
        <v>15.91</v>
      </c>
      <c r="G6610" s="24">
        <v>0.71</v>
      </c>
      <c r="H6610" s="24" t="s">
        <v>6717</v>
      </c>
      <c r="I6610" s="24" t="s">
        <v>6650</v>
      </c>
      <c r="J6610" s="24">
        <v>0.0</v>
      </c>
    </row>
    <row r="6611">
      <c r="A6611" s="24">
        <v>20.0</v>
      </c>
      <c r="B6611" s="24">
        <v>1.0</v>
      </c>
      <c r="C6611" s="44">
        <v>12.55</v>
      </c>
      <c r="D6611" s="46">
        <v>45578.0</v>
      </c>
      <c r="E6611" s="24">
        <v>12.55</v>
      </c>
      <c r="F6611" s="24">
        <v>627.5</v>
      </c>
      <c r="G6611" s="24">
        <v>5.0</v>
      </c>
      <c r="H6611" s="24" t="s">
        <v>6718</v>
      </c>
      <c r="I6611" s="24" t="s">
        <v>6650</v>
      </c>
      <c r="J6611" s="24">
        <v>0.0</v>
      </c>
    </row>
    <row r="6612">
      <c r="A6612" s="24">
        <v>133.0</v>
      </c>
      <c r="B6612" s="24">
        <v>0.0</v>
      </c>
      <c r="C6612" s="44">
        <v>23.64</v>
      </c>
      <c r="D6612" s="46">
        <v>45578.0</v>
      </c>
      <c r="E6612" s="24" t="s">
        <v>6650</v>
      </c>
      <c r="F6612" s="24">
        <v>177.74</v>
      </c>
      <c r="G6612" s="24">
        <v>0.0</v>
      </c>
      <c r="H6612" s="24" t="s">
        <v>6716</v>
      </c>
      <c r="I6612" s="24">
        <v>23.64</v>
      </c>
      <c r="J6612" s="24">
        <v>0.0</v>
      </c>
    </row>
    <row r="6613">
      <c r="A6613" s="24">
        <v>99.0</v>
      </c>
      <c r="B6613" s="24">
        <v>1.0</v>
      </c>
      <c r="C6613" s="44">
        <v>15.96</v>
      </c>
      <c r="D6613" s="46">
        <v>45578.0</v>
      </c>
      <c r="E6613" s="24">
        <v>15.96</v>
      </c>
      <c r="F6613" s="24">
        <v>161.21</v>
      </c>
      <c r="G6613" s="24">
        <v>1.01</v>
      </c>
      <c r="H6613" s="24" t="s">
        <v>6715</v>
      </c>
      <c r="I6613" s="24" t="s">
        <v>6650</v>
      </c>
      <c r="J6613" s="24">
        <v>0.0</v>
      </c>
    </row>
    <row r="6614">
      <c r="A6614" s="24">
        <v>48.0</v>
      </c>
      <c r="B6614" s="24">
        <v>0.0</v>
      </c>
      <c r="C6614" s="44">
        <v>8.4</v>
      </c>
      <c r="D6614" s="46">
        <v>45578.0</v>
      </c>
      <c r="E6614" s="24" t="s">
        <v>6650</v>
      </c>
      <c r="F6614" s="24">
        <v>175.0</v>
      </c>
      <c r="G6614" s="24">
        <v>0.0</v>
      </c>
      <c r="H6614" s="24" t="s">
        <v>6714</v>
      </c>
      <c r="I6614" s="24" t="s">
        <v>6650</v>
      </c>
      <c r="J6614" s="24">
        <v>0.0</v>
      </c>
    </row>
    <row r="6615">
      <c r="A6615" s="24">
        <v>117.0</v>
      </c>
      <c r="B6615" s="24">
        <v>0.0</v>
      </c>
      <c r="C6615" s="44">
        <v>37.32</v>
      </c>
      <c r="D6615" s="46">
        <v>45579.0</v>
      </c>
      <c r="E6615" s="24" t="s">
        <v>6650</v>
      </c>
      <c r="F6615" s="24">
        <v>318.97</v>
      </c>
      <c r="G6615" s="24">
        <v>0.0</v>
      </c>
      <c r="H6615" s="24" t="s">
        <v>6715</v>
      </c>
      <c r="I6615" s="24" t="s">
        <v>6650</v>
      </c>
      <c r="J6615" s="24">
        <v>0.0</v>
      </c>
    </row>
    <row r="6616">
      <c r="A6616" s="24">
        <v>1332.0</v>
      </c>
      <c r="B6616" s="24">
        <v>6.0</v>
      </c>
      <c r="C6616" s="44">
        <v>17.03</v>
      </c>
      <c r="D6616" s="46">
        <v>45579.0</v>
      </c>
      <c r="E6616" s="24">
        <v>2.84</v>
      </c>
      <c r="F6616" s="24">
        <v>12.79</v>
      </c>
      <c r="G6616" s="24">
        <v>0.45</v>
      </c>
      <c r="H6616" s="24" t="s">
        <v>6717</v>
      </c>
      <c r="I6616" s="24" t="s">
        <v>6650</v>
      </c>
      <c r="J6616" s="24">
        <v>0.0</v>
      </c>
    </row>
    <row r="6617">
      <c r="A6617" s="24">
        <v>29.0</v>
      </c>
      <c r="B6617" s="24">
        <v>0.0</v>
      </c>
      <c r="C6617" s="44">
        <v>21.91</v>
      </c>
      <c r="D6617" s="46">
        <v>45579.0</v>
      </c>
      <c r="E6617" s="24" t="s">
        <v>6650</v>
      </c>
      <c r="F6617" s="24">
        <v>755.52</v>
      </c>
      <c r="G6617" s="24">
        <v>0.0</v>
      </c>
      <c r="H6617" s="24" t="s">
        <v>6718</v>
      </c>
      <c r="I6617" s="24" t="s">
        <v>6650</v>
      </c>
      <c r="J6617" s="24">
        <v>0.0</v>
      </c>
    </row>
    <row r="6618">
      <c r="A6618" s="24">
        <v>58.0</v>
      </c>
      <c r="B6618" s="24">
        <v>0.0</v>
      </c>
      <c r="C6618" s="44">
        <v>25.68</v>
      </c>
      <c r="D6618" s="46">
        <v>45579.0</v>
      </c>
      <c r="E6618" s="24" t="s">
        <v>6650</v>
      </c>
      <c r="F6618" s="24">
        <v>442.76</v>
      </c>
      <c r="G6618" s="24">
        <v>0.0</v>
      </c>
      <c r="H6618" s="24" t="s">
        <v>6714</v>
      </c>
      <c r="I6618" s="24">
        <v>25.68</v>
      </c>
      <c r="J6618" s="24">
        <v>0.0</v>
      </c>
    </row>
    <row r="6619">
      <c r="A6619" s="24">
        <v>189.0</v>
      </c>
      <c r="B6619" s="24">
        <v>2.0</v>
      </c>
      <c r="C6619" s="44">
        <v>46.66</v>
      </c>
      <c r="D6619" s="46">
        <v>45579.0</v>
      </c>
      <c r="E6619" s="24">
        <v>23.33</v>
      </c>
      <c r="F6619" s="24">
        <v>246.88</v>
      </c>
      <c r="G6619" s="24">
        <v>1.06</v>
      </c>
      <c r="H6619" s="24" t="s">
        <v>6716</v>
      </c>
      <c r="I6619" s="24" t="s">
        <v>6650</v>
      </c>
      <c r="J6619" s="24">
        <v>0.0</v>
      </c>
    </row>
    <row r="6620">
      <c r="A6620" s="24">
        <v>959.0</v>
      </c>
      <c r="B6620" s="24">
        <v>5.0</v>
      </c>
      <c r="C6620" s="44">
        <v>49.66</v>
      </c>
      <c r="D6620" s="46">
        <v>45580.0</v>
      </c>
      <c r="E6620" s="24">
        <v>9.93</v>
      </c>
      <c r="F6620" s="24">
        <v>51.78</v>
      </c>
      <c r="G6620" s="24">
        <v>0.52</v>
      </c>
      <c r="H6620" s="24" t="s">
        <v>6716</v>
      </c>
      <c r="I6620" s="24">
        <v>49.66</v>
      </c>
      <c r="J6620" s="24">
        <v>0.0</v>
      </c>
    </row>
    <row r="6621">
      <c r="A6621" s="24">
        <v>403.0</v>
      </c>
      <c r="B6621" s="24">
        <v>1.0</v>
      </c>
      <c r="C6621" s="44">
        <v>40.83</v>
      </c>
      <c r="D6621" s="46">
        <v>45580.0</v>
      </c>
      <c r="E6621" s="24">
        <v>40.83</v>
      </c>
      <c r="F6621" s="24">
        <v>101.32</v>
      </c>
      <c r="G6621" s="24">
        <v>0.25</v>
      </c>
      <c r="H6621" s="24" t="s">
        <v>6715</v>
      </c>
      <c r="I6621" s="24">
        <v>40.83</v>
      </c>
      <c r="J6621" s="24">
        <v>0.0</v>
      </c>
    </row>
    <row r="6622">
      <c r="A6622" s="24">
        <v>1549.0</v>
      </c>
      <c r="B6622" s="24">
        <v>10.0</v>
      </c>
      <c r="C6622" s="44">
        <v>18.04</v>
      </c>
      <c r="D6622" s="46">
        <v>45580.0</v>
      </c>
      <c r="E6622" s="24">
        <v>1.8</v>
      </c>
      <c r="F6622" s="24">
        <v>11.65</v>
      </c>
      <c r="G6622" s="24">
        <v>0.65</v>
      </c>
      <c r="H6622" s="24" t="s">
        <v>6717</v>
      </c>
      <c r="I6622" s="24">
        <v>9.02</v>
      </c>
      <c r="J6622" s="24">
        <v>0.0</v>
      </c>
    </row>
    <row r="6623">
      <c r="A6623" s="24">
        <v>47.0</v>
      </c>
      <c r="B6623" s="24">
        <v>0.0</v>
      </c>
      <c r="C6623" s="44">
        <v>21.89</v>
      </c>
      <c r="D6623" s="46">
        <v>45580.0</v>
      </c>
      <c r="E6623" s="24" t="s">
        <v>6650</v>
      </c>
      <c r="F6623" s="24">
        <v>465.74</v>
      </c>
      <c r="G6623" s="24">
        <v>0.0</v>
      </c>
      <c r="H6623" s="24" t="s">
        <v>6718</v>
      </c>
      <c r="I6623" s="24" t="s">
        <v>6650</v>
      </c>
      <c r="J6623" s="24">
        <v>0.0</v>
      </c>
    </row>
    <row r="6624">
      <c r="A6624" s="24">
        <v>151.0</v>
      </c>
      <c r="B6624" s="24">
        <v>1.0</v>
      </c>
      <c r="C6624" s="44">
        <v>26.46</v>
      </c>
      <c r="D6624" s="46">
        <v>45580.0</v>
      </c>
      <c r="E6624" s="24">
        <v>26.46</v>
      </c>
      <c r="F6624" s="24">
        <v>175.23</v>
      </c>
      <c r="G6624" s="24">
        <v>0.66</v>
      </c>
      <c r="H6624" s="24" t="s">
        <v>6714</v>
      </c>
      <c r="I6624" s="24" t="s">
        <v>6650</v>
      </c>
      <c r="J6624" s="24">
        <v>0.0</v>
      </c>
    </row>
    <row r="6625">
      <c r="A6625" s="24">
        <v>2198.0</v>
      </c>
      <c r="B6625" s="24">
        <v>14.0</v>
      </c>
      <c r="C6625" s="44">
        <v>17.89</v>
      </c>
      <c r="D6625" s="46">
        <v>45581.0</v>
      </c>
      <c r="E6625" s="24">
        <v>1.28</v>
      </c>
      <c r="F6625" s="24">
        <v>8.14</v>
      </c>
      <c r="G6625" s="24">
        <v>0.64</v>
      </c>
      <c r="H6625" s="24" t="s">
        <v>6717</v>
      </c>
      <c r="I6625" s="24" t="s">
        <v>6650</v>
      </c>
      <c r="J6625" s="24">
        <v>0.0</v>
      </c>
    </row>
    <row r="6626">
      <c r="A6626" s="24">
        <v>59.0</v>
      </c>
      <c r="B6626" s="24">
        <v>0.0</v>
      </c>
      <c r="C6626" s="44">
        <v>19.71</v>
      </c>
      <c r="D6626" s="46">
        <v>45581.0</v>
      </c>
      <c r="E6626" s="24" t="s">
        <v>6650</v>
      </c>
      <c r="F6626" s="24">
        <v>334.07</v>
      </c>
      <c r="G6626" s="24">
        <v>0.0</v>
      </c>
      <c r="H6626" s="24" t="s">
        <v>6718</v>
      </c>
      <c r="I6626" s="24" t="s">
        <v>6650</v>
      </c>
      <c r="J6626" s="24">
        <v>0.0</v>
      </c>
    </row>
    <row r="6627">
      <c r="A6627" s="24">
        <v>1107.0</v>
      </c>
      <c r="B6627" s="24">
        <v>6.0</v>
      </c>
      <c r="C6627" s="44">
        <v>47.55</v>
      </c>
      <c r="D6627" s="46">
        <v>45581.0</v>
      </c>
      <c r="E6627" s="24">
        <v>7.92</v>
      </c>
      <c r="F6627" s="24">
        <v>42.95</v>
      </c>
      <c r="G6627" s="24">
        <v>0.54</v>
      </c>
      <c r="H6627" s="24" t="s">
        <v>6716</v>
      </c>
      <c r="I6627" s="24" t="s">
        <v>6650</v>
      </c>
      <c r="J6627" s="24">
        <v>0.0</v>
      </c>
    </row>
    <row r="6628">
      <c r="A6628" s="24">
        <v>610.0</v>
      </c>
      <c r="B6628" s="24">
        <v>2.0</v>
      </c>
      <c r="C6628" s="44">
        <v>37.55</v>
      </c>
      <c r="D6628" s="46">
        <v>45581.0</v>
      </c>
      <c r="E6628" s="24">
        <v>18.77</v>
      </c>
      <c r="F6628" s="24">
        <v>61.56</v>
      </c>
      <c r="G6628" s="24">
        <v>0.33</v>
      </c>
      <c r="H6628" s="24" t="s">
        <v>6715</v>
      </c>
      <c r="I6628" s="24" t="s">
        <v>6650</v>
      </c>
      <c r="J6628" s="24">
        <v>0.0</v>
      </c>
    </row>
    <row r="6629">
      <c r="A6629" s="24">
        <v>361.0</v>
      </c>
      <c r="B6629" s="24">
        <v>0.0</v>
      </c>
      <c r="C6629" s="44">
        <v>22.72</v>
      </c>
      <c r="D6629" s="46">
        <v>45581.0</v>
      </c>
      <c r="E6629" s="24" t="s">
        <v>6650</v>
      </c>
      <c r="F6629" s="24">
        <v>62.94</v>
      </c>
      <c r="G6629" s="24">
        <v>0.0</v>
      </c>
      <c r="H6629" s="24" t="s">
        <v>6714</v>
      </c>
      <c r="I6629" s="24" t="s">
        <v>6650</v>
      </c>
      <c r="J6629" s="24">
        <v>0.0</v>
      </c>
    </row>
    <row r="6630">
      <c r="A6630" s="24">
        <v>608.0</v>
      </c>
      <c r="B6630" s="24">
        <v>2.0</v>
      </c>
      <c r="C6630" s="44">
        <v>48.99</v>
      </c>
      <c r="D6630" s="46">
        <v>45582.0</v>
      </c>
      <c r="E6630" s="24">
        <v>24.5</v>
      </c>
      <c r="F6630" s="24">
        <v>80.58</v>
      </c>
      <c r="G6630" s="24">
        <v>0.33</v>
      </c>
      <c r="H6630" s="24" t="s">
        <v>6716</v>
      </c>
      <c r="I6630" s="24">
        <v>48.99</v>
      </c>
      <c r="J6630" s="24">
        <v>0.0</v>
      </c>
    </row>
    <row r="6631">
      <c r="A6631" s="24">
        <v>1056.0</v>
      </c>
      <c r="B6631" s="24">
        <v>6.0</v>
      </c>
      <c r="C6631" s="44">
        <v>38.38</v>
      </c>
      <c r="D6631" s="46">
        <v>45582.0</v>
      </c>
      <c r="E6631" s="24">
        <v>6.4</v>
      </c>
      <c r="F6631" s="24">
        <v>36.34</v>
      </c>
      <c r="G6631" s="24">
        <v>0.57</v>
      </c>
      <c r="H6631" s="24" t="s">
        <v>6715</v>
      </c>
      <c r="I6631" s="24">
        <v>38.38</v>
      </c>
      <c r="J6631" s="24">
        <v>0.0</v>
      </c>
    </row>
    <row r="6632">
      <c r="A6632" s="24">
        <v>533.0</v>
      </c>
      <c r="B6632" s="24">
        <v>2.0</v>
      </c>
      <c r="C6632" s="44">
        <v>22.57</v>
      </c>
      <c r="D6632" s="46">
        <v>45582.0</v>
      </c>
      <c r="E6632" s="24">
        <v>11.28</v>
      </c>
      <c r="F6632" s="24">
        <v>42.35</v>
      </c>
      <c r="G6632" s="24">
        <v>0.38</v>
      </c>
      <c r="H6632" s="24" t="s">
        <v>6714</v>
      </c>
      <c r="I6632" s="24" t="s">
        <v>6650</v>
      </c>
      <c r="J6632" s="24">
        <v>0.0</v>
      </c>
    </row>
    <row r="6633">
      <c r="A6633" s="24">
        <v>2025.0</v>
      </c>
      <c r="B6633" s="24">
        <v>8.0</v>
      </c>
      <c r="C6633" s="44">
        <v>17.83</v>
      </c>
      <c r="D6633" s="46">
        <v>45582.0</v>
      </c>
      <c r="E6633" s="24">
        <v>2.23</v>
      </c>
      <c r="F6633" s="24">
        <v>8.8</v>
      </c>
      <c r="G6633" s="24">
        <v>0.4</v>
      </c>
      <c r="H6633" s="24" t="s">
        <v>6717</v>
      </c>
      <c r="I6633" s="24" t="s">
        <v>6650</v>
      </c>
      <c r="J6633" s="24">
        <v>0.0</v>
      </c>
    </row>
    <row r="6634">
      <c r="A6634" s="24">
        <v>59.0</v>
      </c>
      <c r="B6634" s="24">
        <v>0.0</v>
      </c>
      <c r="C6634" s="44">
        <v>20.71</v>
      </c>
      <c r="D6634" s="46">
        <v>45582.0</v>
      </c>
      <c r="E6634" s="24" t="s">
        <v>6650</v>
      </c>
      <c r="F6634" s="24">
        <v>351.02</v>
      </c>
      <c r="G6634" s="24">
        <v>0.0</v>
      </c>
      <c r="H6634" s="24" t="s">
        <v>6718</v>
      </c>
      <c r="I6634" s="24" t="s">
        <v>6650</v>
      </c>
      <c r="J6634" s="24">
        <v>0.0</v>
      </c>
    </row>
    <row r="6635">
      <c r="A6635" s="24">
        <v>53.0</v>
      </c>
      <c r="B6635" s="24">
        <v>0.0</v>
      </c>
      <c r="C6635" s="44">
        <v>19.96</v>
      </c>
      <c r="D6635" s="46">
        <v>45583.0</v>
      </c>
      <c r="E6635" s="24" t="s">
        <v>6650</v>
      </c>
      <c r="F6635" s="24">
        <v>376.6</v>
      </c>
      <c r="G6635" s="24">
        <v>0.0</v>
      </c>
      <c r="H6635" s="24" t="s">
        <v>6718</v>
      </c>
      <c r="I6635" s="24" t="s">
        <v>6650</v>
      </c>
      <c r="J6635" s="24">
        <v>0.0</v>
      </c>
    </row>
    <row r="6636">
      <c r="A6636" s="24">
        <v>348.0</v>
      </c>
      <c r="B6636" s="24">
        <v>2.0</v>
      </c>
      <c r="C6636" s="44">
        <v>20.62</v>
      </c>
      <c r="D6636" s="46">
        <v>45583.0</v>
      </c>
      <c r="E6636" s="24">
        <v>10.31</v>
      </c>
      <c r="F6636" s="24">
        <v>59.25</v>
      </c>
      <c r="G6636" s="24">
        <v>0.57</v>
      </c>
      <c r="H6636" s="24" t="s">
        <v>6714</v>
      </c>
      <c r="I6636" s="24">
        <v>20.62</v>
      </c>
      <c r="J6636" s="24">
        <v>0.0</v>
      </c>
    </row>
    <row r="6637">
      <c r="A6637" s="24">
        <v>218.0</v>
      </c>
      <c r="B6637" s="24">
        <v>4.0</v>
      </c>
      <c r="C6637" s="44">
        <v>36.07</v>
      </c>
      <c r="D6637" s="46">
        <v>45583.0</v>
      </c>
      <c r="E6637" s="24">
        <v>9.02</v>
      </c>
      <c r="F6637" s="24">
        <v>165.46</v>
      </c>
      <c r="G6637" s="24">
        <v>1.83</v>
      </c>
      <c r="H6637" s="24" t="s">
        <v>6716</v>
      </c>
      <c r="I6637" s="24">
        <v>18.04</v>
      </c>
      <c r="J6637" s="24">
        <v>0.0</v>
      </c>
    </row>
    <row r="6638">
      <c r="A6638" s="24">
        <v>1697.0</v>
      </c>
      <c r="B6638" s="24">
        <v>9.0</v>
      </c>
      <c r="C6638" s="44">
        <v>15.9</v>
      </c>
      <c r="D6638" s="46">
        <v>45583.0</v>
      </c>
      <c r="E6638" s="24">
        <v>1.77</v>
      </c>
      <c r="F6638" s="24">
        <v>9.37</v>
      </c>
      <c r="G6638" s="24">
        <v>0.53</v>
      </c>
      <c r="H6638" s="24" t="s">
        <v>6717</v>
      </c>
      <c r="I6638" s="24">
        <v>15.9</v>
      </c>
      <c r="J6638" s="24">
        <v>0.0</v>
      </c>
    </row>
    <row r="6639">
      <c r="A6639" s="24">
        <v>737.0</v>
      </c>
      <c r="B6639" s="24">
        <v>6.0</v>
      </c>
      <c r="C6639" s="44">
        <v>33.57</v>
      </c>
      <c r="D6639" s="46">
        <v>45583.0</v>
      </c>
      <c r="E6639" s="24">
        <v>5.6</v>
      </c>
      <c r="F6639" s="24">
        <v>45.55</v>
      </c>
      <c r="G6639" s="24">
        <v>0.81</v>
      </c>
      <c r="H6639" s="24" t="s">
        <v>6715</v>
      </c>
      <c r="I6639" s="24">
        <v>16.78</v>
      </c>
      <c r="J6639" s="24">
        <v>0.0</v>
      </c>
    </row>
    <row r="6640">
      <c r="A6640" s="24">
        <v>400.0</v>
      </c>
      <c r="B6640" s="24">
        <v>1.0</v>
      </c>
      <c r="C6640" s="44">
        <v>20.09</v>
      </c>
      <c r="D6640" s="46">
        <v>45584.0</v>
      </c>
      <c r="E6640" s="24">
        <v>20.09</v>
      </c>
      <c r="F6640" s="24">
        <v>50.22</v>
      </c>
      <c r="G6640" s="24">
        <v>0.25</v>
      </c>
      <c r="H6640" s="24" t="s">
        <v>6715</v>
      </c>
      <c r="I6640" s="24">
        <v>20.09</v>
      </c>
      <c r="J6640" s="24">
        <v>0.0</v>
      </c>
    </row>
    <row r="6641">
      <c r="A6641" s="24">
        <v>146.0</v>
      </c>
      <c r="B6641" s="24">
        <v>1.0</v>
      </c>
      <c r="C6641" s="44">
        <v>28.31</v>
      </c>
      <c r="D6641" s="46">
        <v>45584.0</v>
      </c>
      <c r="E6641" s="24">
        <v>28.31</v>
      </c>
      <c r="F6641" s="24">
        <v>193.9</v>
      </c>
      <c r="G6641" s="24">
        <v>0.68</v>
      </c>
      <c r="H6641" s="24" t="s">
        <v>6716</v>
      </c>
      <c r="I6641" s="24">
        <v>28.31</v>
      </c>
      <c r="J6641" s="24">
        <v>0.0</v>
      </c>
    </row>
    <row r="6642">
      <c r="A6642" s="24">
        <v>1067.0</v>
      </c>
      <c r="B6642" s="24">
        <v>4.0</v>
      </c>
      <c r="C6642" s="44">
        <v>9.5</v>
      </c>
      <c r="D6642" s="46">
        <v>45584.0</v>
      </c>
      <c r="E6642" s="24">
        <v>2.38</v>
      </c>
      <c r="F6642" s="24">
        <v>8.9</v>
      </c>
      <c r="G6642" s="24">
        <v>0.37</v>
      </c>
      <c r="H6642" s="24" t="s">
        <v>6717</v>
      </c>
      <c r="I6642" s="24" t="s">
        <v>6650</v>
      </c>
      <c r="J6642" s="24">
        <v>0.0</v>
      </c>
    </row>
    <row r="6643">
      <c r="A6643" s="24">
        <v>102.0</v>
      </c>
      <c r="B6643" s="24">
        <v>0.0</v>
      </c>
      <c r="C6643" s="44">
        <v>12.8</v>
      </c>
      <c r="D6643" s="46">
        <v>45584.0</v>
      </c>
      <c r="E6643" s="24" t="s">
        <v>6650</v>
      </c>
      <c r="F6643" s="24">
        <v>125.49</v>
      </c>
      <c r="G6643" s="24">
        <v>0.0</v>
      </c>
      <c r="H6643" s="24" t="s">
        <v>6714</v>
      </c>
      <c r="I6643" s="24" t="s">
        <v>6650</v>
      </c>
      <c r="J6643" s="24">
        <v>0.0</v>
      </c>
    </row>
    <row r="6644">
      <c r="A6644" s="24">
        <v>18.0</v>
      </c>
      <c r="B6644" s="24">
        <v>1.0</v>
      </c>
      <c r="C6644" s="44">
        <v>11.76</v>
      </c>
      <c r="D6644" s="46">
        <v>45584.0</v>
      </c>
      <c r="E6644" s="24">
        <v>11.76</v>
      </c>
      <c r="F6644" s="24">
        <v>653.33</v>
      </c>
      <c r="G6644" s="24">
        <v>5.56</v>
      </c>
      <c r="H6644" s="24" t="s">
        <v>6718</v>
      </c>
      <c r="I6644" s="24" t="s">
        <v>6650</v>
      </c>
      <c r="J6644" s="24">
        <v>0.0</v>
      </c>
    </row>
    <row r="6645">
      <c r="A6645" s="24">
        <v>106.0</v>
      </c>
      <c r="B6645" s="24">
        <v>1.0</v>
      </c>
      <c r="C6645" s="44">
        <v>16.26</v>
      </c>
      <c r="D6645" s="46">
        <v>45585.0</v>
      </c>
      <c r="E6645" s="24">
        <v>16.26</v>
      </c>
      <c r="F6645" s="24">
        <v>153.4</v>
      </c>
      <c r="G6645" s="24">
        <v>0.94</v>
      </c>
      <c r="H6645" s="24" t="s">
        <v>6715</v>
      </c>
      <c r="I6645" s="24" t="s">
        <v>6650</v>
      </c>
      <c r="J6645" s="24">
        <v>0.0</v>
      </c>
    </row>
    <row r="6646">
      <c r="A6646" s="24">
        <v>875.0</v>
      </c>
      <c r="B6646" s="24">
        <v>4.0</v>
      </c>
      <c r="C6646" s="44">
        <v>8.81</v>
      </c>
      <c r="D6646" s="46">
        <v>45585.0</v>
      </c>
      <c r="E6646" s="24">
        <v>2.2</v>
      </c>
      <c r="F6646" s="24">
        <v>10.07</v>
      </c>
      <c r="G6646" s="24">
        <v>0.46</v>
      </c>
      <c r="H6646" s="24" t="s">
        <v>6717</v>
      </c>
      <c r="I6646" s="24" t="s">
        <v>6650</v>
      </c>
      <c r="J6646" s="24">
        <v>0.0</v>
      </c>
    </row>
    <row r="6647">
      <c r="A6647" s="24">
        <v>107.0</v>
      </c>
      <c r="B6647" s="24">
        <v>1.0</v>
      </c>
      <c r="C6647" s="44">
        <v>22.76</v>
      </c>
      <c r="D6647" s="46">
        <v>45585.0</v>
      </c>
      <c r="E6647" s="24">
        <v>22.76</v>
      </c>
      <c r="F6647" s="24">
        <v>212.71</v>
      </c>
      <c r="G6647" s="24">
        <v>0.93</v>
      </c>
      <c r="H6647" s="24" t="s">
        <v>6716</v>
      </c>
      <c r="I6647" s="24" t="s">
        <v>6650</v>
      </c>
      <c r="J6647" s="24">
        <v>0.0</v>
      </c>
    </row>
    <row r="6648">
      <c r="A6648" s="24">
        <v>33.0</v>
      </c>
      <c r="B6648" s="24">
        <v>0.0</v>
      </c>
      <c r="C6648" s="44">
        <v>9.15</v>
      </c>
      <c r="D6648" s="46">
        <v>45585.0</v>
      </c>
      <c r="E6648" s="24" t="s">
        <v>6650</v>
      </c>
      <c r="F6648" s="24">
        <v>277.27</v>
      </c>
      <c r="G6648" s="24">
        <v>0.0</v>
      </c>
      <c r="H6648" s="24" t="s">
        <v>6714</v>
      </c>
      <c r="I6648" s="24" t="s">
        <v>6650</v>
      </c>
      <c r="J6648" s="24">
        <v>0.0</v>
      </c>
    </row>
    <row r="6649">
      <c r="A6649" s="24">
        <v>17.0</v>
      </c>
      <c r="B6649" s="24">
        <v>0.0</v>
      </c>
      <c r="C6649" s="44">
        <v>9.94</v>
      </c>
      <c r="D6649" s="46">
        <v>45585.0</v>
      </c>
      <c r="E6649" s="24" t="s">
        <v>6650</v>
      </c>
      <c r="F6649" s="24">
        <v>584.71</v>
      </c>
      <c r="G6649" s="24">
        <v>0.0</v>
      </c>
      <c r="H6649" s="24" t="s">
        <v>6718</v>
      </c>
      <c r="I6649" s="24" t="s">
        <v>6650</v>
      </c>
      <c r="J6649" s="24">
        <v>0.0</v>
      </c>
    </row>
    <row r="6650">
      <c r="A6650" s="24">
        <v>575.0</v>
      </c>
      <c r="B6650" s="24">
        <v>7.0</v>
      </c>
      <c r="C6650" s="44">
        <v>45.94</v>
      </c>
      <c r="D6650" s="46">
        <v>45586.0</v>
      </c>
      <c r="E6650" s="24">
        <v>6.56</v>
      </c>
      <c r="F6650" s="24">
        <v>79.9</v>
      </c>
      <c r="G6650" s="24">
        <v>1.22</v>
      </c>
      <c r="H6650" s="24" t="s">
        <v>6716</v>
      </c>
      <c r="I6650" s="24" t="s">
        <v>6650</v>
      </c>
      <c r="J6650" s="24">
        <v>0.0</v>
      </c>
    </row>
    <row r="6651">
      <c r="A6651" s="24">
        <v>43.0</v>
      </c>
      <c r="B6651" s="24">
        <v>0.0</v>
      </c>
      <c r="C6651" s="44">
        <v>19.17</v>
      </c>
      <c r="D6651" s="46">
        <v>45586.0</v>
      </c>
      <c r="E6651" s="24" t="s">
        <v>6650</v>
      </c>
      <c r="F6651" s="24">
        <v>445.81</v>
      </c>
      <c r="G6651" s="24">
        <v>0.0</v>
      </c>
      <c r="H6651" s="24" t="s">
        <v>6718</v>
      </c>
      <c r="I6651" s="24" t="s">
        <v>6650</v>
      </c>
      <c r="J6651" s="24">
        <v>0.0</v>
      </c>
    </row>
    <row r="6652">
      <c r="A6652" s="24">
        <v>384.0</v>
      </c>
      <c r="B6652" s="24">
        <v>0.0</v>
      </c>
      <c r="C6652" s="44">
        <v>23.12</v>
      </c>
      <c r="D6652" s="46">
        <v>45586.0</v>
      </c>
      <c r="E6652" s="24" t="s">
        <v>6650</v>
      </c>
      <c r="F6652" s="24">
        <v>60.21</v>
      </c>
      <c r="G6652" s="24">
        <v>0.0</v>
      </c>
      <c r="H6652" s="24" t="s">
        <v>6714</v>
      </c>
      <c r="I6652" s="24" t="s">
        <v>6650</v>
      </c>
      <c r="J6652" s="24">
        <v>0.0</v>
      </c>
    </row>
    <row r="6653">
      <c r="A6653" s="24">
        <v>435.0</v>
      </c>
      <c r="B6653" s="24">
        <v>2.0</v>
      </c>
      <c r="C6653" s="44">
        <v>36.1</v>
      </c>
      <c r="D6653" s="46">
        <v>45586.0</v>
      </c>
      <c r="E6653" s="24">
        <v>18.05</v>
      </c>
      <c r="F6653" s="24">
        <v>82.99</v>
      </c>
      <c r="G6653" s="24">
        <v>0.46</v>
      </c>
      <c r="H6653" s="24" t="s">
        <v>6715</v>
      </c>
      <c r="I6653" s="24" t="s">
        <v>6650</v>
      </c>
      <c r="J6653" s="24">
        <v>0.0</v>
      </c>
    </row>
    <row r="6654">
      <c r="A6654" s="24">
        <v>1969.0</v>
      </c>
      <c r="B6654" s="24">
        <v>16.0</v>
      </c>
      <c r="C6654" s="44">
        <v>17.12</v>
      </c>
      <c r="D6654" s="46">
        <v>45586.0</v>
      </c>
      <c r="E6654" s="24">
        <v>1.07</v>
      </c>
      <c r="F6654" s="24">
        <v>8.69</v>
      </c>
      <c r="G6654" s="24">
        <v>0.81</v>
      </c>
      <c r="H6654" s="24" t="s">
        <v>6717</v>
      </c>
      <c r="I6654" s="24" t="s">
        <v>6650</v>
      </c>
      <c r="J6654" s="24">
        <v>0.0</v>
      </c>
    </row>
    <row r="6655">
      <c r="A6655" s="24">
        <v>883.0</v>
      </c>
      <c r="B6655" s="24">
        <v>4.0</v>
      </c>
      <c r="C6655" s="44">
        <v>49.06</v>
      </c>
      <c r="D6655" s="46">
        <v>45587.0</v>
      </c>
      <c r="E6655" s="24">
        <v>12.26</v>
      </c>
      <c r="F6655" s="24">
        <v>55.56</v>
      </c>
      <c r="G6655" s="24">
        <v>0.45</v>
      </c>
      <c r="H6655" s="24" t="s">
        <v>6716</v>
      </c>
      <c r="I6655" s="24" t="s">
        <v>6650</v>
      </c>
      <c r="J6655" s="24">
        <v>0.0</v>
      </c>
    </row>
    <row r="6656">
      <c r="A6656" s="24">
        <v>37.0</v>
      </c>
      <c r="B6656" s="24">
        <v>0.0</v>
      </c>
      <c r="C6656" s="44">
        <v>17.57</v>
      </c>
      <c r="D6656" s="46">
        <v>45587.0</v>
      </c>
      <c r="E6656" s="24" t="s">
        <v>6650</v>
      </c>
      <c r="F6656" s="24">
        <v>474.86</v>
      </c>
      <c r="G6656" s="24">
        <v>0.0</v>
      </c>
      <c r="H6656" s="24" t="s">
        <v>6718</v>
      </c>
      <c r="I6656" s="24" t="s">
        <v>6650</v>
      </c>
      <c r="J6656" s="24">
        <v>0.0</v>
      </c>
    </row>
    <row r="6657">
      <c r="A6657" s="24">
        <v>514.0</v>
      </c>
      <c r="B6657" s="24">
        <v>3.0</v>
      </c>
      <c r="C6657" s="44">
        <v>24.44</v>
      </c>
      <c r="D6657" s="46">
        <v>45587.0</v>
      </c>
      <c r="E6657" s="24">
        <v>8.15</v>
      </c>
      <c r="F6657" s="24">
        <v>47.55</v>
      </c>
      <c r="G6657" s="24">
        <v>0.58</v>
      </c>
      <c r="H6657" s="24" t="s">
        <v>6714</v>
      </c>
      <c r="I6657" s="24" t="s">
        <v>6650</v>
      </c>
      <c r="J6657" s="24">
        <v>0.0</v>
      </c>
    </row>
    <row r="6658">
      <c r="A6658" s="24">
        <v>727.0</v>
      </c>
      <c r="B6658" s="24">
        <v>2.0</v>
      </c>
      <c r="C6658" s="44">
        <v>39.95</v>
      </c>
      <c r="D6658" s="46">
        <v>45587.0</v>
      </c>
      <c r="E6658" s="24">
        <v>19.98</v>
      </c>
      <c r="F6658" s="24">
        <v>54.95</v>
      </c>
      <c r="G6658" s="24">
        <v>0.28</v>
      </c>
      <c r="H6658" s="24" t="s">
        <v>6715</v>
      </c>
      <c r="I6658" s="24" t="s">
        <v>6650</v>
      </c>
      <c r="J6658" s="24">
        <v>0.0</v>
      </c>
    </row>
    <row r="6659">
      <c r="A6659" s="24">
        <v>1649.0</v>
      </c>
      <c r="B6659" s="24">
        <v>10.0</v>
      </c>
      <c r="C6659" s="44">
        <v>18.72</v>
      </c>
      <c r="D6659" s="46">
        <v>45587.0</v>
      </c>
      <c r="E6659" s="24">
        <v>1.87</v>
      </c>
      <c r="F6659" s="24">
        <v>11.35</v>
      </c>
      <c r="G6659" s="24">
        <v>0.61</v>
      </c>
      <c r="H6659" s="24" t="s">
        <v>6717</v>
      </c>
      <c r="I6659" s="24" t="s">
        <v>6650</v>
      </c>
      <c r="J6659" s="24">
        <v>0.0</v>
      </c>
    </row>
    <row r="6660">
      <c r="A6660" s="24">
        <v>1166.0</v>
      </c>
      <c r="B6660" s="24">
        <v>10.0</v>
      </c>
      <c r="C6660" s="44">
        <v>19.28</v>
      </c>
      <c r="D6660" s="46">
        <v>45588.0</v>
      </c>
      <c r="E6660" s="24">
        <v>1.93</v>
      </c>
      <c r="F6660" s="24">
        <v>16.54</v>
      </c>
      <c r="G6660" s="24">
        <v>0.86</v>
      </c>
      <c r="H6660" s="24" t="s">
        <v>6717</v>
      </c>
      <c r="I6660" s="24" t="s">
        <v>6650</v>
      </c>
      <c r="J6660" s="24">
        <v>0.0</v>
      </c>
    </row>
    <row r="6661">
      <c r="A6661" s="24">
        <v>34.0</v>
      </c>
      <c r="B6661" s="24">
        <v>1.0</v>
      </c>
      <c r="C6661" s="44">
        <v>11.08</v>
      </c>
      <c r="D6661" s="46">
        <v>45588.0</v>
      </c>
      <c r="E6661" s="24">
        <v>11.08</v>
      </c>
      <c r="F6661" s="24">
        <v>325.88</v>
      </c>
      <c r="G6661" s="24">
        <v>2.94</v>
      </c>
      <c r="H6661" s="24" t="s">
        <v>6718</v>
      </c>
      <c r="I6661" s="24" t="s">
        <v>6650</v>
      </c>
      <c r="J6661" s="24">
        <v>0.0</v>
      </c>
    </row>
    <row r="6662">
      <c r="A6662" s="24">
        <v>917.0</v>
      </c>
      <c r="B6662" s="24">
        <v>3.0</v>
      </c>
      <c r="C6662" s="44">
        <v>38.84</v>
      </c>
      <c r="D6662" s="46">
        <v>45588.0</v>
      </c>
      <c r="E6662" s="24">
        <v>12.95</v>
      </c>
      <c r="F6662" s="24">
        <v>42.36</v>
      </c>
      <c r="G6662" s="24">
        <v>0.33</v>
      </c>
      <c r="H6662" s="24" t="s">
        <v>6715</v>
      </c>
      <c r="I6662" s="24" t="s">
        <v>6650</v>
      </c>
      <c r="J6662" s="24">
        <v>0.0</v>
      </c>
    </row>
    <row r="6663">
      <c r="A6663" s="24">
        <v>418.0</v>
      </c>
      <c r="B6663" s="24">
        <v>1.0</v>
      </c>
      <c r="C6663" s="44">
        <v>49.19</v>
      </c>
      <c r="D6663" s="46">
        <v>45588.0</v>
      </c>
      <c r="E6663" s="24">
        <v>49.19</v>
      </c>
      <c r="F6663" s="24">
        <v>117.68</v>
      </c>
      <c r="G6663" s="24">
        <v>0.24</v>
      </c>
      <c r="H6663" s="24" t="s">
        <v>6716</v>
      </c>
      <c r="I6663" s="24">
        <v>49.19</v>
      </c>
      <c r="J6663" s="24">
        <v>0.0</v>
      </c>
    </row>
    <row r="6664">
      <c r="A6664" s="24">
        <v>183.0</v>
      </c>
      <c r="B6664" s="24">
        <v>1.0</v>
      </c>
      <c r="C6664" s="44">
        <v>24.22</v>
      </c>
      <c r="D6664" s="46">
        <v>45588.0</v>
      </c>
      <c r="E6664" s="24">
        <v>24.22</v>
      </c>
      <c r="F6664" s="24">
        <v>132.35</v>
      </c>
      <c r="G6664" s="24">
        <v>0.55</v>
      </c>
      <c r="H6664" s="24" t="s">
        <v>6714</v>
      </c>
      <c r="I6664" s="24" t="s">
        <v>6650</v>
      </c>
      <c r="J6664" s="24">
        <v>0.0</v>
      </c>
    </row>
    <row r="6665">
      <c r="A6665" s="24">
        <v>1409.0</v>
      </c>
      <c r="B6665" s="24">
        <v>10.0</v>
      </c>
      <c r="C6665" s="44">
        <v>17.26</v>
      </c>
      <c r="D6665" s="46">
        <v>45589.0</v>
      </c>
      <c r="E6665" s="24">
        <v>1.73</v>
      </c>
      <c r="F6665" s="24">
        <v>12.25</v>
      </c>
      <c r="G6665" s="24">
        <v>0.71</v>
      </c>
      <c r="H6665" s="24" t="s">
        <v>6717</v>
      </c>
      <c r="I6665" s="24">
        <v>5.75</v>
      </c>
      <c r="J6665" s="24">
        <v>0.0</v>
      </c>
    </row>
    <row r="6666">
      <c r="A6666" s="24">
        <v>0.0</v>
      </c>
      <c r="B6666" s="24">
        <v>0.0</v>
      </c>
      <c r="C6666" s="44"/>
      <c r="D6666" s="46">
        <v>45589.0</v>
      </c>
      <c r="E6666" s="24" t="s">
        <v>6650</v>
      </c>
      <c r="F6666" s="24" t="s">
        <v>6650</v>
      </c>
      <c r="G6666" s="24" t="s">
        <v>6650</v>
      </c>
      <c r="H6666" s="24" t="s">
        <v>6718</v>
      </c>
      <c r="I6666" s="24" t="s">
        <v>6650</v>
      </c>
      <c r="J6666" s="24"/>
    </row>
    <row r="6667">
      <c r="A6667" s="24">
        <v>468.0</v>
      </c>
      <c r="B6667" s="24">
        <v>0.0</v>
      </c>
      <c r="C6667" s="44">
        <v>42.58</v>
      </c>
      <c r="D6667" s="46">
        <v>45589.0</v>
      </c>
      <c r="E6667" s="24" t="s">
        <v>6650</v>
      </c>
      <c r="F6667" s="24">
        <v>90.98</v>
      </c>
      <c r="G6667" s="24">
        <v>0.0</v>
      </c>
      <c r="H6667" s="24" t="s">
        <v>6716</v>
      </c>
      <c r="I6667" s="24">
        <v>42.58</v>
      </c>
      <c r="J6667" s="24">
        <v>0.0</v>
      </c>
    </row>
    <row r="6668">
      <c r="A6668" s="24">
        <v>819.0</v>
      </c>
      <c r="B6668" s="24">
        <v>4.0</v>
      </c>
      <c r="C6668" s="44">
        <v>38.72</v>
      </c>
      <c r="D6668" s="46">
        <v>45589.0</v>
      </c>
      <c r="E6668" s="24">
        <v>9.68</v>
      </c>
      <c r="F6668" s="24">
        <v>47.28</v>
      </c>
      <c r="G6668" s="24">
        <v>0.49</v>
      </c>
      <c r="H6668" s="24" t="s">
        <v>6715</v>
      </c>
      <c r="I6668" s="24">
        <v>38.72</v>
      </c>
      <c r="J6668" s="24">
        <v>0.0</v>
      </c>
    </row>
    <row r="6669">
      <c r="A6669" s="24">
        <v>143.0</v>
      </c>
      <c r="B6669" s="24">
        <v>2.0</v>
      </c>
      <c r="C6669" s="44">
        <v>24.65</v>
      </c>
      <c r="D6669" s="46">
        <v>45589.0</v>
      </c>
      <c r="E6669" s="24">
        <v>12.32</v>
      </c>
      <c r="F6669" s="24">
        <v>172.38</v>
      </c>
      <c r="G6669" s="24">
        <v>1.4</v>
      </c>
      <c r="H6669" s="24" t="s">
        <v>6714</v>
      </c>
      <c r="I6669" s="24">
        <v>12.32</v>
      </c>
      <c r="J6669" s="24">
        <v>0.0</v>
      </c>
    </row>
    <row r="6670">
      <c r="A6670" s="24">
        <v>1138.0</v>
      </c>
      <c r="B6670" s="24">
        <v>7.0</v>
      </c>
      <c r="C6670" s="44">
        <v>15.56</v>
      </c>
      <c r="D6670" s="46">
        <v>45590.0</v>
      </c>
      <c r="E6670" s="24">
        <v>2.22</v>
      </c>
      <c r="F6670" s="24">
        <v>13.67</v>
      </c>
      <c r="G6670" s="24">
        <v>0.62</v>
      </c>
      <c r="H6670" s="24" t="s">
        <v>6717</v>
      </c>
      <c r="I6670" s="24" t="s">
        <v>6650</v>
      </c>
      <c r="J6670" s="24">
        <v>0.0</v>
      </c>
    </row>
    <row r="6671">
      <c r="A6671" s="24">
        <v>340.0</v>
      </c>
      <c r="B6671" s="24">
        <v>1.0</v>
      </c>
      <c r="C6671" s="44">
        <v>39.96</v>
      </c>
      <c r="D6671" s="46">
        <v>45590.0</v>
      </c>
      <c r="E6671" s="24">
        <v>39.96</v>
      </c>
      <c r="F6671" s="24">
        <v>117.53</v>
      </c>
      <c r="G6671" s="24">
        <v>0.29</v>
      </c>
      <c r="H6671" s="24" t="s">
        <v>6716</v>
      </c>
      <c r="I6671" s="24" t="s">
        <v>6650</v>
      </c>
      <c r="J6671" s="24">
        <v>0.0</v>
      </c>
    </row>
    <row r="6672">
      <c r="A6672" s="24">
        <v>310.0</v>
      </c>
      <c r="B6672" s="24">
        <v>3.0</v>
      </c>
      <c r="C6672" s="44">
        <v>33.76</v>
      </c>
      <c r="D6672" s="46">
        <v>45590.0</v>
      </c>
      <c r="E6672" s="24">
        <v>11.25</v>
      </c>
      <c r="F6672" s="24">
        <v>108.9</v>
      </c>
      <c r="G6672" s="24">
        <v>0.97</v>
      </c>
      <c r="H6672" s="24" t="s">
        <v>6715</v>
      </c>
      <c r="I6672" s="24">
        <v>33.76</v>
      </c>
      <c r="J6672" s="24">
        <v>0.0</v>
      </c>
    </row>
    <row r="6673">
      <c r="A6673" s="24">
        <v>54.0</v>
      </c>
      <c r="B6673" s="24">
        <v>0.0</v>
      </c>
      <c r="C6673" s="44">
        <v>19.5</v>
      </c>
      <c r="D6673" s="46">
        <v>45590.0</v>
      </c>
      <c r="E6673" s="24" t="s">
        <v>6650</v>
      </c>
      <c r="F6673" s="24">
        <v>361.11</v>
      </c>
      <c r="G6673" s="24">
        <v>0.0</v>
      </c>
      <c r="H6673" s="24" t="s">
        <v>6714</v>
      </c>
      <c r="I6673" s="24" t="s">
        <v>6650</v>
      </c>
      <c r="J6673" s="24">
        <v>0.0</v>
      </c>
    </row>
    <row r="6674">
      <c r="A6674" s="24">
        <v>567.0</v>
      </c>
      <c r="B6674" s="24">
        <v>3.0</v>
      </c>
      <c r="C6674" s="44">
        <v>9.68</v>
      </c>
      <c r="D6674" s="46">
        <v>45591.0</v>
      </c>
      <c r="E6674" s="24">
        <v>3.23</v>
      </c>
      <c r="F6674" s="24">
        <v>17.07</v>
      </c>
      <c r="G6674" s="24">
        <v>0.53</v>
      </c>
      <c r="H6674" s="24" t="s">
        <v>6717</v>
      </c>
      <c r="I6674" s="24" t="s">
        <v>6650</v>
      </c>
      <c r="J6674" s="24">
        <v>0.0</v>
      </c>
    </row>
    <row r="6675">
      <c r="A6675" s="24">
        <v>69.0</v>
      </c>
      <c r="B6675" s="24">
        <v>0.0</v>
      </c>
      <c r="C6675" s="44">
        <v>13.58</v>
      </c>
      <c r="D6675" s="46">
        <v>45591.0</v>
      </c>
      <c r="E6675" s="24" t="s">
        <v>6650</v>
      </c>
      <c r="F6675" s="24">
        <v>196.81</v>
      </c>
      <c r="G6675" s="24">
        <v>0.0</v>
      </c>
      <c r="H6675" s="24" t="s">
        <v>6714</v>
      </c>
      <c r="I6675" s="24" t="s">
        <v>6650</v>
      </c>
      <c r="J6675" s="24">
        <v>0.0</v>
      </c>
    </row>
    <row r="6676">
      <c r="A6676" s="24">
        <v>135.0</v>
      </c>
      <c r="B6676" s="24">
        <v>0.0</v>
      </c>
      <c r="C6676" s="44">
        <v>22.87</v>
      </c>
      <c r="D6676" s="46">
        <v>45591.0</v>
      </c>
      <c r="E6676" s="24" t="s">
        <v>6650</v>
      </c>
      <c r="F6676" s="24">
        <v>169.41</v>
      </c>
      <c r="G6676" s="24">
        <v>0.0</v>
      </c>
      <c r="H6676" s="24" t="s">
        <v>6715</v>
      </c>
      <c r="I6676" s="24" t="s">
        <v>6650</v>
      </c>
      <c r="J6676" s="24">
        <v>0.0</v>
      </c>
    </row>
    <row r="6677">
      <c r="A6677" s="24">
        <v>214.0</v>
      </c>
      <c r="B6677" s="24">
        <v>1.0</v>
      </c>
      <c r="C6677" s="44">
        <v>29.4</v>
      </c>
      <c r="D6677" s="46">
        <v>45591.0</v>
      </c>
      <c r="E6677" s="24">
        <v>29.4</v>
      </c>
      <c r="F6677" s="24">
        <v>137.38</v>
      </c>
      <c r="G6677" s="24">
        <v>0.47</v>
      </c>
      <c r="H6677" s="24" t="s">
        <v>6716</v>
      </c>
      <c r="I6677" s="24" t="s">
        <v>6650</v>
      </c>
      <c r="J6677" s="24">
        <v>0.0</v>
      </c>
    </row>
    <row r="6678">
      <c r="A6678" s="24">
        <v>115.0</v>
      </c>
      <c r="B6678" s="24">
        <v>0.0</v>
      </c>
      <c r="C6678" s="44">
        <v>12.59</v>
      </c>
      <c r="D6678" s="46">
        <v>45592.0</v>
      </c>
      <c r="E6678" s="24" t="s">
        <v>6650</v>
      </c>
      <c r="F6678" s="24">
        <v>109.48</v>
      </c>
      <c r="G6678" s="24">
        <v>0.0</v>
      </c>
      <c r="H6678" s="24" t="s">
        <v>6715</v>
      </c>
      <c r="I6678" s="24" t="s">
        <v>6650</v>
      </c>
      <c r="J6678" s="24">
        <v>0.0</v>
      </c>
    </row>
    <row r="6679">
      <c r="A6679" s="24">
        <v>149.0</v>
      </c>
      <c r="B6679" s="24">
        <v>1.0</v>
      </c>
      <c r="C6679" s="44">
        <v>23.87</v>
      </c>
      <c r="D6679" s="46">
        <v>45592.0</v>
      </c>
      <c r="E6679" s="24">
        <v>23.87</v>
      </c>
      <c r="F6679" s="24">
        <v>160.2</v>
      </c>
      <c r="G6679" s="24">
        <v>0.67</v>
      </c>
      <c r="H6679" s="24" t="s">
        <v>6716</v>
      </c>
      <c r="I6679" s="24" t="s">
        <v>6650</v>
      </c>
      <c r="J6679" s="24">
        <v>0.0</v>
      </c>
    </row>
    <row r="6680">
      <c r="A6680" s="24">
        <v>713.0</v>
      </c>
      <c r="B6680" s="24">
        <v>5.0</v>
      </c>
      <c r="C6680" s="44">
        <v>7.38</v>
      </c>
      <c r="D6680" s="46">
        <v>45592.0</v>
      </c>
      <c r="E6680" s="24">
        <v>1.48</v>
      </c>
      <c r="F6680" s="24">
        <v>10.35</v>
      </c>
      <c r="G6680" s="24">
        <v>0.7</v>
      </c>
      <c r="H6680" s="24" t="s">
        <v>6717</v>
      </c>
      <c r="I6680" s="24" t="s">
        <v>6650</v>
      </c>
      <c r="J6680" s="24">
        <v>0.0</v>
      </c>
    </row>
    <row r="6681">
      <c r="A6681" s="24">
        <v>53.0</v>
      </c>
      <c r="B6681" s="24">
        <v>0.0</v>
      </c>
      <c r="C6681" s="44">
        <v>10.49</v>
      </c>
      <c r="D6681" s="46">
        <v>45592.0</v>
      </c>
      <c r="E6681" s="24" t="s">
        <v>6650</v>
      </c>
      <c r="F6681" s="24">
        <v>197.92</v>
      </c>
      <c r="G6681" s="24">
        <v>0.0</v>
      </c>
      <c r="H6681" s="24" t="s">
        <v>6714</v>
      </c>
      <c r="I6681" s="24" t="s">
        <v>6650</v>
      </c>
      <c r="J6681" s="24">
        <v>0.0</v>
      </c>
    </row>
    <row r="6682">
      <c r="A6682" s="24">
        <v>622.0</v>
      </c>
      <c r="B6682" s="24">
        <v>2.0</v>
      </c>
      <c r="C6682" s="44">
        <v>45.34</v>
      </c>
      <c r="D6682" s="46">
        <v>45593.0</v>
      </c>
      <c r="E6682" s="24">
        <v>22.67</v>
      </c>
      <c r="F6682" s="24">
        <v>72.89</v>
      </c>
      <c r="G6682" s="24">
        <v>0.32</v>
      </c>
      <c r="H6682" s="24" t="s">
        <v>6716</v>
      </c>
      <c r="I6682" s="24" t="s">
        <v>6650</v>
      </c>
      <c r="J6682" s="24">
        <v>0.0</v>
      </c>
    </row>
    <row r="6683">
      <c r="A6683" s="24">
        <v>477.0</v>
      </c>
      <c r="B6683" s="24">
        <v>1.0</v>
      </c>
      <c r="C6683" s="44">
        <v>23.45</v>
      </c>
      <c r="D6683" s="46">
        <v>45593.0</v>
      </c>
      <c r="E6683" s="24">
        <v>23.45</v>
      </c>
      <c r="F6683" s="24">
        <v>49.16</v>
      </c>
      <c r="G6683" s="24">
        <v>0.21</v>
      </c>
      <c r="H6683" s="24" t="s">
        <v>6714</v>
      </c>
      <c r="I6683" s="24" t="s">
        <v>6650</v>
      </c>
      <c r="J6683" s="24">
        <v>0.0</v>
      </c>
    </row>
    <row r="6684">
      <c r="A6684" s="24">
        <v>747.0</v>
      </c>
      <c r="B6684" s="24">
        <v>6.0</v>
      </c>
      <c r="C6684" s="44">
        <v>35.7</v>
      </c>
      <c r="D6684" s="46">
        <v>45593.0</v>
      </c>
      <c r="E6684" s="24">
        <v>5.95</v>
      </c>
      <c r="F6684" s="24">
        <v>47.79</v>
      </c>
      <c r="G6684" s="24">
        <v>0.8</v>
      </c>
      <c r="H6684" s="24" t="s">
        <v>6715</v>
      </c>
      <c r="I6684" s="24" t="s">
        <v>6650</v>
      </c>
      <c r="J6684" s="24">
        <v>0.0</v>
      </c>
    </row>
    <row r="6685">
      <c r="A6685" s="24">
        <v>2293.0</v>
      </c>
      <c r="B6685" s="24">
        <v>17.0</v>
      </c>
      <c r="C6685" s="44">
        <v>16.91</v>
      </c>
      <c r="D6685" s="46">
        <v>45593.0</v>
      </c>
      <c r="E6685" s="24">
        <v>0.99</v>
      </c>
      <c r="F6685" s="24">
        <v>7.37</v>
      </c>
      <c r="G6685" s="24">
        <v>0.74</v>
      </c>
      <c r="H6685" s="24" t="s">
        <v>6717</v>
      </c>
      <c r="I6685" s="24" t="s">
        <v>6650</v>
      </c>
      <c r="J6685" s="24">
        <v>0.0</v>
      </c>
    </row>
    <row r="6686">
      <c r="A6686" s="24">
        <v>1885.0</v>
      </c>
      <c r="B6686" s="24">
        <v>11.0</v>
      </c>
      <c r="C6686" s="44">
        <v>18.28</v>
      </c>
      <c r="D6686" s="46">
        <v>45594.0</v>
      </c>
      <c r="E6686" s="24">
        <v>1.66</v>
      </c>
      <c r="F6686" s="24">
        <v>9.7</v>
      </c>
      <c r="G6686" s="24">
        <v>0.58</v>
      </c>
      <c r="H6686" s="24" t="s">
        <v>6717</v>
      </c>
      <c r="I6686" s="24">
        <v>18.28</v>
      </c>
      <c r="J6686" s="24">
        <v>0.0</v>
      </c>
    </row>
    <row r="6687">
      <c r="A6687" s="24">
        <v>399.0</v>
      </c>
      <c r="B6687" s="24">
        <v>4.0</v>
      </c>
      <c r="C6687" s="44">
        <v>25.05</v>
      </c>
      <c r="D6687" s="46">
        <v>45594.0</v>
      </c>
      <c r="E6687" s="24">
        <v>6.26</v>
      </c>
      <c r="F6687" s="24">
        <v>62.78</v>
      </c>
      <c r="G6687" s="24">
        <v>1.0</v>
      </c>
      <c r="H6687" s="24" t="s">
        <v>6714</v>
      </c>
      <c r="I6687" s="24" t="s">
        <v>6650</v>
      </c>
      <c r="J6687" s="24">
        <v>0.0</v>
      </c>
    </row>
    <row r="6688">
      <c r="A6688" s="24">
        <v>702.0</v>
      </c>
      <c r="B6688" s="24">
        <v>3.0</v>
      </c>
      <c r="C6688" s="44">
        <v>38.93</v>
      </c>
      <c r="D6688" s="46">
        <v>45594.0</v>
      </c>
      <c r="E6688" s="24">
        <v>12.98</v>
      </c>
      <c r="F6688" s="24">
        <v>55.46</v>
      </c>
      <c r="G6688" s="24">
        <v>0.43</v>
      </c>
      <c r="H6688" s="24" t="s">
        <v>6715</v>
      </c>
      <c r="I6688" s="24" t="s">
        <v>6650</v>
      </c>
      <c r="J6688" s="24">
        <v>0.0</v>
      </c>
    </row>
    <row r="6689">
      <c r="A6689" s="24">
        <v>719.0</v>
      </c>
      <c r="B6689" s="24">
        <v>1.0</v>
      </c>
      <c r="C6689" s="44">
        <v>48.57</v>
      </c>
      <c r="D6689" s="46">
        <v>45594.0</v>
      </c>
      <c r="E6689" s="24">
        <v>48.57</v>
      </c>
      <c r="F6689" s="24">
        <v>67.55</v>
      </c>
      <c r="G6689" s="24">
        <v>0.14</v>
      </c>
      <c r="H6689" s="24" t="s">
        <v>6716</v>
      </c>
      <c r="I6689" s="24" t="s">
        <v>6650</v>
      </c>
      <c r="J6689" s="24">
        <v>0.0</v>
      </c>
    </row>
    <row r="6690">
      <c r="A6690" s="24">
        <v>719.0</v>
      </c>
      <c r="B6690" s="24">
        <v>1.0</v>
      </c>
      <c r="C6690" s="44">
        <v>38.91</v>
      </c>
      <c r="D6690" s="46">
        <v>45595.0</v>
      </c>
      <c r="E6690" s="24">
        <v>38.91</v>
      </c>
      <c r="F6690" s="24">
        <v>54.12</v>
      </c>
      <c r="G6690" s="24">
        <v>0.14</v>
      </c>
      <c r="H6690" s="24" t="s">
        <v>6715</v>
      </c>
      <c r="I6690" s="24" t="s">
        <v>6650</v>
      </c>
      <c r="J6690" s="24">
        <v>0.0</v>
      </c>
    </row>
    <row r="6691">
      <c r="A6691" s="24">
        <v>242.0</v>
      </c>
      <c r="B6691" s="24">
        <v>2.0</v>
      </c>
      <c r="C6691" s="44">
        <v>24.72</v>
      </c>
      <c r="D6691" s="46">
        <v>45595.0</v>
      </c>
      <c r="E6691" s="24">
        <v>12.36</v>
      </c>
      <c r="F6691" s="24">
        <v>102.15</v>
      </c>
      <c r="G6691" s="24">
        <v>0.83</v>
      </c>
      <c r="H6691" s="24" t="s">
        <v>6714</v>
      </c>
      <c r="I6691" s="24" t="s">
        <v>6650</v>
      </c>
      <c r="J6691" s="24">
        <v>0.0</v>
      </c>
    </row>
    <row r="6692">
      <c r="A6692" s="24">
        <v>523.0</v>
      </c>
      <c r="B6692" s="24">
        <v>2.0</v>
      </c>
      <c r="C6692" s="44">
        <v>49.18</v>
      </c>
      <c r="D6692" s="46">
        <v>45595.0</v>
      </c>
      <c r="E6692" s="24">
        <v>24.59</v>
      </c>
      <c r="F6692" s="24">
        <v>94.03</v>
      </c>
      <c r="G6692" s="24">
        <v>0.38</v>
      </c>
      <c r="H6692" s="24" t="s">
        <v>6716</v>
      </c>
      <c r="I6692" s="24" t="s">
        <v>6650</v>
      </c>
      <c r="J6692" s="24">
        <v>0.0</v>
      </c>
    </row>
    <row r="6693">
      <c r="A6693" s="24">
        <v>1878.0</v>
      </c>
      <c r="B6693" s="24">
        <v>8.0</v>
      </c>
      <c r="C6693" s="44">
        <v>17.6</v>
      </c>
      <c r="D6693" s="46">
        <v>45595.0</v>
      </c>
      <c r="E6693" s="24">
        <v>2.2</v>
      </c>
      <c r="F6693" s="24">
        <v>9.37</v>
      </c>
      <c r="G6693" s="24">
        <v>0.43</v>
      </c>
      <c r="H6693" s="24" t="s">
        <v>6717</v>
      </c>
      <c r="I6693" s="24" t="s">
        <v>6650</v>
      </c>
      <c r="J6693" s="24">
        <v>0.0</v>
      </c>
    </row>
    <row r="6694">
      <c r="A6694" s="24">
        <v>1500.0</v>
      </c>
      <c r="B6694" s="24">
        <v>8.0</v>
      </c>
      <c r="C6694" s="44">
        <v>17.53</v>
      </c>
      <c r="D6694" s="46">
        <v>45596.0</v>
      </c>
      <c r="E6694" s="24">
        <v>2.19</v>
      </c>
      <c r="F6694" s="24">
        <v>11.69</v>
      </c>
      <c r="G6694" s="24">
        <v>0.53</v>
      </c>
      <c r="H6694" s="24" t="s">
        <v>6717</v>
      </c>
      <c r="I6694" s="24" t="s">
        <v>6650</v>
      </c>
      <c r="J6694" s="24">
        <v>0.0</v>
      </c>
    </row>
    <row r="6695">
      <c r="A6695" s="24">
        <v>246.0</v>
      </c>
      <c r="B6695" s="24">
        <v>0.0</v>
      </c>
      <c r="C6695" s="44">
        <v>24.26</v>
      </c>
      <c r="D6695" s="46">
        <v>45596.0</v>
      </c>
      <c r="E6695" s="24" t="s">
        <v>6650</v>
      </c>
      <c r="F6695" s="24">
        <v>98.62</v>
      </c>
      <c r="G6695" s="24">
        <v>0.0</v>
      </c>
      <c r="H6695" s="24" t="s">
        <v>6714</v>
      </c>
      <c r="I6695" s="24" t="s">
        <v>6650</v>
      </c>
      <c r="J6695" s="24">
        <v>0.0</v>
      </c>
    </row>
    <row r="6696">
      <c r="A6696" s="24">
        <v>526.0</v>
      </c>
      <c r="B6696" s="24">
        <v>2.0</v>
      </c>
      <c r="C6696" s="44">
        <v>49.45</v>
      </c>
      <c r="D6696" s="46">
        <v>45596.0</v>
      </c>
      <c r="E6696" s="24">
        <v>24.72</v>
      </c>
      <c r="F6696" s="24">
        <v>94.01</v>
      </c>
      <c r="G6696" s="24">
        <v>0.38</v>
      </c>
      <c r="H6696" s="24" t="s">
        <v>6716</v>
      </c>
      <c r="I6696" s="24" t="s">
        <v>6650</v>
      </c>
      <c r="J6696" s="24">
        <v>0.0</v>
      </c>
    </row>
    <row r="6697">
      <c r="A6697" s="24">
        <v>681.0</v>
      </c>
      <c r="B6697" s="24">
        <v>2.0</v>
      </c>
      <c r="C6697" s="44">
        <v>39.64</v>
      </c>
      <c r="D6697" s="46">
        <v>45596.0</v>
      </c>
      <c r="E6697" s="24">
        <v>19.82</v>
      </c>
      <c r="F6697" s="24">
        <v>58.21</v>
      </c>
      <c r="G6697" s="24">
        <v>0.29</v>
      </c>
      <c r="H6697" s="24" t="s">
        <v>6715</v>
      </c>
      <c r="I6697" s="24" t="s">
        <v>6650</v>
      </c>
      <c r="J6697" s="24">
        <v>0.0</v>
      </c>
    </row>
    <row r="6698">
      <c r="A6698" s="24">
        <v>545.0</v>
      </c>
      <c r="B6698" s="24">
        <v>5.0</v>
      </c>
      <c r="C6698" s="44">
        <v>42.48</v>
      </c>
      <c r="D6698" s="46">
        <v>45597.0</v>
      </c>
      <c r="E6698" s="24">
        <v>8.5</v>
      </c>
      <c r="F6698" s="24">
        <v>77.94</v>
      </c>
      <c r="G6698" s="24">
        <v>0.92</v>
      </c>
      <c r="H6698" s="24" t="s">
        <v>6716</v>
      </c>
      <c r="I6698" s="24" t="s">
        <v>6650</v>
      </c>
      <c r="J6698" s="24">
        <v>0.0</v>
      </c>
    </row>
    <row r="6699">
      <c r="A6699" s="24">
        <v>233.0</v>
      </c>
      <c r="B6699" s="24">
        <v>1.0</v>
      </c>
      <c r="C6699" s="44">
        <v>21.97</v>
      </c>
      <c r="D6699" s="46">
        <v>45597.0</v>
      </c>
      <c r="E6699" s="24">
        <v>21.97</v>
      </c>
      <c r="F6699" s="24">
        <v>94.29</v>
      </c>
      <c r="G6699" s="24">
        <v>0.43</v>
      </c>
      <c r="H6699" s="24" t="s">
        <v>6714</v>
      </c>
      <c r="I6699" s="24" t="s">
        <v>6650</v>
      </c>
      <c r="J6699" s="24">
        <v>0.0</v>
      </c>
    </row>
    <row r="6700">
      <c r="A6700" s="24">
        <v>1574.0</v>
      </c>
      <c r="B6700" s="24">
        <v>6.0</v>
      </c>
      <c r="C6700" s="44">
        <v>16.06</v>
      </c>
      <c r="D6700" s="46">
        <v>45597.0</v>
      </c>
      <c r="E6700" s="24">
        <v>2.68</v>
      </c>
      <c r="F6700" s="24">
        <v>10.2</v>
      </c>
      <c r="G6700" s="24">
        <v>0.38</v>
      </c>
      <c r="H6700" s="24" t="s">
        <v>6717</v>
      </c>
      <c r="I6700" s="24" t="s">
        <v>6650</v>
      </c>
      <c r="J6700" s="24">
        <v>0.0</v>
      </c>
    </row>
    <row r="6701">
      <c r="A6701" s="24">
        <v>797.0</v>
      </c>
      <c r="B6701" s="24">
        <v>4.0</v>
      </c>
      <c r="C6701" s="44">
        <v>33.99</v>
      </c>
      <c r="D6701" s="46">
        <v>45597.0</v>
      </c>
      <c r="E6701" s="24">
        <v>8.5</v>
      </c>
      <c r="F6701" s="24">
        <v>42.65</v>
      </c>
      <c r="G6701" s="24">
        <v>0.5</v>
      </c>
      <c r="H6701" s="24" t="s">
        <v>6715</v>
      </c>
      <c r="I6701" s="24" t="s">
        <v>6650</v>
      </c>
      <c r="J6701" s="24">
        <v>0.0</v>
      </c>
    </row>
    <row r="6702">
      <c r="A6702" s="24">
        <v>1094.0</v>
      </c>
      <c r="B6702" s="24">
        <v>3.0</v>
      </c>
      <c r="C6702" s="44">
        <v>9.77</v>
      </c>
      <c r="D6702" s="46">
        <v>45598.0</v>
      </c>
      <c r="E6702" s="24">
        <v>3.26</v>
      </c>
      <c r="F6702" s="24">
        <v>8.93</v>
      </c>
      <c r="G6702" s="24">
        <v>0.27</v>
      </c>
      <c r="H6702" s="24" t="s">
        <v>6717</v>
      </c>
      <c r="I6702" s="24" t="s">
        <v>6650</v>
      </c>
      <c r="J6702" s="24">
        <v>0.0</v>
      </c>
    </row>
    <row r="6703">
      <c r="A6703" s="24">
        <v>227.0</v>
      </c>
      <c r="B6703" s="24">
        <v>1.0</v>
      </c>
      <c r="C6703" s="44">
        <v>24.49</v>
      </c>
      <c r="D6703" s="46">
        <v>45598.0</v>
      </c>
      <c r="E6703" s="24">
        <v>24.49</v>
      </c>
      <c r="F6703" s="24">
        <v>107.89</v>
      </c>
      <c r="G6703" s="24">
        <v>0.44</v>
      </c>
      <c r="H6703" s="24" t="s">
        <v>6716</v>
      </c>
      <c r="I6703" s="24" t="s">
        <v>6650</v>
      </c>
      <c r="J6703" s="24">
        <v>0.0</v>
      </c>
    </row>
    <row r="6704">
      <c r="A6704" s="24">
        <v>212.0</v>
      </c>
      <c r="B6704" s="24">
        <v>1.0</v>
      </c>
      <c r="C6704" s="44">
        <v>20.52</v>
      </c>
      <c r="D6704" s="46">
        <v>45598.0</v>
      </c>
      <c r="E6704" s="24">
        <v>20.52</v>
      </c>
      <c r="F6704" s="24">
        <v>96.79</v>
      </c>
      <c r="G6704" s="24">
        <v>0.47</v>
      </c>
      <c r="H6704" s="24" t="s">
        <v>6715</v>
      </c>
      <c r="I6704" s="24" t="s">
        <v>6650</v>
      </c>
      <c r="J6704" s="24">
        <v>0.0</v>
      </c>
    </row>
    <row r="6705">
      <c r="A6705" s="24">
        <v>89.0</v>
      </c>
      <c r="B6705" s="24">
        <v>1.0</v>
      </c>
      <c r="C6705" s="44">
        <v>10.76</v>
      </c>
      <c r="D6705" s="46">
        <v>45598.0</v>
      </c>
      <c r="E6705" s="24">
        <v>10.76</v>
      </c>
      <c r="F6705" s="24">
        <v>120.9</v>
      </c>
      <c r="G6705" s="24">
        <v>1.12</v>
      </c>
      <c r="H6705" s="24" t="s">
        <v>6714</v>
      </c>
      <c r="I6705" s="24" t="s">
        <v>6650</v>
      </c>
      <c r="J6705" s="24">
        <v>0.0</v>
      </c>
    </row>
    <row r="6706">
      <c r="A6706" s="24">
        <v>76.0</v>
      </c>
      <c r="B6706" s="24">
        <v>1.0</v>
      </c>
      <c r="C6706" s="44">
        <v>9.73</v>
      </c>
      <c r="D6706" s="46">
        <v>45599.0</v>
      </c>
      <c r="E6706" s="24">
        <v>9.73</v>
      </c>
      <c r="F6706" s="24">
        <v>128.03</v>
      </c>
      <c r="G6706" s="24">
        <v>1.32</v>
      </c>
      <c r="H6706" s="24" t="s">
        <v>6714</v>
      </c>
      <c r="I6706" s="24" t="s">
        <v>6650</v>
      </c>
      <c r="J6706" s="24">
        <v>0.0</v>
      </c>
    </row>
    <row r="6707">
      <c r="A6707" s="24">
        <v>812.0</v>
      </c>
      <c r="B6707" s="24">
        <v>4.0</v>
      </c>
      <c r="C6707" s="44">
        <v>8.82</v>
      </c>
      <c r="D6707" s="46">
        <v>45599.0</v>
      </c>
      <c r="E6707" s="24">
        <v>2.2</v>
      </c>
      <c r="F6707" s="24">
        <v>10.86</v>
      </c>
      <c r="G6707" s="24">
        <v>0.49</v>
      </c>
      <c r="H6707" s="24" t="s">
        <v>6717</v>
      </c>
      <c r="I6707" s="24" t="s">
        <v>6650</v>
      </c>
      <c r="J6707" s="24">
        <v>0.0</v>
      </c>
    </row>
    <row r="6708">
      <c r="A6708" s="24">
        <v>107.0</v>
      </c>
      <c r="B6708" s="24">
        <v>0.0</v>
      </c>
      <c r="C6708" s="44">
        <v>16.31</v>
      </c>
      <c r="D6708" s="46">
        <v>45599.0</v>
      </c>
      <c r="E6708" s="24" t="s">
        <v>6650</v>
      </c>
      <c r="F6708" s="24">
        <v>152.43</v>
      </c>
      <c r="G6708" s="24">
        <v>0.0</v>
      </c>
      <c r="H6708" s="24" t="s">
        <v>6715</v>
      </c>
      <c r="I6708" s="24">
        <v>16.31</v>
      </c>
      <c r="J6708" s="24">
        <v>0.0</v>
      </c>
    </row>
    <row r="6709">
      <c r="A6709" s="24">
        <v>149.0</v>
      </c>
      <c r="B6709" s="24">
        <v>1.0</v>
      </c>
      <c r="C6709" s="44">
        <v>20.49</v>
      </c>
      <c r="D6709" s="46">
        <v>45599.0</v>
      </c>
      <c r="E6709" s="24">
        <v>20.49</v>
      </c>
      <c r="F6709" s="24">
        <v>137.52</v>
      </c>
      <c r="G6709" s="24">
        <v>0.67</v>
      </c>
      <c r="H6709" s="24" t="s">
        <v>6716</v>
      </c>
      <c r="I6709" s="24">
        <v>20.49</v>
      </c>
      <c r="J6709" s="24">
        <v>0.0</v>
      </c>
    </row>
    <row r="6710">
      <c r="A6710" s="24">
        <v>629.0</v>
      </c>
      <c r="B6710" s="24">
        <v>6.0</v>
      </c>
      <c r="C6710" s="44">
        <v>46.83</v>
      </c>
      <c r="D6710" s="46">
        <v>45600.0</v>
      </c>
      <c r="E6710" s="24">
        <v>7.8</v>
      </c>
      <c r="F6710" s="24">
        <v>74.45</v>
      </c>
      <c r="G6710" s="24">
        <v>0.95</v>
      </c>
      <c r="H6710" s="24" t="s">
        <v>6716</v>
      </c>
      <c r="I6710" s="24" t="s">
        <v>6650</v>
      </c>
      <c r="J6710" s="24">
        <v>0.0</v>
      </c>
    </row>
    <row r="6711">
      <c r="A6711" s="24">
        <v>575.0</v>
      </c>
      <c r="B6711" s="24">
        <v>4.0</v>
      </c>
      <c r="C6711" s="44">
        <v>24.14</v>
      </c>
      <c r="D6711" s="46">
        <v>45600.0</v>
      </c>
      <c r="E6711" s="24">
        <v>6.04</v>
      </c>
      <c r="F6711" s="24">
        <v>41.98</v>
      </c>
      <c r="G6711" s="24">
        <v>0.7</v>
      </c>
      <c r="H6711" s="24" t="s">
        <v>6714</v>
      </c>
      <c r="I6711" s="24" t="s">
        <v>6650</v>
      </c>
      <c r="J6711" s="24">
        <v>0.0</v>
      </c>
    </row>
    <row r="6712">
      <c r="A6712" s="24">
        <v>1963.0</v>
      </c>
      <c r="B6712" s="24">
        <v>9.0</v>
      </c>
      <c r="C6712" s="44">
        <v>17.4</v>
      </c>
      <c r="D6712" s="46">
        <v>45600.0</v>
      </c>
      <c r="E6712" s="24">
        <v>1.93</v>
      </c>
      <c r="F6712" s="24">
        <v>8.86</v>
      </c>
      <c r="G6712" s="24">
        <v>0.46</v>
      </c>
      <c r="H6712" s="24" t="s">
        <v>6717</v>
      </c>
      <c r="I6712" s="24" t="s">
        <v>6650</v>
      </c>
      <c r="J6712" s="24">
        <v>0.0</v>
      </c>
    </row>
    <row r="6713">
      <c r="A6713" s="24">
        <v>730.0</v>
      </c>
      <c r="B6713" s="24">
        <v>1.0</v>
      </c>
      <c r="C6713" s="44">
        <v>37.08</v>
      </c>
      <c r="D6713" s="46">
        <v>45600.0</v>
      </c>
      <c r="E6713" s="24">
        <v>37.08</v>
      </c>
      <c r="F6713" s="24">
        <v>50.79</v>
      </c>
      <c r="G6713" s="24">
        <v>0.14</v>
      </c>
      <c r="H6713" s="24" t="s">
        <v>6715</v>
      </c>
      <c r="I6713" s="24" t="s">
        <v>6650</v>
      </c>
      <c r="J6713" s="24">
        <v>0.0</v>
      </c>
    </row>
    <row r="6714">
      <c r="A6714" s="24">
        <v>515.0</v>
      </c>
      <c r="B6714" s="24">
        <v>2.0</v>
      </c>
      <c r="C6714" s="44">
        <v>24.88</v>
      </c>
      <c r="D6714" s="46">
        <v>45601.0</v>
      </c>
      <c r="E6714" s="24">
        <v>12.44</v>
      </c>
      <c r="F6714" s="24">
        <v>48.31</v>
      </c>
      <c r="G6714" s="24">
        <v>0.39</v>
      </c>
      <c r="H6714" s="24" t="s">
        <v>6714</v>
      </c>
      <c r="I6714" s="24" t="s">
        <v>6650</v>
      </c>
      <c r="J6714" s="24">
        <v>0.0</v>
      </c>
    </row>
    <row r="6715">
      <c r="A6715" s="24">
        <v>1883.0</v>
      </c>
      <c r="B6715" s="24">
        <v>8.0</v>
      </c>
      <c r="C6715" s="44">
        <v>18.09</v>
      </c>
      <c r="D6715" s="46">
        <v>45601.0</v>
      </c>
      <c r="E6715" s="24">
        <v>2.26</v>
      </c>
      <c r="F6715" s="24">
        <v>9.61</v>
      </c>
      <c r="G6715" s="24">
        <v>0.42</v>
      </c>
      <c r="H6715" s="24" t="s">
        <v>6717</v>
      </c>
      <c r="I6715" s="24">
        <v>18.09</v>
      </c>
      <c r="J6715" s="24">
        <v>0.0</v>
      </c>
    </row>
    <row r="6716">
      <c r="A6716" s="24">
        <v>1129.0</v>
      </c>
      <c r="B6716" s="24">
        <v>2.0</v>
      </c>
      <c r="C6716" s="44">
        <v>38.61</v>
      </c>
      <c r="D6716" s="46">
        <v>45601.0</v>
      </c>
      <c r="E6716" s="24">
        <v>19.3</v>
      </c>
      <c r="F6716" s="24">
        <v>34.2</v>
      </c>
      <c r="G6716" s="24">
        <v>0.18</v>
      </c>
      <c r="H6716" s="24" t="s">
        <v>6715</v>
      </c>
      <c r="I6716" s="24">
        <v>38.61</v>
      </c>
      <c r="J6716" s="24">
        <v>0.0</v>
      </c>
    </row>
    <row r="6717">
      <c r="A6717" s="24">
        <v>602.0</v>
      </c>
      <c r="B6717" s="24">
        <v>1.0</v>
      </c>
      <c r="C6717" s="44">
        <v>48.81</v>
      </c>
      <c r="D6717" s="46">
        <v>45601.0</v>
      </c>
      <c r="E6717" s="24">
        <v>48.81</v>
      </c>
      <c r="F6717" s="24">
        <v>81.08</v>
      </c>
      <c r="G6717" s="24">
        <v>0.17</v>
      </c>
      <c r="H6717" s="24" t="s">
        <v>6716</v>
      </c>
      <c r="I6717" s="24" t="s">
        <v>6650</v>
      </c>
      <c r="J6717" s="24">
        <v>0.0</v>
      </c>
    </row>
    <row r="6718">
      <c r="A6718" s="24">
        <v>975.0</v>
      </c>
      <c r="B6718" s="24">
        <v>4.0</v>
      </c>
      <c r="C6718" s="44">
        <v>48.63</v>
      </c>
      <c r="D6718" s="46">
        <v>45602.0</v>
      </c>
      <c r="E6718" s="24">
        <v>12.16</v>
      </c>
      <c r="F6718" s="24">
        <v>49.88</v>
      </c>
      <c r="G6718" s="24">
        <v>0.41</v>
      </c>
      <c r="H6718" s="24" t="s">
        <v>6716</v>
      </c>
      <c r="I6718" s="24" t="s">
        <v>6650</v>
      </c>
      <c r="J6718" s="24">
        <v>0.0</v>
      </c>
    </row>
    <row r="6719">
      <c r="A6719" s="24">
        <v>418.0</v>
      </c>
      <c r="B6719" s="24">
        <v>2.0</v>
      </c>
      <c r="C6719" s="44">
        <v>23.45</v>
      </c>
      <c r="D6719" s="46">
        <v>45602.0</v>
      </c>
      <c r="E6719" s="24">
        <v>11.72</v>
      </c>
      <c r="F6719" s="24">
        <v>56.1</v>
      </c>
      <c r="G6719" s="24">
        <v>0.48</v>
      </c>
      <c r="H6719" s="24" t="s">
        <v>6714</v>
      </c>
      <c r="I6719" s="24" t="s">
        <v>6650</v>
      </c>
      <c r="J6719" s="24">
        <v>0.0</v>
      </c>
    </row>
    <row r="6720">
      <c r="A6720" s="24">
        <v>752.0</v>
      </c>
      <c r="B6720" s="24">
        <v>1.0</v>
      </c>
      <c r="C6720" s="44">
        <v>39.3</v>
      </c>
      <c r="D6720" s="46">
        <v>45602.0</v>
      </c>
      <c r="E6720" s="24">
        <v>39.3</v>
      </c>
      <c r="F6720" s="24">
        <v>52.26</v>
      </c>
      <c r="G6720" s="24">
        <v>0.13</v>
      </c>
      <c r="H6720" s="24" t="s">
        <v>6715</v>
      </c>
      <c r="I6720" s="24" t="s">
        <v>6650</v>
      </c>
      <c r="J6720" s="24">
        <v>0.0</v>
      </c>
    </row>
    <row r="6721">
      <c r="A6721" s="24">
        <v>1790.0</v>
      </c>
      <c r="B6721" s="24">
        <v>5.0</v>
      </c>
      <c r="C6721" s="44">
        <v>17.73</v>
      </c>
      <c r="D6721" s="46">
        <v>45602.0</v>
      </c>
      <c r="E6721" s="24">
        <v>3.55</v>
      </c>
      <c r="F6721" s="24">
        <v>9.91</v>
      </c>
      <c r="G6721" s="24">
        <v>0.28</v>
      </c>
      <c r="H6721" s="24" t="s">
        <v>6717</v>
      </c>
      <c r="I6721" s="24" t="s">
        <v>6650</v>
      </c>
      <c r="J6721" s="24">
        <v>0.0</v>
      </c>
    </row>
    <row r="6722">
      <c r="A6722" s="24">
        <v>529.0</v>
      </c>
      <c r="B6722" s="24">
        <v>1.0</v>
      </c>
      <c r="C6722" s="44">
        <v>22.02</v>
      </c>
      <c r="D6722" s="46">
        <v>45602.0</v>
      </c>
      <c r="E6722" s="24">
        <v>22.02</v>
      </c>
      <c r="F6722" s="24">
        <v>41.63</v>
      </c>
      <c r="G6722" s="24">
        <v>0.19</v>
      </c>
      <c r="H6722" s="24" t="s">
        <v>6719</v>
      </c>
      <c r="I6722" s="24" t="s">
        <v>6650</v>
      </c>
      <c r="J6722" s="24">
        <v>0.0</v>
      </c>
    </row>
    <row r="6723">
      <c r="A6723" s="24">
        <v>963.0</v>
      </c>
      <c r="B6723" s="24">
        <v>3.0</v>
      </c>
      <c r="C6723" s="44">
        <v>48.22</v>
      </c>
      <c r="D6723" s="46">
        <v>45603.0</v>
      </c>
      <c r="E6723" s="24">
        <v>16.07</v>
      </c>
      <c r="F6723" s="24">
        <v>50.07</v>
      </c>
      <c r="G6723" s="24">
        <v>0.31</v>
      </c>
      <c r="H6723" s="24" t="s">
        <v>6716</v>
      </c>
      <c r="I6723" s="24" t="s">
        <v>6650</v>
      </c>
      <c r="J6723" s="24">
        <v>0.0</v>
      </c>
    </row>
    <row r="6724">
      <c r="A6724" s="24">
        <v>611.0</v>
      </c>
      <c r="B6724" s="24">
        <v>6.0</v>
      </c>
      <c r="C6724" s="44">
        <v>23.58</v>
      </c>
      <c r="D6724" s="46">
        <v>45603.0</v>
      </c>
      <c r="E6724" s="24">
        <v>3.93</v>
      </c>
      <c r="F6724" s="24">
        <v>38.59</v>
      </c>
      <c r="G6724" s="24">
        <v>0.98</v>
      </c>
      <c r="H6724" s="24" t="s">
        <v>6714</v>
      </c>
      <c r="I6724" s="24">
        <v>23.58</v>
      </c>
      <c r="J6724" s="24">
        <v>0.0</v>
      </c>
    </row>
    <row r="6725">
      <c r="A6725" s="24">
        <v>141.0</v>
      </c>
      <c r="B6725" s="24">
        <v>0.0</v>
      </c>
      <c r="C6725" s="44">
        <v>21.71</v>
      </c>
      <c r="D6725" s="46">
        <v>45603.0</v>
      </c>
      <c r="E6725" s="24" t="s">
        <v>6650</v>
      </c>
      <c r="F6725" s="24">
        <v>153.97</v>
      </c>
      <c r="G6725" s="24">
        <v>0.0</v>
      </c>
      <c r="H6725" s="24" t="s">
        <v>6719</v>
      </c>
      <c r="I6725" s="24" t="s">
        <v>6650</v>
      </c>
      <c r="J6725" s="24">
        <v>0.0</v>
      </c>
    </row>
    <row r="6726">
      <c r="A6726" s="24">
        <v>997.0</v>
      </c>
      <c r="B6726" s="24">
        <v>3.0</v>
      </c>
      <c r="C6726" s="44">
        <v>38.94</v>
      </c>
      <c r="D6726" s="46">
        <v>45603.0</v>
      </c>
      <c r="E6726" s="24">
        <v>12.98</v>
      </c>
      <c r="F6726" s="24">
        <v>39.06</v>
      </c>
      <c r="G6726" s="24">
        <v>0.3</v>
      </c>
      <c r="H6726" s="24" t="s">
        <v>6715</v>
      </c>
      <c r="I6726" s="24" t="s">
        <v>6650</v>
      </c>
      <c r="J6726" s="24">
        <v>0.0</v>
      </c>
    </row>
    <row r="6727">
      <c r="A6727" s="24">
        <v>1446.0</v>
      </c>
      <c r="B6727" s="24">
        <v>9.0</v>
      </c>
      <c r="C6727" s="44">
        <v>17.54</v>
      </c>
      <c r="D6727" s="46">
        <v>45603.0</v>
      </c>
      <c r="E6727" s="24">
        <v>1.95</v>
      </c>
      <c r="F6727" s="24">
        <v>12.13</v>
      </c>
      <c r="G6727" s="24">
        <v>0.62</v>
      </c>
      <c r="H6727" s="24" t="s">
        <v>6717</v>
      </c>
      <c r="I6727" s="24" t="s">
        <v>6650</v>
      </c>
      <c r="J6727" s="24">
        <v>0.0</v>
      </c>
    </row>
    <row r="6728">
      <c r="A6728" s="24">
        <v>292.0</v>
      </c>
      <c r="B6728" s="24">
        <v>3.0</v>
      </c>
      <c r="C6728" s="44">
        <v>21.75</v>
      </c>
      <c r="D6728" s="46">
        <v>45604.0</v>
      </c>
      <c r="E6728" s="24">
        <v>7.25</v>
      </c>
      <c r="F6728" s="24">
        <v>74.49</v>
      </c>
      <c r="G6728" s="24">
        <v>1.03</v>
      </c>
      <c r="H6728" s="24" t="s">
        <v>6714</v>
      </c>
      <c r="I6728" s="24" t="s">
        <v>6650</v>
      </c>
      <c r="J6728" s="24">
        <v>0.0</v>
      </c>
    </row>
    <row r="6729">
      <c r="A6729" s="24">
        <v>122.0</v>
      </c>
      <c r="B6729" s="24">
        <v>1.0</v>
      </c>
      <c r="C6729" s="44">
        <v>21.93</v>
      </c>
      <c r="D6729" s="46">
        <v>45604.0</v>
      </c>
      <c r="E6729" s="24">
        <v>21.93</v>
      </c>
      <c r="F6729" s="24">
        <v>179.75</v>
      </c>
      <c r="G6729" s="24">
        <v>0.82</v>
      </c>
      <c r="H6729" s="24" t="s">
        <v>6719</v>
      </c>
      <c r="I6729" s="24" t="s">
        <v>6650</v>
      </c>
      <c r="J6729" s="24">
        <v>0.0</v>
      </c>
    </row>
    <row r="6730">
      <c r="A6730" s="24">
        <v>2022.0</v>
      </c>
      <c r="B6730" s="24">
        <v>13.0</v>
      </c>
      <c r="C6730" s="44">
        <v>15.78</v>
      </c>
      <c r="D6730" s="46">
        <v>45604.0</v>
      </c>
      <c r="E6730" s="24">
        <v>1.21</v>
      </c>
      <c r="F6730" s="24">
        <v>7.8</v>
      </c>
      <c r="G6730" s="24">
        <v>0.64</v>
      </c>
      <c r="H6730" s="24" t="s">
        <v>6717</v>
      </c>
      <c r="I6730" s="24" t="s">
        <v>6650</v>
      </c>
      <c r="J6730" s="24">
        <v>0.0</v>
      </c>
    </row>
    <row r="6731">
      <c r="A6731" s="24">
        <v>863.0</v>
      </c>
      <c r="B6731" s="24">
        <v>5.0</v>
      </c>
      <c r="C6731" s="44">
        <v>33.24</v>
      </c>
      <c r="D6731" s="46">
        <v>45604.0</v>
      </c>
      <c r="E6731" s="24">
        <v>6.65</v>
      </c>
      <c r="F6731" s="24">
        <v>38.52</v>
      </c>
      <c r="G6731" s="24">
        <v>0.58</v>
      </c>
      <c r="H6731" s="24" t="s">
        <v>6715</v>
      </c>
      <c r="I6731" s="24" t="s">
        <v>6650</v>
      </c>
      <c r="J6731" s="24">
        <v>0.0</v>
      </c>
    </row>
    <row r="6732">
      <c r="A6732" s="24">
        <v>877.0</v>
      </c>
      <c r="B6732" s="24">
        <v>2.0</v>
      </c>
      <c r="C6732" s="44">
        <v>41.83</v>
      </c>
      <c r="D6732" s="46">
        <v>45604.0</v>
      </c>
      <c r="E6732" s="24">
        <v>20.92</v>
      </c>
      <c r="F6732" s="24">
        <v>47.7</v>
      </c>
      <c r="G6732" s="24">
        <v>0.23</v>
      </c>
      <c r="H6732" s="24" t="s">
        <v>6716</v>
      </c>
      <c r="I6732" s="24" t="s">
        <v>6650</v>
      </c>
      <c r="J6732" s="24">
        <v>0.0</v>
      </c>
    </row>
    <row r="6733">
      <c r="A6733" s="24">
        <v>58.0</v>
      </c>
      <c r="B6733" s="24">
        <v>1.0</v>
      </c>
      <c r="C6733" s="44">
        <v>16.61</v>
      </c>
      <c r="D6733" s="46">
        <v>45605.0</v>
      </c>
      <c r="E6733" s="24">
        <v>16.61</v>
      </c>
      <c r="F6733" s="24">
        <v>286.38</v>
      </c>
      <c r="G6733" s="24">
        <v>1.72</v>
      </c>
      <c r="H6733" s="24" t="s">
        <v>6719</v>
      </c>
      <c r="I6733" s="24" t="s">
        <v>6650</v>
      </c>
      <c r="J6733" s="24">
        <v>0.0</v>
      </c>
    </row>
    <row r="6734">
      <c r="A6734" s="24">
        <v>1067.0</v>
      </c>
      <c r="B6734" s="24">
        <v>7.0</v>
      </c>
      <c r="C6734" s="44">
        <v>9.71</v>
      </c>
      <c r="D6734" s="46">
        <v>45605.0</v>
      </c>
      <c r="E6734" s="24">
        <v>1.39</v>
      </c>
      <c r="F6734" s="24">
        <v>9.1</v>
      </c>
      <c r="G6734" s="24">
        <v>0.66</v>
      </c>
      <c r="H6734" s="24" t="s">
        <v>6717</v>
      </c>
      <c r="I6734" s="24" t="s">
        <v>6650</v>
      </c>
      <c r="J6734" s="24">
        <v>0.0</v>
      </c>
    </row>
    <row r="6735">
      <c r="A6735" s="24">
        <v>106.0</v>
      </c>
      <c r="B6735" s="24">
        <v>0.0</v>
      </c>
      <c r="C6735" s="44">
        <v>11.78</v>
      </c>
      <c r="D6735" s="46">
        <v>45605.0</v>
      </c>
      <c r="E6735" s="24" t="s">
        <v>6650</v>
      </c>
      <c r="F6735" s="24">
        <v>111.13</v>
      </c>
      <c r="G6735" s="24">
        <v>0.0</v>
      </c>
      <c r="H6735" s="24" t="s">
        <v>6714</v>
      </c>
      <c r="I6735" s="24" t="s">
        <v>6650</v>
      </c>
      <c r="J6735" s="24">
        <v>0.0</v>
      </c>
    </row>
    <row r="6736">
      <c r="A6736" s="24">
        <v>234.0</v>
      </c>
      <c r="B6736" s="24">
        <v>2.0</v>
      </c>
      <c r="C6736" s="44">
        <v>20.01</v>
      </c>
      <c r="D6736" s="46">
        <v>45605.0</v>
      </c>
      <c r="E6736" s="24">
        <v>10.01</v>
      </c>
      <c r="F6736" s="24">
        <v>85.51</v>
      </c>
      <c r="G6736" s="24">
        <v>0.85</v>
      </c>
      <c r="H6736" s="24" t="s">
        <v>6715</v>
      </c>
      <c r="I6736" s="24">
        <v>20.01</v>
      </c>
      <c r="J6736" s="24">
        <v>0.0</v>
      </c>
    </row>
    <row r="6737">
      <c r="A6737" s="24">
        <v>543.0</v>
      </c>
      <c r="B6737" s="24">
        <v>2.0</v>
      </c>
      <c r="C6737" s="44">
        <v>24.63</v>
      </c>
      <c r="D6737" s="46">
        <v>45605.0</v>
      </c>
      <c r="E6737" s="24">
        <v>12.32</v>
      </c>
      <c r="F6737" s="24">
        <v>45.36</v>
      </c>
      <c r="G6737" s="24">
        <v>0.37</v>
      </c>
      <c r="H6737" s="24" t="s">
        <v>6716</v>
      </c>
      <c r="I6737" s="24">
        <v>24.63</v>
      </c>
      <c r="J6737" s="24">
        <v>0.0</v>
      </c>
    </row>
    <row r="6738">
      <c r="A6738" s="24">
        <v>40.0</v>
      </c>
      <c r="B6738" s="24">
        <v>0.0</v>
      </c>
      <c r="C6738" s="44">
        <v>7.32</v>
      </c>
      <c r="D6738" s="46">
        <v>45606.0</v>
      </c>
      <c r="E6738" s="24" t="s">
        <v>6650</v>
      </c>
      <c r="F6738" s="24">
        <v>183.0</v>
      </c>
      <c r="G6738" s="24">
        <v>0.0</v>
      </c>
      <c r="H6738" s="24" t="s">
        <v>6719</v>
      </c>
      <c r="I6738" s="24" t="s">
        <v>6650</v>
      </c>
      <c r="J6738" s="24">
        <v>0.0</v>
      </c>
    </row>
    <row r="6739">
      <c r="A6739" s="24">
        <v>916.0</v>
      </c>
      <c r="B6739" s="24">
        <v>2.0</v>
      </c>
      <c r="C6739" s="44">
        <v>8.74</v>
      </c>
      <c r="D6739" s="46">
        <v>45606.0</v>
      </c>
      <c r="E6739" s="24">
        <v>4.37</v>
      </c>
      <c r="F6739" s="24">
        <v>9.54</v>
      </c>
      <c r="G6739" s="24">
        <v>0.22</v>
      </c>
      <c r="H6739" s="24" t="s">
        <v>6717</v>
      </c>
      <c r="I6739" s="24" t="s">
        <v>6650</v>
      </c>
      <c r="J6739" s="24">
        <v>0.0</v>
      </c>
    </row>
    <row r="6740">
      <c r="A6740" s="24">
        <v>258.0</v>
      </c>
      <c r="B6740" s="24">
        <v>1.0</v>
      </c>
      <c r="C6740" s="44">
        <v>16.82</v>
      </c>
      <c r="D6740" s="46">
        <v>45606.0</v>
      </c>
      <c r="E6740" s="24">
        <v>16.82</v>
      </c>
      <c r="F6740" s="24">
        <v>65.19</v>
      </c>
      <c r="G6740" s="24">
        <v>0.39</v>
      </c>
      <c r="H6740" s="24" t="s">
        <v>6715</v>
      </c>
      <c r="I6740" s="24" t="s">
        <v>6650</v>
      </c>
      <c r="J6740" s="24">
        <v>0.0</v>
      </c>
    </row>
    <row r="6741">
      <c r="A6741" s="24">
        <v>308.0</v>
      </c>
      <c r="B6741" s="24">
        <v>0.0</v>
      </c>
      <c r="C6741" s="44">
        <v>21.05</v>
      </c>
      <c r="D6741" s="46">
        <v>45606.0</v>
      </c>
      <c r="E6741" s="24" t="s">
        <v>6650</v>
      </c>
      <c r="F6741" s="24">
        <v>68.34</v>
      </c>
      <c r="G6741" s="24">
        <v>0.0</v>
      </c>
      <c r="H6741" s="24" t="s">
        <v>6716</v>
      </c>
      <c r="I6741" s="24" t="s">
        <v>6650</v>
      </c>
      <c r="J6741" s="24">
        <v>0.0</v>
      </c>
    </row>
    <row r="6742">
      <c r="A6742" s="24">
        <v>47.0</v>
      </c>
      <c r="B6742" s="24">
        <v>0.0</v>
      </c>
      <c r="C6742" s="44">
        <v>10.42</v>
      </c>
      <c r="D6742" s="46">
        <v>45606.0</v>
      </c>
      <c r="E6742" s="24" t="s">
        <v>6650</v>
      </c>
      <c r="F6742" s="24">
        <v>221.7</v>
      </c>
      <c r="G6742" s="24">
        <v>0.0</v>
      </c>
      <c r="H6742" s="24" t="s">
        <v>6714</v>
      </c>
      <c r="I6742" s="24" t="s">
        <v>6650</v>
      </c>
      <c r="J6742" s="24">
        <v>0.0</v>
      </c>
    </row>
    <row r="6743">
      <c r="A6743" s="24">
        <v>633.0</v>
      </c>
      <c r="B6743" s="24">
        <v>1.0</v>
      </c>
      <c r="C6743" s="44">
        <v>23.62</v>
      </c>
      <c r="D6743" s="46">
        <v>45607.0</v>
      </c>
      <c r="E6743" s="24">
        <v>23.62</v>
      </c>
      <c r="F6743" s="24">
        <v>37.31</v>
      </c>
      <c r="G6743" s="24">
        <v>0.16</v>
      </c>
      <c r="H6743" s="24" t="s">
        <v>6714</v>
      </c>
      <c r="I6743" s="24" t="s">
        <v>6650</v>
      </c>
      <c r="J6743" s="24">
        <v>0.0</v>
      </c>
    </row>
    <row r="6744">
      <c r="A6744" s="24">
        <v>264.0</v>
      </c>
      <c r="B6744" s="24">
        <v>3.0</v>
      </c>
      <c r="C6744" s="44">
        <v>4.12</v>
      </c>
      <c r="D6744" s="46">
        <v>45607.0</v>
      </c>
      <c r="E6744" s="24">
        <v>1.37</v>
      </c>
      <c r="F6744" s="24">
        <v>15.61</v>
      </c>
      <c r="G6744" s="24">
        <v>1.14</v>
      </c>
      <c r="H6744" s="24" t="s">
        <v>6717</v>
      </c>
      <c r="I6744" s="24" t="s">
        <v>6650</v>
      </c>
      <c r="J6744" s="24">
        <v>0.0</v>
      </c>
    </row>
    <row r="6745">
      <c r="A6745" s="24">
        <v>45.0</v>
      </c>
      <c r="B6745" s="24">
        <v>1.0</v>
      </c>
      <c r="C6745" s="44">
        <v>20.75</v>
      </c>
      <c r="D6745" s="46">
        <v>45607.0</v>
      </c>
      <c r="E6745" s="24">
        <v>20.75</v>
      </c>
      <c r="F6745" s="24">
        <v>461.11</v>
      </c>
      <c r="G6745" s="24">
        <v>2.22</v>
      </c>
      <c r="H6745" s="24" t="s">
        <v>6720</v>
      </c>
      <c r="I6745" s="24" t="s">
        <v>6650</v>
      </c>
      <c r="J6745" s="24">
        <v>0.0</v>
      </c>
    </row>
    <row r="6746">
      <c r="A6746" s="24">
        <v>1102.0</v>
      </c>
      <c r="B6746" s="24">
        <v>3.0</v>
      </c>
      <c r="C6746" s="44">
        <v>36.57</v>
      </c>
      <c r="D6746" s="46">
        <v>45607.0</v>
      </c>
      <c r="E6746" s="24">
        <v>12.19</v>
      </c>
      <c r="F6746" s="24">
        <v>33.19</v>
      </c>
      <c r="G6746" s="24">
        <v>0.27</v>
      </c>
      <c r="H6746" s="24" t="s">
        <v>6715</v>
      </c>
      <c r="I6746" s="24" t="s">
        <v>6650</v>
      </c>
      <c r="J6746" s="24">
        <v>0.0</v>
      </c>
    </row>
    <row r="6747">
      <c r="A6747" s="24">
        <v>776.0</v>
      </c>
      <c r="B6747" s="24">
        <v>4.0</v>
      </c>
      <c r="C6747" s="44">
        <v>46.78</v>
      </c>
      <c r="D6747" s="46">
        <v>45607.0</v>
      </c>
      <c r="E6747" s="24">
        <v>11.7</v>
      </c>
      <c r="F6747" s="24">
        <v>60.28</v>
      </c>
      <c r="G6747" s="24">
        <v>0.52</v>
      </c>
      <c r="H6747" s="24" t="s">
        <v>6716</v>
      </c>
      <c r="I6747" s="24">
        <v>46.78</v>
      </c>
      <c r="J6747" s="24">
        <v>0.0</v>
      </c>
    </row>
    <row r="6748">
      <c r="A6748" s="24">
        <v>87.0</v>
      </c>
      <c r="B6748" s="24">
        <v>0.0</v>
      </c>
      <c r="C6748" s="44">
        <v>19.71</v>
      </c>
      <c r="D6748" s="46">
        <v>45607.0</v>
      </c>
      <c r="E6748" s="24" t="s">
        <v>6650</v>
      </c>
      <c r="F6748" s="24">
        <v>226.55</v>
      </c>
      <c r="G6748" s="24">
        <v>0.0</v>
      </c>
      <c r="H6748" s="24" t="s">
        <v>6719</v>
      </c>
      <c r="I6748" s="24" t="s">
        <v>6650</v>
      </c>
      <c r="J6748" s="24">
        <v>0.0</v>
      </c>
    </row>
    <row r="6749">
      <c r="A6749" s="24">
        <v>77.0</v>
      </c>
      <c r="B6749" s="24">
        <v>1.0</v>
      </c>
      <c r="C6749" s="44">
        <v>10.14</v>
      </c>
      <c r="D6749" s="46">
        <v>45608.0</v>
      </c>
      <c r="E6749" s="24">
        <v>10.14</v>
      </c>
      <c r="F6749" s="24">
        <v>131.69</v>
      </c>
      <c r="G6749" s="24">
        <v>1.3</v>
      </c>
      <c r="H6749" s="24" t="s">
        <v>6719</v>
      </c>
      <c r="I6749" s="24" t="s">
        <v>6650</v>
      </c>
      <c r="J6749" s="24">
        <v>0.0</v>
      </c>
    </row>
    <row r="6750">
      <c r="A6750" s="24">
        <v>151.0</v>
      </c>
      <c r="B6750" s="24">
        <v>2.0</v>
      </c>
      <c r="C6750" s="44">
        <v>9.21</v>
      </c>
      <c r="D6750" s="46">
        <v>45608.0</v>
      </c>
      <c r="E6750" s="24">
        <v>4.61</v>
      </c>
      <c r="F6750" s="24">
        <v>60.99</v>
      </c>
      <c r="G6750" s="24">
        <v>1.32</v>
      </c>
      <c r="H6750" s="24" t="s">
        <v>6714</v>
      </c>
      <c r="I6750" s="24">
        <v>3.07</v>
      </c>
      <c r="J6750" s="24">
        <v>0.0</v>
      </c>
    </row>
    <row r="6751">
      <c r="A6751" s="24">
        <v>221.0</v>
      </c>
      <c r="B6751" s="24">
        <v>4.0</v>
      </c>
      <c r="C6751" s="44">
        <v>16.17</v>
      </c>
      <c r="D6751" s="46">
        <v>45608.0</v>
      </c>
      <c r="E6751" s="24">
        <v>4.04</v>
      </c>
      <c r="F6751" s="24">
        <v>73.17</v>
      </c>
      <c r="G6751" s="24">
        <v>1.81</v>
      </c>
      <c r="H6751" s="24" t="s">
        <v>6716</v>
      </c>
      <c r="I6751" s="24" t="s">
        <v>6650</v>
      </c>
      <c r="J6751" s="24">
        <v>0.0</v>
      </c>
    </row>
    <row r="6752">
      <c r="A6752" s="24">
        <v>214.0</v>
      </c>
      <c r="B6752" s="24">
        <v>0.0</v>
      </c>
      <c r="C6752" s="44">
        <v>12.6</v>
      </c>
      <c r="D6752" s="46">
        <v>45608.0</v>
      </c>
      <c r="E6752" s="24" t="s">
        <v>6650</v>
      </c>
      <c r="F6752" s="24">
        <v>58.88</v>
      </c>
      <c r="G6752" s="24">
        <v>0.0</v>
      </c>
      <c r="H6752" s="24" t="s">
        <v>6715</v>
      </c>
      <c r="I6752" s="24" t="s">
        <v>6650</v>
      </c>
      <c r="J6752" s="24">
        <v>0.0</v>
      </c>
    </row>
    <row r="6753">
      <c r="A6753" s="24">
        <v>108.0</v>
      </c>
      <c r="B6753" s="24">
        <v>0.0</v>
      </c>
      <c r="C6753" s="44">
        <v>22.17</v>
      </c>
      <c r="D6753" s="46">
        <v>45608.0</v>
      </c>
      <c r="E6753" s="24" t="s">
        <v>6650</v>
      </c>
      <c r="F6753" s="24">
        <v>205.28</v>
      </c>
      <c r="G6753" s="24">
        <v>0.0</v>
      </c>
      <c r="H6753" s="24" t="s">
        <v>6720</v>
      </c>
      <c r="I6753" s="24" t="s">
        <v>6650</v>
      </c>
      <c r="J6753" s="24">
        <v>0.0</v>
      </c>
    </row>
    <row r="6754">
      <c r="A6754" s="24">
        <v>118.0</v>
      </c>
      <c r="B6754" s="24">
        <v>1.0</v>
      </c>
      <c r="C6754" s="44">
        <v>22.79</v>
      </c>
      <c r="D6754" s="46">
        <v>45609.0</v>
      </c>
      <c r="E6754" s="24">
        <v>22.79</v>
      </c>
      <c r="F6754" s="24">
        <v>193.14</v>
      </c>
      <c r="G6754" s="24">
        <v>0.85</v>
      </c>
      <c r="H6754" s="24" t="s">
        <v>6720</v>
      </c>
      <c r="I6754" s="24" t="s">
        <v>6650</v>
      </c>
      <c r="J6754" s="24">
        <v>0.0</v>
      </c>
    </row>
    <row r="6755">
      <c r="A6755" s="24">
        <v>100.0</v>
      </c>
      <c r="B6755" s="24">
        <v>0.0</v>
      </c>
      <c r="C6755" s="44">
        <v>22.49</v>
      </c>
      <c r="D6755" s="46">
        <v>45610.0</v>
      </c>
      <c r="E6755" s="24" t="s">
        <v>6650</v>
      </c>
      <c r="F6755" s="24">
        <v>224.9</v>
      </c>
      <c r="G6755" s="24">
        <v>0.0</v>
      </c>
      <c r="H6755" s="24" t="s">
        <v>6720</v>
      </c>
      <c r="I6755" s="24" t="s">
        <v>6650</v>
      </c>
      <c r="J6755" s="24">
        <v>0.0</v>
      </c>
    </row>
    <row r="6756">
      <c r="A6756" s="24">
        <v>94.0</v>
      </c>
      <c r="B6756" s="24">
        <v>2.0</v>
      </c>
      <c r="C6756" s="44">
        <v>19.81</v>
      </c>
      <c r="D6756" s="46">
        <v>45611.0</v>
      </c>
      <c r="E6756" s="24">
        <v>9.9</v>
      </c>
      <c r="F6756" s="24">
        <v>210.74</v>
      </c>
      <c r="G6756" s="24">
        <v>2.13</v>
      </c>
      <c r="H6756" s="24" t="s">
        <v>6720</v>
      </c>
      <c r="I6756" s="24" t="s">
        <v>6650</v>
      </c>
      <c r="J6756" s="24">
        <v>0.0</v>
      </c>
    </row>
    <row r="6757">
      <c r="A6757" s="24">
        <v>46.0</v>
      </c>
      <c r="B6757" s="24">
        <v>0.0</v>
      </c>
      <c r="C6757" s="44">
        <v>10.54</v>
      </c>
      <c r="D6757" s="46">
        <v>45612.0</v>
      </c>
      <c r="E6757" s="24" t="s">
        <v>6650</v>
      </c>
      <c r="F6757" s="24">
        <v>229.13</v>
      </c>
      <c r="G6757" s="24">
        <v>0.0</v>
      </c>
      <c r="H6757" s="24" t="s">
        <v>6720</v>
      </c>
      <c r="I6757" s="24" t="s">
        <v>6650</v>
      </c>
      <c r="J6757" s="24">
        <v>0.0</v>
      </c>
    </row>
    <row r="6758">
      <c r="A6758" s="24">
        <v>24.0</v>
      </c>
      <c r="B6758" s="24">
        <v>0.0</v>
      </c>
      <c r="C6758" s="44">
        <v>7.45</v>
      </c>
      <c r="D6758" s="46">
        <v>45613.0</v>
      </c>
      <c r="E6758" s="24" t="s">
        <v>6650</v>
      </c>
      <c r="F6758" s="24">
        <v>310.42</v>
      </c>
      <c r="G6758" s="24">
        <v>0.0</v>
      </c>
      <c r="H6758" s="24" t="s">
        <v>6720</v>
      </c>
      <c r="I6758" s="24" t="s">
        <v>6650</v>
      </c>
      <c r="J6758" s="24">
        <v>0.0</v>
      </c>
    </row>
    <row r="6759">
      <c r="A6759" s="24">
        <v>88.0</v>
      </c>
      <c r="B6759" s="24">
        <v>0.0</v>
      </c>
      <c r="C6759" s="44">
        <v>21.86</v>
      </c>
      <c r="D6759" s="46">
        <v>45614.0</v>
      </c>
      <c r="E6759" s="24" t="s">
        <v>6650</v>
      </c>
      <c r="F6759" s="24">
        <v>248.41</v>
      </c>
      <c r="G6759" s="24">
        <v>0.0</v>
      </c>
      <c r="H6759" s="24" t="s">
        <v>6720</v>
      </c>
      <c r="I6759" s="24" t="s">
        <v>6650</v>
      </c>
      <c r="J6759" s="24">
        <v>0.0</v>
      </c>
    </row>
    <row r="6760">
      <c r="A6760" s="24">
        <v>111.0</v>
      </c>
      <c r="B6760" s="24">
        <v>0.0</v>
      </c>
      <c r="C6760" s="44">
        <v>22.0</v>
      </c>
      <c r="D6760" s="46">
        <v>45615.0</v>
      </c>
      <c r="E6760" s="24" t="s">
        <v>6650</v>
      </c>
      <c r="F6760" s="24">
        <v>198.2</v>
      </c>
      <c r="G6760" s="24">
        <v>0.0</v>
      </c>
      <c r="H6760" s="24" t="s">
        <v>6720</v>
      </c>
      <c r="I6760" s="24" t="s">
        <v>6650</v>
      </c>
      <c r="J6760" s="24">
        <v>0.0</v>
      </c>
    </row>
    <row r="6761">
      <c r="A6761" s="24">
        <v>87.0</v>
      </c>
      <c r="B6761" s="24">
        <v>0.0</v>
      </c>
      <c r="C6761" s="44">
        <v>23.96</v>
      </c>
      <c r="D6761" s="46">
        <v>45616.0</v>
      </c>
      <c r="E6761" s="24" t="s">
        <v>6650</v>
      </c>
      <c r="F6761" s="24">
        <v>275.4</v>
      </c>
      <c r="G6761" s="24">
        <v>0.0</v>
      </c>
      <c r="H6761" s="24" t="s">
        <v>6720</v>
      </c>
      <c r="I6761" s="24" t="s">
        <v>6650</v>
      </c>
      <c r="J6761" s="24">
        <v>0.0</v>
      </c>
    </row>
    <row r="6762">
      <c r="A6762" s="24">
        <v>106.0</v>
      </c>
      <c r="B6762" s="24">
        <v>2.0</v>
      </c>
      <c r="C6762" s="44">
        <v>20.96</v>
      </c>
      <c r="D6762" s="46">
        <v>45617.0</v>
      </c>
      <c r="E6762" s="24">
        <v>10.48</v>
      </c>
      <c r="F6762" s="24">
        <v>197.74</v>
      </c>
      <c r="G6762" s="24">
        <v>1.89</v>
      </c>
      <c r="H6762" s="24" t="s">
        <v>6720</v>
      </c>
      <c r="I6762" s="24" t="s">
        <v>6650</v>
      </c>
      <c r="J6762" s="24">
        <v>0.0</v>
      </c>
    </row>
    <row r="6763">
      <c r="A6763" s="24">
        <v>103.0</v>
      </c>
      <c r="B6763" s="24">
        <v>0.0</v>
      </c>
      <c r="C6763" s="44">
        <v>20.25</v>
      </c>
      <c r="D6763" s="46">
        <v>45618.0</v>
      </c>
      <c r="E6763" s="24" t="s">
        <v>6650</v>
      </c>
      <c r="F6763" s="24">
        <v>196.6</v>
      </c>
      <c r="G6763" s="24">
        <v>0.0</v>
      </c>
      <c r="H6763" s="24" t="s">
        <v>6720</v>
      </c>
      <c r="I6763" s="24" t="s">
        <v>6650</v>
      </c>
      <c r="J6763" s="24">
        <v>0.0</v>
      </c>
    </row>
    <row r="6764">
      <c r="A6764" s="24">
        <v>59.0</v>
      </c>
      <c r="B6764" s="24">
        <v>0.0</v>
      </c>
      <c r="C6764" s="44">
        <v>10.44</v>
      </c>
      <c r="D6764" s="46">
        <v>45619.0</v>
      </c>
      <c r="E6764" s="24" t="s">
        <v>6650</v>
      </c>
      <c r="F6764" s="24">
        <v>176.95</v>
      </c>
      <c r="G6764" s="24">
        <v>0.0</v>
      </c>
      <c r="H6764" s="24" t="s">
        <v>6720</v>
      </c>
      <c r="I6764" s="24" t="s">
        <v>6650</v>
      </c>
      <c r="J6764" s="24">
        <v>0.0</v>
      </c>
    </row>
    <row r="6765">
      <c r="A6765" s="24">
        <v>22.0</v>
      </c>
      <c r="B6765" s="24">
        <v>0.0</v>
      </c>
      <c r="C6765" s="44">
        <v>6.46</v>
      </c>
      <c r="D6765" s="46">
        <v>45620.0</v>
      </c>
      <c r="E6765" s="24" t="s">
        <v>6650</v>
      </c>
      <c r="F6765" s="24">
        <v>293.64</v>
      </c>
      <c r="G6765" s="24">
        <v>0.0</v>
      </c>
      <c r="H6765" s="24" t="s">
        <v>6720</v>
      </c>
      <c r="I6765" s="24" t="s">
        <v>6650</v>
      </c>
      <c r="J6765" s="24">
        <v>0.0</v>
      </c>
    </row>
    <row r="6766">
      <c r="A6766" s="24">
        <v>93.0</v>
      </c>
      <c r="B6766" s="24">
        <v>0.0</v>
      </c>
      <c r="C6766" s="44">
        <v>27.0</v>
      </c>
      <c r="D6766" s="46">
        <v>45621.0</v>
      </c>
      <c r="E6766" s="24" t="s">
        <v>6650</v>
      </c>
      <c r="F6766" s="24">
        <v>290.32</v>
      </c>
      <c r="G6766" s="24">
        <v>0.0</v>
      </c>
      <c r="H6766" s="24" t="s">
        <v>6720</v>
      </c>
      <c r="I6766" s="24" t="s">
        <v>6650</v>
      </c>
      <c r="J6766" s="24">
        <v>0.0</v>
      </c>
    </row>
    <row r="6767">
      <c r="A6767" s="24">
        <v>1089.0</v>
      </c>
      <c r="B6767" s="24">
        <v>4.0</v>
      </c>
      <c r="C6767" s="44">
        <v>26.83</v>
      </c>
      <c r="D6767" s="46">
        <v>45622.0</v>
      </c>
      <c r="E6767" s="24">
        <v>6.71</v>
      </c>
      <c r="F6767" s="24">
        <v>24.64</v>
      </c>
      <c r="G6767" s="24">
        <v>0.37</v>
      </c>
      <c r="H6767" s="24" t="s">
        <v>6716</v>
      </c>
      <c r="I6767" s="24" t="s">
        <v>6650</v>
      </c>
      <c r="J6767" s="24">
        <v>0.0</v>
      </c>
    </row>
    <row r="6768">
      <c r="A6768" s="24">
        <v>100.0</v>
      </c>
      <c r="B6768" s="24">
        <v>3.0</v>
      </c>
      <c r="C6768" s="44">
        <v>21.51</v>
      </c>
      <c r="D6768" s="46">
        <v>45622.0</v>
      </c>
      <c r="E6768" s="24">
        <v>7.17</v>
      </c>
      <c r="F6768" s="24">
        <v>215.1</v>
      </c>
      <c r="G6768" s="24">
        <v>3.0</v>
      </c>
      <c r="H6768" s="24" t="s">
        <v>6720</v>
      </c>
      <c r="I6768" s="24" t="s">
        <v>6650</v>
      </c>
      <c r="J6768" s="24">
        <v>0.0</v>
      </c>
    </row>
    <row r="6769">
      <c r="A6769" s="24">
        <v>710.0</v>
      </c>
      <c r="B6769" s="24">
        <v>3.0</v>
      </c>
      <c r="C6769" s="44">
        <v>18.5</v>
      </c>
      <c r="D6769" s="46">
        <v>45622.0</v>
      </c>
      <c r="E6769" s="24">
        <v>6.17</v>
      </c>
      <c r="F6769" s="24">
        <v>26.06</v>
      </c>
      <c r="G6769" s="24">
        <v>0.42</v>
      </c>
      <c r="H6769" s="24" t="s">
        <v>6721</v>
      </c>
      <c r="I6769" s="24" t="s">
        <v>6650</v>
      </c>
      <c r="J6769" s="24">
        <v>0.0</v>
      </c>
    </row>
    <row r="6770">
      <c r="A6770" s="24">
        <v>1296.0</v>
      </c>
      <c r="B6770" s="24">
        <v>6.0</v>
      </c>
      <c r="C6770" s="44">
        <v>26.77</v>
      </c>
      <c r="D6770" s="46">
        <v>45623.0</v>
      </c>
      <c r="E6770" s="24">
        <v>4.46</v>
      </c>
      <c r="F6770" s="24">
        <v>20.66</v>
      </c>
      <c r="G6770" s="24">
        <v>0.46</v>
      </c>
      <c r="H6770" s="24" t="s">
        <v>6716</v>
      </c>
      <c r="I6770" s="24" t="s">
        <v>6650</v>
      </c>
      <c r="J6770" s="24">
        <v>0.0</v>
      </c>
    </row>
    <row r="6771">
      <c r="A6771" s="24">
        <v>90.0</v>
      </c>
      <c r="B6771" s="24">
        <v>0.0</v>
      </c>
      <c r="C6771" s="44">
        <v>19.1</v>
      </c>
      <c r="D6771" s="46">
        <v>45623.0</v>
      </c>
      <c r="E6771" s="24" t="s">
        <v>6650</v>
      </c>
      <c r="F6771" s="24">
        <v>212.22</v>
      </c>
      <c r="G6771" s="24">
        <v>0.0</v>
      </c>
      <c r="H6771" s="24" t="s">
        <v>6720</v>
      </c>
      <c r="I6771" s="24" t="s">
        <v>6650</v>
      </c>
      <c r="J6771" s="24">
        <v>0.0</v>
      </c>
    </row>
    <row r="6772">
      <c r="A6772" s="24">
        <v>670.0</v>
      </c>
      <c r="B6772" s="24">
        <v>0.0</v>
      </c>
      <c r="C6772" s="44">
        <v>18.39</v>
      </c>
      <c r="D6772" s="46">
        <v>45623.0</v>
      </c>
      <c r="E6772" s="24" t="s">
        <v>6650</v>
      </c>
      <c r="F6772" s="24">
        <v>27.45</v>
      </c>
      <c r="G6772" s="24">
        <v>0.0</v>
      </c>
      <c r="H6772" s="24" t="s">
        <v>6721</v>
      </c>
      <c r="I6772" s="24" t="s">
        <v>6650</v>
      </c>
      <c r="J6772" s="24">
        <v>0.0</v>
      </c>
    </row>
    <row r="6773">
      <c r="A6773" s="24">
        <v>555.0</v>
      </c>
      <c r="B6773" s="24">
        <v>2.0</v>
      </c>
      <c r="C6773" s="44">
        <v>18.1</v>
      </c>
      <c r="D6773" s="46">
        <v>45624.0</v>
      </c>
      <c r="E6773" s="24">
        <v>9.05</v>
      </c>
      <c r="F6773" s="24">
        <v>32.61</v>
      </c>
      <c r="G6773" s="24">
        <v>0.36</v>
      </c>
      <c r="H6773" s="24" t="s">
        <v>6721</v>
      </c>
      <c r="I6773" s="24">
        <v>18.1</v>
      </c>
      <c r="J6773" s="24">
        <v>0.0</v>
      </c>
    </row>
    <row r="6774">
      <c r="A6774" s="24">
        <v>921.0</v>
      </c>
      <c r="B6774" s="24">
        <v>4.0</v>
      </c>
      <c r="C6774" s="44">
        <v>26.26</v>
      </c>
      <c r="D6774" s="46">
        <v>45624.0</v>
      </c>
      <c r="E6774" s="24">
        <v>6.56</v>
      </c>
      <c r="F6774" s="24">
        <v>28.51</v>
      </c>
      <c r="G6774" s="24">
        <v>0.43</v>
      </c>
      <c r="H6774" s="24" t="s">
        <v>6716</v>
      </c>
      <c r="I6774" s="24" t="s">
        <v>6650</v>
      </c>
      <c r="J6774" s="24">
        <v>0.0</v>
      </c>
    </row>
    <row r="6775">
      <c r="A6775" s="24">
        <v>81.0</v>
      </c>
      <c r="B6775" s="24">
        <v>0.0</v>
      </c>
      <c r="C6775" s="44">
        <v>19.35</v>
      </c>
      <c r="D6775" s="46">
        <v>45624.0</v>
      </c>
      <c r="E6775" s="24" t="s">
        <v>6650</v>
      </c>
      <c r="F6775" s="24">
        <v>238.89</v>
      </c>
      <c r="G6775" s="24">
        <v>0.0</v>
      </c>
      <c r="H6775" s="24" t="s">
        <v>6720</v>
      </c>
      <c r="I6775" s="24" t="s">
        <v>6650</v>
      </c>
      <c r="J6775" s="24">
        <v>0.0</v>
      </c>
    </row>
    <row r="6776">
      <c r="A6776" s="24">
        <v>487.0</v>
      </c>
      <c r="B6776" s="24">
        <v>2.0</v>
      </c>
      <c r="C6776" s="44">
        <v>29.51</v>
      </c>
      <c r="D6776" s="46">
        <v>45625.0</v>
      </c>
      <c r="E6776" s="24">
        <v>14.76</v>
      </c>
      <c r="F6776" s="24">
        <v>60.6</v>
      </c>
      <c r="G6776" s="24">
        <v>0.41</v>
      </c>
      <c r="H6776" s="24" t="s">
        <v>6716</v>
      </c>
      <c r="I6776" s="24" t="s">
        <v>6650</v>
      </c>
      <c r="J6776" s="24">
        <v>0.0</v>
      </c>
    </row>
    <row r="6777">
      <c r="A6777" s="24">
        <v>65.0</v>
      </c>
      <c r="B6777" s="24">
        <v>0.0</v>
      </c>
      <c r="C6777" s="44">
        <v>22.14</v>
      </c>
      <c r="D6777" s="46">
        <v>45625.0</v>
      </c>
      <c r="E6777" s="24" t="s">
        <v>6650</v>
      </c>
      <c r="F6777" s="24">
        <v>340.62</v>
      </c>
      <c r="G6777" s="24">
        <v>0.0</v>
      </c>
      <c r="H6777" s="24" t="s">
        <v>6720</v>
      </c>
      <c r="I6777" s="24" t="s">
        <v>6650</v>
      </c>
      <c r="J6777" s="24">
        <v>0.0</v>
      </c>
    </row>
    <row r="6778">
      <c r="A6778" s="24">
        <v>315.0</v>
      </c>
      <c r="B6778" s="24">
        <v>2.0</v>
      </c>
      <c r="C6778" s="44">
        <v>20.18</v>
      </c>
      <c r="D6778" s="46">
        <v>45625.0</v>
      </c>
      <c r="E6778" s="24">
        <v>10.09</v>
      </c>
      <c r="F6778" s="24">
        <v>64.06</v>
      </c>
      <c r="G6778" s="24">
        <v>0.63</v>
      </c>
      <c r="H6778" s="24" t="s">
        <v>6721</v>
      </c>
      <c r="I6778" s="24" t="s">
        <v>6650</v>
      </c>
      <c r="J6778" s="24">
        <v>0.0</v>
      </c>
    </row>
    <row r="6779">
      <c r="A6779" s="24">
        <v>202.0</v>
      </c>
      <c r="B6779" s="24">
        <v>3.0</v>
      </c>
      <c r="C6779" s="44">
        <v>11.26</v>
      </c>
      <c r="D6779" s="46">
        <v>45626.0</v>
      </c>
      <c r="E6779" s="24">
        <v>3.75</v>
      </c>
      <c r="F6779" s="24">
        <v>55.74</v>
      </c>
      <c r="G6779" s="24">
        <v>1.49</v>
      </c>
      <c r="H6779" s="24" t="s">
        <v>6721</v>
      </c>
      <c r="I6779" s="24" t="s">
        <v>6650</v>
      </c>
      <c r="J6779" s="24">
        <v>0.0</v>
      </c>
    </row>
    <row r="6780">
      <c r="A6780" s="24">
        <v>262.0</v>
      </c>
      <c r="B6780" s="24">
        <v>0.0</v>
      </c>
      <c r="C6780" s="44">
        <v>16.16</v>
      </c>
      <c r="D6780" s="46">
        <v>45626.0</v>
      </c>
      <c r="E6780" s="24" t="s">
        <v>6650</v>
      </c>
      <c r="F6780" s="24">
        <v>61.68</v>
      </c>
      <c r="G6780" s="24">
        <v>0.0</v>
      </c>
      <c r="H6780" s="24" t="s">
        <v>6716</v>
      </c>
      <c r="I6780" s="24" t="s">
        <v>6650</v>
      </c>
      <c r="J6780" s="24">
        <v>0.0</v>
      </c>
    </row>
    <row r="6781">
      <c r="A6781" s="24">
        <v>38.0</v>
      </c>
      <c r="B6781" s="24">
        <v>0.0</v>
      </c>
      <c r="C6781" s="44">
        <v>9.69</v>
      </c>
      <c r="D6781" s="46">
        <v>45626.0</v>
      </c>
      <c r="E6781" s="24" t="s">
        <v>6650</v>
      </c>
      <c r="F6781" s="24">
        <v>255.0</v>
      </c>
      <c r="G6781" s="24">
        <v>0.0</v>
      </c>
      <c r="H6781" s="24" t="s">
        <v>6720</v>
      </c>
      <c r="I6781" s="24" t="s">
        <v>6650</v>
      </c>
      <c r="J6781" s="24">
        <v>0.0</v>
      </c>
    </row>
    <row r="6782">
      <c r="A6782" s="24">
        <v>121.0</v>
      </c>
      <c r="B6782" s="24">
        <v>1.0</v>
      </c>
      <c r="C6782" s="44">
        <v>9.57</v>
      </c>
      <c r="D6782" s="46">
        <v>45627.0</v>
      </c>
      <c r="E6782" s="24">
        <v>9.57</v>
      </c>
      <c r="F6782" s="24">
        <v>79.09</v>
      </c>
      <c r="G6782" s="24">
        <v>0.83</v>
      </c>
      <c r="H6782" s="24" t="s">
        <v>6721</v>
      </c>
      <c r="I6782" s="24" t="s">
        <v>6650</v>
      </c>
      <c r="J6782" s="24">
        <v>0.0</v>
      </c>
    </row>
    <row r="6783">
      <c r="A6783" s="24">
        <v>39.0</v>
      </c>
      <c r="B6783" s="24">
        <v>0.0</v>
      </c>
      <c r="C6783" s="44">
        <v>7.21</v>
      </c>
      <c r="D6783" s="46">
        <v>45627.0</v>
      </c>
      <c r="E6783" s="24" t="s">
        <v>6650</v>
      </c>
      <c r="F6783" s="24">
        <v>184.87</v>
      </c>
      <c r="G6783" s="24">
        <v>0.0</v>
      </c>
      <c r="H6783" s="24" t="s">
        <v>6720</v>
      </c>
      <c r="I6783" s="24" t="s">
        <v>6650</v>
      </c>
      <c r="J6783" s="24">
        <v>0.0</v>
      </c>
    </row>
    <row r="6784">
      <c r="A6784" s="24">
        <v>262.0</v>
      </c>
      <c r="B6784" s="24">
        <v>1.0</v>
      </c>
      <c r="C6784" s="44">
        <v>14.47</v>
      </c>
      <c r="D6784" s="46">
        <v>45627.0</v>
      </c>
      <c r="E6784" s="24">
        <v>14.47</v>
      </c>
      <c r="F6784" s="24">
        <v>55.23</v>
      </c>
      <c r="G6784" s="24">
        <v>0.38</v>
      </c>
      <c r="H6784" s="24" t="s">
        <v>6716</v>
      </c>
      <c r="I6784" s="24" t="s">
        <v>6650</v>
      </c>
      <c r="J6784" s="24">
        <v>0.0</v>
      </c>
    </row>
    <row r="6785">
      <c r="A6785" s="24">
        <v>148.0</v>
      </c>
      <c r="B6785" s="24">
        <v>2.0</v>
      </c>
      <c r="C6785" s="44">
        <v>20.55</v>
      </c>
      <c r="D6785" s="46">
        <v>45628.0</v>
      </c>
      <c r="E6785" s="24">
        <v>10.28</v>
      </c>
      <c r="F6785" s="24">
        <v>138.85</v>
      </c>
      <c r="G6785" s="24">
        <v>1.35</v>
      </c>
      <c r="H6785" s="24" t="s">
        <v>6720</v>
      </c>
      <c r="I6785" s="24" t="s">
        <v>6650</v>
      </c>
      <c r="J6785" s="24">
        <v>0.0</v>
      </c>
    </row>
    <row r="6786">
      <c r="A6786" s="24">
        <v>613.0</v>
      </c>
      <c r="B6786" s="24">
        <v>0.0</v>
      </c>
      <c r="C6786" s="44">
        <v>17.86</v>
      </c>
      <c r="D6786" s="46">
        <v>45628.0</v>
      </c>
      <c r="E6786" s="24" t="s">
        <v>6650</v>
      </c>
      <c r="F6786" s="24">
        <v>29.14</v>
      </c>
      <c r="G6786" s="24">
        <v>0.0</v>
      </c>
      <c r="H6786" s="24" t="s">
        <v>6721</v>
      </c>
      <c r="I6786" s="24" t="s">
        <v>6650</v>
      </c>
      <c r="J6786" s="24">
        <v>0.0</v>
      </c>
    </row>
    <row r="6787">
      <c r="A6787" s="24">
        <v>658.0</v>
      </c>
      <c r="B6787" s="24">
        <v>4.0</v>
      </c>
      <c r="C6787" s="44">
        <v>22.33</v>
      </c>
      <c r="D6787" s="46">
        <v>45628.0</v>
      </c>
      <c r="E6787" s="24">
        <v>5.58</v>
      </c>
      <c r="F6787" s="24">
        <v>33.94</v>
      </c>
      <c r="G6787" s="24">
        <v>0.61</v>
      </c>
      <c r="H6787" s="24" t="s">
        <v>6716</v>
      </c>
      <c r="I6787" s="24" t="s">
        <v>6650</v>
      </c>
      <c r="J6787" s="24">
        <v>0.0</v>
      </c>
    </row>
    <row r="6788">
      <c r="A6788" s="24">
        <v>240.0</v>
      </c>
      <c r="B6788" s="24">
        <v>2.0</v>
      </c>
      <c r="C6788" s="44">
        <v>22.59</v>
      </c>
      <c r="D6788" s="46">
        <v>45629.0</v>
      </c>
      <c r="E6788" s="24">
        <v>11.3</v>
      </c>
      <c r="F6788" s="24">
        <v>94.12</v>
      </c>
      <c r="G6788" s="24">
        <v>0.83</v>
      </c>
      <c r="H6788" s="24" t="s">
        <v>6716</v>
      </c>
      <c r="I6788" s="24" t="s">
        <v>6650</v>
      </c>
      <c r="J6788" s="24">
        <v>0.0</v>
      </c>
    </row>
    <row r="6789">
      <c r="A6789" s="24">
        <v>167.0</v>
      </c>
      <c r="B6789" s="24">
        <v>0.0</v>
      </c>
      <c r="C6789" s="44">
        <v>18.47</v>
      </c>
      <c r="D6789" s="46">
        <v>45629.0</v>
      </c>
      <c r="E6789" s="24" t="s">
        <v>6650</v>
      </c>
      <c r="F6789" s="24">
        <v>110.6</v>
      </c>
      <c r="G6789" s="24">
        <v>0.0</v>
      </c>
      <c r="H6789" s="24" t="s">
        <v>6721</v>
      </c>
      <c r="I6789" s="24" t="s">
        <v>6650</v>
      </c>
      <c r="J6789" s="24">
        <v>0.0</v>
      </c>
    </row>
    <row r="6790">
      <c r="A6790" s="24">
        <v>153.0</v>
      </c>
      <c r="B6790" s="24">
        <v>1.0</v>
      </c>
      <c r="C6790" s="44">
        <v>23.11</v>
      </c>
      <c r="D6790" s="46">
        <v>45629.0</v>
      </c>
      <c r="E6790" s="24">
        <v>23.11</v>
      </c>
      <c r="F6790" s="24">
        <v>151.05</v>
      </c>
      <c r="G6790" s="24">
        <v>0.65</v>
      </c>
      <c r="H6790" s="24" t="s">
        <v>6720</v>
      </c>
      <c r="I6790" s="24" t="s">
        <v>6650</v>
      </c>
      <c r="J6790" s="24">
        <v>0.0</v>
      </c>
    </row>
    <row r="6791">
      <c r="A6791" s="24">
        <v>139.0</v>
      </c>
      <c r="B6791" s="24">
        <v>2.0</v>
      </c>
      <c r="C6791" s="44">
        <v>22.97</v>
      </c>
      <c r="D6791" s="46">
        <v>45630.0</v>
      </c>
      <c r="E6791" s="24">
        <v>11.48</v>
      </c>
      <c r="F6791" s="24">
        <v>165.25</v>
      </c>
      <c r="G6791" s="24">
        <v>1.44</v>
      </c>
      <c r="H6791" s="24" t="s">
        <v>6720</v>
      </c>
      <c r="I6791" s="24" t="s">
        <v>6650</v>
      </c>
      <c r="J6791" s="24">
        <v>0.0</v>
      </c>
    </row>
    <row r="6792">
      <c r="A6792" s="24">
        <v>202.0</v>
      </c>
      <c r="B6792" s="24">
        <v>2.0</v>
      </c>
      <c r="C6792" s="44">
        <v>22.92</v>
      </c>
      <c r="D6792" s="46">
        <v>45630.0</v>
      </c>
      <c r="E6792" s="24">
        <v>11.46</v>
      </c>
      <c r="F6792" s="24">
        <v>113.47</v>
      </c>
      <c r="G6792" s="24">
        <v>0.99</v>
      </c>
      <c r="H6792" s="24" t="s">
        <v>6716</v>
      </c>
      <c r="I6792" s="24">
        <v>22.92</v>
      </c>
      <c r="J6792" s="24">
        <v>0.0</v>
      </c>
    </row>
    <row r="6793">
      <c r="A6793" s="24">
        <v>195.0</v>
      </c>
      <c r="B6793" s="24">
        <v>0.0</v>
      </c>
      <c r="C6793" s="44">
        <v>18.21</v>
      </c>
      <c r="D6793" s="46">
        <v>45630.0</v>
      </c>
      <c r="E6793" s="24" t="s">
        <v>6650</v>
      </c>
      <c r="F6793" s="24">
        <v>93.38</v>
      </c>
      <c r="G6793" s="24">
        <v>0.0</v>
      </c>
      <c r="H6793" s="24" t="s">
        <v>6721</v>
      </c>
      <c r="I6793" s="24">
        <v>18.21</v>
      </c>
      <c r="J6793" s="24">
        <v>0.0</v>
      </c>
    </row>
    <row r="6794">
      <c r="A6794" s="24">
        <v>177.0</v>
      </c>
      <c r="B6794" s="24">
        <v>3.0</v>
      </c>
      <c r="C6794" s="44">
        <v>25.07</v>
      </c>
      <c r="D6794" s="46">
        <v>45631.0</v>
      </c>
      <c r="E6794" s="24">
        <v>8.36</v>
      </c>
      <c r="F6794" s="24">
        <v>141.64</v>
      </c>
      <c r="G6794" s="24">
        <v>1.69</v>
      </c>
      <c r="H6794" s="24" t="s">
        <v>6716</v>
      </c>
      <c r="I6794" s="24" t="s">
        <v>6650</v>
      </c>
      <c r="J6794" s="24">
        <v>0.0</v>
      </c>
    </row>
    <row r="6795">
      <c r="A6795" s="24">
        <v>151.0</v>
      </c>
      <c r="B6795" s="24">
        <v>0.0</v>
      </c>
      <c r="C6795" s="44">
        <v>19.55</v>
      </c>
      <c r="D6795" s="46">
        <v>45631.0</v>
      </c>
      <c r="E6795" s="24" t="s">
        <v>6650</v>
      </c>
      <c r="F6795" s="24">
        <v>129.47</v>
      </c>
      <c r="G6795" s="24">
        <v>0.0</v>
      </c>
      <c r="H6795" s="24" t="s">
        <v>6720</v>
      </c>
      <c r="I6795" s="24" t="s">
        <v>6650</v>
      </c>
      <c r="J6795" s="24">
        <v>0.0</v>
      </c>
    </row>
    <row r="6796">
      <c r="A6796" s="24">
        <v>173.0</v>
      </c>
      <c r="B6796" s="24">
        <v>0.0</v>
      </c>
      <c r="C6796" s="44">
        <v>19.56</v>
      </c>
      <c r="D6796" s="46">
        <v>45631.0</v>
      </c>
      <c r="E6796" s="24" t="s">
        <v>6650</v>
      </c>
      <c r="F6796" s="24">
        <v>113.06</v>
      </c>
      <c r="G6796" s="24">
        <v>0.0</v>
      </c>
      <c r="H6796" s="24" t="s">
        <v>6721</v>
      </c>
      <c r="I6796" s="24" t="s">
        <v>6650</v>
      </c>
      <c r="J6796" s="24">
        <v>0.0</v>
      </c>
    </row>
    <row r="6797">
      <c r="A6797" s="24">
        <v>146.0</v>
      </c>
      <c r="B6797" s="24">
        <v>0.0</v>
      </c>
      <c r="C6797" s="44">
        <v>20.65</v>
      </c>
      <c r="D6797" s="46">
        <v>45632.0</v>
      </c>
      <c r="E6797" s="24" t="s">
        <v>6650</v>
      </c>
      <c r="F6797" s="24">
        <v>141.44</v>
      </c>
      <c r="G6797" s="24">
        <v>0.0</v>
      </c>
      <c r="H6797" s="24" t="s">
        <v>6720</v>
      </c>
      <c r="I6797" s="24" t="s">
        <v>6650</v>
      </c>
      <c r="J6797" s="24">
        <v>0.0</v>
      </c>
    </row>
    <row r="6798">
      <c r="A6798" s="24">
        <v>169.0</v>
      </c>
      <c r="B6798" s="24">
        <v>1.0</v>
      </c>
      <c r="C6798" s="44">
        <v>22.78</v>
      </c>
      <c r="D6798" s="46">
        <v>45632.0</v>
      </c>
      <c r="E6798" s="24">
        <v>22.78</v>
      </c>
      <c r="F6798" s="24">
        <v>134.79</v>
      </c>
      <c r="G6798" s="24">
        <v>0.59</v>
      </c>
      <c r="H6798" s="24" t="s">
        <v>6716</v>
      </c>
      <c r="I6798" s="24" t="s">
        <v>6650</v>
      </c>
      <c r="J6798" s="24">
        <v>0.0</v>
      </c>
    </row>
    <row r="6799">
      <c r="A6799" s="24">
        <v>141.0</v>
      </c>
      <c r="B6799" s="24">
        <v>1.0</v>
      </c>
      <c r="C6799" s="44">
        <v>17.95</v>
      </c>
      <c r="D6799" s="46">
        <v>45632.0</v>
      </c>
      <c r="E6799" s="24">
        <v>17.95</v>
      </c>
      <c r="F6799" s="24">
        <v>127.3</v>
      </c>
      <c r="G6799" s="24">
        <v>0.71</v>
      </c>
      <c r="H6799" s="24" t="s">
        <v>6721</v>
      </c>
      <c r="I6799" s="24" t="s">
        <v>6650</v>
      </c>
      <c r="J6799" s="24">
        <v>0.0</v>
      </c>
    </row>
    <row r="6800">
      <c r="A6800" s="24">
        <v>51.0</v>
      </c>
      <c r="B6800" s="24">
        <v>1.0</v>
      </c>
      <c r="C6800" s="44">
        <v>10.59</v>
      </c>
      <c r="D6800" s="46">
        <v>45633.0</v>
      </c>
      <c r="E6800" s="24">
        <v>10.59</v>
      </c>
      <c r="F6800" s="24">
        <v>207.65</v>
      </c>
      <c r="G6800" s="24">
        <v>1.96</v>
      </c>
      <c r="H6800" s="24" t="s">
        <v>6720</v>
      </c>
      <c r="I6800" s="24" t="s">
        <v>6650</v>
      </c>
      <c r="J6800" s="24">
        <v>0.0</v>
      </c>
    </row>
    <row r="6801">
      <c r="A6801" s="24">
        <v>81.0</v>
      </c>
      <c r="B6801" s="24">
        <v>0.0</v>
      </c>
      <c r="C6801" s="44">
        <v>13.8</v>
      </c>
      <c r="D6801" s="46">
        <v>45633.0</v>
      </c>
      <c r="E6801" s="24" t="s">
        <v>6650</v>
      </c>
      <c r="F6801" s="24">
        <v>170.37</v>
      </c>
      <c r="G6801" s="24">
        <v>0.0</v>
      </c>
      <c r="H6801" s="24" t="s">
        <v>6716</v>
      </c>
      <c r="I6801" s="24" t="s">
        <v>6650</v>
      </c>
      <c r="J6801" s="24">
        <v>0.0</v>
      </c>
    </row>
    <row r="6802">
      <c r="A6802" s="24">
        <v>63.0</v>
      </c>
      <c r="B6802" s="24">
        <v>0.0</v>
      </c>
      <c r="C6802" s="44">
        <v>11.54</v>
      </c>
      <c r="D6802" s="46">
        <v>45633.0</v>
      </c>
      <c r="E6802" s="24" t="s">
        <v>6650</v>
      </c>
      <c r="F6802" s="24">
        <v>183.17</v>
      </c>
      <c r="G6802" s="24">
        <v>0.0</v>
      </c>
      <c r="H6802" s="24" t="s">
        <v>6721</v>
      </c>
      <c r="I6802" s="24" t="s">
        <v>6650</v>
      </c>
      <c r="J6802" s="24">
        <v>0.0</v>
      </c>
    </row>
    <row r="6803">
      <c r="A6803" s="24">
        <v>44.0</v>
      </c>
      <c r="B6803" s="24">
        <v>0.0</v>
      </c>
      <c r="C6803" s="44">
        <v>10.51</v>
      </c>
      <c r="D6803" s="46">
        <v>45634.0</v>
      </c>
      <c r="E6803" s="24" t="s">
        <v>6650</v>
      </c>
      <c r="F6803" s="24">
        <v>238.86</v>
      </c>
      <c r="G6803" s="24">
        <v>0.0</v>
      </c>
      <c r="H6803" s="24" t="s">
        <v>6716</v>
      </c>
      <c r="I6803" s="24" t="s">
        <v>6650</v>
      </c>
      <c r="J6803" s="24">
        <v>0.0</v>
      </c>
    </row>
    <row r="6804">
      <c r="A6804" s="24">
        <v>53.0</v>
      </c>
      <c r="B6804" s="24">
        <v>0.0</v>
      </c>
      <c r="C6804" s="44">
        <v>8.41</v>
      </c>
      <c r="D6804" s="46">
        <v>45634.0</v>
      </c>
      <c r="E6804" s="24" t="s">
        <v>6650</v>
      </c>
      <c r="F6804" s="24">
        <v>158.68</v>
      </c>
      <c r="G6804" s="24">
        <v>0.0</v>
      </c>
      <c r="H6804" s="24" t="s">
        <v>6721</v>
      </c>
      <c r="I6804" s="24" t="s">
        <v>6650</v>
      </c>
      <c r="J6804" s="24">
        <v>0.0</v>
      </c>
    </row>
    <row r="6805">
      <c r="A6805" s="24">
        <v>47.0</v>
      </c>
      <c r="B6805" s="24">
        <v>1.0</v>
      </c>
      <c r="C6805" s="44">
        <v>8.58</v>
      </c>
      <c r="D6805" s="46">
        <v>45634.0</v>
      </c>
      <c r="E6805" s="24">
        <v>8.58</v>
      </c>
      <c r="F6805" s="24">
        <v>182.55</v>
      </c>
      <c r="G6805" s="24">
        <v>2.13</v>
      </c>
      <c r="H6805" s="24" t="s">
        <v>6720</v>
      </c>
      <c r="I6805" s="24" t="s">
        <v>6650</v>
      </c>
      <c r="J6805" s="24">
        <v>0.0</v>
      </c>
    </row>
    <row r="6806">
      <c r="A6806" s="24">
        <v>187.0</v>
      </c>
      <c r="B6806" s="24">
        <v>0.0</v>
      </c>
      <c r="C6806" s="44">
        <v>23.39</v>
      </c>
      <c r="D6806" s="46">
        <v>45635.0</v>
      </c>
      <c r="E6806" s="24" t="s">
        <v>6650</v>
      </c>
      <c r="F6806" s="24">
        <v>125.08</v>
      </c>
      <c r="G6806" s="24">
        <v>0.0</v>
      </c>
      <c r="H6806" s="24" t="s">
        <v>6716</v>
      </c>
      <c r="I6806" s="24" t="s">
        <v>6650</v>
      </c>
      <c r="J6806" s="24">
        <v>0.0</v>
      </c>
    </row>
    <row r="6807">
      <c r="A6807" s="24">
        <v>151.0</v>
      </c>
      <c r="B6807" s="24">
        <v>1.0</v>
      </c>
      <c r="C6807" s="44">
        <v>18.72</v>
      </c>
      <c r="D6807" s="46">
        <v>45635.0</v>
      </c>
      <c r="E6807" s="24">
        <v>18.72</v>
      </c>
      <c r="F6807" s="24">
        <v>123.97</v>
      </c>
      <c r="G6807" s="24">
        <v>0.66</v>
      </c>
      <c r="H6807" s="24" t="s">
        <v>6721</v>
      </c>
      <c r="I6807" s="24" t="s">
        <v>6650</v>
      </c>
      <c r="J6807" s="24">
        <v>0.0</v>
      </c>
    </row>
    <row r="6808">
      <c r="A6808" s="24">
        <v>113.0</v>
      </c>
      <c r="B6808" s="24">
        <v>2.0</v>
      </c>
      <c r="C6808" s="44">
        <v>20.33</v>
      </c>
      <c r="D6808" s="46">
        <v>45635.0</v>
      </c>
      <c r="E6808" s="24">
        <v>10.16</v>
      </c>
      <c r="F6808" s="24">
        <v>179.91</v>
      </c>
      <c r="G6808" s="24">
        <v>1.77</v>
      </c>
      <c r="H6808" s="24" t="s">
        <v>6720</v>
      </c>
      <c r="I6808" s="24" t="s">
        <v>6650</v>
      </c>
      <c r="J6808" s="24">
        <v>0.0</v>
      </c>
    </row>
    <row r="6809">
      <c r="A6809" s="24">
        <v>131.0</v>
      </c>
      <c r="B6809" s="24">
        <v>0.0</v>
      </c>
      <c r="C6809" s="44">
        <v>24.18</v>
      </c>
      <c r="D6809" s="46">
        <v>45636.0</v>
      </c>
      <c r="E6809" s="24" t="s">
        <v>6650</v>
      </c>
      <c r="F6809" s="24">
        <v>184.58</v>
      </c>
      <c r="G6809" s="24">
        <v>0.0</v>
      </c>
      <c r="H6809" s="24" t="s">
        <v>6720</v>
      </c>
      <c r="I6809" s="24" t="s">
        <v>6650</v>
      </c>
      <c r="J6809" s="24">
        <v>0.0</v>
      </c>
    </row>
    <row r="6810">
      <c r="A6810" s="24">
        <v>153.0</v>
      </c>
      <c r="B6810" s="24">
        <v>0.0</v>
      </c>
      <c r="C6810" s="44">
        <v>20.6</v>
      </c>
      <c r="D6810" s="46">
        <v>45636.0</v>
      </c>
      <c r="E6810" s="24" t="s">
        <v>6650</v>
      </c>
      <c r="F6810" s="24">
        <v>134.64</v>
      </c>
      <c r="G6810" s="24">
        <v>0.0</v>
      </c>
      <c r="H6810" s="24" t="s">
        <v>6721</v>
      </c>
      <c r="I6810" s="24" t="s">
        <v>6650</v>
      </c>
      <c r="J6810" s="24">
        <v>0.0</v>
      </c>
    </row>
    <row r="6811">
      <c r="A6811" s="24">
        <v>177.0</v>
      </c>
      <c r="B6811" s="24">
        <v>2.0</v>
      </c>
      <c r="C6811" s="44">
        <v>25.73</v>
      </c>
      <c r="D6811" s="46">
        <v>45636.0</v>
      </c>
      <c r="E6811" s="24">
        <v>12.86</v>
      </c>
      <c r="F6811" s="24">
        <v>145.37</v>
      </c>
      <c r="G6811" s="24">
        <v>1.13</v>
      </c>
      <c r="H6811" s="24" t="s">
        <v>6716</v>
      </c>
      <c r="I6811" s="24" t="s">
        <v>6650</v>
      </c>
      <c r="J6811" s="24">
        <v>0.0</v>
      </c>
    </row>
    <row r="6812">
      <c r="A6812" s="24">
        <v>144.0</v>
      </c>
      <c r="B6812" s="24">
        <v>0.0</v>
      </c>
      <c r="C6812" s="44">
        <v>19.01</v>
      </c>
      <c r="D6812" s="46">
        <v>45637.0</v>
      </c>
      <c r="E6812" s="24" t="s">
        <v>6650</v>
      </c>
      <c r="F6812" s="24">
        <v>132.01</v>
      </c>
      <c r="G6812" s="24">
        <v>0.0</v>
      </c>
      <c r="H6812" s="24" t="s">
        <v>6721</v>
      </c>
      <c r="I6812" s="24" t="s">
        <v>6650</v>
      </c>
      <c r="J6812" s="24">
        <v>0.0</v>
      </c>
    </row>
    <row r="6813">
      <c r="A6813" s="24">
        <v>129.0</v>
      </c>
      <c r="B6813" s="24">
        <v>1.0</v>
      </c>
      <c r="C6813" s="44">
        <v>23.43</v>
      </c>
      <c r="D6813" s="46">
        <v>45637.0</v>
      </c>
      <c r="E6813" s="24">
        <v>23.43</v>
      </c>
      <c r="F6813" s="24">
        <v>181.63</v>
      </c>
      <c r="G6813" s="24">
        <v>0.78</v>
      </c>
      <c r="H6813" s="24" t="s">
        <v>6720</v>
      </c>
      <c r="I6813" s="24" t="s">
        <v>6650</v>
      </c>
      <c r="J6813" s="24">
        <v>0.0</v>
      </c>
    </row>
    <row r="6814">
      <c r="A6814" s="24">
        <v>175.0</v>
      </c>
      <c r="B6814" s="24">
        <v>0.0</v>
      </c>
      <c r="C6814" s="44">
        <v>24.2</v>
      </c>
      <c r="D6814" s="46">
        <v>45637.0</v>
      </c>
      <c r="E6814" s="24" t="s">
        <v>6650</v>
      </c>
      <c r="F6814" s="24">
        <v>138.29</v>
      </c>
      <c r="G6814" s="24">
        <v>0.0</v>
      </c>
      <c r="H6814" s="24" t="s">
        <v>6716</v>
      </c>
      <c r="I6814" s="24" t="s">
        <v>6650</v>
      </c>
      <c r="J6814" s="24">
        <v>0.0</v>
      </c>
    </row>
    <row r="6815">
      <c r="A6815" s="24">
        <v>88.0</v>
      </c>
      <c r="B6815" s="24">
        <v>1.0</v>
      </c>
      <c r="C6815" s="44">
        <v>20.08</v>
      </c>
      <c r="D6815" s="46">
        <v>45638.0</v>
      </c>
      <c r="E6815" s="24">
        <v>20.08</v>
      </c>
      <c r="F6815" s="24">
        <v>228.18</v>
      </c>
      <c r="G6815" s="24">
        <v>1.14</v>
      </c>
      <c r="H6815" s="24" t="s">
        <v>6721</v>
      </c>
      <c r="I6815" s="24" t="s">
        <v>6650</v>
      </c>
      <c r="J6815" s="24">
        <v>0.0</v>
      </c>
    </row>
    <row r="6816">
      <c r="A6816" s="24">
        <v>97.0</v>
      </c>
      <c r="B6816" s="24">
        <v>0.0</v>
      </c>
      <c r="C6816" s="44">
        <v>22.34</v>
      </c>
      <c r="D6816" s="46">
        <v>45638.0</v>
      </c>
      <c r="E6816" s="24" t="s">
        <v>6650</v>
      </c>
      <c r="F6816" s="24">
        <v>230.31</v>
      </c>
      <c r="G6816" s="24">
        <v>0.0</v>
      </c>
      <c r="H6816" s="24" t="s">
        <v>6716</v>
      </c>
      <c r="I6816" s="24" t="s">
        <v>6650</v>
      </c>
      <c r="J6816" s="24">
        <v>0.0</v>
      </c>
    </row>
    <row r="6817">
      <c r="A6817" s="24">
        <v>60.0</v>
      </c>
      <c r="B6817" s="24">
        <v>0.0</v>
      </c>
      <c r="C6817" s="44">
        <v>20.56</v>
      </c>
      <c r="D6817" s="46">
        <v>45638.0</v>
      </c>
      <c r="E6817" s="24" t="s">
        <v>6650</v>
      </c>
      <c r="F6817" s="24">
        <v>342.67</v>
      </c>
      <c r="G6817" s="24">
        <v>0.0</v>
      </c>
      <c r="H6817" s="24" t="s">
        <v>6720</v>
      </c>
      <c r="I6817" s="24" t="s">
        <v>6650</v>
      </c>
      <c r="J6817" s="24">
        <v>0.0</v>
      </c>
    </row>
    <row r="6818">
      <c r="A6818" s="24">
        <v>114.0</v>
      </c>
      <c r="B6818" s="24">
        <v>1.0</v>
      </c>
      <c r="C6818" s="44">
        <v>21.24</v>
      </c>
      <c r="D6818" s="46">
        <v>45639.0</v>
      </c>
      <c r="E6818" s="24">
        <v>21.24</v>
      </c>
      <c r="F6818" s="24">
        <v>186.32</v>
      </c>
      <c r="G6818" s="24">
        <v>0.88</v>
      </c>
      <c r="H6818" s="24" t="s">
        <v>6716</v>
      </c>
      <c r="I6818" s="24" t="s">
        <v>6650</v>
      </c>
      <c r="J6818" s="24">
        <v>0.0</v>
      </c>
    </row>
    <row r="6819">
      <c r="A6819" s="24">
        <v>92.0</v>
      </c>
      <c r="B6819" s="24">
        <v>0.0</v>
      </c>
      <c r="C6819" s="44">
        <v>22.07</v>
      </c>
      <c r="D6819" s="46">
        <v>45639.0</v>
      </c>
      <c r="E6819" s="24" t="s">
        <v>6650</v>
      </c>
      <c r="F6819" s="24">
        <v>239.89</v>
      </c>
      <c r="G6819" s="24">
        <v>0.0</v>
      </c>
      <c r="H6819" s="24" t="s">
        <v>6720</v>
      </c>
      <c r="I6819" s="24" t="s">
        <v>6650</v>
      </c>
      <c r="J6819" s="24">
        <v>0.0</v>
      </c>
    </row>
    <row r="6820">
      <c r="A6820" s="24">
        <v>83.0</v>
      </c>
      <c r="B6820" s="24">
        <v>0.0</v>
      </c>
      <c r="C6820" s="44">
        <v>15.95</v>
      </c>
      <c r="D6820" s="46">
        <v>45639.0</v>
      </c>
      <c r="E6820" s="24" t="s">
        <v>6650</v>
      </c>
      <c r="F6820" s="24">
        <v>192.17</v>
      </c>
      <c r="G6820" s="24">
        <v>0.0</v>
      </c>
      <c r="H6820" s="24" t="s">
        <v>6721</v>
      </c>
      <c r="I6820" s="24" t="s">
        <v>6650</v>
      </c>
      <c r="J6820" s="24">
        <v>0.0</v>
      </c>
    </row>
    <row r="6821">
      <c r="A6821" s="24">
        <v>60.0</v>
      </c>
      <c r="B6821" s="24">
        <v>0.0</v>
      </c>
      <c r="C6821" s="44">
        <v>13.74</v>
      </c>
      <c r="D6821" s="46">
        <v>45640.0</v>
      </c>
      <c r="E6821" s="24" t="s">
        <v>6650</v>
      </c>
      <c r="F6821" s="24">
        <v>229.0</v>
      </c>
      <c r="G6821" s="24">
        <v>0.0</v>
      </c>
      <c r="H6821" s="24" t="s">
        <v>6716</v>
      </c>
      <c r="I6821" s="24" t="s">
        <v>6650</v>
      </c>
      <c r="J6821" s="24">
        <v>0.0</v>
      </c>
    </row>
    <row r="6822">
      <c r="A6822" s="24">
        <v>50.0</v>
      </c>
      <c r="B6822" s="24">
        <v>0.0</v>
      </c>
      <c r="C6822" s="44">
        <v>10.14</v>
      </c>
      <c r="D6822" s="46">
        <v>45640.0</v>
      </c>
      <c r="E6822" s="24" t="s">
        <v>6650</v>
      </c>
      <c r="F6822" s="24">
        <v>202.8</v>
      </c>
      <c r="G6822" s="24">
        <v>0.0</v>
      </c>
      <c r="H6822" s="24" t="s">
        <v>6720</v>
      </c>
      <c r="I6822" s="24" t="s">
        <v>6650</v>
      </c>
      <c r="J6822" s="24">
        <v>0.0</v>
      </c>
    </row>
    <row r="6823">
      <c r="A6823" s="24">
        <v>54.0</v>
      </c>
      <c r="B6823" s="24">
        <v>1.0</v>
      </c>
      <c r="C6823" s="44">
        <v>11.21</v>
      </c>
      <c r="D6823" s="46">
        <v>45640.0</v>
      </c>
      <c r="E6823" s="24">
        <v>11.21</v>
      </c>
      <c r="F6823" s="24">
        <v>207.59</v>
      </c>
      <c r="G6823" s="24">
        <v>1.85</v>
      </c>
      <c r="H6823" s="24" t="s">
        <v>6721</v>
      </c>
      <c r="I6823" s="24" t="s">
        <v>6650</v>
      </c>
      <c r="J6823" s="24">
        <v>0.0</v>
      </c>
    </row>
    <row r="6824">
      <c r="A6824" s="24">
        <v>21.0</v>
      </c>
      <c r="B6824" s="24">
        <v>0.0</v>
      </c>
      <c r="C6824" s="44">
        <v>5.29</v>
      </c>
      <c r="D6824" s="46">
        <v>45641.0</v>
      </c>
      <c r="E6824" s="24" t="s">
        <v>6650</v>
      </c>
      <c r="F6824" s="24">
        <v>251.9</v>
      </c>
      <c r="G6824" s="24">
        <v>0.0</v>
      </c>
      <c r="H6824" s="24" t="s">
        <v>6720</v>
      </c>
      <c r="I6824" s="24" t="s">
        <v>6650</v>
      </c>
      <c r="J6824" s="24">
        <v>0.0</v>
      </c>
    </row>
    <row r="6825">
      <c r="A6825" s="24">
        <v>47.0</v>
      </c>
      <c r="B6825" s="24">
        <v>1.0</v>
      </c>
      <c r="C6825" s="44">
        <v>6.43</v>
      </c>
      <c r="D6825" s="46">
        <v>45641.0</v>
      </c>
      <c r="E6825" s="24">
        <v>6.43</v>
      </c>
      <c r="F6825" s="24">
        <v>136.81</v>
      </c>
      <c r="G6825" s="24">
        <v>2.13</v>
      </c>
      <c r="H6825" s="24" t="s">
        <v>6721</v>
      </c>
      <c r="I6825" s="24" t="s">
        <v>6650</v>
      </c>
      <c r="J6825" s="24">
        <v>0.0</v>
      </c>
    </row>
    <row r="6826">
      <c r="A6826" s="24">
        <v>37.0</v>
      </c>
      <c r="B6826" s="24">
        <v>0.0</v>
      </c>
      <c r="C6826" s="44">
        <v>9.36</v>
      </c>
      <c r="D6826" s="46">
        <v>45641.0</v>
      </c>
      <c r="E6826" s="24" t="s">
        <v>6650</v>
      </c>
      <c r="F6826" s="24">
        <v>252.97</v>
      </c>
      <c r="G6826" s="24">
        <v>0.0</v>
      </c>
      <c r="H6826" s="24" t="s">
        <v>6716</v>
      </c>
      <c r="I6826" s="24" t="s">
        <v>6650</v>
      </c>
      <c r="J6826" s="24">
        <v>0.0</v>
      </c>
    </row>
    <row r="6827">
      <c r="A6827" s="24">
        <v>108.0</v>
      </c>
      <c r="B6827" s="24">
        <v>1.0</v>
      </c>
      <c r="C6827" s="44">
        <v>18.94</v>
      </c>
      <c r="D6827" s="46">
        <v>45642.0</v>
      </c>
      <c r="E6827" s="24">
        <v>18.94</v>
      </c>
      <c r="F6827" s="24">
        <v>175.37</v>
      </c>
      <c r="G6827" s="24">
        <v>0.93</v>
      </c>
      <c r="H6827" s="24" t="s">
        <v>6721</v>
      </c>
      <c r="I6827" s="24" t="s">
        <v>6650</v>
      </c>
      <c r="J6827" s="24">
        <v>0.0</v>
      </c>
    </row>
    <row r="6828">
      <c r="A6828" s="24">
        <v>247.0</v>
      </c>
      <c r="B6828" s="24">
        <v>0.0</v>
      </c>
      <c r="C6828" s="44">
        <v>23.29</v>
      </c>
      <c r="D6828" s="46">
        <v>45642.0</v>
      </c>
      <c r="E6828" s="24" t="s">
        <v>6650</v>
      </c>
      <c r="F6828" s="24">
        <v>94.29</v>
      </c>
      <c r="G6828" s="24">
        <v>0.0</v>
      </c>
      <c r="H6828" s="24" t="s">
        <v>6716</v>
      </c>
      <c r="I6828" s="24" t="s">
        <v>6650</v>
      </c>
      <c r="J6828" s="24">
        <v>0.0</v>
      </c>
    </row>
    <row r="6829">
      <c r="A6829" s="24">
        <v>113.0</v>
      </c>
      <c r="B6829" s="24">
        <v>0.0</v>
      </c>
      <c r="C6829" s="44">
        <v>20.52</v>
      </c>
      <c r="D6829" s="46">
        <v>45642.0</v>
      </c>
      <c r="E6829" s="24" t="s">
        <v>6650</v>
      </c>
      <c r="F6829" s="24">
        <v>181.59</v>
      </c>
      <c r="G6829" s="24">
        <v>0.0</v>
      </c>
      <c r="H6829" s="24" t="s">
        <v>6720</v>
      </c>
      <c r="I6829" s="24" t="s">
        <v>6650</v>
      </c>
      <c r="J6829" s="24">
        <v>0.0</v>
      </c>
    </row>
    <row r="6830">
      <c r="A6830" s="24">
        <v>106.0</v>
      </c>
      <c r="B6830" s="24">
        <v>0.0</v>
      </c>
      <c r="C6830" s="44">
        <v>25.07</v>
      </c>
      <c r="D6830" s="46">
        <v>45643.0</v>
      </c>
      <c r="E6830" s="24" t="s">
        <v>6650</v>
      </c>
      <c r="F6830" s="24">
        <v>236.51</v>
      </c>
      <c r="G6830" s="24">
        <v>0.0</v>
      </c>
      <c r="H6830" s="24" t="s">
        <v>6720</v>
      </c>
      <c r="I6830" s="24" t="s">
        <v>6650</v>
      </c>
      <c r="J6830" s="24">
        <v>0.0</v>
      </c>
    </row>
    <row r="6831">
      <c r="A6831" s="24">
        <v>135.0</v>
      </c>
      <c r="B6831" s="24">
        <v>0.0</v>
      </c>
      <c r="C6831" s="44">
        <v>20.63</v>
      </c>
      <c r="D6831" s="46">
        <v>45643.0</v>
      </c>
      <c r="E6831" s="24" t="s">
        <v>6650</v>
      </c>
      <c r="F6831" s="24">
        <v>152.81</v>
      </c>
      <c r="G6831" s="24">
        <v>0.0</v>
      </c>
      <c r="H6831" s="24" t="s">
        <v>6721</v>
      </c>
      <c r="I6831" s="24" t="s">
        <v>6650</v>
      </c>
      <c r="J6831" s="24">
        <v>0.0</v>
      </c>
    </row>
    <row r="6832">
      <c r="A6832" s="24">
        <v>171.0</v>
      </c>
      <c r="B6832" s="24">
        <v>2.0</v>
      </c>
      <c r="C6832" s="44">
        <v>26.17</v>
      </c>
      <c r="D6832" s="46">
        <v>45643.0</v>
      </c>
      <c r="E6832" s="24">
        <v>13.08</v>
      </c>
      <c r="F6832" s="24">
        <v>153.04</v>
      </c>
      <c r="G6832" s="24">
        <v>1.17</v>
      </c>
      <c r="H6832" s="24" t="s">
        <v>6716</v>
      </c>
      <c r="I6832" s="24">
        <v>26.17</v>
      </c>
      <c r="J6832" s="24">
        <v>0.0</v>
      </c>
    </row>
    <row r="6833">
      <c r="A6833" s="24">
        <v>118.0</v>
      </c>
      <c r="B6833" s="24">
        <v>1.0</v>
      </c>
      <c r="C6833" s="44">
        <v>23.67</v>
      </c>
      <c r="D6833" s="46">
        <v>45644.0</v>
      </c>
      <c r="E6833" s="24">
        <v>23.67</v>
      </c>
      <c r="F6833" s="24">
        <v>200.59</v>
      </c>
      <c r="G6833" s="24">
        <v>0.85</v>
      </c>
      <c r="H6833" s="24" t="s">
        <v>6716</v>
      </c>
      <c r="I6833" s="24" t="s">
        <v>6650</v>
      </c>
      <c r="J6833" s="24">
        <v>0.0</v>
      </c>
    </row>
    <row r="6834">
      <c r="A6834" s="24">
        <v>130.0</v>
      </c>
      <c r="B6834" s="24">
        <v>0.0</v>
      </c>
      <c r="C6834" s="44">
        <v>24.74</v>
      </c>
      <c r="D6834" s="46">
        <v>45644.0</v>
      </c>
      <c r="E6834" s="24" t="s">
        <v>6650</v>
      </c>
      <c r="F6834" s="24">
        <v>190.31</v>
      </c>
      <c r="G6834" s="24">
        <v>0.0</v>
      </c>
      <c r="H6834" s="24" t="s">
        <v>6720</v>
      </c>
      <c r="I6834" s="24" t="s">
        <v>6650</v>
      </c>
      <c r="J6834" s="24">
        <v>0.0</v>
      </c>
    </row>
    <row r="6835">
      <c r="A6835" s="24">
        <v>102.0</v>
      </c>
      <c r="B6835" s="24">
        <v>0.0</v>
      </c>
      <c r="C6835" s="44">
        <v>19.06</v>
      </c>
      <c r="D6835" s="46">
        <v>45644.0</v>
      </c>
      <c r="E6835" s="24" t="s">
        <v>6650</v>
      </c>
      <c r="F6835" s="24">
        <v>186.86</v>
      </c>
      <c r="G6835" s="24">
        <v>0.0</v>
      </c>
      <c r="H6835" s="24" t="s">
        <v>6721</v>
      </c>
      <c r="I6835" s="24" t="s">
        <v>6650</v>
      </c>
      <c r="J6835" s="24">
        <v>0.0</v>
      </c>
    </row>
    <row r="6836">
      <c r="A6836" s="24">
        <v>113.0</v>
      </c>
      <c r="B6836" s="24">
        <v>0.0</v>
      </c>
      <c r="C6836" s="44">
        <v>18.39</v>
      </c>
      <c r="D6836" s="46">
        <v>45645.0</v>
      </c>
      <c r="E6836" s="24" t="s">
        <v>6650</v>
      </c>
      <c r="F6836" s="24">
        <v>162.74</v>
      </c>
      <c r="G6836" s="24">
        <v>0.0</v>
      </c>
      <c r="H6836" s="24" t="s">
        <v>6721</v>
      </c>
      <c r="I6836" s="24" t="s">
        <v>6650</v>
      </c>
      <c r="J6836" s="24">
        <v>0.0</v>
      </c>
    </row>
    <row r="6837">
      <c r="A6837" s="24">
        <v>78.0</v>
      </c>
      <c r="B6837" s="24">
        <v>1.0</v>
      </c>
      <c r="C6837" s="44">
        <v>20.79</v>
      </c>
      <c r="D6837" s="46">
        <v>45645.0</v>
      </c>
      <c r="E6837" s="24">
        <v>20.79</v>
      </c>
      <c r="F6837" s="24">
        <v>266.54</v>
      </c>
      <c r="G6837" s="24">
        <v>1.28</v>
      </c>
      <c r="H6837" s="24" t="s">
        <v>6720</v>
      </c>
      <c r="I6837" s="24" t="s">
        <v>6650</v>
      </c>
      <c r="J6837" s="24">
        <v>0.0</v>
      </c>
    </row>
    <row r="6838">
      <c r="A6838" s="24">
        <v>122.0</v>
      </c>
      <c r="B6838" s="24">
        <v>0.0</v>
      </c>
      <c r="C6838" s="44">
        <v>23.85</v>
      </c>
      <c r="D6838" s="46">
        <v>45645.0</v>
      </c>
      <c r="E6838" s="24" t="s">
        <v>6650</v>
      </c>
      <c r="F6838" s="24">
        <v>195.49</v>
      </c>
      <c r="G6838" s="24">
        <v>0.0</v>
      </c>
      <c r="H6838" s="24" t="s">
        <v>6716</v>
      </c>
      <c r="I6838" s="24" t="s">
        <v>6650</v>
      </c>
      <c r="J6838" s="24">
        <v>0.0</v>
      </c>
    </row>
    <row r="6839">
      <c r="A6839" s="24">
        <v>137.0</v>
      </c>
      <c r="B6839" s="24">
        <v>0.0</v>
      </c>
      <c r="C6839" s="44">
        <v>21.66</v>
      </c>
      <c r="D6839" s="46">
        <v>45646.0</v>
      </c>
      <c r="E6839" s="24" t="s">
        <v>6650</v>
      </c>
      <c r="F6839" s="24">
        <v>158.1</v>
      </c>
      <c r="G6839" s="24">
        <v>0.0</v>
      </c>
      <c r="H6839" s="24" t="s">
        <v>6716</v>
      </c>
      <c r="I6839" s="24" t="s">
        <v>6650</v>
      </c>
      <c r="J6839" s="24">
        <v>0.0</v>
      </c>
    </row>
    <row r="6840">
      <c r="A6840" s="24">
        <v>89.0</v>
      </c>
      <c r="B6840" s="24">
        <v>0.0</v>
      </c>
      <c r="C6840" s="44">
        <v>16.99</v>
      </c>
      <c r="D6840" s="46">
        <v>45646.0</v>
      </c>
      <c r="E6840" s="24" t="s">
        <v>6650</v>
      </c>
      <c r="F6840" s="24">
        <v>190.9</v>
      </c>
      <c r="G6840" s="24">
        <v>0.0</v>
      </c>
      <c r="H6840" s="24" t="s">
        <v>6721</v>
      </c>
      <c r="I6840" s="24" t="s">
        <v>6650</v>
      </c>
      <c r="J6840" s="24">
        <v>0.0</v>
      </c>
    </row>
    <row r="6841">
      <c r="A6841" s="24">
        <v>67.0</v>
      </c>
      <c r="B6841" s="24">
        <v>1.0</v>
      </c>
      <c r="C6841" s="44">
        <v>18.4</v>
      </c>
      <c r="D6841" s="46">
        <v>45646.0</v>
      </c>
      <c r="E6841" s="24">
        <v>18.4</v>
      </c>
      <c r="F6841" s="24">
        <v>274.63</v>
      </c>
      <c r="G6841" s="24">
        <v>1.49</v>
      </c>
      <c r="H6841" s="24" t="s">
        <v>6720</v>
      </c>
      <c r="I6841" s="24" t="s">
        <v>6650</v>
      </c>
      <c r="J6841" s="24">
        <v>0.0</v>
      </c>
    </row>
    <row r="6842">
      <c r="A6842" s="24">
        <v>50.0</v>
      </c>
      <c r="B6842" s="24">
        <v>0.0</v>
      </c>
      <c r="C6842" s="44">
        <v>9.7</v>
      </c>
      <c r="D6842" s="46">
        <v>45647.0</v>
      </c>
      <c r="E6842" s="24" t="s">
        <v>6650</v>
      </c>
      <c r="F6842" s="24">
        <v>194.0</v>
      </c>
      <c r="G6842" s="24">
        <v>0.0</v>
      </c>
      <c r="H6842" s="24" t="s">
        <v>6720</v>
      </c>
      <c r="I6842" s="24" t="s">
        <v>6650</v>
      </c>
      <c r="J6842" s="24">
        <v>0.0</v>
      </c>
    </row>
    <row r="6843">
      <c r="A6843" s="24">
        <v>51.0</v>
      </c>
      <c r="B6843" s="24">
        <v>0.0</v>
      </c>
      <c r="C6843" s="44">
        <v>12.14</v>
      </c>
      <c r="D6843" s="46">
        <v>45647.0</v>
      </c>
      <c r="E6843" s="24" t="s">
        <v>6650</v>
      </c>
      <c r="F6843" s="24">
        <v>238.04</v>
      </c>
      <c r="G6843" s="24">
        <v>0.0</v>
      </c>
      <c r="H6843" s="24" t="s">
        <v>6716</v>
      </c>
      <c r="I6843" s="24" t="s">
        <v>6650</v>
      </c>
      <c r="J6843" s="24">
        <v>0.0</v>
      </c>
    </row>
    <row r="6844">
      <c r="A6844" s="24">
        <v>38.0</v>
      </c>
      <c r="B6844" s="24">
        <v>0.0</v>
      </c>
      <c r="C6844" s="44">
        <v>10.85</v>
      </c>
      <c r="D6844" s="46">
        <v>45647.0</v>
      </c>
      <c r="E6844" s="24" t="s">
        <v>6650</v>
      </c>
      <c r="F6844" s="24">
        <v>285.53</v>
      </c>
      <c r="G6844" s="24">
        <v>0.0</v>
      </c>
      <c r="H6844" s="24" t="s">
        <v>6721</v>
      </c>
      <c r="I6844" s="24" t="s">
        <v>6650</v>
      </c>
      <c r="J6844" s="24">
        <v>0.0</v>
      </c>
    </row>
    <row r="6845">
      <c r="A6845" s="24">
        <v>45.0</v>
      </c>
      <c r="B6845" s="24">
        <v>0.0</v>
      </c>
      <c r="C6845" s="44">
        <v>9.22</v>
      </c>
      <c r="D6845" s="46">
        <v>45648.0</v>
      </c>
      <c r="E6845" s="24" t="s">
        <v>6650</v>
      </c>
      <c r="F6845" s="24">
        <v>204.89</v>
      </c>
      <c r="G6845" s="24">
        <v>0.0</v>
      </c>
      <c r="H6845" s="24" t="s">
        <v>6716</v>
      </c>
      <c r="I6845" s="24" t="s">
        <v>6650</v>
      </c>
      <c r="J6845" s="24">
        <v>0.0</v>
      </c>
    </row>
    <row r="6846">
      <c r="A6846" s="24">
        <v>33.0</v>
      </c>
      <c r="B6846" s="24">
        <v>1.0</v>
      </c>
      <c r="C6846" s="44">
        <v>6.78</v>
      </c>
      <c r="D6846" s="46">
        <v>45648.0</v>
      </c>
      <c r="E6846" s="24">
        <v>6.78</v>
      </c>
      <c r="F6846" s="24">
        <v>205.45</v>
      </c>
      <c r="G6846" s="24">
        <v>3.03</v>
      </c>
      <c r="H6846" s="24" t="s">
        <v>6720</v>
      </c>
      <c r="I6846" s="24" t="s">
        <v>6650</v>
      </c>
      <c r="J6846" s="24">
        <v>0.0</v>
      </c>
    </row>
    <row r="6847">
      <c r="A6847" s="24">
        <v>40.0</v>
      </c>
      <c r="B6847" s="24">
        <v>1.0</v>
      </c>
      <c r="C6847" s="44">
        <v>7.14</v>
      </c>
      <c r="D6847" s="46">
        <v>45648.0</v>
      </c>
      <c r="E6847" s="24">
        <v>7.14</v>
      </c>
      <c r="F6847" s="24">
        <v>178.5</v>
      </c>
      <c r="G6847" s="24">
        <v>2.5</v>
      </c>
      <c r="H6847" s="24" t="s">
        <v>6721</v>
      </c>
      <c r="I6847" s="24" t="s">
        <v>6650</v>
      </c>
      <c r="J6847" s="24">
        <v>0.0</v>
      </c>
    </row>
    <row r="6848">
      <c r="A6848" s="24">
        <v>86.0</v>
      </c>
      <c r="B6848" s="24">
        <v>1.0</v>
      </c>
      <c r="C6848" s="44">
        <v>22.0</v>
      </c>
      <c r="D6848" s="46">
        <v>45649.0</v>
      </c>
      <c r="E6848" s="24">
        <v>22.0</v>
      </c>
      <c r="F6848" s="24">
        <v>255.81</v>
      </c>
      <c r="G6848" s="24">
        <v>1.16</v>
      </c>
      <c r="H6848" s="24" t="s">
        <v>6720</v>
      </c>
      <c r="I6848" s="24" t="s">
        <v>6650</v>
      </c>
      <c r="J6848" s="24">
        <v>0.0</v>
      </c>
    </row>
    <row r="6849">
      <c r="A6849" s="24">
        <v>136.0</v>
      </c>
      <c r="B6849" s="24">
        <v>1.0</v>
      </c>
      <c r="C6849" s="44">
        <v>23.86</v>
      </c>
      <c r="D6849" s="46">
        <v>45649.0</v>
      </c>
      <c r="E6849" s="24">
        <v>23.86</v>
      </c>
      <c r="F6849" s="24">
        <v>175.44</v>
      </c>
      <c r="G6849" s="24">
        <v>0.74</v>
      </c>
      <c r="H6849" s="24" t="s">
        <v>6716</v>
      </c>
      <c r="I6849" s="24" t="s">
        <v>6650</v>
      </c>
      <c r="J6849" s="24">
        <v>0.0</v>
      </c>
    </row>
    <row r="6850">
      <c r="A6850" s="24">
        <v>113.0</v>
      </c>
      <c r="B6850" s="24">
        <v>1.0</v>
      </c>
      <c r="C6850" s="44">
        <v>18.67</v>
      </c>
      <c r="D6850" s="46">
        <v>45649.0</v>
      </c>
      <c r="E6850" s="24">
        <v>18.67</v>
      </c>
      <c r="F6850" s="24">
        <v>165.22</v>
      </c>
      <c r="G6850" s="24">
        <v>0.88</v>
      </c>
      <c r="H6850" s="24" t="s">
        <v>6721</v>
      </c>
      <c r="I6850" s="24" t="s">
        <v>6650</v>
      </c>
      <c r="J6850" s="24">
        <v>0.0</v>
      </c>
    </row>
    <row r="6851">
      <c r="A6851" s="24">
        <v>83.0</v>
      </c>
      <c r="B6851" s="24">
        <v>0.0</v>
      </c>
      <c r="C6851" s="44">
        <v>26.9</v>
      </c>
      <c r="D6851" s="46">
        <v>45650.0</v>
      </c>
      <c r="E6851" s="24" t="s">
        <v>6650</v>
      </c>
      <c r="F6851" s="24">
        <v>324.1</v>
      </c>
      <c r="G6851" s="24">
        <v>0.0</v>
      </c>
      <c r="H6851" s="24" t="s">
        <v>6720</v>
      </c>
      <c r="I6851" s="24" t="s">
        <v>6650</v>
      </c>
      <c r="J6851" s="24">
        <v>0.0</v>
      </c>
    </row>
    <row r="6852">
      <c r="A6852" s="24">
        <v>166.0</v>
      </c>
      <c r="B6852" s="24">
        <v>0.0</v>
      </c>
      <c r="C6852" s="44">
        <v>25.79</v>
      </c>
      <c r="D6852" s="46">
        <v>45650.0</v>
      </c>
      <c r="E6852" s="24" t="s">
        <v>6650</v>
      </c>
      <c r="F6852" s="24">
        <v>155.36</v>
      </c>
      <c r="G6852" s="24">
        <v>0.0</v>
      </c>
      <c r="H6852" s="24" t="s">
        <v>6716</v>
      </c>
      <c r="I6852" s="24" t="s">
        <v>6650</v>
      </c>
      <c r="J6852" s="24">
        <v>0.0</v>
      </c>
    </row>
    <row r="6853">
      <c r="A6853" s="24">
        <v>1297.0</v>
      </c>
      <c r="B6853" s="24">
        <v>14.0</v>
      </c>
      <c r="C6853" s="44">
        <v>22.88</v>
      </c>
      <c r="D6853" s="46">
        <v>45650.0</v>
      </c>
      <c r="E6853" s="24">
        <v>1.63</v>
      </c>
      <c r="F6853" s="24">
        <v>17.64</v>
      </c>
      <c r="G6853" s="24">
        <v>1.08</v>
      </c>
      <c r="H6853" s="24" t="s">
        <v>6722</v>
      </c>
      <c r="I6853" s="24">
        <v>7.63</v>
      </c>
      <c r="J6853" s="24">
        <v>0.0</v>
      </c>
    </row>
    <row r="6854">
      <c r="A6854" s="24">
        <v>89.0</v>
      </c>
      <c r="B6854" s="24">
        <v>1.0</v>
      </c>
      <c r="C6854" s="44">
        <v>20.87</v>
      </c>
      <c r="D6854" s="46">
        <v>45650.0</v>
      </c>
      <c r="E6854" s="24">
        <v>20.87</v>
      </c>
      <c r="F6854" s="24">
        <v>234.49</v>
      </c>
      <c r="G6854" s="24">
        <v>1.12</v>
      </c>
      <c r="H6854" s="24" t="s">
        <v>6721</v>
      </c>
      <c r="I6854" s="24" t="s">
        <v>6650</v>
      </c>
      <c r="J6854" s="24">
        <v>0.0</v>
      </c>
    </row>
    <row r="6855">
      <c r="A6855" s="24">
        <v>65.0</v>
      </c>
      <c r="B6855" s="24">
        <v>0.0</v>
      </c>
      <c r="C6855" s="44">
        <v>24.29</v>
      </c>
      <c r="D6855" s="46">
        <v>45651.0</v>
      </c>
      <c r="E6855" s="24" t="s">
        <v>6650</v>
      </c>
      <c r="F6855" s="24">
        <v>373.69</v>
      </c>
      <c r="G6855" s="24">
        <v>0.0</v>
      </c>
      <c r="H6855" s="24" t="s">
        <v>6716</v>
      </c>
      <c r="I6855" s="24" t="s">
        <v>6650</v>
      </c>
      <c r="J6855" s="24">
        <v>0.0</v>
      </c>
    </row>
    <row r="6856">
      <c r="A6856" s="24">
        <v>1303.0</v>
      </c>
      <c r="B6856" s="24">
        <v>8.0</v>
      </c>
      <c r="C6856" s="44">
        <v>22.99</v>
      </c>
      <c r="D6856" s="46">
        <v>45651.0</v>
      </c>
      <c r="E6856" s="24">
        <v>2.87</v>
      </c>
      <c r="F6856" s="24">
        <v>17.64</v>
      </c>
      <c r="G6856" s="24">
        <v>0.61</v>
      </c>
      <c r="H6856" s="24" t="s">
        <v>6722</v>
      </c>
      <c r="I6856" s="24">
        <v>11.5</v>
      </c>
      <c r="J6856" s="24">
        <v>0.0</v>
      </c>
    </row>
    <row r="6857">
      <c r="A6857" s="24">
        <v>59.0</v>
      </c>
      <c r="B6857" s="24">
        <v>0.0</v>
      </c>
      <c r="C6857" s="44">
        <v>21.05</v>
      </c>
      <c r="D6857" s="46">
        <v>45651.0</v>
      </c>
      <c r="E6857" s="24" t="s">
        <v>6650</v>
      </c>
      <c r="F6857" s="24">
        <v>356.78</v>
      </c>
      <c r="G6857" s="24">
        <v>0.0</v>
      </c>
      <c r="H6857" s="24" t="s">
        <v>6721</v>
      </c>
      <c r="I6857" s="24" t="s">
        <v>6650</v>
      </c>
      <c r="J6857" s="24">
        <v>0.0</v>
      </c>
    </row>
    <row r="6858">
      <c r="A6858" s="24">
        <v>54.0</v>
      </c>
      <c r="B6858" s="24">
        <v>1.0</v>
      </c>
      <c r="C6858" s="44">
        <v>23.82</v>
      </c>
      <c r="D6858" s="46">
        <v>45651.0</v>
      </c>
      <c r="E6858" s="24">
        <v>23.82</v>
      </c>
      <c r="F6858" s="24">
        <v>441.11</v>
      </c>
      <c r="G6858" s="24">
        <v>1.85</v>
      </c>
      <c r="H6858" s="24" t="s">
        <v>6720</v>
      </c>
      <c r="I6858" s="24" t="s">
        <v>6650</v>
      </c>
      <c r="J6858" s="24">
        <v>0.0</v>
      </c>
    </row>
    <row r="6859">
      <c r="A6859" s="24">
        <v>104.0</v>
      </c>
      <c r="B6859" s="24">
        <v>1.0</v>
      </c>
      <c r="C6859" s="44">
        <v>22.89</v>
      </c>
      <c r="D6859" s="46">
        <v>45652.0</v>
      </c>
      <c r="E6859" s="24">
        <v>22.89</v>
      </c>
      <c r="F6859" s="24">
        <v>220.1</v>
      </c>
      <c r="G6859" s="24">
        <v>0.96</v>
      </c>
      <c r="H6859" s="24" t="s">
        <v>6716</v>
      </c>
      <c r="I6859" s="24" t="s">
        <v>6650</v>
      </c>
      <c r="J6859" s="24">
        <v>0.0</v>
      </c>
    </row>
    <row r="6860">
      <c r="A6860" s="24">
        <v>584.0</v>
      </c>
      <c r="B6860" s="24">
        <v>5.0</v>
      </c>
      <c r="C6860" s="44">
        <v>10.2</v>
      </c>
      <c r="D6860" s="46">
        <v>45652.0</v>
      </c>
      <c r="E6860" s="24">
        <v>2.04</v>
      </c>
      <c r="F6860" s="24">
        <v>17.47</v>
      </c>
      <c r="G6860" s="24">
        <v>0.86</v>
      </c>
      <c r="H6860" s="24" t="s">
        <v>6722</v>
      </c>
      <c r="I6860" s="24">
        <v>3.4</v>
      </c>
      <c r="J6860" s="24">
        <v>0.0</v>
      </c>
    </row>
    <row r="6861">
      <c r="A6861" s="24">
        <v>59.0</v>
      </c>
      <c r="B6861" s="24">
        <v>0.0</v>
      </c>
      <c r="C6861" s="44">
        <v>18.29</v>
      </c>
      <c r="D6861" s="46">
        <v>45652.0</v>
      </c>
      <c r="E6861" s="24" t="s">
        <v>6650</v>
      </c>
      <c r="F6861" s="24">
        <v>310.0</v>
      </c>
      <c r="G6861" s="24">
        <v>0.0</v>
      </c>
      <c r="H6861" s="24" t="s">
        <v>6721</v>
      </c>
      <c r="I6861" s="24" t="s">
        <v>6650</v>
      </c>
      <c r="J6861" s="24">
        <v>0.0</v>
      </c>
    </row>
    <row r="6862">
      <c r="A6862" s="24">
        <v>48.0</v>
      </c>
      <c r="B6862" s="24">
        <v>0.0</v>
      </c>
      <c r="C6862" s="44">
        <v>18.97</v>
      </c>
      <c r="D6862" s="46">
        <v>45652.0</v>
      </c>
      <c r="E6862" s="24" t="s">
        <v>6650</v>
      </c>
      <c r="F6862" s="24">
        <v>395.21</v>
      </c>
      <c r="G6862" s="24">
        <v>0.0</v>
      </c>
      <c r="H6862" s="24" t="s">
        <v>6720</v>
      </c>
      <c r="I6862" s="24" t="s">
        <v>6650</v>
      </c>
      <c r="J6862" s="24">
        <v>0.0</v>
      </c>
    </row>
    <row r="6863">
      <c r="A6863" s="24">
        <v>98.0</v>
      </c>
      <c r="B6863" s="24">
        <v>1.0</v>
      </c>
      <c r="C6863" s="44">
        <v>20.33</v>
      </c>
      <c r="D6863" s="46">
        <v>45653.0</v>
      </c>
      <c r="E6863" s="24">
        <v>20.33</v>
      </c>
      <c r="F6863" s="24">
        <v>207.45</v>
      </c>
      <c r="G6863" s="24">
        <v>1.02</v>
      </c>
      <c r="H6863" s="24" t="s">
        <v>6716</v>
      </c>
      <c r="I6863" s="24" t="s">
        <v>6650</v>
      </c>
      <c r="J6863" s="24">
        <v>0.0</v>
      </c>
    </row>
    <row r="6864">
      <c r="A6864" s="24">
        <v>68.0</v>
      </c>
      <c r="B6864" s="24">
        <v>0.0</v>
      </c>
      <c r="C6864" s="44">
        <v>17.77</v>
      </c>
      <c r="D6864" s="46">
        <v>45653.0</v>
      </c>
      <c r="E6864" s="24" t="s">
        <v>6650</v>
      </c>
      <c r="F6864" s="24">
        <v>261.32</v>
      </c>
      <c r="G6864" s="24">
        <v>0.0</v>
      </c>
      <c r="H6864" s="24" t="s">
        <v>6721</v>
      </c>
      <c r="I6864" s="24" t="s">
        <v>6650</v>
      </c>
      <c r="J6864" s="24">
        <v>0.0</v>
      </c>
    </row>
    <row r="6865">
      <c r="A6865" s="24">
        <v>45.0</v>
      </c>
      <c r="B6865" s="24">
        <v>0.0</v>
      </c>
      <c r="C6865" s="44">
        <v>17.23</v>
      </c>
      <c r="D6865" s="46">
        <v>45653.0</v>
      </c>
      <c r="E6865" s="24" t="s">
        <v>6650</v>
      </c>
      <c r="F6865" s="24">
        <v>382.89</v>
      </c>
      <c r="G6865" s="24">
        <v>0.0</v>
      </c>
      <c r="H6865" s="24" t="s">
        <v>6720</v>
      </c>
      <c r="I6865" s="24" t="s">
        <v>6650</v>
      </c>
      <c r="J6865" s="24">
        <v>0.0</v>
      </c>
    </row>
    <row r="6866">
      <c r="A6866" s="24">
        <v>1101.0</v>
      </c>
      <c r="B6866" s="24">
        <v>7.0</v>
      </c>
      <c r="C6866" s="44">
        <v>25.03</v>
      </c>
      <c r="D6866" s="46">
        <v>45653.0</v>
      </c>
      <c r="E6866" s="24">
        <v>3.58</v>
      </c>
      <c r="F6866" s="24">
        <v>22.73</v>
      </c>
      <c r="G6866" s="24">
        <v>0.64</v>
      </c>
      <c r="H6866" s="24" t="s">
        <v>6722</v>
      </c>
      <c r="I6866" s="24">
        <v>25.03</v>
      </c>
      <c r="J6866" s="24">
        <v>0.0</v>
      </c>
    </row>
    <row r="6867">
      <c r="A6867" s="24">
        <v>41.0</v>
      </c>
      <c r="B6867" s="24">
        <v>0.0</v>
      </c>
      <c r="C6867" s="44">
        <v>9.58</v>
      </c>
      <c r="D6867" s="46">
        <v>45654.0</v>
      </c>
      <c r="E6867" s="24" t="s">
        <v>6650</v>
      </c>
      <c r="F6867" s="24">
        <v>233.66</v>
      </c>
      <c r="G6867" s="24">
        <v>0.0</v>
      </c>
      <c r="H6867" s="24" t="s">
        <v>6720</v>
      </c>
      <c r="I6867" s="24" t="s">
        <v>6650</v>
      </c>
      <c r="J6867" s="24">
        <v>0.0</v>
      </c>
    </row>
    <row r="6868">
      <c r="A6868" s="24">
        <v>51.0</v>
      </c>
      <c r="B6868" s="24">
        <v>0.0</v>
      </c>
      <c r="C6868" s="44">
        <v>8.84</v>
      </c>
      <c r="D6868" s="46">
        <v>45654.0</v>
      </c>
      <c r="E6868" s="24" t="s">
        <v>6650</v>
      </c>
      <c r="F6868" s="24">
        <v>173.33</v>
      </c>
      <c r="G6868" s="24">
        <v>0.0</v>
      </c>
      <c r="H6868" s="24" t="s">
        <v>6721</v>
      </c>
      <c r="I6868" s="24" t="s">
        <v>6650</v>
      </c>
      <c r="J6868" s="24">
        <v>0.0</v>
      </c>
    </row>
    <row r="6869">
      <c r="A6869" s="24">
        <v>57.0</v>
      </c>
      <c r="B6869" s="24">
        <v>0.0</v>
      </c>
      <c r="C6869" s="44">
        <v>13.86</v>
      </c>
      <c r="D6869" s="46">
        <v>45654.0</v>
      </c>
      <c r="E6869" s="24" t="s">
        <v>6650</v>
      </c>
      <c r="F6869" s="24">
        <v>243.16</v>
      </c>
      <c r="G6869" s="24">
        <v>0.0</v>
      </c>
      <c r="H6869" s="24" t="s">
        <v>6716</v>
      </c>
      <c r="I6869" s="24" t="s">
        <v>6650</v>
      </c>
      <c r="J6869" s="24">
        <v>0.0</v>
      </c>
    </row>
    <row r="6870">
      <c r="A6870" s="24">
        <v>252.0</v>
      </c>
      <c r="B6870" s="24">
        <v>0.0</v>
      </c>
      <c r="C6870" s="44">
        <v>19.41</v>
      </c>
      <c r="D6870" s="46">
        <v>45654.0</v>
      </c>
      <c r="E6870" s="24" t="s">
        <v>6650</v>
      </c>
      <c r="F6870" s="24">
        <v>77.02</v>
      </c>
      <c r="G6870" s="24">
        <v>0.0</v>
      </c>
      <c r="H6870" s="24" t="s">
        <v>6722</v>
      </c>
      <c r="I6870" s="24" t="s">
        <v>6650</v>
      </c>
      <c r="J6870" s="24">
        <v>0.0</v>
      </c>
    </row>
    <row r="6871">
      <c r="A6871" s="24">
        <v>43.0</v>
      </c>
      <c r="B6871" s="24">
        <v>0.0</v>
      </c>
      <c r="C6871" s="44">
        <v>8.98</v>
      </c>
      <c r="D6871" s="46">
        <v>45655.0</v>
      </c>
      <c r="E6871" s="24" t="s">
        <v>6650</v>
      </c>
      <c r="F6871" s="24">
        <v>208.84</v>
      </c>
      <c r="G6871" s="24">
        <v>0.0</v>
      </c>
      <c r="H6871" s="24" t="s">
        <v>6716</v>
      </c>
      <c r="I6871" s="24" t="s">
        <v>6650</v>
      </c>
      <c r="J6871" s="24">
        <v>0.0</v>
      </c>
    </row>
    <row r="6872">
      <c r="A6872" s="24">
        <v>43.0</v>
      </c>
      <c r="B6872" s="24">
        <v>1.0</v>
      </c>
      <c r="C6872" s="44">
        <v>6.51</v>
      </c>
      <c r="D6872" s="46">
        <v>45655.0</v>
      </c>
      <c r="E6872" s="24">
        <v>6.51</v>
      </c>
      <c r="F6872" s="24">
        <v>151.4</v>
      </c>
      <c r="G6872" s="24">
        <v>2.33</v>
      </c>
      <c r="H6872" s="24" t="s">
        <v>6721</v>
      </c>
      <c r="I6872" s="24" t="s">
        <v>6650</v>
      </c>
      <c r="J6872" s="24">
        <v>0.0</v>
      </c>
    </row>
    <row r="6873">
      <c r="A6873" s="24">
        <v>35.0</v>
      </c>
      <c r="B6873" s="24">
        <v>1.0</v>
      </c>
      <c r="C6873" s="44">
        <v>7.5</v>
      </c>
      <c r="D6873" s="46">
        <v>45655.0</v>
      </c>
      <c r="E6873" s="24">
        <v>7.5</v>
      </c>
      <c r="F6873" s="24">
        <v>214.29</v>
      </c>
      <c r="G6873" s="24">
        <v>2.86</v>
      </c>
      <c r="H6873" s="24" t="s">
        <v>6720</v>
      </c>
      <c r="I6873" s="24" t="s">
        <v>6650</v>
      </c>
      <c r="J6873" s="24">
        <v>0.0</v>
      </c>
    </row>
    <row r="6874">
      <c r="A6874" s="24">
        <v>56.0</v>
      </c>
      <c r="B6874" s="24">
        <v>2.0</v>
      </c>
      <c r="C6874" s="44">
        <v>8.81</v>
      </c>
      <c r="D6874" s="46">
        <v>45655.0</v>
      </c>
      <c r="E6874" s="24">
        <v>4.4</v>
      </c>
      <c r="F6874" s="24">
        <v>157.32</v>
      </c>
      <c r="G6874" s="24">
        <v>3.57</v>
      </c>
      <c r="H6874" s="24" t="s">
        <v>6722</v>
      </c>
      <c r="I6874" s="24" t="s">
        <v>6650</v>
      </c>
      <c r="J6874" s="24">
        <v>0.0</v>
      </c>
    </row>
    <row r="6875">
      <c r="A6875" s="24">
        <v>109.0</v>
      </c>
      <c r="B6875" s="24">
        <v>0.0</v>
      </c>
      <c r="C6875" s="44">
        <v>19.73</v>
      </c>
      <c r="D6875" s="46">
        <v>45656.0</v>
      </c>
      <c r="E6875" s="24" t="s">
        <v>6650</v>
      </c>
      <c r="F6875" s="24">
        <v>181.01</v>
      </c>
      <c r="G6875" s="24">
        <v>0.0</v>
      </c>
      <c r="H6875" s="24" t="s">
        <v>6721</v>
      </c>
      <c r="I6875" s="24" t="s">
        <v>6650</v>
      </c>
      <c r="J6875" s="24">
        <v>0.0</v>
      </c>
    </row>
    <row r="6876">
      <c r="A6876" s="24">
        <v>95.0</v>
      </c>
      <c r="B6876" s="24">
        <v>0.0</v>
      </c>
      <c r="C6876" s="44">
        <v>20.96</v>
      </c>
      <c r="D6876" s="46">
        <v>45656.0</v>
      </c>
      <c r="E6876" s="24" t="s">
        <v>6650</v>
      </c>
      <c r="F6876" s="24">
        <v>220.63</v>
      </c>
      <c r="G6876" s="24">
        <v>0.0</v>
      </c>
      <c r="H6876" s="24" t="s">
        <v>6720</v>
      </c>
      <c r="I6876" s="24" t="s">
        <v>6650</v>
      </c>
      <c r="J6876" s="24">
        <v>0.0</v>
      </c>
    </row>
    <row r="6877">
      <c r="A6877" s="24">
        <v>102.0</v>
      </c>
      <c r="B6877" s="24">
        <v>0.0</v>
      </c>
      <c r="C6877" s="44">
        <v>22.69</v>
      </c>
      <c r="D6877" s="46">
        <v>45656.0</v>
      </c>
      <c r="E6877" s="24" t="s">
        <v>6650</v>
      </c>
      <c r="F6877" s="24">
        <v>222.45</v>
      </c>
      <c r="G6877" s="24">
        <v>0.0</v>
      </c>
      <c r="H6877" s="24" t="s">
        <v>6716</v>
      </c>
      <c r="I6877" s="24" t="s">
        <v>6650</v>
      </c>
      <c r="J6877" s="24">
        <v>0.0</v>
      </c>
    </row>
    <row r="6878">
      <c r="A6878" s="24">
        <v>397.0</v>
      </c>
      <c r="B6878" s="24">
        <v>0.0</v>
      </c>
      <c r="C6878" s="44">
        <v>19.55</v>
      </c>
      <c r="D6878" s="46">
        <v>45656.0</v>
      </c>
      <c r="E6878" s="24" t="s">
        <v>6650</v>
      </c>
      <c r="F6878" s="24">
        <v>49.24</v>
      </c>
      <c r="G6878" s="24">
        <v>0.0</v>
      </c>
      <c r="H6878" s="24" t="s">
        <v>6722</v>
      </c>
      <c r="I6878" s="24">
        <v>19.55</v>
      </c>
      <c r="J6878" s="24">
        <v>0.0</v>
      </c>
    </row>
    <row r="6879">
      <c r="A6879" s="24">
        <v>95.0</v>
      </c>
      <c r="B6879" s="24">
        <v>1.0</v>
      </c>
      <c r="C6879" s="44">
        <v>19.89</v>
      </c>
      <c r="D6879" s="46">
        <v>45657.0</v>
      </c>
      <c r="E6879" s="24">
        <v>19.89</v>
      </c>
      <c r="F6879" s="24">
        <v>209.37</v>
      </c>
      <c r="G6879" s="24">
        <v>1.05</v>
      </c>
      <c r="H6879" s="24" t="s">
        <v>6721</v>
      </c>
      <c r="I6879" s="24" t="s">
        <v>6650</v>
      </c>
      <c r="J6879" s="24">
        <v>0.0</v>
      </c>
    </row>
    <row r="6880">
      <c r="A6880" s="24">
        <v>307.0</v>
      </c>
      <c r="B6880" s="24">
        <v>1.0</v>
      </c>
      <c r="C6880" s="44">
        <v>21.16</v>
      </c>
      <c r="D6880" s="46">
        <v>45657.0</v>
      </c>
      <c r="E6880" s="24">
        <v>21.16</v>
      </c>
      <c r="F6880" s="24">
        <v>68.93</v>
      </c>
      <c r="G6880" s="24">
        <v>0.33</v>
      </c>
      <c r="H6880" s="24" t="s">
        <v>6722</v>
      </c>
      <c r="I6880" s="24">
        <v>21.16</v>
      </c>
      <c r="J6880" s="24">
        <v>0.0</v>
      </c>
    </row>
    <row r="6881">
      <c r="A6881" s="24">
        <v>124.0</v>
      </c>
      <c r="B6881" s="24">
        <v>0.0</v>
      </c>
      <c r="C6881" s="44">
        <v>25.3</v>
      </c>
      <c r="D6881" s="46">
        <v>45657.0</v>
      </c>
      <c r="E6881" s="24" t="s">
        <v>6650</v>
      </c>
      <c r="F6881" s="24">
        <v>204.03</v>
      </c>
      <c r="G6881" s="24">
        <v>0.0</v>
      </c>
      <c r="H6881" s="24" t="s">
        <v>6716</v>
      </c>
      <c r="I6881" s="24" t="s">
        <v>6650</v>
      </c>
      <c r="J6881" s="24">
        <v>0.0</v>
      </c>
    </row>
    <row r="6882">
      <c r="A6882" s="24">
        <v>87.0</v>
      </c>
      <c r="B6882" s="24">
        <v>2.0</v>
      </c>
      <c r="C6882" s="44">
        <v>22.34</v>
      </c>
      <c r="D6882" s="46">
        <v>45657.0</v>
      </c>
      <c r="E6882" s="24">
        <v>11.17</v>
      </c>
      <c r="F6882" s="24">
        <v>256.78</v>
      </c>
      <c r="G6882" s="24">
        <v>2.3</v>
      </c>
      <c r="H6882" s="24" t="s">
        <v>6720</v>
      </c>
      <c r="I6882" s="24" t="s">
        <v>6650</v>
      </c>
      <c r="J6882" s="24">
        <v>0.0</v>
      </c>
    </row>
    <row r="6883">
      <c r="A6883" s="24">
        <v>109.0</v>
      </c>
      <c r="B6883" s="24">
        <v>1.0</v>
      </c>
      <c r="C6883" s="44">
        <v>21.72</v>
      </c>
      <c r="D6883" s="46">
        <v>45658.0</v>
      </c>
      <c r="E6883" s="24">
        <v>21.72</v>
      </c>
      <c r="F6883" s="24">
        <v>199.27</v>
      </c>
      <c r="G6883" s="24">
        <v>0.92</v>
      </c>
      <c r="H6883" s="24" t="s">
        <v>6720</v>
      </c>
      <c r="I6883" s="24" t="s">
        <v>6650</v>
      </c>
      <c r="J6883" s="24">
        <v>0.0</v>
      </c>
    </row>
    <row r="6884">
      <c r="A6884" s="24">
        <v>90.0</v>
      </c>
      <c r="B6884" s="24">
        <v>2.0</v>
      </c>
      <c r="C6884" s="44">
        <v>22.1</v>
      </c>
      <c r="D6884" s="46">
        <v>45658.0</v>
      </c>
      <c r="E6884" s="24">
        <v>11.05</v>
      </c>
      <c r="F6884" s="24">
        <v>245.56</v>
      </c>
      <c r="G6884" s="24">
        <v>2.22</v>
      </c>
      <c r="H6884" s="24" t="s">
        <v>6716</v>
      </c>
      <c r="I6884" s="24" t="s">
        <v>6650</v>
      </c>
      <c r="J6884" s="24">
        <v>0.0</v>
      </c>
    </row>
    <row r="6885">
      <c r="A6885" s="24">
        <v>540.0</v>
      </c>
      <c r="B6885" s="24">
        <v>2.0</v>
      </c>
      <c r="C6885" s="44">
        <v>20.66</v>
      </c>
      <c r="D6885" s="46">
        <v>45658.0</v>
      </c>
      <c r="E6885" s="24">
        <v>10.33</v>
      </c>
      <c r="F6885" s="24">
        <v>38.26</v>
      </c>
      <c r="G6885" s="24">
        <v>0.37</v>
      </c>
      <c r="H6885" s="24" t="s">
        <v>6722</v>
      </c>
      <c r="I6885" s="24">
        <v>20.66</v>
      </c>
      <c r="J6885" s="24">
        <v>0.0</v>
      </c>
    </row>
    <row r="6886">
      <c r="A6886" s="24">
        <v>69.0</v>
      </c>
      <c r="B6886" s="24">
        <v>0.0</v>
      </c>
      <c r="C6886" s="44">
        <v>18.24</v>
      </c>
      <c r="D6886" s="46">
        <v>45658.0</v>
      </c>
      <c r="E6886" s="24" t="s">
        <v>6650</v>
      </c>
      <c r="F6886" s="24">
        <v>264.35</v>
      </c>
      <c r="G6886" s="24">
        <v>0.0</v>
      </c>
      <c r="H6886" s="24" t="s">
        <v>6721</v>
      </c>
      <c r="I6886" s="24" t="s">
        <v>6650</v>
      </c>
      <c r="J6886" s="24">
        <v>0.0</v>
      </c>
    </row>
    <row r="6887">
      <c r="A6887" s="24">
        <v>707.0</v>
      </c>
      <c r="B6887" s="24">
        <v>2.0</v>
      </c>
      <c r="C6887" s="44">
        <v>20.13</v>
      </c>
      <c r="D6887" s="46">
        <v>45659.0</v>
      </c>
      <c r="E6887" s="24">
        <v>10.06</v>
      </c>
      <c r="F6887" s="24">
        <v>28.47</v>
      </c>
      <c r="G6887" s="24">
        <v>0.28</v>
      </c>
      <c r="H6887" s="24" t="s">
        <v>6722</v>
      </c>
      <c r="I6887" s="24">
        <v>20.13</v>
      </c>
      <c r="J6887" s="24">
        <v>0.0</v>
      </c>
    </row>
    <row r="6888">
      <c r="A6888" s="24">
        <v>285.0</v>
      </c>
      <c r="B6888" s="24">
        <v>2.0</v>
      </c>
      <c r="C6888" s="44">
        <v>16.05</v>
      </c>
      <c r="D6888" s="46">
        <v>45659.0</v>
      </c>
      <c r="E6888" s="24">
        <v>8.02</v>
      </c>
      <c r="F6888" s="24">
        <v>56.32</v>
      </c>
      <c r="G6888" s="24">
        <v>0.7</v>
      </c>
      <c r="H6888" s="24" t="s">
        <v>6721</v>
      </c>
      <c r="I6888" s="24" t="s">
        <v>6650</v>
      </c>
      <c r="J6888" s="24">
        <v>0.0</v>
      </c>
    </row>
    <row r="6889">
      <c r="A6889" s="24">
        <v>142.0</v>
      </c>
      <c r="B6889" s="24">
        <v>1.0</v>
      </c>
      <c r="C6889" s="44">
        <v>23.5</v>
      </c>
      <c r="D6889" s="46">
        <v>45659.0</v>
      </c>
      <c r="E6889" s="24">
        <v>23.5</v>
      </c>
      <c r="F6889" s="24">
        <v>165.49</v>
      </c>
      <c r="G6889" s="24">
        <v>0.7</v>
      </c>
      <c r="H6889" s="24" t="s">
        <v>6720</v>
      </c>
      <c r="I6889" s="24" t="s">
        <v>6650</v>
      </c>
      <c r="J6889" s="24">
        <v>0.0</v>
      </c>
    </row>
    <row r="6890">
      <c r="A6890" s="24">
        <v>352.0</v>
      </c>
      <c r="B6890" s="24">
        <v>2.0</v>
      </c>
      <c r="C6890" s="44">
        <v>20.66</v>
      </c>
      <c r="D6890" s="46">
        <v>45659.0</v>
      </c>
      <c r="E6890" s="24">
        <v>10.33</v>
      </c>
      <c r="F6890" s="24">
        <v>58.69</v>
      </c>
      <c r="G6890" s="24">
        <v>0.57</v>
      </c>
      <c r="H6890" s="24" t="s">
        <v>6716</v>
      </c>
      <c r="I6890" s="24" t="s">
        <v>6650</v>
      </c>
      <c r="J6890" s="24">
        <v>0.0</v>
      </c>
    </row>
    <row r="6891">
      <c r="A6891" s="24">
        <v>107.0</v>
      </c>
      <c r="B6891" s="24">
        <v>1.0</v>
      </c>
      <c r="C6891" s="44">
        <v>19.56</v>
      </c>
      <c r="D6891" s="46">
        <v>45660.0</v>
      </c>
      <c r="E6891" s="24">
        <v>19.56</v>
      </c>
      <c r="F6891" s="24">
        <v>182.8</v>
      </c>
      <c r="G6891" s="24">
        <v>0.93</v>
      </c>
      <c r="H6891" s="24" t="s">
        <v>6720</v>
      </c>
      <c r="I6891" s="24" t="s">
        <v>6650</v>
      </c>
      <c r="J6891" s="24">
        <v>0.0</v>
      </c>
    </row>
    <row r="6892">
      <c r="A6892" s="24">
        <v>131.0</v>
      </c>
      <c r="B6892" s="24">
        <v>0.0</v>
      </c>
      <c r="C6892" s="44">
        <v>16.04</v>
      </c>
      <c r="D6892" s="46">
        <v>45660.0</v>
      </c>
      <c r="E6892" s="24" t="s">
        <v>6650</v>
      </c>
      <c r="F6892" s="24">
        <v>122.44</v>
      </c>
      <c r="G6892" s="24">
        <v>0.0</v>
      </c>
      <c r="H6892" s="24" t="s">
        <v>6721</v>
      </c>
      <c r="I6892" s="24" t="s">
        <v>6650</v>
      </c>
      <c r="J6892" s="24">
        <v>0.0</v>
      </c>
    </row>
    <row r="6893">
      <c r="A6893" s="24">
        <v>152.0</v>
      </c>
      <c r="B6893" s="24">
        <v>0.0</v>
      </c>
      <c r="C6893" s="44">
        <v>21.34</v>
      </c>
      <c r="D6893" s="46">
        <v>45660.0</v>
      </c>
      <c r="E6893" s="24" t="s">
        <v>6650</v>
      </c>
      <c r="F6893" s="24">
        <v>140.39</v>
      </c>
      <c r="G6893" s="24">
        <v>0.0</v>
      </c>
      <c r="H6893" s="24" t="s">
        <v>6716</v>
      </c>
      <c r="I6893" s="24" t="s">
        <v>6650</v>
      </c>
      <c r="J6893" s="24">
        <v>0.0</v>
      </c>
    </row>
    <row r="6894">
      <c r="A6894" s="24">
        <v>635.0</v>
      </c>
      <c r="B6894" s="24">
        <v>2.0</v>
      </c>
      <c r="C6894" s="44">
        <v>19.99</v>
      </c>
      <c r="D6894" s="46">
        <v>45660.0</v>
      </c>
      <c r="E6894" s="24">
        <v>9.99</v>
      </c>
      <c r="F6894" s="24">
        <v>31.48</v>
      </c>
      <c r="G6894" s="24">
        <v>0.31</v>
      </c>
      <c r="H6894" s="24" t="s">
        <v>6722</v>
      </c>
      <c r="I6894" s="24" t="s">
        <v>6650</v>
      </c>
      <c r="J6894" s="24">
        <v>0.0</v>
      </c>
    </row>
    <row r="6895">
      <c r="A6895" s="24">
        <v>66.0</v>
      </c>
      <c r="B6895" s="24">
        <v>0.0</v>
      </c>
      <c r="C6895" s="44">
        <v>12.0</v>
      </c>
      <c r="D6895" s="46">
        <v>45661.0</v>
      </c>
      <c r="E6895" s="24" t="s">
        <v>6650</v>
      </c>
      <c r="F6895" s="24">
        <v>181.82</v>
      </c>
      <c r="G6895" s="24">
        <v>0.0</v>
      </c>
      <c r="H6895" s="24" t="s">
        <v>6720</v>
      </c>
      <c r="I6895" s="24" t="s">
        <v>6650</v>
      </c>
      <c r="J6895" s="24">
        <v>0.0</v>
      </c>
    </row>
    <row r="6896">
      <c r="A6896" s="24">
        <v>172.0</v>
      </c>
      <c r="B6896" s="24">
        <v>1.0</v>
      </c>
      <c r="C6896" s="44">
        <v>12.46</v>
      </c>
      <c r="D6896" s="46">
        <v>45661.0</v>
      </c>
      <c r="E6896" s="24">
        <v>12.46</v>
      </c>
      <c r="F6896" s="24">
        <v>72.44</v>
      </c>
      <c r="G6896" s="24">
        <v>0.58</v>
      </c>
      <c r="H6896" s="24" t="s">
        <v>6722</v>
      </c>
      <c r="I6896" s="24">
        <v>12.46</v>
      </c>
      <c r="J6896" s="24">
        <v>0.0</v>
      </c>
    </row>
    <row r="6897">
      <c r="A6897" s="24">
        <v>68.0</v>
      </c>
      <c r="B6897" s="24">
        <v>0.0</v>
      </c>
      <c r="C6897" s="44">
        <v>13.55</v>
      </c>
      <c r="D6897" s="46">
        <v>45661.0</v>
      </c>
      <c r="E6897" s="24" t="s">
        <v>6650</v>
      </c>
      <c r="F6897" s="24">
        <v>199.26</v>
      </c>
      <c r="G6897" s="24">
        <v>0.0</v>
      </c>
      <c r="H6897" s="24" t="s">
        <v>6721</v>
      </c>
      <c r="I6897" s="24" t="s">
        <v>6650</v>
      </c>
      <c r="J6897" s="24">
        <v>0.0</v>
      </c>
    </row>
    <row r="6898">
      <c r="A6898" s="24">
        <v>79.0</v>
      </c>
      <c r="B6898" s="24">
        <v>0.0</v>
      </c>
      <c r="C6898" s="44">
        <v>14.87</v>
      </c>
      <c r="D6898" s="46">
        <v>45661.0</v>
      </c>
      <c r="E6898" s="24" t="s">
        <v>6650</v>
      </c>
      <c r="F6898" s="24">
        <v>188.23</v>
      </c>
      <c r="G6898" s="24">
        <v>0.0</v>
      </c>
      <c r="H6898" s="24" t="s">
        <v>6716</v>
      </c>
      <c r="I6898" s="24" t="s">
        <v>6650</v>
      </c>
      <c r="J6898" s="24">
        <v>0.0</v>
      </c>
    </row>
    <row r="6899">
      <c r="A6899" s="24">
        <v>24.0</v>
      </c>
      <c r="B6899" s="24">
        <v>0.0</v>
      </c>
      <c r="C6899" s="44">
        <v>5.92</v>
      </c>
      <c r="D6899" s="46">
        <v>45662.0</v>
      </c>
      <c r="E6899" s="24" t="s">
        <v>6650</v>
      </c>
      <c r="F6899" s="24">
        <v>246.67</v>
      </c>
      <c r="G6899" s="24">
        <v>0.0</v>
      </c>
      <c r="H6899" s="24" t="s">
        <v>6720</v>
      </c>
      <c r="I6899" s="24" t="s">
        <v>6650</v>
      </c>
      <c r="J6899" s="24">
        <v>0.0</v>
      </c>
    </row>
    <row r="6900">
      <c r="A6900" s="24">
        <v>29.0</v>
      </c>
      <c r="B6900" s="24">
        <v>0.0</v>
      </c>
      <c r="C6900" s="44">
        <v>8.5</v>
      </c>
      <c r="D6900" s="46">
        <v>45662.0</v>
      </c>
      <c r="E6900" s="24" t="s">
        <v>6650</v>
      </c>
      <c r="F6900" s="24">
        <v>293.1</v>
      </c>
      <c r="G6900" s="24">
        <v>0.0</v>
      </c>
      <c r="H6900" s="24" t="s">
        <v>6721</v>
      </c>
      <c r="I6900" s="24" t="s">
        <v>6650</v>
      </c>
      <c r="J6900" s="24">
        <v>0.0</v>
      </c>
    </row>
    <row r="6901">
      <c r="A6901" s="24">
        <v>64.0</v>
      </c>
      <c r="B6901" s="24">
        <v>0.0</v>
      </c>
      <c r="C6901" s="44">
        <v>13.04</v>
      </c>
      <c r="D6901" s="46">
        <v>45662.0</v>
      </c>
      <c r="E6901" s="24" t="s">
        <v>6650</v>
      </c>
      <c r="F6901" s="24">
        <v>203.75</v>
      </c>
      <c r="G6901" s="24">
        <v>0.0</v>
      </c>
      <c r="H6901" s="24" t="s">
        <v>6716</v>
      </c>
      <c r="I6901" s="24" t="s">
        <v>6650</v>
      </c>
      <c r="J6901" s="24">
        <v>0.0</v>
      </c>
    </row>
    <row r="6902">
      <c r="A6902" s="24">
        <v>125.0</v>
      </c>
      <c r="B6902" s="24">
        <v>0.0</v>
      </c>
      <c r="C6902" s="44">
        <v>10.3</v>
      </c>
      <c r="D6902" s="46">
        <v>45662.0</v>
      </c>
      <c r="E6902" s="24" t="s">
        <v>6650</v>
      </c>
      <c r="F6902" s="24">
        <v>82.4</v>
      </c>
      <c r="G6902" s="24">
        <v>0.0</v>
      </c>
      <c r="H6902" s="24" t="s">
        <v>6722</v>
      </c>
      <c r="I6902" s="24" t="s">
        <v>6650</v>
      </c>
      <c r="J6902" s="24">
        <v>0.0</v>
      </c>
    </row>
    <row r="6903">
      <c r="A6903" s="24">
        <v>124.0</v>
      </c>
      <c r="B6903" s="24">
        <v>2.0</v>
      </c>
      <c r="C6903" s="44">
        <v>21.77</v>
      </c>
      <c r="D6903" s="46">
        <v>45663.0</v>
      </c>
      <c r="E6903" s="24">
        <v>10.88</v>
      </c>
      <c r="F6903" s="24">
        <v>175.56</v>
      </c>
      <c r="G6903" s="24">
        <v>1.61</v>
      </c>
      <c r="H6903" s="24" t="s">
        <v>6720</v>
      </c>
      <c r="I6903" s="24" t="s">
        <v>6650</v>
      </c>
      <c r="J6903" s="24">
        <v>0.0</v>
      </c>
    </row>
    <row r="6904">
      <c r="A6904" s="24">
        <v>187.0</v>
      </c>
      <c r="B6904" s="24">
        <v>0.0</v>
      </c>
      <c r="C6904" s="44">
        <v>17.94</v>
      </c>
      <c r="D6904" s="46">
        <v>45663.0</v>
      </c>
      <c r="E6904" s="24" t="s">
        <v>6650</v>
      </c>
      <c r="F6904" s="24">
        <v>95.94</v>
      </c>
      <c r="G6904" s="24">
        <v>0.0</v>
      </c>
      <c r="H6904" s="24" t="s">
        <v>6721</v>
      </c>
      <c r="I6904" s="24" t="s">
        <v>6650</v>
      </c>
      <c r="J6904" s="24">
        <v>0.0</v>
      </c>
    </row>
    <row r="6905">
      <c r="A6905" s="24">
        <v>778.0</v>
      </c>
      <c r="B6905" s="24">
        <v>1.0</v>
      </c>
      <c r="C6905" s="44">
        <v>19.88</v>
      </c>
      <c r="D6905" s="46">
        <v>45663.0</v>
      </c>
      <c r="E6905" s="24">
        <v>19.88</v>
      </c>
      <c r="F6905" s="24">
        <v>25.55</v>
      </c>
      <c r="G6905" s="24">
        <v>0.13</v>
      </c>
      <c r="H6905" s="24" t="s">
        <v>6722</v>
      </c>
      <c r="I6905" s="24" t="s">
        <v>6650</v>
      </c>
      <c r="J6905" s="24">
        <v>0.0</v>
      </c>
    </row>
    <row r="6906">
      <c r="A6906" s="24">
        <v>155.0</v>
      </c>
      <c r="B6906" s="24">
        <v>0.0</v>
      </c>
      <c r="C6906" s="44">
        <v>23.03</v>
      </c>
      <c r="D6906" s="46">
        <v>45663.0</v>
      </c>
      <c r="E6906" s="24" t="s">
        <v>6650</v>
      </c>
      <c r="F6906" s="24">
        <v>148.58</v>
      </c>
      <c r="G6906" s="24">
        <v>0.0</v>
      </c>
      <c r="H6906" s="24" t="s">
        <v>6716</v>
      </c>
      <c r="I6906" s="24" t="s">
        <v>6650</v>
      </c>
      <c r="J6906" s="24">
        <v>0.0</v>
      </c>
    </row>
    <row r="6907">
      <c r="A6907" s="24">
        <v>137.0</v>
      </c>
      <c r="B6907" s="24">
        <v>3.0</v>
      </c>
      <c r="C6907" s="44">
        <v>24.82</v>
      </c>
      <c r="D6907" s="46">
        <v>45664.0</v>
      </c>
      <c r="E6907" s="24">
        <v>8.27</v>
      </c>
      <c r="F6907" s="24">
        <v>181.17</v>
      </c>
      <c r="G6907" s="24">
        <v>2.19</v>
      </c>
      <c r="H6907" s="24" t="s">
        <v>6716</v>
      </c>
      <c r="I6907" s="24" t="s">
        <v>6650</v>
      </c>
      <c r="J6907" s="24">
        <v>0.0</v>
      </c>
    </row>
    <row r="6908">
      <c r="A6908" s="24">
        <v>176.0</v>
      </c>
      <c r="B6908" s="24">
        <v>0.0</v>
      </c>
      <c r="C6908" s="44">
        <v>19.97</v>
      </c>
      <c r="D6908" s="46">
        <v>45664.0</v>
      </c>
      <c r="E6908" s="24" t="s">
        <v>6650</v>
      </c>
      <c r="F6908" s="24">
        <v>113.47</v>
      </c>
      <c r="G6908" s="24">
        <v>0.0</v>
      </c>
      <c r="H6908" s="24" t="s">
        <v>6721</v>
      </c>
      <c r="I6908" s="24" t="s">
        <v>6650</v>
      </c>
      <c r="J6908" s="24">
        <v>0.0</v>
      </c>
    </row>
    <row r="6909">
      <c r="A6909" s="24">
        <v>470.0</v>
      </c>
      <c r="B6909" s="24">
        <v>1.0</v>
      </c>
      <c r="C6909" s="44">
        <v>21.77</v>
      </c>
      <c r="D6909" s="46">
        <v>45664.0</v>
      </c>
      <c r="E6909" s="24">
        <v>21.77</v>
      </c>
      <c r="F6909" s="24">
        <v>46.32</v>
      </c>
      <c r="G6909" s="24">
        <v>0.21</v>
      </c>
      <c r="H6909" s="24" t="s">
        <v>6722</v>
      </c>
      <c r="I6909" s="24" t="s">
        <v>6650</v>
      </c>
      <c r="J6909" s="24">
        <v>0.0</v>
      </c>
    </row>
    <row r="6910">
      <c r="A6910" s="24">
        <v>163.0</v>
      </c>
      <c r="B6910" s="24">
        <v>3.0</v>
      </c>
      <c r="C6910" s="44">
        <v>24.19</v>
      </c>
      <c r="D6910" s="46">
        <v>45664.0</v>
      </c>
      <c r="E6910" s="24">
        <v>8.06</v>
      </c>
      <c r="F6910" s="24">
        <v>148.4</v>
      </c>
      <c r="G6910" s="24">
        <v>1.84</v>
      </c>
      <c r="H6910" s="24" t="s">
        <v>6720</v>
      </c>
      <c r="I6910" s="24" t="s">
        <v>6650</v>
      </c>
      <c r="J6910" s="24">
        <v>0.0</v>
      </c>
    </row>
    <row r="6911">
      <c r="A6911" s="24">
        <v>148.0</v>
      </c>
      <c r="B6911" s="24">
        <v>0.0</v>
      </c>
      <c r="C6911" s="44">
        <v>18.03</v>
      </c>
      <c r="D6911" s="46">
        <v>45665.0</v>
      </c>
      <c r="E6911" s="24" t="s">
        <v>6650</v>
      </c>
      <c r="F6911" s="24">
        <v>121.82</v>
      </c>
      <c r="G6911" s="24">
        <v>0.0</v>
      </c>
      <c r="H6911" s="24" t="s">
        <v>6721</v>
      </c>
      <c r="I6911" s="24" t="s">
        <v>6650</v>
      </c>
      <c r="J6911" s="24">
        <v>0.0</v>
      </c>
    </row>
    <row r="6912">
      <c r="A6912" s="24">
        <v>528.0</v>
      </c>
      <c r="B6912" s="24">
        <v>3.0</v>
      </c>
      <c r="C6912" s="44">
        <v>20.5</v>
      </c>
      <c r="D6912" s="46">
        <v>45665.0</v>
      </c>
      <c r="E6912" s="24">
        <v>6.83</v>
      </c>
      <c r="F6912" s="24">
        <v>38.83</v>
      </c>
      <c r="G6912" s="24">
        <v>0.57</v>
      </c>
      <c r="H6912" s="24" t="s">
        <v>6722</v>
      </c>
      <c r="I6912" s="24" t="s">
        <v>6650</v>
      </c>
      <c r="J6912" s="24">
        <v>0.0</v>
      </c>
    </row>
    <row r="6913">
      <c r="A6913" s="24">
        <v>110.0</v>
      </c>
      <c r="B6913" s="24">
        <v>0.0</v>
      </c>
      <c r="C6913" s="44">
        <v>22.93</v>
      </c>
      <c r="D6913" s="46">
        <v>45665.0</v>
      </c>
      <c r="E6913" s="24" t="s">
        <v>6650</v>
      </c>
      <c r="F6913" s="24">
        <v>208.45</v>
      </c>
      <c r="G6913" s="24">
        <v>0.0</v>
      </c>
      <c r="H6913" s="24" t="s">
        <v>6716</v>
      </c>
      <c r="I6913" s="24" t="s">
        <v>6650</v>
      </c>
      <c r="J6913" s="24">
        <v>0.0</v>
      </c>
    </row>
    <row r="6914">
      <c r="A6914" s="24">
        <v>94.0</v>
      </c>
      <c r="B6914" s="24">
        <v>2.0</v>
      </c>
      <c r="C6914" s="44">
        <v>20.78</v>
      </c>
      <c r="D6914" s="46">
        <v>45665.0</v>
      </c>
      <c r="E6914" s="24">
        <v>10.39</v>
      </c>
      <c r="F6914" s="24">
        <v>221.06</v>
      </c>
      <c r="G6914" s="24">
        <v>2.13</v>
      </c>
      <c r="H6914" s="24" t="s">
        <v>6720</v>
      </c>
      <c r="I6914" s="24" t="s">
        <v>6650</v>
      </c>
      <c r="J6914" s="24">
        <v>0.0</v>
      </c>
    </row>
    <row r="6915">
      <c r="A6915" s="24">
        <v>82.0</v>
      </c>
      <c r="B6915" s="24">
        <v>0.0</v>
      </c>
      <c r="C6915" s="44">
        <v>22.01</v>
      </c>
      <c r="D6915" s="46">
        <v>45666.0</v>
      </c>
      <c r="E6915" s="24" t="s">
        <v>6650</v>
      </c>
      <c r="F6915" s="24">
        <v>268.41</v>
      </c>
      <c r="G6915" s="24">
        <v>0.0</v>
      </c>
      <c r="H6915" s="24" t="s">
        <v>6720</v>
      </c>
      <c r="I6915" s="24" t="s">
        <v>6650</v>
      </c>
      <c r="J6915" s="24">
        <v>0.0</v>
      </c>
    </row>
    <row r="6916">
      <c r="A6916" s="24">
        <v>137.0</v>
      </c>
      <c r="B6916" s="24">
        <v>1.0</v>
      </c>
      <c r="C6916" s="44">
        <v>23.28</v>
      </c>
      <c r="D6916" s="46">
        <v>45666.0</v>
      </c>
      <c r="E6916" s="24">
        <v>23.28</v>
      </c>
      <c r="F6916" s="24">
        <v>169.93</v>
      </c>
      <c r="G6916" s="24">
        <v>0.73</v>
      </c>
      <c r="H6916" s="24" t="s">
        <v>6716</v>
      </c>
      <c r="I6916" s="24" t="s">
        <v>6650</v>
      </c>
      <c r="J6916" s="24">
        <v>0.0</v>
      </c>
    </row>
    <row r="6917">
      <c r="A6917" s="24">
        <v>148.0</v>
      </c>
      <c r="B6917" s="24">
        <v>0.0</v>
      </c>
      <c r="C6917" s="44">
        <v>18.94</v>
      </c>
      <c r="D6917" s="46">
        <v>45666.0</v>
      </c>
      <c r="E6917" s="24" t="s">
        <v>6650</v>
      </c>
      <c r="F6917" s="24">
        <v>127.97</v>
      </c>
      <c r="G6917" s="24">
        <v>0.0</v>
      </c>
      <c r="H6917" s="24" t="s">
        <v>6721</v>
      </c>
      <c r="I6917" s="24" t="s">
        <v>6650</v>
      </c>
      <c r="J6917" s="24">
        <v>0.0</v>
      </c>
    </row>
    <row r="6918">
      <c r="A6918" s="24">
        <v>598.0</v>
      </c>
      <c r="B6918" s="24">
        <v>2.0</v>
      </c>
      <c r="C6918" s="44">
        <v>20.32</v>
      </c>
      <c r="D6918" s="46">
        <v>45666.0</v>
      </c>
      <c r="E6918" s="24">
        <v>10.16</v>
      </c>
      <c r="F6918" s="24">
        <v>33.98</v>
      </c>
      <c r="G6918" s="24">
        <v>0.33</v>
      </c>
      <c r="H6918" s="24" t="s">
        <v>6722</v>
      </c>
      <c r="I6918" s="24" t="s">
        <v>6650</v>
      </c>
      <c r="J6918" s="24">
        <v>0.0</v>
      </c>
    </row>
    <row r="6919">
      <c r="A6919" s="24">
        <v>99.0</v>
      </c>
      <c r="B6919" s="24">
        <v>1.0</v>
      </c>
      <c r="C6919" s="44">
        <v>16.86</v>
      </c>
      <c r="D6919" s="46">
        <v>45667.0</v>
      </c>
      <c r="E6919" s="24">
        <v>16.86</v>
      </c>
      <c r="F6919" s="24">
        <v>170.3</v>
      </c>
      <c r="G6919" s="24">
        <v>1.01</v>
      </c>
      <c r="H6919" s="24" t="s">
        <v>6721</v>
      </c>
      <c r="I6919" s="24" t="s">
        <v>6650</v>
      </c>
      <c r="J6919" s="24">
        <v>0.0</v>
      </c>
    </row>
    <row r="6920">
      <c r="A6920" s="24">
        <v>108.0</v>
      </c>
      <c r="B6920" s="24">
        <v>0.0</v>
      </c>
      <c r="C6920" s="44">
        <v>16.29</v>
      </c>
      <c r="D6920" s="46">
        <v>45667.0</v>
      </c>
      <c r="E6920" s="24" t="s">
        <v>6650</v>
      </c>
      <c r="F6920" s="24">
        <v>150.83</v>
      </c>
      <c r="G6920" s="24">
        <v>0.0</v>
      </c>
      <c r="H6920" s="24" t="s">
        <v>6720</v>
      </c>
      <c r="I6920" s="24" t="s">
        <v>6650</v>
      </c>
      <c r="J6920" s="24">
        <v>0.0</v>
      </c>
    </row>
    <row r="6921">
      <c r="A6921" s="24">
        <v>293.0</v>
      </c>
      <c r="B6921" s="24">
        <v>1.0</v>
      </c>
      <c r="C6921" s="44">
        <v>20.05</v>
      </c>
      <c r="D6921" s="46">
        <v>45667.0</v>
      </c>
      <c r="E6921" s="24">
        <v>20.05</v>
      </c>
      <c r="F6921" s="24">
        <v>68.43</v>
      </c>
      <c r="G6921" s="24">
        <v>0.34</v>
      </c>
      <c r="H6921" s="24" t="s">
        <v>6722</v>
      </c>
      <c r="I6921" s="24" t="s">
        <v>6650</v>
      </c>
      <c r="J6921" s="24">
        <v>0.0</v>
      </c>
    </row>
    <row r="6922">
      <c r="A6922" s="24">
        <v>106.0</v>
      </c>
      <c r="B6922" s="24">
        <v>0.0</v>
      </c>
      <c r="C6922" s="44">
        <v>20.17</v>
      </c>
      <c r="D6922" s="46">
        <v>45667.0</v>
      </c>
      <c r="E6922" s="24" t="s">
        <v>6650</v>
      </c>
      <c r="F6922" s="24">
        <v>190.28</v>
      </c>
      <c r="G6922" s="24">
        <v>0.0</v>
      </c>
      <c r="H6922" s="24" t="s">
        <v>6716</v>
      </c>
      <c r="I6922" s="24" t="s">
        <v>6650</v>
      </c>
      <c r="J6922" s="24">
        <v>0.0</v>
      </c>
    </row>
    <row r="6923">
      <c r="A6923" s="24">
        <v>34.0</v>
      </c>
      <c r="B6923" s="24">
        <v>0.0</v>
      </c>
      <c r="C6923" s="44">
        <v>11.55</v>
      </c>
      <c r="D6923" s="46">
        <v>45668.0</v>
      </c>
      <c r="E6923" s="24" t="s">
        <v>6650</v>
      </c>
      <c r="F6923" s="24">
        <v>339.71</v>
      </c>
      <c r="G6923" s="24">
        <v>0.0</v>
      </c>
      <c r="H6923" s="24" t="s">
        <v>6721</v>
      </c>
      <c r="I6923" s="24" t="s">
        <v>6650</v>
      </c>
      <c r="J6923" s="24">
        <v>0.0</v>
      </c>
    </row>
    <row r="6924">
      <c r="A6924" s="24">
        <v>136.0</v>
      </c>
      <c r="B6924" s="24">
        <v>0.0</v>
      </c>
      <c r="C6924" s="44">
        <v>12.15</v>
      </c>
      <c r="D6924" s="46">
        <v>45668.0</v>
      </c>
      <c r="E6924" s="24" t="s">
        <v>6650</v>
      </c>
      <c r="F6924" s="24">
        <v>89.34</v>
      </c>
      <c r="G6924" s="24">
        <v>0.0</v>
      </c>
      <c r="H6924" s="24" t="s">
        <v>6722</v>
      </c>
      <c r="I6924" s="24" t="s">
        <v>6650</v>
      </c>
      <c r="J6924" s="24">
        <v>0.0</v>
      </c>
    </row>
    <row r="6925">
      <c r="A6925" s="24">
        <v>40.0</v>
      </c>
      <c r="B6925" s="24">
        <v>1.0</v>
      </c>
      <c r="C6925" s="44">
        <v>15.7</v>
      </c>
      <c r="D6925" s="46">
        <v>45668.0</v>
      </c>
      <c r="E6925" s="24">
        <v>15.7</v>
      </c>
      <c r="F6925" s="24">
        <v>392.5</v>
      </c>
      <c r="G6925" s="24">
        <v>2.5</v>
      </c>
      <c r="H6925" s="24" t="s">
        <v>6716</v>
      </c>
      <c r="I6925" s="24" t="s">
        <v>6650</v>
      </c>
      <c r="J6925" s="24">
        <v>0.0</v>
      </c>
    </row>
    <row r="6926">
      <c r="A6926" s="24">
        <v>88.0</v>
      </c>
      <c r="B6926" s="24">
        <v>0.0</v>
      </c>
      <c r="C6926" s="44">
        <v>12.5</v>
      </c>
      <c r="D6926" s="46">
        <v>45668.0</v>
      </c>
      <c r="E6926" s="24" t="s">
        <v>6650</v>
      </c>
      <c r="F6926" s="24">
        <v>142.05</v>
      </c>
      <c r="G6926" s="24">
        <v>0.0</v>
      </c>
      <c r="H6926" s="24" t="s">
        <v>6720</v>
      </c>
      <c r="I6926" s="24" t="s">
        <v>6650</v>
      </c>
      <c r="J6926" s="24">
        <v>0.0</v>
      </c>
    </row>
    <row r="6927">
      <c r="A6927" s="24">
        <v>40.0</v>
      </c>
      <c r="B6927" s="24">
        <v>1.0</v>
      </c>
      <c r="C6927" s="44">
        <v>8.46</v>
      </c>
      <c r="D6927" s="46">
        <v>45669.0</v>
      </c>
      <c r="E6927" s="24">
        <v>8.46</v>
      </c>
      <c r="F6927" s="24">
        <v>211.5</v>
      </c>
      <c r="G6927" s="24">
        <v>2.5</v>
      </c>
      <c r="H6927" s="24" t="s">
        <v>6720</v>
      </c>
      <c r="I6927" s="24" t="s">
        <v>6650</v>
      </c>
      <c r="J6927" s="24">
        <v>0.0</v>
      </c>
    </row>
    <row r="6928">
      <c r="A6928" s="24">
        <v>25.0</v>
      </c>
      <c r="B6928" s="24">
        <v>0.0</v>
      </c>
      <c r="C6928" s="44">
        <v>8.71</v>
      </c>
      <c r="D6928" s="46">
        <v>45669.0</v>
      </c>
      <c r="E6928" s="24" t="s">
        <v>6650</v>
      </c>
      <c r="F6928" s="24">
        <v>348.4</v>
      </c>
      <c r="G6928" s="24">
        <v>0.0</v>
      </c>
      <c r="H6928" s="24" t="s">
        <v>6721</v>
      </c>
      <c r="I6928" s="24" t="s">
        <v>6650</v>
      </c>
      <c r="J6928" s="24">
        <v>0.0</v>
      </c>
    </row>
    <row r="6929">
      <c r="A6929" s="24">
        <v>119.0</v>
      </c>
      <c r="B6929" s="24">
        <v>0.0</v>
      </c>
      <c r="C6929" s="44">
        <v>9.58</v>
      </c>
      <c r="D6929" s="46">
        <v>45669.0</v>
      </c>
      <c r="E6929" s="24" t="s">
        <v>6650</v>
      </c>
      <c r="F6929" s="24">
        <v>80.5</v>
      </c>
      <c r="G6929" s="24">
        <v>0.0</v>
      </c>
      <c r="H6929" s="24" t="s">
        <v>6722</v>
      </c>
      <c r="I6929" s="24" t="s">
        <v>6650</v>
      </c>
      <c r="J6929" s="24">
        <v>0.0</v>
      </c>
    </row>
    <row r="6930">
      <c r="A6930" s="24">
        <v>23.0</v>
      </c>
      <c r="B6930" s="24">
        <v>0.0</v>
      </c>
      <c r="C6930" s="44">
        <v>10.07</v>
      </c>
      <c r="D6930" s="46">
        <v>45669.0</v>
      </c>
      <c r="E6930" s="24" t="s">
        <v>6650</v>
      </c>
      <c r="F6930" s="24">
        <v>437.83</v>
      </c>
      <c r="G6930" s="24">
        <v>0.0</v>
      </c>
      <c r="H6930" s="24" t="s">
        <v>6716</v>
      </c>
      <c r="I6930" s="24" t="s">
        <v>6650</v>
      </c>
      <c r="J6930" s="24">
        <v>0.0</v>
      </c>
    </row>
    <row r="6931">
      <c r="A6931" s="24">
        <v>51.0</v>
      </c>
      <c r="B6931" s="24">
        <v>0.0</v>
      </c>
      <c r="C6931" s="44">
        <v>22.09</v>
      </c>
      <c r="D6931" s="46">
        <v>45670.0</v>
      </c>
      <c r="E6931" s="24" t="s">
        <v>6650</v>
      </c>
      <c r="F6931" s="24">
        <v>433.14</v>
      </c>
      <c r="G6931" s="24">
        <v>0.0</v>
      </c>
      <c r="H6931" s="24" t="s">
        <v>6716</v>
      </c>
      <c r="I6931" s="24" t="s">
        <v>6650</v>
      </c>
      <c r="J6931" s="24">
        <v>0.0</v>
      </c>
    </row>
    <row r="6932">
      <c r="A6932" s="24">
        <v>405.0</v>
      </c>
      <c r="B6932" s="24">
        <v>3.0</v>
      </c>
      <c r="C6932" s="44">
        <v>19.15</v>
      </c>
      <c r="D6932" s="46">
        <v>45670.0</v>
      </c>
      <c r="E6932" s="24">
        <v>6.38</v>
      </c>
      <c r="F6932" s="24">
        <v>47.28</v>
      </c>
      <c r="G6932" s="24">
        <v>0.74</v>
      </c>
      <c r="H6932" s="24" t="s">
        <v>6722</v>
      </c>
      <c r="I6932" s="24">
        <v>19.15</v>
      </c>
      <c r="J6932" s="24">
        <v>0.0</v>
      </c>
    </row>
    <row r="6933">
      <c r="A6933" s="24">
        <v>108.0</v>
      </c>
      <c r="B6933" s="24">
        <v>1.0</v>
      </c>
      <c r="C6933" s="44">
        <v>21.69</v>
      </c>
      <c r="D6933" s="46">
        <v>45670.0</v>
      </c>
      <c r="E6933" s="24">
        <v>21.69</v>
      </c>
      <c r="F6933" s="24">
        <v>200.83</v>
      </c>
      <c r="G6933" s="24">
        <v>0.93</v>
      </c>
      <c r="H6933" s="24" t="s">
        <v>6720</v>
      </c>
      <c r="I6933" s="24" t="s">
        <v>6650</v>
      </c>
      <c r="J6933" s="24">
        <v>0.0</v>
      </c>
    </row>
    <row r="6934">
      <c r="A6934" s="24">
        <v>42.0</v>
      </c>
      <c r="B6934" s="24">
        <v>0.0</v>
      </c>
      <c r="C6934" s="44">
        <v>17.87</v>
      </c>
      <c r="D6934" s="46">
        <v>45670.0</v>
      </c>
      <c r="E6934" s="24" t="s">
        <v>6650</v>
      </c>
      <c r="F6934" s="24">
        <v>425.48</v>
      </c>
      <c r="G6934" s="24">
        <v>0.0</v>
      </c>
      <c r="H6934" s="24" t="s">
        <v>6721</v>
      </c>
      <c r="I6934" s="24" t="s">
        <v>6650</v>
      </c>
      <c r="J6934" s="24">
        <v>0.0</v>
      </c>
    </row>
    <row r="6935">
      <c r="A6935" s="24">
        <v>70.0</v>
      </c>
      <c r="B6935" s="24">
        <v>0.0</v>
      </c>
      <c r="C6935" s="44">
        <v>19.58</v>
      </c>
      <c r="D6935" s="46">
        <v>45671.0</v>
      </c>
      <c r="E6935" s="24" t="s">
        <v>6650</v>
      </c>
      <c r="F6935" s="24">
        <v>279.71</v>
      </c>
      <c r="G6935" s="24">
        <v>0.0</v>
      </c>
      <c r="H6935" s="24" t="s">
        <v>6721</v>
      </c>
      <c r="I6935" s="24" t="s">
        <v>6650</v>
      </c>
      <c r="J6935" s="24">
        <v>0.0</v>
      </c>
    </row>
    <row r="6936">
      <c r="A6936" s="24">
        <v>56.0</v>
      </c>
      <c r="B6936" s="24">
        <v>0.0</v>
      </c>
      <c r="C6936" s="44">
        <v>24.25</v>
      </c>
      <c r="D6936" s="46">
        <v>45671.0</v>
      </c>
      <c r="E6936" s="24" t="s">
        <v>6650</v>
      </c>
      <c r="F6936" s="24">
        <v>433.04</v>
      </c>
      <c r="G6936" s="24">
        <v>0.0</v>
      </c>
      <c r="H6936" s="24" t="s">
        <v>6716</v>
      </c>
      <c r="I6936" s="24" t="s">
        <v>6650</v>
      </c>
      <c r="J6936" s="24">
        <v>0.0</v>
      </c>
    </row>
    <row r="6937">
      <c r="A6937" s="24">
        <v>159.0</v>
      </c>
      <c r="B6937" s="24">
        <v>0.0</v>
      </c>
      <c r="C6937" s="44">
        <v>21.27</v>
      </c>
      <c r="D6937" s="46">
        <v>45671.0</v>
      </c>
      <c r="E6937" s="24" t="s">
        <v>6650</v>
      </c>
      <c r="F6937" s="24">
        <v>133.77</v>
      </c>
      <c r="G6937" s="24">
        <v>0.0</v>
      </c>
      <c r="H6937" s="24" t="s">
        <v>6720</v>
      </c>
      <c r="I6937" s="24" t="s">
        <v>6650</v>
      </c>
      <c r="J6937" s="24">
        <v>0.0</v>
      </c>
    </row>
    <row r="6938">
      <c r="A6938" s="24">
        <v>615.0</v>
      </c>
      <c r="B6938" s="24">
        <v>0.0</v>
      </c>
      <c r="C6938" s="44">
        <v>19.81</v>
      </c>
      <c r="D6938" s="46">
        <v>45671.0</v>
      </c>
      <c r="E6938" s="24" t="s">
        <v>6650</v>
      </c>
      <c r="F6938" s="24">
        <v>32.21</v>
      </c>
      <c r="G6938" s="24">
        <v>0.0</v>
      </c>
      <c r="H6938" s="24" t="s">
        <v>6722</v>
      </c>
      <c r="I6938" s="24">
        <v>19.81</v>
      </c>
      <c r="J6938" s="24">
        <v>0.0</v>
      </c>
    </row>
    <row r="6939">
      <c r="A6939" s="24">
        <v>71.0</v>
      </c>
      <c r="B6939" s="24">
        <v>0.0</v>
      </c>
      <c r="C6939" s="44">
        <v>23.84</v>
      </c>
      <c r="D6939" s="46">
        <v>45672.0</v>
      </c>
      <c r="E6939" s="24" t="s">
        <v>6650</v>
      </c>
      <c r="F6939" s="24">
        <v>335.77</v>
      </c>
      <c r="G6939" s="24">
        <v>0.0</v>
      </c>
      <c r="H6939" s="24" t="s">
        <v>6716</v>
      </c>
      <c r="I6939" s="24" t="s">
        <v>6650</v>
      </c>
      <c r="J6939" s="24">
        <v>0.0</v>
      </c>
    </row>
    <row r="6940">
      <c r="A6940" s="24">
        <v>195.0</v>
      </c>
      <c r="B6940" s="24">
        <v>1.0</v>
      </c>
      <c r="C6940" s="44">
        <v>19.79</v>
      </c>
      <c r="D6940" s="46">
        <v>45672.0</v>
      </c>
      <c r="E6940" s="24">
        <v>19.79</v>
      </c>
      <c r="F6940" s="24">
        <v>101.49</v>
      </c>
      <c r="G6940" s="24">
        <v>0.51</v>
      </c>
      <c r="H6940" s="24" t="s">
        <v>6720</v>
      </c>
      <c r="I6940" s="24" t="s">
        <v>6650</v>
      </c>
      <c r="J6940" s="24">
        <v>0.0</v>
      </c>
    </row>
    <row r="6941">
      <c r="A6941" s="24">
        <v>356.0</v>
      </c>
      <c r="B6941" s="24">
        <v>0.0</v>
      </c>
      <c r="C6941" s="44">
        <v>21.07</v>
      </c>
      <c r="D6941" s="46">
        <v>45672.0</v>
      </c>
      <c r="E6941" s="24" t="s">
        <v>6650</v>
      </c>
      <c r="F6941" s="24">
        <v>59.19</v>
      </c>
      <c r="G6941" s="24">
        <v>0.0</v>
      </c>
      <c r="H6941" s="24" t="s">
        <v>6722</v>
      </c>
      <c r="I6941" s="24" t="s">
        <v>6650</v>
      </c>
      <c r="J6941" s="24">
        <v>0.0</v>
      </c>
    </row>
    <row r="6942">
      <c r="A6942" s="24">
        <v>57.0</v>
      </c>
      <c r="B6942" s="24">
        <v>0.0</v>
      </c>
      <c r="C6942" s="44">
        <v>20.03</v>
      </c>
      <c r="D6942" s="46">
        <v>45672.0</v>
      </c>
      <c r="E6942" s="24" t="s">
        <v>6650</v>
      </c>
      <c r="F6942" s="24">
        <v>351.4</v>
      </c>
      <c r="G6942" s="24">
        <v>0.0</v>
      </c>
      <c r="H6942" s="24" t="s">
        <v>6721</v>
      </c>
      <c r="I6942" s="24" t="s">
        <v>6650</v>
      </c>
      <c r="J6942" s="24">
        <v>0.0</v>
      </c>
    </row>
    <row r="6943">
      <c r="A6943" s="24">
        <v>229.0</v>
      </c>
      <c r="B6943" s="24">
        <v>1.0</v>
      </c>
      <c r="C6943" s="44">
        <v>22.85</v>
      </c>
      <c r="D6943" s="46">
        <v>45673.0</v>
      </c>
      <c r="E6943" s="24">
        <v>22.85</v>
      </c>
      <c r="F6943" s="24">
        <v>99.78</v>
      </c>
      <c r="G6943" s="24">
        <v>0.44</v>
      </c>
      <c r="H6943" s="24" t="s">
        <v>6722</v>
      </c>
      <c r="I6943" s="24" t="s">
        <v>6650</v>
      </c>
      <c r="J6943" s="24">
        <v>0.0</v>
      </c>
    </row>
    <row r="6944">
      <c r="A6944" s="24">
        <v>47.0</v>
      </c>
      <c r="B6944" s="24">
        <v>0.0</v>
      </c>
      <c r="C6944" s="44">
        <v>19.91</v>
      </c>
      <c r="D6944" s="46">
        <v>45673.0</v>
      </c>
      <c r="E6944" s="24" t="s">
        <v>6650</v>
      </c>
      <c r="F6944" s="24">
        <v>423.62</v>
      </c>
      <c r="G6944" s="24">
        <v>0.0</v>
      </c>
      <c r="H6944" s="24" t="s">
        <v>6721</v>
      </c>
      <c r="I6944" s="24" t="s">
        <v>6650</v>
      </c>
      <c r="J6944" s="24">
        <v>0.0</v>
      </c>
    </row>
    <row r="6945">
      <c r="A6945" s="24">
        <v>60.0</v>
      </c>
      <c r="B6945" s="24">
        <v>1.0</v>
      </c>
      <c r="C6945" s="44">
        <v>23.7</v>
      </c>
      <c r="D6945" s="46">
        <v>45673.0</v>
      </c>
      <c r="E6945" s="24">
        <v>23.7</v>
      </c>
      <c r="F6945" s="24">
        <v>395.0</v>
      </c>
      <c r="G6945" s="24">
        <v>1.67</v>
      </c>
      <c r="H6945" s="24" t="s">
        <v>6716</v>
      </c>
      <c r="I6945" s="24" t="s">
        <v>6650</v>
      </c>
      <c r="J6945" s="24">
        <v>0.0</v>
      </c>
    </row>
    <row r="6946">
      <c r="A6946" s="24">
        <v>136.0</v>
      </c>
      <c r="B6946" s="24">
        <v>1.0</v>
      </c>
      <c r="C6946" s="44">
        <v>24.01</v>
      </c>
      <c r="D6946" s="46">
        <v>45673.0</v>
      </c>
      <c r="E6946" s="24">
        <v>24.01</v>
      </c>
      <c r="F6946" s="24">
        <v>176.54</v>
      </c>
      <c r="G6946" s="24">
        <v>0.74</v>
      </c>
      <c r="H6946" s="24" t="s">
        <v>6720</v>
      </c>
      <c r="I6946" s="24" t="s">
        <v>6650</v>
      </c>
      <c r="J6946" s="24">
        <v>0.0</v>
      </c>
    </row>
    <row r="6947">
      <c r="A6947" s="24">
        <v>248.0</v>
      </c>
      <c r="B6947" s="24">
        <v>3.0</v>
      </c>
      <c r="C6947" s="44">
        <v>20.4</v>
      </c>
      <c r="D6947" s="46">
        <v>45674.0</v>
      </c>
      <c r="E6947" s="24">
        <v>6.8</v>
      </c>
      <c r="F6947" s="24">
        <v>82.26</v>
      </c>
      <c r="G6947" s="24">
        <v>1.21</v>
      </c>
      <c r="H6947" s="24" t="s">
        <v>6722</v>
      </c>
      <c r="I6947" s="24">
        <v>10.2</v>
      </c>
      <c r="J6947" s="24">
        <v>0.0</v>
      </c>
    </row>
    <row r="6948">
      <c r="A6948" s="24">
        <v>85.0</v>
      </c>
      <c r="B6948" s="24">
        <v>1.0</v>
      </c>
      <c r="C6948" s="44">
        <v>19.8</v>
      </c>
      <c r="D6948" s="46">
        <v>45674.0</v>
      </c>
      <c r="E6948" s="24">
        <v>19.8</v>
      </c>
      <c r="F6948" s="24">
        <v>232.94</v>
      </c>
      <c r="G6948" s="24">
        <v>1.18</v>
      </c>
      <c r="H6948" s="24" t="s">
        <v>6720</v>
      </c>
      <c r="I6948" s="24" t="s">
        <v>6650</v>
      </c>
      <c r="J6948" s="24">
        <v>0.0</v>
      </c>
    </row>
    <row r="6949">
      <c r="A6949" s="24">
        <v>51.0</v>
      </c>
      <c r="B6949" s="24">
        <v>0.0</v>
      </c>
      <c r="C6949" s="44">
        <v>21.35</v>
      </c>
      <c r="D6949" s="46">
        <v>45674.0</v>
      </c>
      <c r="E6949" s="24" t="s">
        <v>6650</v>
      </c>
      <c r="F6949" s="24">
        <v>418.63</v>
      </c>
      <c r="G6949" s="24">
        <v>0.0</v>
      </c>
      <c r="H6949" s="24" t="s">
        <v>6716</v>
      </c>
      <c r="I6949" s="24" t="s">
        <v>6650</v>
      </c>
      <c r="J6949" s="24">
        <v>0.0</v>
      </c>
    </row>
    <row r="6950">
      <c r="A6950" s="24">
        <v>37.0</v>
      </c>
      <c r="B6950" s="24">
        <v>0.0</v>
      </c>
      <c r="C6950" s="44">
        <v>16.6</v>
      </c>
      <c r="D6950" s="46">
        <v>45674.0</v>
      </c>
      <c r="E6950" s="24" t="s">
        <v>6650</v>
      </c>
      <c r="F6950" s="24">
        <v>448.65</v>
      </c>
      <c r="G6950" s="24">
        <v>0.0</v>
      </c>
      <c r="H6950" s="24" t="s">
        <v>6721</v>
      </c>
      <c r="I6950" s="24" t="s">
        <v>6650</v>
      </c>
      <c r="J6950" s="24">
        <v>0.0</v>
      </c>
    </row>
    <row r="6951">
      <c r="A6951" s="24">
        <v>83.0</v>
      </c>
      <c r="B6951" s="24">
        <v>1.0</v>
      </c>
      <c r="C6951" s="44">
        <v>11.57</v>
      </c>
      <c r="D6951" s="46">
        <v>45675.0</v>
      </c>
      <c r="E6951" s="24">
        <v>11.57</v>
      </c>
      <c r="F6951" s="24">
        <v>139.4</v>
      </c>
      <c r="G6951" s="24">
        <v>1.2</v>
      </c>
      <c r="H6951" s="24" t="s">
        <v>6720</v>
      </c>
      <c r="I6951" s="24" t="s">
        <v>6650</v>
      </c>
      <c r="J6951" s="24">
        <v>0.0</v>
      </c>
    </row>
    <row r="6952">
      <c r="A6952" s="24">
        <v>184.0</v>
      </c>
      <c r="B6952" s="24">
        <v>0.0</v>
      </c>
      <c r="C6952" s="44">
        <v>11.81</v>
      </c>
      <c r="D6952" s="46">
        <v>45675.0</v>
      </c>
      <c r="E6952" s="24" t="s">
        <v>6650</v>
      </c>
      <c r="F6952" s="24">
        <v>64.18</v>
      </c>
      <c r="G6952" s="24">
        <v>0.0</v>
      </c>
      <c r="H6952" s="24" t="s">
        <v>6722</v>
      </c>
      <c r="I6952" s="24" t="s">
        <v>6650</v>
      </c>
      <c r="J6952" s="24">
        <v>0.0</v>
      </c>
    </row>
    <row r="6953">
      <c r="A6953" s="24">
        <v>30.0</v>
      </c>
      <c r="B6953" s="24">
        <v>0.0</v>
      </c>
      <c r="C6953" s="44">
        <v>10.97</v>
      </c>
      <c r="D6953" s="46">
        <v>45675.0</v>
      </c>
      <c r="E6953" s="24" t="s">
        <v>6650</v>
      </c>
      <c r="F6953" s="24">
        <v>365.67</v>
      </c>
      <c r="G6953" s="24">
        <v>0.0</v>
      </c>
      <c r="H6953" s="24" t="s">
        <v>6721</v>
      </c>
      <c r="I6953" s="24" t="s">
        <v>6650</v>
      </c>
      <c r="J6953" s="24">
        <v>0.0</v>
      </c>
    </row>
    <row r="6954">
      <c r="A6954" s="24">
        <v>36.0</v>
      </c>
      <c r="B6954" s="24">
        <v>1.0</v>
      </c>
      <c r="C6954" s="44">
        <v>14.74</v>
      </c>
      <c r="D6954" s="46">
        <v>45675.0</v>
      </c>
      <c r="E6954" s="24">
        <v>14.74</v>
      </c>
      <c r="F6954" s="24">
        <v>409.44</v>
      </c>
      <c r="G6954" s="24">
        <v>2.78</v>
      </c>
      <c r="H6954" s="24" t="s">
        <v>6716</v>
      </c>
      <c r="I6954" s="24" t="s">
        <v>6650</v>
      </c>
      <c r="J6954" s="24">
        <v>0.0</v>
      </c>
    </row>
    <row r="6955">
      <c r="A6955" s="24">
        <v>56.0</v>
      </c>
      <c r="B6955" s="24">
        <v>0.0</v>
      </c>
      <c r="C6955" s="44">
        <v>7.87</v>
      </c>
      <c r="D6955" s="46">
        <v>45676.0</v>
      </c>
      <c r="E6955" s="24" t="s">
        <v>6650</v>
      </c>
      <c r="F6955" s="24">
        <v>140.54</v>
      </c>
      <c r="G6955" s="24">
        <v>0.0</v>
      </c>
      <c r="H6955" s="24" t="s">
        <v>6720</v>
      </c>
      <c r="I6955" s="24" t="s">
        <v>6650</v>
      </c>
      <c r="J6955" s="24">
        <v>0.0</v>
      </c>
    </row>
    <row r="6956">
      <c r="A6956" s="24">
        <v>20.0</v>
      </c>
      <c r="B6956" s="24">
        <v>0.0</v>
      </c>
      <c r="C6956" s="44">
        <v>7.04</v>
      </c>
      <c r="D6956" s="46">
        <v>45676.0</v>
      </c>
      <c r="E6956" s="24" t="s">
        <v>6650</v>
      </c>
      <c r="F6956" s="24">
        <v>352.0</v>
      </c>
      <c r="G6956" s="24">
        <v>0.0</v>
      </c>
      <c r="H6956" s="24" t="s">
        <v>6721</v>
      </c>
      <c r="I6956" s="24" t="s">
        <v>6650</v>
      </c>
      <c r="J6956" s="24">
        <v>0.0</v>
      </c>
    </row>
    <row r="6957">
      <c r="A6957" s="24">
        <v>22.0</v>
      </c>
      <c r="B6957" s="24">
        <v>0.0</v>
      </c>
      <c r="C6957" s="44">
        <v>10.03</v>
      </c>
      <c r="D6957" s="46">
        <v>45676.0</v>
      </c>
      <c r="E6957" s="24" t="s">
        <v>6650</v>
      </c>
      <c r="F6957" s="24">
        <v>455.91</v>
      </c>
      <c r="G6957" s="24">
        <v>0.0</v>
      </c>
      <c r="H6957" s="24" t="s">
        <v>6716</v>
      </c>
      <c r="I6957" s="24" t="s">
        <v>6650</v>
      </c>
      <c r="J6957" s="24">
        <v>0.0</v>
      </c>
    </row>
    <row r="6958">
      <c r="A6958" s="24">
        <v>118.0</v>
      </c>
      <c r="B6958" s="24">
        <v>1.0</v>
      </c>
      <c r="C6958" s="44">
        <v>9.14</v>
      </c>
      <c r="D6958" s="46">
        <v>45676.0</v>
      </c>
      <c r="E6958" s="24">
        <v>9.14</v>
      </c>
      <c r="F6958" s="24">
        <v>77.46</v>
      </c>
      <c r="G6958" s="24">
        <v>0.85</v>
      </c>
      <c r="H6958" s="24" t="s">
        <v>6722</v>
      </c>
      <c r="I6958" s="24" t="s">
        <v>6650</v>
      </c>
      <c r="J6958" s="24">
        <v>0.0</v>
      </c>
    </row>
    <row r="6959">
      <c r="A6959" s="24">
        <v>117.0</v>
      </c>
      <c r="B6959" s="24">
        <v>0.0</v>
      </c>
      <c r="C6959" s="44">
        <v>19.71</v>
      </c>
      <c r="D6959" s="46">
        <v>45677.0</v>
      </c>
      <c r="E6959" s="24" t="s">
        <v>6650</v>
      </c>
      <c r="F6959" s="24">
        <v>168.46</v>
      </c>
      <c r="G6959" s="24">
        <v>0.0</v>
      </c>
      <c r="H6959" s="24" t="s">
        <v>6720</v>
      </c>
      <c r="I6959" s="24" t="s">
        <v>6650</v>
      </c>
      <c r="J6959" s="24">
        <v>0.0</v>
      </c>
    </row>
    <row r="6960">
      <c r="A6960" s="24">
        <v>62.0</v>
      </c>
      <c r="B6960" s="24">
        <v>0.0</v>
      </c>
      <c r="C6960" s="44">
        <v>24.49</v>
      </c>
      <c r="D6960" s="46">
        <v>45677.0</v>
      </c>
      <c r="E6960" s="24" t="s">
        <v>6650</v>
      </c>
      <c r="F6960" s="24">
        <v>395.0</v>
      </c>
      <c r="G6960" s="24">
        <v>0.0</v>
      </c>
      <c r="H6960" s="24" t="s">
        <v>6716</v>
      </c>
      <c r="I6960" s="24" t="s">
        <v>6650</v>
      </c>
      <c r="J6960" s="24">
        <v>0.0</v>
      </c>
    </row>
    <row r="6961">
      <c r="A6961" s="24">
        <v>101.0</v>
      </c>
      <c r="B6961" s="24">
        <v>0.0</v>
      </c>
      <c r="C6961" s="44">
        <v>20.29</v>
      </c>
      <c r="D6961" s="46">
        <v>45677.0</v>
      </c>
      <c r="E6961" s="24" t="s">
        <v>6650</v>
      </c>
      <c r="F6961" s="24">
        <v>200.89</v>
      </c>
      <c r="G6961" s="24">
        <v>0.0</v>
      </c>
      <c r="H6961" s="24" t="s">
        <v>6721</v>
      </c>
      <c r="I6961" s="24" t="s">
        <v>6650</v>
      </c>
      <c r="J6961" s="24">
        <v>0.0</v>
      </c>
    </row>
    <row r="6962">
      <c r="A6962" s="24">
        <v>430.0</v>
      </c>
      <c r="B6962" s="24">
        <v>1.0</v>
      </c>
      <c r="C6962" s="44">
        <v>20.07</v>
      </c>
      <c r="D6962" s="46">
        <v>45677.0</v>
      </c>
      <c r="E6962" s="24">
        <v>20.07</v>
      </c>
      <c r="F6962" s="24">
        <v>46.67</v>
      </c>
      <c r="G6962" s="24">
        <v>0.23</v>
      </c>
      <c r="H6962" s="24" t="s">
        <v>6722</v>
      </c>
      <c r="I6962" s="24" t="s">
        <v>6650</v>
      </c>
      <c r="J6962" s="24">
        <v>0.0</v>
      </c>
    </row>
    <row r="6963">
      <c r="A6963" s="24">
        <v>60.0</v>
      </c>
      <c r="B6963" s="24">
        <v>1.0</v>
      </c>
      <c r="C6963" s="44">
        <v>19.04</v>
      </c>
      <c r="D6963" s="46">
        <v>45678.0</v>
      </c>
      <c r="E6963" s="24">
        <v>19.04</v>
      </c>
      <c r="F6963" s="24">
        <v>317.33</v>
      </c>
      <c r="G6963" s="24">
        <v>1.67</v>
      </c>
      <c r="H6963" s="24" t="s">
        <v>6721</v>
      </c>
      <c r="I6963" s="24" t="s">
        <v>6650</v>
      </c>
      <c r="J6963" s="24">
        <v>0.0</v>
      </c>
    </row>
    <row r="6964">
      <c r="A6964" s="24">
        <v>1628.0</v>
      </c>
      <c r="B6964" s="24">
        <v>6.0</v>
      </c>
      <c r="C6964" s="44">
        <v>20.65</v>
      </c>
      <c r="D6964" s="46">
        <v>45678.0</v>
      </c>
      <c r="E6964" s="24">
        <v>3.44</v>
      </c>
      <c r="F6964" s="24">
        <v>12.68</v>
      </c>
      <c r="G6964" s="24">
        <v>0.37</v>
      </c>
      <c r="H6964" s="24" t="s">
        <v>6723</v>
      </c>
      <c r="I6964" s="24" t="s">
        <v>6650</v>
      </c>
      <c r="J6964" s="24">
        <v>0.0</v>
      </c>
    </row>
    <row r="6965">
      <c r="A6965" s="24">
        <v>205.0</v>
      </c>
      <c r="B6965" s="24">
        <v>0.0</v>
      </c>
      <c r="C6965" s="44">
        <v>11.71</v>
      </c>
      <c r="D6965" s="46">
        <v>45678.0</v>
      </c>
      <c r="E6965" s="24" t="s">
        <v>6650</v>
      </c>
      <c r="F6965" s="24">
        <v>57.12</v>
      </c>
      <c r="G6965" s="24">
        <v>0.0</v>
      </c>
      <c r="H6965" s="24" t="s">
        <v>6722</v>
      </c>
      <c r="I6965" s="24" t="s">
        <v>6650</v>
      </c>
      <c r="J6965" s="24">
        <v>0.0</v>
      </c>
    </row>
    <row r="6966">
      <c r="A6966" s="24">
        <v>134.0</v>
      </c>
      <c r="B6966" s="24">
        <v>0.0</v>
      </c>
      <c r="C6966" s="44">
        <v>22.43</v>
      </c>
      <c r="D6966" s="46">
        <v>45678.0</v>
      </c>
      <c r="E6966" s="24" t="s">
        <v>6650</v>
      </c>
      <c r="F6966" s="24">
        <v>167.39</v>
      </c>
      <c r="G6966" s="24">
        <v>0.0</v>
      </c>
      <c r="H6966" s="24" t="s">
        <v>6720</v>
      </c>
      <c r="I6966" s="24" t="s">
        <v>6650</v>
      </c>
      <c r="J6966" s="24">
        <v>0.0</v>
      </c>
    </row>
    <row r="6967">
      <c r="A6967" s="24">
        <v>59.0</v>
      </c>
      <c r="B6967" s="24">
        <v>0.0</v>
      </c>
      <c r="C6967" s="44">
        <v>23.49</v>
      </c>
      <c r="D6967" s="46">
        <v>45678.0</v>
      </c>
      <c r="E6967" s="24" t="s">
        <v>6650</v>
      </c>
      <c r="F6967" s="24">
        <v>398.14</v>
      </c>
      <c r="G6967" s="24">
        <v>0.0</v>
      </c>
      <c r="H6967" s="24" t="s">
        <v>6716</v>
      </c>
      <c r="I6967" s="24" t="s">
        <v>6650</v>
      </c>
      <c r="J6967" s="24">
        <v>0.0</v>
      </c>
    </row>
    <row r="6968">
      <c r="A6968" s="24">
        <v>145.0</v>
      </c>
      <c r="B6968" s="24">
        <v>3.0</v>
      </c>
      <c r="C6968" s="44">
        <v>20.76</v>
      </c>
      <c r="D6968" s="46">
        <v>45679.0</v>
      </c>
      <c r="E6968" s="24">
        <v>6.92</v>
      </c>
      <c r="F6968" s="24">
        <v>143.17</v>
      </c>
      <c r="G6968" s="24">
        <v>2.07</v>
      </c>
      <c r="H6968" s="24" t="s">
        <v>6720</v>
      </c>
      <c r="I6968" s="24" t="s">
        <v>6650</v>
      </c>
      <c r="J6968" s="24">
        <v>0.0</v>
      </c>
    </row>
    <row r="6969">
      <c r="A6969" s="24">
        <v>57.0</v>
      </c>
      <c r="B6969" s="24">
        <v>0.0</v>
      </c>
      <c r="C6969" s="44">
        <v>22.32</v>
      </c>
      <c r="D6969" s="46">
        <v>45679.0</v>
      </c>
      <c r="E6969" s="24" t="s">
        <v>6650</v>
      </c>
      <c r="F6969" s="24">
        <v>391.58</v>
      </c>
      <c r="G6969" s="24">
        <v>0.0</v>
      </c>
      <c r="H6969" s="24" t="s">
        <v>6716</v>
      </c>
      <c r="I6969" s="24" t="s">
        <v>6650</v>
      </c>
      <c r="J6969" s="24">
        <v>0.0</v>
      </c>
    </row>
    <row r="6970">
      <c r="A6970" s="24">
        <v>51.0</v>
      </c>
      <c r="B6970" s="24">
        <v>0.0</v>
      </c>
      <c r="C6970" s="44">
        <v>10.17</v>
      </c>
      <c r="D6970" s="46">
        <v>45679.0</v>
      </c>
      <c r="E6970" s="24" t="s">
        <v>6650</v>
      </c>
      <c r="F6970" s="24">
        <v>199.41</v>
      </c>
      <c r="G6970" s="24">
        <v>0.0</v>
      </c>
      <c r="H6970" s="24" t="s">
        <v>6721</v>
      </c>
      <c r="I6970" s="24" t="s">
        <v>6650</v>
      </c>
      <c r="J6970" s="24">
        <v>0.0</v>
      </c>
    </row>
    <row r="6971">
      <c r="A6971" s="24">
        <v>1156.0</v>
      </c>
      <c r="B6971" s="24">
        <v>4.0</v>
      </c>
      <c r="C6971" s="44">
        <v>20.79</v>
      </c>
      <c r="D6971" s="46">
        <v>45679.0</v>
      </c>
      <c r="E6971" s="24">
        <v>5.2</v>
      </c>
      <c r="F6971" s="24">
        <v>17.98</v>
      </c>
      <c r="G6971" s="24">
        <v>0.35</v>
      </c>
      <c r="H6971" s="24" t="s">
        <v>6723</v>
      </c>
      <c r="I6971" s="24" t="s">
        <v>6650</v>
      </c>
      <c r="J6971" s="24">
        <v>0.0</v>
      </c>
    </row>
    <row r="6972">
      <c r="A6972" s="24">
        <v>330.0</v>
      </c>
      <c r="B6972" s="24">
        <v>0.0</v>
      </c>
      <c r="C6972" s="44">
        <v>21.61</v>
      </c>
      <c r="D6972" s="46">
        <v>45680.0</v>
      </c>
      <c r="E6972" s="24" t="s">
        <v>6650</v>
      </c>
      <c r="F6972" s="24">
        <v>65.48</v>
      </c>
      <c r="G6972" s="24">
        <v>0.0</v>
      </c>
      <c r="H6972" s="24" t="s">
        <v>6723</v>
      </c>
      <c r="I6972" s="24" t="s">
        <v>6650</v>
      </c>
      <c r="J6972" s="24">
        <v>0.0</v>
      </c>
    </row>
    <row r="6973">
      <c r="A6973" s="24">
        <v>135.0</v>
      </c>
      <c r="B6973" s="24">
        <v>1.0</v>
      </c>
      <c r="C6973" s="44">
        <v>22.16</v>
      </c>
      <c r="D6973" s="46">
        <v>45680.0</v>
      </c>
      <c r="E6973" s="24">
        <v>22.16</v>
      </c>
      <c r="F6973" s="24">
        <v>164.15</v>
      </c>
      <c r="G6973" s="24">
        <v>0.74</v>
      </c>
      <c r="H6973" s="24" t="s">
        <v>6720</v>
      </c>
      <c r="I6973" s="24" t="s">
        <v>6650</v>
      </c>
      <c r="J6973" s="24">
        <v>0.0</v>
      </c>
    </row>
    <row r="6974">
      <c r="A6974" s="24">
        <v>426.0</v>
      </c>
      <c r="B6974" s="24">
        <v>1.0</v>
      </c>
      <c r="C6974" s="44">
        <v>24.2</v>
      </c>
      <c r="D6974" s="46">
        <v>45680.0</v>
      </c>
      <c r="E6974" s="24">
        <v>24.2</v>
      </c>
      <c r="F6974" s="24">
        <v>56.81</v>
      </c>
      <c r="G6974" s="24">
        <v>0.23</v>
      </c>
      <c r="H6974" s="24" t="s">
        <v>6724</v>
      </c>
      <c r="I6974" s="24" t="s">
        <v>6650</v>
      </c>
      <c r="J6974" s="24">
        <v>0.0</v>
      </c>
    </row>
    <row r="6975">
      <c r="A6975" s="24">
        <v>63.0</v>
      </c>
      <c r="B6975" s="24">
        <v>0.0</v>
      </c>
      <c r="C6975" s="44">
        <v>26.03</v>
      </c>
      <c r="D6975" s="46">
        <v>45680.0</v>
      </c>
      <c r="E6975" s="24" t="s">
        <v>6650</v>
      </c>
      <c r="F6975" s="24">
        <v>413.17</v>
      </c>
      <c r="G6975" s="24">
        <v>0.0</v>
      </c>
      <c r="H6975" s="24" t="s">
        <v>6716</v>
      </c>
      <c r="I6975" s="24" t="s">
        <v>6650</v>
      </c>
      <c r="J6975" s="24">
        <v>0.0</v>
      </c>
    </row>
    <row r="6976">
      <c r="A6976" s="24">
        <v>55.0</v>
      </c>
      <c r="B6976" s="24">
        <v>1.0</v>
      </c>
      <c r="C6976" s="44">
        <v>20.54</v>
      </c>
      <c r="D6976" s="46">
        <v>45681.0</v>
      </c>
      <c r="E6976" s="24">
        <v>20.54</v>
      </c>
      <c r="F6976" s="24">
        <v>373.45</v>
      </c>
      <c r="G6976" s="24">
        <v>1.82</v>
      </c>
      <c r="H6976" s="24" t="s">
        <v>6716</v>
      </c>
      <c r="I6976" s="24" t="s">
        <v>6650</v>
      </c>
      <c r="J6976" s="24">
        <v>0.0</v>
      </c>
    </row>
    <row r="6977">
      <c r="A6977" s="24">
        <v>142.0</v>
      </c>
      <c r="B6977" s="24">
        <v>0.0</v>
      </c>
      <c r="C6977" s="44">
        <v>23.74</v>
      </c>
      <c r="D6977" s="46">
        <v>45681.0</v>
      </c>
      <c r="E6977" s="24" t="s">
        <v>6650</v>
      </c>
      <c r="F6977" s="24">
        <v>167.18</v>
      </c>
      <c r="G6977" s="24">
        <v>0.0</v>
      </c>
      <c r="H6977" s="24" t="s">
        <v>6724</v>
      </c>
      <c r="I6977" s="24" t="s">
        <v>6650</v>
      </c>
      <c r="J6977" s="24">
        <v>0.0</v>
      </c>
    </row>
    <row r="6978">
      <c r="A6978" s="24">
        <v>73.0</v>
      </c>
      <c r="B6978" s="24">
        <v>0.0</v>
      </c>
      <c r="C6978" s="44">
        <v>20.02</v>
      </c>
      <c r="D6978" s="46">
        <v>45681.0</v>
      </c>
      <c r="E6978" s="24" t="s">
        <v>6650</v>
      </c>
      <c r="F6978" s="24">
        <v>274.25</v>
      </c>
      <c r="G6978" s="24">
        <v>0.0</v>
      </c>
      <c r="H6978" s="24" t="s">
        <v>6720</v>
      </c>
      <c r="I6978" s="24" t="s">
        <v>6650</v>
      </c>
      <c r="J6978" s="24">
        <v>0.0</v>
      </c>
    </row>
    <row r="6979">
      <c r="A6979" s="24">
        <v>221.0</v>
      </c>
      <c r="B6979" s="24">
        <v>1.0</v>
      </c>
      <c r="C6979" s="44">
        <v>22.03</v>
      </c>
      <c r="D6979" s="46">
        <v>45681.0</v>
      </c>
      <c r="E6979" s="24">
        <v>22.03</v>
      </c>
      <c r="F6979" s="24">
        <v>99.68</v>
      </c>
      <c r="G6979" s="24">
        <v>0.45</v>
      </c>
      <c r="H6979" s="24" t="s">
        <v>6723</v>
      </c>
      <c r="I6979" s="24" t="s">
        <v>6650</v>
      </c>
      <c r="J6979" s="24">
        <v>0.0</v>
      </c>
    </row>
    <row r="6980">
      <c r="A6980" s="24">
        <v>92.0</v>
      </c>
      <c r="B6980" s="24">
        <v>0.0</v>
      </c>
      <c r="C6980" s="44">
        <v>17.0</v>
      </c>
      <c r="D6980" s="46">
        <v>45682.0</v>
      </c>
      <c r="E6980" s="24" t="s">
        <v>6650</v>
      </c>
      <c r="F6980" s="24">
        <v>184.78</v>
      </c>
      <c r="G6980" s="24">
        <v>0.0</v>
      </c>
      <c r="H6980" s="24" t="s">
        <v>6724</v>
      </c>
      <c r="I6980" s="24" t="s">
        <v>6650</v>
      </c>
      <c r="J6980" s="24">
        <v>0.0</v>
      </c>
    </row>
    <row r="6981">
      <c r="A6981" s="24">
        <v>88.0</v>
      </c>
      <c r="B6981" s="24">
        <v>1.0</v>
      </c>
      <c r="C6981" s="44">
        <v>12.72</v>
      </c>
      <c r="D6981" s="46">
        <v>45682.0</v>
      </c>
      <c r="E6981" s="24">
        <v>12.72</v>
      </c>
      <c r="F6981" s="24">
        <v>144.55</v>
      </c>
      <c r="G6981" s="24">
        <v>1.14</v>
      </c>
      <c r="H6981" s="24" t="s">
        <v>6720</v>
      </c>
      <c r="I6981" s="24" t="s">
        <v>6650</v>
      </c>
      <c r="J6981" s="24">
        <v>0.0</v>
      </c>
    </row>
    <row r="6982">
      <c r="A6982" s="24">
        <v>101.0</v>
      </c>
      <c r="B6982" s="24">
        <v>0.0</v>
      </c>
      <c r="C6982" s="44">
        <v>13.55</v>
      </c>
      <c r="D6982" s="46">
        <v>45682.0</v>
      </c>
      <c r="E6982" s="24" t="s">
        <v>6650</v>
      </c>
      <c r="F6982" s="24">
        <v>134.16</v>
      </c>
      <c r="G6982" s="24">
        <v>0.0</v>
      </c>
      <c r="H6982" s="24" t="s">
        <v>6723</v>
      </c>
      <c r="I6982" s="24" t="s">
        <v>6650</v>
      </c>
      <c r="J6982" s="24">
        <v>0.0</v>
      </c>
    </row>
    <row r="6983">
      <c r="A6983" s="24">
        <v>27.0</v>
      </c>
      <c r="B6983" s="24">
        <v>0.0</v>
      </c>
      <c r="C6983" s="44">
        <v>13.22</v>
      </c>
      <c r="D6983" s="46">
        <v>45682.0</v>
      </c>
      <c r="E6983" s="24" t="s">
        <v>6650</v>
      </c>
      <c r="F6983" s="24">
        <v>489.63</v>
      </c>
      <c r="G6983" s="24">
        <v>0.0</v>
      </c>
      <c r="H6983" s="24" t="s">
        <v>6716</v>
      </c>
      <c r="I6983" s="24" t="s">
        <v>6650</v>
      </c>
      <c r="J6983" s="24">
        <v>0.0</v>
      </c>
    </row>
    <row r="6984">
      <c r="A6984" s="24">
        <v>25.0</v>
      </c>
      <c r="B6984" s="24">
        <v>0.0</v>
      </c>
      <c r="C6984" s="44">
        <v>9.91</v>
      </c>
      <c r="D6984" s="46">
        <v>45683.0</v>
      </c>
      <c r="E6984" s="24" t="s">
        <v>6650</v>
      </c>
      <c r="F6984" s="24">
        <v>396.4</v>
      </c>
      <c r="G6984" s="24">
        <v>0.0</v>
      </c>
      <c r="H6984" s="24" t="s">
        <v>6716</v>
      </c>
      <c r="I6984" s="24" t="s">
        <v>6650</v>
      </c>
      <c r="J6984" s="24">
        <v>0.0</v>
      </c>
    </row>
    <row r="6985">
      <c r="A6985" s="24">
        <v>38.0</v>
      </c>
      <c r="B6985" s="24">
        <v>0.0</v>
      </c>
      <c r="C6985" s="44">
        <v>8.2</v>
      </c>
      <c r="D6985" s="46">
        <v>45683.0</v>
      </c>
      <c r="E6985" s="24" t="s">
        <v>6650</v>
      </c>
      <c r="F6985" s="24">
        <v>215.79</v>
      </c>
      <c r="G6985" s="24">
        <v>0.0</v>
      </c>
      <c r="H6985" s="24" t="s">
        <v>6720</v>
      </c>
      <c r="I6985" s="24" t="s">
        <v>6650</v>
      </c>
      <c r="J6985" s="24">
        <v>0.0</v>
      </c>
    </row>
    <row r="6986">
      <c r="A6986" s="24">
        <v>85.0</v>
      </c>
      <c r="B6986" s="24">
        <v>1.0</v>
      </c>
      <c r="C6986" s="44">
        <v>9.37</v>
      </c>
      <c r="D6986" s="46">
        <v>45683.0</v>
      </c>
      <c r="E6986" s="24">
        <v>9.37</v>
      </c>
      <c r="F6986" s="24">
        <v>110.24</v>
      </c>
      <c r="G6986" s="24">
        <v>1.18</v>
      </c>
      <c r="H6986" s="24" t="s">
        <v>6723</v>
      </c>
      <c r="I6986" s="24" t="s">
        <v>6650</v>
      </c>
      <c r="J6986" s="24">
        <v>0.0</v>
      </c>
    </row>
    <row r="6987">
      <c r="A6987" s="24">
        <v>46.0</v>
      </c>
      <c r="B6987" s="24">
        <v>0.0</v>
      </c>
      <c r="C6987" s="44">
        <v>13.06</v>
      </c>
      <c r="D6987" s="46">
        <v>45683.0</v>
      </c>
      <c r="E6987" s="24" t="s">
        <v>6650</v>
      </c>
      <c r="F6987" s="24">
        <v>283.91</v>
      </c>
      <c r="G6987" s="24">
        <v>0.0</v>
      </c>
      <c r="H6987" s="24" t="s">
        <v>6724</v>
      </c>
      <c r="I6987" s="24" t="s">
        <v>6650</v>
      </c>
      <c r="J6987" s="24">
        <v>0.0</v>
      </c>
    </row>
    <row r="6988">
      <c r="A6988" s="24">
        <v>53.0</v>
      </c>
      <c r="B6988" s="24">
        <v>1.0</v>
      </c>
      <c r="C6988" s="44">
        <v>21.91</v>
      </c>
      <c r="D6988" s="46">
        <v>45684.0</v>
      </c>
      <c r="E6988" s="24">
        <v>21.91</v>
      </c>
      <c r="F6988" s="24">
        <v>413.4</v>
      </c>
      <c r="G6988" s="24">
        <v>1.89</v>
      </c>
      <c r="H6988" s="24" t="s">
        <v>6724</v>
      </c>
      <c r="I6988" s="24" t="s">
        <v>6650</v>
      </c>
      <c r="J6988" s="24">
        <v>0.0</v>
      </c>
    </row>
    <row r="6989">
      <c r="A6989" s="24">
        <v>151.0</v>
      </c>
      <c r="B6989" s="24">
        <v>1.0</v>
      </c>
      <c r="C6989" s="44">
        <v>19.29</v>
      </c>
      <c r="D6989" s="46">
        <v>45684.0</v>
      </c>
      <c r="E6989" s="24">
        <v>19.29</v>
      </c>
      <c r="F6989" s="24">
        <v>127.75</v>
      </c>
      <c r="G6989" s="24">
        <v>0.66</v>
      </c>
      <c r="H6989" s="24" t="s">
        <v>6723</v>
      </c>
      <c r="I6989" s="24" t="s">
        <v>6650</v>
      </c>
      <c r="J6989" s="24">
        <v>0.0</v>
      </c>
    </row>
    <row r="6990">
      <c r="A6990" s="24">
        <v>46.0</v>
      </c>
      <c r="B6990" s="24">
        <v>0.0</v>
      </c>
      <c r="C6990" s="44">
        <v>18.36</v>
      </c>
      <c r="D6990" s="46">
        <v>45684.0</v>
      </c>
      <c r="E6990" s="24" t="s">
        <v>6650</v>
      </c>
      <c r="F6990" s="24">
        <v>399.13</v>
      </c>
      <c r="G6990" s="24">
        <v>0.0</v>
      </c>
      <c r="H6990" s="24" t="s">
        <v>6720</v>
      </c>
      <c r="I6990" s="24" t="s">
        <v>6650</v>
      </c>
      <c r="J6990" s="24">
        <v>0.0</v>
      </c>
    </row>
    <row r="6991">
      <c r="A6991" s="24">
        <v>42.0</v>
      </c>
      <c r="B6991" s="24">
        <v>0.0</v>
      </c>
      <c r="C6991" s="44">
        <v>23.42</v>
      </c>
      <c r="D6991" s="46">
        <v>45684.0</v>
      </c>
      <c r="E6991" s="24" t="s">
        <v>6650</v>
      </c>
      <c r="F6991" s="24">
        <v>557.62</v>
      </c>
      <c r="G6991" s="24">
        <v>0.0</v>
      </c>
      <c r="H6991" s="24" t="s">
        <v>6716</v>
      </c>
      <c r="I6991" s="24" t="s">
        <v>6650</v>
      </c>
      <c r="J6991" s="24">
        <v>0.0</v>
      </c>
    </row>
    <row r="6992">
      <c r="A6992" s="24">
        <v>42.0</v>
      </c>
      <c r="B6992" s="24">
        <v>0.0</v>
      </c>
      <c r="C6992" s="44">
        <v>14.18</v>
      </c>
      <c r="D6992" s="46">
        <v>45685.0</v>
      </c>
      <c r="E6992" s="24" t="s">
        <v>6650</v>
      </c>
      <c r="F6992" s="24">
        <v>337.62</v>
      </c>
      <c r="G6992" s="24">
        <v>0.0</v>
      </c>
      <c r="H6992" s="24" t="s">
        <v>6716</v>
      </c>
      <c r="I6992" s="24" t="s">
        <v>6650</v>
      </c>
      <c r="J6992" s="24">
        <v>0.0</v>
      </c>
    </row>
    <row r="6993">
      <c r="A6993" s="24">
        <v>96.0</v>
      </c>
      <c r="B6993" s="24">
        <v>0.0</v>
      </c>
      <c r="C6993" s="44">
        <v>25.48</v>
      </c>
      <c r="D6993" s="46">
        <v>45685.0</v>
      </c>
      <c r="E6993" s="24" t="s">
        <v>6650</v>
      </c>
      <c r="F6993" s="24">
        <v>265.42</v>
      </c>
      <c r="G6993" s="24">
        <v>0.0</v>
      </c>
      <c r="H6993" s="24" t="s">
        <v>6724</v>
      </c>
      <c r="I6993" s="24" t="s">
        <v>6650</v>
      </c>
      <c r="J6993" s="24">
        <v>0.0</v>
      </c>
    </row>
    <row r="6994">
      <c r="A6994" s="24">
        <v>393.0</v>
      </c>
      <c r="B6994" s="24">
        <v>1.0</v>
      </c>
      <c r="C6994" s="44">
        <v>21.03</v>
      </c>
      <c r="D6994" s="46">
        <v>45685.0</v>
      </c>
      <c r="E6994" s="24">
        <v>21.03</v>
      </c>
      <c r="F6994" s="24">
        <v>53.51</v>
      </c>
      <c r="G6994" s="24">
        <v>0.25</v>
      </c>
      <c r="H6994" s="24" t="s">
        <v>6723</v>
      </c>
      <c r="I6994" s="24" t="s">
        <v>6650</v>
      </c>
      <c r="J6994" s="24">
        <v>0.0</v>
      </c>
    </row>
    <row r="6995">
      <c r="A6995" s="24">
        <v>131.0</v>
      </c>
      <c r="B6995" s="24">
        <v>0.0</v>
      </c>
      <c r="C6995" s="44">
        <v>22.08</v>
      </c>
      <c r="D6995" s="46">
        <v>45685.0</v>
      </c>
      <c r="E6995" s="24" t="s">
        <v>6650</v>
      </c>
      <c r="F6995" s="24">
        <v>168.55</v>
      </c>
      <c r="G6995" s="24">
        <v>0.0</v>
      </c>
      <c r="H6995" s="24" t="s">
        <v>6720</v>
      </c>
      <c r="I6995" s="24" t="s">
        <v>6650</v>
      </c>
      <c r="J6995" s="24">
        <v>0.0</v>
      </c>
    </row>
    <row r="6996">
      <c r="A6996" s="24">
        <v>104.0</v>
      </c>
      <c r="B6996" s="24">
        <v>1.0</v>
      </c>
      <c r="C6996" s="44">
        <v>23.03</v>
      </c>
      <c r="D6996" s="46">
        <v>45686.0</v>
      </c>
      <c r="E6996" s="24">
        <v>23.03</v>
      </c>
      <c r="F6996" s="24">
        <v>221.44</v>
      </c>
      <c r="G6996" s="24">
        <v>0.96</v>
      </c>
      <c r="H6996" s="24" t="s">
        <v>6724</v>
      </c>
      <c r="I6996" s="24" t="s">
        <v>6650</v>
      </c>
      <c r="J6996" s="24">
        <v>0.0</v>
      </c>
    </row>
    <row r="6997">
      <c r="A6997" s="24">
        <v>589.0</v>
      </c>
      <c r="B6997" s="24">
        <v>0.0</v>
      </c>
      <c r="C6997" s="44">
        <v>21.43</v>
      </c>
      <c r="D6997" s="46">
        <v>45686.0</v>
      </c>
      <c r="E6997" s="24" t="s">
        <v>6650</v>
      </c>
      <c r="F6997" s="24">
        <v>36.38</v>
      </c>
      <c r="G6997" s="24">
        <v>0.0</v>
      </c>
      <c r="H6997" s="24" t="s">
        <v>6723</v>
      </c>
      <c r="I6997" s="24" t="s">
        <v>6650</v>
      </c>
      <c r="J6997" s="24">
        <v>0.0</v>
      </c>
    </row>
    <row r="6998">
      <c r="A6998" s="24">
        <v>138.0</v>
      </c>
      <c r="B6998" s="24">
        <v>0.0</v>
      </c>
      <c r="C6998" s="44">
        <v>23.57</v>
      </c>
      <c r="D6998" s="46">
        <v>45686.0</v>
      </c>
      <c r="E6998" s="24" t="s">
        <v>6650</v>
      </c>
      <c r="F6998" s="24">
        <v>170.8</v>
      </c>
      <c r="G6998" s="24">
        <v>0.0</v>
      </c>
      <c r="H6998" s="24" t="s">
        <v>6720</v>
      </c>
      <c r="I6998" s="24" t="s">
        <v>6650</v>
      </c>
      <c r="J6998" s="24">
        <v>0.0</v>
      </c>
    </row>
    <row r="6999">
      <c r="A6999" s="24">
        <v>0.0</v>
      </c>
      <c r="B6999" s="24">
        <v>0.0</v>
      </c>
      <c r="C6999" s="44"/>
      <c r="D6999" s="46">
        <v>45686.0</v>
      </c>
      <c r="E6999" s="24" t="s">
        <v>6650</v>
      </c>
      <c r="F6999" s="24" t="s">
        <v>6650</v>
      </c>
      <c r="G6999" s="24" t="s">
        <v>6650</v>
      </c>
      <c r="H6999" s="24" t="s">
        <v>6716</v>
      </c>
      <c r="I6999" s="24" t="s">
        <v>6650</v>
      </c>
      <c r="J6999" s="24"/>
    </row>
    <row r="7000">
      <c r="A7000" s="24">
        <v>336.0</v>
      </c>
      <c r="B7000" s="24">
        <v>1.0</v>
      </c>
      <c r="C7000" s="44">
        <v>20.91</v>
      </c>
      <c r="D7000" s="46">
        <v>45687.0</v>
      </c>
      <c r="E7000" s="24">
        <v>20.91</v>
      </c>
      <c r="F7000" s="24">
        <v>62.23</v>
      </c>
      <c r="G7000" s="24">
        <v>0.3</v>
      </c>
      <c r="H7000" s="24" t="s">
        <v>6723</v>
      </c>
      <c r="I7000" s="24" t="s">
        <v>6650</v>
      </c>
      <c r="J7000" s="24">
        <v>0.0</v>
      </c>
    </row>
    <row r="7001">
      <c r="A7001" s="24">
        <v>120.0</v>
      </c>
      <c r="B7001" s="24">
        <v>2.0</v>
      </c>
      <c r="C7001" s="44">
        <v>21.87</v>
      </c>
      <c r="D7001" s="46">
        <v>45687.0</v>
      </c>
      <c r="E7001" s="24">
        <v>10.94</v>
      </c>
      <c r="F7001" s="24">
        <v>182.25</v>
      </c>
      <c r="G7001" s="24">
        <v>1.67</v>
      </c>
      <c r="H7001" s="24" t="s">
        <v>6720</v>
      </c>
      <c r="I7001" s="24" t="s">
        <v>6650</v>
      </c>
      <c r="J7001" s="24">
        <v>0.0</v>
      </c>
    </row>
    <row r="7002">
      <c r="A7002" s="24">
        <v>110.0</v>
      </c>
      <c r="B7002" s="24">
        <v>1.0</v>
      </c>
      <c r="C7002" s="44">
        <v>22.7</v>
      </c>
      <c r="D7002" s="46">
        <v>45687.0</v>
      </c>
      <c r="E7002" s="24">
        <v>22.7</v>
      </c>
      <c r="F7002" s="24">
        <v>206.36</v>
      </c>
      <c r="G7002" s="24">
        <v>0.91</v>
      </c>
      <c r="H7002" s="24" t="s">
        <v>6724</v>
      </c>
      <c r="I7002" s="24" t="s">
        <v>6650</v>
      </c>
      <c r="J7002" s="24">
        <v>0.0</v>
      </c>
    </row>
    <row r="7003">
      <c r="A7003" s="24">
        <v>189.0</v>
      </c>
      <c r="B7003" s="24">
        <v>1.0</v>
      </c>
      <c r="C7003" s="44">
        <v>18.69</v>
      </c>
      <c r="D7003" s="46">
        <v>45688.0</v>
      </c>
      <c r="E7003" s="24">
        <v>18.69</v>
      </c>
      <c r="F7003" s="24">
        <v>98.89</v>
      </c>
      <c r="G7003" s="24">
        <v>0.53</v>
      </c>
      <c r="H7003" s="24" t="s">
        <v>6723</v>
      </c>
      <c r="I7003" s="24" t="s">
        <v>6650</v>
      </c>
      <c r="J7003" s="24">
        <v>0.0</v>
      </c>
    </row>
    <row r="7004">
      <c r="A7004" s="24">
        <v>92.0</v>
      </c>
      <c r="B7004" s="24">
        <v>0.0</v>
      </c>
      <c r="C7004" s="44">
        <v>21.04</v>
      </c>
      <c r="D7004" s="46">
        <v>45688.0</v>
      </c>
      <c r="E7004" s="24" t="s">
        <v>6650</v>
      </c>
      <c r="F7004" s="24">
        <v>228.7</v>
      </c>
      <c r="G7004" s="24">
        <v>0.0</v>
      </c>
      <c r="H7004" s="24" t="s">
        <v>6724</v>
      </c>
      <c r="I7004" s="24" t="s">
        <v>6650</v>
      </c>
      <c r="J7004" s="24">
        <v>0.0</v>
      </c>
    </row>
    <row r="7005">
      <c r="A7005" s="24">
        <v>118.0</v>
      </c>
      <c r="B7005" s="24">
        <v>0.0</v>
      </c>
      <c r="C7005" s="44">
        <v>22.41</v>
      </c>
      <c r="D7005" s="46">
        <v>45688.0</v>
      </c>
      <c r="E7005" s="24" t="s">
        <v>6650</v>
      </c>
      <c r="F7005" s="24">
        <v>189.92</v>
      </c>
      <c r="G7005" s="24">
        <v>0.0</v>
      </c>
      <c r="H7005" s="24" t="s">
        <v>6720</v>
      </c>
      <c r="I7005" s="24" t="s">
        <v>6650</v>
      </c>
      <c r="J7005" s="24">
        <v>0.0</v>
      </c>
    </row>
    <row r="7006">
      <c r="A7006" s="24">
        <v>73.0</v>
      </c>
      <c r="B7006" s="24">
        <v>0.0</v>
      </c>
      <c r="C7006" s="44">
        <v>11.63</v>
      </c>
      <c r="D7006" s="46">
        <v>45689.0</v>
      </c>
      <c r="E7006" s="24" t="s">
        <v>6650</v>
      </c>
      <c r="F7006" s="24">
        <v>159.32</v>
      </c>
      <c r="G7006" s="24">
        <v>0.0</v>
      </c>
      <c r="H7006" s="24" t="s">
        <v>6720</v>
      </c>
      <c r="I7006" s="24" t="s">
        <v>6650</v>
      </c>
      <c r="J7006" s="24">
        <v>0.0</v>
      </c>
    </row>
    <row r="7007">
      <c r="A7007" s="24">
        <v>63.0</v>
      </c>
      <c r="B7007" s="24">
        <v>1.0</v>
      </c>
      <c r="C7007" s="44">
        <v>12.39</v>
      </c>
      <c r="D7007" s="46">
        <v>45689.0</v>
      </c>
      <c r="E7007" s="24">
        <v>12.39</v>
      </c>
      <c r="F7007" s="24">
        <v>196.67</v>
      </c>
      <c r="G7007" s="24">
        <v>1.59</v>
      </c>
      <c r="H7007" s="24" t="s">
        <v>6724</v>
      </c>
      <c r="I7007" s="24" t="s">
        <v>6650</v>
      </c>
      <c r="J7007" s="24">
        <v>0.0</v>
      </c>
    </row>
    <row r="7008">
      <c r="A7008" s="24">
        <v>178.0</v>
      </c>
      <c r="B7008" s="24">
        <v>0.0</v>
      </c>
      <c r="C7008" s="44">
        <v>14.42</v>
      </c>
      <c r="D7008" s="46">
        <v>45689.0</v>
      </c>
      <c r="E7008" s="24" t="s">
        <v>6650</v>
      </c>
      <c r="F7008" s="24">
        <v>81.01</v>
      </c>
      <c r="G7008" s="24">
        <v>0.0</v>
      </c>
      <c r="H7008" s="24" t="s">
        <v>6723</v>
      </c>
      <c r="I7008" s="24" t="s">
        <v>6650</v>
      </c>
      <c r="J7008" s="24">
        <v>0.0</v>
      </c>
    </row>
    <row r="7009">
      <c r="A7009" s="24">
        <v>39.0</v>
      </c>
      <c r="B7009" s="24">
        <v>0.0</v>
      </c>
      <c r="C7009" s="44">
        <v>6.08</v>
      </c>
      <c r="D7009" s="46">
        <v>45690.0</v>
      </c>
      <c r="E7009" s="24" t="s">
        <v>6650</v>
      </c>
      <c r="F7009" s="24">
        <v>155.9</v>
      </c>
      <c r="G7009" s="24">
        <v>0.0</v>
      </c>
      <c r="H7009" s="24" t="s">
        <v>6720</v>
      </c>
      <c r="I7009" s="24" t="s">
        <v>6650</v>
      </c>
      <c r="J7009" s="24">
        <v>0.0</v>
      </c>
    </row>
    <row r="7010">
      <c r="A7010" s="24">
        <v>107.0</v>
      </c>
      <c r="B7010" s="24">
        <v>0.0</v>
      </c>
      <c r="C7010" s="44">
        <v>10.23</v>
      </c>
      <c r="D7010" s="46">
        <v>45690.0</v>
      </c>
      <c r="E7010" s="24" t="s">
        <v>6650</v>
      </c>
      <c r="F7010" s="24">
        <v>95.61</v>
      </c>
      <c r="G7010" s="24">
        <v>0.0</v>
      </c>
      <c r="H7010" s="24" t="s">
        <v>6723</v>
      </c>
      <c r="I7010" s="24" t="s">
        <v>6650</v>
      </c>
      <c r="J7010" s="24">
        <v>0.0</v>
      </c>
    </row>
    <row r="7011">
      <c r="A7011" s="24">
        <v>56.0</v>
      </c>
      <c r="B7011" s="24">
        <v>0.0</v>
      </c>
      <c r="C7011" s="44">
        <v>9.95</v>
      </c>
      <c r="D7011" s="46">
        <v>45690.0</v>
      </c>
      <c r="E7011" s="24" t="s">
        <v>6650</v>
      </c>
      <c r="F7011" s="24">
        <v>177.68</v>
      </c>
      <c r="G7011" s="24">
        <v>0.0</v>
      </c>
      <c r="H7011" s="24" t="s">
        <v>6724</v>
      </c>
      <c r="I7011" s="24" t="s">
        <v>6650</v>
      </c>
      <c r="J7011" s="24">
        <v>0.0</v>
      </c>
    </row>
    <row r="7012">
      <c r="A7012" s="24">
        <v>164.0</v>
      </c>
      <c r="B7012" s="24">
        <v>1.0</v>
      </c>
      <c r="C7012" s="44">
        <v>19.79</v>
      </c>
      <c r="D7012" s="46">
        <v>45691.0</v>
      </c>
      <c r="E7012" s="24">
        <v>19.79</v>
      </c>
      <c r="F7012" s="24">
        <v>120.67</v>
      </c>
      <c r="G7012" s="24">
        <v>0.61</v>
      </c>
      <c r="H7012" s="24" t="s">
        <v>6720</v>
      </c>
      <c r="I7012" s="24" t="s">
        <v>6650</v>
      </c>
      <c r="J7012" s="24">
        <v>0.0</v>
      </c>
    </row>
    <row r="7013">
      <c r="A7013" s="24">
        <v>333.0</v>
      </c>
      <c r="B7013" s="24">
        <v>1.0</v>
      </c>
      <c r="C7013" s="44">
        <v>18.74</v>
      </c>
      <c r="D7013" s="46">
        <v>45691.0</v>
      </c>
      <c r="E7013" s="24">
        <v>18.74</v>
      </c>
      <c r="F7013" s="24">
        <v>56.28</v>
      </c>
      <c r="G7013" s="24">
        <v>0.3</v>
      </c>
      <c r="H7013" s="24" t="s">
        <v>6723</v>
      </c>
      <c r="I7013" s="24" t="s">
        <v>6650</v>
      </c>
      <c r="J7013" s="24">
        <v>0.0</v>
      </c>
    </row>
    <row r="7014">
      <c r="A7014" s="24">
        <v>98.0</v>
      </c>
      <c r="B7014" s="24">
        <v>0.0</v>
      </c>
      <c r="C7014" s="44">
        <v>21.73</v>
      </c>
      <c r="D7014" s="46">
        <v>45691.0</v>
      </c>
      <c r="E7014" s="24" t="s">
        <v>6650</v>
      </c>
      <c r="F7014" s="24">
        <v>221.73</v>
      </c>
      <c r="G7014" s="24">
        <v>0.0</v>
      </c>
      <c r="H7014" s="24" t="s">
        <v>6724</v>
      </c>
      <c r="I7014" s="24" t="s">
        <v>6650</v>
      </c>
      <c r="J7014" s="24">
        <v>0.0</v>
      </c>
    </row>
    <row r="7015">
      <c r="A7015" s="24">
        <v>130.0</v>
      </c>
      <c r="B7015" s="24">
        <v>1.0</v>
      </c>
      <c r="C7015" s="44">
        <v>21.72</v>
      </c>
      <c r="D7015" s="46">
        <v>45692.0</v>
      </c>
      <c r="E7015" s="24">
        <v>21.72</v>
      </c>
      <c r="F7015" s="24">
        <v>167.08</v>
      </c>
      <c r="G7015" s="24">
        <v>0.77</v>
      </c>
      <c r="H7015" s="24" t="s">
        <v>6724</v>
      </c>
      <c r="I7015" s="24" t="s">
        <v>6650</v>
      </c>
      <c r="J7015" s="24">
        <v>0.0</v>
      </c>
    </row>
    <row r="7016">
      <c r="A7016" s="24">
        <v>274.0</v>
      </c>
      <c r="B7016" s="24">
        <v>1.0</v>
      </c>
      <c r="C7016" s="44">
        <v>22.88</v>
      </c>
      <c r="D7016" s="46">
        <v>45692.0</v>
      </c>
      <c r="E7016" s="24">
        <v>22.88</v>
      </c>
      <c r="F7016" s="24">
        <v>83.5</v>
      </c>
      <c r="G7016" s="24">
        <v>0.36</v>
      </c>
      <c r="H7016" s="24" t="s">
        <v>6723</v>
      </c>
      <c r="I7016" s="24" t="s">
        <v>6650</v>
      </c>
      <c r="J7016" s="24">
        <v>0.0</v>
      </c>
    </row>
    <row r="7017">
      <c r="A7017" s="24">
        <v>340.0</v>
      </c>
      <c r="B7017" s="24">
        <v>1.0</v>
      </c>
      <c r="C7017" s="44">
        <v>19.68</v>
      </c>
      <c r="D7017" s="46">
        <v>45692.0</v>
      </c>
      <c r="E7017" s="24">
        <v>19.68</v>
      </c>
      <c r="F7017" s="24">
        <v>57.88</v>
      </c>
      <c r="G7017" s="24">
        <v>0.29</v>
      </c>
      <c r="H7017" s="24" t="s">
        <v>6720</v>
      </c>
      <c r="I7017" s="24" t="s">
        <v>6650</v>
      </c>
      <c r="J7017" s="24">
        <v>0.0</v>
      </c>
    </row>
    <row r="7018">
      <c r="A7018" s="24">
        <v>219.0</v>
      </c>
      <c r="B7018" s="24">
        <v>2.0</v>
      </c>
      <c r="C7018" s="44">
        <v>22.44</v>
      </c>
      <c r="D7018" s="46">
        <v>45693.0</v>
      </c>
      <c r="E7018" s="24">
        <v>11.22</v>
      </c>
      <c r="F7018" s="24">
        <v>102.47</v>
      </c>
      <c r="G7018" s="24">
        <v>0.91</v>
      </c>
      <c r="H7018" s="24" t="s">
        <v>6723</v>
      </c>
      <c r="I7018" s="24" t="s">
        <v>6650</v>
      </c>
      <c r="J7018" s="24">
        <v>0.0</v>
      </c>
    </row>
    <row r="7019">
      <c r="A7019" s="24">
        <v>141.0</v>
      </c>
      <c r="B7019" s="24">
        <v>1.0</v>
      </c>
      <c r="C7019" s="44">
        <v>24.22</v>
      </c>
      <c r="D7019" s="46">
        <v>45693.0</v>
      </c>
      <c r="E7019" s="24">
        <v>24.22</v>
      </c>
      <c r="F7019" s="24">
        <v>171.77</v>
      </c>
      <c r="G7019" s="24">
        <v>0.71</v>
      </c>
      <c r="H7019" s="24" t="s">
        <v>6724</v>
      </c>
      <c r="I7019" s="24" t="s">
        <v>6650</v>
      </c>
      <c r="J7019" s="24">
        <v>0.0</v>
      </c>
    </row>
    <row r="7020">
      <c r="A7020" s="24">
        <v>136.0</v>
      </c>
      <c r="B7020" s="24">
        <v>0.0</v>
      </c>
      <c r="C7020" s="44">
        <v>22.79</v>
      </c>
      <c r="D7020" s="46">
        <v>45693.0</v>
      </c>
      <c r="E7020" s="24" t="s">
        <v>6650</v>
      </c>
      <c r="F7020" s="24">
        <v>167.57</v>
      </c>
      <c r="G7020" s="24">
        <v>0.0</v>
      </c>
      <c r="H7020" s="24" t="s">
        <v>6720</v>
      </c>
      <c r="I7020" s="24" t="s">
        <v>6650</v>
      </c>
      <c r="J7020" s="24">
        <v>0.0</v>
      </c>
    </row>
    <row r="7021">
      <c r="A7021" s="24">
        <v>145.0</v>
      </c>
      <c r="B7021" s="24">
        <v>1.0</v>
      </c>
      <c r="C7021" s="44">
        <v>21.55</v>
      </c>
      <c r="D7021" s="46">
        <v>45694.0</v>
      </c>
      <c r="E7021" s="24">
        <v>21.55</v>
      </c>
      <c r="F7021" s="24">
        <v>148.62</v>
      </c>
      <c r="G7021" s="24">
        <v>0.69</v>
      </c>
      <c r="H7021" s="24" t="s">
        <v>6724</v>
      </c>
      <c r="I7021" s="24" t="s">
        <v>6650</v>
      </c>
      <c r="J7021" s="24">
        <v>0.0</v>
      </c>
    </row>
    <row r="7022">
      <c r="A7022" s="24">
        <v>184.0</v>
      </c>
      <c r="B7022" s="24">
        <v>1.0</v>
      </c>
      <c r="C7022" s="44">
        <v>21.35</v>
      </c>
      <c r="D7022" s="46">
        <v>45694.0</v>
      </c>
      <c r="E7022" s="24">
        <v>21.35</v>
      </c>
      <c r="F7022" s="24">
        <v>116.03</v>
      </c>
      <c r="G7022" s="24">
        <v>0.54</v>
      </c>
      <c r="H7022" s="24" t="s">
        <v>6720</v>
      </c>
      <c r="I7022" s="24" t="s">
        <v>6650</v>
      </c>
      <c r="J7022" s="24">
        <v>0.0</v>
      </c>
    </row>
    <row r="7023">
      <c r="A7023" s="24">
        <v>239.0</v>
      </c>
      <c r="B7023" s="24">
        <v>0.0</v>
      </c>
      <c r="C7023" s="44">
        <v>21.51</v>
      </c>
      <c r="D7023" s="46">
        <v>45694.0</v>
      </c>
      <c r="E7023" s="24" t="s">
        <v>6650</v>
      </c>
      <c r="F7023" s="24">
        <v>90.0</v>
      </c>
      <c r="G7023" s="24">
        <v>0.0</v>
      </c>
      <c r="H7023" s="24" t="s">
        <v>6723</v>
      </c>
      <c r="I7023" s="24" t="s">
        <v>6650</v>
      </c>
      <c r="J7023" s="24">
        <v>0.0</v>
      </c>
    </row>
    <row r="7024">
      <c r="A7024" s="24">
        <v>159.0</v>
      </c>
      <c r="B7024" s="24">
        <v>0.0</v>
      </c>
      <c r="C7024" s="44">
        <v>21.1</v>
      </c>
      <c r="D7024" s="46">
        <v>45695.0</v>
      </c>
      <c r="E7024" s="24" t="s">
        <v>6650</v>
      </c>
      <c r="F7024" s="24">
        <v>132.7</v>
      </c>
      <c r="G7024" s="24">
        <v>0.0</v>
      </c>
      <c r="H7024" s="24" t="s">
        <v>6724</v>
      </c>
      <c r="I7024" s="24" t="s">
        <v>6650</v>
      </c>
      <c r="J7024" s="24">
        <v>0.0</v>
      </c>
    </row>
    <row r="7025">
      <c r="A7025" s="24">
        <v>214.0</v>
      </c>
      <c r="B7025" s="24">
        <v>6.0</v>
      </c>
      <c r="C7025" s="44">
        <v>19.5</v>
      </c>
      <c r="D7025" s="46">
        <v>45695.0</v>
      </c>
      <c r="E7025" s="24">
        <v>3.25</v>
      </c>
      <c r="F7025" s="24">
        <v>91.12</v>
      </c>
      <c r="G7025" s="24">
        <v>2.8</v>
      </c>
      <c r="H7025" s="24" t="s">
        <v>6723</v>
      </c>
      <c r="I7025" s="24" t="s">
        <v>6650</v>
      </c>
      <c r="J7025" s="24">
        <v>0.0</v>
      </c>
    </row>
    <row r="7026">
      <c r="A7026" s="24">
        <v>106.0</v>
      </c>
      <c r="B7026" s="24">
        <v>1.0</v>
      </c>
      <c r="C7026" s="44">
        <v>21.46</v>
      </c>
      <c r="D7026" s="46">
        <v>45695.0</v>
      </c>
      <c r="E7026" s="24">
        <v>21.46</v>
      </c>
      <c r="F7026" s="24">
        <v>202.45</v>
      </c>
      <c r="G7026" s="24">
        <v>0.94</v>
      </c>
      <c r="H7026" s="24" t="s">
        <v>6720</v>
      </c>
      <c r="I7026" s="24" t="s">
        <v>6650</v>
      </c>
      <c r="J7026" s="24">
        <v>0.0</v>
      </c>
    </row>
    <row r="7027">
      <c r="A7027" s="24">
        <v>128.0</v>
      </c>
      <c r="B7027" s="24">
        <v>0.0</v>
      </c>
      <c r="C7027" s="44">
        <v>12.02</v>
      </c>
      <c r="D7027" s="46">
        <v>45696.0</v>
      </c>
      <c r="E7027" s="24" t="s">
        <v>6650</v>
      </c>
      <c r="F7027" s="24">
        <v>93.91</v>
      </c>
      <c r="G7027" s="24">
        <v>0.0</v>
      </c>
      <c r="H7027" s="24" t="s">
        <v>6723</v>
      </c>
      <c r="I7027" s="24" t="s">
        <v>6650</v>
      </c>
      <c r="J7027" s="24">
        <v>0.0</v>
      </c>
    </row>
    <row r="7028">
      <c r="A7028" s="24">
        <v>84.0</v>
      </c>
      <c r="B7028" s="24">
        <v>0.0</v>
      </c>
      <c r="C7028" s="44">
        <v>15.14</v>
      </c>
      <c r="D7028" s="46">
        <v>45696.0</v>
      </c>
      <c r="E7028" s="24" t="s">
        <v>6650</v>
      </c>
      <c r="F7028" s="24">
        <v>180.24</v>
      </c>
      <c r="G7028" s="24">
        <v>0.0</v>
      </c>
      <c r="H7028" s="24" t="s">
        <v>6724</v>
      </c>
      <c r="I7028" s="24" t="s">
        <v>6650</v>
      </c>
      <c r="J7028" s="24">
        <v>0.0</v>
      </c>
    </row>
    <row r="7029">
      <c r="A7029" s="24">
        <v>102.0</v>
      </c>
      <c r="B7029" s="24">
        <v>0.0</v>
      </c>
      <c r="C7029" s="44">
        <v>12.04</v>
      </c>
      <c r="D7029" s="46">
        <v>45696.0</v>
      </c>
      <c r="E7029" s="24" t="s">
        <v>6650</v>
      </c>
      <c r="F7029" s="24">
        <v>118.04</v>
      </c>
      <c r="G7029" s="24">
        <v>0.0</v>
      </c>
      <c r="H7029" s="24" t="s">
        <v>6720</v>
      </c>
      <c r="I7029" s="24" t="s">
        <v>6650</v>
      </c>
      <c r="J7029" s="24">
        <v>0.0</v>
      </c>
    </row>
    <row r="7030">
      <c r="A7030" s="24">
        <v>47.0</v>
      </c>
      <c r="B7030" s="24">
        <v>0.0</v>
      </c>
      <c r="C7030" s="44">
        <v>8.89</v>
      </c>
      <c r="D7030" s="46">
        <v>45697.0</v>
      </c>
      <c r="E7030" s="24" t="s">
        <v>6650</v>
      </c>
      <c r="F7030" s="24">
        <v>189.15</v>
      </c>
      <c r="G7030" s="24">
        <v>0.0</v>
      </c>
      <c r="H7030" s="24" t="s">
        <v>6720</v>
      </c>
      <c r="I7030" s="24" t="s">
        <v>6650</v>
      </c>
      <c r="J7030" s="24">
        <v>0.0</v>
      </c>
    </row>
    <row r="7031">
      <c r="A7031" s="24">
        <v>102.0</v>
      </c>
      <c r="B7031" s="24">
        <v>1.0</v>
      </c>
      <c r="C7031" s="44">
        <v>8.91</v>
      </c>
      <c r="D7031" s="46">
        <v>45697.0</v>
      </c>
      <c r="E7031" s="24">
        <v>8.91</v>
      </c>
      <c r="F7031" s="24">
        <v>87.35</v>
      </c>
      <c r="G7031" s="24">
        <v>0.98</v>
      </c>
      <c r="H7031" s="24" t="s">
        <v>6723</v>
      </c>
      <c r="I7031" s="24" t="s">
        <v>6650</v>
      </c>
      <c r="J7031" s="24">
        <v>0.0</v>
      </c>
    </row>
    <row r="7032">
      <c r="A7032" s="24">
        <v>34.0</v>
      </c>
      <c r="B7032" s="24">
        <v>0.0</v>
      </c>
      <c r="C7032" s="44">
        <v>10.93</v>
      </c>
      <c r="D7032" s="46">
        <v>45697.0</v>
      </c>
      <c r="E7032" s="24" t="s">
        <v>6650</v>
      </c>
      <c r="F7032" s="24">
        <v>321.47</v>
      </c>
      <c r="G7032" s="24">
        <v>0.0</v>
      </c>
      <c r="H7032" s="24" t="s">
        <v>6724</v>
      </c>
      <c r="I7032" s="24" t="s">
        <v>6650</v>
      </c>
      <c r="J7032" s="24">
        <v>0.0</v>
      </c>
    </row>
    <row r="7033">
      <c r="A7033" s="24">
        <v>145.0</v>
      </c>
      <c r="B7033" s="24">
        <v>0.0</v>
      </c>
      <c r="C7033" s="44">
        <v>21.06</v>
      </c>
      <c r="D7033" s="46">
        <v>45698.0</v>
      </c>
      <c r="E7033" s="24" t="s">
        <v>6650</v>
      </c>
      <c r="F7033" s="24">
        <v>145.24</v>
      </c>
      <c r="G7033" s="24">
        <v>0.0</v>
      </c>
      <c r="H7033" s="24" t="s">
        <v>6724</v>
      </c>
      <c r="I7033" s="24" t="s">
        <v>6650</v>
      </c>
      <c r="J7033" s="24">
        <v>0.0</v>
      </c>
    </row>
    <row r="7034">
      <c r="A7034" s="24">
        <v>97.0</v>
      </c>
      <c r="B7034" s="24">
        <v>2.0</v>
      </c>
      <c r="C7034" s="44">
        <v>20.08</v>
      </c>
      <c r="D7034" s="46">
        <v>45698.0</v>
      </c>
      <c r="E7034" s="24">
        <v>10.04</v>
      </c>
      <c r="F7034" s="24">
        <v>207.01</v>
      </c>
      <c r="G7034" s="24">
        <v>2.06</v>
      </c>
      <c r="H7034" s="24" t="s">
        <v>6720</v>
      </c>
      <c r="I7034" s="24" t="s">
        <v>6650</v>
      </c>
      <c r="J7034" s="24">
        <v>0.0</v>
      </c>
    </row>
    <row r="7035">
      <c r="A7035" s="24">
        <v>181.0</v>
      </c>
      <c r="B7035" s="24">
        <v>0.0</v>
      </c>
      <c r="C7035" s="44">
        <v>18.45</v>
      </c>
      <c r="D7035" s="46">
        <v>45698.0</v>
      </c>
      <c r="E7035" s="24" t="s">
        <v>6650</v>
      </c>
      <c r="F7035" s="24">
        <v>101.93</v>
      </c>
      <c r="G7035" s="24">
        <v>0.0</v>
      </c>
      <c r="H7035" s="24" t="s">
        <v>6723</v>
      </c>
      <c r="I7035" s="24" t="s">
        <v>6650</v>
      </c>
      <c r="J7035" s="24">
        <v>0.0</v>
      </c>
    </row>
    <row r="7036">
      <c r="A7036" s="24">
        <v>307.0</v>
      </c>
      <c r="B7036" s="24">
        <v>1.0</v>
      </c>
      <c r="C7036" s="44">
        <v>20.38</v>
      </c>
      <c r="D7036" s="46">
        <v>45699.0</v>
      </c>
      <c r="E7036" s="24">
        <v>20.38</v>
      </c>
      <c r="F7036" s="24">
        <v>66.38</v>
      </c>
      <c r="G7036" s="24">
        <v>0.33</v>
      </c>
      <c r="H7036" s="24" t="s">
        <v>6720</v>
      </c>
      <c r="I7036" s="24" t="s">
        <v>6650</v>
      </c>
      <c r="J7036" s="24">
        <v>0.0</v>
      </c>
    </row>
    <row r="7037">
      <c r="A7037" s="24">
        <v>278.0</v>
      </c>
      <c r="B7037" s="24">
        <v>0.0</v>
      </c>
      <c r="C7037" s="44">
        <v>21.75</v>
      </c>
      <c r="D7037" s="46">
        <v>45699.0</v>
      </c>
      <c r="E7037" s="24" t="s">
        <v>6650</v>
      </c>
      <c r="F7037" s="24">
        <v>78.24</v>
      </c>
      <c r="G7037" s="24">
        <v>0.0</v>
      </c>
      <c r="H7037" s="24" t="s">
        <v>6723</v>
      </c>
      <c r="I7037" s="24" t="s">
        <v>6650</v>
      </c>
      <c r="J7037" s="24">
        <v>0.0</v>
      </c>
    </row>
    <row r="7038">
      <c r="A7038" s="24">
        <v>132.0</v>
      </c>
      <c r="B7038" s="24">
        <v>1.0</v>
      </c>
      <c r="C7038" s="44">
        <v>23.7</v>
      </c>
      <c r="D7038" s="46">
        <v>45699.0</v>
      </c>
      <c r="E7038" s="24">
        <v>23.7</v>
      </c>
      <c r="F7038" s="24">
        <v>179.55</v>
      </c>
      <c r="G7038" s="24">
        <v>0.76</v>
      </c>
      <c r="H7038" s="24" t="s">
        <v>6724</v>
      </c>
      <c r="I7038" s="24" t="s">
        <v>6650</v>
      </c>
      <c r="J7038" s="24">
        <v>0.0</v>
      </c>
    </row>
    <row r="7039">
      <c r="A7039" s="24">
        <v>205.0</v>
      </c>
      <c r="B7039" s="24">
        <v>1.0</v>
      </c>
      <c r="C7039" s="44">
        <v>36.16</v>
      </c>
      <c r="D7039" s="46">
        <v>45700.0</v>
      </c>
      <c r="E7039" s="24">
        <v>36.16</v>
      </c>
      <c r="F7039" s="24">
        <v>176.39</v>
      </c>
      <c r="G7039" s="24">
        <v>0.49</v>
      </c>
      <c r="H7039" s="24" t="s">
        <v>6725</v>
      </c>
      <c r="I7039" s="24" t="s">
        <v>6650</v>
      </c>
      <c r="J7039" s="24">
        <v>0.0</v>
      </c>
    </row>
    <row r="7040">
      <c r="A7040" s="24">
        <v>143.0</v>
      </c>
      <c r="B7040" s="24">
        <v>1.0</v>
      </c>
      <c r="C7040" s="44">
        <v>21.33</v>
      </c>
      <c r="D7040" s="46">
        <v>45700.0</v>
      </c>
      <c r="E7040" s="24">
        <v>21.33</v>
      </c>
      <c r="F7040" s="24">
        <v>149.16</v>
      </c>
      <c r="G7040" s="24">
        <v>0.7</v>
      </c>
      <c r="H7040" s="24" t="s">
        <v>6720</v>
      </c>
      <c r="I7040" s="24" t="s">
        <v>6650</v>
      </c>
      <c r="J7040" s="24">
        <v>0.0</v>
      </c>
    </row>
    <row r="7041">
      <c r="A7041" s="24">
        <v>157.0</v>
      </c>
      <c r="B7041" s="24">
        <v>0.0</v>
      </c>
      <c r="C7041" s="44">
        <v>21.73</v>
      </c>
      <c r="D7041" s="46">
        <v>45700.0</v>
      </c>
      <c r="E7041" s="24" t="s">
        <v>6650</v>
      </c>
      <c r="F7041" s="24">
        <v>138.41</v>
      </c>
      <c r="G7041" s="24">
        <v>0.0</v>
      </c>
      <c r="H7041" s="24" t="s">
        <v>6723</v>
      </c>
      <c r="I7041" s="24" t="s">
        <v>6650</v>
      </c>
      <c r="J7041" s="24">
        <v>0.0</v>
      </c>
    </row>
    <row r="7042">
      <c r="A7042" s="24">
        <v>0.0</v>
      </c>
      <c r="B7042" s="24">
        <v>0.0</v>
      </c>
      <c r="C7042" s="44">
        <v>28.76</v>
      </c>
      <c r="D7042" s="46">
        <v>45700.0</v>
      </c>
      <c r="E7042" s="24" t="s">
        <v>6650</v>
      </c>
      <c r="F7042" s="24" t="s">
        <v>6650</v>
      </c>
      <c r="G7042" s="24" t="s">
        <v>6650</v>
      </c>
      <c r="H7042" s="24" t="s">
        <v>6726</v>
      </c>
      <c r="I7042" s="24" t="s">
        <v>6650</v>
      </c>
      <c r="J7042" s="24">
        <v>0.0</v>
      </c>
    </row>
    <row r="7043">
      <c r="A7043" s="24">
        <v>139.0</v>
      </c>
      <c r="B7043" s="24">
        <v>0.0</v>
      </c>
      <c r="C7043" s="44">
        <v>23.34</v>
      </c>
      <c r="D7043" s="46">
        <v>45700.0</v>
      </c>
      <c r="E7043" s="24" t="s">
        <v>6650</v>
      </c>
      <c r="F7043" s="24">
        <v>167.91</v>
      </c>
      <c r="G7043" s="24">
        <v>0.0</v>
      </c>
      <c r="H7043" s="24" t="s">
        <v>6724</v>
      </c>
      <c r="I7043" s="24" t="s">
        <v>6650</v>
      </c>
      <c r="J7043" s="24">
        <v>0.0</v>
      </c>
    </row>
    <row r="7044">
      <c r="A7044" s="24">
        <v>131.0</v>
      </c>
      <c r="B7044" s="24">
        <v>2.0</v>
      </c>
      <c r="C7044" s="44">
        <v>37.66</v>
      </c>
      <c r="D7044" s="46">
        <v>45700.0</v>
      </c>
      <c r="E7044" s="24">
        <v>18.83</v>
      </c>
      <c r="F7044" s="24">
        <v>287.48</v>
      </c>
      <c r="G7044" s="24">
        <v>1.53</v>
      </c>
      <c r="H7044" s="24" t="s">
        <v>6727</v>
      </c>
      <c r="I7044" s="24" t="s">
        <v>6650</v>
      </c>
      <c r="J7044" s="24">
        <v>0.0</v>
      </c>
    </row>
    <row r="7045">
      <c r="A7045" s="24">
        <v>182.0</v>
      </c>
      <c r="B7045" s="24">
        <v>0.0</v>
      </c>
      <c r="C7045" s="44">
        <v>22.36</v>
      </c>
      <c r="D7045" s="46">
        <v>45701.0</v>
      </c>
      <c r="E7045" s="24" t="s">
        <v>6650</v>
      </c>
      <c r="F7045" s="24">
        <v>122.86</v>
      </c>
      <c r="G7045" s="24">
        <v>0.0</v>
      </c>
      <c r="H7045" s="24" t="s">
        <v>6724</v>
      </c>
      <c r="I7045" s="24" t="s">
        <v>6650</v>
      </c>
      <c r="J7045" s="24">
        <v>0.0</v>
      </c>
    </row>
    <row r="7046">
      <c r="A7046" s="24">
        <v>216.0</v>
      </c>
      <c r="B7046" s="24">
        <v>2.0</v>
      </c>
      <c r="C7046" s="44">
        <v>20.82</v>
      </c>
      <c r="D7046" s="46">
        <v>45701.0</v>
      </c>
      <c r="E7046" s="24">
        <v>10.41</v>
      </c>
      <c r="F7046" s="24">
        <v>96.39</v>
      </c>
      <c r="G7046" s="24">
        <v>0.93</v>
      </c>
      <c r="H7046" s="24" t="s">
        <v>6720</v>
      </c>
      <c r="I7046" s="24" t="s">
        <v>6650</v>
      </c>
      <c r="J7046" s="24">
        <v>0.0</v>
      </c>
    </row>
    <row r="7047">
      <c r="A7047" s="24">
        <v>0.0</v>
      </c>
      <c r="B7047" s="24">
        <v>0.0</v>
      </c>
      <c r="C7047" s="44">
        <v>36.38</v>
      </c>
      <c r="D7047" s="46">
        <v>45701.0</v>
      </c>
      <c r="E7047" s="24" t="s">
        <v>6650</v>
      </c>
      <c r="F7047" s="24" t="s">
        <v>6650</v>
      </c>
      <c r="G7047" s="24" t="s">
        <v>6650</v>
      </c>
      <c r="H7047" s="24" t="s">
        <v>6726</v>
      </c>
      <c r="I7047" s="24" t="s">
        <v>6650</v>
      </c>
      <c r="J7047" s="24">
        <v>0.0</v>
      </c>
    </row>
    <row r="7048">
      <c r="A7048" s="24">
        <v>221.0</v>
      </c>
      <c r="B7048" s="24">
        <v>1.0</v>
      </c>
      <c r="C7048" s="44">
        <v>20.74</v>
      </c>
      <c r="D7048" s="46">
        <v>45701.0</v>
      </c>
      <c r="E7048" s="24">
        <v>20.74</v>
      </c>
      <c r="F7048" s="24">
        <v>93.85</v>
      </c>
      <c r="G7048" s="24">
        <v>0.45</v>
      </c>
      <c r="H7048" s="24" t="s">
        <v>6723</v>
      </c>
      <c r="I7048" s="24" t="s">
        <v>6650</v>
      </c>
      <c r="J7048" s="24">
        <v>0.0</v>
      </c>
    </row>
    <row r="7049">
      <c r="A7049" s="24">
        <v>133.0</v>
      </c>
      <c r="B7049" s="24">
        <v>1.0</v>
      </c>
      <c r="C7049" s="44">
        <v>36.12</v>
      </c>
      <c r="D7049" s="46">
        <v>45701.0</v>
      </c>
      <c r="E7049" s="24">
        <v>36.12</v>
      </c>
      <c r="F7049" s="24">
        <v>271.58</v>
      </c>
      <c r="G7049" s="24">
        <v>0.75</v>
      </c>
      <c r="H7049" s="24" t="s">
        <v>6725</v>
      </c>
      <c r="I7049" s="24" t="s">
        <v>6650</v>
      </c>
      <c r="J7049" s="24">
        <v>0.0</v>
      </c>
    </row>
    <row r="7050">
      <c r="A7050" s="24">
        <v>81.0</v>
      </c>
      <c r="B7050" s="24">
        <v>0.0</v>
      </c>
      <c r="C7050" s="44">
        <v>37.16</v>
      </c>
      <c r="D7050" s="46">
        <v>45701.0</v>
      </c>
      <c r="E7050" s="24" t="s">
        <v>6650</v>
      </c>
      <c r="F7050" s="24">
        <v>458.77</v>
      </c>
      <c r="G7050" s="24">
        <v>0.0</v>
      </c>
      <c r="H7050" s="24" t="s">
        <v>6727</v>
      </c>
      <c r="I7050" s="24" t="s">
        <v>6650</v>
      </c>
      <c r="J7050" s="24">
        <v>0.0</v>
      </c>
    </row>
    <row r="7051">
      <c r="A7051" s="24">
        <v>60.0</v>
      </c>
      <c r="B7051" s="24">
        <v>0.0</v>
      </c>
      <c r="C7051" s="44">
        <v>35.53</v>
      </c>
      <c r="D7051" s="46">
        <v>45702.0</v>
      </c>
      <c r="E7051" s="24" t="s">
        <v>6650</v>
      </c>
      <c r="F7051" s="24">
        <v>592.17</v>
      </c>
      <c r="G7051" s="24">
        <v>0.0</v>
      </c>
      <c r="H7051" s="24" t="s">
        <v>6727</v>
      </c>
      <c r="I7051" s="24" t="s">
        <v>6650</v>
      </c>
      <c r="J7051" s="24">
        <v>0.0</v>
      </c>
    </row>
    <row r="7052">
      <c r="A7052" s="24">
        <v>112.0</v>
      </c>
      <c r="B7052" s="24">
        <v>2.0</v>
      </c>
      <c r="C7052" s="44">
        <v>35.64</v>
      </c>
      <c r="D7052" s="46">
        <v>45702.0</v>
      </c>
      <c r="E7052" s="24">
        <v>17.82</v>
      </c>
      <c r="F7052" s="24">
        <v>318.21</v>
      </c>
      <c r="G7052" s="24">
        <v>1.79</v>
      </c>
      <c r="H7052" s="24" t="s">
        <v>6725</v>
      </c>
      <c r="I7052" s="24" t="s">
        <v>6650</v>
      </c>
      <c r="J7052" s="24">
        <v>0.0</v>
      </c>
    </row>
    <row r="7053">
      <c r="A7053" s="24">
        <v>194.0</v>
      </c>
      <c r="B7053" s="24">
        <v>3.0</v>
      </c>
      <c r="C7053" s="44">
        <v>20.72</v>
      </c>
      <c r="D7053" s="46">
        <v>45702.0</v>
      </c>
      <c r="E7053" s="24">
        <v>6.91</v>
      </c>
      <c r="F7053" s="24">
        <v>106.8</v>
      </c>
      <c r="G7053" s="24">
        <v>1.55</v>
      </c>
      <c r="H7053" s="24" t="s">
        <v>6720</v>
      </c>
      <c r="I7053" s="24" t="s">
        <v>6650</v>
      </c>
      <c r="J7053" s="24">
        <v>0.0</v>
      </c>
    </row>
    <row r="7054">
      <c r="A7054" s="24">
        <v>327.0</v>
      </c>
      <c r="B7054" s="24">
        <v>1.0</v>
      </c>
      <c r="C7054" s="44">
        <v>21.25</v>
      </c>
      <c r="D7054" s="46">
        <v>45702.0</v>
      </c>
      <c r="E7054" s="24">
        <v>21.25</v>
      </c>
      <c r="F7054" s="24">
        <v>64.98</v>
      </c>
      <c r="G7054" s="24">
        <v>0.31</v>
      </c>
      <c r="H7054" s="24" t="s">
        <v>6723</v>
      </c>
      <c r="I7054" s="24" t="s">
        <v>6650</v>
      </c>
      <c r="J7054" s="24">
        <v>0.0</v>
      </c>
    </row>
    <row r="7055">
      <c r="A7055" s="24">
        <v>0.0</v>
      </c>
      <c r="B7055" s="24">
        <v>0.0</v>
      </c>
      <c r="C7055" s="44">
        <v>37.21</v>
      </c>
      <c r="D7055" s="46">
        <v>45702.0</v>
      </c>
      <c r="E7055" s="24" t="s">
        <v>6650</v>
      </c>
      <c r="F7055" s="24" t="s">
        <v>6650</v>
      </c>
      <c r="G7055" s="24" t="s">
        <v>6650</v>
      </c>
      <c r="H7055" s="24" t="s">
        <v>6726</v>
      </c>
      <c r="I7055" s="24" t="s">
        <v>6650</v>
      </c>
      <c r="J7055" s="24">
        <v>0.0</v>
      </c>
    </row>
    <row r="7056">
      <c r="A7056" s="24">
        <v>136.0</v>
      </c>
      <c r="B7056" s="24">
        <v>2.0</v>
      </c>
      <c r="C7056" s="44">
        <v>22.91</v>
      </c>
      <c r="D7056" s="46">
        <v>45702.0</v>
      </c>
      <c r="E7056" s="24">
        <v>11.46</v>
      </c>
      <c r="F7056" s="24">
        <v>168.46</v>
      </c>
      <c r="G7056" s="24">
        <v>1.47</v>
      </c>
      <c r="H7056" s="24" t="s">
        <v>6724</v>
      </c>
      <c r="I7056" s="24" t="s">
        <v>6650</v>
      </c>
      <c r="J7056" s="24">
        <v>0.0</v>
      </c>
    </row>
    <row r="7057">
      <c r="A7057" s="24">
        <v>65.0</v>
      </c>
      <c r="B7057" s="24">
        <v>1.0</v>
      </c>
      <c r="C7057" s="44">
        <v>25.15</v>
      </c>
      <c r="D7057" s="46">
        <v>45703.0</v>
      </c>
      <c r="E7057" s="24">
        <v>25.15</v>
      </c>
      <c r="F7057" s="24">
        <v>386.92</v>
      </c>
      <c r="G7057" s="24">
        <v>1.54</v>
      </c>
      <c r="H7057" s="24" t="s">
        <v>6725</v>
      </c>
      <c r="I7057" s="24" t="s">
        <v>6650</v>
      </c>
      <c r="J7057" s="24">
        <v>0.0</v>
      </c>
    </row>
    <row r="7058">
      <c r="A7058" s="24">
        <v>0.0</v>
      </c>
      <c r="B7058" s="24">
        <v>0.0</v>
      </c>
      <c r="C7058" s="44">
        <v>18.46</v>
      </c>
      <c r="D7058" s="46">
        <v>45703.0</v>
      </c>
      <c r="E7058" s="24" t="s">
        <v>6650</v>
      </c>
      <c r="F7058" s="24" t="s">
        <v>6650</v>
      </c>
      <c r="G7058" s="24" t="s">
        <v>6650</v>
      </c>
      <c r="H7058" s="24" t="s">
        <v>6726</v>
      </c>
      <c r="I7058" s="24" t="s">
        <v>6650</v>
      </c>
      <c r="J7058" s="24">
        <v>0.0</v>
      </c>
    </row>
    <row r="7059">
      <c r="A7059" s="24">
        <v>178.0</v>
      </c>
      <c r="B7059" s="24">
        <v>0.0</v>
      </c>
      <c r="C7059" s="44">
        <v>13.05</v>
      </c>
      <c r="D7059" s="46">
        <v>45703.0</v>
      </c>
      <c r="E7059" s="24" t="s">
        <v>6650</v>
      </c>
      <c r="F7059" s="24">
        <v>73.31</v>
      </c>
      <c r="G7059" s="24">
        <v>0.0</v>
      </c>
      <c r="H7059" s="24" t="s">
        <v>6723</v>
      </c>
      <c r="I7059" s="24" t="s">
        <v>6650</v>
      </c>
      <c r="J7059" s="24">
        <v>0.0</v>
      </c>
    </row>
    <row r="7060">
      <c r="A7060" s="24">
        <v>81.0</v>
      </c>
      <c r="B7060" s="24">
        <v>0.0</v>
      </c>
      <c r="C7060" s="44">
        <v>15.12</v>
      </c>
      <c r="D7060" s="46">
        <v>45703.0</v>
      </c>
      <c r="E7060" s="24" t="s">
        <v>6650</v>
      </c>
      <c r="F7060" s="24">
        <v>186.67</v>
      </c>
      <c r="G7060" s="24">
        <v>0.0</v>
      </c>
      <c r="H7060" s="24" t="s">
        <v>6724</v>
      </c>
      <c r="I7060" s="24" t="s">
        <v>6650</v>
      </c>
      <c r="J7060" s="24">
        <v>0.0</v>
      </c>
    </row>
    <row r="7061">
      <c r="A7061" s="24">
        <v>40.0</v>
      </c>
      <c r="B7061" s="24">
        <v>1.0</v>
      </c>
      <c r="C7061" s="44">
        <v>24.48</v>
      </c>
      <c r="D7061" s="46">
        <v>45703.0</v>
      </c>
      <c r="E7061" s="24">
        <v>24.48</v>
      </c>
      <c r="F7061" s="24">
        <v>612.0</v>
      </c>
      <c r="G7061" s="24">
        <v>2.5</v>
      </c>
      <c r="H7061" s="24" t="s">
        <v>6727</v>
      </c>
      <c r="I7061" s="24" t="s">
        <v>6650</v>
      </c>
      <c r="J7061" s="24">
        <v>0.0</v>
      </c>
    </row>
    <row r="7062">
      <c r="A7062" s="24">
        <v>135.0</v>
      </c>
      <c r="B7062" s="24">
        <v>0.0</v>
      </c>
      <c r="C7062" s="44">
        <v>14.35</v>
      </c>
      <c r="D7062" s="46">
        <v>45703.0</v>
      </c>
      <c r="E7062" s="24" t="s">
        <v>6650</v>
      </c>
      <c r="F7062" s="24">
        <v>106.3</v>
      </c>
      <c r="G7062" s="24">
        <v>0.0</v>
      </c>
      <c r="H7062" s="24" t="s">
        <v>6720</v>
      </c>
      <c r="I7062" s="24" t="s">
        <v>6650</v>
      </c>
      <c r="J7062" s="24">
        <v>0.0</v>
      </c>
    </row>
    <row r="7063">
      <c r="A7063" s="24">
        <v>50.0</v>
      </c>
      <c r="B7063" s="24">
        <v>1.0</v>
      </c>
      <c r="C7063" s="44">
        <v>16.93</v>
      </c>
      <c r="D7063" s="46">
        <v>45704.0</v>
      </c>
      <c r="E7063" s="24">
        <v>16.93</v>
      </c>
      <c r="F7063" s="24">
        <v>338.6</v>
      </c>
      <c r="G7063" s="24">
        <v>2.0</v>
      </c>
      <c r="H7063" s="24" t="s">
        <v>6725</v>
      </c>
      <c r="I7063" s="24" t="s">
        <v>6650</v>
      </c>
      <c r="J7063" s="24">
        <v>0.0</v>
      </c>
    </row>
    <row r="7064">
      <c r="A7064" s="24">
        <v>28.0</v>
      </c>
      <c r="B7064" s="24">
        <v>0.0</v>
      </c>
      <c r="C7064" s="44">
        <v>15.17</v>
      </c>
      <c r="D7064" s="46">
        <v>45704.0</v>
      </c>
      <c r="E7064" s="24" t="s">
        <v>6650</v>
      </c>
      <c r="F7064" s="24">
        <v>541.79</v>
      </c>
      <c r="G7064" s="24">
        <v>0.0</v>
      </c>
      <c r="H7064" s="24" t="s">
        <v>6727</v>
      </c>
      <c r="I7064" s="24" t="s">
        <v>6650</v>
      </c>
      <c r="J7064" s="24">
        <v>0.0</v>
      </c>
    </row>
    <row r="7065">
      <c r="A7065" s="24">
        <v>51.0</v>
      </c>
      <c r="B7065" s="24">
        <v>0.0</v>
      </c>
      <c r="C7065" s="44">
        <v>7.5</v>
      </c>
      <c r="D7065" s="46">
        <v>45704.0</v>
      </c>
      <c r="E7065" s="24" t="s">
        <v>6650</v>
      </c>
      <c r="F7065" s="24">
        <v>147.06</v>
      </c>
      <c r="G7065" s="24">
        <v>0.0</v>
      </c>
      <c r="H7065" s="24" t="s">
        <v>6720</v>
      </c>
      <c r="I7065" s="24" t="s">
        <v>6650</v>
      </c>
      <c r="J7065" s="24">
        <v>0.0</v>
      </c>
    </row>
    <row r="7066">
      <c r="A7066" s="24">
        <v>30.0</v>
      </c>
      <c r="B7066" s="24">
        <v>0.0</v>
      </c>
      <c r="C7066" s="44">
        <v>8.01</v>
      </c>
      <c r="D7066" s="46">
        <v>45704.0</v>
      </c>
      <c r="E7066" s="24" t="s">
        <v>6650</v>
      </c>
      <c r="F7066" s="24">
        <v>267.0</v>
      </c>
      <c r="G7066" s="24">
        <v>0.0</v>
      </c>
      <c r="H7066" s="24" t="s">
        <v>6724</v>
      </c>
      <c r="I7066" s="24" t="s">
        <v>6650</v>
      </c>
      <c r="J7066" s="24">
        <v>0.0</v>
      </c>
    </row>
    <row r="7067">
      <c r="A7067" s="24">
        <v>0.0</v>
      </c>
      <c r="B7067" s="24">
        <v>0.0</v>
      </c>
      <c r="C7067" s="44">
        <v>21.41</v>
      </c>
      <c r="D7067" s="46">
        <v>45704.0</v>
      </c>
      <c r="E7067" s="24" t="s">
        <v>6650</v>
      </c>
      <c r="F7067" s="24" t="s">
        <v>6650</v>
      </c>
      <c r="G7067" s="24" t="s">
        <v>6650</v>
      </c>
      <c r="H7067" s="24" t="s">
        <v>6726</v>
      </c>
      <c r="I7067" s="24" t="s">
        <v>6650</v>
      </c>
      <c r="J7067" s="24">
        <v>0.0</v>
      </c>
    </row>
    <row r="7068">
      <c r="A7068" s="24">
        <v>83.0</v>
      </c>
      <c r="B7068" s="24">
        <v>1.0</v>
      </c>
      <c r="C7068" s="44">
        <v>9.03</v>
      </c>
      <c r="D7068" s="46">
        <v>45704.0</v>
      </c>
      <c r="E7068" s="24">
        <v>9.03</v>
      </c>
      <c r="F7068" s="24">
        <v>108.8</v>
      </c>
      <c r="G7068" s="24">
        <v>1.2</v>
      </c>
      <c r="H7068" s="24" t="s">
        <v>6723</v>
      </c>
      <c r="I7068" s="24" t="s">
        <v>6650</v>
      </c>
      <c r="J7068" s="24">
        <v>0.0</v>
      </c>
    </row>
    <row r="7069">
      <c r="A7069" s="24">
        <v>0.0</v>
      </c>
      <c r="B7069" s="24">
        <v>0.0</v>
      </c>
      <c r="C7069" s="44">
        <v>24.69</v>
      </c>
      <c r="D7069" s="46">
        <v>45705.0</v>
      </c>
      <c r="E7069" s="24" t="s">
        <v>6650</v>
      </c>
      <c r="F7069" s="24" t="s">
        <v>6650</v>
      </c>
      <c r="G7069" s="24" t="s">
        <v>6650</v>
      </c>
      <c r="H7069" s="24" t="s">
        <v>6726</v>
      </c>
      <c r="I7069" s="24" t="s">
        <v>6650</v>
      </c>
      <c r="J7069" s="24">
        <v>0.0</v>
      </c>
    </row>
    <row r="7070">
      <c r="A7070" s="24">
        <v>105.0</v>
      </c>
      <c r="B7070" s="24">
        <v>0.0</v>
      </c>
      <c r="C7070" s="44">
        <v>19.92</v>
      </c>
      <c r="D7070" s="46">
        <v>45705.0</v>
      </c>
      <c r="E7070" s="24" t="s">
        <v>6650</v>
      </c>
      <c r="F7070" s="24">
        <v>189.71</v>
      </c>
      <c r="G7070" s="24">
        <v>0.0</v>
      </c>
      <c r="H7070" s="24" t="s">
        <v>6720</v>
      </c>
      <c r="I7070" s="24" t="s">
        <v>6650</v>
      </c>
      <c r="J7070" s="24">
        <v>0.0</v>
      </c>
    </row>
    <row r="7071">
      <c r="A7071" s="24">
        <v>174.0</v>
      </c>
      <c r="B7071" s="24">
        <v>1.0</v>
      </c>
      <c r="C7071" s="44">
        <v>31.06</v>
      </c>
      <c r="D7071" s="46">
        <v>45705.0</v>
      </c>
      <c r="E7071" s="24">
        <v>31.06</v>
      </c>
      <c r="F7071" s="24">
        <v>178.51</v>
      </c>
      <c r="G7071" s="24">
        <v>0.57</v>
      </c>
      <c r="H7071" s="24" t="s">
        <v>6728</v>
      </c>
      <c r="I7071" s="24" t="s">
        <v>6650</v>
      </c>
      <c r="J7071" s="24">
        <v>0.0</v>
      </c>
    </row>
    <row r="7072">
      <c r="A7072" s="24">
        <v>100.0</v>
      </c>
      <c r="B7072" s="24">
        <v>0.0</v>
      </c>
      <c r="C7072" s="44">
        <v>19.62</v>
      </c>
      <c r="D7072" s="46">
        <v>45705.0</v>
      </c>
      <c r="E7072" s="24" t="s">
        <v>6650</v>
      </c>
      <c r="F7072" s="24">
        <v>196.2</v>
      </c>
      <c r="G7072" s="24">
        <v>0.0</v>
      </c>
      <c r="H7072" s="24" t="s">
        <v>6724</v>
      </c>
      <c r="I7072" s="24" t="s">
        <v>6650</v>
      </c>
      <c r="J7072" s="24">
        <v>0.0</v>
      </c>
    </row>
    <row r="7073">
      <c r="A7073" s="24">
        <v>77.0</v>
      </c>
      <c r="B7073" s="24">
        <v>0.0</v>
      </c>
      <c r="C7073" s="44">
        <v>6.57</v>
      </c>
      <c r="D7073" s="46">
        <v>45705.0</v>
      </c>
      <c r="E7073" s="24" t="s">
        <v>6650</v>
      </c>
      <c r="F7073" s="24">
        <v>85.32</v>
      </c>
      <c r="G7073" s="24">
        <v>0.0</v>
      </c>
      <c r="H7073" s="24" t="s">
        <v>6723</v>
      </c>
      <c r="I7073" s="24" t="s">
        <v>6650</v>
      </c>
      <c r="J7073" s="24">
        <v>0.0</v>
      </c>
    </row>
    <row r="7074">
      <c r="A7074" s="24">
        <v>65.0</v>
      </c>
      <c r="B7074" s="24">
        <v>2.0</v>
      </c>
      <c r="C7074" s="44">
        <v>28.99</v>
      </c>
      <c r="D7074" s="46">
        <v>45705.0</v>
      </c>
      <c r="E7074" s="24">
        <v>14.5</v>
      </c>
      <c r="F7074" s="24">
        <v>446.0</v>
      </c>
      <c r="G7074" s="24">
        <v>3.08</v>
      </c>
      <c r="H7074" s="24" t="s">
        <v>6725</v>
      </c>
      <c r="I7074" s="24" t="s">
        <v>6650</v>
      </c>
      <c r="J7074" s="24">
        <v>0.0</v>
      </c>
    </row>
    <row r="7075">
      <c r="A7075" s="24">
        <v>19.0</v>
      </c>
      <c r="B7075" s="24">
        <v>0.0</v>
      </c>
      <c r="C7075" s="44">
        <v>8.87</v>
      </c>
      <c r="D7075" s="46">
        <v>45705.0</v>
      </c>
      <c r="E7075" s="24" t="s">
        <v>6650</v>
      </c>
      <c r="F7075" s="24">
        <v>466.84</v>
      </c>
      <c r="G7075" s="24">
        <v>0.0</v>
      </c>
      <c r="H7075" s="24" t="s">
        <v>6727</v>
      </c>
      <c r="I7075" s="24" t="s">
        <v>6650</v>
      </c>
      <c r="J7075" s="24">
        <v>0.0</v>
      </c>
    </row>
    <row r="7076">
      <c r="A7076" s="24">
        <v>0.0</v>
      </c>
      <c r="B7076" s="24">
        <v>0.0</v>
      </c>
      <c r="C7076" s="44">
        <v>34.85</v>
      </c>
      <c r="D7076" s="46">
        <v>45706.0</v>
      </c>
      <c r="E7076" s="24" t="s">
        <v>6650</v>
      </c>
      <c r="F7076" s="24" t="s">
        <v>6650</v>
      </c>
      <c r="G7076" s="24" t="s">
        <v>6650</v>
      </c>
      <c r="H7076" s="24" t="s">
        <v>6726</v>
      </c>
      <c r="I7076" s="24" t="s">
        <v>6650</v>
      </c>
      <c r="J7076" s="24">
        <v>0.0</v>
      </c>
    </row>
    <row r="7077">
      <c r="A7077" s="24">
        <v>130.0</v>
      </c>
      <c r="B7077" s="24">
        <v>0.0</v>
      </c>
      <c r="C7077" s="44">
        <v>22.17</v>
      </c>
      <c r="D7077" s="46">
        <v>45706.0</v>
      </c>
      <c r="E7077" s="24" t="s">
        <v>6650</v>
      </c>
      <c r="F7077" s="24">
        <v>170.54</v>
      </c>
      <c r="G7077" s="24">
        <v>0.0</v>
      </c>
      <c r="H7077" s="24" t="s">
        <v>6724</v>
      </c>
      <c r="I7077" s="24" t="s">
        <v>6650</v>
      </c>
      <c r="J7077" s="24">
        <v>0.0</v>
      </c>
    </row>
    <row r="7078">
      <c r="A7078" s="24">
        <v>121.0</v>
      </c>
      <c r="B7078" s="24">
        <v>1.0</v>
      </c>
      <c r="C7078" s="44">
        <v>20.89</v>
      </c>
      <c r="D7078" s="46">
        <v>45706.0</v>
      </c>
      <c r="E7078" s="24">
        <v>20.89</v>
      </c>
      <c r="F7078" s="24">
        <v>172.64</v>
      </c>
      <c r="G7078" s="24">
        <v>0.83</v>
      </c>
      <c r="H7078" s="24" t="s">
        <v>6720</v>
      </c>
      <c r="I7078" s="24" t="s">
        <v>6650</v>
      </c>
      <c r="J7078" s="24">
        <v>0.0</v>
      </c>
    </row>
    <row r="7079">
      <c r="A7079" s="24">
        <v>127.0</v>
      </c>
      <c r="B7079" s="24">
        <v>0.0</v>
      </c>
      <c r="C7079" s="44">
        <v>36.3</v>
      </c>
      <c r="D7079" s="46">
        <v>45706.0</v>
      </c>
      <c r="E7079" s="24" t="s">
        <v>6650</v>
      </c>
      <c r="F7079" s="24">
        <v>285.83</v>
      </c>
      <c r="G7079" s="24">
        <v>0.0</v>
      </c>
      <c r="H7079" s="24" t="s">
        <v>6725</v>
      </c>
      <c r="I7079" s="24" t="s">
        <v>6650</v>
      </c>
      <c r="J7079" s="24">
        <v>0.0</v>
      </c>
    </row>
    <row r="7080">
      <c r="A7080" s="24">
        <v>100.0</v>
      </c>
      <c r="B7080" s="24">
        <v>1.0</v>
      </c>
      <c r="C7080" s="44">
        <v>33.6</v>
      </c>
      <c r="D7080" s="46">
        <v>45706.0</v>
      </c>
      <c r="E7080" s="24">
        <v>33.6</v>
      </c>
      <c r="F7080" s="24">
        <v>336.0</v>
      </c>
      <c r="G7080" s="24">
        <v>1.0</v>
      </c>
      <c r="H7080" s="24" t="s">
        <v>6728</v>
      </c>
      <c r="I7080" s="24" t="s">
        <v>6650</v>
      </c>
      <c r="J7080" s="24">
        <v>0.0</v>
      </c>
    </row>
    <row r="7081">
      <c r="A7081" s="24">
        <v>149.0</v>
      </c>
      <c r="B7081" s="24">
        <v>1.0</v>
      </c>
      <c r="C7081" s="44">
        <v>21.29</v>
      </c>
      <c r="D7081" s="46">
        <v>45707.0</v>
      </c>
      <c r="E7081" s="24">
        <v>21.29</v>
      </c>
      <c r="F7081" s="24">
        <v>142.89</v>
      </c>
      <c r="G7081" s="24">
        <v>0.67</v>
      </c>
      <c r="H7081" s="24" t="s">
        <v>6720</v>
      </c>
      <c r="I7081" s="24" t="s">
        <v>6650</v>
      </c>
      <c r="J7081" s="24">
        <v>0.0</v>
      </c>
    </row>
    <row r="7082">
      <c r="A7082" s="24">
        <v>81.0</v>
      </c>
      <c r="B7082" s="24">
        <v>0.0</v>
      </c>
      <c r="C7082" s="44">
        <v>35.16</v>
      </c>
      <c r="D7082" s="46">
        <v>45707.0</v>
      </c>
      <c r="E7082" s="24" t="s">
        <v>6650</v>
      </c>
      <c r="F7082" s="24">
        <v>434.07</v>
      </c>
      <c r="G7082" s="24">
        <v>0.0</v>
      </c>
      <c r="H7082" s="24" t="s">
        <v>6725</v>
      </c>
      <c r="I7082" s="24" t="s">
        <v>6650</v>
      </c>
      <c r="J7082" s="24">
        <v>0.0</v>
      </c>
    </row>
    <row r="7083">
      <c r="A7083" s="24">
        <v>132.0</v>
      </c>
      <c r="B7083" s="24">
        <v>0.0</v>
      </c>
      <c r="C7083" s="44">
        <v>22.5</v>
      </c>
      <c r="D7083" s="46">
        <v>45707.0</v>
      </c>
      <c r="E7083" s="24" t="s">
        <v>6650</v>
      </c>
      <c r="F7083" s="24">
        <v>170.45</v>
      </c>
      <c r="G7083" s="24">
        <v>0.0</v>
      </c>
      <c r="H7083" s="24" t="s">
        <v>6724</v>
      </c>
      <c r="I7083" s="24" t="s">
        <v>6650</v>
      </c>
      <c r="J7083" s="24">
        <v>0.0</v>
      </c>
    </row>
    <row r="7084">
      <c r="A7084" s="24">
        <v>0.0</v>
      </c>
      <c r="B7084" s="24">
        <v>0.0</v>
      </c>
      <c r="C7084" s="44">
        <v>30.63</v>
      </c>
      <c r="D7084" s="46">
        <v>45707.0</v>
      </c>
      <c r="E7084" s="24" t="s">
        <v>6650</v>
      </c>
      <c r="F7084" s="24" t="s">
        <v>6650</v>
      </c>
      <c r="G7084" s="24" t="s">
        <v>6650</v>
      </c>
      <c r="H7084" s="24" t="s">
        <v>6726</v>
      </c>
      <c r="I7084" s="24" t="s">
        <v>6650</v>
      </c>
      <c r="J7084" s="24">
        <v>1.0</v>
      </c>
    </row>
    <row r="7085">
      <c r="A7085" s="24">
        <v>99.0</v>
      </c>
      <c r="B7085" s="24">
        <v>1.0</v>
      </c>
      <c r="C7085" s="44">
        <v>34.47</v>
      </c>
      <c r="D7085" s="46">
        <v>45707.0</v>
      </c>
      <c r="E7085" s="24">
        <v>34.47</v>
      </c>
      <c r="F7085" s="24">
        <v>348.18</v>
      </c>
      <c r="G7085" s="24">
        <v>1.01</v>
      </c>
      <c r="H7085" s="24" t="s">
        <v>6728</v>
      </c>
      <c r="I7085" s="24" t="s">
        <v>6650</v>
      </c>
      <c r="J7085" s="24">
        <v>0.0</v>
      </c>
    </row>
    <row r="7086">
      <c r="A7086" s="24">
        <v>143.0</v>
      </c>
      <c r="B7086" s="24">
        <v>0.0</v>
      </c>
      <c r="C7086" s="44">
        <v>20.9</v>
      </c>
      <c r="D7086" s="46">
        <v>45708.0</v>
      </c>
      <c r="E7086" s="24" t="s">
        <v>6650</v>
      </c>
      <c r="F7086" s="24">
        <v>146.15</v>
      </c>
      <c r="G7086" s="24">
        <v>0.0</v>
      </c>
      <c r="H7086" s="24" t="s">
        <v>6720</v>
      </c>
      <c r="I7086" s="24" t="s">
        <v>6650</v>
      </c>
      <c r="J7086" s="24">
        <v>0.0</v>
      </c>
    </row>
    <row r="7087">
      <c r="A7087" s="24">
        <v>71.0</v>
      </c>
      <c r="B7087" s="24">
        <v>2.0</v>
      </c>
      <c r="C7087" s="44">
        <v>35.96</v>
      </c>
      <c r="D7087" s="46">
        <v>45708.0</v>
      </c>
      <c r="E7087" s="24">
        <v>17.98</v>
      </c>
      <c r="F7087" s="24">
        <v>506.48</v>
      </c>
      <c r="G7087" s="24">
        <v>2.82</v>
      </c>
      <c r="H7087" s="24" t="s">
        <v>6725</v>
      </c>
      <c r="I7087" s="24" t="s">
        <v>6650</v>
      </c>
      <c r="J7087" s="24">
        <v>0.0</v>
      </c>
    </row>
    <row r="7088">
      <c r="A7088" s="24">
        <v>0.0</v>
      </c>
      <c r="B7088" s="24">
        <v>0.0</v>
      </c>
      <c r="C7088" s="44">
        <v>23.32</v>
      </c>
      <c r="D7088" s="46">
        <v>45708.0</v>
      </c>
      <c r="E7088" s="24" t="s">
        <v>6650</v>
      </c>
      <c r="F7088" s="24" t="s">
        <v>6650</v>
      </c>
      <c r="G7088" s="24" t="s">
        <v>6650</v>
      </c>
      <c r="H7088" s="24" t="s">
        <v>6726</v>
      </c>
      <c r="I7088" s="24" t="s">
        <v>6650</v>
      </c>
      <c r="J7088" s="24">
        <v>0.0</v>
      </c>
    </row>
    <row r="7089">
      <c r="A7089" s="24">
        <v>98.0</v>
      </c>
      <c r="B7089" s="24">
        <v>2.0</v>
      </c>
      <c r="C7089" s="44">
        <v>37.24</v>
      </c>
      <c r="D7089" s="46">
        <v>45708.0</v>
      </c>
      <c r="E7089" s="24">
        <v>18.62</v>
      </c>
      <c r="F7089" s="24">
        <v>380.0</v>
      </c>
      <c r="G7089" s="24">
        <v>2.04</v>
      </c>
      <c r="H7089" s="24" t="s">
        <v>6728</v>
      </c>
      <c r="I7089" s="24" t="s">
        <v>6650</v>
      </c>
      <c r="J7089" s="24">
        <v>0.0</v>
      </c>
    </row>
    <row r="7090">
      <c r="A7090" s="24">
        <v>124.0</v>
      </c>
      <c r="B7090" s="24">
        <v>0.0</v>
      </c>
      <c r="C7090" s="44">
        <v>23.51</v>
      </c>
      <c r="D7090" s="46">
        <v>45708.0</v>
      </c>
      <c r="E7090" s="24" t="s">
        <v>6650</v>
      </c>
      <c r="F7090" s="24">
        <v>189.6</v>
      </c>
      <c r="G7090" s="24">
        <v>0.0</v>
      </c>
      <c r="H7090" s="24" t="s">
        <v>6724</v>
      </c>
      <c r="I7090" s="24" t="s">
        <v>6650</v>
      </c>
      <c r="J7090" s="24">
        <v>0.0</v>
      </c>
    </row>
    <row r="7091">
      <c r="A7091" s="24">
        <v>0.0</v>
      </c>
      <c r="B7091" s="24">
        <v>0.0</v>
      </c>
      <c r="C7091" s="44">
        <v>16.7</v>
      </c>
      <c r="D7091" s="46">
        <v>45709.0</v>
      </c>
      <c r="E7091" s="24" t="s">
        <v>6650</v>
      </c>
      <c r="F7091" s="24" t="s">
        <v>6650</v>
      </c>
      <c r="G7091" s="24" t="s">
        <v>6650</v>
      </c>
      <c r="H7091" s="24" t="s">
        <v>6726</v>
      </c>
      <c r="I7091" s="24" t="s">
        <v>6650</v>
      </c>
      <c r="J7091" s="24">
        <v>0.0</v>
      </c>
    </row>
    <row r="7092">
      <c r="A7092" s="24">
        <v>173.0</v>
      </c>
      <c r="B7092" s="24">
        <v>0.0</v>
      </c>
      <c r="C7092" s="44">
        <v>21.48</v>
      </c>
      <c r="D7092" s="46">
        <v>45709.0</v>
      </c>
      <c r="E7092" s="24" t="s">
        <v>6650</v>
      </c>
      <c r="F7092" s="24">
        <v>124.16</v>
      </c>
      <c r="G7092" s="24">
        <v>0.0</v>
      </c>
      <c r="H7092" s="24" t="s">
        <v>6720</v>
      </c>
      <c r="I7092" s="24">
        <v>3.58</v>
      </c>
      <c r="J7092" s="24">
        <v>0.0</v>
      </c>
    </row>
    <row r="7093">
      <c r="A7093" s="24">
        <v>86.0</v>
      </c>
      <c r="B7093" s="24">
        <v>1.0</v>
      </c>
      <c r="C7093" s="44">
        <v>36.63</v>
      </c>
      <c r="D7093" s="46">
        <v>45709.0</v>
      </c>
      <c r="E7093" s="24">
        <v>36.63</v>
      </c>
      <c r="F7093" s="24">
        <v>425.93</v>
      </c>
      <c r="G7093" s="24">
        <v>1.16</v>
      </c>
      <c r="H7093" s="24" t="s">
        <v>6725</v>
      </c>
      <c r="I7093" s="24" t="s">
        <v>6650</v>
      </c>
      <c r="J7093" s="24">
        <v>0.0</v>
      </c>
    </row>
    <row r="7094">
      <c r="A7094" s="24">
        <v>117.0</v>
      </c>
      <c r="B7094" s="24">
        <v>2.0</v>
      </c>
      <c r="C7094" s="44">
        <v>23.52</v>
      </c>
      <c r="D7094" s="46">
        <v>45709.0</v>
      </c>
      <c r="E7094" s="24">
        <v>11.76</v>
      </c>
      <c r="F7094" s="24">
        <v>201.03</v>
      </c>
      <c r="G7094" s="24">
        <v>1.71</v>
      </c>
      <c r="H7094" s="24" t="s">
        <v>6724</v>
      </c>
      <c r="I7094" s="24">
        <v>11.76</v>
      </c>
      <c r="J7094" s="24">
        <v>0.0</v>
      </c>
    </row>
    <row r="7095">
      <c r="A7095" s="24">
        <v>94.0</v>
      </c>
      <c r="B7095" s="24">
        <v>0.0</v>
      </c>
      <c r="C7095" s="44">
        <v>36.53</v>
      </c>
      <c r="D7095" s="46">
        <v>45709.0</v>
      </c>
      <c r="E7095" s="24" t="s">
        <v>6650</v>
      </c>
      <c r="F7095" s="24">
        <v>388.62</v>
      </c>
      <c r="G7095" s="24">
        <v>0.0</v>
      </c>
      <c r="H7095" s="24" t="s">
        <v>6728</v>
      </c>
      <c r="I7095" s="24" t="s">
        <v>6650</v>
      </c>
      <c r="J7095" s="24">
        <v>0.0</v>
      </c>
    </row>
    <row r="7096">
      <c r="A7096" s="24">
        <v>0.0</v>
      </c>
      <c r="B7096" s="24">
        <v>0.0</v>
      </c>
      <c r="C7096" s="44">
        <v>11.84</v>
      </c>
      <c r="D7096" s="46">
        <v>45710.0</v>
      </c>
      <c r="E7096" s="24" t="s">
        <v>6650</v>
      </c>
      <c r="F7096" s="24" t="s">
        <v>6650</v>
      </c>
      <c r="G7096" s="24" t="s">
        <v>6650</v>
      </c>
      <c r="H7096" s="24" t="s">
        <v>6726</v>
      </c>
      <c r="I7096" s="24" t="s">
        <v>6650</v>
      </c>
      <c r="J7096" s="24">
        <v>0.0</v>
      </c>
    </row>
    <row r="7097">
      <c r="A7097" s="24">
        <v>56.0</v>
      </c>
      <c r="B7097" s="24">
        <v>0.0</v>
      </c>
      <c r="C7097" s="44">
        <v>22.75</v>
      </c>
      <c r="D7097" s="46">
        <v>45710.0</v>
      </c>
      <c r="E7097" s="24" t="s">
        <v>6650</v>
      </c>
      <c r="F7097" s="24">
        <v>406.25</v>
      </c>
      <c r="G7097" s="24">
        <v>0.0</v>
      </c>
      <c r="H7097" s="24" t="s">
        <v>6725</v>
      </c>
      <c r="I7097" s="24" t="s">
        <v>6650</v>
      </c>
      <c r="J7097" s="24">
        <v>0.0</v>
      </c>
    </row>
    <row r="7098">
      <c r="A7098" s="24">
        <v>82.0</v>
      </c>
      <c r="B7098" s="24">
        <v>0.0</v>
      </c>
      <c r="C7098" s="44">
        <v>16.03</v>
      </c>
      <c r="D7098" s="46">
        <v>45710.0</v>
      </c>
      <c r="E7098" s="24" t="s">
        <v>6650</v>
      </c>
      <c r="F7098" s="24">
        <v>195.49</v>
      </c>
      <c r="G7098" s="24">
        <v>0.0</v>
      </c>
      <c r="H7098" s="24" t="s">
        <v>6724</v>
      </c>
      <c r="I7098" s="24" t="s">
        <v>6650</v>
      </c>
      <c r="J7098" s="24">
        <v>0.0</v>
      </c>
    </row>
    <row r="7099">
      <c r="A7099" s="24">
        <v>111.0</v>
      </c>
      <c r="B7099" s="24">
        <v>0.0</v>
      </c>
      <c r="C7099" s="44">
        <v>13.7</v>
      </c>
      <c r="D7099" s="46">
        <v>45710.0</v>
      </c>
      <c r="E7099" s="24" t="s">
        <v>6650</v>
      </c>
      <c r="F7099" s="24">
        <v>123.42</v>
      </c>
      <c r="G7099" s="24">
        <v>0.0</v>
      </c>
      <c r="H7099" s="24" t="s">
        <v>6720</v>
      </c>
      <c r="I7099" s="24">
        <v>4.57</v>
      </c>
      <c r="J7099" s="24">
        <v>0.0</v>
      </c>
    </row>
    <row r="7100">
      <c r="A7100" s="24">
        <v>55.0</v>
      </c>
      <c r="B7100" s="24">
        <v>0.0</v>
      </c>
      <c r="C7100" s="44">
        <v>22.22</v>
      </c>
      <c r="D7100" s="46">
        <v>45710.0</v>
      </c>
      <c r="E7100" s="24" t="s">
        <v>6650</v>
      </c>
      <c r="F7100" s="24">
        <v>404.0</v>
      </c>
      <c r="G7100" s="24">
        <v>0.0</v>
      </c>
      <c r="H7100" s="24" t="s">
        <v>6728</v>
      </c>
      <c r="I7100" s="24" t="s">
        <v>6650</v>
      </c>
      <c r="J7100" s="24">
        <v>0.0</v>
      </c>
    </row>
    <row r="7101">
      <c r="A7101" s="24">
        <v>0.0</v>
      </c>
      <c r="B7101" s="24">
        <v>0.0</v>
      </c>
      <c r="C7101" s="44"/>
      <c r="D7101" s="46">
        <v>45711.0</v>
      </c>
      <c r="E7101" s="24" t="s">
        <v>6650</v>
      </c>
      <c r="F7101" s="24" t="s">
        <v>6650</v>
      </c>
      <c r="G7101" s="24" t="s">
        <v>6650</v>
      </c>
      <c r="H7101" s="24" t="s">
        <v>6727</v>
      </c>
      <c r="I7101" s="24" t="s">
        <v>6650</v>
      </c>
      <c r="J7101" s="24"/>
    </row>
    <row r="7102">
      <c r="A7102" s="24">
        <v>35.0</v>
      </c>
      <c r="B7102" s="24">
        <v>0.0</v>
      </c>
      <c r="C7102" s="44">
        <v>19.55</v>
      </c>
      <c r="D7102" s="46">
        <v>45711.0</v>
      </c>
      <c r="E7102" s="24" t="s">
        <v>6650</v>
      </c>
      <c r="F7102" s="24">
        <v>558.57</v>
      </c>
      <c r="G7102" s="24">
        <v>0.0</v>
      </c>
      <c r="H7102" s="24" t="s">
        <v>6725</v>
      </c>
      <c r="I7102" s="24">
        <v>19.55</v>
      </c>
      <c r="J7102" s="24">
        <v>0.0</v>
      </c>
    </row>
    <row r="7103">
      <c r="A7103" s="24">
        <v>44.0</v>
      </c>
      <c r="B7103" s="24">
        <v>0.0</v>
      </c>
      <c r="C7103" s="44">
        <v>14.28</v>
      </c>
      <c r="D7103" s="46">
        <v>45711.0</v>
      </c>
      <c r="E7103" s="24" t="s">
        <v>6650</v>
      </c>
      <c r="F7103" s="24">
        <v>324.55</v>
      </c>
      <c r="G7103" s="24">
        <v>0.0</v>
      </c>
      <c r="H7103" s="24" t="s">
        <v>6720</v>
      </c>
      <c r="I7103" s="24" t="s">
        <v>6650</v>
      </c>
      <c r="J7103" s="24">
        <v>0.0</v>
      </c>
    </row>
    <row r="7104">
      <c r="A7104" s="24">
        <v>41.0</v>
      </c>
      <c r="B7104" s="24">
        <v>0.0</v>
      </c>
      <c r="C7104" s="44">
        <v>12.72</v>
      </c>
      <c r="D7104" s="46">
        <v>45711.0</v>
      </c>
      <c r="E7104" s="24" t="s">
        <v>6650</v>
      </c>
      <c r="F7104" s="24">
        <v>310.24</v>
      </c>
      <c r="G7104" s="24">
        <v>0.0</v>
      </c>
      <c r="H7104" s="24" t="s">
        <v>6724</v>
      </c>
      <c r="I7104" s="24">
        <v>6.36</v>
      </c>
      <c r="J7104" s="24">
        <v>0.0</v>
      </c>
    </row>
    <row r="7105">
      <c r="A7105" s="24">
        <v>0.0</v>
      </c>
      <c r="B7105" s="24">
        <v>0.0</v>
      </c>
      <c r="C7105" s="44">
        <v>0.6</v>
      </c>
      <c r="D7105" s="46">
        <v>45711.0</v>
      </c>
      <c r="E7105" s="24" t="s">
        <v>6650</v>
      </c>
      <c r="F7105" s="24" t="s">
        <v>6650</v>
      </c>
      <c r="G7105" s="24" t="s">
        <v>6650</v>
      </c>
      <c r="H7105" s="24" t="s">
        <v>6726</v>
      </c>
      <c r="I7105" s="24">
        <v>0.6</v>
      </c>
      <c r="J7105" s="24">
        <v>0.0</v>
      </c>
    </row>
    <row r="7106">
      <c r="A7106" s="24">
        <v>33.0</v>
      </c>
      <c r="B7106" s="24">
        <v>0.0</v>
      </c>
      <c r="C7106" s="44">
        <v>19.42</v>
      </c>
      <c r="D7106" s="46">
        <v>45711.0</v>
      </c>
      <c r="E7106" s="24" t="s">
        <v>6650</v>
      </c>
      <c r="F7106" s="24">
        <v>588.48</v>
      </c>
      <c r="G7106" s="24">
        <v>0.0</v>
      </c>
      <c r="H7106" s="24" t="s">
        <v>6728</v>
      </c>
      <c r="I7106" s="24" t="s">
        <v>6650</v>
      </c>
      <c r="J7106" s="24">
        <v>0.0</v>
      </c>
    </row>
    <row r="7107">
      <c r="A7107" s="24">
        <v>129.0</v>
      </c>
      <c r="B7107" s="24">
        <v>0.0</v>
      </c>
      <c r="C7107" s="44">
        <v>20.87</v>
      </c>
      <c r="D7107" s="46">
        <v>45712.0</v>
      </c>
      <c r="E7107" s="24" t="s">
        <v>6650</v>
      </c>
      <c r="F7107" s="24">
        <v>161.78</v>
      </c>
      <c r="G7107" s="24">
        <v>0.0</v>
      </c>
      <c r="H7107" s="24" t="s">
        <v>6724</v>
      </c>
      <c r="I7107" s="24">
        <v>0.99</v>
      </c>
      <c r="J7107" s="24">
        <v>0.0</v>
      </c>
    </row>
    <row r="7108">
      <c r="A7108" s="24">
        <v>0.0</v>
      </c>
      <c r="B7108" s="24">
        <v>0.0</v>
      </c>
      <c r="C7108" s="44"/>
      <c r="D7108" s="46">
        <v>45712.0</v>
      </c>
      <c r="E7108" s="24" t="s">
        <v>6650</v>
      </c>
      <c r="F7108" s="24" t="s">
        <v>6650</v>
      </c>
      <c r="G7108" s="24" t="s">
        <v>6650</v>
      </c>
      <c r="H7108" s="24" t="s">
        <v>6727</v>
      </c>
      <c r="I7108" s="24" t="s">
        <v>6650</v>
      </c>
      <c r="J7108" s="24"/>
    </row>
    <row r="7109">
      <c r="A7109" s="24">
        <v>0.0</v>
      </c>
      <c r="B7109" s="24">
        <v>0.0</v>
      </c>
      <c r="C7109" s="44">
        <v>16.56</v>
      </c>
      <c r="D7109" s="46">
        <v>45712.0</v>
      </c>
      <c r="E7109" s="24" t="s">
        <v>6650</v>
      </c>
      <c r="F7109" s="24" t="s">
        <v>6650</v>
      </c>
      <c r="G7109" s="24" t="s">
        <v>6650</v>
      </c>
      <c r="H7109" s="24" t="s">
        <v>6726</v>
      </c>
      <c r="I7109" s="24">
        <v>4.14</v>
      </c>
      <c r="J7109" s="24">
        <v>0.0</v>
      </c>
    </row>
    <row r="7110">
      <c r="A7110" s="24">
        <v>69.0</v>
      </c>
      <c r="B7110" s="24">
        <v>1.0</v>
      </c>
      <c r="C7110" s="44">
        <v>31.68</v>
      </c>
      <c r="D7110" s="46">
        <v>45712.0</v>
      </c>
      <c r="E7110" s="24">
        <v>31.68</v>
      </c>
      <c r="F7110" s="24">
        <v>459.13</v>
      </c>
      <c r="G7110" s="24">
        <v>1.45</v>
      </c>
      <c r="H7110" s="24" t="s">
        <v>6725</v>
      </c>
      <c r="I7110" s="24">
        <v>5.28</v>
      </c>
      <c r="J7110" s="24">
        <v>0.0</v>
      </c>
    </row>
    <row r="7111">
      <c r="A7111" s="24">
        <v>72.0</v>
      </c>
      <c r="B7111" s="24">
        <v>0.0</v>
      </c>
      <c r="C7111" s="44">
        <v>31.71</v>
      </c>
      <c r="D7111" s="46">
        <v>45712.0</v>
      </c>
      <c r="E7111" s="24" t="s">
        <v>6650</v>
      </c>
      <c r="F7111" s="24">
        <v>440.42</v>
      </c>
      <c r="G7111" s="24">
        <v>0.0</v>
      </c>
      <c r="H7111" s="24" t="s">
        <v>6728</v>
      </c>
      <c r="I7111" s="24">
        <v>6.34</v>
      </c>
      <c r="J7111" s="24">
        <v>0.0</v>
      </c>
    </row>
    <row r="7112">
      <c r="A7112" s="24">
        <v>748.0</v>
      </c>
      <c r="B7112" s="24">
        <v>26.0</v>
      </c>
      <c r="C7112" s="44">
        <v>19.64</v>
      </c>
      <c r="D7112" s="46">
        <v>45712.0</v>
      </c>
      <c r="E7112" s="24">
        <v>0.76</v>
      </c>
      <c r="F7112" s="24">
        <v>26.26</v>
      </c>
      <c r="G7112" s="24">
        <v>3.48</v>
      </c>
      <c r="H7112" s="24" t="s">
        <v>6729</v>
      </c>
      <c r="I7112" s="24" t="s">
        <v>6650</v>
      </c>
      <c r="J7112" s="24">
        <v>0.0</v>
      </c>
    </row>
    <row r="7113">
      <c r="A7113" s="24">
        <v>125.0</v>
      </c>
      <c r="B7113" s="24">
        <v>0.0</v>
      </c>
      <c r="C7113" s="44">
        <v>19.01</v>
      </c>
      <c r="D7113" s="46">
        <v>45712.0</v>
      </c>
      <c r="E7113" s="24" t="s">
        <v>6650</v>
      </c>
      <c r="F7113" s="24">
        <v>152.08</v>
      </c>
      <c r="G7113" s="24">
        <v>0.0</v>
      </c>
      <c r="H7113" s="24" t="s">
        <v>6720</v>
      </c>
      <c r="I7113" s="24">
        <v>0.66</v>
      </c>
      <c r="J7113" s="24">
        <v>0.0</v>
      </c>
    </row>
    <row r="7114">
      <c r="A7114" s="24">
        <v>0.0</v>
      </c>
      <c r="B7114" s="24">
        <v>0.0</v>
      </c>
      <c r="C7114" s="44">
        <v>26.87</v>
      </c>
      <c r="D7114" s="46">
        <v>45713.0</v>
      </c>
      <c r="E7114" s="24" t="s">
        <v>6650</v>
      </c>
      <c r="F7114" s="24" t="s">
        <v>6650</v>
      </c>
      <c r="G7114" s="24" t="s">
        <v>6650</v>
      </c>
      <c r="H7114" s="24" t="s">
        <v>6726</v>
      </c>
      <c r="I7114" s="24">
        <v>13.44</v>
      </c>
      <c r="J7114" s="24">
        <v>0.0</v>
      </c>
    </row>
    <row r="7115">
      <c r="A7115" s="24">
        <v>120.0</v>
      </c>
      <c r="B7115" s="24">
        <v>1.0</v>
      </c>
      <c r="C7115" s="44">
        <v>22.76</v>
      </c>
      <c r="D7115" s="46">
        <v>45713.0</v>
      </c>
      <c r="E7115" s="24">
        <v>22.76</v>
      </c>
      <c r="F7115" s="24">
        <v>189.67</v>
      </c>
      <c r="G7115" s="24">
        <v>0.83</v>
      </c>
      <c r="H7115" s="24" t="s">
        <v>6720</v>
      </c>
      <c r="I7115" s="24">
        <v>0.48</v>
      </c>
      <c r="J7115" s="24">
        <v>0.0</v>
      </c>
    </row>
    <row r="7116">
      <c r="A7116" s="24">
        <v>90.0</v>
      </c>
      <c r="B7116" s="24">
        <v>1.0</v>
      </c>
      <c r="C7116" s="44">
        <v>37.56</v>
      </c>
      <c r="D7116" s="46">
        <v>45713.0</v>
      </c>
      <c r="E7116" s="24">
        <v>37.56</v>
      </c>
      <c r="F7116" s="24">
        <v>417.33</v>
      </c>
      <c r="G7116" s="24">
        <v>1.11</v>
      </c>
      <c r="H7116" s="24" t="s">
        <v>6725</v>
      </c>
      <c r="I7116" s="24">
        <v>12.52</v>
      </c>
      <c r="J7116" s="24">
        <v>0.0</v>
      </c>
    </row>
    <row r="7117">
      <c r="A7117" s="24">
        <v>248.0</v>
      </c>
      <c r="B7117" s="24">
        <v>10.0</v>
      </c>
      <c r="C7117" s="44">
        <v>22.35</v>
      </c>
      <c r="D7117" s="46">
        <v>45713.0</v>
      </c>
      <c r="E7117" s="24">
        <v>2.24</v>
      </c>
      <c r="F7117" s="24">
        <v>90.12</v>
      </c>
      <c r="G7117" s="24">
        <v>4.03</v>
      </c>
      <c r="H7117" s="24" t="s">
        <v>6729</v>
      </c>
      <c r="I7117" s="24" t="s">
        <v>6650</v>
      </c>
      <c r="J7117" s="24">
        <v>0.0</v>
      </c>
    </row>
    <row r="7118">
      <c r="A7118" s="24">
        <v>80.0</v>
      </c>
      <c r="B7118" s="24">
        <v>0.0</v>
      </c>
      <c r="C7118" s="44">
        <v>38.04</v>
      </c>
      <c r="D7118" s="46">
        <v>45713.0</v>
      </c>
      <c r="E7118" s="24" t="s">
        <v>6650</v>
      </c>
      <c r="F7118" s="24">
        <v>475.5</v>
      </c>
      <c r="G7118" s="24">
        <v>0.0</v>
      </c>
      <c r="H7118" s="24" t="s">
        <v>6728</v>
      </c>
      <c r="I7118" s="24">
        <v>38.04</v>
      </c>
      <c r="J7118" s="24">
        <v>0.0</v>
      </c>
    </row>
    <row r="7119">
      <c r="A7119" s="24">
        <v>129.0</v>
      </c>
      <c r="B7119" s="24">
        <v>1.0</v>
      </c>
      <c r="C7119" s="44">
        <v>23.99</v>
      </c>
      <c r="D7119" s="46">
        <v>45713.0</v>
      </c>
      <c r="E7119" s="24">
        <v>23.99</v>
      </c>
      <c r="F7119" s="24">
        <v>185.97</v>
      </c>
      <c r="G7119" s="24">
        <v>0.78</v>
      </c>
      <c r="H7119" s="24" t="s">
        <v>6724</v>
      </c>
      <c r="I7119" s="24">
        <v>1.5</v>
      </c>
      <c r="J7119" s="24">
        <v>0.0</v>
      </c>
    </row>
    <row r="7120">
      <c r="A7120" s="24">
        <v>0.0</v>
      </c>
      <c r="B7120" s="24">
        <v>0.0</v>
      </c>
      <c r="C7120" s="44"/>
      <c r="D7120" s="46">
        <v>45713.0</v>
      </c>
      <c r="E7120" s="24" t="s">
        <v>6650</v>
      </c>
      <c r="F7120" s="24" t="s">
        <v>6650</v>
      </c>
      <c r="G7120" s="24" t="s">
        <v>6650</v>
      </c>
      <c r="H7120" s="24" t="s">
        <v>6727</v>
      </c>
      <c r="I7120" s="24" t="s">
        <v>6650</v>
      </c>
      <c r="J7120" s="24"/>
    </row>
    <row r="7121">
      <c r="A7121" s="24">
        <v>248.0</v>
      </c>
      <c r="B7121" s="24">
        <v>7.0</v>
      </c>
      <c r="C7121" s="44">
        <v>21.74</v>
      </c>
      <c r="D7121" s="46">
        <v>45714.0</v>
      </c>
      <c r="E7121" s="24">
        <v>3.11</v>
      </c>
      <c r="F7121" s="24">
        <v>87.66</v>
      </c>
      <c r="G7121" s="24">
        <v>2.82</v>
      </c>
      <c r="H7121" s="24" t="s">
        <v>6729</v>
      </c>
      <c r="I7121" s="24" t="s">
        <v>6650</v>
      </c>
      <c r="J7121" s="24">
        <v>0.0</v>
      </c>
    </row>
    <row r="7122">
      <c r="A7122" s="24">
        <v>94.0</v>
      </c>
      <c r="B7122" s="24">
        <v>0.0</v>
      </c>
      <c r="C7122" s="44">
        <v>39.6</v>
      </c>
      <c r="D7122" s="46">
        <v>45714.0</v>
      </c>
      <c r="E7122" s="24" t="s">
        <v>6650</v>
      </c>
      <c r="F7122" s="24">
        <v>421.28</v>
      </c>
      <c r="G7122" s="24">
        <v>0.0</v>
      </c>
      <c r="H7122" s="24" t="s">
        <v>6725</v>
      </c>
      <c r="I7122" s="24">
        <v>6.6</v>
      </c>
      <c r="J7122" s="24">
        <v>0.0</v>
      </c>
    </row>
    <row r="7123">
      <c r="A7123" s="24">
        <v>92.0</v>
      </c>
      <c r="B7123" s="24">
        <v>0.0</v>
      </c>
      <c r="C7123" s="44">
        <v>39.28</v>
      </c>
      <c r="D7123" s="46">
        <v>45714.0</v>
      </c>
      <c r="E7123" s="24" t="s">
        <v>6650</v>
      </c>
      <c r="F7123" s="24">
        <v>426.96</v>
      </c>
      <c r="G7123" s="24">
        <v>0.0</v>
      </c>
      <c r="H7123" s="24" t="s">
        <v>6728</v>
      </c>
      <c r="I7123" s="24">
        <v>9.82</v>
      </c>
      <c r="J7123" s="24">
        <v>0.0</v>
      </c>
    </row>
    <row r="7124">
      <c r="A7124" s="24">
        <v>128.0</v>
      </c>
      <c r="B7124" s="24">
        <v>1.0</v>
      </c>
      <c r="C7124" s="44">
        <v>25.69</v>
      </c>
      <c r="D7124" s="46">
        <v>45714.0</v>
      </c>
      <c r="E7124" s="24">
        <v>25.69</v>
      </c>
      <c r="F7124" s="24">
        <v>200.7</v>
      </c>
      <c r="G7124" s="24">
        <v>0.78</v>
      </c>
      <c r="H7124" s="24" t="s">
        <v>6724</v>
      </c>
      <c r="I7124" s="24">
        <v>1.61</v>
      </c>
      <c r="J7124" s="24">
        <v>0.0</v>
      </c>
    </row>
    <row r="7125">
      <c r="A7125" s="24">
        <v>0.0</v>
      </c>
      <c r="B7125" s="24">
        <v>0.0</v>
      </c>
      <c r="C7125" s="44"/>
      <c r="D7125" s="46">
        <v>45714.0</v>
      </c>
      <c r="E7125" s="24" t="s">
        <v>6650</v>
      </c>
      <c r="F7125" s="24" t="s">
        <v>6650</v>
      </c>
      <c r="G7125" s="24" t="s">
        <v>6650</v>
      </c>
      <c r="H7125" s="24" t="s">
        <v>6727</v>
      </c>
      <c r="I7125" s="24" t="s">
        <v>6650</v>
      </c>
      <c r="J7125" s="24"/>
    </row>
    <row r="7126">
      <c r="A7126" s="24">
        <v>0.0</v>
      </c>
      <c r="B7126" s="24">
        <v>0.0</v>
      </c>
      <c r="C7126" s="44">
        <v>26.54</v>
      </c>
      <c r="D7126" s="46">
        <v>45714.0</v>
      </c>
      <c r="E7126" s="24" t="s">
        <v>6650</v>
      </c>
      <c r="F7126" s="24" t="s">
        <v>6650</v>
      </c>
      <c r="G7126" s="24" t="s">
        <v>6650</v>
      </c>
      <c r="H7126" s="24" t="s">
        <v>6726</v>
      </c>
      <c r="I7126" s="24">
        <v>8.85</v>
      </c>
      <c r="J7126" s="24">
        <v>0.0</v>
      </c>
    </row>
    <row r="7127">
      <c r="A7127" s="24">
        <v>200.0</v>
      </c>
      <c r="B7127" s="24">
        <v>1.0</v>
      </c>
      <c r="C7127" s="44">
        <v>23.25</v>
      </c>
      <c r="D7127" s="46">
        <v>45714.0</v>
      </c>
      <c r="E7127" s="24">
        <v>23.25</v>
      </c>
      <c r="F7127" s="24">
        <v>116.25</v>
      </c>
      <c r="G7127" s="24">
        <v>0.5</v>
      </c>
      <c r="H7127" s="24" t="s">
        <v>6720</v>
      </c>
      <c r="I7127" s="24">
        <v>0.93</v>
      </c>
      <c r="J7127" s="24">
        <v>0.0</v>
      </c>
    </row>
    <row r="7128">
      <c r="A7128" s="24">
        <v>164.0</v>
      </c>
      <c r="B7128" s="24">
        <v>2.0</v>
      </c>
      <c r="C7128" s="44">
        <v>21.99</v>
      </c>
      <c r="D7128" s="46">
        <v>45715.0</v>
      </c>
      <c r="E7128" s="24">
        <v>11.0</v>
      </c>
      <c r="F7128" s="24">
        <v>134.09</v>
      </c>
      <c r="G7128" s="24">
        <v>1.22</v>
      </c>
      <c r="H7128" s="24" t="s">
        <v>6720</v>
      </c>
      <c r="I7128" s="24">
        <v>1.1</v>
      </c>
      <c r="J7128" s="24">
        <v>0.0</v>
      </c>
    </row>
    <row r="7129">
      <c r="A7129" s="24">
        <v>0.0</v>
      </c>
      <c r="B7129" s="24">
        <v>0.0</v>
      </c>
      <c r="C7129" s="44">
        <v>23.1</v>
      </c>
      <c r="D7129" s="46">
        <v>45715.0</v>
      </c>
      <c r="E7129" s="24" t="s">
        <v>6650</v>
      </c>
      <c r="F7129" s="24" t="s">
        <v>6650</v>
      </c>
      <c r="G7129" s="24" t="s">
        <v>6650</v>
      </c>
      <c r="H7129" s="24" t="s">
        <v>6726</v>
      </c>
      <c r="I7129" s="24">
        <v>1.65</v>
      </c>
      <c r="J7129" s="24">
        <v>0.0</v>
      </c>
    </row>
    <row r="7130">
      <c r="A7130" s="24">
        <v>90.0</v>
      </c>
      <c r="B7130" s="24">
        <v>0.0</v>
      </c>
      <c r="C7130" s="44">
        <v>39.5</v>
      </c>
      <c r="D7130" s="46">
        <v>45715.0</v>
      </c>
      <c r="E7130" s="24" t="s">
        <v>6650</v>
      </c>
      <c r="F7130" s="24">
        <v>438.89</v>
      </c>
      <c r="G7130" s="24">
        <v>0.0</v>
      </c>
      <c r="H7130" s="24" t="s">
        <v>6725</v>
      </c>
      <c r="I7130" s="24">
        <v>3.95</v>
      </c>
      <c r="J7130" s="24">
        <v>0.0</v>
      </c>
    </row>
    <row r="7131">
      <c r="A7131" s="24">
        <v>160.0</v>
      </c>
      <c r="B7131" s="24">
        <v>5.0</v>
      </c>
      <c r="C7131" s="44">
        <v>22.34</v>
      </c>
      <c r="D7131" s="46">
        <v>45715.0</v>
      </c>
      <c r="E7131" s="24">
        <v>4.47</v>
      </c>
      <c r="F7131" s="24">
        <v>139.62</v>
      </c>
      <c r="G7131" s="24">
        <v>3.12</v>
      </c>
      <c r="H7131" s="24" t="s">
        <v>6729</v>
      </c>
      <c r="I7131" s="24" t="s">
        <v>6650</v>
      </c>
      <c r="J7131" s="24">
        <v>0.0</v>
      </c>
    </row>
    <row r="7132">
      <c r="A7132" s="24">
        <v>121.0</v>
      </c>
      <c r="B7132" s="24">
        <v>0.0</v>
      </c>
      <c r="C7132" s="44">
        <v>39.66</v>
      </c>
      <c r="D7132" s="46">
        <v>45715.0</v>
      </c>
      <c r="E7132" s="24" t="s">
        <v>6650</v>
      </c>
      <c r="F7132" s="24">
        <v>327.77</v>
      </c>
      <c r="G7132" s="24">
        <v>0.0</v>
      </c>
      <c r="H7132" s="24" t="s">
        <v>6728</v>
      </c>
      <c r="I7132" s="24">
        <v>7.93</v>
      </c>
      <c r="J7132" s="24">
        <v>0.0</v>
      </c>
    </row>
    <row r="7133">
      <c r="A7133" s="24">
        <v>0.0</v>
      </c>
      <c r="B7133" s="24">
        <v>0.0</v>
      </c>
      <c r="C7133" s="44"/>
      <c r="D7133" s="46">
        <v>45715.0</v>
      </c>
      <c r="E7133" s="24" t="s">
        <v>6650</v>
      </c>
      <c r="F7133" s="24" t="s">
        <v>6650</v>
      </c>
      <c r="G7133" s="24" t="s">
        <v>6650</v>
      </c>
      <c r="H7133" s="24" t="s">
        <v>6727</v>
      </c>
      <c r="I7133" s="24" t="s">
        <v>6650</v>
      </c>
      <c r="J7133" s="24"/>
    </row>
    <row r="7134">
      <c r="A7134" s="24">
        <v>141.0</v>
      </c>
      <c r="B7134" s="24">
        <v>0.0</v>
      </c>
      <c r="C7134" s="44">
        <v>26.83</v>
      </c>
      <c r="D7134" s="46">
        <v>45715.0</v>
      </c>
      <c r="E7134" s="24" t="s">
        <v>6650</v>
      </c>
      <c r="F7134" s="24">
        <v>190.28</v>
      </c>
      <c r="G7134" s="24">
        <v>0.0</v>
      </c>
      <c r="H7134" s="24" t="s">
        <v>6724</v>
      </c>
      <c r="I7134" s="24">
        <v>1.68</v>
      </c>
      <c r="J7134" s="24">
        <v>0.0</v>
      </c>
    </row>
    <row r="7135">
      <c r="A7135" s="24">
        <v>0.0</v>
      </c>
      <c r="B7135" s="24">
        <v>0.0</v>
      </c>
      <c r="C7135" s="44">
        <v>20.39</v>
      </c>
      <c r="D7135" s="46">
        <v>45716.0</v>
      </c>
      <c r="E7135" s="24" t="s">
        <v>6650</v>
      </c>
      <c r="F7135" s="24" t="s">
        <v>6650</v>
      </c>
      <c r="G7135" s="24" t="s">
        <v>6650</v>
      </c>
      <c r="H7135" s="24" t="s">
        <v>6726</v>
      </c>
      <c r="I7135" s="24">
        <v>2.91</v>
      </c>
      <c r="J7135" s="24">
        <v>0.0</v>
      </c>
    </row>
    <row r="7136">
      <c r="A7136" s="24">
        <v>86.0</v>
      </c>
      <c r="B7136" s="24">
        <v>0.0</v>
      </c>
      <c r="C7136" s="44">
        <v>39.19</v>
      </c>
      <c r="D7136" s="46">
        <v>45716.0</v>
      </c>
      <c r="E7136" s="24" t="s">
        <v>6650</v>
      </c>
      <c r="F7136" s="24">
        <v>455.7</v>
      </c>
      <c r="G7136" s="24">
        <v>0.0</v>
      </c>
      <c r="H7136" s="24" t="s">
        <v>6725</v>
      </c>
      <c r="I7136" s="24">
        <v>6.53</v>
      </c>
      <c r="J7136" s="24">
        <v>0.0</v>
      </c>
    </row>
    <row r="7137">
      <c r="A7137" s="24">
        <v>104.0</v>
      </c>
      <c r="B7137" s="24">
        <v>2.0</v>
      </c>
      <c r="C7137" s="44">
        <v>23.55</v>
      </c>
      <c r="D7137" s="46">
        <v>45716.0</v>
      </c>
      <c r="E7137" s="24">
        <v>11.78</v>
      </c>
      <c r="F7137" s="24">
        <v>226.44</v>
      </c>
      <c r="G7137" s="24">
        <v>1.92</v>
      </c>
      <c r="H7137" s="24" t="s">
        <v>6724</v>
      </c>
      <c r="I7137" s="24">
        <v>0.84</v>
      </c>
      <c r="J7137" s="24">
        <v>0.0</v>
      </c>
    </row>
    <row r="7138">
      <c r="A7138" s="24">
        <v>75.0</v>
      </c>
      <c r="B7138" s="24">
        <v>1.0</v>
      </c>
      <c r="C7138" s="44">
        <v>38.99</v>
      </c>
      <c r="D7138" s="46">
        <v>45716.0</v>
      </c>
      <c r="E7138" s="24">
        <v>38.99</v>
      </c>
      <c r="F7138" s="24">
        <v>519.87</v>
      </c>
      <c r="G7138" s="24">
        <v>1.33</v>
      </c>
      <c r="H7138" s="24" t="s">
        <v>6728</v>
      </c>
      <c r="I7138" s="24">
        <v>6.5</v>
      </c>
      <c r="J7138" s="24">
        <v>0.0</v>
      </c>
    </row>
    <row r="7139">
      <c r="A7139" s="24">
        <v>169.0</v>
      </c>
      <c r="B7139" s="24">
        <v>0.0</v>
      </c>
      <c r="C7139" s="44">
        <v>22.76</v>
      </c>
      <c r="D7139" s="46">
        <v>45716.0</v>
      </c>
      <c r="E7139" s="24" t="s">
        <v>6650</v>
      </c>
      <c r="F7139" s="24">
        <v>134.67</v>
      </c>
      <c r="G7139" s="24">
        <v>0.0</v>
      </c>
      <c r="H7139" s="24" t="s">
        <v>6720</v>
      </c>
      <c r="I7139" s="24">
        <v>0.56</v>
      </c>
      <c r="J7139" s="24">
        <v>0.0</v>
      </c>
    </row>
    <row r="7140">
      <c r="A7140" s="24">
        <v>0.0</v>
      </c>
      <c r="B7140" s="24">
        <v>0.0</v>
      </c>
      <c r="C7140" s="44"/>
      <c r="D7140" s="46">
        <v>45716.0</v>
      </c>
      <c r="E7140" s="24" t="s">
        <v>6650</v>
      </c>
      <c r="F7140" s="24" t="s">
        <v>6650</v>
      </c>
      <c r="G7140" s="24" t="s">
        <v>6650</v>
      </c>
      <c r="H7140" s="24" t="s">
        <v>6727</v>
      </c>
      <c r="I7140" s="24" t="s">
        <v>6650</v>
      </c>
      <c r="J7140" s="24"/>
    </row>
    <row r="7141">
      <c r="A7141" s="24">
        <v>125.0</v>
      </c>
      <c r="B7141" s="24">
        <v>8.0</v>
      </c>
      <c r="C7141" s="44">
        <v>21.14</v>
      </c>
      <c r="D7141" s="46">
        <v>45716.0</v>
      </c>
      <c r="E7141" s="24">
        <v>2.64</v>
      </c>
      <c r="F7141" s="24">
        <v>169.12</v>
      </c>
      <c r="G7141" s="24">
        <v>6.4</v>
      </c>
      <c r="H7141" s="24" t="s">
        <v>6729</v>
      </c>
      <c r="I7141" s="24" t="s">
        <v>6650</v>
      </c>
      <c r="J7141" s="24">
        <v>0.0</v>
      </c>
    </row>
    <row r="7142">
      <c r="A7142" s="24">
        <v>52.0</v>
      </c>
      <c r="B7142" s="24">
        <v>0.0</v>
      </c>
      <c r="C7142" s="44">
        <v>21.24</v>
      </c>
      <c r="D7142" s="46">
        <v>45717.0</v>
      </c>
      <c r="E7142" s="24" t="s">
        <v>6650</v>
      </c>
      <c r="F7142" s="24">
        <v>408.46</v>
      </c>
      <c r="G7142" s="24">
        <v>0.0</v>
      </c>
      <c r="H7142" s="24" t="s">
        <v>6725</v>
      </c>
      <c r="I7142" s="24">
        <v>5.31</v>
      </c>
      <c r="J7142" s="24">
        <v>0.0</v>
      </c>
    </row>
    <row r="7143">
      <c r="A7143" s="24">
        <v>87.0</v>
      </c>
      <c r="B7143" s="24">
        <v>0.0</v>
      </c>
      <c r="C7143" s="44">
        <v>14.41</v>
      </c>
      <c r="D7143" s="46">
        <v>45717.0</v>
      </c>
      <c r="E7143" s="24" t="s">
        <v>6650</v>
      </c>
      <c r="F7143" s="24">
        <v>165.63</v>
      </c>
      <c r="G7143" s="24">
        <v>0.0</v>
      </c>
      <c r="H7143" s="24" t="s">
        <v>6724</v>
      </c>
      <c r="I7143" s="24">
        <v>1.31</v>
      </c>
      <c r="J7143" s="24">
        <v>0.0</v>
      </c>
    </row>
    <row r="7144">
      <c r="A7144" s="24">
        <v>0.0</v>
      </c>
      <c r="B7144" s="24">
        <v>0.0</v>
      </c>
      <c r="C7144" s="44"/>
      <c r="D7144" s="46">
        <v>45717.0</v>
      </c>
      <c r="E7144" s="24" t="s">
        <v>6650</v>
      </c>
      <c r="F7144" s="24" t="s">
        <v>6650</v>
      </c>
      <c r="G7144" s="24" t="s">
        <v>6650</v>
      </c>
      <c r="H7144" s="24" t="s">
        <v>6727</v>
      </c>
      <c r="I7144" s="24" t="s">
        <v>6650</v>
      </c>
      <c r="J7144" s="24"/>
    </row>
    <row r="7145">
      <c r="A7145" s="24">
        <v>95.0</v>
      </c>
      <c r="B7145" s="24">
        <v>2.0</v>
      </c>
      <c r="C7145" s="44">
        <v>14.16</v>
      </c>
      <c r="D7145" s="46">
        <v>45717.0</v>
      </c>
      <c r="E7145" s="24">
        <v>7.08</v>
      </c>
      <c r="F7145" s="24">
        <v>149.05</v>
      </c>
      <c r="G7145" s="24">
        <v>2.11</v>
      </c>
      <c r="H7145" s="24" t="s">
        <v>6729</v>
      </c>
      <c r="I7145" s="24" t="s">
        <v>6650</v>
      </c>
      <c r="J7145" s="24">
        <v>0.0</v>
      </c>
    </row>
    <row r="7146">
      <c r="A7146" s="24">
        <v>0.0</v>
      </c>
      <c r="B7146" s="24">
        <v>0.0</v>
      </c>
      <c r="C7146" s="44">
        <v>6.31</v>
      </c>
      <c r="D7146" s="46">
        <v>45717.0</v>
      </c>
      <c r="E7146" s="24" t="s">
        <v>6650</v>
      </c>
      <c r="F7146" s="24" t="s">
        <v>6650</v>
      </c>
      <c r="G7146" s="24" t="s">
        <v>6650</v>
      </c>
      <c r="H7146" s="24" t="s">
        <v>6726</v>
      </c>
      <c r="I7146" s="24">
        <v>1.58</v>
      </c>
      <c r="J7146" s="24">
        <v>0.0</v>
      </c>
    </row>
    <row r="7147">
      <c r="A7147" s="24">
        <v>129.0</v>
      </c>
      <c r="B7147" s="24">
        <v>0.0</v>
      </c>
      <c r="C7147" s="44">
        <v>13.2</v>
      </c>
      <c r="D7147" s="46">
        <v>45717.0</v>
      </c>
      <c r="E7147" s="24" t="s">
        <v>6650</v>
      </c>
      <c r="F7147" s="24">
        <v>102.33</v>
      </c>
      <c r="G7147" s="24">
        <v>0.0</v>
      </c>
      <c r="H7147" s="24" t="s">
        <v>6720</v>
      </c>
      <c r="I7147" s="24">
        <v>4.4</v>
      </c>
      <c r="J7147" s="24">
        <v>0.0</v>
      </c>
    </row>
    <row r="7148">
      <c r="A7148" s="24">
        <v>55.0</v>
      </c>
      <c r="B7148" s="24">
        <v>0.0</v>
      </c>
      <c r="C7148" s="44">
        <v>22.2</v>
      </c>
      <c r="D7148" s="46">
        <v>45717.0</v>
      </c>
      <c r="E7148" s="24" t="s">
        <v>6650</v>
      </c>
      <c r="F7148" s="24">
        <v>403.64</v>
      </c>
      <c r="G7148" s="24">
        <v>0.0</v>
      </c>
      <c r="H7148" s="24" t="s">
        <v>6728</v>
      </c>
      <c r="I7148" s="24">
        <v>4.44</v>
      </c>
      <c r="J7148" s="24">
        <v>0.0</v>
      </c>
    </row>
    <row r="7149">
      <c r="A7149" s="24">
        <v>49.0</v>
      </c>
      <c r="B7149" s="24">
        <v>0.0</v>
      </c>
      <c r="C7149" s="44">
        <v>8.97</v>
      </c>
      <c r="D7149" s="46">
        <v>45718.0</v>
      </c>
      <c r="E7149" s="24" t="s">
        <v>6650</v>
      </c>
      <c r="F7149" s="24">
        <v>183.06</v>
      </c>
      <c r="G7149" s="24">
        <v>0.0</v>
      </c>
      <c r="H7149" s="24" t="s">
        <v>6720</v>
      </c>
      <c r="I7149" s="24">
        <v>2.99</v>
      </c>
      <c r="J7149" s="24">
        <v>0.0</v>
      </c>
    </row>
    <row r="7150">
      <c r="A7150" s="24">
        <v>0.0</v>
      </c>
      <c r="B7150" s="24">
        <v>0.0</v>
      </c>
      <c r="C7150" s="44">
        <v>6.53</v>
      </c>
      <c r="D7150" s="46">
        <v>45718.0</v>
      </c>
      <c r="E7150" s="24" t="s">
        <v>6650</v>
      </c>
      <c r="F7150" s="24" t="s">
        <v>6650</v>
      </c>
      <c r="G7150" s="24" t="s">
        <v>6650</v>
      </c>
      <c r="H7150" s="24" t="s">
        <v>6726</v>
      </c>
      <c r="I7150" s="24" t="s">
        <v>6650</v>
      </c>
      <c r="J7150" s="24">
        <v>0.0</v>
      </c>
    </row>
    <row r="7151">
      <c r="A7151" s="24">
        <v>34.0</v>
      </c>
      <c r="B7151" s="24">
        <v>0.0</v>
      </c>
      <c r="C7151" s="44">
        <v>15.23</v>
      </c>
      <c r="D7151" s="46">
        <v>45718.0</v>
      </c>
      <c r="E7151" s="24" t="s">
        <v>6650</v>
      </c>
      <c r="F7151" s="24">
        <v>447.94</v>
      </c>
      <c r="G7151" s="24">
        <v>0.0</v>
      </c>
      <c r="H7151" s="24" t="s">
        <v>6728</v>
      </c>
      <c r="I7151" s="24" t="s">
        <v>6650</v>
      </c>
      <c r="J7151" s="24">
        <v>0.0</v>
      </c>
    </row>
    <row r="7152">
      <c r="A7152" s="24">
        <v>36.0</v>
      </c>
      <c r="B7152" s="24">
        <v>0.0</v>
      </c>
      <c r="C7152" s="44">
        <v>15.07</v>
      </c>
      <c r="D7152" s="46">
        <v>45718.0</v>
      </c>
      <c r="E7152" s="24" t="s">
        <v>6650</v>
      </c>
      <c r="F7152" s="24">
        <v>418.61</v>
      </c>
      <c r="G7152" s="24">
        <v>0.0</v>
      </c>
      <c r="H7152" s="24" t="s">
        <v>6725</v>
      </c>
      <c r="I7152" s="24" t="s">
        <v>6650</v>
      </c>
      <c r="J7152" s="24">
        <v>0.0</v>
      </c>
    </row>
    <row r="7153">
      <c r="A7153" s="24">
        <v>67.0</v>
      </c>
      <c r="B7153" s="24">
        <v>0.0</v>
      </c>
      <c r="C7153" s="44">
        <v>10.81</v>
      </c>
      <c r="D7153" s="46">
        <v>45718.0</v>
      </c>
      <c r="E7153" s="24" t="s">
        <v>6650</v>
      </c>
      <c r="F7153" s="24">
        <v>161.34</v>
      </c>
      <c r="G7153" s="24">
        <v>0.0</v>
      </c>
      <c r="H7153" s="24" t="s">
        <v>6724</v>
      </c>
      <c r="I7153" s="24">
        <v>2.7</v>
      </c>
      <c r="J7153" s="24">
        <v>0.0</v>
      </c>
    </row>
    <row r="7154">
      <c r="A7154" s="24">
        <v>94.0</v>
      </c>
      <c r="B7154" s="24">
        <v>5.0</v>
      </c>
      <c r="C7154" s="44">
        <v>11.63</v>
      </c>
      <c r="D7154" s="46">
        <v>45718.0</v>
      </c>
      <c r="E7154" s="24">
        <v>2.33</v>
      </c>
      <c r="F7154" s="24">
        <v>123.72</v>
      </c>
      <c r="G7154" s="24">
        <v>5.32</v>
      </c>
      <c r="H7154" s="24" t="s">
        <v>6729</v>
      </c>
      <c r="I7154" s="24" t="s">
        <v>6650</v>
      </c>
      <c r="J7154" s="24">
        <v>0.0</v>
      </c>
    </row>
    <row r="7155">
      <c r="A7155" s="24">
        <v>264.0</v>
      </c>
      <c r="B7155" s="24">
        <v>2.0</v>
      </c>
      <c r="C7155" s="44">
        <v>22.2</v>
      </c>
      <c r="D7155" s="46">
        <v>45719.0</v>
      </c>
      <c r="E7155" s="24">
        <v>11.1</v>
      </c>
      <c r="F7155" s="24">
        <v>84.09</v>
      </c>
      <c r="G7155" s="24">
        <v>0.76</v>
      </c>
      <c r="H7155" s="24" t="s">
        <v>6730</v>
      </c>
      <c r="I7155" s="24" t="s">
        <v>6650</v>
      </c>
      <c r="J7155" s="24">
        <v>0.0</v>
      </c>
    </row>
    <row r="7156">
      <c r="A7156" s="24">
        <v>64.0</v>
      </c>
      <c r="B7156" s="24">
        <v>0.0</v>
      </c>
      <c r="C7156" s="44">
        <v>10.47</v>
      </c>
      <c r="D7156" s="46">
        <v>45719.0</v>
      </c>
      <c r="E7156" s="24" t="s">
        <v>6650</v>
      </c>
      <c r="F7156" s="24">
        <v>163.59</v>
      </c>
      <c r="G7156" s="24">
        <v>0.0</v>
      </c>
      <c r="H7156" s="24" t="s">
        <v>6720</v>
      </c>
      <c r="I7156" s="24">
        <v>0.21</v>
      </c>
      <c r="J7156" s="24">
        <v>0.0</v>
      </c>
    </row>
    <row r="7157">
      <c r="A7157" s="24">
        <v>643.0</v>
      </c>
      <c r="B7157" s="24">
        <v>4.0</v>
      </c>
      <c r="C7157" s="44">
        <v>19.68</v>
      </c>
      <c r="D7157" s="46">
        <v>45719.0</v>
      </c>
      <c r="E7157" s="24">
        <v>4.92</v>
      </c>
      <c r="F7157" s="24">
        <v>30.61</v>
      </c>
      <c r="G7157" s="24">
        <v>0.62</v>
      </c>
      <c r="H7157" s="24" t="s">
        <v>6731</v>
      </c>
      <c r="I7157" s="24" t="s">
        <v>6650</v>
      </c>
      <c r="J7157" s="24">
        <v>0.0</v>
      </c>
    </row>
    <row r="7158">
      <c r="A7158" s="24">
        <v>0.0</v>
      </c>
      <c r="B7158" s="24">
        <v>0.0</v>
      </c>
      <c r="C7158" s="44"/>
      <c r="D7158" s="46">
        <v>45719.0</v>
      </c>
      <c r="E7158" s="24" t="s">
        <v>6650</v>
      </c>
      <c r="F7158" s="24" t="s">
        <v>6650</v>
      </c>
      <c r="G7158" s="24" t="s">
        <v>6650</v>
      </c>
      <c r="H7158" s="24" t="s">
        <v>6727</v>
      </c>
      <c r="I7158" s="24" t="s">
        <v>6650</v>
      </c>
      <c r="J7158" s="24"/>
    </row>
    <row r="7159">
      <c r="A7159" s="24">
        <v>89.0</v>
      </c>
      <c r="B7159" s="24">
        <v>4.0</v>
      </c>
      <c r="C7159" s="44">
        <v>22.11</v>
      </c>
      <c r="D7159" s="46">
        <v>45719.0</v>
      </c>
      <c r="E7159" s="24">
        <v>5.53</v>
      </c>
      <c r="F7159" s="24">
        <v>248.43</v>
      </c>
      <c r="G7159" s="24">
        <v>4.49</v>
      </c>
      <c r="H7159" s="24" t="s">
        <v>6729</v>
      </c>
      <c r="I7159" s="24" t="s">
        <v>6650</v>
      </c>
      <c r="J7159" s="24">
        <v>0.0</v>
      </c>
    </row>
    <row r="7160">
      <c r="A7160" s="24">
        <v>61.0</v>
      </c>
      <c r="B7160" s="24">
        <v>0.0</v>
      </c>
      <c r="C7160" s="44">
        <v>31.55</v>
      </c>
      <c r="D7160" s="46">
        <v>45719.0</v>
      </c>
      <c r="E7160" s="24" t="s">
        <v>6650</v>
      </c>
      <c r="F7160" s="24">
        <v>517.21</v>
      </c>
      <c r="G7160" s="24">
        <v>0.0</v>
      </c>
      <c r="H7160" s="24" t="s">
        <v>6728</v>
      </c>
      <c r="I7160" s="24">
        <v>7.89</v>
      </c>
      <c r="J7160" s="24">
        <v>0.0</v>
      </c>
    </row>
    <row r="7161">
      <c r="A7161" s="24">
        <v>0.0</v>
      </c>
      <c r="B7161" s="24">
        <v>0.0</v>
      </c>
      <c r="C7161" s="44">
        <v>18.28</v>
      </c>
      <c r="D7161" s="46">
        <v>45719.0</v>
      </c>
      <c r="E7161" s="24" t="s">
        <v>6650</v>
      </c>
      <c r="F7161" s="24" t="s">
        <v>6650</v>
      </c>
      <c r="G7161" s="24" t="s">
        <v>6650</v>
      </c>
      <c r="H7161" s="24" t="s">
        <v>6726</v>
      </c>
      <c r="I7161" s="24">
        <v>4.57</v>
      </c>
      <c r="J7161" s="24">
        <v>0.0</v>
      </c>
    </row>
    <row r="7162">
      <c r="A7162" s="24">
        <v>52.0</v>
      </c>
      <c r="B7162" s="24">
        <v>0.0</v>
      </c>
      <c r="C7162" s="44">
        <v>8.69</v>
      </c>
      <c r="D7162" s="46">
        <v>45719.0</v>
      </c>
      <c r="E7162" s="24" t="s">
        <v>6650</v>
      </c>
      <c r="F7162" s="24">
        <v>167.12</v>
      </c>
      <c r="G7162" s="24">
        <v>0.0</v>
      </c>
      <c r="H7162" s="24" t="s">
        <v>6724</v>
      </c>
      <c r="I7162" s="24">
        <v>0.62</v>
      </c>
      <c r="J7162" s="24">
        <v>0.0</v>
      </c>
    </row>
    <row r="7163">
      <c r="A7163" s="24">
        <v>61.0</v>
      </c>
      <c r="B7163" s="24">
        <v>0.0</v>
      </c>
      <c r="C7163" s="44">
        <v>31.33</v>
      </c>
      <c r="D7163" s="46">
        <v>45719.0</v>
      </c>
      <c r="E7163" s="24" t="s">
        <v>6650</v>
      </c>
      <c r="F7163" s="24">
        <v>513.61</v>
      </c>
      <c r="G7163" s="24">
        <v>0.0</v>
      </c>
      <c r="H7163" s="24" t="s">
        <v>6725</v>
      </c>
      <c r="I7163" s="24">
        <v>7.83</v>
      </c>
      <c r="J7163" s="24">
        <v>0.0</v>
      </c>
    </row>
    <row r="7164">
      <c r="A7164" s="24">
        <v>0.0</v>
      </c>
      <c r="B7164" s="24">
        <v>0.0</v>
      </c>
      <c r="C7164" s="44"/>
      <c r="D7164" s="46">
        <v>45720.0</v>
      </c>
      <c r="E7164" s="24" t="s">
        <v>6650</v>
      </c>
      <c r="F7164" s="24" t="s">
        <v>6650</v>
      </c>
      <c r="G7164" s="24" t="s">
        <v>6650</v>
      </c>
      <c r="H7164" s="24" t="s">
        <v>6724</v>
      </c>
      <c r="I7164" s="24" t="s">
        <v>6650</v>
      </c>
      <c r="J7164" s="24"/>
    </row>
    <row r="7165">
      <c r="A7165" s="24">
        <v>0.0</v>
      </c>
      <c r="B7165" s="24">
        <v>0.0</v>
      </c>
      <c r="C7165" s="44">
        <v>16.57</v>
      </c>
      <c r="D7165" s="46">
        <v>45720.0</v>
      </c>
      <c r="E7165" s="24" t="s">
        <v>6650</v>
      </c>
      <c r="F7165" s="24" t="s">
        <v>6650</v>
      </c>
      <c r="G7165" s="24" t="s">
        <v>6650</v>
      </c>
      <c r="H7165" s="24" t="s">
        <v>6726</v>
      </c>
      <c r="I7165" s="24">
        <v>8.28</v>
      </c>
      <c r="J7165" s="24">
        <v>0.0</v>
      </c>
    </row>
    <row r="7166">
      <c r="A7166" s="24">
        <v>0.0</v>
      </c>
      <c r="B7166" s="24">
        <v>0.0</v>
      </c>
      <c r="C7166" s="44"/>
      <c r="D7166" s="46">
        <v>45720.0</v>
      </c>
      <c r="E7166" s="24" t="s">
        <v>6650</v>
      </c>
      <c r="F7166" s="24" t="s">
        <v>6650</v>
      </c>
      <c r="G7166" s="24" t="s">
        <v>6650</v>
      </c>
      <c r="H7166" s="24" t="s">
        <v>6720</v>
      </c>
      <c r="I7166" s="24" t="s">
        <v>6650</v>
      </c>
      <c r="J7166" s="24"/>
    </row>
    <row r="7167">
      <c r="A7167" s="24">
        <v>1607.0</v>
      </c>
      <c r="B7167" s="24">
        <v>32.0</v>
      </c>
      <c r="C7167" s="44">
        <v>19.84</v>
      </c>
      <c r="D7167" s="46">
        <v>45720.0</v>
      </c>
      <c r="E7167" s="24">
        <v>0.62</v>
      </c>
      <c r="F7167" s="24">
        <v>12.35</v>
      </c>
      <c r="G7167" s="24">
        <v>1.99</v>
      </c>
      <c r="H7167" s="24" t="s">
        <v>6732</v>
      </c>
      <c r="I7167" s="24" t="s">
        <v>6650</v>
      </c>
      <c r="J7167" s="24">
        <v>0.0</v>
      </c>
    </row>
    <row r="7168">
      <c r="A7168" s="24">
        <v>79.0</v>
      </c>
      <c r="B7168" s="24">
        <v>0.0</v>
      </c>
      <c r="C7168" s="44">
        <v>37.12</v>
      </c>
      <c r="D7168" s="46">
        <v>45720.0</v>
      </c>
      <c r="E7168" s="24" t="s">
        <v>6650</v>
      </c>
      <c r="F7168" s="24">
        <v>469.87</v>
      </c>
      <c r="G7168" s="24">
        <v>0.0</v>
      </c>
      <c r="H7168" s="24" t="s">
        <v>6725</v>
      </c>
      <c r="I7168" s="24">
        <v>12.37</v>
      </c>
      <c r="J7168" s="24">
        <v>0.0</v>
      </c>
    </row>
    <row r="7169">
      <c r="A7169" s="24">
        <v>212.0</v>
      </c>
      <c r="B7169" s="24">
        <v>1.0</v>
      </c>
      <c r="C7169" s="44">
        <v>21.76</v>
      </c>
      <c r="D7169" s="46">
        <v>45720.0</v>
      </c>
      <c r="E7169" s="24">
        <v>21.76</v>
      </c>
      <c r="F7169" s="24">
        <v>102.64</v>
      </c>
      <c r="G7169" s="24">
        <v>0.47</v>
      </c>
      <c r="H7169" s="24" t="s">
        <v>6731</v>
      </c>
      <c r="I7169" s="24" t="s">
        <v>6650</v>
      </c>
      <c r="J7169" s="24">
        <v>0.0</v>
      </c>
    </row>
    <row r="7170">
      <c r="A7170" s="24">
        <v>0.0</v>
      </c>
      <c r="B7170" s="24">
        <v>0.0</v>
      </c>
      <c r="C7170" s="44"/>
      <c r="D7170" s="46">
        <v>45720.0</v>
      </c>
      <c r="E7170" s="24" t="s">
        <v>6650</v>
      </c>
      <c r="F7170" s="24" t="s">
        <v>6650</v>
      </c>
      <c r="G7170" s="24" t="s">
        <v>6650</v>
      </c>
      <c r="H7170" s="24" t="s">
        <v>6727</v>
      </c>
      <c r="I7170" s="24" t="s">
        <v>6650</v>
      </c>
      <c r="J7170" s="24"/>
    </row>
    <row r="7171">
      <c r="A7171" s="24">
        <v>167.0</v>
      </c>
      <c r="B7171" s="24">
        <v>9.0</v>
      </c>
      <c r="C7171" s="44">
        <v>21.81</v>
      </c>
      <c r="D7171" s="46">
        <v>45720.0</v>
      </c>
      <c r="E7171" s="24">
        <v>2.42</v>
      </c>
      <c r="F7171" s="24">
        <v>130.6</v>
      </c>
      <c r="G7171" s="24">
        <v>5.39</v>
      </c>
      <c r="H7171" s="24" t="s">
        <v>6729</v>
      </c>
      <c r="I7171" s="24" t="s">
        <v>6650</v>
      </c>
      <c r="J7171" s="24">
        <v>0.0</v>
      </c>
    </row>
    <row r="7172">
      <c r="A7172" s="24">
        <v>102.0</v>
      </c>
      <c r="B7172" s="24">
        <v>0.0</v>
      </c>
      <c r="C7172" s="44">
        <v>26.58</v>
      </c>
      <c r="D7172" s="46">
        <v>45720.0</v>
      </c>
      <c r="E7172" s="24" t="s">
        <v>6650</v>
      </c>
      <c r="F7172" s="24">
        <v>260.59</v>
      </c>
      <c r="G7172" s="24">
        <v>0.0</v>
      </c>
      <c r="H7172" s="24" t="s">
        <v>6730</v>
      </c>
      <c r="I7172" s="24" t="s">
        <v>6650</v>
      </c>
      <c r="J7172" s="24">
        <v>0.0</v>
      </c>
    </row>
    <row r="7173">
      <c r="A7173" s="24">
        <v>69.0</v>
      </c>
      <c r="B7173" s="24">
        <v>0.0</v>
      </c>
      <c r="C7173" s="44">
        <v>37.28</v>
      </c>
      <c r="D7173" s="46">
        <v>45720.0</v>
      </c>
      <c r="E7173" s="24" t="s">
        <v>6650</v>
      </c>
      <c r="F7173" s="24">
        <v>540.29</v>
      </c>
      <c r="G7173" s="24">
        <v>0.0</v>
      </c>
      <c r="H7173" s="24" t="s">
        <v>6728</v>
      </c>
      <c r="I7173" s="24">
        <v>18.64</v>
      </c>
      <c r="J7173" s="24">
        <v>0.0</v>
      </c>
    </row>
    <row r="7174">
      <c r="A7174" s="24">
        <v>0.0</v>
      </c>
      <c r="B7174" s="24">
        <v>0.0</v>
      </c>
      <c r="C7174" s="44"/>
      <c r="D7174" s="46">
        <v>45721.0</v>
      </c>
      <c r="E7174" s="24" t="s">
        <v>6650</v>
      </c>
      <c r="F7174" s="24" t="s">
        <v>6650</v>
      </c>
      <c r="G7174" s="24" t="s">
        <v>6650</v>
      </c>
      <c r="H7174" s="24" t="s">
        <v>6724</v>
      </c>
      <c r="I7174" s="24" t="s">
        <v>6650</v>
      </c>
      <c r="J7174" s="24"/>
    </row>
    <row r="7175">
      <c r="A7175" s="24">
        <v>0.0</v>
      </c>
      <c r="B7175" s="24">
        <v>0.0</v>
      </c>
      <c r="C7175" s="44"/>
      <c r="D7175" s="46">
        <v>45721.0</v>
      </c>
      <c r="E7175" s="24" t="s">
        <v>6650</v>
      </c>
      <c r="F7175" s="24" t="s">
        <v>6650</v>
      </c>
      <c r="G7175" s="24" t="s">
        <v>6650</v>
      </c>
      <c r="H7175" s="24" t="s">
        <v>6727</v>
      </c>
      <c r="I7175" s="24" t="s">
        <v>6650</v>
      </c>
      <c r="J7175" s="24"/>
    </row>
    <row r="7176">
      <c r="A7176" s="24">
        <v>181.0</v>
      </c>
      <c r="B7176" s="24">
        <v>6.0</v>
      </c>
      <c r="C7176" s="44">
        <v>5.63</v>
      </c>
      <c r="D7176" s="46">
        <v>45721.0</v>
      </c>
      <c r="E7176" s="24">
        <v>0.94</v>
      </c>
      <c r="F7176" s="24">
        <v>31.1</v>
      </c>
      <c r="G7176" s="24">
        <v>3.31</v>
      </c>
      <c r="H7176" s="24" t="s">
        <v>6732</v>
      </c>
      <c r="I7176" s="24" t="s">
        <v>6650</v>
      </c>
      <c r="J7176" s="24">
        <v>0.0</v>
      </c>
    </row>
    <row r="7177">
      <c r="A7177" s="24">
        <v>110.0</v>
      </c>
      <c r="B7177" s="24">
        <v>0.0</v>
      </c>
      <c r="C7177" s="44">
        <v>24.9</v>
      </c>
      <c r="D7177" s="46">
        <v>45721.0</v>
      </c>
      <c r="E7177" s="24" t="s">
        <v>6650</v>
      </c>
      <c r="F7177" s="24">
        <v>226.36</v>
      </c>
      <c r="G7177" s="24">
        <v>0.0</v>
      </c>
      <c r="H7177" s="24" t="s">
        <v>6730</v>
      </c>
      <c r="I7177" s="24" t="s">
        <v>6650</v>
      </c>
      <c r="J7177" s="24">
        <v>0.0</v>
      </c>
    </row>
    <row r="7178">
      <c r="A7178" s="24">
        <v>0.0</v>
      </c>
      <c r="B7178" s="24">
        <v>0.0</v>
      </c>
      <c r="C7178" s="44">
        <v>8.56</v>
      </c>
      <c r="D7178" s="46">
        <v>45721.0</v>
      </c>
      <c r="E7178" s="24" t="s">
        <v>6650</v>
      </c>
      <c r="F7178" s="24" t="s">
        <v>6650</v>
      </c>
      <c r="G7178" s="24" t="s">
        <v>6650</v>
      </c>
      <c r="H7178" s="24" t="s">
        <v>6726</v>
      </c>
      <c r="I7178" s="24">
        <v>0.39</v>
      </c>
      <c r="J7178" s="24">
        <v>1.0</v>
      </c>
    </row>
    <row r="7179">
      <c r="A7179" s="24">
        <v>0.0</v>
      </c>
      <c r="B7179" s="24">
        <v>0.0</v>
      </c>
      <c r="C7179" s="44"/>
      <c r="D7179" s="46">
        <v>45721.0</v>
      </c>
      <c r="E7179" s="24" t="s">
        <v>6650</v>
      </c>
      <c r="F7179" s="24" t="s">
        <v>6650</v>
      </c>
      <c r="G7179" s="24" t="s">
        <v>6650</v>
      </c>
      <c r="H7179" s="24" t="s">
        <v>6720</v>
      </c>
      <c r="I7179" s="24" t="s">
        <v>6650</v>
      </c>
      <c r="J7179" s="24"/>
    </row>
    <row r="7180">
      <c r="A7180" s="24">
        <v>110.0</v>
      </c>
      <c r="B7180" s="24">
        <v>0.0</v>
      </c>
      <c r="C7180" s="44">
        <v>36.79</v>
      </c>
      <c r="D7180" s="46">
        <v>45721.0</v>
      </c>
      <c r="E7180" s="24" t="s">
        <v>6650</v>
      </c>
      <c r="F7180" s="24">
        <v>334.45</v>
      </c>
      <c r="G7180" s="24">
        <v>0.0</v>
      </c>
      <c r="H7180" s="24" t="s">
        <v>6725</v>
      </c>
      <c r="I7180" s="24">
        <v>2.3</v>
      </c>
      <c r="J7180" s="24">
        <v>0.0</v>
      </c>
    </row>
    <row r="7181">
      <c r="A7181" s="24">
        <v>162.0</v>
      </c>
      <c r="B7181" s="24">
        <v>2.0</v>
      </c>
      <c r="C7181" s="44">
        <v>25.85</v>
      </c>
      <c r="D7181" s="46">
        <v>45721.0</v>
      </c>
      <c r="E7181" s="24">
        <v>12.92</v>
      </c>
      <c r="F7181" s="24">
        <v>159.57</v>
      </c>
      <c r="G7181" s="24">
        <v>1.23</v>
      </c>
      <c r="H7181" s="24" t="s">
        <v>6731</v>
      </c>
      <c r="I7181" s="24" t="s">
        <v>6650</v>
      </c>
      <c r="J7181" s="24">
        <v>0.0</v>
      </c>
    </row>
    <row r="7182">
      <c r="A7182" s="24">
        <v>111.0</v>
      </c>
      <c r="B7182" s="24">
        <v>4.0</v>
      </c>
      <c r="C7182" s="44">
        <v>22.03</v>
      </c>
      <c r="D7182" s="46">
        <v>45721.0</v>
      </c>
      <c r="E7182" s="24">
        <v>5.51</v>
      </c>
      <c r="F7182" s="24">
        <v>198.47</v>
      </c>
      <c r="G7182" s="24">
        <v>3.6</v>
      </c>
      <c r="H7182" s="24" t="s">
        <v>6729</v>
      </c>
      <c r="I7182" s="24" t="s">
        <v>6650</v>
      </c>
      <c r="J7182" s="24">
        <v>0.0</v>
      </c>
    </row>
    <row r="7183">
      <c r="A7183" s="24">
        <v>65.0</v>
      </c>
      <c r="B7183" s="24">
        <v>0.0</v>
      </c>
      <c r="C7183" s="44">
        <v>35.55</v>
      </c>
      <c r="D7183" s="46">
        <v>45721.0</v>
      </c>
      <c r="E7183" s="24" t="s">
        <v>6650</v>
      </c>
      <c r="F7183" s="24">
        <v>546.92</v>
      </c>
      <c r="G7183" s="24">
        <v>0.0</v>
      </c>
      <c r="H7183" s="24" t="s">
        <v>6728</v>
      </c>
      <c r="I7183" s="24">
        <v>1.98</v>
      </c>
      <c r="J7183" s="24">
        <v>0.0</v>
      </c>
    </row>
    <row r="7184">
      <c r="A7184" s="24">
        <v>217.0</v>
      </c>
      <c r="B7184" s="24">
        <v>1.0</v>
      </c>
      <c r="C7184" s="44">
        <v>26.97</v>
      </c>
      <c r="D7184" s="46">
        <v>45722.0</v>
      </c>
      <c r="E7184" s="24">
        <v>26.97</v>
      </c>
      <c r="F7184" s="24">
        <v>124.29</v>
      </c>
      <c r="G7184" s="24">
        <v>0.46</v>
      </c>
      <c r="H7184" s="24" t="s">
        <v>6731</v>
      </c>
      <c r="I7184" s="24" t="s">
        <v>6650</v>
      </c>
      <c r="J7184" s="24">
        <v>0.0</v>
      </c>
    </row>
    <row r="7185">
      <c r="A7185" s="24">
        <v>0.0</v>
      </c>
      <c r="B7185" s="24">
        <v>0.0</v>
      </c>
      <c r="C7185" s="44">
        <v>12.49</v>
      </c>
      <c r="D7185" s="46">
        <v>45722.0</v>
      </c>
      <c r="E7185" s="24" t="s">
        <v>6650</v>
      </c>
      <c r="F7185" s="24" t="s">
        <v>6650</v>
      </c>
      <c r="G7185" s="24" t="s">
        <v>6650</v>
      </c>
      <c r="H7185" s="24" t="s">
        <v>6726</v>
      </c>
      <c r="I7185" s="24">
        <v>6.24</v>
      </c>
      <c r="J7185" s="24">
        <v>0.0</v>
      </c>
    </row>
    <row r="7186">
      <c r="A7186" s="24">
        <v>0.0</v>
      </c>
      <c r="B7186" s="24">
        <v>0.0</v>
      </c>
      <c r="C7186" s="44"/>
      <c r="D7186" s="46">
        <v>45722.0</v>
      </c>
      <c r="E7186" s="24" t="s">
        <v>6650</v>
      </c>
      <c r="F7186" s="24" t="s">
        <v>6650</v>
      </c>
      <c r="G7186" s="24" t="s">
        <v>6650</v>
      </c>
      <c r="H7186" s="24" t="s">
        <v>6720</v>
      </c>
      <c r="I7186" s="24" t="s">
        <v>6650</v>
      </c>
      <c r="J7186" s="24"/>
    </row>
    <row r="7187">
      <c r="A7187" s="24">
        <v>252.0</v>
      </c>
      <c r="B7187" s="24">
        <v>5.0</v>
      </c>
      <c r="C7187" s="44">
        <v>26.66</v>
      </c>
      <c r="D7187" s="46">
        <v>45722.0</v>
      </c>
      <c r="E7187" s="24">
        <v>5.33</v>
      </c>
      <c r="F7187" s="24">
        <v>105.79</v>
      </c>
      <c r="G7187" s="24">
        <v>1.98</v>
      </c>
      <c r="H7187" s="24" t="s">
        <v>6729</v>
      </c>
      <c r="I7187" s="24" t="s">
        <v>6650</v>
      </c>
      <c r="J7187" s="24">
        <v>0.0</v>
      </c>
    </row>
    <row r="7188">
      <c r="A7188" s="24">
        <v>107.0</v>
      </c>
      <c r="B7188" s="24">
        <v>0.0</v>
      </c>
      <c r="C7188" s="44">
        <v>45.0</v>
      </c>
      <c r="D7188" s="46">
        <v>45722.0</v>
      </c>
      <c r="E7188" s="24" t="s">
        <v>6650</v>
      </c>
      <c r="F7188" s="24">
        <v>420.56</v>
      </c>
      <c r="G7188" s="24">
        <v>0.0</v>
      </c>
      <c r="H7188" s="24" t="s">
        <v>6728</v>
      </c>
      <c r="I7188" s="24" t="s">
        <v>6650</v>
      </c>
      <c r="J7188" s="24">
        <v>0.0</v>
      </c>
    </row>
    <row r="7189">
      <c r="A7189" s="24">
        <v>0.0</v>
      </c>
      <c r="B7189" s="24">
        <v>0.0</v>
      </c>
      <c r="C7189" s="44"/>
      <c r="D7189" s="46">
        <v>45722.0</v>
      </c>
      <c r="E7189" s="24" t="s">
        <v>6650</v>
      </c>
      <c r="F7189" s="24" t="s">
        <v>6650</v>
      </c>
      <c r="G7189" s="24" t="s">
        <v>6650</v>
      </c>
      <c r="H7189" s="24" t="s">
        <v>6727</v>
      </c>
      <c r="I7189" s="24" t="s">
        <v>6650</v>
      </c>
      <c r="J7189" s="24"/>
    </row>
    <row r="7190">
      <c r="A7190" s="24">
        <v>106.0</v>
      </c>
      <c r="B7190" s="24">
        <v>1.0</v>
      </c>
      <c r="C7190" s="44">
        <v>44.21</v>
      </c>
      <c r="D7190" s="46">
        <v>45722.0</v>
      </c>
      <c r="E7190" s="24">
        <v>44.21</v>
      </c>
      <c r="F7190" s="24">
        <v>417.08</v>
      </c>
      <c r="G7190" s="24">
        <v>0.94</v>
      </c>
      <c r="H7190" s="24" t="s">
        <v>6725</v>
      </c>
      <c r="I7190" s="24">
        <v>44.21</v>
      </c>
      <c r="J7190" s="24">
        <v>0.0</v>
      </c>
    </row>
    <row r="7191">
      <c r="A7191" s="24">
        <v>0.0</v>
      </c>
      <c r="B7191" s="24">
        <v>0.0</v>
      </c>
      <c r="C7191" s="44"/>
      <c r="D7191" s="46">
        <v>45722.0</v>
      </c>
      <c r="E7191" s="24" t="s">
        <v>6650</v>
      </c>
      <c r="F7191" s="24" t="s">
        <v>6650</v>
      </c>
      <c r="G7191" s="24" t="s">
        <v>6650</v>
      </c>
      <c r="H7191" s="24" t="s">
        <v>6724</v>
      </c>
      <c r="I7191" s="24" t="s">
        <v>6650</v>
      </c>
      <c r="J7191" s="24"/>
    </row>
    <row r="7192">
      <c r="A7192" s="24">
        <v>171.0</v>
      </c>
      <c r="B7192" s="24">
        <v>2.0</v>
      </c>
      <c r="C7192" s="44">
        <v>31.8</v>
      </c>
      <c r="D7192" s="46">
        <v>45722.0</v>
      </c>
      <c r="E7192" s="24">
        <v>15.9</v>
      </c>
      <c r="F7192" s="24">
        <v>185.96</v>
      </c>
      <c r="G7192" s="24">
        <v>1.17</v>
      </c>
      <c r="H7192" s="24" t="s">
        <v>6730</v>
      </c>
      <c r="I7192" s="24" t="s">
        <v>6650</v>
      </c>
      <c r="J7192" s="24">
        <v>0.0</v>
      </c>
    </row>
    <row r="7193">
      <c r="A7193" s="24">
        <v>159.0</v>
      </c>
      <c r="B7193" s="24">
        <v>0.0</v>
      </c>
      <c r="C7193" s="44">
        <v>31.38</v>
      </c>
      <c r="D7193" s="46">
        <v>45723.0</v>
      </c>
      <c r="E7193" s="24" t="s">
        <v>6650</v>
      </c>
      <c r="F7193" s="24">
        <v>197.36</v>
      </c>
      <c r="G7193" s="24">
        <v>0.0</v>
      </c>
      <c r="H7193" s="24" t="s">
        <v>6730</v>
      </c>
      <c r="I7193" s="24" t="s">
        <v>6650</v>
      </c>
      <c r="J7193" s="24">
        <v>0.0</v>
      </c>
    </row>
    <row r="7194">
      <c r="A7194" s="24">
        <v>111.0</v>
      </c>
      <c r="B7194" s="24">
        <v>0.0</v>
      </c>
      <c r="C7194" s="44">
        <v>28.58</v>
      </c>
      <c r="D7194" s="46">
        <v>45723.0</v>
      </c>
      <c r="E7194" s="24" t="s">
        <v>6650</v>
      </c>
      <c r="F7194" s="24">
        <v>257.48</v>
      </c>
      <c r="G7194" s="24">
        <v>0.0</v>
      </c>
      <c r="H7194" s="24" t="s">
        <v>6728</v>
      </c>
      <c r="I7194" s="24">
        <v>7.14</v>
      </c>
      <c r="J7194" s="24">
        <v>0.0</v>
      </c>
    </row>
    <row r="7195">
      <c r="A7195" s="24">
        <v>0.0</v>
      </c>
      <c r="B7195" s="24">
        <v>0.0</v>
      </c>
      <c r="C7195" s="44"/>
      <c r="D7195" s="46">
        <v>45723.0</v>
      </c>
      <c r="E7195" s="24" t="s">
        <v>6650</v>
      </c>
      <c r="F7195" s="24" t="s">
        <v>6650</v>
      </c>
      <c r="G7195" s="24" t="s">
        <v>6650</v>
      </c>
      <c r="H7195" s="24" t="s">
        <v>6727</v>
      </c>
      <c r="I7195" s="24" t="s">
        <v>6650</v>
      </c>
      <c r="J7195" s="24"/>
    </row>
    <row r="7196">
      <c r="A7196" s="24">
        <v>0.0</v>
      </c>
      <c r="B7196" s="24">
        <v>0.0</v>
      </c>
      <c r="C7196" s="44">
        <v>15.0</v>
      </c>
      <c r="D7196" s="46">
        <v>45723.0</v>
      </c>
      <c r="E7196" s="24" t="s">
        <v>6650</v>
      </c>
      <c r="F7196" s="24" t="s">
        <v>6650</v>
      </c>
      <c r="G7196" s="24" t="s">
        <v>6650</v>
      </c>
      <c r="H7196" s="24" t="s">
        <v>6702</v>
      </c>
      <c r="I7196" s="24" t="s">
        <v>6650</v>
      </c>
      <c r="J7196" s="24">
        <v>0.0</v>
      </c>
    </row>
    <row r="7197">
      <c r="A7197" s="24">
        <v>0.0</v>
      </c>
      <c r="B7197" s="24">
        <v>0.0</v>
      </c>
      <c r="C7197" s="44">
        <v>4.16</v>
      </c>
      <c r="D7197" s="46">
        <v>45723.0</v>
      </c>
      <c r="E7197" s="24" t="s">
        <v>6650</v>
      </c>
      <c r="F7197" s="24" t="s">
        <v>6650</v>
      </c>
      <c r="G7197" s="24" t="s">
        <v>6650</v>
      </c>
      <c r="H7197" s="24" t="s">
        <v>6726</v>
      </c>
      <c r="I7197" s="24">
        <v>0.59</v>
      </c>
      <c r="J7197" s="24">
        <v>0.0</v>
      </c>
    </row>
    <row r="7198">
      <c r="A7198" s="24">
        <v>199.0</v>
      </c>
      <c r="B7198" s="24">
        <v>1.0</v>
      </c>
      <c r="C7198" s="44">
        <v>27.8</v>
      </c>
      <c r="D7198" s="46">
        <v>45723.0</v>
      </c>
      <c r="E7198" s="24">
        <v>27.8</v>
      </c>
      <c r="F7198" s="24">
        <v>139.7</v>
      </c>
      <c r="G7198" s="24">
        <v>0.5</v>
      </c>
      <c r="H7198" s="24" t="s">
        <v>6731</v>
      </c>
      <c r="I7198" s="24" t="s">
        <v>6650</v>
      </c>
      <c r="J7198" s="24">
        <v>0.0</v>
      </c>
    </row>
    <row r="7199">
      <c r="A7199" s="24">
        <v>101.0</v>
      </c>
      <c r="B7199" s="24">
        <v>1.0</v>
      </c>
      <c r="C7199" s="44">
        <v>28.55</v>
      </c>
      <c r="D7199" s="46">
        <v>45723.0</v>
      </c>
      <c r="E7199" s="24">
        <v>28.55</v>
      </c>
      <c r="F7199" s="24">
        <v>282.67</v>
      </c>
      <c r="G7199" s="24">
        <v>0.99</v>
      </c>
      <c r="H7199" s="24" t="s">
        <v>6725</v>
      </c>
      <c r="I7199" s="24">
        <v>9.52</v>
      </c>
      <c r="J7199" s="24">
        <v>0.0</v>
      </c>
    </row>
    <row r="7200">
      <c r="A7200" s="24">
        <v>156.0</v>
      </c>
      <c r="B7200" s="24">
        <v>7.0</v>
      </c>
      <c r="C7200" s="44">
        <v>26.52</v>
      </c>
      <c r="D7200" s="46">
        <v>45723.0</v>
      </c>
      <c r="E7200" s="24">
        <v>3.79</v>
      </c>
      <c r="F7200" s="24">
        <v>170.0</v>
      </c>
      <c r="G7200" s="24">
        <v>4.49</v>
      </c>
      <c r="H7200" s="24" t="s">
        <v>6729</v>
      </c>
      <c r="I7200" s="24" t="s">
        <v>6650</v>
      </c>
      <c r="J7200" s="24">
        <v>0.0</v>
      </c>
    </row>
    <row r="7201">
      <c r="A7201" s="24">
        <v>0.0</v>
      </c>
      <c r="B7201" s="24">
        <v>0.0</v>
      </c>
      <c r="C7201" s="44"/>
      <c r="D7201" s="46">
        <v>45723.0</v>
      </c>
      <c r="E7201" s="24" t="s">
        <v>6650</v>
      </c>
      <c r="F7201" s="24" t="s">
        <v>6650</v>
      </c>
      <c r="G7201" s="24" t="s">
        <v>6650</v>
      </c>
      <c r="H7201" s="24" t="s">
        <v>6724</v>
      </c>
      <c r="I7201" s="24" t="s">
        <v>6650</v>
      </c>
      <c r="J7201" s="24"/>
    </row>
    <row r="7202">
      <c r="A7202" s="24">
        <v>0.0</v>
      </c>
      <c r="B7202" s="24">
        <v>0.0</v>
      </c>
      <c r="C7202" s="44"/>
      <c r="D7202" s="46">
        <v>45723.0</v>
      </c>
      <c r="E7202" s="24" t="s">
        <v>6650</v>
      </c>
      <c r="F7202" s="24" t="s">
        <v>6650</v>
      </c>
      <c r="G7202" s="24" t="s">
        <v>6650</v>
      </c>
      <c r="H7202" s="24" t="s">
        <v>6720</v>
      </c>
      <c r="I7202" s="24" t="s">
        <v>6650</v>
      </c>
      <c r="J7202" s="24"/>
    </row>
    <row r="7203">
      <c r="A7203" s="24">
        <v>53.0</v>
      </c>
      <c r="B7203" s="24">
        <v>0.0</v>
      </c>
      <c r="C7203" s="44">
        <v>10.94</v>
      </c>
      <c r="D7203" s="46">
        <v>45724.0</v>
      </c>
      <c r="E7203" s="24" t="s">
        <v>6650</v>
      </c>
      <c r="F7203" s="24">
        <v>206.42</v>
      </c>
      <c r="G7203" s="24">
        <v>0.0</v>
      </c>
      <c r="H7203" s="24" t="s">
        <v>6731</v>
      </c>
      <c r="I7203" s="24" t="s">
        <v>6650</v>
      </c>
      <c r="J7203" s="24">
        <v>0.0</v>
      </c>
    </row>
    <row r="7204">
      <c r="A7204" s="24">
        <v>0.0</v>
      </c>
      <c r="B7204" s="24">
        <v>0.0</v>
      </c>
      <c r="C7204" s="44"/>
      <c r="D7204" s="46">
        <v>45724.0</v>
      </c>
      <c r="E7204" s="24" t="s">
        <v>6650</v>
      </c>
      <c r="F7204" s="24" t="s">
        <v>6650</v>
      </c>
      <c r="G7204" s="24" t="s">
        <v>6650</v>
      </c>
      <c r="H7204" s="24" t="s">
        <v>6724</v>
      </c>
      <c r="I7204" s="24" t="s">
        <v>6650</v>
      </c>
      <c r="J7204" s="24"/>
    </row>
    <row r="7205">
      <c r="A7205" s="24">
        <v>0.0</v>
      </c>
      <c r="B7205" s="24">
        <v>0.0</v>
      </c>
      <c r="C7205" s="44">
        <v>9.25</v>
      </c>
      <c r="D7205" s="46">
        <v>45724.0</v>
      </c>
      <c r="E7205" s="24" t="s">
        <v>6650</v>
      </c>
      <c r="F7205" s="24" t="s">
        <v>6650</v>
      </c>
      <c r="G7205" s="24" t="s">
        <v>6650</v>
      </c>
      <c r="H7205" s="24" t="s">
        <v>6726</v>
      </c>
      <c r="I7205" s="24">
        <v>1.85</v>
      </c>
      <c r="J7205" s="24">
        <v>0.0</v>
      </c>
    </row>
    <row r="7206">
      <c r="A7206" s="24">
        <v>64.0</v>
      </c>
      <c r="B7206" s="24">
        <v>1.0</v>
      </c>
      <c r="C7206" s="44">
        <v>13.83</v>
      </c>
      <c r="D7206" s="46">
        <v>45724.0</v>
      </c>
      <c r="E7206" s="24">
        <v>13.83</v>
      </c>
      <c r="F7206" s="24">
        <v>216.09</v>
      </c>
      <c r="G7206" s="24">
        <v>1.56</v>
      </c>
      <c r="H7206" s="24" t="s">
        <v>6729</v>
      </c>
      <c r="I7206" s="24" t="s">
        <v>6650</v>
      </c>
      <c r="J7206" s="24">
        <v>0.0</v>
      </c>
    </row>
    <row r="7207">
      <c r="A7207" s="24">
        <v>0.0</v>
      </c>
      <c r="B7207" s="24">
        <v>0.0</v>
      </c>
      <c r="C7207" s="44">
        <v>15.0</v>
      </c>
      <c r="D7207" s="46">
        <v>45724.0</v>
      </c>
      <c r="E7207" s="24" t="s">
        <v>6650</v>
      </c>
      <c r="F7207" s="24" t="s">
        <v>6650</v>
      </c>
      <c r="G7207" s="24" t="s">
        <v>6650</v>
      </c>
      <c r="H7207" s="24" t="s">
        <v>6702</v>
      </c>
      <c r="I7207" s="24" t="s">
        <v>6650</v>
      </c>
      <c r="J7207" s="24">
        <v>0.0</v>
      </c>
    </row>
    <row r="7208">
      <c r="A7208" s="24">
        <v>59.0</v>
      </c>
      <c r="B7208" s="24">
        <v>0.0</v>
      </c>
      <c r="C7208" s="44">
        <v>20.88</v>
      </c>
      <c r="D7208" s="46">
        <v>45724.0</v>
      </c>
      <c r="E7208" s="24" t="s">
        <v>6650</v>
      </c>
      <c r="F7208" s="24">
        <v>353.9</v>
      </c>
      <c r="G7208" s="24">
        <v>0.0</v>
      </c>
      <c r="H7208" s="24" t="s">
        <v>6725</v>
      </c>
      <c r="I7208" s="24">
        <v>4.18</v>
      </c>
      <c r="J7208" s="24">
        <v>0.0</v>
      </c>
    </row>
    <row r="7209">
      <c r="A7209" s="24">
        <v>88.0</v>
      </c>
      <c r="B7209" s="24">
        <v>0.0</v>
      </c>
      <c r="C7209" s="44">
        <v>8.78</v>
      </c>
      <c r="D7209" s="46">
        <v>45724.0</v>
      </c>
      <c r="E7209" s="24" t="s">
        <v>6650</v>
      </c>
      <c r="F7209" s="24">
        <v>99.77</v>
      </c>
      <c r="G7209" s="24">
        <v>0.0</v>
      </c>
      <c r="H7209" s="24" t="s">
        <v>6730</v>
      </c>
      <c r="I7209" s="24" t="s">
        <v>6650</v>
      </c>
      <c r="J7209" s="24">
        <v>0.0</v>
      </c>
    </row>
    <row r="7210">
      <c r="A7210" s="24">
        <v>0.0</v>
      </c>
      <c r="B7210" s="24">
        <v>0.0</v>
      </c>
      <c r="C7210" s="44"/>
      <c r="D7210" s="46">
        <v>45724.0</v>
      </c>
      <c r="E7210" s="24" t="s">
        <v>6650</v>
      </c>
      <c r="F7210" s="24" t="s">
        <v>6650</v>
      </c>
      <c r="G7210" s="24" t="s">
        <v>6650</v>
      </c>
      <c r="H7210" s="24" t="s">
        <v>6727</v>
      </c>
      <c r="I7210" s="24" t="s">
        <v>6650</v>
      </c>
      <c r="J7210" s="24"/>
    </row>
    <row r="7211">
      <c r="A7211" s="24">
        <v>61.0</v>
      </c>
      <c r="B7211" s="24">
        <v>0.0</v>
      </c>
      <c r="C7211" s="44">
        <v>21.25</v>
      </c>
      <c r="D7211" s="46">
        <v>45724.0</v>
      </c>
      <c r="E7211" s="24" t="s">
        <v>6650</v>
      </c>
      <c r="F7211" s="24">
        <v>348.36</v>
      </c>
      <c r="G7211" s="24">
        <v>0.0</v>
      </c>
      <c r="H7211" s="24" t="s">
        <v>6728</v>
      </c>
      <c r="I7211" s="24">
        <v>5.31</v>
      </c>
      <c r="J7211" s="24">
        <v>0.0</v>
      </c>
    </row>
    <row r="7212">
      <c r="A7212" s="24">
        <v>0.0</v>
      </c>
      <c r="B7212" s="24">
        <v>0.0</v>
      </c>
      <c r="C7212" s="44"/>
      <c r="D7212" s="46">
        <v>45724.0</v>
      </c>
      <c r="E7212" s="24" t="s">
        <v>6650</v>
      </c>
      <c r="F7212" s="24" t="s">
        <v>6650</v>
      </c>
      <c r="G7212" s="24" t="s">
        <v>6650</v>
      </c>
      <c r="H7212" s="24" t="s">
        <v>6720</v>
      </c>
      <c r="I7212" s="24" t="s">
        <v>6650</v>
      </c>
      <c r="J7212" s="24"/>
    </row>
    <row r="7213">
      <c r="A7213" s="24">
        <v>0.0</v>
      </c>
      <c r="B7213" s="24">
        <v>0.0</v>
      </c>
      <c r="C7213" s="44"/>
      <c r="D7213" s="46">
        <v>45725.0</v>
      </c>
      <c r="E7213" s="24" t="s">
        <v>6650</v>
      </c>
      <c r="F7213" s="24" t="s">
        <v>6650</v>
      </c>
      <c r="G7213" s="24" t="s">
        <v>6650</v>
      </c>
      <c r="H7213" s="24" t="s">
        <v>6727</v>
      </c>
      <c r="I7213" s="24" t="s">
        <v>6650</v>
      </c>
      <c r="J7213" s="24"/>
    </row>
    <row r="7214">
      <c r="A7214" s="24">
        <v>0.0</v>
      </c>
      <c r="B7214" s="24">
        <v>0.0</v>
      </c>
      <c r="C7214" s="44">
        <v>4.62</v>
      </c>
      <c r="D7214" s="46">
        <v>45725.0</v>
      </c>
      <c r="E7214" s="24" t="s">
        <v>6650</v>
      </c>
      <c r="F7214" s="24" t="s">
        <v>6650</v>
      </c>
      <c r="G7214" s="24" t="s">
        <v>6650</v>
      </c>
      <c r="H7214" s="24" t="s">
        <v>6726</v>
      </c>
      <c r="I7214" s="24">
        <v>1.54</v>
      </c>
      <c r="J7214" s="24">
        <v>0.0</v>
      </c>
    </row>
    <row r="7215">
      <c r="A7215" s="24">
        <v>0.0</v>
      </c>
      <c r="B7215" s="24">
        <v>0.0</v>
      </c>
      <c r="C7215" s="44"/>
      <c r="D7215" s="46">
        <v>45725.0</v>
      </c>
      <c r="E7215" s="24" t="s">
        <v>6650</v>
      </c>
      <c r="F7215" s="24" t="s">
        <v>6650</v>
      </c>
      <c r="G7215" s="24" t="s">
        <v>6650</v>
      </c>
      <c r="H7215" s="24" t="s">
        <v>6720</v>
      </c>
      <c r="I7215" s="24" t="s">
        <v>6650</v>
      </c>
      <c r="J7215" s="24"/>
    </row>
    <row r="7216">
      <c r="A7216" s="24">
        <v>39.0</v>
      </c>
      <c r="B7216" s="24">
        <v>0.0</v>
      </c>
      <c r="C7216" s="44">
        <v>18.5</v>
      </c>
      <c r="D7216" s="46">
        <v>45725.0</v>
      </c>
      <c r="E7216" s="24" t="s">
        <v>6650</v>
      </c>
      <c r="F7216" s="24">
        <v>474.36</v>
      </c>
      <c r="G7216" s="24">
        <v>0.0</v>
      </c>
      <c r="H7216" s="24" t="s">
        <v>6728</v>
      </c>
      <c r="I7216" s="24">
        <v>9.25</v>
      </c>
      <c r="J7216" s="24">
        <v>0.0</v>
      </c>
    </row>
    <row r="7217">
      <c r="A7217" s="24">
        <v>0.0</v>
      </c>
      <c r="B7217" s="24">
        <v>0.0</v>
      </c>
      <c r="C7217" s="44">
        <v>15.0</v>
      </c>
      <c r="D7217" s="46">
        <v>45725.0</v>
      </c>
      <c r="E7217" s="24" t="s">
        <v>6650</v>
      </c>
      <c r="F7217" s="24" t="s">
        <v>6650</v>
      </c>
      <c r="G7217" s="24" t="s">
        <v>6650</v>
      </c>
      <c r="H7217" s="24" t="s">
        <v>6702</v>
      </c>
      <c r="I7217" s="24" t="s">
        <v>6650</v>
      </c>
      <c r="J7217" s="24">
        <v>0.0</v>
      </c>
    </row>
    <row r="7218">
      <c r="A7218" s="24">
        <v>35.0</v>
      </c>
      <c r="B7218" s="24">
        <v>1.0</v>
      </c>
      <c r="C7218" s="44">
        <v>18.63</v>
      </c>
      <c r="D7218" s="46">
        <v>45725.0</v>
      </c>
      <c r="E7218" s="24">
        <v>18.63</v>
      </c>
      <c r="F7218" s="24">
        <v>532.29</v>
      </c>
      <c r="G7218" s="24">
        <v>2.86</v>
      </c>
      <c r="H7218" s="24" t="s">
        <v>6725</v>
      </c>
      <c r="I7218" s="24">
        <v>6.21</v>
      </c>
      <c r="J7218" s="24">
        <v>0.0</v>
      </c>
    </row>
    <row r="7219">
      <c r="A7219" s="24">
        <v>0.0</v>
      </c>
      <c r="B7219" s="24">
        <v>0.0</v>
      </c>
      <c r="C7219" s="44"/>
      <c r="D7219" s="46">
        <v>45725.0</v>
      </c>
      <c r="E7219" s="24" t="s">
        <v>6650</v>
      </c>
      <c r="F7219" s="24" t="s">
        <v>6650</v>
      </c>
      <c r="G7219" s="24" t="s">
        <v>6650</v>
      </c>
      <c r="H7219" s="24" t="s">
        <v>6724</v>
      </c>
      <c r="I7219" s="24" t="s">
        <v>6650</v>
      </c>
      <c r="J7219" s="24"/>
    </row>
    <row r="7220">
      <c r="A7220" s="24">
        <v>4.0</v>
      </c>
      <c r="B7220" s="24">
        <v>0.0</v>
      </c>
      <c r="C7220" s="44">
        <v>0.04</v>
      </c>
      <c r="D7220" s="46">
        <v>45725.0</v>
      </c>
      <c r="E7220" s="24" t="s">
        <v>6650</v>
      </c>
      <c r="F7220" s="24">
        <v>10.0</v>
      </c>
      <c r="G7220" s="24">
        <v>0.0</v>
      </c>
      <c r="H7220" s="24" t="s">
        <v>6729</v>
      </c>
      <c r="I7220" s="24" t="s">
        <v>6650</v>
      </c>
      <c r="J7220" s="24">
        <v>0.0</v>
      </c>
    </row>
    <row r="7221">
      <c r="A7221" s="24">
        <v>7.0</v>
      </c>
      <c r="B7221" s="24">
        <v>0.0</v>
      </c>
      <c r="C7221" s="44">
        <v>2.76</v>
      </c>
      <c r="D7221" s="46">
        <v>45725.0</v>
      </c>
      <c r="E7221" s="24" t="s">
        <v>6650</v>
      </c>
      <c r="F7221" s="24">
        <v>394.29</v>
      </c>
      <c r="G7221" s="24">
        <v>0.0</v>
      </c>
      <c r="H7221" s="24" t="s">
        <v>6730</v>
      </c>
      <c r="I7221" s="24" t="s">
        <v>6650</v>
      </c>
      <c r="J7221" s="24">
        <v>0.0</v>
      </c>
    </row>
    <row r="7222">
      <c r="A7222" s="24">
        <v>0.0</v>
      </c>
      <c r="B7222" s="24">
        <v>0.0</v>
      </c>
      <c r="C7222" s="44"/>
      <c r="D7222" s="46">
        <v>45726.0</v>
      </c>
      <c r="E7222" s="24" t="s">
        <v>6650</v>
      </c>
      <c r="F7222" s="24" t="s">
        <v>6650</v>
      </c>
      <c r="G7222" s="24" t="s">
        <v>6650</v>
      </c>
      <c r="H7222" s="24" t="s">
        <v>6720</v>
      </c>
      <c r="I7222" s="24" t="s">
        <v>6650</v>
      </c>
      <c r="J7222" s="24"/>
    </row>
    <row r="7223">
      <c r="A7223" s="24">
        <v>0.0</v>
      </c>
      <c r="B7223" s="24">
        <v>0.0</v>
      </c>
      <c r="C7223" s="44"/>
      <c r="D7223" s="46">
        <v>45726.0</v>
      </c>
      <c r="E7223" s="24" t="s">
        <v>6650</v>
      </c>
      <c r="F7223" s="24" t="s">
        <v>6650</v>
      </c>
      <c r="G7223" s="24" t="s">
        <v>6650</v>
      </c>
      <c r="H7223" s="24" t="s">
        <v>6727</v>
      </c>
      <c r="I7223" s="24" t="s">
        <v>6650</v>
      </c>
      <c r="J7223" s="24"/>
    </row>
    <row r="7224">
      <c r="A7224" s="24">
        <v>0.0</v>
      </c>
      <c r="B7224" s="24">
        <v>0.0</v>
      </c>
      <c r="C7224" s="44">
        <v>12.06</v>
      </c>
      <c r="D7224" s="46">
        <v>45726.0</v>
      </c>
      <c r="E7224" s="24" t="s">
        <v>6650</v>
      </c>
      <c r="F7224" s="24" t="s">
        <v>6650</v>
      </c>
      <c r="G7224" s="24" t="s">
        <v>6650</v>
      </c>
      <c r="H7224" s="24" t="s">
        <v>6702</v>
      </c>
      <c r="I7224" s="24" t="s">
        <v>6650</v>
      </c>
      <c r="J7224" s="24">
        <v>0.0</v>
      </c>
    </row>
    <row r="7225">
      <c r="A7225" s="24">
        <v>111.0</v>
      </c>
      <c r="B7225" s="24">
        <v>0.0</v>
      </c>
      <c r="C7225" s="44">
        <v>23.26</v>
      </c>
      <c r="D7225" s="46">
        <v>45726.0</v>
      </c>
      <c r="E7225" s="24" t="s">
        <v>6650</v>
      </c>
      <c r="F7225" s="24">
        <v>209.55</v>
      </c>
      <c r="G7225" s="24">
        <v>0.0</v>
      </c>
      <c r="H7225" s="24" t="s">
        <v>6730</v>
      </c>
      <c r="I7225" s="24" t="s">
        <v>6650</v>
      </c>
      <c r="J7225" s="24">
        <v>0.0</v>
      </c>
    </row>
    <row r="7226">
      <c r="A7226" s="24">
        <v>0.0</v>
      </c>
      <c r="B7226" s="24">
        <v>0.0</v>
      </c>
      <c r="C7226" s="44">
        <v>7.51</v>
      </c>
      <c r="D7226" s="46">
        <v>45726.0</v>
      </c>
      <c r="E7226" s="24" t="s">
        <v>6650</v>
      </c>
      <c r="F7226" s="24" t="s">
        <v>6650</v>
      </c>
      <c r="G7226" s="24" t="s">
        <v>6650</v>
      </c>
      <c r="H7226" s="24" t="s">
        <v>6726</v>
      </c>
      <c r="I7226" s="24">
        <v>1.07</v>
      </c>
      <c r="J7226" s="24">
        <v>0.0</v>
      </c>
    </row>
    <row r="7227">
      <c r="A7227" s="24">
        <v>45.0</v>
      </c>
      <c r="B7227" s="24">
        <v>0.0</v>
      </c>
      <c r="C7227" s="44">
        <v>17.27</v>
      </c>
      <c r="D7227" s="46">
        <v>45726.0</v>
      </c>
      <c r="E7227" s="24" t="s">
        <v>6650</v>
      </c>
      <c r="F7227" s="24">
        <v>383.78</v>
      </c>
      <c r="G7227" s="24">
        <v>0.0</v>
      </c>
      <c r="H7227" s="24" t="s">
        <v>6728</v>
      </c>
      <c r="I7227" s="24">
        <v>2.16</v>
      </c>
      <c r="J7227" s="24">
        <v>0.0</v>
      </c>
    </row>
    <row r="7228">
      <c r="A7228" s="24">
        <v>50.0</v>
      </c>
      <c r="B7228" s="24">
        <v>1.0</v>
      </c>
      <c r="C7228" s="44">
        <v>20.46</v>
      </c>
      <c r="D7228" s="46">
        <v>45726.0</v>
      </c>
      <c r="E7228" s="24">
        <v>20.46</v>
      </c>
      <c r="F7228" s="24">
        <v>409.2</v>
      </c>
      <c r="G7228" s="24">
        <v>2.0</v>
      </c>
      <c r="H7228" s="24" t="s">
        <v>6725</v>
      </c>
      <c r="I7228" s="24">
        <v>2.56</v>
      </c>
      <c r="J7228" s="24">
        <v>0.0</v>
      </c>
    </row>
    <row r="7229">
      <c r="A7229" s="24">
        <v>0.0</v>
      </c>
      <c r="B7229" s="24">
        <v>0.0</v>
      </c>
      <c r="C7229" s="44"/>
      <c r="D7229" s="46">
        <v>45726.0</v>
      </c>
      <c r="E7229" s="24" t="s">
        <v>6650</v>
      </c>
      <c r="F7229" s="24" t="s">
        <v>6650</v>
      </c>
      <c r="G7229" s="24" t="s">
        <v>6650</v>
      </c>
      <c r="H7229" s="24" t="s">
        <v>6724</v>
      </c>
      <c r="I7229" s="24" t="s">
        <v>6650</v>
      </c>
      <c r="J7229" s="24"/>
    </row>
    <row r="7230">
      <c r="A7230" s="24">
        <v>210.0</v>
      </c>
      <c r="B7230" s="24">
        <v>0.0</v>
      </c>
      <c r="C7230" s="44">
        <v>21.29</v>
      </c>
      <c r="D7230" s="46">
        <v>45726.0</v>
      </c>
      <c r="E7230" s="24" t="s">
        <v>6650</v>
      </c>
      <c r="F7230" s="24">
        <v>101.38</v>
      </c>
      <c r="G7230" s="24">
        <v>0.0</v>
      </c>
      <c r="H7230" s="24" t="s">
        <v>6731</v>
      </c>
      <c r="I7230" s="24" t="s">
        <v>6650</v>
      </c>
      <c r="J7230" s="24">
        <v>0.0</v>
      </c>
    </row>
    <row r="7231">
      <c r="A7231" s="24">
        <v>141.0</v>
      </c>
      <c r="B7231" s="24">
        <v>4.0</v>
      </c>
      <c r="C7231" s="44">
        <v>21.64</v>
      </c>
      <c r="D7231" s="46">
        <v>45726.0</v>
      </c>
      <c r="E7231" s="24">
        <v>5.41</v>
      </c>
      <c r="F7231" s="24">
        <v>153.48</v>
      </c>
      <c r="G7231" s="24">
        <v>2.84</v>
      </c>
      <c r="H7231" s="24" t="s">
        <v>6729</v>
      </c>
      <c r="I7231" s="24" t="s">
        <v>6650</v>
      </c>
      <c r="J7231" s="24">
        <v>0.0</v>
      </c>
    </row>
    <row r="7232">
      <c r="A7232" s="24">
        <v>102.0</v>
      </c>
      <c r="B7232" s="24">
        <v>0.0</v>
      </c>
      <c r="C7232" s="44">
        <v>28.22</v>
      </c>
      <c r="D7232" s="46">
        <v>45727.0</v>
      </c>
      <c r="E7232" s="24" t="s">
        <v>6650</v>
      </c>
      <c r="F7232" s="24">
        <v>276.67</v>
      </c>
      <c r="G7232" s="24">
        <v>0.0</v>
      </c>
      <c r="H7232" s="24" t="s">
        <v>6730</v>
      </c>
      <c r="I7232" s="24" t="s">
        <v>6650</v>
      </c>
      <c r="J7232" s="24">
        <v>0.0</v>
      </c>
    </row>
    <row r="7233">
      <c r="A7233" s="24">
        <v>0.0</v>
      </c>
      <c r="B7233" s="24">
        <v>0.0</v>
      </c>
      <c r="C7233" s="44"/>
      <c r="D7233" s="46">
        <v>45727.0</v>
      </c>
      <c r="E7233" s="24" t="s">
        <v>6650</v>
      </c>
      <c r="F7233" s="24" t="s">
        <v>6650</v>
      </c>
      <c r="G7233" s="24" t="s">
        <v>6650</v>
      </c>
      <c r="H7233" s="24" t="s">
        <v>6724</v>
      </c>
      <c r="I7233" s="24" t="s">
        <v>6650</v>
      </c>
      <c r="J7233" s="24"/>
    </row>
    <row r="7234">
      <c r="A7234" s="24">
        <v>0.0</v>
      </c>
      <c r="B7234" s="24">
        <v>0.0</v>
      </c>
      <c r="C7234" s="44">
        <v>9.72</v>
      </c>
      <c r="D7234" s="46">
        <v>45727.0</v>
      </c>
      <c r="E7234" s="24" t="s">
        <v>6650</v>
      </c>
      <c r="F7234" s="24" t="s">
        <v>6650</v>
      </c>
      <c r="G7234" s="24" t="s">
        <v>6650</v>
      </c>
      <c r="H7234" s="24" t="s">
        <v>6726</v>
      </c>
      <c r="I7234" s="24">
        <v>1.08</v>
      </c>
      <c r="J7234" s="24">
        <v>1.0</v>
      </c>
    </row>
    <row r="7235">
      <c r="A7235" s="24">
        <v>0.0</v>
      </c>
      <c r="B7235" s="24">
        <v>0.0</v>
      </c>
      <c r="C7235" s="44"/>
      <c r="D7235" s="46">
        <v>45727.0</v>
      </c>
      <c r="E7235" s="24" t="s">
        <v>6650</v>
      </c>
      <c r="F7235" s="24" t="s">
        <v>6650</v>
      </c>
      <c r="G7235" s="24" t="s">
        <v>6650</v>
      </c>
      <c r="H7235" s="24" t="s">
        <v>6720</v>
      </c>
      <c r="I7235" s="24" t="s">
        <v>6650</v>
      </c>
      <c r="J7235" s="24"/>
    </row>
    <row r="7236">
      <c r="A7236" s="24">
        <v>0.0</v>
      </c>
      <c r="B7236" s="24">
        <v>0.0</v>
      </c>
      <c r="C7236" s="44"/>
      <c r="D7236" s="46">
        <v>45727.0</v>
      </c>
      <c r="E7236" s="24" t="s">
        <v>6650</v>
      </c>
      <c r="F7236" s="24" t="s">
        <v>6650</v>
      </c>
      <c r="G7236" s="24" t="s">
        <v>6650</v>
      </c>
      <c r="H7236" s="24" t="s">
        <v>6728</v>
      </c>
      <c r="I7236" s="24" t="s">
        <v>6650</v>
      </c>
      <c r="J7236" s="24"/>
    </row>
    <row r="7237">
      <c r="A7237" s="24">
        <v>225.0</v>
      </c>
      <c r="B7237" s="24">
        <v>0.0</v>
      </c>
      <c r="C7237" s="44">
        <v>23.91</v>
      </c>
      <c r="D7237" s="46">
        <v>45727.0</v>
      </c>
      <c r="E7237" s="24" t="s">
        <v>6650</v>
      </c>
      <c r="F7237" s="24">
        <v>106.27</v>
      </c>
      <c r="G7237" s="24">
        <v>0.0</v>
      </c>
      <c r="H7237" s="24" t="s">
        <v>6731</v>
      </c>
      <c r="I7237" s="24" t="s">
        <v>6650</v>
      </c>
      <c r="J7237" s="24">
        <v>0.0</v>
      </c>
    </row>
    <row r="7238">
      <c r="A7238" s="24">
        <v>211.0</v>
      </c>
      <c r="B7238" s="24">
        <v>10.0</v>
      </c>
      <c r="C7238" s="44">
        <v>30.92</v>
      </c>
      <c r="D7238" s="46">
        <v>45727.0</v>
      </c>
      <c r="E7238" s="24">
        <v>3.09</v>
      </c>
      <c r="F7238" s="24">
        <v>146.54</v>
      </c>
      <c r="G7238" s="24">
        <v>4.74</v>
      </c>
      <c r="H7238" s="24" t="s">
        <v>6729</v>
      </c>
      <c r="I7238" s="24" t="s">
        <v>6650</v>
      </c>
      <c r="J7238" s="24">
        <v>0.0</v>
      </c>
    </row>
    <row r="7239">
      <c r="A7239" s="24">
        <v>0.0</v>
      </c>
      <c r="B7239" s="24">
        <v>0.0</v>
      </c>
      <c r="C7239" s="44">
        <v>13.25</v>
      </c>
      <c r="D7239" s="46">
        <v>45727.0</v>
      </c>
      <c r="E7239" s="24" t="s">
        <v>6650</v>
      </c>
      <c r="F7239" s="24" t="s">
        <v>6650</v>
      </c>
      <c r="G7239" s="24" t="s">
        <v>6650</v>
      </c>
      <c r="H7239" s="24" t="s">
        <v>6702</v>
      </c>
      <c r="I7239" s="24" t="s">
        <v>6650</v>
      </c>
      <c r="J7239" s="24">
        <v>0.0</v>
      </c>
    </row>
    <row r="7240">
      <c r="A7240" s="24">
        <v>90.0</v>
      </c>
      <c r="B7240" s="24">
        <v>1.0</v>
      </c>
      <c r="C7240" s="44">
        <v>25.74</v>
      </c>
      <c r="D7240" s="46">
        <v>45727.0</v>
      </c>
      <c r="E7240" s="24">
        <v>25.74</v>
      </c>
      <c r="F7240" s="24">
        <v>286.0</v>
      </c>
      <c r="G7240" s="24">
        <v>1.11</v>
      </c>
      <c r="H7240" s="24" t="s">
        <v>6725</v>
      </c>
      <c r="I7240" s="24">
        <v>6.44</v>
      </c>
      <c r="J7240" s="24">
        <v>0.0</v>
      </c>
    </row>
    <row r="7241">
      <c r="A7241" s="24">
        <v>232.0</v>
      </c>
      <c r="B7241" s="24">
        <v>0.0</v>
      </c>
      <c r="C7241" s="44">
        <v>22.28</v>
      </c>
      <c r="D7241" s="46">
        <v>45728.0</v>
      </c>
      <c r="E7241" s="24" t="s">
        <v>6650</v>
      </c>
      <c r="F7241" s="24">
        <v>96.03</v>
      </c>
      <c r="G7241" s="24">
        <v>0.0</v>
      </c>
      <c r="H7241" s="24" t="s">
        <v>6731</v>
      </c>
      <c r="I7241" s="24" t="s">
        <v>6650</v>
      </c>
      <c r="J7241" s="24">
        <v>0.0</v>
      </c>
    </row>
    <row r="7242">
      <c r="A7242" s="24">
        <v>119.0</v>
      </c>
      <c r="B7242" s="24">
        <v>1.0</v>
      </c>
      <c r="C7242" s="44">
        <v>25.71</v>
      </c>
      <c r="D7242" s="46">
        <v>45728.0</v>
      </c>
      <c r="E7242" s="24">
        <v>25.71</v>
      </c>
      <c r="F7242" s="24">
        <v>216.05</v>
      </c>
      <c r="G7242" s="24">
        <v>0.84</v>
      </c>
      <c r="H7242" s="24" t="s">
        <v>6730</v>
      </c>
      <c r="I7242" s="24" t="s">
        <v>6650</v>
      </c>
      <c r="J7242" s="24">
        <v>0.0</v>
      </c>
    </row>
    <row r="7243">
      <c r="A7243" s="24">
        <v>0.0</v>
      </c>
      <c r="B7243" s="24">
        <v>0.0</v>
      </c>
      <c r="C7243" s="44">
        <v>11.94</v>
      </c>
      <c r="D7243" s="46">
        <v>45728.0</v>
      </c>
      <c r="E7243" s="24" t="s">
        <v>6650</v>
      </c>
      <c r="F7243" s="24" t="s">
        <v>6650</v>
      </c>
      <c r="G7243" s="24" t="s">
        <v>6650</v>
      </c>
      <c r="H7243" s="24" t="s">
        <v>6702</v>
      </c>
      <c r="I7243" s="24" t="s">
        <v>6650</v>
      </c>
      <c r="J7243" s="24">
        <v>0.0</v>
      </c>
    </row>
    <row r="7244">
      <c r="A7244" s="24">
        <v>0.0</v>
      </c>
      <c r="B7244" s="24">
        <v>0.0</v>
      </c>
      <c r="C7244" s="44"/>
      <c r="D7244" s="46">
        <v>45728.0</v>
      </c>
      <c r="E7244" s="24" t="s">
        <v>6650</v>
      </c>
      <c r="F7244" s="24" t="s">
        <v>6650</v>
      </c>
      <c r="G7244" s="24" t="s">
        <v>6650</v>
      </c>
      <c r="H7244" s="24" t="s">
        <v>6727</v>
      </c>
      <c r="I7244" s="24" t="s">
        <v>6650</v>
      </c>
      <c r="J7244" s="24"/>
    </row>
    <row r="7245">
      <c r="A7245" s="24">
        <v>237.0</v>
      </c>
      <c r="B7245" s="24">
        <v>7.0</v>
      </c>
      <c r="C7245" s="44">
        <v>31.04</v>
      </c>
      <c r="D7245" s="46">
        <v>45728.0</v>
      </c>
      <c r="E7245" s="24">
        <v>4.43</v>
      </c>
      <c r="F7245" s="24">
        <v>130.97</v>
      </c>
      <c r="G7245" s="24">
        <v>2.95</v>
      </c>
      <c r="H7245" s="24" t="s">
        <v>6729</v>
      </c>
      <c r="I7245" s="24" t="s">
        <v>6650</v>
      </c>
      <c r="J7245" s="24">
        <v>0.0</v>
      </c>
    </row>
    <row r="7246">
      <c r="A7246" s="24">
        <v>0.0</v>
      </c>
      <c r="B7246" s="24">
        <v>0.0</v>
      </c>
      <c r="C7246" s="44"/>
      <c r="D7246" s="46">
        <v>45728.0</v>
      </c>
      <c r="E7246" s="24" t="s">
        <v>6650</v>
      </c>
      <c r="F7246" s="24" t="s">
        <v>6650</v>
      </c>
      <c r="G7246" s="24" t="s">
        <v>6650</v>
      </c>
      <c r="H7246" s="24" t="s">
        <v>6724</v>
      </c>
      <c r="I7246" s="24" t="s">
        <v>6650</v>
      </c>
      <c r="J7246" s="24"/>
    </row>
    <row r="7247">
      <c r="A7247" s="24">
        <v>71.0</v>
      </c>
      <c r="B7247" s="24">
        <v>0.0</v>
      </c>
      <c r="C7247" s="44">
        <v>23.09</v>
      </c>
      <c r="D7247" s="46">
        <v>45728.0</v>
      </c>
      <c r="E7247" s="24" t="s">
        <v>6650</v>
      </c>
      <c r="F7247" s="24">
        <v>325.21</v>
      </c>
      <c r="G7247" s="24">
        <v>0.0</v>
      </c>
      <c r="H7247" s="24" t="s">
        <v>6725</v>
      </c>
      <c r="I7247" s="24">
        <v>0.86</v>
      </c>
      <c r="J7247" s="24">
        <v>0.0</v>
      </c>
    </row>
    <row r="7248">
      <c r="A7248" s="24">
        <v>0.0</v>
      </c>
      <c r="B7248" s="24">
        <v>0.0</v>
      </c>
      <c r="C7248" s="44"/>
      <c r="D7248" s="46">
        <v>45728.0</v>
      </c>
      <c r="E7248" s="24" t="s">
        <v>6650</v>
      </c>
      <c r="F7248" s="24" t="s">
        <v>6650</v>
      </c>
      <c r="G7248" s="24" t="s">
        <v>6650</v>
      </c>
      <c r="H7248" s="24" t="s">
        <v>6728</v>
      </c>
      <c r="I7248" s="24" t="s">
        <v>6650</v>
      </c>
      <c r="J7248" s="24"/>
    </row>
    <row r="7249">
      <c r="A7249" s="24">
        <v>0.0</v>
      </c>
      <c r="B7249" s="24">
        <v>0.0</v>
      </c>
      <c r="C7249" s="44"/>
      <c r="D7249" s="46">
        <v>45728.0</v>
      </c>
      <c r="E7249" s="24" t="s">
        <v>6650</v>
      </c>
      <c r="F7249" s="24" t="s">
        <v>6650</v>
      </c>
      <c r="G7249" s="24" t="s">
        <v>6650</v>
      </c>
      <c r="H7249" s="24" t="s">
        <v>6720</v>
      </c>
      <c r="I7249" s="24" t="s">
        <v>6650</v>
      </c>
      <c r="J7249" s="24"/>
    </row>
    <row r="7250">
      <c r="A7250" s="24">
        <v>0.0</v>
      </c>
      <c r="B7250" s="24">
        <v>0.0</v>
      </c>
      <c r="C7250" s="44">
        <v>7.69</v>
      </c>
      <c r="D7250" s="46">
        <v>45728.0</v>
      </c>
      <c r="E7250" s="24" t="s">
        <v>6650</v>
      </c>
      <c r="F7250" s="24" t="s">
        <v>6650</v>
      </c>
      <c r="G7250" s="24" t="s">
        <v>6650</v>
      </c>
      <c r="H7250" s="24" t="s">
        <v>6726</v>
      </c>
      <c r="I7250" s="24">
        <v>0.26</v>
      </c>
      <c r="J7250" s="24">
        <v>0.0</v>
      </c>
    </row>
    <row r="7251">
      <c r="A7251" s="24">
        <v>0.0</v>
      </c>
      <c r="B7251" s="24">
        <v>0.0</v>
      </c>
      <c r="C7251" s="44"/>
      <c r="D7251" s="46">
        <v>45729.0</v>
      </c>
      <c r="E7251" s="24" t="s">
        <v>6650</v>
      </c>
      <c r="F7251" s="24" t="s">
        <v>6650</v>
      </c>
      <c r="G7251" s="24" t="s">
        <v>6650</v>
      </c>
      <c r="H7251" s="24" t="s">
        <v>6728</v>
      </c>
      <c r="I7251" s="24" t="s">
        <v>6650</v>
      </c>
      <c r="J7251" s="24"/>
    </row>
    <row r="7252">
      <c r="A7252" s="24">
        <v>0.0</v>
      </c>
      <c r="B7252" s="24">
        <v>0.0</v>
      </c>
      <c r="C7252" s="44">
        <v>8.1</v>
      </c>
      <c r="D7252" s="46">
        <v>45729.0</v>
      </c>
      <c r="E7252" s="24" t="s">
        <v>6650</v>
      </c>
      <c r="F7252" s="24" t="s">
        <v>6650</v>
      </c>
      <c r="G7252" s="24" t="s">
        <v>6650</v>
      </c>
      <c r="H7252" s="24" t="s">
        <v>6726</v>
      </c>
      <c r="I7252" s="24">
        <v>1.35</v>
      </c>
      <c r="J7252" s="24">
        <v>0.0</v>
      </c>
    </row>
    <row r="7253">
      <c r="A7253" s="24">
        <v>103.0</v>
      </c>
      <c r="B7253" s="24">
        <v>0.0</v>
      </c>
      <c r="C7253" s="44">
        <v>25.95</v>
      </c>
      <c r="D7253" s="46">
        <v>45729.0</v>
      </c>
      <c r="E7253" s="24" t="s">
        <v>6650</v>
      </c>
      <c r="F7253" s="24">
        <v>251.94</v>
      </c>
      <c r="G7253" s="24">
        <v>0.0</v>
      </c>
      <c r="H7253" s="24" t="s">
        <v>6730</v>
      </c>
      <c r="I7253" s="24" t="s">
        <v>6650</v>
      </c>
      <c r="J7253" s="24">
        <v>0.0</v>
      </c>
    </row>
    <row r="7254">
      <c r="A7254" s="24">
        <v>208.0</v>
      </c>
      <c r="B7254" s="24">
        <v>6.0</v>
      </c>
      <c r="C7254" s="44">
        <v>30.95</v>
      </c>
      <c r="D7254" s="46">
        <v>45729.0</v>
      </c>
      <c r="E7254" s="24">
        <v>5.16</v>
      </c>
      <c r="F7254" s="24">
        <v>148.8</v>
      </c>
      <c r="G7254" s="24">
        <v>2.88</v>
      </c>
      <c r="H7254" s="24" t="s">
        <v>6729</v>
      </c>
      <c r="I7254" s="24" t="s">
        <v>6650</v>
      </c>
      <c r="J7254" s="24">
        <v>0.0</v>
      </c>
    </row>
    <row r="7255">
      <c r="A7255" s="24">
        <v>214.0</v>
      </c>
      <c r="B7255" s="24">
        <v>1.0</v>
      </c>
      <c r="C7255" s="44">
        <v>22.26</v>
      </c>
      <c r="D7255" s="46">
        <v>45729.0</v>
      </c>
      <c r="E7255" s="24">
        <v>22.26</v>
      </c>
      <c r="F7255" s="24">
        <v>104.02</v>
      </c>
      <c r="G7255" s="24">
        <v>0.47</v>
      </c>
      <c r="H7255" s="24" t="s">
        <v>6731</v>
      </c>
      <c r="I7255" s="24" t="s">
        <v>6650</v>
      </c>
      <c r="J7255" s="24">
        <v>0.0</v>
      </c>
    </row>
    <row r="7256">
      <c r="A7256" s="24">
        <v>0.0</v>
      </c>
      <c r="B7256" s="24">
        <v>0.0</v>
      </c>
      <c r="C7256" s="44"/>
      <c r="D7256" s="46">
        <v>45729.0</v>
      </c>
      <c r="E7256" s="24" t="s">
        <v>6650</v>
      </c>
      <c r="F7256" s="24" t="s">
        <v>6650</v>
      </c>
      <c r="G7256" s="24" t="s">
        <v>6650</v>
      </c>
      <c r="H7256" s="24" t="s">
        <v>6720</v>
      </c>
      <c r="I7256" s="24" t="s">
        <v>6650</v>
      </c>
      <c r="J7256" s="24"/>
    </row>
    <row r="7257">
      <c r="A7257" s="24">
        <v>75.0</v>
      </c>
      <c r="B7257" s="24">
        <v>0.0</v>
      </c>
      <c r="C7257" s="44">
        <v>22.67</v>
      </c>
      <c r="D7257" s="46">
        <v>45729.0</v>
      </c>
      <c r="E7257" s="24" t="s">
        <v>6650</v>
      </c>
      <c r="F7257" s="24">
        <v>302.27</v>
      </c>
      <c r="G7257" s="24">
        <v>0.0</v>
      </c>
      <c r="H7257" s="24" t="s">
        <v>6725</v>
      </c>
      <c r="I7257" s="24">
        <v>5.67</v>
      </c>
      <c r="J7257" s="24">
        <v>0.0</v>
      </c>
    </row>
    <row r="7258">
      <c r="A7258" s="24">
        <v>0.0</v>
      </c>
      <c r="B7258" s="24">
        <v>0.0</v>
      </c>
      <c r="C7258" s="44"/>
      <c r="D7258" s="46">
        <v>45729.0</v>
      </c>
      <c r="E7258" s="24" t="s">
        <v>6650</v>
      </c>
      <c r="F7258" s="24" t="s">
        <v>6650</v>
      </c>
      <c r="G7258" s="24" t="s">
        <v>6650</v>
      </c>
      <c r="H7258" s="24" t="s">
        <v>6727</v>
      </c>
      <c r="I7258" s="24" t="s">
        <v>6650</v>
      </c>
      <c r="J7258" s="24"/>
    </row>
    <row r="7259">
      <c r="A7259" s="24">
        <v>0.0</v>
      </c>
      <c r="B7259" s="24">
        <v>0.0</v>
      </c>
      <c r="C7259" s="44"/>
      <c r="D7259" s="46">
        <v>45729.0</v>
      </c>
      <c r="E7259" s="24" t="s">
        <v>6650</v>
      </c>
      <c r="F7259" s="24" t="s">
        <v>6650</v>
      </c>
      <c r="G7259" s="24" t="s">
        <v>6650</v>
      </c>
      <c r="H7259" s="24" t="s">
        <v>6724</v>
      </c>
      <c r="I7259" s="24" t="s">
        <v>6650</v>
      </c>
      <c r="J7259" s="24"/>
    </row>
    <row r="7260">
      <c r="A7260" s="24">
        <v>0.0</v>
      </c>
      <c r="B7260" s="24">
        <v>0.0</v>
      </c>
      <c r="C7260" s="44">
        <v>11.97</v>
      </c>
      <c r="D7260" s="46">
        <v>45729.0</v>
      </c>
      <c r="E7260" s="24" t="s">
        <v>6650</v>
      </c>
      <c r="F7260" s="24" t="s">
        <v>6650</v>
      </c>
      <c r="G7260" s="24" t="s">
        <v>6650</v>
      </c>
      <c r="H7260" s="24" t="s">
        <v>6702</v>
      </c>
      <c r="I7260" s="24" t="s">
        <v>6650</v>
      </c>
      <c r="J7260" s="24">
        <v>0.0</v>
      </c>
    </row>
    <row r="7261">
      <c r="A7261" s="24">
        <v>0.0</v>
      </c>
      <c r="B7261" s="24">
        <v>0.0</v>
      </c>
      <c r="C7261" s="44"/>
      <c r="D7261" s="46">
        <v>45730.0</v>
      </c>
      <c r="E7261" s="24" t="s">
        <v>6650</v>
      </c>
      <c r="F7261" s="24" t="s">
        <v>6650</v>
      </c>
      <c r="G7261" s="24" t="s">
        <v>6650</v>
      </c>
      <c r="H7261" s="24" t="s">
        <v>6720</v>
      </c>
      <c r="I7261" s="24" t="s">
        <v>6650</v>
      </c>
      <c r="J7261" s="24"/>
    </row>
    <row r="7262">
      <c r="A7262" s="24">
        <v>0.0</v>
      </c>
      <c r="B7262" s="24">
        <v>0.0</v>
      </c>
      <c r="C7262" s="44">
        <v>10.4</v>
      </c>
      <c r="D7262" s="46">
        <v>45730.0</v>
      </c>
      <c r="E7262" s="24" t="s">
        <v>6650</v>
      </c>
      <c r="F7262" s="24" t="s">
        <v>6650</v>
      </c>
      <c r="G7262" s="24" t="s">
        <v>6650</v>
      </c>
      <c r="H7262" s="24" t="s">
        <v>6702</v>
      </c>
      <c r="I7262" s="24" t="s">
        <v>6650</v>
      </c>
      <c r="J7262" s="24">
        <v>0.0</v>
      </c>
    </row>
    <row r="7263">
      <c r="A7263" s="24">
        <v>0.0</v>
      </c>
      <c r="B7263" s="24">
        <v>0.0</v>
      </c>
      <c r="C7263" s="44"/>
      <c r="D7263" s="46">
        <v>45730.0</v>
      </c>
      <c r="E7263" s="24" t="s">
        <v>6650</v>
      </c>
      <c r="F7263" s="24" t="s">
        <v>6650</v>
      </c>
      <c r="G7263" s="24" t="s">
        <v>6650</v>
      </c>
      <c r="H7263" s="24" t="s">
        <v>6727</v>
      </c>
      <c r="I7263" s="24" t="s">
        <v>6650</v>
      </c>
      <c r="J7263" s="24"/>
    </row>
    <row r="7264">
      <c r="A7264" s="24">
        <v>202.0</v>
      </c>
      <c r="B7264" s="24">
        <v>1.0</v>
      </c>
      <c r="C7264" s="44">
        <v>21.85</v>
      </c>
      <c r="D7264" s="46">
        <v>45730.0</v>
      </c>
      <c r="E7264" s="24">
        <v>21.85</v>
      </c>
      <c r="F7264" s="24">
        <v>108.17</v>
      </c>
      <c r="G7264" s="24">
        <v>0.5</v>
      </c>
      <c r="H7264" s="24" t="s">
        <v>6731</v>
      </c>
      <c r="I7264" s="24" t="s">
        <v>6650</v>
      </c>
      <c r="J7264" s="24">
        <v>0.0</v>
      </c>
    </row>
    <row r="7265">
      <c r="A7265" s="24">
        <v>0.0</v>
      </c>
      <c r="B7265" s="24">
        <v>0.0</v>
      </c>
      <c r="C7265" s="44"/>
      <c r="D7265" s="46">
        <v>45730.0</v>
      </c>
      <c r="E7265" s="24" t="s">
        <v>6650</v>
      </c>
      <c r="F7265" s="24" t="s">
        <v>6650</v>
      </c>
      <c r="G7265" s="24" t="s">
        <v>6650</v>
      </c>
      <c r="H7265" s="24" t="s">
        <v>6728</v>
      </c>
      <c r="I7265" s="24" t="s">
        <v>6650</v>
      </c>
      <c r="J7265" s="24"/>
    </row>
    <row r="7266">
      <c r="A7266" s="24">
        <v>57.0</v>
      </c>
      <c r="B7266" s="24">
        <v>0.0</v>
      </c>
      <c r="C7266" s="44">
        <v>21.56</v>
      </c>
      <c r="D7266" s="46">
        <v>45730.0</v>
      </c>
      <c r="E7266" s="24" t="s">
        <v>6650</v>
      </c>
      <c r="F7266" s="24">
        <v>378.25</v>
      </c>
      <c r="G7266" s="24">
        <v>0.0</v>
      </c>
      <c r="H7266" s="24" t="s">
        <v>6725</v>
      </c>
      <c r="I7266" s="24">
        <v>10.78</v>
      </c>
      <c r="J7266" s="24">
        <v>0.0</v>
      </c>
    </row>
    <row r="7267">
      <c r="A7267" s="24">
        <v>0.0</v>
      </c>
      <c r="B7267" s="24">
        <v>0.0</v>
      </c>
      <c r="C7267" s="44"/>
      <c r="D7267" s="46">
        <v>45730.0</v>
      </c>
      <c r="E7267" s="24" t="s">
        <v>6650</v>
      </c>
      <c r="F7267" s="24" t="s">
        <v>6650</v>
      </c>
      <c r="G7267" s="24" t="s">
        <v>6650</v>
      </c>
      <c r="H7267" s="24" t="s">
        <v>6724</v>
      </c>
      <c r="I7267" s="24" t="s">
        <v>6650</v>
      </c>
      <c r="J7267" s="24"/>
    </row>
    <row r="7268">
      <c r="A7268" s="24">
        <v>108.0</v>
      </c>
      <c r="B7268" s="24">
        <v>0.0</v>
      </c>
      <c r="C7268" s="44">
        <v>24.5</v>
      </c>
      <c r="D7268" s="46">
        <v>45730.0</v>
      </c>
      <c r="E7268" s="24" t="s">
        <v>6650</v>
      </c>
      <c r="F7268" s="24">
        <v>226.85</v>
      </c>
      <c r="G7268" s="24">
        <v>0.0</v>
      </c>
      <c r="H7268" s="24" t="s">
        <v>6730</v>
      </c>
      <c r="I7268" s="24" t="s">
        <v>6650</v>
      </c>
      <c r="J7268" s="24">
        <v>0.0</v>
      </c>
    </row>
    <row r="7269">
      <c r="A7269" s="24">
        <v>244.0</v>
      </c>
      <c r="B7269" s="24">
        <v>10.0</v>
      </c>
      <c r="C7269" s="44">
        <v>29.14</v>
      </c>
      <c r="D7269" s="46">
        <v>45730.0</v>
      </c>
      <c r="E7269" s="24">
        <v>2.91</v>
      </c>
      <c r="F7269" s="24">
        <v>119.43</v>
      </c>
      <c r="G7269" s="24">
        <v>4.1</v>
      </c>
      <c r="H7269" s="24" t="s">
        <v>6729</v>
      </c>
      <c r="I7269" s="24" t="s">
        <v>6650</v>
      </c>
      <c r="J7269" s="24">
        <v>0.0</v>
      </c>
    </row>
    <row r="7270">
      <c r="A7270" s="24">
        <v>0.0</v>
      </c>
      <c r="B7270" s="24">
        <v>0.0</v>
      </c>
      <c r="C7270" s="44">
        <v>2.76</v>
      </c>
      <c r="D7270" s="46">
        <v>45730.0</v>
      </c>
      <c r="E7270" s="24" t="s">
        <v>6650</v>
      </c>
      <c r="F7270" s="24" t="s">
        <v>6650</v>
      </c>
      <c r="G7270" s="24" t="s">
        <v>6650</v>
      </c>
      <c r="H7270" s="24" t="s">
        <v>6726</v>
      </c>
      <c r="I7270" s="24">
        <v>0.92</v>
      </c>
      <c r="J7270" s="24">
        <v>0.0</v>
      </c>
    </row>
    <row r="7271">
      <c r="A7271" s="24">
        <v>0.0</v>
      </c>
      <c r="B7271" s="24">
        <v>0.0</v>
      </c>
      <c r="C7271" s="44"/>
      <c r="D7271" s="46">
        <v>45731.0</v>
      </c>
      <c r="E7271" s="24" t="s">
        <v>6650</v>
      </c>
      <c r="F7271" s="24" t="s">
        <v>6650</v>
      </c>
      <c r="G7271" s="24" t="s">
        <v>6650</v>
      </c>
      <c r="H7271" s="24" t="s">
        <v>6720</v>
      </c>
      <c r="I7271" s="24" t="s">
        <v>6650</v>
      </c>
      <c r="J7271" s="24"/>
    </row>
    <row r="7272">
      <c r="A7272" s="24">
        <v>47.0</v>
      </c>
      <c r="B7272" s="24">
        <v>0.0</v>
      </c>
      <c r="C7272" s="44">
        <v>11.27</v>
      </c>
      <c r="D7272" s="46">
        <v>45731.0</v>
      </c>
      <c r="E7272" s="24" t="s">
        <v>6650</v>
      </c>
      <c r="F7272" s="24">
        <v>239.79</v>
      </c>
      <c r="G7272" s="24">
        <v>0.0</v>
      </c>
      <c r="H7272" s="24" t="s">
        <v>6725</v>
      </c>
      <c r="I7272" s="24">
        <v>11.27</v>
      </c>
      <c r="J7272" s="24">
        <v>0.0</v>
      </c>
    </row>
    <row r="7273">
      <c r="A7273" s="24">
        <v>0.0</v>
      </c>
      <c r="B7273" s="24">
        <v>0.0</v>
      </c>
      <c r="C7273" s="44"/>
      <c r="D7273" s="46">
        <v>45731.0</v>
      </c>
      <c r="E7273" s="24" t="s">
        <v>6650</v>
      </c>
      <c r="F7273" s="24" t="s">
        <v>6650</v>
      </c>
      <c r="G7273" s="24" t="s">
        <v>6650</v>
      </c>
      <c r="H7273" s="24" t="s">
        <v>6728</v>
      </c>
      <c r="I7273" s="24" t="s">
        <v>6650</v>
      </c>
      <c r="J7273" s="24"/>
    </row>
    <row r="7274">
      <c r="A7274" s="24">
        <v>0.0</v>
      </c>
      <c r="B7274" s="24">
        <v>0.0</v>
      </c>
      <c r="C7274" s="44">
        <v>4.84</v>
      </c>
      <c r="D7274" s="46">
        <v>45731.0</v>
      </c>
      <c r="E7274" s="24" t="s">
        <v>6650</v>
      </c>
      <c r="F7274" s="24" t="s">
        <v>6650</v>
      </c>
      <c r="G7274" s="24" t="s">
        <v>6650</v>
      </c>
      <c r="H7274" s="24" t="s">
        <v>6726</v>
      </c>
      <c r="I7274" s="24">
        <v>1.61</v>
      </c>
      <c r="J7274" s="24">
        <v>0.0</v>
      </c>
    </row>
    <row r="7275">
      <c r="A7275" s="24">
        <v>0.0</v>
      </c>
      <c r="B7275" s="24">
        <v>0.0</v>
      </c>
      <c r="C7275" s="44"/>
      <c r="D7275" s="46">
        <v>45731.0</v>
      </c>
      <c r="E7275" s="24" t="s">
        <v>6650</v>
      </c>
      <c r="F7275" s="24" t="s">
        <v>6650</v>
      </c>
      <c r="G7275" s="24" t="s">
        <v>6650</v>
      </c>
      <c r="H7275" s="24" t="s">
        <v>6724</v>
      </c>
      <c r="I7275" s="24" t="s">
        <v>6650</v>
      </c>
      <c r="J7275" s="24"/>
    </row>
    <row r="7276">
      <c r="A7276" s="24">
        <v>0.0</v>
      </c>
      <c r="B7276" s="24">
        <v>0.0</v>
      </c>
      <c r="C7276" s="44">
        <v>7.76</v>
      </c>
      <c r="D7276" s="46">
        <v>45731.0</v>
      </c>
      <c r="E7276" s="24" t="s">
        <v>6650</v>
      </c>
      <c r="F7276" s="24" t="s">
        <v>6650</v>
      </c>
      <c r="G7276" s="24" t="s">
        <v>6650</v>
      </c>
      <c r="H7276" s="24" t="s">
        <v>6702</v>
      </c>
      <c r="I7276" s="24" t="s">
        <v>6650</v>
      </c>
      <c r="J7276" s="24">
        <v>0.0</v>
      </c>
    </row>
    <row r="7277">
      <c r="A7277" s="24">
        <v>137.0</v>
      </c>
      <c r="B7277" s="24">
        <v>3.0</v>
      </c>
      <c r="C7277" s="44">
        <v>16.1</v>
      </c>
      <c r="D7277" s="46">
        <v>45731.0</v>
      </c>
      <c r="E7277" s="24">
        <v>5.37</v>
      </c>
      <c r="F7277" s="24">
        <v>117.52</v>
      </c>
      <c r="G7277" s="24">
        <v>2.19</v>
      </c>
      <c r="H7277" s="24" t="s">
        <v>6729</v>
      </c>
      <c r="I7277" s="24" t="s">
        <v>6650</v>
      </c>
      <c r="J7277" s="24">
        <v>0.0</v>
      </c>
    </row>
    <row r="7278">
      <c r="A7278" s="24">
        <v>99.0</v>
      </c>
      <c r="B7278" s="24">
        <v>0.0</v>
      </c>
      <c r="C7278" s="44">
        <v>12.22</v>
      </c>
      <c r="D7278" s="46">
        <v>45731.0</v>
      </c>
      <c r="E7278" s="24" t="s">
        <v>6650</v>
      </c>
      <c r="F7278" s="24">
        <v>123.43</v>
      </c>
      <c r="G7278" s="24">
        <v>0.0</v>
      </c>
      <c r="H7278" s="24" t="s">
        <v>6731</v>
      </c>
      <c r="I7278" s="24" t="s">
        <v>6650</v>
      </c>
      <c r="J7278" s="24">
        <v>0.0</v>
      </c>
    </row>
    <row r="7279">
      <c r="A7279" s="24">
        <v>44.0</v>
      </c>
      <c r="B7279" s="24">
        <v>1.0</v>
      </c>
      <c r="C7279" s="44">
        <v>13.23</v>
      </c>
      <c r="D7279" s="46">
        <v>45731.0</v>
      </c>
      <c r="E7279" s="24">
        <v>13.23</v>
      </c>
      <c r="F7279" s="24">
        <v>300.68</v>
      </c>
      <c r="G7279" s="24">
        <v>2.27</v>
      </c>
      <c r="H7279" s="24" t="s">
        <v>6730</v>
      </c>
      <c r="I7279" s="24" t="s">
        <v>6650</v>
      </c>
      <c r="J7279" s="24">
        <v>0.0</v>
      </c>
    </row>
    <row r="7280">
      <c r="A7280" s="24">
        <v>0.0</v>
      </c>
      <c r="B7280" s="24">
        <v>0.0</v>
      </c>
      <c r="C7280" s="44"/>
      <c r="D7280" s="46">
        <v>45732.0</v>
      </c>
      <c r="E7280" s="24" t="s">
        <v>6650</v>
      </c>
      <c r="F7280" s="24" t="s">
        <v>6650</v>
      </c>
      <c r="G7280" s="24" t="s">
        <v>6650</v>
      </c>
      <c r="H7280" s="24" t="s">
        <v>6720</v>
      </c>
      <c r="I7280" s="24" t="s">
        <v>6650</v>
      </c>
      <c r="J7280" s="24"/>
    </row>
    <row r="7281">
      <c r="A7281" s="24">
        <v>0.0</v>
      </c>
      <c r="B7281" s="24">
        <v>0.0</v>
      </c>
      <c r="C7281" s="44"/>
      <c r="D7281" s="46">
        <v>45732.0</v>
      </c>
      <c r="E7281" s="24" t="s">
        <v>6650</v>
      </c>
      <c r="F7281" s="24" t="s">
        <v>6650</v>
      </c>
      <c r="G7281" s="24" t="s">
        <v>6650</v>
      </c>
      <c r="H7281" s="24" t="s">
        <v>6727</v>
      </c>
      <c r="I7281" s="24" t="s">
        <v>6650</v>
      </c>
      <c r="J7281" s="24"/>
    </row>
    <row r="7282">
      <c r="A7282" s="24">
        <v>0.0</v>
      </c>
      <c r="B7282" s="24">
        <v>0.0</v>
      </c>
      <c r="C7282" s="44">
        <v>2.86</v>
      </c>
      <c r="D7282" s="46">
        <v>45732.0</v>
      </c>
      <c r="E7282" s="24" t="s">
        <v>6650</v>
      </c>
      <c r="F7282" s="24" t="s">
        <v>6650</v>
      </c>
      <c r="G7282" s="24" t="s">
        <v>6650</v>
      </c>
      <c r="H7282" s="24" t="s">
        <v>6726</v>
      </c>
      <c r="I7282" s="24">
        <v>0.95</v>
      </c>
      <c r="J7282" s="24">
        <v>0.0</v>
      </c>
    </row>
    <row r="7283">
      <c r="A7283" s="24">
        <v>0.0</v>
      </c>
      <c r="B7283" s="24">
        <v>0.0</v>
      </c>
      <c r="C7283" s="44"/>
      <c r="D7283" s="46">
        <v>45732.0</v>
      </c>
      <c r="E7283" s="24" t="s">
        <v>6650</v>
      </c>
      <c r="F7283" s="24" t="s">
        <v>6650</v>
      </c>
      <c r="G7283" s="24" t="s">
        <v>6650</v>
      </c>
      <c r="H7283" s="24" t="s">
        <v>6728</v>
      </c>
      <c r="I7283" s="24" t="s">
        <v>6650</v>
      </c>
      <c r="J7283" s="24"/>
    </row>
    <row r="7284">
      <c r="A7284" s="24">
        <v>0.0</v>
      </c>
      <c r="B7284" s="24">
        <v>0.0</v>
      </c>
      <c r="C7284" s="44">
        <v>2.62</v>
      </c>
      <c r="D7284" s="46">
        <v>45732.0</v>
      </c>
      <c r="E7284" s="24" t="s">
        <v>6650</v>
      </c>
      <c r="F7284" s="24" t="s">
        <v>6650</v>
      </c>
      <c r="G7284" s="24" t="s">
        <v>6650</v>
      </c>
      <c r="H7284" s="24" t="s">
        <v>6702</v>
      </c>
      <c r="I7284" s="24" t="s">
        <v>6650</v>
      </c>
      <c r="J7284" s="24">
        <v>0.0</v>
      </c>
    </row>
    <row r="7285">
      <c r="A7285" s="24">
        <v>22.0</v>
      </c>
      <c r="B7285" s="24">
        <v>0.0</v>
      </c>
      <c r="C7285" s="44">
        <v>8.21</v>
      </c>
      <c r="D7285" s="46">
        <v>45732.0</v>
      </c>
      <c r="E7285" s="24" t="s">
        <v>6650</v>
      </c>
      <c r="F7285" s="24">
        <v>373.18</v>
      </c>
      <c r="G7285" s="24">
        <v>0.0</v>
      </c>
      <c r="H7285" s="24" t="s">
        <v>6725</v>
      </c>
      <c r="I7285" s="24">
        <v>2.74</v>
      </c>
      <c r="J7285" s="24">
        <v>0.0</v>
      </c>
    </row>
    <row r="7286">
      <c r="A7286" s="24">
        <v>68.0</v>
      </c>
      <c r="B7286" s="24">
        <v>0.0</v>
      </c>
      <c r="C7286" s="44">
        <v>9.19</v>
      </c>
      <c r="D7286" s="46">
        <v>45732.0</v>
      </c>
      <c r="E7286" s="24" t="s">
        <v>6650</v>
      </c>
      <c r="F7286" s="24">
        <v>135.15</v>
      </c>
      <c r="G7286" s="24">
        <v>0.0</v>
      </c>
      <c r="H7286" s="24" t="s">
        <v>6731</v>
      </c>
      <c r="I7286" s="24" t="s">
        <v>6650</v>
      </c>
      <c r="J7286" s="24">
        <v>0.0</v>
      </c>
    </row>
    <row r="7287">
      <c r="A7287" s="24">
        <v>0.0</v>
      </c>
      <c r="B7287" s="24">
        <v>0.0</v>
      </c>
      <c r="C7287" s="44"/>
      <c r="D7287" s="46">
        <v>45732.0</v>
      </c>
      <c r="E7287" s="24" t="s">
        <v>6650</v>
      </c>
      <c r="F7287" s="24" t="s">
        <v>6650</v>
      </c>
      <c r="G7287" s="24" t="s">
        <v>6650</v>
      </c>
      <c r="H7287" s="24" t="s">
        <v>6724</v>
      </c>
      <c r="I7287" s="24" t="s">
        <v>6650</v>
      </c>
      <c r="J7287" s="24"/>
    </row>
    <row r="7288">
      <c r="A7288" s="24">
        <v>26.0</v>
      </c>
      <c r="B7288" s="24">
        <v>0.0</v>
      </c>
      <c r="C7288" s="44">
        <v>7.53</v>
      </c>
      <c r="D7288" s="46">
        <v>45732.0</v>
      </c>
      <c r="E7288" s="24" t="s">
        <v>6650</v>
      </c>
      <c r="F7288" s="24">
        <v>289.62</v>
      </c>
      <c r="G7288" s="24">
        <v>0.0</v>
      </c>
      <c r="H7288" s="24" t="s">
        <v>6730</v>
      </c>
      <c r="I7288" s="24" t="s">
        <v>6650</v>
      </c>
      <c r="J7288" s="24">
        <v>0.0</v>
      </c>
    </row>
    <row r="7289">
      <c r="A7289" s="24">
        <v>115.0</v>
      </c>
      <c r="B7289" s="24">
        <v>8.0</v>
      </c>
      <c r="C7289" s="44">
        <v>13.75</v>
      </c>
      <c r="D7289" s="46">
        <v>45732.0</v>
      </c>
      <c r="E7289" s="24">
        <v>1.72</v>
      </c>
      <c r="F7289" s="24">
        <v>119.57</v>
      </c>
      <c r="G7289" s="24">
        <v>6.96</v>
      </c>
      <c r="H7289" s="24" t="s">
        <v>6729</v>
      </c>
      <c r="I7289" s="24" t="s">
        <v>6650</v>
      </c>
      <c r="J7289" s="24">
        <v>0.0</v>
      </c>
    </row>
    <row r="7290">
      <c r="A7290" s="24">
        <v>0.0</v>
      </c>
      <c r="B7290" s="24">
        <v>0.0</v>
      </c>
      <c r="C7290" s="44"/>
      <c r="D7290" s="46">
        <v>45733.0</v>
      </c>
      <c r="E7290" s="24" t="s">
        <v>6650</v>
      </c>
      <c r="F7290" s="24" t="s">
        <v>6650</v>
      </c>
      <c r="G7290" s="24" t="s">
        <v>6650</v>
      </c>
      <c r="H7290" s="24" t="s">
        <v>6728</v>
      </c>
      <c r="I7290" s="24" t="s">
        <v>6650</v>
      </c>
      <c r="J7290" s="24"/>
    </row>
    <row r="7291">
      <c r="A7291" s="24">
        <v>0.0</v>
      </c>
      <c r="B7291" s="24">
        <v>0.0</v>
      </c>
      <c r="C7291" s="44"/>
      <c r="D7291" s="46">
        <v>45733.0</v>
      </c>
      <c r="E7291" s="24" t="s">
        <v>6650</v>
      </c>
      <c r="F7291" s="24" t="s">
        <v>6650</v>
      </c>
      <c r="G7291" s="24" t="s">
        <v>6650</v>
      </c>
      <c r="H7291" s="24" t="s">
        <v>6727</v>
      </c>
      <c r="I7291" s="24" t="s">
        <v>6650</v>
      </c>
      <c r="J7291" s="24"/>
    </row>
    <row r="7292">
      <c r="A7292" s="24">
        <v>1527.0</v>
      </c>
      <c r="B7292" s="24">
        <v>22.0</v>
      </c>
      <c r="C7292" s="44">
        <v>21.61</v>
      </c>
      <c r="D7292" s="46">
        <v>45733.0</v>
      </c>
      <c r="E7292" s="24">
        <v>0.98</v>
      </c>
      <c r="F7292" s="24">
        <v>14.15</v>
      </c>
      <c r="G7292" s="24">
        <v>1.44</v>
      </c>
      <c r="H7292" s="24" t="s">
        <v>6732</v>
      </c>
      <c r="I7292" s="24" t="s">
        <v>6650</v>
      </c>
      <c r="J7292" s="24">
        <v>0.0</v>
      </c>
    </row>
    <row r="7293">
      <c r="A7293" s="24">
        <v>0.0</v>
      </c>
      <c r="B7293" s="24">
        <v>0.0</v>
      </c>
      <c r="C7293" s="44"/>
      <c r="D7293" s="46">
        <v>45733.0</v>
      </c>
      <c r="E7293" s="24" t="s">
        <v>6650</v>
      </c>
      <c r="F7293" s="24" t="s">
        <v>6650</v>
      </c>
      <c r="G7293" s="24" t="s">
        <v>6650</v>
      </c>
      <c r="H7293" s="24" t="s">
        <v>6720</v>
      </c>
      <c r="I7293" s="24" t="s">
        <v>6650</v>
      </c>
      <c r="J7293" s="24"/>
    </row>
    <row r="7294">
      <c r="A7294" s="24">
        <v>63.0</v>
      </c>
      <c r="B7294" s="24">
        <v>0.0</v>
      </c>
      <c r="C7294" s="44">
        <v>19.35</v>
      </c>
      <c r="D7294" s="46">
        <v>45733.0</v>
      </c>
      <c r="E7294" s="24" t="s">
        <v>6650</v>
      </c>
      <c r="F7294" s="24">
        <v>307.14</v>
      </c>
      <c r="G7294" s="24">
        <v>0.0</v>
      </c>
      <c r="H7294" s="24" t="s">
        <v>6725</v>
      </c>
      <c r="I7294" s="24">
        <v>2.76</v>
      </c>
      <c r="J7294" s="24">
        <v>0.0</v>
      </c>
    </row>
    <row r="7295">
      <c r="A7295" s="24">
        <v>173.0</v>
      </c>
      <c r="B7295" s="24">
        <v>1.0</v>
      </c>
      <c r="C7295" s="44">
        <v>19.28</v>
      </c>
      <c r="D7295" s="46">
        <v>45733.0</v>
      </c>
      <c r="E7295" s="24">
        <v>19.28</v>
      </c>
      <c r="F7295" s="24">
        <v>111.45</v>
      </c>
      <c r="G7295" s="24">
        <v>0.58</v>
      </c>
      <c r="H7295" s="24" t="s">
        <v>6731</v>
      </c>
      <c r="I7295" s="24" t="s">
        <v>6650</v>
      </c>
      <c r="J7295" s="24">
        <v>0.0</v>
      </c>
    </row>
    <row r="7296">
      <c r="A7296" s="24">
        <v>0.0</v>
      </c>
      <c r="B7296" s="24">
        <v>0.0</v>
      </c>
      <c r="C7296" s="44">
        <v>10.77</v>
      </c>
      <c r="D7296" s="46">
        <v>45733.0</v>
      </c>
      <c r="E7296" s="24" t="s">
        <v>6650</v>
      </c>
      <c r="F7296" s="24" t="s">
        <v>6650</v>
      </c>
      <c r="G7296" s="24" t="s">
        <v>6650</v>
      </c>
      <c r="H7296" s="24" t="s">
        <v>6702</v>
      </c>
      <c r="I7296" s="24" t="s">
        <v>6650</v>
      </c>
      <c r="J7296" s="24">
        <v>0.0</v>
      </c>
    </row>
    <row r="7297">
      <c r="A7297" s="24">
        <v>374.0</v>
      </c>
      <c r="B7297" s="24">
        <v>9.0</v>
      </c>
      <c r="C7297" s="44">
        <v>23.66</v>
      </c>
      <c r="D7297" s="46">
        <v>45733.0</v>
      </c>
      <c r="E7297" s="24">
        <v>2.63</v>
      </c>
      <c r="F7297" s="24">
        <v>63.26</v>
      </c>
      <c r="G7297" s="24">
        <v>2.41</v>
      </c>
      <c r="H7297" s="24" t="s">
        <v>6729</v>
      </c>
      <c r="I7297" s="24" t="s">
        <v>6650</v>
      </c>
      <c r="J7297" s="24">
        <v>0.0</v>
      </c>
    </row>
    <row r="7298">
      <c r="A7298" s="24">
        <v>0.0</v>
      </c>
      <c r="B7298" s="24">
        <v>0.0</v>
      </c>
      <c r="C7298" s="44"/>
      <c r="D7298" s="46">
        <v>45733.0</v>
      </c>
      <c r="E7298" s="24" t="s">
        <v>6650</v>
      </c>
      <c r="F7298" s="24" t="s">
        <v>6650</v>
      </c>
      <c r="G7298" s="24" t="s">
        <v>6650</v>
      </c>
      <c r="H7298" s="24" t="s">
        <v>6724</v>
      </c>
      <c r="I7298" s="24" t="s">
        <v>6650</v>
      </c>
      <c r="J7298" s="24"/>
    </row>
    <row r="7299">
      <c r="A7299" s="24">
        <v>86.0</v>
      </c>
      <c r="B7299" s="24">
        <v>2.0</v>
      </c>
      <c r="C7299" s="44">
        <v>24.21</v>
      </c>
      <c r="D7299" s="46">
        <v>45733.0</v>
      </c>
      <c r="E7299" s="24">
        <v>12.1</v>
      </c>
      <c r="F7299" s="24">
        <v>281.51</v>
      </c>
      <c r="G7299" s="24">
        <v>2.33</v>
      </c>
      <c r="H7299" s="24" t="s">
        <v>6730</v>
      </c>
      <c r="I7299" s="24" t="s">
        <v>6650</v>
      </c>
      <c r="J7299" s="24">
        <v>0.0</v>
      </c>
    </row>
    <row r="7300">
      <c r="A7300" s="24">
        <v>0.0</v>
      </c>
      <c r="B7300" s="24">
        <v>0.0</v>
      </c>
      <c r="C7300" s="44">
        <v>10.57</v>
      </c>
      <c r="D7300" s="46">
        <v>45733.0</v>
      </c>
      <c r="E7300" s="24" t="s">
        <v>6650</v>
      </c>
      <c r="F7300" s="24" t="s">
        <v>6650</v>
      </c>
      <c r="G7300" s="24" t="s">
        <v>6650</v>
      </c>
      <c r="H7300" s="24" t="s">
        <v>6726</v>
      </c>
      <c r="I7300" s="24">
        <v>0.81</v>
      </c>
      <c r="J7300" s="24">
        <v>1.0</v>
      </c>
    </row>
    <row r="7301">
      <c r="A7301" s="24">
        <v>0.0</v>
      </c>
      <c r="B7301" s="24">
        <v>0.0</v>
      </c>
      <c r="C7301" s="44"/>
      <c r="D7301" s="46">
        <v>45734.0</v>
      </c>
      <c r="E7301" s="24" t="s">
        <v>6650</v>
      </c>
      <c r="F7301" s="24" t="s">
        <v>6650</v>
      </c>
      <c r="G7301" s="24" t="s">
        <v>6650</v>
      </c>
      <c r="H7301" s="24" t="s">
        <v>6720</v>
      </c>
      <c r="I7301" s="24" t="s">
        <v>6650</v>
      </c>
      <c r="J7301" s="24"/>
    </row>
    <row r="7302">
      <c r="A7302" s="24">
        <v>69.0</v>
      </c>
      <c r="B7302" s="24">
        <v>0.0</v>
      </c>
      <c r="C7302" s="44">
        <v>23.73</v>
      </c>
      <c r="D7302" s="46">
        <v>45734.0</v>
      </c>
      <c r="E7302" s="24" t="s">
        <v>6650</v>
      </c>
      <c r="F7302" s="24">
        <v>343.91</v>
      </c>
      <c r="G7302" s="24">
        <v>0.0</v>
      </c>
      <c r="H7302" s="24" t="s">
        <v>6725</v>
      </c>
      <c r="I7302" s="24">
        <v>1.08</v>
      </c>
      <c r="J7302" s="24">
        <v>0.0</v>
      </c>
    </row>
    <row r="7303">
      <c r="A7303" s="24">
        <v>0.0</v>
      </c>
      <c r="B7303" s="24">
        <v>0.0</v>
      </c>
      <c r="C7303" s="44"/>
      <c r="D7303" s="46">
        <v>45734.0</v>
      </c>
      <c r="E7303" s="24" t="s">
        <v>6650</v>
      </c>
      <c r="F7303" s="24" t="s">
        <v>6650</v>
      </c>
      <c r="G7303" s="24" t="s">
        <v>6650</v>
      </c>
      <c r="H7303" s="24" t="s">
        <v>6728</v>
      </c>
      <c r="I7303" s="24" t="s">
        <v>6650</v>
      </c>
      <c r="J7303" s="24"/>
    </row>
    <row r="7304">
      <c r="A7304" s="24">
        <v>96.0</v>
      </c>
      <c r="B7304" s="24">
        <v>1.0</v>
      </c>
      <c r="C7304" s="44">
        <v>25.03</v>
      </c>
      <c r="D7304" s="46">
        <v>45734.0</v>
      </c>
      <c r="E7304" s="24">
        <v>25.03</v>
      </c>
      <c r="F7304" s="24">
        <v>260.73</v>
      </c>
      <c r="G7304" s="24">
        <v>1.04</v>
      </c>
      <c r="H7304" s="24" t="s">
        <v>6730</v>
      </c>
      <c r="I7304" s="24" t="s">
        <v>6650</v>
      </c>
      <c r="J7304" s="24">
        <v>0.0</v>
      </c>
    </row>
    <row r="7305">
      <c r="A7305" s="24">
        <v>0.0</v>
      </c>
      <c r="B7305" s="24">
        <v>0.0</v>
      </c>
      <c r="C7305" s="44"/>
      <c r="D7305" s="46">
        <v>45734.0</v>
      </c>
      <c r="E7305" s="24" t="s">
        <v>6650</v>
      </c>
      <c r="F7305" s="24" t="s">
        <v>6650</v>
      </c>
      <c r="G7305" s="24" t="s">
        <v>6650</v>
      </c>
      <c r="H7305" s="24" t="s">
        <v>6727</v>
      </c>
      <c r="I7305" s="24" t="s">
        <v>6650</v>
      </c>
      <c r="J7305" s="24"/>
    </row>
    <row r="7306">
      <c r="A7306" s="24">
        <v>909.0</v>
      </c>
      <c r="B7306" s="24">
        <v>19.0</v>
      </c>
      <c r="C7306" s="44">
        <v>23.5</v>
      </c>
      <c r="D7306" s="46">
        <v>45734.0</v>
      </c>
      <c r="E7306" s="24">
        <v>1.24</v>
      </c>
      <c r="F7306" s="24">
        <v>25.85</v>
      </c>
      <c r="G7306" s="24">
        <v>2.09</v>
      </c>
      <c r="H7306" s="24" t="s">
        <v>6732</v>
      </c>
      <c r="I7306" s="24" t="s">
        <v>6650</v>
      </c>
      <c r="J7306" s="24">
        <v>0.0</v>
      </c>
    </row>
    <row r="7307">
      <c r="A7307" s="24">
        <v>219.0</v>
      </c>
      <c r="B7307" s="24">
        <v>0.0</v>
      </c>
      <c r="C7307" s="44">
        <v>22.27</v>
      </c>
      <c r="D7307" s="46">
        <v>45734.0</v>
      </c>
      <c r="E7307" s="24" t="s">
        <v>6650</v>
      </c>
      <c r="F7307" s="24">
        <v>101.69</v>
      </c>
      <c r="G7307" s="24">
        <v>0.0</v>
      </c>
      <c r="H7307" s="24" t="s">
        <v>6731</v>
      </c>
      <c r="I7307" s="24" t="s">
        <v>6650</v>
      </c>
      <c r="J7307" s="24">
        <v>0.0</v>
      </c>
    </row>
    <row r="7308">
      <c r="A7308" s="24">
        <v>0.0</v>
      </c>
      <c r="B7308" s="24">
        <v>0.0</v>
      </c>
      <c r="C7308" s="44"/>
      <c r="D7308" s="46">
        <v>45734.0</v>
      </c>
      <c r="E7308" s="24" t="s">
        <v>6650</v>
      </c>
      <c r="F7308" s="24" t="s">
        <v>6650</v>
      </c>
      <c r="G7308" s="24" t="s">
        <v>6650</v>
      </c>
      <c r="H7308" s="24" t="s">
        <v>6724</v>
      </c>
      <c r="I7308" s="24" t="s">
        <v>6650</v>
      </c>
      <c r="J7308" s="24"/>
    </row>
    <row r="7309">
      <c r="A7309" s="24">
        <v>0.0</v>
      </c>
      <c r="B7309" s="24">
        <v>0.0</v>
      </c>
      <c r="C7309" s="44">
        <v>12.32</v>
      </c>
      <c r="D7309" s="46">
        <v>45734.0</v>
      </c>
      <c r="E7309" s="24" t="s">
        <v>6650</v>
      </c>
      <c r="F7309" s="24" t="s">
        <v>6650</v>
      </c>
      <c r="G7309" s="24" t="s">
        <v>6650</v>
      </c>
      <c r="H7309" s="24" t="s">
        <v>6702</v>
      </c>
      <c r="I7309" s="24" t="s">
        <v>6650</v>
      </c>
      <c r="J7309" s="24">
        <v>0.0</v>
      </c>
    </row>
    <row r="7310">
      <c r="A7310" s="24">
        <v>251.0</v>
      </c>
      <c r="B7310" s="24">
        <v>15.0</v>
      </c>
      <c r="C7310" s="44">
        <v>28.21</v>
      </c>
      <c r="D7310" s="46">
        <v>45734.0</v>
      </c>
      <c r="E7310" s="24">
        <v>1.88</v>
      </c>
      <c r="F7310" s="24">
        <v>112.39</v>
      </c>
      <c r="G7310" s="24">
        <v>5.98</v>
      </c>
      <c r="H7310" s="24" t="s">
        <v>6729</v>
      </c>
      <c r="I7310" s="24" t="s">
        <v>6650</v>
      </c>
      <c r="J7310" s="24">
        <v>0.0</v>
      </c>
    </row>
    <row r="7311">
      <c r="A7311" s="24">
        <v>0.0</v>
      </c>
      <c r="B7311" s="24">
        <v>0.0</v>
      </c>
      <c r="C7311" s="44">
        <v>8.25</v>
      </c>
      <c r="D7311" s="46">
        <v>45734.0</v>
      </c>
      <c r="E7311" s="24" t="s">
        <v>6650</v>
      </c>
      <c r="F7311" s="24" t="s">
        <v>6650</v>
      </c>
      <c r="G7311" s="24" t="s">
        <v>6650</v>
      </c>
      <c r="H7311" s="24" t="s">
        <v>6726</v>
      </c>
      <c r="I7311" s="24">
        <v>0.29</v>
      </c>
      <c r="J7311" s="24">
        <v>0.0</v>
      </c>
    </row>
    <row r="7312">
      <c r="A7312" s="24">
        <v>0.0</v>
      </c>
      <c r="B7312" s="24">
        <v>0.0</v>
      </c>
      <c r="C7312" s="44"/>
      <c r="D7312" s="46">
        <v>45735.0</v>
      </c>
      <c r="E7312" s="24" t="s">
        <v>6650</v>
      </c>
      <c r="F7312" s="24" t="s">
        <v>6650</v>
      </c>
      <c r="G7312" s="24" t="s">
        <v>6650</v>
      </c>
      <c r="H7312" s="24" t="s">
        <v>6727</v>
      </c>
      <c r="I7312" s="24" t="s">
        <v>6650</v>
      </c>
      <c r="J7312" s="24"/>
    </row>
    <row r="7313">
      <c r="A7313" s="24">
        <v>0.0</v>
      </c>
      <c r="B7313" s="24">
        <v>0.0</v>
      </c>
      <c r="C7313" s="44"/>
      <c r="D7313" s="46">
        <v>45735.0</v>
      </c>
      <c r="E7313" s="24" t="s">
        <v>6650</v>
      </c>
      <c r="F7313" s="24" t="s">
        <v>6650</v>
      </c>
      <c r="G7313" s="24" t="s">
        <v>6650</v>
      </c>
      <c r="H7313" s="24" t="s">
        <v>6728</v>
      </c>
      <c r="I7313" s="24" t="s">
        <v>6650</v>
      </c>
      <c r="J7313" s="24"/>
    </row>
    <row r="7314">
      <c r="A7314" s="24">
        <v>215.0</v>
      </c>
      <c r="B7314" s="24">
        <v>3.0</v>
      </c>
      <c r="C7314" s="44">
        <v>21.87</v>
      </c>
      <c r="D7314" s="46">
        <v>45735.0</v>
      </c>
      <c r="E7314" s="24">
        <v>7.29</v>
      </c>
      <c r="F7314" s="24">
        <v>101.72</v>
      </c>
      <c r="G7314" s="24">
        <v>1.4</v>
      </c>
      <c r="H7314" s="24" t="s">
        <v>6731</v>
      </c>
      <c r="I7314" s="24" t="s">
        <v>6650</v>
      </c>
      <c r="J7314" s="24">
        <v>0.0</v>
      </c>
    </row>
    <row r="7315">
      <c r="A7315" s="24">
        <v>0.0</v>
      </c>
      <c r="B7315" s="24">
        <v>0.0</v>
      </c>
      <c r="C7315" s="44"/>
      <c r="D7315" s="46">
        <v>45735.0</v>
      </c>
      <c r="E7315" s="24" t="s">
        <v>6650</v>
      </c>
      <c r="F7315" s="24" t="s">
        <v>6650</v>
      </c>
      <c r="G7315" s="24" t="s">
        <v>6650</v>
      </c>
      <c r="H7315" s="24" t="s">
        <v>6724</v>
      </c>
      <c r="I7315" s="24" t="s">
        <v>6650</v>
      </c>
      <c r="J7315" s="24"/>
    </row>
    <row r="7316">
      <c r="A7316" s="24">
        <v>605.0</v>
      </c>
      <c r="B7316" s="24">
        <v>15.0</v>
      </c>
      <c r="C7316" s="44">
        <v>25.69</v>
      </c>
      <c r="D7316" s="46">
        <v>45735.0</v>
      </c>
      <c r="E7316" s="24">
        <v>1.71</v>
      </c>
      <c r="F7316" s="24">
        <v>42.46</v>
      </c>
      <c r="G7316" s="24">
        <v>2.48</v>
      </c>
      <c r="H7316" s="24" t="s">
        <v>6729</v>
      </c>
      <c r="I7316" s="24" t="s">
        <v>6650</v>
      </c>
      <c r="J7316" s="24">
        <v>0.0</v>
      </c>
    </row>
    <row r="7317">
      <c r="A7317" s="24">
        <v>0.0</v>
      </c>
      <c r="B7317" s="24">
        <v>0.0</v>
      </c>
      <c r="C7317" s="44">
        <v>11.67</v>
      </c>
      <c r="D7317" s="46">
        <v>45735.0</v>
      </c>
      <c r="E7317" s="24" t="s">
        <v>6650</v>
      </c>
      <c r="F7317" s="24" t="s">
        <v>6650</v>
      </c>
      <c r="G7317" s="24" t="s">
        <v>6650</v>
      </c>
      <c r="H7317" s="24" t="s">
        <v>6702</v>
      </c>
      <c r="I7317" s="24" t="s">
        <v>6650</v>
      </c>
      <c r="J7317" s="24">
        <v>0.0</v>
      </c>
    </row>
    <row r="7318">
      <c r="A7318" s="24">
        <v>877.0</v>
      </c>
      <c r="B7318" s="24">
        <v>15.0</v>
      </c>
      <c r="C7318" s="44">
        <v>24.31</v>
      </c>
      <c r="D7318" s="46">
        <v>45735.0</v>
      </c>
      <c r="E7318" s="24">
        <v>1.62</v>
      </c>
      <c r="F7318" s="24">
        <v>27.72</v>
      </c>
      <c r="G7318" s="24">
        <v>1.71</v>
      </c>
      <c r="H7318" s="24" t="s">
        <v>6732</v>
      </c>
      <c r="I7318" s="24" t="s">
        <v>6650</v>
      </c>
      <c r="J7318" s="24">
        <v>0.0</v>
      </c>
    </row>
    <row r="7319">
      <c r="A7319" s="24">
        <v>121.0</v>
      </c>
      <c r="B7319" s="24">
        <v>0.0</v>
      </c>
      <c r="C7319" s="44">
        <v>21.54</v>
      </c>
      <c r="D7319" s="46">
        <v>45735.0</v>
      </c>
      <c r="E7319" s="24" t="s">
        <v>6650</v>
      </c>
      <c r="F7319" s="24">
        <v>178.02</v>
      </c>
      <c r="G7319" s="24">
        <v>0.0</v>
      </c>
      <c r="H7319" s="24" t="s">
        <v>6725</v>
      </c>
      <c r="I7319" s="24">
        <v>0.86</v>
      </c>
      <c r="J7319" s="24">
        <v>0.0</v>
      </c>
    </row>
    <row r="7320">
      <c r="A7320" s="24">
        <v>0.0</v>
      </c>
      <c r="B7320" s="24">
        <v>0.0</v>
      </c>
      <c r="C7320" s="44"/>
      <c r="D7320" s="46">
        <v>45735.0</v>
      </c>
      <c r="E7320" s="24" t="s">
        <v>6650</v>
      </c>
      <c r="F7320" s="24" t="s">
        <v>6650</v>
      </c>
      <c r="G7320" s="24" t="s">
        <v>6650</v>
      </c>
      <c r="H7320" s="24" t="s">
        <v>6720</v>
      </c>
      <c r="I7320" s="24" t="s">
        <v>6650</v>
      </c>
      <c r="J7320" s="24"/>
    </row>
    <row r="7321">
      <c r="A7321" s="24">
        <v>0.0</v>
      </c>
      <c r="B7321" s="24">
        <v>0.0</v>
      </c>
      <c r="C7321" s="44">
        <v>7.65</v>
      </c>
      <c r="D7321" s="46">
        <v>45735.0</v>
      </c>
      <c r="E7321" s="24" t="s">
        <v>6650</v>
      </c>
      <c r="F7321" s="24" t="s">
        <v>6650</v>
      </c>
      <c r="G7321" s="24" t="s">
        <v>6650</v>
      </c>
      <c r="H7321" s="24" t="s">
        <v>6726</v>
      </c>
      <c r="I7321" s="24">
        <v>0.27</v>
      </c>
      <c r="J7321" s="24">
        <v>0.0</v>
      </c>
    </row>
    <row r="7322">
      <c r="A7322" s="24">
        <v>225.0</v>
      </c>
      <c r="B7322" s="24">
        <v>4.0</v>
      </c>
      <c r="C7322" s="44">
        <v>24.83</v>
      </c>
      <c r="D7322" s="46">
        <v>45735.0</v>
      </c>
      <c r="E7322" s="24">
        <v>6.21</v>
      </c>
      <c r="F7322" s="24">
        <v>110.36</v>
      </c>
      <c r="G7322" s="24">
        <v>1.78</v>
      </c>
      <c r="H7322" s="24" t="s">
        <v>6730</v>
      </c>
      <c r="I7322" s="24" t="s">
        <v>6650</v>
      </c>
      <c r="J7322" s="24">
        <v>0.0</v>
      </c>
    </row>
    <row r="7323">
      <c r="A7323" s="24">
        <v>931.0</v>
      </c>
      <c r="B7323" s="24">
        <v>9.0</v>
      </c>
      <c r="C7323" s="44">
        <v>24.04</v>
      </c>
      <c r="D7323" s="46">
        <v>45736.0</v>
      </c>
      <c r="E7323" s="24">
        <v>2.67</v>
      </c>
      <c r="F7323" s="24">
        <v>25.82</v>
      </c>
      <c r="G7323" s="24">
        <v>0.97</v>
      </c>
      <c r="H7323" s="24" t="s">
        <v>6732</v>
      </c>
      <c r="I7323" s="24" t="s">
        <v>6650</v>
      </c>
      <c r="J7323" s="24">
        <v>0.0</v>
      </c>
    </row>
    <row r="7324">
      <c r="A7324" s="24">
        <v>0.0</v>
      </c>
      <c r="B7324" s="24">
        <v>0.0</v>
      </c>
      <c r="C7324" s="44">
        <v>14.44</v>
      </c>
      <c r="D7324" s="46">
        <v>45736.0</v>
      </c>
      <c r="E7324" s="24" t="s">
        <v>6650</v>
      </c>
      <c r="F7324" s="24" t="s">
        <v>6650</v>
      </c>
      <c r="G7324" s="24" t="s">
        <v>6650</v>
      </c>
      <c r="H7324" s="24" t="s">
        <v>6726</v>
      </c>
      <c r="I7324" s="24">
        <v>0.48</v>
      </c>
      <c r="J7324" s="24">
        <v>0.0</v>
      </c>
    </row>
    <row r="7325">
      <c r="A7325" s="24">
        <v>0.0</v>
      </c>
      <c r="B7325" s="24">
        <v>0.0</v>
      </c>
      <c r="C7325" s="44"/>
      <c r="D7325" s="46">
        <v>45736.0</v>
      </c>
      <c r="E7325" s="24" t="s">
        <v>6650</v>
      </c>
      <c r="F7325" s="24" t="s">
        <v>6650</v>
      </c>
      <c r="G7325" s="24" t="s">
        <v>6650</v>
      </c>
      <c r="H7325" s="24" t="s">
        <v>6720</v>
      </c>
      <c r="I7325" s="24" t="s">
        <v>6650</v>
      </c>
      <c r="J7325" s="24"/>
    </row>
    <row r="7326">
      <c r="A7326" s="24">
        <v>0.0</v>
      </c>
      <c r="B7326" s="24">
        <v>0.0</v>
      </c>
      <c r="C7326" s="44"/>
      <c r="D7326" s="46">
        <v>45736.0</v>
      </c>
      <c r="E7326" s="24" t="s">
        <v>6650</v>
      </c>
      <c r="F7326" s="24" t="s">
        <v>6650</v>
      </c>
      <c r="G7326" s="24" t="s">
        <v>6650</v>
      </c>
      <c r="H7326" s="24" t="s">
        <v>6728</v>
      </c>
      <c r="I7326" s="24" t="s">
        <v>6650</v>
      </c>
      <c r="J7326" s="24"/>
    </row>
    <row r="7327">
      <c r="A7327" s="24">
        <v>0.0</v>
      </c>
      <c r="B7327" s="24">
        <v>0.0</v>
      </c>
      <c r="C7327" s="44"/>
      <c r="D7327" s="46">
        <v>45736.0</v>
      </c>
      <c r="E7327" s="24" t="s">
        <v>6650</v>
      </c>
      <c r="F7327" s="24" t="s">
        <v>6650</v>
      </c>
      <c r="G7327" s="24" t="s">
        <v>6650</v>
      </c>
      <c r="H7327" s="24" t="s">
        <v>6727</v>
      </c>
      <c r="I7327" s="24" t="s">
        <v>6650</v>
      </c>
      <c r="J7327" s="24"/>
    </row>
    <row r="7328">
      <c r="A7328" s="24">
        <v>0.0</v>
      </c>
      <c r="B7328" s="24">
        <v>0.0</v>
      </c>
      <c r="C7328" s="44">
        <v>12.41</v>
      </c>
      <c r="D7328" s="46">
        <v>45736.0</v>
      </c>
      <c r="E7328" s="24" t="s">
        <v>6650</v>
      </c>
      <c r="F7328" s="24" t="s">
        <v>6650</v>
      </c>
      <c r="G7328" s="24" t="s">
        <v>6650</v>
      </c>
      <c r="H7328" s="24" t="s">
        <v>6702</v>
      </c>
      <c r="I7328" s="24" t="s">
        <v>6650</v>
      </c>
      <c r="J7328" s="24">
        <v>0.0</v>
      </c>
    </row>
    <row r="7329">
      <c r="A7329" s="24">
        <v>237.0</v>
      </c>
      <c r="B7329" s="24">
        <v>11.0</v>
      </c>
      <c r="C7329" s="44">
        <v>26.2</v>
      </c>
      <c r="D7329" s="46">
        <v>45736.0</v>
      </c>
      <c r="E7329" s="24">
        <v>2.38</v>
      </c>
      <c r="F7329" s="24">
        <v>110.55</v>
      </c>
      <c r="G7329" s="24">
        <v>4.64</v>
      </c>
      <c r="H7329" s="24" t="s">
        <v>6729</v>
      </c>
      <c r="I7329" s="24" t="s">
        <v>6650</v>
      </c>
      <c r="J7329" s="24">
        <v>0.0</v>
      </c>
    </row>
    <row r="7330">
      <c r="A7330" s="24">
        <v>136.0</v>
      </c>
      <c r="B7330" s="24">
        <v>0.0</v>
      </c>
      <c r="C7330" s="44">
        <v>23.32</v>
      </c>
      <c r="D7330" s="46">
        <v>45736.0</v>
      </c>
      <c r="E7330" s="24" t="s">
        <v>6650</v>
      </c>
      <c r="F7330" s="24">
        <v>171.47</v>
      </c>
      <c r="G7330" s="24">
        <v>0.0</v>
      </c>
      <c r="H7330" s="24" t="s">
        <v>6725</v>
      </c>
      <c r="I7330" s="24">
        <v>0.9</v>
      </c>
      <c r="J7330" s="24">
        <v>0.0</v>
      </c>
    </row>
    <row r="7331">
      <c r="A7331" s="24">
        <v>117.0</v>
      </c>
      <c r="B7331" s="24">
        <v>1.0</v>
      </c>
      <c r="C7331" s="44">
        <v>25.86</v>
      </c>
      <c r="D7331" s="46">
        <v>45736.0</v>
      </c>
      <c r="E7331" s="24">
        <v>25.86</v>
      </c>
      <c r="F7331" s="24">
        <v>221.03</v>
      </c>
      <c r="G7331" s="24">
        <v>0.85</v>
      </c>
      <c r="H7331" s="24" t="s">
        <v>6730</v>
      </c>
      <c r="I7331" s="24" t="s">
        <v>6650</v>
      </c>
      <c r="J7331" s="24">
        <v>0.0</v>
      </c>
    </row>
    <row r="7332">
      <c r="A7332" s="24">
        <v>427.0</v>
      </c>
      <c r="B7332" s="24">
        <v>1.0</v>
      </c>
      <c r="C7332" s="44">
        <v>22.44</v>
      </c>
      <c r="D7332" s="46">
        <v>45736.0</v>
      </c>
      <c r="E7332" s="24">
        <v>22.44</v>
      </c>
      <c r="F7332" s="24">
        <v>52.55</v>
      </c>
      <c r="G7332" s="24">
        <v>0.23</v>
      </c>
      <c r="H7332" s="24" t="s">
        <v>6731</v>
      </c>
      <c r="I7332" s="24" t="s">
        <v>6650</v>
      </c>
      <c r="J7332" s="24">
        <v>0.0</v>
      </c>
    </row>
    <row r="7333">
      <c r="A7333" s="24">
        <v>0.0</v>
      </c>
      <c r="B7333" s="24">
        <v>0.0</v>
      </c>
      <c r="C7333" s="44"/>
      <c r="D7333" s="46">
        <v>45736.0</v>
      </c>
      <c r="E7333" s="24" t="s">
        <v>6650</v>
      </c>
      <c r="F7333" s="24" t="s">
        <v>6650</v>
      </c>
      <c r="G7333" s="24" t="s">
        <v>6650</v>
      </c>
      <c r="H7333" s="24" t="s">
        <v>6724</v>
      </c>
      <c r="I7333" s="24" t="s">
        <v>6650</v>
      </c>
      <c r="J7333" s="24"/>
    </row>
    <row r="7334">
      <c r="A7334" s="24">
        <v>82.0</v>
      </c>
      <c r="B7334" s="24">
        <v>1.0</v>
      </c>
      <c r="C7334" s="44">
        <v>21.9</v>
      </c>
      <c r="D7334" s="46">
        <v>45737.0</v>
      </c>
      <c r="E7334" s="24">
        <v>21.9</v>
      </c>
      <c r="F7334" s="24">
        <v>267.07</v>
      </c>
      <c r="G7334" s="24">
        <v>1.22</v>
      </c>
      <c r="H7334" s="24" t="s">
        <v>6725</v>
      </c>
      <c r="I7334" s="24">
        <v>1.15</v>
      </c>
      <c r="J7334" s="24">
        <v>0.0</v>
      </c>
    </row>
    <row r="7335">
      <c r="A7335" s="24">
        <v>0.0</v>
      </c>
      <c r="B7335" s="24">
        <v>0.0</v>
      </c>
      <c r="C7335" s="44"/>
      <c r="D7335" s="46">
        <v>45737.0</v>
      </c>
      <c r="E7335" s="24" t="s">
        <v>6650</v>
      </c>
      <c r="F7335" s="24" t="s">
        <v>6650</v>
      </c>
      <c r="G7335" s="24" t="s">
        <v>6650</v>
      </c>
      <c r="H7335" s="24" t="s">
        <v>6728</v>
      </c>
      <c r="I7335" s="24" t="s">
        <v>6650</v>
      </c>
      <c r="J7335" s="24"/>
    </row>
    <row r="7336">
      <c r="A7336" s="24">
        <v>0.0</v>
      </c>
      <c r="B7336" s="24">
        <v>0.0</v>
      </c>
      <c r="C7336" s="44">
        <v>10.62</v>
      </c>
      <c r="D7336" s="46">
        <v>45737.0</v>
      </c>
      <c r="E7336" s="24" t="s">
        <v>6650</v>
      </c>
      <c r="F7336" s="24" t="s">
        <v>6650</v>
      </c>
      <c r="G7336" s="24" t="s">
        <v>6650</v>
      </c>
      <c r="H7336" s="24" t="s">
        <v>6726</v>
      </c>
      <c r="I7336" s="24">
        <v>0.48</v>
      </c>
      <c r="J7336" s="24">
        <v>0.0</v>
      </c>
    </row>
    <row r="7337">
      <c r="A7337" s="24">
        <v>0.0</v>
      </c>
      <c r="B7337" s="24">
        <v>0.0</v>
      </c>
      <c r="C7337" s="44"/>
      <c r="D7337" s="46">
        <v>45737.0</v>
      </c>
      <c r="E7337" s="24" t="s">
        <v>6650</v>
      </c>
      <c r="F7337" s="24" t="s">
        <v>6650</v>
      </c>
      <c r="G7337" s="24" t="s">
        <v>6650</v>
      </c>
      <c r="H7337" s="24" t="s">
        <v>6724</v>
      </c>
      <c r="I7337" s="24" t="s">
        <v>6650</v>
      </c>
      <c r="J7337" s="24"/>
    </row>
    <row r="7338">
      <c r="A7338" s="24">
        <v>0.0</v>
      </c>
      <c r="B7338" s="24">
        <v>0.0</v>
      </c>
      <c r="C7338" s="44"/>
      <c r="D7338" s="46">
        <v>45737.0</v>
      </c>
      <c r="E7338" s="24" t="s">
        <v>6650</v>
      </c>
      <c r="F7338" s="24" t="s">
        <v>6650</v>
      </c>
      <c r="G7338" s="24" t="s">
        <v>6650</v>
      </c>
      <c r="H7338" s="24" t="s">
        <v>6727</v>
      </c>
      <c r="I7338" s="24" t="s">
        <v>6650</v>
      </c>
      <c r="J7338" s="24"/>
    </row>
    <row r="7339">
      <c r="A7339" s="24">
        <v>116.0</v>
      </c>
      <c r="B7339" s="24">
        <v>0.0</v>
      </c>
      <c r="C7339" s="44">
        <v>22.52</v>
      </c>
      <c r="D7339" s="46">
        <v>45737.0</v>
      </c>
      <c r="E7339" s="24" t="s">
        <v>6650</v>
      </c>
      <c r="F7339" s="24">
        <v>194.14</v>
      </c>
      <c r="G7339" s="24">
        <v>0.0</v>
      </c>
      <c r="H7339" s="24" t="s">
        <v>6730</v>
      </c>
      <c r="I7339" s="24" t="s">
        <v>6650</v>
      </c>
      <c r="J7339" s="24">
        <v>0.0</v>
      </c>
    </row>
    <row r="7340">
      <c r="A7340" s="24">
        <v>401.0</v>
      </c>
      <c r="B7340" s="24">
        <v>3.0</v>
      </c>
      <c r="C7340" s="44">
        <v>22.67</v>
      </c>
      <c r="D7340" s="46">
        <v>45737.0</v>
      </c>
      <c r="E7340" s="24">
        <v>7.56</v>
      </c>
      <c r="F7340" s="24">
        <v>56.53</v>
      </c>
      <c r="G7340" s="24">
        <v>0.75</v>
      </c>
      <c r="H7340" s="24" t="s">
        <v>6732</v>
      </c>
      <c r="I7340" s="24" t="s">
        <v>6650</v>
      </c>
      <c r="J7340" s="24">
        <v>0.0</v>
      </c>
    </row>
    <row r="7341">
      <c r="A7341" s="24">
        <v>0.0</v>
      </c>
      <c r="B7341" s="24">
        <v>0.0</v>
      </c>
      <c r="C7341" s="44">
        <v>11.29</v>
      </c>
      <c r="D7341" s="46">
        <v>45737.0</v>
      </c>
      <c r="E7341" s="24" t="s">
        <v>6650</v>
      </c>
      <c r="F7341" s="24" t="s">
        <v>6650</v>
      </c>
      <c r="G7341" s="24" t="s">
        <v>6650</v>
      </c>
      <c r="H7341" s="24" t="s">
        <v>6702</v>
      </c>
      <c r="I7341" s="24" t="s">
        <v>6650</v>
      </c>
      <c r="J7341" s="24">
        <v>0.0</v>
      </c>
    </row>
    <row r="7342">
      <c r="A7342" s="24">
        <v>0.0</v>
      </c>
      <c r="B7342" s="24">
        <v>0.0</v>
      </c>
      <c r="C7342" s="44"/>
      <c r="D7342" s="46">
        <v>45737.0</v>
      </c>
      <c r="E7342" s="24" t="s">
        <v>6650</v>
      </c>
      <c r="F7342" s="24" t="s">
        <v>6650</v>
      </c>
      <c r="G7342" s="24" t="s">
        <v>6650</v>
      </c>
      <c r="H7342" s="24" t="s">
        <v>6720</v>
      </c>
      <c r="I7342" s="24" t="s">
        <v>6650</v>
      </c>
      <c r="J7342" s="24"/>
    </row>
    <row r="7343">
      <c r="A7343" s="24">
        <v>306.0</v>
      </c>
      <c r="B7343" s="24">
        <v>5.0</v>
      </c>
      <c r="C7343" s="44">
        <v>26.25</v>
      </c>
      <c r="D7343" s="46">
        <v>45737.0</v>
      </c>
      <c r="E7343" s="24">
        <v>5.25</v>
      </c>
      <c r="F7343" s="24">
        <v>85.78</v>
      </c>
      <c r="G7343" s="24">
        <v>1.63</v>
      </c>
      <c r="H7343" s="24" t="s">
        <v>6729</v>
      </c>
      <c r="I7343" s="24" t="s">
        <v>6650</v>
      </c>
      <c r="J7343" s="24">
        <v>0.0</v>
      </c>
    </row>
    <row r="7344">
      <c r="A7344" s="24">
        <v>301.0</v>
      </c>
      <c r="B7344" s="24">
        <v>1.0</v>
      </c>
      <c r="C7344" s="44">
        <v>20.69</v>
      </c>
      <c r="D7344" s="46">
        <v>45737.0</v>
      </c>
      <c r="E7344" s="24">
        <v>20.69</v>
      </c>
      <c r="F7344" s="24">
        <v>68.74</v>
      </c>
      <c r="G7344" s="24">
        <v>0.33</v>
      </c>
      <c r="H7344" s="24" t="s">
        <v>6731</v>
      </c>
      <c r="I7344" s="24" t="s">
        <v>6650</v>
      </c>
      <c r="J7344" s="24">
        <v>0.0</v>
      </c>
    </row>
    <row r="7345">
      <c r="A7345" s="24">
        <v>0.0</v>
      </c>
      <c r="B7345" s="24">
        <v>0.0</v>
      </c>
      <c r="C7345" s="44"/>
      <c r="D7345" s="46">
        <v>45738.0</v>
      </c>
      <c r="E7345" s="24" t="s">
        <v>6650</v>
      </c>
      <c r="F7345" s="24" t="s">
        <v>6650</v>
      </c>
      <c r="G7345" s="24" t="s">
        <v>6650</v>
      </c>
      <c r="H7345" s="24" t="s">
        <v>6724</v>
      </c>
      <c r="I7345" s="24" t="s">
        <v>6650</v>
      </c>
      <c r="J7345" s="24"/>
    </row>
    <row r="7346">
      <c r="A7346" s="24">
        <v>55.0</v>
      </c>
      <c r="B7346" s="24">
        <v>1.0</v>
      </c>
      <c r="C7346" s="44">
        <v>13.54</v>
      </c>
      <c r="D7346" s="46">
        <v>45738.0</v>
      </c>
      <c r="E7346" s="24">
        <v>13.54</v>
      </c>
      <c r="F7346" s="24">
        <v>246.18</v>
      </c>
      <c r="G7346" s="24">
        <v>1.82</v>
      </c>
      <c r="H7346" s="24" t="s">
        <v>6725</v>
      </c>
      <c r="I7346" s="24">
        <v>1.13</v>
      </c>
      <c r="J7346" s="24">
        <v>0.0</v>
      </c>
    </row>
    <row r="7347">
      <c r="A7347" s="24">
        <v>0.0</v>
      </c>
      <c r="B7347" s="24">
        <v>0.0</v>
      </c>
      <c r="C7347" s="44">
        <v>8.45</v>
      </c>
      <c r="D7347" s="46">
        <v>45738.0</v>
      </c>
      <c r="E7347" s="24" t="s">
        <v>6650</v>
      </c>
      <c r="F7347" s="24" t="s">
        <v>6650</v>
      </c>
      <c r="G7347" s="24" t="s">
        <v>6650</v>
      </c>
      <c r="H7347" s="24" t="s">
        <v>6726</v>
      </c>
      <c r="I7347" s="24">
        <v>4.22</v>
      </c>
      <c r="J7347" s="24">
        <v>0.0</v>
      </c>
    </row>
    <row r="7348">
      <c r="A7348" s="24">
        <v>0.0</v>
      </c>
      <c r="B7348" s="24">
        <v>0.0</v>
      </c>
      <c r="C7348" s="44">
        <v>6.88</v>
      </c>
      <c r="D7348" s="46">
        <v>45738.0</v>
      </c>
      <c r="E7348" s="24" t="s">
        <v>6650</v>
      </c>
      <c r="F7348" s="24" t="s">
        <v>6650</v>
      </c>
      <c r="G7348" s="24" t="s">
        <v>6650</v>
      </c>
      <c r="H7348" s="24" t="s">
        <v>6702</v>
      </c>
      <c r="I7348" s="24" t="s">
        <v>6650</v>
      </c>
      <c r="J7348" s="24">
        <v>0.0</v>
      </c>
    </row>
    <row r="7349">
      <c r="A7349" s="24">
        <v>511.0</v>
      </c>
      <c r="B7349" s="24">
        <v>3.0</v>
      </c>
      <c r="C7349" s="44">
        <v>15.97</v>
      </c>
      <c r="D7349" s="46">
        <v>45738.0</v>
      </c>
      <c r="E7349" s="24">
        <v>5.32</v>
      </c>
      <c r="F7349" s="24">
        <v>31.25</v>
      </c>
      <c r="G7349" s="24">
        <v>0.59</v>
      </c>
      <c r="H7349" s="24" t="s">
        <v>6732</v>
      </c>
      <c r="I7349" s="24" t="s">
        <v>6650</v>
      </c>
      <c r="J7349" s="24">
        <v>0.0</v>
      </c>
    </row>
    <row r="7350">
      <c r="A7350" s="24">
        <v>88.0</v>
      </c>
      <c r="B7350" s="24">
        <v>1.0</v>
      </c>
      <c r="C7350" s="44">
        <v>16.77</v>
      </c>
      <c r="D7350" s="46">
        <v>45738.0</v>
      </c>
      <c r="E7350" s="24">
        <v>16.77</v>
      </c>
      <c r="F7350" s="24">
        <v>190.57</v>
      </c>
      <c r="G7350" s="24">
        <v>1.14</v>
      </c>
      <c r="H7350" s="24" t="s">
        <v>6730</v>
      </c>
      <c r="I7350" s="24" t="s">
        <v>6650</v>
      </c>
      <c r="J7350" s="24">
        <v>0.0</v>
      </c>
    </row>
    <row r="7351">
      <c r="A7351" s="24">
        <v>155.0</v>
      </c>
      <c r="B7351" s="24">
        <v>6.0</v>
      </c>
      <c r="C7351" s="44">
        <v>16.39</v>
      </c>
      <c r="D7351" s="46">
        <v>45738.0</v>
      </c>
      <c r="E7351" s="24">
        <v>2.73</v>
      </c>
      <c r="F7351" s="24">
        <v>105.74</v>
      </c>
      <c r="G7351" s="24">
        <v>3.87</v>
      </c>
      <c r="H7351" s="24" t="s">
        <v>6729</v>
      </c>
      <c r="I7351" s="24" t="s">
        <v>6650</v>
      </c>
      <c r="J7351" s="24">
        <v>0.0</v>
      </c>
    </row>
    <row r="7352">
      <c r="A7352" s="24">
        <v>0.0</v>
      </c>
      <c r="B7352" s="24">
        <v>0.0</v>
      </c>
      <c r="C7352" s="44"/>
      <c r="D7352" s="46">
        <v>45738.0</v>
      </c>
      <c r="E7352" s="24" t="s">
        <v>6650</v>
      </c>
      <c r="F7352" s="24" t="s">
        <v>6650</v>
      </c>
      <c r="G7352" s="24" t="s">
        <v>6650</v>
      </c>
      <c r="H7352" s="24" t="s">
        <v>6728</v>
      </c>
      <c r="I7352" s="24" t="s">
        <v>6650</v>
      </c>
      <c r="J7352" s="24"/>
    </row>
    <row r="7353">
      <c r="A7353" s="24">
        <v>0.0</v>
      </c>
      <c r="B7353" s="24">
        <v>0.0</v>
      </c>
      <c r="C7353" s="44"/>
      <c r="D7353" s="46">
        <v>45738.0</v>
      </c>
      <c r="E7353" s="24" t="s">
        <v>6650</v>
      </c>
      <c r="F7353" s="24" t="s">
        <v>6650</v>
      </c>
      <c r="G7353" s="24" t="s">
        <v>6650</v>
      </c>
      <c r="H7353" s="24" t="s">
        <v>6727</v>
      </c>
      <c r="I7353" s="24" t="s">
        <v>6650</v>
      </c>
      <c r="J7353" s="24"/>
    </row>
    <row r="7354">
      <c r="A7354" s="24">
        <v>0.0</v>
      </c>
      <c r="B7354" s="24">
        <v>0.0</v>
      </c>
      <c r="C7354" s="44"/>
      <c r="D7354" s="46">
        <v>45738.0</v>
      </c>
      <c r="E7354" s="24" t="s">
        <v>6650</v>
      </c>
      <c r="F7354" s="24" t="s">
        <v>6650</v>
      </c>
      <c r="G7354" s="24" t="s">
        <v>6650</v>
      </c>
      <c r="H7354" s="24" t="s">
        <v>6720</v>
      </c>
      <c r="I7354" s="24" t="s">
        <v>6650</v>
      </c>
      <c r="J7354" s="24"/>
    </row>
    <row r="7355">
      <c r="A7355" s="24">
        <v>122.0</v>
      </c>
      <c r="B7355" s="24">
        <v>0.0</v>
      </c>
      <c r="C7355" s="44">
        <v>15.09</v>
      </c>
      <c r="D7355" s="46">
        <v>45738.0</v>
      </c>
      <c r="E7355" s="24" t="s">
        <v>6650</v>
      </c>
      <c r="F7355" s="24">
        <v>123.69</v>
      </c>
      <c r="G7355" s="24">
        <v>0.0</v>
      </c>
      <c r="H7355" s="24" t="s">
        <v>6731</v>
      </c>
      <c r="I7355" s="24" t="s">
        <v>6650</v>
      </c>
      <c r="J7355" s="24">
        <v>0.0</v>
      </c>
    </row>
    <row r="7356">
      <c r="A7356" s="24">
        <v>151.0</v>
      </c>
      <c r="B7356" s="24">
        <v>4.0</v>
      </c>
      <c r="C7356" s="44">
        <v>12.56</v>
      </c>
      <c r="D7356" s="46">
        <v>45739.0</v>
      </c>
      <c r="E7356" s="24">
        <v>3.14</v>
      </c>
      <c r="F7356" s="24">
        <v>83.18</v>
      </c>
      <c r="G7356" s="24">
        <v>2.65</v>
      </c>
      <c r="H7356" s="24" t="s">
        <v>6729</v>
      </c>
      <c r="I7356" s="24" t="s">
        <v>6650</v>
      </c>
      <c r="J7356" s="24">
        <v>0.0</v>
      </c>
    </row>
    <row r="7357">
      <c r="A7357" s="24">
        <v>116.0</v>
      </c>
      <c r="B7357" s="24">
        <v>0.0</v>
      </c>
      <c r="C7357" s="44">
        <v>10.78</v>
      </c>
      <c r="D7357" s="46">
        <v>45739.0</v>
      </c>
      <c r="E7357" s="24" t="s">
        <v>6650</v>
      </c>
      <c r="F7357" s="24">
        <v>92.93</v>
      </c>
      <c r="G7357" s="24">
        <v>0.0</v>
      </c>
      <c r="H7357" s="24" t="s">
        <v>6731</v>
      </c>
      <c r="I7357" s="24" t="s">
        <v>6650</v>
      </c>
      <c r="J7357" s="24">
        <v>0.0</v>
      </c>
    </row>
    <row r="7358">
      <c r="A7358" s="24">
        <v>0.0</v>
      </c>
      <c r="B7358" s="24">
        <v>0.0</v>
      </c>
      <c r="C7358" s="44">
        <v>7.22</v>
      </c>
      <c r="D7358" s="46">
        <v>45739.0</v>
      </c>
      <c r="E7358" s="24" t="s">
        <v>6650</v>
      </c>
      <c r="F7358" s="24" t="s">
        <v>6650</v>
      </c>
      <c r="G7358" s="24" t="s">
        <v>6650</v>
      </c>
      <c r="H7358" s="24" t="s">
        <v>6726</v>
      </c>
      <c r="I7358" s="24">
        <v>3.61</v>
      </c>
      <c r="J7358" s="24">
        <v>0.0</v>
      </c>
    </row>
    <row r="7359">
      <c r="A7359" s="24">
        <v>542.0</v>
      </c>
      <c r="B7359" s="24">
        <v>7.0</v>
      </c>
      <c r="C7359" s="44">
        <v>16.84</v>
      </c>
      <c r="D7359" s="46">
        <v>45739.0</v>
      </c>
      <c r="E7359" s="24">
        <v>2.41</v>
      </c>
      <c r="F7359" s="24">
        <v>31.07</v>
      </c>
      <c r="G7359" s="24">
        <v>1.29</v>
      </c>
      <c r="H7359" s="24" t="s">
        <v>6732</v>
      </c>
      <c r="I7359" s="24" t="s">
        <v>6650</v>
      </c>
      <c r="J7359" s="24">
        <v>0.0</v>
      </c>
    </row>
    <row r="7360">
      <c r="A7360" s="24">
        <v>69.0</v>
      </c>
      <c r="B7360" s="24">
        <v>0.0</v>
      </c>
      <c r="C7360" s="44">
        <v>8.93</v>
      </c>
      <c r="D7360" s="46">
        <v>45739.0</v>
      </c>
      <c r="E7360" s="24" t="s">
        <v>6650</v>
      </c>
      <c r="F7360" s="24">
        <v>129.42</v>
      </c>
      <c r="G7360" s="24">
        <v>0.0</v>
      </c>
      <c r="H7360" s="24" t="s">
        <v>6730</v>
      </c>
      <c r="I7360" s="24" t="s">
        <v>6650</v>
      </c>
      <c r="J7360" s="24">
        <v>0.0</v>
      </c>
    </row>
    <row r="7361">
      <c r="A7361" s="24">
        <v>0.0</v>
      </c>
      <c r="B7361" s="24">
        <v>0.0</v>
      </c>
      <c r="C7361" s="44"/>
      <c r="D7361" s="46">
        <v>45739.0</v>
      </c>
      <c r="E7361" s="24" t="s">
        <v>6650</v>
      </c>
      <c r="F7361" s="24" t="s">
        <v>6650</v>
      </c>
      <c r="G7361" s="24" t="s">
        <v>6650</v>
      </c>
      <c r="H7361" s="24" t="s">
        <v>6720</v>
      </c>
      <c r="I7361" s="24" t="s">
        <v>6650</v>
      </c>
      <c r="J7361" s="24"/>
    </row>
    <row r="7362">
      <c r="A7362" s="24">
        <v>0.0</v>
      </c>
      <c r="B7362" s="24">
        <v>0.0</v>
      </c>
      <c r="C7362" s="44"/>
      <c r="D7362" s="46">
        <v>45739.0</v>
      </c>
      <c r="E7362" s="24" t="s">
        <v>6650</v>
      </c>
      <c r="F7362" s="24" t="s">
        <v>6650</v>
      </c>
      <c r="G7362" s="24" t="s">
        <v>6650</v>
      </c>
      <c r="H7362" s="24" t="s">
        <v>6728</v>
      </c>
      <c r="I7362" s="24" t="s">
        <v>6650</v>
      </c>
      <c r="J7362" s="24"/>
    </row>
    <row r="7363">
      <c r="A7363" s="24">
        <v>0.0</v>
      </c>
      <c r="B7363" s="24">
        <v>0.0</v>
      </c>
      <c r="C7363" s="44">
        <v>4.66</v>
      </c>
      <c r="D7363" s="46">
        <v>45739.0</v>
      </c>
      <c r="E7363" s="24" t="s">
        <v>6650</v>
      </c>
      <c r="F7363" s="24" t="s">
        <v>6650</v>
      </c>
      <c r="G7363" s="24" t="s">
        <v>6650</v>
      </c>
      <c r="H7363" s="24" t="s">
        <v>6702</v>
      </c>
      <c r="I7363" s="24" t="s">
        <v>6650</v>
      </c>
      <c r="J7363" s="24">
        <v>1.0</v>
      </c>
    </row>
    <row r="7364">
      <c r="A7364" s="24">
        <v>32.0</v>
      </c>
      <c r="B7364" s="24">
        <v>0.0</v>
      </c>
      <c r="C7364" s="44">
        <v>8.77</v>
      </c>
      <c r="D7364" s="46">
        <v>45739.0</v>
      </c>
      <c r="E7364" s="24" t="s">
        <v>6650</v>
      </c>
      <c r="F7364" s="24">
        <v>274.06</v>
      </c>
      <c r="G7364" s="24">
        <v>0.0</v>
      </c>
      <c r="H7364" s="24" t="s">
        <v>6725</v>
      </c>
      <c r="I7364" s="24">
        <v>2.19</v>
      </c>
      <c r="J7364" s="24">
        <v>0.0</v>
      </c>
    </row>
    <row r="7365">
      <c r="A7365" s="24">
        <v>0.0</v>
      </c>
      <c r="B7365" s="24">
        <v>0.0</v>
      </c>
      <c r="C7365" s="44"/>
      <c r="D7365" s="46">
        <v>45739.0</v>
      </c>
      <c r="E7365" s="24" t="s">
        <v>6650</v>
      </c>
      <c r="F7365" s="24" t="s">
        <v>6650</v>
      </c>
      <c r="G7365" s="24" t="s">
        <v>6650</v>
      </c>
      <c r="H7365" s="24" t="s">
        <v>6724</v>
      </c>
      <c r="I7365" s="24" t="s">
        <v>6650</v>
      </c>
      <c r="J7365" s="24"/>
    </row>
    <row r="7366">
      <c r="A7366" s="24">
        <v>95.0</v>
      </c>
      <c r="B7366" s="24">
        <v>1.0</v>
      </c>
      <c r="C7366" s="44">
        <v>23.07</v>
      </c>
      <c r="D7366" s="46">
        <v>45740.0</v>
      </c>
      <c r="E7366" s="24">
        <v>23.07</v>
      </c>
      <c r="F7366" s="24">
        <v>242.84</v>
      </c>
      <c r="G7366" s="24">
        <v>1.05</v>
      </c>
      <c r="H7366" s="24" t="s">
        <v>6730</v>
      </c>
      <c r="I7366" s="24" t="s">
        <v>6650</v>
      </c>
      <c r="J7366" s="24">
        <v>0.0</v>
      </c>
    </row>
    <row r="7367">
      <c r="A7367" s="24">
        <v>0.0</v>
      </c>
      <c r="B7367" s="24">
        <v>0.0</v>
      </c>
      <c r="C7367" s="44">
        <v>10.68</v>
      </c>
      <c r="D7367" s="46">
        <v>45740.0</v>
      </c>
      <c r="E7367" s="24" t="s">
        <v>6650</v>
      </c>
      <c r="F7367" s="24" t="s">
        <v>6650</v>
      </c>
      <c r="G7367" s="24" t="s">
        <v>6650</v>
      </c>
      <c r="H7367" s="24" t="s">
        <v>6726</v>
      </c>
      <c r="I7367" s="24">
        <v>0.76</v>
      </c>
      <c r="J7367" s="24">
        <v>0.0</v>
      </c>
    </row>
    <row r="7368">
      <c r="A7368" s="24">
        <v>0.0</v>
      </c>
      <c r="B7368" s="24">
        <v>0.0</v>
      </c>
      <c r="C7368" s="44"/>
      <c r="D7368" s="46">
        <v>45740.0</v>
      </c>
      <c r="E7368" s="24" t="s">
        <v>6650</v>
      </c>
      <c r="F7368" s="24" t="s">
        <v>6650</v>
      </c>
      <c r="G7368" s="24" t="s">
        <v>6650</v>
      </c>
      <c r="H7368" s="24" t="s">
        <v>6727</v>
      </c>
      <c r="I7368" s="24" t="s">
        <v>6650</v>
      </c>
      <c r="J7368" s="24"/>
    </row>
    <row r="7369">
      <c r="A7369" s="24">
        <v>0.0</v>
      </c>
      <c r="B7369" s="24">
        <v>0.0</v>
      </c>
      <c r="C7369" s="44"/>
      <c r="D7369" s="46">
        <v>45740.0</v>
      </c>
      <c r="E7369" s="24" t="s">
        <v>6650</v>
      </c>
      <c r="F7369" s="24" t="s">
        <v>6650</v>
      </c>
      <c r="G7369" s="24" t="s">
        <v>6650</v>
      </c>
      <c r="H7369" s="24" t="s">
        <v>6724</v>
      </c>
      <c r="I7369" s="24" t="s">
        <v>6650</v>
      </c>
      <c r="J7369" s="24"/>
    </row>
    <row r="7370">
      <c r="A7370" s="24">
        <v>197.0</v>
      </c>
      <c r="B7370" s="24">
        <v>9.0</v>
      </c>
      <c r="C7370" s="44">
        <v>25.4</v>
      </c>
      <c r="D7370" s="46">
        <v>45740.0</v>
      </c>
      <c r="E7370" s="24">
        <v>2.82</v>
      </c>
      <c r="F7370" s="24">
        <v>128.93</v>
      </c>
      <c r="G7370" s="24">
        <v>4.57</v>
      </c>
      <c r="H7370" s="24" t="s">
        <v>6729</v>
      </c>
      <c r="I7370" s="24" t="s">
        <v>6650</v>
      </c>
      <c r="J7370" s="24">
        <v>0.0</v>
      </c>
    </row>
    <row r="7371">
      <c r="A7371" s="24">
        <v>0.0</v>
      </c>
      <c r="B7371" s="24">
        <v>0.0</v>
      </c>
      <c r="C7371" s="44">
        <v>12.29</v>
      </c>
      <c r="D7371" s="46">
        <v>45740.0</v>
      </c>
      <c r="E7371" s="24" t="s">
        <v>6650</v>
      </c>
      <c r="F7371" s="24" t="s">
        <v>6650</v>
      </c>
      <c r="G7371" s="24" t="s">
        <v>6650</v>
      </c>
      <c r="H7371" s="24" t="s">
        <v>6702</v>
      </c>
      <c r="I7371" s="24" t="s">
        <v>6650</v>
      </c>
      <c r="J7371" s="24">
        <v>0.0</v>
      </c>
    </row>
    <row r="7372">
      <c r="A7372" s="24">
        <v>0.0</v>
      </c>
      <c r="B7372" s="24">
        <v>0.0</v>
      </c>
      <c r="C7372" s="44"/>
      <c r="D7372" s="46">
        <v>45740.0</v>
      </c>
      <c r="E7372" s="24" t="s">
        <v>6650</v>
      </c>
      <c r="F7372" s="24" t="s">
        <v>6650</v>
      </c>
      <c r="G7372" s="24" t="s">
        <v>6650</v>
      </c>
      <c r="H7372" s="24" t="s">
        <v>6728</v>
      </c>
      <c r="I7372" s="24" t="s">
        <v>6650</v>
      </c>
      <c r="J7372" s="24"/>
    </row>
    <row r="7373">
      <c r="A7373" s="24">
        <v>72.0</v>
      </c>
      <c r="B7373" s="24">
        <v>0.0</v>
      </c>
      <c r="C7373" s="44">
        <v>20.92</v>
      </c>
      <c r="D7373" s="46">
        <v>45740.0</v>
      </c>
      <c r="E7373" s="24" t="s">
        <v>6650</v>
      </c>
      <c r="F7373" s="24">
        <v>290.56</v>
      </c>
      <c r="G7373" s="24">
        <v>0.0</v>
      </c>
      <c r="H7373" s="24" t="s">
        <v>6725</v>
      </c>
      <c r="I7373" s="24">
        <v>1.49</v>
      </c>
      <c r="J7373" s="24">
        <v>0.0</v>
      </c>
    </row>
    <row r="7374">
      <c r="A7374" s="24">
        <v>531.0</v>
      </c>
      <c r="B7374" s="24">
        <v>10.0</v>
      </c>
      <c r="C7374" s="44">
        <v>23.12</v>
      </c>
      <c r="D7374" s="46">
        <v>45740.0</v>
      </c>
      <c r="E7374" s="24">
        <v>2.31</v>
      </c>
      <c r="F7374" s="24">
        <v>43.54</v>
      </c>
      <c r="G7374" s="24">
        <v>1.88</v>
      </c>
      <c r="H7374" s="24" t="s">
        <v>6732</v>
      </c>
      <c r="I7374" s="24" t="s">
        <v>6650</v>
      </c>
      <c r="J7374" s="24">
        <v>0.0</v>
      </c>
    </row>
    <row r="7375">
      <c r="A7375" s="24">
        <v>386.0</v>
      </c>
      <c r="B7375" s="24">
        <v>2.0</v>
      </c>
      <c r="C7375" s="44">
        <v>20.9</v>
      </c>
      <c r="D7375" s="46">
        <v>45740.0</v>
      </c>
      <c r="E7375" s="24">
        <v>10.45</v>
      </c>
      <c r="F7375" s="24">
        <v>54.15</v>
      </c>
      <c r="G7375" s="24">
        <v>0.52</v>
      </c>
      <c r="H7375" s="24" t="s">
        <v>6731</v>
      </c>
      <c r="I7375" s="24" t="s">
        <v>6650</v>
      </c>
      <c r="J7375" s="24">
        <v>0.0</v>
      </c>
    </row>
    <row r="7376">
      <c r="A7376" s="24">
        <v>0.0</v>
      </c>
      <c r="B7376" s="24">
        <v>0.0</v>
      </c>
      <c r="C7376" s="44"/>
      <c r="D7376" s="46">
        <v>45740.0</v>
      </c>
      <c r="E7376" s="24" t="s">
        <v>6650</v>
      </c>
      <c r="F7376" s="24" t="s">
        <v>6650</v>
      </c>
      <c r="G7376" s="24" t="s">
        <v>6650</v>
      </c>
      <c r="H7376" s="24" t="s">
        <v>6720</v>
      </c>
      <c r="I7376" s="24" t="s">
        <v>6650</v>
      </c>
      <c r="J7376" s="24"/>
    </row>
    <row r="7377">
      <c r="A7377" s="24">
        <v>193.0</v>
      </c>
      <c r="B7377" s="24">
        <v>1.0</v>
      </c>
      <c r="C7377" s="44">
        <v>22.0</v>
      </c>
      <c r="D7377" s="46">
        <v>45741.0</v>
      </c>
      <c r="E7377" s="24">
        <v>22.0</v>
      </c>
      <c r="F7377" s="24">
        <v>113.99</v>
      </c>
      <c r="G7377" s="24">
        <v>0.52</v>
      </c>
      <c r="H7377" s="24" t="s">
        <v>6731</v>
      </c>
      <c r="I7377" s="24" t="s">
        <v>6650</v>
      </c>
      <c r="J7377" s="24">
        <v>0.0</v>
      </c>
    </row>
    <row r="7378">
      <c r="A7378" s="24">
        <v>0.0</v>
      </c>
      <c r="B7378" s="24">
        <v>0.0</v>
      </c>
      <c r="C7378" s="44">
        <v>12.62</v>
      </c>
      <c r="D7378" s="46">
        <v>45741.0</v>
      </c>
      <c r="E7378" s="24" t="s">
        <v>6650</v>
      </c>
      <c r="F7378" s="24" t="s">
        <v>6650</v>
      </c>
      <c r="G7378" s="24" t="s">
        <v>6650</v>
      </c>
      <c r="H7378" s="24" t="s">
        <v>6702</v>
      </c>
      <c r="I7378" s="24" t="s">
        <v>6650</v>
      </c>
      <c r="J7378" s="24">
        <v>0.0</v>
      </c>
    </row>
    <row r="7379">
      <c r="A7379" s="24">
        <v>0.0</v>
      </c>
      <c r="B7379" s="24">
        <v>0.0</v>
      </c>
      <c r="C7379" s="44"/>
      <c r="D7379" s="46">
        <v>45741.0</v>
      </c>
      <c r="E7379" s="24" t="s">
        <v>6650</v>
      </c>
      <c r="F7379" s="24" t="s">
        <v>6650</v>
      </c>
      <c r="G7379" s="24" t="s">
        <v>6650</v>
      </c>
      <c r="H7379" s="24" t="s">
        <v>6728</v>
      </c>
      <c r="I7379" s="24" t="s">
        <v>6650</v>
      </c>
      <c r="J7379" s="24"/>
    </row>
    <row r="7380">
      <c r="A7380" s="24">
        <v>0.0</v>
      </c>
      <c r="B7380" s="24">
        <v>0.0</v>
      </c>
      <c r="C7380" s="44"/>
      <c r="D7380" s="46">
        <v>45741.0</v>
      </c>
      <c r="E7380" s="24" t="s">
        <v>6650</v>
      </c>
      <c r="F7380" s="24" t="s">
        <v>6650</v>
      </c>
      <c r="G7380" s="24" t="s">
        <v>6650</v>
      </c>
      <c r="H7380" s="24" t="s">
        <v>6720</v>
      </c>
      <c r="I7380" s="24" t="s">
        <v>6650</v>
      </c>
      <c r="J7380" s="24"/>
    </row>
    <row r="7381">
      <c r="A7381" s="24">
        <v>0.0</v>
      </c>
      <c r="B7381" s="24">
        <v>0.0</v>
      </c>
      <c r="C7381" s="44">
        <v>11.18</v>
      </c>
      <c r="D7381" s="46">
        <v>45741.0</v>
      </c>
      <c r="E7381" s="24" t="s">
        <v>6650</v>
      </c>
      <c r="F7381" s="24" t="s">
        <v>6650</v>
      </c>
      <c r="G7381" s="24" t="s">
        <v>6650</v>
      </c>
      <c r="H7381" s="24" t="s">
        <v>6726</v>
      </c>
      <c r="I7381" s="24">
        <v>0.7</v>
      </c>
      <c r="J7381" s="24">
        <v>0.0</v>
      </c>
    </row>
    <row r="7382">
      <c r="A7382" s="24">
        <v>82.0</v>
      </c>
      <c r="B7382" s="24">
        <v>0.0</v>
      </c>
      <c r="C7382" s="44">
        <v>22.39</v>
      </c>
      <c r="D7382" s="46">
        <v>45741.0</v>
      </c>
      <c r="E7382" s="24" t="s">
        <v>6650</v>
      </c>
      <c r="F7382" s="24">
        <v>273.05</v>
      </c>
      <c r="G7382" s="24">
        <v>0.0</v>
      </c>
      <c r="H7382" s="24" t="s">
        <v>6725</v>
      </c>
      <c r="I7382" s="24">
        <v>1.87</v>
      </c>
      <c r="J7382" s="24">
        <v>0.0</v>
      </c>
    </row>
    <row r="7383">
      <c r="A7383" s="24">
        <v>988.0</v>
      </c>
      <c r="B7383" s="24">
        <v>17.0</v>
      </c>
      <c r="C7383" s="44">
        <v>24.15</v>
      </c>
      <c r="D7383" s="46">
        <v>45741.0</v>
      </c>
      <c r="E7383" s="24">
        <v>1.42</v>
      </c>
      <c r="F7383" s="24">
        <v>24.44</v>
      </c>
      <c r="G7383" s="24">
        <v>1.72</v>
      </c>
      <c r="H7383" s="24" t="s">
        <v>6732</v>
      </c>
      <c r="I7383" s="24" t="s">
        <v>6650</v>
      </c>
      <c r="J7383" s="24">
        <v>0.0</v>
      </c>
    </row>
    <row r="7384">
      <c r="A7384" s="24">
        <v>0.0</v>
      </c>
      <c r="B7384" s="24">
        <v>0.0</v>
      </c>
      <c r="C7384" s="44"/>
      <c r="D7384" s="46">
        <v>45741.0</v>
      </c>
      <c r="E7384" s="24" t="s">
        <v>6650</v>
      </c>
      <c r="F7384" s="24" t="s">
        <v>6650</v>
      </c>
      <c r="G7384" s="24" t="s">
        <v>6650</v>
      </c>
      <c r="H7384" s="24" t="s">
        <v>6724</v>
      </c>
      <c r="I7384" s="24" t="s">
        <v>6650</v>
      </c>
      <c r="J7384" s="24"/>
    </row>
    <row r="7385">
      <c r="A7385" s="24">
        <v>128.0</v>
      </c>
      <c r="B7385" s="24">
        <v>0.0</v>
      </c>
      <c r="C7385" s="44">
        <v>24.93</v>
      </c>
      <c r="D7385" s="46">
        <v>45741.0</v>
      </c>
      <c r="E7385" s="24" t="s">
        <v>6650</v>
      </c>
      <c r="F7385" s="24">
        <v>194.77</v>
      </c>
      <c r="G7385" s="24">
        <v>0.0</v>
      </c>
      <c r="H7385" s="24" t="s">
        <v>6730</v>
      </c>
      <c r="I7385" s="24" t="s">
        <v>6650</v>
      </c>
      <c r="J7385" s="24">
        <v>0.0</v>
      </c>
    </row>
    <row r="7386">
      <c r="A7386" s="24">
        <v>241.0</v>
      </c>
      <c r="B7386" s="24">
        <v>9.0</v>
      </c>
      <c r="C7386" s="44">
        <v>25.9</v>
      </c>
      <c r="D7386" s="46">
        <v>45741.0</v>
      </c>
      <c r="E7386" s="24">
        <v>2.88</v>
      </c>
      <c r="F7386" s="24">
        <v>107.47</v>
      </c>
      <c r="G7386" s="24">
        <v>3.73</v>
      </c>
      <c r="H7386" s="24" t="s">
        <v>6729</v>
      </c>
      <c r="I7386" s="24" t="s">
        <v>6650</v>
      </c>
      <c r="J7386" s="24">
        <v>0.0</v>
      </c>
    </row>
    <row r="7387">
      <c r="A7387" s="24">
        <v>0.0</v>
      </c>
      <c r="B7387" s="24">
        <v>0.0</v>
      </c>
      <c r="C7387" s="44"/>
      <c r="D7387" s="46">
        <v>45741.0</v>
      </c>
      <c r="E7387" s="24" t="s">
        <v>6650</v>
      </c>
      <c r="F7387" s="24" t="s">
        <v>6650</v>
      </c>
      <c r="G7387" s="24" t="s">
        <v>6650</v>
      </c>
      <c r="H7387" s="24" t="s">
        <v>6727</v>
      </c>
      <c r="I7387" s="24" t="s">
        <v>6650</v>
      </c>
      <c r="J7387" s="24"/>
    </row>
    <row r="7388">
      <c r="A7388" s="24">
        <v>0.0</v>
      </c>
      <c r="B7388" s="24">
        <v>0.0</v>
      </c>
      <c r="C7388" s="44"/>
      <c r="D7388" s="46">
        <v>45742.0</v>
      </c>
      <c r="E7388" s="24" t="s">
        <v>6650</v>
      </c>
      <c r="F7388" s="24" t="s">
        <v>6650</v>
      </c>
      <c r="G7388" s="24" t="s">
        <v>6650</v>
      </c>
      <c r="H7388" s="24" t="s">
        <v>6720</v>
      </c>
      <c r="I7388" s="24" t="s">
        <v>6650</v>
      </c>
      <c r="J7388" s="24"/>
    </row>
    <row r="7389">
      <c r="A7389" s="24">
        <v>107.0</v>
      </c>
      <c r="B7389" s="24">
        <v>1.0</v>
      </c>
      <c r="C7389" s="44">
        <v>24.0</v>
      </c>
      <c r="D7389" s="46">
        <v>45742.0</v>
      </c>
      <c r="E7389" s="24">
        <v>24.0</v>
      </c>
      <c r="F7389" s="24">
        <v>224.3</v>
      </c>
      <c r="G7389" s="24">
        <v>0.93</v>
      </c>
      <c r="H7389" s="24" t="s">
        <v>6730</v>
      </c>
      <c r="I7389" s="24" t="s">
        <v>6650</v>
      </c>
      <c r="J7389" s="24">
        <v>0.0</v>
      </c>
    </row>
    <row r="7390">
      <c r="A7390" s="24">
        <v>0.0</v>
      </c>
      <c r="B7390" s="24">
        <v>0.0</v>
      </c>
      <c r="C7390" s="44"/>
      <c r="D7390" s="46">
        <v>45742.0</v>
      </c>
      <c r="E7390" s="24" t="s">
        <v>6650</v>
      </c>
      <c r="F7390" s="24" t="s">
        <v>6650</v>
      </c>
      <c r="G7390" s="24" t="s">
        <v>6650</v>
      </c>
      <c r="H7390" s="24" t="s">
        <v>6728</v>
      </c>
      <c r="I7390" s="24" t="s">
        <v>6650</v>
      </c>
      <c r="J7390" s="24"/>
    </row>
    <row r="7391">
      <c r="A7391" s="24">
        <v>363.0</v>
      </c>
      <c r="B7391" s="24">
        <v>14.0</v>
      </c>
      <c r="C7391" s="44">
        <v>25.48</v>
      </c>
      <c r="D7391" s="46">
        <v>45742.0</v>
      </c>
      <c r="E7391" s="24">
        <v>1.82</v>
      </c>
      <c r="F7391" s="24">
        <v>70.19</v>
      </c>
      <c r="G7391" s="24">
        <v>3.86</v>
      </c>
      <c r="H7391" s="24" t="s">
        <v>6729</v>
      </c>
      <c r="I7391" s="24" t="s">
        <v>6650</v>
      </c>
      <c r="J7391" s="24">
        <v>0.0</v>
      </c>
    </row>
    <row r="7392">
      <c r="A7392" s="24">
        <v>60.0</v>
      </c>
      <c r="B7392" s="24">
        <v>0.0</v>
      </c>
      <c r="C7392" s="44">
        <v>22.27</v>
      </c>
      <c r="D7392" s="46">
        <v>45742.0</v>
      </c>
      <c r="E7392" s="24" t="s">
        <v>6650</v>
      </c>
      <c r="F7392" s="24">
        <v>371.17</v>
      </c>
      <c r="G7392" s="24">
        <v>0.0</v>
      </c>
      <c r="H7392" s="24" t="s">
        <v>6725</v>
      </c>
      <c r="I7392" s="24">
        <v>0.8</v>
      </c>
      <c r="J7392" s="24">
        <v>0.0</v>
      </c>
    </row>
    <row r="7393">
      <c r="A7393" s="24">
        <v>0.0</v>
      </c>
      <c r="B7393" s="24">
        <v>0.0</v>
      </c>
      <c r="C7393" s="44">
        <v>11.36</v>
      </c>
      <c r="D7393" s="46">
        <v>45742.0</v>
      </c>
      <c r="E7393" s="24" t="s">
        <v>6650</v>
      </c>
      <c r="F7393" s="24" t="s">
        <v>6650</v>
      </c>
      <c r="G7393" s="24" t="s">
        <v>6650</v>
      </c>
      <c r="H7393" s="24" t="s">
        <v>6702</v>
      </c>
      <c r="I7393" s="24" t="s">
        <v>6650</v>
      </c>
      <c r="J7393" s="24">
        <v>0.0</v>
      </c>
    </row>
    <row r="7394">
      <c r="A7394" s="24">
        <v>180.0</v>
      </c>
      <c r="B7394" s="24">
        <v>0.0</v>
      </c>
      <c r="C7394" s="44">
        <v>21.74</v>
      </c>
      <c r="D7394" s="46">
        <v>45742.0</v>
      </c>
      <c r="E7394" s="24" t="s">
        <v>6650</v>
      </c>
      <c r="F7394" s="24">
        <v>120.78</v>
      </c>
      <c r="G7394" s="24">
        <v>0.0</v>
      </c>
      <c r="H7394" s="24" t="s">
        <v>6731</v>
      </c>
      <c r="I7394" s="24" t="s">
        <v>6650</v>
      </c>
      <c r="J7394" s="24">
        <v>0.0</v>
      </c>
    </row>
    <row r="7395">
      <c r="A7395" s="24">
        <v>553.0</v>
      </c>
      <c r="B7395" s="24">
        <v>9.0</v>
      </c>
      <c r="C7395" s="44">
        <v>24.44</v>
      </c>
      <c r="D7395" s="46">
        <v>45742.0</v>
      </c>
      <c r="E7395" s="24">
        <v>2.72</v>
      </c>
      <c r="F7395" s="24">
        <v>44.2</v>
      </c>
      <c r="G7395" s="24">
        <v>1.63</v>
      </c>
      <c r="H7395" s="24" t="s">
        <v>6732</v>
      </c>
      <c r="I7395" s="24" t="s">
        <v>6650</v>
      </c>
      <c r="J7395" s="24">
        <v>0.0</v>
      </c>
    </row>
    <row r="7396">
      <c r="A7396" s="24">
        <v>0.0</v>
      </c>
      <c r="B7396" s="24">
        <v>0.0</v>
      </c>
      <c r="C7396" s="44"/>
      <c r="D7396" s="46">
        <v>45742.0</v>
      </c>
      <c r="E7396" s="24" t="s">
        <v>6650</v>
      </c>
      <c r="F7396" s="24" t="s">
        <v>6650</v>
      </c>
      <c r="G7396" s="24" t="s">
        <v>6650</v>
      </c>
      <c r="H7396" s="24" t="s">
        <v>6724</v>
      </c>
      <c r="I7396" s="24" t="s">
        <v>6650</v>
      </c>
      <c r="J7396" s="24"/>
    </row>
    <row r="7397">
      <c r="A7397" s="24">
        <v>0.0</v>
      </c>
      <c r="B7397" s="24">
        <v>0.0</v>
      </c>
      <c r="C7397" s="44"/>
      <c r="D7397" s="46">
        <v>45742.0</v>
      </c>
      <c r="E7397" s="24" t="s">
        <v>6650</v>
      </c>
      <c r="F7397" s="24" t="s">
        <v>6650</v>
      </c>
      <c r="G7397" s="24" t="s">
        <v>6650</v>
      </c>
      <c r="H7397" s="24" t="s">
        <v>6727</v>
      </c>
      <c r="I7397" s="24" t="s">
        <v>6650</v>
      </c>
      <c r="J7397" s="24"/>
    </row>
    <row r="7398">
      <c r="A7398" s="24">
        <v>0.0</v>
      </c>
      <c r="B7398" s="24">
        <v>0.0</v>
      </c>
      <c r="C7398" s="44">
        <v>10.44</v>
      </c>
      <c r="D7398" s="46">
        <v>45742.0</v>
      </c>
      <c r="E7398" s="24" t="s">
        <v>6650</v>
      </c>
      <c r="F7398" s="24" t="s">
        <v>6650</v>
      </c>
      <c r="G7398" s="24" t="s">
        <v>6650</v>
      </c>
      <c r="H7398" s="24" t="s">
        <v>6726</v>
      </c>
      <c r="I7398" s="24">
        <v>0.31</v>
      </c>
      <c r="J7398" s="24">
        <v>0.0</v>
      </c>
    </row>
    <row r="7399">
      <c r="A7399" s="24">
        <v>126.0</v>
      </c>
      <c r="B7399" s="24">
        <v>2.0</v>
      </c>
      <c r="C7399" s="44">
        <v>23.98</v>
      </c>
      <c r="D7399" s="46">
        <v>45743.0</v>
      </c>
      <c r="E7399" s="24">
        <v>11.99</v>
      </c>
      <c r="F7399" s="24">
        <v>190.32</v>
      </c>
      <c r="G7399" s="24">
        <v>1.59</v>
      </c>
      <c r="H7399" s="24" t="s">
        <v>6730</v>
      </c>
      <c r="I7399" s="24" t="s">
        <v>6650</v>
      </c>
      <c r="J7399" s="24">
        <v>0.0</v>
      </c>
    </row>
    <row r="7400">
      <c r="A7400" s="24">
        <v>180.0</v>
      </c>
      <c r="B7400" s="24">
        <v>3.0</v>
      </c>
      <c r="C7400" s="44">
        <v>21.34</v>
      </c>
      <c r="D7400" s="46">
        <v>45743.0</v>
      </c>
      <c r="E7400" s="24">
        <v>7.11</v>
      </c>
      <c r="F7400" s="24">
        <v>118.56</v>
      </c>
      <c r="G7400" s="24">
        <v>1.67</v>
      </c>
      <c r="H7400" s="24" t="s">
        <v>6731</v>
      </c>
      <c r="I7400" s="24" t="s">
        <v>6650</v>
      </c>
      <c r="J7400" s="24">
        <v>0.0</v>
      </c>
    </row>
    <row r="7401">
      <c r="A7401" s="24">
        <v>281.0</v>
      </c>
      <c r="B7401" s="24">
        <v>13.0</v>
      </c>
      <c r="C7401" s="44">
        <v>26.18</v>
      </c>
      <c r="D7401" s="46">
        <v>45743.0</v>
      </c>
      <c r="E7401" s="24">
        <v>2.01</v>
      </c>
      <c r="F7401" s="24">
        <v>93.17</v>
      </c>
      <c r="G7401" s="24">
        <v>4.63</v>
      </c>
      <c r="H7401" s="24" t="s">
        <v>6729</v>
      </c>
      <c r="I7401" s="24" t="s">
        <v>6650</v>
      </c>
      <c r="J7401" s="24">
        <v>0.0</v>
      </c>
    </row>
    <row r="7402">
      <c r="A7402" s="24">
        <v>67.0</v>
      </c>
      <c r="B7402" s="24">
        <v>1.0</v>
      </c>
      <c r="C7402" s="44">
        <v>21.36</v>
      </c>
      <c r="D7402" s="46">
        <v>45743.0</v>
      </c>
      <c r="E7402" s="24">
        <v>21.36</v>
      </c>
      <c r="F7402" s="24">
        <v>318.81</v>
      </c>
      <c r="G7402" s="24">
        <v>1.49</v>
      </c>
      <c r="H7402" s="24" t="s">
        <v>6725</v>
      </c>
      <c r="I7402" s="24">
        <v>3.56</v>
      </c>
      <c r="J7402" s="24">
        <v>0.0</v>
      </c>
    </row>
    <row r="7403">
      <c r="A7403" s="24">
        <v>0.0</v>
      </c>
      <c r="B7403" s="24">
        <v>0.0</v>
      </c>
      <c r="C7403" s="44"/>
      <c r="D7403" s="46">
        <v>45743.0</v>
      </c>
      <c r="E7403" s="24" t="s">
        <v>6650</v>
      </c>
      <c r="F7403" s="24" t="s">
        <v>6650</v>
      </c>
      <c r="G7403" s="24" t="s">
        <v>6650</v>
      </c>
      <c r="H7403" s="24" t="s">
        <v>6724</v>
      </c>
      <c r="I7403" s="24" t="s">
        <v>6650</v>
      </c>
      <c r="J7403" s="24"/>
    </row>
    <row r="7404">
      <c r="A7404" s="24">
        <v>0.0</v>
      </c>
      <c r="B7404" s="24">
        <v>0.0</v>
      </c>
      <c r="C7404" s="44"/>
      <c r="D7404" s="46">
        <v>45743.0</v>
      </c>
      <c r="E7404" s="24" t="s">
        <v>6650</v>
      </c>
      <c r="F7404" s="24" t="s">
        <v>6650</v>
      </c>
      <c r="G7404" s="24" t="s">
        <v>6650</v>
      </c>
      <c r="H7404" s="24" t="s">
        <v>6728</v>
      </c>
      <c r="I7404" s="24" t="s">
        <v>6650</v>
      </c>
      <c r="J7404" s="24"/>
    </row>
    <row r="7405">
      <c r="A7405" s="24">
        <v>0.0</v>
      </c>
      <c r="B7405" s="24">
        <v>0.0</v>
      </c>
      <c r="C7405" s="44">
        <v>13.07</v>
      </c>
      <c r="D7405" s="46">
        <v>45743.0</v>
      </c>
      <c r="E7405" s="24" t="s">
        <v>6650</v>
      </c>
      <c r="F7405" s="24" t="s">
        <v>6650</v>
      </c>
      <c r="G7405" s="24" t="s">
        <v>6650</v>
      </c>
      <c r="H7405" s="24" t="s">
        <v>6726</v>
      </c>
      <c r="I7405" s="24">
        <v>1.01</v>
      </c>
      <c r="J7405" s="24">
        <v>0.0</v>
      </c>
    </row>
    <row r="7406">
      <c r="A7406" s="24">
        <v>0.0</v>
      </c>
      <c r="B7406" s="24">
        <v>0.0</v>
      </c>
      <c r="C7406" s="44">
        <v>11.94</v>
      </c>
      <c r="D7406" s="46">
        <v>45743.0</v>
      </c>
      <c r="E7406" s="24" t="s">
        <v>6650</v>
      </c>
      <c r="F7406" s="24" t="s">
        <v>6650</v>
      </c>
      <c r="G7406" s="24" t="s">
        <v>6650</v>
      </c>
      <c r="H7406" s="24" t="s">
        <v>6702</v>
      </c>
      <c r="I7406" s="24" t="s">
        <v>6650</v>
      </c>
      <c r="J7406" s="24">
        <v>0.0</v>
      </c>
    </row>
    <row r="7407">
      <c r="A7407" s="24">
        <v>0.0</v>
      </c>
      <c r="B7407" s="24">
        <v>0.0</v>
      </c>
      <c r="C7407" s="44"/>
      <c r="D7407" s="46">
        <v>45743.0</v>
      </c>
      <c r="E7407" s="24" t="s">
        <v>6650</v>
      </c>
      <c r="F7407" s="24" t="s">
        <v>6650</v>
      </c>
      <c r="G7407" s="24" t="s">
        <v>6650</v>
      </c>
      <c r="H7407" s="24" t="s">
        <v>6727</v>
      </c>
      <c r="I7407" s="24" t="s">
        <v>6650</v>
      </c>
      <c r="J7407" s="24"/>
    </row>
    <row r="7408">
      <c r="A7408" s="24">
        <v>0.0</v>
      </c>
      <c r="B7408" s="24">
        <v>0.0</v>
      </c>
      <c r="C7408" s="44"/>
      <c r="D7408" s="46">
        <v>45743.0</v>
      </c>
      <c r="E7408" s="24" t="s">
        <v>6650</v>
      </c>
      <c r="F7408" s="24" t="s">
        <v>6650</v>
      </c>
      <c r="G7408" s="24" t="s">
        <v>6650</v>
      </c>
      <c r="H7408" s="24" t="s">
        <v>6720</v>
      </c>
      <c r="I7408" s="24" t="s">
        <v>6650</v>
      </c>
      <c r="J7408" s="24"/>
    </row>
    <row r="7409">
      <c r="A7409" s="24">
        <v>333.0</v>
      </c>
      <c r="B7409" s="24">
        <v>6.0</v>
      </c>
      <c r="C7409" s="44">
        <v>23.78</v>
      </c>
      <c r="D7409" s="46">
        <v>45743.0</v>
      </c>
      <c r="E7409" s="24">
        <v>3.96</v>
      </c>
      <c r="F7409" s="24">
        <v>71.41</v>
      </c>
      <c r="G7409" s="24">
        <v>1.8</v>
      </c>
      <c r="H7409" s="24" t="s">
        <v>6732</v>
      </c>
      <c r="I7409" s="24" t="s">
        <v>6650</v>
      </c>
      <c r="J7409" s="24">
        <v>0.0</v>
      </c>
    </row>
    <row r="7410">
      <c r="A7410" s="24">
        <v>339.0</v>
      </c>
      <c r="B7410" s="24">
        <v>13.0</v>
      </c>
      <c r="C7410" s="44">
        <v>25.44</v>
      </c>
      <c r="D7410" s="46">
        <v>45744.0</v>
      </c>
      <c r="E7410" s="24">
        <v>1.96</v>
      </c>
      <c r="F7410" s="24">
        <v>75.04</v>
      </c>
      <c r="G7410" s="24">
        <v>3.83</v>
      </c>
      <c r="H7410" s="24" t="s">
        <v>6729</v>
      </c>
      <c r="I7410" s="24" t="s">
        <v>6650</v>
      </c>
      <c r="J7410" s="24">
        <v>0.0</v>
      </c>
    </row>
    <row r="7411">
      <c r="A7411" s="24">
        <v>207.0</v>
      </c>
      <c r="B7411" s="24">
        <v>1.0</v>
      </c>
      <c r="C7411" s="44">
        <v>21.31</v>
      </c>
      <c r="D7411" s="46">
        <v>45744.0</v>
      </c>
      <c r="E7411" s="24">
        <v>21.31</v>
      </c>
      <c r="F7411" s="24">
        <v>102.95</v>
      </c>
      <c r="G7411" s="24">
        <v>0.48</v>
      </c>
      <c r="H7411" s="24" t="s">
        <v>6731</v>
      </c>
      <c r="I7411" s="24" t="s">
        <v>6650</v>
      </c>
      <c r="J7411" s="24">
        <v>0.0</v>
      </c>
    </row>
    <row r="7412">
      <c r="A7412" s="24">
        <v>0.0</v>
      </c>
      <c r="B7412" s="24">
        <v>0.0</v>
      </c>
      <c r="C7412" s="44">
        <v>10.31</v>
      </c>
      <c r="D7412" s="46">
        <v>45744.0</v>
      </c>
      <c r="E7412" s="24" t="s">
        <v>6650</v>
      </c>
      <c r="F7412" s="24" t="s">
        <v>6650</v>
      </c>
      <c r="G7412" s="24" t="s">
        <v>6650</v>
      </c>
      <c r="H7412" s="24" t="s">
        <v>6726</v>
      </c>
      <c r="I7412" s="24">
        <v>0.74</v>
      </c>
      <c r="J7412" s="24">
        <v>0.0</v>
      </c>
    </row>
    <row r="7413">
      <c r="A7413" s="24">
        <v>77.0</v>
      </c>
      <c r="B7413" s="24">
        <v>0.0</v>
      </c>
      <c r="C7413" s="44">
        <v>20.01</v>
      </c>
      <c r="D7413" s="46">
        <v>45744.0</v>
      </c>
      <c r="E7413" s="24" t="s">
        <v>6650</v>
      </c>
      <c r="F7413" s="24">
        <v>259.87</v>
      </c>
      <c r="G7413" s="24">
        <v>0.0</v>
      </c>
      <c r="H7413" s="24" t="s">
        <v>6725</v>
      </c>
      <c r="I7413" s="24">
        <v>1.54</v>
      </c>
      <c r="J7413" s="24">
        <v>0.0</v>
      </c>
    </row>
    <row r="7414">
      <c r="A7414" s="24">
        <v>0.0</v>
      </c>
      <c r="B7414" s="24">
        <v>0.0</v>
      </c>
      <c r="C7414" s="44">
        <v>11.43</v>
      </c>
      <c r="D7414" s="46">
        <v>45744.0</v>
      </c>
      <c r="E7414" s="24" t="s">
        <v>6650</v>
      </c>
      <c r="F7414" s="24" t="s">
        <v>6650</v>
      </c>
      <c r="G7414" s="24" t="s">
        <v>6650</v>
      </c>
      <c r="H7414" s="24" t="s">
        <v>6702</v>
      </c>
      <c r="I7414" s="24" t="s">
        <v>6650</v>
      </c>
      <c r="J7414" s="24">
        <v>0.0</v>
      </c>
    </row>
    <row r="7415">
      <c r="A7415" s="24">
        <v>0.0</v>
      </c>
      <c r="B7415" s="24">
        <v>0.0</v>
      </c>
      <c r="C7415" s="44"/>
      <c r="D7415" s="46">
        <v>45744.0</v>
      </c>
      <c r="E7415" s="24" t="s">
        <v>6650</v>
      </c>
      <c r="F7415" s="24" t="s">
        <v>6650</v>
      </c>
      <c r="G7415" s="24" t="s">
        <v>6650</v>
      </c>
      <c r="H7415" s="24" t="s">
        <v>6720</v>
      </c>
      <c r="I7415" s="24" t="s">
        <v>6650</v>
      </c>
      <c r="J7415" s="24"/>
    </row>
    <row r="7416">
      <c r="A7416" s="24">
        <v>0.0</v>
      </c>
      <c r="B7416" s="24">
        <v>0.0</v>
      </c>
      <c r="C7416" s="44"/>
      <c r="D7416" s="46">
        <v>45744.0</v>
      </c>
      <c r="E7416" s="24" t="s">
        <v>6650</v>
      </c>
      <c r="F7416" s="24" t="s">
        <v>6650</v>
      </c>
      <c r="G7416" s="24" t="s">
        <v>6650</v>
      </c>
      <c r="H7416" s="24" t="s">
        <v>6728</v>
      </c>
      <c r="I7416" s="24" t="s">
        <v>6650</v>
      </c>
      <c r="J7416" s="24"/>
    </row>
    <row r="7417">
      <c r="A7417" s="24">
        <v>0.0</v>
      </c>
      <c r="B7417" s="24">
        <v>0.0</v>
      </c>
      <c r="C7417" s="44"/>
      <c r="D7417" s="46">
        <v>45744.0</v>
      </c>
      <c r="E7417" s="24" t="s">
        <v>6650</v>
      </c>
      <c r="F7417" s="24" t="s">
        <v>6650</v>
      </c>
      <c r="G7417" s="24" t="s">
        <v>6650</v>
      </c>
      <c r="H7417" s="24" t="s">
        <v>6727</v>
      </c>
      <c r="I7417" s="24" t="s">
        <v>6650</v>
      </c>
      <c r="J7417" s="24"/>
    </row>
    <row r="7418">
      <c r="A7418" s="24">
        <v>0.0</v>
      </c>
      <c r="B7418" s="24">
        <v>0.0</v>
      </c>
      <c r="C7418" s="44"/>
      <c r="D7418" s="46">
        <v>45744.0</v>
      </c>
      <c r="E7418" s="24" t="s">
        <v>6650</v>
      </c>
      <c r="F7418" s="24" t="s">
        <v>6650</v>
      </c>
      <c r="G7418" s="24" t="s">
        <v>6650</v>
      </c>
      <c r="H7418" s="24" t="s">
        <v>6724</v>
      </c>
      <c r="I7418" s="24" t="s">
        <v>6650</v>
      </c>
      <c r="J7418" s="24"/>
    </row>
    <row r="7419">
      <c r="A7419" s="24">
        <v>108.0</v>
      </c>
      <c r="B7419" s="24">
        <v>3.0</v>
      </c>
      <c r="C7419" s="44">
        <v>22.87</v>
      </c>
      <c r="D7419" s="46">
        <v>45744.0</v>
      </c>
      <c r="E7419" s="24">
        <v>7.62</v>
      </c>
      <c r="F7419" s="24">
        <v>211.76</v>
      </c>
      <c r="G7419" s="24">
        <v>2.78</v>
      </c>
      <c r="H7419" s="24" t="s">
        <v>6730</v>
      </c>
      <c r="I7419" s="24" t="s">
        <v>6650</v>
      </c>
      <c r="J7419" s="24">
        <v>0.0</v>
      </c>
    </row>
    <row r="7420">
      <c r="A7420" s="24">
        <v>417.0</v>
      </c>
      <c r="B7420" s="24">
        <v>5.0</v>
      </c>
      <c r="C7420" s="44">
        <v>22.61</v>
      </c>
      <c r="D7420" s="46">
        <v>45744.0</v>
      </c>
      <c r="E7420" s="24">
        <v>4.52</v>
      </c>
      <c r="F7420" s="24">
        <v>54.22</v>
      </c>
      <c r="G7420" s="24">
        <v>1.2</v>
      </c>
      <c r="H7420" s="24" t="s">
        <v>6732</v>
      </c>
      <c r="I7420" s="24" t="s">
        <v>6650</v>
      </c>
      <c r="J7420" s="24">
        <v>0.0</v>
      </c>
    </row>
    <row r="7421">
      <c r="A7421" s="24">
        <v>0.0</v>
      </c>
      <c r="B7421" s="24">
        <v>0.0</v>
      </c>
      <c r="C7421" s="44">
        <v>7.44</v>
      </c>
      <c r="D7421" s="46">
        <v>45745.0</v>
      </c>
      <c r="E7421" s="24" t="s">
        <v>6650</v>
      </c>
      <c r="F7421" s="24" t="s">
        <v>6650</v>
      </c>
      <c r="G7421" s="24" t="s">
        <v>6650</v>
      </c>
      <c r="H7421" s="24" t="s">
        <v>6726</v>
      </c>
      <c r="I7421" s="24">
        <v>1.06</v>
      </c>
      <c r="J7421" s="24">
        <v>0.0</v>
      </c>
    </row>
    <row r="7422">
      <c r="A7422" s="24">
        <v>60.0</v>
      </c>
      <c r="B7422" s="24">
        <v>1.0</v>
      </c>
      <c r="C7422" s="44">
        <v>16.97</v>
      </c>
      <c r="D7422" s="46">
        <v>45745.0</v>
      </c>
      <c r="E7422" s="24">
        <v>16.97</v>
      </c>
      <c r="F7422" s="24">
        <v>282.83</v>
      </c>
      <c r="G7422" s="24">
        <v>1.67</v>
      </c>
      <c r="H7422" s="24" t="s">
        <v>6730</v>
      </c>
      <c r="I7422" s="24" t="s">
        <v>6650</v>
      </c>
      <c r="J7422" s="24">
        <v>0.0</v>
      </c>
    </row>
    <row r="7423">
      <c r="A7423" s="24">
        <v>0.0</v>
      </c>
      <c r="B7423" s="24">
        <v>0.0</v>
      </c>
      <c r="C7423" s="44"/>
      <c r="D7423" s="46">
        <v>45745.0</v>
      </c>
      <c r="E7423" s="24" t="s">
        <v>6650</v>
      </c>
      <c r="F7423" s="24" t="s">
        <v>6650</v>
      </c>
      <c r="G7423" s="24" t="s">
        <v>6650</v>
      </c>
      <c r="H7423" s="24" t="s">
        <v>6728</v>
      </c>
      <c r="I7423" s="24" t="s">
        <v>6650</v>
      </c>
      <c r="J7423" s="24"/>
    </row>
    <row r="7424">
      <c r="A7424" s="24">
        <v>283.0</v>
      </c>
      <c r="B7424" s="24">
        <v>5.0</v>
      </c>
      <c r="C7424" s="44">
        <v>16.02</v>
      </c>
      <c r="D7424" s="46">
        <v>45745.0</v>
      </c>
      <c r="E7424" s="24">
        <v>3.2</v>
      </c>
      <c r="F7424" s="24">
        <v>56.61</v>
      </c>
      <c r="G7424" s="24">
        <v>1.77</v>
      </c>
      <c r="H7424" s="24" t="s">
        <v>6732</v>
      </c>
      <c r="I7424" s="24" t="s">
        <v>6650</v>
      </c>
      <c r="J7424" s="24">
        <v>0.0</v>
      </c>
    </row>
    <row r="7425">
      <c r="A7425" s="24">
        <v>41.0</v>
      </c>
      <c r="B7425" s="24">
        <v>1.0</v>
      </c>
      <c r="C7425" s="44">
        <v>14.21</v>
      </c>
      <c r="D7425" s="46">
        <v>45745.0</v>
      </c>
      <c r="E7425" s="24">
        <v>14.21</v>
      </c>
      <c r="F7425" s="24">
        <v>346.59</v>
      </c>
      <c r="G7425" s="24">
        <v>2.44</v>
      </c>
      <c r="H7425" s="24" t="s">
        <v>6725</v>
      </c>
      <c r="I7425" s="24">
        <v>7.1</v>
      </c>
      <c r="J7425" s="24">
        <v>0.0</v>
      </c>
    </row>
    <row r="7426">
      <c r="A7426" s="24">
        <v>0.0</v>
      </c>
      <c r="B7426" s="24">
        <v>0.0</v>
      </c>
      <c r="C7426" s="44">
        <v>6.76</v>
      </c>
      <c r="D7426" s="46">
        <v>45745.0</v>
      </c>
      <c r="E7426" s="24" t="s">
        <v>6650</v>
      </c>
      <c r="F7426" s="24" t="s">
        <v>6650</v>
      </c>
      <c r="G7426" s="24" t="s">
        <v>6650</v>
      </c>
      <c r="H7426" s="24" t="s">
        <v>6702</v>
      </c>
      <c r="I7426" s="24" t="s">
        <v>6650</v>
      </c>
      <c r="J7426" s="24">
        <v>0.0</v>
      </c>
    </row>
    <row r="7427">
      <c r="A7427" s="24">
        <v>0.0</v>
      </c>
      <c r="B7427" s="24">
        <v>0.0</v>
      </c>
      <c r="C7427" s="44"/>
      <c r="D7427" s="46">
        <v>45745.0</v>
      </c>
      <c r="E7427" s="24" t="s">
        <v>6650</v>
      </c>
      <c r="F7427" s="24" t="s">
        <v>6650</v>
      </c>
      <c r="G7427" s="24" t="s">
        <v>6650</v>
      </c>
      <c r="H7427" s="24" t="s">
        <v>6724</v>
      </c>
      <c r="I7427" s="24" t="s">
        <v>6650</v>
      </c>
      <c r="J7427" s="24"/>
    </row>
    <row r="7428">
      <c r="A7428" s="24">
        <v>196.0</v>
      </c>
      <c r="B7428" s="24">
        <v>8.0</v>
      </c>
      <c r="C7428" s="44">
        <v>17.37</v>
      </c>
      <c r="D7428" s="46">
        <v>45745.0</v>
      </c>
      <c r="E7428" s="24">
        <v>2.17</v>
      </c>
      <c r="F7428" s="24">
        <v>88.62</v>
      </c>
      <c r="G7428" s="24">
        <v>4.08</v>
      </c>
      <c r="H7428" s="24" t="s">
        <v>6729</v>
      </c>
      <c r="I7428" s="24" t="s">
        <v>6650</v>
      </c>
      <c r="J7428" s="24">
        <v>0.0</v>
      </c>
    </row>
    <row r="7429">
      <c r="A7429" s="24">
        <v>0.0</v>
      </c>
      <c r="B7429" s="24">
        <v>0.0</v>
      </c>
      <c r="C7429" s="44"/>
      <c r="D7429" s="46">
        <v>45745.0</v>
      </c>
      <c r="E7429" s="24" t="s">
        <v>6650</v>
      </c>
      <c r="F7429" s="24" t="s">
        <v>6650</v>
      </c>
      <c r="G7429" s="24" t="s">
        <v>6650</v>
      </c>
      <c r="H7429" s="24" t="s">
        <v>6720</v>
      </c>
      <c r="I7429" s="24" t="s">
        <v>6650</v>
      </c>
      <c r="J7429" s="24"/>
    </row>
    <row r="7430">
      <c r="A7430" s="24">
        <v>153.0</v>
      </c>
      <c r="B7430" s="24">
        <v>1.0</v>
      </c>
      <c r="C7430" s="44">
        <v>13.75</v>
      </c>
      <c r="D7430" s="46">
        <v>45745.0</v>
      </c>
      <c r="E7430" s="24">
        <v>13.75</v>
      </c>
      <c r="F7430" s="24">
        <v>89.87</v>
      </c>
      <c r="G7430" s="24">
        <v>0.65</v>
      </c>
      <c r="H7430" s="24" t="s">
        <v>6731</v>
      </c>
      <c r="I7430" s="24" t="s">
        <v>6650</v>
      </c>
      <c r="J7430" s="24">
        <v>0.0</v>
      </c>
    </row>
    <row r="7431">
      <c r="A7431" s="24">
        <v>0.0</v>
      </c>
      <c r="B7431" s="24">
        <v>0.0</v>
      </c>
      <c r="C7431" s="44"/>
      <c r="D7431" s="46">
        <v>45746.0</v>
      </c>
      <c r="E7431" s="24" t="s">
        <v>6650</v>
      </c>
      <c r="F7431" s="24" t="s">
        <v>6650</v>
      </c>
      <c r="G7431" s="24" t="s">
        <v>6650</v>
      </c>
      <c r="H7431" s="24" t="s">
        <v>6724</v>
      </c>
      <c r="I7431" s="24" t="s">
        <v>6650</v>
      </c>
      <c r="J7431" s="24"/>
    </row>
    <row r="7432">
      <c r="A7432" s="24">
        <v>187.0</v>
      </c>
      <c r="B7432" s="24">
        <v>6.0</v>
      </c>
      <c r="C7432" s="44">
        <v>14.89</v>
      </c>
      <c r="D7432" s="46">
        <v>45746.0</v>
      </c>
      <c r="E7432" s="24">
        <v>2.48</v>
      </c>
      <c r="F7432" s="24">
        <v>79.63</v>
      </c>
      <c r="G7432" s="24">
        <v>3.21</v>
      </c>
      <c r="H7432" s="24" t="s">
        <v>6732</v>
      </c>
      <c r="I7432" s="24" t="s">
        <v>6650</v>
      </c>
      <c r="J7432" s="24">
        <v>0.0</v>
      </c>
    </row>
    <row r="7433">
      <c r="A7433" s="24">
        <v>153.0</v>
      </c>
      <c r="B7433" s="24">
        <v>5.0</v>
      </c>
      <c r="C7433" s="44">
        <v>13.83</v>
      </c>
      <c r="D7433" s="46">
        <v>45746.0</v>
      </c>
      <c r="E7433" s="24">
        <v>2.77</v>
      </c>
      <c r="F7433" s="24">
        <v>90.39</v>
      </c>
      <c r="G7433" s="24">
        <v>3.27</v>
      </c>
      <c r="H7433" s="24" t="s">
        <v>6729</v>
      </c>
      <c r="I7433" s="24" t="s">
        <v>6650</v>
      </c>
      <c r="J7433" s="24">
        <v>0.0</v>
      </c>
    </row>
    <row r="7434">
      <c r="A7434" s="24">
        <v>0.0</v>
      </c>
      <c r="B7434" s="24">
        <v>0.0</v>
      </c>
      <c r="C7434" s="44">
        <v>3.6</v>
      </c>
      <c r="D7434" s="46">
        <v>45746.0</v>
      </c>
      <c r="E7434" s="24" t="s">
        <v>6650</v>
      </c>
      <c r="F7434" s="24" t="s">
        <v>6650</v>
      </c>
      <c r="G7434" s="24" t="s">
        <v>6650</v>
      </c>
      <c r="H7434" s="24" t="s">
        <v>6702</v>
      </c>
      <c r="I7434" s="24" t="s">
        <v>6650</v>
      </c>
      <c r="J7434" s="24">
        <v>0.0</v>
      </c>
    </row>
    <row r="7435">
      <c r="A7435" s="24">
        <v>0.0</v>
      </c>
      <c r="B7435" s="24">
        <v>0.0</v>
      </c>
      <c r="C7435" s="44"/>
      <c r="D7435" s="46">
        <v>45746.0</v>
      </c>
      <c r="E7435" s="24" t="s">
        <v>6650</v>
      </c>
      <c r="F7435" s="24" t="s">
        <v>6650</v>
      </c>
      <c r="G7435" s="24" t="s">
        <v>6650</v>
      </c>
      <c r="H7435" s="24" t="s">
        <v>6720</v>
      </c>
      <c r="I7435" s="24" t="s">
        <v>6650</v>
      </c>
      <c r="J7435" s="24"/>
    </row>
    <row r="7436">
      <c r="A7436" s="24">
        <v>81.0</v>
      </c>
      <c r="B7436" s="24">
        <v>0.0</v>
      </c>
      <c r="C7436" s="44">
        <v>11.96</v>
      </c>
      <c r="D7436" s="46">
        <v>45746.0</v>
      </c>
      <c r="E7436" s="24" t="s">
        <v>6650</v>
      </c>
      <c r="F7436" s="24">
        <v>147.65</v>
      </c>
      <c r="G7436" s="24">
        <v>0.0</v>
      </c>
      <c r="H7436" s="24" t="s">
        <v>6731</v>
      </c>
      <c r="I7436" s="24" t="s">
        <v>6650</v>
      </c>
      <c r="J7436" s="24">
        <v>0.0</v>
      </c>
    </row>
    <row r="7437">
      <c r="A7437" s="24">
        <v>40.0</v>
      </c>
      <c r="B7437" s="24">
        <v>0.0</v>
      </c>
      <c r="C7437" s="44">
        <v>11.84</v>
      </c>
      <c r="D7437" s="46">
        <v>45746.0</v>
      </c>
      <c r="E7437" s="24" t="s">
        <v>6650</v>
      </c>
      <c r="F7437" s="24">
        <v>296.0</v>
      </c>
      <c r="G7437" s="24">
        <v>0.0</v>
      </c>
      <c r="H7437" s="24" t="s">
        <v>6725</v>
      </c>
      <c r="I7437" s="24" t="s">
        <v>6650</v>
      </c>
      <c r="J7437" s="24">
        <v>0.0</v>
      </c>
    </row>
    <row r="7438">
      <c r="A7438" s="24">
        <v>0.0</v>
      </c>
      <c r="B7438" s="24">
        <v>0.0</v>
      </c>
      <c r="C7438" s="44">
        <v>6.57</v>
      </c>
      <c r="D7438" s="46">
        <v>45746.0</v>
      </c>
      <c r="E7438" s="24" t="s">
        <v>6650</v>
      </c>
      <c r="F7438" s="24" t="s">
        <v>6650</v>
      </c>
      <c r="G7438" s="24" t="s">
        <v>6650</v>
      </c>
      <c r="H7438" s="24" t="s">
        <v>6726</v>
      </c>
      <c r="I7438" s="24">
        <v>1.1</v>
      </c>
      <c r="J7438" s="24">
        <v>0.0</v>
      </c>
    </row>
    <row r="7439">
      <c r="A7439" s="24">
        <v>33.0</v>
      </c>
      <c r="B7439" s="24">
        <v>0.0</v>
      </c>
      <c r="C7439" s="44">
        <v>12.58</v>
      </c>
      <c r="D7439" s="46">
        <v>45746.0</v>
      </c>
      <c r="E7439" s="24" t="s">
        <v>6650</v>
      </c>
      <c r="F7439" s="24">
        <v>381.21</v>
      </c>
      <c r="G7439" s="24">
        <v>0.0</v>
      </c>
      <c r="H7439" s="24" t="s">
        <v>6730</v>
      </c>
      <c r="I7439" s="24" t="s">
        <v>6650</v>
      </c>
      <c r="J7439" s="24">
        <v>0.0</v>
      </c>
    </row>
    <row r="7440">
      <c r="A7440" s="24">
        <v>0.0</v>
      </c>
      <c r="B7440" s="24">
        <v>0.0</v>
      </c>
      <c r="C7440" s="44"/>
      <c r="D7440" s="46">
        <v>45747.0</v>
      </c>
      <c r="E7440" s="24" t="s">
        <v>6650</v>
      </c>
      <c r="F7440" s="24" t="s">
        <v>6650</v>
      </c>
      <c r="G7440" s="24" t="s">
        <v>6650</v>
      </c>
      <c r="H7440" s="24" t="s">
        <v>6727</v>
      </c>
      <c r="I7440" s="24" t="s">
        <v>6650</v>
      </c>
      <c r="J7440" s="24"/>
    </row>
    <row r="7441">
      <c r="A7441" s="24">
        <v>230.0</v>
      </c>
      <c r="B7441" s="24">
        <v>0.0</v>
      </c>
      <c r="C7441" s="44">
        <v>20.58</v>
      </c>
      <c r="D7441" s="46">
        <v>45747.0</v>
      </c>
      <c r="E7441" s="24" t="s">
        <v>6650</v>
      </c>
      <c r="F7441" s="24">
        <v>89.48</v>
      </c>
      <c r="G7441" s="24">
        <v>0.0</v>
      </c>
      <c r="H7441" s="24" t="s">
        <v>6731</v>
      </c>
      <c r="I7441" s="24" t="s">
        <v>6650</v>
      </c>
      <c r="J7441" s="24">
        <v>0.0</v>
      </c>
    </row>
    <row r="7442">
      <c r="A7442" s="24">
        <v>0.0</v>
      </c>
      <c r="B7442" s="24">
        <v>0.0</v>
      </c>
      <c r="C7442" s="44"/>
      <c r="D7442" s="46">
        <v>45747.0</v>
      </c>
      <c r="E7442" s="24" t="s">
        <v>6650</v>
      </c>
      <c r="F7442" s="24" t="s">
        <v>6650</v>
      </c>
      <c r="G7442" s="24" t="s">
        <v>6650</v>
      </c>
      <c r="H7442" s="24" t="s">
        <v>6720</v>
      </c>
      <c r="I7442" s="24" t="s">
        <v>6650</v>
      </c>
      <c r="J7442" s="24"/>
    </row>
    <row r="7443">
      <c r="A7443" s="24">
        <v>0.0</v>
      </c>
      <c r="B7443" s="24">
        <v>0.0</v>
      </c>
      <c r="C7443" s="44">
        <v>10.51</v>
      </c>
      <c r="D7443" s="46">
        <v>45747.0</v>
      </c>
      <c r="E7443" s="24" t="s">
        <v>6650</v>
      </c>
      <c r="F7443" s="24" t="s">
        <v>6650</v>
      </c>
      <c r="G7443" s="24" t="s">
        <v>6650</v>
      </c>
      <c r="H7443" s="24" t="s">
        <v>6726</v>
      </c>
      <c r="I7443" s="24">
        <v>0.88</v>
      </c>
      <c r="J7443" s="24">
        <v>0.0</v>
      </c>
    </row>
    <row r="7444">
      <c r="A7444" s="24">
        <v>68.0</v>
      </c>
      <c r="B7444" s="24">
        <v>0.0</v>
      </c>
      <c r="C7444" s="44">
        <v>21.27</v>
      </c>
      <c r="D7444" s="46">
        <v>45747.0</v>
      </c>
      <c r="E7444" s="24" t="s">
        <v>6650</v>
      </c>
      <c r="F7444" s="24">
        <v>312.79</v>
      </c>
      <c r="G7444" s="24">
        <v>0.0</v>
      </c>
      <c r="H7444" s="24" t="s">
        <v>6725</v>
      </c>
      <c r="I7444" s="24">
        <v>1.52</v>
      </c>
      <c r="J7444" s="24">
        <v>0.0</v>
      </c>
    </row>
    <row r="7445">
      <c r="A7445" s="24">
        <v>233.0</v>
      </c>
      <c r="B7445" s="24">
        <v>10.0</v>
      </c>
      <c r="C7445" s="44">
        <v>24.59</v>
      </c>
      <c r="D7445" s="46">
        <v>45747.0</v>
      </c>
      <c r="E7445" s="24">
        <v>2.46</v>
      </c>
      <c r="F7445" s="24">
        <v>105.54</v>
      </c>
      <c r="G7445" s="24">
        <v>4.29</v>
      </c>
      <c r="H7445" s="24" t="s">
        <v>6729</v>
      </c>
      <c r="I7445" s="24" t="s">
        <v>6650</v>
      </c>
      <c r="J7445" s="24">
        <v>0.0</v>
      </c>
    </row>
    <row r="7446">
      <c r="A7446" s="24">
        <v>0.0</v>
      </c>
      <c r="B7446" s="24">
        <v>0.0</v>
      </c>
      <c r="C7446" s="44">
        <v>11.8</v>
      </c>
      <c r="D7446" s="46">
        <v>45747.0</v>
      </c>
      <c r="E7446" s="24" t="s">
        <v>6650</v>
      </c>
      <c r="F7446" s="24" t="s">
        <v>6650</v>
      </c>
      <c r="G7446" s="24" t="s">
        <v>6650</v>
      </c>
      <c r="H7446" s="24" t="s">
        <v>6702</v>
      </c>
      <c r="I7446" s="24" t="s">
        <v>6650</v>
      </c>
      <c r="J7446" s="24">
        <v>0.0</v>
      </c>
    </row>
    <row r="7447">
      <c r="A7447" s="24">
        <v>0.0</v>
      </c>
      <c r="B7447" s="24">
        <v>0.0</v>
      </c>
      <c r="C7447" s="44"/>
      <c r="D7447" s="46">
        <v>45747.0</v>
      </c>
      <c r="E7447" s="24" t="s">
        <v>6650</v>
      </c>
      <c r="F7447" s="24" t="s">
        <v>6650</v>
      </c>
      <c r="G7447" s="24" t="s">
        <v>6650</v>
      </c>
      <c r="H7447" s="24" t="s">
        <v>6728</v>
      </c>
      <c r="I7447" s="24" t="s">
        <v>6650</v>
      </c>
      <c r="J7447" s="24"/>
    </row>
    <row r="7448">
      <c r="A7448" s="24">
        <v>282.0</v>
      </c>
      <c r="B7448" s="24">
        <v>5.0</v>
      </c>
      <c r="C7448" s="44">
        <v>21.35</v>
      </c>
      <c r="D7448" s="46">
        <v>45747.0</v>
      </c>
      <c r="E7448" s="24">
        <v>4.27</v>
      </c>
      <c r="F7448" s="24">
        <v>75.71</v>
      </c>
      <c r="G7448" s="24">
        <v>1.77</v>
      </c>
      <c r="H7448" s="24" t="s">
        <v>6732</v>
      </c>
      <c r="I7448" s="24" t="s">
        <v>6650</v>
      </c>
      <c r="J7448" s="24">
        <v>0.0</v>
      </c>
    </row>
    <row r="7449">
      <c r="A7449" s="24">
        <v>109.0</v>
      </c>
      <c r="B7449" s="24">
        <v>0.0</v>
      </c>
      <c r="C7449" s="44">
        <v>23.34</v>
      </c>
      <c r="D7449" s="46">
        <v>45747.0</v>
      </c>
      <c r="E7449" s="24" t="s">
        <v>6650</v>
      </c>
      <c r="F7449" s="24">
        <v>214.13</v>
      </c>
      <c r="G7449" s="24">
        <v>0.0</v>
      </c>
      <c r="H7449" s="24" t="s">
        <v>6730</v>
      </c>
      <c r="I7449" s="24" t="s">
        <v>6650</v>
      </c>
      <c r="J7449" s="24">
        <v>0.0</v>
      </c>
    </row>
    <row r="7450">
      <c r="A7450" s="24">
        <v>0.0</v>
      </c>
      <c r="B7450" s="24">
        <v>0.0</v>
      </c>
      <c r="C7450" s="44"/>
      <c r="D7450" s="46">
        <v>45747.0</v>
      </c>
      <c r="E7450" s="24" t="s">
        <v>6650</v>
      </c>
      <c r="F7450" s="24" t="s">
        <v>6650</v>
      </c>
      <c r="G7450" s="24" t="s">
        <v>6650</v>
      </c>
      <c r="H7450" s="24" t="s">
        <v>6724</v>
      </c>
      <c r="I7450" s="24" t="s">
        <v>6650</v>
      </c>
      <c r="J7450" s="24"/>
    </row>
    <row r="7451">
      <c r="A7451" s="24">
        <v>142.0</v>
      </c>
      <c r="B7451" s="24">
        <v>3.0</v>
      </c>
      <c r="C7451" s="44">
        <v>24.92</v>
      </c>
      <c r="D7451" s="46">
        <v>45748.0</v>
      </c>
      <c r="E7451" s="24">
        <v>8.31</v>
      </c>
      <c r="F7451" s="24">
        <v>175.49</v>
      </c>
      <c r="G7451" s="24">
        <v>2.11</v>
      </c>
      <c r="H7451" s="24" t="s">
        <v>6730</v>
      </c>
      <c r="I7451" s="24" t="s">
        <v>6650</v>
      </c>
      <c r="J7451" s="24">
        <v>0.0</v>
      </c>
    </row>
    <row r="7452">
      <c r="A7452" s="24">
        <v>0.0</v>
      </c>
      <c r="B7452" s="24">
        <v>0.0</v>
      </c>
      <c r="C7452" s="44"/>
      <c r="D7452" s="46">
        <v>45748.0</v>
      </c>
      <c r="E7452" s="24" t="s">
        <v>6650</v>
      </c>
      <c r="F7452" s="24" t="s">
        <v>6650</v>
      </c>
      <c r="G7452" s="24" t="s">
        <v>6650</v>
      </c>
      <c r="H7452" s="24" t="s">
        <v>6727</v>
      </c>
      <c r="I7452" s="24" t="s">
        <v>6650</v>
      </c>
      <c r="J7452" s="24"/>
    </row>
    <row r="7453">
      <c r="A7453" s="24">
        <v>87.0</v>
      </c>
      <c r="B7453" s="24">
        <v>0.0</v>
      </c>
      <c r="C7453" s="44">
        <v>22.56</v>
      </c>
      <c r="D7453" s="46">
        <v>45748.0</v>
      </c>
      <c r="E7453" s="24" t="s">
        <v>6650</v>
      </c>
      <c r="F7453" s="24">
        <v>259.31</v>
      </c>
      <c r="G7453" s="24">
        <v>0.0</v>
      </c>
      <c r="H7453" s="24" t="s">
        <v>6725</v>
      </c>
      <c r="I7453" s="24">
        <v>1.33</v>
      </c>
      <c r="J7453" s="24">
        <v>0.0</v>
      </c>
    </row>
    <row r="7454">
      <c r="A7454" s="24">
        <v>467.0</v>
      </c>
      <c r="B7454" s="24">
        <v>13.0</v>
      </c>
      <c r="C7454" s="44">
        <v>21.5</v>
      </c>
      <c r="D7454" s="46">
        <v>45748.0</v>
      </c>
      <c r="E7454" s="24">
        <v>1.65</v>
      </c>
      <c r="F7454" s="24">
        <v>46.04</v>
      </c>
      <c r="G7454" s="24">
        <v>2.78</v>
      </c>
      <c r="H7454" s="24" t="s">
        <v>6732</v>
      </c>
      <c r="I7454" s="24" t="s">
        <v>6650</v>
      </c>
      <c r="J7454" s="24">
        <v>0.0</v>
      </c>
    </row>
    <row r="7455">
      <c r="A7455" s="24">
        <v>264.0</v>
      </c>
      <c r="B7455" s="24">
        <v>0.0</v>
      </c>
      <c r="C7455" s="44">
        <v>21.26</v>
      </c>
      <c r="D7455" s="46">
        <v>45748.0</v>
      </c>
      <c r="E7455" s="24" t="s">
        <v>6650</v>
      </c>
      <c r="F7455" s="24">
        <v>80.53</v>
      </c>
      <c r="G7455" s="24">
        <v>0.0</v>
      </c>
      <c r="H7455" s="24" t="s">
        <v>6731</v>
      </c>
      <c r="I7455" s="24" t="s">
        <v>6650</v>
      </c>
      <c r="J7455" s="24">
        <v>0.0</v>
      </c>
    </row>
    <row r="7456">
      <c r="A7456" s="24">
        <v>0.0</v>
      </c>
      <c r="B7456" s="24">
        <v>0.0</v>
      </c>
      <c r="C7456" s="44"/>
      <c r="D7456" s="46">
        <v>45748.0</v>
      </c>
      <c r="E7456" s="24" t="s">
        <v>6650</v>
      </c>
      <c r="F7456" s="24" t="s">
        <v>6650</v>
      </c>
      <c r="G7456" s="24" t="s">
        <v>6650</v>
      </c>
      <c r="H7456" s="24" t="s">
        <v>6724</v>
      </c>
      <c r="I7456" s="24" t="s">
        <v>6650</v>
      </c>
      <c r="J7456" s="24"/>
    </row>
    <row r="7457">
      <c r="A7457" s="24">
        <v>0.0</v>
      </c>
      <c r="B7457" s="24">
        <v>0.0</v>
      </c>
      <c r="C7457" s="44"/>
      <c r="D7457" s="46">
        <v>45748.0</v>
      </c>
      <c r="E7457" s="24" t="s">
        <v>6650</v>
      </c>
      <c r="F7457" s="24" t="s">
        <v>6650</v>
      </c>
      <c r="G7457" s="24" t="s">
        <v>6650</v>
      </c>
      <c r="H7457" s="24" t="s">
        <v>6728</v>
      </c>
      <c r="I7457" s="24" t="s">
        <v>6650</v>
      </c>
      <c r="J7457" s="24"/>
    </row>
    <row r="7458">
      <c r="A7458" s="24">
        <v>0.0</v>
      </c>
      <c r="B7458" s="24">
        <v>0.0</v>
      </c>
      <c r="C7458" s="44">
        <v>11.85</v>
      </c>
      <c r="D7458" s="46">
        <v>45748.0</v>
      </c>
      <c r="E7458" s="24" t="s">
        <v>6650</v>
      </c>
      <c r="F7458" s="24" t="s">
        <v>6650</v>
      </c>
      <c r="G7458" s="24" t="s">
        <v>6650</v>
      </c>
      <c r="H7458" s="24" t="s">
        <v>6702</v>
      </c>
      <c r="I7458" s="24" t="s">
        <v>6650</v>
      </c>
      <c r="J7458" s="24">
        <v>0.0</v>
      </c>
    </row>
    <row r="7459">
      <c r="A7459" s="24">
        <v>0.0</v>
      </c>
      <c r="B7459" s="24">
        <v>0.0</v>
      </c>
      <c r="C7459" s="44"/>
      <c r="D7459" s="46">
        <v>45748.0</v>
      </c>
      <c r="E7459" s="24" t="s">
        <v>6650</v>
      </c>
      <c r="F7459" s="24" t="s">
        <v>6650</v>
      </c>
      <c r="G7459" s="24" t="s">
        <v>6650</v>
      </c>
      <c r="H7459" s="24" t="s">
        <v>6720</v>
      </c>
      <c r="I7459" s="24" t="s">
        <v>6650</v>
      </c>
      <c r="J7459" s="24"/>
    </row>
    <row r="7460">
      <c r="A7460" s="24">
        <v>451.0</v>
      </c>
      <c r="B7460" s="24">
        <v>16.0</v>
      </c>
      <c r="C7460" s="44">
        <v>25.65</v>
      </c>
      <c r="D7460" s="46">
        <v>45748.0</v>
      </c>
      <c r="E7460" s="24">
        <v>1.6</v>
      </c>
      <c r="F7460" s="24">
        <v>56.87</v>
      </c>
      <c r="G7460" s="24">
        <v>3.55</v>
      </c>
      <c r="H7460" s="24" t="s">
        <v>6729</v>
      </c>
      <c r="I7460" s="24" t="s">
        <v>6650</v>
      </c>
      <c r="J7460" s="24">
        <v>0.0</v>
      </c>
    </row>
    <row r="7461">
      <c r="A7461" s="24">
        <v>0.0</v>
      </c>
      <c r="B7461" s="24">
        <v>0.0</v>
      </c>
      <c r="C7461" s="44">
        <v>11.13</v>
      </c>
      <c r="D7461" s="46">
        <v>45748.0</v>
      </c>
      <c r="E7461" s="24" t="s">
        <v>6650</v>
      </c>
      <c r="F7461" s="24" t="s">
        <v>6650</v>
      </c>
      <c r="G7461" s="24" t="s">
        <v>6650</v>
      </c>
      <c r="H7461" s="24" t="s">
        <v>6726</v>
      </c>
      <c r="I7461" s="24">
        <v>0.7</v>
      </c>
      <c r="J7461" s="24">
        <v>0.0</v>
      </c>
    </row>
    <row r="7462">
      <c r="A7462" s="24">
        <v>77.0</v>
      </c>
      <c r="B7462" s="24">
        <v>0.0</v>
      </c>
      <c r="C7462" s="44">
        <v>22.24</v>
      </c>
      <c r="D7462" s="46">
        <v>45749.0</v>
      </c>
      <c r="E7462" s="24" t="s">
        <v>6650</v>
      </c>
      <c r="F7462" s="24">
        <v>288.83</v>
      </c>
      <c r="G7462" s="24">
        <v>0.0</v>
      </c>
      <c r="H7462" s="24" t="s">
        <v>6725</v>
      </c>
      <c r="I7462" s="24">
        <v>3.71</v>
      </c>
      <c r="J7462" s="24">
        <v>0.0</v>
      </c>
    </row>
    <row r="7463">
      <c r="A7463" s="24">
        <v>101.0</v>
      </c>
      <c r="B7463" s="24">
        <v>0.0</v>
      </c>
      <c r="C7463" s="44">
        <v>25.37</v>
      </c>
      <c r="D7463" s="46">
        <v>45749.0</v>
      </c>
      <c r="E7463" s="24" t="s">
        <v>6650</v>
      </c>
      <c r="F7463" s="24">
        <v>251.19</v>
      </c>
      <c r="G7463" s="24">
        <v>0.0</v>
      </c>
      <c r="H7463" s="24" t="s">
        <v>6730</v>
      </c>
      <c r="I7463" s="24" t="s">
        <v>6650</v>
      </c>
      <c r="J7463" s="24">
        <v>0.0</v>
      </c>
    </row>
    <row r="7464">
      <c r="A7464" s="24">
        <v>0.0</v>
      </c>
      <c r="B7464" s="24">
        <v>0.0</v>
      </c>
      <c r="C7464" s="44">
        <v>11.75</v>
      </c>
      <c r="D7464" s="46">
        <v>45749.0</v>
      </c>
      <c r="E7464" s="24" t="s">
        <v>6650</v>
      </c>
      <c r="F7464" s="24" t="s">
        <v>6650</v>
      </c>
      <c r="G7464" s="24" t="s">
        <v>6650</v>
      </c>
      <c r="H7464" s="24" t="s">
        <v>6702</v>
      </c>
      <c r="I7464" s="24" t="s">
        <v>6650</v>
      </c>
      <c r="J7464" s="24">
        <v>0.0</v>
      </c>
    </row>
    <row r="7465">
      <c r="A7465" s="24">
        <v>0.0</v>
      </c>
      <c r="B7465" s="24">
        <v>0.0</v>
      </c>
      <c r="C7465" s="44"/>
      <c r="D7465" s="46">
        <v>45749.0</v>
      </c>
      <c r="E7465" s="24" t="s">
        <v>6650</v>
      </c>
      <c r="F7465" s="24" t="s">
        <v>6650</v>
      </c>
      <c r="G7465" s="24" t="s">
        <v>6650</v>
      </c>
      <c r="H7465" s="24" t="s">
        <v>6727</v>
      </c>
      <c r="I7465" s="24" t="s">
        <v>6650</v>
      </c>
      <c r="J7465" s="24"/>
    </row>
    <row r="7466">
      <c r="A7466" s="24">
        <v>0.0</v>
      </c>
      <c r="B7466" s="24">
        <v>0.0</v>
      </c>
      <c r="C7466" s="44"/>
      <c r="D7466" s="46">
        <v>45749.0</v>
      </c>
      <c r="E7466" s="24" t="s">
        <v>6650</v>
      </c>
      <c r="F7466" s="24" t="s">
        <v>6650</v>
      </c>
      <c r="G7466" s="24" t="s">
        <v>6650</v>
      </c>
      <c r="H7466" s="24" t="s">
        <v>6720</v>
      </c>
      <c r="I7466" s="24" t="s">
        <v>6650</v>
      </c>
      <c r="J7466" s="24"/>
    </row>
    <row r="7467">
      <c r="A7467" s="24">
        <v>0.0</v>
      </c>
      <c r="B7467" s="24">
        <v>0.0</v>
      </c>
      <c r="C7467" s="44">
        <v>11.2</v>
      </c>
      <c r="D7467" s="46">
        <v>45749.0</v>
      </c>
      <c r="E7467" s="24" t="s">
        <v>6650</v>
      </c>
      <c r="F7467" s="24" t="s">
        <v>6650</v>
      </c>
      <c r="G7467" s="24" t="s">
        <v>6650</v>
      </c>
      <c r="H7467" s="24" t="s">
        <v>6726</v>
      </c>
      <c r="I7467" s="24">
        <v>0.93</v>
      </c>
      <c r="J7467" s="24">
        <v>1.0</v>
      </c>
    </row>
    <row r="7468">
      <c r="A7468" s="24">
        <v>0.0</v>
      </c>
      <c r="B7468" s="24">
        <v>0.0</v>
      </c>
      <c r="C7468" s="44"/>
      <c r="D7468" s="46">
        <v>45749.0</v>
      </c>
      <c r="E7468" s="24" t="s">
        <v>6650</v>
      </c>
      <c r="F7468" s="24" t="s">
        <v>6650</v>
      </c>
      <c r="G7468" s="24" t="s">
        <v>6650</v>
      </c>
      <c r="H7468" s="24" t="s">
        <v>6728</v>
      </c>
      <c r="I7468" s="24" t="s">
        <v>6650</v>
      </c>
      <c r="J7468" s="24"/>
    </row>
    <row r="7469">
      <c r="A7469" s="24">
        <v>285.0</v>
      </c>
      <c r="B7469" s="24">
        <v>1.0</v>
      </c>
      <c r="C7469" s="44">
        <v>22.06</v>
      </c>
      <c r="D7469" s="46">
        <v>45749.0</v>
      </c>
      <c r="E7469" s="24">
        <v>22.06</v>
      </c>
      <c r="F7469" s="24">
        <v>77.4</v>
      </c>
      <c r="G7469" s="24">
        <v>0.35</v>
      </c>
      <c r="H7469" s="24" t="s">
        <v>6731</v>
      </c>
      <c r="I7469" s="24" t="s">
        <v>6650</v>
      </c>
      <c r="J7469" s="24">
        <v>0.0</v>
      </c>
    </row>
    <row r="7470">
      <c r="A7470" s="24">
        <v>0.0</v>
      </c>
      <c r="B7470" s="24">
        <v>0.0</v>
      </c>
      <c r="C7470" s="44"/>
      <c r="D7470" s="46">
        <v>45749.0</v>
      </c>
      <c r="E7470" s="24" t="s">
        <v>6650</v>
      </c>
      <c r="F7470" s="24" t="s">
        <v>6650</v>
      </c>
      <c r="G7470" s="24" t="s">
        <v>6650</v>
      </c>
      <c r="H7470" s="24" t="s">
        <v>6724</v>
      </c>
      <c r="I7470" s="24" t="s">
        <v>6650</v>
      </c>
      <c r="J7470" s="24"/>
    </row>
    <row r="7471">
      <c r="A7471" s="24">
        <v>374.0</v>
      </c>
      <c r="B7471" s="24">
        <v>14.0</v>
      </c>
      <c r="C7471" s="44">
        <v>26.71</v>
      </c>
      <c r="D7471" s="46">
        <v>45749.0</v>
      </c>
      <c r="E7471" s="24">
        <v>1.91</v>
      </c>
      <c r="F7471" s="24">
        <v>71.42</v>
      </c>
      <c r="G7471" s="24">
        <v>3.74</v>
      </c>
      <c r="H7471" s="24" t="s">
        <v>6729</v>
      </c>
      <c r="I7471" s="24" t="s">
        <v>6650</v>
      </c>
      <c r="J7471" s="24">
        <v>0.0</v>
      </c>
    </row>
    <row r="7472">
      <c r="A7472" s="24">
        <v>0.0</v>
      </c>
      <c r="B7472" s="24">
        <v>0.0</v>
      </c>
      <c r="C7472" s="44"/>
      <c r="D7472" s="46">
        <v>45750.0</v>
      </c>
      <c r="E7472" s="24" t="s">
        <v>6650</v>
      </c>
      <c r="F7472" s="24" t="s">
        <v>6650</v>
      </c>
      <c r="G7472" s="24" t="s">
        <v>6650</v>
      </c>
      <c r="H7472" s="24" t="s">
        <v>6720</v>
      </c>
      <c r="I7472" s="24" t="s">
        <v>6650</v>
      </c>
      <c r="J7472" s="24"/>
    </row>
    <row r="7473">
      <c r="A7473" s="24">
        <v>0.0</v>
      </c>
      <c r="B7473" s="24">
        <v>0.0</v>
      </c>
      <c r="C7473" s="44"/>
      <c r="D7473" s="46">
        <v>45750.0</v>
      </c>
      <c r="E7473" s="24" t="s">
        <v>6650</v>
      </c>
      <c r="F7473" s="24" t="s">
        <v>6650</v>
      </c>
      <c r="G7473" s="24" t="s">
        <v>6650</v>
      </c>
      <c r="H7473" s="24" t="s">
        <v>6724</v>
      </c>
      <c r="I7473" s="24" t="s">
        <v>6650</v>
      </c>
      <c r="J7473" s="24"/>
    </row>
    <row r="7474">
      <c r="A7474" s="24">
        <v>196.0</v>
      </c>
      <c r="B7474" s="24">
        <v>2.0</v>
      </c>
      <c r="C7474" s="44">
        <v>23.91</v>
      </c>
      <c r="D7474" s="46">
        <v>45750.0</v>
      </c>
      <c r="E7474" s="24">
        <v>11.96</v>
      </c>
      <c r="F7474" s="24">
        <v>121.99</v>
      </c>
      <c r="G7474" s="24">
        <v>1.02</v>
      </c>
      <c r="H7474" s="24" t="s">
        <v>6731</v>
      </c>
      <c r="I7474" s="24" t="s">
        <v>6650</v>
      </c>
      <c r="J7474" s="24">
        <v>0.0</v>
      </c>
    </row>
    <row r="7475">
      <c r="A7475" s="24">
        <v>0.0</v>
      </c>
      <c r="B7475" s="24">
        <v>0.0</v>
      </c>
      <c r="C7475" s="44">
        <v>12.51</v>
      </c>
      <c r="D7475" s="46">
        <v>45750.0</v>
      </c>
      <c r="E7475" s="24" t="s">
        <v>6650</v>
      </c>
      <c r="F7475" s="24" t="s">
        <v>6650</v>
      </c>
      <c r="G7475" s="24" t="s">
        <v>6650</v>
      </c>
      <c r="H7475" s="24" t="s">
        <v>6702</v>
      </c>
      <c r="I7475" s="24" t="s">
        <v>6650</v>
      </c>
      <c r="J7475" s="24">
        <v>0.0</v>
      </c>
    </row>
    <row r="7476">
      <c r="A7476" s="24">
        <v>0.0</v>
      </c>
      <c r="B7476" s="24">
        <v>0.0</v>
      </c>
      <c r="C7476" s="44"/>
      <c r="D7476" s="46">
        <v>45750.0</v>
      </c>
      <c r="E7476" s="24" t="s">
        <v>6650</v>
      </c>
      <c r="F7476" s="24" t="s">
        <v>6650</v>
      </c>
      <c r="G7476" s="24" t="s">
        <v>6650</v>
      </c>
      <c r="H7476" s="24" t="s">
        <v>6728</v>
      </c>
      <c r="I7476" s="24" t="s">
        <v>6650</v>
      </c>
      <c r="J7476" s="24"/>
    </row>
    <row r="7477">
      <c r="A7477" s="24">
        <v>0.0</v>
      </c>
      <c r="B7477" s="24">
        <v>0.0</v>
      </c>
      <c r="C7477" s="44"/>
      <c r="D7477" s="46">
        <v>45750.0</v>
      </c>
      <c r="E7477" s="24" t="s">
        <v>6650</v>
      </c>
      <c r="F7477" s="24" t="s">
        <v>6650</v>
      </c>
      <c r="G7477" s="24" t="s">
        <v>6650</v>
      </c>
      <c r="H7477" s="24" t="s">
        <v>6727</v>
      </c>
      <c r="I7477" s="24" t="s">
        <v>6650</v>
      </c>
      <c r="J7477" s="24"/>
    </row>
    <row r="7478">
      <c r="A7478" s="24">
        <v>0.0</v>
      </c>
      <c r="B7478" s="24">
        <v>0.0</v>
      </c>
      <c r="C7478" s="44">
        <v>11.88</v>
      </c>
      <c r="D7478" s="46">
        <v>45750.0</v>
      </c>
      <c r="E7478" s="24" t="s">
        <v>6650</v>
      </c>
      <c r="F7478" s="24" t="s">
        <v>6650</v>
      </c>
      <c r="G7478" s="24" t="s">
        <v>6650</v>
      </c>
      <c r="H7478" s="24" t="s">
        <v>6726</v>
      </c>
      <c r="I7478" s="24">
        <v>1.08</v>
      </c>
      <c r="J7478" s="24">
        <v>0.0</v>
      </c>
    </row>
    <row r="7479">
      <c r="A7479" s="24">
        <v>99.0</v>
      </c>
      <c r="B7479" s="24">
        <v>2.0</v>
      </c>
      <c r="C7479" s="44">
        <v>23.69</v>
      </c>
      <c r="D7479" s="46">
        <v>45750.0</v>
      </c>
      <c r="E7479" s="24">
        <v>11.84</v>
      </c>
      <c r="F7479" s="24">
        <v>239.29</v>
      </c>
      <c r="G7479" s="24">
        <v>2.02</v>
      </c>
      <c r="H7479" s="24" t="s">
        <v>6730</v>
      </c>
      <c r="I7479" s="24" t="s">
        <v>6650</v>
      </c>
      <c r="J7479" s="24">
        <v>0.0</v>
      </c>
    </row>
    <row r="7480">
      <c r="A7480" s="24">
        <v>570.0</v>
      </c>
      <c r="B7480" s="24">
        <v>16.0</v>
      </c>
      <c r="C7480" s="44">
        <v>25.62</v>
      </c>
      <c r="D7480" s="46">
        <v>45750.0</v>
      </c>
      <c r="E7480" s="24">
        <v>1.6</v>
      </c>
      <c r="F7480" s="24">
        <v>44.95</v>
      </c>
      <c r="G7480" s="24">
        <v>2.81</v>
      </c>
      <c r="H7480" s="24" t="s">
        <v>6729</v>
      </c>
      <c r="I7480" s="24" t="s">
        <v>6650</v>
      </c>
      <c r="J7480" s="24">
        <v>0.0</v>
      </c>
    </row>
    <row r="7481">
      <c r="A7481" s="24">
        <v>76.0</v>
      </c>
      <c r="B7481" s="24">
        <v>0.0</v>
      </c>
      <c r="C7481" s="44">
        <v>21.67</v>
      </c>
      <c r="D7481" s="46">
        <v>45750.0</v>
      </c>
      <c r="E7481" s="24" t="s">
        <v>6650</v>
      </c>
      <c r="F7481" s="24">
        <v>285.13</v>
      </c>
      <c r="G7481" s="24">
        <v>0.0</v>
      </c>
      <c r="H7481" s="24" t="s">
        <v>6725</v>
      </c>
      <c r="I7481" s="24">
        <v>5.42</v>
      </c>
      <c r="J7481" s="24">
        <v>0.0</v>
      </c>
    </row>
    <row r="7482">
      <c r="A7482" s="24">
        <v>64.0</v>
      </c>
      <c r="B7482" s="24">
        <v>0.0</v>
      </c>
      <c r="C7482" s="44">
        <v>19.59</v>
      </c>
      <c r="D7482" s="46">
        <v>45751.0</v>
      </c>
      <c r="E7482" s="24" t="s">
        <v>6650</v>
      </c>
      <c r="F7482" s="24">
        <v>306.09</v>
      </c>
      <c r="G7482" s="24">
        <v>0.0</v>
      </c>
      <c r="H7482" s="24" t="s">
        <v>6725</v>
      </c>
      <c r="I7482" s="24">
        <v>2.45</v>
      </c>
      <c r="J7482" s="24">
        <v>0.0</v>
      </c>
    </row>
    <row r="7483">
      <c r="A7483" s="24">
        <v>0.0</v>
      </c>
      <c r="B7483" s="24">
        <v>0.0</v>
      </c>
      <c r="C7483" s="44"/>
      <c r="D7483" s="46">
        <v>45751.0</v>
      </c>
      <c r="E7483" s="24" t="s">
        <v>6650</v>
      </c>
      <c r="F7483" s="24" t="s">
        <v>6650</v>
      </c>
      <c r="G7483" s="24" t="s">
        <v>6650</v>
      </c>
      <c r="H7483" s="24" t="s">
        <v>6727</v>
      </c>
      <c r="I7483" s="24" t="s">
        <v>6650</v>
      </c>
      <c r="J7483" s="24"/>
    </row>
    <row r="7484">
      <c r="A7484" s="24">
        <v>0.0</v>
      </c>
      <c r="B7484" s="24">
        <v>0.0</v>
      </c>
      <c r="C7484" s="44">
        <v>10.15</v>
      </c>
      <c r="D7484" s="46">
        <v>45751.0</v>
      </c>
      <c r="E7484" s="24" t="s">
        <v>6650</v>
      </c>
      <c r="F7484" s="24" t="s">
        <v>6650</v>
      </c>
      <c r="G7484" s="24" t="s">
        <v>6650</v>
      </c>
      <c r="H7484" s="24" t="s">
        <v>6702</v>
      </c>
      <c r="I7484" s="24" t="s">
        <v>6650</v>
      </c>
      <c r="J7484" s="24">
        <v>0.0</v>
      </c>
    </row>
    <row r="7485">
      <c r="A7485" s="24">
        <v>0.0</v>
      </c>
      <c r="B7485" s="24">
        <v>0.0</v>
      </c>
      <c r="C7485" s="44">
        <v>10.51</v>
      </c>
      <c r="D7485" s="46">
        <v>45751.0</v>
      </c>
      <c r="E7485" s="24" t="s">
        <v>6650</v>
      </c>
      <c r="F7485" s="24" t="s">
        <v>6650</v>
      </c>
      <c r="G7485" s="24" t="s">
        <v>6650</v>
      </c>
      <c r="H7485" s="24" t="s">
        <v>6726</v>
      </c>
      <c r="I7485" s="24">
        <v>1.31</v>
      </c>
      <c r="J7485" s="24">
        <v>0.0</v>
      </c>
    </row>
    <row r="7486">
      <c r="A7486" s="24">
        <v>156.0</v>
      </c>
      <c r="B7486" s="24">
        <v>0.0</v>
      </c>
      <c r="C7486" s="44">
        <v>19.01</v>
      </c>
      <c r="D7486" s="46">
        <v>45751.0</v>
      </c>
      <c r="E7486" s="24" t="s">
        <v>6650</v>
      </c>
      <c r="F7486" s="24">
        <v>121.86</v>
      </c>
      <c r="G7486" s="24">
        <v>0.0</v>
      </c>
      <c r="H7486" s="24" t="s">
        <v>6731</v>
      </c>
      <c r="I7486" s="24" t="s">
        <v>6650</v>
      </c>
      <c r="J7486" s="24">
        <v>0.0</v>
      </c>
    </row>
    <row r="7487">
      <c r="A7487" s="24">
        <v>0.0</v>
      </c>
      <c r="B7487" s="24">
        <v>0.0</v>
      </c>
      <c r="C7487" s="44"/>
      <c r="D7487" s="46">
        <v>45751.0</v>
      </c>
      <c r="E7487" s="24" t="s">
        <v>6650</v>
      </c>
      <c r="F7487" s="24" t="s">
        <v>6650</v>
      </c>
      <c r="G7487" s="24" t="s">
        <v>6650</v>
      </c>
      <c r="H7487" s="24" t="s">
        <v>6720</v>
      </c>
      <c r="I7487" s="24" t="s">
        <v>6650</v>
      </c>
      <c r="J7487" s="24"/>
    </row>
    <row r="7488">
      <c r="A7488" s="24">
        <v>0.0</v>
      </c>
      <c r="B7488" s="24">
        <v>0.0</v>
      </c>
      <c r="C7488" s="44"/>
      <c r="D7488" s="46">
        <v>45751.0</v>
      </c>
      <c r="E7488" s="24" t="s">
        <v>6650</v>
      </c>
      <c r="F7488" s="24" t="s">
        <v>6650</v>
      </c>
      <c r="G7488" s="24" t="s">
        <v>6650</v>
      </c>
      <c r="H7488" s="24" t="s">
        <v>6728</v>
      </c>
      <c r="I7488" s="24" t="s">
        <v>6650</v>
      </c>
      <c r="J7488" s="24"/>
    </row>
    <row r="7489">
      <c r="A7489" s="24">
        <v>93.0</v>
      </c>
      <c r="B7489" s="24">
        <v>1.0</v>
      </c>
      <c r="C7489" s="44">
        <v>22.65</v>
      </c>
      <c r="D7489" s="46">
        <v>45751.0</v>
      </c>
      <c r="E7489" s="24">
        <v>22.65</v>
      </c>
      <c r="F7489" s="24">
        <v>243.55</v>
      </c>
      <c r="G7489" s="24">
        <v>1.08</v>
      </c>
      <c r="H7489" s="24" t="s">
        <v>6730</v>
      </c>
      <c r="I7489" s="24" t="s">
        <v>6650</v>
      </c>
      <c r="J7489" s="24">
        <v>0.0</v>
      </c>
    </row>
    <row r="7490">
      <c r="A7490" s="24">
        <v>479.0</v>
      </c>
      <c r="B7490" s="24">
        <v>12.0</v>
      </c>
      <c r="C7490" s="44">
        <v>24.33</v>
      </c>
      <c r="D7490" s="46">
        <v>45751.0</v>
      </c>
      <c r="E7490" s="24">
        <v>2.03</v>
      </c>
      <c r="F7490" s="24">
        <v>50.79</v>
      </c>
      <c r="G7490" s="24">
        <v>2.51</v>
      </c>
      <c r="H7490" s="24" t="s">
        <v>6729</v>
      </c>
      <c r="I7490" s="24" t="s">
        <v>6650</v>
      </c>
      <c r="J7490" s="24">
        <v>0.0</v>
      </c>
    </row>
    <row r="7491">
      <c r="A7491" s="24">
        <v>0.0</v>
      </c>
      <c r="B7491" s="24">
        <v>0.0</v>
      </c>
      <c r="C7491" s="44"/>
      <c r="D7491" s="46">
        <v>45751.0</v>
      </c>
      <c r="E7491" s="24" t="s">
        <v>6650</v>
      </c>
      <c r="F7491" s="24" t="s">
        <v>6650</v>
      </c>
      <c r="G7491" s="24" t="s">
        <v>6650</v>
      </c>
      <c r="H7491" s="24" t="s">
        <v>6724</v>
      </c>
      <c r="I7491" s="24" t="s">
        <v>6650</v>
      </c>
      <c r="J7491" s="24"/>
    </row>
    <row r="7492">
      <c r="A7492" s="24">
        <v>58.0</v>
      </c>
      <c r="B7492" s="24">
        <v>0.0</v>
      </c>
      <c r="C7492" s="44">
        <v>15.92</v>
      </c>
      <c r="D7492" s="46">
        <v>45752.0</v>
      </c>
      <c r="E7492" s="24" t="s">
        <v>6650</v>
      </c>
      <c r="F7492" s="24">
        <v>274.48</v>
      </c>
      <c r="G7492" s="24">
        <v>0.0</v>
      </c>
      <c r="H7492" s="24" t="s">
        <v>6730</v>
      </c>
      <c r="I7492" s="24" t="s">
        <v>6650</v>
      </c>
      <c r="J7492" s="24">
        <v>0.0</v>
      </c>
    </row>
    <row r="7493">
      <c r="A7493" s="24">
        <v>0.0</v>
      </c>
      <c r="B7493" s="24">
        <v>0.0</v>
      </c>
      <c r="C7493" s="44">
        <v>7.05</v>
      </c>
      <c r="D7493" s="46">
        <v>45752.0</v>
      </c>
      <c r="E7493" s="24" t="s">
        <v>6650</v>
      </c>
      <c r="F7493" s="24" t="s">
        <v>6650</v>
      </c>
      <c r="G7493" s="24" t="s">
        <v>6650</v>
      </c>
      <c r="H7493" s="24" t="s">
        <v>6702</v>
      </c>
      <c r="I7493" s="24" t="s">
        <v>6650</v>
      </c>
      <c r="J7493" s="24">
        <v>0.0</v>
      </c>
    </row>
    <row r="7494">
      <c r="A7494" s="24">
        <v>0.0</v>
      </c>
      <c r="B7494" s="24">
        <v>0.0</v>
      </c>
      <c r="C7494" s="44">
        <v>6.8</v>
      </c>
      <c r="D7494" s="46">
        <v>45752.0</v>
      </c>
      <c r="E7494" s="24" t="s">
        <v>6650</v>
      </c>
      <c r="F7494" s="24" t="s">
        <v>6650</v>
      </c>
      <c r="G7494" s="24" t="s">
        <v>6650</v>
      </c>
      <c r="H7494" s="24" t="s">
        <v>6726</v>
      </c>
      <c r="I7494" s="24">
        <v>3.4</v>
      </c>
      <c r="J7494" s="24">
        <v>0.0</v>
      </c>
    </row>
    <row r="7495">
      <c r="A7495" s="24">
        <v>38.0</v>
      </c>
      <c r="B7495" s="24">
        <v>0.0</v>
      </c>
      <c r="C7495" s="44">
        <v>14.19</v>
      </c>
      <c r="D7495" s="46">
        <v>45752.0</v>
      </c>
      <c r="E7495" s="24" t="s">
        <v>6650</v>
      </c>
      <c r="F7495" s="24">
        <v>373.42</v>
      </c>
      <c r="G7495" s="24">
        <v>0.0</v>
      </c>
      <c r="H7495" s="24" t="s">
        <v>6725</v>
      </c>
      <c r="I7495" s="24">
        <v>7.1</v>
      </c>
      <c r="J7495" s="24">
        <v>0.0</v>
      </c>
    </row>
    <row r="7496">
      <c r="A7496" s="24">
        <v>527.0</v>
      </c>
      <c r="B7496" s="24">
        <v>9.0</v>
      </c>
      <c r="C7496" s="44">
        <v>16.87</v>
      </c>
      <c r="D7496" s="46">
        <v>45752.0</v>
      </c>
      <c r="E7496" s="24">
        <v>1.87</v>
      </c>
      <c r="F7496" s="24">
        <v>32.01</v>
      </c>
      <c r="G7496" s="24">
        <v>1.71</v>
      </c>
      <c r="H7496" s="24" t="s">
        <v>6729</v>
      </c>
      <c r="I7496" s="24" t="s">
        <v>6650</v>
      </c>
      <c r="J7496" s="24">
        <v>0.0</v>
      </c>
    </row>
    <row r="7497">
      <c r="A7497" s="24">
        <v>0.0</v>
      </c>
      <c r="B7497" s="24">
        <v>0.0</v>
      </c>
      <c r="C7497" s="44"/>
      <c r="D7497" s="46">
        <v>45752.0</v>
      </c>
      <c r="E7497" s="24" t="s">
        <v>6650</v>
      </c>
      <c r="F7497" s="24" t="s">
        <v>6650</v>
      </c>
      <c r="G7497" s="24" t="s">
        <v>6650</v>
      </c>
      <c r="H7497" s="24" t="s">
        <v>6720</v>
      </c>
      <c r="I7497" s="24" t="s">
        <v>6650</v>
      </c>
      <c r="J7497" s="24"/>
    </row>
    <row r="7498">
      <c r="A7498" s="24">
        <v>0.0</v>
      </c>
      <c r="B7498" s="24">
        <v>0.0</v>
      </c>
      <c r="C7498" s="44"/>
      <c r="D7498" s="46">
        <v>45752.0</v>
      </c>
      <c r="E7498" s="24" t="s">
        <v>6650</v>
      </c>
      <c r="F7498" s="24" t="s">
        <v>6650</v>
      </c>
      <c r="G7498" s="24" t="s">
        <v>6650</v>
      </c>
      <c r="H7498" s="24" t="s">
        <v>6728</v>
      </c>
      <c r="I7498" s="24" t="s">
        <v>6650</v>
      </c>
      <c r="J7498" s="24"/>
    </row>
    <row r="7499">
      <c r="A7499" s="24">
        <v>0.0</v>
      </c>
      <c r="B7499" s="24">
        <v>0.0</v>
      </c>
      <c r="C7499" s="44"/>
      <c r="D7499" s="46">
        <v>45752.0</v>
      </c>
      <c r="E7499" s="24" t="s">
        <v>6650</v>
      </c>
      <c r="F7499" s="24" t="s">
        <v>6650</v>
      </c>
      <c r="G7499" s="24" t="s">
        <v>6650</v>
      </c>
      <c r="H7499" s="24" t="s">
        <v>6724</v>
      </c>
      <c r="I7499" s="24" t="s">
        <v>6650</v>
      </c>
      <c r="J7499" s="24"/>
    </row>
    <row r="7500">
      <c r="A7500" s="24">
        <v>137.0</v>
      </c>
      <c r="B7500" s="24">
        <v>0.0</v>
      </c>
      <c r="C7500" s="44">
        <v>14.3</v>
      </c>
      <c r="D7500" s="46">
        <v>45752.0</v>
      </c>
      <c r="E7500" s="24" t="s">
        <v>6650</v>
      </c>
      <c r="F7500" s="24">
        <v>104.38</v>
      </c>
      <c r="G7500" s="24">
        <v>0.0</v>
      </c>
      <c r="H7500" s="24" t="s">
        <v>6731</v>
      </c>
      <c r="I7500" s="24" t="s">
        <v>6650</v>
      </c>
      <c r="J7500" s="24">
        <v>0.0</v>
      </c>
    </row>
    <row r="7501">
      <c r="A7501" s="24">
        <v>0.0</v>
      </c>
      <c r="B7501" s="24">
        <v>0.0</v>
      </c>
      <c r="C7501" s="44"/>
      <c r="D7501" s="46">
        <v>45753.0</v>
      </c>
      <c r="E7501" s="24" t="s">
        <v>6650</v>
      </c>
      <c r="F7501" s="24" t="s">
        <v>6650</v>
      </c>
      <c r="G7501" s="24" t="s">
        <v>6650</v>
      </c>
      <c r="H7501" s="24" t="s">
        <v>6724</v>
      </c>
      <c r="I7501" s="24" t="s">
        <v>6650</v>
      </c>
      <c r="J7501" s="24"/>
    </row>
    <row r="7502">
      <c r="A7502" s="24">
        <v>0.0</v>
      </c>
      <c r="B7502" s="24">
        <v>0.0</v>
      </c>
      <c r="C7502" s="44"/>
      <c r="D7502" s="46">
        <v>45753.0</v>
      </c>
      <c r="E7502" s="24" t="s">
        <v>6650</v>
      </c>
      <c r="F7502" s="24" t="s">
        <v>6650</v>
      </c>
      <c r="G7502" s="24" t="s">
        <v>6650</v>
      </c>
      <c r="H7502" s="24" t="s">
        <v>6720</v>
      </c>
      <c r="I7502" s="24" t="s">
        <v>6650</v>
      </c>
      <c r="J7502" s="24"/>
    </row>
    <row r="7503">
      <c r="A7503" s="24">
        <v>0.0</v>
      </c>
      <c r="B7503" s="24">
        <v>0.0</v>
      </c>
      <c r="C7503" s="44"/>
      <c r="D7503" s="46">
        <v>45753.0</v>
      </c>
      <c r="E7503" s="24" t="s">
        <v>6650</v>
      </c>
      <c r="F7503" s="24" t="s">
        <v>6650</v>
      </c>
      <c r="G7503" s="24" t="s">
        <v>6650</v>
      </c>
      <c r="H7503" s="24" t="s">
        <v>6728</v>
      </c>
      <c r="I7503" s="24" t="s">
        <v>6650</v>
      </c>
      <c r="J7503" s="24"/>
    </row>
    <row r="7504">
      <c r="A7504" s="24">
        <v>0.0</v>
      </c>
      <c r="B7504" s="24">
        <v>0.0</v>
      </c>
      <c r="C7504" s="44">
        <v>5.26</v>
      </c>
      <c r="D7504" s="46">
        <v>45753.0</v>
      </c>
      <c r="E7504" s="24" t="s">
        <v>6650</v>
      </c>
      <c r="F7504" s="24" t="s">
        <v>6650</v>
      </c>
      <c r="G7504" s="24" t="s">
        <v>6650</v>
      </c>
      <c r="H7504" s="24" t="s">
        <v>6726</v>
      </c>
      <c r="I7504" s="24">
        <v>2.63</v>
      </c>
      <c r="J7504" s="24">
        <v>0.0</v>
      </c>
    </row>
    <row r="7505">
      <c r="A7505" s="24">
        <v>87.0</v>
      </c>
      <c r="B7505" s="24">
        <v>0.0</v>
      </c>
      <c r="C7505" s="44">
        <v>11.88</v>
      </c>
      <c r="D7505" s="46">
        <v>45753.0</v>
      </c>
      <c r="E7505" s="24" t="s">
        <v>6650</v>
      </c>
      <c r="F7505" s="24">
        <v>136.55</v>
      </c>
      <c r="G7505" s="24">
        <v>0.0</v>
      </c>
      <c r="H7505" s="24" t="s">
        <v>6731</v>
      </c>
      <c r="I7505" s="24" t="s">
        <v>6650</v>
      </c>
      <c r="J7505" s="24">
        <v>0.0</v>
      </c>
    </row>
    <row r="7506">
      <c r="A7506" s="24">
        <v>31.0</v>
      </c>
      <c r="B7506" s="24">
        <v>1.0</v>
      </c>
      <c r="C7506" s="44">
        <v>11.48</v>
      </c>
      <c r="D7506" s="46">
        <v>45753.0</v>
      </c>
      <c r="E7506" s="24">
        <v>11.48</v>
      </c>
      <c r="F7506" s="24">
        <v>370.32</v>
      </c>
      <c r="G7506" s="24">
        <v>3.23</v>
      </c>
      <c r="H7506" s="24" t="s">
        <v>6725</v>
      </c>
      <c r="I7506" s="24">
        <v>2.87</v>
      </c>
      <c r="J7506" s="24">
        <v>0.0</v>
      </c>
    </row>
    <row r="7507">
      <c r="A7507" s="24">
        <v>0.0</v>
      </c>
      <c r="B7507" s="24">
        <v>0.0</v>
      </c>
      <c r="C7507" s="44">
        <v>4.89</v>
      </c>
      <c r="D7507" s="46">
        <v>45753.0</v>
      </c>
      <c r="E7507" s="24" t="s">
        <v>6650</v>
      </c>
      <c r="F7507" s="24" t="s">
        <v>6650</v>
      </c>
      <c r="G7507" s="24" t="s">
        <v>6650</v>
      </c>
      <c r="H7507" s="24" t="s">
        <v>6702</v>
      </c>
      <c r="I7507" s="24" t="s">
        <v>6650</v>
      </c>
      <c r="J7507" s="24">
        <v>0.0</v>
      </c>
    </row>
    <row r="7508">
      <c r="A7508" s="24">
        <v>0.0</v>
      </c>
      <c r="B7508" s="24">
        <v>0.0</v>
      </c>
      <c r="C7508" s="44"/>
      <c r="D7508" s="46">
        <v>45753.0</v>
      </c>
      <c r="E7508" s="24" t="s">
        <v>6650</v>
      </c>
      <c r="F7508" s="24" t="s">
        <v>6650</v>
      </c>
      <c r="G7508" s="24" t="s">
        <v>6650</v>
      </c>
      <c r="H7508" s="24" t="s">
        <v>6727</v>
      </c>
      <c r="I7508" s="24" t="s">
        <v>6650</v>
      </c>
      <c r="J7508" s="24"/>
    </row>
    <row r="7509">
      <c r="A7509" s="24">
        <v>465.0</v>
      </c>
      <c r="B7509" s="24">
        <v>5.0</v>
      </c>
      <c r="C7509" s="44">
        <v>15.83</v>
      </c>
      <c r="D7509" s="46">
        <v>45753.0</v>
      </c>
      <c r="E7509" s="24">
        <v>3.17</v>
      </c>
      <c r="F7509" s="24">
        <v>34.04</v>
      </c>
      <c r="G7509" s="24">
        <v>1.08</v>
      </c>
      <c r="H7509" s="24" t="s">
        <v>6729</v>
      </c>
      <c r="I7509" s="24" t="s">
        <v>6650</v>
      </c>
      <c r="J7509" s="24">
        <v>0.0</v>
      </c>
    </row>
    <row r="7510">
      <c r="A7510" s="24">
        <v>45.0</v>
      </c>
      <c r="B7510" s="24">
        <v>1.0</v>
      </c>
      <c r="C7510" s="44">
        <v>12.51</v>
      </c>
      <c r="D7510" s="46">
        <v>45753.0</v>
      </c>
      <c r="E7510" s="24">
        <v>12.51</v>
      </c>
      <c r="F7510" s="24">
        <v>278.0</v>
      </c>
      <c r="G7510" s="24">
        <v>2.22</v>
      </c>
      <c r="H7510" s="24" t="s">
        <v>6730</v>
      </c>
      <c r="I7510" s="24" t="s">
        <v>6650</v>
      </c>
      <c r="J7510" s="24">
        <v>0.0</v>
      </c>
    </row>
    <row r="7511">
      <c r="A7511" s="24">
        <v>0.0</v>
      </c>
      <c r="B7511" s="24">
        <v>0.0</v>
      </c>
      <c r="C7511" s="44"/>
      <c r="D7511" s="46">
        <v>45754.0</v>
      </c>
      <c r="E7511" s="24" t="s">
        <v>6650</v>
      </c>
      <c r="F7511" s="24" t="s">
        <v>6650</v>
      </c>
      <c r="G7511" s="24" t="s">
        <v>6650</v>
      </c>
      <c r="H7511" s="24" t="s">
        <v>6724</v>
      </c>
      <c r="I7511" s="24" t="s">
        <v>6650</v>
      </c>
      <c r="J7511" s="24"/>
    </row>
    <row r="7512">
      <c r="A7512" s="24">
        <v>724.0</v>
      </c>
      <c r="B7512" s="24">
        <v>5.0</v>
      </c>
      <c r="C7512" s="44">
        <v>24.78</v>
      </c>
      <c r="D7512" s="46">
        <v>45754.0</v>
      </c>
      <c r="E7512" s="24">
        <v>4.96</v>
      </c>
      <c r="F7512" s="24">
        <v>34.23</v>
      </c>
      <c r="G7512" s="24">
        <v>0.69</v>
      </c>
      <c r="H7512" s="24" t="s">
        <v>6729</v>
      </c>
      <c r="I7512" s="24" t="s">
        <v>6650</v>
      </c>
      <c r="J7512" s="24">
        <v>0.0</v>
      </c>
    </row>
    <row r="7513">
      <c r="A7513" s="24">
        <v>0.0</v>
      </c>
      <c r="B7513" s="24">
        <v>0.0</v>
      </c>
      <c r="C7513" s="44">
        <v>11.59</v>
      </c>
      <c r="D7513" s="46">
        <v>45754.0</v>
      </c>
      <c r="E7513" s="24" t="s">
        <v>6650</v>
      </c>
      <c r="F7513" s="24" t="s">
        <v>6650</v>
      </c>
      <c r="G7513" s="24" t="s">
        <v>6650</v>
      </c>
      <c r="H7513" s="24" t="s">
        <v>6702</v>
      </c>
      <c r="I7513" s="24" t="s">
        <v>6650</v>
      </c>
      <c r="J7513" s="24">
        <v>0.0</v>
      </c>
    </row>
    <row r="7514">
      <c r="A7514" s="24">
        <v>0.0</v>
      </c>
      <c r="B7514" s="24">
        <v>0.0</v>
      </c>
      <c r="C7514" s="44"/>
      <c r="D7514" s="46">
        <v>45754.0</v>
      </c>
      <c r="E7514" s="24" t="s">
        <v>6650</v>
      </c>
      <c r="F7514" s="24" t="s">
        <v>6650</v>
      </c>
      <c r="G7514" s="24" t="s">
        <v>6650</v>
      </c>
      <c r="H7514" s="24" t="s">
        <v>6728</v>
      </c>
      <c r="I7514" s="24" t="s">
        <v>6650</v>
      </c>
      <c r="J7514" s="24"/>
    </row>
    <row r="7515">
      <c r="A7515" s="24">
        <v>69.0</v>
      </c>
      <c r="B7515" s="24">
        <v>0.0</v>
      </c>
      <c r="C7515" s="44">
        <v>21.86</v>
      </c>
      <c r="D7515" s="46">
        <v>45754.0</v>
      </c>
      <c r="E7515" s="24" t="s">
        <v>6650</v>
      </c>
      <c r="F7515" s="24">
        <v>316.81</v>
      </c>
      <c r="G7515" s="24">
        <v>0.0</v>
      </c>
      <c r="H7515" s="24" t="s">
        <v>6725</v>
      </c>
      <c r="I7515" s="24">
        <v>1.21</v>
      </c>
      <c r="J7515" s="24">
        <v>0.0</v>
      </c>
    </row>
    <row r="7516">
      <c r="A7516" s="24">
        <v>0.0</v>
      </c>
      <c r="B7516" s="24">
        <v>0.0</v>
      </c>
      <c r="C7516" s="44"/>
      <c r="D7516" s="46">
        <v>45754.0</v>
      </c>
      <c r="E7516" s="24" t="s">
        <v>6650</v>
      </c>
      <c r="F7516" s="24" t="s">
        <v>6650</v>
      </c>
      <c r="G7516" s="24" t="s">
        <v>6650</v>
      </c>
      <c r="H7516" s="24" t="s">
        <v>6727</v>
      </c>
      <c r="I7516" s="24" t="s">
        <v>6650</v>
      </c>
      <c r="J7516" s="24"/>
    </row>
    <row r="7517">
      <c r="A7517" s="24">
        <v>75.0</v>
      </c>
      <c r="B7517" s="24">
        <v>0.0</v>
      </c>
      <c r="C7517" s="44">
        <v>25.3</v>
      </c>
      <c r="D7517" s="46">
        <v>45754.0</v>
      </c>
      <c r="E7517" s="24" t="s">
        <v>6650</v>
      </c>
      <c r="F7517" s="24">
        <v>337.33</v>
      </c>
      <c r="G7517" s="24">
        <v>0.0</v>
      </c>
      <c r="H7517" s="24" t="s">
        <v>6730</v>
      </c>
      <c r="I7517" s="24" t="s">
        <v>6650</v>
      </c>
      <c r="J7517" s="24">
        <v>0.0</v>
      </c>
    </row>
    <row r="7518">
      <c r="A7518" s="24">
        <v>146.0</v>
      </c>
      <c r="B7518" s="24">
        <v>0.0</v>
      </c>
      <c r="C7518" s="44">
        <v>23.65</v>
      </c>
      <c r="D7518" s="46">
        <v>45754.0</v>
      </c>
      <c r="E7518" s="24" t="s">
        <v>6650</v>
      </c>
      <c r="F7518" s="24">
        <v>161.99</v>
      </c>
      <c r="G7518" s="24">
        <v>0.0</v>
      </c>
      <c r="H7518" s="24" t="s">
        <v>6731</v>
      </c>
      <c r="I7518" s="24" t="s">
        <v>6650</v>
      </c>
      <c r="J7518" s="24">
        <v>0.0</v>
      </c>
    </row>
    <row r="7519">
      <c r="A7519" s="24">
        <v>0.0</v>
      </c>
      <c r="B7519" s="24">
        <v>0.0</v>
      </c>
      <c r="C7519" s="44">
        <v>10.84</v>
      </c>
      <c r="D7519" s="46">
        <v>45754.0</v>
      </c>
      <c r="E7519" s="24" t="s">
        <v>6650</v>
      </c>
      <c r="F7519" s="24" t="s">
        <v>6650</v>
      </c>
      <c r="G7519" s="24" t="s">
        <v>6650</v>
      </c>
      <c r="H7519" s="24" t="s">
        <v>6726</v>
      </c>
      <c r="I7519" s="24">
        <v>0.6</v>
      </c>
      <c r="J7519" s="24">
        <v>0.0</v>
      </c>
    </row>
    <row r="7520">
      <c r="A7520" s="24">
        <v>0.0</v>
      </c>
      <c r="B7520" s="24">
        <v>0.0</v>
      </c>
      <c r="C7520" s="44"/>
      <c r="D7520" s="46">
        <v>45754.0</v>
      </c>
      <c r="E7520" s="24" t="s">
        <v>6650</v>
      </c>
      <c r="F7520" s="24" t="s">
        <v>6650</v>
      </c>
      <c r="G7520" s="24" t="s">
        <v>6650</v>
      </c>
      <c r="H7520" s="24" t="s">
        <v>6720</v>
      </c>
      <c r="I7520" s="24" t="s">
        <v>6650</v>
      </c>
      <c r="J7520" s="24"/>
    </row>
    <row r="7521">
      <c r="A7521" s="24">
        <v>682.0</v>
      </c>
      <c r="B7521" s="24">
        <v>11.0</v>
      </c>
      <c r="C7521" s="44">
        <v>27.03</v>
      </c>
      <c r="D7521" s="46">
        <v>45755.0</v>
      </c>
      <c r="E7521" s="24">
        <v>2.46</v>
      </c>
      <c r="F7521" s="24">
        <v>39.63</v>
      </c>
      <c r="G7521" s="24">
        <v>1.61</v>
      </c>
      <c r="H7521" s="24" t="s">
        <v>6729</v>
      </c>
      <c r="I7521" s="24" t="s">
        <v>6650</v>
      </c>
      <c r="J7521" s="24">
        <v>0.0</v>
      </c>
    </row>
    <row r="7522">
      <c r="A7522" s="24">
        <v>98.0</v>
      </c>
      <c r="B7522" s="24">
        <v>0.0</v>
      </c>
      <c r="C7522" s="44">
        <v>25.32</v>
      </c>
      <c r="D7522" s="46">
        <v>45755.0</v>
      </c>
      <c r="E7522" s="24" t="s">
        <v>6650</v>
      </c>
      <c r="F7522" s="24">
        <v>258.37</v>
      </c>
      <c r="G7522" s="24">
        <v>0.0</v>
      </c>
      <c r="H7522" s="24" t="s">
        <v>6730</v>
      </c>
      <c r="I7522" s="24" t="s">
        <v>6650</v>
      </c>
      <c r="J7522" s="24">
        <v>0.0</v>
      </c>
    </row>
    <row r="7523">
      <c r="A7523" s="24">
        <v>0.0</v>
      </c>
      <c r="B7523" s="24">
        <v>0.0</v>
      </c>
      <c r="C7523" s="44"/>
      <c r="D7523" s="46">
        <v>45755.0</v>
      </c>
      <c r="E7523" s="24" t="s">
        <v>6650</v>
      </c>
      <c r="F7523" s="24" t="s">
        <v>6650</v>
      </c>
      <c r="G7523" s="24" t="s">
        <v>6650</v>
      </c>
      <c r="H7523" s="24" t="s">
        <v>6727</v>
      </c>
      <c r="I7523" s="24" t="s">
        <v>6650</v>
      </c>
      <c r="J7523" s="24"/>
    </row>
    <row r="7524">
      <c r="A7524" s="24">
        <v>72.0</v>
      </c>
      <c r="B7524" s="24">
        <v>0.0</v>
      </c>
      <c r="C7524" s="44">
        <v>22.36</v>
      </c>
      <c r="D7524" s="46">
        <v>45755.0</v>
      </c>
      <c r="E7524" s="24" t="s">
        <v>6650</v>
      </c>
      <c r="F7524" s="24">
        <v>310.56</v>
      </c>
      <c r="G7524" s="24">
        <v>0.0</v>
      </c>
      <c r="H7524" s="24" t="s">
        <v>6725</v>
      </c>
      <c r="I7524" s="24">
        <v>3.73</v>
      </c>
      <c r="J7524" s="24">
        <v>0.0</v>
      </c>
    </row>
    <row r="7525">
      <c r="A7525" s="24">
        <v>0.0</v>
      </c>
      <c r="B7525" s="24">
        <v>0.0</v>
      </c>
      <c r="C7525" s="44"/>
      <c r="D7525" s="46">
        <v>45755.0</v>
      </c>
      <c r="E7525" s="24" t="s">
        <v>6650</v>
      </c>
      <c r="F7525" s="24" t="s">
        <v>6650</v>
      </c>
      <c r="G7525" s="24" t="s">
        <v>6650</v>
      </c>
      <c r="H7525" s="24" t="s">
        <v>6720</v>
      </c>
      <c r="I7525" s="24" t="s">
        <v>6650</v>
      </c>
      <c r="J7525" s="24"/>
    </row>
    <row r="7526">
      <c r="A7526" s="24">
        <v>0.0</v>
      </c>
      <c r="B7526" s="24">
        <v>0.0</v>
      </c>
      <c r="C7526" s="44"/>
      <c r="D7526" s="46">
        <v>45755.0</v>
      </c>
      <c r="E7526" s="24" t="s">
        <v>6650</v>
      </c>
      <c r="F7526" s="24" t="s">
        <v>6650</v>
      </c>
      <c r="G7526" s="24" t="s">
        <v>6650</v>
      </c>
      <c r="H7526" s="24" t="s">
        <v>6728</v>
      </c>
      <c r="I7526" s="24" t="s">
        <v>6650</v>
      </c>
      <c r="J7526" s="24"/>
    </row>
    <row r="7527">
      <c r="A7527" s="24">
        <v>0.0</v>
      </c>
      <c r="B7527" s="24">
        <v>0.0</v>
      </c>
      <c r="C7527" s="44"/>
      <c r="D7527" s="46">
        <v>45755.0</v>
      </c>
      <c r="E7527" s="24" t="s">
        <v>6650</v>
      </c>
      <c r="F7527" s="24" t="s">
        <v>6650</v>
      </c>
      <c r="G7527" s="24" t="s">
        <v>6650</v>
      </c>
      <c r="H7527" s="24" t="s">
        <v>6724</v>
      </c>
      <c r="I7527" s="24" t="s">
        <v>6650</v>
      </c>
      <c r="J7527" s="24"/>
    </row>
    <row r="7528">
      <c r="A7528" s="24">
        <v>169.0</v>
      </c>
      <c r="B7528" s="24">
        <v>0.0</v>
      </c>
      <c r="C7528" s="44">
        <v>22.42</v>
      </c>
      <c r="D7528" s="46">
        <v>45755.0</v>
      </c>
      <c r="E7528" s="24" t="s">
        <v>6650</v>
      </c>
      <c r="F7528" s="24">
        <v>132.66</v>
      </c>
      <c r="G7528" s="24">
        <v>0.0</v>
      </c>
      <c r="H7528" s="24" t="s">
        <v>6731</v>
      </c>
      <c r="I7528" s="24" t="s">
        <v>6650</v>
      </c>
      <c r="J7528" s="24">
        <v>0.0</v>
      </c>
    </row>
    <row r="7529">
      <c r="A7529" s="24">
        <v>0.0</v>
      </c>
      <c r="B7529" s="24">
        <v>0.0</v>
      </c>
      <c r="C7529" s="44">
        <v>12.62</v>
      </c>
      <c r="D7529" s="46">
        <v>45755.0</v>
      </c>
      <c r="E7529" s="24" t="s">
        <v>6650</v>
      </c>
      <c r="F7529" s="24" t="s">
        <v>6650</v>
      </c>
      <c r="G7529" s="24" t="s">
        <v>6650</v>
      </c>
      <c r="H7529" s="24" t="s">
        <v>6726</v>
      </c>
      <c r="I7529" s="24">
        <v>3.16</v>
      </c>
      <c r="J7529" s="24">
        <v>0.0</v>
      </c>
    </row>
    <row r="7530">
      <c r="A7530" s="24">
        <v>0.0</v>
      </c>
      <c r="B7530" s="24">
        <v>0.0</v>
      </c>
      <c r="C7530" s="44">
        <v>11.81</v>
      </c>
      <c r="D7530" s="46">
        <v>45755.0</v>
      </c>
      <c r="E7530" s="24" t="s">
        <v>6650</v>
      </c>
      <c r="F7530" s="24" t="s">
        <v>6650</v>
      </c>
      <c r="G7530" s="24" t="s">
        <v>6650</v>
      </c>
      <c r="H7530" s="24" t="s">
        <v>6702</v>
      </c>
      <c r="I7530" s="24" t="s">
        <v>6650</v>
      </c>
      <c r="J7530" s="24">
        <v>0.0</v>
      </c>
    </row>
    <row r="7531">
      <c r="A7531" s="24">
        <v>0.0</v>
      </c>
      <c r="B7531" s="24">
        <v>0.0</v>
      </c>
      <c r="C7531" s="44"/>
      <c r="D7531" s="46">
        <v>45756.0</v>
      </c>
      <c r="E7531" s="24" t="s">
        <v>6650</v>
      </c>
      <c r="F7531" s="24" t="s">
        <v>6650</v>
      </c>
      <c r="G7531" s="24" t="s">
        <v>6650</v>
      </c>
      <c r="H7531" s="24" t="s">
        <v>6724</v>
      </c>
      <c r="I7531" s="24" t="s">
        <v>6650</v>
      </c>
      <c r="J7531" s="24"/>
    </row>
    <row r="7532">
      <c r="A7532" s="24">
        <v>0.0</v>
      </c>
      <c r="B7532" s="24">
        <v>0.0</v>
      </c>
      <c r="C7532" s="44">
        <v>11.77</v>
      </c>
      <c r="D7532" s="46">
        <v>45756.0</v>
      </c>
      <c r="E7532" s="24" t="s">
        <v>6650</v>
      </c>
      <c r="F7532" s="24" t="s">
        <v>6650</v>
      </c>
      <c r="G7532" s="24" t="s">
        <v>6650</v>
      </c>
      <c r="H7532" s="24" t="s">
        <v>6702</v>
      </c>
      <c r="I7532" s="24" t="s">
        <v>6650</v>
      </c>
      <c r="J7532" s="24">
        <v>1.0</v>
      </c>
    </row>
    <row r="7533">
      <c r="A7533" s="24">
        <v>0.0</v>
      </c>
      <c r="B7533" s="24">
        <v>0.0</v>
      </c>
      <c r="C7533" s="44"/>
      <c r="D7533" s="46">
        <v>45756.0</v>
      </c>
      <c r="E7533" s="24" t="s">
        <v>6650</v>
      </c>
      <c r="F7533" s="24" t="s">
        <v>6650</v>
      </c>
      <c r="G7533" s="24" t="s">
        <v>6650</v>
      </c>
      <c r="H7533" s="24" t="s">
        <v>6726</v>
      </c>
      <c r="I7533" s="24" t="s">
        <v>6650</v>
      </c>
      <c r="J7533" s="24"/>
    </row>
    <row r="7534">
      <c r="A7534" s="24">
        <v>946.0</v>
      </c>
      <c r="B7534" s="24">
        <v>21.0</v>
      </c>
      <c r="C7534" s="44">
        <v>25.87</v>
      </c>
      <c r="D7534" s="46">
        <v>45756.0</v>
      </c>
      <c r="E7534" s="24">
        <v>1.23</v>
      </c>
      <c r="F7534" s="24">
        <v>27.35</v>
      </c>
      <c r="G7534" s="24">
        <v>2.22</v>
      </c>
      <c r="H7534" s="24" t="s">
        <v>6729</v>
      </c>
      <c r="I7534" s="24" t="s">
        <v>6650</v>
      </c>
      <c r="J7534" s="24">
        <v>0.0</v>
      </c>
    </row>
    <row r="7535">
      <c r="A7535" s="24">
        <v>0.0</v>
      </c>
      <c r="B7535" s="24">
        <v>0.0</v>
      </c>
      <c r="C7535" s="44"/>
      <c r="D7535" s="46">
        <v>45756.0</v>
      </c>
      <c r="E7535" s="24" t="s">
        <v>6650</v>
      </c>
      <c r="F7535" s="24" t="s">
        <v>6650</v>
      </c>
      <c r="G7535" s="24" t="s">
        <v>6650</v>
      </c>
      <c r="H7535" s="24" t="s">
        <v>6720</v>
      </c>
      <c r="I7535" s="24" t="s">
        <v>6650</v>
      </c>
      <c r="J7535" s="24"/>
    </row>
    <row r="7536">
      <c r="A7536" s="24">
        <v>321.0</v>
      </c>
      <c r="B7536" s="24">
        <v>1.0</v>
      </c>
      <c r="C7536" s="44">
        <v>21.1</v>
      </c>
      <c r="D7536" s="46">
        <v>45756.0</v>
      </c>
      <c r="E7536" s="24">
        <v>21.1</v>
      </c>
      <c r="F7536" s="24">
        <v>65.73</v>
      </c>
      <c r="G7536" s="24">
        <v>0.31</v>
      </c>
      <c r="H7536" s="24" t="s">
        <v>6731</v>
      </c>
      <c r="I7536" s="24" t="s">
        <v>6650</v>
      </c>
      <c r="J7536" s="24">
        <v>0.0</v>
      </c>
    </row>
    <row r="7537">
      <c r="A7537" s="24">
        <v>129.0</v>
      </c>
      <c r="B7537" s="24">
        <v>1.0</v>
      </c>
      <c r="C7537" s="44">
        <v>23.99</v>
      </c>
      <c r="D7537" s="46">
        <v>45756.0</v>
      </c>
      <c r="E7537" s="24">
        <v>23.99</v>
      </c>
      <c r="F7537" s="24">
        <v>185.97</v>
      </c>
      <c r="G7537" s="24">
        <v>0.78</v>
      </c>
      <c r="H7537" s="24" t="s">
        <v>6730</v>
      </c>
      <c r="I7537" s="24" t="s">
        <v>6650</v>
      </c>
      <c r="J7537" s="24">
        <v>0.0</v>
      </c>
    </row>
    <row r="7538">
      <c r="A7538" s="24">
        <v>0.0</v>
      </c>
      <c r="B7538" s="24">
        <v>0.0</v>
      </c>
      <c r="C7538" s="44"/>
      <c r="D7538" s="46">
        <v>45756.0</v>
      </c>
      <c r="E7538" s="24" t="s">
        <v>6650</v>
      </c>
      <c r="F7538" s="24" t="s">
        <v>6650</v>
      </c>
      <c r="G7538" s="24" t="s">
        <v>6650</v>
      </c>
      <c r="H7538" s="24" t="s">
        <v>6728</v>
      </c>
      <c r="I7538" s="24" t="s">
        <v>6650</v>
      </c>
      <c r="J7538" s="24"/>
    </row>
    <row r="7539">
      <c r="A7539" s="24">
        <v>0.0</v>
      </c>
      <c r="B7539" s="24">
        <v>0.0</v>
      </c>
      <c r="C7539" s="44"/>
      <c r="D7539" s="46">
        <v>45756.0</v>
      </c>
      <c r="E7539" s="24" t="s">
        <v>6650</v>
      </c>
      <c r="F7539" s="24" t="s">
        <v>6650</v>
      </c>
      <c r="G7539" s="24" t="s">
        <v>6650</v>
      </c>
      <c r="H7539" s="24" t="s">
        <v>6727</v>
      </c>
      <c r="I7539" s="24" t="s">
        <v>6650</v>
      </c>
      <c r="J7539" s="24"/>
    </row>
    <row r="7540">
      <c r="A7540" s="24">
        <v>69.0</v>
      </c>
      <c r="B7540" s="24">
        <v>0.0</v>
      </c>
      <c r="C7540" s="44">
        <v>24.28</v>
      </c>
      <c r="D7540" s="46">
        <v>45756.0</v>
      </c>
      <c r="E7540" s="24" t="s">
        <v>6650</v>
      </c>
      <c r="F7540" s="24">
        <v>351.88</v>
      </c>
      <c r="G7540" s="24">
        <v>0.0</v>
      </c>
      <c r="H7540" s="24" t="s">
        <v>6725</v>
      </c>
      <c r="I7540" s="24">
        <v>2.43</v>
      </c>
      <c r="J7540" s="24">
        <v>0.0</v>
      </c>
    </row>
    <row r="7541">
      <c r="A7541" s="24">
        <v>0.0</v>
      </c>
      <c r="B7541" s="24">
        <v>0.0</v>
      </c>
      <c r="C7541" s="44"/>
      <c r="D7541" s="46">
        <v>45757.0</v>
      </c>
      <c r="E7541" s="24" t="s">
        <v>6650</v>
      </c>
      <c r="F7541" s="24" t="s">
        <v>6650</v>
      </c>
      <c r="G7541" s="24" t="s">
        <v>6650</v>
      </c>
      <c r="H7541" s="24" t="s">
        <v>6727</v>
      </c>
      <c r="I7541" s="24" t="s">
        <v>6650</v>
      </c>
      <c r="J7541" s="24"/>
    </row>
    <row r="7542">
      <c r="A7542" s="24">
        <v>0.0</v>
      </c>
      <c r="B7542" s="24">
        <v>0.0</v>
      </c>
      <c r="C7542" s="44"/>
      <c r="D7542" s="46">
        <v>45757.0</v>
      </c>
      <c r="E7542" s="24" t="s">
        <v>6650</v>
      </c>
      <c r="F7542" s="24" t="s">
        <v>6650</v>
      </c>
      <c r="G7542" s="24" t="s">
        <v>6650</v>
      </c>
      <c r="H7542" s="24" t="s">
        <v>6728</v>
      </c>
      <c r="I7542" s="24" t="s">
        <v>6650</v>
      </c>
      <c r="J7542" s="24"/>
    </row>
    <row r="7543">
      <c r="A7543" s="24">
        <v>1159.0</v>
      </c>
      <c r="B7543" s="24">
        <v>22.0</v>
      </c>
      <c r="C7543" s="44">
        <v>25.71</v>
      </c>
      <c r="D7543" s="46">
        <v>45757.0</v>
      </c>
      <c r="E7543" s="24">
        <v>1.17</v>
      </c>
      <c r="F7543" s="24">
        <v>22.18</v>
      </c>
      <c r="G7543" s="24">
        <v>1.9</v>
      </c>
      <c r="H7543" s="24" t="s">
        <v>6729</v>
      </c>
      <c r="I7543" s="24" t="s">
        <v>6650</v>
      </c>
      <c r="J7543" s="24">
        <v>0.0</v>
      </c>
    </row>
    <row r="7544">
      <c r="A7544" s="24">
        <v>57.0</v>
      </c>
      <c r="B7544" s="24">
        <v>0.0</v>
      </c>
      <c r="C7544" s="44">
        <v>23.5</v>
      </c>
      <c r="D7544" s="46">
        <v>45757.0</v>
      </c>
      <c r="E7544" s="24" t="s">
        <v>6650</v>
      </c>
      <c r="F7544" s="24">
        <v>412.28</v>
      </c>
      <c r="G7544" s="24">
        <v>0.0</v>
      </c>
      <c r="H7544" s="24" t="s">
        <v>6725</v>
      </c>
      <c r="I7544" s="24">
        <v>5.88</v>
      </c>
      <c r="J7544" s="24">
        <v>0.0</v>
      </c>
    </row>
    <row r="7545">
      <c r="A7545" s="24">
        <v>0.0</v>
      </c>
      <c r="B7545" s="24">
        <v>0.0</v>
      </c>
      <c r="C7545" s="44"/>
      <c r="D7545" s="46">
        <v>45757.0</v>
      </c>
      <c r="E7545" s="24" t="s">
        <v>6650</v>
      </c>
      <c r="F7545" s="24" t="s">
        <v>6650</v>
      </c>
      <c r="G7545" s="24" t="s">
        <v>6650</v>
      </c>
      <c r="H7545" s="24" t="s">
        <v>6726</v>
      </c>
      <c r="I7545" s="24" t="s">
        <v>6650</v>
      </c>
      <c r="J7545" s="24"/>
    </row>
    <row r="7546">
      <c r="A7546" s="24">
        <v>0.0</v>
      </c>
      <c r="B7546" s="24">
        <v>0.0</v>
      </c>
      <c r="C7546" s="44"/>
      <c r="D7546" s="46">
        <v>45757.0</v>
      </c>
      <c r="E7546" s="24" t="s">
        <v>6650</v>
      </c>
      <c r="F7546" s="24" t="s">
        <v>6650</v>
      </c>
      <c r="G7546" s="24" t="s">
        <v>6650</v>
      </c>
      <c r="H7546" s="24" t="s">
        <v>6724</v>
      </c>
      <c r="I7546" s="24" t="s">
        <v>6650</v>
      </c>
      <c r="J7546" s="24"/>
    </row>
    <row r="7547">
      <c r="A7547" s="24">
        <v>1695.0</v>
      </c>
      <c r="B7547" s="24">
        <v>44.0</v>
      </c>
      <c r="C7547" s="44">
        <v>26.6</v>
      </c>
      <c r="D7547" s="46">
        <v>45757.0</v>
      </c>
      <c r="E7547" s="24">
        <v>0.6</v>
      </c>
      <c r="F7547" s="24">
        <v>15.69</v>
      </c>
      <c r="G7547" s="24">
        <v>2.6</v>
      </c>
      <c r="H7547" s="24" t="s">
        <v>6732</v>
      </c>
      <c r="I7547" s="24" t="s">
        <v>6650</v>
      </c>
      <c r="J7547" s="24">
        <v>0.0</v>
      </c>
    </row>
    <row r="7548">
      <c r="A7548" s="24">
        <v>0.0</v>
      </c>
      <c r="B7548" s="24">
        <v>0.0</v>
      </c>
      <c r="C7548" s="44">
        <v>4.21</v>
      </c>
      <c r="D7548" s="46">
        <v>45757.0</v>
      </c>
      <c r="E7548" s="24" t="s">
        <v>6650</v>
      </c>
      <c r="F7548" s="24" t="s">
        <v>6650</v>
      </c>
      <c r="G7548" s="24" t="s">
        <v>6650</v>
      </c>
      <c r="H7548" s="24" t="s">
        <v>6702</v>
      </c>
      <c r="I7548" s="24" t="s">
        <v>6650</v>
      </c>
      <c r="J7548" s="24">
        <v>0.0</v>
      </c>
    </row>
    <row r="7549">
      <c r="A7549" s="24">
        <v>202.0</v>
      </c>
      <c r="B7549" s="24">
        <v>2.0</v>
      </c>
      <c r="C7549" s="44">
        <v>21.64</v>
      </c>
      <c r="D7549" s="46">
        <v>45757.0</v>
      </c>
      <c r="E7549" s="24">
        <v>10.82</v>
      </c>
      <c r="F7549" s="24">
        <v>107.13</v>
      </c>
      <c r="G7549" s="24">
        <v>0.99</v>
      </c>
      <c r="H7549" s="24" t="s">
        <v>6731</v>
      </c>
      <c r="I7549" s="24" t="s">
        <v>6650</v>
      </c>
      <c r="J7549" s="24">
        <v>0.0</v>
      </c>
    </row>
    <row r="7550">
      <c r="A7550" s="24">
        <v>86.0</v>
      </c>
      <c r="B7550" s="24">
        <v>0.0</v>
      </c>
      <c r="C7550" s="44">
        <v>26.93</v>
      </c>
      <c r="D7550" s="46">
        <v>45757.0</v>
      </c>
      <c r="E7550" s="24" t="s">
        <v>6650</v>
      </c>
      <c r="F7550" s="24">
        <v>313.14</v>
      </c>
      <c r="G7550" s="24">
        <v>0.0</v>
      </c>
      <c r="H7550" s="24" t="s">
        <v>6730</v>
      </c>
      <c r="I7550" s="24" t="s">
        <v>6650</v>
      </c>
      <c r="J7550" s="24">
        <v>0.0</v>
      </c>
    </row>
    <row r="7551">
      <c r="A7551" s="24">
        <v>0.0</v>
      </c>
      <c r="B7551" s="24">
        <v>0.0</v>
      </c>
      <c r="C7551" s="44"/>
      <c r="D7551" s="46">
        <v>45757.0</v>
      </c>
      <c r="E7551" s="24" t="s">
        <v>6650</v>
      </c>
      <c r="F7551" s="24" t="s">
        <v>6650</v>
      </c>
      <c r="G7551" s="24" t="s">
        <v>6650</v>
      </c>
      <c r="H7551" s="24" t="s">
        <v>6720</v>
      </c>
      <c r="I7551" s="24" t="s">
        <v>6650</v>
      </c>
      <c r="J7551" s="24"/>
    </row>
    <row r="7552">
      <c r="A7552" s="24">
        <v>92.0</v>
      </c>
      <c r="B7552" s="24">
        <v>2.0</v>
      </c>
      <c r="C7552" s="44">
        <v>21.01</v>
      </c>
      <c r="D7552" s="46">
        <v>45758.0</v>
      </c>
      <c r="E7552" s="24">
        <v>10.5</v>
      </c>
      <c r="F7552" s="24">
        <v>228.37</v>
      </c>
      <c r="G7552" s="24">
        <v>2.17</v>
      </c>
      <c r="H7552" s="24" t="s">
        <v>6730</v>
      </c>
      <c r="I7552" s="24" t="s">
        <v>6650</v>
      </c>
      <c r="J7552" s="24">
        <v>0.0</v>
      </c>
    </row>
    <row r="7553">
      <c r="A7553" s="24">
        <v>0.0</v>
      </c>
      <c r="B7553" s="24">
        <v>0.0</v>
      </c>
      <c r="C7553" s="44"/>
      <c r="D7553" s="46">
        <v>45758.0</v>
      </c>
      <c r="E7553" s="24" t="s">
        <v>6650</v>
      </c>
      <c r="F7553" s="24" t="s">
        <v>6650</v>
      </c>
      <c r="G7553" s="24" t="s">
        <v>6650</v>
      </c>
      <c r="H7553" s="24" t="s">
        <v>6720</v>
      </c>
      <c r="I7553" s="24" t="s">
        <v>6650</v>
      </c>
      <c r="J7553" s="24"/>
    </row>
    <row r="7554">
      <c r="A7554" s="24">
        <v>184.0</v>
      </c>
      <c r="B7554" s="24">
        <v>1.0</v>
      </c>
      <c r="C7554" s="44">
        <v>20.35</v>
      </c>
      <c r="D7554" s="46">
        <v>45758.0</v>
      </c>
      <c r="E7554" s="24">
        <v>20.35</v>
      </c>
      <c r="F7554" s="24">
        <v>110.6</v>
      </c>
      <c r="G7554" s="24">
        <v>0.54</v>
      </c>
      <c r="H7554" s="24" t="s">
        <v>6731</v>
      </c>
      <c r="I7554" s="24" t="s">
        <v>6650</v>
      </c>
      <c r="J7554" s="24">
        <v>0.0</v>
      </c>
    </row>
    <row r="7555">
      <c r="A7555" s="24">
        <v>0.0</v>
      </c>
      <c r="B7555" s="24">
        <v>0.0</v>
      </c>
      <c r="C7555" s="44"/>
      <c r="D7555" s="46">
        <v>45758.0</v>
      </c>
      <c r="E7555" s="24" t="s">
        <v>6650</v>
      </c>
      <c r="F7555" s="24" t="s">
        <v>6650</v>
      </c>
      <c r="G7555" s="24" t="s">
        <v>6650</v>
      </c>
      <c r="H7555" s="24" t="s">
        <v>6728</v>
      </c>
      <c r="I7555" s="24" t="s">
        <v>6650</v>
      </c>
      <c r="J7555" s="24"/>
    </row>
    <row r="7556">
      <c r="A7556" s="24">
        <v>0.0</v>
      </c>
      <c r="B7556" s="24">
        <v>0.0</v>
      </c>
      <c r="C7556" s="44"/>
      <c r="D7556" s="46">
        <v>45758.0</v>
      </c>
      <c r="E7556" s="24" t="s">
        <v>6650</v>
      </c>
      <c r="F7556" s="24" t="s">
        <v>6650</v>
      </c>
      <c r="G7556" s="24" t="s">
        <v>6650</v>
      </c>
      <c r="H7556" s="24" t="s">
        <v>6724</v>
      </c>
      <c r="I7556" s="24" t="s">
        <v>6650</v>
      </c>
      <c r="J7556" s="24"/>
    </row>
    <row r="7557">
      <c r="A7557" s="24">
        <v>690.0</v>
      </c>
      <c r="B7557" s="24">
        <v>9.0</v>
      </c>
      <c r="C7557" s="44">
        <v>23.96</v>
      </c>
      <c r="D7557" s="46">
        <v>45758.0</v>
      </c>
      <c r="E7557" s="24">
        <v>2.66</v>
      </c>
      <c r="F7557" s="24">
        <v>34.72</v>
      </c>
      <c r="G7557" s="24">
        <v>1.3</v>
      </c>
      <c r="H7557" s="24" t="s">
        <v>6729</v>
      </c>
      <c r="I7557" s="24" t="s">
        <v>6650</v>
      </c>
      <c r="J7557" s="24">
        <v>0.0</v>
      </c>
    </row>
    <row r="7558">
      <c r="A7558" s="24">
        <v>992.0</v>
      </c>
      <c r="B7558" s="24">
        <v>13.0</v>
      </c>
      <c r="C7558" s="44">
        <v>25.52</v>
      </c>
      <c r="D7558" s="46">
        <v>45758.0</v>
      </c>
      <c r="E7558" s="24">
        <v>1.96</v>
      </c>
      <c r="F7558" s="24">
        <v>25.73</v>
      </c>
      <c r="G7558" s="24">
        <v>1.31</v>
      </c>
      <c r="H7558" s="24" t="s">
        <v>6732</v>
      </c>
      <c r="I7558" s="24" t="s">
        <v>6650</v>
      </c>
      <c r="J7558" s="24">
        <v>0.0</v>
      </c>
    </row>
    <row r="7559">
      <c r="A7559" s="24">
        <v>0.0</v>
      </c>
      <c r="B7559" s="24">
        <v>0.0</v>
      </c>
      <c r="C7559" s="44"/>
      <c r="D7559" s="46">
        <v>45758.0</v>
      </c>
      <c r="E7559" s="24" t="s">
        <v>6650</v>
      </c>
      <c r="F7559" s="24" t="s">
        <v>6650</v>
      </c>
      <c r="G7559" s="24" t="s">
        <v>6650</v>
      </c>
      <c r="H7559" s="24" t="s">
        <v>6726</v>
      </c>
      <c r="I7559" s="24" t="s">
        <v>6650</v>
      </c>
      <c r="J7559" s="24"/>
    </row>
    <row r="7560">
      <c r="A7560" s="24">
        <v>48.0</v>
      </c>
      <c r="B7560" s="24">
        <v>0.0</v>
      </c>
      <c r="C7560" s="44">
        <v>19.14</v>
      </c>
      <c r="D7560" s="46">
        <v>45758.0</v>
      </c>
      <c r="E7560" s="24" t="s">
        <v>6650</v>
      </c>
      <c r="F7560" s="24">
        <v>398.75</v>
      </c>
      <c r="G7560" s="24">
        <v>0.0</v>
      </c>
      <c r="H7560" s="24" t="s">
        <v>6725</v>
      </c>
      <c r="I7560" s="24">
        <v>4.78</v>
      </c>
      <c r="J7560" s="24">
        <v>0.0</v>
      </c>
    </row>
    <row r="7561">
      <c r="A7561" s="24">
        <v>125.0</v>
      </c>
      <c r="B7561" s="24">
        <v>7.0</v>
      </c>
      <c r="C7561" s="44">
        <v>17.8</v>
      </c>
      <c r="D7561" s="46">
        <v>45759.0</v>
      </c>
      <c r="E7561" s="24">
        <v>2.54</v>
      </c>
      <c r="F7561" s="24">
        <v>142.4</v>
      </c>
      <c r="G7561" s="24">
        <v>5.6</v>
      </c>
      <c r="H7561" s="24" t="s">
        <v>6732</v>
      </c>
      <c r="I7561" s="24" t="s">
        <v>6650</v>
      </c>
      <c r="J7561" s="24">
        <v>0.0</v>
      </c>
    </row>
    <row r="7562">
      <c r="A7562" s="24">
        <v>420.0</v>
      </c>
      <c r="B7562" s="24">
        <v>4.0</v>
      </c>
      <c r="C7562" s="44">
        <v>18.6</v>
      </c>
      <c r="D7562" s="46">
        <v>45759.0</v>
      </c>
      <c r="E7562" s="24">
        <v>4.65</v>
      </c>
      <c r="F7562" s="24">
        <v>44.29</v>
      </c>
      <c r="G7562" s="24">
        <v>0.95</v>
      </c>
      <c r="H7562" s="24" t="s">
        <v>6729</v>
      </c>
      <c r="I7562" s="24" t="s">
        <v>6650</v>
      </c>
      <c r="J7562" s="24">
        <v>0.0</v>
      </c>
    </row>
    <row r="7563">
      <c r="A7563" s="24">
        <v>59.0</v>
      </c>
      <c r="B7563" s="24">
        <v>0.0</v>
      </c>
      <c r="C7563" s="44">
        <v>15.24</v>
      </c>
      <c r="D7563" s="46">
        <v>45759.0</v>
      </c>
      <c r="E7563" s="24" t="s">
        <v>6650</v>
      </c>
      <c r="F7563" s="24">
        <v>258.31</v>
      </c>
      <c r="G7563" s="24">
        <v>0.0</v>
      </c>
      <c r="H7563" s="24" t="s">
        <v>6730</v>
      </c>
      <c r="I7563" s="24" t="s">
        <v>6650</v>
      </c>
      <c r="J7563" s="24">
        <v>0.0</v>
      </c>
    </row>
    <row r="7564">
      <c r="A7564" s="24">
        <v>38.0</v>
      </c>
      <c r="B7564" s="24">
        <v>0.0</v>
      </c>
      <c r="C7564" s="44">
        <v>13.03</v>
      </c>
      <c r="D7564" s="46">
        <v>45759.0</v>
      </c>
      <c r="E7564" s="24" t="s">
        <v>6650</v>
      </c>
      <c r="F7564" s="24">
        <v>342.89</v>
      </c>
      <c r="G7564" s="24">
        <v>0.0</v>
      </c>
      <c r="H7564" s="24" t="s">
        <v>6725</v>
      </c>
      <c r="I7564" s="24" t="s">
        <v>6650</v>
      </c>
      <c r="J7564" s="24">
        <v>0.0</v>
      </c>
    </row>
    <row r="7565">
      <c r="A7565" s="24">
        <v>76.0</v>
      </c>
      <c r="B7565" s="24">
        <v>1.0</v>
      </c>
      <c r="C7565" s="44">
        <v>13.47</v>
      </c>
      <c r="D7565" s="46">
        <v>45759.0</v>
      </c>
      <c r="E7565" s="24">
        <v>13.47</v>
      </c>
      <c r="F7565" s="24">
        <v>177.24</v>
      </c>
      <c r="G7565" s="24">
        <v>1.32</v>
      </c>
      <c r="H7565" s="24" t="s">
        <v>6731</v>
      </c>
      <c r="I7565" s="24" t="s">
        <v>6650</v>
      </c>
      <c r="J7565" s="24">
        <v>0.0</v>
      </c>
    </row>
    <row r="7566">
      <c r="A7566" s="24">
        <v>532.0</v>
      </c>
      <c r="B7566" s="24">
        <v>12.0</v>
      </c>
      <c r="C7566" s="44">
        <v>15.28</v>
      </c>
      <c r="D7566" s="46">
        <v>45760.0</v>
      </c>
      <c r="E7566" s="24">
        <v>1.27</v>
      </c>
      <c r="F7566" s="24">
        <v>28.72</v>
      </c>
      <c r="G7566" s="24">
        <v>2.26</v>
      </c>
      <c r="H7566" s="24" t="s">
        <v>6732</v>
      </c>
      <c r="I7566" s="24" t="s">
        <v>6650</v>
      </c>
      <c r="J7566" s="24">
        <v>0.0</v>
      </c>
    </row>
    <row r="7567">
      <c r="A7567" s="24">
        <v>479.0</v>
      </c>
      <c r="B7567" s="24">
        <v>5.0</v>
      </c>
      <c r="C7567" s="44">
        <v>13.65</v>
      </c>
      <c r="D7567" s="46">
        <v>45760.0</v>
      </c>
      <c r="E7567" s="24">
        <v>2.73</v>
      </c>
      <c r="F7567" s="24">
        <v>28.5</v>
      </c>
      <c r="G7567" s="24">
        <v>1.04</v>
      </c>
      <c r="H7567" s="24" t="s">
        <v>6729</v>
      </c>
      <c r="I7567" s="24" t="s">
        <v>6650</v>
      </c>
      <c r="J7567" s="24">
        <v>0.0</v>
      </c>
    </row>
    <row r="7568">
      <c r="A7568" s="24">
        <v>24.0</v>
      </c>
      <c r="B7568" s="24">
        <v>1.0</v>
      </c>
      <c r="C7568" s="44">
        <v>8.83</v>
      </c>
      <c r="D7568" s="46">
        <v>45760.0</v>
      </c>
      <c r="E7568" s="24">
        <v>8.83</v>
      </c>
      <c r="F7568" s="24">
        <v>367.92</v>
      </c>
      <c r="G7568" s="24">
        <v>4.17</v>
      </c>
      <c r="H7568" s="24" t="s">
        <v>6725</v>
      </c>
      <c r="I7568" s="24" t="s">
        <v>6650</v>
      </c>
      <c r="J7568" s="24">
        <v>0.0</v>
      </c>
    </row>
    <row r="7569">
      <c r="A7569" s="24">
        <v>66.0</v>
      </c>
      <c r="B7569" s="24">
        <v>0.0</v>
      </c>
      <c r="C7569" s="44">
        <v>10.37</v>
      </c>
      <c r="D7569" s="46">
        <v>45760.0</v>
      </c>
      <c r="E7569" s="24" t="s">
        <v>6650</v>
      </c>
      <c r="F7569" s="24">
        <v>157.12</v>
      </c>
      <c r="G7569" s="24">
        <v>0.0</v>
      </c>
      <c r="H7569" s="24" t="s">
        <v>6731</v>
      </c>
      <c r="I7569" s="24" t="s">
        <v>6650</v>
      </c>
      <c r="J7569" s="24">
        <v>0.0</v>
      </c>
    </row>
    <row r="7570">
      <c r="A7570" s="24">
        <v>33.0</v>
      </c>
      <c r="B7570" s="24">
        <v>0.0</v>
      </c>
      <c r="C7570" s="44">
        <v>10.61</v>
      </c>
      <c r="D7570" s="46">
        <v>45760.0</v>
      </c>
      <c r="E7570" s="24" t="s">
        <v>6650</v>
      </c>
      <c r="F7570" s="24">
        <v>321.52</v>
      </c>
      <c r="G7570" s="24">
        <v>0.0</v>
      </c>
      <c r="H7570" s="24" t="s">
        <v>6730</v>
      </c>
      <c r="I7570" s="24" t="s">
        <v>6650</v>
      </c>
      <c r="J7570" s="24">
        <v>0.0</v>
      </c>
    </row>
    <row r="7571">
      <c r="A7571" s="24">
        <v>134.0</v>
      </c>
      <c r="B7571" s="24">
        <v>0.0</v>
      </c>
      <c r="C7571" s="44">
        <v>23.7</v>
      </c>
      <c r="D7571" s="46">
        <v>45761.0</v>
      </c>
      <c r="E7571" s="24" t="s">
        <v>6650</v>
      </c>
      <c r="F7571" s="24">
        <v>176.87</v>
      </c>
      <c r="G7571" s="24">
        <v>0.0</v>
      </c>
      <c r="H7571" s="24" t="s">
        <v>6730</v>
      </c>
      <c r="I7571" s="24" t="s">
        <v>6650</v>
      </c>
      <c r="J7571" s="24">
        <v>0.0</v>
      </c>
    </row>
    <row r="7572">
      <c r="A7572" s="24">
        <v>63.0</v>
      </c>
      <c r="B7572" s="24">
        <v>0.0</v>
      </c>
      <c r="C7572" s="44">
        <v>22.67</v>
      </c>
      <c r="D7572" s="46">
        <v>45761.0</v>
      </c>
      <c r="E7572" s="24" t="s">
        <v>6650</v>
      </c>
      <c r="F7572" s="24">
        <v>359.84</v>
      </c>
      <c r="G7572" s="24">
        <v>0.0</v>
      </c>
      <c r="H7572" s="24" t="s">
        <v>6725</v>
      </c>
      <c r="I7572" s="24" t="s">
        <v>6650</v>
      </c>
      <c r="J7572" s="24">
        <v>0.0</v>
      </c>
    </row>
    <row r="7573">
      <c r="A7573" s="24">
        <v>168.0</v>
      </c>
      <c r="B7573" s="24">
        <v>0.0</v>
      </c>
      <c r="C7573" s="44">
        <v>21.19</v>
      </c>
      <c r="D7573" s="46">
        <v>45761.0</v>
      </c>
      <c r="E7573" s="24" t="s">
        <v>6650</v>
      </c>
      <c r="F7573" s="24">
        <v>126.13</v>
      </c>
      <c r="G7573" s="24">
        <v>0.0</v>
      </c>
      <c r="H7573" s="24" t="s">
        <v>6731</v>
      </c>
      <c r="I7573" s="24" t="s">
        <v>6650</v>
      </c>
      <c r="J7573" s="24">
        <v>0.0</v>
      </c>
    </row>
    <row r="7574">
      <c r="A7574" s="24">
        <v>414.0</v>
      </c>
      <c r="B7574" s="24">
        <v>16.0</v>
      </c>
      <c r="C7574" s="44">
        <v>24.72</v>
      </c>
      <c r="D7574" s="46">
        <v>45761.0</v>
      </c>
      <c r="E7574" s="24">
        <v>1.54</v>
      </c>
      <c r="F7574" s="24">
        <v>59.71</v>
      </c>
      <c r="G7574" s="24">
        <v>3.86</v>
      </c>
      <c r="H7574" s="24" t="s">
        <v>6732</v>
      </c>
      <c r="I7574" s="24" t="s">
        <v>6650</v>
      </c>
      <c r="J7574" s="24">
        <v>0.0</v>
      </c>
    </row>
    <row r="7575">
      <c r="A7575" s="24">
        <v>769.0</v>
      </c>
      <c r="B7575" s="24">
        <v>9.0</v>
      </c>
      <c r="C7575" s="44">
        <v>25.19</v>
      </c>
      <c r="D7575" s="46">
        <v>45761.0</v>
      </c>
      <c r="E7575" s="24">
        <v>2.8</v>
      </c>
      <c r="F7575" s="24">
        <v>32.76</v>
      </c>
      <c r="G7575" s="24">
        <v>1.17</v>
      </c>
      <c r="H7575" s="24" t="s">
        <v>6729</v>
      </c>
      <c r="I7575" s="24" t="s">
        <v>6650</v>
      </c>
      <c r="J7575" s="24">
        <v>0.0</v>
      </c>
    </row>
    <row r="7576">
      <c r="A7576" s="24">
        <v>68.0</v>
      </c>
      <c r="B7576" s="24">
        <v>0.0</v>
      </c>
      <c r="C7576" s="44">
        <v>23.39</v>
      </c>
      <c r="D7576" s="46">
        <v>45762.0</v>
      </c>
      <c r="E7576" s="24" t="s">
        <v>6650</v>
      </c>
      <c r="F7576" s="24">
        <v>343.97</v>
      </c>
      <c r="G7576" s="24">
        <v>0.0</v>
      </c>
      <c r="H7576" s="24" t="s">
        <v>6725</v>
      </c>
      <c r="I7576" s="24" t="s">
        <v>6650</v>
      </c>
      <c r="J7576" s="24">
        <v>0.0</v>
      </c>
    </row>
    <row r="7577">
      <c r="A7577" s="24">
        <v>585.0</v>
      </c>
      <c r="B7577" s="24">
        <v>10.0</v>
      </c>
      <c r="C7577" s="44">
        <v>29.34</v>
      </c>
      <c r="D7577" s="46">
        <v>45762.0</v>
      </c>
      <c r="E7577" s="24">
        <v>2.93</v>
      </c>
      <c r="F7577" s="24">
        <v>50.15</v>
      </c>
      <c r="G7577" s="24">
        <v>1.71</v>
      </c>
      <c r="H7577" s="24" t="s">
        <v>6729</v>
      </c>
      <c r="I7577" s="24" t="s">
        <v>6650</v>
      </c>
      <c r="J7577" s="24">
        <v>0.0</v>
      </c>
    </row>
    <row r="7578">
      <c r="A7578" s="24">
        <v>795.0</v>
      </c>
      <c r="B7578" s="24">
        <v>14.0</v>
      </c>
      <c r="C7578" s="44">
        <v>23.65</v>
      </c>
      <c r="D7578" s="46">
        <v>45762.0</v>
      </c>
      <c r="E7578" s="24">
        <v>1.69</v>
      </c>
      <c r="F7578" s="24">
        <v>29.75</v>
      </c>
      <c r="G7578" s="24">
        <v>1.76</v>
      </c>
      <c r="H7578" s="24" t="s">
        <v>6732</v>
      </c>
      <c r="I7578" s="24" t="s">
        <v>6650</v>
      </c>
      <c r="J7578" s="24">
        <v>0.0</v>
      </c>
    </row>
    <row r="7579">
      <c r="A7579" s="24">
        <v>155.0</v>
      </c>
      <c r="B7579" s="24">
        <v>0.0</v>
      </c>
      <c r="C7579" s="44">
        <v>24.36</v>
      </c>
      <c r="D7579" s="46">
        <v>45762.0</v>
      </c>
      <c r="E7579" s="24" t="s">
        <v>6650</v>
      </c>
      <c r="F7579" s="24">
        <v>157.16</v>
      </c>
      <c r="G7579" s="24">
        <v>0.0</v>
      </c>
      <c r="H7579" s="24" t="s">
        <v>6731</v>
      </c>
      <c r="I7579" s="24" t="s">
        <v>6650</v>
      </c>
      <c r="J7579" s="24">
        <v>0.0</v>
      </c>
    </row>
    <row r="7580">
      <c r="A7580" s="24">
        <v>94.0</v>
      </c>
      <c r="B7580" s="24">
        <v>1.0</v>
      </c>
      <c r="C7580" s="44">
        <v>26.74</v>
      </c>
      <c r="D7580" s="46">
        <v>45762.0</v>
      </c>
      <c r="E7580" s="24">
        <v>26.74</v>
      </c>
      <c r="F7580" s="24">
        <v>284.47</v>
      </c>
      <c r="G7580" s="24">
        <v>1.06</v>
      </c>
      <c r="H7580" s="24" t="s">
        <v>6730</v>
      </c>
      <c r="I7580" s="24" t="s">
        <v>6650</v>
      </c>
      <c r="J7580" s="24">
        <v>0.0</v>
      </c>
    </row>
    <row r="7581">
      <c r="A7581" s="24">
        <v>211.0</v>
      </c>
      <c r="B7581" s="24">
        <v>2.0</v>
      </c>
      <c r="C7581" s="44">
        <v>22.42</v>
      </c>
      <c r="D7581" s="46">
        <v>45763.0</v>
      </c>
      <c r="E7581" s="24">
        <v>11.21</v>
      </c>
      <c r="F7581" s="24">
        <v>106.26</v>
      </c>
      <c r="G7581" s="24">
        <v>0.95</v>
      </c>
      <c r="H7581" s="24" t="s">
        <v>6731</v>
      </c>
      <c r="I7581" s="24" t="s">
        <v>6650</v>
      </c>
      <c r="J7581" s="24">
        <v>0.0</v>
      </c>
    </row>
    <row r="7582">
      <c r="A7582" s="24">
        <v>391.0</v>
      </c>
      <c r="B7582" s="24">
        <v>3.0</v>
      </c>
      <c r="C7582" s="44">
        <v>23.84</v>
      </c>
      <c r="D7582" s="46">
        <v>45763.0</v>
      </c>
      <c r="E7582" s="24">
        <v>7.95</v>
      </c>
      <c r="F7582" s="24">
        <v>60.97</v>
      </c>
      <c r="G7582" s="24">
        <v>0.77</v>
      </c>
      <c r="H7582" s="24" t="s">
        <v>6732</v>
      </c>
      <c r="I7582" s="24" t="s">
        <v>6650</v>
      </c>
      <c r="J7582" s="24">
        <v>0.0</v>
      </c>
    </row>
    <row r="7583">
      <c r="A7583" s="24">
        <v>104.0</v>
      </c>
      <c r="B7583" s="24">
        <v>0.0</v>
      </c>
      <c r="C7583" s="44">
        <v>26.43</v>
      </c>
      <c r="D7583" s="46">
        <v>45763.0</v>
      </c>
      <c r="E7583" s="24" t="s">
        <v>6650</v>
      </c>
      <c r="F7583" s="24">
        <v>254.13</v>
      </c>
      <c r="G7583" s="24">
        <v>0.0</v>
      </c>
      <c r="H7583" s="24" t="s">
        <v>6730</v>
      </c>
      <c r="I7583" s="24" t="s">
        <v>6650</v>
      </c>
      <c r="J7583" s="24">
        <v>0.0</v>
      </c>
    </row>
    <row r="7584">
      <c r="A7584" s="24">
        <v>768.0</v>
      </c>
      <c r="B7584" s="24">
        <v>13.0</v>
      </c>
      <c r="C7584" s="44">
        <v>26.4</v>
      </c>
      <c r="D7584" s="46">
        <v>45763.0</v>
      </c>
      <c r="E7584" s="24">
        <v>2.03</v>
      </c>
      <c r="F7584" s="24">
        <v>34.37</v>
      </c>
      <c r="G7584" s="24">
        <v>1.69</v>
      </c>
      <c r="H7584" s="24" t="s">
        <v>6729</v>
      </c>
      <c r="I7584" s="24" t="s">
        <v>6650</v>
      </c>
      <c r="J7584" s="24">
        <v>0.0</v>
      </c>
    </row>
    <row r="7585">
      <c r="A7585" s="24">
        <v>64.0</v>
      </c>
      <c r="B7585" s="24">
        <v>0.0</v>
      </c>
      <c r="C7585" s="44">
        <v>25.06</v>
      </c>
      <c r="D7585" s="46">
        <v>45763.0</v>
      </c>
      <c r="E7585" s="24" t="s">
        <v>6650</v>
      </c>
      <c r="F7585" s="24">
        <v>391.56</v>
      </c>
      <c r="G7585" s="24">
        <v>0.0</v>
      </c>
      <c r="H7585" s="24" t="s">
        <v>6725</v>
      </c>
      <c r="I7585" s="24" t="s">
        <v>6650</v>
      </c>
      <c r="J7585" s="24">
        <v>0.0</v>
      </c>
    </row>
    <row r="7586">
      <c r="A7586" s="24">
        <v>597.0</v>
      </c>
      <c r="B7586" s="24">
        <v>13.0</v>
      </c>
      <c r="C7586" s="44">
        <v>23.66</v>
      </c>
      <c r="D7586" s="46">
        <v>45764.0</v>
      </c>
      <c r="E7586" s="24">
        <v>1.82</v>
      </c>
      <c r="F7586" s="24">
        <v>39.63</v>
      </c>
      <c r="G7586" s="24">
        <v>2.18</v>
      </c>
      <c r="H7586" s="24" t="s">
        <v>6732</v>
      </c>
      <c r="I7586" s="24" t="s">
        <v>6650</v>
      </c>
      <c r="J7586" s="24">
        <v>0.0</v>
      </c>
    </row>
    <row r="7587">
      <c r="A7587" s="24">
        <v>1108.0</v>
      </c>
      <c r="B7587" s="24">
        <v>9.0</v>
      </c>
      <c r="C7587" s="44">
        <v>26.15</v>
      </c>
      <c r="D7587" s="46">
        <v>45764.0</v>
      </c>
      <c r="E7587" s="24">
        <v>2.91</v>
      </c>
      <c r="F7587" s="24">
        <v>23.6</v>
      </c>
      <c r="G7587" s="24">
        <v>0.81</v>
      </c>
      <c r="H7587" s="24" t="s">
        <v>6729</v>
      </c>
      <c r="I7587" s="24" t="s">
        <v>6650</v>
      </c>
      <c r="J7587" s="24">
        <v>0.0</v>
      </c>
    </row>
    <row r="7588">
      <c r="A7588" s="24">
        <v>187.0</v>
      </c>
      <c r="B7588" s="24">
        <v>2.0</v>
      </c>
      <c r="C7588" s="44">
        <v>22.26</v>
      </c>
      <c r="D7588" s="46">
        <v>45764.0</v>
      </c>
      <c r="E7588" s="24">
        <v>11.13</v>
      </c>
      <c r="F7588" s="24">
        <v>119.04</v>
      </c>
      <c r="G7588" s="24">
        <v>1.07</v>
      </c>
      <c r="H7588" s="24" t="s">
        <v>6731</v>
      </c>
      <c r="I7588" s="24" t="s">
        <v>6650</v>
      </c>
      <c r="J7588" s="24">
        <v>0.0</v>
      </c>
    </row>
    <row r="7589">
      <c r="A7589" s="24">
        <v>58.0</v>
      </c>
      <c r="B7589" s="24">
        <v>0.0</v>
      </c>
      <c r="C7589" s="44">
        <v>23.05</v>
      </c>
      <c r="D7589" s="46">
        <v>45764.0</v>
      </c>
      <c r="E7589" s="24" t="s">
        <v>6650</v>
      </c>
      <c r="F7589" s="24">
        <v>397.41</v>
      </c>
      <c r="G7589" s="24">
        <v>0.0</v>
      </c>
      <c r="H7589" s="24" t="s">
        <v>6725</v>
      </c>
      <c r="I7589" s="24" t="s">
        <v>6650</v>
      </c>
      <c r="J7589" s="24">
        <v>0.0</v>
      </c>
    </row>
    <row r="7590">
      <c r="A7590" s="24">
        <v>91.0</v>
      </c>
      <c r="B7590" s="24">
        <v>2.0</v>
      </c>
      <c r="C7590" s="44">
        <v>25.43</v>
      </c>
      <c r="D7590" s="46">
        <v>45764.0</v>
      </c>
      <c r="E7590" s="24">
        <v>12.72</v>
      </c>
      <c r="F7590" s="24">
        <v>279.45</v>
      </c>
      <c r="G7590" s="24">
        <v>2.2</v>
      </c>
      <c r="H7590" s="24" t="s">
        <v>6730</v>
      </c>
      <c r="I7590" s="24" t="s">
        <v>6650</v>
      </c>
      <c r="J7590" s="24">
        <v>0.0</v>
      </c>
    </row>
    <row r="7591">
      <c r="A7591" s="24">
        <v>173.0</v>
      </c>
      <c r="B7591" s="24">
        <v>1.0</v>
      </c>
      <c r="C7591" s="44">
        <v>22.77</v>
      </c>
      <c r="D7591" s="46">
        <v>45765.0</v>
      </c>
      <c r="E7591" s="24">
        <v>22.77</v>
      </c>
      <c r="F7591" s="24">
        <v>131.62</v>
      </c>
      <c r="G7591" s="24">
        <v>0.58</v>
      </c>
      <c r="H7591" s="24" t="s">
        <v>6731</v>
      </c>
      <c r="I7591" s="24" t="s">
        <v>6650</v>
      </c>
      <c r="J7591" s="24">
        <v>0.0</v>
      </c>
    </row>
    <row r="7592">
      <c r="A7592" s="24">
        <v>90.0</v>
      </c>
      <c r="B7592" s="24">
        <v>0.0</v>
      </c>
      <c r="C7592" s="44">
        <v>22.96</v>
      </c>
      <c r="D7592" s="46">
        <v>45765.0</v>
      </c>
      <c r="E7592" s="24" t="s">
        <v>6650</v>
      </c>
      <c r="F7592" s="24">
        <v>255.11</v>
      </c>
      <c r="G7592" s="24">
        <v>0.0</v>
      </c>
      <c r="H7592" s="24" t="s">
        <v>6730</v>
      </c>
      <c r="I7592" s="24" t="s">
        <v>6650</v>
      </c>
      <c r="J7592" s="24">
        <v>0.0</v>
      </c>
    </row>
    <row r="7593">
      <c r="A7593" s="24">
        <v>47.0</v>
      </c>
      <c r="B7593" s="24">
        <v>0.0</v>
      </c>
      <c r="C7593" s="44">
        <v>21.33</v>
      </c>
      <c r="D7593" s="46">
        <v>45765.0</v>
      </c>
      <c r="E7593" s="24" t="s">
        <v>6650</v>
      </c>
      <c r="F7593" s="24">
        <v>453.83</v>
      </c>
      <c r="G7593" s="24">
        <v>0.0</v>
      </c>
      <c r="H7593" s="24" t="s">
        <v>6725</v>
      </c>
      <c r="I7593" s="24" t="s">
        <v>6650</v>
      </c>
      <c r="J7593" s="24">
        <v>0.0</v>
      </c>
    </row>
    <row r="7594">
      <c r="A7594" s="24">
        <v>379.0</v>
      </c>
      <c r="B7594" s="24">
        <v>8.0</v>
      </c>
      <c r="C7594" s="44">
        <v>22.87</v>
      </c>
      <c r="D7594" s="46">
        <v>45765.0</v>
      </c>
      <c r="E7594" s="24">
        <v>2.86</v>
      </c>
      <c r="F7594" s="24">
        <v>60.34</v>
      </c>
      <c r="G7594" s="24">
        <v>2.11</v>
      </c>
      <c r="H7594" s="24" t="s">
        <v>6732</v>
      </c>
      <c r="I7594" s="24" t="s">
        <v>6650</v>
      </c>
      <c r="J7594" s="24">
        <v>0.0</v>
      </c>
    </row>
    <row r="7595">
      <c r="A7595" s="24">
        <v>662.0</v>
      </c>
      <c r="B7595" s="24">
        <v>3.0</v>
      </c>
      <c r="C7595" s="44">
        <v>26.01</v>
      </c>
      <c r="D7595" s="46">
        <v>45765.0</v>
      </c>
      <c r="E7595" s="24">
        <v>8.67</v>
      </c>
      <c r="F7595" s="24">
        <v>39.29</v>
      </c>
      <c r="G7595" s="24">
        <v>0.45</v>
      </c>
      <c r="H7595" s="24" t="s">
        <v>6729</v>
      </c>
      <c r="I7595" s="24" t="s">
        <v>6650</v>
      </c>
      <c r="J7595" s="24">
        <v>0.0</v>
      </c>
    </row>
    <row r="7596">
      <c r="A7596" s="24">
        <v>81.0</v>
      </c>
      <c r="B7596" s="24">
        <v>0.0</v>
      </c>
      <c r="C7596" s="44">
        <v>11.06</v>
      </c>
      <c r="D7596" s="46">
        <v>45766.0</v>
      </c>
      <c r="E7596" s="24" t="s">
        <v>6650</v>
      </c>
      <c r="F7596" s="24">
        <v>136.54</v>
      </c>
      <c r="G7596" s="24">
        <v>0.0</v>
      </c>
      <c r="H7596" s="24" t="s">
        <v>6731</v>
      </c>
      <c r="I7596" s="24" t="s">
        <v>6650</v>
      </c>
      <c r="J7596" s="24">
        <v>0.0</v>
      </c>
    </row>
    <row r="7597">
      <c r="A7597" s="24">
        <v>31.0</v>
      </c>
      <c r="B7597" s="24">
        <v>0.0</v>
      </c>
      <c r="C7597" s="44">
        <v>12.23</v>
      </c>
      <c r="D7597" s="46">
        <v>45766.0</v>
      </c>
      <c r="E7597" s="24" t="s">
        <v>6650</v>
      </c>
      <c r="F7597" s="24">
        <v>394.52</v>
      </c>
      <c r="G7597" s="24">
        <v>0.0</v>
      </c>
      <c r="H7597" s="24" t="s">
        <v>6725</v>
      </c>
      <c r="I7597" s="24" t="s">
        <v>6650</v>
      </c>
      <c r="J7597" s="24">
        <v>0.0</v>
      </c>
    </row>
    <row r="7598">
      <c r="A7598" s="24">
        <v>287.0</v>
      </c>
      <c r="B7598" s="24">
        <v>4.0</v>
      </c>
      <c r="C7598" s="44">
        <v>14.49</v>
      </c>
      <c r="D7598" s="46">
        <v>45766.0</v>
      </c>
      <c r="E7598" s="24">
        <v>3.62</v>
      </c>
      <c r="F7598" s="24">
        <v>50.49</v>
      </c>
      <c r="G7598" s="24">
        <v>1.39</v>
      </c>
      <c r="H7598" s="24" t="s">
        <v>6729</v>
      </c>
      <c r="I7598" s="24" t="s">
        <v>6650</v>
      </c>
      <c r="J7598" s="24">
        <v>0.0</v>
      </c>
    </row>
    <row r="7599">
      <c r="A7599" s="24">
        <v>57.0</v>
      </c>
      <c r="B7599" s="24">
        <v>0.0</v>
      </c>
      <c r="C7599" s="44">
        <v>13.31</v>
      </c>
      <c r="D7599" s="46">
        <v>45766.0</v>
      </c>
      <c r="E7599" s="24" t="s">
        <v>6650</v>
      </c>
      <c r="F7599" s="24">
        <v>233.51</v>
      </c>
      <c r="G7599" s="24">
        <v>0.0</v>
      </c>
      <c r="H7599" s="24" t="s">
        <v>6730</v>
      </c>
      <c r="I7599" s="24" t="s">
        <v>6650</v>
      </c>
      <c r="J7599" s="24">
        <v>0.0</v>
      </c>
    </row>
    <row r="7600">
      <c r="A7600" s="24">
        <v>207.0</v>
      </c>
      <c r="B7600" s="24">
        <v>8.0</v>
      </c>
      <c r="C7600" s="44">
        <v>16.09</v>
      </c>
      <c r="D7600" s="46">
        <v>45766.0</v>
      </c>
      <c r="E7600" s="24">
        <v>2.01</v>
      </c>
      <c r="F7600" s="24">
        <v>77.73</v>
      </c>
      <c r="G7600" s="24">
        <v>3.86</v>
      </c>
      <c r="H7600" s="24" t="s">
        <v>6732</v>
      </c>
      <c r="I7600" s="24" t="s">
        <v>6650</v>
      </c>
      <c r="J7600" s="24">
        <v>0.0</v>
      </c>
    </row>
    <row r="7601">
      <c r="A7601" s="24">
        <v>292.0</v>
      </c>
      <c r="B7601" s="24">
        <v>5.0</v>
      </c>
      <c r="C7601" s="44">
        <v>12.02</v>
      </c>
      <c r="D7601" s="46">
        <v>45767.0</v>
      </c>
      <c r="E7601" s="24">
        <v>2.4</v>
      </c>
      <c r="F7601" s="24">
        <v>41.16</v>
      </c>
      <c r="G7601" s="24">
        <v>1.71</v>
      </c>
      <c r="H7601" s="24" t="s">
        <v>6729</v>
      </c>
      <c r="I7601" s="24" t="s">
        <v>6650</v>
      </c>
      <c r="J7601" s="24">
        <v>0.0</v>
      </c>
    </row>
    <row r="7602">
      <c r="A7602" s="24">
        <v>66.0</v>
      </c>
      <c r="B7602" s="24">
        <v>0.0</v>
      </c>
      <c r="C7602" s="44">
        <v>8.94</v>
      </c>
      <c r="D7602" s="46">
        <v>45767.0</v>
      </c>
      <c r="E7602" s="24" t="s">
        <v>6650</v>
      </c>
      <c r="F7602" s="24">
        <v>135.45</v>
      </c>
      <c r="G7602" s="24">
        <v>0.0</v>
      </c>
      <c r="H7602" s="24" t="s">
        <v>6731</v>
      </c>
      <c r="I7602" s="24" t="s">
        <v>6650</v>
      </c>
      <c r="J7602" s="24">
        <v>0.0</v>
      </c>
    </row>
    <row r="7603">
      <c r="A7603" s="24">
        <v>16.0</v>
      </c>
      <c r="B7603" s="24">
        <v>0.0</v>
      </c>
      <c r="C7603" s="44">
        <v>5.27</v>
      </c>
      <c r="D7603" s="46">
        <v>45767.0</v>
      </c>
      <c r="E7603" s="24" t="s">
        <v>6650</v>
      </c>
      <c r="F7603" s="24">
        <v>329.38</v>
      </c>
      <c r="G7603" s="24">
        <v>0.0</v>
      </c>
      <c r="H7603" s="24" t="s">
        <v>6725</v>
      </c>
      <c r="I7603" s="24" t="s">
        <v>6650</v>
      </c>
      <c r="J7603" s="24">
        <v>0.0</v>
      </c>
    </row>
    <row r="7604">
      <c r="A7604" s="24">
        <v>201.0</v>
      </c>
      <c r="B7604" s="24">
        <v>3.0</v>
      </c>
      <c r="C7604" s="44">
        <v>14.27</v>
      </c>
      <c r="D7604" s="46">
        <v>45767.0</v>
      </c>
      <c r="E7604" s="24">
        <v>4.76</v>
      </c>
      <c r="F7604" s="24">
        <v>71.0</v>
      </c>
      <c r="G7604" s="24">
        <v>1.49</v>
      </c>
      <c r="H7604" s="24" t="s">
        <v>6732</v>
      </c>
      <c r="I7604" s="24" t="s">
        <v>6650</v>
      </c>
      <c r="J7604" s="24">
        <v>0.0</v>
      </c>
    </row>
    <row r="7605">
      <c r="A7605" s="24">
        <v>30.0</v>
      </c>
      <c r="B7605" s="24">
        <v>0.0</v>
      </c>
      <c r="C7605" s="44">
        <v>9.83</v>
      </c>
      <c r="D7605" s="46">
        <v>45767.0</v>
      </c>
      <c r="E7605" s="24" t="s">
        <v>6650</v>
      </c>
      <c r="F7605" s="24">
        <v>327.67</v>
      </c>
      <c r="G7605" s="24">
        <v>0.0</v>
      </c>
      <c r="H7605" s="24" t="s">
        <v>6730</v>
      </c>
      <c r="I7605" s="24" t="s">
        <v>6650</v>
      </c>
      <c r="J7605" s="24">
        <v>0.0</v>
      </c>
    </row>
    <row r="7606">
      <c r="A7606" s="24">
        <v>147.0</v>
      </c>
      <c r="B7606" s="24">
        <v>1.0</v>
      </c>
      <c r="C7606" s="44">
        <v>20.52</v>
      </c>
      <c r="D7606" s="46">
        <v>45768.0</v>
      </c>
      <c r="E7606" s="24">
        <v>20.52</v>
      </c>
      <c r="F7606" s="24">
        <v>139.59</v>
      </c>
      <c r="G7606" s="24">
        <v>0.68</v>
      </c>
      <c r="H7606" s="24" t="s">
        <v>6731</v>
      </c>
      <c r="I7606" s="24" t="s">
        <v>6650</v>
      </c>
      <c r="J7606" s="24">
        <v>0.0</v>
      </c>
    </row>
    <row r="7607">
      <c r="A7607" s="24">
        <v>50.0</v>
      </c>
      <c r="B7607" s="24">
        <v>0.0</v>
      </c>
      <c r="C7607" s="44">
        <v>21.43</v>
      </c>
      <c r="D7607" s="46">
        <v>45768.0</v>
      </c>
      <c r="E7607" s="24" t="s">
        <v>6650</v>
      </c>
      <c r="F7607" s="24">
        <v>428.6</v>
      </c>
      <c r="G7607" s="24">
        <v>0.0</v>
      </c>
      <c r="H7607" s="24" t="s">
        <v>6725</v>
      </c>
      <c r="I7607" s="24" t="s">
        <v>6650</v>
      </c>
      <c r="J7607" s="24">
        <v>0.0</v>
      </c>
    </row>
    <row r="7608">
      <c r="A7608" s="24">
        <v>108.0</v>
      </c>
      <c r="B7608" s="24">
        <v>1.0</v>
      </c>
      <c r="C7608" s="44">
        <v>24.27</v>
      </c>
      <c r="D7608" s="46">
        <v>45768.0</v>
      </c>
      <c r="E7608" s="24">
        <v>24.27</v>
      </c>
      <c r="F7608" s="24">
        <v>224.72</v>
      </c>
      <c r="G7608" s="24">
        <v>0.93</v>
      </c>
      <c r="H7608" s="24" t="s">
        <v>6730</v>
      </c>
      <c r="I7608" s="24" t="s">
        <v>6650</v>
      </c>
      <c r="J7608" s="24">
        <v>0.0</v>
      </c>
    </row>
    <row r="7609">
      <c r="A7609" s="24">
        <v>654.0</v>
      </c>
      <c r="B7609" s="24">
        <v>8.0</v>
      </c>
      <c r="C7609" s="44">
        <v>24.52</v>
      </c>
      <c r="D7609" s="46">
        <v>45768.0</v>
      </c>
      <c r="E7609" s="24">
        <v>3.06</v>
      </c>
      <c r="F7609" s="24">
        <v>37.49</v>
      </c>
      <c r="G7609" s="24">
        <v>1.22</v>
      </c>
      <c r="H7609" s="24" t="s">
        <v>6729</v>
      </c>
      <c r="I7609" s="24" t="s">
        <v>6650</v>
      </c>
      <c r="J7609" s="24">
        <v>0.0</v>
      </c>
    </row>
    <row r="7610">
      <c r="A7610" s="24">
        <v>344.0</v>
      </c>
      <c r="B7610" s="24">
        <v>6.0</v>
      </c>
      <c r="C7610" s="44">
        <v>23.23</v>
      </c>
      <c r="D7610" s="46">
        <v>45768.0</v>
      </c>
      <c r="E7610" s="24">
        <v>3.87</v>
      </c>
      <c r="F7610" s="24">
        <v>67.53</v>
      </c>
      <c r="G7610" s="24">
        <v>1.74</v>
      </c>
      <c r="H7610" s="24" t="s">
        <v>6732</v>
      </c>
      <c r="I7610" s="24" t="s">
        <v>6650</v>
      </c>
      <c r="J7610" s="24">
        <v>0.0</v>
      </c>
    </row>
    <row r="7611">
      <c r="A7611" s="24">
        <v>833.0</v>
      </c>
      <c r="B7611" s="24">
        <v>10.0</v>
      </c>
      <c r="C7611" s="44">
        <v>27.29</v>
      </c>
      <c r="D7611" s="46">
        <v>45769.0</v>
      </c>
      <c r="E7611" s="24">
        <v>2.73</v>
      </c>
      <c r="F7611" s="24">
        <v>32.76</v>
      </c>
      <c r="G7611" s="24">
        <v>1.2</v>
      </c>
      <c r="H7611" s="24" t="s">
        <v>6729</v>
      </c>
      <c r="I7611" s="24" t="s">
        <v>6650</v>
      </c>
      <c r="J7611" s="24">
        <v>0.0</v>
      </c>
    </row>
    <row r="7612">
      <c r="A7612" s="24">
        <v>89.0</v>
      </c>
      <c r="B7612" s="24">
        <v>0.0</v>
      </c>
      <c r="C7612" s="44">
        <v>25.3</v>
      </c>
      <c r="D7612" s="46">
        <v>45769.0</v>
      </c>
      <c r="E7612" s="24" t="s">
        <v>6650</v>
      </c>
      <c r="F7612" s="24">
        <v>284.27</v>
      </c>
      <c r="G7612" s="24">
        <v>0.0</v>
      </c>
      <c r="H7612" s="24" t="s">
        <v>6725</v>
      </c>
      <c r="I7612" s="24" t="s">
        <v>6650</v>
      </c>
      <c r="J7612" s="24">
        <v>0.0</v>
      </c>
    </row>
    <row r="7613">
      <c r="A7613" s="24">
        <v>213.0</v>
      </c>
      <c r="B7613" s="24">
        <v>1.0</v>
      </c>
      <c r="C7613" s="44">
        <v>23.41</v>
      </c>
      <c r="D7613" s="46">
        <v>45769.0</v>
      </c>
      <c r="E7613" s="24">
        <v>23.41</v>
      </c>
      <c r="F7613" s="24">
        <v>109.91</v>
      </c>
      <c r="G7613" s="24">
        <v>0.47</v>
      </c>
      <c r="H7613" s="24" t="s">
        <v>6731</v>
      </c>
      <c r="I7613" s="24" t="s">
        <v>6650</v>
      </c>
      <c r="J7613" s="24">
        <v>0.0</v>
      </c>
    </row>
    <row r="7614">
      <c r="A7614" s="24">
        <v>59.0</v>
      </c>
      <c r="B7614" s="24">
        <v>2.0</v>
      </c>
      <c r="C7614" s="44">
        <v>10.91</v>
      </c>
      <c r="D7614" s="46">
        <v>45769.0</v>
      </c>
      <c r="E7614" s="24">
        <v>5.46</v>
      </c>
      <c r="F7614" s="24">
        <v>184.92</v>
      </c>
      <c r="G7614" s="24">
        <v>3.39</v>
      </c>
      <c r="H7614" s="24" t="s">
        <v>6730</v>
      </c>
      <c r="I7614" s="24" t="s">
        <v>6650</v>
      </c>
      <c r="J7614" s="24">
        <v>0.0</v>
      </c>
    </row>
    <row r="7615">
      <c r="A7615" s="24">
        <v>762.0</v>
      </c>
      <c r="B7615" s="24">
        <v>11.0</v>
      </c>
      <c r="C7615" s="44">
        <v>25.12</v>
      </c>
      <c r="D7615" s="46">
        <v>45769.0</v>
      </c>
      <c r="E7615" s="24">
        <v>2.28</v>
      </c>
      <c r="F7615" s="24">
        <v>32.97</v>
      </c>
      <c r="G7615" s="24">
        <v>1.44</v>
      </c>
      <c r="H7615" s="24" t="s">
        <v>6732</v>
      </c>
      <c r="I7615" s="24" t="s">
        <v>6650</v>
      </c>
      <c r="J7615" s="24">
        <v>0.0</v>
      </c>
    </row>
    <row r="7616">
      <c r="A7616" s="24">
        <v>696.0</v>
      </c>
      <c r="B7616" s="24">
        <v>11.0</v>
      </c>
      <c r="C7616" s="44">
        <v>26.7</v>
      </c>
      <c r="D7616" s="46">
        <v>45770.0</v>
      </c>
      <c r="E7616" s="24">
        <v>2.43</v>
      </c>
      <c r="F7616" s="24">
        <v>38.36</v>
      </c>
      <c r="G7616" s="24">
        <v>1.58</v>
      </c>
      <c r="H7616" s="24" t="s">
        <v>6729</v>
      </c>
      <c r="I7616" s="24" t="s">
        <v>6650</v>
      </c>
      <c r="J7616" s="24">
        <v>0.0</v>
      </c>
    </row>
    <row r="7617">
      <c r="A7617" s="24">
        <v>879.0</v>
      </c>
      <c r="B7617" s="24">
        <v>20.0</v>
      </c>
      <c r="C7617" s="44">
        <v>25.19</v>
      </c>
      <c r="D7617" s="46">
        <v>45770.0</v>
      </c>
      <c r="E7617" s="24">
        <v>1.26</v>
      </c>
      <c r="F7617" s="24">
        <v>28.66</v>
      </c>
      <c r="G7617" s="24">
        <v>2.28</v>
      </c>
      <c r="H7617" s="24" t="s">
        <v>6732</v>
      </c>
      <c r="I7617" s="24" t="s">
        <v>6650</v>
      </c>
      <c r="J7617" s="24">
        <v>0.0</v>
      </c>
    </row>
    <row r="7618">
      <c r="A7618" s="24">
        <v>90.0</v>
      </c>
      <c r="B7618" s="24">
        <v>1.0</v>
      </c>
      <c r="C7618" s="44">
        <v>22.95</v>
      </c>
      <c r="D7618" s="46">
        <v>45770.0</v>
      </c>
      <c r="E7618" s="24">
        <v>22.95</v>
      </c>
      <c r="F7618" s="24">
        <v>255.0</v>
      </c>
      <c r="G7618" s="24">
        <v>1.11</v>
      </c>
      <c r="H7618" s="24" t="s">
        <v>6725</v>
      </c>
      <c r="I7618" s="24" t="s">
        <v>6650</v>
      </c>
      <c r="J7618" s="24">
        <v>0.0</v>
      </c>
    </row>
    <row r="7619">
      <c r="A7619" s="24">
        <v>183.0</v>
      </c>
      <c r="B7619" s="24">
        <v>0.0</v>
      </c>
      <c r="C7619" s="44">
        <v>22.82</v>
      </c>
      <c r="D7619" s="46">
        <v>45770.0</v>
      </c>
      <c r="E7619" s="24" t="s">
        <v>6650</v>
      </c>
      <c r="F7619" s="24">
        <v>124.7</v>
      </c>
      <c r="G7619" s="24">
        <v>0.0</v>
      </c>
      <c r="H7619" s="24" t="s">
        <v>6731</v>
      </c>
      <c r="I7619" s="24" t="s">
        <v>6650</v>
      </c>
      <c r="J7619" s="24">
        <v>0.0</v>
      </c>
    </row>
    <row r="7620">
      <c r="A7620" s="24">
        <v>70.0</v>
      </c>
      <c r="B7620" s="24">
        <v>1.0</v>
      </c>
      <c r="C7620" s="44">
        <v>23.84</v>
      </c>
      <c r="D7620" s="46">
        <v>45771.0</v>
      </c>
      <c r="E7620" s="24">
        <v>23.84</v>
      </c>
      <c r="F7620" s="24">
        <v>340.57</v>
      </c>
      <c r="G7620" s="24">
        <v>1.43</v>
      </c>
      <c r="H7620" s="24" t="s">
        <v>6725</v>
      </c>
      <c r="I7620" s="24" t="s">
        <v>6650</v>
      </c>
      <c r="J7620" s="24">
        <v>0.0</v>
      </c>
    </row>
    <row r="7621">
      <c r="A7621" s="24">
        <v>172.0</v>
      </c>
      <c r="B7621" s="24">
        <v>0.0</v>
      </c>
      <c r="C7621" s="44">
        <v>23.1</v>
      </c>
      <c r="D7621" s="46">
        <v>45771.0</v>
      </c>
      <c r="E7621" s="24" t="s">
        <v>6650</v>
      </c>
      <c r="F7621" s="24">
        <v>134.3</v>
      </c>
      <c r="G7621" s="24">
        <v>0.0</v>
      </c>
      <c r="H7621" s="24" t="s">
        <v>6731</v>
      </c>
      <c r="I7621" s="24" t="s">
        <v>6650</v>
      </c>
      <c r="J7621" s="24">
        <v>0.0</v>
      </c>
    </row>
    <row r="7622">
      <c r="A7622" s="24">
        <v>786.0</v>
      </c>
      <c r="B7622" s="24">
        <v>16.0</v>
      </c>
      <c r="C7622" s="44">
        <v>25.02</v>
      </c>
      <c r="D7622" s="46">
        <v>45771.0</v>
      </c>
      <c r="E7622" s="24">
        <v>1.56</v>
      </c>
      <c r="F7622" s="24">
        <v>31.83</v>
      </c>
      <c r="G7622" s="24">
        <v>2.04</v>
      </c>
      <c r="H7622" s="24" t="s">
        <v>6732</v>
      </c>
      <c r="I7622" s="24" t="s">
        <v>6650</v>
      </c>
      <c r="J7622" s="24">
        <v>0.0</v>
      </c>
    </row>
    <row r="7623">
      <c r="A7623" s="24">
        <v>1099.0</v>
      </c>
      <c r="B7623" s="24">
        <v>19.0</v>
      </c>
      <c r="C7623" s="44">
        <v>27.06</v>
      </c>
      <c r="D7623" s="46">
        <v>45771.0</v>
      </c>
      <c r="E7623" s="24">
        <v>1.42</v>
      </c>
      <c r="F7623" s="24">
        <v>24.62</v>
      </c>
      <c r="G7623" s="24">
        <v>1.73</v>
      </c>
      <c r="H7623" s="24" t="s">
        <v>6729</v>
      </c>
      <c r="I7623" s="24" t="s">
        <v>6650</v>
      </c>
      <c r="J7623" s="24">
        <v>0.0</v>
      </c>
    </row>
    <row r="7624">
      <c r="A7624" s="24">
        <v>289.0</v>
      </c>
      <c r="B7624" s="24">
        <v>6.0</v>
      </c>
      <c r="C7624" s="44">
        <v>24.27</v>
      </c>
      <c r="D7624" s="46">
        <v>45772.0</v>
      </c>
      <c r="E7624" s="24">
        <v>4.04</v>
      </c>
      <c r="F7624" s="24">
        <v>83.98</v>
      </c>
      <c r="G7624" s="24">
        <v>2.08</v>
      </c>
      <c r="H7624" s="24" t="s">
        <v>6732</v>
      </c>
      <c r="I7624" s="24" t="s">
        <v>6650</v>
      </c>
      <c r="J7624" s="24">
        <v>0.0</v>
      </c>
    </row>
    <row r="7625">
      <c r="A7625" s="24">
        <v>17.0</v>
      </c>
      <c r="B7625" s="24">
        <v>1.0</v>
      </c>
      <c r="C7625" s="44">
        <v>7.72</v>
      </c>
      <c r="D7625" s="46">
        <v>45772.0</v>
      </c>
      <c r="E7625" s="24">
        <v>7.72</v>
      </c>
      <c r="F7625" s="24">
        <v>454.12</v>
      </c>
      <c r="G7625" s="24">
        <v>5.88</v>
      </c>
      <c r="H7625" s="24" t="s">
        <v>6725</v>
      </c>
      <c r="I7625" s="24" t="s">
        <v>6650</v>
      </c>
      <c r="J7625" s="24">
        <v>0.0</v>
      </c>
    </row>
    <row r="7626">
      <c r="A7626" s="24">
        <v>288.0</v>
      </c>
      <c r="B7626" s="24">
        <v>10.0</v>
      </c>
      <c r="C7626" s="44">
        <v>27.07</v>
      </c>
      <c r="D7626" s="46">
        <v>45772.0</v>
      </c>
      <c r="E7626" s="24">
        <v>2.71</v>
      </c>
      <c r="F7626" s="24">
        <v>93.99</v>
      </c>
      <c r="G7626" s="24">
        <v>3.47</v>
      </c>
      <c r="H7626" s="24" t="s">
        <v>6729</v>
      </c>
      <c r="I7626" s="24" t="s">
        <v>6650</v>
      </c>
      <c r="J7626" s="24">
        <v>0.0</v>
      </c>
    </row>
    <row r="7627">
      <c r="A7627" s="24">
        <v>99.0</v>
      </c>
      <c r="B7627" s="24">
        <v>1.0</v>
      </c>
      <c r="C7627" s="44">
        <v>21.49</v>
      </c>
      <c r="D7627" s="46">
        <v>45772.0</v>
      </c>
      <c r="E7627" s="24">
        <v>21.49</v>
      </c>
      <c r="F7627" s="24">
        <v>217.07</v>
      </c>
      <c r="G7627" s="24">
        <v>1.01</v>
      </c>
      <c r="H7627" s="24" t="s">
        <v>6731</v>
      </c>
      <c r="I7627" s="24" t="s">
        <v>6650</v>
      </c>
      <c r="J7627" s="24">
        <v>0.0</v>
      </c>
    </row>
    <row r="7628">
      <c r="A7628" s="24">
        <v>255.0</v>
      </c>
      <c r="B7628" s="24">
        <v>3.0</v>
      </c>
      <c r="C7628" s="44">
        <v>17.22</v>
      </c>
      <c r="D7628" s="46">
        <v>45773.0</v>
      </c>
      <c r="E7628" s="24">
        <v>5.74</v>
      </c>
      <c r="F7628" s="24">
        <v>67.53</v>
      </c>
      <c r="G7628" s="24">
        <v>1.18</v>
      </c>
      <c r="H7628" s="24" t="s">
        <v>6729</v>
      </c>
      <c r="I7628" s="24" t="s">
        <v>6650</v>
      </c>
      <c r="J7628" s="24">
        <v>0.0</v>
      </c>
    </row>
    <row r="7629">
      <c r="A7629" s="24">
        <v>94.0</v>
      </c>
      <c r="B7629" s="24">
        <v>0.0</v>
      </c>
      <c r="C7629" s="44">
        <v>12.77</v>
      </c>
      <c r="D7629" s="46">
        <v>45773.0</v>
      </c>
      <c r="E7629" s="24" t="s">
        <v>6650</v>
      </c>
      <c r="F7629" s="24">
        <v>135.85</v>
      </c>
      <c r="G7629" s="24">
        <v>0.0</v>
      </c>
      <c r="H7629" s="24" t="s">
        <v>6731</v>
      </c>
      <c r="I7629" s="24" t="s">
        <v>6650</v>
      </c>
      <c r="J7629" s="24">
        <v>0.0</v>
      </c>
    </row>
    <row r="7630">
      <c r="A7630" s="24">
        <v>0.0</v>
      </c>
      <c r="B7630" s="24">
        <v>0.0</v>
      </c>
      <c r="C7630" s="44"/>
      <c r="D7630" s="46">
        <v>45773.0</v>
      </c>
      <c r="E7630" s="24" t="s">
        <v>6650</v>
      </c>
      <c r="F7630" s="24" t="s">
        <v>6650</v>
      </c>
      <c r="G7630" s="24" t="s">
        <v>6650</v>
      </c>
      <c r="H7630" s="24" t="s">
        <v>6725</v>
      </c>
      <c r="I7630" s="24" t="s">
        <v>6650</v>
      </c>
      <c r="J7630" s="24"/>
    </row>
    <row r="7631">
      <c r="A7631" s="24">
        <v>114.0</v>
      </c>
      <c r="B7631" s="24">
        <v>2.0</v>
      </c>
      <c r="C7631" s="44">
        <v>15.47</v>
      </c>
      <c r="D7631" s="46">
        <v>45773.0</v>
      </c>
      <c r="E7631" s="24">
        <v>7.74</v>
      </c>
      <c r="F7631" s="24">
        <v>135.7</v>
      </c>
      <c r="G7631" s="24">
        <v>1.75</v>
      </c>
      <c r="H7631" s="24" t="s">
        <v>6732</v>
      </c>
      <c r="I7631" s="24" t="s">
        <v>6650</v>
      </c>
      <c r="J7631" s="24">
        <v>0.0</v>
      </c>
    </row>
    <row r="7632">
      <c r="A7632" s="24">
        <v>232.0</v>
      </c>
      <c r="B7632" s="24">
        <v>4.0</v>
      </c>
      <c r="C7632" s="44">
        <v>10.5</v>
      </c>
      <c r="D7632" s="46">
        <v>45774.0</v>
      </c>
      <c r="E7632" s="24">
        <v>2.62</v>
      </c>
      <c r="F7632" s="24">
        <v>45.26</v>
      </c>
      <c r="G7632" s="24">
        <v>1.72</v>
      </c>
      <c r="H7632" s="24" t="s">
        <v>6732</v>
      </c>
      <c r="I7632" s="24" t="s">
        <v>6650</v>
      </c>
      <c r="J7632" s="24">
        <v>0.0</v>
      </c>
    </row>
    <row r="7633">
      <c r="A7633" s="24">
        <v>57.0</v>
      </c>
      <c r="B7633" s="24">
        <v>1.0</v>
      </c>
      <c r="C7633" s="44">
        <v>8.89</v>
      </c>
      <c r="D7633" s="46">
        <v>45774.0</v>
      </c>
      <c r="E7633" s="24">
        <v>8.89</v>
      </c>
      <c r="F7633" s="24">
        <v>155.96</v>
      </c>
      <c r="G7633" s="24">
        <v>1.75</v>
      </c>
      <c r="H7633" s="24" t="s">
        <v>6731</v>
      </c>
      <c r="I7633" s="24" t="s">
        <v>6650</v>
      </c>
      <c r="J7633" s="24">
        <v>0.0</v>
      </c>
    </row>
    <row r="7634">
      <c r="A7634" s="24">
        <v>138.0</v>
      </c>
      <c r="B7634" s="24">
        <v>2.0</v>
      </c>
      <c r="C7634" s="44">
        <v>9.74</v>
      </c>
      <c r="D7634" s="46">
        <v>45774.0</v>
      </c>
      <c r="E7634" s="24">
        <v>4.87</v>
      </c>
      <c r="F7634" s="24">
        <v>70.58</v>
      </c>
      <c r="G7634" s="24">
        <v>1.45</v>
      </c>
      <c r="H7634" s="24" t="s">
        <v>6729</v>
      </c>
      <c r="I7634" s="24" t="s">
        <v>6650</v>
      </c>
      <c r="J7634" s="24">
        <v>0.0</v>
      </c>
    </row>
    <row r="7635">
      <c r="A7635" s="24">
        <v>714.0</v>
      </c>
      <c r="B7635" s="24">
        <v>10.0</v>
      </c>
      <c r="C7635" s="44">
        <v>24.59</v>
      </c>
      <c r="D7635" s="46">
        <v>45775.0</v>
      </c>
      <c r="E7635" s="24">
        <v>2.46</v>
      </c>
      <c r="F7635" s="24">
        <v>34.44</v>
      </c>
      <c r="G7635" s="24">
        <v>1.4</v>
      </c>
      <c r="H7635" s="24" t="s">
        <v>6732</v>
      </c>
      <c r="I7635" s="24" t="s">
        <v>6650</v>
      </c>
      <c r="J7635" s="24">
        <v>0.0</v>
      </c>
    </row>
    <row r="7636">
      <c r="A7636" s="24">
        <v>1422.0</v>
      </c>
      <c r="B7636" s="24">
        <v>29.0</v>
      </c>
      <c r="C7636" s="44">
        <v>26.36</v>
      </c>
      <c r="D7636" s="46">
        <v>45775.0</v>
      </c>
      <c r="E7636" s="24">
        <v>0.91</v>
      </c>
      <c r="F7636" s="24">
        <v>18.54</v>
      </c>
      <c r="G7636" s="24">
        <v>2.04</v>
      </c>
      <c r="H7636" s="24" t="s">
        <v>6729</v>
      </c>
      <c r="I7636" s="24" t="s">
        <v>6650</v>
      </c>
      <c r="J7636" s="24">
        <v>0.0</v>
      </c>
    </row>
    <row r="7637">
      <c r="A7637" s="24">
        <v>129.0</v>
      </c>
      <c r="B7637" s="24">
        <v>0.0</v>
      </c>
      <c r="C7637" s="44">
        <v>22.28</v>
      </c>
      <c r="D7637" s="46">
        <v>45775.0</v>
      </c>
      <c r="E7637" s="24" t="s">
        <v>6650</v>
      </c>
      <c r="F7637" s="24">
        <v>172.71</v>
      </c>
      <c r="G7637" s="24">
        <v>0.0</v>
      </c>
      <c r="H7637" s="24" t="s">
        <v>6731</v>
      </c>
      <c r="I7637" s="24" t="s">
        <v>6650</v>
      </c>
      <c r="J7637" s="24">
        <v>0.0</v>
      </c>
    </row>
    <row r="7638">
      <c r="A7638" s="24">
        <v>331.0</v>
      </c>
      <c r="B7638" s="24">
        <v>11.0</v>
      </c>
      <c r="C7638" s="44">
        <v>26.36</v>
      </c>
      <c r="D7638" s="46">
        <v>45776.0</v>
      </c>
      <c r="E7638" s="24">
        <v>2.4</v>
      </c>
      <c r="F7638" s="24">
        <v>79.64</v>
      </c>
      <c r="G7638" s="24">
        <v>3.32</v>
      </c>
      <c r="H7638" s="24" t="s">
        <v>6732</v>
      </c>
      <c r="I7638" s="24" t="s">
        <v>6650</v>
      </c>
      <c r="J7638" s="24">
        <v>0.0</v>
      </c>
    </row>
    <row r="7639">
      <c r="A7639" s="24">
        <v>593.0</v>
      </c>
      <c r="B7639" s="24">
        <v>19.0</v>
      </c>
      <c r="C7639" s="44">
        <v>27.32</v>
      </c>
      <c r="D7639" s="46">
        <v>45776.0</v>
      </c>
      <c r="E7639" s="24">
        <v>1.44</v>
      </c>
      <c r="F7639" s="24">
        <v>46.07</v>
      </c>
      <c r="G7639" s="24">
        <v>3.2</v>
      </c>
      <c r="H7639" s="24" t="s">
        <v>6729</v>
      </c>
      <c r="I7639" s="24" t="s">
        <v>6650</v>
      </c>
      <c r="J7639" s="24">
        <v>0.0</v>
      </c>
    </row>
    <row r="7640">
      <c r="A7640" s="24">
        <v>143.0</v>
      </c>
      <c r="B7640" s="24">
        <v>1.0</v>
      </c>
      <c r="C7640" s="44">
        <v>22.99</v>
      </c>
      <c r="D7640" s="46">
        <v>45776.0</v>
      </c>
      <c r="E7640" s="24">
        <v>22.99</v>
      </c>
      <c r="F7640" s="24">
        <v>160.77</v>
      </c>
      <c r="G7640" s="24">
        <v>0.7</v>
      </c>
      <c r="H7640" s="24" t="s">
        <v>6731</v>
      </c>
      <c r="I7640" s="24" t="s">
        <v>6650</v>
      </c>
      <c r="J7640" s="24">
        <v>0.0</v>
      </c>
    </row>
    <row r="7641">
      <c r="A7641" s="24">
        <v>748.0</v>
      </c>
      <c r="B7641" s="24">
        <v>16.0</v>
      </c>
      <c r="C7641" s="44">
        <v>26.86</v>
      </c>
      <c r="D7641" s="46">
        <v>45777.0</v>
      </c>
      <c r="E7641" s="24">
        <v>1.68</v>
      </c>
      <c r="F7641" s="24">
        <v>35.91</v>
      </c>
      <c r="G7641" s="24">
        <v>2.14</v>
      </c>
      <c r="H7641" s="24" t="s">
        <v>6729</v>
      </c>
      <c r="I7641" s="24" t="s">
        <v>6650</v>
      </c>
      <c r="J7641" s="24">
        <v>0.0</v>
      </c>
    </row>
    <row r="7642">
      <c r="A7642" s="24">
        <v>869.0</v>
      </c>
      <c r="B7642" s="24">
        <v>16.0</v>
      </c>
      <c r="C7642" s="44">
        <v>25.01</v>
      </c>
      <c r="D7642" s="46">
        <v>45777.0</v>
      </c>
      <c r="E7642" s="24">
        <v>1.56</v>
      </c>
      <c r="F7642" s="24">
        <v>28.78</v>
      </c>
      <c r="G7642" s="24">
        <v>1.84</v>
      </c>
      <c r="H7642" s="24" t="s">
        <v>6732</v>
      </c>
      <c r="I7642" s="24" t="s">
        <v>6650</v>
      </c>
      <c r="J7642" s="24">
        <v>0.0</v>
      </c>
    </row>
    <row r="7643">
      <c r="A7643" s="24">
        <v>217.0</v>
      </c>
      <c r="B7643" s="24">
        <v>1.0</v>
      </c>
      <c r="C7643" s="44">
        <v>22.89</v>
      </c>
      <c r="D7643" s="46">
        <v>45777.0</v>
      </c>
      <c r="E7643" s="24">
        <v>22.89</v>
      </c>
      <c r="F7643" s="24">
        <v>105.48</v>
      </c>
      <c r="G7643" s="24">
        <v>0.46</v>
      </c>
      <c r="H7643" s="24" t="s">
        <v>6731</v>
      </c>
      <c r="I7643" s="24" t="s">
        <v>6650</v>
      </c>
      <c r="J7643" s="24">
        <v>0.0</v>
      </c>
    </row>
    <row r="7644">
      <c r="A7644" s="24">
        <v>203.0</v>
      </c>
      <c r="B7644" s="24">
        <v>3.0</v>
      </c>
      <c r="C7644" s="44">
        <v>22.01</v>
      </c>
      <c r="D7644" s="46">
        <v>45778.0</v>
      </c>
      <c r="E7644" s="24">
        <v>7.34</v>
      </c>
      <c r="F7644" s="24">
        <v>108.42</v>
      </c>
      <c r="G7644" s="24">
        <v>1.48</v>
      </c>
      <c r="H7644" s="24" t="s">
        <v>6731</v>
      </c>
      <c r="I7644" s="24" t="s">
        <v>6650</v>
      </c>
      <c r="J7644" s="24">
        <v>0.0</v>
      </c>
    </row>
    <row r="7645">
      <c r="A7645" s="24">
        <v>501.0</v>
      </c>
      <c r="B7645" s="24">
        <v>13.0</v>
      </c>
      <c r="C7645" s="44">
        <v>24.62</v>
      </c>
      <c r="D7645" s="46">
        <v>45778.0</v>
      </c>
      <c r="E7645" s="24">
        <v>1.89</v>
      </c>
      <c r="F7645" s="24">
        <v>49.14</v>
      </c>
      <c r="G7645" s="24">
        <v>2.59</v>
      </c>
      <c r="H7645" s="24" t="s">
        <v>6732</v>
      </c>
      <c r="I7645" s="24" t="s">
        <v>6650</v>
      </c>
      <c r="J7645" s="24">
        <v>0.0</v>
      </c>
    </row>
    <row r="7646">
      <c r="A7646" s="24">
        <v>1144.0</v>
      </c>
      <c r="B7646" s="24">
        <v>15.0</v>
      </c>
      <c r="C7646" s="44">
        <v>26.12</v>
      </c>
      <c r="D7646" s="46">
        <v>45778.0</v>
      </c>
      <c r="E7646" s="24">
        <v>1.74</v>
      </c>
      <c r="F7646" s="24">
        <v>22.83</v>
      </c>
      <c r="G7646" s="24">
        <v>1.31</v>
      </c>
      <c r="H7646" s="24" t="s">
        <v>6729</v>
      </c>
      <c r="I7646" s="24" t="s">
        <v>6650</v>
      </c>
      <c r="J7646" s="24">
        <v>0.0</v>
      </c>
    </row>
    <row r="7647">
      <c r="A7647" s="24">
        <v>489.0</v>
      </c>
      <c r="B7647" s="24">
        <v>12.0</v>
      </c>
      <c r="C7647" s="44">
        <v>23.44</v>
      </c>
      <c r="D7647" s="46">
        <v>45779.0</v>
      </c>
      <c r="E7647" s="24">
        <v>1.95</v>
      </c>
      <c r="F7647" s="24">
        <v>47.93</v>
      </c>
      <c r="G7647" s="24">
        <v>2.45</v>
      </c>
      <c r="H7647" s="24" t="s">
        <v>6732</v>
      </c>
      <c r="I7647" s="24" t="s">
        <v>6650</v>
      </c>
      <c r="J7647" s="24">
        <v>0.0</v>
      </c>
    </row>
    <row r="7648">
      <c r="A7648" s="24">
        <v>627.0</v>
      </c>
      <c r="B7648" s="24">
        <v>15.0</v>
      </c>
      <c r="C7648" s="44">
        <v>25.96</v>
      </c>
      <c r="D7648" s="46">
        <v>45779.0</v>
      </c>
      <c r="E7648" s="24">
        <v>1.73</v>
      </c>
      <c r="F7648" s="24">
        <v>41.4</v>
      </c>
      <c r="G7648" s="24">
        <v>2.39</v>
      </c>
      <c r="H7648" s="24" t="s">
        <v>6729</v>
      </c>
      <c r="I7648" s="24" t="s">
        <v>6650</v>
      </c>
      <c r="J7648" s="24">
        <v>0.0</v>
      </c>
    </row>
    <row r="7649">
      <c r="A7649" s="24">
        <v>214.0</v>
      </c>
      <c r="B7649" s="24">
        <v>1.0</v>
      </c>
      <c r="C7649" s="44">
        <v>21.01</v>
      </c>
      <c r="D7649" s="46">
        <v>45779.0</v>
      </c>
      <c r="E7649" s="24">
        <v>21.01</v>
      </c>
      <c r="F7649" s="24">
        <v>98.18</v>
      </c>
      <c r="G7649" s="24">
        <v>0.47</v>
      </c>
      <c r="H7649" s="24" t="s">
        <v>6731</v>
      </c>
      <c r="I7649" s="24" t="s">
        <v>6650</v>
      </c>
      <c r="J7649" s="24">
        <v>0.0</v>
      </c>
    </row>
    <row r="7650">
      <c r="A7650" s="24">
        <v>30.0</v>
      </c>
      <c r="B7650" s="24">
        <v>2.0</v>
      </c>
      <c r="C7650" s="44">
        <v>11.01</v>
      </c>
      <c r="D7650" s="46">
        <v>45780.0</v>
      </c>
      <c r="E7650" s="24">
        <v>5.5</v>
      </c>
      <c r="F7650" s="24">
        <v>367.0</v>
      </c>
      <c r="G7650" s="24">
        <v>6.67</v>
      </c>
      <c r="H7650" s="24" t="s">
        <v>6733</v>
      </c>
      <c r="I7650" s="24" t="s">
        <v>6650</v>
      </c>
      <c r="J7650" s="24">
        <v>0.0</v>
      </c>
    </row>
    <row r="7651">
      <c r="A7651" s="24">
        <v>306.0</v>
      </c>
      <c r="B7651" s="24">
        <v>5.0</v>
      </c>
      <c r="C7651" s="44">
        <v>15.53</v>
      </c>
      <c r="D7651" s="46">
        <v>45780.0</v>
      </c>
      <c r="E7651" s="24">
        <v>3.11</v>
      </c>
      <c r="F7651" s="24">
        <v>50.75</v>
      </c>
      <c r="G7651" s="24">
        <v>1.63</v>
      </c>
      <c r="H7651" s="24" t="s">
        <v>6729</v>
      </c>
      <c r="I7651" s="24" t="s">
        <v>6650</v>
      </c>
      <c r="J7651" s="24">
        <v>0.0</v>
      </c>
    </row>
    <row r="7652">
      <c r="A7652" s="24">
        <v>226.0</v>
      </c>
      <c r="B7652" s="24">
        <v>4.0</v>
      </c>
      <c r="C7652" s="44">
        <v>13.45</v>
      </c>
      <c r="D7652" s="46">
        <v>45780.0</v>
      </c>
      <c r="E7652" s="24">
        <v>3.36</v>
      </c>
      <c r="F7652" s="24">
        <v>59.51</v>
      </c>
      <c r="G7652" s="24">
        <v>1.77</v>
      </c>
      <c r="H7652" s="24" t="s">
        <v>6732</v>
      </c>
      <c r="I7652" s="24" t="s">
        <v>6650</v>
      </c>
      <c r="J7652" s="24">
        <v>0.0</v>
      </c>
    </row>
    <row r="7653">
      <c r="A7653" s="24">
        <v>109.0</v>
      </c>
      <c r="B7653" s="24">
        <v>0.0</v>
      </c>
      <c r="C7653" s="44">
        <v>12.72</v>
      </c>
      <c r="D7653" s="46">
        <v>45780.0</v>
      </c>
      <c r="E7653" s="24" t="s">
        <v>6650</v>
      </c>
      <c r="F7653" s="24">
        <v>116.7</v>
      </c>
      <c r="G7653" s="24">
        <v>0.0</v>
      </c>
      <c r="H7653" s="24" t="s">
        <v>6731</v>
      </c>
      <c r="I7653" s="24" t="s">
        <v>6650</v>
      </c>
      <c r="J7653" s="24">
        <v>0.0</v>
      </c>
    </row>
    <row r="7654">
      <c r="A7654" s="24">
        <v>131.0</v>
      </c>
      <c r="B7654" s="24">
        <v>0.0</v>
      </c>
      <c r="C7654" s="44">
        <v>43.36</v>
      </c>
      <c r="D7654" s="46">
        <v>45780.0</v>
      </c>
      <c r="E7654" s="24" t="s">
        <v>6650</v>
      </c>
      <c r="F7654" s="24">
        <v>330.99</v>
      </c>
      <c r="G7654" s="24">
        <v>0.0</v>
      </c>
      <c r="H7654" s="24" t="s">
        <v>6725</v>
      </c>
      <c r="I7654" s="24" t="s">
        <v>6650</v>
      </c>
      <c r="J7654" s="24">
        <v>0.0</v>
      </c>
    </row>
    <row r="7655">
      <c r="A7655" s="24">
        <v>209.0</v>
      </c>
      <c r="B7655" s="24">
        <v>2.0</v>
      </c>
      <c r="C7655" s="44">
        <v>11.45</v>
      </c>
      <c r="D7655" s="46">
        <v>45781.0</v>
      </c>
      <c r="E7655" s="24">
        <v>5.72</v>
      </c>
      <c r="F7655" s="24">
        <v>54.78</v>
      </c>
      <c r="G7655" s="24">
        <v>0.96</v>
      </c>
      <c r="H7655" s="24" t="s">
        <v>6729</v>
      </c>
      <c r="I7655" s="24" t="s">
        <v>6650</v>
      </c>
      <c r="J7655" s="24">
        <v>0.0</v>
      </c>
    </row>
    <row r="7656">
      <c r="A7656" s="24">
        <v>91.0</v>
      </c>
      <c r="B7656" s="24">
        <v>1.0</v>
      </c>
      <c r="C7656" s="44">
        <v>36.64</v>
      </c>
      <c r="D7656" s="46">
        <v>45781.0</v>
      </c>
      <c r="E7656" s="24">
        <v>36.64</v>
      </c>
      <c r="F7656" s="24">
        <v>402.64</v>
      </c>
      <c r="G7656" s="24">
        <v>1.1</v>
      </c>
      <c r="H7656" s="24" t="s">
        <v>6725</v>
      </c>
      <c r="I7656" s="24" t="s">
        <v>6650</v>
      </c>
      <c r="J7656" s="24">
        <v>0.0</v>
      </c>
    </row>
    <row r="7657">
      <c r="A7657" s="24">
        <v>12.0</v>
      </c>
      <c r="B7657" s="24">
        <v>0.0</v>
      </c>
      <c r="C7657" s="44">
        <v>9.35</v>
      </c>
      <c r="D7657" s="46">
        <v>45781.0</v>
      </c>
      <c r="E7657" s="24" t="s">
        <v>6650</v>
      </c>
      <c r="F7657" s="24">
        <v>779.17</v>
      </c>
      <c r="G7657" s="24">
        <v>0.0</v>
      </c>
      <c r="H7657" s="24" t="s">
        <v>6733</v>
      </c>
      <c r="I7657" s="24" t="s">
        <v>6650</v>
      </c>
      <c r="J7657" s="24">
        <v>0.0</v>
      </c>
    </row>
    <row r="7658">
      <c r="A7658" s="24">
        <v>176.0</v>
      </c>
      <c r="B7658" s="24">
        <v>5.0</v>
      </c>
      <c r="C7658" s="44">
        <v>11.58</v>
      </c>
      <c r="D7658" s="46">
        <v>45781.0</v>
      </c>
      <c r="E7658" s="24">
        <v>2.32</v>
      </c>
      <c r="F7658" s="24">
        <v>65.8</v>
      </c>
      <c r="G7658" s="24">
        <v>2.84</v>
      </c>
      <c r="H7658" s="24" t="s">
        <v>6732</v>
      </c>
      <c r="I7658" s="24" t="s">
        <v>6650</v>
      </c>
      <c r="J7658" s="24">
        <v>0.0</v>
      </c>
    </row>
    <row r="7659">
      <c r="A7659" s="24">
        <v>62.0</v>
      </c>
      <c r="B7659" s="24">
        <v>0.0</v>
      </c>
      <c r="C7659" s="44">
        <v>9.1</v>
      </c>
      <c r="D7659" s="46">
        <v>45781.0</v>
      </c>
      <c r="E7659" s="24" t="s">
        <v>6650</v>
      </c>
      <c r="F7659" s="24">
        <v>146.77</v>
      </c>
      <c r="G7659" s="24">
        <v>0.0</v>
      </c>
      <c r="H7659" s="24" t="s">
        <v>6731</v>
      </c>
      <c r="I7659" s="24" t="s">
        <v>6650</v>
      </c>
      <c r="J7659" s="24">
        <v>0.0</v>
      </c>
    </row>
    <row r="7660">
      <c r="A7660" s="24">
        <v>306.0</v>
      </c>
      <c r="B7660" s="24">
        <v>0.0</v>
      </c>
      <c r="C7660" s="44">
        <v>21.53</v>
      </c>
      <c r="D7660" s="46">
        <v>45782.0</v>
      </c>
      <c r="E7660" s="24" t="s">
        <v>6650</v>
      </c>
      <c r="F7660" s="24">
        <v>70.36</v>
      </c>
      <c r="G7660" s="24">
        <v>0.0</v>
      </c>
      <c r="H7660" s="24" t="s">
        <v>6731</v>
      </c>
      <c r="I7660" s="24" t="s">
        <v>6650</v>
      </c>
      <c r="J7660" s="24">
        <v>0.0</v>
      </c>
    </row>
    <row r="7661">
      <c r="A7661" s="24">
        <v>110.0</v>
      </c>
      <c r="B7661" s="24">
        <v>0.0</v>
      </c>
      <c r="C7661" s="44">
        <v>46.77</v>
      </c>
      <c r="D7661" s="46">
        <v>45782.0</v>
      </c>
      <c r="E7661" s="24" t="s">
        <v>6650</v>
      </c>
      <c r="F7661" s="24">
        <v>425.18</v>
      </c>
      <c r="G7661" s="24">
        <v>0.0</v>
      </c>
      <c r="H7661" s="24" t="s">
        <v>6725</v>
      </c>
      <c r="I7661" s="24" t="s">
        <v>6650</v>
      </c>
      <c r="J7661" s="24">
        <v>0.0</v>
      </c>
    </row>
    <row r="7662">
      <c r="A7662" s="24">
        <v>405.0</v>
      </c>
      <c r="B7662" s="24">
        <v>8.0</v>
      </c>
      <c r="C7662" s="44">
        <v>26.48</v>
      </c>
      <c r="D7662" s="46">
        <v>45782.0</v>
      </c>
      <c r="E7662" s="24">
        <v>3.31</v>
      </c>
      <c r="F7662" s="24">
        <v>65.38</v>
      </c>
      <c r="G7662" s="24">
        <v>1.98</v>
      </c>
      <c r="H7662" s="24" t="s">
        <v>6729</v>
      </c>
      <c r="I7662" s="24" t="s">
        <v>6650</v>
      </c>
      <c r="J7662" s="24">
        <v>0.0</v>
      </c>
    </row>
    <row r="7663">
      <c r="A7663" s="24">
        <v>964.0</v>
      </c>
      <c r="B7663" s="24">
        <v>19.0</v>
      </c>
      <c r="C7663" s="44">
        <v>23.6</v>
      </c>
      <c r="D7663" s="46">
        <v>45782.0</v>
      </c>
      <c r="E7663" s="24">
        <v>1.24</v>
      </c>
      <c r="F7663" s="24">
        <v>24.48</v>
      </c>
      <c r="G7663" s="24">
        <v>1.97</v>
      </c>
      <c r="H7663" s="24" t="s">
        <v>6732</v>
      </c>
      <c r="I7663" s="24" t="s">
        <v>6650</v>
      </c>
      <c r="J7663" s="24">
        <v>0.0</v>
      </c>
    </row>
    <row r="7664">
      <c r="A7664" s="24">
        <v>22.0</v>
      </c>
      <c r="B7664" s="24">
        <v>1.0</v>
      </c>
      <c r="C7664" s="44">
        <v>13.31</v>
      </c>
      <c r="D7664" s="46">
        <v>45782.0</v>
      </c>
      <c r="E7664" s="24">
        <v>13.31</v>
      </c>
      <c r="F7664" s="24">
        <v>605.0</v>
      </c>
      <c r="G7664" s="24">
        <v>4.55</v>
      </c>
      <c r="H7664" s="24" t="s">
        <v>6733</v>
      </c>
      <c r="I7664" s="24" t="s">
        <v>6650</v>
      </c>
      <c r="J7664" s="24">
        <v>0.0</v>
      </c>
    </row>
    <row r="7665">
      <c r="A7665" s="24">
        <v>777.0</v>
      </c>
      <c r="B7665" s="24">
        <v>12.0</v>
      </c>
      <c r="C7665" s="44">
        <v>27.53</v>
      </c>
      <c r="D7665" s="46">
        <v>45783.0</v>
      </c>
      <c r="E7665" s="24">
        <v>2.29</v>
      </c>
      <c r="F7665" s="24">
        <v>35.43</v>
      </c>
      <c r="G7665" s="24">
        <v>1.54</v>
      </c>
      <c r="H7665" s="24" t="s">
        <v>6729</v>
      </c>
      <c r="I7665" s="24" t="s">
        <v>6650</v>
      </c>
      <c r="J7665" s="24">
        <v>0.0</v>
      </c>
    </row>
    <row r="7666">
      <c r="A7666" s="24">
        <v>30.0</v>
      </c>
      <c r="B7666" s="24">
        <v>0.0</v>
      </c>
      <c r="C7666" s="44">
        <v>12.03</v>
      </c>
      <c r="D7666" s="46">
        <v>45783.0</v>
      </c>
      <c r="E7666" s="24" t="s">
        <v>6650</v>
      </c>
      <c r="F7666" s="24">
        <v>401.0</v>
      </c>
      <c r="G7666" s="24">
        <v>0.0</v>
      </c>
      <c r="H7666" s="24" t="s">
        <v>6733</v>
      </c>
      <c r="I7666" s="24" t="s">
        <v>6650</v>
      </c>
      <c r="J7666" s="24">
        <v>0.0</v>
      </c>
    </row>
    <row r="7667">
      <c r="A7667" s="24">
        <v>115.0</v>
      </c>
      <c r="B7667" s="24">
        <v>0.0</v>
      </c>
      <c r="C7667" s="44">
        <v>47.79</v>
      </c>
      <c r="D7667" s="46">
        <v>45783.0</v>
      </c>
      <c r="E7667" s="24" t="s">
        <v>6650</v>
      </c>
      <c r="F7667" s="24">
        <v>415.57</v>
      </c>
      <c r="G7667" s="24">
        <v>0.0</v>
      </c>
      <c r="H7667" s="24" t="s">
        <v>6725</v>
      </c>
      <c r="I7667" s="24" t="s">
        <v>6650</v>
      </c>
      <c r="J7667" s="24">
        <v>0.0</v>
      </c>
    </row>
    <row r="7668">
      <c r="A7668" s="24">
        <v>713.0</v>
      </c>
      <c r="B7668" s="24">
        <v>9.0</v>
      </c>
      <c r="C7668" s="44">
        <v>25.68</v>
      </c>
      <c r="D7668" s="46">
        <v>45783.0</v>
      </c>
      <c r="E7668" s="24">
        <v>2.85</v>
      </c>
      <c r="F7668" s="24">
        <v>36.02</v>
      </c>
      <c r="G7668" s="24">
        <v>1.26</v>
      </c>
      <c r="H7668" s="24" t="s">
        <v>6732</v>
      </c>
      <c r="I7668" s="24" t="s">
        <v>6650</v>
      </c>
      <c r="J7668" s="24">
        <v>0.0</v>
      </c>
    </row>
    <row r="7669">
      <c r="A7669" s="24">
        <v>285.0</v>
      </c>
      <c r="B7669" s="24">
        <v>1.0</v>
      </c>
      <c r="C7669" s="44">
        <v>22.84</v>
      </c>
      <c r="D7669" s="46">
        <v>45783.0</v>
      </c>
      <c r="E7669" s="24">
        <v>22.84</v>
      </c>
      <c r="F7669" s="24">
        <v>80.14</v>
      </c>
      <c r="G7669" s="24">
        <v>0.35</v>
      </c>
      <c r="H7669" s="24" t="s">
        <v>6731</v>
      </c>
      <c r="I7669" s="24" t="s">
        <v>6650</v>
      </c>
      <c r="J7669" s="24">
        <v>0.0</v>
      </c>
    </row>
    <row r="7670">
      <c r="A7670" s="24">
        <v>124.0</v>
      </c>
      <c r="B7670" s="24">
        <v>1.0</v>
      </c>
      <c r="C7670" s="44">
        <v>47.5</v>
      </c>
      <c r="D7670" s="46">
        <v>45784.0</v>
      </c>
      <c r="E7670" s="24">
        <v>47.5</v>
      </c>
      <c r="F7670" s="24">
        <v>383.06</v>
      </c>
      <c r="G7670" s="24">
        <v>0.81</v>
      </c>
      <c r="H7670" s="24" t="s">
        <v>6725</v>
      </c>
      <c r="I7670" s="24" t="s">
        <v>6650</v>
      </c>
      <c r="J7670" s="24">
        <v>0.0</v>
      </c>
    </row>
    <row r="7671">
      <c r="A7671" s="24">
        <v>182.0</v>
      </c>
      <c r="B7671" s="24">
        <v>1.0</v>
      </c>
      <c r="C7671" s="44">
        <v>23.19</v>
      </c>
      <c r="D7671" s="46">
        <v>45784.0</v>
      </c>
      <c r="E7671" s="24">
        <v>23.19</v>
      </c>
      <c r="F7671" s="24">
        <v>127.42</v>
      </c>
      <c r="G7671" s="24">
        <v>0.55</v>
      </c>
      <c r="H7671" s="24" t="s">
        <v>6731</v>
      </c>
      <c r="I7671" s="24" t="s">
        <v>6650</v>
      </c>
      <c r="J7671" s="24">
        <v>0.0</v>
      </c>
    </row>
    <row r="7672">
      <c r="A7672" s="24">
        <v>1046.0</v>
      </c>
      <c r="B7672" s="24">
        <v>19.0</v>
      </c>
      <c r="C7672" s="44">
        <v>25.12</v>
      </c>
      <c r="D7672" s="46">
        <v>45784.0</v>
      </c>
      <c r="E7672" s="24">
        <v>1.32</v>
      </c>
      <c r="F7672" s="24">
        <v>24.02</v>
      </c>
      <c r="G7672" s="24">
        <v>1.82</v>
      </c>
      <c r="H7672" s="24" t="s">
        <v>6732</v>
      </c>
      <c r="I7672" s="24" t="s">
        <v>6650</v>
      </c>
      <c r="J7672" s="24">
        <v>0.0</v>
      </c>
    </row>
    <row r="7673">
      <c r="A7673" s="24">
        <v>1314.0</v>
      </c>
      <c r="B7673" s="24">
        <v>19.0</v>
      </c>
      <c r="C7673" s="44">
        <v>26.42</v>
      </c>
      <c r="D7673" s="46">
        <v>45784.0</v>
      </c>
      <c r="E7673" s="24">
        <v>1.39</v>
      </c>
      <c r="F7673" s="24">
        <v>20.11</v>
      </c>
      <c r="G7673" s="24">
        <v>1.45</v>
      </c>
      <c r="H7673" s="24" t="s">
        <v>6729</v>
      </c>
      <c r="I7673" s="24" t="s">
        <v>6650</v>
      </c>
      <c r="J7673" s="24">
        <v>0.0</v>
      </c>
    </row>
    <row r="7674">
      <c r="A7674" s="24">
        <v>39.0</v>
      </c>
      <c r="B7674" s="24">
        <v>1.0</v>
      </c>
      <c r="C7674" s="44">
        <v>10.81</v>
      </c>
      <c r="D7674" s="46">
        <v>45784.0</v>
      </c>
      <c r="E7674" s="24">
        <v>10.81</v>
      </c>
      <c r="F7674" s="24">
        <v>277.18</v>
      </c>
      <c r="G7674" s="24">
        <v>2.56</v>
      </c>
      <c r="H7674" s="24" t="s">
        <v>6733</v>
      </c>
      <c r="I7674" s="24" t="s">
        <v>6650</v>
      </c>
      <c r="J7674" s="24">
        <v>0.0</v>
      </c>
    </row>
    <row r="7675">
      <c r="A7675" s="24">
        <v>907.0</v>
      </c>
      <c r="B7675" s="24">
        <v>24.0</v>
      </c>
      <c r="C7675" s="44">
        <v>25.61</v>
      </c>
      <c r="D7675" s="46">
        <v>45785.0</v>
      </c>
      <c r="E7675" s="24">
        <v>1.07</v>
      </c>
      <c r="F7675" s="24">
        <v>28.24</v>
      </c>
      <c r="G7675" s="24">
        <v>2.65</v>
      </c>
      <c r="H7675" s="24" t="s">
        <v>6732</v>
      </c>
      <c r="I7675" s="24" t="s">
        <v>6650</v>
      </c>
      <c r="J7675" s="24">
        <v>0.0</v>
      </c>
    </row>
    <row r="7676">
      <c r="A7676" s="24">
        <v>70.0</v>
      </c>
      <c r="B7676" s="24">
        <v>2.0</v>
      </c>
      <c r="C7676" s="44">
        <v>20.93</v>
      </c>
      <c r="D7676" s="46">
        <v>45785.0</v>
      </c>
      <c r="E7676" s="24">
        <v>10.46</v>
      </c>
      <c r="F7676" s="24">
        <v>299.0</v>
      </c>
      <c r="G7676" s="24">
        <v>2.86</v>
      </c>
      <c r="H7676" s="24" t="s">
        <v>6725</v>
      </c>
      <c r="I7676" s="24" t="s">
        <v>6650</v>
      </c>
      <c r="J7676" s="24">
        <v>0.0</v>
      </c>
    </row>
    <row r="7677">
      <c r="A7677" s="24">
        <v>21.0</v>
      </c>
      <c r="B7677" s="24">
        <v>0.0</v>
      </c>
      <c r="C7677" s="44">
        <v>9.49</v>
      </c>
      <c r="D7677" s="46">
        <v>45785.0</v>
      </c>
      <c r="E7677" s="24" t="s">
        <v>6650</v>
      </c>
      <c r="F7677" s="24">
        <v>451.9</v>
      </c>
      <c r="G7677" s="24">
        <v>0.0</v>
      </c>
      <c r="H7677" s="24" t="s">
        <v>6733</v>
      </c>
      <c r="I7677" s="24" t="s">
        <v>6650</v>
      </c>
      <c r="J7677" s="24">
        <v>0.0</v>
      </c>
    </row>
    <row r="7678">
      <c r="A7678" s="24">
        <v>243.0</v>
      </c>
      <c r="B7678" s="24">
        <v>0.0</v>
      </c>
      <c r="C7678" s="44">
        <v>22.49</v>
      </c>
      <c r="D7678" s="46">
        <v>45785.0</v>
      </c>
      <c r="E7678" s="24" t="s">
        <v>6650</v>
      </c>
      <c r="F7678" s="24">
        <v>92.55</v>
      </c>
      <c r="G7678" s="24">
        <v>0.0</v>
      </c>
      <c r="H7678" s="24" t="s">
        <v>6731</v>
      </c>
      <c r="I7678" s="24" t="s">
        <v>6650</v>
      </c>
      <c r="J7678" s="24">
        <v>0.0</v>
      </c>
    </row>
    <row r="7679">
      <c r="A7679" s="24">
        <v>951.0</v>
      </c>
      <c r="B7679" s="24">
        <v>8.0</v>
      </c>
      <c r="C7679" s="44">
        <v>27.79</v>
      </c>
      <c r="D7679" s="46">
        <v>45785.0</v>
      </c>
      <c r="E7679" s="24">
        <v>3.47</v>
      </c>
      <c r="F7679" s="24">
        <v>29.22</v>
      </c>
      <c r="G7679" s="24">
        <v>0.84</v>
      </c>
      <c r="H7679" s="24" t="s">
        <v>6729</v>
      </c>
      <c r="I7679" s="24" t="s">
        <v>6650</v>
      </c>
      <c r="J7679" s="24">
        <v>0.0</v>
      </c>
    </row>
    <row r="7680">
      <c r="A7680" s="24">
        <v>1265.0</v>
      </c>
      <c r="B7680" s="24">
        <v>9.0</v>
      </c>
      <c r="C7680" s="44">
        <v>22.3</v>
      </c>
      <c r="D7680" s="46">
        <v>45786.0</v>
      </c>
      <c r="E7680" s="24">
        <v>2.48</v>
      </c>
      <c r="F7680" s="24">
        <v>17.63</v>
      </c>
      <c r="G7680" s="24">
        <v>0.71</v>
      </c>
      <c r="H7680" s="24" t="s">
        <v>6729</v>
      </c>
      <c r="I7680" s="24" t="s">
        <v>6650</v>
      </c>
      <c r="J7680" s="24">
        <v>0.0</v>
      </c>
    </row>
    <row r="7681">
      <c r="A7681" s="24">
        <v>210.0</v>
      </c>
      <c r="B7681" s="24">
        <v>0.0</v>
      </c>
      <c r="C7681" s="44">
        <v>18.76</v>
      </c>
      <c r="D7681" s="46">
        <v>45786.0</v>
      </c>
      <c r="E7681" s="24" t="s">
        <v>6650</v>
      </c>
      <c r="F7681" s="24">
        <v>89.33</v>
      </c>
      <c r="G7681" s="24">
        <v>0.0</v>
      </c>
      <c r="H7681" s="24" t="s">
        <v>6731</v>
      </c>
      <c r="I7681" s="24" t="s">
        <v>6650</v>
      </c>
      <c r="J7681" s="24">
        <v>0.0</v>
      </c>
    </row>
    <row r="7682">
      <c r="A7682" s="24">
        <v>639.0</v>
      </c>
      <c r="B7682" s="24">
        <v>12.0</v>
      </c>
      <c r="C7682" s="44">
        <v>20.63</v>
      </c>
      <c r="D7682" s="46">
        <v>45786.0</v>
      </c>
      <c r="E7682" s="24">
        <v>1.72</v>
      </c>
      <c r="F7682" s="24">
        <v>32.28</v>
      </c>
      <c r="G7682" s="24">
        <v>1.88</v>
      </c>
      <c r="H7682" s="24" t="s">
        <v>6732</v>
      </c>
      <c r="I7682" s="24" t="s">
        <v>6650</v>
      </c>
      <c r="J7682" s="24">
        <v>0.0</v>
      </c>
    </row>
    <row r="7683">
      <c r="A7683" s="24">
        <v>125.0</v>
      </c>
      <c r="B7683" s="24">
        <v>0.0</v>
      </c>
      <c r="C7683" s="44">
        <v>13.31</v>
      </c>
      <c r="D7683" s="46">
        <v>45787.0</v>
      </c>
      <c r="E7683" s="24" t="s">
        <v>6650</v>
      </c>
      <c r="F7683" s="24">
        <v>106.48</v>
      </c>
      <c r="G7683" s="24">
        <v>0.0</v>
      </c>
      <c r="H7683" s="24" t="s">
        <v>6731</v>
      </c>
      <c r="I7683" s="24" t="s">
        <v>6650</v>
      </c>
      <c r="J7683" s="24">
        <v>0.0</v>
      </c>
    </row>
    <row r="7684">
      <c r="A7684" s="24">
        <v>280.0</v>
      </c>
      <c r="B7684" s="24">
        <v>10.0</v>
      </c>
      <c r="C7684" s="44">
        <v>14.86</v>
      </c>
      <c r="D7684" s="46">
        <v>45787.0</v>
      </c>
      <c r="E7684" s="24">
        <v>1.49</v>
      </c>
      <c r="F7684" s="24">
        <v>53.07</v>
      </c>
      <c r="G7684" s="24">
        <v>3.57</v>
      </c>
      <c r="H7684" s="24" t="s">
        <v>6732</v>
      </c>
      <c r="I7684" s="24" t="s">
        <v>6650</v>
      </c>
      <c r="J7684" s="24">
        <v>0.0</v>
      </c>
    </row>
    <row r="7685">
      <c r="A7685" s="24">
        <v>602.0</v>
      </c>
      <c r="B7685" s="24">
        <v>14.0</v>
      </c>
      <c r="C7685" s="44">
        <v>15.36</v>
      </c>
      <c r="D7685" s="46">
        <v>45787.0</v>
      </c>
      <c r="E7685" s="24">
        <v>1.1</v>
      </c>
      <c r="F7685" s="24">
        <v>25.51</v>
      </c>
      <c r="G7685" s="24">
        <v>2.33</v>
      </c>
      <c r="H7685" s="24" t="s">
        <v>6729</v>
      </c>
      <c r="I7685" s="24" t="s">
        <v>6650</v>
      </c>
      <c r="J7685" s="24">
        <v>0.0</v>
      </c>
    </row>
    <row r="7686">
      <c r="A7686" s="24">
        <v>73.0</v>
      </c>
      <c r="B7686" s="24">
        <v>0.0</v>
      </c>
      <c r="C7686" s="44">
        <v>10.88</v>
      </c>
      <c r="D7686" s="46">
        <v>45788.0</v>
      </c>
      <c r="E7686" s="24" t="s">
        <v>6650</v>
      </c>
      <c r="F7686" s="24">
        <v>149.04</v>
      </c>
      <c r="G7686" s="24">
        <v>0.0</v>
      </c>
      <c r="H7686" s="24" t="s">
        <v>6731</v>
      </c>
      <c r="I7686" s="24" t="s">
        <v>6650</v>
      </c>
      <c r="J7686" s="24">
        <v>0.0</v>
      </c>
    </row>
    <row r="7687">
      <c r="A7687" s="24">
        <v>334.0</v>
      </c>
      <c r="B7687" s="24">
        <v>6.0</v>
      </c>
      <c r="C7687" s="44">
        <v>13.56</v>
      </c>
      <c r="D7687" s="46">
        <v>45788.0</v>
      </c>
      <c r="E7687" s="24">
        <v>2.26</v>
      </c>
      <c r="F7687" s="24">
        <v>40.6</v>
      </c>
      <c r="G7687" s="24">
        <v>1.8</v>
      </c>
      <c r="H7687" s="24" t="s">
        <v>6732</v>
      </c>
      <c r="I7687" s="24" t="s">
        <v>6650</v>
      </c>
      <c r="J7687" s="24">
        <v>0.0</v>
      </c>
    </row>
    <row r="7688">
      <c r="A7688" s="24">
        <v>382.0</v>
      </c>
      <c r="B7688" s="24">
        <v>3.0</v>
      </c>
      <c r="C7688" s="44">
        <v>13.72</v>
      </c>
      <c r="D7688" s="46">
        <v>45788.0</v>
      </c>
      <c r="E7688" s="24">
        <v>4.57</v>
      </c>
      <c r="F7688" s="24">
        <v>35.92</v>
      </c>
      <c r="G7688" s="24">
        <v>0.79</v>
      </c>
      <c r="H7688" s="24" t="s">
        <v>6729</v>
      </c>
      <c r="I7688" s="24" t="s">
        <v>6650</v>
      </c>
      <c r="J7688" s="24">
        <v>0.0</v>
      </c>
    </row>
    <row r="7689">
      <c r="A7689" s="24">
        <v>1123.0</v>
      </c>
      <c r="B7689" s="24">
        <v>13.0</v>
      </c>
      <c r="C7689" s="44">
        <v>25.09</v>
      </c>
      <c r="D7689" s="46">
        <v>45789.0</v>
      </c>
      <c r="E7689" s="24">
        <v>1.93</v>
      </c>
      <c r="F7689" s="24">
        <v>22.34</v>
      </c>
      <c r="G7689" s="24">
        <v>1.16</v>
      </c>
      <c r="H7689" s="24" t="s">
        <v>6729</v>
      </c>
      <c r="I7689" s="24" t="s">
        <v>6650</v>
      </c>
      <c r="J7689" s="24">
        <v>0.0</v>
      </c>
    </row>
    <row r="7690">
      <c r="A7690" s="24">
        <v>138.0</v>
      </c>
      <c r="B7690" s="24">
        <v>1.0</v>
      </c>
      <c r="C7690" s="44">
        <v>21.46</v>
      </c>
      <c r="D7690" s="46">
        <v>45789.0</v>
      </c>
      <c r="E7690" s="24">
        <v>21.46</v>
      </c>
      <c r="F7690" s="24">
        <v>155.51</v>
      </c>
      <c r="G7690" s="24">
        <v>0.72</v>
      </c>
      <c r="H7690" s="24" t="s">
        <v>6731</v>
      </c>
      <c r="I7690" s="24" t="s">
        <v>6650</v>
      </c>
      <c r="J7690" s="24">
        <v>0.0</v>
      </c>
    </row>
    <row r="7691">
      <c r="A7691" s="24">
        <v>376.0</v>
      </c>
      <c r="B7691" s="24">
        <v>7.0</v>
      </c>
      <c r="C7691" s="44">
        <v>22.96</v>
      </c>
      <c r="D7691" s="46">
        <v>45789.0</v>
      </c>
      <c r="E7691" s="24">
        <v>3.28</v>
      </c>
      <c r="F7691" s="24">
        <v>61.06</v>
      </c>
      <c r="G7691" s="24">
        <v>1.86</v>
      </c>
      <c r="H7691" s="24" t="s">
        <v>6732</v>
      </c>
      <c r="I7691" s="24" t="s">
        <v>6650</v>
      </c>
      <c r="J7691" s="24">
        <v>0.0</v>
      </c>
    </row>
    <row r="7692">
      <c r="A7692" s="24">
        <v>1369.0</v>
      </c>
      <c r="B7692" s="24">
        <v>25.0</v>
      </c>
      <c r="C7692" s="44">
        <v>25.4</v>
      </c>
      <c r="D7692" s="46">
        <v>45790.0</v>
      </c>
      <c r="E7692" s="24">
        <v>1.02</v>
      </c>
      <c r="F7692" s="24">
        <v>18.55</v>
      </c>
      <c r="G7692" s="24">
        <v>1.83</v>
      </c>
      <c r="H7692" s="24" t="s">
        <v>6729</v>
      </c>
      <c r="I7692" s="24" t="s">
        <v>6650</v>
      </c>
      <c r="J7692" s="24">
        <v>0.0</v>
      </c>
    </row>
    <row r="7693">
      <c r="A7693" s="24">
        <v>132.0</v>
      </c>
      <c r="B7693" s="24">
        <v>1.0</v>
      </c>
      <c r="C7693" s="44">
        <v>21.75</v>
      </c>
      <c r="D7693" s="46">
        <v>45790.0</v>
      </c>
      <c r="E7693" s="24">
        <v>21.75</v>
      </c>
      <c r="F7693" s="24">
        <v>164.77</v>
      </c>
      <c r="G7693" s="24">
        <v>0.76</v>
      </c>
      <c r="H7693" s="24" t="s">
        <v>6731</v>
      </c>
      <c r="I7693" s="24" t="s">
        <v>6650</v>
      </c>
      <c r="J7693" s="24">
        <v>0.0</v>
      </c>
    </row>
    <row r="7694">
      <c r="A7694" s="24">
        <v>1064.0</v>
      </c>
      <c r="B7694" s="24">
        <v>21.0</v>
      </c>
      <c r="C7694" s="44">
        <v>23.86</v>
      </c>
      <c r="D7694" s="46">
        <v>45790.0</v>
      </c>
      <c r="E7694" s="24">
        <v>1.14</v>
      </c>
      <c r="F7694" s="24">
        <v>22.42</v>
      </c>
      <c r="G7694" s="24">
        <v>1.97</v>
      </c>
      <c r="H7694" s="24" t="s">
        <v>6732</v>
      </c>
      <c r="I7694" s="24" t="s">
        <v>6650</v>
      </c>
      <c r="J7694" s="24">
        <v>0.0</v>
      </c>
    </row>
    <row r="7695">
      <c r="A7695" s="24">
        <v>750.0</v>
      </c>
      <c r="B7695" s="24">
        <v>9.0</v>
      </c>
      <c r="C7695" s="44">
        <v>27.19</v>
      </c>
      <c r="D7695" s="46">
        <v>45791.0</v>
      </c>
      <c r="E7695" s="24">
        <v>3.02</v>
      </c>
      <c r="F7695" s="24">
        <v>36.25</v>
      </c>
      <c r="G7695" s="24">
        <v>1.2</v>
      </c>
      <c r="H7695" s="24" t="s">
        <v>6729</v>
      </c>
      <c r="I7695" s="24" t="s">
        <v>6650</v>
      </c>
      <c r="J7695" s="24">
        <v>0.0</v>
      </c>
    </row>
    <row r="7696">
      <c r="A7696" s="24">
        <v>151.0</v>
      </c>
      <c r="B7696" s="24">
        <v>0.0</v>
      </c>
      <c r="C7696" s="44">
        <v>23.99</v>
      </c>
      <c r="D7696" s="46">
        <v>45791.0</v>
      </c>
      <c r="E7696" s="24" t="s">
        <v>6650</v>
      </c>
      <c r="F7696" s="24">
        <v>158.87</v>
      </c>
      <c r="G7696" s="24">
        <v>0.0</v>
      </c>
      <c r="H7696" s="24" t="s">
        <v>6731</v>
      </c>
      <c r="I7696" s="24" t="s">
        <v>6650</v>
      </c>
      <c r="J7696" s="24">
        <v>0.0</v>
      </c>
    </row>
    <row r="7697">
      <c r="A7697" s="24">
        <v>602.0</v>
      </c>
      <c r="B7697" s="24">
        <v>20.0</v>
      </c>
      <c r="C7697" s="44">
        <v>25.83</v>
      </c>
      <c r="D7697" s="46">
        <v>45791.0</v>
      </c>
      <c r="E7697" s="24">
        <v>1.29</v>
      </c>
      <c r="F7697" s="24">
        <v>42.91</v>
      </c>
      <c r="G7697" s="24">
        <v>3.32</v>
      </c>
      <c r="H7697" s="24" t="s">
        <v>6732</v>
      </c>
      <c r="I7697" s="24" t="s">
        <v>6650</v>
      </c>
      <c r="J7697" s="24">
        <v>0.0</v>
      </c>
    </row>
    <row r="7698">
      <c r="A7698" s="24">
        <v>664.0</v>
      </c>
      <c r="B7698" s="24">
        <v>6.0</v>
      </c>
      <c r="C7698" s="44">
        <v>29.95</v>
      </c>
      <c r="D7698" s="46">
        <v>45792.0</v>
      </c>
      <c r="E7698" s="24">
        <v>4.99</v>
      </c>
      <c r="F7698" s="24">
        <v>45.11</v>
      </c>
      <c r="G7698" s="24">
        <v>0.9</v>
      </c>
      <c r="H7698" s="24" t="s">
        <v>6729</v>
      </c>
      <c r="I7698" s="24" t="s">
        <v>6650</v>
      </c>
      <c r="J7698" s="24">
        <v>0.0</v>
      </c>
    </row>
    <row r="7699">
      <c r="A7699" s="24">
        <v>602.0</v>
      </c>
      <c r="B7699" s="24">
        <v>5.0</v>
      </c>
      <c r="C7699" s="44">
        <v>26.72</v>
      </c>
      <c r="D7699" s="46">
        <v>45792.0</v>
      </c>
      <c r="E7699" s="24">
        <v>5.34</v>
      </c>
      <c r="F7699" s="24">
        <v>44.39</v>
      </c>
      <c r="G7699" s="24">
        <v>0.83</v>
      </c>
      <c r="H7699" s="24" t="s">
        <v>6732</v>
      </c>
      <c r="I7699" s="24" t="s">
        <v>6650</v>
      </c>
      <c r="J7699" s="24">
        <v>0.0</v>
      </c>
    </row>
    <row r="7700">
      <c r="A7700" s="24">
        <v>104.0</v>
      </c>
      <c r="B7700" s="24">
        <v>0.0</v>
      </c>
      <c r="C7700" s="44">
        <v>23.76</v>
      </c>
      <c r="D7700" s="46">
        <v>45792.0</v>
      </c>
      <c r="E7700" s="24" t="s">
        <v>6650</v>
      </c>
      <c r="F7700" s="24">
        <v>228.46</v>
      </c>
      <c r="G7700" s="24">
        <v>0.0</v>
      </c>
      <c r="H7700" s="24" t="s">
        <v>6731</v>
      </c>
      <c r="I7700" s="24" t="s">
        <v>6650</v>
      </c>
      <c r="J7700" s="24">
        <v>0.0</v>
      </c>
    </row>
    <row r="7701">
      <c r="A7701" s="24">
        <v>661.0</v>
      </c>
      <c r="B7701" s="24">
        <v>9.0</v>
      </c>
      <c r="C7701" s="44">
        <v>26.04</v>
      </c>
      <c r="D7701" s="46">
        <v>45793.0</v>
      </c>
      <c r="E7701" s="24">
        <v>2.89</v>
      </c>
      <c r="F7701" s="24">
        <v>39.39</v>
      </c>
      <c r="G7701" s="24">
        <v>1.36</v>
      </c>
      <c r="H7701" s="24" t="s">
        <v>6729</v>
      </c>
      <c r="I7701" s="24" t="s">
        <v>6650</v>
      </c>
      <c r="J7701" s="24">
        <v>0.0</v>
      </c>
    </row>
    <row r="7702">
      <c r="A7702" s="24">
        <v>1147.0</v>
      </c>
      <c r="B7702" s="24">
        <v>29.0</v>
      </c>
      <c r="C7702" s="44">
        <v>23.87</v>
      </c>
      <c r="D7702" s="46">
        <v>45793.0</v>
      </c>
      <c r="E7702" s="24">
        <v>0.82</v>
      </c>
      <c r="F7702" s="24">
        <v>20.81</v>
      </c>
      <c r="G7702" s="24">
        <v>2.53</v>
      </c>
      <c r="H7702" s="24" t="s">
        <v>6732</v>
      </c>
      <c r="I7702" s="24" t="s">
        <v>6650</v>
      </c>
      <c r="J7702" s="24">
        <v>0.0</v>
      </c>
    </row>
    <row r="7703">
      <c r="A7703" s="24">
        <v>193.0</v>
      </c>
      <c r="B7703" s="24">
        <v>2.0</v>
      </c>
      <c r="C7703" s="44">
        <v>21.06</v>
      </c>
      <c r="D7703" s="46">
        <v>45793.0</v>
      </c>
      <c r="E7703" s="24">
        <v>10.53</v>
      </c>
      <c r="F7703" s="24">
        <v>109.12</v>
      </c>
      <c r="G7703" s="24">
        <v>1.04</v>
      </c>
      <c r="H7703" s="24" t="s">
        <v>6731</v>
      </c>
      <c r="I7703" s="24" t="s">
        <v>6650</v>
      </c>
      <c r="J7703" s="24">
        <v>0.0</v>
      </c>
    </row>
    <row r="7704">
      <c r="A7704" s="24">
        <v>313.0</v>
      </c>
      <c r="B7704" s="24">
        <v>10.0</v>
      </c>
      <c r="C7704" s="44">
        <v>15.0</v>
      </c>
      <c r="D7704" s="46">
        <v>45794.0</v>
      </c>
      <c r="E7704" s="24">
        <v>1.5</v>
      </c>
      <c r="F7704" s="24">
        <v>47.92</v>
      </c>
      <c r="G7704" s="24">
        <v>3.19</v>
      </c>
      <c r="H7704" s="24" t="s">
        <v>6729</v>
      </c>
      <c r="I7704" s="24" t="s">
        <v>6650</v>
      </c>
      <c r="J7704" s="24">
        <v>0.0</v>
      </c>
    </row>
    <row r="7705">
      <c r="A7705" s="24">
        <v>105.0</v>
      </c>
      <c r="B7705" s="24">
        <v>1.0</v>
      </c>
      <c r="C7705" s="44">
        <v>11.94</v>
      </c>
      <c r="D7705" s="46">
        <v>45794.0</v>
      </c>
      <c r="E7705" s="24">
        <v>11.94</v>
      </c>
      <c r="F7705" s="24">
        <v>113.71</v>
      </c>
      <c r="G7705" s="24">
        <v>0.95</v>
      </c>
      <c r="H7705" s="24" t="s">
        <v>6731</v>
      </c>
      <c r="I7705" s="24" t="s">
        <v>6650</v>
      </c>
      <c r="J7705" s="24">
        <v>0.0</v>
      </c>
    </row>
    <row r="7706">
      <c r="A7706" s="24">
        <v>264.0</v>
      </c>
      <c r="B7706" s="24">
        <v>11.0</v>
      </c>
      <c r="C7706" s="44">
        <v>13.99</v>
      </c>
      <c r="D7706" s="46">
        <v>45794.0</v>
      </c>
      <c r="E7706" s="24">
        <v>1.27</v>
      </c>
      <c r="F7706" s="24">
        <v>52.99</v>
      </c>
      <c r="G7706" s="24">
        <v>4.17</v>
      </c>
      <c r="H7706" s="24" t="s">
        <v>6732</v>
      </c>
      <c r="I7706" s="24" t="s">
        <v>6650</v>
      </c>
      <c r="J7706" s="24">
        <v>0.0</v>
      </c>
    </row>
    <row r="7707">
      <c r="A7707" s="24">
        <v>109.0</v>
      </c>
      <c r="B7707" s="24">
        <v>3.0</v>
      </c>
      <c r="C7707" s="44">
        <v>11.87</v>
      </c>
      <c r="D7707" s="46">
        <v>45795.0</v>
      </c>
      <c r="E7707" s="24">
        <v>3.96</v>
      </c>
      <c r="F7707" s="24">
        <v>108.9</v>
      </c>
      <c r="G7707" s="24">
        <v>2.75</v>
      </c>
      <c r="H7707" s="24" t="s">
        <v>6732</v>
      </c>
      <c r="I7707" s="24" t="s">
        <v>6650</v>
      </c>
      <c r="J7707" s="24">
        <v>0.0</v>
      </c>
    </row>
    <row r="7708">
      <c r="A7708" s="24">
        <v>122.0</v>
      </c>
      <c r="B7708" s="24">
        <v>4.0</v>
      </c>
      <c r="C7708" s="44">
        <v>10.93</v>
      </c>
      <c r="D7708" s="46">
        <v>45795.0</v>
      </c>
      <c r="E7708" s="24">
        <v>2.73</v>
      </c>
      <c r="F7708" s="24">
        <v>89.59</v>
      </c>
      <c r="G7708" s="24">
        <v>3.28</v>
      </c>
      <c r="H7708" s="24" t="s">
        <v>6729</v>
      </c>
      <c r="I7708" s="24" t="s">
        <v>6650</v>
      </c>
      <c r="J7708" s="24">
        <v>0.0</v>
      </c>
    </row>
    <row r="7709">
      <c r="A7709" s="24">
        <v>68.0</v>
      </c>
      <c r="B7709" s="24">
        <v>1.0</v>
      </c>
      <c r="C7709" s="44">
        <v>9.04</v>
      </c>
      <c r="D7709" s="46">
        <v>45795.0</v>
      </c>
      <c r="E7709" s="24">
        <v>9.04</v>
      </c>
      <c r="F7709" s="24">
        <v>132.94</v>
      </c>
      <c r="G7709" s="24">
        <v>1.47</v>
      </c>
      <c r="H7709" s="24" t="s">
        <v>6731</v>
      </c>
      <c r="I7709" s="24" t="s">
        <v>6650</v>
      </c>
      <c r="J7709" s="24">
        <v>0.0</v>
      </c>
    </row>
    <row r="7710">
      <c r="A7710" s="24">
        <v>812.0</v>
      </c>
      <c r="B7710" s="24">
        <v>19.0</v>
      </c>
      <c r="C7710" s="44">
        <v>23.56</v>
      </c>
      <c r="D7710" s="46">
        <v>45796.0</v>
      </c>
      <c r="E7710" s="24">
        <v>1.24</v>
      </c>
      <c r="F7710" s="24">
        <v>29.01</v>
      </c>
      <c r="G7710" s="24">
        <v>2.34</v>
      </c>
      <c r="H7710" s="24" t="s">
        <v>6732</v>
      </c>
      <c r="I7710" s="24" t="s">
        <v>6650</v>
      </c>
      <c r="J7710" s="24">
        <v>0.0</v>
      </c>
    </row>
    <row r="7711">
      <c r="A7711" s="24">
        <v>159.0</v>
      </c>
      <c r="B7711" s="24">
        <v>0.0</v>
      </c>
      <c r="C7711" s="44">
        <v>21.92</v>
      </c>
      <c r="D7711" s="46">
        <v>45796.0</v>
      </c>
      <c r="E7711" s="24" t="s">
        <v>6650</v>
      </c>
      <c r="F7711" s="24">
        <v>137.86</v>
      </c>
      <c r="G7711" s="24">
        <v>0.0</v>
      </c>
      <c r="H7711" s="24" t="s">
        <v>6731</v>
      </c>
      <c r="I7711" s="24" t="s">
        <v>6650</v>
      </c>
      <c r="J7711" s="24">
        <v>0.0</v>
      </c>
    </row>
    <row r="7712">
      <c r="A7712" s="24">
        <v>736.0</v>
      </c>
      <c r="B7712" s="24">
        <v>15.0</v>
      </c>
      <c r="C7712" s="44">
        <v>26.01</v>
      </c>
      <c r="D7712" s="46">
        <v>45796.0</v>
      </c>
      <c r="E7712" s="24">
        <v>1.73</v>
      </c>
      <c r="F7712" s="24">
        <v>35.34</v>
      </c>
      <c r="G7712" s="24">
        <v>2.04</v>
      </c>
      <c r="H7712" s="24" t="s">
        <v>6729</v>
      </c>
      <c r="I7712" s="24" t="s">
        <v>6650</v>
      </c>
      <c r="J7712" s="24">
        <v>0.0</v>
      </c>
    </row>
    <row r="7713">
      <c r="A7713" s="24">
        <v>577.0</v>
      </c>
      <c r="B7713" s="24">
        <v>14.0</v>
      </c>
      <c r="C7713" s="44">
        <v>25.13</v>
      </c>
      <c r="D7713" s="46">
        <v>45797.0</v>
      </c>
      <c r="E7713" s="24">
        <v>1.8</v>
      </c>
      <c r="F7713" s="24">
        <v>43.55</v>
      </c>
      <c r="G7713" s="24">
        <v>2.43</v>
      </c>
      <c r="H7713" s="24" t="s">
        <v>6732</v>
      </c>
      <c r="I7713" s="24" t="s">
        <v>6650</v>
      </c>
      <c r="J7713" s="24">
        <v>0.0</v>
      </c>
    </row>
    <row r="7714">
      <c r="A7714" s="24">
        <v>610.0</v>
      </c>
      <c r="B7714" s="24">
        <v>18.0</v>
      </c>
      <c r="C7714" s="44">
        <v>26.33</v>
      </c>
      <c r="D7714" s="46">
        <v>45797.0</v>
      </c>
      <c r="E7714" s="24">
        <v>1.46</v>
      </c>
      <c r="F7714" s="24">
        <v>43.16</v>
      </c>
      <c r="G7714" s="24">
        <v>2.95</v>
      </c>
      <c r="H7714" s="24" t="s">
        <v>6729</v>
      </c>
      <c r="I7714" s="24" t="s">
        <v>6650</v>
      </c>
      <c r="J7714" s="24">
        <v>0.0</v>
      </c>
    </row>
    <row r="7715">
      <c r="A7715" s="24">
        <v>189.0</v>
      </c>
      <c r="B7715" s="24">
        <v>1.0</v>
      </c>
      <c r="C7715" s="44">
        <v>22.39</v>
      </c>
      <c r="D7715" s="46">
        <v>45797.0</v>
      </c>
      <c r="E7715" s="24">
        <v>22.39</v>
      </c>
      <c r="F7715" s="24">
        <v>118.47</v>
      </c>
      <c r="G7715" s="24">
        <v>0.53</v>
      </c>
      <c r="H7715" s="24" t="s">
        <v>6731</v>
      </c>
      <c r="I7715" s="24" t="s">
        <v>6650</v>
      </c>
      <c r="J7715" s="24">
        <v>0.0</v>
      </c>
    </row>
    <row r="7716">
      <c r="A7716" s="24">
        <v>423.0</v>
      </c>
      <c r="B7716" s="24">
        <v>17.0</v>
      </c>
      <c r="C7716" s="44">
        <v>28.69</v>
      </c>
      <c r="D7716" s="46">
        <v>45798.0</v>
      </c>
      <c r="E7716" s="24">
        <v>1.69</v>
      </c>
      <c r="F7716" s="24">
        <v>67.83</v>
      </c>
      <c r="G7716" s="24">
        <v>4.02</v>
      </c>
      <c r="H7716" s="24" t="s">
        <v>6729</v>
      </c>
      <c r="I7716" s="24" t="s">
        <v>6650</v>
      </c>
      <c r="J7716" s="24">
        <v>0.0</v>
      </c>
    </row>
    <row r="7717">
      <c r="A7717" s="24">
        <v>905.0</v>
      </c>
      <c r="B7717" s="24">
        <v>17.0</v>
      </c>
      <c r="C7717" s="44">
        <v>25.47</v>
      </c>
      <c r="D7717" s="46">
        <v>45798.0</v>
      </c>
      <c r="E7717" s="24">
        <v>1.5</v>
      </c>
      <c r="F7717" s="24">
        <v>28.14</v>
      </c>
      <c r="G7717" s="24">
        <v>1.88</v>
      </c>
      <c r="H7717" s="24" t="s">
        <v>6732</v>
      </c>
      <c r="I7717" s="24" t="s">
        <v>6650</v>
      </c>
      <c r="J7717" s="24">
        <v>0.0</v>
      </c>
    </row>
    <row r="7718">
      <c r="A7718" s="24">
        <v>148.0</v>
      </c>
      <c r="B7718" s="24">
        <v>0.0</v>
      </c>
      <c r="C7718" s="44">
        <v>24.51</v>
      </c>
      <c r="D7718" s="46">
        <v>45798.0</v>
      </c>
      <c r="E7718" s="24" t="s">
        <v>6650</v>
      </c>
      <c r="F7718" s="24">
        <v>165.61</v>
      </c>
      <c r="G7718" s="24">
        <v>0.0</v>
      </c>
      <c r="H7718" s="24" t="s">
        <v>6731</v>
      </c>
      <c r="I7718" s="24" t="s">
        <v>6650</v>
      </c>
      <c r="J7718" s="24">
        <v>0.0</v>
      </c>
    </row>
    <row r="7719">
      <c r="A7719" s="24">
        <v>178.0</v>
      </c>
      <c r="B7719" s="24">
        <v>0.0</v>
      </c>
      <c r="C7719" s="44">
        <v>23.91</v>
      </c>
      <c r="D7719" s="46">
        <v>45799.0</v>
      </c>
      <c r="E7719" s="24" t="s">
        <v>6650</v>
      </c>
      <c r="F7719" s="24">
        <v>134.33</v>
      </c>
      <c r="G7719" s="24">
        <v>0.0</v>
      </c>
      <c r="H7719" s="24" t="s">
        <v>6731</v>
      </c>
      <c r="I7719" s="24" t="s">
        <v>6650</v>
      </c>
      <c r="J7719" s="24">
        <v>0.0</v>
      </c>
    </row>
    <row r="7720">
      <c r="A7720" s="24">
        <v>472.0</v>
      </c>
      <c r="B7720" s="24">
        <v>22.0</v>
      </c>
      <c r="C7720" s="44">
        <v>27.57</v>
      </c>
      <c r="D7720" s="46">
        <v>45799.0</v>
      </c>
      <c r="E7720" s="24">
        <v>1.25</v>
      </c>
      <c r="F7720" s="24">
        <v>58.41</v>
      </c>
      <c r="G7720" s="24">
        <v>4.66</v>
      </c>
      <c r="H7720" s="24" t="s">
        <v>6729</v>
      </c>
      <c r="I7720" s="24" t="s">
        <v>6650</v>
      </c>
      <c r="J7720" s="24">
        <v>0.0</v>
      </c>
    </row>
    <row r="7721">
      <c r="A7721" s="24">
        <v>708.0</v>
      </c>
      <c r="B7721" s="24">
        <v>16.0</v>
      </c>
      <c r="C7721" s="44">
        <v>26.0</v>
      </c>
      <c r="D7721" s="46">
        <v>45799.0</v>
      </c>
      <c r="E7721" s="24">
        <v>1.62</v>
      </c>
      <c r="F7721" s="24">
        <v>36.72</v>
      </c>
      <c r="G7721" s="24">
        <v>2.26</v>
      </c>
      <c r="H7721" s="24" t="s">
        <v>6732</v>
      </c>
      <c r="I7721" s="24" t="s">
        <v>6650</v>
      </c>
      <c r="J7721" s="24">
        <v>0.0</v>
      </c>
    </row>
    <row r="7722">
      <c r="A7722" s="24">
        <v>139.0</v>
      </c>
      <c r="B7722" s="24">
        <v>0.0</v>
      </c>
      <c r="C7722" s="44">
        <v>21.35</v>
      </c>
      <c r="D7722" s="46">
        <v>45800.0</v>
      </c>
      <c r="E7722" s="24" t="s">
        <v>6650</v>
      </c>
      <c r="F7722" s="24">
        <v>153.6</v>
      </c>
      <c r="G7722" s="24">
        <v>0.0</v>
      </c>
      <c r="H7722" s="24" t="s">
        <v>6731</v>
      </c>
      <c r="I7722" s="24" t="s">
        <v>6650</v>
      </c>
      <c r="J7722" s="24">
        <v>0.0</v>
      </c>
    </row>
    <row r="7723">
      <c r="A7723" s="24">
        <v>792.0</v>
      </c>
      <c r="B7723" s="24">
        <v>11.0</v>
      </c>
      <c r="C7723" s="44">
        <v>23.51</v>
      </c>
      <c r="D7723" s="46">
        <v>45800.0</v>
      </c>
      <c r="E7723" s="24">
        <v>2.14</v>
      </c>
      <c r="F7723" s="24">
        <v>29.68</v>
      </c>
      <c r="G7723" s="24">
        <v>1.39</v>
      </c>
      <c r="H7723" s="24" t="s">
        <v>6732</v>
      </c>
      <c r="I7723" s="24" t="s">
        <v>6650</v>
      </c>
      <c r="J7723" s="24">
        <v>0.0</v>
      </c>
    </row>
    <row r="7724">
      <c r="A7724" s="24">
        <v>306.0</v>
      </c>
      <c r="B7724" s="24">
        <v>16.0</v>
      </c>
      <c r="C7724" s="44">
        <v>25.49</v>
      </c>
      <c r="D7724" s="46">
        <v>45800.0</v>
      </c>
      <c r="E7724" s="24">
        <v>1.59</v>
      </c>
      <c r="F7724" s="24">
        <v>83.3</v>
      </c>
      <c r="G7724" s="24">
        <v>5.23</v>
      </c>
      <c r="H7724" s="24" t="s">
        <v>6729</v>
      </c>
      <c r="I7724" s="24" t="s">
        <v>6650</v>
      </c>
      <c r="J7724" s="24">
        <v>0.0</v>
      </c>
    </row>
    <row r="7725">
      <c r="A7725" s="24">
        <v>76.0</v>
      </c>
      <c r="B7725" s="24">
        <v>0.0</v>
      </c>
      <c r="C7725" s="44">
        <v>11.34</v>
      </c>
      <c r="D7725" s="46">
        <v>45801.0</v>
      </c>
      <c r="E7725" s="24" t="s">
        <v>6650</v>
      </c>
      <c r="F7725" s="24">
        <v>149.21</v>
      </c>
      <c r="G7725" s="24">
        <v>0.0</v>
      </c>
      <c r="H7725" s="24" t="s">
        <v>6731</v>
      </c>
      <c r="I7725" s="24" t="s">
        <v>6650</v>
      </c>
      <c r="J7725" s="24">
        <v>0.0</v>
      </c>
    </row>
    <row r="7726">
      <c r="A7726" s="24">
        <v>163.0</v>
      </c>
      <c r="B7726" s="24">
        <v>6.0</v>
      </c>
      <c r="C7726" s="44">
        <v>14.42</v>
      </c>
      <c r="D7726" s="46">
        <v>45801.0</v>
      </c>
      <c r="E7726" s="24">
        <v>2.4</v>
      </c>
      <c r="F7726" s="24">
        <v>88.47</v>
      </c>
      <c r="G7726" s="24">
        <v>3.68</v>
      </c>
      <c r="H7726" s="24" t="s">
        <v>6729</v>
      </c>
      <c r="I7726" s="24" t="s">
        <v>6650</v>
      </c>
      <c r="J7726" s="24">
        <v>0.0</v>
      </c>
    </row>
    <row r="7727">
      <c r="A7727" s="24">
        <v>269.0</v>
      </c>
      <c r="B7727" s="24">
        <v>5.0</v>
      </c>
      <c r="C7727" s="44">
        <v>13.74</v>
      </c>
      <c r="D7727" s="46">
        <v>45801.0</v>
      </c>
      <c r="E7727" s="24">
        <v>2.75</v>
      </c>
      <c r="F7727" s="24">
        <v>51.08</v>
      </c>
      <c r="G7727" s="24">
        <v>1.86</v>
      </c>
      <c r="H7727" s="24" t="s">
        <v>6732</v>
      </c>
      <c r="I7727" s="24" t="s">
        <v>6650</v>
      </c>
      <c r="J7727" s="24">
        <v>0.0</v>
      </c>
    </row>
    <row r="7728">
      <c r="A7728" s="24">
        <v>195.0</v>
      </c>
      <c r="B7728" s="24">
        <v>3.0</v>
      </c>
      <c r="C7728" s="44">
        <v>11.69</v>
      </c>
      <c r="D7728" s="46">
        <v>45802.0</v>
      </c>
      <c r="E7728" s="24">
        <v>3.9</v>
      </c>
      <c r="F7728" s="24">
        <v>59.95</v>
      </c>
      <c r="G7728" s="24">
        <v>1.54</v>
      </c>
      <c r="H7728" s="24" t="s">
        <v>6732</v>
      </c>
      <c r="I7728" s="24" t="s">
        <v>6650</v>
      </c>
      <c r="J7728" s="24">
        <v>0.0</v>
      </c>
    </row>
    <row r="7729">
      <c r="A7729" s="24">
        <v>126.0</v>
      </c>
      <c r="B7729" s="24">
        <v>3.0</v>
      </c>
      <c r="C7729" s="44">
        <v>11.09</v>
      </c>
      <c r="D7729" s="46">
        <v>45802.0</v>
      </c>
      <c r="E7729" s="24">
        <v>3.7</v>
      </c>
      <c r="F7729" s="24">
        <v>88.02</v>
      </c>
      <c r="G7729" s="24">
        <v>2.38</v>
      </c>
      <c r="H7729" s="24" t="s">
        <v>6729</v>
      </c>
      <c r="I7729" s="24" t="s">
        <v>6650</v>
      </c>
      <c r="J7729" s="24">
        <v>0.0</v>
      </c>
    </row>
    <row r="7730">
      <c r="A7730" s="24">
        <v>53.0</v>
      </c>
      <c r="B7730" s="24">
        <v>1.0</v>
      </c>
      <c r="C7730" s="44">
        <v>7.58</v>
      </c>
      <c r="D7730" s="46">
        <v>45802.0</v>
      </c>
      <c r="E7730" s="24">
        <v>7.58</v>
      </c>
      <c r="F7730" s="24">
        <v>143.02</v>
      </c>
      <c r="G7730" s="24">
        <v>1.89</v>
      </c>
      <c r="H7730" s="24" t="s">
        <v>6731</v>
      </c>
      <c r="I7730" s="24" t="s">
        <v>6650</v>
      </c>
      <c r="J7730" s="24">
        <v>0.0</v>
      </c>
    </row>
    <row r="7731">
      <c r="A7731" s="24">
        <v>253.0</v>
      </c>
      <c r="B7731" s="24">
        <v>9.0</v>
      </c>
      <c r="C7731" s="44">
        <v>26.76</v>
      </c>
      <c r="D7731" s="46">
        <v>45803.0</v>
      </c>
      <c r="E7731" s="24">
        <v>2.97</v>
      </c>
      <c r="F7731" s="24">
        <v>105.77</v>
      </c>
      <c r="G7731" s="24">
        <v>3.56</v>
      </c>
      <c r="H7731" s="24" t="s">
        <v>6729</v>
      </c>
      <c r="I7731" s="24" t="s">
        <v>6650</v>
      </c>
      <c r="J7731" s="24">
        <v>0.0</v>
      </c>
    </row>
    <row r="7732">
      <c r="A7732" s="24">
        <v>130.0</v>
      </c>
      <c r="B7732" s="24">
        <v>0.0</v>
      </c>
      <c r="C7732" s="44">
        <v>24.32</v>
      </c>
      <c r="D7732" s="46">
        <v>45803.0</v>
      </c>
      <c r="E7732" s="24" t="s">
        <v>6650</v>
      </c>
      <c r="F7732" s="24">
        <v>187.08</v>
      </c>
      <c r="G7732" s="24">
        <v>0.0</v>
      </c>
      <c r="H7732" s="24" t="s">
        <v>6731</v>
      </c>
      <c r="I7732" s="24" t="s">
        <v>6650</v>
      </c>
      <c r="J7732" s="24">
        <v>0.0</v>
      </c>
    </row>
    <row r="7733">
      <c r="A7733" s="24">
        <v>747.0</v>
      </c>
      <c r="B7733" s="24">
        <v>17.0</v>
      </c>
      <c r="C7733" s="44">
        <v>24.6</v>
      </c>
      <c r="D7733" s="46">
        <v>45803.0</v>
      </c>
      <c r="E7733" s="24">
        <v>1.45</v>
      </c>
      <c r="F7733" s="24">
        <v>32.93</v>
      </c>
      <c r="G7733" s="24">
        <v>2.28</v>
      </c>
      <c r="H7733" s="24" t="s">
        <v>6732</v>
      </c>
      <c r="I7733" s="24" t="s">
        <v>6650</v>
      </c>
      <c r="J7733" s="24">
        <v>0.0</v>
      </c>
    </row>
    <row r="7734">
      <c r="A7734" s="24">
        <v>774.0</v>
      </c>
      <c r="B7734" s="24">
        <v>17.0</v>
      </c>
      <c r="C7734" s="44">
        <v>25.06</v>
      </c>
      <c r="D7734" s="46">
        <v>45804.0</v>
      </c>
      <c r="E7734" s="24">
        <v>1.47</v>
      </c>
      <c r="F7734" s="24">
        <v>32.38</v>
      </c>
      <c r="G7734" s="24">
        <v>2.2</v>
      </c>
      <c r="H7734" s="24" t="s">
        <v>6732</v>
      </c>
      <c r="I7734" s="24" t="s">
        <v>6650</v>
      </c>
      <c r="J7734" s="24">
        <v>0.0</v>
      </c>
    </row>
    <row r="7735">
      <c r="A7735" s="24">
        <v>126.0</v>
      </c>
      <c r="B7735" s="24">
        <v>0.0</v>
      </c>
      <c r="C7735" s="44">
        <v>22.88</v>
      </c>
      <c r="D7735" s="46">
        <v>45804.0</v>
      </c>
      <c r="E7735" s="24" t="s">
        <v>6650</v>
      </c>
      <c r="F7735" s="24">
        <v>181.59</v>
      </c>
      <c r="G7735" s="24">
        <v>0.0</v>
      </c>
      <c r="H7735" s="24" t="s">
        <v>6731</v>
      </c>
      <c r="I7735" s="24" t="s">
        <v>6650</v>
      </c>
      <c r="J7735" s="24">
        <v>0.0</v>
      </c>
    </row>
    <row r="7736">
      <c r="A7736" s="24">
        <v>224.0</v>
      </c>
      <c r="B7736" s="24">
        <v>9.0</v>
      </c>
      <c r="C7736" s="44">
        <v>27.55</v>
      </c>
      <c r="D7736" s="46">
        <v>45804.0</v>
      </c>
      <c r="E7736" s="24">
        <v>3.06</v>
      </c>
      <c r="F7736" s="24">
        <v>122.99</v>
      </c>
      <c r="G7736" s="24">
        <v>4.02</v>
      </c>
      <c r="H7736" s="24" t="s">
        <v>6729</v>
      </c>
      <c r="I7736" s="24" t="s">
        <v>6650</v>
      </c>
      <c r="J7736" s="24">
        <v>0.0</v>
      </c>
    </row>
    <row r="7737">
      <c r="A7737" s="24">
        <v>623.0</v>
      </c>
      <c r="B7737" s="24">
        <v>12.0</v>
      </c>
      <c r="C7737" s="44">
        <v>25.77</v>
      </c>
      <c r="D7737" s="46">
        <v>45805.0</v>
      </c>
      <c r="E7737" s="24">
        <v>2.15</v>
      </c>
      <c r="F7737" s="24">
        <v>41.36</v>
      </c>
      <c r="G7737" s="24">
        <v>1.93</v>
      </c>
      <c r="H7737" s="24" t="s">
        <v>6732</v>
      </c>
      <c r="I7737" s="24" t="s">
        <v>6650</v>
      </c>
      <c r="J7737" s="24">
        <v>0.0</v>
      </c>
    </row>
    <row r="7738">
      <c r="A7738" s="24">
        <v>118.0</v>
      </c>
      <c r="B7738" s="24">
        <v>1.0</v>
      </c>
      <c r="C7738" s="44">
        <v>24.24</v>
      </c>
      <c r="D7738" s="46">
        <v>45805.0</v>
      </c>
      <c r="E7738" s="24">
        <v>24.24</v>
      </c>
      <c r="F7738" s="24">
        <v>205.42</v>
      </c>
      <c r="G7738" s="24">
        <v>0.85</v>
      </c>
      <c r="H7738" s="24" t="s">
        <v>6731</v>
      </c>
      <c r="I7738" s="24" t="s">
        <v>6650</v>
      </c>
      <c r="J7738" s="24">
        <v>0.0</v>
      </c>
    </row>
    <row r="7739">
      <c r="A7739" s="24">
        <v>250.0</v>
      </c>
      <c r="B7739" s="24">
        <v>4.0</v>
      </c>
      <c r="C7739" s="44">
        <v>27.54</v>
      </c>
      <c r="D7739" s="46">
        <v>45805.0</v>
      </c>
      <c r="E7739" s="24">
        <v>6.88</v>
      </c>
      <c r="F7739" s="24">
        <v>110.16</v>
      </c>
      <c r="G7739" s="24">
        <v>1.6</v>
      </c>
      <c r="H7739" s="24" t="s">
        <v>6729</v>
      </c>
      <c r="I7739" s="24" t="s">
        <v>6650</v>
      </c>
      <c r="J7739" s="24">
        <v>0.0</v>
      </c>
    </row>
    <row r="7740">
      <c r="A7740" s="24">
        <v>631.0</v>
      </c>
      <c r="B7740" s="24">
        <v>21.0</v>
      </c>
      <c r="C7740" s="44">
        <v>26.3</v>
      </c>
      <c r="D7740" s="46">
        <v>45806.0</v>
      </c>
      <c r="E7740" s="24">
        <v>1.25</v>
      </c>
      <c r="F7740" s="24">
        <v>41.68</v>
      </c>
      <c r="G7740" s="24">
        <v>3.33</v>
      </c>
      <c r="H7740" s="24" t="s">
        <v>6732</v>
      </c>
      <c r="I7740" s="24" t="s">
        <v>6650</v>
      </c>
      <c r="J7740" s="24">
        <v>0.0</v>
      </c>
    </row>
    <row r="7741">
      <c r="A7741" s="24">
        <v>608.0</v>
      </c>
      <c r="B7741" s="24">
        <v>13.0</v>
      </c>
      <c r="C7741" s="44">
        <v>24.46</v>
      </c>
      <c r="D7741" s="46">
        <v>45806.0</v>
      </c>
      <c r="E7741" s="24">
        <v>1.88</v>
      </c>
      <c r="F7741" s="24">
        <v>40.23</v>
      </c>
      <c r="G7741" s="24">
        <v>2.14</v>
      </c>
      <c r="H7741" s="24" t="s">
        <v>6734</v>
      </c>
      <c r="I7741" s="24" t="s">
        <v>6650</v>
      </c>
      <c r="J7741" s="24">
        <v>0.0</v>
      </c>
    </row>
    <row r="7742">
      <c r="A7742" s="24">
        <v>301.0</v>
      </c>
      <c r="B7742" s="24">
        <v>13.0</v>
      </c>
      <c r="C7742" s="44">
        <v>30.61</v>
      </c>
      <c r="D7742" s="46">
        <v>45806.0</v>
      </c>
      <c r="E7742" s="24">
        <v>2.35</v>
      </c>
      <c r="F7742" s="24">
        <v>101.69</v>
      </c>
      <c r="G7742" s="24">
        <v>4.32</v>
      </c>
      <c r="H7742" s="24" t="s">
        <v>6729</v>
      </c>
      <c r="I7742" s="24" t="s">
        <v>6650</v>
      </c>
      <c r="J7742" s="24">
        <v>0.0</v>
      </c>
    </row>
    <row r="7743">
      <c r="A7743" s="24">
        <v>92.0</v>
      </c>
      <c r="B7743" s="24">
        <v>0.0</v>
      </c>
      <c r="C7743" s="44">
        <v>12.88</v>
      </c>
      <c r="D7743" s="46">
        <v>45806.0</v>
      </c>
      <c r="E7743" s="24" t="s">
        <v>6650</v>
      </c>
      <c r="F7743" s="24">
        <v>140.0</v>
      </c>
      <c r="G7743" s="24">
        <v>0.0</v>
      </c>
      <c r="H7743" s="24" t="s">
        <v>6731</v>
      </c>
      <c r="I7743" s="24" t="s">
        <v>6650</v>
      </c>
      <c r="J7743" s="24">
        <v>0.0</v>
      </c>
    </row>
    <row r="7744">
      <c r="A7744" s="24">
        <v>292.0</v>
      </c>
      <c r="B7744" s="24">
        <v>12.0</v>
      </c>
      <c r="C7744" s="44">
        <v>25.85</v>
      </c>
      <c r="D7744" s="46">
        <v>45807.0</v>
      </c>
      <c r="E7744" s="24">
        <v>2.15</v>
      </c>
      <c r="F7744" s="24">
        <v>88.53</v>
      </c>
      <c r="G7744" s="24">
        <v>4.11</v>
      </c>
      <c r="H7744" s="24" t="s">
        <v>6729</v>
      </c>
      <c r="I7744" s="24" t="s">
        <v>6650</v>
      </c>
      <c r="J7744" s="24">
        <v>0.0</v>
      </c>
    </row>
    <row r="7745">
      <c r="A7745" s="24">
        <v>404.0</v>
      </c>
      <c r="B7745" s="24">
        <v>11.0</v>
      </c>
      <c r="C7745" s="44">
        <v>24.43</v>
      </c>
      <c r="D7745" s="46">
        <v>45807.0</v>
      </c>
      <c r="E7745" s="24">
        <v>2.22</v>
      </c>
      <c r="F7745" s="24">
        <v>60.47</v>
      </c>
      <c r="G7745" s="24">
        <v>2.72</v>
      </c>
      <c r="H7745" s="24" t="s">
        <v>6734</v>
      </c>
      <c r="I7745" s="24" t="s">
        <v>6650</v>
      </c>
      <c r="J7745" s="24">
        <v>0.0</v>
      </c>
    </row>
    <row r="7746">
      <c r="A7746" s="24">
        <v>351.0</v>
      </c>
      <c r="B7746" s="24">
        <v>7.0</v>
      </c>
      <c r="C7746" s="44">
        <v>26.12</v>
      </c>
      <c r="D7746" s="46">
        <v>45807.0</v>
      </c>
      <c r="E7746" s="24">
        <v>3.73</v>
      </c>
      <c r="F7746" s="24">
        <v>74.42</v>
      </c>
      <c r="G7746" s="24">
        <v>1.99</v>
      </c>
      <c r="H7746" s="24" t="s">
        <v>6732</v>
      </c>
      <c r="I7746" s="24" t="s">
        <v>6650</v>
      </c>
      <c r="J7746" s="24">
        <v>0.0</v>
      </c>
    </row>
    <row r="7747">
      <c r="A7747" s="24">
        <v>236.0</v>
      </c>
      <c r="B7747" s="24">
        <v>6.0</v>
      </c>
      <c r="C7747" s="44">
        <v>15.88</v>
      </c>
      <c r="D7747" s="46">
        <v>45808.0</v>
      </c>
      <c r="E7747" s="24">
        <v>2.65</v>
      </c>
      <c r="F7747" s="24">
        <v>67.29</v>
      </c>
      <c r="G7747" s="24">
        <v>2.54</v>
      </c>
      <c r="H7747" s="24" t="s">
        <v>6734</v>
      </c>
      <c r="I7747" s="24" t="s">
        <v>6650</v>
      </c>
      <c r="J7747" s="24">
        <v>0.0</v>
      </c>
    </row>
    <row r="7748">
      <c r="A7748" s="24">
        <v>189.0</v>
      </c>
      <c r="B7748" s="24">
        <v>3.0</v>
      </c>
      <c r="C7748" s="44">
        <v>12.35</v>
      </c>
      <c r="D7748" s="46">
        <v>45808.0</v>
      </c>
      <c r="E7748" s="24">
        <v>4.12</v>
      </c>
      <c r="F7748" s="24">
        <v>65.34</v>
      </c>
      <c r="G7748" s="24">
        <v>1.59</v>
      </c>
      <c r="H7748" s="24" t="s">
        <v>6732</v>
      </c>
      <c r="I7748" s="24" t="s">
        <v>6650</v>
      </c>
      <c r="J7748" s="24">
        <v>0.0</v>
      </c>
    </row>
    <row r="7749">
      <c r="A7749" s="24">
        <v>141.0</v>
      </c>
      <c r="B7749" s="24">
        <v>3.0</v>
      </c>
      <c r="C7749" s="44">
        <v>13.33</v>
      </c>
      <c r="D7749" s="46">
        <v>45808.0</v>
      </c>
      <c r="E7749" s="24">
        <v>4.44</v>
      </c>
      <c r="F7749" s="24">
        <v>94.54</v>
      </c>
      <c r="G7749" s="24">
        <v>2.13</v>
      </c>
      <c r="H7749" s="24" t="s">
        <v>6729</v>
      </c>
      <c r="I7749" s="24" t="s">
        <v>6650</v>
      </c>
      <c r="J7749" s="24">
        <v>0.0</v>
      </c>
    </row>
    <row r="7750">
      <c r="A7750" s="24">
        <v>114.0</v>
      </c>
      <c r="B7750" s="24">
        <v>6.0</v>
      </c>
      <c r="C7750" s="44">
        <v>10.54</v>
      </c>
      <c r="D7750" s="46">
        <v>45809.0</v>
      </c>
      <c r="E7750" s="24">
        <v>1.76</v>
      </c>
      <c r="F7750" s="24">
        <v>92.46</v>
      </c>
      <c r="G7750" s="24">
        <v>5.26</v>
      </c>
      <c r="H7750" s="24" t="s">
        <v>6734</v>
      </c>
      <c r="I7750" s="24" t="s">
        <v>6650</v>
      </c>
      <c r="J7750" s="24">
        <v>0.0</v>
      </c>
    </row>
    <row r="7751">
      <c r="A7751" s="24">
        <v>209.0</v>
      </c>
      <c r="B7751" s="24">
        <v>3.0</v>
      </c>
      <c r="C7751" s="44">
        <v>8.9</v>
      </c>
      <c r="D7751" s="46">
        <v>45809.0</v>
      </c>
      <c r="E7751" s="24">
        <v>2.97</v>
      </c>
      <c r="F7751" s="24">
        <v>42.58</v>
      </c>
      <c r="G7751" s="24">
        <v>1.44</v>
      </c>
      <c r="H7751" s="24" t="s">
        <v>6732</v>
      </c>
      <c r="I7751" s="24" t="s">
        <v>6650</v>
      </c>
      <c r="J7751" s="24">
        <v>0.0</v>
      </c>
    </row>
    <row r="7752">
      <c r="A7752" s="24">
        <v>74.0</v>
      </c>
      <c r="B7752" s="24">
        <v>3.0</v>
      </c>
      <c r="C7752" s="44">
        <v>7.96</v>
      </c>
      <c r="D7752" s="46">
        <v>45809.0</v>
      </c>
      <c r="E7752" s="24">
        <v>2.65</v>
      </c>
      <c r="F7752" s="24">
        <v>107.57</v>
      </c>
      <c r="G7752" s="24">
        <v>4.05</v>
      </c>
      <c r="H7752" s="24" t="s">
        <v>6729</v>
      </c>
      <c r="I7752" s="24" t="s">
        <v>6650</v>
      </c>
      <c r="J7752" s="24">
        <v>0.0</v>
      </c>
    </row>
    <row r="7753">
      <c r="A7753" s="24">
        <v>203.0</v>
      </c>
      <c r="B7753" s="24">
        <v>5.0</v>
      </c>
      <c r="C7753" s="44">
        <v>20.1</v>
      </c>
      <c r="D7753" s="46">
        <v>45810.0</v>
      </c>
      <c r="E7753" s="24">
        <v>4.02</v>
      </c>
      <c r="F7753" s="24">
        <v>99.01</v>
      </c>
      <c r="G7753" s="24">
        <v>2.46</v>
      </c>
      <c r="H7753" s="24" t="s">
        <v>6734</v>
      </c>
      <c r="I7753" s="24" t="s">
        <v>6650</v>
      </c>
      <c r="J7753" s="24">
        <v>0.0</v>
      </c>
    </row>
    <row r="7754">
      <c r="A7754" s="24">
        <v>208.0</v>
      </c>
      <c r="B7754" s="24">
        <v>5.0</v>
      </c>
      <c r="C7754" s="44">
        <v>24.62</v>
      </c>
      <c r="D7754" s="46">
        <v>45810.0</v>
      </c>
      <c r="E7754" s="24">
        <v>4.92</v>
      </c>
      <c r="F7754" s="24">
        <v>118.37</v>
      </c>
      <c r="G7754" s="24">
        <v>2.4</v>
      </c>
      <c r="H7754" s="24" t="s">
        <v>6729</v>
      </c>
      <c r="I7754" s="24" t="s">
        <v>6650</v>
      </c>
      <c r="J7754" s="24">
        <v>0.0</v>
      </c>
    </row>
    <row r="7755">
      <c r="A7755" s="24">
        <v>774.0</v>
      </c>
      <c r="B7755" s="24">
        <v>20.0</v>
      </c>
      <c r="C7755" s="44">
        <v>22.71</v>
      </c>
      <c r="D7755" s="46">
        <v>45810.0</v>
      </c>
      <c r="E7755" s="24">
        <v>1.14</v>
      </c>
      <c r="F7755" s="24">
        <v>29.34</v>
      </c>
      <c r="G7755" s="24">
        <v>2.58</v>
      </c>
      <c r="H7755" s="24" t="s">
        <v>6732</v>
      </c>
      <c r="I7755" s="24" t="s">
        <v>6650</v>
      </c>
      <c r="J7755" s="24">
        <v>0.0</v>
      </c>
    </row>
    <row r="7756">
      <c r="A7756" s="24">
        <v>244.0</v>
      </c>
      <c r="B7756" s="24">
        <v>3.0</v>
      </c>
      <c r="C7756" s="44">
        <v>24.62</v>
      </c>
      <c r="D7756" s="46">
        <v>45811.0</v>
      </c>
      <c r="E7756" s="24">
        <v>8.21</v>
      </c>
      <c r="F7756" s="24">
        <v>100.9</v>
      </c>
      <c r="G7756" s="24">
        <v>1.23</v>
      </c>
      <c r="H7756" s="24" t="s">
        <v>6734</v>
      </c>
      <c r="I7756" s="24" t="s">
        <v>6650</v>
      </c>
      <c r="J7756" s="24">
        <v>0.0</v>
      </c>
    </row>
    <row r="7757">
      <c r="A7757" s="24">
        <v>213.0</v>
      </c>
      <c r="B7757" s="24">
        <v>5.0</v>
      </c>
      <c r="C7757" s="44">
        <v>29.55</v>
      </c>
      <c r="D7757" s="46">
        <v>45811.0</v>
      </c>
      <c r="E7757" s="24">
        <v>5.91</v>
      </c>
      <c r="F7757" s="24">
        <v>138.73</v>
      </c>
      <c r="G7757" s="24">
        <v>2.35</v>
      </c>
      <c r="H7757" s="24" t="s">
        <v>6729</v>
      </c>
      <c r="I7757" s="24" t="s">
        <v>6650</v>
      </c>
      <c r="J7757" s="24">
        <v>0.0</v>
      </c>
    </row>
    <row r="7758">
      <c r="A7758" s="24">
        <v>849.0</v>
      </c>
      <c r="B7758" s="24">
        <v>14.0</v>
      </c>
      <c r="C7758" s="44">
        <v>26.46</v>
      </c>
      <c r="D7758" s="46">
        <v>45811.0</v>
      </c>
      <c r="E7758" s="24">
        <v>1.89</v>
      </c>
      <c r="F7758" s="24">
        <v>31.17</v>
      </c>
      <c r="G7758" s="24">
        <v>1.65</v>
      </c>
      <c r="H7758" s="24" t="s">
        <v>6732</v>
      </c>
      <c r="I7758" s="24" t="s">
        <v>6650</v>
      </c>
      <c r="J7758" s="24">
        <v>0.0</v>
      </c>
    </row>
    <row r="7759">
      <c r="A7759" s="24">
        <v>953.0</v>
      </c>
      <c r="B7759" s="24">
        <v>19.0</v>
      </c>
      <c r="C7759" s="44">
        <v>26.3</v>
      </c>
      <c r="D7759" s="46">
        <v>45812.0</v>
      </c>
      <c r="E7759" s="24">
        <v>1.38</v>
      </c>
      <c r="F7759" s="24">
        <v>27.6</v>
      </c>
      <c r="G7759" s="24">
        <v>1.99</v>
      </c>
      <c r="H7759" s="24" t="s">
        <v>6732</v>
      </c>
      <c r="I7759" s="24" t="s">
        <v>6650</v>
      </c>
      <c r="J7759" s="24">
        <v>0.0</v>
      </c>
    </row>
    <row r="7760">
      <c r="A7760" s="24">
        <v>205.0</v>
      </c>
      <c r="B7760" s="24">
        <v>5.0</v>
      </c>
      <c r="C7760" s="44">
        <v>24.72</v>
      </c>
      <c r="D7760" s="46">
        <v>45812.0</v>
      </c>
      <c r="E7760" s="24">
        <v>4.94</v>
      </c>
      <c r="F7760" s="24">
        <v>120.59</v>
      </c>
      <c r="G7760" s="24">
        <v>2.44</v>
      </c>
      <c r="H7760" s="24" t="s">
        <v>6734</v>
      </c>
      <c r="I7760" s="24" t="s">
        <v>6650</v>
      </c>
      <c r="J7760" s="24">
        <v>0.0</v>
      </c>
    </row>
    <row r="7761">
      <c r="A7761" s="24">
        <v>304.0</v>
      </c>
      <c r="B7761" s="24">
        <v>9.0</v>
      </c>
      <c r="C7761" s="44">
        <v>29.53</v>
      </c>
      <c r="D7761" s="46">
        <v>45812.0</v>
      </c>
      <c r="E7761" s="24">
        <v>3.28</v>
      </c>
      <c r="F7761" s="24">
        <v>97.14</v>
      </c>
      <c r="G7761" s="24">
        <v>2.96</v>
      </c>
      <c r="H7761" s="24" t="s">
        <v>6729</v>
      </c>
      <c r="I7761" s="24" t="s">
        <v>6650</v>
      </c>
      <c r="J7761" s="24">
        <v>0.0</v>
      </c>
    </row>
    <row r="7762">
      <c r="A7762" s="24">
        <v>235.0</v>
      </c>
      <c r="B7762" s="24">
        <v>8.0</v>
      </c>
      <c r="C7762" s="44">
        <v>28.06</v>
      </c>
      <c r="D7762" s="46">
        <v>45813.0</v>
      </c>
      <c r="E7762" s="24">
        <v>3.51</v>
      </c>
      <c r="F7762" s="24">
        <v>119.4</v>
      </c>
      <c r="G7762" s="24">
        <v>3.4</v>
      </c>
      <c r="H7762" s="24" t="s">
        <v>6729</v>
      </c>
      <c r="I7762" s="24" t="s">
        <v>6650</v>
      </c>
      <c r="J7762" s="24">
        <v>0.0</v>
      </c>
    </row>
    <row r="7763">
      <c r="A7763" s="24">
        <v>1049.0</v>
      </c>
      <c r="B7763" s="24">
        <v>19.0</v>
      </c>
      <c r="C7763" s="44">
        <v>25.71</v>
      </c>
      <c r="D7763" s="46">
        <v>45813.0</v>
      </c>
      <c r="E7763" s="24">
        <v>1.35</v>
      </c>
      <c r="F7763" s="24">
        <v>24.51</v>
      </c>
      <c r="G7763" s="24">
        <v>1.81</v>
      </c>
      <c r="H7763" s="24" t="s">
        <v>6732</v>
      </c>
      <c r="I7763" s="24" t="s">
        <v>6650</v>
      </c>
      <c r="J7763" s="24">
        <v>0.0</v>
      </c>
    </row>
    <row r="7764">
      <c r="A7764" s="24">
        <v>192.0</v>
      </c>
      <c r="B7764" s="24">
        <v>1.0</v>
      </c>
      <c r="C7764" s="44">
        <v>23.49</v>
      </c>
      <c r="D7764" s="46">
        <v>45813.0</v>
      </c>
      <c r="E7764" s="24">
        <v>23.49</v>
      </c>
      <c r="F7764" s="24">
        <v>122.34</v>
      </c>
      <c r="G7764" s="24">
        <v>0.52</v>
      </c>
      <c r="H7764" s="24" t="s">
        <v>6734</v>
      </c>
      <c r="I7764" s="24" t="s">
        <v>6650</v>
      </c>
      <c r="J7764" s="24">
        <v>0.0</v>
      </c>
    </row>
    <row r="7765">
      <c r="A7765" s="24">
        <v>868.0</v>
      </c>
      <c r="B7765" s="24">
        <v>16.0</v>
      </c>
      <c r="C7765" s="44">
        <v>23.28</v>
      </c>
      <c r="D7765" s="46">
        <v>45814.0</v>
      </c>
      <c r="E7765" s="24">
        <v>1.46</v>
      </c>
      <c r="F7765" s="24">
        <v>26.82</v>
      </c>
      <c r="G7765" s="24">
        <v>1.84</v>
      </c>
      <c r="H7765" s="24" t="s">
        <v>6732</v>
      </c>
      <c r="I7765" s="24" t="s">
        <v>6650</v>
      </c>
      <c r="J7765" s="24">
        <v>0.0</v>
      </c>
    </row>
    <row r="7766">
      <c r="A7766" s="24">
        <v>225.0</v>
      </c>
      <c r="B7766" s="24">
        <v>5.0</v>
      </c>
      <c r="C7766" s="44">
        <v>23.09</v>
      </c>
      <c r="D7766" s="46">
        <v>45814.0</v>
      </c>
      <c r="E7766" s="24">
        <v>4.62</v>
      </c>
      <c r="F7766" s="24">
        <v>102.62</v>
      </c>
      <c r="G7766" s="24">
        <v>2.22</v>
      </c>
      <c r="H7766" s="24" t="s">
        <v>6734</v>
      </c>
      <c r="I7766" s="24" t="s">
        <v>6650</v>
      </c>
      <c r="J7766" s="24">
        <v>0.0</v>
      </c>
    </row>
    <row r="7767">
      <c r="A7767" s="24">
        <v>257.0</v>
      </c>
      <c r="B7767" s="24">
        <v>10.0</v>
      </c>
      <c r="C7767" s="44">
        <v>23.9</v>
      </c>
      <c r="D7767" s="46">
        <v>45814.0</v>
      </c>
      <c r="E7767" s="24">
        <v>2.39</v>
      </c>
      <c r="F7767" s="24">
        <v>93.0</v>
      </c>
      <c r="G7767" s="24">
        <v>3.89</v>
      </c>
      <c r="H7767" s="24" t="s">
        <v>6729</v>
      </c>
      <c r="I7767" s="24" t="s">
        <v>6650</v>
      </c>
      <c r="J7767" s="24">
        <v>0.0</v>
      </c>
    </row>
    <row r="7768">
      <c r="A7768" s="24">
        <v>100.0</v>
      </c>
      <c r="B7768" s="24">
        <v>3.0</v>
      </c>
      <c r="C7768" s="44">
        <v>10.18</v>
      </c>
      <c r="D7768" s="46">
        <v>45815.0</v>
      </c>
      <c r="E7768" s="24">
        <v>3.39</v>
      </c>
      <c r="F7768" s="24">
        <v>101.8</v>
      </c>
      <c r="G7768" s="24">
        <v>3.0</v>
      </c>
      <c r="H7768" s="24" t="s">
        <v>6734</v>
      </c>
      <c r="I7768" s="24" t="s">
        <v>6650</v>
      </c>
      <c r="J7768" s="24">
        <v>0.0</v>
      </c>
    </row>
    <row r="7769">
      <c r="A7769" s="24">
        <v>119.0</v>
      </c>
      <c r="B7769" s="24">
        <v>2.0</v>
      </c>
      <c r="C7769" s="44">
        <v>14.68</v>
      </c>
      <c r="D7769" s="46">
        <v>45815.0</v>
      </c>
      <c r="E7769" s="24">
        <v>7.34</v>
      </c>
      <c r="F7769" s="24">
        <v>123.36</v>
      </c>
      <c r="G7769" s="24">
        <v>1.68</v>
      </c>
      <c r="H7769" s="24" t="s">
        <v>6729</v>
      </c>
      <c r="I7769" s="24" t="s">
        <v>6650</v>
      </c>
      <c r="J7769" s="24">
        <v>0.0</v>
      </c>
    </row>
    <row r="7770">
      <c r="A7770" s="24">
        <v>334.0</v>
      </c>
      <c r="B7770" s="24">
        <v>2.0</v>
      </c>
      <c r="C7770" s="44">
        <v>13.39</v>
      </c>
      <c r="D7770" s="46">
        <v>45815.0</v>
      </c>
      <c r="E7770" s="24">
        <v>6.7</v>
      </c>
      <c r="F7770" s="24">
        <v>40.09</v>
      </c>
      <c r="G7770" s="24">
        <v>0.6</v>
      </c>
      <c r="H7770" s="24" t="s">
        <v>6732</v>
      </c>
      <c r="I7770" s="24" t="s">
        <v>6650</v>
      </c>
      <c r="J7770" s="24">
        <v>0.0</v>
      </c>
    </row>
    <row r="7771">
      <c r="A7771" s="24">
        <v>238.0</v>
      </c>
      <c r="B7771" s="24">
        <v>6.0</v>
      </c>
      <c r="C7771" s="44">
        <v>11.25</v>
      </c>
      <c r="D7771" s="46">
        <v>45816.0</v>
      </c>
      <c r="E7771" s="24">
        <v>1.88</v>
      </c>
      <c r="F7771" s="24">
        <v>47.27</v>
      </c>
      <c r="G7771" s="24">
        <v>2.52</v>
      </c>
      <c r="H7771" s="24" t="s">
        <v>6732</v>
      </c>
      <c r="I7771" s="24" t="s">
        <v>6650</v>
      </c>
      <c r="J7771" s="24">
        <v>0.0</v>
      </c>
    </row>
    <row r="7772">
      <c r="A7772" s="24">
        <v>66.0</v>
      </c>
      <c r="B7772" s="24">
        <v>0.0</v>
      </c>
      <c r="C7772" s="44">
        <v>9.26</v>
      </c>
      <c r="D7772" s="46">
        <v>45816.0</v>
      </c>
      <c r="E7772" s="24" t="s">
        <v>6650</v>
      </c>
      <c r="F7772" s="24">
        <v>140.3</v>
      </c>
      <c r="G7772" s="24">
        <v>0.0</v>
      </c>
      <c r="H7772" s="24" t="s">
        <v>6729</v>
      </c>
      <c r="I7772" s="24" t="s">
        <v>6650</v>
      </c>
      <c r="J7772" s="24">
        <v>0.0</v>
      </c>
    </row>
    <row r="7773">
      <c r="A7773" s="24">
        <v>57.0</v>
      </c>
      <c r="B7773" s="24">
        <v>1.0</v>
      </c>
      <c r="C7773" s="44">
        <v>6.8</v>
      </c>
      <c r="D7773" s="46">
        <v>45816.0</v>
      </c>
      <c r="E7773" s="24">
        <v>6.8</v>
      </c>
      <c r="F7773" s="24">
        <v>119.3</v>
      </c>
      <c r="G7773" s="24">
        <v>1.75</v>
      </c>
      <c r="H7773" s="24" t="s">
        <v>6734</v>
      </c>
      <c r="I7773" s="24" t="s">
        <v>6650</v>
      </c>
      <c r="J7773" s="24">
        <v>0.0</v>
      </c>
    </row>
    <row r="7774">
      <c r="A7774" s="24">
        <v>187.0</v>
      </c>
      <c r="B7774" s="24">
        <v>2.0</v>
      </c>
      <c r="C7774" s="44">
        <v>19.54</v>
      </c>
      <c r="D7774" s="46">
        <v>45817.0</v>
      </c>
      <c r="E7774" s="24">
        <v>9.77</v>
      </c>
      <c r="F7774" s="24">
        <v>104.49</v>
      </c>
      <c r="G7774" s="24">
        <v>1.07</v>
      </c>
      <c r="H7774" s="24" t="s">
        <v>6734</v>
      </c>
      <c r="I7774" s="24" t="s">
        <v>6650</v>
      </c>
      <c r="J7774" s="24">
        <v>0.0</v>
      </c>
    </row>
    <row r="7775">
      <c r="A7775" s="24">
        <v>158.0</v>
      </c>
      <c r="B7775" s="24">
        <v>4.0</v>
      </c>
      <c r="C7775" s="44">
        <v>24.73</v>
      </c>
      <c r="D7775" s="46">
        <v>45817.0</v>
      </c>
      <c r="E7775" s="24">
        <v>6.18</v>
      </c>
      <c r="F7775" s="24">
        <v>156.52</v>
      </c>
      <c r="G7775" s="24">
        <v>2.53</v>
      </c>
      <c r="H7775" s="24" t="s">
        <v>6729</v>
      </c>
      <c r="I7775" s="24" t="s">
        <v>6650</v>
      </c>
      <c r="J7775" s="24">
        <v>0.0</v>
      </c>
    </row>
    <row r="7776">
      <c r="A7776" s="24">
        <v>711.0</v>
      </c>
      <c r="B7776" s="24">
        <v>10.0</v>
      </c>
      <c r="C7776" s="44">
        <v>22.09</v>
      </c>
      <c r="D7776" s="46">
        <v>45817.0</v>
      </c>
      <c r="E7776" s="24">
        <v>2.21</v>
      </c>
      <c r="F7776" s="24">
        <v>31.07</v>
      </c>
      <c r="G7776" s="24">
        <v>1.41</v>
      </c>
      <c r="H7776" s="24" t="s">
        <v>6732</v>
      </c>
      <c r="I7776" s="24" t="s">
        <v>6650</v>
      </c>
      <c r="J7776" s="24">
        <v>0.0</v>
      </c>
    </row>
    <row r="7777">
      <c r="A7777" s="24">
        <v>320.0</v>
      </c>
      <c r="B7777" s="24">
        <v>5.0</v>
      </c>
      <c r="C7777" s="44">
        <v>24.41</v>
      </c>
      <c r="D7777" s="46">
        <v>45818.0</v>
      </c>
      <c r="E7777" s="24">
        <v>4.88</v>
      </c>
      <c r="F7777" s="24">
        <v>76.28</v>
      </c>
      <c r="G7777" s="24">
        <v>1.56</v>
      </c>
      <c r="H7777" s="24" t="s">
        <v>6734</v>
      </c>
      <c r="I7777" s="24" t="s">
        <v>6650</v>
      </c>
      <c r="J7777" s="24">
        <v>0.0</v>
      </c>
    </row>
    <row r="7778">
      <c r="A7778" s="24">
        <v>215.0</v>
      </c>
      <c r="B7778" s="24">
        <v>6.0</v>
      </c>
      <c r="C7778" s="44">
        <v>30.18</v>
      </c>
      <c r="D7778" s="46">
        <v>45818.0</v>
      </c>
      <c r="E7778" s="24">
        <v>5.03</v>
      </c>
      <c r="F7778" s="24">
        <v>140.37</v>
      </c>
      <c r="G7778" s="24">
        <v>2.79</v>
      </c>
      <c r="H7778" s="24" t="s">
        <v>6729</v>
      </c>
      <c r="I7778" s="24" t="s">
        <v>6650</v>
      </c>
      <c r="J7778" s="24">
        <v>0.0</v>
      </c>
    </row>
    <row r="7779">
      <c r="A7779" s="24">
        <v>931.0</v>
      </c>
      <c r="B7779" s="24">
        <v>22.0</v>
      </c>
      <c r="C7779" s="44">
        <v>27.07</v>
      </c>
      <c r="D7779" s="46">
        <v>45818.0</v>
      </c>
      <c r="E7779" s="24">
        <v>1.23</v>
      </c>
      <c r="F7779" s="24">
        <v>29.08</v>
      </c>
      <c r="G7779" s="24">
        <v>2.36</v>
      </c>
      <c r="H7779" s="24" t="s">
        <v>6732</v>
      </c>
      <c r="I7779" s="24" t="s">
        <v>6650</v>
      </c>
      <c r="J7779" s="24">
        <v>0.0</v>
      </c>
    </row>
    <row r="7780">
      <c r="A7780" s="24">
        <v>0.0</v>
      </c>
      <c r="B7780" s="24">
        <v>0.0</v>
      </c>
      <c r="C7780" s="44">
        <v>0.0</v>
      </c>
      <c r="D7780" s="46">
        <v>45818.0</v>
      </c>
      <c r="E7780" s="24" t="s">
        <v>6650</v>
      </c>
      <c r="F7780" s="24" t="s">
        <v>6650</v>
      </c>
      <c r="G7780" s="24" t="s">
        <v>6650</v>
      </c>
      <c r="H7780" s="24" t="s">
        <v>6705</v>
      </c>
      <c r="I7780" s="24" t="s">
        <v>6650</v>
      </c>
      <c r="J7780" s="24">
        <v>1.0</v>
      </c>
    </row>
    <row r="7781">
      <c r="A7781" s="24">
        <v>856.0</v>
      </c>
      <c r="B7781" s="24">
        <v>16.0</v>
      </c>
      <c r="C7781" s="44">
        <v>26.22</v>
      </c>
      <c r="D7781" s="46">
        <v>45819.0</v>
      </c>
      <c r="E7781" s="24">
        <v>1.64</v>
      </c>
      <c r="F7781" s="24">
        <v>30.63</v>
      </c>
      <c r="G7781" s="24">
        <v>1.87</v>
      </c>
      <c r="H7781" s="24" t="s">
        <v>6732</v>
      </c>
      <c r="I7781" s="24" t="s">
        <v>6650</v>
      </c>
      <c r="J7781" s="24">
        <v>0.0</v>
      </c>
    </row>
    <row r="7782">
      <c r="A7782" s="24">
        <v>238.0</v>
      </c>
      <c r="B7782" s="24">
        <v>5.0</v>
      </c>
      <c r="C7782" s="44">
        <v>23.64</v>
      </c>
      <c r="D7782" s="46">
        <v>45819.0</v>
      </c>
      <c r="E7782" s="24">
        <v>4.73</v>
      </c>
      <c r="F7782" s="24">
        <v>99.33</v>
      </c>
      <c r="G7782" s="24">
        <v>2.1</v>
      </c>
      <c r="H7782" s="24" t="s">
        <v>6734</v>
      </c>
      <c r="I7782" s="24" t="s">
        <v>6650</v>
      </c>
      <c r="J7782" s="24">
        <v>0.0</v>
      </c>
    </row>
    <row r="7783">
      <c r="A7783" s="24">
        <v>230.0</v>
      </c>
      <c r="B7783" s="24">
        <v>4.0</v>
      </c>
      <c r="C7783" s="44">
        <v>27.87</v>
      </c>
      <c r="D7783" s="46">
        <v>45819.0</v>
      </c>
      <c r="E7783" s="24">
        <v>6.97</v>
      </c>
      <c r="F7783" s="24">
        <v>121.17</v>
      </c>
      <c r="G7783" s="24">
        <v>1.74</v>
      </c>
      <c r="H7783" s="24" t="s">
        <v>6729</v>
      </c>
      <c r="I7783" s="24" t="s">
        <v>6650</v>
      </c>
      <c r="J7783" s="24">
        <v>0.0</v>
      </c>
    </row>
    <row r="7784">
      <c r="A7784" s="24">
        <v>939.0</v>
      </c>
      <c r="B7784" s="24">
        <v>19.0</v>
      </c>
      <c r="C7784" s="44">
        <v>25.34</v>
      </c>
      <c r="D7784" s="46">
        <v>45820.0</v>
      </c>
      <c r="E7784" s="24">
        <v>1.33</v>
      </c>
      <c r="F7784" s="24">
        <v>26.99</v>
      </c>
      <c r="G7784" s="24">
        <v>2.02</v>
      </c>
      <c r="H7784" s="24" t="s">
        <v>6732</v>
      </c>
      <c r="I7784" s="24" t="s">
        <v>6650</v>
      </c>
      <c r="J7784" s="24">
        <v>0.0</v>
      </c>
    </row>
    <row r="7785">
      <c r="A7785" s="24">
        <v>172.0</v>
      </c>
      <c r="B7785" s="24">
        <v>4.0</v>
      </c>
      <c r="C7785" s="44">
        <v>24.37</v>
      </c>
      <c r="D7785" s="46">
        <v>45820.0</v>
      </c>
      <c r="E7785" s="24">
        <v>6.09</v>
      </c>
      <c r="F7785" s="24">
        <v>141.69</v>
      </c>
      <c r="G7785" s="24">
        <v>2.33</v>
      </c>
      <c r="H7785" s="24" t="s">
        <v>6734</v>
      </c>
      <c r="I7785" s="24" t="s">
        <v>6650</v>
      </c>
      <c r="J7785" s="24">
        <v>0.0</v>
      </c>
    </row>
    <row r="7786">
      <c r="A7786" s="24">
        <v>248.0</v>
      </c>
      <c r="B7786" s="24">
        <v>9.0</v>
      </c>
      <c r="C7786" s="44">
        <v>27.24</v>
      </c>
      <c r="D7786" s="46">
        <v>45820.0</v>
      </c>
      <c r="E7786" s="24">
        <v>3.03</v>
      </c>
      <c r="F7786" s="24">
        <v>109.84</v>
      </c>
      <c r="G7786" s="24">
        <v>3.63</v>
      </c>
      <c r="H7786" s="24" t="s">
        <v>6729</v>
      </c>
      <c r="I7786" s="24" t="s">
        <v>6650</v>
      </c>
      <c r="J7786" s="24">
        <v>0.0</v>
      </c>
    </row>
    <row r="7787">
      <c r="A7787" s="24">
        <v>774.0</v>
      </c>
      <c r="B7787" s="24">
        <v>19.0</v>
      </c>
      <c r="C7787" s="44">
        <v>22.92</v>
      </c>
      <c r="D7787" s="46">
        <v>45821.0</v>
      </c>
      <c r="E7787" s="24">
        <v>1.21</v>
      </c>
      <c r="F7787" s="24">
        <v>29.61</v>
      </c>
      <c r="G7787" s="24">
        <v>2.45</v>
      </c>
      <c r="H7787" s="24" t="s">
        <v>6732</v>
      </c>
      <c r="I7787" s="24" t="s">
        <v>6650</v>
      </c>
      <c r="J7787" s="24">
        <v>0.0</v>
      </c>
    </row>
    <row r="7788">
      <c r="A7788" s="24">
        <v>206.0</v>
      </c>
      <c r="B7788" s="24">
        <v>6.0</v>
      </c>
      <c r="C7788" s="44">
        <v>20.48</v>
      </c>
      <c r="D7788" s="46">
        <v>45821.0</v>
      </c>
      <c r="E7788" s="24">
        <v>3.41</v>
      </c>
      <c r="F7788" s="24">
        <v>99.42</v>
      </c>
      <c r="G7788" s="24">
        <v>2.91</v>
      </c>
      <c r="H7788" s="24" t="s">
        <v>6734</v>
      </c>
      <c r="I7788" s="24" t="s">
        <v>6650</v>
      </c>
      <c r="J7788" s="24">
        <v>0.0</v>
      </c>
    </row>
    <row r="7789">
      <c r="A7789" s="24">
        <v>556.0</v>
      </c>
      <c r="B7789" s="24">
        <v>3.0</v>
      </c>
      <c r="C7789" s="44">
        <v>24.12</v>
      </c>
      <c r="D7789" s="46">
        <v>45821.0</v>
      </c>
      <c r="E7789" s="24">
        <v>8.04</v>
      </c>
      <c r="F7789" s="24">
        <v>43.38</v>
      </c>
      <c r="G7789" s="24">
        <v>0.54</v>
      </c>
      <c r="H7789" s="24" t="s">
        <v>6729</v>
      </c>
      <c r="I7789" s="24" t="s">
        <v>6650</v>
      </c>
      <c r="J7789" s="24">
        <v>0.0</v>
      </c>
    </row>
    <row r="7790">
      <c r="A7790" s="24">
        <v>238.0</v>
      </c>
      <c r="B7790" s="24">
        <v>8.0</v>
      </c>
      <c r="C7790" s="44">
        <v>13.75</v>
      </c>
      <c r="D7790" s="46">
        <v>45822.0</v>
      </c>
      <c r="E7790" s="24">
        <v>1.72</v>
      </c>
      <c r="F7790" s="24">
        <v>57.77</v>
      </c>
      <c r="G7790" s="24">
        <v>3.36</v>
      </c>
      <c r="H7790" s="24" t="s">
        <v>6732</v>
      </c>
      <c r="I7790" s="24" t="s">
        <v>6650</v>
      </c>
      <c r="J7790" s="24">
        <v>0.0</v>
      </c>
    </row>
    <row r="7791">
      <c r="A7791" s="24">
        <v>126.0</v>
      </c>
      <c r="B7791" s="24">
        <v>2.0</v>
      </c>
      <c r="C7791" s="44">
        <v>7.54</v>
      </c>
      <c r="D7791" s="46">
        <v>45822.0</v>
      </c>
      <c r="E7791" s="24">
        <v>3.77</v>
      </c>
      <c r="F7791" s="24">
        <v>59.84</v>
      </c>
      <c r="G7791" s="24">
        <v>1.59</v>
      </c>
      <c r="H7791" s="24" t="s">
        <v>6735</v>
      </c>
      <c r="I7791" s="24" t="s">
        <v>6650</v>
      </c>
      <c r="J7791" s="24">
        <v>0.0</v>
      </c>
    </row>
    <row r="7792">
      <c r="A7792" s="24">
        <v>115.0</v>
      </c>
      <c r="B7792" s="24">
        <v>0.0</v>
      </c>
      <c r="C7792" s="44">
        <v>15.3</v>
      </c>
      <c r="D7792" s="46">
        <v>45822.0</v>
      </c>
      <c r="E7792" s="24" t="s">
        <v>6650</v>
      </c>
      <c r="F7792" s="24">
        <v>133.04</v>
      </c>
      <c r="G7792" s="24">
        <v>0.0</v>
      </c>
      <c r="H7792" s="24" t="s">
        <v>6729</v>
      </c>
      <c r="I7792" s="24" t="s">
        <v>6650</v>
      </c>
      <c r="J7792" s="24">
        <v>0.0</v>
      </c>
    </row>
    <row r="7793">
      <c r="A7793" s="24">
        <v>99.0</v>
      </c>
      <c r="B7793" s="24">
        <v>3.0</v>
      </c>
      <c r="C7793" s="44">
        <v>12.96</v>
      </c>
      <c r="D7793" s="46">
        <v>45822.0</v>
      </c>
      <c r="E7793" s="24">
        <v>4.32</v>
      </c>
      <c r="F7793" s="24">
        <v>130.91</v>
      </c>
      <c r="G7793" s="24">
        <v>3.03</v>
      </c>
      <c r="H7793" s="24" t="s">
        <v>6734</v>
      </c>
      <c r="I7793" s="24" t="s">
        <v>6650</v>
      </c>
      <c r="J7793" s="24">
        <v>0.0</v>
      </c>
    </row>
    <row r="7794">
      <c r="A7794" s="24">
        <v>196.0</v>
      </c>
      <c r="B7794" s="24">
        <v>4.0</v>
      </c>
      <c r="C7794" s="44">
        <v>11.71</v>
      </c>
      <c r="D7794" s="46">
        <v>45823.0</v>
      </c>
      <c r="E7794" s="24">
        <v>2.93</v>
      </c>
      <c r="F7794" s="24">
        <v>59.74</v>
      </c>
      <c r="G7794" s="24">
        <v>2.04</v>
      </c>
      <c r="H7794" s="24" t="s">
        <v>6732</v>
      </c>
      <c r="I7794" s="24" t="s">
        <v>6650</v>
      </c>
      <c r="J7794" s="24">
        <v>0.0</v>
      </c>
    </row>
    <row r="7795">
      <c r="A7795" s="24">
        <v>50.0</v>
      </c>
      <c r="B7795" s="24">
        <v>1.0</v>
      </c>
      <c r="C7795" s="44">
        <v>7.6</v>
      </c>
      <c r="D7795" s="46">
        <v>45823.0</v>
      </c>
      <c r="E7795" s="24">
        <v>7.6</v>
      </c>
      <c r="F7795" s="24">
        <v>152.0</v>
      </c>
      <c r="G7795" s="24">
        <v>2.0</v>
      </c>
      <c r="H7795" s="24" t="s">
        <v>6734</v>
      </c>
      <c r="I7795" s="24" t="s">
        <v>6650</v>
      </c>
      <c r="J7795" s="24">
        <v>0.0</v>
      </c>
    </row>
    <row r="7796">
      <c r="A7796" s="24">
        <v>180.0</v>
      </c>
      <c r="B7796" s="24">
        <v>2.0</v>
      </c>
      <c r="C7796" s="44">
        <v>28.5</v>
      </c>
      <c r="D7796" s="46">
        <v>45823.0</v>
      </c>
      <c r="E7796" s="24">
        <v>14.25</v>
      </c>
      <c r="F7796" s="24">
        <v>158.33</v>
      </c>
      <c r="G7796" s="24">
        <v>1.11</v>
      </c>
      <c r="H7796" s="24" t="s">
        <v>6735</v>
      </c>
      <c r="I7796" s="24" t="s">
        <v>6650</v>
      </c>
      <c r="J7796" s="24">
        <v>0.0</v>
      </c>
    </row>
    <row r="7797">
      <c r="A7797" s="24">
        <v>188.0</v>
      </c>
      <c r="B7797" s="24">
        <v>1.0</v>
      </c>
      <c r="C7797" s="44">
        <v>10.08</v>
      </c>
      <c r="D7797" s="46">
        <v>45823.0</v>
      </c>
      <c r="E7797" s="24">
        <v>10.08</v>
      </c>
      <c r="F7797" s="24">
        <v>53.62</v>
      </c>
      <c r="G7797" s="24">
        <v>0.53</v>
      </c>
      <c r="H7797" s="24" t="s">
        <v>6729</v>
      </c>
      <c r="I7797" s="24" t="s">
        <v>6650</v>
      </c>
      <c r="J7797" s="24">
        <v>0.0</v>
      </c>
    </row>
    <row r="7798">
      <c r="A7798" s="24">
        <v>159.0</v>
      </c>
      <c r="B7798" s="24">
        <v>7.0</v>
      </c>
      <c r="C7798" s="44">
        <v>20.41</v>
      </c>
      <c r="D7798" s="46">
        <v>45824.0</v>
      </c>
      <c r="E7798" s="24">
        <v>2.92</v>
      </c>
      <c r="F7798" s="24">
        <v>128.36</v>
      </c>
      <c r="G7798" s="24">
        <v>4.4</v>
      </c>
      <c r="H7798" s="24" t="s">
        <v>6734</v>
      </c>
      <c r="I7798" s="24" t="s">
        <v>6650</v>
      </c>
      <c r="J7798" s="24">
        <v>0.0</v>
      </c>
    </row>
    <row r="7799">
      <c r="A7799" s="24">
        <v>845.0</v>
      </c>
      <c r="B7799" s="24">
        <v>19.0</v>
      </c>
      <c r="C7799" s="44">
        <v>22.88</v>
      </c>
      <c r="D7799" s="46">
        <v>45824.0</v>
      </c>
      <c r="E7799" s="24">
        <v>1.2</v>
      </c>
      <c r="F7799" s="24">
        <v>27.08</v>
      </c>
      <c r="G7799" s="24">
        <v>2.25</v>
      </c>
      <c r="H7799" s="24" t="s">
        <v>6732</v>
      </c>
      <c r="I7799" s="24" t="s">
        <v>6650</v>
      </c>
      <c r="J7799" s="24">
        <v>0.0</v>
      </c>
    </row>
    <row r="7800">
      <c r="A7800" s="24">
        <v>73.0</v>
      </c>
      <c r="B7800" s="24">
        <v>2.0</v>
      </c>
      <c r="C7800" s="44">
        <v>21.08</v>
      </c>
      <c r="D7800" s="46">
        <v>45824.0</v>
      </c>
      <c r="E7800" s="24">
        <v>10.54</v>
      </c>
      <c r="F7800" s="24">
        <v>288.77</v>
      </c>
      <c r="G7800" s="24">
        <v>2.74</v>
      </c>
      <c r="H7800" s="24" t="s">
        <v>6735</v>
      </c>
      <c r="I7800" s="24" t="s">
        <v>6650</v>
      </c>
      <c r="J7800" s="24">
        <v>0.0</v>
      </c>
    </row>
    <row r="7801">
      <c r="A7801" s="24">
        <v>693.0</v>
      </c>
      <c r="B7801" s="24">
        <v>3.0</v>
      </c>
      <c r="C7801" s="44">
        <v>24.58</v>
      </c>
      <c r="D7801" s="46">
        <v>45824.0</v>
      </c>
      <c r="E7801" s="24">
        <v>8.19</v>
      </c>
      <c r="F7801" s="24">
        <v>35.47</v>
      </c>
      <c r="G7801" s="24">
        <v>0.43</v>
      </c>
      <c r="H7801" s="24" t="s">
        <v>6729</v>
      </c>
      <c r="I7801" s="24" t="s">
        <v>6650</v>
      </c>
      <c r="J7801" s="24">
        <v>0.0</v>
      </c>
    </row>
    <row r="7802">
      <c r="A7802" s="24">
        <v>60.0</v>
      </c>
      <c r="B7802" s="24">
        <v>0.0</v>
      </c>
      <c r="C7802" s="44">
        <v>24.15</v>
      </c>
      <c r="D7802" s="46">
        <v>45825.0</v>
      </c>
      <c r="E7802" s="24" t="s">
        <v>6650</v>
      </c>
      <c r="F7802" s="24">
        <v>402.5</v>
      </c>
      <c r="G7802" s="24">
        <v>0.0</v>
      </c>
      <c r="H7802" s="24" t="s">
        <v>6735</v>
      </c>
      <c r="I7802" s="24" t="s">
        <v>6650</v>
      </c>
      <c r="J7802" s="24">
        <v>0.0</v>
      </c>
    </row>
    <row r="7803">
      <c r="A7803" s="24">
        <v>857.0</v>
      </c>
      <c r="B7803" s="24">
        <v>19.0</v>
      </c>
      <c r="C7803" s="44">
        <v>25.96</v>
      </c>
      <c r="D7803" s="46">
        <v>45825.0</v>
      </c>
      <c r="E7803" s="24">
        <v>1.37</v>
      </c>
      <c r="F7803" s="24">
        <v>30.29</v>
      </c>
      <c r="G7803" s="24">
        <v>2.22</v>
      </c>
      <c r="H7803" s="24" t="s">
        <v>6732</v>
      </c>
      <c r="I7803" s="24" t="s">
        <v>6650</v>
      </c>
      <c r="J7803" s="24">
        <v>0.0</v>
      </c>
    </row>
    <row r="7804">
      <c r="A7804" s="24">
        <v>168.0</v>
      </c>
      <c r="B7804" s="24">
        <v>2.0</v>
      </c>
      <c r="C7804" s="44">
        <v>25.03</v>
      </c>
      <c r="D7804" s="46">
        <v>45825.0</v>
      </c>
      <c r="E7804" s="24">
        <v>12.52</v>
      </c>
      <c r="F7804" s="24">
        <v>148.99</v>
      </c>
      <c r="G7804" s="24">
        <v>1.19</v>
      </c>
      <c r="H7804" s="24" t="s">
        <v>6734</v>
      </c>
      <c r="I7804" s="24" t="s">
        <v>6650</v>
      </c>
      <c r="J7804" s="24">
        <v>0.0</v>
      </c>
    </row>
    <row r="7805">
      <c r="A7805" s="24">
        <v>748.0</v>
      </c>
      <c r="B7805" s="24">
        <v>3.0</v>
      </c>
      <c r="C7805" s="44">
        <v>28.07</v>
      </c>
      <c r="D7805" s="46">
        <v>45825.0</v>
      </c>
      <c r="E7805" s="24">
        <v>9.36</v>
      </c>
      <c r="F7805" s="24">
        <v>37.53</v>
      </c>
      <c r="G7805" s="24">
        <v>0.4</v>
      </c>
      <c r="H7805" s="24" t="s">
        <v>6729</v>
      </c>
      <c r="I7805" s="24" t="s">
        <v>6650</v>
      </c>
      <c r="J7805" s="24">
        <v>0.0</v>
      </c>
    </row>
    <row r="7806">
      <c r="A7806" s="24">
        <v>807.0</v>
      </c>
      <c r="B7806" s="24">
        <v>16.0</v>
      </c>
      <c r="C7806" s="44">
        <v>25.85</v>
      </c>
      <c r="D7806" s="46">
        <v>45826.0</v>
      </c>
      <c r="E7806" s="24">
        <v>1.62</v>
      </c>
      <c r="F7806" s="24">
        <v>32.03</v>
      </c>
      <c r="G7806" s="24">
        <v>1.98</v>
      </c>
      <c r="H7806" s="24" t="s">
        <v>6732</v>
      </c>
      <c r="I7806" s="24" t="s">
        <v>6650</v>
      </c>
      <c r="J7806" s="24">
        <v>0.0</v>
      </c>
    </row>
    <row r="7807">
      <c r="A7807" s="24">
        <v>247.0</v>
      </c>
      <c r="B7807" s="24">
        <v>6.0</v>
      </c>
      <c r="C7807" s="44">
        <v>25.23</v>
      </c>
      <c r="D7807" s="46">
        <v>45826.0</v>
      </c>
      <c r="E7807" s="24">
        <v>4.2</v>
      </c>
      <c r="F7807" s="24">
        <v>102.15</v>
      </c>
      <c r="G7807" s="24">
        <v>2.43</v>
      </c>
      <c r="H7807" s="24" t="s">
        <v>6734</v>
      </c>
      <c r="I7807" s="24" t="s">
        <v>6650</v>
      </c>
      <c r="J7807" s="24">
        <v>0.0</v>
      </c>
    </row>
    <row r="7808">
      <c r="A7808" s="24">
        <v>844.0</v>
      </c>
      <c r="B7808" s="24">
        <v>4.0</v>
      </c>
      <c r="C7808" s="44">
        <v>28.5</v>
      </c>
      <c r="D7808" s="46">
        <v>45826.0</v>
      </c>
      <c r="E7808" s="24">
        <v>7.12</v>
      </c>
      <c r="F7808" s="24">
        <v>33.77</v>
      </c>
      <c r="G7808" s="24">
        <v>0.47</v>
      </c>
      <c r="H7808" s="24" t="s">
        <v>6729</v>
      </c>
      <c r="I7808" s="24" t="s">
        <v>6650</v>
      </c>
      <c r="J7808" s="24">
        <v>0.0</v>
      </c>
    </row>
    <row r="7809">
      <c r="A7809" s="24">
        <v>51.0</v>
      </c>
      <c r="B7809" s="24">
        <v>1.0</v>
      </c>
      <c r="C7809" s="44">
        <v>24.42</v>
      </c>
      <c r="D7809" s="46">
        <v>45826.0</v>
      </c>
      <c r="E7809" s="24">
        <v>24.42</v>
      </c>
      <c r="F7809" s="24">
        <v>478.82</v>
      </c>
      <c r="G7809" s="24">
        <v>1.96</v>
      </c>
      <c r="H7809" s="24" t="s">
        <v>6735</v>
      </c>
      <c r="I7809" s="24" t="s">
        <v>6650</v>
      </c>
      <c r="J7809" s="24">
        <v>0.0</v>
      </c>
    </row>
    <row r="7810">
      <c r="A7810" s="24">
        <v>140.0</v>
      </c>
      <c r="B7810" s="24">
        <v>1.0</v>
      </c>
      <c r="C7810" s="44">
        <v>9.92</v>
      </c>
      <c r="D7810" s="46">
        <v>45827.0</v>
      </c>
      <c r="E7810" s="24">
        <v>9.92</v>
      </c>
      <c r="F7810" s="24">
        <v>70.86</v>
      </c>
      <c r="G7810" s="24">
        <v>0.71</v>
      </c>
      <c r="H7810" s="24" t="s">
        <v>6734</v>
      </c>
      <c r="I7810" s="24" t="s">
        <v>6650</v>
      </c>
      <c r="J7810" s="24">
        <v>0.0</v>
      </c>
    </row>
    <row r="7811">
      <c r="A7811" s="24">
        <v>56.0</v>
      </c>
      <c r="B7811" s="24">
        <v>1.0</v>
      </c>
      <c r="C7811" s="44">
        <v>26.32</v>
      </c>
      <c r="D7811" s="46">
        <v>45827.0</v>
      </c>
      <c r="E7811" s="24">
        <v>26.32</v>
      </c>
      <c r="F7811" s="24">
        <v>470.0</v>
      </c>
      <c r="G7811" s="24">
        <v>1.79</v>
      </c>
      <c r="H7811" s="24" t="s">
        <v>6735</v>
      </c>
      <c r="I7811" s="24" t="s">
        <v>6650</v>
      </c>
      <c r="J7811" s="24">
        <v>0.0</v>
      </c>
    </row>
    <row r="7812">
      <c r="A7812" s="24">
        <v>968.0</v>
      </c>
      <c r="B7812" s="24">
        <v>18.0</v>
      </c>
      <c r="C7812" s="44">
        <v>25.74</v>
      </c>
      <c r="D7812" s="46">
        <v>45827.0</v>
      </c>
      <c r="E7812" s="24">
        <v>1.43</v>
      </c>
      <c r="F7812" s="24">
        <v>26.59</v>
      </c>
      <c r="G7812" s="24">
        <v>1.86</v>
      </c>
      <c r="H7812" s="24" t="s">
        <v>6732</v>
      </c>
      <c r="I7812" s="24" t="s">
        <v>6650</v>
      </c>
      <c r="J7812" s="24">
        <v>0.0</v>
      </c>
    </row>
    <row r="7813">
      <c r="A7813" s="24">
        <v>1783.0</v>
      </c>
      <c r="B7813" s="24">
        <v>5.0</v>
      </c>
      <c r="C7813" s="44">
        <v>27.3</v>
      </c>
      <c r="D7813" s="46">
        <v>45827.0</v>
      </c>
      <c r="E7813" s="24">
        <v>5.46</v>
      </c>
      <c r="F7813" s="24">
        <v>15.31</v>
      </c>
      <c r="G7813" s="24">
        <v>0.28</v>
      </c>
      <c r="H7813" s="24" t="s">
        <v>6729</v>
      </c>
      <c r="I7813" s="24" t="s">
        <v>6650</v>
      </c>
      <c r="J7813" s="24">
        <v>0.0</v>
      </c>
    </row>
    <row r="7814">
      <c r="A7814" s="24">
        <v>838.0</v>
      </c>
      <c r="B7814" s="24">
        <v>8.0</v>
      </c>
      <c r="C7814" s="44">
        <v>25.33</v>
      </c>
      <c r="D7814" s="46">
        <v>45828.0</v>
      </c>
      <c r="E7814" s="24">
        <v>3.17</v>
      </c>
      <c r="F7814" s="24">
        <v>30.23</v>
      </c>
      <c r="G7814" s="24">
        <v>0.95</v>
      </c>
      <c r="H7814" s="24" t="s">
        <v>6729</v>
      </c>
      <c r="I7814" s="24" t="s">
        <v>6650</v>
      </c>
      <c r="J7814" s="24">
        <v>0.0</v>
      </c>
    </row>
    <row r="7815">
      <c r="A7815" s="24">
        <v>39.0</v>
      </c>
      <c r="B7815" s="24">
        <v>2.0</v>
      </c>
      <c r="C7815" s="44">
        <v>21.13</v>
      </c>
      <c r="D7815" s="46">
        <v>45828.0</v>
      </c>
      <c r="E7815" s="24">
        <v>10.56</v>
      </c>
      <c r="F7815" s="24">
        <v>541.79</v>
      </c>
      <c r="G7815" s="24">
        <v>5.13</v>
      </c>
      <c r="H7815" s="24" t="s">
        <v>6735</v>
      </c>
      <c r="I7815" s="24" t="s">
        <v>6650</v>
      </c>
      <c r="J7815" s="24">
        <v>0.0</v>
      </c>
    </row>
    <row r="7816">
      <c r="A7816" s="24">
        <v>741.0</v>
      </c>
      <c r="B7816" s="24">
        <v>6.0</v>
      </c>
      <c r="C7816" s="44">
        <v>23.28</v>
      </c>
      <c r="D7816" s="46">
        <v>45828.0</v>
      </c>
      <c r="E7816" s="24">
        <v>3.88</v>
      </c>
      <c r="F7816" s="24">
        <v>31.42</v>
      </c>
      <c r="G7816" s="24">
        <v>0.81</v>
      </c>
      <c r="H7816" s="24" t="s">
        <v>6732</v>
      </c>
      <c r="I7816" s="24" t="s">
        <v>6650</v>
      </c>
      <c r="J7816" s="24">
        <v>0.0</v>
      </c>
    </row>
    <row r="7817">
      <c r="A7817" s="24">
        <v>226.0</v>
      </c>
      <c r="B7817" s="24">
        <v>2.0</v>
      </c>
      <c r="C7817" s="44">
        <v>13.96</v>
      </c>
      <c r="D7817" s="46">
        <v>45829.0</v>
      </c>
      <c r="E7817" s="24">
        <v>6.98</v>
      </c>
      <c r="F7817" s="24">
        <v>61.77</v>
      </c>
      <c r="G7817" s="24">
        <v>0.88</v>
      </c>
      <c r="H7817" s="24" t="s">
        <v>6732</v>
      </c>
      <c r="I7817" s="24" t="s">
        <v>6650</v>
      </c>
      <c r="J7817" s="24">
        <v>0.0</v>
      </c>
    </row>
    <row r="7818">
      <c r="A7818" s="24">
        <v>446.0</v>
      </c>
      <c r="B7818" s="24">
        <v>3.0</v>
      </c>
      <c r="C7818" s="44">
        <v>14.51</v>
      </c>
      <c r="D7818" s="46">
        <v>45829.0</v>
      </c>
      <c r="E7818" s="24">
        <v>4.84</v>
      </c>
      <c r="F7818" s="24">
        <v>32.53</v>
      </c>
      <c r="G7818" s="24">
        <v>0.67</v>
      </c>
      <c r="H7818" s="24" t="s">
        <v>6729</v>
      </c>
      <c r="I7818" s="24" t="s">
        <v>6650</v>
      </c>
      <c r="J7818" s="24">
        <v>0.0</v>
      </c>
    </row>
    <row r="7819">
      <c r="A7819" s="24">
        <v>22.0</v>
      </c>
      <c r="B7819" s="24">
        <v>0.0</v>
      </c>
      <c r="C7819" s="44">
        <v>12.69</v>
      </c>
      <c r="D7819" s="46">
        <v>45829.0</v>
      </c>
      <c r="E7819" s="24" t="s">
        <v>6650</v>
      </c>
      <c r="F7819" s="24">
        <v>576.82</v>
      </c>
      <c r="G7819" s="24">
        <v>0.0</v>
      </c>
      <c r="H7819" s="24" t="s">
        <v>6735</v>
      </c>
      <c r="I7819" s="24" t="s">
        <v>6650</v>
      </c>
      <c r="J7819" s="24">
        <v>0.0</v>
      </c>
    </row>
    <row r="7820">
      <c r="A7820" s="24">
        <v>472.0</v>
      </c>
      <c r="B7820" s="24">
        <v>1.0</v>
      </c>
      <c r="C7820" s="44">
        <v>11.07</v>
      </c>
      <c r="D7820" s="46">
        <v>45830.0</v>
      </c>
      <c r="E7820" s="24">
        <v>11.07</v>
      </c>
      <c r="F7820" s="24">
        <v>23.45</v>
      </c>
      <c r="G7820" s="24">
        <v>0.21</v>
      </c>
      <c r="H7820" s="24" t="s">
        <v>6729</v>
      </c>
      <c r="I7820" s="24" t="s">
        <v>6650</v>
      </c>
      <c r="J7820" s="24">
        <v>0.0</v>
      </c>
    </row>
    <row r="7821">
      <c r="A7821" s="24">
        <v>167.0</v>
      </c>
      <c r="B7821" s="24">
        <v>5.0</v>
      </c>
      <c r="C7821" s="44">
        <v>11.43</v>
      </c>
      <c r="D7821" s="46">
        <v>45830.0</v>
      </c>
      <c r="E7821" s="24">
        <v>2.29</v>
      </c>
      <c r="F7821" s="24">
        <v>68.44</v>
      </c>
      <c r="G7821" s="24">
        <v>2.99</v>
      </c>
      <c r="H7821" s="24" t="s">
        <v>6732</v>
      </c>
      <c r="I7821" s="24" t="s">
        <v>6650</v>
      </c>
      <c r="J7821" s="24">
        <v>0.0</v>
      </c>
    </row>
    <row r="7822">
      <c r="A7822" s="24">
        <v>10.0</v>
      </c>
      <c r="B7822" s="24">
        <v>1.0</v>
      </c>
      <c r="C7822" s="44">
        <v>3.21</v>
      </c>
      <c r="D7822" s="46">
        <v>45830.0</v>
      </c>
      <c r="E7822" s="24">
        <v>3.21</v>
      </c>
      <c r="F7822" s="24">
        <v>321.0</v>
      </c>
      <c r="G7822" s="24">
        <v>10.0</v>
      </c>
      <c r="H7822" s="24" t="s">
        <v>6735</v>
      </c>
      <c r="I7822" s="24" t="s">
        <v>6650</v>
      </c>
      <c r="J7822" s="24">
        <v>0.0</v>
      </c>
    </row>
    <row r="7823">
      <c r="A7823" s="24">
        <v>1934.0</v>
      </c>
      <c r="B7823" s="24">
        <v>2.0</v>
      </c>
      <c r="C7823" s="44">
        <v>24.76</v>
      </c>
      <c r="D7823" s="46">
        <v>45831.0</v>
      </c>
      <c r="E7823" s="24">
        <v>12.38</v>
      </c>
      <c r="F7823" s="24">
        <v>12.8</v>
      </c>
      <c r="G7823" s="24">
        <v>0.1</v>
      </c>
      <c r="H7823" s="24" t="s">
        <v>6729</v>
      </c>
      <c r="I7823" s="24" t="s">
        <v>6650</v>
      </c>
      <c r="J7823" s="24">
        <v>0.0</v>
      </c>
    </row>
    <row r="7824">
      <c r="A7824" s="24">
        <v>39.0</v>
      </c>
      <c r="B7824" s="24">
        <v>0.0</v>
      </c>
      <c r="C7824" s="44">
        <v>23.35</v>
      </c>
      <c r="D7824" s="46">
        <v>45831.0</v>
      </c>
      <c r="E7824" s="24" t="s">
        <v>6650</v>
      </c>
      <c r="F7824" s="24">
        <v>598.72</v>
      </c>
      <c r="G7824" s="24">
        <v>0.0</v>
      </c>
      <c r="H7824" s="24" t="s">
        <v>6735</v>
      </c>
      <c r="I7824" s="24" t="s">
        <v>6650</v>
      </c>
      <c r="J7824" s="24">
        <v>0.0</v>
      </c>
    </row>
    <row r="7825">
      <c r="A7825" s="24">
        <v>899.0</v>
      </c>
      <c r="B7825" s="24">
        <v>18.0</v>
      </c>
      <c r="C7825" s="44">
        <v>23.96</v>
      </c>
      <c r="D7825" s="46">
        <v>45831.0</v>
      </c>
      <c r="E7825" s="24">
        <v>1.33</v>
      </c>
      <c r="F7825" s="24">
        <v>26.65</v>
      </c>
      <c r="G7825" s="24">
        <v>2.0</v>
      </c>
      <c r="H7825" s="24" t="s">
        <v>6732</v>
      </c>
      <c r="I7825" s="24" t="s">
        <v>6650</v>
      </c>
      <c r="J7825" s="24">
        <v>0.0</v>
      </c>
    </row>
    <row r="7826">
      <c r="A7826" s="24">
        <v>747.0</v>
      </c>
      <c r="B7826" s="24">
        <v>19.0</v>
      </c>
      <c r="C7826" s="44">
        <v>26.55</v>
      </c>
      <c r="D7826" s="46">
        <v>45832.0</v>
      </c>
      <c r="E7826" s="24">
        <v>1.4</v>
      </c>
      <c r="F7826" s="24">
        <v>35.54</v>
      </c>
      <c r="G7826" s="24">
        <v>2.54</v>
      </c>
      <c r="H7826" s="24" t="s">
        <v>6732</v>
      </c>
      <c r="I7826" s="24" t="s">
        <v>6650</v>
      </c>
      <c r="J7826" s="24">
        <v>0.0</v>
      </c>
    </row>
    <row r="7827">
      <c r="A7827" s="24">
        <v>2120.0</v>
      </c>
      <c r="B7827" s="24">
        <v>3.0</v>
      </c>
      <c r="C7827" s="44">
        <v>28.36</v>
      </c>
      <c r="D7827" s="46">
        <v>45832.0</v>
      </c>
      <c r="E7827" s="24">
        <v>9.45</v>
      </c>
      <c r="F7827" s="24">
        <v>13.38</v>
      </c>
      <c r="G7827" s="24">
        <v>0.14</v>
      </c>
      <c r="H7827" s="24" t="s">
        <v>6729</v>
      </c>
      <c r="I7827" s="24" t="s">
        <v>6650</v>
      </c>
      <c r="J7827" s="24">
        <v>0.0</v>
      </c>
    </row>
    <row r="7828">
      <c r="A7828" s="24">
        <v>36.0</v>
      </c>
      <c r="B7828" s="24">
        <v>0.0</v>
      </c>
      <c r="C7828" s="44">
        <v>27.42</v>
      </c>
      <c r="D7828" s="46">
        <v>45832.0</v>
      </c>
      <c r="E7828" s="24" t="s">
        <v>6650</v>
      </c>
      <c r="F7828" s="24">
        <v>761.67</v>
      </c>
      <c r="G7828" s="24">
        <v>0.0</v>
      </c>
      <c r="H7828" s="24" t="s">
        <v>6735</v>
      </c>
      <c r="I7828" s="24" t="s">
        <v>6650</v>
      </c>
      <c r="J7828" s="24">
        <v>0.0</v>
      </c>
    </row>
    <row r="7829">
      <c r="A7829" s="24">
        <v>49.0</v>
      </c>
      <c r="B7829" s="24">
        <v>1.0</v>
      </c>
      <c r="C7829" s="44">
        <v>27.3</v>
      </c>
      <c r="D7829" s="46">
        <v>45833.0</v>
      </c>
      <c r="E7829" s="24">
        <v>27.3</v>
      </c>
      <c r="F7829" s="24">
        <v>557.14</v>
      </c>
      <c r="G7829" s="24">
        <v>2.04</v>
      </c>
      <c r="H7829" s="24" t="s">
        <v>6735</v>
      </c>
      <c r="I7829" s="24" t="s">
        <v>6650</v>
      </c>
      <c r="J7829" s="24">
        <v>0.0</v>
      </c>
    </row>
    <row r="7830">
      <c r="A7830" s="24">
        <v>240.0</v>
      </c>
      <c r="B7830" s="24">
        <v>2.0</v>
      </c>
      <c r="C7830" s="44">
        <v>9.84</v>
      </c>
      <c r="D7830" s="46">
        <v>45833.0</v>
      </c>
      <c r="E7830" s="24">
        <v>4.92</v>
      </c>
      <c r="F7830" s="24">
        <v>41.0</v>
      </c>
      <c r="G7830" s="24">
        <v>0.83</v>
      </c>
      <c r="H7830" s="24" t="s">
        <v>6732</v>
      </c>
      <c r="I7830" s="24" t="s">
        <v>6650</v>
      </c>
      <c r="J7830" s="24">
        <v>0.0</v>
      </c>
    </row>
    <row r="7831">
      <c r="A7831" s="24">
        <v>1273.0</v>
      </c>
      <c r="B7831" s="24">
        <v>3.0</v>
      </c>
      <c r="C7831" s="44">
        <v>29.86</v>
      </c>
      <c r="D7831" s="46">
        <v>45833.0</v>
      </c>
      <c r="E7831" s="24">
        <v>9.95</v>
      </c>
      <c r="F7831" s="24">
        <v>23.46</v>
      </c>
      <c r="G7831" s="24">
        <v>0.24</v>
      </c>
      <c r="H7831" s="24" t="s">
        <v>6729</v>
      </c>
      <c r="I7831" s="24" t="s">
        <v>6650</v>
      </c>
      <c r="J7831" s="24">
        <v>0.0</v>
      </c>
    </row>
    <row r="7832">
      <c r="A7832" s="24">
        <v>34.0</v>
      </c>
      <c r="B7832" s="24">
        <v>0.0</v>
      </c>
      <c r="C7832" s="44">
        <v>28.5</v>
      </c>
      <c r="D7832" s="46">
        <v>45834.0</v>
      </c>
      <c r="E7832" s="24" t="s">
        <v>6650</v>
      </c>
      <c r="F7832" s="24">
        <v>838.24</v>
      </c>
      <c r="G7832" s="24">
        <v>0.0</v>
      </c>
      <c r="H7832" s="24" t="s">
        <v>6735</v>
      </c>
      <c r="I7832" s="24" t="s">
        <v>6650</v>
      </c>
      <c r="J7832" s="24">
        <v>0.0</v>
      </c>
    </row>
    <row r="7833">
      <c r="A7833" s="24">
        <v>1493.0</v>
      </c>
      <c r="B7833" s="24">
        <v>9.0</v>
      </c>
      <c r="C7833" s="44">
        <v>25.93</v>
      </c>
      <c r="D7833" s="46">
        <v>45834.0</v>
      </c>
      <c r="E7833" s="24">
        <v>2.88</v>
      </c>
      <c r="F7833" s="24">
        <v>17.37</v>
      </c>
      <c r="G7833" s="24">
        <v>0.6</v>
      </c>
      <c r="H7833" s="24" t="s">
        <v>6729</v>
      </c>
      <c r="I7833" s="24" t="s">
        <v>6650</v>
      </c>
      <c r="J7833" s="24">
        <v>0.0</v>
      </c>
    </row>
    <row r="7834">
      <c r="A7834" s="24">
        <v>24.0</v>
      </c>
      <c r="B7834" s="24">
        <v>1.0</v>
      </c>
      <c r="C7834" s="44">
        <v>20.11</v>
      </c>
      <c r="D7834" s="46">
        <v>45835.0</v>
      </c>
      <c r="E7834" s="24">
        <v>20.11</v>
      </c>
      <c r="F7834" s="24">
        <v>837.92</v>
      </c>
      <c r="G7834" s="24">
        <v>4.17</v>
      </c>
      <c r="H7834" s="24" t="s">
        <v>6735</v>
      </c>
      <c r="I7834" s="24" t="s">
        <v>6650</v>
      </c>
      <c r="J7834" s="24">
        <v>0.0</v>
      </c>
    </row>
    <row r="7835">
      <c r="A7835" s="24">
        <v>1454.0</v>
      </c>
      <c r="B7835" s="24">
        <v>0.0</v>
      </c>
      <c r="C7835" s="44">
        <v>24.28</v>
      </c>
      <c r="D7835" s="46">
        <v>45835.0</v>
      </c>
      <c r="E7835" s="24" t="s">
        <v>6650</v>
      </c>
      <c r="F7835" s="24">
        <v>16.7</v>
      </c>
      <c r="G7835" s="24">
        <v>0.0</v>
      </c>
      <c r="H7835" s="24" t="s">
        <v>6729</v>
      </c>
      <c r="I7835" s="24" t="s">
        <v>6650</v>
      </c>
      <c r="J7835" s="24">
        <v>0.0</v>
      </c>
    </row>
    <row r="7836">
      <c r="A7836" s="24">
        <v>657.0</v>
      </c>
      <c r="B7836" s="24">
        <v>0.0</v>
      </c>
      <c r="C7836" s="44">
        <v>14.34</v>
      </c>
      <c r="D7836" s="46">
        <v>45836.0</v>
      </c>
      <c r="E7836" s="24" t="s">
        <v>6650</v>
      </c>
      <c r="F7836" s="24">
        <v>21.83</v>
      </c>
      <c r="G7836" s="24">
        <v>0.0</v>
      </c>
      <c r="H7836" s="24" t="s">
        <v>6729</v>
      </c>
      <c r="I7836" s="24" t="s">
        <v>6650</v>
      </c>
      <c r="J7836" s="24">
        <v>0.0</v>
      </c>
    </row>
    <row r="7837">
      <c r="A7837" s="24">
        <v>9.0</v>
      </c>
      <c r="B7837" s="24">
        <v>1.0</v>
      </c>
      <c r="C7837" s="44">
        <v>6.32</v>
      </c>
      <c r="D7837" s="46">
        <v>45836.0</v>
      </c>
      <c r="E7837" s="24">
        <v>6.32</v>
      </c>
      <c r="F7837" s="24">
        <v>702.22</v>
      </c>
      <c r="G7837" s="24">
        <v>11.11</v>
      </c>
      <c r="H7837" s="24" t="s">
        <v>6735</v>
      </c>
      <c r="I7837" s="24" t="s">
        <v>6650</v>
      </c>
      <c r="J7837" s="24">
        <v>0.0</v>
      </c>
    </row>
    <row r="7838">
      <c r="A7838" s="24">
        <v>685.0</v>
      </c>
      <c r="B7838" s="24">
        <v>2.0</v>
      </c>
      <c r="C7838" s="44">
        <v>12.07</v>
      </c>
      <c r="D7838" s="46">
        <v>45837.0</v>
      </c>
      <c r="E7838" s="24">
        <v>6.04</v>
      </c>
      <c r="F7838" s="24">
        <v>17.62</v>
      </c>
      <c r="G7838" s="24">
        <v>0.29</v>
      </c>
      <c r="H7838" s="24" t="s">
        <v>6729</v>
      </c>
      <c r="I7838" s="24" t="s">
        <v>6650</v>
      </c>
      <c r="J7838" s="24">
        <v>0.0</v>
      </c>
    </row>
    <row r="7839">
      <c r="A7839" s="24">
        <v>22.0</v>
      </c>
      <c r="B7839" s="24">
        <v>0.0</v>
      </c>
      <c r="C7839" s="44">
        <v>28.5</v>
      </c>
      <c r="D7839" s="46">
        <v>45838.0</v>
      </c>
      <c r="E7839" s="24" t="s">
        <v>6650</v>
      </c>
      <c r="F7839" s="24">
        <v>1295.45</v>
      </c>
      <c r="G7839" s="24">
        <v>0.0</v>
      </c>
      <c r="H7839" s="24" t="s">
        <v>6735</v>
      </c>
      <c r="I7839" s="24" t="s">
        <v>6650</v>
      </c>
      <c r="J7839" s="24">
        <v>0.0</v>
      </c>
    </row>
    <row r="7840">
      <c r="A7840" s="24">
        <v>2029.0</v>
      </c>
      <c r="B7840" s="24">
        <v>3.0</v>
      </c>
      <c r="C7840" s="44">
        <v>26.11</v>
      </c>
      <c r="D7840" s="46">
        <v>45838.0</v>
      </c>
      <c r="E7840" s="24">
        <v>8.7</v>
      </c>
      <c r="F7840" s="24">
        <v>12.87</v>
      </c>
      <c r="G7840" s="24">
        <v>0.15</v>
      </c>
      <c r="H7840" s="24" t="s">
        <v>6729</v>
      </c>
      <c r="I7840" s="24" t="s">
        <v>6650</v>
      </c>
      <c r="J7840" s="24">
        <v>0.0</v>
      </c>
    </row>
    <row r="7841">
      <c r="A7841" s="24">
        <v>2651.0</v>
      </c>
      <c r="B7841" s="24">
        <v>6.0</v>
      </c>
      <c r="C7841" s="44">
        <v>28.13</v>
      </c>
      <c r="D7841" s="46">
        <v>45839.0</v>
      </c>
      <c r="E7841" s="24">
        <v>4.69</v>
      </c>
      <c r="F7841" s="24">
        <v>10.61</v>
      </c>
      <c r="G7841" s="24">
        <v>0.23</v>
      </c>
      <c r="H7841" s="24" t="s">
        <v>6729</v>
      </c>
      <c r="I7841" s="24" t="s">
        <v>6650</v>
      </c>
      <c r="J7841" s="24">
        <v>0.0</v>
      </c>
    </row>
    <row r="7842">
      <c r="A7842" s="24">
        <v>29.0</v>
      </c>
      <c r="B7842" s="24">
        <v>0.0</v>
      </c>
      <c r="C7842" s="44">
        <v>28.5</v>
      </c>
      <c r="D7842" s="46">
        <v>45839.0</v>
      </c>
      <c r="E7842" s="24" t="s">
        <v>6650</v>
      </c>
      <c r="F7842" s="24">
        <v>982.76</v>
      </c>
      <c r="G7842" s="24">
        <v>0.0</v>
      </c>
      <c r="H7842" s="24" t="s">
        <v>6735</v>
      </c>
      <c r="I7842" s="24" t="s">
        <v>6650</v>
      </c>
      <c r="J7842" s="24">
        <v>0.0</v>
      </c>
    </row>
    <row r="7843">
      <c r="A7843" s="24">
        <v>1847.0</v>
      </c>
      <c r="B7843" s="24">
        <v>10.0</v>
      </c>
      <c r="C7843" s="44">
        <v>27.83</v>
      </c>
      <c r="D7843" s="46">
        <v>45840.0</v>
      </c>
      <c r="E7843" s="24">
        <v>2.78</v>
      </c>
      <c r="F7843" s="24">
        <v>15.07</v>
      </c>
      <c r="G7843" s="24">
        <v>0.54</v>
      </c>
      <c r="H7843" s="24" t="s">
        <v>6729</v>
      </c>
      <c r="I7843" s="24" t="s">
        <v>6650</v>
      </c>
      <c r="J7843" s="24">
        <v>0.0</v>
      </c>
    </row>
    <row r="7844">
      <c r="A7844" s="24">
        <v>26.0</v>
      </c>
      <c r="B7844" s="24">
        <v>0.0</v>
      </c>
      <c r="C7844" s="44">
        <v>28.15</v>
      </c>
      <c r="D7844" s="46">
        <v>45840.0</v>
      </c>
      <c r="E7844" s="24" t="s">
        <v>6650</v>
      </c>
      <c r="F7844" s="24">
        <v>1082.69</v>
      </c>
      <c r="G7844" s="24">
        <v>0.0</v>
      </c>
      <c r="H7844" s="24" t="s">
        <v>6735</v>
      </c>
      <c r="I7844" s="24" t="s">
        <v>6650</v>
      </c>
      <c r="J7844" s="24">
        <v>0.0</v>
      </c>
    </row>
    <row r="7845">
      <c r="A7845" s="24">
        <v>1551.0</v>
      </c>
      <c r="B7845" s="24">
        <v>6.0</v>
      </c>
      <c r="C7845" s="44">
        <v>26.47</v>
      </c>
      <c r="D7845" s="46">
        <v>45841.0</v>
      </c>
      <c r="E7845" s="24">
        <v>4.41</v>
      </c>
      <c r="F7845" s="24">
        <v>17.07</v>
      </c>
      <c r="G7845" s="24">
        <v>0.39</v>
      </c>
      <c r="H7845" s="24" t="s">
        <v>6729</v>
      </c>
      <c r="I7845" s="24" t="s">
        <v>6650</v>
      </c>
      <c r="J7845" s="24">
        <v>0.0</v>
      </c>
    </row>
    <row r="7846">
      <c r="A7846" s="24">
        <v>18.0</v>
      </c>
      <c r="B7846" s="24">
        <v>1.0</v>
      </c>
      <c r="C7846" s="44">
        <v>26.27</v>
      </c>
      <c r="D7846" s="46">
        <v>45841.0</v>
      </c>
      <c r="E7846" s="24">
        <v>26.27</v>
      </c>
      <c r="F7846" s="24">
        <v>1459.44</v>
      </c>
      <c r="G7846" s="24">
        <v>5.56</v>
      </c>
      <c r="H7846" s="24" t="s">
        <v>6735</v>
      </c>
      <c r="I7846" s="24" t="s">
        <v>6650</v>
      </c>
      <c r="J7846" s="24">
        <v>0.0</v>
      </c>
    </row>
    <row r="7847">
      <c r="A7847" s="24">
        <v>1159.0</v>
      </c>
      <c r="B7847" s="24">
        <v>4.0</v>
      </c>
      <c r="C7847" s="44">
        <v>24.71</v>
      </c>
      <c r="D7847" s="46">
        <v>45842.0</v>
      </c>
      <c r="E7847" s="24">
        <v>6.18</v>
      </c>
      <c r="F7847" s="24">
        <v>21.32</v>
      </c>
      <c r="G7847" s="24">
        <v>0.35</v>
      </c>
      <c r="H7847" s="24" t="s">
        <v>6729</v>
      </c>
      <c r="I7847" s="24" t="s">
        <v>6650</v>
      </c>
      <c r="J7847" s="24">
        <v>0.0</v>
      </c>
    </row>
    <row r="7848">
      <c r="A7848" s="24">
        <v>14.0</v>
      </c>
      <c r="B7848" s="24">
        <v>0.0</v>
      </c>
      <c r="C7848" s="44">
        <v>21.58</v>
      </c>
      <c r="D7848" s="46">
        <v>45842.0</v>
      </c>
      <c r="E7848" s="24" t="s">
        <v>6650</v>
      </c>
      <c r="F7848" s="24">
        <v>1541.43</v>
      </c>
      <c r="G7848" s="24">
        <v>0.0</v>
      </c>
      <c r="H7848" s="24" t="s">
        <v>6735</v>
      </c>
      <c r="I7848" s="24" t="s">
        <v>6650</v>
      </c>
      <c r="J7848" s="24">
        <v>0.0</v>
      </c>
    </row>
    <row r="7849">
      <c r="A7849" s="24">
        <v>549.0</v>
      </c>
      <c r="B7849" s="24">
        <v>5.0</v>
      </c>
      <c r="C7849" s="44">
        <v>14.56</v>
      </c>
      <c r="D7849" s="46">
        <v>45843.0</v>
      </c>
      <c r="E7849" s="24">
        <v>2.91</v>
      </c>
      <c r="F7849" s="24">
        <v>26.52</v>
      </c>
      <c r="G7849" s="24">
        <v>0.91</v>
      </c>
      <c r="H7849" s="24" t="s">
        <v>6729</v>
      </c>
      <c r="I7849" s="24" t="s">
        <v>6650</v>
      </c>
      <c r="J7849" s="24">
        <v>0.0</v>
      </c>
    </row>
    <row r="7850">
      <c r="A7850" s="24">
        <v>547.0</v>
      </c>
      <c r="B7850" s="24">
        <v>2.0</v>
      </c>
      <c r="C7850" s="44">
        <v>11.79</v>
      </c>
      <c r="D7850" s="46">
        <v>45844.0</v>
      </c>
      <c r="E7850" s="24">
        <v>5.9</v>
      </c>
      <c r="F7850" s="24">
        <v>21.55</v>
      </c>
      <c r="G7850" s="24">
        <v>0.37</v>
      </c>
      <c r="H7850" s="24" t="s">
        <v>6729</v>
      </c>
      <c r="I7850" s="24" t="s">
        <v>6650</v>
      </c>
      <c r="J7850" s="24">
        <v>0.0</v>
      </c>
    </row>
    <row r="7851">
      <c r="A7851" s="24">
        <v>667.0</v>
      </c>
      <c r="B7851" s="24">
        <v>3.0</v>
      </c>
      <c r="C7851" s="44">
        <v>27.98</v>
      </c>
      <c r="D7851" s="46">
        <v>45845.0</v>
      </c>
      <c r="E7851" s="24">
        <v>9.33</v>
      </c>
      <c r="F7851" s="24">
        <v>41.95</v>
      </c>
      <c r="G7851" s="24">
        <v>0.45</v>
      </c>
      <c r="H7851" s="24" t="s">
        <v>6729</v>
      </c>
      <c r="I7851" s="24" t="s">
        <v>6650</v>
      </c>
      <c r="J7851" s="24">
        <v>0.0</v>
      </c>
    </row>
    <row r="7852">
      <c r="A7852" s="24">
        <v>21.0</v>
      </c>
      <c r="B7852" s="24">
        <v>1.0</v>
      </c>
      <c r="C7852" s="44">
        <v>28.5</v>
      </c>
      <c r="D7852" s="46">
        <v>45845.0</v>
      </c>
      <c r="E7852" s="24">
        <v>28.5</v>
      </c>
      <c r="F7852" s="24">
        <v>1357.14</v>
      </c>
      <c r="G7852" s="24">
        <v>4.76</v>
      </c>
      <c r="H7852" s="24" t="s">
        <v>6735</v>
      </c>
      <c r="I7852" s="24" t="s">
        <v>6650</v>
      </c>
      <c r="J7852" s="24">
        <v>0.0</v>
      </c>
    </row>
    <row r="7853">
      <c r="A7853" s="24">
        <v>19.0</v>
      </c>
      <c r="B7853" s="24">
        <v>0.0</v>
      </c>
      <c r="C7853" s="44">
        <v>28.5</v>
      </c>
      <c r="D7853" s="46">
        <v>45846.0</v>
      </c>
      <c r="E7853" s="24" t="s">
        <v>6650</v>
      </c>
      <c r="F7853" s="24">
        <v>1500.0</v>
      </c>
      <c r="G7853" s="24">
        <v>0.0</v>
      </c>
      <c r="H7853" s="24" t="s">
        <v>6735</v>
      </c>
      <c r="I7853" s="24" t="s">
        <v>6650</v>
      </c>
      <c r="J7853" s="24">
        <v>0.0</v>
      </c>
    </row>
    <row r="7854">
      <c r="A7854" s="24">
        <v>341.0</v>
      </c>
      <c r="B7854" s="24">
        <v>8.0</v>
      </c>
      <c r="C7854" s="44">
        <v>30.6</v>
      </c>
      <c r="D7854" s="46">
        <v>45846.0</v>
      </c>
      <c r="E7854" s="24">
        <v>3.82</v>
      </c>
      <c r="F7854" s="24">
        <v>89.74</v>
      </c>
      <c r="G7854" s="24">
        <v>2.35</v>
      </c>
      <c r="H7854" s="24" t="s">
        <v>6729</v>
      </c>
      <c r="I7854" s="24" t="s">
        <v>6650</v>
      </c>
      <c r="J7854" s="24">
        <v>0.0</v>
      </c>
    </row>
    <row r="7855">
      <c r="A7855" s="24">
        <v>14.0</v>
      </c>
      <c r="B7855" s="24">
        <v>0.0</v>
      </c>
      <c r="C7855" s="44">
        <v>28.5</v>
      </c>
      <c r="D7855" s="46">
        <v>45847.0</v>
      </c>
      <c r="E7855" s="24" t="s">
        <v>6650</v>
      </c>
      <c r="F7855" s="24">
        <v>2035.71</v>
      </c>
      <c r="G7855" s="24">
        <v>0.0</v>
      </c>
      <c r="H7855" s="24" t="s">
        <v>6735</v>
      </c>
      <c r="I7855" s="24" t="s">
        <v>6650</v>
      </c>
      <c r="J7855" s="24">
        <v>0.0</v>
      </c>
    </row>
    <row r="7856">
      <c r="A7856" s="24">
        <v>321.0</v>
      </c>
      <c r="B7856" s="24">
        <v>3.0</v>
      </c>
      <c r="C7856" s="44">
        <v>29.92</v>
      </c>
      <c r="D7856" s="46">
        <v>45847.0</v>
      </c>
      <c r="E7856" s="24">
        <v>9.97</v>
      </c>
      <c r="F7856" s="24">
        <v>93.21</v>
      </c>
      <c r="G7856" s="24">
        <v>0.93</v>
      </c>
      <c r="H7856" s="24" t="s">
        <v>6729</v>
      </c>
      <c r="I7856" s="24" t="s">
        <v>6650</v>
      </c>
      <c r="J7856" s="24">
        <v>0.0</v>
      </c>
    </row>
    <row r="7857">
      <c r="A7857" s="24">
        <v>19.0</v>
      </c>
      <c r="B7857" s="24">
        <v>0.0</v>
      </c>
      <c r="C7857" s="44">
        <v>28.5</v>
      </c>
      <c r="D7857" s="46">
        <v>45848.0</v>
      </c>
      <c r="E7857" s="24" t="s">
        <v>6650</v>
      </c>
      <c r="F7857" s="24">
        <v>1500.0</v>
      </c>
      <c r="G7857" s="24">
        <v>0.0</v>
      </c>
      <c r="H7857" s="24" t="s">
        <v>6735</v>
      </c>
      <c r="I7857" s="24" t="s">
        <v>6650</v>
      </c>
      <c r="J7857" s="24">
        <v>0.0</v>
      </c>
    </row>
    <row r="7858">
      <c r="A7858" s="24">
        <v>366.0</v>
      </c>
      <c r="B7858" s="24">
        <v>6.0</v>
      </c>
      <c r="C7858" s="44">
        <v>26.99</v>
      </c>
      <c r="D7858" s="46">
        <v>45848.0</v>
      </c>
      <c r="E7858" s="24">
        <v>4.5</v>
      </c>
      <c r="F7858" s="24">
        <v>73.74</v>
      </c>
      <c r="G7858" s="24">
        <v>1.64</v>
      </c>
      <c r="H7858" s="24" t="s">
        <v>6729</v>
      </c>
      <c r="I7858" s="24" t="s">
        <v>6650</v>
      </c>
      <c r="J7858" s="24">
        <v>0.0</v>
      </c>
    </row>
    <row r="7859">
      <c r="A7859" s="24">
        <v>17.0</v>
      </c>
      <c r="B7859" s="24">
        <v>0.0</v>
      </c>
      <c r="C7859" s="44">
        <v>19.0</v>
      </c>
      <c r="D7859" s="46">
        <v>45849.0</v>
      </c>
      <c r="E7859" s="24" t="s">
        <v>6650</v>
      </c>
      <c r="F7859" s="24">
        <v>1117.65</v>
      </c>
      <c r="G7859" s="24">
        <v>0.0</v>
      </c>
      <c r="H7859" s="24" t="s">
        <v>6735</v>
      </c>
      <c r="I7859" s="24" t="s">
        <v>6650</v>
      </c>
      <c r="J7859" s="24">
        <v>0.0</v>
      </c>
    </row>
    <row r="7860">
      <c r="A7860" s="24">
        <v>338.0</v>
      </c>
      <c r="B7860" s="24">
        <v>3.0</v>
      </c>
      <c r="C7860" s="44">
        <v>24.61</v>
      </c>
      <c r="D7860" s="46">
        <v>45849.0</v>
      </c>
      <c r="E7860" s="24">
        <v>8.2</v>
      </c>
      <c r="F7860" s="24">
        <v>72.81</v>
      </c>
      <c r="G7860" s="24">
        <v>0.89</v>
      </c>
      <c r="H7860" s="24" t="s">
        <v>6729</v>
      </c>
      <c r="I7860" s="24" t="s">
        <v>6650</v>
      </c>
      <c r="J7860" s="24">
        <v>0.0</v>
      </c>
    </row>
    <row r="7861">
      <c r="A7861" s="24">
        <v>269.0</v>
      </c>
      <c r="B7861" s="24">
        <v>6.0</v>
      </c>
      <c r="C7861" s="44">
        <v>16.5</v>
      </c>
      <c r="D7861" s="46">
        <v>45850.0</v>
      </c>
      <c r="E7861" s="24">
        <v>2.75</v>
      </c>
      <c r="F7861" s="24">
        <v>61.34</v>
      </c>
      <c r="G7861" s="24">
        <v>2.23</v>
      </c>
      <c r="H7861" s="24" t="s">
        <v>6729</v>
      </c>
      <c r="I7861" s="24" t="s">
        <v>6650</v>
      </c>
      <c r="J7861" s="24">
        <v>0.0</v>
      </c>
    </row>
    <row r="7862">
      <c r="A7862" s="24">
        <v>56.0</v>
      </c>
      <c r="B7862" s="24">
        <v>1.0</v>
      </c>
      <c r="C7862" s="44">
        <v>3.0</v>
      </c>
      <c r="D7862" s="46">
        <v>45851.0</v>
      </c>
      <c r="E7862" s="24">
        <v>3.0</v>
      </c>
      <c r="F7862" s="24">
        <v>53.57</v>
      </c>
      <c r="G7862" s="24">
        <v>1.79</v>
      </c>
      <c r="H7862" s="24" t="s">
        <v>6729</v>
      </c>
      <c r="I7862" s="24" t="s">
        <v>6650</v>
      </c>
      <c r="J7862" s="24">
        <v>0.0</v>
      </c>
    </row>
    <row r="7863">
      <c r="A7863" s="24">
        <v>356.0</v>
      </c>
      <c r="B7863" s="24">
        <v>6.0</v>
      </c>
      <c r="C7863" s="44">
        <v>26.63</v>
      </c>
      <c r="D7863" s="46">
        <v>45852.0</v>
      </c>
      <c r="E7863" s="24">
        <v>4.44</v>
      </c>
      <c r="F7863" s="24">
        <v>74.8</v>
      </c>
      <c r="G7863" s="24">
        <v>1.69</v>
      </c>
      <c r="H7863" s="24" t="s">
        <v>6729</v>
      </c>
      <c r="I7863" s="24" t="s">
        <v>6650</v>
      </c>
      <c r="J7863" s="24">
        <v>0.0</v>
      </c>
    </row>
    <row r="7864">
      <c r="A7864" s="24">
        <v>912.0</v>
      </c>
      <c r="B7864" s="24">
        <v>15.0</v>
      </c>
      <c r="C7864" s="44">
        <v>20.64</v>
      </c>
      <c r="D7864" s="46">
        <v>45852.0</v>
      </c>
      <c r="E7864" s="24">
        <v>1.38</v>
      </c>
      <c r="F7864" s="24">
        <v>22.63</v>
      </c>
      <c r="G7864" s="24">
        <v>1.64</v>
      </c>
      <c r="H7864" s="24" t="s">
        <v>6736</v>
      </c>
      <c r="I7864" s="24" t="s">
        <v>6650</v>
      </c>
      <c r="J7864" s="24">
        <v>0.0</v>
      </c>
    </row>
    <row r="7865">
      <c r="A7865" s="24">
        <v>18.0</v>
      </c>
      <c r="B7865" s="24">
        <v>1.0</v>
      </c>
      <c r="C7865" s="44">
        <v>28.5</v>
      </c>
      <c r="D7865" s="46">
        <v>45852.0</v>
      </c>
      <c r="E7865" s="24">
        <v>28.5</v>
      </c>
      <c r="F7865" s="24">
        <v>1583.33</v>
      </c>
      <c r="G7865" s="24">
        <v>5.56</v>
      </c>
      <c r="H7865" s="24" t="s">
        <v>6735</v>
      </c>
      <c r="I7865" s="24" t="s">
        <v>6650</v>
      </c>
      <c r="J7865" s="24">
        <v>0.0</v>
      </c>
    </row>
    <row r="7866">
      <c r="A7866" s="24">
        <v>749.0</v>
      </c>
      <c r="B7866" s="24">
        <v>23.0</v>
      </c>
      <c r="C7866" s="44">
        <v>23.88</v>
      </c>
      <c r="D7866" s="46">
        <v>45853.0</v>
      </c>
      <c r="E7866" s="24">
        <v>1.04</v>
      </c>
      <c r="F7866" s="24">
        <v>31.88</v>
      </c>
      <c r="G7866" s="24">
        <v>3.07</v>
      </c>
      <c r="H7866" s="24" t="s">
        <v>6736</v>
      </c>
      <c r="I7866" s="24" t="s">
        <v>6650</v>
      </c>
      <c r="J7866" s="24">
        <v>0.0</v>
      </c>
    </row>
    <row r="7867">
      <c r="A7867" s="24">
        <v>357.0</v>
      </c>
      <c r="B7867" s="24">
        <v>8.0</v>
      </c>
      <c r="C7867" s="44">
        <v>31.24</v>
      </c>
      <c r="D7867" s="46">
        <v>45853.0</v>
      </c>
      <c r="E7867" s="24">
        <v>3.9</v>
      </c>
      <c r="F7867" s="24">
        <v>87.51</v>
      </c>
      <c r="G7867" s="24">
        <v>2.24</v>
      </c>
      <c r="H7867" s="24" t="s">
        <v>6729</v>
      </c>
      <c r="I7867" s="24" t="s">
        <v>6650</v>
      </c>
      <c r="J7867" s="24">
        <v>0.0</v>
      </c>
    </row>
    <row r="7868">
      <c r="A7868" s="24">
        <v>16.0</v>
      </c>
      <c r="B7868" s="24">
        <v>0.0</v>
      </c>
      <c r="C7868" s="44">
        <v>28.5</v>
      </c>
      <c r="D7868" s="46">
        <v>45853.0</v>
      </c>
      <c r="E7868" s="24" t="s">
        <v>6650</v>
      </c>
      <c r="F7868" s="24">
        <v>1781.25</v>
      </c>
      <c r="G7868" s="24">
        <v>0.0</v>
      </c>
      <c r="H7868" s="24" t="s">
        <v>6735</v>
      </c>
      <c r="I7868" s="24" t="s">
        <v>6650</v>
      </c>
      <c r="J7868" s="24">
        <v>0.0</v>
      </c>
    </row>
    <row r="7869">
      <c r="A7869" s="24">
        <v>447.0</v>
      </c>
      <c r="B7869" s="24">
        <v>7.0</v>
      </c>
      <c r="C7869" s="44">
        <v>24.08</v>
      </c>
      <c r="D7869" s="46">
        <v>45854.0</v>
      </c>
      <c r="E7869" s="24">
        <v>3.44</v>
      </c>
      <c r="F7869" s="24">
        <v>53.87</v>
      </c>
      <c r="G7869" s="24">
        <v>1.57</v>
      </c>
      <c r="H7869" s="24" t="s">
        <v>6736</v>
      </c>
      <c r="I7869" s="24" t="s">
        <v>6650</v>
      </c>
      <c r="J7869" s="24">
        <v>0.0</v>
      </c>
    </row>
    <row r="7870">
      <c r="A7870" s="24">
        <v>372.0</v>
      </c>
      <c r="B7870" s="24">
        <v>11.0</v>
      </c>
      <c r="C7870" s="44">
        <v>28.3</v>
      </c>
      <c r="D7870" s="46">
        <v>45854.0</v>
      </c>
      <c r="E7870" s="24">
        <v>2.57</v>
      </c>
      <c r="F7870" s="24">
        <v>76.08</v>
      </c>
      <c r="G7870" s="24">
        <v>2.96</v>
      </c>
      <c r="H7870" s="24" t="s">
        <v>6729</v>
      </c>
      <c r="I7870" s="24" t="s">
        <v>6650</v>
      </c>
      <c r="J7870" s="24">
        <v>0.0</v>
      </c>
    </row>
    <row r="7871">
      <c r="A7871" s="24">
        <v>20.0</v>
      </c>
      <c r="B7871" s="24">
        <v>0.0</v>
      </c>
      <c r="C7871" s="44">
        <v>28.5</v>
      </c>
      <c r="D7871" s="46">
        <v>45854.0</v>
      </c>
      <c r="E7871" s="24" t="s">
        <v>6650</v>
      </c>
      <c r="F7871" s="24">
        <v>1425.0</v>
      </c>
      <c r="G7871" s="24">
        <v>0.0</v>
      </c>
      <c r="H7871" s="24" t="s">
        <v>6735</v>
      </c>
      <c r="I7871" s="24" t="s">
        <v>6650</v>
      </c>
      <c r="J7871" s="24">
        <v>0.0</v>
      </c>
    </row>
    <row r="7872">
      <c r="A7872" s="24">
        <v>391.0</v>
      </c>
      <c r="B7872" s="24">
        <v>10.0</v>
      </c>
      <c r="C7872" s="44">
        <v>23.26</v>
      </c>
      <c r="D7872" s="46">
        <v>45855.0</v>
      </c>
      <c r="E7872" s="24">
        <v>2.33</v>
      </c>
      <c r="F7872" s="24">
        <v>59.49</v>
      </c>
      <c r="G7872" s="24">
        <v>2.56</v>
      </c>
      <c r="H7872" s="24" t="s">
        <v>6736</v>
      </c>
      <c r="I7872" s="24" t="s">
        <v>6650</v>
      </c>
      <c r="J7872" s="24">
        <v>0.0</v>
      </c>
    </row>
    <row r="7873">
      <c r="A7873" s="24">
        <v>17.0</v>
      </c>
      <c r="B7873" s="24">
        <v>0.0</v>
      </c>
      <c r="C7873" s="44">
        <v>27.42</v>
      </c>
      <c r="D7873" s="46">
        <v>45855.0</v>
      </c>
      <c r="E7873" s="24" t="s">
        <v>6650</v>
      </c>
      <c r="F7873" s="24">
        <v>1612.94</v>
      </c>
      <c r="G7873" s="24">
        <v>0.0</v>
      </c>
      <c r="H7873" s="24" t="s">
        <v>6735</v>
      </c>
      <c r="I7873" s="24" t="s">
        <v>6650</v>
      </c>
      <c r="J7873" s="24">
        <v>0.0</v>
      </c>
    </row>
    <row r="7874">
      <c r="A7874" s="24">
        <v>255.0</v>
      </c>
      <c r="B7874" s="24">
        <v>6.0</v>
      </c>
      <c r="C7874" s="44">
        <v>26.5</v>
      </c>
      <c r="D7874" s="46">
        <v>45855.0</v>
      </c>
      <c r="E7874" s="24">
        <v>4.42</v>
      </c>
      <c r="F7874" s="24">
        <v>103.92</v>
      </c>
      <c r="G7874" s="24">
        <v>2.35</v>
      </c>
      <c r="H7874" s="24" t="s">
        <v>6729</v>
      </c>
      <c r="I7874" s="24" t="s">
        <v>6650</v>
      </c>
      <c r="J7874" s="24">
        <v>0.0</v>
      </c>
    </row>
    <row r="7875">
      <c r="A7875" s="24">
        <v>300.0</v>
      </c>
      <c r="B7875" s="24">
        <v>11.0</v>
      </c>
      <c r="C7875" s="44">
        <v>20.17</v>
      </c>
      <c r="D7875" s="46">
        <v>45856.0</v>
      </c>
      <c r="E7875" s="24">
        <v>1.83</v>
      </c>
      <c r="F7875" s="24">
        <v>67.23</v>
      </c>
      <c r="G7875" s="24">
        <v>3.67</v>
      </c>
      <c r="H7875" s="24" t="s">
        <v>6736</v>
      </c>
      <c r="I7875" s="24" t="s">
        <v>6650</v>
      </c>
      <c r="J7875" s="24">
        <v>0.0</v>
      </c>
    </row>
    <row r="7876">
      <c r="A7876" s="24">
        <v>249.0</v>
      </c>
      <c r="B7876" s="24">
        <v>4.0</v>
      </c>
      <c r="C7876" s="44">
        <v>22.72</v>
      </c>
      <c r="D7876" s="46">
        <v>45856.0</v>
      </c>
      <c r="E7876" s="24">
        <v>5.68</v>
      </c>
      <c r="F7876" s="24">
        <v>91.24</v>
      </c>
      <c r="G7876" s="24">
        <v>1.61</v>
      </c>
      <c r="H7876" s="24" t="s">
        <v>6729</v>
      </c>
      <c r="I7876" s="24" t="s">
        <v>6650</v>
      </c>
      <c r="J7876" s="24">
        <v>0.0</v>
      </c>
    </row>
    <row r="7877">
      <c r="A7877" s="24">
        <v>9.0</v>
      </c>
      <c r="B7877" s="24">
        <v>0.0</v>
      </c>
      <c r="C7877" s="44">
        <v>15.99</v>
      </c>
      <c r="D7877" s="46">
        <v>45856.0</v>
      </c>
      <c r="E7877" s="24" t="s">
        <v>6650</v>
      </c>
      <c r="F7877" s="24">
        <v>1776.67</v>
      </c>
      <c r="G7877" s="24">
        <v>0.0</v>
      </c>
      <c r="H7877" s="24" t="s">
        <v>6735</v>
      </c>
      <c r="I7877" s="24" t="s">
        <v>6650</v>
      </c>
      <c r="J7877" s="24">
        <v>0.0</v>
      </c>
    </row>
    <row r="7878">
      <c r="A7878" s="24">
        <v>166.0</v>
      </c>
      <c r="B7878" s="24">
        <v>4.0</v>
      </c>
      <c r="C7878" s="44">
        <v>12.09</v>
      </c>
      <c r="D7878" s="46">
        <v>45857.0</v>
      </c>
      <c r="E7878" s="24">
        <v>3.02</v>
      </c>
      <c r="F7878" s="24">
        <v>72.83</v>
      </c>
      <c r="G7878" s="24">
        <v>2.41</v>
      </c>
      <c r="H7878" s="24" t="s">
        <v>6736</v>
      </c>
      <c r="I7878" s="24" t="s">
        <v>6650</v>
      </c>
      <c r="J7878" s="24">
        <v>0.0</v>
      </c>
    </row>
    <row r="7879">
      <c r="A7879" s="24">
        <v>130.0</v>
      </c>
      <c r="B7879" s="24">
        <v>1.0</v>
      </c>
      <c r="C7879" s="44">
        <v>13.6</v>
      </c>
      <c r="D7879" s="46">
        <v>45857.0</v>
      </c>
      <c r="E7879" s="24">
        <v>13.6</v>
      </c>
      <c r="F7879" s="24">
        <v>104.62</v>
      </c>
      <c r="G7879" s="24">
        <v>0.77</v>
      </c>
      <c r="H7879" s="24" t="s">
        <v>6729</v>
      </c>
      <c r="I7879" s="24" t="s">
        <v>6650</v>
      </c>
      <c r="J7879" s="24">
        <v>0.0</v>
      </c>
    </row>
    <row r="7880">
      <c r="A7880" s="24">
        <v>130.0</v>
      </c>
      <c r="B7880" s="24">
        <v>0.0</v>
      </c>
      <c r="C7880" s="44">
        <v>9.93</v>
      </c>
      <c r="D7880" s="46">
        <v>45858.0</v>
      </c>
      <c r="E7880" s="24" t="s">
        <v>6650</v>
      </c>
      <c r="F7880" s="24">
        <v>76.38</v>
      </c>
      <c r="G7880" s="24">
        <v>0.0</v>
      </c>
      <c r="H7880" s="24" t="s">
        <v>6736</v>
      </c>
      <c r="I7880" s="24" t="s">
        <v>6650</v>
      </c>
      <c r="J7880" s="24">
        <v>0.0</v>
      </c>
    </row>
    <row r="7881">
      <c r="A7881" s="24">
        <v>113.0</v>
      </c>
      <c r="B7881" s="24">
        <v>2.0</v>
      </c>
      <c r="C7881" s="44">
        <v>10.61</v>
      </c>
      <c r="D7881" s="46">
        <v>45858.0</v>
      </c>
      <c r="E7881" s="24">
        <v>5.3</v>
      </c>
      <c r="F7881" s="24">
        <v>93.89</v>
      </c>
      <c r="G7881" s="24">
        <v>1.77</v>
      </c>
      <c r="H7881" s="24" t="s">
        <v>6729</v>
      </c>
      <c r="I7881" s="24" t="s">
        <v>6650</v>
      </c>
      <c r="J7881" s="24">
        <v>0.0</v>
      </c>
    </row>
    <row r="7882">
      <c r="A7882" s="24">
        <v>248.0</v>
      </c>
      <c r="B7882" s="24">
        <v>2.0</v>
      </c>
      <c r="C7882" s="44">
        <v>28.07</v>
      </c>
      <c r="D7882" s="46">
        <v>45859.0</v>
      </c>
      <c r="E7882" s="24">
        <v>14.04</v>
      </c>
      <c r="F7882" s="24">
        <v>113.19</v>
      </c>
      <c r="G7882" s="24">
        <v>0.81</v>
      </c>
      <c r="H7882" s="24" t="s">
        <v>6729</v>
      </c>
      <c r="I7882" s="24" t="s">
        <v>6650</v>
      </c>
      <c r="J7882" s="24">
        <v>0.0</v>
      </c>
    </row>
    <row r="7883">
      <c r="A7883" s="24">
        <v>152.0</v>
      </c>
      <c r="B7883" s="24">
        <v>5.0</v>
      </c>
      <c r="C7883" s="44">
        <v>14.68</v>
      </c>
      <c r="D7883" s="46">
        <v>45859.0</v>
      </c>
      <c r="E7883" s="24">
        <v>2.94</v>
      </c>
      <c r="F7883" s="24">
        <v>96.58</v>
      </c>
      <c r="G7883" s="24">
        <v>3.29</v>
      </c>
      <c r="H7883" s="24" t="s">
        <v>6736</v>
      </c>
      <c r="I7883" s="24" t="s">
        <v>6650</v>
      </c>
      <c r="J7883" s="24">
        <v>0.0</v>
      </c>
    </row>
    <row r="7884">
      <c r="A7884" s="24">
        <v>792.0</v>
      </c>
      <c r="B7884" s="24">
        <v>3.0</v>
      </c>
      <c r="C7884" s="44">
        <v>21.33</v>
      </c>
      <c r="D7884" s="46">
        <v>45859.0</v>
      </c>
      <c r="E7884" s="24">
        <v>7.11</v>
      </c>
      <c r="F7884" s="24">
        <v>26.93</v>
      </c>
      <c r="G7884" s="24">
        <v>0.38</v>
      </c>
      <c r="H7884" s="24" t="s">
        <v>6737</v>
      </c>
      <c r="I7884" s="24" t="s">
        <v>6650</v>
      </c>
      <c r="J7884" s="24">
        <v>0.0</v>
      </c>
    </row>
    <row r="7885">
      <c r="A7885" s="24">
        <v>303.0</v>
      </c>
      <c r="B7885" s="24">
        <v>10.0</v>
      </c>
      <c r="C7885" s="44">
        <v>30.99</v>
      </c>
      <c r="D7885" s="46">
        <v>45860.0</v>
      </c>
      <c r="E7885" s="24">
        <v>3.1</v>
      </c>
      <c r="F7885" s="24">
        <v>102.28</v>
      </c>
      <c r="G7885" s="24">
        <v>3.3</v>
      </c>
      <c r="H7885" s="24" t="s">
        <v>6729</v>
      </c>
      <c r="I7885" s="24" t="s">
        <v>6650</v>
      </c>
      <c r="J7885" s="24">
        <v>0.0</v>
      </c>
    </row>
    <row r="7886">
      <c r="A7886" s="24">
        <v>298.0</v>
      </c>
      <c r="B7886" s="24">
        <v>0.0</v>
      </c>
      <c r="C7886" s="44">
        <v>22.56</v>
      </c>
      <c r="D7886" s="46">
        <v>45860.0</v>
      </c>
      <c r="E7886" s="24" t="s">
        <v>6650</v>
      </c>
      <c r="F7886" s="24">
        <v>75.7</v>
      </c>
      <c r="G7886" s="24">
        <v>0.0</v>
      </c>
      <c r="H7886" s="24" t="s">
        <v>6737</v>
      </c>
      <c r="I7886" s="24" t="s">
        <v>6650</v>
      </c>
      <c r="J7886" s="24">
        <v>0.0</v>
      </c>
    </row>
    <row r="7887">
      <c r="A7887" s="24">
        <v>355.0</v>
      </c>
      <c r="B7887" s="24">
        <v>2.0</v>
      </c>
      <c r="C7887" s="44">
        <v>24.06</v>
      </c>
      <c r="D7887" s="46">
        <v>45861.0</v>
      </c>
      <c r="E7887" s="24">
        <v>12.03</v>
      </c>
      <c r="F7887" s="24">
        <v>67.77</v>
      </c>
      <c r="G7887" s="24">
        <v>0.56</v>
      </c>
      <c r="H7887" s="24" t="s">
        <v>6737</v>
      </c>
      <c r="I7887" s="24" t="s">
        <v>6650</v>
      </c>
      <c r="J7887" s="24">
        <v>0.0</v>
      </c>
    </row>
    <row r="7888">
      <c r="A7888" s="24">
        <v>239.0</v>
      </c>
      <c r="B7888" s="24">
        <v>2.0</v>
      </c>
      <c r="C7888" s="44">
        <v>27.24</v>
      </c>
      <c r="D7888" s="46">
        <v>45861.0</v>
      </c>
      <c r="E7888" s="24">
        <v>13.62</v>
      </c>
      <c r="F7888" s="24">
        <v>113.97</v>
      </c>
      <c r="G7888" s="24">
        <v>0.84</v>
      </c>
      <c r="H7888" s="24" t="s">
        <v>6729</v>
      </c>
      <c r="I7888" s="24" t="s">
        <v>6650</v>
      </c>
      <c r="J7888" s="24">
        <v>0.0</v>
      </c>
    </row>
    <row r="7889">
      <c r="A7889" s="24">
        <v>299.0</v>
      </c>
      <c r="B7889" s="24">
        <v>1.0</v>
      </c>
      <c r="C7889" s="44">
        <v>23.31</v>
      </c>
      <c r="D7889" s="46">
        <v>45862.0</v>
      </c>
      <c r="E7889" s="24">
        <v>23.31</v>
      </c>
      <c r="F7889" s="24">
        <v>77.96</v>
      </c>
      <c r="G7889" s="24">
        <v>0.33</v>
      </c>
      <c r="H7889" s="24" t="s">
        <v>6737</v>
      </c>
      <c r="I7889" s="24" t="s">
        <v>6650</v>
      </c>
      <c r="J7889" s="24">
        <v>0.0</v>
      </c>
    </row>
    <row r="7890">
      <c r="A7890" s="24">
        <v>358.0</v>
      </c>
      <c r="B7890" s="24">
        <v>7.0</v>
      </c>
      <c r="C7890" s="44">
        <v>27.47</v>
      </c>
      <c r="D7890" s="46">
        <v>45862.0</v>
      </c>
      <c r="E7890" s="24">
        <v>3.92</v>
      </c>
      <c r="F7890" s="24">
        <v>76.73</v>
      </c>
      <c r="G7890" s="24">
        <v>1.96</v>
      </c>
      <c r="H7890" s="24" t="s">
        <v>6729</v>
      </c>
      <c r="I7890" s="24" t="s">
        <v>6650</v>
      </c>
      <c r="J7890" s="24">
        <v>0.0</v>
      </c>
    </row>
    <row r="7891">
      <c r="A7891" s="24">
        <v>551.0</v>
      </c>
      <c r="B7891" s="24">
        <v>0.0</v>
      </c>
      <c r="C7891" s="44">
        <v>23.89</v>
      </c>
      <c r="D7891" s="46">
        <v>45862.0</v>
      </c>
      <c r="E7891" s="24" t="s">
        <v>6650</v>
      </c>
      <c r="F7891" s="24">
        <v>43.36</v>
      </c>
      <c r="G7891" s="24">
        <v>0.0</v>
      </c>
      <c r="H7891" s="24" t="s">
        <v>6738</v>
      </c>
      <c r="I7891" s="24" t="s">
        <v>6650</v>
      </c>
      <c r="J7891" s="24">
        <v>0.0</v>
      </c>
    </row>
    <row r="7892">
      <c r="A7892" s="24">
        <v>192.0</v>
      </c>
      <c r="B7892" s="24">
        <v>4.0</v>
      </c>
      <c r="C7892" s="44">
        <v>22.63</v>
      </c>
      <c r="D7892" s="46">
        <v>45863.0</v>
      </c>
      <c r="E7892" s="24">
        <v>5.66</v>
      </c>
      <c r="F7892" s="24">
        <v>117.86</v>
      </c>
      <c r="G7892" s="24">
        <v>2.08</v>
      </c>
      <c r="H7892" s="24" t="s">
        <v>6729</v>
      </c>
      <c r="I7892" s="24" t="s">
        <v>6650</v>
      </c>
      <c r="J7892" s="24">
        <v>0.0</v>
      </c>
    </row>
    <row r="7893">
      <c r="A7893" s="24">
        <v>227.0</v>
      </c>
      <c r="B7893" s="24">
        <v>0.0</v>
      </c>
      <c r="C7893" s="44">
        <v>22.05</v>
      </c>
      <c r="D7893" s="46">
        <v>45863.0</v>
      </c>
      <c r="E7893" s="24" t="s">
        <v>6650</v>
      </c>
      <c r="F7893" s="24">
        <v>97.14</v>
      </c>
      <c r="G7893" s="24">
        <v>0.0</v>
      </c>
      <c r="H7893" s="24" t="s">
        <v>6738</v>
      </c>
      <c r="I7893" s="24" t="s">
        <v>6650</v>
      </c>
      <c r="J7893" s="24">
        <v>0.0</v>
      </c>
    </row>
    <row r="7894">
      <c r="A7894" s="24">
        <v>203.0</v>
      </c>
      <c r="B7894" s="24">
        <v>0.0</v>
      </c>
      <c r="C7894" s="44">
        <v>20.81</v>
      </c>
      <c r="D7894" s="46">
        <v>45863.0</v>
      </c>
      <c r="E7894" s="24" t="s">
        <v>6650</v>
      </c>
      <c r="F7894" s="24">
        <v>102.51</v>
      </c>
      <c r="G7894" s="24">
        <v>0.0</v>
      </c>
      <c r="H7894" s="24" t="s">
        <v>6737</v>
      </c>
      <c r="I7894" s="24" t="s">
        <v>6650</v>
      </c>
      <c r="J7894" s="24">
        <v>0.0</v>
      </c>
    </row>
    <row r="7895">
      <c r="A7895" s="24">
        <v>107.0</v>
      </c>
      <c r="B7895" s="24">
        <v>0.0</v>
      </c>
      <c r="C7895" s="44">
        <v>12.14</v>
      </c>
      <c r="D7895" s="46">
        <v>45864.0</v>
      </c>
      <c r="E7895" s="24" t="s">
        <v>6650</v>
      </c>
      <c r="F7895" s="24">
        <v>113.46</v>
      </c>
      <c r="G7895" s="24">
        <v>0.0</v>
      </c>
      <c r="H7895" s="24" t="s">
        <v>6737</v>
      </c>
      <c r="I7895" s="24" t="s">
        <v>6650</v>
      </c>
      <c r="J7895" s="24">
        <v>0.0</v>
      </c>
    </row>
    <row r="7896">
      <c r="A7896" s="24">
        <v>155.0</v>
      </c>
      <c r="B7896" s="24">
        <v>0.0</v>
      </c>
      <c r="C7896" s="44">
        <v>16.63</v>
      </c>
      <c r="D7896" s="46">
        <v>45864.0</v>
      </c>
      <c r="E7896" s="24" t="s">
        <v>6650</v>
      </c>
      <c r="F7896" s="24">
        <v>107.29</v>
      </c>
      <c r="G7896" s="24">
        <v>0.0</v>
      </c>
      <c r="H7896" s="24" t="s">
        <v>6738</v>
      </c>
      <c r="I7896" s="24" t="s">
        <v>6650</v>
      </c>
      <c r="J7896" s="24">
        <v>0.0</v>
      </c>
    </row>
    <row r="7897">
      <c r="A7897" s="24">
        <v>99.0</v>
      </c>
      <c r="B7897" s="24">
        <v>1.0</v>
      </c>
      <c r="C7897" s="44">
        <v>12.99</v>
      </c>
      <c r="D7897" s="46">
        <v>45864.0</v>
      </c>
      <c r="E7897" s="24">
        <v>12.99</v>
      </c>
      <c r="F7897" s="24">
        <v>131.21</v>
      </c>
      <c r="G7897" s="24">
        <v>1.01</v>
      </c>
      <c r="H7897" s="24" t="s">
        <v>6729</v>
      </c>
      <c r="I7897" s="24" t="s">
        <v>6650</v>
      </c>
      <c r="J7897" s="24">
        <v>0.0</v>
      </c>
    </row>
    <row r="7898">
      <c r="A7898" s="24">
        <v>105.0</v>
      </c>
      <c r="B7898" s="24">
        <v>0.0</v>
      </c>
      <c r="C7898" s="44">
        <v>13.69</v>
      </c>
      <c r="D7898" s="46">
        <v>45865.0</v>
      </c>
      <c r="E7898" s="24" t="s">
        <v>6650</v>
      </c>
      <c r="F7898" s="24">
        <v>130.38</v>
      </c>
      <c r="G7898" s="24">
        <v>0.0</v>
      </c>
      <c r="H7898" s="24" t="s">
        <v>6738</v>
      </c>
      <c r="I7898" s="24" t="s">
        <v>6650</v>
      </c>
      <c r="J7898" s="24">
        <v>0.0</v>
      </c>
    </row>
    <row r="7899">
      <c r="A7899" s="24">
        <v>106.0</v>
      </c>
      <c r="B7899" s="24">
        <v>1.0</v>
      </c>
      <c r="C7899" s="44">
        <v>9.84</v>
      </c>
      <c r="D7899" s="46">
        <v>45865.0</v>
      </c>
      <c r="E7899" s="24">
        <v>9.84</v>
      </c>
      <c r="F7899" s="24">
        <v>92.83</v>
      </c>
      <c r="G7899" s="24">
        <v>0.94</v>
      </c>
      <c r="H7899" s="24" t="s">
        <v>6737</v>
      </c>
      <c r="I7899" s="24" t="s">
        <v>6650</v>
      </c>
      <c r="J7899" s="24">
        <v>0.0</v>
      </c>
    </row>
    <row r="7900">
      <c r="A7900" s="24">
        <v>77.0</v>
      </c>
      <c r="B7900" s="24">
        <v>1.0</v>
      </c>
      <c r="C7900" s="44">
        <v>10.21</v>
      </c>
      <c r="D7900" s="46">
        <v>45865.0</v>
      </c>
      <c r="E7900" s="24">
        <v>10.21</v>
      </c>
      <c r="F7900" s="24">
        <v>132.6</v>
      </c>
      <c r="G7900" s="24">
        <v>1.3</v>
      </c>
      <c r="H7900" s="24" t="s">
        <v>6729</v>
      </c>
      <c r="I7900" s="24" t="s">
        <v>6650</v>
      </c>
      <c r="J7900" s="24">
        <v>0.0</v>
      </c>
    </row>
    <row r="7901">
      <c r="A7901" s="24">
        <v>122.0</v>
      </c>
      <c r="B7901" s="24">
        <v>0.0</v>
      </c>
      <c r="C7901" s="44">
        <v>23.52</v>
      </c>
      <c r="D7901" s="46">
        <v>45866.0</v>
      </c>
      <c r="E7901" s="24" t="s">
        <v>6650</v>
      </c>
      <c r="F7901" s="24">
        <v>192.79</v>
      </c>
      <c r="G7901" s="24">
        <v>0.0</v>
      </c>
      <c r="H7901" s="24" t="s">
        <v>6738</v>
      </c>
      <c r="I7901" s="24" t="s">
        <v>6650</v>
      </c>
      <c r="J7901" s="24">
        <v>0.0</v>
      </c>
    </row>
    <row r="7902">
      <c r="A7902" s="24">
        <v>144.0</v>
      </c>
      <c r="B7902" s="24">
        <v>0.0</v>
      </c>
      <c r="C7902" s="44">
        <v>24.11</v>
      </c>
      <c r="D7902" s="46">
        <v>45866.0</v>
      </c>
      <c r="E7902" s="24" t="s">
        <v>6650</v>
      </c>
      <c r="F7902" s="24">
        <v>167.43</v>
      </c>
      <c r="G7902" s="24">
        <v>0.0</v>
      </c>
      <c r="H7902" s="24" t="s">
        <v>6737</v>
      </c>
      <c r="I7902" s="24" t="s">
        <v>6650</v>
      </c>
      <c r="J7902" s="24">
        <v>0.0</v>
      </c>
    </row>
    <row r="7903">
      <c r="A7903" s="24">
        <v>289.0</v>
      </c>
      <c r="B7903" s="24">
        <v>7.0</v>
      </c>
      <c r="C7903" s="44">
        <v>28.11</v>
      </c>
      <c r="D7903" s="46">
        <v>45866.0</v>
      </c>
      <c r="E7903" s="24">
        <v>4.02</v>
      </c>
      <c r="F7903" s="24">
        <v>97.27</v>
      </c>
      <c r="G7903" s="24">
        <v>2.42</v>
      </c>
      <c r="H7903" s="24" t="s">
        <v>6729</v>
      </c>
      <c r="I7903" s="24" t="s">
        <v>6650</v>
      </c>
      <c r="J7903" s="24">
        <v>0.0</v>
      </c>
    </row>
    <row r="7904">
      <c r="A7904" s="24">
        <v>204.0</v>
      </c>
      <c r="B7904" s="24">
        <v>1.0</v>
      </c>
      <c r="C7904" s="44">
        <v>25.51</v>
      </c>
      <c r="D7904" s="46">
        <v>45867.0</v>
      </c>
      <c r="E7904" s="24">
        <v>25.51</v>
      </c>
      <c r="F7904" s="24">
        <v>125.05</v>
      </c>
      <c r="G7904" s="24">
        <v>0.49</v>
      </c>
      <c r="H7904" s="24" t="s">
        <v>6738</v>
      </c>
      <c r="I7904" s="24" t="s">
        <v>6650</v>
      </c>
      <c r="J7904" s="24">
        <v>0.0</v>
      </c>
    </row>
    <row r="7905">
      <c r="A7905" s="24">
        <v>235.0</v>
      </c>
      <c r="B7905" s="24">
        <v>8.0</v>
      </c>
      <c r="C7905" s="44">
        <v>31.36</v>
      </c>
      <c r="D7905" s="46">
        <v>45867.0</v>
      </c>
      <c r="E7905" s="24">
        <v>3.92</v>
      </c>
      <c r="F7905" s="24">
        <v>133.45</v>
      </c>
      <c r="G7905" s="24">
        <v>3.4</v>
      </c>
      <c r="H7905" s="24" t="s">
        <v>6729</v>
      </c>
      <c r="I7905" s="24" t="s">
        <v>6650</v>
      </c>
      <c r="J7905" s="24">
        <v>0.0</v>
      </c>
    </row>
    <row r="7906">
      <c r="A7906" s="24">
        <v>255.0</v>
      </c>
      <c r="B7906" s="24">
        <v>1.0</v>
      </c>
      <c r="C7906" s="44">
        <v>26.08</v>
      </c>
      <c r="D7906" s="46">
        <v>45867.0</v>
      </c>
      <c r="E7906" s="24">
        <v>26.08</v>
      </c>
      <c r="F7906" s="24">
        <v>102.27</v>
      </c>
      <c r="G7906" s="24">
        <v>0.39</v>
      </c>
      <c r="H7906" s="24" t="s">
        <v>6737</v>
      </c>
      <c r="I7906" s="24" t="s">
        <v>6650</v>
      </c>
      <c r="J7906" s="24">
        <v>0.0</v>
      </c>
    </row>
    <row r="7907">
      <c r="A7907" s="24">
        <v>160.0</v>
      </c>
      <c r="B7907" s="24">
        <v>4.0</v>
      </c>
      <c r="C7907" s="44">
        <v>12.6</v>
      </c>
      <c r="D7907" s="46">
        <v>45868.0</v>
      </c>
      <c r="E7907" s="24">
        <v>3.15</v>
      </c>
      <c r="F7907" s="24">
        <v>78.75</v>
      </c>
      <c r="G7907" s="24">
        <v>2.5</v>
      </c>
      <c r="H7907" s="24" t="s">
        <v>6729</v>
      </c>
      <c r="I7907" s="24" t="s">
        <v>6650</v>
      </c>
      <c r="J7907" s="24">
        <v>0.0</v>
      </c>
    </row>
    <row r="7908">
      <c r="A7908" s="24">
        <v>189.0</v>
      </c>
      <c r="B7908" s="24">
        <v>1.0</v>
      </c>
      <c r="C7908" s="44">
        <v>22.39</v>
      </c>
      <c r="D7908" s="46">
        <v>45868.0</v>
      </c>
      <c r="E7908" s="24">
        <v>22.39</v>
      </c>
      <c r="F7908" s="24">
        <v>118.47</v>
      </c>
      <c r="G7908" s="24">
        <v>0.53</v>
      </c>
      <c r="H7908" s="24" t="s">
        <v>6738</v>
      </c>
      <c r="I7908" s="24" t="s">
        <v>6650</v>
      </c>
      <c r="J7908" s="24">
        <v>0.0</v>
      </c>
    </row>
    <row r="7909">
      <c r="A7909" s="24">
        <v>539.0</v>
      </c>
      <c r="B7909" s="24">
        <v>1.0</v>
      </c>
      <c r="C7909" s="44">
        <v>23.43</v>
      </c>
      <c r="D7909" s="46">
        <v>45868.0</v>
      </c>
      <c r="E7909" s="24">
        <v>23.43</v>
      </c>
      <c r="F7909" s="24">
        <v>43.47</v>
      </c>
      <c r="G7909" s="24">
        <v>0.19</v>
      </c>
      <c r="H7909" s="24" t="s">
        <v>6739</v>
      </c>
      <c r="I7909" s="24" t="s">
        <v>6650</v>
      </c>
      <c r="J7909" s="24">
        <v>0.0</v>
      </c>
    </row>
    <row r="7910">
      <c r="A7910" s="24">
        <v>743.0</v>
      </c>
      <c r="B7910" s="24">
        <v>24.0</v>
      </c>
      <c r="C7910" s="44">
        <v>23.74</v>
      </c>
      <c r="D7910" s="46">
        <v>45868.0</v>
      </c>
      <c r="E7910" s="24">
        <v>0.99</v>
      </c>
      <c r="F7910" s="24">
        <v>31.95</v>
      </c>
      <c r="G7910" s="24">
        <v>3.23</v>
      </c>
      <c r="H7910" s="24" t="s">
        <v>6740</v>
      </c>
      <c r="I7910" s="24" t="s">
        <v>6650</v>
      </c>
      <c r="J7910" s="24">
        <v>0.0</v>
      </c>
    </row>
    <row r="7911">
      <c r="A7911" s="24">
        <v>393.0</v>
      </c>
      <c r="B7911" s="24">
        <v>0.0</v>
      </c>
      <c r="C7911" s="44">
        <v>22.47</v>
      </c>
      <c r="D7911" s="46">
        <v>45868.0</v>
      </c>
      <c r="E7911" s="24" t="s">
        <v>6650</v>
      </c>
      <c r="F7911" s="24">
        <v>57.18</v>
      </c>
      <c r="G7911" s="24">
        <v>0.0</v>
      </c>
      <c r="H7911" s="24" t="s">
        <v>6737</v>
      </c>
      <c r="I7911" s="24" t="s">
        <v>6650</v>
      </c>
      <c r="J7911" s="24">
        <v>0.0</v>
      </c>
    </row>
    <row r="7912">
      <c r="A7912" s="24">
        <v>333.0</v>
      </c>
      <c r="B7912" s="24">
        <v>0.0</v>
      </c>
      <c r="C7912" s="44">
        <v>22.86</v>
      </c>
      <c r="D7912" s="46">
        <v>45869.0</v>
      </c>
      <c r="E7912" s="24" t="s">
        <v>6650</v>
      </c>
      <c r="F7912" s="24">
        <v>68.65</v>
      </c>
      <c r="G7912" s="24">
        <v>0.0</v>
      </c>
      <c r="H7912" s="24" t="s">
        <v>6739</v>
      </c>
      <c r="I7912" s="24" t="s">
        <v>6650</v>
      </c>
      <c r="J7912" s="24">
        <v>0.0</v>
      </c>
    </row>
    <row r="7913">
      <c r="A7913" s="24">
        <v>166.0</v>
      </c>
      <c r="B7913" s="24">
        <v>0.0</v>
      </c>
      <c r="C7913" s="44">
        <v>22.66</v>
      </c>
      <c r="D7913" s="46">
        <v>45869.0</v>
      </c>
      <c r="E7913" s="24" t="s">
        <v>6650</v>
      </c>
      <c r="F7913" s="24">
        <v>136.51</v>
      </c>
      <c r="G7913" s="24">
        <v>0.0</v>
      </c>
      <c r="H7913" s="24" t="s">
        <v>6738</v>
      </c>
      <c r="I7913" s="24" t="s">
        <v>6650</v>
      </c>
      <c r="J7913" s="24">
        <v>0.0</v>
      </c>
    </row>
    <row r="7914">
      <c r="A7914" s="24">
        <v>258.0</v>
      </c>
      <c r="B7914" s="24">
        <v>1.0</v>
      </c>
      <c r="C7914" s="44">
        <v>21.7</v>
      </c>
      <c r="D7914" s="46">
        <v>45869.0</v>
      </c>
      <c r="E7914" s="24">
        <v>21.7</v>
      </c>
      <c r="F7914" s="24">
        <v>84.11</v>
      </c>
      <c r="G7914" s="24">
        <v>0.39</v>
      </c>
      <c r="H7914" s="24" t="s">
        <v>6737</v>
      </c>
      <c r="I7914" s="24" t="s">
        <v>6650</v>
      </c>
      <c r="J7914" s="24">
        <v>0.0</v>
      </c>
    </row>
    <row r="7915">
      <c r="A7915" s="24">
        <v>471.0</v>
      </c>
      <c r="B7915" s="24">
        <v>15.0</v>
      </c>
      <c r="C7915" s="44">
        <v>23.01</v>
      </c>
      <c r="D7915" s="46">
        <v>45869.0</v>
      </c>
      <c r="E7915" s="24">
        <v>1.53</v>
      </c>
      <c r="F7915" s="24">
        <v>48.85</v>
      </c>
      <c r="G7915" s="24">
        <v>3.18</v>
      </c>
      <c r="H7915" s="24" t="s">
        <v>6740</v>
      </c>
      <c r="I7915" s="24" t="s">
        <v>6650</v>
      </c>
      <c r="J7915" s="24">
        <v>0.0</v>
      </c>
    </row>
    <row r="7916">
      <c r="A7916" s="24">
        <v>582.0</v>
      </c>
      <c r="B7916" s="24">
        <v>4.0</v>
      </c>
      <c r="C7916" s="44">
        <v>44.99</v>
      </c>
      <c r="D7916" s="46">
        <v>45870.0</v>
      </c>
      <c r="E7916" s="24">
        <v>11.25</v>
      </c>
      <c r="F7916" s="24">
        <v>77.3</v>
      </c>
      <c r="G7916" s="24">
        <v>0.69</v>
      </c>
      <c r="H7916" s="24" t="s">
        <v>6739</v>
      </c>
      <c r="I7916" s="24" t="s">
        <v>6650</v>
      </c>
      <c r="J7916" s="24">
        <v>0.0</v>
      </c>
    </row>
    <row r="7917">
      <c r="A7917" s="24">
        <v>128.0</v>
      </c>
      <c r="B7917" s="24">
        <v>0.0</v>
      </c>
      <c r="C7917" s="44">
        <v>17.05</v>
      </c>
      <c r="D7917" s="46">
        <v>45870.0</v>
      </c>
      <c r="E7917" s="24" t="s">
        <v>6650</v>
      </c>
      <c r="F7917" s="24">
        <v>133.2</v>
      </c>
      <c r="G7917" s="24">
        <v>0.0</v>
      </c>
      <c r="H7917" s="24" t="s">
        <v>6738</v>
      </c>
      <c r="I7917" s="24" t="s">
        <v>6650</v>
      </c>
      <c r="J7917" s="24">
        <v>0.0</v>
      </c>
    </row>
    <row r="7918">
      <c r="A7918" s="24">
        <v>186.0</v>
      </c>
      <c r="B7918" s="24">
        <v>0.0</v>
      </c>
      <c r="C7918" s="44">
        <v>20.18</v>
      </c>
      <c r="D7918" s="46">
        <v>45870.0</v>
      </c>
      <c r="E7918" s="24" t="s">
        <v>6650</v>
      </c>
      <c r="F7918" s="24">
        <v>108.49</v>
      </c>
      <c r="G7918" s="24">
        <v>0.0</v>
      </c>
      <c r="H7918" s="24" t="s">
        <v>6737</v>
      </c>
      <c r="I7918" s="24" t="s">
        <v>6650</v>
      </c>
      <c r="J7918" s="24">
        <v>0.0</v>
      </c>
    </row>
    <row r="7919">
      <c r="A7919" s="24">
        <v>305.0</v>
      </c>
      <c r="B7919" s="24">
        <v>11.0</v>
      </c>
      <c r="C7919" s="44">
        <v>21.15</v>
      </c>
      <c r="D7919" s="46">
        <v>45870.0</v>
      </c>
      <c r="E7919" s="24">
        <v>1.92</v>
      </c>
      <c r="F7919" s="24">
        <v>69.34</v>
      </c>
      <c r="G7919" s="24">
        <v>3.61</v>
      </c>
      <c r="H7919" s="24" t="s">
        <v>6740</v>
      </c>
      <c r="I7919" s="24" t="s">
        <v>6650</v>
      </c>
      <c r="J7919" s="24">
        <v>0.0</v>
      </c>
    </row>
    <row r="7920">
      <c r="A7920" s="24">
        <v>56.0</v>
      </c>
      <c r="B7920" s="24">
        <v>0.0</v>
      </c>
      <c r="C7920" s="44">
        <v>14.42</v>
      </c>
      <c r="D7920" s="46">
        <v>45871.0</v>
      </c>
      <c r="E7920" s="24" t="s">
        <v>6650</v>
      </c>
      <c r="F7920" s="24">
        <v>257.5</v>
      </c>
      <c r="G7920" s="24">
        <v>0.0</v>
      </c>
      <c r="H7920" s="24" t="s">
        <v>6738</v>
      </c>
      <c r="I7920" s="24" t="s">
        <v>6650</v>
      </c>
      <c r="J7920" s="24">
        <v>0.0</v>
      </c>
    </row>
    <row r="7921">
      <c r="A7921" s="24">
        <v>134.0</v>
      </c>
      <c r="B7921" s="24">
        <v>0.0</v>
      </c>
      <c r="C7921" s="44">
        <v>10.42</v>
      </c>
      <c r="D7921" s="46">
        <v>45871.0</v>
      </c>
      <c r="E7921" s="24" t="s">
        <v>6650</v>
      </c>
      <c r="F7921" s="24">
        <v>77.76</v>
      </c>
      <c r="G7921" s="24">
        <v>0.0</v>
      </c>
      <c r="H7921" s="24" t="s">
        <v>6737</v>
      </c>
      <c r="I7921" s="24" t="s">
        <v>6650</v>
      </c>
      <c r="J7921" s="24">
        <v>0.0</v>
      </c>
    </row>
    <row r="7922">
      <c r="A7922" s="24">
        <v>161.0</v>
      </c>
      <c r="B7922" s="24">
        <v>2.0</v>
      </c>
      <c r="C7922" s="44">
        <v>12.72</v>
      </c>
      <c r="D7922" s="46">
        <v>45871.0</v>
      </c>
      <c r="E7922" s="24">
        <v>6.36</v>
      </c>
      <c r="F7922" s="24">
        <v>79.01</v>
      </c>
      <c r="G7922" s="24">
        <v>1.24</v>
      </c>
      <c r="H7922" s="24" t="s">
        <v>6740</v>
      </c>
      <c r="I7922" s="24" t="s">
        <v>6650</v>
      </c>
      <c r="J7922" s="24">
        <v>0.0</v>
      </c>
    </row>
    <row r="7923">
      <c r="A7923" s="24">
        <v>189.0</v>
      </c>
      <c r="B7923" s="24">
        <v>0.0</v>
      </c>
      <c r="C7923" s="44">
        <v>32.92</v>
      </c>
      <c r="D7923" s="46">
        <v>45871.0</v>
      </c>
      <c r="E7923" s="24" t="s">
        <v>6650</v>
      </c>
      <c r="F7923" s="24">
        <v>174.18</v>
      </c>
      <c r="G7923" s="24">
        <v>0.0</v>
      </c>
      <c r="H7923" s="24" t="s">
        <v>6739</v>
      </c>
      <c r="I7923" s="24" t="s">
        <v>6650</v>
      </c>
      <c r="J7923" s="24">
        <v>0.0</v>
      </c>
    </row>
    <row r="7924">
      <c r="A7924" s="24">
        <v>95.0</v>
      </c>
      <c r="B7924" s="24">
        <v>0.0</v>
      </c>
      <c r="C7924" s="44">
        <v>9.09</v>
      </c>
      <c r="D7924" s="46">
        <v>45872.0</v>
      </c>
      <c r="E7924" s="24" t="s">
        <v>6650</v>
      </c>
      <c r="F7924" s="24">
        <v>95.68</v>
      </c>
      <c r="G7924" s="24">
        <v>0.0</v>
      </c>
      <c r="H7924" s="24" t="s">
        <v>6737</v>
      </c>
      <c r="I7924" s="24" t="s">
        <v>6650</v>
      </c>
      <c r="J7924" s="24">
        <v>0.0</v>
      </c>
    </row>
    <row r="7925">
      <c r="A7925" s="24">
        <v>163.0</v>
      </c>
      <c r="B7925" s="24">
        <v>1.0</v>
      </c>
      <c r="C7925" s="44">
        <v>30.66</v>
      </c>
      <c r="D7925" s="46">
        <v>45872.0</v>
      </c>
      <c r="E7925" s="24">
        <v>30.66</v>
      </c>
      <c r="F7925" s="24">
        <v>188.1</v>
      </c>
      <c r="G7925" s="24">
        <v>0.61</v>
      </c>
      <c r="H7925" s="24" t="s">
        <v>6739</v>
      </c>
      <c r="I7925" s="24" t="s">
        <v>6650</v>
      </c>
      <c r="J7925" s="24">
        <v>0.0</v>
      </c>
    </row>
    <row r="7926">
      <c r="A7926" s="24">
        <v>29.0</v>
      </c>
      <c r="B7926" s="24">
        <v>0.0</v>
      </c>
      <c r="C7926" s="44">
        <v>7.45</v>
      </c>
      <c r="D7926" s="46">
        <v>45872.0</v>
      </c>
      <c r="E7926" s="24" t="s">
        <v>6650</v>
      </c>
      <c r="F7926" s="24">
        <v>256.9</v>
      </c>
      <c r="G7926" s="24">
        <v>0.0</v>
      </c>
      <c r="H7926" s="24" t="s">
        <v>6738</v>
      </c>
      <c r="I7926" s="24" t="s">
        <v>6650</v>
      </c>
      <c r="J7926" s="24">
        <v>0.0</v>
      </c>
    </row>
    <row r="7927">
      <c r="A7927" s="24">
        <v>143.0</v>
      </c>
      <c r="B7927" s="24">
        <v>6.0</v>
      </c>
      <c r="C7927" s="44">
        <v>12.08</v>
      </c>
      <c r="D7927" s="46">
        <v>45872.0</v>
      </c>
      <c r="E7927" s="24">
        <v>2.01</v>
      </c>
      <c r="F7927" s="24">
        <v>84.48</v>
      </c>
      <c r="G7927" s="24">
        <v>4.2</v>
      </c>
      <c r="H7927" s="24" t="s">
        <v>6740</v>
      </c>
      <c r="I7927" s="24" t="s">
        <v>6650</v>
      </c>
      <c r="J7927" s="24">
        <v>0.0</v>
      </c>
    </row>
    <row r="7928">
      <c r="A7928" s="24">
        <v>408.0</v>
      </c>
      <c r="B7928" s="24">
        <v>0.0</v>
      </c>
      <c r="C7928" s="44">
        <v>20.94</v>
      </c>
      <c r="D7928" s="46">
        <v>45873.0</v>
      </c>
      <c r="E7928" s="24" t="s">
        <v>6650</v>
      </c>
      <c r="F7928" s="24">
        <v>51.32</v>
      </c>
      <c r="G7928" s="24">
        <v>0.0</v>
      </c>
      <c r="H7928" s="24" t="s">
        <v>6737</v>
      </c>
      <c r="I7928" s="24" t="s">
        <v>6650</v>
      </c>
      <c r="J7928" s="24">
        <v>0.0</v>
      </c>
    </row>
    <row r="7929">
      <c r="A7929" s="24">
        <v>169.0</v>
      </c>
      <c r="B7929" s="24">
        <v>2.0</v>
      </c>
      <c r="C7929" s="44">
        <v>47.87</v>
      </c>
      <c r="D7929" s="46">
        <v>45873.0</v>
      </c>
      <c r="E7929" s="24">
        <v>23.94</v>
      </c>
      <c r="F7929" s="24">
        <v>283.25</v>
      </c>
      <c r="G7929" s="24">
        <v>1.18</v>
      </c>
      <c r="H7929" s="24" t="s">
        <v>6739</v>
      </c>
      <c r="I7929" s="24" t="s">
        <v>6650</v>
      </c>
      <c r="J7929" s="24">
        <v>0.0</v>
      </c>
    </row>
    <row r="7930">
      <c r="A7930" s="24">
        <v>78.0</v>
      </c>
      <c r="B7930" s="24">
        <v>0.0</v>
      </c>
      <c r="C7930" s="44">
        <v>23.8</v>
      </c>
      <c r="D7930" s="46">
        <v>45873.0</v>
      </c>
      <c r="E7930" s="24" t="s">
        <v>6650</v>
      </c>
      <c r="F7930" s="24">
        <v>305.13</v>
      </c>
      <c r="G7930" s="24">
        <v>0.0</v>
      </c>
      <c r="H7930" s="24" t="s">
        <v>6738</v>
      </c>
      <c r="I7930" s="24" t="s">
        <v>6650</v>
      </c>
      <c r="J7930" s="24">
        <v>0.0</v>
      </c>
    </row>
    <row r="7931">
      <c r="A7931" s="24">
        <v>1213.0</v>
      </c>
      <c r="B7931" s="24">
        <v>54.0</v>
      </c>
      <c r="C7931" s="44">
        <v>22.11</v>
      </c>
      <c r="D7931" s="46">
        <v>45873.0</v>
      </c>
      <c r="E7931" s="24">
        <v>0.41</v>
      </c>
      <c r="F7931" s="24">
        <v>18.23</v>
      </c>
      <c r="G7931" s="24">
        <v>4.45</v>
      </c>
      <c r="H7931" s="24" t="s">
        <v>6740</v>
      </c>
      <c r="I7931" s="24" t="s">
        <v>6650</v>
      </c>
      <c r="J7931" s="24">
        <v>0.0</v>
      </c>
    </row>
    <row r="7932">
      <c r="A7932" s="24">
        <v>588.0</v>
      </c>
      <c r="B7932" s="24">
        <v>0.0</v>
      </c>
      <c r="C7932" s="44">
        <v>23.11</v>
      </c>
      <c r="D7932" s="46">
        <v>45874.0</v>
      </c>
      <c r="E7932" s="24" t="s">
        <v>6650</v>
      </c>
      <c r="F7932" s="24">
        <v>39.3</v>
      </c>
      <c r="G7932" s="24">
        <v>0.0</v>
      </c>
      <c r="H7932" s="24" t="s">
        <v>6741</v>
      </c>
      <c r="I7932" s="24" t="s">
        <v>6650</v>
      </c>
      <c r="J7932" s="24">
        <v>0.0</v>
      </c>
    </row>
    <row r="7933">
      <c r="A7933" s="24">
        <v>202.0</v>
      </c>
      <c r="B7933" s="24">
        <v>1.0</v>
      </c>
      <c r="C7933" s="44">
        <v>42.34</v>
      </c>
      <c r="D7933" s="46">
        <v>45874.0</v>
      </c>
      <c r="E7933" s="24">
        <v>42.34</v>
      </c>
      <c r="F7933" s="24">
        <v>209.6</v>
      </c>
      <c r="G7933" s="24">
        <v>0.5</v>
      </c>
      <c r="H7933" s="24" t="s">
        <v>6739</v>
      </c>
      <c r="I7933" s="24" t="s">
        <v>6650</v>
      </c>
      <c r="J7933" s="24">
        <v>0.0</v>
      </c>
    </row>
    <row r="7934">
      <c r="A7934" s="24">
        <v>133.0</v>
      </c>
      <c r="B7934" s="24">
        <v>0.0</v>
      </c>
      <c r="C7934" s="44">
        <v>25.26</v>
      </c>
      <c r="D7934" s="46">
        <v>45874.0</v>
      </c>
      <c r="E7934" s="24" t="s">
        <v>6650</v>
      </c>
      <c r="F7934" s="24">
        <v>189.92</v>
      </c>
      <c r="G7934" s="24">
        <v>0.0</v>
      </c>
      <c r="H7934" s="24" t="s">
        <v>6738</v>
      </c>
      <c r="I7934" s="24" t="s">
        <v>6650</v>
      </c>
      <c r="J7934" s="24">
        <v>0.0</v>
      </c>
    </row>
    <row r="7935">
      <c r="A7935" s="24">
        <v>384.0</v>
      </c>
      <c r="B7935" s="24">
        <v>2.0</v>
      </c>
      <c r="C7935" s="44">
        <v>20.63</v>
      </c>
      <c r="D7935" s="46">
        <v>45874.0</v>
      </c>
      <c r="E7935" s="24">
        <v>10.32</v>
      </c>
      <c r="F7935" s="24">
        <v>53.72</v>
      </c>
      <c r="G7935" s="24">
        <v>0.52</v>
      </c>
      <c r="H7935" s="24" t="s">
        <v>6742</v>
      </c>
      <c r="I7935" s="24" t="s">
        <v>6650</v>
      </c>
      <c r="J7935" s="24">
        <v>0.0</v>
      </c>
    </row>
    <row r="7936">
      <c r="A7936" s="24">
        <v>384.0</v>
      </c>
      <c r="B7936" s="24">
        <v>1.0</v>
      </c>
      <c r="C7936" s="44">
        <v>23.19</v>
      </c>
      <c r="D7936" s="46">
        <v>45874.0</v>
      </c>
      <c r="E7936" s="24">
        <v>23.19</v>
      </c>
      <c r="F7936" s="24">
        <v>60.39</v>
      </c>
      <c r="G7936" s="24">
        <v>0.26</v>
      </c>
      <c r="H7936" s="24" t="s">
        <v>6737</v>
      </c>
      <c r="I7936" s="24" t="s">
        <v>6650</v>
      </c>
      <c r="J7936" s="24">
        <v>0.0</v>
      </c>
    </row>
    <row r="7937">
      <c r="A7937" s="24">
        <v>708.0</v>
      </c>
      <c r="B7937" s="24">
        <v>34.0</v>
      </c>
      <c r="C7937" s="44">
        <v>24.68</v>
      </c>
      <c r="D7937" s="46">
        <v>45874.0</v>
      </c>
      <c r="E7937" s="24">
        <v>0.73</v>
      </c>
      <c r="F7937" s="24">
        <v>34.86</v>
      </c>
      <c r="G7937" s="24">
        <v>4.8</v>
      </c>
      <c r="H7937" s="24" t="s">
        <v>6740</v>
      </c>
      <c r="I7937" s="24" t="s">
        <v>6650</v>
      </c>
      <c r="J7937" s="24">
        <v>0.0</v>
      </c>
    </row>
    <row r="7938">
      <c r="A7938" s="24">
        <v>337.0</v>
      </c>
      <c r="B7938" s="24">
        <v>2.0</v>
      </c>
      <c r="C7938" s="44">
        <v>25.26</v>
      </c>
      <c r="D7938" s="46">
        <v>45875.0</v>
      </c>
      <c r="E7938" s="24">
        <v>12.63</v>
      </c>
      <c r="F7938" s="24">
        <v>74.96</v>
      </c>
      <c r="G7938" s="24">
        <v>0.59</v>
      </c>
      <c r="H7938" s="24" t="s">
        <v>6741</v>
      </c>
      <c r="I7938" s="24" t="s">
        <v>6650</v>
      </c>
      <c r="J7938" s="24">
        <v>0.0</v>
      </c>
    </row>
    <row r="7939">
      <c r="A7939" s="24">
        <v>89.0</v>
      </c>
      <c r="B7939" s="24">
        <v>0.0</v>
      </c>
      <c r="C7939" s="44">
        <v>25.08</v>
      </c>
      <c r="D7939" s="46">
        <v>45875.0</v>
      </c>
      <c r="E7939" s="24" t="s">
        <v>6650</v>
      </c>
      <c r="F7939" s="24">
        <v>281.8</v>
      </c>
      <c r="G7939" s="24">
        <v>0.0</v>
      </c>
      <c r="H7939" s="24" t="s">
        <v>6738</v>
      </c>
      <c r="I7939" s="24" t="s">
        <v>6650</v>
      </c>
      <c r="J7939" s="24">
        <v>0.0</v>
      </c>
    </row>
    <row r="7940">
      <c r="A7940" s="24">
        <v>233.0</v>
      </c>
      <c r="B7940" s="24">
        <v>1.0</v>
      </c>
      <c r="C7940" s="44">
        <v>23.99</v>
      </c>
      <c r="D7940" s="46">
        <v>45875.0</v>
      </c>
      <c r="E7940" s="24">
        <v>23.99</v>
      </c>
      <c r="F7940" s="24">
        <v>102.96</v>
      </c>
      <c r="G7940" s="24">
        <v>0.43</v>
      </c>
      <c r="H7940" s="24" t="s">
        <v>6737</v>
      </c>
      <c r="I7940" s="24" t="s">
        <v>6650</v>
      </c>
      <c r="J7940" s="24">
        <v>0.0</v>
      </c>
    </row>
    <row r="7941">
      <c r="A7941" s="24">
        <v>518.0</v>
      </c>
      <c r="B7941" s="24">
        <v>40.0</v>
      </c>
      <c r="C7941" s="44">
        <v>24.85</v>
      </c>
      <c r="D7941" s="46">
        <v>45875.0</v>
      </c>
      <c r="E7941" s="24">
        <v>0.62</v>
      </c>
      <c r="F7941" s="24">
        <v>47.97</v>
      </c>
      <c r="G7941" s="24">
        <v>7.72</v>
      </c>
      <c r="H7941" s="24" t="s">
        <v>6740</v>
      </c>
      <c r="I7941" s="24" t="s">
        <v>6650</v>
      </c>
      <c r="J7941" s="24">
        <v>0.0</v>
      </c>
    </row>
    <row r="7942">
      <c r="A7942" s="24">
        <v>193.0</v>
      </c>
      <c r="B7942" s="24">
        <v>0.0</v>
      </c>
      <c r="C7942" s="44">
        <v>34.25</v>
      </c>
      <c r="D7942" s="46">
        <v>45875.0</v>
      </c>
      <c r="E7942" s="24" t="s">
        <v>6650</v>
      </c>
      <c r="F7942" s="24">
        <v>177.46</v>
      </c>
      <c r="G7942" s="24">
        <v>0.0</v>
      </c>
      <c r="H7942" s="24" t="s">
        <v>6739</v>
      </c>
      <c r="I7942" s="24" t="s">
        <v>6650</v>
      </c>
      <c r="J7942" s="24">
        <v>0.0</v>
      </c>
    </row>
    <row r="7943">
      <c r="A7943" s="24">
        <v>247.0</v>
      </c>
      <c r="B7943" s="24">
        <v>4.0</v>
      </c>
      <c r="C7943" s="44">
        <v>24.38</v>
      </c>
      <c r="D7943" s="46">
        <v>45875.0</v>
      </c>
      <c r="E7943" s="24">
        <v>6.1</v>
      </c>
      <c r="F7943" s="24">
        <v>98.7</v>
      </c>
      <c r="G7943" s="24">
        <v>1.62</v>
      </c>
      <c r="H7943" s="24" t="s">
        <v>6742</v>
      </c>
      <c r="I7943" s="24" t="s">
        <v>6650</v>
      </c>
      <c r="J7943" s="24">
        <v>0.0</v>
      </c>
    </row>
    <row r="7944">
      <c r="A7944" s="24">
        <v>526.0</v>
      </c>
      <c r="B7944" s="24">
        <v>31.0</v>
      </c>
      <c r="C7944" s="44">
        <v>23.37</v>
      </c>
      <c r="D7944" s="46">
        <v>45876.0</v>
      </c>
      <c r="E7944" s="24">
        <v>0.75</v>
      </c>
      <c r="F7944" s="24">
        <v>44.43</v>
      </c>
      <c r="G7944" s="24">
        <v>5.89</v>
      </c>
      <c r="H7944" s="24" t="s">
        <v>6740</v>
      </c>
      <c r="I7944" s="24" t="s">
        <v>6650</v>
      </c>
      <c r="J7944" s="24">
        <v>0.0</v>
      </c>
    </row>
    <row r="7945">
      <c r="A7945" s="24">
        <v>239.0</v>
      </c>
      <c r="B7945" s="24">
        <v>2.0</v>
      </c>
      <c r="C7945" s="44">
        <v>26.14</v>
      </c>
      <c r="D7945" s="46">
        <v>45876.0</v>
      </c>
      <c r="E7945" s="24">
        <v>13.07</v>
      </c>
      <c r="F7945" s="24">
        <v>109.37</v>
      </c>
      <c r="G7945" s="24">
        <v>0.84</v>
      </c>
      <c r="H7945" s="24" t="s">
        <v>6741</v>
      </c>
      <c r="I7945" s="24" t="s">
        <v>6650</v>
      </c>
      <c r="J7945" s="24">
        <v>0.0</v>
      </c>
    </row>
    <row r="7946">
      <c r="A7946" s="24">
        <v>91.0</v>
      </c>
      <c r="B7946" s="24">
        <v>0.0</v>
      </c>
      <c r="C7946" s="44">
        <v>22.79</v>
      </c>
      <c r="D7946" s="46">
        <v>45876.0</v>
      </c>
      <c r="E7946" s="24" t="s">
        <v>6650</v>
      </c>
      <c r="F7946" s="24">
        <v>250.44</v>
      </c>
      <c r="G7946" s="24">
        <v>0.0</v>
      </c>
      <c r="H7946" s="24" t="s">
        <v>6738</v>
      </c>
      <c r="I7946" s="24" t="s">
        <v>6650</v>
      </c>
      <c r="J7946" s="24">
        <v>0.0</v>
      </c>
    </row>
    <row r="7947">
      <c r="A7947" s="24">
        <v>263.0</v>
      </c>
      <c r="B7947" s="24">
        <v>0.0</v>
      </c>
      <c r="C7947" s="44">
        <v>24.65</v>
      </c>
      <c r="D7947" s="46">
        <v>45876.0</v>
      </c>
      <c r="E7947" s="24" t="s">
        <v>6650</v>
      </c>
      <c r="F7947" s="24">
        <v>93.73</v>
      </c>
      <c r="G7947" s="24">
        <v>0.0</v>
      </c>
      <c r="H7947" s="24" t="s">
        <v>6737</v>
      </c>
      <c r="I7947" s="24" t="s">
        <v>6650</v>
      </c>
      <c r="J7947" s="24">
        <v>0.0</v>
      </c>
    </row>
    <row r="7948">
      <c r="A7948" s="24">
        <v>169.0</v>
      </c>
      <c r="B7948" s="24">
        <v>2.0</v>
      </c>
      <c r="C7948" s="44">
        <v>26.69</v>
      </c>
      <c r="D7948" s="46">
        <v>45876.0</v>
      </c>
      <c r="E7948" s="24">
        <v>13.34</v>
      </c>
      <c r="F7948" s="24">
        <v>157.93</v>
      </c>
      <c r="G7948" s="24">
        <v>1.18</v>
      </c>
      <c r="H7948" s="24" t="s">
        <v>6742</v>
      </c>
      <c r="I7948" s="24" t="s">
        <v>6650</v>
      </c>
      <c r="J7948" s="24">
        <v>0.0</v>
      </c>
    </row>
    <row r="7949">
      <c r="A7949" s="24">
        <v>425.0</v>
      </c>
      <c r="B7949" s="24">
        <v>11.0</v>
      </c>
      <c r="C7949" s="44">
        <v>21.88</v>
      </c>
      <c r="D7949" s="46">
        <v>45877.0</v>
      </c>
      <c r="E7949" s="24">
        <v>1.99</v>
      </c>
      <c r="F7949" s="24">
        <v>51.48</v>
      </c>
      <c r="G7949" s="24">
        <v>2.59</v>
      </c>
      <c r="H7949" s="24" t="s">
        <v>6740</v>
      </c>
      <c r="I7949" s="24" t="s">
        <v>6650</v>
      </c>
      <c r="J7949" s="24">
        <v>0.0</v>
      </c>
    </row>
    <row r="7950">
      <c r="A7950" s="24">
        <v>107.0</v>
      </c>
      <c r="B7950" s="24">
        <v>1.0</v>
      </c>
      <c r="C7950" s="44">
        <v>26.5</v>
      </c>
      <c r="D7950" s="46">
        <v>45877.0</v>
      </c>
      <c r="E7950" s="24">
        <v>26.5</v>
      </c>
      <c r="F7950" s="24">
        <v>247.66</v>
      </c>
      <c r="G7950" s="24">
        <v>0.93</v>
      </c>
      <c r="H7950" s="24" t="s">
        <v>6742</v>
      </c>
      <c r="I7950" s="24" t="s">
        <v>6650</v>
      </c>
      <c r="J7950" s="24">
        <v>0.0</v>
      </c>
    </row>
    <row r="7951">
      <c r="A7951" s="24">
        <v>302.0</v>
      </c>
      <c r="B7951" s="24">
        <v>2.0</v>
      </c>
      <c r="C7951" s="44">
        <v>20.49</v>
      </c>
      <c r="D7951" s="46">
        <v>45877.0</v>
      </c>
      <c r="E7951" s="24">
        <v>10.24</v>
      </c>
      <c r="F7951" s="24">
        <v>67.85</v>
      </c>
      <c r="G7951" s="24">
        <v>0.66</v>
      </c>
      <c r="H7951" s="24" t="s">
        <v>6737</v>
      </c>
      <c r="I7951" s="24" t="s">
        <v>6650</v>
      </c>
      <c r="J7951" s="24">
        <v>0.0</v>
      </c>
    </row>
    <row r="7952">
      <c r="A7952" s="24">
        <v>163.0</v>
      </c>
      <c r="B7952" s="24">
        <v>1.0</v>
      </c>
      <c r="C7952" s="44">
        <v>27.04</v>
      </c>
      <c r="D7952" s="46">
        <v>45877.0</v>
      </c>
      <c r="E7952" s="24">
        <v>27.04</v>
      </c>
      <c r="F7952" s="24">
        <v>165.89</v>
      </c>
      <c r="G7952" s="24">
        <v>0.61</v>
      </c>
      <c r="H7952" s="24" t="s">
        <v>6741</v>
      </c>
      <c r="I7952" s="24" t="s">
        <v>6650</v>
      </c>
      <c r="J7952" s="24">
        <v>0.0</v>
      </c>
    </row>
    <row r="7953">
      <c r="A7953" s="24">
        <v>95.0</v>
      </c>
      <c r="B7953" s="24">
        <v>0.0</v>
      </c>
      <c r="C7953" s="44">
        <v>18.95</v>
      </c>
      <c r="D7953" s="46">
        <v>45877.0</v>
      </c>
      <c r="E7953" s="24" t="s">
        <v>6650</v>
      </c>
      <c r="F7953" s="24">
        <v>199.47</v>
      </c>
      <c r="G7953" s="24">
        <v>0.0</v>
      </c>
      <c r="H7953" s="24" t="s">
        <v>6738</v>
      </c>
      <c r="I7953" s="24" t="s">
        <v>6650</v>
      </c>
      <c r="J7953" s="24">
        <v>0.0</v>
      </c>
    </row>
    <row r="7954">
      <c r="A7954" s="24">
        <v>78.0</v>
      </c>
      <c r="B7954" s="24">
        <v>0.0</v>
      </c>
      <c r="C7954" s="44">
        <v>15.03</v>
      </c>
      <c r="D7954" s="46">
        <v>45878.0</v>
      </c>
      <c r="E7954" s="24" t="s">
        <v>6650</v>
      </c>
      <c r="F7954" s="24">
        <v>192.69</v>
      </c>
      <c r="G7954" s="24">
        <v>0.0</v>
      </c>
      <c r="H7954" s="24" t="s">
        <v>6741</v>
      </c>
      <c r="I7954" s="24" t="s">
        <v>6650</v>
      </c>
      <c r="J7954" s="24">
        <v>0.0</v>
      </c>
    </row>
    <row r="7955">
      <c r="A7955" s="24">
        <v>44.0</v>
      </c>
      <c r="B7955" s="24">
        <v>0.0</v>
      </c>
      <c r="C7955" s="44">
        <v>9.78</v>
      </c>
      <c r="D7955" s="46">
        <v>45878.0</v>
      </c>
      <c r="E7955" s="24" t="s">
        <v>6650</v>
      </c>
      <c r="F7955" s="24">
        <v>222.27</v>
      </c>
      <c r="G7955" s="24">
        <v>0.0</v>
      </c>
      <c r="H7955" s="24" t="s">
        <v>6738</v>
      </c>
      <c r="I7955" s="24" t="s">
        <v>6650</v>
      </c>
      <c r="J7955" s="24">
        <v>0.0</v>
      </c>
    </row>
    <row r="7956">
      <c r="A7956" s="24">
        <v>113.0</v>
      </c>
      <c r="B7956" s="24">
        <v>1.0</v>
      </c>
      <c r="C7956" s="44">
        <v>12.2</v>
      </c>
      <c r="D7956" s="46">
        <v>45878.0</v>
      </c>
      <c r="E7956" s="24">
        <v>12.2</v>
      </c>
      <c r="F7956" s="24">
        <v>107.96</v>
      </c>
      <c r="G7956" s="24">
        <v>0.88</v>
      </c>
      <c r="H7956" s="24" t="s">
        <v>6737</v>
      </c>
      <c r="I7956" s="24" t="s">
        <v>6650</v>
      </c>
      <c r="J7956" s="24">
        <v>0.0</v>
      </c>
    </row>
    <row r="7957">
      <c r="A7957" s="24">
        <v>52.0</v>
      </c>
      <c r="B7957" s="24">
        <v>0.0</v>
      </c>
      <c r="C7957" s="44">
        <v>16.57</v>
      </c>
      <c r="D7957" s="46">
        <v>45878.0</v>
      </c>
      <c r="E7957" s="24" t="s">
        <v>6650</v>
      </c>
      <c r="F7957" s="24">
        <v>318.65</v>
      </c>
      <c r="G7957" s="24">
        <v>0.0</v>
      </c>
      <c r="H7957" s="24" t="s">
        <v>6742</v>
      </c>
      <c r="I7957" s="24" t="s">
        <v>6650</v>
      </c>
      <c r="J7957" s="24">
        <v>0.0</v>
      </c>
    </row>
    <row r="7958">
      <c r="A7958" s="24">
        <v>233.0</v>
      </c>
      <c r="B7958" s="24">
        <v>3.0</v>
      </c>
      <c r="C7958" s="44">
        <v>12.31</v>
      </c>
      <c r="D7958" s="46">
        <v>45878.0</v>
      </c>
      <c r="E7958" s="24">
        <v>4.1</v>
      </c>
      <c r="F7958" s="24">
        <v>52.83</v>
      </c>
      <c r="G7958" s="24">
        <v>1.29</v>
      </c>
      <c r="H7958" s="24" t="s">
        <v>6740</v>
      </c>
      <c r="I7958" s="24" t="s">
        <v>6650</v>
      </c>
      <c r="J7958" s="24">
        <v>0.0</v>
      </c>
    </row>
    <row r="7959">
      <c r="A7959" s="24">
        <v>246.0</v>
      </c>
      <c r="B7959" s="24">
        <v>8.0</v>
      </c>
      <c r="C7959" s="44">
        <v>11.27</v>
      </c>
      <c r="D7959" s="46">
        <v>45879.0</v>
      </c>
      <c r="E7959" s="24">
        <v>1.41</v>
      </c>
      <c r="F7959" s="24">
        <v>45.81</v>
      </c>
      <c r="G7959" s="24">
        <v>3.25</v>
      </c>
      <c r="H7959" s="24" t="s">
        <v>6740</v>
      </c>
      <c r="I7959" s="24" t="s">
        <v>6650</v>
      </c>
      <c r="J7959" s="24">
        <v>0.0</v>
      </c>
    </row>
    <row r="7960">
      <c r="A7960" s="24">
        <v>13.0</v>
      </c>
      <c r="B7960" s="24">
        <v>1.0</v>
      </c>
      <c r="C7960" s="44">
        <v>8.61</v>
      </c>
      <c r="D7960" s="46">
        <v>45879.0</v>
      </c>
      <c r="E7960" s="24">
        <v>8.61</v>
      </c>
      <c r="F7960" s="24">
        <v>662.31</v>
      </c>
      <c r="G7960" s="24">
        <v>7.69</v>
      </c>
      <c r="H7960" s="24" t="s">
        <v>6742</v>
      </c>
      <c r="I7960" s="24" t="s">
        <v>6650</v>
      </c>
      <c r="J7960" s="24">
        <v>0.0</v>
      </c>
    </row>
    <row r="7961">
      <c r="A7961" s="24">
        <v>93.0</v>
      </c>
      <c r="B7961" s="24">
        <v>0.0</v>
      </c>
      <c r="C7961" s="44">
        <v>8.59</v>
      </c>
      <c r="D7961" s="46">
        <v>45879.0</v>
      </c>
      <c r="E7961" s="24" t="s">
        <v>6650</v>
      </c>
      <c r="F7961" s="24">
        <v>92.37</v>
      </c>
      <c r="G7961" s="24">
        <v>0.0</v>
      </c>
      <c r="H7961" s="24" t="s">
        <v>6737</v>
      </c>
      <c r="I7961" s="24" t="s">
        <v>6650</v>
      </c>
      <c r="J7961" s="24">
        <v>0.0</v>
      </c>
    </row>
    <row r="7962">
      <c r="A7962" s="24">
        <v>30.0</v>
      </c>
      <c r="B7962" s="24">
        <v>1.0</v>
      </c>
      <c r="C7962" s="44">
        <v>7.34</v>
      </c>
      <c r="D7962" s="46">
        <v>45879.0</v>
      </c>
      <c r="E7962" s="24">
        <v>7.34</v>
      </c>
      <c r="F7962" s="24">
        <v>244.67</v>
      </c>
      <c r="G7962" s="24">
        <v>3.33</v>
      </c>
      <c r="H7962" s="24" t="s">
        <v>6738</v>
      </c>
      <c r="I7962" s="24" t="s">
        <v>6650</v>
      </c>
      <c r="J7962" s="24">
        <v>0.0</v>
      </c>
    </row>
    <row r="7963">
      <c r="A7963" s="24">
        <v>40.0</v>
      </c>
      <c r="B7963" s="24">
        <v>0.0</v>
      </c>
      <c r="C7963" s="44">
        <v>10.92</v>
      </c>
      <c r="D7963" s="46">
        <v>45879.0</v>
      </c>
      <c r="E7963" s="24" t="s">
        <v>6650</v>
      </c>
      <c r="F7963" s="24">
        <v>273.0</v>
      </c>
      <c r="G7963" s="24">
        <v>0.0</v>
      </c>
      <c r="H7963" s="24" t="s">
        <v>6741</v>
      </c>
      <c r="I7963" s="24" t="s">
        <v>6650</v>
      </c>
      <c r="J7963" s="24">
        <v>0.0</v>
      </c>
    </row>
    <row r="7964">
      <c r="A7964" s="24">
        <v>402.0</v>
      </c>
      <c r="B7964" s="24">
        <v>23.0</v>
      </c>
      <c r="C7964" s="44">
        <v>24.17</v>
      </c>
      <c r="D7964" s="46">
        <v>45880.0</v>
      </c>
      <c r="E7964" s="24">
        <v>1.05</v>
      </c>
      <c r="F7964" s="24">
        <v>60.12</v>
      </c>
      <c r="G7964" s="24">
        <v>5.72</v>
      </c>
      <c r="H7964" s="24" t="s">
        <v>6740</v>
      </c>
      <c r="I7964" s="24" t="s">
        <v>6650</v>
      </c>
      <c r="J7964" s="24">
        <v>0.0</v>
      </c>
    </row>
    <row r="7965">
      <c r="A7965" s="24">
        <v>79.0</v>
      </c>
      <c r="B7965" s="24">
        <v>0.0</v>
      </c>
      <c r="C7965" s="44">
        <v>23.86</v>
      </c>
      <c r="D7965" s="46">
        <v>45880.0</v>
      </c>
      <c r="E7965" s="24" t="s">
        <v>6650</v>
      </c>
      <c r="F7965" s="24">
        <v>302.03</v>
      </c>
      <c r="G7965" s="24">
        <v>0.0</v>
      </c>
      <c r="H7965" s="24" t="s">
        <v>6741</v>
      </c>
      <c r="I7965" s="24" t="s">
        <v>6650</v>
      </c>
      <c r="J7965" s="24">
        <v>0.0</v>
      </c>
    </row>
    <row r="7966">
      <c r="A7966" s="24">
        <v>341.0</v>
      </c>
      <c r="B7966" s="24">
        <v>1.0</v>
      </c>
      <c r="C7966" s="44">
        <v>22.38</v>
      </c>
      <c r="D7966" s="46">
        <v>45880.0</v>
      </c>
      <c r="E7966" s="24">
        <v>22.38</v>
      </c>
      <c r="F7966" s="24">
        <v>65.63</v>
      </c>
      <c r="G7966" s="24">
        <v>0.29</v>
      </c>
      <c r="H7966" s="24" t="s">
        <v>6737</v>
      </c>
      <c r="I7966" s="24" t="s">
        <v>6650</v>
      </c>
      <c r="J7966" s="24">
        <v>0.0</v>
      </c>
    </row>
    <row r="7967">
      <c r="A7967" s="24">
        <v>51.0</v>
      </c>
      <c r="B7967" s="24">
        <v>0.0</v>
      </c>
      <c r="C7967" s="44">
        <v>25.33</v>
      </c>
      <c r="D7967" s="46">
        <v>45880.0</v>
      </c>
      <c r="E7967" s="24" t="s">
        <v>6650</v>
      </c>
      <c r="F7967" s="24">
        <v>496.67</v>
      </c>
      <c r="G7967" s="24">
        <v>0.0</v>
      </c>
      <c r="H7967" s="24" t="s">
        <v>6742</v>
      </c>
      <c r="I7967" s="24" t="s">
        <v>6650</v>
      </c>
      <c r="J7967" s="24">
        <v>0.0</v>
      </c>
    </row>
    <row r="7968">
      <c r="A7968" s="24">
        <v>75.0</v>
      </c>
      <c r="B7968" s="24">
        <v>0.0</v>
      </c>
      <c r="C7968" s="44">
        <v>24.22</v>
      </c>
      <c r="D7968" s="46">
        <v>45880.0</v>
      </c>
      <c r="E7968" s="24" t="s">
        <v>6650</v>
      </c>
      <c r="F7968" s="24">
        <v>322.93</v>
      </c>
      <c r="G7968" s="24">
        <v>0.0</v>
      </c>
      <c r="H7968" s="24" t="s">
        <v>6738</v>
      </c>
      <c r="I7968" s="24" t="s">
        <v>6650</v>
      </c>
      <c r="J7968" s="24">
        <v>0.0</v>
      </c>
    </row>
    <row r="7969">
      <c r="A7969" s="24">
        <v>59.0</v>
      </c>
      <c r="B7969" s="24">
        <v>2.0</v>
      </c>
      <c r="C7969" s="44">
        <v>23.53</v>
      </c>
      <c r="D7969" s="46">
        <v>45881.0</v>
      </c>
      <c r="E7969" s="24">
        <v>11.76</v>
      </c>
      <c r="F7969" s="24">
        <v>398.81</v>
      </c>
      <c r="G7969" s="24">
        <v>3.39</v>
      </c>
      <c r="H7969" s="24" t="s">
        <v>6742</v>
      </c>
      <c r="I7969" s="24" t="s">
        <v>6650</v>
      </c>
      <c r="J7969" s="24">
        <v>0.0</v>
      </c>
    </row>
    <row r="7970">
      <c r="A7970" s="24">
        <v>304.0</v>
      </c>
      <c r="B7970" s="24">
        <v>3.0</v>
      </c>
      <c r="C7970" s="44">
        <v>24.22</v>
      </c>
      <c r="D7970" s="46">
        <v>45881.0</v>
      </c>
      <c r="E7970" s="24">
        <v>8.07</v>
      </c>
      <c r="F7970" s="24">
        <v>79.67</v>
      </c>
      <c r="G7970" s="24">
        <v>0.99</v>
      </c>
      <c r="H7970" s="24" t="s">
        <v>6737</v>
      </c>
      <c r="I7970" s="24" t="s">
        <v>6650</v>
      </c>
      <c r="J7970" s="24">
        <v>0.0</v>
      </c>
    </row>
    <row r="7971">
      <c r="A7971" s="24">
        <v>145.0</v>
      </c>
      <c r="B7971" s="24">
        <v>1.0</v>
      </c>
      <c r="C7971" s="44">
        <v>23.99</v>
      </c>
      <c r="D7971" s="46">
        <v>45881.0</v>
      </c>
      <c r="E7971" s="24">
        <v>23.99</v>
      </c>
      <c r="F7971" s="24">
        <v>165.45</v>
      </c>
      <c r="G7971" s="24">
        <v>0.69</v>
      </c>
      <c r="H7971" s="24" t="s">
        <v>6741</v>
      </c>
      <c r="I7971" s="24" t="s">
        <v>6650</v>
      </c>
      <c r="J7971" s="24">
        <v>0.0</v>
      </c>
    </row>
    <row r="7972">
      <c r="A7972" s="24">
        <v>373.0</v>
      </c>
      <c r="B7972" s="24">
        <v>6.0</v>
      </c>
      <c r="C7972" s="44">
        <v>23.34</v>
      </c>
      <c r="D7972" s="46">
        <v>45881.0</v>
      </c>
      <c r="E7972" s="24">
        <v>3.89</v>
      </c>
      <c r="F7972" s="24">
        <v>62.57</v>
      </c>
      <c r="G7972" s="24">
        <v>1.61</v>
      </c>
      <c r="H7972" s="24" t="s">
        <v>6740</v>
      </c>
      <c r="I7972" s="24" t="s">
        <v>6650</v>
      </c>
      <c r="J7972" s="24">
        <v>0.0</v>
      </c>
    </row>
    <row r="7973">
      <c r="A7973" s="24">
        <v>65.0</v>
      </c>
      <c r="B7973" s="24">
        <v>0.0</v>
      </c>
      <c r="C7973" s="44">
        <v>10.79</v>
      </c>
      <c r="D7973" s="46">
        <v>45881.0</v>
      </c>
      <c r="E7973" s="24" t="s">
        <v>6650</v>
      </c>
      <c r="F7973" s="24">
        <v>166.0</v>
      </c>
      <c r="G7973" s="24">
        <v>0.0</v>
      </c>
      <c r="H7973" s="24" t="s">
        <v>6738</v>
      </c>
      <c r="I7973" s="24" t="s">
        <v>6650</v>
      </c>
      <c r="J7973" s="24">
        <v>0.0</v>
      </c>
    </row>
    <row r="7974">
      <c r="A7974" s="24">
        <v>269.0</v>
      </c>
      <c r="B7974" s="24">
        <v>0.0</v>
      </c>
      <c r="C7974" s="44">
        <v>23.41</v>
      </c>
      <c r="D7974" s="46">
        <v>45882.0</v>
      </c>
      <c r="E7974" s="24" t="s">
        <v>6650</v>
      </c>
      <c r="F7974" s="24">
        <v>87.03</v>
      </c>
      <c r="G7974" s="24">
        <v>0.0</v>
      </c>
      <c r="H7974" s="24" t="s">
        <v>6737</v>
      </c>
      <c r="I7974" s="24" t="s">
        <v>6650</v>
      </c>
      <c r="J7974" s="24">
        <v>0.0</v>
      </c>
    </row>
    <row r="7975">
      <c r="A7975" s="24">
        <v>628.0</v>
      </c>
      <c r="B7975" s="24">
        <v>10.0</v>
      </c>
      <c r="C7975" s="44">
        <v>23.13</v>
      </c>
      <c r="D7975" s="46">
        <v>45882.0</v>
      </c>
      <c r="E7975" s="24">
        <v>2.31</v>
      </c>
      <c r="F7975" s="24">
        <v>36.83</v>
      </c>
      <c r="G7975" s="24">
        <v>1.59</v>
      </c>
      <c r="H7975" s="24" t="s">
        <v>6743</v>
      </c>
      <c r="I7975" s="24" t="s">
        <v>6650</v>
      </c>
      <c r="J7975" s="24">
        <v>0.0</v>
      </c>
    </row>
    <row r="7976">
      <c r="A7976" s="24">
        <v>130.0</v>
      </c>
      <c r="B7976" s="24">
        <v>0.0</v>
      </c>
      <c r="C7976" s="44">
        <v>24.0</v>
      </c>
      <c r="D7976" s="46">
        <v>45882.0</v>
      </c>
      <c r="E7976" s="24" t="s">
        <v>6650</v>
      </c>
      <c r="F7976" s="24">
        <v>184.62</v>
      </c>
      <c r="G7976" s="24">
        <v>0.0</v>
      </c>
      <c r="H7976" s="24" t="s">
        <v>6741</v>
      </c>
      <c r="I7976" s="24" t="s">
        <v>6650</v>
      </c>
      <c r="J7976" s="24">
        <v>0.0</v>
      </c>
    </row>
    <row r="7977">
      <c r="A7977" s="24">
        <v>249.0</v>
      </c>
      <c r="B7977" s="24">
        <v>1.0</v>
      </c>
      <c r="C7977" s="44">
        <v>20.18</v>
      </c>
      <c r="D7977" s="46">
        <v>45882.0</v>
      </c>
      <c r="E7977" s="24">
        <v>20.18</v>
      </c>
      <c r="F7977" s="24">
        <v>81.04</v>
      </c>
      <c r="G7977" s="24">
        <v>0.4</v>
      </c>
      <c r="H7977" s="24" t="s">
        <v>6740</v>
      </c>
      <c r="I7977" s="24" t="s">
        <v>6650</v>
      </c>
      <c r="J7977" s="24">
        <v>0.0</v>
      </c>
    </row>
    <row r="7978">
      <c r="A7978" s="24">
        <v>92.0</v>
      </c>
      <c r="B7978" s="24">
        <v>2.0</v>
      </c>
      <c r="C7978" s="44">
        <v>21.84</v>
      </c>
      <c r="D7978" s="46">
        <v>45882.0</v>
      </c>
      <c r="E7978" s="24">
        <v>10.92</v>
      </c>
      <c r="F7978" s="24">
        <v>237.39</v>
      </c>
      <c r="G7978" s="24">
        <v>2.17</v>
      </c>
      <c r="H7978" s="24" t="s">
        <v>6742</v>
      </c>
      <c r="I7978" s="24" t="s">
        <v>6650</v>
      </c>
      <c r="J7978" s="24">
        <v>0.0</v>
      </c>
    </row>
    <row r="7979">
      <c r="A7979" s="24">
        <v>885.0</v>
      </c>
      <c r="B7979" s="24">
        <v>2.0</v>
      </c>
      <c r="C7979" s="44">
        <v>28.5</v>
      </c>
      <c r="D7979" s="46">
        <v>45883.0</v>
      </c>
      <c r="E7979" s="24">
        <v>14.25</v>
      </c>
      <c r="F7979" s="24">
        <v>32.2</v>
      </c>
      <c r="G7979" s="24">
        <v>0.23</v>
      </c>
      <c r="H7979" s="24" t="s">
        <v>6740</v>
      </c>
      <c r="I7979" s="24" t="s">
        <v>6650</v>
      </c>
      <c r="J7979" s="24">
        <v>0.0</v>
      </c>
    </row>
    <row r="7980">
      <c r="A7980" s="24">
        <v>448.0</v>
      </c>
      <c r="B7980" s="24">
        <v>15.0</v>
      </c>
      <c r="C7980" s="44">
        <v>22.14</v>
      </c>
      <c r="D7980" s="46">
        <v>45883.0</v>
      </c>
      <c r="E7980" s="24">
        <v>1.48</v>
      </c>
      <c r="F7980" s="24">
        <v>49.42</v>
      </c>
      <c r="G7980" s="24">
        <v>3.35</v>
      </c>
      <c r="H7980" s="24" t="s">
        <v>6742</v>
      </c>
      <c r="I7980" s="24" t="s">
        <v>6650</v>
      </c>
      <c r="J7980" s="24">
        <v>0.0</v>
      </c>
    </row>
    <row r="7981">
      <c r="A7981" s="24">
        <v>280.0</v>
      </c>
      <c r="B7981" s="24">
        <v>2.0</v>
      </c>
      <c r="C7981" s="44">
        <v>23.09</v>
      </c>
      <c r="D7981" s="46">
        <v>45883.0</v>
      </c>
      <c r="E7981" s="24">
        <v>11.54</v>
      </c>
      <c r="F7981" s="24">
        <v>82.46</v>
      </c>
      <c r="G7981" s="24">
        <v>0.71</v>
      </c>
      <c r="H7981" s="24" t="s">
        <v>6737</v>
      </c>
      <c r="I7981" s="24" t="s">
        <v>6650</v>
      </c>
      <c r="J7981" s="24">
        <v>0.0</v>
      </c>
    </row>
    <row r="7982">
      <c r="A7982" s="24">
        <v>96.0</v>
      </c>
      <c r="B7982" s="24">
        <v>3.0</v>
      </c>
      <c r="C7982" s="44">
        <v>22.2</v>
      </c>
      <c r="D7982" s="46">
        <v>45883.0</v>
      </c>
      <c r="E7982" s="24">
        <v>7.4</v>
      </c>
      <c r="F7982" s="24">
        <v>231.25</v>
      </c>
      <c r="G7982" s="24">
        <v>3.12</v>
      </c>
      <c r="H7982" s="24" t="s">
        <v>6741</v>
      </c>
      <c r="I7982" s="24" t="s">
        <v>6650</v>
      </c>
      <c r="J7982" s="24">
        <v>0.0</v>
      </c>
    </row>
    <row r="7983">
      <c r="A7983" s="24">
        <v>286.0</v>
      </c>
      <c r="B7983" s="24">
        <v>6.0</v>
      </c>
      <c r="C7983" s="44">
        <v>22.93</v>
      </c>
      <c r="D7983" s="46">
        <v>45883.0</v>
      </c>
      <c r="E7983" s="24">
        <v>3.82</v>
      </c>
      <c r="F7983" s="24">
        <v>80.17</v>
      </c>
      <c r="G7983" s="24">
        <v>2.1</v>
      </c>
      <c r="H7983" s="24" t="s">
        <v>6743</v>
      </c>
      <c r="I7983" s="24" t="s">
        <v>6650</v>
      </c>
      <c r="J7983" s="24">
        <v>0.0</v>
      </c>
    </row>
    <row r="7984">
      <c r="A7984" s="24">
        <v>229.0</v>
      </c>
      <c r="B7984" s="24">
        <v>7.0</v>
      </c>
      <c r="C7984" s="44">
        <v>23.05</v>
      </c>
      <c r="D7984" s="46">
        <v>45884.0</v>
      </c>
      <c r="E7984" s="24">
        <v>3.29</v>
      </c>
      <c r="F7984" s="24">
        <v>100.66</v>
      </c>
      <c r="G7984" s="24">
        <v>3.06</v>
      </c>
      <c r="H7984" s="24" t="s">
        <v>6743</v>
      </c>
      <c r="I7984" s="24" t="s">
        <v>6650</v>
      </c>
      <c r="J7984" s="24">
        <v>0.0</v>
      </c>
    </row>
    <row r="7985">
      <c r="A7985" s="24">
        <v>103.0</v>
      </c>
      <c r="B7985" s="24">
        <v>0.0</v>
      </c>
      <c r="C7985" s="44">
        <v>20.68</v>
      </c>
      <c r="D7985" s="46">
        <v>45884.0</v>
      </c>
      <c r="E7985" s="24" t="s">
        <v>6650</v>
      </c>
      <c r="F7985" s="24">
        <v>200.78</v>
      </c>
      <c r="G7985" s="24">
        <v>0.0</v>
      </c>
      <c r="H7985" s="24" t="s">
        <v>6741</v>
      </c>
      <c r="I7985" s="24" t="s">
        <v>6650</v>
      </c>
      <c r="J7985" s="24">
        <v>0.0</v>
      </c>
    </row>
    <row r="7986">
      <c r="A7986" s="24">
        <v>168.0</v>
      </c>
      <c r="B7986" s="24">
        <v>6.0</v>
      </c>
      <c r="C7986" s="44">
        <v>21.35</v>
      </c>
      <c r="D7986" s="46">
        <v>45884.0</v>
      </c>
      <c r="E7986" s="24">
        <v>3.56</v>
      </c>
      <c r="F7986" s="24">
        <v>127.08</v>
      </c>
      <c r="G7986" s="24">
        <v>3.57</v>
      </c>
      <c r="H7986" s="24" t="s">
        <v>6742</v>
      </c>
      <c r="I7986" s="24" t="s">
        <v>6650</v>
      </c>
      <c r="J7986" s="24">
        <v>0.0</v>
      </c>
    </row>
    <row r="7987">
      <c r="A7987" s="24">
        <v>264.0</v>
      </c>
      <c r="B7987" s="24">
        <v>0.0</v>
      </c>
      <c r="C7987" s="44">
        <v>20.17</v>
      </c>
      <c r="D7987" s="46">
        <v>45884.0</v>
      </c>
      <c r="E7987" s="24" t="s">
        <v>6650</v>
      </c>
      <c r="F7987" s="24">
        <v>76.4</v>
      </c>
      <c r="G7987" s="24">
        <v>0.0</v>
      </c>
      <c r="H7987" s="24" t="s">
        <v>6737</v>
      </c>
      <c r="I7987" s="24" t="s">
        <v>6650</v>
      </c>
      <c r="J7987" s="24">
        <v>0.0</v>
      </c>
    </row>
    <row r="7988">
      <c r="A7988" s="24">
        <v>302.0</v>
      </c>
      <c r="B7988" s="24">
        <v>2.0</v>
      </c>
      <c r="C7988" s="44">
        <v>27.73</v>
      </c>
      <c r="D7988" s="46">
        <v>45884.0</v>
      </c>
      <c r="E7988" s="24">
        <v>13.86</v>
      </c>
      <c r="F7988" s="24">
        <v>91.82</v>
      </c>
      <c r="G7988" s="24">
        <v>0.66</v>
      </c>
      <c r="H7988" s="24" t="s">
        <v>6740</v>
      </c>
      <c r="I7988" s="24" t="s">
        <v>6650</v>
      </c>
      <c r="J7988" s="24">
        <v>0.0</v>
      </c>
    </row>
    <row r="7989">
      <c r="A7989" s="24">
        <v>144.0</v>
      </c>
      <c r="B7989" s="24">
        <v>0.0</v>
      </c>
      <c r="C7989" s="44">
        <v>11.32</v>
      </c>
      <c r="D7989" s="46">
        <v>45885.0</v>
      </c>
      <c r="E7989" s="24" t="s">
        <v>6650</v>
      </c>
      <c r="F7989" s="24">
        <v>78.61</v>
      </c>
      <c r="G7989" s="24">
        <v>0.0</v>
      </c>
      <c r="H7989" s="24" t="s">
        <v>6737</v>
      </c>
      <c r="I7989" s="24" t="s">
        <v>6650</v>
      </c>
      <c r="J7989" s="24">
        <v>0.0</v>
      </c>
    </row>
    <row r="7990">
      <c r="A7990" s="24">
        <v>45.0</v>
      </c>
      <c r="B7990" s="24">
        <v>0.0</v>
      </c>
      <c r="C7990" s="44">
        <v>13.15</v>
      </c>
      <c r="D7990" s="46">
        <v>45885.0</v>
      </c>
      <c r="E7990" s="24" t="s">
        <v>6650</v>
      </c>
      <c r="F7990" s="24">
        <v>292.22</v>
      </c>
      <c r="G7990" s="24">
        <v>0.0</v>
      </c>
      <c r="H7990" s="24" t="s">
        <v>6741</v>
      </c>
      <c r="I7990" s="24" t="s">
        <v>6650</v>
      </c>
      <c r="J7990" s="24">
        <v>0.0</v>
      </c>
    </row>
    <row r="7991">
      <c r="A7991" s="24">
        <v>111.0</v>
      </c>
      <c r="B7991" s="24">
        <v>6.0</v>
      </c>
      <c r="C7991" s="44">
        <v>10.6</v>
      </c>
      <c r="D7991" s="46">
        <v>45885.0</v>
      </c>
      <c r="E7991" s="24">
        <v>1.77</v>
      </c>
      <c r="F7991" s="24">
        <v>95.5</v>
      </c>
      <c r="G7991" s="24">
        <v>5.41</v>
      </c>
      <c r="H7991" s="24" t="s">
        <v>6742</v>
      </c>
      <c r="I7991" s="24" t="s">
        <v>6650</v>
      </c>
      <c r="J7991" s="24">
        <v>0.0</v>
      </c>
    </row>
    <row r="7992">
      <c r="A7992" s="24">
        <v>172.0</v>
      </c>
      <c r="B7992" s="24">
        <v>0.0</v>
      </c>
      <c r="C7992" s="44">
        <v>15.17</v>
      </c>
      <c r="D7992" s="46">
        <v>45885.0</v>
      </c>
      <c r="E7992" s="24" t="s">
        <v>6650</v>
      </c>
      <c r="F7992" s="24">
        <v>88.2</v>
      </c>
      <c r="G7992" s="24">
        <v>0.0</v>
      </c>
      <c r="H7992" s="24" t="s">
        <v>6740</v>
      </c>
      <c r="I7992" s="24" t="s">
        <v>6650</v>
      </c>
      <c r="J7992" s="24">
        <v>0.0</v>
      </c>
    </row>
    <row r="7993">
      <c r="A7993" s="24">
        <v>112.0</v>
      </c>
      <c r="B7993" s="24">
        <v>3.0</v>
      </c>
      <c r="C7993" s="44">
        <v>14.11</v>
      </c>
      <c r="D7993" s="46">
        <v>45885.0</v>
      </c>
      <c r="E7993" s="24">
        <v>4.7</v>
      </c>
      <c r="F7993" s="24">
        <v>125.98</v>
      </c>
      <c r="G7993" s="24">
        <v>2.68</v>
      </c>
      <c r="H7993" s="24" t="s">
        <v>6743</v>
      </c>
      <c r="I7993" s="24" t="s">
        <v>6650</v>
      </c>
      <c r="J7993" s="24">
        <v>0.0</v>
      </c>
    </row>
    <row r="7994">
      <c r="A7994" s="24">
        <v>108.0</v>
      </c>
      <c r="B7994" s="24">
        <v>1.0</v>
      </c>
      <c r="C7994" s="44">
        <v>9.46</v>
      </c>
      <c r="D7994" s="46">
        <v>45886.0</v>
      </c>
      <c r="E7994" s="24">
        <v>9.46</v>
      </c>
      <c r="F7994" s="24">
        <v>87.59</v>
      </c>
      <c r="G7994" s="24">
        <v>0.93</v>
      </c>
      <c r="H7994" s="24" t="s">
        <v>6737</v>
      </c>
      <c r="I7994" s="24" t="s">
        <v>6650</v>
      </c>
      <c r="J7994" s="24">
        <v>0.0</v>
      </c>
    </row>
    <row r="7995">
      <c r="A7995" s="24">
        <v>72.0</v>
      </c>
      <c r="B7995" s="24">
        <v>2.0</v>
      </c>
      <c r="C7995" s="44">
        <v>11.78</v>
      </c>
      <c r="D7995" s="46">
        <v>45886.0</v>
      </c>
      <c r="E7995" s="24">
        <v>5.89</v>
      </c>
      <c r="F7995" s="24">
        <v>163.61</v>
      </c>
      <c r="G7995" s="24">
        <v>2.78</v>
      </c>
      <c r="H7995" s="24" t="s">
        <v>6743</v>
      </c>
      <c r="I7995" s="24" t="s">
        <v>6650</v>
      </c>
      <c r="J7995" s="24">
        <v>0.0</v>
      </c>
    </row>
    <row r="7996">
      <c r="A7996" s="24">
        <v>79.0</v>
      </c>
      <c r="B7996" s="24">
        <v>0.0</v>
      </c>
      <c r="C7996" s="44">
        <v>4.85</v>
      </c>
      <c r="D7996" s="46">
        <v>45886.0</v>
      </c>
      <c r="E7996" s="24" t="s">
        <v>6650</v>
      </c>
      <c r="F7996" s="24">
        <v>61.39</v>
      </c>
      <c r="G7996" s="24">
        <v>0.0</v>
      </c>
      <c r="H7996" s="24" t="s">
        <v>6740</v>
      </c>
      <c r="I7996" s="24" t="s">
        <v>6650</v>
      </c>
      <c r="J7996" s="24">
        <v>0.0</v>
      </c>
    </row>
    <row r="7997">
      <c r="A7997" s="24">
        <v>90.0</v>
      </c>
      <c r="B7997" s="24">
        <v>2.0</v>
      </c>
      <c r="C7997" s="44">
        <v>8.21</v>
      </c>
      <c r="D7997" s="46">
        <v>45886.0</v>
      </c>
      <c r="E7997" s="24">
        <v>4.11</v>
      </c>
      <c r="F7997" s="24">
        <v>91.22</v>
      </c>
      <c r="G7997" s="24">
        <v>2.22</v>
      </c>
      <c r="H7997" s="24" t="s">
        <v>6742</v>
      </c>
      <c r="I7997" s="24" t="s">
        <v>6650</v>
      </c>
      <c r="J7997" s="24">
        <v>0.0</v>
      </c>
    </row>
    <row r="7998">
      <c r="A7998" s="24">
        <v>20.0</v>
      </c>
      <c r="B7998" s="24">
        <v>0.0</v>
      </c>
      <c r="C7998" s="44">
        <v>5.12</v>
      </c>
      <c r="D7998" s="46">
        <v>45886.0</v>
      </c>
      <c r="E7998" s="24" t="s">
        <v>6650</v>
      </c>
      <c r="F7998" s="24">
        <v>256.0</v>
      </c>
      <c r="G7998" s="24">
        <v>0.0</v>
      </c>
      <c r="H7998" s="24" t="s">
        <v>6741</v>
      </c>
      <c r="I7998" s="24" t="s">
        <v>6650</v>
      </c>
      <c r="J7998" s="24">
        <v>0.0</v>
      </c>
    </row>
    <row r="7999">
      <c r="A7999" s="24">
        <v>200.0</v>
      </c>
      <c r="B7999" s="24">
        <v>1.0</v>
      </c>
      <c r="C7999" s="44">
        <v>24.84</v>
      </c>
      <c r="D7999" s="46">
        <v>45887.0</v>
      </c>
      <c r="E7999" s="24">
        <v>24.84</v>
      </c>
      <c r="F7999" s="24">
        <v>124.2</v>
      </c>
      <c r="G7999" s="24">
        <v>0.5</v>
      </c>
      <c r="H7999" s="24" t="s">
        <v>6740</v>
      </c>
      <c r="I7999" s="24" t="s">
        <v>6650</v>
      </c>
      <c r="J7999" s="24">
        <v>0.0</v>
      </c>
    </row>
    <row r="8000">
      <c r="A8000" s="24">
        <v>231.0</v>
      </c>
      <c r="B8000" s="24">
        <v>0.0</v>
      </c>
      <c r="C8000" s="44">
        <v>25.75</v>
      </c>
      <c r="D8000" s="46">
        <v>45887.0</v>
      </c>
      <c r="E8000" s="24" t="s">
        <v>6650</v>
      </c>
      <c r="F8000" s="24">
        <v>111.47</v>
      </c>
      <c r="G8000" s="24">
        <v>0.0</v>
      </c>
      <c r="H8000" s="24" t="s">
        <v>6737</v>
      </c>
      <c r="I8000" s="24" t="s">
        <v>6650</v>
      </c>
      <c r="J8000" s="24">
        <v>0.0</v>
      </c>
    </row>
    <row r="8001">
      <c r="A8001" s="24">
        <v>71.0</v>
      </c>
      <c r="B8001" s="24">
        <v>0.0</v>
      </c>
      <c r="C8001" s="44">
        <v>24.2</v>
      </c>
      <c r="D8001" s="46">
        <v>45887.0</v>
      </c>
      <c r="E8001" s="24" t="s">
        <v>6650</v>
      </c>
      <c r="F8001" s="24">
        <v>340.85</v>
      </c>
      <c r="G8001" s="24">
        <v>0.0</v>
      </c>
      <c r="H8001" s="24" t="s">
        <v>6741</v>
      </c>
      <c r="I8001" s="24" t="s">
        <v>6650</v>
      </c>
      <c r="J8001" s="24">
        <v>0.0</v>
      </c>
    </row>
    <row r="8002">
      <c r="A8002" s="24">
        <v>92.0</v>
      </c>
      <c r="B8002" s="24">
        <v>4.0</v>
      </c>
      <c r="C8002" s="44">
        <v>25.57</v>
      </c>
      <c r="D8002" s="46">
        <v>45887.0</v>
      </c>
      <c r="E8002" s="24">
        <v>6.39</v>
      </c>
      <c r="F8002" s="24">
        <v>277.93</v>
      </c>
      <c r="G8002" s="24">
        <v>4.35</v>
      </c>
      <c r="H8002" s="24" t="s">
        <v>6743</v>
      </c>
      <c r="I8002" s="24" t="s">
        <v>6650</v>
      </c>
      <c r="J8002" s="24">
        <v>0.0</v>
      </c>
    </row>
    <row r="8003">
      <c r="A8003" s="24">
        <v>363.0</v>
      </c>
      <c r="B8003" s="24">
        <v>3.0</v>
      </c>
      <c r="C8003" s="44">
        <v>25.18</v>
      </c>
      <c r="D8003" s="46">
        <v>45887.0</v>
      </c>
      <c r="E8003" s="24">
        <v>8.39</v>
      </c>
      <c r="F8003" s="24">
        <v>69.37</v>
      </c>
      <c r="G8003" s="24">
        <v>0.83</v>
      </c>
      <c r="H8003" s="24" t="s">
        <v>6742</v>
      </c>
      <c r="I8003" s="24" t="s">
        <v>6650</v>
      </c>
      <c r="J8003" s="24">
        <v>0.0</v>
      </c>
    </row>
    <row r="8004">
      <c r="A8004" s="24">
        <v>374.0</v>
      </c>
      <c r="B8004" s="24">
        <v>1.0</v>
      </c>
      <c r="C8004" s="44">
        <v>24.59</v>
      </c>
      <c r="D8004" s="46">
        <v>45888.0</v>
      </c>
      <c r="E8004" s="24">
        <v>24.59</v>
      </c>
      <c r="F8004" s="24">
        <v>65.75</v>
      </c>
      <c r="G8004" s="24">
        <v>0.27</v>
      </c>
      <c r="H8004" s="24" t="s">
        <v>6740</v>
      </c>
      <c r="I8004" s="24" t="s">
        <v>6650</v>
      </c>
      <c r="J8004" s="24">
        <v>0.0</v>
      </c>
    </row>
    <row r="8005">
      <c r="A8005" s="24">
        <v>174.0</v>
      </c>
      <c r="B8005" s="24">
        <v>4.0</v>
      </c>
      <c r="C8005" s="44">
        <v>24.76</v>
      </c>
      <c r="D8005" s="46">
        <v>45888.0</v>
      </c>
      <c r="E8005" s="24">
        <v>6.19</v>
      </c>
      <c r="F8005" s="24">
        <v>142.3</v>
      </c>
      <c r="G8005" s="24">
        <v>2.3</v>
      </c>
      <c r="H8005" s="24" t="s">
        <v>6743</v>
      </c>
      <c r="I8005" s="24" t="s">
        <v>6650</v>
      </c>
      <c r="J8005" s="24">
        <v>0.0</v>
      </c>
    </row>
    <row r="8006">
      <c r="A8006" s="24">
        <v>170.0</v>
      </c>
      <c r="B8006" s="24">
        <v>0.0</v>
      </c>
      <c r="C8006" s="44">
        <v>10.21</v>
      </c>
      <c r="D8006" s="46">
        <v>45888.0</v>
      </c>
      <c r="E8006" s="24" t="s">
        <v>6650</v>
      </c>
      <c r="F8006" s="24">
        <v>60.06</v>
      </c>
      <c r="G8006" s="24">
        <v>0.0</v>
      </c>
      <c r="H8006" s="24" t="s">
        <v>6737</v>
      </c>
      <c r="I8006" s="24" t="s">
        <v>6650</v>
      </c>
      <c r="J8006" s="24">
        <v>0.0</v>
      </c>
    </row>
    <row r="8007">
      <c r="A8007" s="24">
        <v>0.0</v>
      </c>
      <c r="B8007" s="24">
        <v>0.0</v>
      </c>
      <c r="C8007" s="44">
        <v>13.1</v>
      </c>
      <c r="D8007" s="46">
        <v>45888.0</v>
      </c>
      <c r="E8007" s="24" t="s">
        <v>6650</v>
      </c>
      <c r="F8007" s="24" t="s">
        <v>6650</v>
      </c>
      <c r="G8007" s="24" t="s">
        <v>6650</v>
      </c>
      <c r="H8007" s="24" t="s">
        <v>6744</v>
      </c>
      <c r="I8007" s="24" t="s">
        <v>6650</v>
      </c>
      <c r="J8007" s="24">
        <v>0.0</v>
      </c>
    </row>
    <row r="8008">
      <c r="A8008" s="24">
        <v>233.0</v>
      </c>
      <c r="B8008" s="24">
        <v>6.0</v>
      </c>
      <c r="C8008" s="44">
        <v>23.0</v>
      </c>
      <c r="D8008" s="46">
        <v>45888.0</v>
      </c>
      <c r="E8008" s="24">
        <v>3.83</v>
      </c>
      <c r="F8008" s="24">
        <v>98.71</v>
      </c>
      <c r="G8008" s="24">
        <v>2.58</v>
      </c>
      <c r="H8008" s="24" t="s">
        <v>6742</v>
      </c>
      <c r="I8008" s="24" t="s">
        <v>6650</v>
      </c>
      <c r="J8008" s="24">
        <v>0.0</v>
      </c>
    </row>
    <row r="8009">
      <c r="A8009" s="24">
        <v>86.0</v>
      </c>
      <c r="B8009" s="24">
        <v>1.0</v>
      </c>
      <c r="C8009" s="44">
        <v>25.09</v>
      </c>
      <c r="D8009" s="46">
        <v>45888.0</v>
      </c>
      <c r="E8009" s="24">
        <v>25.09</v>
      </c>
      <c r="F8009" s="24">
        <v>291.74</v>
      </c>
      <c r="G8009" s="24">
        <v>1.16</v>
      </c>
      <c r="H8009" s="24" t="s">
        <v>6741</v>
      </c>
      <c r="I8009" s="24" t="s">
        <v>6650</v>
      </c>
      <c r="J8009" s="24">
        <v>0.0</v>
      </c>
    </row>
    <row r="8010">
      <c r="A8010" s="24">
        <v>114.0</v>
      </c>
      <c r="B8010" s="24">
        <v>1.0</v>
      </c>
      <c r="C8010" s="44">
        <v>27.17</v>
      </c>
      <c r="D8010" s="46">
        <v>45889.0</v>
      </c>
      <c r="E8010" s="24">
        <v>27.17</v>
      </c>
      <c r="F8010" s="24">
        <v>238.33</v>
      </c>
      <c r="G8010" s="24">
        <v>0.88</v>
      </c>
      <c r="H8010" s="24" t="s">
        <v>6741</v>
      </c>
      <c r="I8010" s="24" t="s">
        <v>6650</v>
      </c>
      <c r="J8010" s="24">
        <v>0.0</v>
      </c>
    </row>
    <row r="8011">
      <c r="A8011" s="24">
        <v>0.0</v>
      </c>
      <c r="B8011" s="24">
        <v>0.0</v>
      </c>
      <c r="C8011" s="44">
        <v>6.24</v>
      </c>
      <c r="D8011" s="46">
        <v>45889.0</v>
      </c>
      <c r="E8011" s="24" t="s">
        <v>6650</v>
      </c>
      <c r="F8011" s="24" t="s">
        <v>6650</v>
      </c>
      <c r="G8011" s="24" t="s">
        <v>6650</v>
      </c>
      <c r="H8011" s="24" t="s">
        <v>6744</v>
      </c>
      <c r="I8011" s="24" t="s">
        <v>6650</v>
      </c>
      <c r="J8011" s="24">
        <v>0.0</v>
      </c>
    </row>
    <row r="8012">
      <c r="A8012" s="24">
        <v>233.0</v>
      </c>
      <c r="B8012" s="24">
        <v>7.0</v>
      </c>
      <c r="C8012" s="44">
        <v>27.49</v>
      </c>
      <c r="D8012" s="46">
        <v>45889.0</v>
      </c>
      <c r="E8012" s="24">
        <v>3.93</v>
      </c>
      <c r="F8012" s="24">
        <v>117.98</v>
      </c>
      <c r="G8012" s="24">
        <v>3.0</v>
      </c>
      <c r="H8012" s="24" t="s">
        <v>6743</v>
      </c>
      <c r="I8012" s="24" t="s">
        <v>6650</v>
      </c>
      <c r="J8012" s="24">
        <v>0.0</v>
      </c>
    </row>
    <row r="8013">
      <c r="A8013" s="24">
        <v>528.0</v>
      </c>
      <c r="B8013" s="24">
        <v>1.0</v>
      </c>
      <c r="C8013" s="44">
        <v>26.24</v>
      </c>
      <c r="D8013" s="46">
        <v>45889.0</v>
      </c>
      <c r="E8013" s="24">
        <v>26.24</v>
      </c>
      <c r="F8013" s="24">
        <v>49.7</v>
      </c>
      <c r="G8013" s="24">
        <v>0.19</v>
      </c>
      <c r="H8013" s="24" t="s">
        <v>6740</v>
      </c>
      <c r="I8013" s="24" t="s">
        <v>6650</v>
      </c>
      <c r="J8013" s="24">
        <v>0.0</v>
      </c>
    </row>
    <row r="8014">
      <c r="A8014" s="24">
        <v>162.0</v>
      </c>
      <c r="B8014" s="24">
        <v>3.0</v>
      </c>
      <c r="C8014" s="44">
        <v>25.73</v>
      </c>
      <c r="D8014" s="46">
        <v>45889.0</v>
      </c>
      <c r="E8014" s="24">
        <v>8.58</v>
      </c>
      <c r="F8014" s="24">
        <v>158.83</v>
      </c>
      <c r="G8014" s="24">
        <v>1.85</v>
      </c>
      <c r="H8014" s="24" t="s">
        <v>6742</v>
      </c>
      <c r="I8014" s="24" t="s">
        <v>6650</v>
      </c>
      <c r="J8014" s="24">
        <v>0.0</v>
      </c>
    </row>
    <row r="8015">
      <c r="A8015" s="24">
        <v>205.0</v>
      </c>
      <c r="B8015" s="24">
        <v>1.0</v>
      </c>
      <c r="C8015" s="44">
        <v>28.5</v>
      </c>
      <c r="D8015" s="46">
        <v>45890.0</v>
      </c>
      <c r="E8015" s="24">
        <v>28.5</v>
      </c>
      <c r="F8015" s="24">
        <v>139.02</v>
      </c>
      <c r="G8015" s="24">
        <v>0.49</v>
      </c>
      <c r="H8015" s="24" t="s">
        <v>6740</v>
      </c>
      <c r="I8015" s="24" t="s">
        <v>6650</v>
      </c>
      <c r="J8015" s="24">
        <v>0.0</v>
      </c>
    </row>
    <row r="8016">
      <c r="A8016" s="24">
        <v>218.0</v>
      </c>
      <c r="B8016" s="24">
        <v>3.0</v>
      </c>
      <c r="C8016" s="44">
        <v>28.5</v>
      </c>
      <c r="D8016" s="46">
        <v>45890.0</v>
      </c>
      <c r="E8016" s="24">
        <v>9.5</v>
      </c>
      <c r="F8016" s="24">
        <v>130.73</v>
      </c>
      <c r="G8016" s="24">
        <v>1.38</v>
      </c>
      <c r="H8016" s="24" t="s">
        <v>6743</v>
      </c>
      <c r="I8016" s="24" t="s">
        <v>6650</v>
      </c>
      <c r="J8016" s="24">
        <v>0.0</v>
      </c>
    </row>
    <row r="8017">
      <c r="A8017" s="24">
        <v>111.0</v>
      </c>
      <c r="B8017" s="24">
        <v>0.0</v>
      </c>
      <c r="C8017" s="44">
        <v>22.41</v>
      </c>
      <c r="D8017" s="46">
        <v>45890.0</v>
      </c>
      <c r="E8017" s="24" t="s">
        <v>6650</v>
      </c>
      <c r="F8017" s="24">
        <v>201.89</v>
      </c>
      <c r="G8017" s="24">
        <v>0.0</v>
      </c>
      <c r="H8017" s="24" t="s">
        <v>6741</v>
      </c>
      <c r="I8017" s="24" t="s">
        <v>6650</v>
      </c>
      <c r="J8017" s="24">
        <v>0.0</v>
      </c>
    </row>
    <row r="8018">
      <c r="A8018" s="24">
        <v>80.0</v>
      </c>
      <c r="B8018" s="24">
        <v>2.0</v>
      </c>
      <c r="C8018" s="44">
        <v>21.58</v>
      </c>
      <c r="D8018" s="46">
        <v>45890.0</v>
      </c>
      <c r="E8018" s="24">
        <v>10.79</v>
      </c>
      <c r="F8018" s="24">
        <v>269.75</v>
      </c>
      <c r="G8018" s="24">
        <v>2.5</v>
      </c>
      <c r="H8018" s="24" t="s">
        <v>6742</v>
      </c>
      <c r="I8018" s="24" t="s">
        <v>6650</v>
      </c>
      <c r="J8018" s="24">
        <v>0.0</v>
      </c>
    </row>
    <row r="8019">
      <c r="A8019" s="24">
        <v>83.0</v>
      </c>
      <c r="B8019" s="24">
        <v>0.0</v>
      </c>
      <c r="C8019" s="44">
        <v>21.29</v>
      </c>
      <c r="D8019" s="46">
        <v>45891.0</v>
      </c>
      <c r="E8019" s="24" t="s">
        <v>6650</v>
      </c>
      <c r="F8019" s="24">
        <v>256.51</v>
      </c>
      <c r="G8019" s="24">
        <v>0.0</v>
      </c>
      <c r="H8019" s="24" t="s">
        <v>6741</v>
      </c>
      <c r="I8019" s="24" t="s">
        <v>6650</v>
      </c>
      <c r="J8019" s="24">
        <v>0.0</v>
      </c>
    </row>
    <row r="8020">
      <c r="A8020" s="24">
        <v>135.0</v>
      </c>
      <c r="B8020" s="24">
        <v>3.0</v>
      </c>
      <c r="C8020" s="44">
        <v>26.68</v>
      </c>
      <c r="D8020" s="46">
        <v>45891.0</v>
      </c>
      <c r="E8020" s="24">
        <v>8.89</v>
      </c>
      <c r="F8020" s="24">
        <v>197.63</v>
      </c>
      <c r="G8020" s="24">
        <v>2.22</v>
      </c>
      <c r="H8020" s="24" t="s">
        <v>6743</v>
      </c>
      <c r="I8020" s="24" t="s">
        <v>6650</v>
      </c>
      <c r="J8020" s="24">
        <v>0.0</v>
      </c>
    </row>
    <row r="8021">
      <c r="A8021" s="24">
        <v>111.0</v>
      </c>
      <c r="B8021" s="24">
        <v>1.0</v>
      </c>
      <c r="C8021" s="44">
        <v>27.96</v>
      </c>
      <c r="D8021" s="46">
        <v>45891.0</v>
      </c>
      <c r="E8021" s="24">
        <v>27.96</v>
      </c>
      <c r="F8021" s="24">
        <v>251.89</v>
      </c>
      <c r="G8021" s="24">
        <v>0.9</v>
      </c>
      <c r="H8021" s="24" t="s">
        <v>6740</v>
      </c>
      <c r="I8021" s="24" t="s">
        <v>6650</v>
      </c>
      <c r="J8021" s="24">
        <v>0.0</v>
      </c>
    </row>
    <row r="8022">
      <c r="A8022" s="24">
        <v>80.0</v>
      </c>
      <c r="B8022" s="24">
        <v>0.0</v>
      </c>
      <c r="C8022" s="44">
        <v>22.9</v>
      </c>
      <c r="D8022" s="46">
        <v>45891.0</v>
      </c>
      <c r="E8022" s="24" t="s">
        <v>6650</v>
      </c>
      <c r="F8022" s="24">
        <v>286.25</v>
      </c>
      <c r="G8022" s="24">
        <v>0.0</v>
      </c>
      <c r="H8022" s="24" t="s">
        <v>6742</v>
      </c>
      <c r="I8022" s="24" t="s">
        <v>6650</v>
      </c>
      <c r="J8022" s="24">
        <v>0.0</v>
      </c>
    </row>
    <row r="8023">
      <c r="A8023" s="24">
        <v>36.0</v>
      </c>
      <c r="B8023" s="24">
        <v>1.0</v>
      </c>
      <c r="C8023" s="44">
        <v>7.69</v>
      </c>
      <c r="D8023" s="46">
        <v>45892.0</v>
      </c>
      <c r="E8023" s="24">
        <v>7.69</v>
      </c>
      <c r="F8023" s="24">
        <v>213.61</v>
      </c>
      <c r="G8023" s="24">
        <v>2.78</v>
      </c>
      <c r="H8023" s="24" t="s">
        <v>6741</v>
      </c>
      <c r="I8023" s="24" t="s">
        <v>6650</v>
      </c>
      <c r="J8023" s="24">
        <v>0.0</v>
      </c>
    </row>
    <row r="8024">
      <c r="A8024" s="24">
        <v>8.0</v>
      </c>
      <c r="B8024" s="24">
        <v>0.0</v>
      </c>
      <c r="C8024" s="44">
        <v>0.0</v>
      </c>
      <c r="D8024" s="46">
        <v>45892.0</v>
      </c>
      <c r="E8024" s="24" t="s">
        <v>6650</v>
      </c>
      <c r="F8024" s="24">
        <v>0.0</v>
      </c>
      <c r="G8024" s="24">
        <v>0.0</v>
      </c>
      <c r="H8024" s="24" t="s">
        <v>6743</v>
      </c>
      <c r="I8024" s="24" t="s">
        <v>6650</v>
      </c>
      <c r="J8024" s="24">
        <v>0.0</v>
      </c>
    </row>
    <row r="8025">
      <c r="A8025" s="24">
        <v>12.0</v>
      </c>
      <c r="B8025" s="24">
        <v>0.0</v>
      </c>
      <c r="C8025" s="44">
        <v>0.87</v>
      </c>
      <c r="D8025" s="46">
        <v>45892.0</v>
      </c>
      <c r="E8025" s="24" t="s">
        <v>6650</v>
      </c>
      <c r="F8025" s="24">
        <v>72.5</v>
      </c>
      <c r="G8025" s="24">
        <v>0.0</v>
      </c>
      <c r="H8025" s="24" t="s">
        <v>6740</v>
      </c>
      <c r="I8025" s="24" t="s">
        <v>6650</v>
      </c>
      <c r="J8025" s="24">
        <v>0.0</v>
      </c>
    </row>
    <row r="8026">
      <c r="A8026" s="24">
        <v>52.0</v>
      </c>
      <c r="B8026" s="24">
        <v>3.0</v>
      </c>
      <c r="C8026" s="44">
        <v>10.25</v>
      </c>
      <c r="D8026" s="46">
        <v>45892.0</v>
      </c>
      <c r="E8026" s="24">
        <v>3.42</v>
      </c>
      <c r="F8026" s="24">
        <v>197.12</v>
      </c>
      <c r="G8026" s="24">
        <v>5.77</v>
      </c>
      <c r="H8026" s="24" t="s">
        <v>6742</v>
      </c>
      <c r="I8026" s="24" t="s">
        <v>6650</v>
      </c>
      <c r="J8026" s="24">
        <v>0.0</v>
      </c>
    </row>
    <row r="8027">
      <c r="A8027" s="24">
        <v>9.0</v>
      </c>
      <c r="B8027" s="24">
        <v>1.0</v>
      </c>
      <c r="C8027" s="44">
        <v>0.0</v>
      </c>
      <c r="D8027" s="46">
        <v>45893.0</v>
      </c>
      <c r="E8027" s="24">
        <v>0.0</v>
      </c>
      <c r="F8027" s="24">
        <v>0.0</v>
      </c>
      <c r="G8027" s="24">
        <v>11.11</v>
      </c>
      <c r="H8027" s="24" t="s">
        <v>6743</v>
      </c>
      <c r="I8027" s="24" t="s">
        <v>6650</v>
      </c>
      <c r="J8027" s="24">
        <v>0.0</v>
      </c>
    </row>
    <row r="8028">
      <c r="A8028" s="24">
        <v>22.0</v>
      </c>
      <c r="B8028" s="24">
        <v>0.0</v>
      </c>
      <c r="C8028" s="44">
        <v>5.15</v>
      </c>
      <c r="D8028" s="46">
        <v>45893.0</v>
      </c>
      <c r="E8028" s="24" t="s">
        <v>6650</v>
      </c>
      <c r="F8028" s="24">
        <v>234.09</v>
      </c>
      <c r="G8028" s="24">
        <v>0.0</v>
      </c>
      <c r="H8028" s="24" t="s">
        <v>6741</v>
      </c>
      <c r="I8028" s="24" t="s">
        <v>6650</v>
      </c>
      <c r="J8028" s="24">
        <v>0.0</v>
      </c>
    </row>
    <row r="8029">
      <c r="A8029" s="24">
        <v>19.0</v>
      </c>
      <c r="B8029" s="24">
        <v>0.0</v>
      </c>
      <c r="C8029" s="44">
        <v>4.36</v>
      </c>
      <c r="D8029" s="46">
        <v>45893.0</v>
      </c>
      <c r="E8029" s="24" t="s">
        <v>6650</v>
      </c>
      <c r="F8029" s="24">
        <v>229.47</v>
      </c>
      <c r="G8029" s="24">
        <v>0.0</v>
      </c>
      <c r="H8029" s="24" t="s">
        <v>6742</v>
      </c>
      <c r="I8029" s="24" t="s">
        <v>6650</v>
      </c>
      <c r="J8029" s="24">
        <v>0.0</v>
      </c>
    </row>
    <row r="8030">
      <c r="A8030" s="24">
        <v>6.0</v>
      </c>
      <c r="B8030" s="24">
        <v>0.0</v>
      </c>
      <c r="C8030" s="44">
        <v>0.0</v>
      </c>
      <c r="D8030" s="46">
        <v>45893.0</v>
      </c>
      <c r="E8030" s="24" t="s">
        <v>6650</v>
      </c>
      <c r="F8030" s="24">
        <v>0.0</v>
      </c>
      <c r="G8030" s="24">
        <v>0.0</v>
      </c>
      <c r="H8030" s="24" t="s">
        <v>6740</v>
      </c>
      <c r="I8030" s="24" t="s">
        <v>6650</v>
      </c>
      <c r="J8030" s="24">
        <v>0.0</v>
      </c>
    </row>
    <row r="8031">
      <c r="A8031" s="24">
        <v>86.0</v>
      </c>
      <c r="B8031" s="24">
        <v>6.0</v>
      </c>
      <c r="C8031" s="44">
        <v>22.72</v>
      </c>
      <c r="D8031" s="46">
        <v>45894.0</v>
      </c>
      <c r="E8031" s="24">
        <v>3.79</v>
      </c>
      <c r="F8031" s="24">
        <v>264.19</v>
      </c>
      <c r="G8031" s="24">
        <v>6.98</v>
      </c>
      <c r="H8031" s="24" t="s">
        <v>6743</v>
      </c>
      <c r="I8031" s="24" t="s">
        <v>6650</v>
      </c>
      <c r="J8031" s="24">
        <v>0.0</v>
      </c>
    </row>
    <row r="8032">
      <c r="A8032" s="24">
        <v>176.0</v>
      </c>
      <c r="B8032" s="24">
        <v>0.0</v>
      </c>
      <c r="C8032" s="44">
        <v>21.24</v>
      </c>
      <c r="D8032" s="46">
        <v>45894.0</v>
      </c>
      <c r="E8032" s="24" t="s">
        <v>6650</v>
      </c>
      <c r="F8032" s="24">
        <v>120.68</v>
      </c>
      <c r="G8032" s="24">
        <v>0.0</v>
      </c>
      <c r="H8032" s="24" t="s">
        <v>6740</v>
      </c>
      <c r="I8032" s="24" t="s">
        <v>6650</v>
      </c>
      <c r="J8032" s="24">
        <v>0.0</v>
      </c>
    </row>
    <row r="8033">
      <c r="A8033" s="24">
        <v>59.0</v>
      </c>
      <c r="B8033" s="24">
        <v>0.0</v>
      </c>
      <c r="C8033" s="44">
        <v>24.17</v>
      </c>
      <c r="D8033" s="46">
        <v>45894.0</v>
      </c>
      <c r="E8033" s="24" t="s">
        <v>6650</v>
      </c>
      <c r="F8033" s="24">
        <v>409.66</v>
      </c>
      <c r="G8033" s="24">
        <v>0.0</v>
      </c>
      <c r="H8033" s="24" t="s">
        <v>6742</v>
      </c>
      <c r="I8033" s="24" t="s">
        <v>6650</v>
      </c>
      <c r="J8033" s="24">
        <v>0.0</v>
      </c>
    </row>
    <row r="8034">
      <c r="A8034" s="24">
        <v>61.0</v>
      </c>
      <c r="B8034" s="24">
        <v>0.0</v>
      </c>
      <c r="C8034" s="44">
        <v>21.32</v>
      </c>
      <c r="D8034" s="46">
        <v>45894.0</v>
      </c>
      <c r="E8034" s="24" t="s">
        <v>6650</v>
      </c>
      <c r="F8034" s="24">
        <v>349.51</v>
      </c>
      <c r="G8034" s="24">
        <v>0.0</v>
      </c>
      <c r="H8034" s="24" t="s">
        <v>6741</v>
      </c>
      <c r="I8034" s="24" t="s">
        <v>6650</v>
      </c>
      <c r="J8034" s="24">
        <v>0.0</v>
      </c>
    </row>
    <row r="8035">
      <c r="A8035" s="24">
        <v>221.0</v>
      </c>
      <c r="B8035" s="24">
        <v>0.0</v>
      </c>
      <c r="C8035" s="44">
        <v>22.97</v>
      </c>
      <c r="D8035" s="46">
        <v>45895.0</v>
      </c>
      <c r="E8035" s="24" t="s">
        <v>6650</v>
      </c>
      <c r="F8035" s="24">
        <v>103.94</v>
      </c>
      <c r="G8035" s="24">
        <v>0.0</v>
      </c>
      <c r="H8035" s="24" t="s">
        <v>6740</v>
      </c>
      <c r="I8035" s="24" t="s">
        <v>6650</v>
      </c>
      <c r="J8035" s="24">
        <v>0.0</v>
      </c>
    </row>
    <row r="8036">
      <c r="A8036" s="24">
        <v>97.0</v>
      </c>
      <c r="B8036" s="24">
        <v>0.0</v>
      </c>
      <c r="C8036" s="44">
        <v>23.18</v>
      </c>
      <c r="D8036" s="46">
        <v>45895.0</v>
      </c>
      <c r="E8036" s="24" t="s">
        <v>6650</v>
      </c>
      <c r="F8036" s="24">
        <v>238.97</v>
      </c>
      <c r="G8036" s="24">
        <v>0.0</v>
      </c>
      <c r="H8036" s="24" t="s">
        <v>6743</v>
      </c>
      <c r="I8036" s="24" t="s">
        <v>6650</v>
      </c>
      <c r="J8036" s="24">
        <v>0.0</v>
      </c>
    </row>
    <row r="8037">
      <c r="A8037" s="24">
        <v>0.0</v>
      </c>
      <c r="B8037" s="24">
        <v>0.0</v>
      </c>
      <c r="C8037" s="44">
        <v>13.85</v>
      </c>
      <c r="D8037" s="46">
        <v>45895.0</v>
      </c>
      <c r="E8037" s="24" t="s">
        <v>6650</v>
      </c>
      <c r="F8037" s="24" t="s">
        <v>6650</v>
      </c>
      <c r="G8037" s="24" t="s">
        <v>6650</v>
      </c>
      <c r="H8037" s="24" t="s">
        <v>6744</v>
      </c>
      <c r="I8037" s="24" t="s">
        <v>6650</v>
      </c>
      <c r="J8037" s="24">
        <v>0.0</v>
      </c>
    </row>
    <row r="8038">
      <c r="A8038" s="24">
        <v>83.0</v>
      </c>
      <c r="B8038" s="24">
        <v>2.0</v>
      </c>
      <c r="C8038" s="44">
        <v>22.23</v>
      </c>
      <c r="D8038" s="46">
        <v>45895.0</v>
      </c>
      <c r="E8038" s="24">
        <v>11.12</v>
      </c>
      <c r="F8038" s="24">
        <v>267.83</v>
      </c>
      <c r="G8038" s="24">
        <v>2.41</v>
      </c>
      <c r="H8038" s="24" t="s">
        <v>6742</v>
      </c>
      <c r="I8038" s="24" t="s">
        <v>6650</v>
      </c>
      <c r="J8038" s="24">
        <v>0.0</v>
      </c>
    </row>
    <row r="8039">
      <c r="A8039" s="24">
        <v>86.0</v>
      </c>
      <c r="B8039" s="24">
        <v>0.0</v>
      </c>
      <c r="C8039" s="44">
        <v>25.7</v>
      </c>
      <c r="D8039" s="46">
        <v>45895.0</v>
      </c>
      <c r="E8039" s="24" t="s">
        <v>6650</v>
      </c>
      <c r="F8039" s="24">
        <v>298.84</v>
      </c>
      <c r="G8039" s="24">
        <v>0.0</v>
      </c>
      <c r="H8039" s="24" t="s">
        <v>6741</v>
      </c>
      <c r="I8039" s="24" t="s">
        <v>6650</v>
      </c>
      <c r="J8039" s="24">
        <v>0.0</v>
      </c>
    </row>
    <row r="8040">
      <c r="A8040" s="24">
        <v>0.0</v>
      </c>
      <c r="B8040" s="24">
        <v>0.0</v>
      </c>
      <c r="C8040" s="44">
        <v>14.73</v>
      </c>
      <c r="D8040" s="46">
        <v>45896.0</v>
      </c>
      <c r="E8040" s="24" t="s">
        <v>6650</v>
      </c>
      <c r="F8040" s="24" t="s">
        <v>6650</v>
      </c>
      <c r="G8040" s="24" t="s">
        <v>6650</v>
      </c>
      <c r="H8040" s="24" t="s">
        <v>6744</v>
      </c>
      <c r="I8040" s="24" t="s">
        <v>6650</v>
      </c>
      <c r="J8040" s="24">
        <v>0.0</v>
      </c>
    </row>
    <row r="8041">
      <c r="A8041" s="24">
        <v>111.0</v>
      </c>
      <c r="B8041" s="24">
        <v>2.0</v>
      </c>
      <c r="C8041" s="44">
        <v>24.97</v>
      </c>
      <c r="D8041" s="46">
        <v>45896.0</v>
      </c>
      <c r="E8041" s="24">
        <v>12.48</v>
      </c>
      <c r="F8041" s="24">
        <v>224.95</v>
      </c>
      <c r="G8041" s="24">
        <v>1.8</v>
      </c>
      <c r="H8041" s="24" t="s">
        <v>6741</v>
      </c>
      <c r="I8041" s="24" t="s">
        <v>6650</v>
      </c>
      <c r="J8041" s="24">
        <v>0.0</v>
      </c>
    </row>
    <row r="8042">
      <c r="A8042" s="24">
        <v>126.0</v>
      </c>
      <c r="B8042" s="24">
        <v>2.0</v>
      </c>
      <c r="C8042" s="44">
        <v>25.46</v>
      </c>
      <c r="D8042" s="46">
        <v>45896.0</v>
      </c>
      <c r="E8042" s="24">
        <v>12.73</v>
      </c>
      <c r="F8042" s="24">
        <v>202.06</v>
      </c>
      <c r="G8042" s="24">
        <v>1.59</v>
      </c>
      <c r="H8042" s="24" t="s">
        <v>6743</v>
      </c>
      <c r="I8042" s="24" t="s">
        <v>6650</v>
      </c>
      <c r="J8042" s="24">
        <v>0.0</v>
      </c>
    </row>
    <row r="8043">
      <c r="A8043" s="24">
        <v>86.0</v>
      </c>
      <c r="B8043" s="24">
        <v>1.0</v>
      </c>
      <c r="C8043" s="44">
        <v>26.27</v>
      </c>
      <c r="D8043" s="46">
        <v>45896.0</v>
      </c>
      <c r="E8043" s="24">
        <v>26.27</v>
      </c>
      <c r="F8043" s="24">
        <v>305.47</v>
      </c>
      <c r="G8043" s="24">
        <v>1.16</v>
      </c>
      <c r="H8043" s="24" t="s">
        <v>6742</v>
      </c>
      <c r="I8043" s="24" t="s">
        <v>6650</v>
      </c>
      <c r="J8043" s="24">
        <v>0.0</v>
      </c>
    </row>
    <row r="8044">
      <c r="A8044" s="24">
        <v>441.0</v>
      </c>
      <c r="B8044" s="24">
        <v>6.0</v>
      </c>
      <c r="C8044" s="44">
        <v>27.08</v>
      </c>
      <c r="D8044" s="46">
        <v>45896.0</v>
      </c>
      <c r="E8044" s="24">
        <v>4.51</v>
      </c>
      <c r="F8044" s="24">
        <v>61.41</v>
      </c>
      <c r="G8044" s="24">
        <v>1.36</v>
      </c>
      <c r="H8044" s="24" t="s">
        <v>6740</v>
      </c>
      <c r="I8044" s="24" t="s">
        <v>6650</v>
      </c>
      <c r="J8044" s="24">
        <v>0.0</v>
      </c>
    </row>
    <row r="8045">
      <c r="A8045" s="24">
        <v>94.0</v>
      </c>
      <c r="B8045" s="24">
        <v>3.0</v>
      </c>
      <c r="C8045" s="44">
        <v>24.73</v>
      </c>
      <c r="D8045" s="46">
        <v>45897.0</v>
      </c>
      <c r="E8045" s="24">
        <v>8.24</v>
      </c>
      <c r="F8045" s="24">
        <v>263.09</v>
      </c>
      <c r="G8045" s="24">
        <v>3.19</v>
      </c>
      <c r="H8045" s="24" t="s">
        <v>6741</v>
      </c>
      <c r="I8045" s="24" t="s">
        <v>6650</v>
      </c>
      <c r="J8045" s="24">
        <v>0.0</v>
      </c>
    </row>
    <row r="8046">
      <c r="A8046" s="24">
        <v>0.0</v>
      </c>
      <c r="B8046" s="24">
        <v>0.0</v>
      </c>
      <c r="C8046" s="44">
        <v>14.71</v>
      </c>
      <c r="D8046" s="46">
        <v>45897.0</v>
      </c>
      <c r="E8046" s="24" t="s">
        <v>6650</v>
      </c>
      <c r="F8046" s="24" t="s">
        <v>6650</v>
      </c>
      <c r="G8046" s="24" t="s">
        <v>6650</v>
      </c>
      <c r="H8046" s="24" t="s">
        <v>6744</v>
      </c>
      <c r="I8046" s="24" t="s">
        <v>6650</v>
      </c>
      <c r="J8046" s="24">
        <v>0.0</v>
      </c>
    </row>
    <row r="8047">
      <c r="A8047" s="24">
        <v>87.0</v>
      </c>
      <c r="B8047" s="24">
        <v>1.0</v>
      </c>
      <c r="C8047" s="44">
        <v>23.77</v>
      </c>
      <c r="D8047" s="46">
        <v>45897.0</v>
      </c>
      <c r="E8047" s="24">
        <v>23.77</v>
      </c>
      <c r="F8047" s="24">
        <v>273.22</v>
      </c>
      <c r="G8047" s="24">
        <v>1.15</v>
      </c>
      <c r="H8047" s="24" t="s">
        <v>6742</v>
      </c>
      <c r="I8047" s="24" t="s">
        <v>6650</v>
      </c>
      <c r="J8047" s="24">
        <v>0.0</v>
      </c>
    </row>
    <row r="8048">
      <c r="A8048" s="24">
        <v>99.0</v>
      </c>
      <c r="B8048" s="24">
        <v>1.0</v>
      </c>
      <c r="C8048" s="44">
        <v>25.18</v>
      </c>
      <c r="D8048" s="46">
        <v>45897.0</v>
      </c>
      <c r="E8048" s="24">
        <v>25.18</v>
      </c>
      <c r="F8048" s="24">
        <v>254.34</v>
      </c>
      <c r="G8048" s="24">
        <v>1.01</v>
      </c>
      <c r="H8048" s="24" t="s">
        <v>6743</v>
      </c>
      <c r="I8048" s="24" t="s">
        <v>6650</v>
      </c>
      <c r="J8048" s="24">
        <v>0.0</v>
      </c>
    </row>
    <row r="8049">
      <c r="A8049" s="24">
        <v>228.0</v>
      </c>
      <c r="B8049" s="24">
        <v>1.0</v>
      </c>
      <c r="C8049" s="44">
        <v>28.33</v>
      </c>
      <c r="D8049" s="46">
        <v>45897.0</v>
      </c>
      <c r="E8049" s="24">
        <v>28.33</v>
      </c>
      <c r="F8049" s="24">
        <v>124.25</v>
      </c>
      <c r="G8049" s="24">
        <v>0.44</v>
      </c>
      <c r="H8049" s="24" t="s">
        <v>6740</v>
      </c>
      <c r="I8049" s="24" t="s">
        <v>6650</v>
      </c>
      <c r="J8049" s="24">
        <v>0.0</v>
      </c>
    </row>
    <row r="8050">
      <c r="A8050" s="24">
        <v>216.0</v>
      </c>
      <c r="B8050" s="24">
        <v>0.0</v>
      </c>
      <c r="C8050" s="44">
        <v>28.5</v>
      </c>
      <c r="D8050" s="46">
        <v>45898.0</v>
      </c>
      <c r="E8050" s="24" t="s">
        <v>6650</v>
      </c>
      <c r="F8050" s="24">
        <v>131.94</v>
      </c>
      <c r="G8050" s="24">
        <v>0.0</v>
      </c>
      <c r="H8050" s="24" t="s">
        <v>6742</v>
      </c>
      <c r="I8050" s="24" t="s">
        <v>6650</v>
      </c>
      <c r="J8050" s="24">
        <v>0.0</v>
      </c>
    </row>
    <row r="8051">
      <c r="A8051" s="24">
        <v>83.0</v>
      </c>
      <c r="B8051" s="24">
        <v>0.0</v>
      </c>
      <c r="C8051" s="44">
        <v>24.23</v>
      </c>
      <c r="D8051" s="46">
        <v>45898.0</v>
      </c>
      <c r="E8051" s="24" t="s">
        <v>6650</v>
      </c>
      <c r="F8051" s="24">
        <v>291.93</v>
      </c>
      <c r="G8051" s="24">
        <v>0.0</v>
      </c>
      <c r="H8051" s="24" t="s">
        <v>6743</v>
      </c>
      <c r="I8051" s="24" t="s">
        <v>6650</v>
      </c>
      <c r="J8051" s="24">
        <v>0.0</v>
      </c>
    </row>
    <row r="8052">
      <c r="A8052" s="24">
        <v>243.0</v>
      </c>
      <c r="B8052" s="24">
        <v>3.0</v>
      </c>
      <c r="C8052" s="44">
        <v>25.34</v>
      </c>
      <c r="D8052" s="46">
        <v>45898.0</v>
      </c>
      <c r="E8052" s="24">
        <v>8.45</v>
      </c>
      <c r="F8052" s="24">
        <v>104.28</v>
      </c>
      <c r="G8052" s="24">
        <v>1.23</v>
      </c>
      <c r="H8052" s="24" t="s">
        <v>6740</v>
      </c>
      <c r="I8052" s="24" t="s">
        <v>6650</v>
      </c>
      <c r="J8052" s="24">
        <v>0.0</v>
      </c>
    </row>
    <row r="8053">
      <c r="A8053" s="24">
        <v>0.0</v>
      </c>
      <c r="B8053" s="24">
        <v>0.0</v>
      </c>
      <c r="C8053" s="44">
        <v>14.19</v>
      </c>
      <c r="D8053" s="46">
        <v>45898.0</v>
      </c>
      <c r="E8053" s="24" t="s">
        <v>6650</v>
      </c>
      <c r="F8053" s="24" t="s">
        <v>6650</v>
      </c>
      <c r="G8053" s="24" t="s">
        <v>6650</v>
      </c>
      <c r="H8053" s="24" t="s">
        <v>6744</v>
      </c>
      <c r="I8053" s="24" t="s">
        <v>6650</v>
      </c>
      <c r="J8053" s="24">
        <v>0.0</v>
      </c>
    </row>
    <row r="8054">
      <c r="A8054" s="24">
        <v>81.0</v>
      </c>
      <c r="B8054" s="24">
        <v>1.0</v>
      </c>
      <c r="C8054" s="44">
        <v>22.0</v>
      </c>
      <c r="D8054" s="46">
        <v>45898.0</v>
      </c>
      <c r="E8054" s="24">
        <v>22.0</v>
      </c>
      <c r="F8054" s="24">
        <v>271.6</v>
      </c>
      <c r="G8054" s="24">
        <v>1.23</v>
      </c>
      <c r="H8054" s="24" t="s">
        <v>6741</v>
      </c>
      <c r="I8054" s="24" t="s">
        <v>6650</v>
      </c>
      <c r="J8054" s="24">
        <v>0.0</v>
      </c>
    </row>
    <row r="8055">
      <c r="A8055" s="24">
        <v>41.0</v>
      </c>
      <c r="B8055" s="24">
        <v>0.0</v>
      </c>
      <c r="C8055" s="44">
        <v>9.51</v>
      </c>
      <c r="D8055" s="46">
        <v>45899.0</v>
      </c>
      <c r="E8055" s="24" t="s">
        <v>6650</v>
      </c>
      <c r="F8055" s="24">
        <v>231.95</v>
      </c>
      <c r="G8055" s="24">
        <v>0.0</v>
      </c>
      <c r="H8055" s="24" t="s">
        <v>6741</v>
      </c>
      <c r="I8055" s="24" t="s">
        <v>6650</v>
      </c>
      <c r="J8055" s="24">
        <v>0.0</v>
      </c>
    </row>
    <row r="8056">
      <c r="A8056" s="24">
        <v>44.0</v>
      </c>
      <c r="B8056" s="24">
        <v>5.0</v>
      </c>
      <c r="C8056" s="44">
        <v>12.23</v>
      </c>
      <c r="D8056" s="46">
        <v>45899.0</v>
      </c>
      <c r="E8056" s="24">
        <v>2.45</v>
      </c>
      <c r="F8056" s="24">
        <v>277.95</v>
      </c>
      <c r="G8056" s="24">
        <v>11.36</v>
      </c>
      <c r="H8056" s="24" t="s">
        <v>6743</v>
      </c>
      <c r="I8056" s="24" t="s">
        <v>6650</v>
      </c>
      <c r="J8056" s="24">
        <v>0.0</v>
      </c>
    </row>
    <row r="8057">
      <c r="A8057" s="24">
        <v>155.0</v>
      </c>
      <c r="B8057" s="24">
        <v>0.0</v>
      </c>
      <c r="C8057" s="44">
        <v>12.99</v>
      </c>
      <c r="D8057" s="46">
        <v>45899.0</v>
      </c>
      <c r="E8057" s="24" t="s">
        <v>6650</v>
      </c>
      <c r="F8057" s="24">
        <v>83.81</v>
      </c>
      <c r="G8057" s="24">
        <v>0.0</v>
      </c>
      <c r="H8057" s="24" t="s">
        <v>6740</v>
      </c>
      <c r="I8057" s="24" t="s">
        <v>6650</v>
      </c>
      <c r="J8057" s="24">
        <v>0.0</v>
      </c>
    </row>
    <row r="8058">
      <c r="A8058" s="24">
        <v>50.0</v>
      </c>
      <c r="B8058" s="24">
        <v>0.0</v>
      </c>
      <c r="C8058" s="44">
        <v>8.06</v>
      </c>
      <c r="D8058" s="46">
        <v>45899.0</v>
      </c>
      <c r="E8058" s="24" t="s">
        <v>6650</v>
      </c>
      <c r="F8058" s="24">
        <v>161.2</v>
      </c>
      <c r="G8058" s="24">
        <v>0.0</v>
      </c>
      <c r="H8058" s="24" t="s">
        <v>6742</v>
      </c>
      <c r="I8058" s="24" t="s">
        <v>6650</v>
      </c>
      <c r="J8058" s="24">
        <v>0.0</v>
      </c>
    </row>
    <row r="8059">
      <c r="A8059" s="24">
        <v>0.0</v>
      </c>
      <c r="B8059" s="24">
        <v>0.0</v>
      </c>
      <c r="C8059" s="44">
        <v>8.5</v>
      </c>
      <c r="D8059" s="46">
        <v>45899.0</v>
      </c>
      <c r="E8059" s="24" t="s">
        <v>6650</v>
      </c>
      <c r="F8059" s="24" t="s">
        <v>6650</v>
      </c>
      <c r="G8059" s="24" t="s">
        <v>6650</v>
      </c>
      <c r="H8059" s="24" t="s">
        <v>6744</v>
      </c>
      <c r="I8059" s="24" t="s">
        <v>6650</v>
      </c>
      <c r="J8059" s="24">
        <v>0.0</v>
      </c>
    </row>
    <row r="8060">
      <c r="A8060" s="24">
        <v>83.0</v>
      </c>
      <c r="B8060" s="24">
        <v>0.0</v>
      </c>
      <c r="C8060" s="44">
        <v>9.11</v>
      </c>
      <c r="D8060" s="46">
        <v>45900.0</v>
      </c>
      <c r="E8060" s="24" t="s">
        <v>6650</v>
      </c>
      <c r="F8060" s="24">
        <v>109.76</v>
      </c>
      <c r="G8060" s="24">
        <v>0.0</v>
      </c>
      <c r="H8060" s="24" t="s">
        <v>6740</v>
      </c>
      <c r="I8060" s="24" t="s">
        <v>6650</v>
      </c>
      <c r="J8060" s="24">
        <v>0.0</v>
      </c>
    </row>
    <row r="8061">
      <c r="A8061" s="24">
        <v>0.0</v>
      </c>
      <c r="B8061" s="24">
        <v>0.0</v>
      </c>
      <c r="C8061" s="44">
        <v>4.02</v>
      </c>
      <c r="D8061" s="46">
        <v>45900.0</v>
      </c>
      <c r="E8061" s="24" t="s">
        <v>6650</v>
      </c>
      <c r="F8061" s="24" t="s">
        <v>6650</v>
      </c>
      <c r="G8061" s="24" t="s">
        <v>6650</v>
      </c>
      <c r="H8061" s="24" t="s">
        <v>6744</v>
      </c>
      <c r="I8061" s="24" t="s">
        <v>6650</v>
      </c>
      <c r="J8061" s="24">
        <v>0.0</v>
      </c>
    </row>
    <row r="8062">
      <c r="A8062" s="24">
        <v>26.0</v>
      </c>
      <c r="B8062" s="24">
        <v>1.0</v>
      </c>
      <c r="C8062" s="44">
        <v>4.77</v>
      </c>
      <c r="D8062" s="46">
        <v>45900.0</v>
      </c>
      <c r="E8062" s="24">
        <v>4.77</v>
      </c>
      <c r="F8062" s="24">
        <v>183.46</v>
      </c>
      <c r="G8062" s="24">
        <v>3.85</v>
      </c>
      <c r="H8062" s="24" t="s">
        <v>6741</v>
      </c>
      <c r="I8062" s="24" t="s">
        <v>6650</v>
      </c>
      <c r="J8062" s="24">
        <v>0.0</v>
      </c>
    </row>
    <row r="8063">
      <c r="A8063" s="24">
        <v>15.0</v>
      </c>
      <c r="B8063" s="24">
        <v>0.0</v>
      </c>
      <c r="C8063" s="44">
        <v>0.0</v>
      </c>
      <c r="D8063" s="46">
        <v>45900.0</v>
      </c>
      <c r="E8063" s="24" t="s">
        <v>6650</v>
      </c>
      <c r="F8063" s="24">
        <v>0.0</v>
      </c>
      <c r="G8063" s="24">
        <v>0.0</v>
      </c>
      <c r="H8063" s="24" t="s">
        <v>6742</v>
      </c>
      <c r="I8063" s="24" t="s">
        <v>6650</v>
      </c>
      <c r="J8063" s="24">
        <v>0.0</v>
      </c>
    </row>
    <row r="8064">
      <c r="A8064" s="24">
        <v>2700.0</v>
      </c>
      <c r="B8064" s="24">
        <v>6.0</v>
      </c>
      <c r="C8064" s="44">
        <v>28.5</v>
      </c>
      <c r="D8064" s="46">
        <v>45901.0</v>
      </c>
      <c r="E8064" s="24">
        <v>4.75</v>
      </c>
      <c r="F8064" s="24">
        <v>10.56</v>
      </c>
      <c r="G8064" s="24">
        <v>0.22</v>
      </c>
      <c r="H8064" s="24" t="s">
        <v>6742</v>
      </c>
      <c r="I8064" s="24" t="s">
        <v>6650</v>
      </c>
      <c r="J8064" s="24">
        <v>0.0</v>
      </c>
    </row>
    <row r="8065">
      <c r="A8065" s="24">
        <v>193.0</v>
      </c>
      <c r="B8065" s="24">
        <v>1.0</v>
      </c>
      <c r="C8065" s="44">
        <v>23.44</v>
      </c>
      <c r="D8065" s="46">
        <v>45901.0</v>
      </c>
      <c r="E8065" s="24">
        <v>23.44</v>
      </c>
      <c r="F8065" s="24">
        <v>121.45</v>
      </c>
      <c r="G8065" s="24">
        <v>0.52</v>
      </c>
      <c r="H8065" s="24" t="s">
        <v>6740</v>
      </c>
      <c r="I8065" s="24" t="s">
        <v>6650</v>
      </c>
      <c r="J8065" s="24">
        <v>0.0</v>
      </c>
    </row>
    <row r="8066">
      <c r="A8066" s="24">
        <v>0.0</v>
      </c>
      <c r="B8066" s="24">
        <v>0.0</v>
      </c>
      <c r="C8066" s="44">
        <v>11.79</v>
      </c>
      <c r="D8066" s="46">
        <v>45901.0</v>
      </c>
      <c r="E8066" s="24" t="s">
        <v>6650</v>
      </c>
      <c r="F8066" s="24" t="s">
        <v>6650</v>
      </c>
      <c r="G8066" s="24" t="s">
        <v>6650</v>
      </c>
      <c r="H8066" s="24" t="s">
        <v>6744</v>
      </c>
      <c r="I8066" s="24" t="s">
        <v>6650</v>
      </c>
      <c r="J8066" s="24">
        <v>0.0</v>
      </c>
    </row>
    <row r="8067">
      <c r="A8067" s="24">
        <v>81.0</v>
      </c>
      <c r="B8067" s="24">
        <v>0.0</v>
      </c>
      <c r="C8067" s="44">
        <v>25.54</v>
      </c>
      <c r="D8067" s="46">
        <v>45901.0</v>
      </c>
      <c r="E8067" s="24" t="s">
        <v>6650</v>
      </c>
      <c r="F8067" s="24">
        <v>315.31</v>
      </c>
      <c r="G8067" s="24">
        <v>0.0</v>
      </c>
      <c r="H8067" s="24" t="s">
        <v>6743</v>
      </c>
      <c r="I8067" s="24" t="s">
        <v>6650</v>
      </c>
      <c r="J8067" s="24">
        <v>0.0</v>
      </c>
    </row>
    <row r="8068">
      <c r="A8068" s="24">
        <v>71.0</v>
      </c>
      <c r="B8068" s="24">
        <v>0.0</v>
      </c>
      <c r="C8068" s="44">
        <v>23.07</v>
      </c>
      <c r="D8068" s="46">
        <v>45901.0</v>
      </c>
      <c r="E8068" s="24" t="s">
        <v>6650</v>
      </c>
      <c r="F8068" s="24">
        <v>324.93</v>
      </c>
      <c r="G8068" s="24">
        <v>0.0</v>
      </c>
      <c r="H8068" s="24" t="s">
        <v>6741</v>
      </c>
      <c r="I8068" s="24" t="s">
        <v>6650</v>
      </c>
      <c r="J8068" s="24">
        <v>0.0</v>
      </c>
    </row>
    <row r="8069">
      <c r="A8069" s="24">
        <v>296.0</v>
      </c>
      <c r="B8069" s="24">
        <v>1.0</v>
      </c>
      <c r="C8069" s="44">
        <v>25.81</v>
      </c>
      <c r="D8069" s="46">
        <v>45902.0</v>
      </c>
      <c r="E8069" s="24">
        <v>25.81</v>
      </c>
      <c r="F8069" s="24">
        <v>87.2</v>
      </c>
      <c r="G8069" s="24">
        <v>0.34</v>
      </c>
      <c r="H8069" s="24" t="s">
        <v>6740</v>
      </c>
      <c r="I8069" s="24" t="s">
        <v>6650</v>
      </c>
      <c r="J8069" s="24">
        <v>0.0</v>
      </c>
    </row>
    <row r="8070">
      <c r="A8070" s="24">
        <v>112.0</v>
      </c>
      <c r="B8070" s="24">
        <v>2.0</v>
      </c>
      <c r="C8070" s="44">
        <v>25.85</v>
      </c>
      <c r="D8070" s="46">
        <v>45902.0</v>
      </c>
      <c r="E8070" s="24">
        <v>12.92</v>
      </c>
      <c r="F8070" s="24">
        <v>230.8</v>
      </c>
      <c r="G8070" s="24">
        <v>1.79</v>
      </c>
      <c r="H8070" s="24" t="s">
        <v>6743</v>
      </c>
      <c r="I8070" s="24" t="s">
        <v>6650</v>
      </c>
      <c r="J8070" s="24">
        <v>0.0</v>
      </c>
    </row>
    <row r="8071">
      <c r="A8071" s="24">
        <v>356.0</v>
      </c>
      <c r="B8071" s="24">
        <v>5.0</v>
      </c>
      <c r="C8071" s="44">
        <v>22.34</v>
      </c>
      <c r="D8071" s="46">
        <v>45902.0</v>
      </c>
      <c r="E8071" s="24">
        <v>4.47</v>
      </c>
      <c r="F8071" s="24">
        <v>62.75</v>
      </c>
      <c r="G8071" s="24">
        <v>1.4</v>
      </c>
      <c r="H8071" s="24" t="s">
        <v>6742</v>
      </c>
      <c r="I8071" s="24" t="s">
        <v>6650</v>
      </c>
      <c r="J8071" s="24">
        <v>0.0</v>
      </c>
    </row>
    <row r="8072">
      <c r="A8072" s="24">
        <v>85.0</v>
      </c>
      <c r="B8072" s="24">
        <v>0.0</v>
      </c>
      <c r="C8072" s="44">
        <v>26.25</v>
      </c>
      <c r="D8072" s="46">
        <v>45902.0</v>
      </c>
      <c r="E8072" s="24" t="s">
        <v>6650</v>
      </c>
      <c r="F8072" s="24">
        <v>308.82</v>
      </c>
      <c r="G8072" s="24">
        <v>0.0</v>
      </c>
      <c r="H8072" s="24" t="s">
        <v>6741</v>
      </c>
      <c r="I8072" s="24" t="s">
        <v>6650</v>
      </c>
      <c r="J8072" s="24">
        <v>0.0</v>
      </c>
    </row>
    <row r="8073">
      <c r="A8073" s="24">
        <v>0.0</v>
      </c>
      <c r="B8073" s="24">
        <v>0.0</v>
      </c>
      <c r="C8073" s="44">
        <v>13.7</v>
      </c>
      <c r="D8073" s="46">
        <v>45902.0</v>
      </c>
      <c r="E8073" s="24" t="s">
        <v>6650</v>
      </c>
      <c r="F8073" s="24" t="s">
        <v>6650</v>
      </c>
      <c r="G8073" s="24" t="s">
        <v>6650</v>
      </c>
      <c r="H8073" s="24" t="s">
        <v>6744</v>
      </c>
      <c r="I8073" s="24" t="s">
        <v>6650</v>
      </c>
      <c r="J8073" s="24">
        <v>0.0</v>
      </c>
    </row>
    <row r="8074">
      <c r="A8074" s="24">
        <v>0.0</v>
      </c>
      <c r="B8074" s="24">
        <v>0.0</v>
      </c>
      <c r="C8074" s="44">
        <v>12.63</v>
      </c>
      <c r="D8074" s="46">
        <v>45903.0</v>
      </c>
      <c r="E8074" s="24" t="s">
        <v>6650</v>
      </c>
      <c r="F8074" s="24" t="s">
        <v>6650</v>
      </c>
      <c r="G8074" s="24" t="s">
        <v>6650</v>
      </c>
      <c r="H8074" s="24" t="s">
        <v>6744</v>
      </c>
      <c r="I8074" s="24" t="s">
        <v>6650</v>
      </c>
      <c r="J8074" s="24">
        <v>0.0</v>
      </c>
    </row>
    <row r="8075">
      <c r="A8075" s="24">
        <v>97.0</v>
      </c>
      <c r="B8075" s="24">
        <v>6.0</v>
      </c>
      <c r="C8075" s="44">
        <v>23.21</v>
      </c>
      <c r="D8075" s="46">
        <v>45903.0</v>
      </c>
      <c r="E8075" s="24">
        <v>3.87</v>
      </c>
      <c r="F8075" s="24">
        <v>239.28</v>
      </c>
      <c r="G8075" s="24">
        <v>6.19</v>
      </c>
      <c r="H8075" s="24" t="s">
        <v>6743</v>
      </c>
      <c r="I8075" s="24" t="s">
        <v>6650</v>
      </c>
      <c r="J8075" s="24">
        <v>0.0</v>
      </c>
    </row>
    <row r="8076">
      <c r="A8076" s="24">
        <v>144.0</v>
      </c>
      <c r="B8076" s="24">
        <v>1.0</v>
      </c>
      <c r="C8076" s="44">
        <v>21.99</v>
      </c>
      <c r="D8076" s="46">
        <v>45903.0</v>
      </c>
      <c r="E8076" s="24">
        <v>21.99</v>
      </c>
      <c r="F8076" s="24">
        <v>152.71</v>
      </c>
      <c r="G8076" s="24">
        <v>0.69</v>
      </c>
      <c r="H8076" s="24" t="s">
        <v>6742</v>
      </c>
      <c r="I8076" s="24" t="s">
        <v>6650</v>
      </c>
      <c r="J8076" s="24">
        <v>0.0</v>
      </c>
    </row>
    <row r="8077">
      <c r="A8077" s="24">
        <v>255.0</v>
      </c>
      <c r="B8077" s="24">
        <v>0.0</v>
      </c>
      <c r="C8077" s="44">
        <v>22.66</v>
      </c>
      <c r="D8077" s="46">
        <v>45903.0</v>
      </c>
      <c r="E8077" s="24" t="s">
        <v>6650</v>
      </c>
      <c r="F8077" s="24">
        <v>88.86</v>
      </c>
      <c r="G8077" s="24">
        <v>0.0</v>
      </c>
      <c r="H8077" s="24" t="s">
        <v>6740</v>
      </c>
      <c r="I8077" s="24" t="s">
        <v>6650</v>
      </c>
      <c r="J8077" s="24">
        <v>0.0</v>
      </c>
    </row>
    <row r="8078">
      <c r="A8078" s="24">
        <v>78.0</v>
      </c>
      <c r="B8078" s="24">
        <v>0.0</v>
      </c>
      <c r="C8078" s="44">
        <v>23.34</v>
      </c>
      <c r="D8078" s="46">
        <v>45903.0</v>
      </c>
      <c r="E8078" s="24" t="s">
        <v>6650</v>
      </c>
      <c r="F8078" s="24">
        <v>299.23</v>
      </c>
      <c r="G8078" s="24">
        <v>0.0</v>
      </c>
      <c r="H8078" s="24" t="s">
        <v>6741</v>
      </c>
      <c r="I8078" s="24" t="s">
        <v>6650</v>
      </c>
      <c r="J8078" s="24">
        <v>0.0</v>
      </c>
    </row>
    <row r="8079">
      <c r="A8079" s="24">
        <v>231.0</v>
      </c>
      <c r="B8079" s="24">
        <v>0.0</v>
      </c>
      <c r="C8079" s="44">
        <v>24.07</v>
      </c>
      <c r="D8079" s="46">
        <v>45904.0</v>
      </c>
      <c r="E8079" s="24" t="s">
        <v>6650</v>
      </c>
      <c r="F8079" s="24">
        <v>104.2</v>
      </c>
      <c r="G8079" s="24">
        <v>0.0</v>
      </c>
      <c r="H8079" s="24" t="s">
        <v>6740</v>
      </c>
      <c r="I8079" s="24" t="s">
        <v>6650</v>
      </c>
      <c r="J8079" s="24">
        <v>0.0</v>
      </c>
    </row>
    <row r="8080">
      <c r="A8080" s="24">
        <v>0.0</v>
      </c>
      <c r="B8080" s="24">
        <v>0.0</v>
      </c>
      <c r="C8080" s="44">
        <v>11.94</v>
      </c>
      <c r="D8080" s="46">
        <v>45904.0</v>
      </c>
      <c r="E8080" s="24" t="s">
        <v>6650</v>
      </c>
      <c r="F8080" s="24" t="s">
        <v>6650</v>
      </c>
      <c r="G8080" s="24" t="s">
        <v>6650</v>
      </c>
      <c r="H8080" s="24" t="s">
        <v>6744</v>
      </c>
      <c r="I8080" s="24" t="s">
        <v>6650</v>
      </c>
      <c r="J8080" s="24">
        <v>0.0</v>
      </c>
    </row>
    <row r="8081">
      <c r="A8081" s="24">
        <v>83.0</v>
      </c>
      <c r="B8081" s="24">
        <v>1.0</v>
      </c>
      <c r="C8081" s="44">
        <v>22.76</v>
      </c>
      <c r="D8081" s="46">
        <v>45904.0</v>
      </c>
      <c r="E8081" s="24">
        <v>22.76</v>
      </c>
      <c r="F8081" s="24">
        <v>274.22</v>
      </c>
      <c r="G8081" s="24">
        <v>1.2</v>
      </c>
      <c r="H8081" s="24" t="s">
        <v>6743</v>
      </c>
      <c r="I8081" s="24" t="s">
        <v>6650</v>
      </c>
      <c r="J8081" s="24">
        <v>0.0</v>
      </c>
    </row>
    <row r="8082">
      <c r="A8082" s="24">
        <v>87.0</v>
      </c>
      <c r="B8082" s="24">
        <v>0.0</v>
      </c>
      <c r="C8082" s="44">
        <v>23.76</v>
      </c>
      <c r="D8082" s="46">
        <v>45904.0</v>
      </c>
      <c r="E8082" s="24" t="s">
        <v>6650</v>
      </c>
      <c r="F8082" s="24">
        <v>273.1</v>
      </c>
      <c r="G8082" s="24">
        <v>0.0</v>
      </c>
      <c r="H8082" s="24" t="s">
        <v>6742</v>
      </c>
      <c r="I8082" s="24" t="s">
        <v>6650</v>
      </c>
      <c r="J8082" s="24">
        <v>0.0</v>
      </c>
    </row>
    <row r="8083">
      <c r="A8083" s="24">
        <v>109.0</v>
      </c>
      <c r="B8083" s="24">
        <v>2.0</v>
      </c>
      <c r="C8083" s="44">
        <v>24.22</v>
      </c>
      <c r="D8083" s="46">
        <v>45904.0</v>
      </c>
      <c r="E8083" s="24">
        <v>12.11</v>
      </c>
      <c r="F8083" s="24">
        <v>222.2</v>
      </c>
      <c r="G8083" s="24">
        <v>1.83</v>
      </c>
      <c r="H8083" s="24" t="s">
        <v>6741</v>
      </c>
      <c r="I8083" s="24" t="s">
        <v>6650</v>
      </c>
      <c r="J8083" s="24">
        <v>0.0</v>
      </c>
    </row>
    <row r="8084">
      <c r="A8084" s="24">
        <v>294.0</v>
      </c>
      <c r="B8084" s="24">
        <v>0.0</v>
      </c>
      <c r="C8084" s="44">
        <v>19.69</v>
      </c>
      <c r="D8084" s="46">
        <v>45905.0</v>
      </c>
      <c r="E8084" s="24" t="s">
        <v>6650</v>
      </c>
      <c r="F8084" s="24">
        <v>66.97</v>
      </c>
      <c r="G8084" s="24">
        <v>0.0</v>
      </c>
      <c r="H8084" s="24" t="s">
        <v>6740</v>
      </c>
      <c r="I8084" s="24" t="s">
        <v>6650</v>
      </c>
      <c r="J8084" s="24">
        <v>0.0</v>
      </c>
    </row>
    <row r="8085">
      <c r="A8085" s="24">
        <v>0.0</v>
      </c>
      <c r="B8085" s="24">
        <v>0.0</v>
      </c>
      <c r="C8085" s="44">
        <v>8.9</v>
      </c>
      <c r="D8085" s="46">
        <v>45905.0</v>
      </c>
      <c r="E8085" s="24" t="s">
        <v>6650</v>
      </c>
      <c r="F8085" s="24" t="s">
        <v>6650</v>
      </c>
      <c r="G8085" s="24" t="s">
        <v>6650</v>
      </c>
      <c r="H8085" s="24" t="s">
        <v>6744</v>
      </c>
      <c r="I8085" s="24" t="s">
        <v>6650</v>
      </c>
      <c r="J8085" s="24">
        <v>0.0</v>
      </c>
    </row>
    <row r="8086">
      <c r="A8086" s="24">
        <v>97.0</v>
      </c>
      <c r="B8086" s="24">
        <v>0.0</v>
      </c>
      <c r="C8086" s="44">
        <v>17.9</v>
      </c>
      <c r="D8086" s="46">
        <v>45905.0</v>
      </c>
      <c r="E8086" s="24" t="s">
        <v>6650</v>
      </c>
      <c r="F8086" s="24">
        <v>184.54</v>
      </c>
      <c r="G8086" s="24">
        <v>0.0</v>
      </c>
      <c r="H8086" s="24" t="s">
        <v>6742</v>
      </c>
      <c r="I8086" s="24" t="s">
        <v>6650</v>
      </c>
      <c r="J8086" s="24">
        <v>0.0</v>
      </c>
    </row>
    <row r="8087">
      <c r="A8087" s="24">
        <v>89.0</v>
      </c>
      <c r="B8087" s="24">
        <v>0.0</v>
      </c>
      <c r="C8087" s="44">
        <v>20.86</v>
      </c>
      <c r="D8087" s="46">
        <v>45905.0</v>
      </c>
      <c r="E8087" s="24" t="s">
        <v>6650</v>
      </c>
      <c r="F8087" s="24">
        <v>234.38</v>
      </c>
      <c r="G8087" s="24">
        <v>0.0</v>
      </c>
      <c r="H8087" s="24" t="s">
        <v>6741</v>
      </c>
      <c r="I8087" s="24" t="s">
        <v>6650</v>
      </c>
      <c r="J8087" s="24">
        <v>0.0</v>
      </c>
    </row>
    <row r="8088">
      <c r="A8088" s="24">
        <v>67.0</v>
      </c>
      <c r="B8088" s="24">
        <v>2.0</v>
      </c>
      <c r="C8088" s="44">
        <v>20.92</v>
      </c>
      <c r="D8088" s="46">
        <v>45905.0</v>
      </c>
      <c r="E8088" s="24">
        <v>10.46</v>
      </c>
      <c r="F8088" s="24">
        <v>312.24</v>
      </c>
      <c r="G8088" s="24">
        <v>2.99</v>
      </c>
      <c r="H8088" s="24" t="s">
        <v>6743</v>
      </c>
      <c r="I8088" s="24" t="s">
        <v>6650</v>
      </c>
      <c r="J8088" s="24">
        <v>0.0</v>
      </c>
    </row>
    <row r="8089">
      <c r="A8089" s="24">
        <v>45.0</v>
      </c>
      <c r="B8089" s="24">
        <v>0.0</v>
      </c>
      <c r="C8089" s="44">
        <v>10.23</v>
      </c>
      <c r="D8089" s="46">
        <v>45906.0</v>
      </c>
      <c r="E8089" s="24" t="s">
        <v>6650</v>
      </c>
      <c r="F8089" s="24">
        <v>227.33</v>
      </c>
      <c r="G8089" s="24">
        <v>0.0</v>
      </c>
      <c r="H8089" s="24" t="s">
        <v>6741</v>
      </c>
      <c r="I8089" s="24" t="s">
        <v>6650</v>
      </c>
      <c r="J8089" s="24">
        <v>0.0</v>
      </c>
    </row>
    <row r="8090">
      <c r="A8090" s="24">
        <v>0.0</v>
      </c>
      <c r="B8090" s="24">
        <v>0.0</v>
      </c>
      <c r="C8090" s="44">
        <v>8.01</v>
      </c>
      <c r="D8090" s="46">
        <v>45906.0</v>
      </c>
      <c r="E8090" s="24" t="s">
        <v>6650</v>
      </c>
      <c r="F8090" s="24" t="s">
        <v>6650</v>
      </c>
      <c r="G8090" s="24" t="s">
        <v>6650</v>
      </c>
      <c r="H8090" s="24" t="s">
        <v>6744</v>
      </c>
      <c r="I8090" s="24" t="s">
        <v>6650</v>
      </c>
      <c r="J8090" s="24">
        <v>0.0</v>
      </c>
    </row>
    <row r="8091">
      <c r="A8091" s="24">
        <v>54.0</v>
      </c>
      <c r="B8091" s="24">
        <v>1.0</v>
      </c>
      <c r="C8091" s="44">
        <v>13.07</v>
      </c>
      <c r="D8091" s="46">
        <v>45906.0</v>
      </c>
      <c r="E8091" s="24">
        <v>13.07</v>
      </c>
      <c r="F8091" s="24">
        <v>242.04</v>
      </c>
      <c r="G8091" s="24">
        <v>1.85</v>
      </c>
      <c r="H8091" s="24" t="s">
        <v>6742</v>
      </c>
      <c r="I8091" s="24" t="s">
        <v>6650</v>
      </c>
      <c r="J8091" s="24">
        <v>0.0</v>
      </c>
    </row>
    <row r="8092">
      <c r="A8092" s="24">
        <v>43.0</v>
      </c>
      <c r="B8092" s="24">
        <v>1.0</v>
      </c>
      <c r="C8092" s="44">
        <v>9.47</v>
      </c>
      <c r="D8092" s="46">
        <v>45906.0</v>
      </c>
      <c r="E8092" s="24">
        <v>9.47</v>
      </c>
      <c r="F8092" s="24">
        <v>220.23</v>
      </c>
      <c r="G8092" s="24">
        <v>2.33</v>
      </c>
      <c r="H8092" s="24" t="s">
        <v>6743</v>
      </c>
      <c r="I8092" s="24" t="s">
        <v>6650</v>
      </c>
      <c r="J8092" s="24">
        <v>0.0</v>
      </c>
    </row>
    <row r="8093">
      <c r="A8093" s="24">
        <v>109.0</v>
      </c>
      <c r="B8093" s="24">
        <v>2.0</v>
      </c>
      <c r="C8093" s="44">
        <v>10.94</v>
      </c>
      <c r="D8093" s="46">
        <v>45906.0</v>
      </c>
      <c r="E8093" s="24">
        <v>5.47</v>
      </c>
      <c r="F8093" s="24">
        <v>100.37</v>
      </c>
      <c r="G8093" s="24">
        <v>1.83</v>
      </c>
      <c r="H8093" s="24" t="s">
        <v>6740</v>
      </c>
      <c r="I8093" s="24" t="s">
        <v>6650</v>
      </c>
      <c r="J8093" s="24">
        <v>0.0</v>
      </c>
    </row>
    <row r="8094">
      <c r="A8094" s="24">
        <v>0.0</v>
      </c>
      <c r="B8094" s="24">
        <v>0.0</v>
      </c>
      <c r="C8094" s="44">
        <v>3.03</v>
      </c>
      <c r="D8094" s="46">
        <v>45907.0</v>
      </c>
      <c r="E8094" s="24" t="s">
        <v>6650</v>
      </c>
      <c r="F8094" s="24" t="s">
        <v>6650</v>
      </c>
      <c r="G8094" s="24" t="s">
        <v>6650</v>
      </c>
      <c r="H8094" s="24" t="s">
        <v>6744</v>
      </c>
      <c r="I8094" s="24" t="s">
        <v>6650</v>
      </c>
      <c r="J8094" s="24">
        <v>0.0</v>
      </c>
    </row>
    <row r="8095">
      <c r="A8095" s="24">
        <v>21.0</v>
      </c>
      <c r="B8095" s="24">
        <v>0.0</v>
      </c>
      <c r="C8095" s="44">
        <v>5.03</v>
      </c>
      <c r="D8095" s="46">
        <v>45907.0</v>
      </c>
      <c r="E8095" s="24" t="s">
        <v>6650</v>
      </c>
      <c r="F8095" s="24">
        <v>239.52</v>
      </c>
      <c r="G8095" s="24">
        <v>0.0</v>
      </c>
      <c r="H8095" s="24" t="s">
        <v>6741</v>
      </c>
      <c r="I8095" s="24" t="s">
        <v>6650</v>
      </c>
      <c r="J8095" s="24">
        <v>0.0</v>
      </c>
    </row>
    <row r="8096">
      <c r="A8096" s="24">
        <v>20.0</v>
      </c>
      <c r="B8096" s="24">
        <v>0.0</v>
      </c>
      <c r="C8096" s="44">
        <v>5.44</v>
      </c>
      <c r="D8096" s="46">
        <v>45907.0</v>
      </c>
      <c r="E8096" s="24" t="s">
        <v>6650</v>
      </c>
      <c r="F8096" s="24">
        <v>272.0</v>
      </c>
      <c r="G8096" s="24">
        <v>0.0</v>
      </c>
      <c r="H8096" s="24" t="s">
        <v>6742</v>
      </c>
      <c r="I8096" s="24" t="s">
        <v>6650</v>
      </c>
      <c r="J8096" s="24">
        <v>0.0</v>
      </c>
    </row>
    <row r="8097">
      <c r="A8097" s="24">
        <v>22.0</v>
      </c>
      <c r="B8097" s="24">
        <v>1.0</v>
      </c>
      <c r="C8097" s="44">
        <v>5.25</v>
      </c>
      <c r="D8097" s="46">
        <v>45907.0</v>
      </c>
      <c r="E8097" s="24">
        <v>5.25</v>
      </c>
      <c r="F8097" s="24">
        <v>238.64</v>
      </c>
      <c r="G8097" s="24">
        <v>4.55</v>
      </c>
      <c r="H8097" s="24" t="s">
        <v>6743</v>
      </c>
      <c r="I8097" s="24" t="s">
        <v>6650</v>
      </c>
      <c r="J8097" s="24">
        <v>0.0</v>
      </c>
    </row>
    <row r="8098">
      <c r="A8098" s="24">
        <v>104.0</v>
      </c>
      <c r="B8098" s="24">
        <v>0.0</v>
      </c>
      <c r="C8098" s="44">
        <v>7.82</v>
      </c>
      <c r="D8098" s="46">
        <v>45907.0</v>
      </c>
      <c r="E8098" s="24" t="s">
        <v>6650</v>
      </c>
      <c r="F8098" s="24">
        <v>75.19</v>
      </c>
      <c r="G8098" s="24">
        <v>0.0</v>
      </c>
      <c r="H8098" s="24" t="s">
        <v>6740</v>
      </c>
      <c r="I8098" s="24" t="s">
        <v>6650</v>
      </c>
      <c r="J8098" s="24">
        <v>0.0</v>
      </c>
    </row>
    <row r="8099">
      <c r="A8099" s="24">
        <v>51.0</v>
      </c>
      <c r="B8099" s="24">
        <v>0.0</v>
      </c>
      <c r="C8099" s="44">
        <v>23.59</v>
      </c>
      <c r="D8099" s="46">
        <v>45908.0</v>
      </c>
      <c r="E8099" s="24" t="s">
        <v>6650</v>
      </c>
      <c r="F8099" s="24">
        <v>462.55</v>
      </c>
      <c r="G8099" s="24">
        <v>0.0</v>
      </c>
      <c r="H8099" s="24" t="s">
        <v>6743</v>
      </c>
      <c r="I8099" s="24" t="s">
        <v>6650</v>
      </c>
      <c r="J8099" s="24">
        <v>0.0</v>
      </c>
    </row>
    <row r="8100">
      <c r="A8100" s="24">
        <v>114.0</v>
      </c>
      <c r="B8100" s="24">
        <v>0.0</v>
      </c>
      <c r="C8100" s="44">
        <v>20.65</v>
      </c>
      <c r="D8100" s="46">
        <v>45908.0</v>
      </c>
      <c r="E8100" s="24" t="s">
        <v>6650</v>
      </c>
      <c r="F8100" s="24">
        <v>181.14</v>
      </c>
      <c r="G8100" s="24">
        <v>0.0</v>
      </c>
      <c r="H8100" s="24" t="s">
        <v>6741</v>
      </c>
      <c r="I8100" s="24" t="s">
        <v>6650</v>
      </c>
      <c r="J8100" s="24">
        <v>0.0</v>
      </c>
    </row>
    <row r="8101">
      <c r="A8101" s="24">
        <v>186.0</v>
      </c>
      <c r="B8101" s="24">
        <v>2.0</v>
      </c>
      <c r="C8101" s="44">
        <v>20.5</v>
      </c>
      <c r="D8101" s="46">
        <v>45908.0</v>
      </c>
      <c r="E8101" s="24">
        <v>10.25</v>
      </c>
      <c r="F8101" s="24">
        <v>110.22</v>
      </c>
      <c r="G8101" s="24">
        <v>1.08</v>
      </c>
      <c r="H8101" s="24" t="s">
        <v>6740</v>
      </c>
      <c r="I8101" s="24" t="s">
        <v>6650</v>
      </c>
      <c r="J8101" s="24">
        <v>0.0</v>
      </c>
    </row>
    <row r="8102">
      <c r="A8102" s="24">
        <v>66.0</v>
      </c>
      <c r="B8102" s="24">
        <v>0.0</v>
      </c>
      <c r="C8102" s="44">
        <v>23.05</v>
      </c>
      <c r="D8102" s="46">
        <v>45908.0</v>
      </c>
      <c r="E8102" s="24" t="s">
        <v>6650</v>
      </c>
      <c r="F8102" s="24">
        <v>349.24</v>
      </c>
      <c r="G8102" s="24">
        <v>0.0</v>
      </c>
      <c r="H8102" s="24" t="s">
        <v>6742</v>
      </c>
      <c r="I8102" s="24" t="s">
        <v>6650</v>
      </c>
      <c r="J8102" s="24">
        <v>0.0</v>
      </c>
    </row>
    <row r="8103">
      <c r="A8103" s="24">
        <v>0.0</v>
      </c>
      <c r="B8103" s="24">
        <v>0.0</v>
      </c>
      <c r="C8103" s="44">
        <v>11.13</v>
      </c>
      <c r="D8103" s="46">
        <v>45908.0</v>
      </c>
      <c r="E8103" s="24" t="s">
        <v>6650</v>
      </c>
      <c r="F8103" s="24" t="s">
        <v>6650</v>
      </c>
      <c r="G8103" s="24" t="s">
        <v>6650</v>
      </c>
      <c r="H8103" s="24" t="s">
        <v>6744</v>
      </c>
      <c r="I8103" s="24" t="s">
        <v>6650</v>
      </c>
      <c r="J8103" s="24">
        <v>0.0</v>
      </c>
    </row>
    <row r="8104">
      <c r="A8104" s="24">
        <v>80.0</v>
      </c>
      <c r="B8104" s="24">
        <v>1.0</v>
      </c>
      <c r="C8104" s="44">
        <v>23.58</v>
      </c>
      <c r="D8104" s="46">
        <v>45909.0</v>
      </c>
      <c r="E8104" s="24">
        <v>23.58</v>
      </c>
      <c r="F8104" s="24">
        <v>294.75</v>
      </c>
      <c r="G8104" s="24">
        <v>1.25</v>
      </c>
      <c r="H8104" s="24" t="s">
        <v>6741</v>
      </c>
      <c r="I8104" s="24" t="s">
        <v>6650</v>
      </c>
      <c r="J8104" s="24">
        <v>0.0</v>
      </c>
    </row>
    <row r="8105">
      <c r="A8105" s="24">
        <v>318.0</v>
      </c>
      <c r="B8105" s="24">
        <v>1.0</v>
      </c>
      <c r="C8105" s="44">
        <v>23.53</v>
      </c>
      <c r="D8105" s="46">
        <v>45909.0</v>
      </c>
      <c r="E8105" s="24">
        <v>23.53</v>
      </c>
      <c r="F8105" s="24">
        <v>73.99</v>
      </c>
      <c r="G8105" s="24">
        <v>0.31</v>
      </c>
      <c r="H8105" s="24" t="s">
        <v>6740</v>
      </c>
      <c r="I8105" s="24" t="s">
        <v>6650</v>
      </c>
      <c r="J8105" s="24">
        <v>0.0</v>
      </c>
    </row>
    <row r="8106">
      <c r="A8106" s="24">
        <v>95.0</v>
      </c>
      <c r="B8106" s="24">
        <v>1.0</v>
      </c>
      <c r="C8106" s="44">
        <v>24.71</v>
      </c>
      <c r="D8106" s="46">
        <v>45909.0</v>
      </c>
      <c r="E8106" s="24">
        <v>24.71</v>
      </c>
      <c r="F8106" s="24">
        <v>260.11</v>
      </c>
      <c r="G8106" s="24">
        <v>1.05</v>
      </c>
      <c r="H8106" s="24" t="s">
        <v>6743</v>
      </c>
      <c r="I8106" s="24" t="s">
        <v>6650</v>
      </c>
      <c r="J8106" s="24">
        <v>0.0</v>
      </c>
    </row>
    <row r="8107">
      <c r="A8107" s="24">
        <v>0.0</v>
      </c>
      <c r="B8107" s="24">
        <v>0.0</v>
      </c>
      <c r="C8107" s="44">
        <v>11.29</v>
      </c>
      <c r="D8107" s="46">
        <v>45909.0</v>
      </c>
      <c r="E8107" s="24" t="s">
        <v>6650</v>
      </c>
      <c r="F8107" s="24" t="s">
        <v>6650</v>
      </c>
      <c r="G8107" s="24" t="s">
        <v>6650</v>
      </c>
      <c r="H8107" s="24" t="s">
        <v>6744</v>
      </c>
      <c r="I8107" s="24" t="s">
        <v>6650</v>
      </c>
      <c r="J8107" s="24">
        <v>0.0</v>
      </c>
    </row>
    <row r="8108">
      <c r="A8108" s="24">
        <v>84.0</v>
      </c>
      <c r="B8108" s="24">
        <v>1.0</v>
      </c>
      <c r="C8108" s="44">
        <v>27.59</v>
      </c>
      <c r="D8108" s="46">
        <v>45909.0</v>
      </c>
      <c r="E8108" s="24">
        <v>27.59</v>
      </c>
      <c r="F8108" s="24">
        <v>328.45</v>
      </c>
      <c r="G8108" s="24">
        <v>1.19</v>
      </c>
      <c r="H8108" s="24" t="s">
        <v>6742</v>
      </c>
      <c r="I8108" s="24" t="s">
        <v>6650</v>
      </c>
      <c r="J8108" s="24">
        <v>0.0</v>
      </c>
    </row>
    <row r="8109">
      <c r="A8109" s="24">
        <v>104.0</v>
      </c>
      <c r="B8109" s="24">
        <v>2.0</v>
      </c>
      <c r="C8109" s="44">
        <v>24.79</v>
      </c>
      <c r="D8109" s="46">
        <v>45910.0</v>
      </c>
      <c r="E8109" s="24">
        <v>12.4</v>
      </c>
      <c r="F8109" s="24">
        <v>238.37</v>
      </c>
      <c r="G8109" s="24">
        <v>1.92</v>
      </c>
      <c r="H8109" s="24" t="s">
        <v>6743</v>
      </c>
      <c r="I8109" s="24" t="s">
        <v>6650</v>
      </c>
      <c r="J8109" s="24">
        <v>0.0</v>
      </c>
    </row>
    <row r="8110">
      <c r="A8110" s="24">
        <v>0.0</v>
      </c>
      <c r="B8110" s="24">
        <v>0.0</v>
      </c>
      <c r="C8110" s="44">
        <v>4.94</v>
      </c>
      <c r="D8110" s="46">
        <v>45910.0</v>
      </c>
      <c r="E8110" s="24" t="s">
        <v>6650</v>
      </c>
      <c r="F8110" s="24" t="s">
        <v>6650</v>
      </c>
      <c r="G8110" s="24" t="s">
        <v>6650</v>
      </c>
      <c r="H8110" s="24" t="s">
        <v>6744</v>
      </c>
      <c r="I8110" s="24" t="s">
        <v>6650</v>
      </c>
      <c r="J8110" s="24">
        <v>0.0</v>
      </c>
    </row>
    <row r="8111">
      <c r="A8111" s="24">
        <v>273.0</v>
      </c>
      <c r="B8111" s="24">
        <v>0.0</v>
      </c>
      <c r="C8111" s="44">
        <v>24.3</v>
      </c>
      <c r="D8111" s="46">
        <v>45910.0</v>
      </c>
      <c r="E8111" s="24" t="s">
        <v>6650</v>
      </c>
      <c r="F8111" s="24">
        <v>89.01</v>
      </c>
      <c r="G8111" s="24">
        <v>0.0</v>
      </c>
      <c r="H8111" s="24" t="s">
        <v>6740</v>
      </c>
      <c r="I8111" s="24" t="s">
        <v>6650</v>
      </c>
      <c r="J8111" s="24">
        <v>0.0</v>
      </c>
    </row>
    <row r="8112">
      <c r="A8112" s="24">
        <v>84.0</v>
      </c>
      <c r="B8112" s="24">
        <v>0.0</v>
      </c>
      <c r="C8112" s="44">
        <v>26.94</v>
      </c>
      <c r="D8112" s="46">
        <v>45910.0</v>
      </c>
      <c r="E8112" s="24" t="s">
        <v>6650</v>
      </c>
      <c r="F8112" s="24">
        <v>320.71</v>
      </c>
      <c r="G8112" s="24">
        <v>0.0</v>
      </c>
      <c r="H8112" s="24" t="s">
        <v>6741</v>
      </c>
      <c r="I8112" s="24" t="s">
        <v>6650</v>
      </c>
      <c r="J8112" s="24">
        <v>0.0</v>
      </c>
    </row>
    <row r="8113">
      <c r="A8113" s="24">
        <v>72.0</v>
      </c>
      <c r="B8113" s="24">
        <v>1.0</v>
      </c>
      <c r="C8113" s="44">
        <v>22.75</v>
      </c>
      <c r="D8113" s="46">
        <v>45910.0</v>
      </c>
      <c r="E8113" s="24">
        <v>22.75</v>
      </c>
      <c r="F8113" s="24">
        <v>315.97</v>
      </c>
      <c r="G8113" s="24">
        <v>1.39</v>
      </c>
      <c r="H8113" s="24" t="s">
        <v>6742</v>
      </c>
      <c r="I8113" s="24" t="s">
        <v>6650</v>
      </c>
      <c r="J8113" s="24">
        <v>0.0</v>
      </c>
    </row>
    <row r="8114">
      <c r="A8114" s="24">
        <v>107.0</v>
      </c>
      <c r="B8114" s="24">
        <v>2.0</v>
      </c>
      <c r="C8114" s="44">
        <v>22.32</v>
      </c>
      <c r="D8114" s="46">
        <v>45911.0</v>
      </c>
      <c r="E8114" s="24">
        <v>11.16</v>
      </c>
      <c r="F8114" s="24">
        <v>208.6</v>
      </c>
      <c r="G8114" s="24">
        <v>1.87</v>
      </c>
      <c r="H8114" s="24" t="s">
        <v>6743</v>
      </c>
      <c r="I8114" s="24" t="s">
        <v>6650</v>
      </c>
      <c r="J8114" s="24">
        <v>0.0</v>
      </c>
    </row>
    <row r="8115">
      <c r="A8115" s="24">
        <v>94.0</v>
      </c>
      <c r="B8115" s="24">
        <v>0.0</v>
      </c>
      <c r="C8115" s="44">
        <v>26.99</v>
      </c>
      <c r="D8115" s="46">
        <v>45911.0</v>
      </c>
      <c r="E8115" s="24" t="s">
        <v>6650</v>
      </c>
      <c r="F8115" s="24">
        <v>287.13</v>
      </c>
      <c r="G8115" s="24">
        <v>0.0</v>
      </c>
      <c r="H8115" s="24" t="s">
        <v>6742</v>
      </c>
      <c r="I8115" s="24" t="s">
        <v>6650</v>
      </c>
      <c r="J8115" s="24">
        <v>0.0</v>
      </c>
    </row>
    <row r="8116">
      <c r="A8116" s="24">
        <v>103.0</v>
      </c>
      <c r="B8116" s="24">
        <v>2.0</v>
      </c>
      <c r="C8116" s="44">
        <v>23.38</v>
      </c>
      <c r="D8116" s="46">
        <v>45911.0</v>
      </c>
      <c r="E8116" s="24">
        <v>11.69</v>
      </c>
      <c r="F8116" s="24">
        <v>226.99</v>
      </c>
      <c r="G8116" s="24">
        <v>1.94</v>
      </c>
      <c r="H8116" s="24" t="s">
        <v>6741</v>
      </c>
      <c r="I8116" s="24" t="s">
        <v>6650</v>
      </c>
      <c r="J8116" s="24">
        <v>0.0</v>
      </c>
    </row>
    <row r="8117">
      <c r="A8117" s="24">
        <v>347.0</v>
      </c>
      <c r="B8117" s="24">
        <v>0.0</v>
      </c>
      <c r="C8117" s="44">
        <v>23.66</v>
      </c>
      <c r="D8117" s="46">
        <v>45911.0</v>
      </c>
      <c r="E8117" s="24" t="s">
        <v>6650</v>
      </c>
      <c r="F8117" s="24">
        <v>68.18</v>
      </c>
      <c r="G8117" s="24">
        <v>0.0</v>
      </c>
      <c r="H8117" s="24" t="s">
        <v>6740</v>
      </c>
      <c r="I8117" s="24" t="s">
        <v>6650</v>
      </c>
      <c r="J8117" s="24">
        <v>0.0</v>
      </c>
    </row>
    <row r="8118">
      <c r="A8118" s="24">
        <v>240.0</v>
      </c>
      <c r="B8118" s="24">
        <v>1.0</v>
      </c>
      <c r="C8118" s="44">
        <v>21.95</v>
      </c>
      <c r="D8118" s="46">
        <v>45912.0</v>
      </c>
      <c r="E8118" s="24">
        <v>21.95</v>
      </c>
      <c r="F8118" s="24">
        <v>91.46</v>
      </c>
      <c r="G8118" s="24">
        <v>0.42</v>
      </c>
      <c r="H8118" s="24" t="s">
        <v>6740</v>
      </c>
      <c r="I8118" s="24" t="s">
        <v>6650</v>
      </c>
      <c r="J8118" s="24">
        <v>0.0</v>
      </c>
    </row>
    <row r="8119">
      <c r="A8119" s="24">
        <v>65.0</v>
      </c>
      <c r="B8119" s="24">
        <v>4.0</v>
      </c>
      <c r="C8119" s="44">
        <v>18.47</v>
      </c>
      <c r="D8119" s="46">
        <v>45912.0</v>
      </c>
      <c r="E8119" s="24">
        <v>4.62</v>
      </c>
      <c r="F8119" s="24">
        <v>284.15</v>
      </c>
      <c r="G8119" s="24">
        <v>6.15</v>
      </c>
      <c r="H8119" s="24" t="s">
        <v>6742</v>
      </c>
      <c r="I8119" s="24" t="s">
        <v>6650</v>
      </c>
      <c r="J8119" s="24">
        <v>0.0</v>
      </c>
    </row>
    <row r="8120">
      <c r="A8120" s="24">
        <v>112.0</v>
      </c>
      <c r="B8120" s="24">
        <v>0.0</v>
      </c>
      <c r="C8120" s="44">
        <v>21.01</v>
      </c>
      <c r="D8120" s="46">
        <v>45912.0</v>
      </c>
      <c r="E8120" s="24" t="s">
        <v>6650</v>
      </c>
      <c r="F8120" s="24">
        <v>187.59</v>
      </c>
      <c r="G8120" s="24">
        <v>0.0</v>
      </c>
      <c r="H8120" s="24" t="s">
        <v>6741</v>
      </c>
      <c r="I8120" s="24" t="s">
        <v>6650</v>
      </c>
      <c r="J8120" s="24">
        <v>0.0</v>
      </c>
    </row>
    <row r="8121">
      <c r="A8121" s="24">
        <v>90.0</v>
      </c>
      <c r="B8121" s="24">
        <v>2.0</v>
      </c>
      <c r="C8121" s="44">
        <v>20.78</v>
      </c>
      <c r="D8121" s="46">
        <v>45912.0</v>
      </c>
      <c r="E8121" s="24">
        <v>10.39</v>
      </c>
      <c r="F8121" s="24">
        <v>230.89</v>
      </c>
      <c r="G8121" s="24">
        <v>2.22</v>
      </c>
      <c r="H8121" s="24" t="s">
        <v>6743</v>
      </c>
      <c r="I8121" s="24" t="s">
        <v>6650</v>
      </c>
      <c r="J8121" s="24">
        <v>0.0</v>
      </c>
    </row>
    <row r="8122">
      <c r="A8122" s="24">
        <v>39.0</v>
      </c>
      <c r="B8122" s="24">
        <v>2.0</v>
      </c>
      <c r="C8122" s="44">
        <v>10.61</v>
      </c>
      <c r="D8122" s="46">
        <v>45913.0</v>
      </c>
      <c r="E8122" s="24">
        <v>5.3</v>
      </c>
      <c r="F8122" s="24">
        <v>272.05</v>
      </c>
      <c r="G8122" s="24">
        <v>5.13</v>
      </c>
      <c r="H8122" s="24" t="s">
        <v>6743</v>
      </c>
      <c r="I8122" s="24" t="s">
        <v>6650</v>
      </c>
      <c r="J8122" s="24">
        <v>0.0</v>
      </c>
    </row>
    <row r="8123">
      <c r="A8123" s="24">
        <v>29.0</v>
      </c>
      <c r="B8123" s="24">
        <v>0.0</v>
      </c>
      <c r="C8123" s="44">
        <v>11.04</v>
      </c>
      <c r="D8123" s="46">
        <v>45913.0</v>
      </c>
      <c r="E8123" s="24" t="s">
        <v>6650</v>
      </c>
      <c r="F8123" s="24">
        <v>380.69</v>
      </c>
      <c r="G8123" s="24">
        <v>0.0</v>
      </c>
      <c r="H8123" s="24" t="s">
        <v>6742</v>
      </c>
      <c r="I8123" s="24" t="s">
        <v>6650</v>
      </c>
      <c r="J8123" s="24">
        <v>0.0</v>
      </c>
    </row>
    <row r="8124">
      <c r="A8124" s="24">
        <v>134.0</v>
      </c>
      <c r="B8124" s="24">
        <v>1.0</v>
      </c>
      <c r="C8124" s="44">
        <v>11.94</v>
      </c>
      <c r="D8124" s="46">
        <v>45913.0</v>
      </c>
      <c r="E8124" s="24">
        <v>11.94</v>
      </c>
      <c r="F8124" s="24">
        <v>89.1</v>
      </c>
      <c r="G8124" s="24">
        <v>0.75</v>
      </c>
      <c r="H8124" s="24" t="s">
        <v>6740</v>
      </c>
      <c r="I8124" s="24" t="s">
        <v>6650</v>
      </c>
      <c r="J8124" s="24">
        <v>0.0</v>
      </c>
    </row>
    <row r="8125">
      <c r="A8125" s="24">
        <v>40.0</v>
      </c>
      <c r="B8125" s="24">
        <v>0.0</v>
      </c>
      <c r="C8125" s="44">
        <v>12.25</v>
      </c>
      <c r="D8125" s="46">
        <v>45913.0</v>
      </c>
      <c r="E8125" s="24" t="s">
        <v>6650</v>
      </c>
      <c r="F8125" s="24">
        <v>306.25</v>
      </c>
      <c r="G8125" s="24">
        <v>0.0</v>
      </c>
      <c r="H8125" s="24" t="s">
        <v>6741</v>
      </c>
      <c r="I8125" s="24" t="s">
        <v>6650</v>
      </c>
      <c r="J8125" s="24">
        <v>0.0</v>
      </c>
    </row>
    <row r="8126">
      <c r="A8126" s="24">
        <v>92.0</v>
      </c>
      <c r="B8126" s="24">
        <v>0.0</v>
      </c>
      <c r="C8126" s="44">
        <v>8.87</v>
      </c>
      <c r="D8126" s="46">
        <v>45914.0</v>
      </c>
      <c r="E8126" s="24" t="s">
        <v>6650</v>
      </c>
      <c r="F8126" s="24">
        <v>96.41</v>
      </c>
      <c r="G8126" s="24">
        <v>0.0</v>
      </c>
      <c r="H8126" s="24" t="s">
        <v>6740</v>
      </c>
      <c r="I8126" s="24" t="s">
        <v>6650</v>
      </c>
      <c r="J8126" s="24">
        <v>0.0</v>
      </c>
    </row>
    <row r="8127">
      <c r="A8127" s="24">
        <v>19.0</v>
      </c>
      <c r="B8127" s="24">
        <v>0.0</v>
      </c>
      <c r="C8127" s="44">
        <v>3.11</v>
      </c>
      <c r="D8127" s="46">
        <v>45914.0</v>
      </c>
      <c r="E8127" s="24" t="s">
        <v>6650</v>
      </c>
      <c r="F8127" s="24">
        <v>163.68</v>
      </c>
      <c r="G8127" s="24">
        <v>0.0</v>
      </c>
      <c r="H8127" s="24" t="s">
        <v>6742</v>
      </c>
      <c r="I8127" s="24" t="s">
        <v>6650</v>
      </c>
      <c r="J8127" s="24">
        <v>0.0</v>
      </c>
    </row>
    <row r="8128">
      <c r="A8128" s="24">
        <v>23.0</v>
      </c>
      <c r="B8128" s="24">
        <v>0.0</v>
      </c>
      <c r="C8128" s="44">
        <v>5.19</v>
      </c>
      <c r="D8128" s="46">
        <v>45914.0</v>
      </c>
      <c r="E8128" s="24" t="s">
        <v>6650</v>
      </c>
      <c r="F8128" s="24">
        <v>225.65</v>
      </c>
      <c r="G8128" s="24">
        <v>0.0</v>
      </c>
      <c r="H8128" s="24" t="s">
        <v>6741</v>
      </c>
      <c r="I8128" s="24" t="s">
        <v>6650</v>
      </c>
      <c r="J8128" s="24">
        <v>0.0</v>
      </c>
    </row>
    <row r="8129">
      <c r="A8129" s="24">
        <v>33.0</v>
      </c>
      <c r="B8129" s="24">
        <v>0.0</v>
      </c>
      <c r="C8129" s="44">
        <v>6.2</v>
      </c>
      <c r="D8129" s="46">
        <v>45914.0</v>
      </c>
      <c r="E8129" s="24" t="s">
        <v>6650</v>
      </c>
      <c r="F8129" s="24">
        <v>187.88</v>
      </c>
      <c r="G8129" s="24">
        <v>0.0</v>
      </c>
      <c r="H8129" s="24" t="s">
        <v>6743</v>
      </c>
      <c r="I8129" s="24" t="s">
        <v>6650</v>
      </c>
      <c r="J8129" s="24">
        <v>0.0</v>
      </c>
    </row>
    <row r="8130">
      <c r="A8130" s="24">
        <v>59.0</v>
      </c>
      <c r="B8130" s="24">
        <v>0.0</v>
      </c>
      <c r="C8130" s="44">
        <v>21.45</v>
      </c>
      <c r="D8130" s="46">
        <v>45915.0</v>
      </c>
      <c r="E8130" s="24" t="s">
        <v>6650</v>
      </c>
      <c r="F8130" s="24">
        <v>363.56</v>
      </c>
      <c r="G8130" s="24">
        <v>0.0</v>
      </c>
      <c r="H8130" s="24" t="s">
        <v>6741</v>
      </c>
      <c r="I8130" s="24" t="s">
        <v>6650</v>
      </c>
      <c r="J8130" s="24">
        <v>0.0</v>
      </c>
    </row>
    <row r="8131">
      <c r="A8131" s="24">
        <v>81.0</v>
      </c>
      <c r="B8131" s="24">
        <v>3.0</v>
      </c>
      <c r="C8131" s="44">
        <v>20.78</v>
      </c>
      <c r="D8131" s="46">
        <v>45915.0</v>
      </c>
      <c r="E8131" s="24">
        <v>6.93</v>
      </c>
      <c r="F8131" s="24">
        <v>256.54</v>
      </c>
      <c r="G8131" s="24">
        <v>3.7</v>
      </c>
      <c r="H8131" s="24" t="s">
        <v>6743</v>
      </c>
      <c r="I8131" s="24" t="s">
        <v>6650</v>
      </c>
      <c r="J8131" s="24">
        <v>0.0</v>
      </c>
    </row>
    <row r="8132">
      <c r="A8132" s="24">
        <v>190.0</v>
      </c>
      <c r="B8132" s="24">
        <v>1.0</v>
      </c>
      <c r="C8132" s="44">
        <v>21.42</v>
      </c>
      <c r="D8132" s="46">
        <v>45915.0</v>
      </c>
      <c r="E8132" s="24">
        <v>21.42</v>
      </c>
      <c r="F8132" s="24">
        <v>112.74</v>
      </c>
      <c r="G8132" s="24">
        <v>0.53</v>
      </c>
      <c r="H8132" s="24" t="s">
        <v>6740</v>
      </c>
      <c r="I8132" s="24" t="s">
        <v>6650</v>
      </c>
      <c r="J8132" s="24">
        <v>0.0</v>
      </c>
    </row>
    <row r="8133">
      <c r="A8133" s="24">
        <v>43.0</v>
      </c>
      <c r="B8133" s="24">
        <v>0.0</v>
      </c>
      <c r="C8133" s="44">
        <v>23.48</v>
      </c>
      <c r="D8133" s="46">
        <v>45915.0</v>
      </c>
      <c r="E8133" s="24" t="s">
        <v>6650</v>
      </c>
      <c r="F8133" s="24">
        <v>546.05</v>
      </c>
      <c r="G8133" s="24">
        <v>0.0</v>
      </c>
      <c r="H8133" s="24" t="s">
        <v>6742</v>
      </c>
      <c r="I8133" s="24" t="s">
        <v>6650</v>
      </c>
      <c r="J8133" s="24">
        <v>0.0</v>
      </c>
    </row>
    <row r="8134">
      <c r="A8134" s="24">
        <v>277.0</v>
      </c>
      <c r="B8134" s="24">
        <v>0.0</v>
      </c>
      <c r="C8134" s="44">
        <v>22.99</v>
      </c>
      <c r="D8134" s="46">
        <v>45916.0</v>
      </c>
      <c r="E8134" s="24" t="s">
        <v>6650</v>
      </c>
      <c r="F8134" s="24">
        <v>83.0</v>
      </c>
      <c r="G8134" s="24">
        <v>0.0</v>
      </c>
      <c r="H8134" s="24" t="s">
        <v>6740</v>
      </c>
      <c r="I8134" s="24" t="s">
        <v>6650</v>
      </c>
      <c r="J8134" s="24">
        <v>0.0</v>
      </c>
    </row>
    <row r="8135">
      <c r="A8135" s="24">
        <v>79.0</v>
      </c>
      <c r="B8135" s="24">
        <v>1.0</v>
      </c>
      <c r="C8135" s="44">
        <v>24.75</v>
      </c>
      <c r="D8135" s="46">
        <v>45916.0</v>
      </c>
      <c r="E8135" s="24">
        <v>24.75</v>
      </c>
      <c r="F8135" s="24">
        <v>313.29</v>
      </c>
      <c r="G8135" s="24">
        <v>1.27</v>
      </c>
      <c r="H8135" s="24" t="s">
        <v>6742</v>
      </c>
      <c r="I8135" s="24" t="s">
        <v>6650</v>
      </c>
      <c r="J8135" s="24">
        <v>0.0</v>
      </c>
    </row>
    <row r="8136">
      <c r="A8136" s="24">
        <v>96.0</v>
      </c>
      <c r="B8136" s="24">
        <v>0.0</v>
      </c>
      <c r="C8136" s="44">
        <v>26.67</v>
      </c>
      <c r="D8136" s="46">
        <v>45916.0</v>
      </c>
      <c r="E8136" s="24" t="s">
        <v>6650</v>
      </c>
      <c r="F8136" s="24">
        <v>277.81</v>
      </c>
      <c r="G8136" s="24">
        <v>0.0</v>
      </c>
      <c r="H8136" s="24" t="s">
        <v>6741</v>
      </c>
      <c r="I8136" s="24" t="s">
        <v>6650</v>
      </c>
      <c r="J8136" s="24">
        <v>0.0</v>
      </c>
    </row>
    <row r="8137">
      <c r="A8137" s="24">
        <v>107.0</v>
      </c>
      <c r="B8137" s="24">
        <v>1.0</v>
      </c>
      <c r="C8137" s="44">
        <v>23.48</v>
      </c>
      <c r="D8137" s="46">
        <v>45916.0</v>
      </c>
      <c r="E8137" s="24">
        <v>23.48</v>
      </c>
      <c r="F8137" s="24">
        <v>219.44</v>
      </c>
      <c r="G8137" s="24">
        <v>0.93</v>
      </c>
      <c r="H8137" s="24" t="s">
        <v>6743</v>
      </c>
      <c r="I8137" s="24" t="s">
        <v>6650</v>
      </c>
      <c r="J8137" s="24">
        <v>0.0</v>
      </c>
    </row>
    <row r="8138">
      <c r="A8138" s="24">
        <v>104.0</v>
      </c>
      <c r="B8138" s="24">
        <v>1.0</v>
      </c>
      <c r="C8138" s="44">
        <v>26.1</v>
      </c>
      <c r="D8138" s="46">
        <v>45917.0</v>
      </c>
      <c r="E8138" s="24">
        <v>26.1</v>
      </c>
      <c r="F8138" s="24">
        <v>250.96</v>
      </c>
      <c r="G8138" s="24">
        <v>0.96</v>
      </c>
      <c r="H8138" s="24" t="s">
        <v>6741</v>
      </c>
      <c r="I8138" s="24" t="s">
        <v>6650</v>
      </c>
      <c r="J8138" s="24">
        <v>0.0</v>
      </c>
    </row>
    <row r="8139">
      <c r="A8139" s="24">
        <v>318.0</v>
      </c>
      <c r="B8139" s="24">
        <v>2.0</v>
      </c>
      <c r="C8139" s="44">
        <v>23.97</v>
      </c>
      <c r="D8139" s="46">
        <v>45917.0</v>
      </c>
      <c r="E8139" s="24">
        <v>11.98</v>
      </c>
      <c r="F8139" s="24">
        <v>75.38</v>
      </c>
      <c r="G8139" s="24">
        <v>0.63</v>
      </c>
      <c r="H8139" s="24" t="s">
        <v>6740</v>
      </c>
      <c r="I8139" s="24" t="s">
        <v>6650</v>
      </c>
      <c r="J8139" s="24">
        <v>0.0</v>
      </c>
    </row>
    <row r="8140">
      <c r="A8140" s="24">
        <v>108.0</v>
      </c>
      <c r="B8140" s="24">
        <v>2.0</v>
      </c>
      <c r="C8140" s="44">
        <v>26.42</v>
      </c>
      <c r="D8140" s="46">
        <v>45917.0</v>
      </c>
      <c r="E8140" s="24">
        <v>13.21</v>
      </c>
      <c r="F8140" s="24">
        <v>244.63</v>
      </c>
      <c r="G8140" s="24">
        <v>1.85</v>
      </c>
      <c r="H8140" s="24" t="s">
        <v>6743</v>
      </c>
      <c r="I8140" s="24" t="s">
        <v>6650</v>
      </c>
      <c r="J8140" s="24">
        <v>0.0</v>
      </c>
    </row>
    <row r="8141">
      <c r="A8141" s="24">
        <v>75.0</v>
      </c>
      <c r="B8141" s="24">
        <v>4.0</v>
      </c>
      <c r="C8141" s="44">
        <v>24.83</v>
      </c>
      <c r="D8141" s="46">
        <v>45917.0</v>
      </c>
      <c r="E8141" s="24">
        <v>6.21</v>
      </c>
      <c r="F8141" s="24">
        <v>331.07</v>
      </c>
      <c r="G8141" s="24">
        <v>5.33</v>
      </c>
      <c r="H8141" s="24" t="s">
        <v>6742</v>
      </c>
      <c r="I8141" s="24" t="s">
        <v>6650</v>
      </c>
      <c r="J8141" s="24">
        <v>0.0</v>
      </c>
    </row>
    <row r="8142">
      <c r="A8142" s="24">
        <v>146.0</v>
      </c>
      <c r="B8142" s="24">
        <v>3.0</v>
      </c>
      <c r="C8142" s="44">
        <v>28.23</v>
      </c>
      <c r="D8142" s="46">
        <v>45918.0</v>
      </c>
      <c r="E8142" s="24">
        <v>9.41</v>
      </c>
      <c r="F8142" s="24">
        <v>193.36</v>
      </c>
      <c r="G8142" s="24">
        <v>2.05</v>
      </c>
      <c r="H8142" s="24" t="s">
        <v>6743</v>
      </c>
      <c r="I8142" s="24" t="s">
        <v>6650</v>
      </c>
      <c r="J8142" s="24">
        <v>0.0</v>
      </c>
    </row>
    <row r="8143">
      <c r="A8143" s="24">
        <v>307.0</v>
      </c>
      <c r="B8143" s="24">
        <v>0.0</v>
      </c>
      <c r="C8143" s="44">
        <v>28.32</v>
      </c>
      <c r="D8143" s="46">
        <v>45918.0</v>
      </c>
      <c r="E8143" s="24" t="s">
        <v>6650</v>
      </c>
      <c r="F8143" s="24">
        <v>92.25</v>
      </c>
      <c r="G8143" s="24">
        <v>0.0</v>
      </c>
      <c r="H8143" s="24" t="s">
        <v>6740</v>
      </c>
      <c r="I8143" s="24" t="s">
        <v>6650</v>
      </c>
      <c r="J8143" s="24">
        <v>0.0</v>
      </c>
    </row>
    <row r="8144">
      <c r="A8144" s="24">
        <v>109.0</v>
      </c>
      <c r="B8144" s="24">
        <v>0.0</v>
      </c>
      <c r="C8144" s="44">
        <v>28.5</v>
      </c>
      <c r="D8144" s="46">
        <v>45918.0</v>
      </c>
      <c r="E8144" s="24" t="s">
        <v>6650</v>
      </c>
      <c r="F8144" s="24">
        <v>261.47</v>
      </c>
      <c r="G8144" s="24">
        <v>0.0</v>
      </c>
      <c r="H8144" s="24" t="s">
        <v>6741</v>
      </c>
      <c r="I8144" s="24" t="s">
        <v>6650</v>
      </c>
      <c r="J8144" s="24">
        <v>0.0</v>
      </c>
    </row>
    <row r="8145">
      <c r="A8145" s="24">
        <v>102.0</v>
      </c>
      <c r="B8145" s="24">
        <v>0.0</v>
      </c>
      <c r="C8145" s="44">
        <v>28.5</v>
      </c>
      <c r="D8145" s="46">
        <v>45918.0</v>
      </c>
      <c r="E8145" s="24" t="s">
        <v>6650</v>
      </c>
      <c r="F8145" s="24">
        <v>279.41</v>
      </c>
      <c r="G8145" s="24">
        <v>0.0</v>
      </c>
      <c r="H8145" s="24" t="s">
        <v>6742</v>
      </c>
      <c r="I8145" s="24" t="s">
        <v>6650</v>
      </c>
      <c r="J8145" s="24">
        <v>0.0</v>
      </c>
    </row>
    <row r="8146">
      <c r="A8146" s="24">
        <v>84.0</v>
      </c>
      <c r="B8146" s="24">
        <v>1.0</v>
      </c>
      <c r="C8146" s="44">
        <v>28.5</v>
      </c>
      <c r="D8146" s="46">
        <v>45919.0</v>
      </c>
      <c r="E8146" s="24">
        <v>28.5</v>
      </c>
      <c r="F8146" s="24">
        <v>339.29</v>
      </c>
      <c r="G8146" s="24">
        <v>1.19</v>
      </c>
      <c r="H8146" s="24" t="s">
        <v>6742</v>
      </c>
      <c r="I8146" s="24" t="s">
        <v>6650</v>
      </c>
      <c r="J8146" s="24">
        <v>0.0</v>
      </c>
    </row>
    <row r="8147">
      <c r="A8147" s="24">
        <v>96.0</v>
      </c>
      <c r="B8147" s="24">
        <v>1.0</v>
      </c>
      <c r="C8147" s="44">
        <v>28.5</v>
      </c>
      <c r="D8147" s="46">
        <v>45919.0</v>
      </c>
      <c r="E8147" s="24">
        <v>28.5</v>
      </c>
      <c r="F8147" s="24">
        <v>296.88</v>
      </c>
      <c r="G8147" s="24">
        <v>1.04</v>
      </c>
      <c r="H8147" s="24" t="s">
        <v>6741</v>
      </c>
      <c r="I8147" s="24" t="s">
        <v>6650</v>
      </c>
      <c r="J8147" s="24">
        <v>0.0</v>
      </c>
    </row>
    <row r="8148">
      <c r="A8148" s="24">
        <v>289.0</v>
      </c>
      <c r="B8148" s="24">
        <v>2.0</v>
      </c>
      <c r="C8148" s="44">
        <v>28.88</v>
      </c>
      <c r="D8148" s="46">
        <v>45919.0</v>
      </c>
      <c r="E8148" s="24">
        <v>14.44</v>
      </c>
      <c r="F8148" s="24">
        <v>99.93</v>
      </c>
      <c r="G8148" s="24">
        <v>0.69</v>
      </c>
      <c r="H8148" s="24" t="s">
        <v>6740</v>
      </c>
      <c r="I8148" s="24" t="s">
        <v>6650</v>
      </c>
      <c r="J8148" s="24">
        <v>0.0</v>
      </c>
    </row>
    <row r="8149">
      <c r="A8149" s="24">
        <v>98.0</v>
      </c>
      <c r="B8149" s="24">
        <v>3.0</v>
      </c>
      <c r="C8149" s="44">
        <v>28.5</v>
      </c>
      <c r="D8149" s="46">
        <v>45919.0</v>
      </c>
      <c r="E8149" s="24">
        <v>9.5</v>
      </c>
      <c r="F8149" s="24">
        <v>290.82</v>
      </c>
      <c r="G8149" s="24">
        <v>3.06</v>
      </c>
      <c r="H8149" s="24" t="s">
        <v>6743</v>
      </c>
      <c r="I8149" s="24" t="s">
        <v>6650</v>
      </c>
      <c r="J8149" s="24">
        <v>0.0</v>
      </c>
    </row>
    <row r="8150">
      <c r="A8150" s="24">
        <v>37.0</v>
      </c>
      <c r="B8150" s="24">
        <v>0.0</v>
      </c>
      <c r="C8150" s="44">
        <v>5.59</v>
      </c>
      <c r="D8150" s="46">
        <v>45920.0</v>
      </c>
      <c r="E8150" s="24" t="s">
        <v>6650</v>
      </c>
      <c r="F8150" s="24">
        <v>151.08</v>
      </c>
      <c r="G8150" s="24">
        <v>0.0</v>
      </c>
      <c r="H8150" s="24" t="s">
        <v>6743</v>
      </c>
      <c r="I8150" s="24" t="s">
        <v>6650</v>
      </c>
      <c r="J8150" s="24">
        <v>0.0</v>
      </c>
    </row>
    <row r="8151">
      <c r="A8151" s="24">
        <v>104.0</v>
      </c>
      <c r="B8151" s="24">
        <v>2.0</v>
      </c>
      <c r="C8151" s="44">
        <v>9.17</v>
      </c>
      <c r="D8151" s="46">
        <v>45920.0</v>
      </c>
      <c r="E8151" s="24">
        <v>4.58</v>
      </c>
      <c r="F8151" s="24">
        <v>88.17</v>
      </c>
      <c r="G8151" s="24">
        <v>1.92</v>
      </c>
      <c r="H8151" s="24" t="s">
        <v>6740</v>
      </c>
      <c r="I8151" s="24" t="s">
        <v>6650</v>
      </c>
      <c r="J8151" s="24">
        <v>0.0</v>
      </c>
    </row>
    <row r="8152">
      <c r="A8152" s="24">
        <v>8.0</v>
      </c>
      <c r="B8152" s="24">
        <v>0.0</v>
      </c>
      <c r="C8152" s="44">
        <v>1.78</v>
      </c>
      <c r="D8152" s="46">
        <v>45920.0</v>
      </c>
      <c r="E8152" s="24" t="s">
        <v>6650</v>
      </c>
      <c r="F8152" s="24">
        <v>222.5</v>
      </c>
      <c r="G8152" s="24">
        <v>0.0</v>
      </c>
      <c r="H8152" s="24" t="s">
        <v>6741</v>
      </c>
      <c r="I8152" s="24" t="s">
        <v>6650</v>
      </c>
      <c r="J8152" s="24">
        <v>0.0</v>
      </c>
    </row>
    <row r="8153">
      <c r="A8153" s="24">
        <v>11.0</v>
      </c>
      <c r="B8153" s="24">
        <v>0.0</v>
      </c>
      <c r="C8153" s="44">
        <v>2.94</v>
      </c>
      <c r="D8153" s="46">
        <v>45920.0</v>
      </c>
      <c r="E8153" s="24" t="s">
        <v>6650</v>
      </c>
      <c r="F8153" s="24">
        <v>267.27</v>
      </c>
      <c r="G8153" s="24">
        <v>0.0</v>
      </c>
      <c r="H8153" s="24" t="s">
        <v>6742</v>
      </c>
      <c r="I8153" s="24" t="s">
        <v>6650</v>
      </c>
      <c r="J8153" s="24">
        <v>0.0</v>
      </c>
    </row>
    <row r="8154">
      <c r="A8154" s="24">
        <v>69.0</v>
      </c>
      <c r="B8154" s="24">
        <v>1.0</v>
      </c>
      <c r="C8154" s="44">
        <v>21.3</v>
      </c>
      <c r="D8154" s="46">
        <v>45922.0</v>
      </c>
      <c r="E8154" s="24">
        <v>21.3</v>
      </c>
      <c r="F8154" s="24">
        <v>308.7</v>
      </c>
      <c r="G8154" s="24">
        <v>1.45</v>
      </c>
      <c r="H8154" s="24" t="s">
        <v>6741</v>
      </c>
      <c r="I8154" s="24" t="s">
        <v>6650</v>
      </c>
      <c r="J8154" s="24">
        <v>0.0</v>
      </c>
    </row>
    <row r="8155">
      <c r="A8155" s="24">
        <v>55.0</v>
      </c>
      <c r="B8155" s="24">
        <v>1.0</v>
      </c>
      <c r="C8155" s="44">
        <v>22.83</v>
      </c>
      <c r="D8155" s="46">
        <v>45922.0</v>
      </c>
      <c r="E8155" s="24">
        <v>22.83</v>
      </c>
      <c r="F8155" s="24">
        <v>415.09</v>
      </c>
      <c r="G8155" s="24">
        <v>1.82</v>
      </c>
      <c r="H8155" s="24" t="s">
        <v>6742</v>
      </c>
      <c r="I8155" s="24" t="s">
        <v>6650</v>
      </c>
      <c r="J8155" s="24">
        <v>0.0</v>
      </c>
    </row>
    <row r="8156">
      <c r="A8156" s="24">
        <v>60.0</v>
      </c>
      <c r="B8156" s="24">
        <v>1.0</v>
      </c>
      <c r="C8156" s="44">
        <v>23.35</v>
      </c>
      <c r="D8156" s="46">
        <v>45922.0</v>
      </c>
      <c r="E8156" s="24">
        <v>23.35</v>
      </c>
      <c r="F8156" s="24">
        <v>389.17</v>
      </c>
      <c r="G8156" s="24">
        <v>1.67</v>
      </c>
      <c r="H8156" s="24" t="s">
        <v>6743</v>
      </c>
      <c r="I8156" s="24" t="s">
        <v>6650</v>
      </c>
      <c r="J8156" s="24">
        <v>0.0</v>
      </c>
    </row>
    <row r="8157">
      <c r="A8157" s="24">
        <v>178.0</v>
      </c>
      <c r="B8157" s="24">
        <v>1.0</v>
      </c>
      <c r="C8157" s="44">
        <v>21.04</v>
      </c>
      <c r="D8157" s="46">
        <v>45922.0</v>
      </c>
      <c r="E8157" s="24">
        <v>21.04</v>
      </c>
      <c r="F8157" s="24">
        <v>118.2</v>
      </c>
      <c r="G8157" s="24">
        <v>0.56</v>
      </c>
      <c r="H8157" s="24" t="s">
        <v>6740</v>
      </c>
      <c r="I8157" s="24" t="s">
        <v>6650</v>
      </c>
      <c r="J8157" s="24">
        <v>0.0</v>
      </c>
    </row>
    <row r="8158">
      <c r="A8158" s="24">
        <v>112.0</v>
      </c>
      <c r="B8158" s="24">
        <v>1.0</v>
      </c>
      <c r="C8158" s="44">
        <v>25.42</v>
      </c>
      <c r="D8158" s="46">
        <v>45923.0</v>
      </c>
      <c r="E8158" s="24">
        <v>25.42</v>
      </c>
      <c r="F8158" s="24">
        <v>226.96</v>
      </c>
      <c r="G8158" s="24">
        <v>0.89</v>
      </c>
      <c r="H8158" s="24" t="s">
        <v>6743</v>
      </c>
      <c r="I8158" s="24" t="s">
        <v>6650</v>
      </c>
      <c r="J8158" s="24">
        <v>0.0</v>
      </c>
    </row>
    <row r="8159">
      <c r="A8159" s="24">
        <v>97.0</v>
      </c>
      <c r="B8159" s="24">
        <v>0.0</v>
      </c>
      <c r="C8159" s="44">
        <v>26.79</v>
      </c>
      <c r="D8159" s="46">
        <v>45923.0</v>
      </c>
      <c r="E8159" s="24" t="s">
        <v>6650</v>
      </c>
      <c r="F8159" s="24">
        <v>276.19</v>
      </c>
      <c r="G8159" s="24">
        <v>0.0</v>
      </c>
      <c r="H8159" s="24" t="s">
        <v>6741</v>
      </c>
      <c r="I8159" s="24" t="s">
        <v>6650</v>
      </c>
      <c r="J8159" s="24">
        <v>0.0</v>
      </c>
    </row>
    <row r="8160">
      <c r="A8160" s="24">
        <v>268.0</v>
      </c>
      <c r="B8160" s="24">
        <v>1.0</v>
      </c>
      <c r="C8160" s="44">
        <v>24.7</v>
      </c>
      <c r="D8160" s="46">
        <v>45923.0</v>
      </c>
      <c r="E8160" s="24">
        <v>24.7</v>
      </c>
      <c r="F8160" s="24">
        <v>92.16</v>
      </c>
      <c r="G8160" s="24">
        <v>0.37</v>
      </c>
      <c r="H8160" s="24" t="s">
        <v>6740</v>
      </c>
      <c r="I8160" s="24" t="s">
        <v>6650</v>
      </c>
      <c r="J8160" s="24">
        <v>0.0</v>
      </c>
    </row>
    <row r="8161">
      <c r="A8161" s="24">
        <v>64.0</v>
      </c>
      <c r="B8161" s="24">
        <v>0.0</v>
      </c>
      <c r="C8161" s="44">
        <v>26.03</v>
      </c>
      <c r="D8161" s="46">
        <v>45923.0</v>
      </c>
      <c r="E8161" s="24" t="s">
        <v>6650</v>
      </c>
      <c r="F8161" s="24">
        <v>406.72</v>
      </c>
      <c r="G8161" s="24">
        <v>0.0</v>
      </c>
      <c r="H8161" s="24" t="s">
        <v>6742</v>
      </c>
      <c r="I8161" s="24" t="s">
        <v>6650</v>
      </c>
      <c r="J8161" s="24">
        <v>0.0</v>
      </c>
    </row>
    <row r="8162">
      <c r="A8162" s="24">
        <v>123.0</v>
      </c>
      <c r="B8162" s="24">
        <v>1.0</v>
      </c>
      <c r="C8162" s="44">
        <v>23.56</v>
      </c>
      <c r="D8162" s="46">
        <v>45924.0</v>
      </c>
      <c r="E8162" s="24">
        <v>23.56</v>
      </c>
      <c r="F8162" s="24">
        <v>191.54</v>
      </c>
      <c r="G8162" s="24">
        <v>0.81</v>
      </c>
      <c r="H8162" s="24" t="s">
        <v>6741</v>
      </c>
      <c r="I8162" s="24" t="s">
        <v>6650</v>
      </c>
      <c r="J8162" s="24">
        <v>0.0</v>
      </c>
    </row>
    <row r="8163">
      <c r="A8163" s="24">
        <v>345.0</v>
      </c>
      <c r="B8163" s="24">
        <v>1.0</v>
      </c>
      <c r="C8163" s="44">
        <v>24.0</v>
      </c>
      <c r="D8163" s="46">
        <v>45924.0</v>
      </c>
      <c r="E8163" s="24">
        <v>24.0</v>
      </c>
      <c r="F8163" s="24">
        <v>69.57</v>
      </c>
      <c r="G8163" s="24">
        <v>0.29</v>
      </c>
      <c r="H8163" s="24" t="s">
        <v>6740</v>
      </c>
      <c r="I8163" s="24" t="s">
        <v>6650</v>
      </c>
      <c r="J8163" s="24">
        <v>0.0</v>
      </c>
    </row>
    <row r="8164">
      <c r="A8164" s="24">
        <v>118.0</v>
      </c>
      <c r="B8164" s="24">
        <v>2.0</v>
      </c>
      <c r="C8164" s="44">
        <v>23.95</v>
      </c>
      <c r="D8164" s="46">
        <v>45924.0</v>
      </c>
      <c r="E8164" s="24">
        <v>11.98</v>
      </c>
      <c r="F8164" s="24">
        <v>202.97</v>
      </c>
      <c r="G8164" s="24">
        <v>1.69</v>
      </c>
      <c r="H8164" s="24" t="s">
        <v>6743</v>
      </c>
      <c r="I8164" s="24" t="s">
        <v>6650</v>
      </c>
      <c r="J8164" s="24">
        <v>0.0</v>
      </c>
    </row>
    <row r="8165">
      <c r="A8165" s="24">
        <v>58.0</v>
      </c>
      <c r="B8165" s="24">
        <v>1.0</v>
      </c>
      <c r="C8165" s="44">
        <v>27.28</v>
      </c>
      <c r="D8165" s="46">
        <v>45924.0</v>
      </c>
      <c r="E8165" s="24">
        <v>27.28</v>
      </c>
      <c r="F8165" s="24">
        <v>470.34</v>
      </c>
      <c r="G8165" s="24">
        <v>1.72</v>
      </c>
      <c r="H8165" s="24" t="s">
        <v>6742</v>
      </c>
      <c r="I8165" s="24" t="s">
        <v>6650</v>
      </c>
      <c r="J8165" s="24">
        <v>0.0</v>
      </c>
    </row>
    <row r="8166">
      <c r="A8166" s="24">
        <v>295.0</v>
      </c>
      <c r="B8166" s="24">
        <v>0.0</v>
      </c>
      <c r="C8166" s="44">
        <v>28.64</v>
      </c>
      <c r="D8166" s="46">
        <v>45925.0</v>
      </c>
      <c r="E8166" s="24" t="s">
        <v>6650</v>
      </c>
      <c r="F8166" s="24">
        <v>97.08</v>
      </c>
      <c r="G8166" s="24">
        <v>0.0</v>
      </c>
      <c r="H8166" s="24" t="s">
        <v>6740</v>
      </c>
      <c r="I8166" s="24" t="s">
        <v>6650</v>
      </c>
      <c r="J8166" s="24">
        <v>0.0</v>
      </c>
    </row>
    <row r="8167">
      <c r="A8167" s="24">
        <v>101.0</v>
      </c>
      <c r="B8167" s="24">
        <v>3.0</v>
      </c>
      <c r="C8167" s="44">
        <v>28.01</v>
      </c>
      <c r="D8167" s="46">
        <v>45925.0</v>
      </c>
      <c r="E8167" s="24">
        <v>9.34</v>
      </c>
      <c r="F8167" s="24">
        <v>277.33</v>
      </c>
      <c r="G8167" s="24">
        <v>2.97</v>
      </c>
      <c r="H8167" s="24" t="s">
        <v>6742</v>
      </c>
      <c r="I8167" s="24" t="s">
        <v>6650</v>
      </c>
      <c r="J8167" s="24">
        <v>0.0</v>
      </c>
    </row>
    <row r="8168">
      <c r="A8168" s="24">
        <v>140.0</v>
      </c>
      <c r="B8168" s="24">
        <v>3.0</v>
      </c>
      <c r="C8168" s="44">
        <v>27.92</v>
      </c>
      <c r="D8168" s="46">
        <v>45925.0</v>
      </c>
      <c r="E8168" s="24">
        <v>9.31</v>
      </c>
      <c r="F8168" s="24">
        <v>199.43</v>
      </c>
      <c r="G8168" s="24">
        <v>2.14</v>
      </c>
      <c r="H8168" s="24" t="s">
        <v>6743</v>
      </c>
      <c r="I8168" s="24" t="s">
        <v>6650</v>
      </c>
      <c r="J8168" s="24">
        <v>0.0</v>
      </c>
    </row>
    <row r="8169">
      <c r="A8169" s="24">
        <v>97.0</v>
      </c>
      <c r="B8169" s="24">
        <v>1.0</v>
      </c>
      <c r="C8169" s="44">
        <v>28.5</v>
      </c>
      <c r="D8169" s="46">
        <v>45925.0</v>
      </c>
      <c r="E8169" s="24">
        <v>28.5</v>
      </c>
      <c r="F8169" s="24">
        <v>293.81</v>
      </c>
      <c r="G8169" s="24">
        <v>1.03</v>
      </c>
      <c r="H8169" s="24" t="s">
        <v>6741</v>
      </c>
      <c r="I8169" s="24" t="s">
        <v>6650</v>
      </c>
      <c r="J8169" s="24">
        <v>0.0</v>
      </c>
    </row>
    <row r="8170">
      <c r="A8170" s="24">
        <v>101.0</v>
      </c>
      <c r="B8170" s="24">
        <v>1.0</v>
      </c>
      <c r="C8170" s="44">
        <v>28.5</v>
      </c>
      <c r="D8170" s="46">
        <v>45926.0</v>
      </c>
      <c r="E8170" s="24">
        <v>28.5</v>
      </c>
      <c r="F8170" s="24">
        <v>282.18</v>
      </c>
      <c r="G8170" s="24">
        <v>0.99</v>
      </c>
      <c r="H8170" s="24" t="s">
        <v>6741</v>
      </c>
      <c r="I8170" s="24" t="s">
        <v>6650</v>
      </c>
      <c r="J8170" s="24">
        <v>0.0</v>
      </c>
    </row>
    <row r="8171">
      <c r="A8171" s="24">
        <v>112.0</v>
      </c>
      <c r="B8171" s="24">
        <v>6.0</v>
      </c>
      <c r="C8171" s="44">
        <v>28.5</v>
      </c>
      <c r="D8171" s="46">
        <v>45926.0</v>
      </c>
      <c r="E8171" s="24">
        <v>4.75</v>
      </c>
      <c r="F8171" s="24">
        <v>254.46</v>
      </c>
      <c r="G8171" s="24">
        <v>5.36</v>
      </c>
      <c r="H8171" s="24" t="s">
        <v>6743</v>
      </c>
      <c r="I8171" s="24" t="s">
        <v>6650</v>
      </c>
      <c r="J8171" s="24">
        <v>0.0</v>
      </c>
    </row>
    <row r="8172">
      <c r="A8172" s="24">
        <v>97.0</v>
      </c>
      <c r="B8172" s="24">
        <v>0.0</v>
      </c>
      <c r="C8172" s="44">
        <v>28.5</v>
      </c>
      <c r="D8172" s="46">
        <v>45926.0</v>
      </c>
      <c r="E8172" s="24" t="s">
        <v>6650</v>
      </c>
      <c r="F8172" s="24">
        <v>293.81</v>
      </c>
      <c r="G8172" s="24">
        <v>0.0</v>
      </c>
      <c r="H8172" s="24" t="s">
        <v>6742</v>
      </c>
      <c r="I8172" s="24" t="s">
        <v>6650</v>
      </c>
      <c r="J8172" s="24">
        <v>0.0</v>
      </c>
    </row>
    <row r="8173">
      <c r="A8173" s="24">
        <v>372.0</v>
      </c>
      <c r="B8173" s="24">
        <v>2.0</v>
      </c>
      <c r="C8173" s="44">
        <v>28.6</v>
      </c>
      <c r="D8173" s="46">
        <v>45926.0</v>
      </c>
      <c r="E8173" s="24">
        <v>14.3</v>
      </c>
      <c r="F8173" s="24">
        <v>76.88</v>
      </c>
      <c r="G8173" s="24">
        <v>0.54</v>
      </c>
      <c r="H8173" s="24" t="s">
        <v>6740</v>
      </c>
      <c r="I8173" s="24" t="s">
        <v>6650</v>
      </c>
      <c r="J8173" s="24">
        <v>0.0</v>
      </c>
    </row>
    <row r="8174">
      <c r="A8174" s="24">
        <v>26.0</v>
      </c>
      <c r="B8174" s="24">
        <v>0.0</v>
      </c>
      <c r="C8174" s="44">
        <v>3.86</v>
      </c>
      <c r="D8174" s="46">
        <v>45927.0</v>
      </c>
      <c r="E8174" s="24" t="s">
        <v>6650</v>
      </c>
      <c r="F8174" s="24">
        <v>148.46</v>
      </c>
      <c r="G8174" s="24">
        <v>0.0</v>
      </c>
      <c r="H8174" s="24" t="s">
        <v>6743</v>
      </c>
      <c r="I8174" s="24" t="s">
        <v>6650</v>
      </c>
      <c r="J8174" s="24">
        <v>0.0</v>
      </c>
    </row>
    <row r="8175">
      <c r="A8175" s="24">
        <v>103.0</v>
      </c>
      <c r="B8175" s="24">
        <v>1.0</v>
      </c>
      <c r="C8175" s="44">
        <v>7.77</v>
      </c>
      <c r="D8175" s="46">
        <v>45927.0</v>
      </c>
      <c r="E8175" s="24">
        <v>7.77</v>
      </c>
      <c r="F8175" s="24">
        <v>75.44</v>
      </c>
      <c r="G8175" s="24">
        <v>0.97</v>
      </c>
      <c r="H8175" s="24" t="s">
        <v>6740</v>
      </c>
      <c r="I8175" s="24" t="s">
        <v>6650</v>
      </c>
      <c r="J8175" s="24">
        <v>0.0</v>
      </c>
    </row>
    <row r="8176">
      <c r="A8176" s="24">
        <v>22.0</v>
      </c>
      <c r="B8176" s="24">
        <v>0.0</v>
      </c>
      <c r="C8176" s="44">
        <v>4.35</v>
      </c>
      <c r="D8176" s="46">
        <v>45927.0</v>
      </c>
      <c r="E8176" s="24" t="s">
        <v>6650</v>
      </c>
      <c r="F8176" s="24">
        <v>197.73</v>
      </c>
      <c r="G8176" s="24">
        <v>0.0</v>
      </c>
      <c r="H8176" s="24" t="s">
        <v>6741</v>
      </c>
      <c r="I8176" s="24" t="s">
        <v>6650</v>
      </c>
      <c r="J8176" s="24">
        <v>0.0</v>
      </c>
    </row>
    <row r="8177">
      <c r="A8177" s="24">
        <v>6.0</v>
      </c>
      <c r="B8177" s="24">
        <v>0.0</v>
      </c>
      <c r="C8177" s="44">
        <v>0.35</v>
      </c>
      <c r="D8177" s="46">
        <v>45927.0</v>
      </c>
      <c r="E8177" s="24" t="s">
        <v>6650</v>
      </c>
      <c r="F8177" s="24">
        <v>58.33</v>
      </c>
      <c r="G8177" s="24">
        <v>0.0</v>
      </c>
      <c r="H8177" s="24" t="s">
        <v>6742</v>
      </c>
      <c r="I8177" s="24" t="s">
        <v>6650</v>
      </c>
      <c r="J8177" s="24">
        <v>0.0</v>
      </c>
    </row>
    <row r="8178">
      <c r="A8178" s="24">
        <v>1.0</v>
      </c>
      <c r="B8178" s="24">
        <v>0.0</v>
      </c>
      <c r="C8178" s="44">
        <v>0.0</v>
      </c>
      <c r="D8178" s="46">
        <v>45928.0</v>
      </c>
      <c r="E8178" s="24" t="s">
        <v>6650</v>
      </c>
      <c r="F8178" s="24">
        <v>0.0</v>
      </c>
      <c r="G8178" s="24">
        <v>0.0</v>
      </c>
      <c r="H8178" s="24" t="s">
        <v>6741</v>
      </c>
      <c r="I8178" s="24" t="s">
        <v>6650</v>
      </c>
      <c r="J8178" s="24">
        <v>0.0</v>
      </c>
    </row>
    <row r="8179">
      <c r="A8179" s="24">
        <v>46.0</v>
      </c>
      <c r="B8179" s="24">
        <v>0.0</v>
      </c>
      <c r="C8179" s="44">
        <v>23.37</v>
      </c>
      <c r="D8179" s="46">
        <v>45929.0</v>
      </c>
      <c r="E8179" s="24" t="s">
        <v>6650</v>
      </c>
      <c r="F8179" s="24">
        <v>508.04</v>
      </c>
      <c r="G8179" s="24">
        <v>0.0</v>
      </c>
      <c r="H8179" s="24" t="s">
        <v>6742</v>
      </c>
      <c r="I8179" s="24" t="s">
        <v>6650</v>
      </c>
      <c r="J8179" s="24">
        <v>0.0</v>
      </c>
    </row>
    <row r="8180">
      <c r="A8180" s="24">
        <v>184.0</v>
      </c>
      <c r="B8180" s="24">
        <v>3.0</v>
      </c>
      <c r="C8180" s="44">
        <v>20.74</v>
      </c>
      <c r="D8180" s="46">
        <v>45929.0</v>
      </c>
      <c r="E8180" s="24">
        <v>6.91</v>
      </c>
      <c r="F8180" s="24">
        <v>112.72</v>
      </c>
      <c r="G8180" s="24">
        <v>1.63</v>
      </c>
      <c r="H8180" s="24" t="s">
        <v>6740</v>
      </c>
      <c r="I8180" s="24" t="s">
        <v>6650</v>
      </c>
      <c r="J8180" s="24">
        <v>0.0</v>
      </c>
    </row>
    <row r="8181">
      <c r="A8181" s="24">
        <v>82.0</v>
      </c>
      <c r="B8181" s="24">
        <v>0.0</v>
      </c>
      <c r="C8181" s="44">
        <v>26.05</v>
      </c>
      <c r="D8181" s="46">
        <v>45929.0</v>
      </c>
      <c r="E8181" s="24" t="s">
        <v>6650</v>
      </c>
      <c r="F8181" s="24">
        <v>317.68</v>
      </c>
      <c r="G8181" s="24">
        <v>0.0</v>
      </c>
      <c r="H8181" s="24" t="s">
        <v>6741</v>
      </c>
      <c r="I8181" s="24" t="s">
        <v>6650</v>
      </c>
      <c r="J8181" s="24">
        <v>0.0</v>
      </c>
    </row>
    <row r="8182">
      <c r="A8182" s="24">
        <v>73.0</v>
      </c>
      <c r="B8182" s="24">
        <v>2.0</v>
      </c>
      <c r="C8182" s="44">
        <v>21.95</v>
      </c>
      <c r="D8182" s="46">
        <v>45929.0</v>
      </c>
      <c r="E8182" s="24">
        <v>10.98</v>
      </c>
      <c r="F8182" s="24">
        <v>300.68</v>
      </c>
      <c r="G8182" s="24">
        <v>2.74</v>
      </c>
      <c r="H8182" s="24" t="s">
        <v>6743</v>
      </c>
      <c r="I8182" s="24" t="s">
        <v>6650</v>
      </c>
      <c r="J8182" s="24">
        <v>0.0</v>
      </c>
    </row>
    <row r="8183">
      <c r="A8183" s="24">
        <v>147.0</v>
      </c>
      <c r="B8183" s="24">
        <v>5.0</v>
      </c>
      <c r="C8183" s="44">
        <v>26.92</v>
      </c>
      <c r="D8183" s="46">
        <v>45930.0</v>
      </c>
      <c r="E8183" s="24">
        <v>5.38</v>
      </c>
      <c r="F8183" s="24">
        <v>183.13</v>
      </c>
      <c r="G8183" s="24">
        <v>3.4</v>
      </c>
      <c r="H8183" s="24" t="s">
        <v>6743</v>
      </c>
      <c r="I8183" s="24" t="s">
        <v>6650</v>
      </c>
      <c r="J8183" s="24">
        <v>0.0</v>
      </c>
    </row>
    <row r="8184">
      <c r="A8184" s="24">
        <v>66.0</v>
      </c>
      <c r="B8184" s="24">
        <v>1.0</v>
      </c>
      <c r="C8184" s="44">
        <v>28.5</v>
      </c>
      <c r="D8184" s="46">
        <v>45930.0</v>
      </c>
      <c r="E8184" s="24">
        <v>28.5</v>
      </c>
      <c r="F8184" s="24">
        <v>431.82</v>
      </c>
      <c r="G8184" s="24">
        <v>1.52</v>
      </c>
      <c r="H8184" s="24" t="s">
        <v>6742</v>
      </c>
      <c r="I8184" s="24" t="s">
        <v>6650</v>
      </c>
      <c r="J8184" s="24">
        <v>0.0</v>
      </c>
    </row>
    <row r="8185">
      <c r="A8185" s="24">
        <v>264.0</v>
      </c>
      <c r="B8185" s="24">
        <v>2.0</v>
      </c>
      <c r="C8185" s="44">
        <v>26.03</v>
      </c>
      <c r="D8185" s="46">
        <v>45930.0</v>
      </c>
      <c r="E8185" s="24">
        <v>13.02</v>
      </c>
      <c r="F8185" s="24">
        <v>98.6</v>
      </c>
      <c r="G8185" s="24">
        <v>0.76</v>
      </c>
      <c r="H8185" s="24" t="s">
        <v>6740</v>
      </c>
      <c r="I8185" s="24" t="s">
        <v>6650</v>
      </c>
      <c r="J8185" s="24">
        <v>0.0</v>
      </c>
    </row>
    <row r="8186">
      <c r="A8186" s="24">
        <v>144.0</v>
      </c>
      <c r="B8186" s="24">
        <v>1.0</v>
      </c>
      <c r="C8186" s="44">
        <v>26.91</v>
      </c>
      <c r="D8186" s="46">
        <v>45930.0</v>
      </c>
      <c r="E8186" s="24">
        <v>26.91</v>
      </c>
      <c r="F8186" s="24">
        <v>186.88</v>
      </c>
      <c r="G8186" s="24">
        <v>0.69</v>
      </c>
      <c r="H8186" s="24" t="s">
        <v>6741</v>
      </c>
      <c r="I8186" s="24" t="s">
        <v>6650</v>
      </c>
      <c r="J8186" s="24">
        <v>0.0</v>
      </c>
    </row>
    <row r="8187">
      <c r="A8187" s="24">
        <v>71.0</v>
      </c>
      <c r="B8187" s="24">
        <v>0.0</v>
      </c>
      <c r="C8187" s="44">
        <v>23.78</v>
      </c>
      <c r="D8187" s="46">
        <v>45931.0</v>
      </c>
      <c r="E8187" s="24" t="s">
        <v>6650</v>
      </c>
      <c r="F8187" s="24">
        <v>334.93</v>
      </c>
      <c r="G8187" s="24">
        <v>0.0</v>
      </c>
      <c r="H8187" s="24" t="s">
        <v>6742</v>
      </c>
      <c r="I8187" s="24" t="s">
        <v>6650</v>
      </c>
      <c r="J8187" s="24">
        <v>0.0</v>
      </c>
    </row>
    <row r="8188">
      <c r="A8188" s="24">
        <v>98.0</v>
      </c>
      <c r="B8188" s="24">
        <v>1.0</v>
      </c>
      <c r="C8188" s="44">
        <v>22.18</v>
      </c>
      <c r="D8188" s="46">
        <v>45931.0</v>
      </c>
      <c r="E8188" s="24">
        <v>22.18</v>
      </c>
      <c r="F8188" s="24">
        <v>226.33</v>
      </c>
      <c r="G8188" s="24">
        <v>1.02</v>
      </c>
      <c r="H8188" s="24" t="s">
        <v>6741</v>
      </c>
      <c r="I8188" s="24" t="s">
        <v>6650</v>
      </c>
      <c r="J8188" s="24">
        <v>0.0</v>
      </c>
    </row>
    <row r="8189">
      <c r="A8189" s="24">
        <v>338.0</v>
      </c>
      <c r="B8189" s="24">
        <v>1.0</v>
      </c>
      <c r="C8189" s="44">
        <v>23.35</v>
      </c>
      <c r="D8189" s="46">
        <v>45931.0</v>
      </c>
      <c r="E8189" s="24">
        <v>23.35</v>
      </c>
      <c r="F8189" s="24">
        <v>69.08</v>
      </c>
      <c r="G8189" s="24">
        <v>0.3</v>
      </c>
      <c r="H8189" s="24" t="s">
        <v>6740</v>
      </c>
      <c r="I8189" s="24" t="s">
        <v>6650</v>
      </c>
      <c r="J8189" s="24">
        <v>0.0</v>
      </c>
    </row>
    <row r="8190">
      <c r="A8190" s="24">
        <v>159.0</v>
      </c>
      <c r="B8190" s="24">
        <v>2.0</v>
      </c>
      <c r="C8190" s="44">
        <v>23.67</v>
      </c>
      <c r="D8190" s="46">
        <v>45931.0</v>
      </c>
      <c r="E8190" s="24">
        <v>11.84</v>
      </c>
      <c r="F8190" s="24">
        <v>148.87</v>
      </c>
      <c r="G8190" s="24">
        <v>1.26</v>
      </c>
      <c r="H8190" s="24" t="s">
        <v>6743</v>
      </c>
      <c r="I8190" s="24" t="s">
        <v>6650</v>
      </c>
      <c r="J8190" s="24">
        <v>0.0</v>
      </c>
    </row>
    <row r="8191">
      <c r="A8191" s="24">
        <v>104.0</v>
      </c>
      <c r="B8191" s="24">
        <v>3.0</v>
      </c>
      <c r="C8191" s="44">
        <v>25.01</v>
      </c>
      <c r="D8191" s="46">
        <v>45932.0</v>
      </c>
      <c r="E8191" s="24">
        <v>8.34</v>
      </c>
      <c r="F8191" s="24">
        <v>240.48</v>
      </c>
      <c r="G8191" s="24">
        <v>2.88</v>
      </c>
      <c r="H8191" s="24" t="s">
        <v>6743</v>
      </c>
      <c r="I8191" s="24" t="s">
        <v>6650</v>
      </c>
      <c r="J8191" s="24">
        <v>0.0</v>
      </c>
    </row>
    <row r="8192">
      <c r="A8192" s="24">
        <v>104.0</v>
      </c>
      <c r="B8192" s="24">
        <v>1.0</v>
      </c>
      <c r="C8192" s="44">
        <v>21.98</v>
      </c>
      <c r="D8192" s="46">
        <v>45932.0</v>
      </c>
      <c r="E8192" s="24">
        <v>21.98</v>
      </c>
      <c r="F8192" s="24">
        <v>211.35</v>
      </c>
      <c r="G8192" s="24">
        <v>0.96</v>
      </c>
      <c r="H8192" s="24" t="s">
        <v>6741</v>
      </c>
      <c r="I8192" s="24" t="s">
        <v>6650</v>
      </c>
      <c r="J8192" s="24">
        <v>0.0</v>
      </c>
    </row>
    <row r="8193">
      <c r="A8193" s="24">
        <v>107.0</v>
      </c>
      <c r="B8193" s="24">
        <v>2.0</v>
      </c>
      <c r="C8193" s="44">
        <v>22.87</v>
      </c>
      <c r="D8193" s="46">
        <v>45932.0</v>
      </c>
      <c r="E8193" s="24">
        <v>11.44</v>
      </c>
      <c r="F8193" s="24">
        <v>213.74</v>
      </c>
      <c r="G8193" s="24">
        <v>1.87</v>
      </c>
      <c r="H8193" s="24" t="s">
        <v>6742</v>
      </c>
      <c r="I8193" s="24" t="s">
        <v>6650</v>
      </c>
      <c r="J8193" s="24">
        <v>0.0</v>
      </c>
    </row>
    <row r="8194">
      <c r="A8194" s="24">
        <v>305.0</v>
      </c>
      <c r="B8194" s="24">
        <v>3.0</v>
      </c>
      <c r="C8194" s="44">
        <v>23.57</v>
      </c>
      <c r="D8194" s="46">
        <v>45932.0</v>
      </c>
      <c r="E8194" s="24">
        <v>7.86</v>
      </c>
      <c r="F8194" s="24">
        <v>77.28</v>
      </c>
      <c r="G8194" s="24">
        <v>0.98</v>
      </c>
      <c r="H8194" s="24" t="s">
        <v>6740</v>
      </c>
      <c r="I8194" s="24" t="s">
        <v>6650</v>
      </c>
      <c r="J8194" s="24">
        <v>0.0</v>
      </c>
    </row>
    <row r="8195">
      <c r="A8195" s="24">
        <v>65.0</v>
      </c>
      <c r="B8195" s="24">
        <v>2.0</v>
      </c>
      <c r="C8195" s="44">
        <v>20.7</v>
      </c>
      <c r="D8195" s="46">
        <v>45933.0</v>
      </c>
      <c r="E8195" s="24">
        <v>10.35</v>
      </c>
      <c r="F8195" s="24">
        <v>318.46</v>
      </c>
      <c r="G8195" s="24">
        <v>3.08</v>
      </c>
      <c r="H8195" s="24" t="s">
        <v>6742</v>
      </c>
      <c r="I8195" s="24" t="s">
        <v>6650</v>
      </c>
      <c r="J8195" s="24">
        <v>0.0</v>
      </c>
    </row>
    <row r="8196">
      <c r="A8196" s="24">
        <v>121.0</v>
      </c>
      <c r="B8196" s="24">
        <v>2.0</v>
      </c>
      <c r="C8196" s="44">
        <v>25.54</v>
      </c>
      <c r="D8196" s="46">
        <v>45933.0</v>
      </c>
      <c r="E8196" s="24">
        <v>12.77</v>
      </c>
      <c r="F8196" s="24">
        <v>211.07</v>
      </c>
      <c r="G8196" s="24">
        <v>1.65</v>
      </c>
      <c r="H8196" s="24" t="s">
        <v>6743</v>
      </c>
      <c r="I8196" s="24" t="s">
        <v>6650</v>
      </c>
      <c r="J8196" s="24">
        <v>0.0</v>
      </c>
    </row>
    <row r="8197">
      <c r="A8197" s="24">
        <v>207.0</v>
      </c>
      <c r="B8197" s="24">
        <v>1.0</v>
      </c>
      <c r="C8197" s="44">
        <v>20.57</v>
      </c>
      <c r="D8197" s="46">
        <v>45933.0</v>
      </c>
      <c r="E8197" s="24">
        <v>20.57</v>
      </c>
      <c r="F8197" s="24">
        <v>99.37</v>
      </c>
      <c r="G8197" s="24">
        <v>0.48</v>
      </c>
      <c r="H8197" s="24" t="s">
        <v>6740</v>
      </c>
      <c r="I8197" s="24" t="s">
        <v>6650</v>
      </c>
      <c r="J8197" s="24">
        <v>0.0</v>
      </c>
    </row>
    <row r="8198">
      <c r="A8198" s="24">
        <v>104.0</v>
      </c>
      <c r="B8198" s="24">
        <v>0.0</v>
      </c>
      <c r="C8198" s="44">
        <v>19.52</v>
      </c>
      <c r="D8198" s="46">
        <v>45933.0</v>
      </c>
      <c r="E8198" s="24" t="s">
        <v>6650</v>
      </c>
      <c r="F8198" s="24">
        <v>187.69</v>
      </c>
      <c r="G8198" s="24">
        <v>0.0</v>
      </c>
      <c r="H8198" s="24" t="s">
        <v>6741</v>
      </c>
      <c r="I8198" s="24" t="s">
        <v>6650</v>
      </c>
      <c r="J8198" s="24">
        <v>0.0</v>
      </c>
    </row>
    <row r="8199">
      <c r="A8199" s="24">
        <v>30.0</v>
      </c>
      <c r="B8199" s="24">
        <v>1.0</v>
      </c>
      <c r="C8199" s="44">
        <v>12.14</v>
      </c>
      <c r="D8199" s="46">
        <v>45934.0</v>
      </c>
      <c r="E8199" s="24">
        <v>12.14</v>
      </c>
      <c r="F8199" s="24">
        <v>404.67</v>
      </c>
      <c r="G8199" s="24">
        <v>3.33</v>
      </c>
      <c r="H8199" s="24" t="s">
        <v>6742</v>
      </c>
      <c r="I8199" s="24" t="s">
        <v>6650</v>
      </c>
      <c r="J8199" s="24">
        <v>0.0</v>
      </c>
    </row>
    <row r="8200">
      <c r="A8200" s="24">
        <v>160.0</v>
      </c>
      <c r="B8200" s="24">
        <v>1.0</v>
      </c>
      <c r="C8200" s="44">
        <v>11.82</v>
      </c>
      <c r="D8200" s="46">
        <v>45934.0</v>
      </c>
      <c r="E8200" s="24">
        <v>11.82</v>
      </c>
      <c r="F8200" s="24">
        <v>73.88</v>
      </c>
      <c r="G8200" s="24">
        <v>0.62</v>
      </c>
      <c r="H8200" s="24" t="s">
        <v>6740</v>
      </c>
      <c r="I8200" s="24" t="s">
        <v>6650</v>
      </c>
      <c r="J8200" s="24">
        <v>0.0</v>
      </c>
    </row>
    <row r="8201">
      <c r="A8201" s="24">
        <v>33.0</v>
      </c>
      <c r="B8201" s="24">
        <v>2.0</v>
      </c>
      <c r="C8201" s="44">
        <v>8.9</v>
      </c>
      <c r="D8201" s="46">
        <v>45934.0</v>
      </c>
      <c r="E8201" s="24">
        <v>4.45</v>
      </c>
      <c r="F8201" s="24">
        <v>269.7</v>
      </c>
      <c r="G8201" s="24">
        <v>6.06</v>
      </c>
      <c r="H8201" s="24" t="s">
        <v>6743</v>
      </c>
      <c r="I8201" s="24" t="s">
        <v>6650</v>
      </c>
      <c r="J8201" s="24">
        <v>0.0</v>
      </c>
    </row>
    <row r="8202">
      <c r="A8202" s="24">
        <v>38.0</v>
      </c>
      <c r="B8202" s="24">
        <v>0.0</v>
      </c>
      <c r="C8202" s="44">
        <v>10.82</v>
      </c>
      <c r="D8202" s="46">
        <v>45934.0</v>
      </c>
      <c r="E8202" s="24" t="s">
        <v>6650</v>
      </c>
      <c r="F8202" s="24">
        <v>284.74</v>
      </c>
      <c r="G8202" s="24">
        <v>0.0</v>
      </c>
      <c r="H8202" s="24" t="s">
        <v>6741</v>
      </c>
      <c r="I8202" s="24" t="s">
        <v>6650</v>
      </c>
      <c r="J8202" s="24">
        <v>0.0</v>
      </c>
    </row>
    <row r="8203">
      <c r="A8203" s="24">
        <v>10.0</v>
      </c>
      <c r="B8203" s="24">
        <v>0.0</v>
      </c>
      <c r="C8203" s="44">
        <v>1.64</v>
      </c>
      <c r="D8203" s="46">
        <v>45935.0</v>
      </c>
      <c r="E8203" s="24" t="s">
        <v>6650</v>
      </c>
      <c r="F8203" s="24">
        <v>164.0</v>
      </c>
      <c r="G8203" s="24">
        <v>0.0</v>
      </c>
      <c r="H8203" s="24" t="s">
        <v>6742</v>
      </c>
      <c r="I8203" s="24" t="s">
        <v>6650</v>
      </c>
      <c r="J8203" s="24">
        <v>0.0</v>
      </c>
    </row>
    <row r="8204">
      <c r="A8204" s="24">
        <v>27.0</v>
      </c>
      <c r="B8204" s="24">
        <v>0.0</v>
      </c>
      <c r="C8204" s="44">
        <v>5.54</v>
      </c>
      <c r="D8204" s="46">
        <v>45935.0</v>
      </c>
      <c r="E8204" s="24" t="s">
        <v>6650</v>
      </c>
      <c r="F8204" s="24">
        <v>205.19</v>
      </c>
      <c r="G8204" s="24">
        <v>0.0</v>
      </c>
      <c r="H8204" s="24" t="s">
        <v>6741</v>
      </c>
      <c r="I8204" s="24" t="s">
        <v>6650</v>
      </c>
      <c r="J8204" s="24">
        <v>0.0</v>
      </c>
    </row>
    <row r="8205">
      <c r="A8205" s="24">
        <v>8.0</v>
      </c>
      <c r="B8205" s="24">
        <v>0.0</v>
      </c>
      <c r="C8205" s="44">
        <v>1.01</v>
      </c>
      <c r="D8205" s="46">
        <v>45935.0</v>
      </c>
      <c r="E8205" s="24" t="s">
        <v>6650</v>
      </c>
      <c r="F8205" s="24">
        <v>126.25</v>
      </c>
      <c r="G8205" s="24">
        <v>0.0</v>
      </c>
      <c r="H8205" s="24" t="s">
        <v>6743</v>
      </c>
      <c r="I8205" s="24" t="s">
        <v>6650</v>
      </c>
      <c r="J8205" s="24">
        <v>0.0</v>
      </c>
    </row>
    <row r="8206">
      <c r="A8206" s="24">
        <v>103.0</v>
      </c>
      <c r="B8206" s="24">
        <v>0.0</v>
      </c>
      <c r="C8206" s="44">
        <v>8.67</v>
      </c>
      <c r="D8206" s="46">
        <v>45935.0</v>
      </c>
      <c r="E8206" s="24" t="s">
        <v>6650</v>
      </c>
      <c r="F8206" s="24">
        <v>84.17</v>
      </c>
      <c r="G8206" s="24">
        <v>0.0</v>
      </c>
      <c r="H8206" s="24" t="s">
        <v>6740</v>
      </c>
      <c r="I8206" s="24" t="s">
        <v>6650</v>
      </c>
      <c r="J8206" s="24">
        <v>0.0</v>
      </c>
    </row>
    <row r="8207">
      <c r="A8207" s="24">
        <v>70.0</v>
      </c>
      <c r="B8207" s="24">
        <v>0.0</v>
      </c>
      <c r="C8207" s="44">
        <v>24.28</v>
      </c>
      <c r="D8207" s="46">
        <v>45936.0</v>
      </c>
      <c r="E8207" s="24" t="s">
        <v>6650</v>
      </c>
      <c r="F8207" s="24">
        <v>346.86</v>
      </c>
      <c r="G8207" s="24">
        <v>0.0</v>
      </c>
      <c r="H8207" s="24" t="s">
        <v>6741</v>
      </c>
      <c r="I8207" s="24" t="s">
        <v>6650</v>
      </c>
      <c r="J8207" s="24">
        <v>0.0</v>
      </c>
    </row>
    <row r="8208">
      <c r="A8208" s="24">
        <v>70.0</v>
      </c>
      <c r="B8208" s="24">
        <v>1.0</v>
      </c>
      <c r="C8208" s="44">
        <v>24.08</v>
      </c>
      <c r="D8208" s="46">
        <v>45936.0</v>
      </c>
      <c r="E8208" s="24">
        <v>24.08</v>
      </c>
      <c r="F8208" s="24">
        <v>344.0</v>
      </c>
      <c r="G8208" s="24">
        <v>1.43</v>
      </c>
      <c r="H8208" s="24" t="s">
        <v>6743</v>
      </c>
      <c r="I8208" s="24" t="s">
        <v>6650</v>
      </c>
      <c r="J8208" s="24">
        <v>0.0</v>
      </c>
    </row>
    <row r="8209">
      <c r="A8209" s="24">
        <v>194.0</v>
      </c>
      <c r="B8209" s="24">
        <v>0.0</v>
      </c>
      <c r="C8209" s="44">
        <v>22.48</v>
      </c>
      <c r="D8209" s="46">
        <v>45936.0</v>
      </c>
      <c r="E8209" s="24" t="s">
        <v>6650</v>
      </c>
      <c r="F8209" s="24">
        <v>115.88</v>
      </c>
      <c r="G8209" s="24">
        <v>0.0</v>
      </c>
      <c r="H8209" s="24" t="s">
        <v>6740</v>
      </c>
      <c r="I8209" s="24" t="s">
        <v>6650</v>
      </c>
      <c r="J8209" s="24">
        <v>0.0</v>
      </c>
    </row>
    <row r="8210">
      <c r="A8210" s="24">
        <v>44.0</v>
      </c>
      <c r="B8210" s="24">
        <v>3.0</v>
      </c>
      <c r="C8210" s="44">
        <v>27.42</v>
      </c>
      <c r="D8210" s="46">
        <v>45936.0</v>
      </c>
      <c r="E8210" s="24">
        <v>9.14</v>
      </c>
      <c r="F8210" s="24">
        <v>623.18</v>
      </c>
      <c r="G8210" s="24">
        <v>6.82</v>
      </c>
      <c r="H8210" s="24" t="s">
        <v>6742</v>
      </c>
      <c r="I8210" s="24" t="s">
        <v>6650</v>
      </c>
      <c r="J8210" s="24">
        <v>0.0</v>
      </c>
    </row>
    <row r="8211">
      <c r="A8211" s="24">
        <v>196.0</v>
      </c>
      <c r="B8211" s="24">
        <v>1.0</v>
      </c>
      <c r="C8211" s="44">
        <v>23.01</v>
      </c>
      <c r="D8211" s="46">
        <v>45937.0</v>
      </c>
      <c r="E8211" s="24">
        <v>23.01</v>
      </c>
      <c r="F8211" s="24">
        <v>117.4</v>
      </c>
      <c r="G8211" s="24">
        <v>0.51</v>
      </c>
      <c r="H8211" s="24" t="s">
        <v>6743</v>
      </c>
      <c r="I8211" s="24" t="s">
        <v>6650</v>
      </c>
      <c r="J8211" s="24">
        <v>0.0</v>
      </c>
    </row>
    <row r="8212">
      <c r="A8212" s="24">
        <v>119.0</v>
      </c>
      <c r="B8212" s="24">
        <v>0.0</v>
      </c>
      <c r="C8212" s="44">
        <v>24.68</v>
      </c>
      <c r="D8212" s="46">
        <v>45937.0</v>
      </c>
      <c r="E8212" s="24" t="s">
        <v>6650</v>
      </c>
      <c r="F8212" s="24">
        <v>207.39</v>
      </c>
      <c r="G8212" s="24">
        <v>0.0</v>
      </c>
      <c r="H8212" s="24" t="s">
        <v>6741</v>
      </c>
      <c r="I8212" s="24" t="s">
        <v>6650</v>
      </c>
      <c r="J8212" s="24">
        <v>0.0</v>
      </c>
    </row>
    <row r="8213">
      <c r="A8213" s="24">
        <v>96.0</v>
      </c>
      <c r="B8213" s="24">
        <v>1.0</v>
      </c>
      <c r="C8213" s="44">
        <v>25.33</v>
      </c>
      <c r="D8213" s="46">
        <v>45937.0</v>
      </c>
      <c r="E8213" s="24">
        <v>25.33</v>
      </c>
      <c r="F8213" s="24">
        <v>263.85</v>
      </c>
      <c r="G8213" s="24">
        <v>1.04</v>
      </c>
      <c r="H8213" s="24" t="s">
        <v>6742</v>
      </c>
      <c r="I8213" s="24" t="s">
        <v>6650</v>
      </c>
      <c r="J8213" s="24">
        <v>0.0</v>
      </c>
    </row>
    <row r="8214">
      <c r="A8214" s="24">
        <v>213.0</v>
      </c>
      <c r="B8214" s="24">
        <v>2.0</v>
      </c>
      <c r="C8214" s="44">
        <v>23.06</v>
      </c>
      <c r="D8214" s="46">
        <v>45937.0</v>
      </c>
      <c r="E8214" s="24">
        <v>11.53</v>
      </c>
      <c r="F8214" s="24">
        <v>108.26</v>
      </c>
      <c r="G8214" s="24">
        <v>0.94</v>
      </c>
      <c r="H8214" s="24" t="s">
        <v>6740</v>
      </c>
      <c r="I8214" s="24" t="s">
        <v>6650</v>
      </c>
      <c r="J8214" s="24">
        <v>0.0</v>
      </c>
    </row>
    <row r="8215">
      <c r="A8215" s="24">
        <v>826.0</v>
      </c>
      <c r="B8215" s="24">
        <v>2.0</v>
      </c>
      <c r="C8215" s="44">
        <v>37.84</v>
      </c>
      <c r="D8215" s="46">
        <v>45938.0</v>
      </c>
      <c r="E8215" s="24">
        <v>18.92</v>
      </c>
      <c r="F8215" s="24">
        <v>45.81</v>
      </c>
      <c r="G8215" s="24">
        <v>0.24</v>
      </c>
      <c r="H8215" s="24" t="s">
        <v>6745</v>
      </c>
      <c r="I8215" s="24" t="s">
        <v>6650</v>
      </c>
      <c r="J8215" s="24">
        <v>0.0</v>
      </c>
    </row>
    <row r="8216">
      <c r="A8216" s="24">
        <v>79.0</v>
      </c>
      <c r="B8216" s="24">
        <v>0.0</v>
      </c>
      <c r="C8216" s="44">
        <v>10.1</v>
      </c>
      <c r="D8216" s="46">
        <v>45938.0</v>
      </c>
      <c r="E8216" s="24" t="s">
        <v>6650</v>
      </c>
      <c r="F8216" s="24">
        <v>127.85</v>
      </c>
      <c r="G8216" s="24">
        <v>0.0</v>
      </c>
      <c r="H8216" s="24" t="s">
        <v>6741</v>
      </c>
      <c r="I8216" s="24" t="s">
        <v>6650</v>
      </c>
      <c r="J8216" s="24">
        <v>0.0</v>
      </c>
    </row>
    <row r="8217">
      <c r="A8217" s="24">
        <v>82.0</v>
      </c>
      <c r="B8217" s="24">
        <v>2.0</v>
      </c>
      <c r="C8217" s="44">
        <v>8.88</v>
      </c>
      <c r="D8217" s="46">
        <v>45938.0</v>
      </c>
      <c r="E8217" s="24">
        <v>4.44</v>
      </c>
      <c r="F8217" s="24">
        <v>108.29</v>
      </c>
      <c r="G8217" s="24">
        <v>2.44</v>
      </c>
      <c r="H8217" s="24" t="s">
        <v>6743</v>
      </c>
      <c r="I8217" s="24" t="s">
        <v>6650</v>
      </c>
      <c r="J8217" s="24">
        <v>0.0</v>
      </c>
    </row>
    <row r="8218">
      <c r="A8218" s="24">
        <v>1006.0</v>
      </c>
      <c r="B8218" s="24">
        <v>20.0</v>
      </c>
      <c r="C8218" s="44">
        <v>37.63</v>
      </c>
      <c r="D8218" s="46">
        <v>45938.0</v>
      </c>
      <c r="E8218" s="24">
        <v>1.88</v>
      </c>
      <c r="F8218" s="24">
        <v>37.41</v>
      </c>
      <c r="G8218" s="24">
        <v>1.99</v>
      </c>
      <c r="H8218" s="24" t="s">
        <v>6746</v>
      </c>
      <c r="I8218" s="24" t="s">
        <v>6650</v>
      </c>
      <c r="J8218" s="24">
        <v>0.0</v>
      </c>
    </row>
    <row r="8219">
      <c r="A8219" s="24">
        <v>836.0</v>
      </c>
      <c r="B8219" s="24">
        <v>5.0</v>
      </c>
      <c r="C8219" s="44">
        <v>37.79</v>
      </c>
      <c r="D8219" s="46">
        <v>45938.0</v>
      </c>
      <c r="E8219" s="24">
        <v>7.56</v>
      </c>
      <c r="F8219" s="24">
        <v>45.2</v>
      </c>
      <c r="G8219" s="24">
        <v>0.6</v>
      </c>
      <c r="H8219" s="24" t="s">
        <v>6747</v>
      </c>
      <c r="I8219" s="24" t="s">
        <v>6650</v>
      </c>
      <c r="J8219" s="24">
        <v>0.0</v>
      </c>
    </row>
    <row r="8220">
      <c r="A8220" s="24">
        <v>151.0</v>
      </c>
      <c r="B8220" s="24">
        <v>0.0</v>
      </c>
      <c r="C8220" s="44">
        <v>9.09</v>
      </c>
      <c r="D8220" s="46">
        <v>45938.0</v>
      </c>
      <c r="E8220" s="24" t="s">
        <v>6650</v>
      </c>
      <c r="F8220" s="24">
        <v>60.2</v>
      </c>
      <c r="G8220" s="24">
        <v>0.0</v>
      </c>
      <c r="H8220" s="24" t="s">
        <v>6740</v>
      </c>
      <c r="I8220" s="24" t="s">
        <v>6650</v>
      </c>
      <c r="J8220" s="24">
        <v>0.0</v>
      </c>
    </row>
    <row r="8221">
      <c r="A8221" s="24">
        <v>75.0</v>
      </c>
      <c r="B8221" s="24">
        <v>0.0</v>
      </c>
      <c r="C8221" s="44">
        <v>25.79</v>
      </c>
      <c r="D8221" s="46">
        <v>45938.0</v>
      </c>
      <c r="E8221" s="24" t="s">
        <v>6650</v>
      </c>
      <c r="F8221" s="24">
        <v>343.87</v>
      </c>
      <c r="G8221" s="24">
        <v>0.0</v>
      </c>
      <c r="H8221" s="24" t="s">
        <v>6742</v>
      </c>
      <c r="I8221" s="24" t="s">
        <v>6650</v>
      </c>
      <c r="J8221" s="24">
        <v>0.0</v>
      </c>
    </row>
    <row r="8222">
      <c r="A8222" s="24">
        <v>86.0</v>
      </c>
      <c r="B8222" s="24">
        <v>3.0</v>
      </c>
      <c r="C8222" s="44">
        <v>27.5</v>
      </c>
      <c r="D8222" s="46">
        <v>45939.0</v>
      </c>
      <c r="E8222" s="24">
        <v>9.17</v>
      </c>
      <c r="F8222" s="24">
        <v>319.77</v>
      </c>
      <c r="G8222" s="24">
        <v>3.49</v>
      </c>
      <c r="H8222" s="24" t="s">
        <v>6742</v>
      </c>
      <c r="I8222" s="24" t="s">
        <v>6650</v>
      </c>
      <c r="J8222" s="24">
        <v>0.0</v>
      </c>
    </row>
    <row r="8223">
      <c r="A8223" s="24">
        <v>318.0</v>
      </c>
      <c r="B8223" s="24">
        <v>1.0</v>
      </c>
      <c r="C8223" s="44">
        <v>31.66</v>
      </c>
      <c r="D8223" s="46">
        <v>45939.0</v>
      </c>
      <c r="E8223" s="24">
        <v>31.66</v>
      </c>
      <c r="F8223" s="24">
        <v>99.56</v>
      </c>
      <c r="G8223" s="24">
        <v>0.31</v>
      </c>
      <c r="H8223" s="24" t="s">
        <v>6747</v>
      </c>
      <c r="I8223" s="24" t="s">
        <v>6650</v>
      </c>
      <c r="J8223" s="24">
        <v>0.0</v>
      </c>
    </row>
    <row r="8224">
      <c r="A8224" s="24">
        <v>416.0</v>
      </c>
      <c r="B8224" s="24">
        <v>5.0</v>
      </c>
      <c r="C8224" s="44">
        <v>30.81</v>
      </c>
      <c r="D8224" s="46">
        <v>45939.0</v>
      </c>
      <c r="E8224" s="24">
        <v>6.16</v>
      </c>
      <c r="F8224" s="24">
        <v>74.06</v>
      </c>
      <c r="G8224" s="24">
        <v>1.2</v>
      </c>
      <c r="H8224" s="24" t="s">
        <v>6746</v>
      </c>
      <c r="I8224" s="24" t="s">
        <v>6650</v>
      </c>
      <c r="J8224" s="24">
        <v>0.0</v>
      </c>
    </row>
    <row r="8225">
      <c r="A8225" s="24">
        <v>365.0</v>
      </c>
      <c r="B8225" s="24">
        <v>2.0</v>
      </c>
      <c r="C8225" s="44">
        <v>30.82</v>
      </c>
      <c r="D8225" s="46">
        <v>45939.0</v>
      </c>
      <c r="E8225" s="24">
        <v>15.41</v>
      </c>
      <c r="F8225" s="24">
        <v>84.44</v>
      </c>
      <c r="G8225" s="24">
        <v>0.55</v>
      </c>
      <c r="H8225" s="24" t="s">
        <v>6745</v>
      </c>
      <c r="I8225" s="24" t="s">
        <v>6650</v>
      </c>
      <c r="J8225" s="24">
        <v>0.0</v>
      </c>
    </row>
    <row r="8226">
      <c r="A8226" s="24">
        <v>60.0</v>
      </c>
      <c r="B8226" s="24">
        <v>1.0</v>
      </c>
      <c r="C8226" s="44">
        <v>18.05</v>
      </c>
      <c r="D8226" s="46">
        <v>45940.0</v>
      </c>
      <c r="E8226" s="24">
        <v>18.05</v>
      </c>
      <c r="F8226" s="24">
        <v>300.83</v>
      </c>
      <c r="G8226" s="24">
        <v>1.67</v>
      </c>
      <c r="H8226" s="24" t="s">
        <v>6742</v>
      </c>
      <c r="I8226" s="24" t="s">
        <v>6650</v>
      </c>
      <c r="J8226" s="24">
        <v>0.0</v>
      </c>
    </row>
    <row r="8227">
      <c r="A8227" s="24">
        <v>624.0</v>
      </c>
      <c r="B8227" s="24">
        <v>1.0</v>
      </c>
      <c r="C8227" s="44">
        <v>39.76</v>
      </c>
      <c r="D8227" s="46">
        <v>45940.0</v>
      </c>
      <c r="E8227" s="24">
        <v>39.76</v>
      </c>
      <c r="F8227" s="24">
        <v>63.72</v>
      </c>
      <c r="G8227" s="24">
        <v>0.16</v>
      </c>
      <c r="H8227" s="24" t="s">
        <v>6747</v>
      </c>
      <c r="I8227" s="24" t="s">
        <v>6650</v>
      </c>
      <c r="J8227" s="24">
        <v>0.0</v>
      </c>
    </row>
    <row r="8228">
      <c r="A8228" s="24">
        <v>489.0</v>
      </c>
      <c r="B8228" s="24">
        <v>2.0</v>
      </c>
      <c r="C8228" s="44">
        <v>40.21</v>
      </c>
      <c r="D8228" s="46">
        <v>45940.0</v>
      </c>
      <c r="E8228" s="24">
        <v>20.1</v>
      </c>
      <c r="F8228" s="24">
        <v>82.23</v>
      </c>
      <c r="G8228" s="24">
        <v>0.41</v>
      </c>
      <c r="H8228" s="24" t="s">
        <v>6745</v>
      </c>
      <c r="I8228" s="24" t="s">
        <v>6650</v>
      </c>
      <c r="J8228" s="24">
        <v>0.0</v>
      </c>
    </row>
    <row r="8229">
      <c r="A8229" s="24">
        <v>421.0</v>
      </c>
      <c r="B8229" s="24">
        <v>10.0</v>
      </c>
      <c r="C8229" s="44">
        <v>40.59</v>
      </c>
      <c r="D8229" s="46">
        <v>45940.0</v>
      </c>
      <c r="E8229" s="24">
        <v>4.06</v>
      </c>
      <c r="F8229" s="24">
        <v>96.41</v>
      </c>
      <c r="G8229" s="24">
        <v>2.38</v>
      </c>
      <c r="H8229" s="24" t="s">
        <v>6746</v>
      </c>
      <c r="I8229" s="24" t="s">
        <v>6650</v>
      </c>
      <c r="J8229" s="24">
        <v>0.0</v>
      </c>
    </row>
    <row r="8230">
      <c r="A8230" s="24">
        <v>231.0</v>
      </c>
      <c r="B8230" s="24">
        <v>3.0</v>
      </c>
      <c r="C8230" s="44">
        <v>22.85</v>
      </c>
      <c r="D8230" s="46">
        <v>45941.0</v>
      </c>
      <c r="E8230" s="24">
        <v>7.62</v>
      </c>
      <c r="F8230" s="24">
        <v>98.92</v>
      </c>
      <c r="G8230" s="24">
        <v>1.3</v>
      </c>
      <c r="H8230" s="24" t="s">
        <v>6746</v>
      </c>
      <c r="I8230" s="24" t="s">
        <v>6650</v>
      </c>
      <c r="J8230" s="24">
        <v>0.0</v>
      </c>
    </row>
    <row r="8231">
      <c r="A8231" s="24">
        <v>234.0</v>
      </c>
      <c r="B8231" s="24">
        <v>0.0</v>
      </c>
      <c r="C8231" s="44">
        <v>25.12</v>
      </c>
      <c r="D8231" s="46">
        <v>45941.0</v>
      </c>
      <c r="E8231" s="24" t="s">
        <v>6650</v>
      </c>
      <c r="F8231" s="24">
        <v>107.35</v>
      </c>
      <c r="G8231" s="24">
        <v>0.0</v>
      </c>
      <c r="H8231" s="24" t="s">
        <v>6747</v>
      </c>
      <c r="I8231" s="24" t="s">
        <v>6650</v>
      </c>
      <c r="J8231" s="24">
        <v>0.0</v>
      </c>
    </row>
    <row r="8232">
      <c r="A8232" s="24">
        <v>32.0</v>
      </c>
      <c r="B8232" s="24">
        <v>0.0</v>
      </c>
      <c r="C8232" s="44">
        <v>8.91</v>
      </c>
      <c r="D8232" s="46">
        <v>45941.0</v>
      </c>
      <c r="E8232" s="24" t="s">
        <v>6650</v>
      </c>
      <c r="F8232" s="24">
        <v>278.44</v>
      </c>
      <c r="G8232" s="24">
        <v>0.0</v>
      </c>
      <c r="H8232" s="24" t="s">
        <v>6742</v>
      </c>
      <c r="I8232" s="24" t="s">
        <v>6650</v>
      </c>
      <c r="J8232" s="24">
        <v>0.0</v>
      </c>
    </row>
    <row r="8233">
      <c r="A8233" s="24">
        <v>226.0</v>
      </c>
      <c r="B8233" s="24">
        <v>1.0</v>
      </c>
      <c r="C8233" s="44">
        <v>25.72</v>
      </c>
      <c r="D8233" s="46">
        <v>45941.0</v>
      </c>
      <c r="E8233" s="24">
        <v>25.72</v>
      </c>
      <c r="F8233" s="24">
        <v>113.81</v>
      </c>
      <c r="G8233" s="24">
        <v>0.44</v>
      </c>
      <c r="H8233" s="24" t="s">
        <v>6745</v>
      </c>
      <c r="I8233" s="24" t="s">
        <v>6650</v>
      </c>
      <c r="J8233" s="24">
        <v>0.0</v>
      </c>
    </row>
    <row r="8234">
      <c r="A8234" s="24">
        <v>120.0</v>
      </c>
      <c r="B8234" s="24">
        <v>0.0</v>
      </c>
      <c r="C8234" s="44">
        <v>15.67</v>
      </c>
      <c r="D8234" s="46">
        <v>45942.0</v>
      </c>
      <c r="E8234" s="24" t="s">
        <v>6650</v>
      </c>
      <c r="F8234" s="24">
        <v>130.58</v>
      </c>
      <c r="G8234" s="24">
        <v>0.0</v>
      </c>
      <c r="H8234" s="24" t="s">
        <v>6747</v>
      </c>
      <c r="I8234" s="24" t="s">
        <v>6650</v>
      </c>
      <c r="J8234" s="24">
        <v>0.0</v>
      </c>
    </row>
    <row r="8235">
      <c r="A8235" s="24">
        <v>139.0</v>
      </c>
      <c r="B8235" s="24">
        <v>0.0</v>
      </c>
      <c r="C8235" s="44">
        <v>15.41</v>
      </c>
      <c r="D8235" s="46">
        <v>45942.0</v>
      </c>
      <c r="E8235" s="24" t="s">
        <v>6650</v>
      </c>
      <c r="F8235" s="24">
        <v>110.86</v>
      </c>
      <c r="G8235" s="24">
        <v>0.0</v>
      </c>
      <c r="H8235" s="24" t="s">
        <v>6745</v>
      </c>
      <c r="I8235" s="24" t="s">
        <v>6650</v>
      </c>
      <c r="J8235" s="24">
        <v>0.0</v>
      </c>
    </row>
    <row r="8236">
      <c r="A8236" s="24">
        <v>142.0</v>
      </c>
      <c r="B8236" s="24">
        <v>4.0</v>
      </c>
      <c r="C8236" s="44">
        <v>18.12</v>
      </c>
      <c r="D8236" s="46">
        <v>45942.0</v>
      </c>
      <c r="E8236" s="24">
        <v>4.53</v>
      </c>
      <c r="F8236" s="24">
        <v>127.61</v>
      </c>
      <c r="G8236" s="24">
        <v>2.82</v>
      </c>
      <c r="H8236" s="24" t="s">
        <v>6746</v>
      </c>
      <c r="I8236" s="24" t="s">
        <v>6650</v>
      </c>
      <c r="J8236" s="24">
        <v>0.0</v>
      </c>
    </row>
    <row r="8237">
      <c r="A8237" s="24">
        <v>233.0</v>
      </c>
      <c r="B8237" s="24">
        <v>5.0</v>
      </c>
      <c r="C8237" s="44">
        <v>24.93</v>
      </c>
      <c r="D8237" s="46">
        <v>45943.0</v>
      </c>
      <c r="E8237" s="24">
        <v>4.99</v>
      </c>
      <c r="F8237" s="24">
        <v>107.0</v>
      </c>
      <c r="G8237" s="24">
        <v>2.15</v>
      </c>
      <c r="H8237" s="24" t="s">
        <v>6746</v>
      </c>
      <c r="I8237" s="24" t="s">
        <v>6650</v>
      </c>
      <c r="J8237" s="24">
        <v>0.0</v>
      </c>
    </row>
    <row r="8238">
      <c r="A8238" s="24">
        <v>274.0</v>
      </c>
      <c r="B8238" s="24">
        <v>3.0</v>
      </c>
      <c r="C8238" s="44">
        <v>25.02</v>
      </c>
      <c r="D8238" s="46">
        <v>45943.0</v>
      </c>
      <c r="E8238" s="24">
        <v>8.34</v>
      </c>
      <c r="F8238" s="24">
        <v>91.31</v>
      </c>
      <c r="G8238" s="24">
        <v>1.09</v>
      </c>
      <c r="H8238" s="24" t="s">
        <v>6747</v>
      </c>
      <c r="I8238" s="24" t="s">
        <v>6650</v>
      </c>
      <c r="J8238" s="24">
        <v>0.0</v>
      </c>
    </row>
    <row r="8239">
      <c r="A8239" s="24">
        <v>65.0</v>
      </c>
      <c r="B8239" s="24">
        <v>2.0</v>
      </c>
      <c r="C8239" s="44">
        <v>25.76</v>
      </c>
      <c r="D8239" s="46">
        <v>45943.0</v>
      </c>
      <c r="E8239" s="24">
        <v>12.88</v>
      </c>
      <c r="F8239" s="24">
        <v>396.31</v>
      </c>
      <c r="G8239" s="24">
        <v>3.08</v>
      </c>
      <c r="H8239" s="24" t="s">
        <v>6742</v>
      </c>
      <c r="I8239" s="24" t="s">
        <v>6650</v>
      </c>
      <c r="J8239" s="24">
        <v>0.0</v>
      </c>
    </row>
    <row r="8240">
      <c r="A8240" s="24">
        <v>212.0</v>
      </c>
      <c r="B8240" s="24">
        <v>2.0</v>
      </c>
      <c r="C8240" s="44">
        <v>24.86</v>
      </c>
      <c r="D8240" s="46">
        <v>45943.0</v>
      </c>
      <c r="E8240" s="24">
        <v>12.43</v>
      </c>
      <c r="F8240" s="24">
        <v>117.26</v>
      </c>
      <c r="G8240" s="24">
        <v>0.94</v>
      </c>
      <c r="H8240" s="24" t="s">
        <v>6745</v>
      </c>
      <c r="I8240" s="24" t="s">
        <v>6650</v>
      </c>
      <c r="J8240" s="24">
        <v>0.0</v>
      </c>
    </row>
    <row r="8241">
      <c r="A8241" s="24">
        <v>92.0</v>
      </c>
      <c r="B8241" s="24">
        <v>0.0</v>
      </c>
      <c r="C8241" s="44">
        <v>25.73</v>
      </c>
      <c r="D8241" s="46">
        <v>45944.0</v>
      </c>
      <c r="E8241" s="24" t="s">
        <v>6650</v>
      </c>
      <c r="F8241" s="24">
        <v>279.67</v>
      </c>
      <c r="G8241" s="24">
        <v>0.0</v>
      </c>
      <c r="H8241" s="24" t="s">
        <v>6742</v>
      </c>
      <c r="I8241" s="24" t="s">
        <v>6650</v>
      </c>
      <c r="J8241" s="24">
        <v>0.0</v>
      </c>
    </row>
    <row r="8242">
      <c r="A8242" s="24">
        <v>255.0</v>
      </c>
      <c r="B8242" s="24">
        <v>1.0</v>
      </c>
      <c r="C8242" s="44">
        <v>26.81</v>
      </c>
      <c r="D8242" s="46">
        <v>45944.0</v>
      </c>
      <c r="E8242" s="24">
        <v>26.81</v>
      </c>
      <c r="F8242" s="24">
        <v>105.14</v>
      </c>
      <c r="G8242" s="24">
        <v>0.39</v>
      </c>
      <c r="H8242" s="24" t="s">
        <v>6745</v>
      </c>
      <c r="I8242" s="24" t="s">
        <v>6650</v>
      </c>
      <c r="J8242" s="24">
        <v>0.0</v>
      </c>
    </row>
    <row r="8243">
      <c r="A8243" s="24">
        <v>305.0</v>
      </c>
      <c r="B8243" s="24">
        <v>2.0</v>
      </c>
      <c r="C8243" s="44">
        <v>26.36</v>
      </c>
      <c r="D8243" s="46">
        <v>45944.0</v>
      </c>
      <c r="E8243" s="24">
        <v>13.18</v>
      </c>
      <c r="F8243" s="24">
        <v>86.43</v>
      </c>
      <c r="G8243" s="24">
        <v>0.66</v>
      </c>
      <c r="H8243" s="24" t="s">
        <v>6746</v>
      </c>
      <c r="I8243" s="24" t="s">
        <v>6650</v>
      </c>
      <c r="J8243" s="24">
        <v>0.0</v>
      </c>
    </row>
    <row r="8244">
      <c r="A8244" s="24">
        <v>216.0</v>
      </c>
      <c r="B8244" s="24">
        <v>2.0</v>
      </c>
      <c r="C8244" s="44">
        <v>26.32</v>
      </c>
      <c r="D8244" s="46">
        <v>45944.0</v>
      </c>
      <c r="E8244" s="24">
        <v>13.16</v>
      </c>
      <c r="F8244" s="24">
        <v>121.85</v>
      </c>
      <c r="G8244" s="24">
        <v>0.93</v>
      </c>
      <c r="H8244" s="24" t="s">
        <v>6747</v>
      </c>
      <c r="I8244" s="24" t="s">
        <v>6650</v>
      </c>
      <c r="J8244" s="24">
        <v>0.0</v>
      </c>
    </row>
    <row r="8245">
      <c r="A8245" s="24">
        <v>48.0</v>
      </c>
      <c r="B8245" s="24">
        <v>0.0</v>
      </c>
      <c r="C8245" s="44">
        <v>24.17</v>
      </c>
      <c r="D8245" s="46">
        <v>45945.0</v>
      </c>
      <c r="E8245" s="24" t="s">
        <v>6650</v>
      </c>
      <c r="F8245" s="24">
        <v>503.54</v>
      </c>
      <c r="G8245" s="24">
        <v>0.0</v>
      </c>
      <c r="H8245" s="24" t="s">
        <v>6742</v>
      </c>
      <c r="I8245" s="24" t="s">
        <v>6650</v>
      </c>
      <c r="J8245" s="24">
        <v>0.0</v>
      </c>
    </row>
    <row r="8246">
      <c r="A8246" s="24">
        <v>193.0</v>
      </c>
      <c r="B8246" s="24">
        <v>0.0</v>
      </c>
      <c r="C8246" s="44">
        <v>27.0</v>
      </c>
      <c r="D8246" s="46">
        <v>45945.0</v>
      </c>
      <c r="E8246" s="24" t="s">
        <v>6650</v>
      </c>
      <c r="F8246" s="24">
        <v>139.9</v>
      </c>
      <c r="G8246" s="24">
        <v>0.0</v>
      </c>
      <c r="H8246" s="24" t="s">
        <v>6745</v>
      </c>
      <c r="I8246" s="24" t="s">
        <v>6650</v>
      </c>
      <c r="J8246" s="24">
        <v>0.0</v>
      </c>
    </row>
    <row r="8247">
      <c r="A8247" s="24">
        <v>201.0</v>
      </c>
      <c r="B8247" s="24">
        <v>5.0</v>
      </c>
      <c r="C8247" s="44">
        <v>26.74</v>
      </c>
      <c r="D8247" s="46">
        <v>45945.0</v>
      </c>
      <c r="E8247" s="24">
        <v>5.35</v>
      </c>
      <c r="F8247" s="24">
        <v>133.03</v>
      </c>
      <c r="G8247" s="24">
        <v>2.49</v>
      </c>
      <c r="H8247" s="24" t="s">
        <v>6746</v>
      </c>
      <c r="I8247" s="24" t="s">
        <v>6650</v>
      </c>
      <c r="J8247" s="24">
        <v>0.0</v>
      </c>
    </row>
    <row r="8248">
      <c r="A8248" s="24">
        <v>183.0</v>
      </c>
      <c r="B8248" s="24">
        <v>1.0</v>
      </c>
      <c r="C8248" s="44">
        <v>26.33</v>
      </c>
      <c r="D8248" s="46">
        <v>45945.0</v>
      </c>
      <c r="E8248" s="24">
        <v>26.33</v>
      </c>
      <c r="F8248" s="24">
        <v>143.88</v>
      </c>
      <c r="G8248" s="24">
        <v>0.55</v>
      </c>
      <c r="H8248" s="24" t="s">
        <v>6747</v>
      </c>
      <c r="I8248" s="24" t="s">
        <v>6650</v>
      </c>
      <c r="J8248" s="24">
        <v>0.0</v>
      </c>
    </row>
    <row r="8249">
      <c r="A8249" s="24">
        <v>244.0</v>
      </c>
      <c r="B8249" s="24">
        <v>0.0</v>
      </c>
      <c r="C8249" s="44">
        <v>30.0</v>
      </c>
      <c r="D8249" s="46">
        <v>45946.0</v>
      </c>
      <c r="E8249" s="24" t="s">
        <v>6650</v>
      </c>
      <c r="F8249" s="24">
        <v>122.95</v>
      </c>
      <c r="G8249" s="24">
        <v>0.0</v>
      </c>
      <c r="H8249" s="24" t="s">
        <v>6745</v>
      </c>
      <c r="I8249" s="24" t="s">
        <v>6650</v>
      </c>
      <c r="J8249" s="24">
        <v>0.0</v>
      </c>
    </row>
    <row r="8250">
      <c r="A8250" s="24">
        <v>264.0</v>
      </c>
      <c r="B8250" s="24">
        <v>3.0</v>
      </c>
      <c r="C8250" s="44">
        <v>26.76</v>
      </c>
      <c r="D8250" s="46">
        <v>45946.0</v>
      </c>
      <c r="E8250" s="24">
        <v>8.92</v>
      </c>
      <c r="F8250" s="24">
        <v>101.36</v>
      </c>
      <c r="G8250" s="24">
        <v>1.14</v>
      </c>
      <c r="H8250" s="24" t="s">
        <v>6746</v>
      </c>
      <c r="I8250" s="24" t="s">
        <v>6650</v>
      </c>
      <c r="J8250" s="24">
        <v>0.0</v>
      </c>
    </row>
    <row r="8251">
      <c r="A8251" s="24">
        <v>276.0</v>
      </c>
      <c r="B8251" s="24">
        <v>3.0</v>
      </c>
      <c r="C8251" s="44">
        <v>27.56</v>
      </c>
      <c r="D8251" s="46">
        <v>45946.0</v>
      </c>
      <c r="E8251" s="24">
        <v>9.19</v>
      </c>
      <c r="F8251" s="24">
        <v>99.86</v>
      </c>
      <c r="G8251" s="24">
        <v>1.09</v>
      </c>
      <c r="H8251" s="24" t="s">
        <v>6747</v>
      </c>
      <c r="I8251" s="24" t="s">
        <v>6650</v>
      </c>
      <c r="J8251" s="24">
        <v>0.0</v>
      </c>
    </row>
    <row r="8252">
      <c r="A8252" s="24">
        <v>73.0</v>
      </c>
      <c r="B8252" s="24">
        <v>0.0</v>
      </c>
      <c r="C8252" s="44">
        <v>23.41</v>
      </c>
      <c r="D8252" s="46">
        <v>45946.0</v>
      </c>
      <c r="E8252" s="24" t="s">
        <v>6650</v>
      </c>
      <c r="F8252" s="24">
        <v>320.68</v>
      </c>
      <c r="G8252" s="24">
        <v>0.0</v>
      </c>
      <c r="H8252" s="24" t="s">
        <v>6742</v>
      </c>
      <c r="I8252" s="24" t="s">
        <v>6650</v>
      </c>
      <c r="J8252" s="24">
        <v>0.0</v>
      </c>
    </row>
    <row r="8253">
      <c r="A8253" s="24">
        <v>198.0</v>
      </c>
      <c r="B8253" s="24">
        <v>0.0</v>
      </c>
      <c r="C8253" s="44">
        <v>23.29</v>
      </c>
      <c r="D8253" s="46">
        <v>45947.0</v>
      </c>
      <c r="E8253" s="24" t="s">
        <v>6650</v>
      </c>
      <c r="F8253" s="24">
        <v>117.63</v>
      </c>
      <c r="G8253" s="24">
        <v>0.0</v>
      </c>
      <c r="H8253" s="24" t="s">
        <v>6747</v>
      </c>
      <c r="I8253" s="24" t="s">
        <v>6650</v>
      </c>
      <c r="J8253" s="24">
        <v>0.0</v>
      </c>
    </row>
    <row r="8254">
      <c r="A8254" s="24">
        <v>317.0</v>
      </c>
      <c r="B8254" s="24">
        <v>5.0</v>
      </c>
      <c r="C8254" s="44">
        <v>23.4</v>
      </c>
      <c r="D8254" s="46">
        <v>45947.0</v>
      </c>
      <c r="E8254" s="24">
        <v>4.68</v>
      </c>
      <c r="F8254" s="24">
        <v>73.82</v>
      </c>
      <c r="G8254" s="24">
        <v>1.58</v>
      </c>
      <c r="H8254" s="24" t="s">
        <v>6746</v>
      </c>
      <c r="I8254" s="24" t="s">
        <v>6650</v>
      </c>
      <c r="J8254" s="24">
        <v>0.0</v>
      </c>
    </row>
    <row r="8255">
      <c r="A8255" s="24">
        <v>212.0</v>
      </c>
      <c r="B8255" s="24">
        <v>2.0</v>
      </c>
      <c r="C8255" s="44">
        <v>23.0</v>
      </c>
      <c r="D8255" s="46">
        <v>45947.0</v>
      </c>
      <c r="E8255" s="24">
        <v>11.5</v>
      </c>
      <c r="F8255" s="24">
        <v>108.49</v>
      </c>
      <c r="G8255" s="24">
        <v>0.94</v>
      </c>
      <c r="H8255" s="24" t="s">
        <v>6745</v>
      </c>
      <c r="I8255" s="24" t="s">
        <v>6650</v>
      </c>
      <c r="J8255" s="24">
        <v>0.0</v>
      </c>
    </row>
    <row r="8256">
      <c r="A8256" s="24">
        <v>36.0</v>
      </c>
      <c r="B8256" s="24">
        <v>0.0</v>
      </c>
      <c r="C8256" s="44">
        <v>21.45</v>
      </c>
      <c r="D8256" s="46">
        <v>45947.0</v>
      </c>
      <c r="E8256" s="24" t="s">
        <v>6650</v>
      </c>
      <c r="F8256" s="24">
        <v>595.83</v>
      </c>
      <c r="G8256" s="24">
        <v>0.0</v>
      </c>
      <c r="H8256" s="24" t="s">
        <v>6742</v>
      </c>
      <c r="I8256" s="24" t="s">
        <v>6650</v>
      </c>
      <c r="J8256" s="24">
        <v>0.0</v>
      </c>
    </row>
    <row r="8257">
      <c r="A8257" s="24">
        <v>123.0</v>
      </c>
      <c r="B8257" s="24">
        <v>5.0</v>
      </c>
      <c r="C8257" s="44">
        <v>13.2</v>
      </c>
      <c r="D8257" s="46">
        <v>45948.0</v>
      </c>
      <c r="E8257" s="24">
        <v>2.64</v>
      </c>
      <c r="F8257" s="24">
        <v>107.32</v>
      </c>
      <c r="G8257" s="24">
        <v>4.07</v>
      </c>
      <c r="H8257" s="24" t="s">
        <v>6746</v>
      </c>
      <c r="I8257" s="24" t="s">
        <v>6650</v>
      </c>
      <c r="J8257" s="24">
        <v>0.0</v>
      </c>
    </row>
    <row r="8258">
      <c r="A8258" s="24">
        <v>28.0</v>
      </c>
      <c r="B8258" s="24">
        <v>1.0</v>
      </c>
      <c r="C8258" s="44">
        <v>8.02</v>
      </c>
      <c r="D8258" s="46">
        <v>45948.0</v>
      </c>
      <c r="E8258" s="24">
        <v>8.02</v>
      </c>
      <c r="F8258" s="24">
        <v>286.43</v>
      </c>
      <c r="G8258" s="24">
        <v>3.57</v>
      </c>
      <c r="H8258" s="24" t="s">
        <v>6742</v>
      </c>
      <c r="I8258" s="24" t="s">
        <v>6650</v>
      </c>
      <c r="J8258" s="24">
        <v>0.0</v>
      </c>
    </row>
    <row r="8259">
      <c r="A8259" s="24">
        <v>103.0</v>
      </c>
      <c r="B8259" s="24">
        <v>0.0</v>
      </c>
      <c r="C8259" s="44">
        <v>13.17</v>
      </c>
      <c r="D8259" s="46">
        <v>45948.0</v>
      </c>
      <c r="E8259" s="24" t="s">
        <v>6650</v>
      </c>
      <c r="F8259" s="24">
        <v>127.86</v>
      </c>
      <c r="G8259" s="24">
        <v>0.0</v>
      </c>
      <c r="H8259" s="24" t="s">
        <v>6745</v>
      </c>
      <c r="I8259" s="24" t="s">
        <v>6650</v>
      </c>
      <c r="J8259" s="24">
        <v>0.0</v>
      </c>
    </row>
    <row r="8260">
      <c r="A8260" s="24">
        <v>109.0</v>
      </c>
      <c r="B8260" s="24">
        <v>1.0</v>
      </c>
      <c r="C8260" s="44">
        <v>13.43</v>
      </c>
      <c r="D8260" s="46">
        <v>45948.0</v>
      </c>
      <c r="E8260" s="24">
        <v>13.43</v>
      </c>
      <c r="F8260" s="24">
        <v>123.21</v>
      </c>
      <c r="G8260" s="24">
        <v>0.92</v>
      </c>
      <c r="H8260" s="24" t="s">
        <v>6747</v>
      </c>
      <c r="I8260" s="24" t="s">
        <v>6650</v>
      </c>
      <c r="J8260" s="24">
        <v>0.0</v>
      </c>
    </row>
    <row r="8261">
      <c r="A8261" s="24">
        <v>15.0</v>
      </c>
      <c r="B8261" s="24">
        <v>0.0</v>
      </c>
      <c r="C8261" s="44">
        <v>4.46</v>
      </c>
      <c r="D8261" s="46">
        <v>45949.0</v>
      </c>
      <c r="E8261" s="24" t="s">
        <v>6650</v>
      </c>
      <c r="F8261" s="24">
        <v>297.33</v>
      </c>
      <c r="G8261" s="24">
        <v>0.0</v>
      </c>
      <c r="H8261" s="24" t="s">
        <v>6742</v>
      </c>
      <c r="I8261" s="24" t="s">
        <v>6650</v>
      </c>
      <c r="J8261" s="24">
        <v>0.0</v>
      </c>
    </row>
    <row r="8262">
      <c r="A8262" s="24">
        <v>90.0</v>
      </c>
      <c r="B8262" s="24">
        <v>1.0</v>
      </c>
      <c r="C8262" s="44">
        <v>9.78</v>
      </c>
      <c r="D8262" s="46">
        <v>45949.0</v>
      </c>
      <c r="E8262" s="24">
        <v>9.78</v>
      </c>
      <c r="F8262" s="24">
        <v>108.67</v>
      </c>
      <c r="G8262" s="24">
        <v>1.11</v>
      </c>
      <c r="H8262" s="24" t="s">
        <v>6746</v>
      </c>
      <c r="I8262" s="24" t="s">
        <v>6650</v>
      </c>
      <c r="J8262" s="24">
        <v>0.0</v>
      </c>
    </row>
    <row r="8263">
      <c r="A8263" s="24">
        <v>74.0</v>
      </c>
      <c r="B8263" s="24">
        <v>0.0</v>
      </c>
      <c r="C8263" s="44">
        <v>8.86</v>
      </c>
      <c r="D8263" s="46">
        <v>45949.0</v>
      </c>
      <c r="E8263" s="24" t="s">
        <v>6650</v>
      </c>
      <c r="F8263" s="24">
        <v>119.73</v>
      </c>
      <c r="G8263" s="24">
        <v>0.0</v>
      </c>
      <c r="H8263" s="24" t="s">
        <v>6747</v>
      </c>
      <c r="I8263" s="24" t="s">
        <v>6650</v>
      </c>
      <c r="J8263" s="24">
        <v>0.0</v>
      </c>
    </row>
    <row r="8264">
      <c r="A8264" s="24">
        <v>62.0</v>
      </c>
      <c r="B8264" s="24">
        <v>0.0</v>
      </c>
      <c r="C8264" s="44">
        <v>7.7</v>
      </c>
      <c r="D8264" s="46">
        <v>45949.0</v>
      </c>
      <c r="E8264" s="24" t="s">
        <v>6650</v>
      </c>
      <c r="F8264" s="24">
        <v>124.19</v>
      </c>
      <c r="G8264" s="24">
        <v>0.0</v>
      </c>
      <c r="H8264" s="24" t="s">
        <v>6745</v>
      </c>
      <c r="I8264" s="24" t="s">
        <v>6650</v>
      </c>
      <c r="J8264" s="24">
        <v>0.0</v>
      </c>
    </row>
    <row r="8265">
      <c r="A8265" s="24">
        <v>170.0</v>
      </c>
      <c r="B8265" s="24">
        <v>1.0</v>
      </c>
      <c r="C8265" s="44">
        <v>23.72</v>
      </c>
      <c r="D8265" s="46">
        <v>45950.0</v>
      </c>
      <c r="E8265" s="24">
        <v>23.72</v>
      </c>
      <c r="F8265" s="24">
        <v>139.53</v>
      </c>
      <c r="G8265" s="24">
        <v>0.59</v>
      </c>
      <c r="H8265" s="24" t="s">
        <v>6745</v>
      </c>
      <c r="I8265" s="24" t="s">
        <v>6650</v>
      </c>
      <c r="J8265" s="24">
        <v>0.0</v>
      </c>
    </row>
    <row r="8266">
      <c r="A8266" s="24">
        <v>210.0</v>
      </c>
      <c r="B8266" s="24">
        <v>2.0</v>
      </c>
      <c r="C8266" s="44">
        <v>23.01</v>
      </c>
      <c r="D8266" s="46">
        <v>45950.0</v>
      </c>
      <c r="E8266" s="24">
        <v>11.5</v>
      </c>
      <c r="F8266" s="24">
        <v>109.57</v>
      </c>
      <c r="G8266" s="24">
        <v>0.95</v>
      </c>
      <c r="H8266" s="24" t="s">
        <v>6747</v>
      </c>
      <c r="I8266" s="24" t="s">
        <v>6650</v>
      </c>
      <c r="J8266" s="24">
        <v>0.0</v>
      </c>
    </row>
    <row r="8267">
      <c r="A8267" s="24">
        <v>190.0</v>
      </c>
      <c r="B8267" s="24">
        <v>10.0</v>
      </c>
      <c r="C8267" s="44">
        <v>23.51</v>
      </c>
      <c r="D8267" s="46">
        <v>45950.0</v>
      </c>
      <c r="E8267" s="24">
        <v>2.35</v>
      </c>
      <c r="F8267" s="24">
        <v>123.74</v>
      </c>
      <c r="G8267" s="24">
        <v>5.26</v>
      </c>
      <c r="H8267" s="24" t="s">
        <v>6746</v>
      </c>
      <c r="I8267" s="24" t="s">
        <v>6650</v>
      </c>
      <c r="J8267" s="24">
        <v>0.0</v>
      </c>
    </row>
    <row r="8268">
      <c r="A8268" s="24">
        <v>42.0</v>
      </c>
      <c r="B8268" s="24">
        <v>0.0</v>
      </c>
      <c r="C8268" s="44">
        <v>27.07</v>
      </c>
      <c r="D8268" s="46">
        <v>45950.0</v>
      </c>
      <c r="E8268" s="24" t="s">
        <v>6650</v>
      </c>
      <c r="F8268" s="24">
        <v>644.52</v>
      </c>
      <c r="G8268" s="24">
        <v>0.0</v>
      </c>
      <c r="H8268" s="24" t="s">
        <v>6742</v>
      </c>
      <c r="I8268" s="24" t="s">
        <v>6650</v>
      </c>
      <c r="J8268" s="24">
        <v>0.0</v>
      </c>
    </row>
    <row r="8269">
      <c r="A8269" s="24">
        <v>262.0</v>
      </c>
      <c r="B8269" s="24">
        <v>2.0</v>
      </c>
      <c r="C8269" s="44">
        <v>25.07</v>
      </c>
      <c r="D8269" s="46">
        <v>45951.0</v>
      </c>
      <c r="E8269" s="24">
        <v>12.54</v>
      </c>
      <c r="F8269" s="24">
        <v>95.69</v>
      </c>
      <c r="G8269" s="24">
        <v>0.76</v>
      </c>
      <c r="H8269" s="24" t="s">
        <v>6747</v>
      </c>
      <c r="I8269" s="24" t="s">
        <v>6650</v>
      </c>
      <c r="J8269" s="24">
        <v>0.0</v>
      </c>
    </row>
    <row r="8270">
      <c r="A8270" s="24">
        <v>180.0</v>
      </c>
      <c r="B8270" s="24">
        <v>1.0</v>
      </c>
      <c r="C8270" s="44">
        <v>26.51</v>
      </c>
      <c r="D8270" s="46">
        <v>45951.0</v>
      </c>
      <c r="E8270" s="24">
        <v>26.51</v>
      </c>
      <c r="F8270" s="24">
        <v>147.28</v>
      </c>
      <c r="G8270" s="24">
        <v>0.56</v>
      </c>
      <c r="H8270" s="24" t="s">
        <v>6745</v>
      </c>
      <c r="I8270" s="24" t="s">
        <v>6650</v>
      </c>
      <c r="J8270" s="24">
        <v>0.0</v>
      </c>
    </row>
    <row r="8271">
      <c r="A8271" s="24">
        <v>105.0</v>
      </c>
      <c r="B8271" s="24">
        <v>1.0</v>
      </c>
      <c r="C8271" s="44">
        <v>27.17</v>
      </c>
      <c r="D8271" s="46">
        <v>45951.0</v>
      </c>
      <c r="E8271" s="24">
        <v>27.17</v>
      </c>
      <c r="F8271" s="24">
        <v>258.76</v>
      </c>
      <c r="G8271" s="24">
        <v>0.95</v>
      </c>
      <c r="H8271" s="24" t="s">
        <v>6742</v>
      </c>
      <c r="I8271" s="24" t="s">
        <v>6650</v>
      </c>
      <c r="J8271" s="24">
        <v>0.0</v>
      </c>
    </row>
    <row r="8272">
      <c r="A8272" s="24">
        <v>233.0</v>
      </c>
      <c r="B8272" s="24">
        <v>4.0</v>
      </c>
      <c r="C8272" s="44">
        <v>26.25</v>
      </c>
      <c r="D8272" s="46">
        <v>45951.0</v>
      </c>
      <c r="E8272" s="24">
        <v>6.56</v>
      </c>
      <c r="F8272" s="24">
        <v>112.66</v>
      </c>
      <c r="G8272" s="24">
        <v>1.72</v>
      </c>
      <c r="H8272" s="24" t="s">
        <v>6746</v>
      </c>
      <c r="I8272" s="24" t="s">
        <v>6650</v>
      </c>
      <c r="J8272" s="24">
        <v>0.0</v>
      </c>
    </row>
    <row r="8273">
      <c r="A8273" s="24">
        <v>41.0</v>
      </c>
      <c r="B8273" s="24">
        <v>1.0</v>
      </c>
      <c r="C8273" s="44">
        <v>16.02</v>
      </c>
      <c r="D8273" s="46">
        <v>45952.0</v>
      </c>
      <c r="E8273" s="24">
        <v>16.02</v>
      </c>
      <c r="F8273" s="24">
        <v>390.73</v>
      </c>
      <c r="G8273" s="24">
        <v>2.44</v>
      </c>
      <c r="H8273" s="24" t="s">
        <v>6742</v>
      </c>
      <c r="I8273" s="24" t="s">
        <v>6650</v>
      </c>
      <c r="J8273" s="24">
        <v>0.0</v>
      </c>
    </row>
    <row r="8274">
      <c r="A8274" s="24">
        <v>117.0</v>
      </c>
      <c r="B8274" s="24">
        <v>1.0</v>
      </c>
      <c r="C8274" s="44">
        <v>15.26</v>
      </c>
      <c r="D8274" s="46">
        <v>45952.0</v>
      </c>
      <c r="E8274" s="24">
        <v>15.26</v>
      </c>
      <c r="F8274" s="24">
        <v>130.43</v>
      </c>
      <c r="G8274" s="24">
        <v>0.85</v>
      </c>
      <c r="H8274" s="24" t="s">
        <v>6745</v>
      </c>
      <c r="I8274" s="24" t="s">
        <v>6650</v>
      </c>
      <c r="J8274" s="24">
        <v>0.0</v>
      </c>
    </row>
    <row r="8275">
      <c r="A8275" s="24">
        <v>198.0</v>
      </c>
      <c r="B8275" s="24">
        <v>0.0</v>
      </c>
      <c r="C8275" s="44">
        <v>24.83</v>
      </c>
      <c r="D8275" s="46">
        <v>45952.0</v>
      </c>
      <c r="E8275" s="24" t="s">
        <v>6650</v>
      </c>
      <c r="F8275" s="24">
        <v>125.4</v>
      </c>
      <c r="G8275" s="24">
        <v>0.0</v>
      </c>
      <c r="H8275" s="24" t="s">
        <v>6747</v>
      </c>
      <c r="I8275" s="24" t="s">
        <v>6650</v>
      </c>
      <c r="J8275" s="24">
        <v>0.0</v>
      </c>
    </row>
    <row r="8276">
      <c r="A8276" s="24">
        <v>227.0</v>
      </c>
      <c r="B8276" s="24">
        <v>3.0</v>
      </c>
      <c r="C8276" s="44">
        <v>24.2</v>
      </c>
      <c r="D8276" s="46">
        <v>45952.0</v>
      </c>
      <c r="E8276" s="24">
        <v>8.07</v>
      </c>
      <c r="F8276" s="24">
        <v>106.61</v>
      </c>
      <c r="G8276" s="24">
        <v>1.32</v>
      </c>
      <c r="H8276" s="24" t="s">
        <v>6746</v>
      </c>
      <c r="I8276" s="24" t="s">
        <v>6650</v>
      </c>
      <c r="J8276" s="24">
        <v>0.0</v>
      </c>
    </row>
    <row r="8277">
      <c r="A8277" s="24">
        <v>191.0</v>
      </c>
      <c r="B8277" s="24">
        <v>0.0</v>
      </c>
      <c r="C8277" s="44">
        <v>24.15</v>
      </c>
      <c r="D8277" s="46">
        <v>45953.0</v>
      </c>
      <c r="E8277" s="24" t="s">
        <v>6650</v>
      </c>
      <c r="F8277" s="24">
        <v>126.44</v>
      </c>
      <c r="G8277" s="24">
        <v>0.0</v>
      </c>
      <c r="H8277" s="24" t="s">
        <v>6747</v>
      </c>
      <c r="I8277" s="24" t="s">
        <v>6650</v>
      </c>
      <c r="J8277" s="24">
        <v>0.0</v>
      </c>
    </row>
    <row r="8278">
      <c r="A8278" s="24">
        <v>264.0</v>
      </c>
      <c r="B8278" s="24">
        <v>3.0</v>
      </c>
      <c r="C8278" s="44">
        <v>24.24</v>
      </c>
      <c r="D8278" s="46">
        <v>45953.0</v>
      </c>
      <c r="E8278" s="24">
        <v>8.08</v>
      </c>
      <c r="F8278" s="24">
        <v>91.82</v>
      </c>
      <c r="G8278" s="24">
        <v>1.14</v>
      </c>
      <c r="H8278" s="24" t="s">
        <v>6746</v>
      </c>
      <c r="I8278" s="24" t="s">
        <v>6650</v>
      </c>
      <c r="J8278" s="24">
        <v>0.0</v>
      </c>
    </row>
    <row r="8279">
      <c r="A8279" s="24">
        <v>200.0</v>
      </c>
      <c r="B8279" s="24">
        <v>0.0</v>
      </c>
      <c r="C8279" s="44">
        <v>22.57</v>
      </c>
      <c r="D8279" s="46">
        <v>45954.0</v>
      </c>
      <c r="E8279" s="24" t="s">
        <v>6650</v>
      </c>
      <c r="F8279" s="24">
        <v>112.85</v>
      </c>
      <c r="G8279" s="24">
        <v>0.0</v>
      </c>
      <c r="H8279" s="24" t="s">
        <v>6747</v>
      </c>
      <c r="I8279" s="24" t="s">
        <v>6650</v>
      </c>
      <c r="J8279" s="24">
        <v>0.0</v>
      </c>
    </row>
    <row r="8280">
      <c r="A8280" s="24">
        <v>228.0</v>
      </c>
      <c r="B8280" s="24">
        <v>3.0</v>
      </c>
      <c r="C8280" s="44">
        <v>21.17</v>
      </c>
      <c r="D8280" s="46">
        <v>45954.0</v>
      </c>
      <c r="E8280" s="24">
        <v>7.06</v>
      </c>
      <c r="F8280" s="24">
        <v>92.85</v>
      </c>
      <c r="G8280" s="24">
        <v>1.32</v>
      </c>
      <c r="H8280" s="24" t="s">
        <v>6746</v>
      </c>
      <c r="I8280" s="24" t="s">
        <v>6650</v>
      </c>
      <c r="J8280" s="24">
        <v>0.0</v>
      </c>
    </row>
    <row r="8281">
      <c r="A8281" s="24">
        <v>104.0</v>
      </c>
      <c r="B8281" s="24">
        <v>4.0</v>
      </c>
      <c r="C8281" s="44">
        <v>11.84</v>
      </c>
      <c r="D8281" s="46">
        <v>45955.0</v>
      </c>
      <c r="E8281" s="24">
        <v>2.96</v>
      </c>
      <c r="F8281" s="24">
        <v>113.85</v>
      </c>
      <c r="G8281" s="24">
        <v>3.85</v>
      </c>
      <c r="H8281" s="24" t="s">
        <v>6746</v>
      </c>
      <c r="I8281" s="24" t="s">
        <v>6650</v>
      </c>
      <c r="J8281" s="24">
        <v>0.0</v>
      </c>
    </row>
    <row r="8282">
      <c r="A8282" s="24">
        <v>87.0</v>
      </c>
      <c r="B8282" s="24">
        <v>1.0</v>
      </c>
      <c r="C8282" s="44">
        <v>11.67</v>
      </c>
      <c r="D8282" s="46">
        <v>45955.0</v>
      </c>
      <c r="E8282" s="24">
        <v>11.67</v>
      </c>
      <c r="F8282" s="24">
        <v>134.14</v>
      </c>
      <c r="G8282" s="24">
        <v>1.15</v>
      </c>
      <c r="H8282" s="24" t="s">
        <v>6747</v>
      </c>
      <c r="I8282" s="24" t="s">
        <v>6650</v>
      </c>
      <c r="J8282" s="24">
        <v>0.0</v>
      </c>
    </row>
    <row r="8283">
      <c r="A8283" s="24">
        <v>68.0</v>
      </c>
      <c r="B8283" s="24">
        <v>0.0</v>
      </c>
      <c r="C8283" s="44">
        <v>8.7</v>
      </c>
      <c r="D8283" s="46">
        <v>45956.0</v>
      </c>
      <c r="E8283" s="24" t="s">
        <v>6650</v>
      </c>
      <c r="F8283" s="24">
        <v>127.94</v>
      </c>
      <c r="G8283" s="24">
        <v>0.0</v>
      </c>
      <c r="H8283" s="24" t="s">
        <v>6747</v>
      </c>
      <c r="I8283" s="24" t="s">
        <v>6650</v>
      </c>
      <c r="J8283" s="24">
        <v>0.0</v>
      </c>
    </row>
    <row r="8284">
      <c r="A8284" s="24">
        <v>81.0</v>
      </c>
      <c r="B8284" s="24">
        <v>1.0</v>
      </c>
      <c r="C8284" s="44">
        <v>8.79</v>
      </c>
      <c r="D8284" s="46">
        <v>45956.0</v>
      </c>
      <c r="E8284" s="24">
        <v>8.79</v>
      </c>
      <c r="F8284" s="24">
        <v>108.52</v>
      </c>
      <c r="G8284" s="24">
        <v>1.23</v>
      </c>
      <c r="H8284" s="24" t="s">
        <v>6746</v>
      </c>
      <c r="I8284" s="24" t="s">
        <v>6650</v>
      </c>
      <c r="J8284" s="24">
        <v>0.0</v>
      </c>
    </row>
    <row r="8285">
      <c r="A8285" s="24">
        <v>154.0</v>
      </c>
      <c r="B8285" s="24">
        <v>0.0</v>
      </c>
      <c r="C8285" s="44">
        <v>24.04</v>
      </c>
      <c r="D8285" s="46">
        <v>45957.0</v>
      </c>
      <c r="E8285" s="24" t="s">
        <v>6650</v>
      </c>
      <c r="F8285" s="24">
        <v>156.1</v>
      </c>
      <c r="G8285" s="24">
        <v>0.0</v>
      </c>
      <c r="H8285" s="24" t="s">
        <v>6747</v>
      </c>
      <c r="I8285" s="24" t="s">
        <v>6650</v>
      </c>
      <c r="J8285" s="24">
        <v>0.0</v>
      </c>
    </row>
    <row r="8286">
      <c r="A8286" s="24">
        <v>184.0</v>
      </c>
      <c r="B8286" s="24">
        <v>3.0</v>
      </c>
      <c r="C8286" s="44">
        <v>23.67</v>
      </c>
      <c r="D8286" s="46">
        <v>45957.0</v>
      </c>
      <c r="E8286" s="24">
        <v>7.89</v>
      </c>
      <c r="F8286" s="24">
        <v>128.64</v>
      </c>
      <c r="G8286" s="24">
        <v>1.63</v>
      </c>
      <c r="H8286" s="24" t="s">
        <v>6746</v>
      </c>
      <c r="I8286" s="24" t="s">
        <v>6650</v>
      </c>
      <c r="J8286" s="24">
        <v>0.0</v>
      </c>
    </row>
    <row r="8287">
      <c r="A8287" s="24">
        <v>209.0</v>
      </c>
      <c r="B8287" s="24">
        <v>7.0</v>
      </c>
      <c r="C8287" s="44">
        <v>25.4</v>
      </c>
      <c r="D8287" s="46">
        <v>45958.0</v>
      </c>
      <c r="E8287" s="24">
        <v>3.63</v>
      </c>
      <c r="F8287" s="24">
        <v>121.53</v>
      </c>
      <c r="G8287" s="24">
        <v>3.35</v>
      </c>
      <c r="H8287" s="24" t="s">
        <v>6746</v>
      </c>
      <c r="I8287" s="24" t="s">
        <v>6650</v>
      </c>
      <c r="J8287" s="24">
        <v>0.0</v>
      </c>
    </row>
    <row r="8288">
      <c r="A8288" s="24">
        <v>178.0</v>
      </c>
      <c r="B8288" s="24">
        <v>2.0</v>
      </c>
      <c r="C8288" s="44">
        <v>25.94</v>
      </c>
      <c r="D8288" s="46">
        <v>45958.0</v>
      </c>
      <c r="E8288" s="24">
        <v>12.97</v>
      </c>
      <c r="F8288" s="24">
        <v>145.73</v>
      </c>
      <c r="G8288" s="24">
        <v>1.12</v>
      </c>
      <c r="H8288" s="24" t="s">
        <v>6747</v>
      </c>
      <c r="I8288" s="24" t="s">
        <v>6650</v>
      </c>
      <c r="J8288" s="24">
        <v>0.0</v>
      </c>
    </row>
    <row r="8289">
      <c r="A8289" s="24">
        <v>187.0</v>
      </c>
      <c r="B8289" s="24">
        <v>6.0</v>
      </c>
      <c r="C8289" s="44">
        <v>27.84</v>
      </c>
      <c r="D8289" s="46">
        <v>45959.0</v>
      </c>
      <c r="E8289" s="24">
        <v>4.64</v>
      </c>
      <c r="F8289" s="24">
        <v>148.88</v>
      </c>
      <c r="G8289" s="24">
        <v>3.21</v>
      </c>
      <c r="H8289" s="24" t="s">
        <v>6746</v>
      </c>
      <c r="I8289" s="24" t="s">
        <v>6650</v>
      </c>
      <c r="J8289" s="24">
        <v>0.0</v>
      </c>
    </row>
    <row r="8290">
      <c r="A8290" s="24">
        <v>201.0</v>
      </c>
      <c r="B8290" s="24">
        <v>1.0</v>
      </c>
      <c r="C8290" s="44">
        <v>26.29</v>
      </c>
      <c r="D8290" s="46">
        <v>45959.0</v>
      </c>
      <c r="E8290" s="24">
        <v>26.29</v>
      </c>
      <c r="F8290" s="24">
        <v>130.8</v>
      </c>
      <c r="G8290" s="24">
        <v>0.5</v>
      </c>
      <c r="H8290" s="24" t="s">
        <v>6747</v>
      </c>
      <c r="I8290" s="24" t="s">
        <v>6650</v>
      </c>
      <c r="J8290" s="24">
        <v>0.0</v>
      </c>
    </row>
    <row r="8291">
      <c r="A8291" s="24">
        <v>298.0</v>
      </c>
      <c r="B8291" s="24">
        <v>3.0</v>
      </c>
      <c r="C8291" s="44">
        <v>22.9</v>
      </c>
      <c r="D8291" s="46">
        <v>45960.0</v>
      </c>
      <c r="E8291" s="24">
        <v>7.63</v>
      </c>
      <c r="F8291" s="24">
        <v>76.85</v>
      </c>
      <c r="G8291" s="24">
        <v>1.01</v>
      </c>
      <c r="H8291" s="24" t="s">
        <v>6746</v>
      </c>
      <c r="I8291" s="24" t="s">
        <v>6650</v>
      </c>
      <c r="J8291" s="24">
        <v>0.0</v>
      </c>
    </row>
    <row r="8292">
      <c r="A8292" s="24">
        <v>184.0</v>
      </c>
      <c r="B8292" s="24">
        <v>1.0</v>
      </c>
      <c r="C8292" s="44">
        <v>25.12</v>
      </c>
      <c r="D8292" s="46">
        <v>45960.0</v>
      </c>
      <c r="E8292" s="24">
        <v>25.12</v>
      </c>
      <c r="F8292" s="24">
        <v>136.52</v>
      </c>
      <c r="G8292" s="24">
        <v>0.54</v>
      </c>
      <c r="H8292" s="24" t="s">
        <v>6747</v>
      </c>
      <c r="I8292" s="24" t="s">
        <v>6650</v>
      </c>
      <c r="J8292" s="24">
        <v>0.0</v>
      </c>
    </row>
    <row r="8293">
      <c r="A8293" s="24">
        <v>188.0</v>
      </c>
      <c r="B8293" s="24">
        <v>2.0</v>
      </c>
      <c r="C8293" s="44">
        <v>22.61</v>
      </c>
      <c r="D8293" s="46">
        <v>45961.0</v>
      </c>
      <c r="E8293" s="24">
        <v>11.3</v>
      </c>
      <c r="F8293" s="24">
        <v>120.27</v>
      </c>
      <c r="G8293" s="24">
        <v>1.06</v>
      </c>
      <c r="H8293" s="24" t="s">
        <v>6746</v>
      </c>
      <c r="I8293" s="24" t="s">
        <v>6650</v>
      </c>
      <c r="J8293" s="24">
        <v>0.0</v>
      </c>
    </row>
    <row r="8294">
      <c r="A8294" s="24">
        <v>162.0</v>
      </c>
      <c r="B8294" s="24">
        <v>1.0</v>
      </c>
      <c r="C8294" s="44">
        <v>21.65</v>
      </c>
      <c r="D8294" s="46">
        <v>45961.0</v>
      </c>
      <c r="E8294" s="24">
        <v>21.65</v>
      </c>
      <c r="F8294" s="24">
        <v>133.64</v>
      </c>
      <c r="G8294" s="24">
        <v>0.62</v>
      </c>
      <c r="H8294" s="24" t="s">
        <v>6747</v>
      </c>
      <c r="I8294" s="24" t="s">
        <v>6650</v>
      </c>
      <c r="J8294" s="24">
        <v>0.0</v>
      </c>
    </row>
    <row r="8295">
      <c r="A8295" s="24">
        <v>0.0</v>
      </c>
      <c r="B8295" s="24">
        <v>0.0</v>
      </c>
      <c r="C8295" s="44">
        <v>0.0</v>
      </c>
      <c r="D8295" s="46">
        <v>45961.0</v>
      </c>
      <c r="E8295" s="24" t="s">
        <v>6650</v>
      </c>
      <c r="F8295" s="24" t="s">
        <v>6650</v>
      </c>
      <c r="G8295" s="24" t="s">
        <v>6650</v>
      </c>
      <c r="H8295" s="24" t="s">
        <v>6709</v>
      </c>
      <c r="I8295" s="24" t="s">
        <v>6650</v>
      </c>
      <c r="J8295" s="24">
        <v>1.0</v>
      </c>
    </row>
    <row r="8296">
      <c r="A8296" s="24">
        <v>95.0</v>
      </c>
      <c r="B8296" s="24">
        <v>1.0</v>
      </c>
      <c r="C8296" s="44">
        <v>10.25</v>
      </c>
      <c r="D8296" s="46">
        <v>45962.0</v>
      </c>
      <c r="E8296" s="24">
        <v>10.25</v>
      </c>
      <c r="F8296" s="24">
        <v>107.89</v>
      </c>
      <c r="G8296" s="24">
        <v>1.05</v>
      </c>
      <c r="H8296" s="24" t="s">
        <v>6747</v>
      </c>
      <c r="I8296" s="24" t="s">
        <v>6650</v>
      </c>
      <c r="J8296" s="24">
        <v>0.0</v>
      </c>
    </row>
    <row r="8297">
      <c r="A8297" s="24">
        <v>102.0</v>
      </c>
      <c r="B8297" s="24">
        <v>1.0</v>
      </c>
      <c r="C8297" s="44">
        <v>12.35</v>
      </c>
      <c r="D8297" s="46">
        <v>45962.0</v>
      </c>
      <c r="E8297" s="24">
        <v>12.35</v>
      </c>
      <c r="F8297" s="24">
        <v>121.08</v>
      </c>
      <c r="G8297" s="24">
        <v>0.98</v>
      </c>
      <c r="H8297" s="24" t="s">
        <v>6746</v>
      </c>
      <c r="I8297" s="24" t="s">
        <v>6650</v>
      </c>
      <c r="J8297" s="24">
        <v>0.0</v>
      </c>
    </row>
    <row r="8298">
      <c r="A8298" s="24">
        <v>64.0</v>
      </c>
      <c r="B8298" s="24">
        <v>0.0</v>
      </c>
      <c r="C8298" s="44">
        <v>6.71</v>
      </c>
      <c r="D8298" s="46">
        <v>45963.0</v>
      </c>
      <c r="E8298" s="24" t="s">
        <v>6650</v>
      </c>
      <c r="F8298" s="24">
        <v>104.84</v>
      </c>
      <c r="G8298" s="24">
        <v>0.0</v>
      </c>
      <c r="H8298" s="24" t="s">
        <v>6747</v>
      </c>
      <c r="I8298" s="24" t="s">
        <v>6650</v>
      </c>
      <c r="J8298" s="24">
        <v>0.0</v>
      </c>
    </row>
    <row r="8299">
      <c r="A8299" s="24">
        <v>48.0</v>
      </c>
      <c r="B8299" s="24">
        <v>2.0</v>
      </c>
      <c r="C8299" s="44">
        <v>5.18</v>
      </c>
      <c r="D8299" s="46">
        <v>45963.0</v>
      </c>
      <c r="E8299" s="24">
        <v>2.59</v>
      </c>
      <c r="F8299" s="24">
        <v>107.92</v>
      </c>
      <c r="G8299" s="24">
        <v>4.17</v>
      </c>
      <c r="H8299" s="24" t="s">
        <v>6746</v>
      </c>
      <c r="I8299" s="24" t="s">
        <v>6650</v>
      </c>
      <c r="J8299" s="24">
        <v>0.0</v>
      </c>
    </row>
    <row r="8300">
      <c r="A8300" s="24">
        <v>155.0</v>
      </c>
      <c r="B8300" s="24">
        <v>0.0</v>
      </c>
      <c r="C8300" s="44">
        <v>23.41</v>
      </c>
      <c r="D8300" s="46">
        <v>45964.0</v>
      </c>
      <c r="E8300" s="24" t="s">
        <v>6650</v>
      </c>
      <c r="F8300" s="24">
        <v>151.03</v>
      </c>
      <c r="G8300" s="24">
        <v>0.0</v>
      </c>
      <c r="H8300" s="24" t="s">
        <v>6747</v>
      </c>
      <c r="I8300" s="24" t="s">
        <v>6650</v>
      </c>
      <c r="J8300" s="24">
        <v>0.0</v>
      </c>
    </row>
    <row r="8301">
      <c r="A8301" s="24">
        <v>167.0</v>
      </c>
      <c r="B8301" s="24">
        <v>5.0</v>
      </c>
      <c r="C8301" s="44">
        <v>23.52</v>
      </c>
      <c r="D8301" s="46">
        <v>45964.0</v>
      </c>
      <c r="E8301" s="24">
        <v>4.7</v>
      </c>
      <c r="F8301" s="24">
        <v>140.84</v>
      </c>
      <c r="G8301" s="24">
        <v>2.99</v>
      </c>
      <c r="H8301" s="24" t="s">
        <v>6746</v>
      </c>
      <c r="I8301" s="24" t="s">
        <v>6650</v>
      </c>
      <c r="J8301" s="24">
        <v>0.0</v>
      </c>
    </row>
    <row r="8302">
      <c r="A8302" s="24">
        <v>271.0</v>
      </c>
      <c r="B8302" s="24">
        <v>8.0</v>
      </c>
      <c r="C8302" s="44">
        <v>25.45</v>
      </c>
      <c r="D8302" s="46">
        <v>45965.0</v>
      </c>
      <c r="E8302" s="24">
        <v>3.18</v>
      </c>
      <c r="F8302" s="24">
        <v>93.91</v>
      </c>
      <c r="G8302" s="24">
        <v>2.95</v>
      </c>
      <c r="H8302" s="24" t="s">
        <v>6746</v>
      </c>
      <c r="I8302" s="24" t="s">
        <v>6650</v>
      </c>
      <c r="J8302" s="24">
        <v>0.0</v>
      </c>
    </row>
    <row r="8303">
      <c r="A8303" s="24">
        <v>236.0</v>
      </c>
      <c r="B8303" s="24">
        <v>0.0</v>
      </c>
      <c r="C8303" s="44">
        <v>24.31</v>
      </c>
      <c r="D8303" s="46">
        <v>45965.0</v>
      </c>
      <c r="E8303" s="24" t="s">
        <v>6650</v>
      </c>
      <c r="F8303" s="24">
        <v>103.01</v>
      </c>
      <c r="G8303" s="24">
        <v>0.0</v>
      </c>
      <c r="H8303" s="24" t="s">
        <v>6747</v>
      </c>
      <c r="I8303" s="24" t="s">
        <v>6650</v>
      </c>
      <c r="J8303" s="24">
        <v>0.0</v>
      </c>
    </row>
    <row r="8304">
      <c r="A8304" s="24">
        <v>255.0</v>
      </c>
      <c r="B8304" s="24">
        <v>0.0</v>
      </c>
      <c r="C8304" s="44">
        <v>24.94</v>
      </c>
      <c r="D8304" s="46">
        <v>45966.0</v>
      </c>
      <c r="E8304" s="24" t="s">
        <v>6650</v>
      </c>
      <c r="F8304" s="24">
        <v>97.8</v>
      </c>
      <c r="G8304" s="24">
        <v>0.0</v>
      </c>
      <c r="H8304" s="24" t="s">
        <v>6747</v>
      </c>
      <c r="I8304" s="24" t="s">
        <v>6650</v>
      </c>
      <c r="J8304" s="24">
        <v>0.0</v>
      </c>
    </row>
    <row r="8305">
      <c r="A8305" s="24">
        <v>268.0</v>
      </c>
      <c r="B8305" s="24">
        <v>6.0</v>
      </c>
      <c r="C8305" s="44">
        <v>24.95</v>
      </c>
      <c r="D8305" s="46">
        <v>45966.0</v>
      </c>
      <c r="E8305" s="24">
        <v>4.16</v>
      </c>
      <c r="F8305" s="24">
        <v>93.1</v>
      </c>
      <c r="G8305" s="24">
        <v>2.24</v>
      </c>
      <c r="H8305" s="24" t="s">
        <v>6746</v>
      </c>
      <c r="I8305" s="24" t="s">
        <v>6650</v>
      </c>
      <c r="J8305" s="24">
        <v>0.0</v>
      </c>
    </row>
    <row r="8306">
      <c r="A8306" s="24">
        <v>393.0</v>
      </c>
      <c r="B8306" s="24">
        <v>11.0</v>
      </c>
      <c r="C8306" s="44">
        <v>23.15</v>
      </c>
      <c r="D8306" s="46">
        <v>45967.0</v>
      </c>
      <c r="E8306" s="24">
        <v>2.1</v>
      </c>
      <c r="F8306" s="24">
        <v>58.91</v>
      </c>
      <c r="G8306" s="24">
        <v>2.8</v>
      </c>
      <c r="H8306" s="24" t="s">
        <v>6746</v>
      </c>
      <c r="I8306" s="24" t="s">
        <v>6650</v>
      </c>
      <c r="J8306" s="24">
        <v>0.0</v>
      </c>
    </row>
    <row r="8307">
      <c r="A8307" s="24">
        <v>224.0</v>
      </c>
      <c r="B8307" s="24">
        <v>0.0</v>
      </c>
      <c r="C8307" s="44">
        <v>24.82</v>
      </c>
      <c r="D8307" s="46">
        <v>45967.0</v>
      </c>
      <c r="E8307" s="24" t="s">
        <v>6650</v>
      </c>
      <c r="F8307" s="24">
        <v>110.8</v>
      </c>
      <c r="G8307" s="24">
        <v>0.0</v>
      </c>
      <c r="H8307" s="24" t="s">
        <v>6747</v>
      </c>
      <c r="I8307" s="24" t="s">
        <v>6650</v>
      </c>
      <c r="J8307" s="24">
        <v>0.0</v>
      </c>
    </row>
    <row r="8308">
      <c r="A8308" s="24">
        <v>214.0</v>
      </c>
      <c r="B8308" s="24">
        <v>0.0</v>
      </c>
      <c r="C8308" s="44">
        <v>22.3</v>
      </c>
      <c r="D8308" s="46">
        <v>45968.0</v>
      </c>
      <c r="E8308" s="24" t="s">
        <v>6650</v>
      </c>
      <c r="F8308" s="24">
        <v>104.21</v>
      </c>
      <c r="G8308" s="24">
        <v>0.0</v>
      </c>
      <c r="H8308" s="24" t="s">
        <v>6747</v>
      </c>
      <c r="I8308" s="24" t="s">
        <v>6650</v>
      </c>
      <c r="J8308" s="24">
        <v>0.0</v>
      </c>
    </row>
    <row r="8309">
      <c r="A8309" s="24">
        <v>228.0</v>
      </c>
      <c r="B8309" s="24">
        <v>4.0</v>
      </c>
      <c r="C8309" s="44">
        <v>22.99</v>
      </c>
      <c r="D8309" s="46">
        <v>45968.0</v>
      </c>
      <c r="E8309" s="24">
        <v>5.75</v>
      </c>
      <c r="F8309" s="24">
        <v>100.83</v>
      </c>
      <c r="G8309" s="24">
        <v>1.75</v>
      </c>
      <c r="H8309" s="24" t="s">
        <v>6746</v>
      </c>
      <c r="I8309" s="24" t="s">
        <v>6650</v>
      </c>
      <c r="J8309" s="24">
        <v>0.0</v>
      </c>
    </row>
    <row r="8310">
      <c r="A8310" s="24">
        <v>153.0</v>
      </c>
      <c r="B8310" s="24">
        <v>0.0</v>
      </c>
      <c r="C8310" s="44">
        <v>12.73</v>
      </c>
      <c r="D8310" s="46">
        <v>45969.0</v>
      </c>
      <c r="E8310" s="24" t="s">
        <v>6650</v>
      </c>
      <c r="F8310" s="24">
        <v>83.2</v>
      </c>
      <c r="G8310" s="24">
        <v>0.0</v>
      </c>
      <c r="H8310" s="24" t="s">
        <v>6747</v>
      </c>
      <c r="I8310" s="24" t="s">
        <v>6650</v>
      </c>
      <c r="J8310" s="24">
        <v>0.0</v>
      </c>
    </row>
    <row r="8311">
      <c r="A8311" s="24">
        <v>103.0</v>
      </c>
      <c r="B8311" s="24">
        <v>4.0</v>
      </c>
      <c r="C8311" s="44">
        <v>12.15</v>
      </c>
      <c r="D8311" s="46">
        <v>45969.0</v>
      </c>
      <c r="E8311" s="24">
        <v>3.04</v>
      </c>
      <c r="F8311" s="24">
        <v>117.96</v>
      </c>
      <c r="G8311" s="24">
        <v>3.88</v>
      </c>
      <c r="H8311" s="24" t="s">
        <v>6746</v>
      </c>
      <c r="I8311" s="24" t="s">
        <v>6650</v>
      </c>
      <c r="J8311" s="24">
        <v>0.0</v>
      </c>
    </row>
    <row r="8312">
      <c r="A8312" s="24">
        <v>83.0</v>
      </c>
      <c r="B8312" s="24">
        <v>1.0</v>
      </c>
      <c r="C8312" s="44">
        <v>7.48</v>
      </c>
      <c r="D8312" s="46">
        <v>45970.0</v>
      </c>
      <c r="E8312" s="24">
        <v>7.48</v>
      </c>
      <c r="F8312" s="24">
        <v>90.12</v>
      </c>
      <c r="G8312" s="24">
        <v>1.2</v>
      </c>
      <c r="H8312" s="24" t="s">
        <v>6747</v>
      </c>
      <c r="I8312" s="24" t="s">
        <v>6650</v>
      </c>
      <c r="J8312" s="24">
        <v>0.0</v>
      </c>
    </row>
    <row r="8313">
      <c r="A8313" s="24">
        <v>91.0</v>
      </c>
      <c r="B8313" s="24">
        <v>2.0</v>
      </c>
      <c r="C8313" s="44">
        <v>7.79</v>
      </c>
      <c r="D8313" s="46">
        <v>45970.0</v>
      </c>
      <c r="E8313" s="24">
        <v>3.9</v>
      </c>
      <c r="F8313" s="24">
        <v>85.6</v>
      </c>
      <c r="G8313" s="24">
        <v>2.2</v>
      </c>
      <c r="H8313" s="24" t="s">
        <v>6746</v>
      </c>
      <c r="I8313" s="24" t="s">
        <v>6650</v>
      </c>
      <c r="J8313" s="24">
        <v>0.0</v>
      </c>
    </row>
    <row r="8314">
      <c r="A8314" s="24">
        <v>155.0</v>
      </c>
      <c r="B8314" s="24">
        <v>0.0</v>
      </c>
      <c r="C8314" s="44">
        <v>23.04</v>
      </c>
      <c r="D8314" s="46">
        <v>45971.0</v>
      </c>
      <c r="E8314" s="24" t="s">
        <v>6650</v>
      </c>
      <c r="F8314" s="24">
        <v>148.65</v>
      </c>
      <c r="G8314" s="24">
        <v>0.0</v>
      </c>
      <c r="H8314" s="24" t="s">
        <v>6747</v>
      </c>
      <c r="I8314" s="24" t="s">
        <v>6650</v>
      </c>
      <c r="J8314" s="24">
        <v>0.0</v>
      </c>
    </row>
    <row r="8315">
      <c r="A8315" s="24">
        <v>209.0</v>
      </c>
      <c r="B8315" s="24">
        <v>5.0</v>
      </c>
      <c r="C8315" s="44">
        <v>22.83</v>
      </c>
      <c r="D8315" s="46">
        <v>45971.0</v>
      </c>
      <c r="E8315" s="24">
        <v>4.57</v>
      </c>
      <c r="F8315" s="24">
        <v>109.23</v>
      </c>
      <c r="G8315" s="24">
        <v>2.39</v>
      </c>
      <c r="H8315" s="24" t="s">
        <v>6746</v>
      </c>
      <c r="I8315" s="24" t="s">
        <v>6650</v>
      </c>
      <c r="J8315" s="24">
        <v>0.0</v>
      </c>
    </row>
    <row r="8316">
      <c r="A8316" s="24">
        <v>227.0</v>
      </c>
      <c r="B8316" s="24">
        <v>1.0</v>
      </c>
      <c r="C8316" s="44">
        <v>26.04</v>
      </c>
      <c r="D8316" s="46">
        <v>45972.0</v>
      </c>
      <c r="E8316" s="24">
        <v>26.04</v>
      </c>
      <c r="F8316" s="24">
        <v>114.71</v>
      </c>
      <c r="G8316" s="24">
        <v>0.44</v>
      </c>
      <c r="H8316" s="24" t="s">
        <v>6747</v>
      </c>
      <c r="I8316" s="24" t="s">
        <v>6650</v>
      </c>
      <c r="J8316" s="24">
        <v>0.0</v>
      </c>
    </row>
    <row r="8317">
      <c r="A8317" s="24">
        <v>273.0</v>
      </c>
      <c r="B8317" s="24">
        <v>6.0</v>
      </c>
      <c r="C8317" s="44">
        <v>24.52</v>
      </c>
      <c r="D8317" s="46">
        <v>45972.0</v>
      </c>
      <c r="E8317" s="24">
        <v>4.09</v>
      </c>
      <c r="F8317" s="24">
        <v>89.82</v>
      </c>
      <c r="G8317" s="24">
        <v>2.2</v>
      </c>
      <c r="H8317" s="24" t="s">
        <v>6746</v>
      </c>
      <c r="I8317" s="24" t="s">
        <v>6650</v>
      </c>
      <c r="J8317" s="24">
        <v>0.0</v>
      </c>
    </row>
    <row r="8318">
      <c r="A8318" s="24">
        <v>239.0</v>
      </c>
      <c r="B8318" s="24">
        <v>1.0</v>
      </c>
      <c r="C8318" s="44">
        <v>24.16</v>
      </c>
      <c r="D8318" s="46">
        <v>45973.0</v>
      </c>
      <c r="E8318" s="24">
        <v>24.16</v>
      </c>
      <c r="F8318" s="24">
        <v>101.09</v>
      </c>
      <c r="G8318" s="24">
        <v>0.42</v>
      </c>
      <c r="H8318" s="24" t="s">
        <v>6747</v>
      </c>
      <c r="I8318" s="24" t="s">
        <v>6650</v>
      </c>
      <c r="J8318" s="24">
        <v>0.0</v>
      </c>
    </row>
    <row r="8319">
      <c r="A8319" s="24">
        <v>352.0</v>
      </c>
      <c r="B8319" s="24">
        <v>10.0</v>
      </c>
      <c r="C8319" s="44">
        <v>24.6</v>
      </c>
      <c r="D8319" s="46">
        <v>45973.0</v>
      </c>
      <c r="E8319" s="24">
        <v>2.46</v>
      </c>
      <c r="F8319" s="24">
        <v>69.89</v>
      </c>
      <c r="G8319" s="24">
        <v>2.84</v>
      </c>
      <c r="H8319" s="24" t="s">
        <v>6746</v>
      </c>
      <c r="I8319" s="24" t="s">
        <v>6650</v>
      </c>
      <c r="J8319" s="24">
        <v>0.0</v>
      </c>
    </row>
    <row r="8320">
      <c r="A8320" s="24">
        <v>208.0</v>
      </c>
      <c r="B8320" s="24">
        <v>1.0</v>
      </c>
      <c r="C8320" s="44">
        <v>23.39</v>
      </c>
      <c r="D8320" s="46">
        <v>45974.0</v>
      </c>
      <c r="E8320" s="24">
        <v>23.39</v>
      </c>
      <c r="F8320" s="24">
        <v>112.45</v>
      </c>
      <c r="G8320" s="24">
        <v>0.48</v>
      </c>
      <c r="H8320" s="24" t="s">
        <v>6747</v>
      </c>
      <c r="I8320" s="24" t="s">
        <v>6650</v>
      </c>
      <c r="J8320" s="24">
        <v>0.0</v>
      </c>
    </row>
    <row r="8321">
      <c r="A8321" s="24">
        <v>344.0</v>
      </c>
      <c r="B8321" s="24">
        <v>9.0</v>
      </c>
      <c r="C8321" s="44">
        <v>24.2</v>
      </c>
      <c r="D8321" s="46">
        <v>45974.0</v>
      </c>
      <c r="E8321" s="24">
        <v>2.69</v>
      </c>
      <c r="F8321" s="24">
        <v>70.35</v>
      </c>
      <c r="G8321" s="24">
        <v>2.62</v>
      </c>
      <c r="H8321" s="24" t="s">
        <v>6746</v>
      </c>
      <c r="I8321" s="24" t="s">
        <v>6650</v>
      </c>
      <c r="J8321" s="24">
        <v>0.0</v>
      </c>
    </row>
    <row r="8322">
      <c r="A8322" s="24">
        <v>226.0</v>
      </c>
      <c r="B8322" s="24">
        <v>2.0</v>
      </c>
      <c r="C8322" s="44">
        <v>22.33</v>
      </c>
      <c r="D8322" s="46">
        <v>45975.0</v>
      </c>
      <c r="E8322" s="24">
        <v>11.16</v>
      </c>
      <c r="F8322" s="24">
        <v>98.81</v>
      </c>
      <c r="G8322" s="24">
        <v>0.88</v>
      </c>
      <c r="H8322" s="24" t="s">
        <v>6746</v>
      </c>
      <c r="I8322" s="24" t="s">
        <v>6650</v>
      </c>
      <c r="J8322" s="24">
        <v>0.0</v>
      </c>
    </row>
    <row r="8323">
      <c r="A8323" s="24">
        <v>262.0</v>
      </c>
      <c r="B8323" s="24">
        <v>2.0</v>
      </c>
      <c r="C8323" s="44">
        <v>23.74</v>
      </c>
      <c r="D8323" s="46">
        <v>45975.0</v>
      </c>
      <c r="E8323" s="24">
        <v>11.87</v>
      </c>
      <c r="F8323" s="24">
        <v>90.61</v>
      </c>
      <c r="G8323" s="24">
        <v>0.76</v>
      </c>
      <c r="H8323" s="24" t="s">
        <v>6747</v>
      </c>
      <c r="I8323" s="24" t="s">
        <v>6650</v>
      </c>
      <c r="J8323" s="24">
        <v>0.0</v>
      </c>
    </row>
    <row r="8324">
      <c r="A8324" s="24">
        <v>105.0</v>
      </c>
      <c r="B8324" s="24">
        <v>0.0</v>
      </c>
      <c r="C8324" s="44">
        <v>10.79</v>
      </c>
      <c r="D8324" s="46">
        <v>45976.0</v>
      </c>
      <c r="E8324" s="24" t="s">
        <v>6650</v>
      </c>
      <c r="F8324" s="24">
        <v>102.76</v>
      </c>
      <c r="G8324" s="24">
        <v>0.0</v>
      </c>
      <c r="H8324" s="24" t="s">
        <v>6747</v>
      </c>
      <c r="I8324" s="24" t="s">
        <v>6650</v>
      </c>
      <c r="J8324" s="24">
        <v>0.0</v>
      </c>
    </row>
    <row r="8325">
      <c r="A8325" s="24">
        <v>144.0</v>
      </c>
      <c r="B8325" s="24">
        <v>5.0</v>
      </c>
      <c r="C8325" s="44">
        <v>12.02</v>
      </c>
      <c r="D8325" s="46">
        <v>45976.0</v>
      </c>
      <c r="E8325" s="24">
        <v>2.4</v>
      </c>
      <c r="F8325" s="24">
        <v>83.47</v>
      </c>
      <c r="G8325" s="24">
        <v>3.47</v>
      </c>
      <c r="H8325" s="24" t="s">
        <v>6746</v>
      </c>
      <c r="I8325" s="24" t="s">
        <v>6650</v>
      </c>
      <c r="J8325" s="24">
        <v>0.0</v>
      </c>
    </row>
    <row r="8326">
      <c r="A8326" s="24">
        <v>86.0</v>
      </c>
      <c r="B8326" s="24">
        <v>1.0</v>
      </c>
      <c r="C8326" s="44">
        <v>8.84</v>
      </c>
      <c r="D8326" s="46">
        <v>45977.0</v>
      </c>
      <c r="E8326" s="24">
        <v>8.84</v>
      </c>
      <c r="F8326" s="24">
        <v>102.79</v>
      </c>
      <c r="G8326" s="24">
        <v>1.16</v>
      </c>
      <c r="H8326" s="24" t="s">
        <v>6747</v>
      </c>
      <c r="I8326" s="24" t="s">
        <v>6650</v>
      </c>
      <c r="J8326" s="24">
        <v>0.0</v>
      </c>
    </row>
    <row r="8327">
      <c r="A8327" s="24">
        <v>102.0</v>
      </c>
      <c r="B8327" s="24">
        <v>2.0</v>
      </c>
      <c r="C8327" s="44">
        <v>9.5</v>
      </c>
      <c r="D8327" s="46">
        <v>45977.0</v>
      </c>
      <c r="E8327" s="24">
        <v>4.75</v>
      </c>
      <c r="F8327" s="24">
        <v>93.14</v>
      </c>
      <c r="G8327" s="24">
        <v>1.96</v>
      </c>
      <c r="H8327" s="24" t="s">
        <v>6746</v>
      </c>
      <c r="I8327" s="24" t="s">
        <v>6650</v>
      </c>
      <c r="J8327" s="24">
        <v>0.0</v>
      </c>
    </row>
    <row r="8328">
      <c r="A8328" s="24">
        <v>203.0</v>
      </c>
      <c r="B8328" s="24">
        <v>3.0</v>
      </c>
      <c r="C8328" s="44">
        <v>23.87</v>
      </c>
      <c r="D8328" s="46">
        <v>45978.0</v>
      </c>
      <c r="E8328" s="24">
        <v>7.96</v>
      </c>
      <c r="F8328" s="24">
        <v>117.59</v>
      </c>
      <c r="G8328" s="24">
        <v>1.48</v>
      </c>
      <c r="H8328" s="24" t="s">
        <v>6746</v>
      </c>
      <c r="I8328" s="24" t="s">
        <v>6650</v>
      </c>
      <c r="J8328" s="24">
        <v>0.0</v>
      </c>
    </row>
    <row r="8329">
      <c r="A8329" s="24">
        <v>177.0</v>
      </c>
      <c r="B8329" s="24">
        <v>1.0</v>
      </c>
      <c r="C8329" s="44">
        <v>23.2</v>
      </c>
      <c r="D8329" s="46">
        <v>45978.0</v>
      </c>
      <c r="E8329" s="24">
        <v>23.2</v>
      </c>
      <c r="F8329" s="24">
        <v>131.07</v>
      </c>
      <c r="G8329" s="24">
        <v>0.56</v>
      </c>
      <c r="H8329" s="24" t="s">
        <v>6747</v>
      </c>
      <c r="I8329" s="24" t="s">
        <v>6650</v>
      </c>
      <c r="J8329" s="24">
        <v>0.0</v>
      </c>
    </row>
    <row r="8330">
      <c r="A8330" s="24">
        <v>248.0</v>
      </c>
      <c r="B8330" s="24">
        <v>0.0</v>
      </c>
      <c r="C8330" s="44">
        <v>25.07</v>
      </c>
      <c r="D8330" s="46">
        <v>45979.0</v>
      </c>
      <c r="E8330" s="24" t="s">
        <v>6650</v>
      </c>
      <c r="F8330" s="24">
        <v>101.09</v>
      </c>
      <c r="G8330" s="24">
        <v>0.0</v>
      </c>
      <c r="H8330" s="24" t="s">
        <v>6747</v>
      </c>
      <c r="I8330" s="24" t="s">
        <v>6650</v>
      </c>
      <c r="J8330" s="24">
        <v>0.0</v>
      </c>
    </row>
    <row r="8331">
      <c r="A8331" s="24">
        <v>222.0</v>
      </c>
      <c r="B8331" s="24">
        <v>1.0</v>
      </c>
      <c r="C8331" s="44">
        <v>24.76</v>
      </c>
      <c r="D8331" s="46">
        <v>45979.0</v>
      </c>
      <c r="E8331" s="24">
        <v>24.76</v>
      </c>
      <c r="F8331" s="24">
        <v>111.53</v>
      </c>
      <c r="G8331" s="24">
        <v>0.45</v>
      </c>
      <c r="H8331" s="24" t="s">
        <v>6746</v>
      </c>
      <c r="I8331" s="24" t="s">
        <v>6650</v>
      </c>
      <c r="J8331" s="24">
        <v>0.0</v>
      </c>
    </row>
    <row r="8332">
      <c r="A8332" s="24">
        <v>257.0</v>
      </c>
      <c r="B8332" s="24">
        <v>0.0</v>
      </c>
      <c r="C8332" s="44">
        <v>24.04</v>
      </c>
      <c r="D8332" s="46">
        <v>45980.0</v>
      </c>
      <c r="E8332" s="24" t="s">
        <v>6650</v>
      </c>
      <c r="F8332" s="24">
        <v>93.54</v>
      </c>
      <c r="G8332" s="24">
        <v>0.0</v>
      </c>
      <c r="H8332" s="24" t="s">
        <v>6747</v>
      </c>
      <c r="I8332" s="24" t="s">
        <v>6650</v>
      </c>
      <c r="J8332" s="24">
        <v>0.0</v>
      </c>
    </row>
    <row r="8333">
      <c r="A8333" s="24">
        <v>305.0</v>
      </c>
      <c r="B8333" s="24">
        <v>10.0</v>
      </c>
      <c r="C8333" s="44">
        <v>24.11</v>
      </c>
      <c r="D8333" s="46">
        <v>45980.0</v>
      </c>
      <c r="E8333" s="24">
        <v>2.41</v>
      </c>
      <c r="F8333" s="24">
        <v>79.05</v>
      </c>
      <c r="G8333" s="24">
        <v>3.28</v>
      </c>
      <c r="H8333" s="24" t="s">
        <v>6746</v>
      </c>
      <c r="I8333" s="24" t="s">
        <v>6650</v>
      </c>
      <c r="J8333" s="24">
        <v>0.0</v>
      </c>
    </row>
    <row r="8334">
      <c r="A8334" s="24">
        <v>268.0</v>
      </c>
      <c r="B8334" s="24">
        <v>5.0</v>
      </c>
      <c r="C8334" s="44">
        <v>24.21</v>
      </c>
      <c r="D8334" s="46">
        <v>45981.0</v>
      </c>
      <c r="E8334" s="24">
        <v>4.84</v>
      </c>
      <c r="F8334" s="24">
        <v>90.34</v>
      </c>
      <c r="G8334" s="24">
        <v>1.87</v>
      </c>
      <c r="H8334" s="24" t="s">
        <v>6746</v>
      </c>
      <c r="I8334" s="24" t="s">
        <v>6650</v>
      </c>
      <c r="J8334" s="24">
        <v>0.0</v>
      </c>
    </row>
    <row r="8335">
      <c r="A8335" s="24">
        <v>171.0</v>
      </c>
      <c r="B8335" s="24">
        <v>0.0</v>
      </c>
      <c r="C8335" s="44">
        <v>25.02</v>
      </c>
      <c r="D8335" s="46">
        <v>45981.0</v>
      </c>
      <c r="E8335" s="24" t="s">
        <v>6650</v>
      </c>
      <c r="F8335" s="24">
        <v>146.32</v>
      </c>
      <c r="G8335" s="24">
        <v>0.0</v>
      </c>
      <c r="H8335" s="24" t="s">
        <v>6747</v>
      </c>
      <c r="I8335" s="24" t="s">
        <v>6650</v>
      </c>
      <c r="J8335" s="24">
        <v>0.0</v>
      </c>
    </row>
    <row r="8336">
      <c r="A8336" s="24">
        <v>239.0</v>
      </c>
      <c r="B8336" s="24">
        <v>7.0</v>
      </c>
      <c r="C8336" s="44">
        <v>23.31</v>
      </c>
      <c r="D8336" s="46">
        <v>45982.0</v>
      </c>
      <c r="E8336" s="24">
        <v>3.33</v>
      </c>
      <c r="F8336" s="24">
        <v>97.53</v>
      </c>
      <c r="G8336" s="24">
        <v>2.93</v>
      </c>
      <c r="H8336" s="24" t="s">
        <v>6746</v>
      </c>
      <c r="I8336" s="24" t="s">
        <v>6650</v>
      </c>
      <c r="J8336" s="24">
        <v>0.0</v>
      </c>
    </row>
    <row r="8337">
      <c r="A8337" s="24">
        <v>155.0</v>
      </c>
      <c r="B8337" s="24">
        <v>0.0</v>
      </c>
      <c r="C8337" s="44">
        <v>22.48</v>
      </c>
      <c r="D8337" s="46">
        <v>45982.0</v>
      </c>
      <c r="E8337" s="24" t="s">
        <v>6650</v>
      </c>
      <c r="F8337" s="24">
        <v>145.03</v>
      </c>
      <c r="G8337" s="24">
        <v>0.0</v>
      </c>
      <c r="H8337" s="24" t="s">
        <v>6747</v>
      </c>
      <c r="I8337" s="24" t="s">
        <v>6650</v>
      </c>
      <c r="J8337" s="24">
        <v>0.0</v>
      </c>
    </row>
    <row r="8338">
      <c r="A8338" s="24">
        <v>111.0</v>
      </c>
      <c r="B8338" s="24">
        <v>0.0</v>
      </c>
      <c r="C8338" s="44">
        <v>12.01</v>
      </c>
      <c r="D8338" s="46">
        <v>45983.0</v>
      </c>
      <c r="E8338" s="24" t="s">
        <v>6650</v>
      </c>
      <c r="F8338" s="24">
        <v>108.2</v>
      </c>
      <c r="G8338" s="24">
        <v>0.0</v>
      </c>
      <c r="H8338" s="24" t="s">
        <v>6747</v>
      </c>
      <c r="I8338" s="24" t="s">
        <v>6650</v>
      </c>
      <c r="J8338" s="24">
        <v>0.0</v>
      </c>
    </row>
    <row r="8339">
      <c r="A8339" s="24">
        <v>138.0</v>
      </c>
      <c r="B8339" s="24">
        <v>3.0</v>
      </c>
      <c r="C8339" s="44">
        <v>11.36</v>
      </c>
      <c r="D8339" s="46">
        <v>45983.0</v>
      </c>
      <c r="E8339" s="24">
        <v>3.79</v>
      </c>
      <c r="F8339" s="24">
        <v>82.32</v>
      </c>
      <c r="G8339" s="24">
        <v>2.17</v>
      </c>
      <c r="H8339" s="24" t="s">
        <v>6746</v>
      </c>
      <c r="I8339" s="24" t="s">
        <v>6650</v>
      </c>
      <c r="J8339" s="24">
        <v>0.0</v>
      </c>
    </row>
    <row r="8340">
      <c r="A8340" s="24">
        <v>77.0</v>
      </c>
      <c r="B8340" s="24">
        <v>0.0</v>
      </c>
      <c r="C8340" s="44">
        <v>8.14</v>
      </c>
      <c r="D8340" s="46">
        <v>45984.0</v>
      </c>
      <c r="E8340" s="24" t="s">
        <v>6650</v>
      </c>
      <c r="F8340" s="24">
        <v>105.71</v>
      </c>
      <c r="G8340" s="24">
        <v>0.0</v>
      </c>
      <c r="H8340" s="24" t="s">
        <v>6747</v>
      </c>
      <c r="I8340" s="24" t="s">
        <v>6650</v>
      </c>
      <c r="J8340" s="24">
        <v>0.0</v>
      </c>
    </row>
    <row r="8341">
      <c r="A8341" s="24">
        <v>100.0</v>
      </c>
      <c r="B8341" s="24">
        <v>3.0</v>
      </c>
      <c r="C8341" s="44">
        <v>8.38</v>
      </c>
      <c r="D8341" s="46">
        <v>45984.0</v>
      </c>
      <c r="E8341" s="24">
        <v>2.79</v>
      </c>
      <c r="F8341" s="24">
        <v>83.8</v>
      </c>
      <c r="G8341" s="24">
        <v>3.0</v>
      </c>
      <c r="H8341" s="24" t="s">
        <v>6746</v>
      </c>
      <c r="I8341" s="24" t="s">
        <v>6650</v>
      </c>
      <c r="J8341" s="24">
        <v>0.0</v>
      </c>
    </row>
    <row r="8342">
      <c r="A8342" s="24">
        <v>124.0</v>
      </c>
      <c r="B8342" s="24">
        <v>0.0</v>
      </c>
      <c r="C8342" s="44">
        <v>24.56</v>
      </c>
      <c r="D8342" s="46">
        <v>45985.0</v>
      </c>
      <c r="E8342" s="24" t="s">
        <v>6650</v>
      </c>
      <c r="F8342" s="24">
        <v>198.06</v>
      </c>
      <c r="G8342" s="24">
        <v>0.0</v>
      </c>
      <c r="H8342" s="24" t="s">
        <v>6747</v>
      </c>
      <c r="I8342" s="24" t="s">
        <v>6650</v>
      </c>
      <c r="J8342" s="24">
        <v>0.0</v>
      </c>
    </row>
    <row r="8343">
      <c r="A8343" s="24">
        <v>222.0</v>
      </c>
      <c r="B8343" s="24">
        <v>6.0</v>
      </c>
      <c r="C8343" s="44">
        <v>23.94</v>
      </c>
      <c r="D8343" s="46">
        <v>45985.0</v>
      </c>
      <c r="E8343" s="24">
        <v>3.99</v>
      </c>
      <c r="F8343" s="24">
        <v>107.84</v>
      </c>
      <c r="G8343" s="24">
        <v>2.7</v>
      </c>
      <c r="H8343" s="24" t="s">
        <v>6746</v>
      </c>
      <c r="I8343" s="24" t="s">
        <v>6650</v>
      </c>
      <c r="J8343" s="24">
        <v>0.0</v>
      </c>
    </row>
    <row r="8344">
      <c r="A8344" s="24">
        <v>180.0</v>
      </c>
      <c r="B8344" s="24">
        <v>1.0</v>
      </c>
      <c r="C8344" s="44">
        <v>26.05</v>
      </c>
      <c r="D8344" s="46">
        <v>45986.0</v>
      </c>
      <c r="E8344" s="24">
        <v>26.05</v>
      </c>
      <c r="F8344" s="24">
        <v>144.72</v>
      </c>
      <c r="G8344" s="24">
        <v>0.56</v>
      </c>
      <c r="H8344" s="24" t="s">
        <v>6747</v>
      </c>
      <c r="I8344" s="24" t="s">
        <v>6650</v>
      </c>
      <c r="J8344" s="24">
        <v>0.0</v>
      </c>
    </row>
    <row r="8345">
      <c r="A8345" s="24">
        <v>194.0</v>
      </c>
      <c r="B8345" s="24">
        <v>4.0</v>
      </c>
      <c r="C8345" s="44">
        <v>26.84</v>
      </c>
      <c r="D8345" s="46">
        <v>45986.0</v>
      </c>
      <c r="E8345" s="24">
        <v>6.71</v>
      </c>
      <c r="F8345" s="24">
        <v>138.35</v>
      </c>
      <c r="G8345" s="24">
        <v>2.06</v>
      </c>
      <c r="H8345" s="24" t="s">
        <v>6746</v>
      </c>
      <c r="I8345" s="24" t="s">
        <v>6650</v>
      </c>
      <c r="J8345" s="24">
        <v>0.0</v>
      </c>
    </row>
    <row r="8346">
      <c r="A8346" s="24">
        <v>162.0</v>
      </c>
      <c r="B8346" s="24">
        <v>2.0</v>
      </c>
      <c r="C8346" s="44">
        <v>23.69</v>
      </c>
      <c r="D8346" s="46">
        <v>45987.0</v>
      </c>
      <c r="E8346" s="24">
        <v>11.84</v>
      </c>
      <c r="F8346" s="24">
        <v>146.23</v>
      </c>
      <c r="G8346" s="24">
        <v>1.23</v>
      </c>
      <c r="H8346" s="24" t="s">
        <v>6747</v>
      </c>
      <c r="I8346" s="24" t="s">
        <v>6650</v>
      </c>
      <c r="J8346" s="24">
        <v>0.0</v>
      </c>
    </row>
    <row r="8347">
      <c r="A8347" s="24">
        <v>210.0</v>
      </c>
      <c r="B8347" s="24">
        <v>2.0</v>
      </c>
      <c r="C8347" s="44">
        <v>25.53</v>
      </c>
      <c r="D8347" s="46">
        <v>45987.0</v>
      </c>
      <c r="E8347" s="24">
        <v>12.76</v>
      </c>
      <c r="F8347" s="24">
        <v>121.57</v>
      </c>
      <c r="G8347" s="24">
        <v>0.95</v>
      </c>
      <c r="H8347" s="24" t="s">
        <v>6746</v>
      </c>
      <c r="I8347" s="24" t="s">
        <v>6650</v>
      </c>
      <c r="J8347" s="24">
        <v>0.0</v>
      </c>
    </row>
    <row r="8348">
      <c r="A8348" s="24">
        <v>139.0</v>
      </c>
      <c r="B8348" s="24">
        <v>0.0</v>
      </c>
      <c r="C8348" s="44">
        <v>26.22</v>
      </c>
      <c r="D8348" s="46">
        <v>45988.0</v>
      </c>
      <c r="E8348" s="24" t="s">
        <v>6650</v>
      </c>
      <c r="F8348" s="24">
        <v>188.63</v>
      </c>
      <c r="G8348" s="24">
        <v>0.0</v>
      </c>
      <c r="H8348" s="24" t="s">
        <v>6747</v>
      </c>
      <c r="I8348" s="24" t="s">
        <v>6650</v>
      </c>
      <c r="J8348" s="24">
        <v>0.0</v>
      </c>
    </row>
    <row r="8349">
      <c r="A8349" s="24">
        <v>184.0</v>
      </c>
      <c r="B8349" s="24">
        <v>5.0</v>
      </c>
      <c r="C8349" s="44">
        <v>22.79</v>
      </c>
      <c r="D8349" s="46">
        <v>45988.0</v>
      </c>
      <c r="E8349" s="24">
        <v>4.56</v>
      </c>
      <c r="F8349" s="24">
        <v>123.86</v>
      </c>
      <c r="G8349" s="24">
        <v>2.72</v>
      </c>
      <c r="H8349" s="24" t="s">
        <v>6746</v>
      </c>
      <c r="I8349" s="24" t="s">
        <v>6650</v>
      </c>
      <c r="J8349" s="24">
        <v>0.0</v>
      </c>
    </row>
    <row r="8350">
      <c r="A8350" s="24">
        <v>129.0</v>
      </c>
      <c r="B8350" s="24">
        <v>0.0</v>
      </c>
      <c r="C8350" s="44">
        <v>20.71</v>
      </c>
      <c r="D8350" s="46">
        <v>45989.0</v>
      </c>
      <c r="E8350" s="24" t="s">
        <v>6650</v>
      </c>
      <c r="F8350" s="24">
        <v>160.54</v>
      </c>
      <c r="G8350" s="24">
        <v>0.0</v>
      </c>
      <c r="H8350" s="24" t="s">
        <v>6747</v>
      </c>
      <c r="I8350" s="24" t="s">
        <v>6650</v>
      </c>
      <c r="J8350" s="24">
        <v>0.0</v>
      </c>
    </row>
    <row r="8351">
      <c r="A8351" s="24">
        <v>111.0</v>
      </c>
      <c r="B8351" s="24">
        <v>1.0</v>
      </c>
      <c r="C8351" s="44">
        <v>22.11</v>
      </c>
      <c r="D8351" s="46">
        <v>45989.0</v>
      </c>
      <c r="E8351" s="24">
        <v>22.11</v>
      </c>
      <c r="F8351" s="24">
        <v>199.19</v>
      </c>
      <c r="G8351" s="24">
        <v>0.9</v>
      </c>
      <c r="H8351" s="24" t="s">
        <v>6746</v>
      </c>
      <c r="I8351" s="24" t="s">
        <v>6650</v>
      </c>
      <c r="J8351" s="24">
        <v>0.0</v>
      </c>
    </row>
    <row r="8352">
      <c r="A8352" s="24">
        <v>81.0</v>
      </c>
      <c r="B8352" s="24">
        <v>2.0</v>
      </c>
      <c r="C8352" s="44">
        <v>10.95</v>
      </c>
      <c r="D8352" s="46">
        <v>45990.0</v>
      </c>
      <c r="E8352" s="24">
        <v>5.48</v>
      </c>
      <c r="F8352" s="24">
        <v>135.19</v>
      </c>
      <c r="G8352" s="24">
        <v>2.47</v>
      </c>
      <c r="H8352" s="24" t="s">
        <v>6746</v>
      </c>
      <c r="I8352" s="24" t="s">
        <v>6650</v>
      </c>
      <c r="J8352" s="24">
        <v>0.0</v>
      </c>
    </row>
    <row r="8353">
      <c r="A8353" s="24">
        <v>74.0</v>
      </c>
      <c r="B8353" s="24">
        <v>1.0</v>
      </c>
      <c r="C8353" s="44">
        <v>12.22</v>
      </c>
      <c r="D8353" s="46">
        <v>45990.0</v>
      </c>
      <c r="E8353" s="24">
        <v>12.22</v>
      </c>
      <c r="F8353" s="24">
        <v>165.14</v>
      </c>
      <c r="G8353" s="24">
        <v>1.35</v>
      </c>
      <c r="H8353" s="24" t="s">
        <v>6747</v>
      </c>
      <c r="I8353" s="24" t="s">
        <v>6650</v>
      </c>
      <c r="J8353" s="24">
        <v>0.0</v>
      </c>
    </row>
    <row r="8354">
      <c r="A8354" s="24">
        <v>79.0</v>
      </c>
      <c r="B8354" s="24">
        <v>1.0</v>
      </c>
      <c r="C8354" s="44">
        <v>7.84</v>
      </c>
      <c r="D8354" s="46">
        <v>45991.0</v>
      </c>
      <c r="E8354" s="24">
        <v>7.84</v>
      </c>
      <c r="F8354" s="24">
        <v>99.24</v>
      </c>
      <c r="G8354" s="24">
        <v>1.27</v>
      </c>
      <c r="H8354" s="24" t="s">
        <v>6746</v>
      </c>
      <c r="I8354" s="24" t="s">
        <v>6650</v>
      </c>
      <c r="J8354" s="24">
        <v>0.0</v>
      </c>
    </row>
    <row r="8355">
      <c r="A8355" s="24">
        <v>50.0</v>
      </c>
      <c r="B8355" s="24">
        <v>0.0</v>
      </c>
      <c r="C8355" s="44">
        <v>6.55</v>
      </c>
      <c r="D8355" s="46">
        <v>45991.0</v>
      </c>
      <c r="E8355" s="24" t="s">
        <v>6650</v>
      </c>
      <c r="F8355" s="24">
        <v>131.0</v>
      </c>
      <c r="G8355" s="24">
        <v>0.0</v>
      </c>
      <c r="H8355" s="24" t="s">
        <v>6747</v>
      </c>
      <c r="I8355" s="24" t="s">
        <v>6650</v>
      </c>
      <c r="J8355" s="24">
        <v>0.0</v>
      </c>
    </row>
    <row r="8356">
      <c r="A8356" s="24">
        <v>159.0</v>
      </c>
      <c r="B8356" s="24">
        <v>1.0</v>
      </c>
      <c r="C8356" s="44">
        <v>24.6</v>
      </c>
      <c r="D8356" s="46">
        <v>45992.0</v>
      </c>
      <c r="E8356" s="24">
        <v>24.6</v>
      </c>
      <c r="F8356" s="24">
        <v>154.72</v>
      </c>
      <c r="G8356" s="24">
        <v>0.63</v>
      </c>
      <c r="H8356" s="24" t="s">
        <v>6747</v>
      </c>
      <c r="I8356" s="24" t="s">
        <v>6650</v>
      </c>
      <c r="J8356" s="24">
        <v>0.0</v>
      </c>
    </row>
    <row r="8357">
      <c r="A8357" s="24">
        <v>180.0</v>
      </c>
      <c r="B8357" s="24">
        <v>5.0</v>
      </c>
      <c r="C8357" s="44">
        <v>23.1</v>
      </c>
      <c r="D8357" s="46">
        <v>45992.0</v>
      </c>
      <c r="E8357" s="24">
        <v>4.62</v>
      </c>
      <c r="F8357" s="24">
        <v>128.33</v>
      </c>
      <c r="G8357" s="24">
        <v>2.78</v>
      </c>
      <c r="H8357" s="24" t="s">
        <v>6746</v>
      </c>
      <c r="I8357" s="24" t="s">
        <v>6650</v>
      </c>
      <c r="J8357" s="24">
        <v>0.0</v>
      </c>
    </row>
    <row r="8358">
      <c r="A8358" s="24">
        <v>207.0</v>
      </c>
      <c r="B8358" s="24">
        <v>0.0</v>
      </c>
      <c r="C8358" s="44">
        <v>24.79</v>
      </c>
      <c r="D8358" s="46">
        <v>45993.0</v>
      </c>
      <c r="E8358" s="24" t="s">
        <v>6650</v>
      </c>
      <c r="F8358" s="24">
        <v>119.76</v>
      </c>
      <c r="G8358" s="24">
        <v>0.0</v>
      </c>
      <c r="H8358" s="24" t="s">
        <v>6747</v>
      </c>
      <c r="I8358" s="24" t="s">
        <v>6650</v>
      </c>
      <c r="J8358" s="24">
        <v>0.0</v>
      </c>
    </row>
    <row r="8359">
      <c r="A8359" s="24">
        <v>244.0</v>
      </c>
      <c r="B8359" s="24">
        <v>2.0</v>
      </c>
      <c r="C8359" s="44">
        <v>26.62</v>
      </c>
      <c r="D8359" s="46">
        <v>45993.0</v>
      </c>
      <c r="E8359" s="24">
        <v>13.31</v>
      </c>
      <c r="F8359" s="24">
        <v>109.1</v>
      </c>
      <c r="G8359" s="24">
        <v>0.82</v>
      </c>
      <c r="H8359" s="24" t="s">
        <v>6746</v>
      </c>
      <c r="I8359" s="24" t="s">
        <v>6650</v>
      </c>
      <c r="J8359" s="24">
        <v>0.0</v>
      </c>
    </row>
    <row r="8360">
      <c r="A8360" s="24">
        <v>355.0</v>
      </c>
      <c r="B8360" s="24">
        <v>0.0</v>
      </c>
      <c r="C8360" s="44">
        <v>24.15</v>
      </c>
      <c r="D8360" s="46">
        <v>45994.0</v>
      </c>
      <c r="E8360" s="24" t="s">
        <v>6650</v>
      </c>
      <c r="F8360" s="24">
        <v>68.03</v>
      </c>
      <c r="G8360" s="24">
        <v>0.0</v>
      </c>
      <c r="H8360" s="24" t="s">
        <v>6747</v>
      </c>
      <c r="I8360" s="24" t="s">
        <v>6650</v>
      </c>
      <c r="J8360" s="24">
        <v>0.0</v>
      </c>
    </row>
    <row r="8361">
      <c r="A8361" s="24">
        <v>224.0</v>
      </c>
      <c r="B8361" s="24">
        <v>6.0</v>
      </c>
      <c r="C8361" s="44">
        <v>24.2</v>
      </c>
      <c r="D8361" s="46">
        <v>45994.0</v>
      </c>
      <c r="E8361" s="24">
        <v>4.03</v>
      </c>
      <c r="F8361" s="24">
        <v>108.04</v>
      </c>
      <c r="G8361" s="24">
        <v>2.68</v>
      </c>
      <c r="H8361" s="24" t="s">
        <v>6746</v>
      </c>
      <c r="I8361" s="24" t="s">
        <v>6650</v>
      </c>
      <c r="J8361" s="24">
        <v>0.0</v>
      </c>
    </row>
    <row r="8362">
      <c r="A8362" s="24">
        <v>207.0</v>
      </c>
      <c r="B8362" s="24">
        <v>0.0</v>
      </c>
      <c r="C8362" s="44">
        <v>23.37</v>
      </c>
      <c r="D8362" s="46">
        <v>45995.0</v>
      </c>
      <c r="E8362" s="24" t="s">
        <v>6650</v>
      </c>
      <c r="F8362" s="24">
        <v>112.9</v>
      </c>
      <c r="G8362" s="24">
        <v>0.0</v>
      </c>
      <c r="H8362" s="24" t="s">
        <v>6747</v>
      </c>
      <c r="I8362" s="24" t="s">
        <v>6650</v>
      </c>
      <c r="J8362" s="24">
        <v>0.0</v>
      </c>
    </row>
    <row r="8363">
      <c r="A8363" s="24">
        <v>255.0</v>
      </c>
      <c r="B8363" s="24">
        <v>6.0</v>
      </c>
      <c r="C8363" s="44">
        <v>22.65</v>
      </c>
      <c r="D8363" s="46">
        <v>45995.0</v>
      </c>
      <c r="E8363" s="24">
        <v>3.78</v>
      </c>
      <c r="F8363" s="24">
        <v>88.82</v>
      </c>
      <c r="G8363" s="24">
        <v>2.35</v>
      </c>
      <c r="H8363" s="24" t="s">
        <v>6746</v>
      </c>
      <c r="I8363" s="24" t="s">
        <v>6650</v>
      </c>
      <c r="J8363" s="24">
        <v>0.0</v>
      </c>
    </row>
    <row r="8364">
      <c r="A8364" s="24">
        <v>271.0</v>
      </c>
      <c r="B8364" s="24">
        <v>8.0</v>
      </c>
      <c r="C8364" s="44">
        <v>21.25</v>
      </c>
      <c r="D8364" s="46">
        <v>45996.0</v>
      </c>
      <c r="E8364" s="24">
        <v>2.66</v>
      </c>
      <c r="F8364" s="24">
        <v>78.41</v>
      </c>
      <c r="G8364" s="24">
        <v>2.95</v>
      </c>
      <c r="H8364" s="24" t="s">
        <v>6746</v>
      </c>
      <c r="I8364" s="24" t="s">
        <v>6650</v>
      </c>
      <c r="J8364" s="24">
        <v>0.0</v>
      </c>
    </row>
    <row r="8365">
      <c r="A8365" s="24">
        <v>208.0</v>
      </c>
      <c r="B8365" s="24">
        <v>0.0</v>
      </c>
      <c r="C8365" s="44">
        <v>21.33</v>
      </c>
      <c r="D8365" s="46">
        <v>45996.0</v>
      </c>
      <c r="E8365" s="24" t="s">
        <v>6650</v>
      </c>
      <c r="F8365" s="24">
        <v>102.55</v>
      </c>
      <c r="G8365" s="24">
        <v>0.0</v>
      </c>
      <c r="H8365" s="24" t="s">
        <v>6747</v>
      </c>
      <c r="I8365" s="24" t="s">
        <v>6650</v>
      </c>
      <c r="J8365" s="24">
        <v>0.0</v>
      </c>
    </row>
    <row r="8366">
      <c r="A8366" s="24">
        <v>136.0</v>
      </c>
      <c r="B8366" s="24">
        <v>0.0</v>
      </c>
      <c r="C8366" s="44">
        <v>12.59</v>
      </c>
      <c r="D8366" s="46">
        <v>45997.0</v>
      </c>
      <c r="E8366" s="24" t="s">
        <v>6650</v>
      </c>
      <c r="F8366" s="24">
        <v>92.57</v>
      </c>
      <c r="G8366" s="24">
        <v>0.0</v>
      </c>
      <c r="H8366" s="24" t="s">
        <v>6747</v>
      </c>
      <c r="I8366" s="24" t="s">
        <v>6650</v>
      </c>
      <c r="J8366" s="24">
        <v>0.0</v>
      </c>
    </row>
    <row r="8367">
      <c r="A8367" s="24">
        <v>102.0</v>
      </c>
      <c r="B8367" s="24">
        <v>2.0</v>
      </c>
      <c r="C8367" s="44">
        <v>13.3</v>
      </c>
      <c r="D8367" s="46">
        <v>45997.0</v>
      </c>
      <c r="E8367" s="24">
        <v>6.65</v>
      </c>
      <c r="F8367" s="24">
        <v>130.39</v>
      </c>
      <c r="G8367" s="24">
        <v>1.96</v>
      </c>
      <c r="H8367" s="24" t="s">
        <v>6746</v>
      </c>
      <c r="I8367" s="24" t="s">
        <v>6650</v>
      </c>
      <c r="J8367" s="24">
        <v>0.0</v>
      </c>
    </row>
    <row r="8368">
      <c r="A8368" s="24">
        <v>109.0</v>
      </c>
      <c r="B8368" s="24">
        <v>4.0</v>
      </c>
      <c r="C8368" s="44">
        <v>8.84</v>
      </c>
      <c r="D8368" s="46">
        <v>45998.0</v>
      </c>
      <c r="E8368" s="24">
        <v>2.21</v>
      </c>
      <c r="F8368" s="24">
        <v>81.1</v>
      </c>
      <c r="G8368" s="24">
        <v>3.67</v>
      </c>
      <c r="H8368" s="24" t="s">
        <v>6746</v>
      </c>
      <c r="I8368" s="24" t="s">
        <v>6650</v>
      </c>
      <c r="J8368" s="24">
        <v>0.0</v>
      </c>
    </row>
    <row r="8369">
      <c r="A8369" s="24">
        <v>110.0</v>
      </c>
      <c r="B8369" s="24">
        <v>0.0</v>
      </c>
      <c r="C8369" s="44">
        <v>9.17</v>
      </c>
      <c r="D8369" s="46">
        <v>45998.0</v>
      </c>
      <c r="E8369" s="24" t="s">
        <v>6650</v>
      </c>
      <c r="F8369" s="24">
        <v>83.36</v>
      </c>
      <c r="G8369" s="24">
        <v>0.0</v>
      </c>
      <c r="H8369" s="24" t="s">
        <v>6747</v>
      </c>
      <c r="I8369" s="24" t="s">
        <v>6650</v>
      </c>
      <c r="J8369" s="24">
        <v>0.0</v>
      </c>
    </row>
    <row r="8370">
      <c r="A8370" s="24">
        <v>160.0</v>
      </c>
      <c r="B8370" s="24">
        <v>0.0</v>
      </c>
      <c r="C8370" s="44">
        <v>26.06</v>
      </c>
      <c r="D8370" s="46">
        <v>45999.0</v>
      </c>
      <c r="E8370" s="24" t="s">
        <v>6650</v>
      </c>
      <c r="F8370" s="24">
        <v>162.88</v>
      </c>
      <c r="G8370" s="24">
        <v>0.0</v>
      </c>
      <c r="H8370" s="24" t="s">
        <v>6747</v>
      </c>
      <c r="I8370" s="24" t="s">
        <v>6650</v>
      </c>
      <c r="J8370" s="24">
        <v>0.0</v>
      </c>
    </row>
    <row r="8371">
      <c r="A8371" s="24">
        <v>195.0</v>
      </c>
      <c r="B8371" s="24">
        <v>4.0</v>
      </c>
      <c r="C8371" s="44">
        <v>23.24</v>
      </c>
      <c r="D8371" s="46">
        <v>45999.0</v>
      </c>
      <c r="E8371" s="24">
        <v>5.81</v>
      </c>
      <c r="F8371" s="24">
        <v>119.18</v>
      </c>
      <c r="G8371" s="24">
        <v>2.05</v>
      </c>
      <c r="H8371" s="24" t="s">
        <v>6746</v>
      </c>
      <c r="I8371" s="24" t="s">
        <v>6650</v>
      </c>
      <c r="J8371" s="24">
        <v>0.0</v>
      </c>
    </row>
    <row r="8372">
      <c r="A8372" s="24">
        <v>267.0</v>
      </c>
      <c r="B8372" s="24">
        <v>7.0</v>
      </c>
      <c r="C8372" s="44">
        <v>25.82</v>
      </c>
      <c r="D8372" s="46">
        <v>46000.0</v>
      </c>
      <c r="E8372" s="24">
        <v>3.69</v>
      </c>
      <c r="F8372" s="24">
        <v>96.7</v>
      </c>
      <c r="G8372" s="24">
        <v>2.62</v>
      </c>
      <c r="H8372" s="24" t="s">
        <v>6746</v>
      </c>
      <c r="I8372" s="24" t="s">
        <v>6650</v>
      </c>
      <c r="J8372" s="24">
        <v>0.0</v>
      </c>
    </row>
    <row r="8373">
      <c r="A8373" s="24">
        <v>225.0</v>
      </c>
      <c r="B8373" s="24">
        <v>0.0</v>
      </c>
      <c r="C8373" s="44">
        <v>25.3</v>
      </c>
      <c r="D8373" s="46">
        <v>46000.0</v>
      </c>
      <c r="E8373" s="24" t="s">
        <v>6650</v>
      </c>
      <c r="F8373" s="24">
        <v>112.44</v>
      </c>
      <c r="G8373" s="24">
        <v>0.0</v>
      </c>
      <c r="H8373" s="24" t="s">
        <v>6747</v>
      </c>
      <c r="I8373" s="24" t="s">
        <v>6650</v>
      </c>
      <c r="J8373" s="24">
        <v>0.0</v>
      </c>
    </row>
    <row r="8374">
      <c r="A8374" s="24">
        <v>173.0</v>
      </c>
      <c r="B8374" s="24">
        <v>1.0</v>
      </c>
      <c r="C8374" s="44">
        <v>24.07</v>
      </c>
      <c r="D8374" s="46">
        <v>46001.0</v>
      </c>
      <c r="E8374" s="24">
        <v>24.07</v>
      </c>
      <c r="F8374" s="24">
        <v>139.13</v>
      </c>
      <c r="G8374" s="24">
        <v>0.58</v>
      </c>
      <c r="H8374" s="24" t="s">
        <v>6747</v>
      </c>
      <c r="I8374" s="24" t="s">
        <v>6650</v>
      </c>
      <c r="J8374" s="24">
        <v>0.0</v>
      </c>
    </row>
    <row r="8375">
      <c r="A8375" s="24">
        <v>285.0</v>
      </c>
      <c r="B8375" s="24">
        <v>9.0</v>
      </c>
      <c r="C8375" s="44">
        <v>24.15</v>
      </c>
      <c r="D8375" s="46">
        <v>46001.0</v>
      </c>
      <c r="E8375" s="24">
        <v>2.68</v>
      </c>
      <c r="F8375" s="24">
        <v>84.74</v>
      </c>
      <c r="G8375" s="24">
        <v>3.16</v>
      </c>
      <c r="H8375" s="24" t="s">
        <v>6746</v>
      </c>
      <c r="I8375" s="24" t="s">
        <v>6650</v>
      </c>
      <c r="J8375" s="24">
        <v>0.0</v>
      </c>
    </row>
    <row r="8376">
      <c r="A8376" s="24">
        <v>308.0</v>
      </c>
      <c r="B8376" s="24">
        <v>4.0</v>
      </c>
      <c r="C8376" s="44">
        <v>24.22</v>
      </c>
      <c r="D8376" s="46">
        <v>46002.0</v>
      </c>
      <c r="E8376" s="24">
        <v>6.06</v>
      </c>
      <c r="F8376" s="24">
        <v>78.64</v>
      </c>
      <c r="G8376" s="24">
        <v>1.3</v>
      </c>
      <c r="H8376" s="24" t="s">
        <v>6746</v>
      </c>
      <c r="I8376" s="24" t="s">
        <v>6650</v>
      </c>
      <c r="J8376" s="24">
        <v>0.0</v>
      </c>
    </row>
    <row r="8377">
      <c r="A8377" s="24">
        <v>264.0</v>
      </c>
      <c r="B8377" s="24">
        <v>0.0</v>
      </c>
      <c r="C8377" s="44">
        <v>22.86</v>
      </c>
      <c r="D8377" s="46">
        <v>46002.0</v>
      </c>
      <c r="E8377" s="24" t="s">
        <v>6650</v>
      </c>
      <c r="F8377" s="24">
        <v>86.59</v>
      </c>
      <c r="G8377" s="24">
        <v>0.0</v>
      </c>
      <c r="H8377" s="24" t="s">
        <v>6747</v>
      </c>
      <c r="I8377" s="24" t="s">
        <v>6650</v>
      </c>
      <c r="J8377" s="24">
        <v>0.0</v>
      </c>
    </row>
    <row r="8378">
      <c r="A8378" s="24">
        <v>208.0</v>
      </c>
      <c r="B8378" s="24">
        <v>4.0</v>
      </c>
      <c r="C8378" s="44">
        <v>24.35</v>
      </c>
      <c r="D8378" s="46">
        <v>46003.0</v>
      </c>
      <c r="E8378" s="24">
        <v>6.09</v>
      </c>
      <c r="F8378" s="24">
        <v>117.07</v>
      </c>
      <c r="G8378" s="24">
        <v>1.92</v>
      </c>
      <c r="H8378" s="24" t="s">
        <v>6746</v>
      </c>
      <c r="I8378" s="24" t="s">
        <v>6650</v>
      </c>
      <c r="J8378" s="24">
        <v>0.0</v>
      </c>
    </row>
    <row r="8379">
      <c r="A8379" s="24">
        <v>230.0</v>
      </c>
      <c r="B8379" s="24">
        <v>1.0</v>
      </c>
      <c r="C8379" s="44">
        <v>24.94</v>
      </c>
      <c r="D8379" s="46">
        <v>46003.0</v>
      </c>
      <c r="E8379" s="24">
        <v>24.94</v>
      </c>
      <c r="F8379" s="24">
        <v>108.43</v>
      </c>
      <c r="G8379" s="24">
        <v>0.43</v>
      </c>
      <c r="H8379" s="24" t="s">
        <v>6747</v>
      </c>
      <c r="I8379" s="24" t="s">
        <v>6650</v>
      </c>
      <c r="J8379" s="24">
        <v>0.0</v>
      </c>
    </row>
    <row r="8380">
      <c r="A8380" s="24">
        <v>131.0</v>
      </c>
      <c r="B8380" s="24">
        <v>1.0</v>
      </c>
      <c r="C8380" s="44">
        <v>11.97</v>
      </c>
      <c r="D8380" s="46">
        <v>46004.0</v>
      </c>
      <c r="E8380" s="24">
        <v>11.97</v>
      </c>
      <c r="F8380" s="24">
        <v>91.37</v>
      </c>
      <c r="G8380" s="24">
        <v>0.76</v>
      </c>
      <c r="H8380" s="24" t="s">
        <v>6746</v>
      </c>
      <c r="I8380" s="24" t="s">
        <v>6650</v>
      </c>
      <c r="J8380" s="24">
        <v>0.0</v>
      </c>
    </row>
    <row r="8381">
      <c r="A8381" s="24">
        <v>135.0</v>
      </c>
      <c r="B8381" s="24">
        <v>0.0</v>
      </c>
      <c r="C8381" s="44">
        <v>13.42</v>
      </c>
      <c r="D8381" s="46">
        <v>46004.0</v>
      </c>
      <c r="E8381" s="24" t="s">
        <v>6650</v>
      </c>
      <c r="F8381" s="24">
        <v>99.41</v>
      </c>
      <c r="G8381" s="24">
        <v>0.0</v>
      </c>
      <c r="H8381" s="24" t="s">
        <v>6747</v>
      </c>
      <c r="I8381" s="24" t="s">
        <v>6650</v>
      </c>
      <c r="J8381" s="24">
        <v>0.0</v>
      </c>
    </row>
    <row r="8382">
      <c r="A8382" s="24">
        <v>43.0</v>
      </c>
      <c r="B8382" s="24">
        <v>0.0</v>
      </c>
      <c r="C8382" s="44">
        <v>3.35</v>
      </c>
      <c r="D8382" s="46">
        <v>46005.0</v>
      </c>
      <c r="E8382" s="24" t="s">
        <v>6650</v>
      </c>
      <c r="F8382" s="24">
        <v>77.91</v>
      </c>
      <c r="G8382" s="24">
        <v>0.0</v>
      </c>
      <c r="H8382" s="24" t="s">
        <v>6747</v>
      </c>
      <c r="I8382" s="24" t="s">
        <v>6650</v>
      </c>
      <c r="J8382" s="24">
        <v>0.0</v>
      </c>
    </row>
    <row r="8383">
      <c r="A8383" s="24">
        <v>96.0</v>
      </c>
      <c r="B8383" s="24">
        <v>2.0</v>
      </c>
      <c r="C8383" s="44">
        <v>6.25</v>
      </c>
      <c r="D8383" s="46">
        <v>46005.0</v>
      </c>
      <c r="E8383" s="24">
        <v>3.12</v>
      </c>
      <c r="F8383" s="24">
        <v>65.1</v>
      </c>
      <c r="G8383" s="24">
        <v>2.08</v>
      </c>
      <c r="H8383" s="24" t="s">
        <v>6746</v>
      </c>
      <c r="I8383" s="24" t="s">
        <v>6650</v>
      </c>
      <c r="J8383" s="24">
        <v>0.0</v>
      </c>
    </row>
    <row r="8384">
      <c r="A8384" s="24">
        <v>190.0</v>
      </c>
      <c r="B8384" s="24">
        <v>8.0</v>
      </c>
      <c r="C8384" s="44">
        <v>23.93</v>
      </c>
      <c r="D8384" s="46">
        <v>46006.0</v>
      </c>
      <c r="E8384" s="24">
        <v>2.99</v>
      </c>
      <c r="F8384" s="24">
        <v>125.95</v>
      </c>
      <c r="G8384" s="24">
        <v>4.21</v>
      </c>
      <c r="H8384" s="24" t="s">
        <v>6746</v>
      </c>
      <c r="I8384" s="24" t="s">
        <v>6650</v>
      </c>
      <c r="J8384" s="24">
        <v>0.0</v>
      </c>
    </row>
    <row r="8385">
      <c r="A8385" s="24">
        <v>283.0</v>
      </c>
      <c r="B8385" s="24">
        <v>1.0</v>
      </c>
      <c r="C8385" s="44">
        <v>24.28</v>
      </c>
      <c r="D8385" s="46">
        <v>46006.0</v>
      </c>
      <c r="E8385" s="24">
        <v>24.28</v>
      </c>
      <c r="F8385" s="24">
        <v>85.8</v>
      </c>
      <c r="G8385" s="24">
        <v>0.35</v>
      </c>
      <c r="H8385" s="24" t="s">
        <v>6747</v>
      </c>
      <c r="I8385" s="24" t="s">
        <v>6650</v>
      </c>
      <c r="J8385" s="24">
        <v>0.0</v>
      </c>
    </row>
    <row r="8386">
      <c r="A8386" s="24">
        <v>316.0</v>
      </c>
      <c r="B8386" s="24">
        <v>1.0</v>
      </c>
      <c r="C8386" s="44">
        <v>27.68</v>
      </c>
      <c r="D8386" s="46">
        <v>46007.0</v>
      </c>
      <c r="E8386" s="24">
        <v>27.68</v>
      </c>
      <c r="F8386" s="24">
        <v>87.59</v>
      </c>
      <c r="G8386" s="24">
        <v>0.32</v>
      </c>
      <c r="H8386" s="24" t="s">
        <v>6747</v>
      </c>
      <c r="I8386" s="24" t="s">
        <v>6650</v>
      </c>
      <c r="J8386" s="24">
        <v>0.0</v>
      </c>
    </row>
    <row r="8387">
      <c r="A8387" s="24">
        <v>314.0</v>
      </c>
      <c r="B8387" s="24">
        <v>5.0</v>
      </c>
      <c r="C8387" s="44">
        <v>25.35</v>
      </c>
      <c r="D8387" s="46">
        <v>46007.0</v>
      </c>
      <c r="E8387" s="24">
        <v>5.07</v>
      </c>
      <c r="F8387" s="24">
        <v>80.73</v>
      </c>
      <c r="G8387" s="24">
        <v>1.59</v>
      </c>
      <c r="H8387" s="24" t="s">
        <v>6746</v>
      </c>
      <c r="I8387" s="24" t="s">
        <v>6650</v>
      </c>
      <c r="J8387" s="24">
        <v>0.0</v>
      </c>
    </row>
    <row r="8388">
      <c r="A8388" s="24">
        <v>193.0</v>
      </c>
      <c r="B8388" s="24">
        <v>0.0</v>
      </c>
      <c r="C8388" s="44">
        <v>23.16</v>
      </c>
      <c r="D8388" s="46">
        <v>46008.0</v>
      </c>
      <c r="E8388" s="24" t="s">
        <v>6650</v>
      </c>
      <c r="F8388" s="24">
        <v>120.0</v>
      </c>
      <c r="G8388" s="24">
        <v>0.0</v>
      </c>
      <c r="H8388" s="24" t="s">
        <v>6747</v>
      </c>
      <c r="I8388" s="24" t="s">
        <v>6650</v>
      </c>
      <c r="J8388" s="24">
        <v>0.0</v>
      </c>
    </row>
    <row r="8389">
      <c r="A8389" s="24">
        <v>243.0</v>
      </c>
      <c r="B8389" s="24">
        <v>5.0</v>
      </c>
      <c r="C8389" s="44">
        <v>23.96</v>
      </c>
      <c r="D8389" s="46">
        <v>46008.0</v>
      </c>
      <c r="E8389" s="24">
        <v>4.79</v>
      </c>
      <c r="F8389" s="24">
        <v>98.6</v>
      </c>
      <c r="G8389" s="24">
        <v>2.06</v>
      </c>
      <c r="H8389" s="24" t="s">
        <v>6746</v>
      </c>
      <c r="I8389" s="24" t="s">
        <v>6650</v>
      </c>
      <c r="J8389" s="24">
        <v>0.0</v>
      </c>
    </row>
    <row r="8390">
      <c r="A8390" s="24">
        <v>230.0</v>
      </c>
      <c r="B8390" s="24">
        <v>0.0</v>
      </c>
      <c r="C8390" s="44">
        <v>22.54</v>
      </c>
      <c r="D8390" s="46">
        <v>46009.0</v>
      </c>
      <c r="E8390" s="24" t="s">
        <v>6650</v>
      </c>
      <c r="F8390" s="24">
        <v>98.0</v>
      </c>
      <c r="G8390" s="24">
        <v>0.0</v>
      </c>
      <c r="H8390" s="24" t="s">
        <v>6747</v>
      </c>
      <c r="I8390" s="24" t="s">
        <v>6650</v>
      </c>
      <c r="J8390" s="24">
        <v>0.0</v>
      </c>
    </row>
    <row r="8391">
      <c r="A8391" s="24">
        <v>236.0</v>
      </c>
      <c r="B8391" s="24">
        <v>8.0</v>
      </c>
      <c r="C8391" s="44">
        <v>22.58</v>
      </c>
      <c r="D8391" s="46">
        <v>46009.0</v>
      </c>
      <c r="E8391" s="24">
        <v>2.82</v>
      </c>
      <c r="F8391" s="24">
        <v>95.68</v>
      </c>
      <c r="G8391" s="24">
        <v>3.39</v>
      </c>
      <c r="H8391" s="24" t="s">
        <v>6746</v>
      </c>
      <c r="I8391" s="24" t="s">
        <v>6650</v>
      </c>
      <c r="J8391" s="24">
        <v>0.0</v>
      </c>
    </row>
    <row r="8392">
      <c r="A8392" s="24">
        <v>160.0</v>
      </c>
      <c r="B8392" s="24">
        <v>0.0</v>
      </c>
      <c r="C8392" s="44">
        <v>22.95</v>
      </c>
      <c r="D8392" s="46">
        <v>46010.0</v>
      </c>
      <c r="E8392" s="24" t="s">
        <v>6650</v>
      </c>
      <c r="F8392" s="24">
        <v>143.44</v>
      </c>
      <c r="G8392" s="24">
        <v>0.0</v>
      </c>
      <c r="H8392" s="24" t="s">
        <v>6747</v>
      </c>
      <c r="I8392" s="24" t="s">
        <v>6650</v>
      </c>
      <c r="J8392" s="24">
        <v>0.0</v>
      </c>
    </row>
    <row r="8393">
      <c r="A8393" s="24">
        <v>242.0</v>
      </c>
      <c r="B8393" s="24">
        <v>9.0</v>
      </c>
      <c r="C8393" s="44">
        <v>22.57</v>
      </c>
      <c r="D8393" s="46">
        <v>46010.0</v>
      </c>
      <c r="E8393" s="24">
        <v>2.51</v>
      </c>
      <c r="F8393" s="24">
        <v>93.26</v>
      </c>
      <c r="G8393" s="24">
        <v>3.72</v>
      </c>
      <c r="H8393" s="24" t="s">
        <v>6746</v>
      </c>
      <c r="I8393" s="24" t="s">
        <v>6650</v>
      </c>
      <c r="J8393" s="24">
        <v>0.0</v>
      </c>
    </row>
    <row r="8394">
      <c r="A8394" s="24">
        <v>74.0</v>
      </c>
      <c r="B8394" s="24">
        <v>0.0</v>
      </c>
      <c r="C8394" s="44">
        <v>11.69</v>
      </c>
      <c r="D8394" s="46">
        <v>46011.0</v>
      </c>
      <c r="E8394" s="24" t="s">
        <v>6650</v>
      </c>
      <c r="F8394" s="24">
        <v>157.97</v>
      </c>
      <c r="G8394" s="24">
        <v>0.0</v>
      </c>
      <c r="H8394" s="24" t="s">
        <v>6747</v>
      </c>
      <c r="I8394" s="24" t="s">
        <v>6650</v>
      </c>
      <c r="J8394" s="24">
        <v>0.0</v>
      </c>
    </row>
    <row r="8395">
      <c r="A8395" s="24">
        <v>124.0</v>
      </c>
      <c r="B8395" s="24">
        <v>4.0</v>
      </c>
      <c r="C8395" s="44">
        <v>14.39</v>
      </c>
      <c r="D8395" s="46">
        <v>46011.0</v>
      </c>
      <c r="E8395" s="24">
        <v>3.6</v>
      </c>
      <c r="F8395" s="24">
        <v>116.05</v>
      </c>
      <c r="G8395" s="24">
        <v>3.23</v>
      </c>
      <c r="H8395" s="24" t="s">
        <v>6746</v>
      </c>
      <c r="I8395" s="24" t="s">
        <v>6650</v>
      </c>
      <c r="J8395" s="24">
        <v>0.0</v>
      </c>
    </row>
    <row r="8396">
      <c r="A8396" s="24">
        <v>47.0</v>
      </c>
      <c r="B8396" s="24">
        <v>1.0</v>
      </c>
      <c r="C8396" s="44">
        <v>6.88</v>
      </c>
      <c r="D8396" s="46">
        <v>46012.0</v>
      </c>
      <c r="E8396" s="24">
        <v>6.88</v>
      </c>
      <c r="F8396" s="24">
        <v>146.38</v>
      </c>
      <c r="G8396" s="24">
        <v>2.13</v>
      </c>
      <c r="H8396" s="24" t="s">
        <v>6746</v>
      </c>
      <c r="I8396" s="24" t="s">
        <v>6650</v>
      </c>
      <c r="J8396" s="24">
        <v>0.0</v>
      </c>
    </row>
    <row r="8397">
      <c r="A8397" s="24">
        <v>61.0</v>
      </c>
      <c r="B8397" s="24">
        <v>0.0</v>
      </c>
      <c r="C8397" s="44">
        <v>7.7</v>
      </c>
      <c r="D8397" s="46">
        <v>46012.0</v>
      </c>
      <c r="E8397" s="24" t="s">
        <v>6650</v>
      </c>
      <c r="F8397" s="24">
        <v>126.23</v>
      </c>
      <c r="G8397" s="24">
        <v>0.0</v>
      </c>
      <c r="H8397" s="24" t="s">
        <v>6747</v>
      </c>
      <c r="I8397" s="24" t="s">
        <v>6650</v>
      </c>
      <c r="J8397" s="24">
        <v>0.0</v>
      </c>
    </row>
    <row r="8398">
      <c r="A8398" s="24">
        <v>90.0</v>
      </c>
      <c r="B8398" s="24">
        <v>1.0</v>
      </c>
      <c r="C8398" s="44">
        <v>9.92</v>
      </c>
      <c r="D8398" s="46">
        <v>46013.0</v>
      </c>
      <c r="E8398" s="24">
        <v>9.92</v>
      </c>
      <c r="F8398" s="24">
        <v>110.22</v>
      </c>
      <c r="G8398" s="24">
        <v>1.11</v>
      </c>
      <c r="H8398" s="24" t="s">
        <v>6747</v>
      </c>
      <c r="I8398" s="24" t="s">
        <v>6650</v>
      </c>
      <c r="J8398" s="24">
        <v>0.0</v>
      </c>
    </row>
    <row r="8399">
      <c r="A8399" s="24">
        <v>240.0</v>
      </c>
      <c r="B8399" s="24">
        <v>5.0</v>
      </c>
      <c r="C8399" s="44">
        <v>24.51</v>
      </c>
      <c r="D8399" s="46">
        <v>46013.0</v>
      </c>
      <c r="E8399" s="24">
        <v>4.9</v>
      </c>
      <c r="F8399" s="24">
        <v>102.13</v>
      </c>
      <c r="G8399" s="24">
        <v>2.08</v>
      </c>
      <c r="H8399" s="24" t="s">
        <v>6746</v>
      </c>
      <c r="I8399" s="24" t="s">
        <v>6650</v>
      </c>
      <c r="J8399" s="24">
        <v>0.0</v>
      </c>
    </row>
    <row r="8400">
      <c r="A8400" s="24">
        <v>382.0</v>
      </c>
      <c r="B8400" s="24">
        <v>5.0</v>
      </c>
      <c r="C8400" s="44">
        <v>25.5</v>
      </c>
      <c r="D8400" s="46">
        <v>46014.0</v>
      </c>
      <c r="E8400" s="24">
        <v>5.1</v>
      </c>
      <c r="F8400" s="24">
        <v>66.75</v>
      </c>
      <c r="G8400" s="24">
        <v>1.31</v>
      </c>
      <c r="H8400" s="24" t="s">
        <v>6746</v>
      </c>
      <c r="I8400" s="24" t="s">
        <v>6650</v>
      </c>
      <c r="J8400" s="24">
        <v>0.0</v>
      </c>
    </row>
    <row r="8401">
      <c r="A8401" s="24">
        <v>148.0</v>
      </c>
      <c r="B8401" s="24">
        <v>5.0</v>
      </c>
      <c r="C8401" s="44">
        <v>10.51</v>
      </c>
      <c r="D8401" s="46">
        <v>46015.0</v>
      </c>
      <c r="E8401" s="24">
        <v>2.1</v>
      </c>
      <c r="F8401" s="24">
        <v>71.01</v>
      </c>
      <c r="G8401" s="24">
        <v>3.38</v>
      </c>
      <c r="H8401" s="24" t="s">
        <v>6746</v>
      </c>
      <c r="I8401" s="24" t="s">
        <v>6650</v>
      </c>
      <c r="J8401" s="24">
        <v>0.0</v>
      </c>
    </row>
    <row r="8402">
      <c r="A8402" s="24">
        <v>0.0</v>
      </c>
      <c r="B8402" s="24">
        <v>0.0</v>
      </c>
      <c r="C8402" s="44">
        <v>102.52</v>
      </c>
      <c r="D8402" s="46">
        <v>46076.0</v>
      </c>
      <c r="E8402" s="24" t="s">
        <v>6650</v>
      </c>
      <c r="F8402" s="24" t="s">
        <v>6650</v>
      </c>
      <c r="G8402" s="24" t="s">
        <v>6650</v>
      </c>
      <c r="H8402" s="24" t="s">
        <v>6748</v>
      </c>
      <c r="I8402" s="24" t="s">
        <v>6650</v>
      </c>
      <c r="J8402" s="24">
        <v>0.0</v>
      </c>
    </row>
    <row r="8403">
      <c r="A8403" s="24">
        <v>391.0</v>
      </c>
      <c r="B8403" s="24">
        <v>15.0</v>
      </c>
      <c r="C8403" s="44">
        <v>46.43</v>
      </c>
      <c r="D8403" s="46">
        <v>46076.0</v>
      </c>
      <c r="E8403" s="24">
        <v>3.1</v>
      </c>
      <c r="F8403" s="24">
        <v>118.75</v>
      </c>
      <c r="G8403" s="24">
        <v>3.84</v>
      </c>
      <c r="H8403" s="24" t="s">
        <v>6749</v>
      </c>
      <c r="I8403" s="24" t="s">
        <v>6650</v>
      </c>
      <c r="J8403" s="24">
        <v>0.0</v>
      </c>
    </row>
    <row r="8404">
      <c r="A8404" s="24">
        <v>138.0</v>
      </c>
      <c r="B8404" s="24">
        <v>11.0</v>
      </c>
      <c r="C8404" s="44">
        <v>34.97</v>
      </c>
      <c r="D8404" s="46">
        <v>46077.0</v>
      </c>
      <c r="E8404" s="24">
        <v>3.18</v>
      </c>
      <c r="F8404" s="24">
        <v>253.41</v>
      </c>
      <c r="G8404" s="24">
        <v>7.97</v>
      </c>
      <c r="H8404" s="24" t="s">
        <v>6750</v>
      </c>
      <c r="I8404" s="24" t="s">
        <v>6650</v>
      </c>
      <c r="J8404" s="24">
        <v>0.0</v>
      </c>
    </row>
    <row r="8405">
      <c r="A8405" s="24">
        <v>0.0</v>
      </c>
      <c r="B8405" s="24">
        <v>0.0</v>
      </c>
      <c r="C8405" s="44">
        <v>86.24</v>
      </c>
      <c r="D8405" s="46">
        <v>46077.0</v>
      </c>
      <c r="E8405" s="24" t="s">
        <v>6650</v>
      </c>
      <c r="F8405" s="24" t="s">
        <v>6650</v>
      </c>
      <c r="G8405" s="24" t="s">
        <v>6650</v>
      </c>
      <c r="H8405" s="24" t="s">
        <v>6748</v>
      </c>
      <c r="I8405" s="24" t="s">
        <v>6650</v>
      </c>
      <c r="J8405" s="24">
        <v>0.0</v>
      </c>
    </row>
    <row r="8406">
      <c r="A8406" s="24">
        <v>376.0</v>
      </c>
      <c r="B8406" s="24">
        <v>20.0</v>
      </c>
      <c r="C8406" s="44">
        <v>54.65</v>
      </c>
      <c r="D8406" s="46">
        <v>46077.0</v>
      </c>
      <c r="E8406" s="24">
        <v>2.73</v>
      </c>
      <c r="F8406" s="24">
        <v>145.35</v>
      </c>
      <c r="G8406" s="24">
        <v>5.32</v>
      </c>
      <c r="H8406" s="24" t="s">
        <v>6749</v>
      </c>
      <c r="I8406" s="24" t="s">
        <v>6650</v>
      </c>
      <c r="J8406" s="24">
        <v>0.0</v>
      </c>
    </row>
    <row r="8407">
      <c r="A8407" s="24">
        <v>98.0</v>
      </c>
      <c r="B8407" s="24">
        <v>8.0</v>
      </c>
      <c r="C8407" s="44">
        <v>23.84</v>
      </c>
      <c r="D8407" s="46">
        <v>46078.0</v>
      </c>
      <c r="E8407" s="24">
        <v>2.98</v>
      </c>
      <c r="F8407" s="24">
        <v>243.27</v>
      </c>
      <c r="G8407" s="24">
        <v>8.16</v>
      </c>
      <c r="H8407" s="24" t="s">
        <v>6750</v>
      </c>
      <c r="I8407" s="24" t="s">
        <v>6650</v>
      </c>
      <c r="J8407" s="24">
        <v>0.0</v>
      </c>
    </row>
    <row r="8408">
      <c r="A8408" s="24">
        <v>0.0</v>
      </c>
      <c r="B8408" s="24">
        <v>0.0</v>
      </c>
      <c r="C8408" s="44">
        <v>104.89</v>
      </c>
      <c r="D8408" s="46">
        <v>46078.0</v>
      </c>
      <c r="E8408" s="24" t="s">
        <v>6650</v>
      </c>
      <c r="F8408" s="24" t="s">
        <v>6650</v>
      </c>
      <c r="G8408" s="24" t="s">
        <v>6650</v>
      </c>
      <c r="H8408" s="24" t="s">
        <v>6748</v>
      </c>
      <c r="I8408" s="24" t="s">
        <v>6650</v>
      </c>
      <c r="J8408" s="24">
        <v>0.0</v>
      </c>
    </row>
    <row r="8409">
      <c r="A8409" s="24">
        <v>629.0</v>
      </c>
      <c r="B8409" s="24">
        <v>26.0</v>
      </c>
      <c r="C8409" s="44">
        <v>64.35</v>
      </c>
      <c r="D8409" s="46">
        <v>46078.0</v>
      </c>
      <c r="E8409" s="24">
        <v>2.47</v>
      </c>
      <c r="F8409" s="24">
        <v>102.31</v>
      </c>
      <c r="G8409" s="24">
        <v>4.13</v>
      </c>
      <c r="H8409" s="24" t="s">
        <v>6749</v>
      </c>
      <c r="I8409" s="24" t="s">
        <v>6650</v>
      </c>
      <c r="J8409" s="24">
        <v>0.0</v>
      </c>
    </row>
    <row r="8410">
      <c r="A8410" s="24">
        <v>0.0</v>
      </c>
      <c r="B8410" s="24">
        <v>0.0</v>
      </c>
      <c r="C8410" s="44">
        <v>106.75</v>
      </c>
      <c r="D8410" s="46">
        <v>46079.0</v>
      </c>
      <c r="E8410" s="24" t="s">
        <v>6650</v>
      </c>
      <c r="F8410" s="24" t="s">
        <v>6650</v>
      </c>
      <c r="G8410" s="24" t="s">
        <v>6650</v>
      </c>
      <c r="H8410" s="24" t="s">
        <v>6748</v>
      </c>
      <c r="I8410" s="24" t="s">
        <v>6650</v>
      </c>
      <c r="J8410" s="24">
        <v>1.0</v>
      </c>
    </row>
    <row r="8411">
      <c r="A8411" s="24">
        <v>613.0</v>
      </c>
      <c r="B8411" s="24">
        <v>28.0</v>
      </c>
      <c r="C8411" s="44">
        <v>59.85</v>
      </c>
      <c r="D8411" s="46">
        <v>46079.0</v>
      </c>
      <c r="E8411" s="24">
        <v>2.14</v>
      </c>
      <c r="F8411" s="24">
        <v>97.63</v>
      </c>
      <c r="G8411" s="24">
        <v>4.57</v>
      </c>
      <c r="H8411" s="24" t="s">
        <v>6749</v>
      </c>
      <c r="I8411" s="24">
        <v>59.85</v>
      </c>
      <c r="J8411" s="24">
        <v>0.0</v>
      </c>
    </row>
    <row r="8412">
      <c r="A8412" s="24">
        <v>448.0</v>
      </c>
      <c r="B8412" s="24">
        <v>12.0</v>
      </c>
      <c r="C8412" s="44">
        <v>33.49</v>
      </c>
      <c r="D8412" s="46">
        <v>46079.0</v>
      </c>
      <c r="E8412" s="24">
        <v>2.79</v>
      </c>
      <c r="F8412" s="24">
        <v>74.75</v>
      </c>
      <c r="G8412" s="24">
        <v>2.68</v>
      </c>
      <c r="H8412" s="24" t="s">
        <v>6750</v>
      </c>
      <c r="I8412" s="24">
        <v>33.49</v>
      </c>
      <c r="J8412" s="24">
        <v>0.0</v>
      </c>
    </row>
    <row r="8413">
      <c r="A8413" s="24">
        <v>1920.0</v>
      </c>
      <c r="B8413" s="24">
        <v>262.0</v>
      </c>
      <c r="C8413" s="44">
        <v>59.48</v>
      </c>
      <c r="D8413" s="46">
        <v>46080.0</v>
      </c>
      <c r="E8413" s="24">
        <v>0.23</v>
      </c>
      <c r="F8413" s="24">
        <v>30.98</v>
      </c>
      <c r="G8413" s="24">
        <v>13.65</v>
      </c>
      <c r="H8413" s="24" t="s">
        <v>6750</v>
      </c>
      <c r="I8413" s="24">
        <v>19.83</v>
      </c>
      <c r="J8413" s="24">
        <v>0.0</v>
      </c>
    </row>
    <row r="8414">
      <c r="A8414" s="24">
        <v>487.0</v>
      </c>
      <c r="B8414" s="24">
        <v>22.0</v>
      </c>
      <c r="C8414" s="44">
        <v>55.04</v>
      </c>
      <c r="D8414" s="46">
        <v>46080.0</v>
      </c>
      <c r="E8414" s="24">
        <v>2.5</v>
      </c>
      <c r="F8414" s="24">
        <v>113.02</v>
      </c>
      <c r="G8414" s="24">
        <v>4.52</v>
      </c>
      <c r="H8414" s="24" t="s">
        <v>6749</v>
      </c>
      <c r="I8414" s="24">
        <v>27.52</v>
      </c>
      <c r="J8414" s="24">
        <v>0.0</v>
      </c>
    </row>
    <row r="8415">
      <c r="A8415" s="24">
        <v>0.0</v>
      </c>
      <c r="B8415" s="24">
        <v>0.0</v>
      </c>
      <c r="C8415" s="44">
        <v>76.97</v>
      </c>
      <c r="D8415" s="46">
        <v>46080.0</v>
      </c>
      <c r="E8415" s="24" t="s">
        <v>6650</v>
      </c>
      <c r="F8415" s="24" t="s">
        <v>6650</v>
      </c>
      <c r="G8415" s="24" t="s">
        <v>6650</v>
      </c>
      <c r="H8415" s="24" t="s">
        <v>6748</v>
      </c>
      <c r="I8415" s="24" t="s">
        <v>6650</v>
      </c>
      <c r="J8415" s="24">
        <v>0.0</v>
      </c>
    </row>
    <row r="8416">
      <c r="A8416" s="24">
        <v>447.0</v>
      </c>
      <c r="B8416" s="24">
        <v>20.0</v>
      </c>
      <c r="C8416" s="44">
        <v>39.2</v>
      </c>
      <c r="D8416" s="46">
        <v>46081.0</v>
      </c>
      <c r="E8416" s="24">
        <v>1.96</v>
      </c>
      <c r="F8416" s="24">
        <v>87.7</v>
      </c>
      <c r="G8416" s="24">
        <v>4.47</v>
      </c>
      <c r="H8416" s="24" t="s">
        <v>6749</v>
      </c>
      <c r="I8416" s="24">
        <v>19.6</v>
      </c>
      <c r="J8416" s="24">
        <v>0.0</v>
      </c>
    </row>
    <row r="8417">
      <c r="A8417" s="24">
        <v>416.0</v>
      </c>
      <c r="B8417" s="24">
        <v>52.0</v>
      </c>
      <c r="C8417" s="44">
        <v>45.23</v>
      </c>
      <c r="D8417" s="46">
        <v>46081.0</v>
      </c>
      <c r="E8417" s="24">
        <v>0.87</v>
      </c>
      <c r="F8417" s="24">
        <v>108.73</v>
      </c>
      <c r="G8417" s="24">
        <v>12.5</v>
      </c>
      <c r="H8417" s="24" t="s">
        <v>6750</v>
      </c>
      <c r="I8417" s="24" t="s">
        <v>6650</v>
      </c>
      <c r="J8417" s="24">
        <v>0.0</v>
      </c>
    </row>
    <row r="8418">
      <c r="A8418" s="24">
        <v>0.0</v>
      </c>
      <c r="B8418" s="24">
        <v>0.0</v>
      </c>
      <c r="C8418" s="44">
        <v>49.15</v>
      </c>
      <c r="D8418" s="46">
        <v>46081.0</v>
      </c>
      <c r="E8418" s="24" t="s">
        <v>6650</v>
      </c>
      <c r="F8418" s="24" t="s">
        <v>6650</v>
      </c>
      <c r="G8418" s="24" t="s">
        <v>6650</v>
      </c>
      <c r="H8418" s="24" t="s">
        <v>6748</v>
      </c>
      <c r="I8418" s="24" t="s">
        <v>6650</v>
      </c>
      <c r="J8418" s="24">
        <v>0.0</v>
      </c>
    </row>
    <row r="8419">
      <c r="A8419" s="24">
        <v>485.0</v>
      </c>
      <c r="B8419" s="24">
        <v>61.0</v>
      </c>
      <c r="C8419" s="44">
        <v>70.79</v>
      </c>
      <c r="D8419" s="46">
        <v>46082.0</v>
      </c>
      <c r="E8419" s="24">
        <v>1.16</v>
      </c>
      <c r="F8419" s="24">
        <v>145.96</v>
      </c>
      <c r="G8419" s="24">
        <v>12.58</v>
      </c>
      <c r="H8419" s="24" t="s">
        <v>6750</v>
      </c>
      <c r="I8419" s="24">
        <v>70.79</v>
      </c>
      <c r="J8419" s="24">
        <v>0.0</v>
      </c>
    </row>
    <row r="8420">
      <c r="A8420" s="24">
        <v>0.0</v>
      </c>
      <c r="B8420" s="24">
        <v>0.0</v>
      </c>
      <c r="C8420" s="44">
        <v>47.53</v>
      </c>
      <c r="D8420" s="46">
        <v>46082.0</v>
      </c>
      <c r="E8420" s="24" t="s">
        <v>6650</v>
      </c>
      <c r="F8420" s="24" t="s">
        <v>6650</v>
      </c>
      <c r="G8420" s="24" t="s">
        <v>6650</v>
      </c>
      <c r="H8420" s="24" t="s">
        <v>6748</v>
      </c>
      <c r="I8420" s="24" t="s">
        <v>6650</v>
      </c>
      <c r="J8420" s="24">
        <v>0.0</v>
      </c>
    </row>
    <row r="8421">
      <c r="A8421" s="24">
        <v>228.0</v>
      </c>
      <c r="B8421" s="24">
        <v>13.0</v>
      </c>
      <c r="C8421" s="44">
        <v>28.46</v>
      </c>
      <c r="D8421" s="46">
        <v>46082.0</v>
      </c>
      <c r="E8421" s="24">
        <v>2.19</v>
      </c>
      <c r="F8421" s="24">
        <v>124.82</v>
      </c>
      <c r="G8421" s="24">
        <v>5.7</v>
      </c>
      <c r="H8421" s="24" t="s">
        <v>6749</v>
      </c>
      <c r="I8421" s="24">
        <v>28.46</v>
      </c>
      <c r="J8421" s="24">
        <v>0.0</v>
      </c>
    </row>
    <row r="8422">
      <c r="A8422" s="24">
        <v>493.0</v>
      </c>
      <c r="B8422" s="24">
        <v>32.0</v>
      </c>
      <c r="C8422" s="44">
        <v>46.93</v>
      </c>
      <c r="D8422" s="46">
        <v>46083.0</v>
      </c>
      <c r="E8422" s="24">
        <v>1.47</v>
      </c>
      <c r="F8422" s="24">
        <v>95.19</v>
      </c>
      <c r="G8422" s="24">
        <v>6.49</v>
      </c>
      <c r="H8422" s="24" t="s">
        <v>6749</v>
      </c>
      <c r="I8422" s="24">
        <v>11.73</v>
      </c>
      <c r="J8422" s="24">
        <v>0.0</v>
      </c>
    </row>
    <row r="8423">
      <c r="A8423" s="24">
        <v>2083.0</v>
      </c>
      <c r="B8423" s="24">
        <v>192.0</v>
      </c>
      <c r="C8423" s="44">
        <v>41.22</v>
      </c>
      <c r="D8423" s="46">
        <v>46083.0</v>
      </c>
      <c r="E8423" s="24">
        <v>0.21</v>
      </c>
      <c r="F8423" s="24">
        <v>19.79</v>
      </c>
      <c r="G8423" s="24">
        <v>9.22</v>
      </c>
      <c r="H8423" s="24" t="s">
        <v>6750</v>
      </c>
      <c r="I8423" s="24">
        <v>5.15</v>
      </c>
      <c r="J8423" s="24">
        <v>0.0</v>
      </c>
    </row>
    <row r="8424">
      <c r="A8424" s="24">
        <v>0.0</v>
      </c>
      <c r="B8424" s="24">
        <v>0.0</v>
      </c>
      <c r="C8424" s="44">
        <v>103.93</v>
      </c>
      <c r="D8424" s="46">
        <v>46083.0</v>
      </c>
      <c r="E8424" s="24" t="s">
        <v>6650</v>
      </c>
      <c r="F8424" s="24" t="s">
        <v>6650</v>
      </c>
      <c r="G8424" s="24" t="s">
        <v>6650</v>
      </c>
      <c r="H8424" s="24" t="s">
        <v>6748</v>
      </c>
      <c r="I8424" s="24">
        <v>103.93</v>
      </c>
      <c r="J8424" s="24">
        <v>0.0</v>
      </c>
    </row>
    <row r="8425">
      <c r="A8425" s="24">
        <v>763.0</v>
      </c>
      <c r="B8425" s="24">
        <v>43.0</v>
      </c>
      <c r="C8425" s="44">
        <v>57.61</v>
      </c>
      <c r="D8425" s="46">
        <v>46084.0</v>
      </c>
      <c r="E8425" s="24">
        <v>1.34</v>
      </c>
      <c r="F8425" s="24">
        <v>75.5</v>
      </c>
      <c r="G8425" s="24">
        <v>5.64</v>
      </c>
      <c r="H8425" s="24" t="s">
        <v>6749</v>
      </c>
      <c r="I8425" s="24">
        <v>57.61</v>
      </c>
      <c r="J8425" s="24">
        <v>0.0</v>
      </c>
    </row>
    <row r="8426">
      <c r="A8426" s="24">
        <v>1806.0</v>
      </c>
      <c r="B8426" s="24">
        <v>195.0</v>
      </c>
      <c r="C8426" s="44">
        <v>53.8</v>
      </c>
      <c r="D8426" s="46">
        <v>46084.0</v>
      </c>
      <c r="E8426" s="24">
        <v>0.28</v>
      </c>
      <c r="F8426" s="24">
        <v>29.79</v>
      </c>
      <c r="G8426" s="24">
        <v>10.8</v>
      </c>
      <c r="H8426" s="24" t="s">
        <v>6750</v>
      </c>
      <c r="I8426" s="24">
        <v>53.8</v>
      </c>
      <c r="J8426" s="24">
        <v>0.0</v>
      </c>
    </row>
    <row r="8427">
      <c r="A8427" s="24">
        <v>0.0</v>
      </c>
      <c r="B8427" s="24">
        <v>0.0</v>
      </c>
      <c r="C8427" s="44">
        <v>87.37</v>
      </c>
      <c r="D8427" s="46">
        <v>46084.0</v>
      </c>
      <c r="E8427" s="24" t="s">
        <v>6650</v>
      </c>
      <c r="F8427" s="24" t="s">
        <v>6650</v>
      </c>
      <c r="G8427" s="24" t="s">
        <v>6650</v>
      </c>
      <c r="H8427" s="24" t="s">
        <v>6748</v>
      </c>
      <c r="I8427" s="24">
        <v>87.37</v>
      </c>
      <c r="J8427" s="24">
        <v>0.0</v>
      </c>
    </row>
    <row r="8428">
      <c r="A8428" s="24">
        <v>665.0</v>
      </c>
      <c r="B8428" s="24">
        <v>75.0</v>
      </c>
      <c r="C8428" s="44">
        <v>52.12</v>
      </c>
      <c r="D8428" s="46">
        <v>46085.0</v>
      </c>
      <c r="E8428" s="24">
        <v>0.69</v>
      </c>
      <c r="F8428" s="24">
        <v>78.38</v>
      </c>
      <c r="G8428" s="24">
        <v>11.28</v>
      </c>
      <c r="H8428" s="24" t="s">
        <v>6750</v>
      </c>
      <c r="I8428" s="24">
        <v>17.37</v>
      </c>
      <c r="J8428" s="24">
        <v>0.0</v>
      </c>
    </row>
    <row r="8429">
      <c r="A8429" s="24">
        <v>1073.0</v>
      </c>
      <c r="B8429" s="24">
        <v>45.0</v>
      </c>
      <c r="C8429" s="44">
        <v>57.75</v>
      </c>
      <c r="D8429" s="46">
        <v>46085.0</v>
      </c>
      <c r="E8429" s="24">
        <v>1.28</v>
      </c>
      <c r="F8429" s="24">
        <v>53.82</v>
      </c>
      <c r="G8429" s="24">
        <v>4.19</v>
      </c>
      <c r="H8429" s="24" t="s">
        <v>6749</v>
      </c>
      <c r="I8429" s="24">
        <v>28.88</v>
      </c>
      <c r="J8429" s="24">
        <v>0.0</v>
      </c>
    </row>
    <row r="8430">
      <c r="A8430" s="24">
        <v>0.0</v>
      </c>
      <c r="B8430" s="24">
        <v>0.0</v>
      </c>
      <c r="C8430" s="44">
        <v>107.53</v>
      </c>
      <c r="D8430" s="46">
        <v>46085.0</v>
      </c>
      <c r="E8430" s="24" t="s">
        <v>6650</v>
      </c>
      <c r="F8430" s="24" t="s">
        <v>6650</v>
      </c>
      <c r="G8430" s="24" t="s">
        <v>6650</v>
      </c>
      <c r="H8430" s="24" t="s">
        <v>6748</v>
      </c>
      <c r="I8430" s="24" t="s">
        <v>6650</v>
      </c>
      <c r="J8430" s="24">
        <v>0.0</v>
      </c>
    </row>
    <row r="8431">
      <c r="A8431" s="24">
        <v>1446.0</v>
      </c>
      <c r="B8431" s="24">
        <v>144.0</v>
      </c>
      <c r="C8431" s="44">
        <v>50.53</v>
      </c>
      <c r="D8431" s="46">
        <v>46086.0</v>
      </c>
      <c r="E8431" s="24">
        <v>0.35</v>
      </c>
      <c r="F8431" s="24">
        <v>34.94</v>
      </c>
      <c r="G8431" s="24">
        <v>9.96</v>
      </c>
      <c r="H8431" s="24" t="s">
        <v>6750</v>
      </c>
      <c r="I8431" s="24">
        <v>12.63</v>
      </c>
      <c r="J8431" s="24">
        <v>0.0</v>
      </c>
    </row>
    <row r="8432">
      <c r="A8432" s="24">
        <v>0.0</v>
      </c>
      <c r="B8432" s="24">
        <v>0.0</v>
      </c>
      <c r="C8432" s="44">
        <v>11.36</v>
      </c>
      <c r="D8432" s="46">
        <v>46086.0</v>
      </c>
      <c r="E8432" s="24" t="s">
        <v>6650</v>
      </c>
      <c r="F8432" s="24" t="s">
        <v>6650</v>
      </c>
      <c r="G8432" s="24" t="s">
        <v>6650</v>
      </c>
      <c r="H8432" s="24" t="s">
        <v>6748</v>
      </c>
      <c r="I8432" s="24" t="s">
        <v>6650</v>
      </c>
      <c r="J8432" s="24">
        <v>0.0</v>
      </c>
    </row>
    <row r="8433">
      <c r="A8433" s="24">
        <v>853.0</v>
      </c>
      <c r="B8433" s="24">
        <v>31.0</v>
      </c>
      <c r="C8433" s="44">
        <v>56.39</v>
      </c>
      <c r="D8433" s="46">
        <v>46086.0</v>
      </c>
      <c r="E8433" s="24">
        <v>1.82</v>
      </c>
      <c r="F8433" s="24">
        <v>66.11</v>
      </c>
      <c r="G8433" s="24">
        <v>3.63</v>
      </c>
      <c r="H8433" s="24" t="s">
        <v>6749</v>
      </c>
      <c r="I8433" s="24">
        <v>56.39</v>
      </c>
      <c r="J8433" s="24">
        <v>0.0</v>
      </c>
    </row>
    <row r="8434">
      <c r="A8434" s="24">
        <v>633.0</v>
      </c>
      <c r="B8434" s="24">
        <v>40.0</v>
      </c>
      <c r="C8434" s="44">
        <v>58.08</v>
      </c>
      <c r="D8434" s="46">
        <v>46087.0</v>
      </c>
      <c r="E8434" s="24">
        <v>1.45</v>
      </c>
      <c r="F8434" s="24">
        <v>91.75</v>
      </c>
      <c r="G8434" s="24">
        <v>6.32</v>
      </c>
      <c r="H8434" s="24" t="s">
        <v>6749</v>
      </c>
      <c r="I8434" s="24">
        <v>19.36</v>
      </c>
      <c r="J8434" s="24">
        <v>0.0</v>
      </c>
    </row>
    <row r="8435">
      <c r="A8435" s="24">
        <v>1371.0</v>
      </c>
      <c r="B8435" s="24">
        <v>104.0</v>
      </c>
      <c r="C8435" s="44">
        <v>54.87</v>
      </c>
      <c r="D8435" s="46">
        <v>46087.0</v>
      </c>
      <c r="E8435" s="24">
        <v>0.53</v>
      </c>
      <c r="F8435" s="24">
        <v>40.02</v>
      </c>
      <c r="G8435" s="24">
        <v>7.59</v>
      </c>
      <c r="H8435" s="24" t="s">
        <v>6750</v>
      </c>
      <c r="I8435" s="24">
        <v>13.72</v>
      </c>
      <c r="J8435" s="24">
        <v>0.0</v>
      </c>
    </row>
    <row r="8436">
      <c r="A8436" s="24">
        <v>0.0</v>
      </c>
      <c r="B8436" s="24">
        <v>0.0</v>
      </c>
      <c r="C8436" s="44">
        <v>0.0</v>
      </c>
      <c r="D8436" s="46">
        <v>46088.0</v>
      </c>
      <c r="E8436" s="24" t="s">
        <v>6650</v>
      </c>
      <c r="F8436" s="24" t="s">
        <v>6650</v>
      </c>
      <c r="G8436" s="24" t="s">
        <v>6650</v>
      </c>
      <c r="H8436" s="24" t="s">
        <v>6748</v>
      </c>
      <c r="I8436" s="24">
        <v>0.0</v>
      </c>
      <c r="J8436" s="24">
        <v>1.0</v>
      </c>
    </row>
    <row r="8437">
      <c r="A8437" s="24">
        <v>1012.0</v>
      </c>
      <c r="B8437" s="24">
        <v>78.0</v>
      </c>
      <c r="C8437" s="44">
        <v>45.08</v>
      </c>
      <c r="D8437" s="46">
        <v>46088.0</v>
      </c>
      <c r="E8437" s="24">
        <v>0.58</v>
      </c>
      <c r="F8437" s="24">
        <v>44.55</v>
      </c>
      <c r="G8437" s="24">
        <v>7.71</v>
      </c>
      <c r="H8437" s="24" t="s">
        <v>6750</v>
      </c>
      <c r="I8437" s="24">
        <v>45.08</v>
      </c>
      <c r="J8437" s="24">
        <v>0.0</v>
      </c>
    </row>
    <row r="8438">
      <c r="A8438" s="24">
        <v>624.0</v>
      </c>
      <c r="B8438" s="24">
        <v>36.0</v>
      </c>
      <c r="C8438" s="44">
        <v>41.55</v>
      </c>
      <c r="D8438" s="46">
        <v>46088.0</v>
      </c>
      <c r="E8438" s="24">
        <v>1.15</v>
      </c>
      <c r="F8438" s="24">
        <v>66.59</v>
      </c>
      <c r="G8438" s="24">
        <v>5.77</v>
      </c>
      <c r="H8438" s="24" t="s">
        <v>6749</v>
      </c>
      <c r="I8438" s="24">
        <v>41.55</v>
      </c>
      <c r="J8438" s="24">
        <v>0.0</v>
      </c>
    </row>
    <row r="8439">
      <c r="A8439" s="24">
        <v>278.0</v>
      </c>
      <c r="B8439" s="24">
        <v>17.0</v>
      </c>
      <c r="C8439" s="44">
        <v>30.23</v>
      </c>
      <c r="D8439" s="46">
        <v>46089.0</v>
      </c>
      <c r="E8439" s="24">
        <v>1.78</v>
      </c>
      <c r="F8439" s="24">
        <v>108.74</v>
      </c>
      <c r="G8439" s="24">
        <v>6.12</v>
      </c>
      <c r="H8439" s="24" t="s">
        <v>6749</v>
      </c>
      <c r="I8439" s="24" t="s">
        <v>6650</v>
      </c>
      <c r="J8439" s="24">
        <v>0.0</v>
      </c>
    </row>
    <row r="8440">
      <c r="A8440" s="24">
        <v>1094.0</v>
      </c>
      <c r="B8440" s="24">
        <v>94.0</v>
      </c>
      <c r="C8440" s="44">
        <v>38.18</v>
      </c>
      <c r="D8440" s="46">
        <v>46089.0</v>
      </c>
      <c r="E8440" s="24">
        <v>0.41</v>
      </c>
      <c r="F8440" s="24">
        <v>34.9</v>
      </c>
      <c r="G8440" s="24">
        <v>8.59</v>
      </c>
      <c r="H8440" s="24" t="s">
        <v>6750</v>
      </c>
      <c r="I8440" s="24">
        <v>12.73</v>
      </c>
      <c r="J8440" s="24">
        <v>0.0</v>
      </c>
    </row>
    <row r="8441">
      <c r="A8441" s="24">
        <v>0.0</v>
      </c>
      <c r="B8441" s="24">
        <v>0.0</v>
      </c>
      <c r="C8441" s="44">
        <v>55.85</v>
      </c>
      <c r="D8441" s="46">
        <v>46090.0</v>
      </c>
      <c r="E8441" s="24" t="s">
        <v>6650</v>
      </c>
      <c r="F8441" s="24" t="s">
        <v>6650</v>
      </c>
      <c r="G8441" s="24" t="s">
        <v>6650</v>
      </c>
      <c r="H8441" s="24" t="s">
        <v>6751</v>
      </c>
      <c r="I8441" s="24" t="s">
        <v>6650</v>
      </c>
      <c r="J8441" s="24">
        <v>0.0</v>
      </c>
    </row>
    <row r="8442">
      <c r="A8442" s="24">
        <v>1301.0</v>
      </c>
      <c r="B8442" s="24">
        <v>58.0</v>
      </c>
      <c r="C8442" s="44">
        <v>52.63</v>
      </c>
      <c r="D8442" s="46">
        <v>46090.0</v>
      </c>
      <c r="E8442" s="24">
        <v>0.91</v>
      </c>
      <c r="F8442" s="24">
        <v>40.45</v>
      </c>
      <c r="G8442" s="24">
        <v>4.46</v>
      </c>
      <c r="H8442" s="24" t="s">
        <v>6749</v>
      </c>
      <c r="I8442" s="24">
        <v>52.63</v>
      </c>
      <c r="J8442" s="24">
        <v>0.0</v>
      </c>
    </row>
    <row r="8443">
      <c r="A8443" s="24">
        <v>0.0</v>
      </c>
      <c r="B8443" s="24">
        <v>0.0</v>
      </c>
      <c r="C8443" s="44">
        <v>26.03</v>
      </c>
      <c r="D8443" s="46">
        <v>46090.0</v>
      </c>
      <c r="E8443" s="24" t="s">
        <v>6650</v>
      </c>
      <c r="F8443" s="24" t="s">
        <v>6650</v>
      </c>
      <c r="G8443" s="24" t="s">
        <v>6650</v>
      </c>
      <c r="H8443" s="24" t="s">
        <v>6752</v>
      </c>
      <c r="I8443" s="24" t="s">
        <v>6650</v>
      </c>
      <c r="J8443" s="24">
        <v>0.0</v>
      </c>
    </row>
    <row r="8444">
      <c r="A8444" s="24">
        <v>2016.0</v>
      </c>
      <c r="B8444" s="24">
        <v>150.0</v>
      </c>
      <c r="C8444" s="44">
        <v>44.65</v>
      </c>
      <c r="D8444" s="46">
        <v>46090.0</v>
      </c>
      <c r="E8444" s="24">
        <v>0.3</v>
      </c>
      <c r="F8444" s="24">
        <v>22.15</v>
      </c>
      <c r="G8444" s="24">
        <v>7.44</v>
      </c>
      <c r="H8444" s="24" t="s">
        <v>6750</v>
      </c>
      <c r="I8444" s="24">
        <v>22.32</v>
      </c>
      <c r="J8444" s="24">
        <v>0.0</v>
      </c>
    </row>
    <row r="8445">
      <c r="A8445" s="24">
        <v>0.0</v>
      </c>
      <c r="B8445" s="24">
        <v>0.0</v>
      </c>
      <c r="C8445" s="44"/>
      <c r="D8445" s="46">
        <v>46090.0</v>
      </c>
      <c r="E8445" s="24" t="s">
        <v>6650</v>
      </c>
      <c r="F8445" s="24" t="s">
        <v>6650</v>
      </c>
      <c r="G8445" s="24" t="s">
        <v>6650</v>
      </c>
      <c r="H8445" s="24" t="s">
        <v>6748</v>
      </c>
      <c r="I8445" s="24" t="s">
        <v>6650</v>
      </c>
      <c r="J8445" s="24"/>
    </row>
    <row r="8446">
      <c r="A8446" s="24">
        <v>0.0</v>
      </c>
      <c r="B8446" s="24">
        <v>0.0</v>
      </c>
      <c r="C8446" s="44">
        <v>63.24</v>
      </c>
      <c r="D8446" s="46">
        <v>46091.0</v>
      </c>
      <c r="E8446" s="24" t="s">
        <v>6650</v>
      </c>
      <c r="F8446" s="24" t="s">
        <v>6650</v>
      </c>
      <c r="G8446" s="24" t="s">
        <v>6650</v>
      </c>
      <c r="H8446" s="24" t="s">
        <v>6751</v>
      </c>
      <c r="I8446" s="24" t="s">
        <v>6650</v>
      </c>
      <c r="J8446" s="24">
        <v>0.0</v>
      </c>
    </row>
    <row r="8447">
      <c r="A8447" s="24">
        <v>2441.0</v>
      </c>
      <c r="B8447" s="24">
        <v>179.0</v>
      </c>
      <c r="C8447" s="44">
        <v>41.72</v>
      </c>
      <c r="D8447" s="46">
        <v>46091.0</v>
      </c>
      <c r="E8447" s="24">
        <v>0.23</v>
      </c>
      <c r="F8447" s="24">
        <v>17.09</v>
      </c>
      <c r="G8447" s="24">
        <v>7.33</v>
      </c>
      <c r="H8447" s="24" t="s">
        <v>6750</v>
      </c>
      <c r="I8447" s="24">
        <v>20.86</v>
      </c>
      <c r="J8447" s="24">
        <v>0.0</v>
      </c>
    </row>
    <row r="8448">
      <c r="A8448" s="24">
        <v>0.0</v>
      </c>
      <c r="B8448" s="24">
        <v>0.0</v>
      </c>
      <c r="C8448" s="44">
        <v>57.29</v>
      </c>
      <c r="D8448" s="46">
        <v>46091.0</v>
      </c>
      <c r="E8448" s="24" t="s">
        <v>6650</v>
      </c>
      <c r="F8448" s="24" t="s">
        <v>6650</v>
      </c>
      <c r="G8448" s="24" t="s">
        <v>6650</v>
      </c>
      <c r="H8448" s="24" t="s">
        <v>6752</v>
      </c>
      <c r="I8448" s="24" t="s">
        <v>6650</v>
      </c>
      <c r="J8448" s="24">
        <v>0.0</v>
      </c>
    </row>
    <row r="8449">
      <c r="A8449" s="24">
        <v>1033.0</v>
      </c>
      <c r="B8449" s="24">
        <v>44.0</v>
      </c>
      <c r="C8449" s="44">
        <v>54.12</v>
      </c>
      <c r="D8449" s="46">
        <v>46091.0</v>
      </c>
      <c r="E8449" s="24">
        <v>1.23</v>
      </c>
      <c r="F8449" s="24">
        <v>52.39</v>
      </c>
      <c r="G8449" s="24">
        <v>4.26</v>
      </c>
      <c r="H8449" s="24" t="s">
        <v>6749</v>
      </c>
      <c r="I8449" s="24" t="s">
        <v>6650</v>
      </c>
      <c r="J8449" s="24">
        <v>0.0</v>
      </c>
    </row>
    <row r="8450">
      <c r="A8450" s="24">
        <v>0.0</v>
      </c>
      <c r="B8450" s="24">
        <v>0.0</v>
      </c>
      <c r="C8450" s="44">
        <v>46.95</v>
      </c>
      <c r="D8450" s="46">
        <v>46092.0</v>
      </c>
      <c r="E8450" s="24" t="s">
        <v>6650</v>
      </c>
      <c r="F8450" s="24" t="s">
        <v>6650</v>
      </c>
      <c r="G8450" s="24" t="s">
        <v>6650</v>
      </c>
      <c r="H8450" s="24" t="s">
        <v>6752</v>
      </c>
      <c r="I8450" s="24" t="s">
        <v>6650</v>
      </c>
      <c r="J8450" s="24">
        <v>0.0</v>
      </c>
    </row>
    <row r="8451">
      <c r="A8451" s="24">
        <v>0.0</v>
      </c>
      <c r="B8451" s="24">
        <v>0.0</v>
      </c>
      <c r="C8451" s="44">
        <v>63.26</v>
      </c>
      <c r="D8451" s="46">
        <v>46092.0</v>
      </c>
      <c r="E8451" s="24" t="s">
        <v>6650</v>
      </c>
      <c r="F8451" s="24" t="s">
        <v>6650</v>
      </c>
      <c r="G8451" s="24" t="s">
        <v>6650</v>
      </c>
      <c r="H8451" s="24" t="s">
        <v>6751</v>
      </c>
      <c r="I8451" s="24" t="s">
        <v>6650</v>
      </c>
      <c r="J8451" s="24">
        <v>0.0</v>
      </c>
    </row>
    <row r="8452">
      <c r="A8452" s="24">
        <v>1737.0</v>
      </c>
      <c r="B8452" s="24">
        <v>81.0</v>
      </c>
      <c r="C8452" s="44">
        <v>56.71</v>
      </c>
      <c r="D8452" s="46">
        <v>46092.0</v>
      </c>
      <c r="E8452" s="24">
        <v>0.7</v>
      </c>
      <c r="F8452" s="24">
        <v>32.65</v>
      </c>
      <c r="G8452" s="24">
        <v>4.66</v>
      </c>
      <c r="H8452" s="24" t="s">
        <v>6749</v>
      </c>
      <c r="I8452" s="24">
        <v>28.36</v>
      </c>
      <c r="J8452" s="24">
        <v>0.0</v>
      </c>
    </row>
    <row r="8453">
      <c r="A8453" s="24">
        <v>2574.0</v>
      </c>
      <c r="B8453" s="24">
        <v>166.0</v>
      </c>
      <c r="C8453" s="44">
        <v>46.68</v>
      </c>
      <c r="D8453" s="46">
        <v>46092.0</v>
      </c>
      <c r="E8453" s="24">
        <v>0.28</v>
      </c>
      <c r="F8453" s="24">
        <v>18.14</v>
      </c>
      <c r="G8453" s="24">
        <v>6.45</v>
      </c>
      <c r="H8453" s="24" t="s">
        <v>6750</v>
      </c>
      <c r="I8453" s="24">
        <v>15.56</v>
      </c>
      <c r="J8453" s="24">
        <v>0.0</v>
      </c>
    </row>
    <row r="8454">
      <c r="A8454" s="24">
        <v>0.0</v>
      </c>
      <c r="B8454" s="24">
        <v>0.0</v>
      </c>
      <c r="C8454" s="44">
        <v>60.86</v>
      </c>
      <c r="D8454" s="46">
        <v>46093.0</v>
      </c>
      <c r="E8454" s="24" t="s">
        <v>6650</v>
      </c>
      <c r="F8454" s="24" t="s">
        <v>6650</v>
      </c>
      <c r="G8454" s="24" t="s">
        <v>6650</v>
      </c>
      <c r="H8454" s="24" t="s">
        <v>6752</v>
      </c>
      <c r="I8454" s="24" t="s">
        <v>6650</v>
      </c>
      <c r="J8454" s="24">
        <v>0.0</v>
      </c>
    </row>
    <row r="8455">
      <c r="A8455" s="24">
        <v>2065.0</v>
      </c>
      <c r="B8455" s="24">
        <v>151.0</v>
      </c>
      <c r="C8455" s="44">
        <v>55.27</v>
      </c>
      <c r="D8455" s="46">
        <v>46093.0</v>
      </c>
      <c r="E8455" s="24">
        <v>0.37</v>
      </c>
      <c r="F8455" s="24">
        <v>26.77</v>
      </c>
      <c r="G8455" s="24">
        <v>7.31</v>
      </c>
      <c r="H8455" s="24" t="s">
        <v>6750</v>
      </c>
      <c r="I8455" s="24">
        <v>9.21</v>
      </c>
      <c r="J8455" s="24">
        <v>0.0</v>
      </c>
    </row>
    <row r="8456">
      <c r="A8456" s="24">
        <v>2087.0</v>
      </c>
      <c r="B8456" s="24">
        <v>84.0</v>
      </c>
      <c r="C8456" s="44">
        <v>58.57</v>
      </c>
      <c r="D8456" s="46">
        <v>46093.0</v>
      </c>
      <c r="E8456" s="24">
        <v>0.7</v>
      </c>
      <c r="F8456" s="24">
        <v>28.06</v>
      </c>
      <c r="G8456" s="24">
        <v>4.02</v>
      </c>
      <c r="H8456" s="24" t="s">
        <v>6749</v>
      </c>
      <c r="I8456" s="24">
        <v>14.64</v>
      </c>
      <c r="J8456" s="24">
        <v>0.0</v>
      </c>
    </row>
    <row r="8457">
      <c r="A8457" s="24">
        <v>0.0</v>
      </c>
      <c r="B8457" s="24">
        <v>0.0</v>
      </c>
      <c r="C8457" s="44"/>
      <c r="D8457" s="46">
        <v>46093.0</v>
      </c>
      <c r="E8457" s="24" t="s">
        <v>6650</v>
      </c>
      <c r="F8457" s="24" t="s">
        <v>6650</v>
      </c>
      <c r="G8457" s="24" t="s">
        <v>6650</v>
      </c>
      <c r="H8457" s="24" t="s">
        <v>6748</v>
      </c>
      <c r="I8457" s="24" t="s">
        <v>6650</v>
      </c>
      <c r="J8457" s="24"/>
    </row>
    <row r="8458">
      <c r="A8458" s="24">
        <v>0.0</v>
      </c>
      <c r="B8458" s="24">
        <v>0.0</v>
      </c>
      <c r="C8458" s="44">
        <v>63.21</v>
      </c>
      <c r="D8458" s="46">
        <v>46093.0</v>
      </c>
      <c r="E8458" s="24" t="s">
        <v>6650</v>
      </c>
      <c r="F8458" s="24" t="s">
        <v>6650</v>
      </c>
      <c r="G8458" s="24" t="s">
        <v>6650</v>
      </c>
      <c r="H8458" s="24" t="s">
        <v>6751</v>
      </c>
      <c r="I8458" s="24" t="s">
        <v>6650</v>
      </c>
      <c r="J8458" s="24">
        <v>0.0</v>
      </c>
    </row>
    <row r="8459">
      <c r="A8459" s="24">
        <v>0.0</v>
      </c>
      <c r="B8459" s="24">
        <v>0.0</v>
      </c>
      <c r="C8459" s="44"/>
      <c r="D8459" s="46">
        <v>46094.0</v>
      </c>
      <c r="E8459" s="24" t="s">
        <v>6650</v>
      </c>
      <c r="F8459" s="24" t="s">
        <v>6650</v>
      </c>
      <c r="G8459" s="24" t="s">
        <v>6650</v>
      </c>
      <c r="H8459" s="24" t="s">
        <v>6748</v>
      </c>
      <c r="I8459" s="24" t="s">
        <v>6650</v>
      </c>
      <c r="J8459" s="24"/>
    </row>
    <row r="8460">
      <c r="A8460" s="24">
        <v>1392.0</v>
      </c>
      <c r="B8460" s="24">
        <v>77.0</v>
      </c>
      <c r="C8460" s="44">
        <v>55.97</v>
      </c>
      <c r="D8460" s="46">
        <v>46094.0</v>
      </c>
      <c r="E8460" s="24">
        <v>0.73</v>
      </c>
      <c r="F8460" s="24">
        <v>40.21</v>
      </c>
      <c r="G8460" s="24">
        <v>5.53</v>
      </c>
      <c r="H8460" s="24" t="s">
        <v>6749</v>
      </c>
      <c r="I8460" s="24">
        <v>18.66</v>
      </c>
      <c r="J8460" s="24">
        <v>0.0</v>
      </c>
    </row>
    <row r="8461">
      <c r="A8461" s="24">
        <v>0.0</v>
      </c>
      <c r="B8461" s="24">
        <v>0.0</v>
      </c>
      <c r="C8461" s="44">
        <v>59.74</v>
      </c>
      <c r="D8461" s="46">
        <v>46094.0</v>
      </c>
      <c r="E8461" s="24" t="s">
        <v>6650</v>
      </c>
      <c r="F8461" s="24" t="s">
        <v>6650</v>
      </c>
      <c r="G8461" s="24" t="s">
        <v>6650</v>
      </c>
      <c r="H8461" s="24" t="s">
        <v>6752</v>
      </c>
      <c r="I8461" s="24" t="s">
        <v>6650</v>
      </c>
      <c r="J8461" s="24">
        <v>0.0</v>
      </c>
    </row>
    <row r="8462">
      <c r="A8462" s="24">
        <v>1837.0</v>
      </c>
      <c r="B8462" s="24">
        <v>116.0</v>
      </c>
      <c r="C8462" s="44">
        <v>62.45</v>
      </c>
      <c r="D8462" s="46">
        <v>46094.0</v>
      </c>
      <c r="E8462" s="24">
        <v>0.54</v>
      </c>
      <c r="F8462" s="24">
        <v>34.0</v>
      </c>
      <c r="G8462" s="24">
        <v>6.31</v>
      </c>
      <c r="H8462" s="24" t="s">
        <v>6750</v>
      </c>
      <c r="I8462" s="24">
        <v>31.22</v>
      </c>
      <c r="J8462" s="24">
        <v>0.0</v>
      </c>
    </row>
    <row r="8463">
      <c r="A8463" s="24">
        <v>0.0</v>
      </c>
      <c r="B8463" s="24">
        <v>0.0</v>
      </c>
      <c r="C8463" s="44">
        <v>59.33</v>
      </c>
      <c r="D8463" s="46">
        <v>46094.0</v>
      </c>
      <c r="E8463" s="24" t="s">
        <v>6650</v>
      </c>
      <c r="F8463" s="24" t="s">
        <v>6650</v>
      </c>
      <c r="G8463" s="24" t="s">
        <v>6650</v>
      </c>
      <c r="H8463" s="24" t="s">
        <v>6751</v>
      </c>
      <c r="I8463" s="24" t="s">
        <v>6650</v>
      </c>
      <c r="J8463" s="24">
        <v>0.0</v>
      </c>
    </row>
    <row r="8464">
      <c r="A8464" s="24">
        <v>0.0</v>
      </c>
      <c r="B8464" s="24">
        <v>0.0</v>
      </c>
      <c r="C8464" s="44">
        <v>41.03</v>
      </c>
      <c r="D8464" s="46">
        <v>46095.0</v>
      </c>
      <c r="E8464" s="24" t="s">
        <v>6650</v>
      </c>
      <c r="F8464" s="24" t="s">
        <v>6650</v>
      </c>
      <c r="G8464" s="24" t="s">
        <v>6650</v>
      </c>
      <c r="H8464" s="24" t="s">
        <v>6752</v>
      </c>
      <c r="I8464" s="24">
        <v>41.03</v>
      </c>
      <c r="J8464" s="24">
        <v>0.0</v>
      </c>
    </row>
    <row r="8465">
      <c r="A8465" s="24">
        <v>1216.0</v>
      </c>
      <c r="B8465" s="24">
        <v>49.0</v>
      </c>
      <c r="C8465" s="44">
        <v>36.82</v>
      </c>
      <c r="D8465" s="46">
        <v>46095.0</v>
      </c>
      <c r="E8465" s="24">
        <v>0.75</v>
      </c>
      <c r="F8465" s="24">
        <v>30.28</v>
      </c>
      <c r="G8465" s="24">
        <v>4.03</v>
      </c>
      <c r="H8465" s="24" t="s">
        <v>6749</v>
      </c>
      <c r="I8465" s="24">
        <v>36.82</v>
      </c>
      <c r="J8465" s="24">
        <v>0.0</v>
      </c>
    </row>
    <row r="8466">
      <c r="A8466" s="24">
        <v>1243.0</v>
      </c>
      <c r="B8466" s="24">
        <v>107.0</v>
      </c>
      <c r="C8466" s="44">
        <v>48.84</v>
      </c>
      <c r="D8466" s="46">
        <v>46095.0</v>
      </c>
      <c r="E8466" s="24">
        <v>0.46</v>
      </c>
      <c r="F8466" s="24">
        <v>39.29</v>
      </c>
      <c r="G8466" s="24">
        <v>8.61</v>
      </c>
      <c r="H8466" s="24" t="s">
        <v>6750</v>
      </c>
      <c r="I8466" s="24">
        <v>48.84</v>
      </c>
      <c r="J8466" s="24">
        <v>0.0</v>
      </c>
    </row>
    <row r="8467">
      <c r="A8467" s="24">
        <v>0.0</v>
      </c>
      <c r="B8467" s="24">
        <v>0.0</v>
      </c>
      <c r="C8467" s="44">
        <v>45.53</v>
      </c>
      <c r="D8467" s="46">
        <v>46095.0</v>
      </c>
      <c r="E8467" s="24" t="s">
        <v>6650</v>
      </c>
      <c r="F8467" s="24" t="s">
        <v>6650</v>
      </c>
      <c r="G8467" s="24" t="s">
        <v>6650</v>
      </c>
      <c r="H8467" s="24" t="s">
        <v>6751</v>
      </c>
      <c r="I8467" s="24" t="s">
        <v>6650</v>
      </c>
      <c r="J8467" s="24">
        <v>0.0</v>
      </c>
    </row>
    <row r="8468">
      <c r="A8468" s="24">
        <v>0.0</v>
      </c>
      <c r="B8468" s="24">
        <v>0.0</v>
      </c>
      <c r="C8468" s="44"/>
      <c r="D8468" s="46">
        <v>46096.0</v>
      </c>
      <c r="E8468" s="24" t="s">
        <v>6650</v>
      </c>
      <c r="F8468" s="24" t="s">
        <v>6650</v>
      </c>
      <c r="G8468" s="24" t="s">
        <v>6650</v>
      </c>
      <c r="H8468" s="24" t="s">
        <v>6748</v>
      </c>
      <c r="I8468" s="24" t="s">
        <v>6650</v>
      </c>
      <c r="J8468" s="24"/>
    </row>
    <row r="8469">
      <c r="A8469" s="24">
        <v>0.0</v>
      </c>
      <c r="B8469" s="24">
        <v>0.0</v>
      </c>
      <c r="C8469" s="44">
        <v>27.81</v>
      </c>
      <c r="D8469" s="46">
        <v>46096.0</v>
      </c>
      <c r="E8469" s="24" t="s">
        <v>6650</v>
      </c>
      <c r="F8469" s="24" t="s">
        <v>6650</v>
      </c>
      <c r="G8469" s="24" t="s">
        <v>6650</v>
      </c>
      <c r="H8469" s="24" t="s">
        <v>6752</v>
      </c>
      <c r="I8469" s="24" t="s">
        <v>6650</v>
      </c>
      <c r="J8469" s="24">
        <v>0.0</v>
      </c>
    </row>
    <row r="8470">
      <c r="A8470" s="24">
        <v>1079.0</v>
      </c>
      <c r="B8470" s="24">
        <v>41.0</v>
      </c>
      <c r="C8470" s="44">
        <v>30.01</v>
      </c>
      <c r="D8470" s="46">
        <v>46096.0</v>
      </c>
      <c r="E8470" s="24">
        <v>0.73</v>
      </c>
      <c r="F8470" s="24">
        <v>27.81</v>
      </c>
      <c r="G8470" s="24">
        <v>3.8</v>
      </c>
      <c r="H8470" s="24" t="s">
        <v>6749</v>
      </c>
      <c r="I8470" s="24">
        <v>10.0</v>
      </c>
      <c r="J8470" s="24">
        <v>0.0</v>
      </c>
    </row>
    <row r="8471">
      <c r="A8471" s="24">
        <v>753.0</v>
      </c>
      <c r="B8471" s="24">
        <v>42.0</v>
      </c>
      <c r="C8471" s="44">
        <v>36.81</v>
      </c>
      <c r="D8471" s="46">
        <v>46096.0</v>
      </c>
      <c r="E8471" s="24">
        <v>0.88</v>
      </c>
      <c r="F8471" s="24">
        <v>48.88</v>
      </c>
      <c r="G8471" s="24">
        <v>5.58</v>
      </c>
      <c r="H8471" s="24" t="s">
        <v>6750</v>
      </c>
      <c r="I8471" s="24">
        <v>12.27</v>
      </c>
      <c r="J8471" s="24">
        <v>0.0</v>
      </c>
    </row>
    <row r="8472">
      <c r="A8472" s="24">
        <v>0.0</v>
      </c>
      <c r="B8472" s="24">
        <v>0.0</v>
      </c>
      <c r="C8472" s="44">
        <v>44.14</v>
      </c>
      <c r="D8472" s="46">
        <v>46096.0</v>
      </c>
      <c r="E8472" s="24" t="s">
        <v>6650</v>
      </c>
      <c r="F8472" s="24" t="s">
        <v>6650</v>
      </c>
      <c r="G8472" s="24" t="s">
        <v>6650</v>
      </c>
      <c r="H8472" s="24" t="s">
        <v>6751</v>
      </c>
      <c r="I8472" s="24" t="s">
        <v>6650</v>
      </c>
      <c r="J8472" s="24">
        <v>0.0</v>
      </c>
    </row>
    <row r="8473">
      <c r="A8473" s="24">
        <v>3116.0</v>
      </c>
      <c r="B8473" s="24">
        <v>194.0</v>
      </c>
      <c r="C8473" s="44">
        <v>47.58</v>
      </c>
      <c r="D8473" s="46">
        <v>46097.0</v>
      </c>
      <c r="E8473" s="24">
        <v>0.25</v>
      </c>
      <c r="F8473" s="24">
        <v>15.27</v>
      </c>
      <c r="G8473" s="24">
        <v>6.23</v>
      </c>
      <c r="H8473" s="24" t="s">
        <v>6750</v>
      </c>
      <c r="I8473" s="24">
        <v>7.93</v>
      </c>
      <c r="J8473" s="24">
        <v>0.0</v>
      </c>
    </row>
    <row r="8474">
      <c r="A8474" s="24">
        <v>2894.0</v>
      </c>
      <c r="B8474" s="24">
        <v>97.0</v>
      </c>
      <c r="C8474" s="44">
        <v>48.38</v>
      </c>
      <c r="D8474" s="46">
        <v>46097.0</v>
      </c>
      <c r="E8474" s="24">
        <v>0.5</v>
      </c>
      <c r="F8474" s="24">
        <v>16.72</v>
      </c>
      <c r="G8474" s="24">
        <v>3.35</v>
      </c>
      <c r="H8474" s="24" t="s">
        <v>6749</v>
      </c>
      <c r="I8474" s="24">
        <v>12.1</v>
      </c>
      <c r="J8474" s="24">
        <v>0.0</v>
      </c>
    </row>
    <row r="8475">
      <c r="A8475" s="24">
        <v>0.0</v>
      </c>
      <c r="B8475" s="24">
        <v>0.0</v>
      </c>
      <c r="C8475" s="44">
        <v>59.08</v>
      </c>
      <c r="D8475" s="46">
        <v>46097.0</v>
      </c>
      <c r="E8475" s="24" t="s">
        <v>6650</v>
      </c>
      <c r="F8475" s="24" t="s">
        <v>6650</v>
      </c>
      <c r="G8475" s="24" t="s">
        <v>6650</v>
      </c>
      <c r="H8475" s="24" t="s">
        <v>6752</v>
      </c>
      <c r="I8475" s="24" t="s">
        <v>6650</v>
      </c>
      <c r="J8475" s="24">
        <v>0.0</v>
      </c>
    </row>
    <row r="8476">
      <c r="A8476" s="24">
        <v>0.0</v>
      </c>
      <c r="B8476" s="24">
        <v>0.0</v>
      </c>
      <c r="C8476" s="44">
        <v>61.57</v>
      </c>
      <c r="D8476" s="46">
        <v>46097.0</v>
      </c>
      <c r="E8476" s="24" t="s">
        <v>6650</v>
      </c>
      <c r="F8476" s="24" t="s">
        <v>6650</v>
      </c>
      <c r="G8476" s="24" t="s">
        <v>6650</v>
      </c>
      <c r="H8476" s="24" t="s">
        <v>6751</v>
      </c>
      <c r="I8476" s="24" t="s">
        <v>6650</v>
      </c>
      <c r="J8476" s="24">
        <v>0.0</v>
      </c>
    </row>
    <row r="8477">
      <c r="A8477" s="24">
        <v>2405.0</v>
      </c>
      <c r="B8477" s="24">
        <v>143.0</v>
      </c>
      <c r="C8477" s="44">
        <v>48.48</v>
      </c>
      <c r="D8477" s="46">
        <v>46098.0</v>
      </c>
      <c r="E8477" s="24">
        <v>0.34</v>
      </c>
      <c r="F8477" s="24">
        <v>20.16</v>
      </c>
      <c r="G8477" s="24">
        <v>5.95</v>
      </c>
      <c r="H8477" s="24" t="s">
        <v>6750</v>
      </c>
      <c r="I8477" s="24">
        <v>12.12</v>
      </c>
      <c r="J8477" s="24">
        <v>0.0</v>
      </c>
    </row>
    <row r="8478">
      <c r="A8478" s="24">
        <v>2236.0</v>
      </c>
      <c r="B8478" s="24">
        <v>98.0</v>
      </c>
      <c r="C8478" s="44">
        <v>60.04</v>
      </c>
      <c r="D8478" s="46">
        <v>46098.0</v>
      </c>
      <c r="E8478" s="24">
        <v>0.61</v>
      </c>
      <c r="F8478" s="24">
        <v>26.85</v>
      </c>
      <c r="G8478" s="24">
        <v>4.38</v>
      </c>
      <c r="H8478" s="24" t="s">
        <v>6749</v>
      </c>
      <c r="I8478" s="24">
        <v>15.01</v>
      </c>
      <c r="J8478" s="24">
        <v>0.0</v>
      </c>
    </row>
    <row r="8479">
      <c r="A8479" s="24">
        <v>0.0</v>
      </c>
      <c r="B8479" s="24">
        <v>0.0</v>
      </c>
      <c r="C8479" s="44">
        <v>55.51</v>
      </c>
      <c r="D8479" s="46">
        <v>46098.0</v>
      </c>
      <c r="E8479" s="24" t="s">
        <v>6650</v>
      </c>
      <c r="F8479" s="24" t="s">
        <v>6650</v>
      </c>
      <c r="G8479" s="24" t="s">
        <v>6650</v>
      </c>
      <c r="H8479" s="24" t="s">
        <v>6752</v>
      </c>
      <c r="I8479" s="24" t="s">
        <v>6650</v>
      </c>
      <c r="J8479" s="24">
        <v>0.0</v>
      </c>
    </row>
    <row r="8480">
      <c r="A8480" s="24">
        <v>0.0</v>
      </c>
      <c r="B8480" s="24">
        <v>0.0</v>
      </c>
      <c r="C8480" s="44">
        <v>62.48</v>
      </c>
      <c r="D8480" s="46">
        <v>46098.0</v>
      </c>
      <c r="E8480" s="24" t="s">
        <v>6650</v>
      </c>
      <c r="F8480" s="24" t="s">
        <v>6650</v>
      </c>
      <c r="G8480" s="24" t="s">
        <v>6650</v>
      </c>
      <c r="H8480" s="24" t="s">
        <v>6751</v>
      </c>
      <c r="I8480" s="24" t="s">
        <v>6650</v>
      </c>
      <c r="J8480" s="24">
        <v>0.0</v>
      </c>
    </row>
    <row r="8481">
      <c r="A8481" s="24">
        <v>0.0</v>
      </c>
      <c r="B8481" s="24">
        <v>0.0</v>
      </c>
      <c r="C8481" s="44">
        <v>42.7</v>
      </c>
      <c r="D8481" s="46">
        <v>46099.0</v>
      </c>
      <c r="E8481" s="24" t="s">
        <v>6650</v>
      </c>
      <c r="F8481" s="24" t="s">
        <v>6650</v>
      </c>
      <c r="G8481" s="24" t="s">
        <v>6650</v>
      </c>
      <c r="H8481" s="24" t="s">
        <v>6752</v>
      </c>
      <c r="I8481" s="24" t="s">
        <v>6650</v>
      </c>
      <c r="J8481" s="24">
        <v>0.0</v>
      </c>
    </row>
    <row r="8482">
      <c r="A8482" s="24">
        <v>1700.0</v>
      </c>
      <c r="B8482" s="24">
        <v>118.0</v>
      </c>
      <c r="C8482" s="44">
        <v>45.99</v>
      </c>
      <c r="D8482" s="46">
        <v>46099.0</v>
      </c>
      <c r="E8482" s="24">
        <v>0.39</v>
      </c>
      <c r="F8482" s="24">
        <v>27.05</v>
      </c>
      <c r="G8482" s="24">
        <v>6.94</v>
      </c>
      <c r="H8482" s="24" t="s">
        <v>6750</v>
      </c>
      <c r="I8482" s="24">
        <v>11.5</v>
      </c>
      <c r="J8482" s="24">
        <v>0.0</v>
      </c>
    </row>
    <row r="8483">
      <c r="A8483" s="24">
        <v>1995.0</v>
      </c>
      <c r="B8483" s="24">
        <v>92.0</v>
      </c>
      <c r="C8483" s="44">
        <v>54.09</v>
      </c>
      <c r="D8483" s="46">
        <v>46099.0</v>
      </c>
      <c r="E8483" s="24">
        <v>0.59</v>
      </c>
      <c r="F8483" s="24">
        <v>27.11</v>
      </c>
      <c r="G8483" s="24">
        <v>4.61</v>
      </c>
      <c r="H8483" s="24" t="s">
        <v>6749</v>
      </c>
      <c r="I8483" s="24">
        <v>18.03</v>
      </c>
      <c r="J8483" s="24">
        <v>0.0</v>
      </c>
    </row>
    <row r="8484">
      <c r="A8484" s="24">
        <v>0.0</v>
      </c>
      <c r="B8484" s="24">
        <v>0.0</v>
      </c>
      <c r="C8484" s="44">
        <v>60.01</v>
      </c>
      <c r="D8484" s="46">
        <v>46099.0</v>
      </c>
      <c r="E8484" s="24" t="s">
        <v>6650</v>
      </c>
      <c r="F8484" s="24" t="s">
        <v>6650</v>
      </c>
      <c r="G8484" s="24" t="s">
        <v>6650</v>
      </c>
      <c r="H8484" s="24" t="s">
        <v>6751</v>
      </c>
      <c r="I8484" s="24" t="s">
        <v>6650</v>
      </c>
      <c r="J8484" s="24">
        <v>0.0</v>
      </c>
    </row>
    <row r="8485">
      <c r="A8485" s="24">
        <v>1944.0</v>
      </c>
      <c r="B8485" s="24">
        <v>88.0</v>
      </c>
      <c r="C8485" s="44">
        <v>62.34</v>
      </c>
      <c r="D8485" s="46">
        <v>46100.0</v>
      </c>
      <c r="E8485" s="24">
        <v>0.71</v>
      </c>
      <c r="F8485" s="24">
        <v>32.07</v>
      </c>
      <c r="G8485" s="24">
        <v>4.53</v>
      </c>
      <c r="H8485" s="24" t="s">
        <v>6749</v>
      </c>
      <c r="I8485" s="24">
        <v>10.39</v>
      </c>
      <c r="J8485" s="24">
        <v>0.0</v>
      </c>
    </row>
    <row r="8486">
      <c r="A8486" s="24">
        <v>0.0</v>
      </c>
      <c r="B8486" s="24">
        <v>0.0</v>
      </c>
      <c r="C8486" s="44">
        <v>42.8</v>
      </c>
      <c r="D8486" s="46">
        <v>46100.0</v>
      </c>
      <c r="E8486" s="24" t="s">
        <v>6650</v>
      </c>
      <c r="F8486" s="24" t="s">
        <v>6650</v>
      </c>
      <c r="G8486" s="24" t="s">
        <v>6650</v>
      </c>
      <c r="H8486" s="24" t="s">
        <v>6752</v>
      </c>
      <c r="I8486" s="24">
        <v>21.4</v>
      </c>
      <c r="J8486" s="24">
        <v>0.0</v>
      </c>
    </row>
    <row r="8487">
      <c r="A8487" s="24">
        <v>1846.0</v>
      </c>
      <c r="B8487" s="24">
        <v>124.0</v>
      </c>
      <c r="C8487" s="44">
        <v>62.79</v>
      </c>
      <c r="D8487" s="46">
        <v>46100.0</v>
      </c>
      <c r="E8487" s="24">
        <v>0.51</v>
      </c>
      <c r="F8487" s="24">
        <v>34.01</v>
      </c>
      <c r="G8487" s="24">
        <v>6.72</v>
      </c>
      <c r="H8487" s="24" t="s">
        <v>6750</v>
      </c>
      <c r="I8487" s="24">
        <v>8.97</v>
      </c>
      <c r="J8487" s="24">
        <v>0.0</v>
      </c>
    </row>
    <row r="8488">
      <c r="A8488" s="24">
        <v>0.0</v>
      </c>
      <c r="B8488" s="24">
        <v>0.0</v>
      </c>
      <c r="C8488" s="44">
        <v>65.35</v>
      </c>
      <c r="D8488" s="46">
        <v>46100.0</v>
      </c>
      <c r="E8488" s="24" t="s">
        <v>6650</v>
      </c>
      <c r="F8488" s="24" t="s">
        <v>6650</v>
      </c>
      <c r="G8488" s="24" t="s">
        <v>6650</v>
      </c>
      <c r="H8488" s="24" t="s">
        <v>6751</v>
      </c>
      <c r="I8488" s="24" t="s">
        <v>6650</v>
      </c>
      <c r="J8488" s="24">
        <v>0.0</v>
      </c>
    </row>
    <row r="8489">
      <c r="A8489" s="24">
        <v>766.0</v>
      </c>
      <c r="B8489" s="24">
        <v>36.0</v>
      </c>
      <c r="C8489" s="44">
        <v>48.13</v>
      </c>
      <c r="D8489" s="46">
        <v>46101.0</v>
      </c>
      <c r="E8489" s="24">
        <v>1.34</v>
      </c>
      <c r="F8489" s="24">
        <v>62.83</v>
      </c>
      <c r="G8489" s="24">
        <v>4.7</v>
      </c>
      <c r="H8489" s="24" t="s">
        <v>6749</v>
      </c>
      <c r="I8489" s="24">
        <v>48.13</v>
      </c>
      <c r="J8489" s="24">
        <v>0.0</v>
      </c>
    </row>
    <row r="8490">
      <c r="A8490" s="24">
        <v>0.0</v>
      </c>
      <c r="B8490" s="24">
        <v>0.0</v>
      </c>
      <c r="C8490" s="44">
        <v>57.63</v>
      </c>
      <c r="D8490" s="46">
        <v>46101.0</v>
      </c>
      <c r="E8490" s="24" t="s">
        <v>6650</v>
      </c>
      <c r="F8490" s="24" t="s">
        <v>6650</v>
      </c>
      <c r="G8490" s="24" t="s">
        <v>6650</v>
      </c>
      <c r="H8490" s="24" t="s">
        <v>6751</v>
      </c>
      <c r="I8490" s="24" t="s">
        <v>6650</v>
      </c>
      <c r="J8490" s="24">
        <v>0.0</v>
      </c>
    </row>
    <row r="8491">
      <c r="A8491" s="24">
        <v>2074.0</v>
      </c>
      <c r="B8491" s="24">
        <v>111.0</v>
      </c>
      <c r="C8491" s="44">
        <v>53.23</v>
      </c>
      <c r="D8491" s="46">
        <v>46101.0</v>
      </c>
      <c r="E8491" s="24">
        <v>0.48</v>
      </c>
      <c r="F8491" s="24">
        <v>25.67</v>
      </c>
      <c r="G8491" s="24">
        <v>5.35</v>
      </c>
      <c r="H8491" s="24" t="s">
        <v>6750</v>
      </c>
      <c r="I8491" s="24">
        <v>7.6</v>
      </c>
      <c r="J8491" s="24">
        <v>0.0</v>
      </c>
    </row>
    <row r="8492">
      <c r="A8492" s="24">
        <v>0.0</v>
      </c>
      <c r="B8492" s="24">
        <v>0.0</v>
      </c>
      <c r="C8492" s="44">
        <v>40.25</v>
      </c>
      <c r="D8492" s="46">
        <v>46101.0</v>
      </c>
      <c r="E8492" s="24" t="s">
        <v>6650</v>
      </c>
      <c r="F8492" s="24" t="s">
        <v>6650</v>
      </c>
      <c r="G8492" s="24" t="s">
        <v>6650</v>
      </c>
      <c r="H8492" s="24" t="s">
        <v>6752</v>
      </c>
      <c r="I8492" s="24" t="s">
        <v>6650</v>
      </c>
      <c r="J8492" s="24">
        <v>0.0</v>
      </c>
    </row>
    <row r="8493">
      <c r="A8493" s="24">
        <v>707.0</v>
      </c>
      <c r="B8493" s="24">
        <v>47.0</v>
      </c>
      <c r="C8493" s="44">
        <v>42.96</v>
      </c>
      <c r="D8493" s="46">
        <v>46102.0</v>
      </c>
      <c r="E8493" s="24">
        <v>0.91</v>
      </c>
      <c r="F8493" s="24">
        <v>60.76</v>
      </c>
      <c r="G8493" s="24">
        <v>6.65</v>
      </c>
      <c r="H8493" s="24" t="s">
        <v>6750</v>
      </c>
      <c r="I8493" s="24">
        <v>42.96</v>
      </c>
      <c r="J8493" s="24">
        <v>0.0</v>
      </c>
    </row>
    <row r="8494">
      <c r="A8494" s="24">
        <v>822.0</v>
      </c>
      <c r="B8494" s="24">
        <v>50.0</v>
      </c>
      <c r="C8494" s="44">
        <v>40.01</v>
      </c>
      <c r="D8494" s="46">
        <v>46102.0</v>
      </c>
      <c r="E8494" s="24">
        <v>0.8</v>
      </c>
      <c r="F8494" s="24">
        <v>48.67</v>
      </c>
      <c r="G8494" s="24">
        <v>6.08</v>
      </c>
      <c r="H8494" s="24" t="s">
        <v>6749</v>
      </c>
      <c r="I8494" s="24">
        <v>40.01</v>
      </c>
      <c r="J8494" s="24">
        <v>0.0</v>
      </c>
    </row>
    <row r="8495">
      <c r="A8495" s="24">
        <v>0.0</v>
      </c>
      <c r="B8495" s="24">
        <v>0.0</v>
      </c>
      <c r="C8495" s="44">
        <v>44.65</v>
      </c>
      <c r="D8495" s="46">
        <v>46102.0</v>
      </c>
      <c r="E8495" s="24" t="s">
        <v>6650</v>
      </c>
      <c r="F8495" s="24" t="s">
        <v>6650</v>
      </c>
      <c r="G8495" s="24" t="s">
        <v>6650</v>
      </c>
      <c r="H8495" s="24" t="s">
        <v>6751</v>
      </c>
      <c r="I8495" s="24" t="s">
        <v>6650</v>
      </c>
      <c r="J8495" s="24">
        <v>0.0</v>
      </c>
    </row>
    <row r="8496">
      <c r="A8496" s="24">
        <v>0.0</v>
      </c>
      <c r="B8496" s="24">
        <v>0.0</v>
      </c>
      <c r="C8496" s="44">
        <v>24.76</v>
      </c>
      <c r="D8496" s="46">
        <v>46102.0</v>
      </c>
      <c r="E8496" s="24" t="s">
        <v>6650</v>
      </c>
      <c r="F8496" s="24" t="s">
        <v>6650</v>
      </c>
      <c r="G8496" s="24" t="s">
        <v>6650</v>
      </c>
      <c r="H8496" s="24" t="s">
        <v>6752</v>
      </c>
      <c r="I8496" s="24" t="s">
        <v>6650</v>
      </c>
      <c r="J8496" s="24">
        <v>0.0</v>
      </c>
    </row>
    <row r="8497">
      <c r="A8497" s="24">
        <v>642.0</v>
      </c>
      <c r="B8497" s="24">
        <v>23.0</v>
      </c>
      <c r="C8497" s="44">
        <v>33.46</v>
      </c>
      <c r="D8497" s="46">
        <v>46103.0</v>
      </c>
      <c r="E8497" s="24">
        <v>1.45</v>
      </c>
      <c r="F8497" s="24">
        <v>52.12</v>
      </c>
      <c r="G8497" s="24">
        <v>3.58</v>
      </c>
      <c r="H8497" s="24" t="s">
        <v>6749</v>
      </c>
      <c r="I8497" s="24">
        <v>33.46</v>
      </c>
      <c r="J8497" s="24">
        <v>0.0</v>
      </c>
    </row>
    <row r="8498">
      <c r="A8498" s="24">
        <v>0.0</v>
      </c>
      <c r="B8498" s="24">
        <v>0.0</v>
      </c>
      <c r="C8498" s="44">
        <v>42.8</v>
      </c>
      <c r="D8498" s="46">
        <v>46103.0</v>
      </c>
      <c r="E8498" s="24" t="s">
        <v>6650</v>
      </c>
      <c r="F8498" s="24" t="s">
        <v>6650</v>
      </c>
      <c r="G8498" s="24" t="s">
        <v>6650</v>
      </c>
      <c r="H8498" s="24" t="s">
        <v>6751</v>
      </c>
      <c r="I8498" s="24" t="s">
        <v>6650</v>
      </c>
      <c r="J8498" s="24">
        <v>0.0</v>
      </c>
    </row>
    <row r="8499">
      <c r="A8499" s="24">
        <v>0.0</v>
      </c>
      <c r="B8499" s="24">
        <v>0.0</v>
      </c>
      <c r="C8499" s="44">
        <v>19.72</v>
      </c>
      <c r="D8499" s="46">
        <v>46103.0</v>
      </c>
      <c r="E8499" s="24" t="s">
        <v>6650</v>
      </c>
      <c r="F8499" s="24" t="s">
        <v>6650</v>
      </c>
      <c r="G8499" s="24" t="s">
        <v>6650</v>
      </c>
      <c r="H8499" s="24" t="s">
        <v>6752</v>
      </c>
      <c r="I8499" s="24" t="s">
        <v>6650</v>
      </c>
      <c r="J8499" s="24">
        <v>0.0</v>
      </c>
    </row>
    <row r="8500">
      <c r="A8500" s="24">
        <v>761.0</v>
      </c>
      <c r="B8500" s="24">
        <v>36.0</v>
      </c>
      <c r="C8500" s="44">
        <v>40.75</v>
      </c>
      <c r="D8500" s="46">
        <v>46103.0</v>
      </c>
      <c r="E8500" s="24">
        <v>1.13</v>
      </c>
      <c r="F8500" s="24">
        <v>53.55</v>
      </c>
      <c r="G8500" s="24">
        <v>4.73</v>
      </c>
      <c r="H8500" s="24" t="s">
        <v>6750</v>
      </c>
      <c r="I8500" s="24">
        <v>40.75</v>
      </c>
      <c r="J8500" s="24">
        <v>0.0</v>
      </c>
    </row>
    <row r="8501">
      <c r="A8501" s="24">
        <v>137.0</v>
      </c>
      <c r="B8501" s="24">
        <v>11.0</v>
      </c>
      <c r="C8501" s="44">
        <v>28.98</v>
      </c>
      <c r="D8501" s="46">
        <v>46104.0</v>
      </c>
      <c r="E8501" s="24">
        <v>2.63</v>
      </c>
      <c r="F8501" s="24">
        <v>211.53</v>
      </c>
      <c r="G8501" s="24">
        <v>8.03</v>
      </c>
      <c r="H8501" s="24" t="s">
        <v>6749</v>
      </c>
      <c r="I8501" s="24" t="s">
        <v>6650</v>
      </c>
      <c r="J8501" s="24">
        <v>0.0</v>
      </c>
    </row>
    <row r="8502">
      <c r="A8502" s="24">
        <v>0.0</v>
      </c>
      <c r="B8502" s="24">
        <v>0.0</v>
      </c>
      <c r="C8502" s="44">
        <v>6.72</v>
      </c>
      <c r="D8502" s="46">
        <v>46104.0</v>
      </c>
      <c r="E8502" s="24" t="s">
        <v>6650</v>
      </c>
      <c r="F8502" s="24" t="s">
        <v>6650</v>
      </c>
      <c r="G8502" s="24" t="s">
        <v>6650</v>
      </c>
      <c r="H8502" s="24" t="s">
        <v>6751</v>
      </c>
      <c r="I8502" s="24" t="s">
        <v>6650</v>
      </c>
      <c r="J8502" s="24">
        <v>0.0</v>
      </c>
    </row>
    <row r="8503">
      <c r="A8503" s="24">
        <v>187.0</v>
      </c>
      <c r="B8503" s="24">
        <v>8.0</v>
      </c>
      <c r="C8503" s="44">
        <v>26.25</v>
      </c>
      <c r="D8503" s="46">
        <v>46104.0</v>
      </c>
      <c r="E8503" s="24">
        <v>3.28</v>
      </c>
      <c r="F8503" s="24">
        <v>140.37</v>
      </c>
      <c r="G8503" s="24">
        <v>4.28</v>
      </c>
      <c r="H8503" s="24" t="s">
        <v>6750</v>
      </c>
      <c r="I8503" s="24">
        <v>26.25</v>
      </c>
      <c r="J8503" s="24">
        <v>0.0</v>
      </c>
    </row>
    <row r="8504">
      <c r="A8504" s="24">
        <v>0.0</v>
      </c>
      <c r="B8504" s="24">
        <v>0.0</v>
      </c>
      <c r="C8504" s="44">
        <v>3.25</v>
      </c>
      <c r="D8504" s="46">
        <v>46104.0</v>
      </c>
      <c r="E8504" s="24" t="s">
        <v>6650</v>
      </c>
      <c r="F8504" s="24" t="s">
        <v>6650</v>
      </c>
      <c r="G8504" s="24" t="s">
        <v>6650</v>
      </c>
      <c r="H8504" s="24" t="s">
        <v>6752</v>
      </c>
      <c r="I8504" s="24" t="s">
        <v>6650</v>
      </c>
      <c r="J8504" s="24">
        <v>0.0</v>
      </c>
    </row>
    <row r="8505">
      <c r="A8505" s="24">
        <v>0.0</v>
      </c>
      <c r="B8505" s="24">
        <v>0.0</v>
      </c>
      <c r="C8505" s="44"/>
      <c r="D8505" s="46">
        <v>46105.0</v>
      </c>
      <c r="E8505" s="24" t="s">
        <v>6650</v>
      </c>
      <c r="F8505" s="24" t="s">
        <v>6650</v>
      </c>
      <c r="G8505" s="24" t="s">
        <v>6650</v>
      </c>
      <c r="H8505" s="24" t="s">
        <v>6750</v>
      </c>
      <c r="I8505" s="24" t="s">
        <v>6650</v>
      </c>
      <c r="J8505" s="24"/>
    </row>
    <row r="8506">
      <c r="A8506" s="24">
        <v>0.0</v>
      </c>
      <c r="B8506" s="24">
        <v>0.0</v>
      </c>
      <c r="C8506" s="44"/>
      <c r="D8506" s="46">
        <v>46106.0</v>
      </c>
      <c r="E8506" s="24" t="s">
        <v>6650</v>
      </c>
      <c r="F8506" s="24" t="s">
        <v>6650</v>
      </c>
      <c r="G8506" s="24" t="s">
        <v>6650</v>
      </c>
      <c r="H8506" s="24" t="s">
        <v>6749</v>
      </c>
      <c r="I8506" s="24" t="s">
        <v>6650</v>
      </c>
      <c r="J8506" s="24"/>
    </row>
    <row r="8507">
      <c r="A8507" s="24">
        <v>0.0</v>
      </c>
      <c r="B8507" s="24">
        <v>0.0</v>
      </c>
      <c r="C8507" s="44"/>
      <c r="D8507" s="46">
        <v>46107.0</v>
      </c>
      <c r="E8507" s="24" t="s">
        <v>6650</v>
      </c>
      <c r="F8507" s="24" t="s">
        <v>6650</v>
      </c>
      <c r="G8507" s="24" t="s">
        <v>6650</v>
      </c>
      <c r="H8507" s="24" t="s">
        <v>6750</v>
      </c>
      <c r="I8507" s="24" t="s">
        <v>6650</v>
      </c>
      <c r="J8507" s="24"/>
    </row>
    <row r="8508">
      <c r="A8508" s="24">
        <v>0.0</v>
      </c>
      <c r="B8508" s="24">
        <v>0.0</v>
      </c>
      <c r="C8508" s="44"/>
      <c r="D8508" s="46">
        <v>46108.0</v>
      </c>
      <c r="E8508" s="24" t="s">
        <v>6650</v>
      </c>
      <c r="F8508" s="24" t="s">
        <v>6650</v>
      </c>
      <c r="G8508" s="24" t="s">
        <v>6650</v>
      </c>
      <c r="H8508" s="24" t="s">
        <v>6750</v>
      </c>
      <c r="I8508" s="24" t="s">
        <v>6650</v>
      </c>
      <c r="J8508" s="2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0" width="11.63"/>
  </cols>
  <sheetData>
    <row r="1" ht="33.75" customHeight="1">
      <c r="A1" s="38" t="str">
        <f>CONCATENATE(
            "              ", "Google Ads Import", char(10),
            "              ", "",
            IFERROR(IFS(
                (now()-"2026/04/08 21:50") &lt;= 0,
                    "",
                AND((now()-"2026/04/08 21:50") * 1440 &gt;= 0, (now()-"2026/04/08 21:50") * 1440 &lt;= 5),
                    "Last updated just now",
                (now()-"2026/04/08 21:50") * 1440 &lt;= 60,
                    "Last updated "&amp;FLOOR((now()-"2026/04/08 21:50")*1440,1)&amp;" minutes ago",
                (now()-"2026/04/08 21:50") * 24 &lt;= 24,
                    "Last updated "&amp;FLOOR((now()-"2026/04/08 21:50")*24,1) &amp;
                        IF(FLOOR((now()-"2026/04/08 21:50")*24,1) &lt;= 1, " hour ago", " hours ago"),
                (now()-"2026/04/08 21:50") &lt;= 30,
                    "Last updated "&amp;FLOOR((now()-"2026/04/08 21:50"),1) &amp;
                        IF(FLOOR((now()-"2026/04/08 21:50"),1) &lt;= 1, " day ago", " days ago"),
                (now()-"2026/04/08 21:50") &gt; 30,
                    "Last updated " &amp;
                        FLOOR((now()-"2026/04/08 21:50")/7,1) &amp;
                        IF(FLOOR((now()-"2026/04/08 21:50"),1) &lt;= 1, " week ago", " weeks ago")
            ),"Last updated on 2026/04/08 21:50")
        )</f>
        <v>              Google Ads Import
              Last updated 21 minutes ago</v>
      </c>
      <c r="B1" s="38" t="s">
        <v>0</v>
      </c>
      <c r="C1" s="38" t="str">
        <f>IFERROR(IF(NOW(), _COEFF_ssop()),"")</f>
        <v/>
      </c>
      <c r="D1" s="38" t="s">
        <v>0</v>
      </c>
      <c r="E1" s="38" t="s">
        <v>0</v>
      </c>
      <c r="F1" s="38" t="s">
        <v>0</v>
      </c>
      <c r="G1" s="38" t="s">
        <v>0</v>
      </c>
      <c r="H1" s="38" t="s">
        <v>0</v>
      </c>
      <c r="I1" s="38" t="s">
        <v>0</v>
      </c>
      <c r="J1" s="38" t="s">
        <v>0</v>
      </c>
    </row>
    <row r="2" ht="22.5" customHeight="1">
      <c r="A2" s="41" t="s">
        <v>6640</v>
      </c>
      <c r="B2" s="41" t="s">
        <v>6641</v>
      </c>
      <c r="C2" s="41" t="s">
        <v>6753</v>
      </c>
      <c r="D2" s="41" t="s">
        <v>6754</v>
      </c>
      <c r="E2" s="41" t="s">
        <v>6755</v>
      </c>
      <c r="F2" s="41" t="s">
        <v>6756</v>
      </c>
      <c r="G2" s="41" t="s">
        <v>6757</v>
      </c>
      <c r="H2" s="41" t="s">
        <v>6758</v>
      </c>
      <c r="I2" s="41" t="s">
        <v>6647</v>
      </c>
      <c r="J2" s="41" t="s">
        <v>6759</v>
      </c>
    </row>
    <row r="3">
      <c r="A3" s="24">
        <v>107.0</v>
      </c>
      <c r="B3" s="24">
        <v>0.0</v>
      </c>
      <c r="C3" s="47">
        <v>0.0</v>
      </c>
      <c r="D3" s="35">
        <v>44524.0</v>
      </c>
      <c r="E3" s="47"/>
      <c r="F3" s="47">
        <v>0.0</v>
      </c>
      <c r="G3" s="48">
        <v>0.0</v>
      </c>
      <c r="H3" s="24" t="s">
        <v>6760</v>
      </c>
      <c r="I3" s="47"/>
      <c r="J3" s="24">
        <v>0.0</v>
      </c>
    </row>
    <row r="4">
      <c r="A4" s="24">
        <v>2186.0</v>
      </c>
      <c r="B4" s="24">
        <v>4.0</v>
      </c>
      <c r="C4" s="47">
        <v>0.711651</v>
      </c>
      <c r="D4" s="35">
        <v>44525.0</v>
      </c>
      <c r="E4" s="47">
        <v>0.17791275</v>
      </c>
      <c r="F4" s="47">
        <v>0.325549405306495</v>
      </c>
      <c r="G4" s="48">
        <v>0.00182982616651418</v>
      </c>
      <c r="H4" s="24" t="s">
        <v>6760</v>
      </c>
      <c r="I4" s="47"/>
      <c r="J4" s="24">
        <v>0.0</v>
      </c>
    </row>
    <row r="5">
      <c r="A5" s="24">
        <v>3416.0</v>
      </c>
      <c r="B5" s="24">
        <v>19.0</v>
      </c>
      <c r="C5" s="47">
        <v>13.764717</v>
      </c>
      <c r="D5" s="35">
        <v>44526.0</v>
      </c>
      <c r="E5" s="47">
        <v>0.724458789473684</v>
      </c>
      <c r="F5" s="47">
        <v>4.02948389929742</v>
      </c>
      <c r="G5" s="48">
        <v>0.00556206088992974</v>
      </c>
      <c r="H5" s="24" t="s">
        <v>6760</v>
      </c>
      <c r="I5" s="47"/>
      <c r="J5" s="24">
        <v>0.0</v>
      </c>
    </row>
    <row r="6">
      <c r="A6" s="24">
        <v>1421.0</v>
      </c>
      <c r="B6" s="24">
        <v>22.0</v>
      </c>
      <c r="C6" s="47">
        <v>13.539783</v>
      </c>
      <c r="D6" s="35">
        <v>44527.0</v>
      </c>
      <c r="E6" s="47">
        <v>0.615444681818181</v>
      </c>
      <c r="F6" s="47">
        <v>9.52834834623504</v>
      </c>
      <c r="G6" s="48">
        <v>0.0154820548909218</v>
      </c>
      <c r="H6" s="24" t="s">
        <v>6760</v>
      </c>
      <c r="I6" s="47"/>
      <c r="J6" s="24">
        <v>0.0</v>
      </c>
    </row>
    <row r="7">
      <c r="A7" s="24">
        <v>18.0</v>
      </c>
      <c r="B7" s="24">
        <v>0.0</v>
      </c>
      <c r="C7" s="47">
        <v>0.0</v>
      </c>
      <c r="D7" s="35">
        <v>44528.0</v>
      </c>
      <c r="E7" s="47"/>
      <c r="F7" s="47">
        <v>0.0</v>
      </c>
      <c r="G7" s="48">
        <v>0.0</v>
      </c>
      <c r="H7" s="24" t="s">
        <v>6760</v>
      </c>
      <c r="I7" s="47"/>
      <c r="J7" s="24">
        <v>0.0</v>
      </c>
    </row>
    <row r="8">
      <c r="A8" s="24">
        <v>201.0</v>
      </c>
      <c r="B8" s="24">
        <v>8.0</v>
      </c>
      <c r="C8" s="47">
        <v>2.668233</v>
      </c>
      <c r="D8" s="35">
        <v>44529.0</v>
      </c>
      <c r="E8" s="47">
        <v>0.333529125</v>
      </c>
      <c r="F8" s="47">
        <v>13.2747910447761</v>
      </c>
      <c r="G8" s="48">
        <v>0.0398009950248756</v>
      </c>
      <c r="H8" s="24" t="s">
        <v>6760</v>
      </c>
      <c r="I8" s="47"/>
      <c r="J8" s="24">
        <v>0.0</v>
      </c>
    </row>
    <row r="9">
      <c r="A9" s="24">
        <v>924.0</v>
      </c>
      <c r="B9" s="24">
        <v>17.0</v>
      </c>
      <c r="C9" s="47">
        <v>9.498931</v>
      </c>
      <c r="D9" s="35">
        <v>44530.0</v>
      </c>
      <c r="E9" s="47">
        <v>0.558760647058823</v>
      </c>
      <c r="F9" s="47">
        <v>10.2802283549783</v>
      </c>
      <c r="G9" s="48">
        <v>0.0183982683982684</v>
      </c>
      <c r="H9" s="24" t="s">
        <v>6760</v>
      </c>
      <c r="I9" s="47"/>
      <c r="J9" s="24">
        <v>0.0</v>
      </c>
    </row>
    <row r="10">
      <c r="A10" s="24">
        <v>268.0</v>
      </c>
      <c r="B10" s="24">
        <v>7.0</v>
      </c>
      <c r="C10" s="47">
        <v>4.242121</v>
      </c>
      <c r="D10" s="35">
        <v>44531.0</v>
      </c>
      <c r="E10" s="47">
        <v>0.606017285714285</v>
      </c>
      <c r="F10" s="47">
        <v>15.8288097014925</v>
      </c>
      <c r="G10" s="48">
        <v>0.0261194029850746</v>
      </c>
      <c r="H10" s="24" t="s">
        <v>6760</v>
      </c>
      <c r="I10" s="47"/>
      <c r="J10" s="24">
        <v>0.0</v>
      </c>
    </row>
    <row r="11">
      <c r="A11" s="24">
        <v>437.0</v>
      </c>
      <c r="B11" s="24">
        <v>3.0</v>
      </c>
      <c r="C11" s="47">
        <v>2.003083</v>
      </c>
      <c r="D11" s="35">
        <v>44532.0</v>
      </c>
      <c r="E11" s="47">
        <v>0.667694333333333</v>
      </c>
      <c r="F11" s="47">
        <v>4.58371395881006</v>
      </c>
      <c r="G11" s="48">
        <v>0.0068649885583524</v>
      </c>
      <c r="H11" s="24" t="s">
        <v>6760</v>
      </c>
      <c r="I11" s="47"/>
      <c r="J11" s="24">
        <v>0.0</v>
      </c>
    </row>
    <row r="12">
      <c r="A12" s="24">
        <v>360.0</v>
      </c>
      <c r="B12" s="24">
        <v>13.0</v>
      </c>
      <c r="C12" s="47">
        <v>8.166083</v>
      </c>
      <c r="D12" s="35">
        <v>44533.0</v>
      </c>
      <c r="E12" s="47">
        <v>0.62816023076923</v>
      </c>
      <c r="F12" s="47">
        <v>22.6835638888888</v>
      </c>
      <c r="G12" s="48">
        <v>0.0361111111111111</v>
      </c>
      <c r="H12" s="24" t="s">
        <v>6760</v>
      </c>
      <c r="I12" s="47"/>
      <c r="J12" s="24">
        <v>0.0</v>
      </c>
    </row>
    <row r="13">
      <c r="A13" s="24">
        <v>192.0</v>
      </c>
      <c r="B13" s="24">
        <v>1.0</v>
      </c>
      <c r="C13" s="47">
        <v>4.65</v>
      </c>
      <c r="D13" s="35">
        <v>44534.0</v>
      </c>
      <c r="E13" s="47">
        <v>4.65</v>
      </c>
      <c r="F13" s="47">
        <v>24.21875</v>
      </c>
      <c r="G13" s="48">
        <v>0.00520833333333333</v>
      </c>
      <c r="H13" s="24" t="s">
        <v>6760</v>
      </c>
      <c r="I13" s="47"/>
      <c r="J13" s="24">
        <v>0.0</v>
      </c>
    </row>
    <row r="14">
      <c r="A14" s="24">
        <v>346.0</v>
      </c>
      <c r="B14" s="24">
        <v>5.0</v>
      </c>
      <c r="C14" s="47">
        <v>2.411835</v>
      </c>
      <c r="D14" s="35">
        <v>44535.0</v>
      </c>
      <c r="E14" s="47">
        <v>0.482367</v>
      </c>
      <c r="F14" s="47">
        <v>6.97062138728323</v>
      </c>
      <c r="G14" s="48">
        <v>0.0144508670520231</v>
      </c>
      <c r="H14" s="24" t="s">
        <v>6760</v>
      </c>
      <c r="I14" s="47"/>
      <c r="J14" s="24">
        <v>0.0</v>
      </c>
    </row>
    <row r="15">
      <c r="A15" s="24">
        <v>477.0</v>
      </c>
      <c r="B15" s="24">
        <v>6.0</v>
      </c>
      <c r="C15" s="47">
        <v>5.693872</v>
      </c>
      <c r="D15" s="35">
        <v>44536.0</v>
      </c>
      <c r="E15" s="47">
        <v>0.948978666666666</v>
      </c>
      <c r="F15" s="47">
        <v>11.9368385744234</v>
      </c>
      <c r="G15" s="48">
        <v>0.0125786163522012</v>
      </c>
      <c r="H15" s="24" t="s">
        <v>6760</v>
      </c>
      <c r="I15" s="47"/>
      <c r="J15" s="24">
        <v>0.0</v>
      </c>
    </row>
    <row r="16">
      <c r="A16" s="24">
        <v>362.0</v>
      </c>
      <c r="B16" s="24">
        <v>5.0</v>
      </c>
      <c r="C16" s="47">
        <v>2.070073</v>
      </c>
      <c r="D16" s="35">
        <v>44537.0</v>
      </c>
      <c r="E16" s="47">
        <v>0.414014599999999</v>
      </c>
      <c r="F16" s="47">
        <v>5.71843370165745</v>
      </c>
      <c r="G16" s="48">
        <v>0.0138121546961325</v>
      </c>
      <c r="H16" s="24" t="s">
        <v>6760</v>
      </c>
      <c r="I16" s="47"/>
      <c r="J16" s="24">
        <v>0.0</v>
      </c>
    </row>
    <row r="17">
      <c r="A17" s="24">
        <v>96.0</v>
      </c>
      <c r="B17" s="24">
        <v>3.0</v>
      </c>
      <c r="C17" s="47">
        <v>0.705298</v>
      </c>
      <c r="D17" s="35">
        <v>44538.0</v>
      </c>
      <c r="E17" s="47">
        <v>0.235099333333333</v>
      </c>
      <c r="F17" s="47">
        <v>7.34685416666666</v>
      </c>
      <c r="G17" s="48">
        <v>0.03125</v>
      </c>
      <c r="H17" s="24" t="s">
        <v>6760</v>
      </c>
      <c r="I17" s="47"/>
      <c r="J17" s="24">
        <v>0.0</v>
      </c>
    </row>
    <row r="18">
      <c r="A18" s="24">
        <v>113.0</v>
      </c>
      <c r="B18" s="24">
        <v>2.0</v>
      </c>
      <c r="C18" s="47">
        <v>0.91</v>
      </c>
      <c r="D18" s="35">
        <v>44539.0</v>
      </c>
      <c r="E18" s="47">
        <v>0.455</v>
      </c>
      <c r="F18" s="47">
        <v>8.05309734513274</v>
      </c>
      <c r="G18" s="48">
        <v>0.0176991150442477</v>
      </c>
      <c r="H18" s="24" t="s">
        <v>6760</v>
      </c>
      <c r="I18" s="47"/>
      <c r="J18" s="24">
        <v>0.0</v>
      </c>
    </row>
    <row r="19">
      <c r="A19" s="24">
        <v>68.0</v>
      </c>
      <c r="B19" s="24">
        <v>0.0</v>
      </c>
      <c r="C19" s="47">
        <v>0.0</v>
      </c>
      <c r="D19" s="35">
        <v>44540.0</v>
      </c>
      <c r="E19" s="47"/>
      <c r="F19" s="47">
        <v>0.0</v>
      </c>
      <c r="G19" s="48">
        <v>0.0</v>
      </c>
      <c r="H19" s="24" t="s">
        <v>6760</v>
      </c>
      <c r="I19" s="47"/>
      <c r="J19" s="24">
        <v>0.0</v>
      </c>
    </row>
    <row r="20">
      <c r="A20" s="24">
        <v>44.0</v>
      </c>
      <c r="B20" s="24">
        <v>3.0</v>
      </c>
      <c r="C20" s="47">
        <v>2.51</v>
      </c>
      <c r="D20" s="35">
        <v>44541.0</v>
      </c>
      <c r="E20" s="47">
        <v>0.836666666666666</v>
      </c>
      <c r="F20" s="47">
        <v>57.0454545454545</v>
      </c>
      <c r="G20" s="48">
        <v>0.0681818181818181</v>
      </c>
      <c r="H20" s="24" t="s">
        <v>6760</v>
      </c>
      <c r="I20" s="47"/>
      <c r="J20" s="24">
        <v>0.0</v>
      </c>
    </row>
    <row r="21">
      <c r="A21" s="24">
        <v>20.0</v>
      </c>
      <c r="B21" s="24">
        <v>1.0</v>
      </c>
      <c r="C21" s="47">
        <v>0.46</v>
      </c>
      <c r="D21" s="35">
        <v>44542.0</v>
      </c>
      <c r="E21" s="47">
        <v>0.46</v>
      </c>
      <c r="F21" s="47">
        <v>23.0</v>
      </c>
      <c r="G21" s="48">
        <v>0.05</v>
      </c>
      <c r="H21" s="24" t="s">
        <v>6760</v>
      </c>
      <c r="I21" s="47"/>
      <c r="J21" s="24">
        <v>0.0</v>
      </c>
    </row>
    <row r="22">
      <c r="A22" s="24">
        <v>37.0</v>
      </c>
      <c r="B22" s="24">
        <v>3.0</v>
      </c>
      <c r="C22" s="47">
        <v>3.72</v>
      </c>
      <c r="D22" s="35">
        <v>44543.0</v>
      </c>
      <c r="E22" s="47">
        <v>1.24</v>
      </c>
      <c r="F22" s="47">
        <v>100.54054054054</v>
      </c>
      <c r="G22" s="48">
        <v>0.081081081081081</v>
      </c>
      <c r="H22" s="24" t="s">
        <v>6760</v>
      </c>
      <c r="I22" s="47"/>
      <c r="J22" s="24">
        <v>0.0</v>
      </c>
    </row>
    <row r="23">
      <c r="A23" s="24">
        <v>49.0</v>
      </c>
      <c r="B23" s="24">
        <v>2.0</v>
      </c>
      <c r="C23" s="47">
        <v>0.59</v>
      </c>
      <c r="D23" s="35">
        <v>44544.0</v>
      </c>
      <c r="E23" s="47">
        <v>0.295</v>
      </c>
      <c r="F23" s="47">
        <v>12.0408163265306</v>
      </c>
      <c r="G23" s="48">
        <v>0.0408163265306122</v>
      </c>
      <c r="H23" s="24" t="s">
        <v>6760</v>
      </c>
      <c r="I23" s="47"/>
      <c r="J23" s="24">
        <v>0.0</v>
      </c>
    </row>
    <row r="24">
      <c r="A24" s="24">
        <v>36.0</v>
      </c>
      <c r="B24" s="24">
        <v>3.0</v>
      </c>
      <c r="C24" s="47">
        <v>1.38</v>
      </c>
      <c r="D24" s="35">
        <v>44545.0</v>
      </c>
      <c r="E24" s="47">
        <v>0.46</v>
      </c>
      <c r="F24" s="47">
        <v>38.3333333333333</v>
      </c>
      <c r="G24" s="48">
        <v>0.0833333333333333</v>
      </c>
      <c r="H24" s="24" t="s">
        <v>6760</v>
      </c>
      <c r="I24" s="47"/>
      <c r="J24" s="24">
        <v>0.0</v>
      </c>
    </row>
    <row r="25">
      <c r="A25" s="24">
        <v>20.0</v>
      </c>
      <c r="B25" s="24">
        <v>0.0</v>
      </c>
      <c r="C25" s="47">
        <v>0.0</v>
      </c>
      <c r="D25" s="35">
        <v>44546.0</v>
      </c>
      <c r="E25" s="47"/>
      <c r="F25" s="47">
        <v>0.0</v>
      </c>
      <c r="G25" s="48">
        <v>0.0</v>
      </c>
      <c r="H25" s="24" t="s">
        <v>6760</v>
      </c>
      <c r="I25" s="47"/>
      <c r="J25" s="24">
        <v>0.0</v>
      </c>
    </row>
    <row r="26">
      <c r="A26" s="24">
        <v>32.0</v>
      </c>
      <c r="B26" s="24">
        <v>4.0</v>
      </c>
      <c r="C26" s="47">
        <v>3.02</v>
      </c>
      <c r="D26" s="35">
        <v>44547.0</v>
      </c>
      <c r="E26" s="47">
        <v>0.755</v>
      </c>
      <c r="F26" s="47">
        <v>94.375</v>
      </c>
      <c r="G26" s="48">
        <v>0.125</v>
      </c>
      <c r="H26" s="24" t="s">
        <v>6760</v>
      </c>
      <c r="I26" s="47"/>
      <c r="J26" s="24">
        <v>0.0</v>
      </c>
    </row>
    <row r="27">
      <c r="A27" s="24">
        <v>17.0</v>
      </c>
      <c r="B27" s="24">
        <v>1.0</v>
      </c>
      <c r="C27" s="47">
        <v>1.77</v>
      </c>
      <c r="D27" s="35">
        <v>44548.0</v>
      </c>
      <c r="E27" s="47">
        <v>1.77</v>
      </c>
      <c r="F27" s="47">
        <v>104.117647058823</v>
      </c>
      <c r="G27" s="48">
        <v>0.0588235294117647</v>
      </c>
      <c r="H27" s="24" t="s">
        <v>6760</v>
      </c>
      <c r="I27" s="47"/>
      <c r="J27" s="24">
        <v>0.0</v>
      </c>
    </row>
    <row r="28">
      <c r="A28" s="24">
        <v>19.0</v>
      </c>
      <c r="B28" s="24">
        <v>0.0</v>
      </c>
      <c r="C28" s="47">
        <v>0.0</v>
      </c>
      <c r="D28" s="35">
        <v>44549.0</v>
      </c>
      <c r="E28" s="47"/>
      <c r="F28" s="47">
        <v>0.0</v>
      </c>
      <c r="G28" s="48">
        <v>0.0</v>
      </c>
      <c r="H28" s="24" t="s">
        <v>6760</v>
      </c>
      <c r="I28" s="47"/>
      <c r="J28" s="24">
        <v>0.0</v>
      </c>
    </row>
    <row r="29">
      <c r="A29" s="24">
        <v>27.0</v>
      </c>
      <c r="B29" s="24">
        <v>4.0</v>
      </c>
      <c r="C29" s="47">
        <v>3.858195</v>
      </c>
      <c r="D29" s="35">
        <v>44550.0</v>
      </c>
      <c r="E29" s="47">
        <v>0.96454875</v>
      </c>
      <c r="F29" s="47">
        <v>142.896111111111</v>
      </c>
      <c r="G29" s="48">
        <v>0.148148148148148</v>
      </c>
      <c r="H29" s="24" t="s">
        <v>6760</v>
      </c>
      <c r="I29" s="47"/>
      <c r="J29" s="24">
        <v>0.0</v>
      </c>
    </row>
    <row r="30">
      <c r="A30" s="24">
        <v>28.0</v>
      </c>
      <c r="B30" s="24">
        <v>2.0</v>
      </c>
      <c r="C30" s="47">
        <v>1.05</v>
      </c>
      <c r="D30" s="35">
        <v>44551.0</v>
      </c>
      <c r="E30" s="47">
        <v>0.525</v>
      </c>
      <c r="F30" s="47">
        <v>37.5</v>
      </c>
      <c r="G30" s="48">
        <v>0.0714285714285714</v>
      </c>
      <c r="H30" s="24" t="s">
        <v>6760</v>
      </c>
      <c r="I30" s="47"/>
      <c r="J30" s="24">
        <v>0.0</v>
      </c>
    </row>
    <row r="31">
      <c r="A31" s="24">
        <v>73.0</v>
      </c>
      <c r="B31" s="24">
        <v>2.0</v>
      </c>
      <c r="C31" s="47">
        <v>2.115682</v>
      </c>
      <c r="D31" s="35">
        <v>44552.0</v>
      </c>
      <c r="E31" s="47">
        <v>1.057841</v>
      </c>
      <c r="F31" s="47">
        <v>28.9819452054794</v>
      </c>
      <c r="G31" s="48">
        <v>0.0273972602739726</v>
      </c>
      <c r="H31" s="24" t="s">
        <v>6760</v>
      </c>
      <c r="I31" s="47"/>
      <c r="J31" s="24">
        <v>0.0</v>
      </c>
    </row>
    <row r="32">
      <c r="A32" s="24">
        <v>98.0</v>
      </c>
      <c r="B32" s="24">
        <v>6.0</v>
      </c>
      <c r="C32" s="47">
        <v>2.858661</v>
      </c>
      <c r="D32" s="35">
        <v>44553.0</v>
      </c>
      <c r="E32" s="47">
        <v>0.4764435</v>
      </c>
      <c r="F32" s="47">
        <v>29.1700102040816</v>
      </c>
      <c r="G32" s="48">
        <v>0.0612244897959183</v>
      </c>
      <c r="H32" s="24" t="s">
        <v>6760</v>
      </c>
      <c r="I32" s="47"/>
      <c r="J32" s="24">
        <v>0.0</v>
      </c>
    </row>
    <row r="33">
      <c r="A33" s="24">
        <v>150.0</v>
      </c>
      <c r="B33" s="24">
        <v>5.0</v>
      </c>
      <c r="C33" s="47">
        <v>5.457236</v>
      </c>
      <c r="D33" s="35">
        <v>44554.0</v>
      </c>
      <c r="E33" s="47">
        <v>1.0914472</v>
      </c>
      <c r="F33" s="47">
        <v>36.3815733333333</v>
      </c>
      <c r="G33" s="48">
        <v>0.0333333333333333</v>
      </c>
      <c r="H33" s="24" t="s">
        <v>6760</v>
      </c>
      <c r="I33" s="47"/>
      <c r="J33" s="24">
        <v>0.0</v>
      </c>
    </row>
    <row r="34">
      <c r="A34" s="24">
        <v>210.0</v>
      </c>
      <c r="B34" s="24">
        <v>4.0</v>
      </c>
      <c r="C34" s="47">
        <v>1.221765</v>
      </c>
      <c r="D34" s="35">
        <v>44555.0</v>
      </c>
      <c r="E34" s="47">
        <v>0.30544125</v>
      </c>
      <c r="F34" s="47">
        <v>5.81792857142857</v>
      </c>
      <c r="G34" s="48">
        <v>0.019047619047619</v>
      </c>
      <c r="H34" s="24" t="s">
        <v>6760</v>
      </c>
      <c r="I34" s="47"/>
      <c r="J34" s="24">
        <v>0.0</v>
      </c>
    </row>
    <row r="35">
      <c r="A35" s="24">
        <v>367.0</v>
      </c>
      <c r="B35" s="24">
        <v>8.0</v>
      </c>
      <c r="C35" s="47">
        <v>3.039908</v>
      </c>
      <c r="D35" s="35">
        <v>44556.0</v>
      </c>
      <c r="E35" s="47">
        <v>0.3799885</v>
      </c>
      <c r="F35" s="47">
        <v>8.28312806539509</v>
      </c>
      <c r="G35" s="48">
        <v>0.0217983651226158</v>
      </c>
      <c r="H35" s="24" t="s">
        <v>6760</v>
      </c>
      <c r="I35" s="47"/>
      <c r="J35" s="24">
        <v>0.0</v>
      </c>
    </row>
    <row r="36">
      <c r="A36" s="24">
        <v>345.0</v>
      </c>
      <c r="B36" s="24">
        <v>11.0</v>
      </c>
      <c r="C36" s="47">
        <v>2.721934</v>
      </c>
      <c r="D36" s="35">
        <v>44557.0</v>
      </c>
      <c r="E36" s="47">
        <v>0.247448545454545</v>
      </c>
      <c r="F36" s="47">
        <v>7.88966376811594</v>
      </c>
      <c r="G36" s="48">
        <v>0.0318840579710144</v>
      </c>
      <c r="H36" s="24" t="s">
        <v>6760</v>
      </c>
      <c r="I36" s="47"/>
      <c r="J36" s="24">
        <v>0.0</v>
      </c>
    </row>
    <row r="37">
      <c r="A37" s="24">
        <v>489.0</v>
      </c>
      <c r="B37" s="24">
        <v>7.0</v>
      </c>
      <c r="C37" s="47">
        <v>1.246755</v>
      </c>
      <c r="D37" s="35">
        <v>44558.0</v>
      </c>
      <c r="E37" s="47">
        <v>0.178107857142857</v>
      </c>
      <c r="F37" s="47">
        <v>2.54960122699386</v>
      </c>
      <c r="G37" s="48">
        <v>0.0143149284253578</v>
      </c>
      <c r="H37" s="24" t="s">
        <v>6760</v>
      </c>
      <c r="I37" s="47"/>
      <c r="J37" s="24">
        <v>0.0</v>
      </c>
    </row>
    <row r="38">
      <c r="A38" s="24">
        <v>987.0</v>
      </c>
      <c r="B38" s="24">
        <v>17.0</v>
      </c>
      <c r="C38" s="47">
        <v>6.412458</v>
      </c>
      <c r="D38" s="35">
        <v>44559.0</v>
      </c>
      <c r="E38" s="47">
        <v>0.377203411764705</v>
      </c>
      <c r="F38" s="47">
        <v>6.49691793313069</v>
      </c>
      <c r="G38" s="48">
        <v>0.0172239108409321</v>
      </c>
      <c r="H38" s="24" t="s">
        <v>6760</v>
      </c>
      <c r="I38" s="47"/>
      <c r="J38" s="24">
        <v>0.0</v>
      </c>
    </row>
    <row r="39">
      <c r="A39" s="24">
        <v>1109.0</v>
      </c>
      <c r="B39" s="24">
        <v>28.0</v>
      </c>
      <c r="C39" s="47">
        <v>10.023663</v>
      </c>
      <c r="D39" s="35">
        <v>44560.0</v>
      </c>
      <c r="E39" s="47">
        <v>0.357987964285714</v>
      </c>
      <c r="F39" s="47">
        <v>9.03846979260595</v>
      </c>
      <c r="G39" s="48">
        <v>0.0252479711451758</v>
      </c>
      <c r="H39" s="24" t="s">
        <v>6760</v>
      </c>
      <c r="I39" s="47"/>
      <c r="J39" s="24">
        <v>0.0</v>
      </c>
    </row>
    <row r="40">
      <c r="A40" s="24">
        <v>1445.0</v>
      </c>
      <c r="B40" s="24">
        <v>26.0</v>
      </c>
      <c r="C40" s="47">
        <v>7.668546</v>
      </c>
      <c r="D40" s="35">
        <v>44561.0</v>
      </c>
      <c r="E40" s="47">
        <v>0.294944076923076</v>
      </c>
      <c r="F40" s="47">
        <v>5.30695224913494</v>
      </c>
      <c r="G40" s="48">
        <v>0.017993079584775</v>
      </c>
      <c r="H40" s="24" t="s">
        <v>6760</v>
      </c>
      <c r="I40" s="47"/>
      <c r="J40" s="24">
        <v>0.0</v>
      </c>
    </row>
    <row r="41">
      <c r="A41" s="24">
        <v>1225.0</v>
      </c>
      <c r="B41" s="24">
        <v>16.0</v>
      </c>
      <c r="C41" s="47">
        <v>5.504673</v>
      </c>
      <c r="D41" s="35">
        <v>44562.0</v>
      </c>
      <c r="E41" s="47">
        <v>0.3440420625</v>
      </c>
      <c r="F41" s="47">
        <v>4.49361061224489</v>
      </c>
      <c r="G41" s="48">
        <v>0.0130612244897959</v>
      </c>
      <c r="H41" s="24" t="s">
        <v>6760</v>
      </c>
      <c r="I41" s="47"/>
      <c r="J41" s="24">
        <v>0.0</v>
      </c>
    </row>
    <row r="42">
      <c r="A42" s="24">
        <v>920.0</v>
      </c>
      <c r="B42" s="24">
        <v>4.0</v>
      </c>
      <c r="C42" s="47">
        <v>0.469785</v>
      </c>
      <c r="D42" s="35">
        <v>44563.0</v>
      </c>
      <c r="E42" s="47">
        <v>0.11744625</v>
      </c>
      <c r="F42" s="47">
        <v>0.510635869565217</v>
      </c>
      <c r="G42" s="48">
        <v>0.00434782608695652</v>
      </c>
      <c r="H42" s="24" t="s">
        <v>6760</v>
      </c>
      <c r="I42" s="47"/>
      <c r="J42" s="24">
        <v>0.0</v>
      </c>
    </row>
    <row r="43">
      <c r="A43" s="24">
        <v>455.0</v>
      </c>
      <c r="B43" s="24">
        <v>19.0</v>
      </c>
      <c r="C43" s="47">
        <v>6.853388</v>
      </c>
      <c r="D43" s="35">
        <v>44564.0</v>
      </c>
      <c r="E43" s="47">
        <v>0.360704631578947</v>
      </c>
      <c r="F43" s="47">
        <v>15.0623912087912</v>
      </c>
      <c r="G43" s="48">
        <v>0.0417582417582417</v>
      </c>
      <c r="H43" s="24" t="s">
        <v>6760</v>
      </c>
      <c r="I43" s="47"/>
      <c r="J43" s="24">
        <v>0.0</v>
      </c>
    </row>
    <row r="44">
      <c r="A44" s="24">
        <v>467.0</v>
      </c>
      <c r="B44" s="24">
        <v>11.0</v>
      </c>
      <c r="C44" s="47">
        <v>3.685358</v>
      </c>
      <c r="D44" s="35">
        <v>44565.0</v>
      </c>
      <c r="E44" s="47">
        <v>0.335032545454545</v>
      </c>
      <c r="F44" s="47">
        <v>7.89155888650963</v>
      </c>
      <c r="G44" s="48">
        <v>0.0235546038543897</v>
      </c>
      <c r="H44" s="24" t="s">
        <v>6760</v>
      </c>
      <c r="I44" s="47"/>
      <c r="J44" s="24">
        <v>0.0</v>
      </c>
    </row>
    <row r="45">
      <c r="A45" s="24">
        <v>254.0</v>
      </c>
      <c r="B45" s="24">
        <v>7.0</v>
      </c>
      <c r="C45" s="47">
        <v>1.991809</v>
      </c>
      <c r="D45" s="35">
        <v>44566.0</v>
      </c>
      <c r="E45" s="47">
        <v>0.284544142857142</v>
      </c>
      <c r="F45" s="47">
        <v>7.84176771653543</v>
      </c>
      <c r="G45" s="48">
        <v>0.0275590551181102</v>
      </c>
      <c r="H45" s="24" t="s">
        <v>6760</v>
      </c>
      <c r="I45" s="47"/>
      <c r="J45" s="24">
        <v>0.0</v>
      </c>
    </row>
    <row r="46">
      <c r="A46" s="24">
        <v>290.0</v>
      </c>
      <c r="B46" s="24">
        <v>6.0</v>
      </c>
      <c r="C46" s="47">
        <v>1.231487</v>
      </c>
      <c r="D46" s="35">
        <v>44567.0</v>
      </c>
      <c r="E46" s="47">
        <v>0.205247833333333</v>
      </c>
      <c r="F46" s="47">
        <v>4.24650689655172</v>
      </c>
      <c r="G46" s="48">
        <v>0.0206896551724137</v>
      </c>
      <c r="H46" s="24" t="s">
        <v>6760</v>
      </c>
      <c r="I46" s="47"/>
      <c r="J46" s="24">
        <v>0.0</v>
      </c>
    </row>
    <row r="47">
      <c r="A47" s="24">
        <v>529.0</v>
      </c>
      <c r="B47" s="24">
        <v>16.0</v>
      </c>
      <c r="C47" s="47">
        <v>2.713907</v>
      </c>
      <c r="D47" s="35">
        <v>44568.0</v>
      </c>
      <c r="E47" s="47">
        <v>0.1696191875</v>
      </c>
      <c r="F47" s="47">
        <v>5.13025897920604</v>
      </c>
      <c r="G47" s="48">
        <v>0.0302457466918714</v>
      </c>
      <c r="H47" s="24" t="s">
        <v>6760</v>
      </c>
      <c r="I47" s="47"/>
      <c r="J47" s="24">
        <v>0.0</v>
      </c>
    </row>
    <row r="48">
      <c r="A48" s="24">
        <v>2043.0</v>
      </c>
      <c r="B48" s="24">
        <v>28.0</v>
      </c>
      <c r="C48" s="47">
        <v>7.174261</v>
      </c>
      <c r="D48" s="35">
        <v>44569.0</v>
      </c>
      <c r="E48" s="47">
        <v>0.256223607142857</v>
      </c>
      <c r="F48" s="47">
        <v>3.51163044542339</v>
      </c>
      <c r="G48" s="48">
        <v>0.0137053352912383</v>
      </c>
      <c r="H48" s="24" t="s">
        <v>6760</v>
      </c>
      <c r="I48" s="47"/>
      <c r="J48" s="24">
        <v>0.0</v>
      </c>
    </row>
    <row r="49">
      <c r="A49" s="24">
        <v>2305.0</v>
      </c>
      <c r="B49" s="24">
        <v>30.0</v>
      </c>
      <c r="C49" s="47">
        <v>8.035449</v>
      </c>
      <c r="D49" s="35">
        <v>44570.0</v>
      </c>
      <c r="E49" s="47">
        <v>0.2678483</v>
      </c>
      <c r="F49" s="47">
        <v>3.48609501084598</v>
      </c>
      <c r="G49" s="48">
        <v>0.0130151843817787</v>
      </c>
      <c r="H49" s="24" t="s">
        <v>6760</v>
      </c>
      <c r="I49" s="47"/>
      <c r="J49" s="24">
        <v>0.0</v>
      </c>
    </row>
    <row r="50">
      <c r="A50" s="24">
        <v>1976.0</v>
      </c>
      <c r="B50" s="24">
        <v>26.0</v>
      </c>
      <c r="C50" s="47">
        <v>6.232143</v>
      </c>
      <c r="D50" s="35">
        <v>44571.0</v>
      </c>
      <c r="E50" s="47">
        <v>0.239697807692307</v>
      </c>
      <c r="F50" s="47">
        <v>3.1539185222672</v>
      </c>
      <c r="G50" s="48">
        <v>0.0131578947368421</v>
      </c>
      <c r="H50" s="24" t="s">
        <v>6760</v>
      </c>
      <c r="I50" s="47"/>
      <c r="J50" s="24">
        <v>0.0</v>
      </c>
    </row>
    <row r="51">
      <c r="A51" s="24">
        <v>162.0</v>
      </c>
      <c r="B51" s="24">
        <v>8.0</v>
      </c>
      <c r="C51" s="47">
        <v>2.354861</v>
      </c>
      <c r="D51" s="35">
        <v>44572.0</v>
      </c>
      <c r="E51" s="47">
        <v>0.294357625</v>
      </c>
      <c r="F51" s="47">
        <v>14.5361790123456</v>
      </c>
      <c r="G51" s="48">
        <v>0.0493827160493827</v>
      </c>
      <c r="H51" s="24" t="s">
        <v>6760</v>
      </c>
      <c r="I51" s="47"/>
      <c r="J51" s="24">
        <v>0.0</v>
      </c>
    </row>
    <row r="52">
      <c r="A52" s="24">
        <v>74.0</v>
      </c>
      <c r="B52" s="24">
        <v>4.0</v>
      </c>
      <c r="C52" s="47">
        <v>4.23</v>
      </c>
      <c r="D52" s="35">
        <v>44573.0</v>
      </c>
      <c r="E52" s="47">
        <v>1.0575</v>
      </c>
      <c r="F52" s="47">
        <v>57.1621621621621</v>
      </c>
      <c r="G52" s="48">
        <v>0.054054054054054</v>
      </c>
      <c r="H52" s="24" t="s">
        <v>6760</v>
      </c>
      <c r="I52" s="47"/>
      <c r="J52" s="24">
        <v>0.0</v>
      </c>
    </row>
    <row r="53">
      <c r="A53" s="24">
        <v>89.0</v>
      </c>
      <c r="B53" s="24">
        <v>2.0</v>
      </c>
      <c r="C53" s="47">
        <v>5.72</v>
      </c>
      <c r="D53" s="35">
        <v>44574.0</v>
      </c>
      <c r="E53" s="47">
        <v>2.86</v>
      </c>
      <c r="F53" s="47">
        <v>64.2696629213483</v>
      </c>
      <c r="G53" s="48">
        <v>0.0224719101123595</v>
      </c>
      <c r="H53" s="24" t="s">
        <v>6760</v>
      </c>
      <c r="I53" s="47"/>
      <c r="J53" s="24">
        <v>0.0</v>
      </c>
    </row>
    <row r="54">
      <c r="A54" s="24">
        <v>45.0</v>
      </c>
      <c r="B54" s="24">
        <v>2.0</v>
      </c>
      <c r="C54" s="47">
        <v>11.33</v>
      </c>
      <c r="D54" s="35">
        <v>44575.0</v>
      </c>
      <c r="E54" s="47">
        <v>5.665</v>
      </c>
      <c r="F54" s="47">
        <v>251.777777777777</v>
      </c>
      <c r="G54" s="48">
        <v>0.0444444444444444</v>
      </c>
      <c r="H54" s="24" t="s">
        <v>6760</v>
      </c>
      <c r="I54" s="47"/>
      <c r="J54" s="24">
        <v>0.0</v>
      </c>
    </row>
    <row r="55">
      <c r="A55" s="24">
        <v>737.0</v>
      </c>
      <c r="B55" s="24">
        <v>7.0</v>
      </c>
      <c r="C55" s="47">
        <v>0.867623</v>
      </c>
      <c r="D55" s="35">
        <v>44576.0</v>
      </c>
      <c r="E55" s="47">
        <v>0.123946142857142</v>
      </c>
      <c r="F55" s="47">
        <v>1.17723609226594</v>
      </c>
      <c r="G55" s="48">
        <v>0.00949796472184531</v>
      </c>
      <c r="H55" s="24" t="s">
        <v>6760</v>
      </c>
      <c r="I55" s="47"/>
      <c r="J55" s="24">
        <v>0.0</v>
      </c>
    </row>
    <row r="56">
      <c r="A56" s="24">
        <v>1533.0</v>
      </c>
      <c r="B56" s="24">
        <v>25.0</v>
      </c>
      <c r="C56" s="47">
        <v>9.311069</v>
      </c>
      <c r="D56" s="35">
        <v>44577.0</v>
      </c>
      <c r="E56" s="47">
        <v>0.37244276</v>
      </c>
      <c r="F56" s="47">
        <v>6.07375668623613</v>
      </c>
      <c r="G56" s="48">
        <v>0.0163078930202217</v>
      </c>
      <c r="H56" s="24" t="s">
        <v>6760</v>
      </c>
      <c r="I56" s="47"/>
      <c r="J56" s="24">
        <v>0.0</v>
      </c>
    </row>
    <row r="57">
      <c r="A57" s="24">
        <v>1127.0</v>
      </c>
      <c r="B57" s="24">
        <v>19.0</v>
      </c>
      <c r="C57" s="47">
        <v>12.347105</v>
      </c>
      <c r="D57" s="35">
        <v>44578.0</v>
      </c>
      <c r="E57" s="47">
        <v>0.649847631578947</v>
      </c>
      <c r="F57" s="47">
        <v>10.9557275953859</v>
      </c>
      <c r="G57" s="48">
        <v>0.0168589174800354</v>
      </c>
      <c r="H57" s="24" t="s">
        <v>6760</v>
      </c>
      <c r="I57" s="47"/>
      <c r="J57" s="24">
        <v>0.0</v>
      </c>
    </row>
    <row r="58">
      <c r="A58" s="24">
        <v>995.0</v>
      </c>
      <c r="B58" s="24">
        <v>18.0</v>
      </c>
      <c r="C58" s="47">
        <v>12.314058</v>
      </c>
      <c r="D58" s="35">
        <v>44579.0</v>
      </c>
      <c r="E58" s="47">
        <v>0.684114333333333</v>
      </c>
      <c r="F58" s="47">
        <v>12.3759376884422</v>
      </c>
      <c r="G58" s="48">
        <v>0.0180904522613065</v>
      </c>
      <c r="H58" s="24" t="s">
        <v>6760</v>
      </c>
      <c r="I58" s="47"/>
      <c r="J58" s="24">
        <v>0.0</v>
      </c>
    </row>
    <row r="59">
      <c r="A59" s="24">
        <v>948.0</v>
      </c>
      <c r="B59" s="24">
        <v>5.0</v>
      </c>
      <c r="C59" s="47">
        <v>3.930568</v>
      </c>
      <c r="D59" s="35">
        <v>44580.0</v>
      </c>
      <c r="E59" s="47">
        <v>0.7861136</v>
      </c>
      <c r="F59" s="47">
        <v>4.1461687763713</v>
      </c>
      <c r="G59" s="48">
        <v>0.00527426160337552</v>
      </c>
      <c r="H59" s="24" t="s">
        <v>6760</v>
      </c>
      <c r="I59" s="47"/>
      <c r="J59" s="24">
        <v>0.0</v>
      </c>
    </row>
    <row r="60">
      <c r="A60" s="24">
        <v>941.0</v>
      </c>
      <c r="B60" s="24">
        <v>10.0</v>
      </c>
      <c r="C60" s="47">
        <v>29.161441</v>
      </c>
      <c r="D60" s="35">
        <v>44581.0</v>
      </c>
      <c r="E60" s="47">
        <v>2.9161441</v>
      </c>
      <c r="F60" s="47">
        <v>30.9898416578108</v>
      </c>
      <c r="G60" s="48">
        <v>0.0106269925611052</v>
      </c>
      <c r="H60" s="24" t="s">
        <v>6760</v>
      </c>
      <c r="I60" s="47"/>
      <c r="J60" s="24">
        <v>0.0</v>
      </c>
    </row>
    <row r="61">
      <c r="A61" s="24">
        <v>361.0</v>
      </c>
      <c r="B61" s="24">
        <v>5.0</v>
      </c>
      <c r="C61" s="47">
        <v>20.298223</v>
      </c>
      <c r="D61" s="35">
        <v>44582.0</v>
      </c>
      <c r="E61" s="47">
        <v>4.0596446</v>
      </c>
      <c r="F61" s="47">
        <v>56.2277645429362</v>
      </c>
      <c r="G61" s="48">
        <v>0.0138504155124653</v>
      </c>
      <c r="H61" s="24" t="s">
        <v>6760</v>
      </c>
      <c r="I61" s="47"/>
      <c r="J61" s="24">
        <v>0.0</v>
      </c>
    </row>
    <row r="62">
      <c r="A62" s="24">
        <v>27.0</v>
      </c>
      <c r="B62" s="24">
        <v>3.0</v>
      </c>
      <c r="C62" s="47">
        <v>16.05</v>
      </c>
      <c r="D62" s="35">
        <v>44583.0</v>
      </c>
      <c r="E62" s="47">
        <v>5.35</v>
      </c>
      <c r="F62" s="47">
        <v>594.444444444444</v>
      </c>
      <c r="G62" s="48">
        <v>0.111111111111111</v>
      </c>
      <c r="H62" s="24" t="s">
        <v>6760</v>
      </c>
      <c r="I62" s="47"/>
      <c r="J62" s="24">
        <v>0.0</v>
      </c>
    </row>
    <row r="63">
      <c r="A63" s="24">
        <v>1802.0</v>
      </c>
      <c r="B63" s="24">
        <v>19.0</v>
      </c>
      <c r="C63" s="47">
        <v>7.459938</v>
      </c>
      <c r="D63" s="35">
        <v>44584.0</v>
      </c>
      <c r="E63" s="47">
        <v>0.392628315789473</v>
      </c>
      <c r="F63" s="47">
        <v>4.1398102108768</v>
      </c>
      <c r="G63" s="48">
        <v>0.0105438401775804</v>
      </c>
      <c r="H63" s="24" t="s">
        <v>6760</v>
      </c>
      <c r="I63" s="47"/>
      <c r="J63" s="24">
        <v>0.0</v>
      </c>
    </row>
    <row r="64">
      <c r="A64" s="24">
        <v>1809.0</v>
      </c>
      <c r="B64" s="24">
        <v>19.0</v>
      </c>
      <c r="C64" s="47">
        <v>9.68736</v>
      </c>
      <c r="D64" s="35">
        <v>44585.0</v>
      </c>
      <c r="E64" s="47">
        <v>0.509861052631578</v>
      </c>
      <c r="F64" s="47">
        <v>5.35509121061359</v>
      </c>
      <c r="G64" s="48">
        <v>0.0105030403537866</v>
      </c>
      <c r="H64" s="24" t="s">
        <v>6760</v>
      </c>
      <c r="I64" s="47"/>
      <c r="J64" s="24">
        <v>0.0</v>
      </c>
    </row>
    <row r="65">
      <c r="A65" s="24">
        <v>1915.0</v>
      </c>
      <c r="B65" s="24">
        <v>28.0</v>
      </c>
      <c r="C65" s="47">
        <v>15.917403</v>
      </c>
      <c r="D65" s="35">
        <v>44586.0</v>
      </c>
      <c r="E65" s="47">
        <v>0.568478678571428</v>
      </c>
      <c r="F65" s="47">
        <v>8.31195979112271</v>
      </c>
      <c r="G65" s="48">
        <v>0.014621409921671</v>
      </c>
      <c r="H65" s="24" t="s">
        <v>6760</v>
      </c>
      <c r="I65" s="47"/>
      <c r="J65" s="24">
        <v>0.0</v>
      </c>
    </row>
    <row r="66">
      <c r="A66" s="24">
        <v>1860.0</v>
      </c>
      <c r="B66" s="24">
        <v>30.0</v>
      </c>
      <c r="C66" s="47">
        <v>15.736228</v>
      </c>
      <c r="D66" s="35">
        <v>44587.0</v>
      </c>
      <c r="E66" s="47">
        <v>0.524540933333333</v>
      </c>
      <c r="F66" s="47">
        <v>8.4603376344086</v>
      </c>
      <c r="G66" s="48">
        <v>0.0161290322580645</v>
      </c>
      <c r="H66" s="24" t="s">
        <v>6760</v>
      </c>
      <c r="I66" s="47"/>
      <c r="J66" s="24">
        <v>0.0</v>
      </c>
    </row>
    <row r="67">
      <c r="A67" s="24">
        <v>1095.0</v>
      </c>
      <c r="B67" s="24">
        <v>20.0</v>
      </c>
      <c r="C67" s="47">
        <v>12.653271</v>
      </c>
      <c r="D67" s="35">
        <v>44588.0</v>
      </c>
      <c r="E67" s="47">
        <v>0.63266355</v>
      </c>
      <c r="F67" s="47">
        <v>11.5554986301369</v>
      </c>
      <c r="G67" s="48">
        <v>0.0182648401826484</v>
      </c>
      <c r="H67" s="24" t="s">
        <v>6760</v>
      </c>
      <c r="I67" s="47"/>
      <c r="J67" s="24">
        <v>0.0</v>
      </c>
    </row>
    <row r="68">
      <c r="A68" s="24">
        <v>1643.0</v>
      </c>
      <c r="B68" s="24">
        <v>32.0</v>
      </c>
      <c r="C68" s="47">
        <v>26.919488</v>
      </c>
      <c r="D68" s="35">
        <v>44589.0</v>
      </c>
      <c r="E68" s="47">
        <v>0.841234</v>
      </c>
      <c r="F68" s="47">
        <v>16.3843505782105</v>
      </c>
      <c r="G68" s="48">
        <v>0.0194765672550213</v>
      </c>
      <c r="H68" s="24" t="s">
        <v>6760</v>
      </c>
      <c r="I68" s="47"/>
      <c r="J68" s="24">
        <v>0.0</v>
      </c>
    </row>
    <row r="69">
      <c r="A69" s="24">
        <v>790.0</v>
      </c>
      <c r="B69" s="24">
        <v>20.0</v>
      </c>
      <c r="C69" s="47">
        <v>12.136384</v>
      </c>
      <c r="D69" s="35">
        <v>44590.0</v>
      </c>
      <c r="E69" s="47">
        <v>0.6068192</v>
      </c>
      <c r="F69" s="47">
        <v>15.362511392405</v>
      </c>
      <c r="G69" s="48">
        <v>0.0253164556962025</v>
      </c>
      <c r="H69" s="24" t="s">
        <v>6760</v>
      </c>
      <c r="I69" s="47"/>
      <c r="J69" s="24">
        <v>0.0</v>
      </c>
    </row>
    <row r="70">
      <c r="A70" s="24">
        <v>1518.0</v>
      </c>
      <c r="B70" s="24">
        <v>30.0</v>
      </c>
      <c r="C70" s="47">
        <v>15.336155</v>
      </c>
      <c r="D70" s="35">
        <v>44591.0</v>
      </c>
      <c r="E70" s="47">
        <v>0.511205166666666</v>
      </c>
      <c r="F70" s="47">
        <v>10.1028689064558</v>
      </c>
      <c r="G70" s="48">
        <v>0.0197628458498023</v>
      </c>
      <c r="H70" s="24" t="s">
        <v>6760</v>
      </c>
      <c r="I70" s="47"/>
      <c r="J70" s="24">
        <v>0.0</v>
      </c>
    </row>
    <row r="71">
      <c r="A71" s="24">
        <v>619.0</v>
      </c>
      <c r="B71" s="24">
        <v>17.0</v>
      </c>
      <c r="C71" s="47">
        <v>19.097288</v>
      </c>
      <c r="D71" s="35">
        <v>44592.0</v>
      </c>
      <c r="E71" s="47">
        <v>1.12336988235294</v>
      </c>
      <c r="F71" s="47">
        <v>30.8518384491114</v>
      </c>
      <c r="G71" s="48">
        <v>0.0274636510500807</v>
      </c>
      <c r="H71" s="24" t="s">
        <v>6760</v>
      </c>
      <c r="I71" s="47"/>
      <c r="J71" s="24">
        <v>0.0</v>
      </c>
    </row>
    <row r="72">
      <c r="A72" s="24">
        <v>285.0</v>
      </c>
      <c r="B72" s="24">
        <v>11.0</v>
      </c>
      <c r="C72" s="47">
        <v>15.956382</v>
      </c>
      <c r="D72" s="35">
        <v>44593.0</v>
      </c>
      <c r="E72" s="47">
        <v>1.45058018181818</v>
      </c>
      <c r="F72" s="47">
        <v>55.9873052631579</v>
      </c>
      <c r="G72" s="48">
        <v>0.0385964912280701</v>
      </c>
      <c r="H72" s="24" t="s">
        <v>6760</v>
      </c>
      <c r="I72" s="47"/>
      <c r="J72" s="24">
        <v>0.0</v>
      </c>
    </row>
    <row r="73">
      <c r="A73" s="24">
        <v>384.0</v>
      </c>
      <c r="B73" s="24">
        <v>20.0</v>
      </c>
      <c r="C73" s="47">
        <v>7.863426</v>
      </c>
      <c r="D73" s="35">
        <v>44594.0</v>
      </c>
      <c r="E73" s="47">
        <v>0.3931713</v>
      </c>
      <c r="F73" s="47">
        <v>20.477671875</v>
      </c>
      <c r="G73" s="48">
        <v>0.0520833333333333</v>
      </c>
      <c r="H73" s="24" t="s">
        <v>6760</v>
      </c>
      <c r="I73" s="47"/>
      <c r="J73" s="24">
        <v>0.0</v>
      </c>
    </row>
    <row r="74">
      <c r="A74" s="24">
        <v>708.0</v>
      </c>
      <c r="B74" s="24">
        <v>13.0</v>
      </c>
      <c r="C74" s="47">
        <v>13.819336</v>
      </c>
      <c r="D74" s="35">
        <v>44595.0</v>
      </c>
      <c r="E74" s="47">
        <v>1.06302584615384</v>
      </c>
      <c r="F74" s="47">
        <v>19.518836158192</v>
      </c>
      <c r="G74" s="48">
        <v>0.0183615819209039</v>
      </c>
      <c r="H74" s="24" t="s">
        <v>6760</v>
      </c>
      <c r="I74" s="47"/>
      <c r="J74" s="24">
        <v>0.0</v>
      </c>
    </row>
    <row r="75">
      <c r="A75" s="24">
        <v>1468.0</v>
      </c>
      <c r="B75" s="24">
        <v>26.0</v>
      </c>
      <c r="C75" s="47">
        <v>16.118621</v>
      </c>
      <c r="D75" s="35">
        <v>44596.0</v>
      </c>
      <c r="E75" s="47">
        <v>0.619946961538461</v>
      </c>
      <c r="F75" s="47">
        <v>10.9799870572207</v>
      </c>
      <c r="G75" s="48">
        <v>0.0177111716621253</v>
      </c>
      <c r="H75" s="24" t="s">
        <v>6760</v>
      </c>
      <c r="I75" s="47"/>
      <c r="J75" s="24">
        <v>0.0</v>
      </c>
    </row>
    <row r="76">
      <c r="A76" s="24">
        <v>547.0</v>
      </c>
      <c r="B76" s="24">
        <v>10.0</v>
      </c>
      <c r="C76" s="47">
        <v>22.692836</v>
      </c>
      <c r="D76" s="35">
        <v>44597.0</v>
      </c>
      <c r="E76" s="47">
        <v>2.2692836</v>
      </c>
      <c r="F76" s="47">
        <v>41.4859890310786</v>
      </c>
      <c r="G76" s="48">
        <v>0.0182815356489945</v>
      </c>
      <c r="H76" s="24" t="s">
        <v>6760</v>
      </c>
      <c r="I76" s="47"/>
      <c r="J76" s="24">
        <v>0.0</v>
      </c>
    </row>
    <row r="77">
      <c r="A77" s="24">
        <v>172.0</v>
      </c>
      <c r="B77" s="24">
        <v>7.0</v>
      </c>
      <c r="C77" s="47">
        <v>25.402647</v>
      </c>
      <c r="D77" s="35">
        <v>44598.0</v>
      </c>
      <c r="E77" s="47">
        <v>3.62894957142857</v>
      </c>
      <c r="F77" s="47">
        <v>147.689808139534</v>
      </c>
      <c r="G77" s="48">
        <v>0.0406976744186046</v>
      </c>
      <c r="H77" s="24" t="s">
        <v>6760</v>
      </c>
      <c r="I77" s="47"/>
      <c r="J77" s="24">
        <v>0.0</v>
      </c>
    </row>
    <row r="78">
      <c r="A78" s="24">
        <v>545.0</v>
      </c>
      <c r="B78" s="24">
        <v>9.0</v>
      </c>
      <c r="C78" s="47">
        <v>15.423133</v>
      </c>
      <c r="D78" s="35">
        <v>44599.0</v>
      </c>
      <c r="E78" s="47">
        <v>1.71368144444444</v>
      </c>
      <c r="F78" s="47">
        <v>28.2993266055045</v>
      </c>
      <c r="G78" s="48">
        <v>0.0165137614678899</v>
      </c>
      <c r="H78" s="24" t="s">
        <v>6760</v>
      </c>
      <c r="I78" s="47"/>
      <c r="J78" s="24">
        <v>0.0</v>
      </c>
    </row>
    <row r="79">
      <c r="A79" s="24">
        <v>1286.0</v>
      </c>
      <c r="B79" s="24">
        <v>19.0</v>
      </c>
      <c r="C79" s="47">
        <v>21.740598</v>
      </c>
      <c r="D79" s="35">
        <v>44600.0</v>
      </c>
      <c r="E79" s="47">
        <v>1.144242</v>
      </c>
      <c r="F79" s="47">
        <v>16.905597200622</v>
      </c>
      <c r="G79" s="48">
        <v>0.0147744945567651</v>
      </c>
      <c r="H79" s="24" t="s">
        <v>6760</v>
      </c>
      <c r="I79" s="47"/>
      <c r="J79" s="24">
        <v>0.0</v>
      </c>
    </row>
    <row r="80">
      <c r="A80" s="24">
        <v>1849.0</v>
      </c>
      <c r="B80" s="24">
        <v>37.0</v>
      </c>
      <c r="C80" s="47">
        <v>28.133052</v>
      </c>
      <c r="D80" s="35">
        <v>44601.0</v>
      </c>
      <c r="E80" s="47">
        <v>0.760352756756756</v>
      </c>
      <c r="F80" s="47">
        <v>15.2152796106003</v>
      </c>
      <c r="G80" s="48">
        <v>0.0200108166576527</v>
      </c>
      <c r="H80" s="24" t="s">
        <v>6760</v>
      </c>
      <c r="I80" s="47"/>
      <c r="J80" s="24">
        <v>0.0</v>
      </c>
    </row>
    <row r="81">
      <c r="A81" s="24">
        <v>838.0</v>
      </c>
      <c r="B81" s="24">
        <v>13.0</v>
      </c>
      <c r="C81" s="47">
        <v>15.657583</v>
      </c>
      <c r="D81" s="35">
        <v>44602.0</v>
      </c>
      <c r="E81" s="47">
        <v>1.20442946153846</v>
      </c>
      <c r="F81" s="47">
        <v>18.6844665871121</v>
      </c>
      <c r="G81" s="48">
        <v>0.0155131264916467</v>
      </c>
      <c r="H81" s="24" t="s">
        <v>6760</v>
      </c>
      <c r="I81" s="47"/>
      <c r="J81" s="24">
        <v>0.0</v>
      </c>
    </row>
    <row r="82">
      <c r="A82" s="24">
        <v>485.0</v>
      </c>
      <c r="B82" s="24">
        <v>13.0</v>
      </c>
      <c r="C82" s="47">
        <v>17.983237</v>
      </c>
      <c r="D82" s="35">
        <v>44603.0</v>
      </c>
      <c r="E82" s="47">
        <v>1.38332592307692</v>
      </c>
      <c r="F82" s="47">
        <v>37.0788391752577</v>
      </c>
      <c r="G82" s="48">
        <v>0.0268041237113402</v>
      </c>
      <c r="H82" s="24" t="s">
        <v>6760</v>
      </c>
      <c r="I82" s="47"/>
      <c r="J82" s="24">
        <v>0.0</v>
      </c>
    </row>
    <row r="83">
      <c r="A83" s="24">
        <v>495.0</v>
      </c>
      <c r="B83" s="24">
        <v>10.0</v>
      </c>
      <c r="C83" s="47">
        <v>8.468962</v>
      </c>
      <c r="D83" s="35">
        <v>44604.0</v>
      </c>
      <c r="E83" s="47">
        <v>0.8468962</v>
      </c>
      <c r="F83" s="47">
        <v>17.1090141414141</v>
      </c>
      <c r="G83" s="48">
        <v>0.0202020202020202</v>
      </c>
      <c r="H83" s="24" t="s">
        <v>6760</v>
      </c>
      <c r="I83" s="47"/>
      <c r="J83" s="24">
        <v>0.0</v>
      </c>
    </row>
    <row r="84">
      <c r="A84" s="24">
        <v>51.0</v>
      </c>
      <c r="B84" s="24">
        <v>0.0</v>
      </c>
      <c r="C84" s="47">
        <v>0.0</v>
      </c>
      <c r="D84" s="35">
        <v>44527.0</v>
      </c>
      <c r="E84" s="47"/>
      <c r="F84" s="47">
        <v>0.0</v>
      </c>
      <c r="G84" s="48">
        <v>0.0</v>
      </c>
      <c r="H84" s="24" t="s">
        <v>6761</v>
      </c>
      <c r="I84" s="47"/>
      <c r="J84" s="24">
        <v>0.0</v>
      </c>
    </row>
    <row r="85">
      <c r="A85" s="24">
        <v>61.0</v>
      </c>
      <c r="B85" s="24">
        <v>0.0</v>
      </c>
      <c r="C85" s="47">
        <v>0.0</v>
      </c>
      <c r="D85" s="35">
        <v>44528.0</v>
      </c>
      <c r="E85" s="47"/>
      <c r="F85" s="47">
        <v>0.0</v>
      </c>
      <c r="G85" s="48">
        <v>0.0</v>
      </c>
      <c r="H85" s="24" t="s">
        <v>6761</v>
      </c>
      <c r="I85" s="47"/>
      <c r="J85" s="24">
        <v>0.0</v>
      </c>
    </row>
    <row r="86">
      <c r="A86" s="24">
        <v>82.0</v>
      </c>
      <c r="B86" s="24">
        <v>0.0</v>
      </c>
      <c r="C86" s="47">
        <v>0.0</v>
      </c>
      <c r="D86" s="35">
        <v>44529.0</v>
      </c>
      <c r="E86" s="47"/>
      <c r="F86" s="47">
        <v>0.0</v>
      </c>
      <c r="G86" s="48">
        <v>0.0</v>
      </c>
      <c r="H86" s="24" t="s">
        <v>6761</v>
      </c>
      <c r="I86" s="47"/>
      <c r="J86" s="24">
        <v>0.0</v>
      </c>
    </row>
    <row r="87">
      <c r="A87" s="24">
        <v>102.0</v>
      </c>
      <c r="B87" s="24">
        <v>1.0</v>
      </c>
      <c r="C87" s="47">
        <v>3.96</v>
      </c>
      <c r="D87" s="35">
        <v>44530.0</v>
      </c>
      <c r="E87" s="47">
        <v>3.96</v>
      </c>
      <c r="F87" s="47">
        <v>38.8235294117647</v>
      </c>
      <c r="G87" s="48">
        <v>0.00980392156862745</v>
      </c>
      <c r="H87" s="24" t="s">
        <v>6761</v>
      </c>
      <c r="I87" s="47"/>
      <c r="J87" s="24">
        <v>0.0</v>
      </c>
    </row>
    <row r="88">
      <c r="A88" s="24">
        <v>249.0</v>
      </c>
      <c r="B88" s="24">
        <v>2.0</v>
      </c>
      <c r="C88" s="47">
        <v>7.92</v>
      </c>
      <c r="D88" s="35">
        <v>44531.0</v>
      </c>
      <c r="E88" s="47">
        <v>3.96</v>
      </c>
      <c r="F88" s="47">
        <v>31.8072289156626</v>
      </c>
      <c r="G88" s="48">
        <v>0.00803212851405622</v>
      </c>
      <c r="H88" s="24" t="s">
        <v>6761</v>
      </c>
      <c r="I88" s="47"/>
      <c r="J88" s="24">
        <v>0.0</v>
      </c>
    </row>
    <row r="89">
      <c r="A89" s="24">
        <v>239.0</v>
      </c>
      <c r="B89" s="24">
        <v>1.0</v>
      </c>
      <c r="C89" s="47">
        <v>3.9</v>
      </c>
      <c r="D89" s="35">
        <v>44532.0</v>
      </c>
      <c r="E89" s="47">
        <v>3.9</v>
      </c>
      <c r="F89" s="47">
        <v>16.3179916317991</v>
      </c>
      <c r="G89" s="48">
        <v>0.00418410041841004</v>
      </c>
      <c r="H89" s="24" t="s">
        <v>6761</v>
      </c>
      <c r="I89" s="47"/>
      <c r="J89" s="24">
        <v>0.0</v>
      </c>
    </row>
    <row r="90">
      <c r="A90" s="24">
        <v>264.0</v>
      </c>
      <c r="B90" s="24">
        <v>0.0</v>
      </c>
      <c r="C90" s="47">
        <v>0.0</v>
      </c>
      <c r="D90" s="35">
        <v>44533.0</v>
      </c>
      <c r="E90" s="47"/>
      <c r="F90" s="47">
        <v>0.0</v>
      </c>
      <c r="G90" s="48">
        <v>0.0</v>
      </c>
      <c r="H90" s="24" t="s">
        <v>6761</v>
      </c>
      <c r="I90" s="47"/>
      <c r="J90" s="24">
        <v>0.0</v>
      </c>
    </row>
    <row r="91">
      <c r="A91" s="24">
        <v>153.0</v>
      </c>
      <c r="B91" s="24">
        <v>0.0</v>
      </c>
      <c r="C91" s="47">
        <v>0.0</v>
      </c>
      <c r="D91" s="35">
        <v>44534.0</v>
      </c>
      <c r="E91" s="47"/>
      <c r="F91" s="47">
        <v>0.0</v>
      </c>
      <c r="G91" s="48">
        <v>0.0</v>
      </c>
      <c r="H91" s="24" t="s">
        <v>6761</v>
      </c>
      <c r="I91" s="47"/>
      <c r="J91" s="24">
        <v>0.0</v>
      </c>
    </row>
    <row r="92">
      <c r="A92" s="24">
        <v>9.0</v>
      </c>
      <c r="B92" s="24">
        <v>0.0</v>
      </c>
      <c r="C92" s="47">
        <v>0.0</v>
      </c>
      <c r="D92" s="35">
        <v>44535.0</v>
      </c>
      <c r="E92" s="47"/>
      <c r="F92" s="47">
        <v>0.0</v>
      </c>
      <c r="G92" s="48">
        <v>0.0</v>
      </c>
      <c r="H92" s="24" t="s">
        <v>6761</v>
      </c>
      <c r="I92" s="47"/>
      <c r="J92" s="24">
        <v>0.0</v>
      </c>
    </row>
    <row r="93">
      <c r="A93" s="24">
        <v>39.0</v>
      </c>
      <c r="B93" s="24">
        <v>0.0</v>
      </c>
      <c r="C93" s="47">
        <v>0.0</v>
      </c>
      <c r="D93" s="35">
        <v>44536.0</v>
      </c>
      <c r="E93" s="47"/>
      <c r="F93" s="47">
        <v>0.0</v>
      </c>
      <c r="G93" s="48">
        <v>0.0</v>
      </c>
      <c r="H93" s="24" t="s">
        <v>6761</v>
      </c>
      <c r="I93" s="47"/>
      <c r="J93" s="24">
        <v>0.0</v>
      </c>
    </row>
    <row r="94">
      <c r="A94" s="24">
        <v>20.0</v>
      </c>
      <c r="B94" s="24">
        <v>0.0</v>
      </c>
      <c r="C94" s="47">
        <v>0.0</v>
      </c>
      <c r="D94" s="35">
        <v>44537.0</v>
      </c>
      <c r="E94" s="47"/>
      <c r="F94" s="47">
        <v>0.0</v>
      </c>
      <c r="G94" s="48">
        <v>0.0</v>
      </c>
      <c r="H94" s="24" t="s">
        <v>6761</v>
      </c>
      <c r="I94" s="47"/>
      <c r="J94" s="24">
        <v>0.0</v>
      </c>
    </row>
    <row r="95">
      <c r="A95" s="24">
        <v>17.0</v>
      </c>
      <c r="B95" s="24">
        <v>1.0</v>
      </c>
      <c r="C95" s="47">
        <v>3.85</v>
      </c>
      <c r="D95" s="35">
        <v>44538.0</v>
      </c>
      <c r="E95" s="47">
        <v>3.85</v>
      </c>
      <c r="F95" s="47">
        <v>226.470588235294</v>
      </c>
      <c r="G95" s="48">
        <v>0.0588235294117647</v>
      </c>
      <c r="H95" s="24" t="s">
        <v>6761</v>
      </c>
      <c r="I95" s="47"/>
      <c r="J95" s="24">
        <v>0.0</v>
      </c>
    </row>
    <row r="96">
      <c r="A96" s="24">
        <v>38.0</v>
      </c>
      <c r="B96" s="24">
        <v>1.0</v>
      </c>
      <c r="C96" s="47">
        <v>2.32</v>
      </c>
      <c r="D96" s="35">
        <v>44539.0</v>
      </c>
      <c r="E96" s="47">
        <v>2.32</v>
      </c>
      <c r="F96" s="47">
        <v>61.0526315789473</v>
      </c>
      <c r="G96" s="48">
        <v>0.0263157894736842</v>
      </c>
      <c r="H96" s="24" t="s">
        <v>6761</v>
      </c>
      <c r="I96" s="47"/>
      <c r="J96" s="24">
        <v>0.0</v>
      </c>
    </row>
    <row r="97">
      <c r="A97" s="24">
        <v>11.0</v>
      </c>
      <c r="B97" s="24">
        <v>1.0</v>
      </c>
      <c r="C97" s="47">
        <v>7.65</v>
      </c>
      <c r="D97" s="35">
        <v>44540.0</v>
      </c>
      <c r="E97" s="47">
        <v>7.65</v>
      </c>
      <c r="F97" s="47">
        <v>695.454545454545</v>
      </c>
      <c r="G97" s="48">
        <v>0.0909090909090909</v>
      </c>
      <c r="H97" s="24" t="s">
        <v>6761</v>
      </c>
      <c r="I97" s="47"/>
      <c r="J97" s="24">
        <v>0.0</v>
      </c>
    </row>
    <row r="98">
      <c r="A98" s="24">
        <v>7.0</v>
      </c>
      <c r="B98" s="24">
        <v>0.0</v>
      </c>
      <c r="C98" s="47">
        <v>0.0</v>
      </c>
      <c r="D98" s="35">
        <v>44541.0</v>
      </c>
      <c r="E98" s="47"/>
      <c r="F98" s="47">
        <v>0.0</v>
      </c>
      <c r="G98" s="48">
        <v>0.0</v>
      </c>
      <c r="H98" s="24" t="s">
        <v>6761</v>
      </c>
      <c r="I98" s="47"/>
      <c r="J98" s="24">
        <v>0.0</v>
      </c>
    </row>
    <row r="99">
      <c r="A99" s="24">
        <v>7.0</v>
      </c>
      <c r="B99" s="24">
        <v>0.0</v>
      </c>
      <c r="C99" s="47">
        <v>0.0</v>
      </c>
      <c r="D99" s="35">
        <v>44542.0</v>
      </c>
      <c r="E99" s="47"/>
      <c r="F99" s="47">
        <v>0.0</v>
      </c>
      <c r="G99" s="48">
        <v>0.0</v>
      </c>
      <c r="H99" s="24" t="s">
        <v>6761</v>
      </c>
      <c r="I99" s="47"/>
      <c r="J99" s="24">
        <v>0.0</v>
      </c>
    </row>
    <row r="100">
      <c r="A100" s="24">
        <v>17.0</v>
      </c>
      <c r="B100" s="24">
        <v>1.0</v>
      </c>
      <c r="C100" s="47">
        <v>5.47</v>
      </c>
      <c r="D100" s="35">
        <v>44543.0</v>
      </c>
      <c r="E100" s="47">
        <v>5.47</v>
      </c>
      <c r="F100" s="47">
        <v>321.764705882352</v>
      </c>
      <c r="G100" s="48">
        <v>0.0588235294117647</v>
      </c>
      <c r="H100" s="24" t="s">
        <v>6761</v>
      </c>
      <c r="I100" s="47"/>
      <c r="J100" s="24">
        <v>0.0</v>
      </c>
    </row>
    <row r="101">
      <c r="A101" s="24">
        <v>20.0</v>
      </c>
      <c r="B101" s="24">
        <v>1.0</v>
      </c>
      <c r="C101" s="47">
        <v>1.31</v>
      </c>
      <c r="D101" s="35">
        <v>44544.0</v>
      </c>
      <c r="E101" s="47">
        <v>1.31</v>
      </c>
      <c r="F101" s="47">
        <v>65.5</v>
      </c>
      <c r="G101" s="48">
        <v>0.05</v>
      </c>
      <c r="H101" s="24" t="s">
        <v>6761</v>
      </c>
      <c r="I101" s="47"/>
      <c r="J101" s="24">
        <v>0.0</v>
      </c>
    </row>
    <row r="102">
      <c r="A102" s="24">
        <v>18.0</v>
      </c>
      <c r="B102" s="24">
        <v>0.0</v>
      </c>
      <c r="C102" s="47">
        <v>0.0</v>
      </c>
      <c r="D102" s="35">
        <v>44545.0</v>
      </c>
      <c r="E102" s="47"/>
      <c r="F102" s="47">
        <v>0.0</v>
      </c>
      <c r="G102" s="48">
        <v>0.0</v>
      </c>
      <c r="H102" s="24" t="s">
        <v>6761</v>
      </c>
      <c r="I102" s="47"/>
      <c r="J102" s="24">
        <v>0.0</v>
      </c>
    </row>
    <row r="103">
      <c r="A103" s="24">
        <v>19.0</v>
      </c>
      <c r="B103" s="24">
        <v>3.0</v>
      </c>
      <c r="C103" s="47">
        <v>19.03</v>
      </c>
      <c r="D103" s="35">
        <v>44546.0</v>
      </c>
      <c r="E103" s="47">
        <v>6.34333333333333</v>
      </c>
      <c r="F103" s="47">
        <v>1001.57894736842</v>
      </c>
      <c r="G103" s="48">
        <v>0.157894736842105</v>
      </c>
      <c r="H103" s="24" t="s">
        <v>6761</v>
      </c>
      <c r="I103" s="47"/>
      <c r="J103" s="24">
        <v>0.0</v>
      </c>
    </row>
    <row r="104">
      <c r="A104" s="24">
        <v>15.0</v>
      </c>
      <c r="B104" s="24">
        <v>0.0</v>
      </c>
      <c r="C104" s="47">
        <v>0.0</v>
      </c>
      <c r="D104" s="35">
        <v>44547.0</v>
      </c>
      <c r="E104" s="47"/>
      <c r="F104" s="47">
        <v>0.0</v>
      </c>
      <c r="G104" s="48">
        <v>0.0</v>
      </c>
      <c r="H104" s="24" t="s">
        <v>6761</v>
      </c>
      <c r="I104" s="47"/>
      <c r="J104" s="24">
        <v>0.0</v>
      </c>
    </row>
    <row r="105">
      <c r="A105" s="24">
        <v>6.0</v>
      </c>
      <c r="B105" s="24">
        <v>1.0</v>
      </c>
      <c r="C105" s="47">
        <v>5.49</v>
      </c>
      <c r="D105" s="35">
        <v>44548.0</v>
      </c>
      <c r="E105" s="47">
        <v>5.49</v>
      </c>
      <c r="F105" s="47">
        <v>915.0</v>
      </c>
      <c r="G105" s="48">
        <v>0.166666666666666</v>
      </c>
      <c r="H105" s="24" t="s">
        <v>6761</v>
      </c>
      <c r="I105" s="47"/>
      <c r="J105" s="24">
        <v>0.0</v>
      </c>
    </row>
    <row r="106">
      <c r="A106" s="24">
        <v>5.0</v>
      </c>
      <c r="B106" s="24">
        <v>0.0</v>
      </c>
      <c r="C106" s="47">
        <v>0.0</v>
      </c>
      <c r="D106" s="35">
        <v>44549.0</v>
      </c>
      <c r="E106" s="47"/>
      <c r="F106" s="47">
        <v>0.0</v>
      </c>
      <c r="G106" s="48">
        <v>0.0</v>
      </c>
      <c r="H106" s="24" t="s">
        <v>6761</v>
      </c>
      <c r="I106" s="47"/>
      <c r="J106" s="24">
        <v>0.0</v>
      </c>
    </row>
    <row r="107">
      <c r="A107" s="24">
        <v>21.0</v>
      </c>
      <c r="B107" s="24">
        <v>0.0</v>
      </c>
      <c r="C107" s="47">
        <v>0.0</v>
      </c>
      <c r="D107" s="35">
        <v>44550.0</v>
      </c>
      <c r="E107" s="47"/>
      <c r="F107" s="47">
        <v>0.0</v>
      </c>
      <c r="G107" s="48">
        <v>0.0</v>
      </c>
      <c r="H107" s="24" t="s">
        <v>6761</v>
      </c>
      <c r="I107" s="47"/>
      <c r="J107" s="24">
        <v>0.0</v>
      </c>
    </row>
    <row r="108">
      <c r="A108" s="24">
        <v>21.0</v>
      </c>
      <c r="B108" s="24">
        <v>0.0</v>
      </c>
      <c r="C108" s="47">
        <v>0.0</v>
      </c>
      <c r="D108" s="35">
        <v>44551.0</v>
      </c>
      <c r="E108" s="47"/>
      <c r="F108" s="47">
        <v>0.0</v>
      </c>
      <c r="G108" s="48">
        <v>0.0</v>
      </c>
      <c r="H108" s="24" t="s">
        <v>6761</v>
      </c>
      <c r="I108" s="47"/>
      <c r="J108" s="24">
        <v>0.0</v>
      </c>
    </row>
    <row r="109">
      <c r="A109" s="24">
        <v>18.0</v>
      </c>
      <c r="B109" s="24">
        <v>0.0</v>
      </c>
      <c r="C109" s="47">
        <v>0.0</v>
      </c>
      <c r="D109" s="35">
        <v>44552.0</v>
      </c>
      <c r="E109" s="47"/>
      <c r="F109" s="47">
        <v>0.0</v>
      </c>
      <c r="G109" s="48">
        <v>0.0</v>
      </c>
      <c r="H109" s="24" t="s">
        <v>6761</v>
      </c>
      <c r="I109" s="47"/>
      <c r="J109" s="24">
        <v>0.0</v>
      </c>
    </row>
    <row r="110">
      <c r="A110" s="24">
        <v>20.0</v>
      </c>
      <c r="B110" s="24">
        <v>0.0</v>
      </c>
      <c r="C110" s="47">
        <v>0.0</v>
      </c>
      <c r="D110" s="35">
        <v>44553.0</v>
      </c>
      <c r="E110" s="47"/>
      <c r="F110" s="47">
        <v>0.0</v>
      </c>
      <c r="G110" s="48">
        <v>0.0</v>
      </c>
      <c r="H110" s="24" t="s">
        <v>6761</v>
      </c>
      <c r="I110" s="47"/>
      <c r="J110" s="24">
        <v>0.0</v>
      </c>
    </row>
    <row r="111">
      <c r="A111" s="24">
        <v>9.0</v>
      </c>
      <c r="B111" s="24">
        <v>0.0</v>
      </c>
      <c r="C111" s="47">
        <v>0.0</v>
      </c>
      <c r="D111" s="35">
        <v>44554.0</v>
      </c>
      <c r="E111" s="47"/>
      <c r="F111" s="47">
        <v>0.0</v>
      </c>
      <c r="G111" s="48">
        <v>0.0</v>
      </c>
      <c r="H111" s="24" t="s">
        <v>6761</v>
      </c>
      <c r="I111" s="47"/>
      <c r="J111" s="24">
        <v>0.0</v>
      </c>
    </row>
    <row r="112">
      <c r="A112" s="24">
        <v>7.0</v>
      </c>
      <c r="B112" s="24">
        <v>0.0</v>
      </c>
      <c r="C112" s="47">
        <v>0.0</v>
      </c>
      <c r="D112" s="35">
        <v>44555.0</v>
      </c>
      <c r="E112" s="47"/>
      <c r="F112" s="47">
        <v>0.0</v>
      </c>
      <c r="G112" s="48">
        <v>0.0</v>
      </c>
      <c r="H112" s="24" t="s">
        <v>6761</v>
      </c>
      <c r="I112" s="47"/>
      <c r="J112" s="24">
        <v>0.0</v>
      </c>
    </row>
    <row r="113">
      <c r="A113" s="24">
        <v>3.0</v>
      </c>
      <c r="B113" s="24">
        <v>0.0</v>
      </c>
      <c r="C113" s="47">
        <v>0.0</v>
      </c>
      <c r="D113" s="35">
        <v>44556.0</v>
      </c>
      <c r="E113" s="47"/>
      <c r="F113" s="47">
        <v>0.0</v>
      </c>
      <c r="G113" s="48">
        <v>0.0</v>
      </c>
      <c r="H113" s="24" t="s">
        <v>6761</v>
      </c>
      <c r="I113" s="47"/>
      <c r="J113" s="24">
        <v>0.0</v>
      </c>
    </row>
    <row r="114">
      <c r="A114" s="24">
        <v>11.0</v>
      </c>
      <c r="B114" s="24">
        <v>1.0</v>
      </c>
      <c r="C114" s="47">
        <v>7.88</v>
      </c>
      <c r="D114" s="35">
        <v>44557.0</v>
      </c>
      <c r="E114" s="47">
        <v>7.88</v>
      </c>
      <c r="F114" s="47">
        <v>716.363636363636</v>
      </c>
      <c r="G114" s="48">
        <v>0.0909090909090909</v>
      </c>
      <c r="H114" s="24" t="s">
        <v>6761</v>
      </c>
      <c r="I114" s="47"/>
      <c r="J114" s="24">
        <v>0.0</v>
      </c>
    </row>
    <row r="115">
      <c r="A115" s="24">
        <v>11.0</v>
      </c>
      <c r="B115" s="24">
        <v>0.0</v>
      </c>
      <c r="C115" s="47">
        <v>0.0</v>
      </c>
      <c r="D115" s="35">
        <v>44558.0</v>
      </c>
      <c r="E115" s="47"/>
      <c r="F115" s="47">
        <v>0.0</v>
      </c>
      <c r="G115" s="48">
        <v>0.0</v>
      </c>
      <c r="H115" s="24" t="s">
        <v>6761</v>
      </c>
      <c r="I115" s="47"/>
      <c r="J115" s="24">
        <v>0.0</v>
      </c>
    </row>
    <row r="116">
      <c r="A116" s="24">
        <v>16.0</v>
      </c>
      <c r="B116" s="24">
        <v>0.0</v>
      </c>
      <c r="C116" s="47">
        <v>0.0</v>
      </c>
      <c r="D116" s="35">
        <v>44559.0</v>
      </c>
      <c r="E116" s="47"/>
      <c r="F116" s="47">
        <v>0.0</v>
      </c>
      <c r="G116" s="48">
        <v>0.0</v>
      </c>
      <c r="H116" s="24" t="s">
        <v>6761</v>
      </c>
      <c r="I116" s="47"/>
      <c r="J116" s="24">
        <v>0.0</v>
      </c>
    </row>
    <row r="117">
      <c r="A117" s="24">
        <v>14.0</v>
      </c>
      <c r="B117" s="24">
        <v>1.0</v>
      </c>
      <c r="C117" s="47">
        <v>2.3</v>
      </c>
      <c r="D117" s="35">
        <v>44560.0</v>
      </c>
      <c r="E117" s="47">
        <v>2.3</v>
      </c>
      <c r="F117" s="47">
        <v>164.285714285714</v>
      </c>
      <c r="G117" s="48">
        <v>0.0714285714285714</v>
      </c>
      <c r="H117" s="24" t="s">
        <v>6761</v>
      </c>
      <c r="I117" s="47"/>
      <c r="J117" s="24">
        <v>0.0</v>
      </c>
    </row>
    <row r="118">
      <c r="A118" s="24">
        <v>9.0</v>
      </c>
      <c r="B118" s="24">
        <v>0.0</v>
      </c>
      <c r="C118" s="47">
        <v>0.0</v>
      </c>
      <c r="D118" s="35">
        <v>44561.0</v>
      </c>
      <c r="E118" s="47"/>
      <c r="F118" s="47">
        <v>0.0</v>
      </c>
      <c r="G118" s="48">
        <v>0.0</v>
      </c>
      <c r="H118" s="24" t="s">
        <v>6761</v>
      </c>
      <c r="I118" s="47"/>
      <c r="J118" s="24">
        <v>0.0</v>
      </c>
    </row>
    <row r="119">
      <c r="A119" s="24">
        <v>5.0</v>
      </c>
      <c r="B119" s="24">
        <v>0.0</v>
      </c>
      <c r="C119" s="47">
        <v>0.0</v>
      </c>
      <c r="D119" s="35">
        <v>44563.0</v>
      </c>
      <c r="E119" s="47"/>
      <c r="F119" s="47">
        <v>0.0</v>
      </c>
      <c r="G119" s="48">
        <v>0.0</v>
      </c>
      <c r="H119" s="24" t="s">
        <v>6761</v>
      </c>
      <c r="I119" s="47"/>
      <c r="J119" s="24">
        <v>0.0</v>
      </c>
    </row>
    <row r="120">
      <c r="A120" s="24">
        <v>22.0</v>
      </c>
      <c r="B120" s="24">
        <v>0.0</v>
      </c>
      <c r="C120" s="47">
        <v>0.0</v>
      </c>
      <c r="D120" s="35">
        <v>44564.0</v>
      </c>
      <c r="E120" s="47"/>
      <c r="F120" s="47">
        <v>0.0</v>
      </c>
      <c r="G120" s="48">
        <v>0.0</v>
      </c>
      <c r="H120" s="24" t="s">
        <v>6761</v>
      </c>
      <c r="I120" s="47"/>
      <c r="J120" s="24">
        <v>0.0</v>
      </c>
    </row>
    <row r="121">
      <c r="A121" s="24">
        <v>30.0</v>
      </c>
      <c r="B121" s="24">
        <v>3.0</v>
      </c>
      <c r="C121" s="47">
        <v>11.53</v>
      </c>
      <c r="D121" s="35">
        <v>44565.0</v>
      </c>
      <c r="E121" s="47">
        <v>3.84333333333333</v>
      </c>
      <c r="F121" s="47">
        <v>384.333333333333</v>
      </c>
      <c r="G121" s="48">
        <v>0.1</v>
      </c>
      <c r="H121" s="24" t="s">
        <v>6761</v>
      </c>
      <c r="I121" s="47"/>
      <c r="J121" s="24">
        <v>0.0</v>
      </c>
    </row>
    <row r="122">
      <c r="A122" s="24">
        <v>27.0</v>
      </c>
      <c r="B122" s="24">
        <v>2.0</v>
      </c>
      <c r="C122" s="47">
        <v>15.86</v>
      </c>
      <c r="D122" s="35">
        <v>44566.0</v>
      </c>
      <c r="E122" s="47">
        <v>7.93</v>
      </c>
      <c r="F122" s="47">
        <v>587.407407407407</v>
      </c>
      <c r="G122" s="48">
        <v>0.074074074074074</v>
      </c>
      <c r="H122" s="24" t="s">
        <v>6761</v>
      </c>
      <c r="I122" s="47"/>
      <c r="J122" s="24">
        <v>0.0</v>
      </c>
    </row>
    <row r="123">
      <c r="A123" s="24">
        <v>13.0</v>
      </c>
      <c r="B123" s="24">
        <v>0.0</v>
      </c>
      <c r="C123" s="47">
        <v>0.0</v>
      </c>
      <c r="D123" s="35">
        <v>44567.0</v>
      </c>
      <c r="E123" s="47"/>
      <c r="F123" s="47">
        <v>0.0</v>
      </c>
      <c r="G123" s="48">
        <v>0.0</v>
      </c>
      <c r="H123" s="24" t="s">
        <v>6761</v>
      </c>
      <c r="I123" s="47"/>
      <c r="J123" s="24">
        <v>0.0</v>
      </c>
    </row>
    <row r="124">
      <c r="A124" s="24">
        <v>23.0</v>
      </c>
      <c r="B124" s="24">
        <v>2.0</v>
      </c>
      <c r="C124" s="47">
        <v>11.98</v>
      </c>
      <c r="D124" s="35">
        <v>44568.0</v>
      </c>
      <c r="E124" s="47">
        <v>5.99</v>
      </c>
      <c r="F124" s="47">
        <v>520.869565217391</v>
      </c>
      <c r="G124" s="48">
        <v>0.0869565217391304</v>
      </c>
      <c r="H124" s="24" t="s">
        <v>6761</v>
      </c>
      <c r="I124" s="47"/>
      <c r="J124" s="24">
        <v>0.0</v>
      </c>
    </row>
    <row r="125">
      <c r="A125" s="24">
        <v>11.0</v>
      </c>
      <c r="B125" s="24">
        <v>0.0</v>
      </c>
      <c r="C125" s="47">
        <v>0.0</v>
      </c>
      <c r="D125" s="35">
        <v>44569.0</v>
      </c>
      <c r="E125" s="47"/>
      <c r="F125" s="47">
        <v>0.0</v>
      </c>
      <c r="G125" s="48">
        <v>0.0</v>
      </c>
      <c r="H125" s="24" t="s">
        <v>6761</v>
      </c>
      <c r="I125" s="47"/>
      <c r="J125" s="24">
        <v>0.0</v>
      </c>
    </row>
    <row r="126">
      <c r="A126" s="24">
        <v>24.0</v>
      </c>
      <c r="B126" s="24">
        <v>0.0</v>
      </c>
      <c r="C126" s="47">
        <v>0.0</v>
      </c>
      <c r="D126" s="35">
        <v>44570.0</v>
      </c>
      <c r="E126" s="47"/>
      <c r="F126" s="47">
        <v>0.0</v>
      </c>
      <c r="G126" s="48">
        <v>0.0</v>
      </c>
      <c r="H126" s="24" t="s">
        <v>6761</v>
      </c>
      <c r="I126" s="47"/>
      <c r="J126" s="24">
        <v>0.0</v>
      </c>
    </row>
    <row r="127">
      <c r="A127" s="24">
        <v>34.0</v>
      </c>
      <c r="B127" s="24">
        <v>1.0</v>
      </c>
      <c r="C127" s="47">
        <v>6.32</v>
      </c>
      <c r="D127" s="35">
        <v>44571.0</v>
      </c>
      <c r="E127" s="47">
        <v>6.32</v>
      </c>
      <c r="F127" s="47">
        <v>185.882352941176</v>
      </c>
      <c r="G127" s="48">
        <v>0.0294117647058823</v>
      </c>
      <c r="H127" s="24" t="s">
        <v>6761</v>
      </c>
      <c r="I127" s="47"/>
      <c r="J127" s="24">
        <v>0.0</v>
      </c>
    </row>
    <row r="128">
      <c r="A128" s="24">
        <v>136.0</v>
      </c>
      <c r="B128" s="24">
        <v>1.0</v>
      </c>
      <c r="C128" s="47">
        <v>7.97</v>
      </c>
      <c r="D128" s="35">
        <v>44572.0</v>
      </c>
      <c r="E128" s="47">
        <v>7.97</v>
      </c>
      <c r="F128" s="47">
        <v>58.6029411764705</v>
      </c>
      <c r="G128" s="48">
        <v>0.00735294117647058</v>
      </c>
      <c r="H128" s="24" t="s">
        <v>6761</v>
      </c>
      <c r="I128" s="47"/>
      <c r="J128" s="24">
        <v>0.0</v>
      </c>
    </row>
    <row r="129">
      <c r="A129" s="24">
        <v>217.0</v>
      </c>
      <c r="B129" s="24">
        <v>0.0</v>
      </c>
      <c r="C129" s="47">
        <v>0.0</v>
      </c>
      <c r="D129" s="35">
        <v>44573.0</v>
      </c>
      <c r="E129" s="47"/>
      <c r="F129" s="47">
        <v>0.0</v>
      </c>
      <c r="G129" s="48">
        <v>0.0</v>
      </c>
      <c r="H129" s="24" t="s">
        <v>6761</v>
      </c>
      <c r="I129" s="47"/>
      <c r="J129" s="24">
        <v>0.0</v>
      </c>
    </row>
    <row r="130">
      <c r="A130" s="24">
        <v>192.0</v>
      </c>
      <c r="B130" s="24">
        <v>1.0</v>
      </c>
      <c r="C130" s="47">
        <v>7.93</v>
      </c>
      <c r="D130" s="35">
        <v>44574.0</v>
      </c>
      <c r="E130" s="47">
        <v>7.93</v>
      </c>
      <c r="F130" s="47">
        <v>41.3020833333333</v>
      </c>
      <c r="G130" s="48">
        <v>0.00520833333333333</v>
      </c>
      <c r="H130" s="24" t="s">
        <v>6761</v>
      </c>
      <c r="I130" s="47"/>
      <c r="J130" s="24">
        <v>0.0</v>
      </c>
    </row>
    <row r="131">
      <c r="A131" s="24">
        <v>35.0</v>
      </c>
      <c r="B131" s="24">
        <v>5.0</v>
      </c>
      <c r="C131" s="47">
        <v>18.58</v>
      </c>
      <c r="D131" s="35">
        <v>44575.0</v>
      </c>
      <c r="E131" s="47">
        <v>3.716</v>
      </c>
      <c r="F131" s="47">
        <v>530.857142857142</v>
      </c>
      <c r="G131" s="48">
        <v>0.142857142857142</v>
      </c>
      <c r="H131" s="24" t="s">
        <v>6761</v>
      </c>
      <c r="I131" s="47"/>
      <c r="J131" s="24">
        <v>0.0</v>
      </c>
    </row>
    <row r="132">
      <c r="A132" s="24">
        <v>66.0</v>
      </c>
      <c r="B132" s="24">
        <v>1.0</v>
      </c>
      <c r="C132" s="47">
        <v>1.25</v>
      </c>
      <c r="D132" s="35">
        <v>44576.0</v>
      </c>
      <c r="E132" s="47">
        <v>1.25</v>
      </c>
      <c r="F132" s="47">
        <v>18.9393939393939</v>
      </c>
      <c r="G132" s="48">
        <v>0.0151515151515151</v>
      </c>
      <c r="H132" s="24" t="s">
        <v>6761</v>
      </c>
      <c r="I132" s="47"/>
      <c r="J132" s="24">
        <v>0.0</v>
      </c>
    </row>
    <row r="133">
      <c r="A133" s="24">
        <v>59.0</v>
      </c>
      <c r="B133" s="24">
        <v>18.0</v>
      </c>
      <c r="C133" s="47">
        <v>37.98</v>
      </c>
      <c r="D133" s="35">
        <v>44577.0</v>
      </c>
      <c r="E133" s="47">
        <v>2.11</v>
      </c>
      <c r="F133" s="47">
        <v>643.728813559322</v>
      </c>
      <c r="G133" s="48">
        <v>0.305084745762711</v>
      </c>
      <c r="H133" s="24" t="s">
        <v>6761</v>
      </c>
      <c r="I133" s="47"/>
      <c r="J133" s="24">
        <v>0.0</v>
      </c>
    </row>
    <row r="134">
      <c r="A134" s="24">
        <v>21.0</v>
      </c>
      <c r="B134" s="24">
        <v>1.0</v>
      </c>
      <c r="C134" s="47">
        <v>3.28</v>
      </c>
      <c r="D134" s="35">
        <v>44578.0</v>
      </c>
      <c r="E134" s="47">
        <v>3.28</v>
      </c>
      <c r="F134" s="47">
        <v>156.190476190476</v>
      </c>
      <c r="G134" s="48">
        <v>0.0476190476190476</v>
      </c>
      <c r="H134" s="24" t="s">
        <v>6761</v>
      </c>
      <c r="I134" s="47"/>
      <c r="J134" s="24">
        <v>0.0</v>
      </c>
    </row>
    <row r="135">
      <c r="A135" s="24">
        <v>41.0</v>
      </c>
      <c r="B135" s="24">
        <v>4.0</v>
      </c>
      <c r="C135" s="47">
        <v>10.58</v>
      </c>
      <c r="D135" s="35">
        <v>44579.0</v>
      </c>
      <c r="E135" s="47">
        <v>2.645</v>
      </c>
      <c r="F135" s="47">
        <v>258.048780487804</v>
      </c>
      <c r="G135" s="48">
        <v>0.0975609756097561</v>
      </c>
      <c r="H135" s="24" t="s">
        <v>6761</v>
      </c>
      <c r="I135" s="47"/>
      <c r="J135" s="24">
        <v>0.0</v>
      </c>
    </row>
    <row r="136">
      <c r="A136" s="24">
        <v>40.0</v>
      </c>
      <c r="B136" s="24">
        <v>2.0</v>
      </c>
      <c r="C136" s="47">
        <v>7.02</v>
      </c>
      <c r="D136" s="35">
        <v>44580.0</v>
      </c>
      <c r="E136" s="47">
        <v>3.51</v>
      </c>
      <c r="F136" s="47">
        <v>175.5</v>
      </c>
      <c r="G136" s="48">
        <v>0.05</v>
      </c>
      <c r="H136" s="24" t="s">
        <v>6761</v>
      </c>
      <c r="I136" s="47"/>
      <c r="J136" s="24">
        <v>0.0</v>
      </c>
    </row>
    <row r="137">
      <c r="A137" s="24">
        <v>84.0</v>
      </c>
      <c r="B137" s="24">
        <v>1.0</v>
      </c>
      <c r="C137" s="47">
        <v>2.06</v>
      </c>
      <c r="D137" s="35">
        <v>44581.0</v>
      </c>
      <c r="E137" s="47">
        <v>2.06</v>
      </c>
      <c r="F137" s="47">
        <v>24.5238095238095</v>
      </c>
      <c r="G137" s="48">
        <v>0.0119047619047619</v>
      </c>
      <c r="H137" s="24" t="s">
        <v>6761</v>
      </c>
      <c r="I137" s="47"/>
      <c r="J137" s="24">
        <v>0.0</v>
      </c>
    </row>
    <row r="138">
      <c r="A138" s="24">
        <v>72.0</v>
      </c>
      <c r="B138" s="24">
        <v>3.0</v>
      </c>
      <c r="C138" s="47">
        <v>14.17</v>
      </c>
      <c r="D138" s="35">
        <v>44582.0</v>
      </c>
      <c r="E138" s="47">
        <v>4.72333333333333</v>
      </c>
      <c r="F138" s="47">
        <v>196.805555555555</v>
      </c>
      <c r="G138" s="48">
        <v>0.0416666666666666</v>
      </c>
      <c r="H138" s="24" t="s">
        <v>6761</v>
      </c>
      <c r="I138" s="47"/>
      <c r="J138" s="24">
        <v>0.0</v>
      </c>
    </row>
    <row r="139">
      <c r="A139" s="24">
        <v>56.0</v>
      </c>
      <c r="B139" s="24">
        <v>5.0</v>
      </c>
      <c r="C139" s="47">
        <v>29.24</v>
      </c>
      <c r="D139" s="35">
        <v>44583.0</v>
      </c>
      <c r="E139" s="47">
        <v>5.848</v>
      </c>
      <c r="F139" s="47">
        <v>522.142857142857</v>
      </c>
      <c r="G139" s="48">
        <v>0.0892857142857142</v>
      </c>
      <c r="H139" s="24" t="s">
        <v>6761</v>
      </c>
      <c r="I139" s="47"/>
      <c r="J139" s="24">
        <v>0.0</v>
      </c>
    </row>
    <row r="140">
      <c r="A140" s="24">
        <v>114.0</v>
      </c>
      <c r="B140" s="24">
        <v>6.0</v>
      </c>
      <c r="C140" s="47">
        <v>26.55</v>
      </c>
      <c r="D140" s="35">
        <v>44584.0</v>
      </c>
      <c r="E140" s="47">
        <v>4.425</v>
      </c>
      <c r="F140" s="47">
        <v>232.894736842105</v>
      </c>
      <c r="G140" s="48">
        <v>0.0526315789473684</v>
      </c>
      <c r="H140" s="24" t="s">
        <v>6761</v>
      </c>
      <c r="I140" s="47"/>
      <c r="J140" s="24">
        <v>0.0</v>
      </c>
    </row>
    <row r="141">
      <c r="A141" s="24">
        <v>103.0</v>
      </c>
      <c r="B141" s="24">
        <v>1.0</v>
      </c>
      <c r="C141" s="47">
        <v>6.58</v>
      </c>
      <c r="D141" s="35">
        <v>44585.0</v>
      </c>
      <c r="E141" s="47">
        <v>6.58</v>
      </c>
      <c r="F141" s="47">
        <v>63.883495145631</v>
      </c>
      <c r="G141" s="48">
        <v>0.00970873786407766</v>
      </c>
      <c r="H141" s="24" t="s">
        <v>6761</v>
      </c>
      <c r="I141" s="47"/>
      <c r="J141" s="24">
        <v>0.0</v>
      </c>
    </row>
    <row r="142">
      <c r="A142" s="24">
        <v>109.0</v>
      </c>
      <c r="B142" s="24">
        <v>5.0</v>
      </c>
      <c r="C142" s="47">
        <v>39.02</v>
      </c>
      <c r="D142" s="35">
        <v>44586.0</v>
      </c>
      <c r="E142" s="47">
        <v>7.804</v>
      </c>
      <c r="F142" s="47">
        <v>357.981651376146</v>
      </c>
      <c r="G142" s="48">
        <v>0.0458715596330275</v>
      </c>
      <c r="H142" s="24" t="s">
        <v>6761</v>
      </c>
      <c r="I142" s="47"/>
      <c r="J142" s="24">
        <v>0.0</v>
      </c>
    </row>
    <row r="143">
      <c r="A143" s="24">
        <v>34.0</v>
      </c>
      <c r="B143" s="24">
        <v>0.0</v>
      </c>
      <c r="C143" s="47">
        <v>0.0</v>
      </c>
      <c r="D143" s="35">
        <v>44587.0</v>
      </c>
      <c r="E143" s="47"/>
      <c r="F143" s="47">
        <v>0.0</v>
      </c>
      <c r="G143" s="48">
        <v>0.0</v>
      </c>
      <c r="H143" s="24" t="s">
        <v>6761</v>
      </c>
      <c r="I143" s="47"/>
      <c r="J143" s="24">
        <v>0.0</v>
      </c>
    </row>
    <row r="144">
      <c r="A144" s="24">
        <v>76.0</v>
      </c>
      <c r="B144" s="24">
        <v>3.0</v>
      </c>
      <c r="C144" s="47">
        <v>19.67</v>
      </c>
      <c r="D144" s="35">
        <v>44588.0</v>
      </c>
      <c r="E144" s="47">
        <v>6.55666666666666</v>
      </c>
      <c r="F144" s="47">
        <v>258.815789473684</v>
      </c>
      <c r="G144" s="48">
        <v>0.0394736842105263</v>
      </c>
      <c r="H144" s="24" t="s">
        <v>6761</v>
      </c>
      <c r="I144" s="47"/>
      <c r="J144" s="24">
        <v>0.0</v>
      </c>
    </row>
    <row r="145">
      <c r="A145" s="24">
        <v>138.0</v>
      </c>
      <c r="B145" s="24">
        <v>2.0</v>
      </c>
      <c r="C145" s="47">
        <v>8.06</v>
      </c>
      <c r="D145" s="35">
        <v>44589.0</v>
      </c>
      <c r="E145" s="47">
        <v>4.03</v>
      </c>
      <c r="F145" s="47">
        <v>58.4057971014492</v>
      </c>
      <c r="G145" s="48">
        <v>0.0144927536231884</v>
      </c>
      <c r="H145" s="24" t="s">
        <v>6761</v>
      </c>
      <c r="I145" s="47"/>
      <c r="J145" s="24">
        <v>0.0</v>
      </c>
    </row>
    <row r="146">
      <c r="A146" s="24">
        <v>121.0</v>
      </c>
      <c r="B146" s="24">
        <v>3.0</v>
      </c>
      <c r="C146" s="47">
        <v>19.96</v>
      </c>
      <c r="D146" s="35">
        <v>44590.0</v>
      </c>
      <c r="E146" s="47">
        <v>6.65333333333333</v>
      </c>
      <c r="F146" s="47">
        <v>164.95867768595</v>
      </c>
      <c r="G146" s="48">
        <v>0.024793388429752</v>
      </c>
      <c r="H146" s="24" t="s">
        <v>6761</v>
      </c>
      <c r="I146" s="47"/>
      <c r="J146" s="24">
        <v>0.0</v>
      </c>
    </row>
    <row r="147">
      <c r="A147" s="24">
        <v>104.0</v>
      </c>
      <c r="B147" s="24">
        <v>3.0</v>
      </c>
      <c r="C147" s="47">
        <v>17.79</v>
      </c>
      <c r="D147" s="35">
        <v>44591.0</v>
      </c>
      <c r="E147" s="47">
        <v>5.93</v>
      </c>
      <c r="F147" s="47">
        <v>171.057692307692</v>
      </c>
      <c r="G147" s="48">
        <v>0.0288461538461538</v>
      </c>
      <c r="H147" s="24" t="s">
        <v>6761</v>
      </c>
      <c r="I147" s="47"/>
      <c r="J147" s="24">
        <v>0.0</v>
      </c>
    </row>
    <row r="148">
      <c r="A148" s="24">
        <v>91.0</v>
      </c>
      <c r="B148" s="24">
        <v>2.0</v>
      </c>
      <c r="C148" s="47">
        <v>12.77</v>
      </c>
      <c r="D148" s="35">
        <v>44592.0</v>
      </c>
      <c r="E148" s="47">
        <v>6.385</v>
      </c>
      <c r="F148" s="47">
        <v>140.32967032967</v>
      </c>
      <c r="G148" s="48">
        <v>0.0219780219780219</v>
      </c>
      <c r="H148" s="24" t="s">
        <v>6761</v>
      </c>
      <c r="I148" s="47"/>
      <c r="J148" s="24">
        <v>0.0</v>
      </c>
    </row>
    <row r="149">
      <c r="A149" s="24">
        <v>86.0</v>
      </c>
      <c r="B149" s="24">
        <v>3.0</v>
      </c>
      <c r="C149" s="47">
        <v>14.01</v>
      </c>
      <c r="D149" s="35">
        <v>44593.0</v>
      </c>
      <c r="E149" s="47">
        <v>4.67</v>
      </c>
      <c r="F149" s="47">
        <v>162.906976744186</v>
      </c>
      <c r="G149" s="48">
        <v>0.0348837209302325</v>
      </c>
      <c r="H149" s="24" t="s">
        <v>6761</v>
      </c>
      <c r="I149" s="47"/>
      <c r="J149" s="24">
        <v>0.0</v>
      </c>
    </row>
    <row r="150">
      <c r="A150" s="24">
        <v>66.0</v>
      </c>
      <c r="B150" s="24">
        <v>3.0</v>
      </c>
      <c r="C150" s="47">
        <v>14.28</v>
      </c>
      <c r="D150" s="35">
        <v>44594.0</v>
      </c>
      <c r="E150" s="47">
        <v>4.76</v>
      </c>
      <c r="F150" s="47">
        <v>216.363636363636</v>
      </c>
      <c r="G150" s="48">
        <v>0.0454545454545454</v>
      </c>
      <c r="H150" s="24" t="s">
        <v>6761</v>
      </c>
      <c r="I150" s="47"/>
      <c r="J150" s="24">
        <v>0.0</v>
      </c>
    </row>
    <row r="151">
      <c r="A151" s="24">
        <v>71.0</v>
      </c>
      <c r="B151" s="24">
        <v>3.0</v>
      </c>
      <c r="C151" s="47">
        <v>19.27</v>
      </c>
      <c r="D151" s="35">
        <v>44595.0</v>
      </c>
      <c r="E151" s="47">
        <v>6.42333333333333</v>
      </c>
      <c r="F151" s="47">
        <v>271.408450704225</v>
      </c>
      <c r="G151" s="48">
        <v>0.0422535211267605</v>
      </c>
      <c r="H151" s="24" t="s">
        <v>6761</v>
      </c>
      <c r="I151" s="47"/>
      <c r="J151" s="24">
        <v>0.0</v>
      </c>
    </row>
    <row r="152">
      <c r="A152" s="24">
        <v>43.0</v>
      </c>
      <c r="B152" s="24">
        <v>3.0</v>
      </c>
      <c r="C152" s="47">
        <v>14.84</v>
      </c>
      <c r="D152" s="35">
        <v>44596.0</v>
      </c>
      <c r="E152" s="47">
        <v>4.94666666666666</v>
      </c>
      <c r="F152" s="47">
        <v>345.116279069767</v>
      </c>
      <c r="G152" s="48">
        <v>0.0697674418604651</v>
      </c>
      <c r="H152" s="24" t="s">
        <v>6761</v>
      </c>
      <c r="I152" s="47"/>
      <c r="J152" s="24">
        <v>0.0</v>
      </c>
    </row>
    <row r="153">
      <c r="A153" s="24">
        <v>15.0</v>
      </c>
      <c r="B153" s="24">
        <v>0.0</v>
      </c>
      <c r="C153" s="47">
        <v>0.0</v>
      </c>
      <c r="D153" s="35">
        <v>44597.0</v>
      </c>
      <c r="E153" s="47"/>
      <c r="F153" s="47">
        <v>0.0</v>
      </c>
      <c r="G153" s="48">
        <v>0.0</v>
      </c>
      <c r="H153" s="24" t="s">
        <v>6761</v>
      </c>
      <c r="I153" s="47"/>
      <c r="J153" s="24">
        <v>0.0</v>
      </c>
    </row>
    <row r="154">
      <c r="A154" s="24">
        <v>27.0</v>
      </c>
      <c r="B154" s="24">
        <v>2.0</v>
      </c>
      <c r="C154" s="47">
        <v>8.87</v>
      </c>
      <c r="D154" s="35">
        <v>44598.0</v>
      </c>
      <c r="E154" s="47">
        <v>4.435</v>
      </c>
      <c r="F154" s="47">
        <v>328.518518518518</v>
      </c>
      <c r="G154" s="48">
        <v>0.074074074074074</v>
      </c>
      <c r="H154" s="24" t="s">
        <v>6761</v>
      </c>
      <c r="I154" s="47"/>
      <c r="J154" s="24">
        <v>0.0</v>
      </c>
    </row>
    <row r="155">
      <c r="A155" s="24">
        <v>26.0</v>
      </c>
      <c r="B155" s="24">
        <v>0.0</v>
      </c>
      <c r="C155" s="47">
        <v>0.0</v>
      </c>
      <c r="D155" s="35">
        <v>44599.0</v>
      </c>
      <c r="E155" s="47"/>
      <c r="F155" s="47">
        <v>0.0</v>
      </c>
      <c r="G155" s="48">
        <v>0.0</v>
      </c>
      <c r="H155" s="24" t="s">
        <v>6761</v>
      </c>
      <c r="I155" s="47"/>
      <c r="J155" s="24">
        <v>0.0</v>
      </c>
    </row>
    <row r="156">
      <c r="A156" s="24">
        <v>49.0</v>
      </c>
      <c r="B156" s="24">
        <v>2.0</v>
      </c>
      <c r="C156" s="47">
        <v>12.27</v>
      </c>
      <c r="D156" s="35">
        <v>44600.0</v>
      </c>
      <c r="E156" s="47">
        <v>6.135</v>
      </c>
      <c r="F156" s="47">
        <v>250.408163265306</v>
      </c>
      <c r="G156" s="48">
        <v>0.0408163265306122</v>
      </c>
      <c r="H156" s="24" t="s">
        <v>6761</v>
      </c>
      <c r="I156" s="47"/>
      <c r="J156" s="24">
        <v>0.0</v>
      </c>
    </row>
    <row r="157">
      <c r="A157" s="24">
        <v>37.0</v>
      </c>
      <c r="B157" s="24">
        <v>2.0</v>
      </c>
      <c r="C157" s="47">
        <v>11.94</v>
      </c>
      <c r="D157" s="35">
        <v>44601.0</v>
      </c>
      <c r="E157" s="47">
        <v>5.97</v>
      </c>
      <c r="F157" s="47">
        <v>322.702702702702</v>
      </c>
      <c r="G157" s="48">
        <v>0.054054054054054</v>
      </c>
      <c r="H157" s="24" t="s">
        <v>6761</v>
      </c>
      <c r="I157" s="47"/>
      <c r="J157" s="24">
        <v>0.0</v>
      </c>
    </row>
    <row r="158">
      <c r="A158" s="24">
        <v>25.0</v>
      </c>
      <c r="B158" s="24">
        <v>0.0</v>
      </c>
      <c r="C158" s="47">
        <v>0.0</v>
      </c>
      <c r="D158" s="35">
        <v>44602.0</v>
      </c>
      <c r="E158" s="47"/>
      <c r="F158" s="47">
        <v>0.0</v>
      </c>
      <c r="G158" s="48">
        <v>0.0</v>
      </c>
      <c r="H158" s="24" t="s">
        <v>6761</v>
      </c>
      <c r="I158" s="47"/>
      <c r="J158" s="24">
        <v>0.0</v>
      </c>
    </row>
    <row r="159">
      <c r="A159" s="24">
        <v>3946.0</v>
      </c>
      <c r="B159" s="24">
        <v>46.0</v>
      </c>
      <c r="C159" s="47">
        <v>4.714262</v>
      </c>
      <c r="D159" s="35">
        <v>44603.0</v>
      </c>
      <c r="E159" s="47">
        <v>0.102483956521739</v>
      </c>
      <c r="F159" s="47">
        <v>1.19469386720729</v>
      </c>
      <c r="G159" s="48">
        <v>0.0116573745565129</v>
      </c>
      <c r="H159" s="24" t="s">
        <v>6761</v>
      </c>
      <c r="I159" s="47"/>
      <c r="J159" s="24">
        <v>0.0</v>
      </c>
    </row>
    <row r="160">
      <c r="A160" s="24">
        <v>6752.0</v>
      </c>
      <c r="B160" s="24">
        <v>66.0</v>
      </c>
      <c r="C160" s="47">
        <v>6.334895</v>
      </c>
      <c r="D160" s="35">
        <v>44604.0</v>
      </c>
      <c r="E160" s="47">
        <v>0.0959832575757575</v>
      </c>
      <c r="F160" s="47">
        <v>0.938224970379147</v>
      </c>
      <c r="G160" s="48">
        <v>0.00977488151658767</v>
      </c>
      <c r="H160" s="24" t="s">
        <v>6761</v>
      </c>
      <c r="I160" s="47"/>
      <c r="J160" s="24">
        <v>0.0</v>
      </c>
    </row>
    <row r="161">
      <c r="A161" s="24">
        <v>4968.0</v>
      </c>
      <c r="B161" s="24">
        <v>145.0</v>
      </c>
      <c r="C161" s="47">
        <v>15.86194</v>
      </c>
      <c r="D161" s="35">
        <v>44605.0</v>
      </c>
      <c r="E161" s="47">
        <v>0.109392689655172</v>
      </c>
      <c r="F161" s="47">
        <v>3.19282206119162</v>
      </c>
      <c r="G161" s="48">
        <v>0.0291867954911433</v>
      </c>
      <c r="H161" s="24" t="s">
        <v>6761</v>
      </c>
      <c r="I161" s="47"/>
      <c r="J161" s="24">
        <v>0.0</v>
      </c>
    </row>
    <row r="162">
      <c r="A162" s="24">
        <v>26.0</v>
      </c>
      <c r="B162" s="24">
        <v>1.0</v>
      </c>
      <c r="C162" s="47">
        <v>0.03</v>
      </c>
      <c r="D162" s="35">
        <v>44606.0</v>
      </c>
      <c r="E162" s="47">
        <v>0.03</v>
      </c>
      <c r="F162" s="47">
        <v>1.15384615384615</v>
      </c>
      <c r="G162" s="48">
        <v>0.0384615384615384</v>
      </c>
      <c r="H162" s="24" t="s">
        <v>6761</v>
      </c>
      <c r="I162" s="47"/>
      <c r="J162" s="24">
        <v>0.0</v>
      </c>
    </row>
    <row r="163">
      <c r="A163" s="24">
        <v>117.0</v>
      </c>
      <c r="B163" s="24">
        <v>8.0</v>
      </c>
      <c r="C163" s="47">
        <v>43.92</v>
      </c>
      <c r="D163" s="35">
        <v>44607.0</v>
      </c>
      <c r="E163" s="47">
        <v>5.49</v>
      </c>
      <c r="F163" s="47">
        <v>375.384615384615</v>
      </c>
      <c r="G163" s="48">
        <v>0.0683760683760683</v>
      </c>
      <c r="H163" s="24" t="s">
        <v>6761</v>
      </c>
      <c r="I163" s="47"/>
      <c r="J163" s="24">
        <v>0.0</v>
      </c>
    </row>
    <row r="164">
      <c r="A164" s="24">
        <v>196.0</v>
      </c>
      <c r="B164" s="24">
        <v>8.0</v>
      </c>
      <c r="C164" s="47">
        <v>43.29</v>
      </c>
      <c r="D164" s="35">
        <v>44608.0</v>
      </c>
      <c r="E164" s="47">
        <v>5.41125</v>
      </c>
      <c r="F164" s="47">
        <v>220.867346938775</v>
      </c>
      <c r="G164" s="48">
        <v>0.0408163265306122</v>
      </c>
      <c r="H164" s="24" t="s">
        <v>6761</v>
      </c>
      <c r="I164" s="47"/>
      <c r="J164" s="24">
        <v>0.0</v>
      </c>
    </row>
    <row r="165">
      <c r="A165" s="24">
        <v>196.0</v>
      </c>
      <c r="B165" s="24">
        <v>6.0</v>
      </c>
      <c r="C165" s="47">
        <v>38.46</v>
      </c>
      <c r="D165" s="35">
        <v>44609.0</v>
      </c>
      <c r="E165" s="47">
        <v>6.41</v>
      </c>
      <c r="F165" s="47">
        <v>196.224489795918</v>
      </c>
      <c r="G165" s="48">
        <v>0.0306122448979591</v>
      </c>
      <c r="H165" s="24" t="s">
        <v>6761</v>
      </c>
      <c r="I165" s="47"/>
      <c r="J165" s="24">
        <v>0.0</v>
      </c>
    </row>
    <row r="166">
      <c r="A166" s="24">
        <v>180.0</v>
      </c>
      <c r="B166" s="24">
        <v>10.0</v>
      </c>
      <c r="C166" s="47">
        <v>43.91</v>
      </c>
      <c r="D166" s="35">
        <v>44610.0</v>
      </c>
      <c r="E166" s="47">
        <v>4.391</v>
      </c>
      <c r="F166" s="47">
        <v>243.944444444444</v>
      </c>
      <c r="G166" s="48">
        <v>0.0555555555555555</v>
      </c>
      <c r="H166" s="24" t="s">
        <v>6761</v>
      </c>
      <c r="I166" s="47">
        <v>4.87888888888888</v>
      </c>
      <c r="J166" s="24">
        <v>9.0</v>
      </c>
    </row>
    <row r="167">
      <c r="A167" s="24">
        <v>63.0</v>
      </c>
      <c r="B167" s="24">
        <v>8.0</v>
      </c>
      <c r="C167" s="47">
        <v>44.0</v>
      </c>
      <c r="D167" s="35">
        <v>44611.0</v>
      </c>
      <c r="E167" s="47">
        <v>5.5</v>
      </c>
      <c r="F167" s="47">
        <v>698.412698412698</v>
      </c>
      <c r="G167" s="48">
        <v>0.126984126984126</v>
      </c>
      <c r="H167" s="24" t="s">
        <v>6761</v>
      </c>
      <c r="I167" s="47">
        <v>2.93333333333333</v>
      </c>
      <c r="J167" s="24">
        <v>15.0</v>
      </c>
    </row>
    <row r="168">
      <c r="A168" s="24">
        <v>62.0</v>
      </c>
      <c r="B168" s="24">
        <v>6.0</v>
      </c>
      <c r="C168" s="47">
        <v>32.55</v>
      </c>
      <c r="D168" s="35">
        <v>44612.0</v>
      </c>
      <c r="E168" s="47">
        <v>5.425</v>
      </c>
      <c r="F168" s="47">
        <v>525.0</v>
      </c>
      <c r="G168" s="48">
        <v>0.0967741935483871</v>
      </c>
      <c r="H168" s="24" t="s">
        <v>6761</v>
      </c>
      <c r="I168" s="47">
        <v>8.1375</v>
      </c>
      <c r="J168" s="24">
        <v>4.0</v>
      </c>
    </row>
    <row r="169">
      <c r="A169" s="24">
        <v>34.0</v>
      </c>
      <c r="B169" s="24">
        <v>1.0</v>
      </c>
      <c r="C169" s="47">
        <v>5.46</v>
      </c>
      <c r="D169" s="35">
        <v>44613.0</v>
      </c>
      <c r="E169" s="47">
        <v>5.46</v>
      </c>
      <c r="F169" s="47">
        <v>160.588235294117</v>
      </c>
      <c r="G169" s="48">
        <v>0.0294117647058823</v>
      </c>
      <c r="H169" s="24" t="s">
        <v>6761</v>
      </c>
      <c r="I169" s="47">
        <v>5.46</v>
      </c>
      <c r="J169" s="24">
        <v>1.0</v>
      </c>
    </row>
    <row r="170">
      <c r="A170" s="24">
        <v>47.0</v>
      </c>
      <c r="B170" s="24">
        <v>1.0</v>
      </c>
      <c r="C170" s="47">
        <v>5.56</v>
      </c>
      <c r="D170" s="35">
        <v>44614.0</v>
      </c>
      <c r="E170" s="47">
        <v>5.56</v>
      </c>
      <c r="F170" s="47">
        <v>118.297872340425</v>
      </c>
      <c r="G170" s="48">
        <v>0.0212765957446808</v>
      </c>
      <c r="H170" s="24" t="s">
        <v>6761</v>
      </c>
      <c r="I170" s="47">
        <v>2.78</v>
      </c>
      <c r="J170" s="24">
        <v>2.0</v>
      </c>
    </row>
    <row r="171">
      <c r="A171" s="24">
        <v>26.0</v>
      </c>
      <c r="B171" s="24">
        <v>0.0</v>
      </c>
      <c r="C171" s="47">
        <v>0.0</v>
      </c>
      <c r="D171" s="35">
        <v>44615.0</v>
      </c>
      <c r="E171" s="47"/>
      <c r="F171" s="47">
        <v>0.0</v>
      </c>
      <c r="G171" s="48">
        <v>0.0</v>
      </c>
      <c r="H171" s="24" t="s">
        <v>6761</v>
      </c>
      <c r="I171" s="47"/>
      <c r="J171" s="24">
        <v>0.0</v>
      </c>
    </row>
    <row r="172">
      <c r="A172" s="24">
        <v>19.0</v>
      </c>
      <c r="B172" s="24">
        <v>1.0</v>
      </c>
      <c r="C172" s="47">
        <v>6.95</v>
      </c>
      <c r="D172" s="35">
        <v>44616.0</v>
      </c>
      <c r="E172" s="47">
        <v>6.95</v>
      </c>
      <c r="F172" s="47">
        <v>365.78947368421</v>
      </c>
      <c r="G172" s="48">
        <v>0.0526315789473684</v>
      </c>
      <c r="H172" s="24" t="s">
        <v>6761</v>
      </c>
      <c r="I172" s="47">
        <v>6.95</v>
      </c>
      <c r="J172" s="24">
        <v>1.0</v>
      </c>
    </row>
    <row r="173">
      <c r="A173" s="24">
        <v>12.0</v>
      </c>
      <c r="B173" s="24">
        <v>0.0</v>
      </c>
      <c r="C173" s="47">
        <v>0.0</v>
      </c>
      <c r="D173" s="35">
        <v>44617.0</v>
      </c>
      <c r="E173" s="47"/>
      <c r="F173" s="47">
        <v>0.0</v>
      </c>
      <c r="G173" s="48">
        <v>0.0</v>
      </c>
      <c r="H173" s="24" t="s">
        <v>6761</v>
      </c>
      <c r="I173" s="47"/>
      <c r="J173" s="24">
        <v>0.0</v>
      </c>
    </row>
    <row r="174">
      <c r="A174" s="24">
        <v>11.0</v>
      </c>
      <c r="B174" s="24">
        <v>0.0</v>
      </c>
      <c r="C174" s="47">
        <v>0.0</v>
      </c>
      <c r="D174" s="35">
        <v>44618.0</v>
      </c>
      <c r="E174" s="47"/>
      <c r="F174" s="47">
        <v>0.0</v>
      </c>
      <c r="G174" s="48">
        <v>0.0</v>
      </c>
      <c r="H174" s="24" t="s">
        <v>6761</v>
      </c>
      <c r="I174" s="47"/>
      <c r="J174" s="24">
        <v>0.0</v>
      </c>
    </row>
    <row r="175">
      <c r="A175" s="24">
        <v>20.0</v>
      </c>
      <c r="B175" s="24">
        <v>0.0</v>
      </c>
      <c r="C175" s="47">
        <v>0.0</v>
      </c>
      <c r="D175" s="35">
        <v>44619.0</v>
      </c>
      <c r="E175" s="47"/>
      <c r="F175" s="47">
        <v>0.0</v>
      </c>
      <c r="G175" s="48">
        <v>0.0</v>
      </c>
      <c r="H175" s="24" t="s">
        <v>6761</v>
      </c>
      <c r="I175" s="47"/>
      <c r="J175" s="24">
        <v>0.0</v>
      </c>
    </row>
    <row r="176">
      <c r="A176" s="24">
        <v>36.0</v>
      </c>
      <c r="B176" s="24">
        <v>2.0</v>
      </c>
      <c r="C176" s="47">
        <v>11.76</v>
      </c>
      <c r="D176" s="35">
        <v>44620.0</v>
      </c>
      <c r="E176" s="47">
        <v>5.88</v>
      </c>
      <c r="F176" s="47">
        <v>326.666666666666</v>
      </c>
      <c r="G176" s="48">
        <v>0.0555555555555555</v>
      </c>
      <c r="H176" s="24" t="s">
        <v>6761</v>
      </c>
      <c r="I176" s="47">
        <v>5.88</v>
      </c>
      <c r="J176" s="24">
        <v>2.0</v>
      </c>
    </row>
    <row r="177">
      <c r="A177" s="24">
        <v>21.0</v>
      </c>
      <c r="B177" s="24">
        <v>0.0</v>
      </c>
      <c r="C177" s="47">
        <v>0.0</v>
      </c>
      <c r="D177" s="35">
        <v>44621.0</v>
      </c>
      <c r="E177" s="47"/>
      <c r="F177" s="47">
        <v>0.0</v>
      </c>
      <c r="G177" s="48">
        <v>0.0</v>
      </c>
      <c r="H177" s="24" t="s">
        <v>6761</v>
      </c>
      <c r="I177" s="47"/>
      <c r="J177" s="24">
        <v>0.0</v>
      </c>
    </row>
    <row r="178">
      <c r="A178" s="24">
        <v>20.0</v>
      </c>
      <c r="B178" s="24">
        <v>0.0</v>
      </c>
      <c r="C178" s="47">
        <v>0.0</v>
      </c>
      <c r="D178" s="35">
        <v>44622.0</v>
      </c>
      <c r="E178" s="47"/>
      <c r="F178" s="47">
        <v>0.0</v>
      </c>
      <c r="G178" s="48">
        <v>0.0</v>
      </c>
      <c r="H178" s="24" t="s">
        <v>6761</v>
      </c>
      <c r="I178" s="47"/>
      <c r="J178" s="24">
        <v>0.0</v>
      </c>
    </row>
    <row r="179">
      <c r="A179" s="24">
        <v>59.0</v>
      </c>
      <c r="B179" s="24">
        <v>1.0</v>
      </c>
      <c r="C179" s="47">
        <v>4.46</v>
      </c>
      <c r="D179" s="35">
        <v>44623.0</v>
      </c>
      <c r="E179" s="47">
        <v>4.46</v>
      </c>
      <c r="F179" s="47">
        <v>75.593220338983</v>
      </c>
      <c r="G179" s="48">
        <v>0.0169491525423728</v>
      </c>
      <c r="H179" s="24" t="s">
        <v>6761</v>
      </c>
      <c r="I179" s="47">
        <v>4.46</v>
      </c>
      <c r="J179" s="24">
        <v>1.0</v>
      </c>
    </row>
    <row r="180">
      <c r="A180" s="24">
        <v>52.0</v>
      </c>
      <c r="B180" s="24">
        <v>0.0</v>
      </c>
      <c r="C180" s="47">
        <v>0.0</v>
      </c>
      <c r="D180" s="35">
        <v>44624.0</v>
      </c>
      <c r="E180" s="47"/>
      <c r="F180" s="47">
        <v>0.0</v>
      </c>
      <c r="G180" s="48">
        <v>0.0</v>
      </c>
      <c r="H180" s="24" t="s">
        <v>6761</v>
      </c>
      <c r="I180" s="47"/>
      <c r="J180" s="24">
        <v>0.0</v>
      </c>
    </row>
    <row r="181">
      <c r="A181" s="24">
        <v>11.0</v>
      </c>
      <c r="B181" s="24">
        <v>0.0</v>
      </c>
      <c r="C181" s="47">
        <v>0.0</v>
      </c>
      <c r="D181" s="35">
        <v>44625.0</v>
      </c>
      <c r="E181" s="47"/>
      <c r="F181" s="47">
        <v>0.0</v>
      </c>
      <c r="G181" s="48">
        <v>0.0</v>
      </c>
      <c r="H181" s="24" t="s">
        <v>6761</v>
      </c>
      <c r="I181" s="47"/>
      <c r="J181" s="24">
        <v>0.0</v>
      </c>
    </row>
    <row r="182">
      <c r="A182" s="24">
        <v>9.0</v>
      </c>
      <c r="B182" s="24">
        <v>0.0</v>
      </c>
      <c r="C182" s="47">
        <v>0.0</v>
      </c>
      <c r="D182" s="35">
        <v>44626.0</v>
      </c>
      <c r="E182" s="47"/>
      <c r="F182" s="47">
        <v>0.0</v>
      </c>
      <c r="G182" s="48">
        <v>0.0</v>
      </c>
      <c r="H182" s="24" t="s">
        <v>6761</v>
      </c>
      <c r="I182" s="47"/>
      <c r="J182" s="24">
        <v>0.0</v>
      </c>
    </row>
    <row r="183">
      <c r="A183" s="24">
        <v>107.0</v>
      </c>
      <c r="B183" s="24">
        <v>0.0</v>
      </c>
      <c r="C183" s="47">
        <v>0.0</v>
      </c>
      <c r="D183" s="35">
        <v>44627.0</v>
      </c>
      <c r="E183" s="47"/>
      <c r="F183" s="47">
        <v>0.0</v>
      </c>
      <c r="G183" s="48">
        <v>0.0</v>
      </c>
      <c r="H183" s="24" t="s">
        <v>6761</v>
      </c>
      <c r="I183" s="47"/>
      <c r="J183" s="24">
        <v>0.0</v>
      </c>
    </row>
    <row r="184">
      <c r="A184" s="24">
        <v>173.0</v>
      </c>
      <c r="B184" s="24">
        <v>1.0</v>
      </c>
      <c r="C184" s="47">
        <v>13.04</v>
      </c>
      <c r="D184" s="35">
        <v>44628.0</v>
      </c>
      <c r="E184" s="47">
        <v>13.04</v>
      </c>
      <c r="F184" s="47">
        <v>75.3757225433526</v>
      </c>
      <c r="G184" s="48">
        <v>0.00578034682080924</v>
      </c>
      <c r="H184" s="24" t="s">
        <v>6761</v>
      </c>
      <c r="I184" s="47">
        <v>13.04</v>
      </c>
      <c r="J184" s="24">
        <v>1.0</v>
      </c>
    </row>
    <row r="185">
      <c r="A185" s="24">
        <v>334.0</v>
      </c>
      <c r="B185" s="24">
        <v>3.0</v>
      </c>
      <c r="C185" s="47">
        <v>58.32</v>
      </c>
      <c r="D185" s="35">
        <v>44629.0</v>
      </c>
      <c r="E185" s="47">
        <v>19.44</v>
      </c>
      <c r="F185" s="47">
        <v>174.610778443113</v>
      </c>
      <c r="G185" s="48">
        <v>0.00898203592814371</v>
      </c>
      <c r="H185" s="24" t="s">
        <v>6761</v>
      </c>
      <c r="I185" s="47">
        <v>11.664</v>
      </c>
      <c r="J185" s="24">
        <v>5.0</v>
      </c>
    </row>
    <row r="186">
      <c r="A186" s="24">
        <v>244.0</v>
      </c>
      <c r="B186" s="24">
        <v>9.0</v>
      </c>
      <c r="C186" s="47">
        <v>163.44</v>
      </c>
      <c r="D186" s="35">
        <v>44630.0</v>
      </c>
      <c r="E186" s="47">
        <v>18.16</v>
      </c>
      <c r="F186" s="47">
        <v>669.83606557377</v>
      </c>
      <c r="G186" s="48">
        <v>0.0368852459016393</v>
      </c>
      <c r="H186" s="24" t="s">
        <v>6761</v>
      </c>
      <c r="I186" s="47">
        <v>13.62</v>
      </c>
      <c r="J186" s="24">
        <v>12.0</v>
      </c>
    </row>
    <row r="187">
      <c r="A187" s="24">
        <v>223.0</v>
      </c>
      <c r="B187" s="24">
        <v>1.0</v>
      </c>
      <c r="C187" s="47">
        <v>24.52</v>
      </c>
      <c r="D187" s="35">
        <v>44631.0</v>
      </c>
      <c r="E187" s="47">
        <v>24.52</v>
      </c>
      <c r="F187" s="47">
        <v>109.955156950672</v>
      </c>
      <c r="G187" s="48">
        <v>0.00448430493273542</v>
      </c>
      <c r="H187" s="24" t="s">
        <v>6761</v>
      </c>
      <c r="I187" s="47">
        <v>24.52</v>
      </c>
      <c r="J187" s="24">
        <v>1.0</v>
      </c>
    </row>
    <row r="188">
      <c r="A188" s="24">
        <v>117.0</v>
      </c>
      <c r="B188" s="24">
        <v>1.0</v>
      </c>
      <c r="C188" s="47">
        <v>9.32</v>
      </c>
      <c r="D188" s="35">
        <v>44632.0</v>
      </c>
      <c r="E188" s="47">
        <v>9.32</v>
      </c>
      <c r="F188" s="47">
        <v>79.6581196581196</v>
      </c>
      <c r="G188" s="48">
        <v>0.00854700854700854</v>
      </c>
      <c r="H188" s="24" t="s">
        <v>6761</v>
      </c>
      <c r="I188" s="47">
        <v>9.32</v>
      </c>
      <c r="J188" s="24">
        <v>1.0</v>
      </c>
    </row>
    <row r="189">
      <c r="A189" s="24">
        <v>157.0</v>
      </c>
      <c r="B189" s="24">
        <v>3.0</v>
      </c>
      <c r="C189" s="47">
        <v>67.97</v>
      </c>
      <c r="D189" s="35">
        <v>44633.0</v>
      </c>
      <c r="E189" s="47">
        <v>22.6566666666666</v>
      </c>
      <c r="F189" s="47">
        <v>432.929936305732</v>
      </c>
      <c r="G189" s="48">
        <v>0.019108280254777</v>
      </c>
      <c r="H189" s="24" t="s">
        <v>6761</v>
      </c>
      <c r="I189" s="47">
        <v>16.9925</v>
      </c>
      <c r="J189" s="24">
        <v>4.0</v>
      </c>
    </row>
    <row r="190">
      <c r="A190" s="24">
        <v>155.0</v>
      </c>
      <c r="B190" s="24">
        <v>4.0</v>
      </c>
      <c r="C190" s="47">
        <v>87.94</v>
      </c>
      <c r="D190" s="35">
        <v>44634.0</v>
      </c>
      <c r="E190" s="47">
        <v>21.985</v>
      </c>
      <c r="F190" s="47">
        <v>567.354838709677</v>
      </c>
      <c r="G190" s="48">
        <v>0.0258064516129032</v>
      </c>
      <c r="H190" s="24" t="s">
        <v>6761</v>
      </c>
      <c r="I190" s="47">
        <v>7.99454545454545</v>
      </c>
      <c r="J190" s="24">
        <v>11.0</v>
      </c>
    </row>
    <row r="191">
      <c r="A191" s="24">
        <v>146.0</v>
      </c>
      <c r="B191" s="24">
        <v>1.0</v>
      </c>
      <c r="C191" s="47">
        <v>18.8</v>
      </c>
      <c r="D191" s="35">
        <v>44635.0</v>
      </c>
      <c r="E191" s="47">
        <v>18.8</v>
      </c>
      <c r="F191" s="47">
        <v>128.767123287671</v>
      </c>
      <c r="G191" s="48">
        <v>0.00684931506849315</v>
      </c>
      <c r="H191" s="24" t="s">
        <v>6761</v>
      </c>
      <c r="I191" s="47">
        <v>9.4</v>
      </c>
      <c r="J191" s="24">
        <v>2.0</v>
      </c>
    </row>
    <row r="192">
      <c r="A192" s="24">
        <v>4.0</v>
      </c>
      <c r="B192" s="24">
        <v>0.0</v>
      </c>
      <c r="C192" s="47">
        <v>0.0</v>
      </c>
      <c r="D192" s="35">
        <v>44636.0</v>
      </c>
      <c r="E192" s="47"/>
      <c r="F192" s="47">
        <v>0.0</v>
      </c>
      <c r="G192" s="48">
        <v>0.0</v>
      </c>
      <c r="H192" s="24" t="s">
        <v>6761</v>
      </c>
      <c r="I192" s="47"/>
      <c r="J192" s="24">
        <v>0.0</v>
      </c>
    </row>
    <row r="193">
      <c r="A193" s="24">
        <v>54.0</v>
      </c>
      <c r="B193" s="24">
        <v>0.0</v>
      </c>
      <c r="C193" s="47">
        <v>0.0</v>
      </c>
      <c r="D193" s="35">
        <v>44620.0</v>
      </c>
      <c r="E193" s="47"/>
      <c r="F193" s="47">
        <v>0.0</v>
      </c>
      <c r="G193" s="48">
        <v>0.0</v>
      </c>
      <c r="H193" s="24" t="s">
        <v>6762</v>
      </c>
      <c r="I193" s="47"/>
      <c r="J193" s="24">
        <v>0.0</v>
      </c>
    </row>
    <row r="194">
      <c r="A194" s="24">
        <v>49.0</v>
      </c>
      <c r="B194" s="24">
        <v>1.0</v>
      </c>
      <c r="C194" s="47">
        <v>9.28</v>
      </c>
      <c r="D194" s="35">
        <v>44621.0</v>
      </c>
      <c r="E194" s="47">
        <v>9.28</v>
      </c>
      <c r="F194" s="47">
        <v>189.38775510204</v>
      </c>
      <c r="G194" s="48">
        <v>0.0204081632653061</v>
      </c>
      <c r="H194" s="24" t="s">
        <v>6762</v>
      </c>
      <c r="I194" s="47"/>
      <c r="J194" s="24">
        <v>0.0</v>
      </c>
    </row>
    <row r="195">
      <c r="A195" s="24">
        <v>68.0</v>
      </c>
      <c r="B195" s="24">
        <v>0.0</v>
      </c>
      <c r="C195" s="47">
        <v>0.0</v>
      </c>
      <c r="D195" s="35">
        <v>44622.0</v>
      </c>
      <c r="E195" s="47"/>
      <c r="F195" s="47">
        <v>0.0</v>
      </c>
      <c r="G195" s="48">
        <v>0.0</v>
      </c>
      <c r="H195" s="24" t="s">
        <v>6762</v>
      </c>
      <c r="I195" s="47"/>
      <c r="J195" s="24">
        <v>0.0</v>
      </c>
    </row>
    <row r="196">
      <c r="A196" s="24">
        <v>71.0</v>
      </c>
      <c r="B196" s="24">
        <v>0.0</v>
      </c>
      <c r="C196" s="47">
        <v>0.0</v>
      </c>
      <c r="D196" s="35">
        <v>44623.0</v>
      </c>
      <c r="E196" s="47"/>
      <c r="F196" s="47">
        <v>0.0</v>
      </c>
      <c r="G196" s="48">
        <v>0.0</v>
      </c>
      <c r="H196" s="24" t="s">
        <v>6762</v>
      </c>
      <c r="I196" s="47"/>
      <c r="J196" s="24">
        <v>0.0</v>
      </c>
    </row>
    <row r="197">
      <c r="A197" s="24">
        <v>49.0</v>
      </c>
      <c r="B197" s="24">
        <v>0.0</v>
      </c>
      <c r="C197" s="47">
        <v>0.0</v>
      </c>
      <c r="D197" s="35">
        <v>44624.0</v>
      </c>
      <c r="E197" s="47"/>
      <c r="F197" s="47">
        <v>0.0</v>
      </c>
      <c r="G197" s="48">
        <v>0.0</v>
      </c>
      <c r="H197" s="24" t="s">
        <v>6762</v>
      </c>
      <c r="I197" s="47"/>
      <c r="J197" s="24">
        <v>0.0</v>
      </c>
    </row>
    <row r="198">
      <c r="A198" s="24">
        <v>28.0</v>
      </c>
      <c r="B198" s="24">
        <v>0.0</v>
      </c>
      <c r="C198" s="47">
        <v>0.0</v>
      </c>
      <c r="D198" s="35">
        <v>44625.0</v>
      </c>
      <c r="E198" s="47"/>
      <c r="F198" s="47">
        <v>0.0</v>
      </c>
      <c r="G198" s="48">
        <v>0.0</v>
      </c>
      <c r="H198" s="24" t="s">
        <v>6762</v>
      </c>
      <c r="I198" s="47"/>
      <c r="J198" s="24">
        <v>0.0</v>
      </c>
    </row>
    <row r="199">
      <c r="A199" s="24">
        <v>21.0</v>
      </c>
      <c r="B199" s="24">
        <v>1.0</v>
      </c>
      <c r="C199" s="47">
        <v>9.9</v>
      </c>
      <c r="D199" s="35">
        <v>44626.0</v>
      </c>
      <c r="E199" s="47">
        <v>9.9</v>
      </c>
      <c r="F199" s="47">
        <v>471.428571428571</v>
      </c>
      <c r="G199" s="48">
        <v>0.0476190476190476</v>
      </c>
      <c r="H199" s="24" t="s">
        <v>6762</v>
      </c>
      <c r="I199" s="47">
        <v>4.95</v>
      </c>
      <c r="J199" s="24">
        <v>2.0</v>
      </c>
    </row>
    <row r="200">
      <c r="A200" s="24">
        <v>101.0</v>
      </c>
      <c r="B200" s="24">
        <v>0.0</v>
      </c>
      <c r="C200" s="47">
        <v>0.0</v>
      </c>
      <c r="D200" s="35">
        <v>44627.0</v>
      </c>
      <c r="E200" s="47"/>
      <c r="F200" s="47">
        <v>0.0</v>
      </c>
      <c r="G200" s="48">
        <v>0.0</v>
      </c>
      <c r="H200" s="24" t="s">
        <v>6762</v>
      </c>
      <c r="I200" s="47"/>
      <c r="J200" s="24">
        <v>0.0</v>
      </c>
    </row>
    <row r="201">
      <c r="A201" s="24">
        <v>59.0</v>
      </c>
      <c r="B201" s="24">
        <v>2.0</v>
      </c>
      <c r="C201" s="47">
        <v>28.92</v>
      </c>
      <c r="D201" s="35">
        <v>44628.0</v>
      </c>
      <c r="E201" s="47">
        <v>14.46</v>
      </c>
      <c r="F201" s="47">
        <v>490.169491525423</v>
      </c>
      <c r="G201" s="48">
        <v>0.0338983050847457</v>
      </c>
      <c r="H201" s="24" t="s">
        <v>6762</v>
      </c>
      <c r="I201" s="47">
        <v>14.46</v>
      </c>
      <c r="J201" s="24">
        <v>2.0</v>
      </c>
    </row>
    <row r="202">
      <c r="A202" s="24">
        <v>87.0</v>
      </c>
      <c r="B202" s="24">
        <v>2.0</v>
      </c>
      <c r="C202" s="47">
        <v>28.29</v>
      </c>
      <c r="D202" s="35">
        <v>44629.0</v>
      </c>
      <c r="E202" s="47">
        <v>14.145</v>
      </c>
      <c r="F202" s="47">
        <v>325.172413793103</v>
      </c>
      <c r="G202" s="48">
        <v>0.0229885057471264</v>
      </c>
      <c r="H202" s="24" t="s">
        <v>6762</v>
      </c>
      <c r="I202" s="47">
        <v>9.43</v>
      </c>
      <c r="J202" s="24">
        <v>3.0</v>
      </c>
    </row>
    <row r="203">
      <c r="A203" s="24">
        <v>94.0</v>
      </c>
      <c r="B203" s="24">
        <v>1.0</v>
      </c>
      <c r="C203" s="47">
        <v>14.82</v>
      </c>
      <c r="D203" s="35">
        <v>44630.0</v>
      </c>
      <c r="E203" s="47">
        <v>14.82</v>
      </c>
      <c r="F203" s="47">
        <v>157.659574468085</v>
      </c>
      <c r="G203" s="48">
        <v>0.0106382978723404</v>
      </c>
      <c r="H203" s="24" t="s">
        <v>6762</v>
      </c>
      <c r="I203" s="47">
        <v>14.82</v>
      </c>
      <c r="J203" s="24">
        <v>1.0</v>
      </c>
    </row>
    <row r="204">
      <c r="A204" s="24">
        <v>15.0</v>
      </c>
      <c r="B204" s="24">
        <v>0.0</v>
      </c>
      <c r="C204" s="47">
        <v>0.0</v>
      </c>
      <c r="D204" s="35">
        <v>44631.0</v>
      </c>
      <c r="E204" s="47"/>
      <c r="F204" s="47">
        <v>0.0</v>
      </c>
      <c r="G204" s="48">
        <v>0.0</v>
      </c>
      <c r="H204" s="24" t="s">
        <v>6762</v>
      </c>
      <c r="I204" s="47"/>
      <c r="J204" s="24">
        <v>0.0</v>
      </c>
    </row>
    <row r="205">
      <c r="A205" s="24">
        <v>7.0</v>
      </c>
      <c r="B205" s="24">
        <v>0.0</v>
      </c>
      <c r="C205" s="47">
        <v>0.0</v>
      </c>
      <c r="D205" s="35">
        <v>44632.0</v>
      </c>
      <c r="E205" s="47"/>
      <c r="F205" s="47">
        <v>0.0</v>
      </c>
      <c r="G205" s="48">
        <v>0.0</v>
      </c>
      <c r="H205" s="24" t="s">
        <v>6762</v>
      </c>
      <c r="I205" s="47"/>
      <c r="J205" s="24">
        <v>0.0</v>
      </c>
    </row>
    <row r="206">
      <c r="A206" s="24">
        <v>4.0</v>
      </c>
      <c r="B206" s="24">
        <v>0.0</v>
      </c>
      <c r="C206" s="47">
        <v>0.0</v>
      </c>
      <c r="D206" s="35">
        <v>44633.0</v>
      </c>
      <c r="E206" s="47"/>
      <c r="F206" s="47">
        <v>0.0</v>
      </c>
      <c r="G206" s="48">
        <v>0.0</v>
      </c>
      <c r="H206" s="24" t="s">
        <v>6762</v>
      </c>
      <c r="I206" s="47"/>
      <c r="J206" s="24">
        <v>0.0</v>
      </c>
    </row>
    <row r="207">
      <c r="A207" s="24">
        <v>13.0</v>
      </c>
      <c r="B207" s="24">
        <v>0.0</v>
      </c>
      <c r="C207" s="47">
        <v>0.0</v>
      </c>
      <c r="D207" s="35">
        <v>44634.0</v>
      </c>
      <c r="E207" s="47"/>
      <c r="F207" s="47">
        <v>0.0</v>
      </c>
      <c r="G207" s="48">
        <v>0.0</v>
      </c>
      <c r="H207" s="24" t="s">
        <v>6762</v>
      </c>
      <c r="I207" s="47"/>
      <c r="J207" s="24">
        <v>0.0</v>
      </c>
    </row>
    <row r="208">
      <c r="A208" s="24">
        <v>10.0</v>
      </c>
      <c r="B208" s="24">
        <v>0.0</v>
      </c>
      <c r="C208" s="47">
        <v>0.0</v>
      </c>
      <c r="D208" s="35">
        <v>44635.0</v>
      </c>
      <c r="E208" s="47"/>
      <c r="F208" s="47">
        <v>0.0</v>
      </c>
      <c r="G208" s="48">
        <v>0.0</v>
      </c>
      <c r="H208" s="24" t="s">
        <v>6762</v>
      </c>
      <c r="I208" s="47"/>
      <c r="J208" s="24">
        <v>0.0</v>
      </c>
    </row>
    <row r="209">
      <c r="A209" s="24">
        <v>29.0</v>
      </c>
      <c r="B209" s="24">
        <v>0.0</v>
      </c>
      <c r="C209" s="47">
        <v>0.0</v>
      </c>
      <c r="D209" s="35">
        <v>44636.0</v>
      </c>
      <c r="E209" s="47"/>
      <c r="F209" s="47">
        <v>0.0</v>
      </c>
      <c r="G209" s="48">
        <v>0.0</v>
      </c>
      <c r="H209" s="24" t="s">
        <v>6762</v>
      </c>
      <c r="I209" s="47"/>
      <c r="J209" s="24">
        <v>0.0</v>
      </c>
    </row>
    <row r="210">
      <c r="A210" s="24">
        <v>18.0</v>
      </c>
      <c r="B210" s="24">
        <v>0.0</v>
      </c>
      <c r="C210" s="47">
        <v>0.0</v>
      </c>
      <c r="D210" s="35">
        <v>44637.0</v>
      </c>
      <c r="E210" s="47"/>
      <c r="F210" s="47">
        <v>0.0</v>
      </c>
      <c r="G210" s="48">
        <v>0.0</v>
      </c>
      <c r="H210" s="24" t="s">
        <v>6762</v>
      </c>
      <c r="I210" s="47"/>
      <c r="J210" s="24">
        <v>0.0</v>
      </c>
    </row>
    <row r="211">
      <c r="A211" s="24">
        <v>12.0</v>
      </c>
      <c r="B211" s="24">
        <v>0.0</v>
      </c>
      <c r="C211" s="47">
        <v>0.0</v>
      </c>
      <c r="D211" s="35">
        <v>44638.0</v>
      </c>
      <c r="E211" s="47"/>
      <c r="F211" s="47">
        <v>0.0</v>
      </c>
      <c r="G211" s="48">
        <v>0.0</v>
      </c>
      <c r="H211" s="24" t="s">
        <v>6762</v>
      </c>
      <c r="I211" s="47"/>
      <c r="J211" s="24">
        <v>0.0</v>
      </c>
    </row>
    <row r="212">
      <c r="A212" s="24">
        <v>18.0</v>
      </c>
      <c r="B212" s="24">
        <v>0.0</v>
      </c>
      <c r="C212" s="47">
        <v>0.0</v>
      </c>
      <c r="D212" s="35">
        <v>44641.0</v>
      </c>
      <c r="E212" s="47"/>
      <c r="F212" s="47">
        <v>0.0</v>
      </c>
      <c r="G212" s="48">
        <v>0.0</v>
      </c>
      <c r="H212" s="24" t="s">
        <v>6762</v>
      </c>
      <c r="I212" s="47"/>
      <c r="J212" s="24">
        <v>0.0</v>
      </c>
    </row>
    <row r="213">
      <c r="A213" s="24">
        <v>19.0</v>
      </c>
      <c r="B213" s="24">
        <v>0.0</v>
      </c>
      <c r="C213" s="47">
        <v>0.0</v>
      </c>
      <c r="D213" s="35">
        <v>44642.0</v>
      </c>
      <c r="E213" s="47"/>
      <c r="F213" s="47">
        <v>0.0</v>
      </c>
      <c r="G213" s="48">
        <v>0.0</v>
      </c>
      <c r="H213" s="24" t="s">
        <v>6762</v>
      </c>
      <c r="I213" s="47"/>
      <c r="J213" s="24">
        <v>0.0</v>
      </c>
    </row>
    <row r="214">
      <c r="A214" s="24">
        <v>19.0</v>
      </c>
      <c r="B214" s="24">
        <v>0.0</v>
      </c>
      <c r="C214" s="47">
        <v>0.0</v>
      </c>
      <c r="D214" s="35">
        <v>44643.0</v>
      </c>
      <c r="E214" s="47"/>
      <c r="F214" s="47">
        <v>0.0</v>
      </c>
      <c r="G214" s="48">
        <v>0.0</v>
      </c>
      <c r="H214" s="24" t="s">
        <v>6762</v>
      </c>
      <c r="I214" s="47"/>
      <c r="J214" s="24">
        <v>0.0</v>
      </c>
    </row>
    <row r="215">
      <c r="A215" s="24">
        <v>14.0</v>
      </c>
      <c r="B215" s="24">
        <v>0.0</v>
      </c>
      <c r="C215" s="47">
        <v>0.0</v>
      </c>
      <c r="D215" s="35">
        <v>44644.0</v>
      </c>
      <c r="E215" s="47"/>
      <c r="F215" s="47">
        <v>0.0</v>
      </c>
      <c r="G215" s="48">
        <v>0.0</v>
      </c>
      <c r="H215" s="24" t="s">
        <v>6762</v>
      </c>
      <c r="I215" s="47"/>
      <c r="J215" s="24">
        <v>0.0</v>
      </c>
    </row>
    <row r="216">
      <c r="A216" s="24">
        <v>19.0</v>
      </c>
      <c r="B216" s="24">
        <v>2.0</v>
      </c>
      <c r="C216" s="47">
        <v>65.71</v>
      </c>
      <c r="D216" s="35">
        <v>44645.0</v>
      </c>
      <c r="E216" s="47">
        <v>32.855</v>
      </c>
      <c r="F216" s="47">
        <v>3458.42105263157</v>
      </c>
      <c r="G216" s="48">
        <v>0.105263157894736</v>
      </c>
      <c r="H216" s="24" t="s">
        <v>6762</v>
      </c>
      <c r="I216" s="47">
        <v>65.71</v>
      </c>
      <c r="J216" s="24">
        <v>1.0</v>
      </c>
    </row>
    <row r="217">
      <c r="A217" s="24">
        <v>17.0</v>
      </c>
      <c r="B217" s="24">
        <v>0.0</v>
      </c>
      <c r="C217" s="47">
        <v>0.0</v>
      </c>
      <c r="D217" s="35">
        <v>44648.0</v>
      </c>
      <c r="E217" s="47"/>
      <c r="F217" s="47">
        <v>0.0</v>
      </c>
      <c r="G217" s="48">
        <v>0.0</v>
      </c>
      <c r="H217" s="24" t="s">
        <v>6762</v>
      </c>
      <c r="I217" s="47"/>
      <c r="J217" s="24">
        <v>0.0</v>
      </c>
    </row>
    <row r="218">
      <c r="A218" s="24">
        <v>15.0</v>
      </c>
      <c r="B218" s="24">
        <v>0.0</v>
      </c>
      <c r="C218" s="47">
        <v>0.0</v>
      </c>
      <c r="D218" s="35">
        <v>44649.0</v>
      </c>
      <c r="E218" s="47"/>
      <c r="F218" s="47">
        <v>0.0</v>
      </c>
      <c r="G218" s="48">
        <v>0.0</v>
      </c>
      <c r="H218" s="24" t="s">
        <v>6762</v>
      </c>
      <c r="I218" s="47"/>
      <c r="J218" s="24">
        <v>0.0</v>
      </c>
    </row>
    <row r="219">
      <c r="A219" s="24">
        <v>22.0</v>
      </c>
      <c r="B219" s="24">
        <v>0.0</v>
      </c>
      <c r="C219" s="47">
        <v>0.0</v>
      </c>
      <c r="D219" s="35">
        <v>44650.0</v>
      </c>
      <c r="E219" s="47"/>
      <c r="F219" s="47">
        <v>0.0</v>
      </c>
      <c r="G219" s="48">
        <v>0.0</v>
      </c>
      <c r="H219" s="24" t="s">
        <v>6762</v>
      </c>
      <c r="I219" s="47"/>
      <c r="J219" s="24">
        <v>0.0</v>
      </c>
    </row>
    <row r="220">
      <c r="A220" s="24">
        <v>94.0</v>
      </c>
      <c r="B220" s="24">
        <v>0.0</v>
      </c>
      <c r="C220" s="47">
        <v>0.0</v>
      </c>
      <c r="D220" s="35">
        <v>44651.0</v>
      </c>
      <c r="E220" s="47"/>
      <c r="F220" s="47">
        <v>0.0</v>
      </c>
      <c r="G220" s="48">
        <v>0.0</v>
      </c>
      <c r="H220" s="24" t="s">
        <v>6762</v>
      </c>
      <c r="I220" s="47"/>
      <c r="J220" s="24">
        <v>0.0</v>
      </c>
    </row>
    <row r="221">
      <c r="A221" s="24">
        <v>65.0</v>
      </c>
      <c r="B221" s="24">
        <v>1.0</v>
      </c>
      <c r="C221" s="47">
        <v>24.8</v>
      </c>
      <c r="D221" s="35">
        <v>44652.0</v>
      </c>
      <c r="E221" s="47">
        <v>24.8</v>
      </c>
      <c r="F221" s="47">
        <v>381.538461538461</v>
      </c>
      <c r="G221" s="48">
        <v>0.0153846153846153</v>
      </c>
      <c r="H221" s="24" t="s">
        <v>6762</v>
      </c>
      <c r="I221" s="47">
        <v>24.8</v>
      </c>
      <c r="J221" s="24">
        <v>1.0</v>
      </c>
    </row>
    <row r="222">
      <c r="A222" s="24">
        <v>96.0</v>
      </c>
      <c r="B222" s="24">
        <v>0.0</v>
      </c>
      <c r="C222" s="47">
        <v>0.0</v>
      </c>
      <c r="D222" s="35">
        <v>44655.0</v>
      </c>
      <c r="E222" s="47"/>
      <c r="F222" s="47">
        <v>0.0</v>
      </c>
      <c r="G222" s="48">
        <v>0.0</v>
      </c>
      <c r="H222" s="24" t="s">
        <v>6762</v>
      </c>
      <c r="I222" s="47"/>
      <c r="J222" s="24">
        <v>0.0</v>
      </c>
    </row>
    <row r="223">
      <c r="A223" s="24">
        <v>69.0</v>
      </c>
      <c r="B223" s="24">
        <v>1.0</v>
      </c>
      <c r="C223" s="47">
        <v>24.51</v>
      </c>
      <c r="D223" s="35">
        <v>44656.0</v>
      </c>
      <c r="E223" s="47">
        <v>24.51</v>
      </c>
      <c r="F223" s="47">
        <v>355.217391304347</v>
      </c>
      <c r="G223" s="48">
        <v>0.0144927536231884</v>
      </c>
      <c r="H223" s="24" t="s">
        <v>6762</v>
      </c>
      <c r="I223" s="47">
        <v>24.51</v>
      </c>
      <c r="J223" s="24">
        <v>1.0</v>
      </c>
    </row>
    <row r="224">
      <c r="A224" s="24">
        <v>125.0</v>
      </c>
      <c r="B224" s="24">
        <v>0.0</v>
      </c>
      <c r="C224" s="47">
        <v>0.0</v>
      </c>
      <c r="D224" s="35">
        <v>44657.0</v>
      </c>
      <c r="E224" s="47"/>
      <c r="F224" s="47">
        <v>0.0</v>
      </c>
      <c r="G224" s="48">
        <v>0.0</v>
      </c>
      <c r="H224" s="24" t="s">
        <v>6762</v>
      </c>
      <c r="I224" s="47"/>
      <c r="J224" s="24">
        <v>0.0</v>
      </c>
    </row>
    <row r="225">
      <c r="A225" s="24">
        <v>115.0</v>
      </c>
      <c r="B225" s="24">
        <v>2.0</v>
      </c>
      <c r="C225" s="47">
        <v>90.28</v>
      </c>
      <c r="D225" s="35">
        <v>44658.0</v>
      </c>
      <c r="E225" s="47">
        <v>45.14</v>
      </c>
      <c r="F225" s="47">
        <v>785.043478260869</v>
      </c>
      <c r="G225" s="48">
        <v>0.017391304347826</v>
      </c>
      <c r="H225" s="24" t="s">
        <v>6762</v>
      </c>
      <c r="I225" s="47">
        <v>90.28</v>
      </c>
      <c r="J225" s="24">
        <v>1.0</v>
      </c>
    </row>
    <row r="226">
      <c r="A226" s="24">
        <v>93.0</v>
      </c>
      <c r="B226" s="24">
        <v>1.0</v>
      </c>
      <c r="C226" s="47">
        <v>27.29</v>
      </c>
      <c r="D226" s="35">
        <v>44659.0</v>
      </c>
      <c r="E226" s="47">
        <v>27.29</v>
      </c>
      <c r="F226" s="47">
        <v>293.440860215053</v>
      </c>
      <c r="G226" s="48">
        <v>0.010752688172043</v>
      </c>
      <c r="H226" s="24" t="s">
        <v>6762</v>
      </c>
      <c r="I226" s="47"/>
      <c r="J226" s="24">
        <v>0.0</v>
      </c>
    </row>
    <row r="227">
      <c r="A227" s="24">
        <v>214.0</v>
      </c>
      <c r="B227" s="24">
        <v>2.0</v>
      </c>
      <c r="C227" s="47">
        <v>69.93</v>
      </c>
      <c r="D227" s="35">
        <v>44662.0</v>
      </c>
      <c r="E227" s="47">
        <v>34.965</v>
      </c>
      <c r="F227" s="47">
        <v>326.775700934579</v>
      </c>
      <c r="G227" s="48">
        <v>0.00934579439252336</v>
      </c>
      <c r="H227" s="24" t="s">
        <v>6762</v>
      </c>
      <c r="I227" s="47">
        <v>34.965</v>
      </c>
      <c r="J227" s="24">
        <v>2.0</v>
      </c>
    </row>
    <row r="228">
      <c r="A228" s="24">
        <v>199.0</v>
      </c>
      <c r="B228" s="24">
        <v>3.0</v>
      </c>
      <c r="C228" s="47">
        <v>139.19</v>
      </c>
      <c r="D228" s="35">
        <v>44663.0</v>
      </c>
      <c r="E228" s="47">
        <v>46.3966666666666</v>
      </c>
      <c r="F228" s="47">
        <v>699.447236180904</v>
      </c>
      <c r="G228" s="48">
        <v>0.0150753768844221</v>
      </c>
      <c r="H228" s="24" t="s">
        <v>6762</v>
      </c>
      <c r="I228" s="47">
        <v>19.8842857142857</v>
      </c>
      <c r="J228" s="24">
        <v>7.0</v>
      </c>
    </row>
    <row r="229">
      <c r="A229" s="24">
        <v>126.0</v>
      </c>
      <c r="B229" s="24">
        <v>0.0</v>
      </c>
      <c r="C229" s="47">
        <v>0.0</v>
      </c>
      <c r="D229" s="35">
        <v>44664.0</v>
      </c>
      <c r="E229" s="47"/>
      <c r="F229" s="47">
        <v>0.0</v>
      </c>
      <c r="G229" s="48">
        <v>0.0</v>
      </c>
      <c r="H229" s="24" t="s">
        <v>6762</v>
      </c>
      <c r="I229" s="47"/>
      <c r="J229" s="24">
        <v>0.0</v>
      </c>
    </row>
    <row r="230">
      <c r="A230" s="24">
        <v>171.0</v>
      </c>
      <c r="B230" s="24">
        <v>3.0</v>
      </c>
      <c r="C230" s="47">
        <v>143.69</v>
      </c>
      <c r="D230" s="35">
        <v>44665.0</v>
      </c>
      <c r="E230" s="47">
        <v>47.8966666666666</v>
      </c>
      <c r="F230" s="47">
        <v>840.292397660818</v>
      </c>
      <c r="G230" s="48">
        <v>0.0175438596491228</v>
      </c>
      <c r="H230" s="24" t="s">
        <v>6762</v>
      </c>
      <c r="I230" s="47">
        <v>47.8966666666666</v>
      </c>
      <c r="J230" s="24">
        <v>3.0</v>
      </c>
    </row>
    <row r="231">
      <c r="A231" s="24">
        <v>112.0</v>
      </c>
      <c r="B231" s="24">
        <v>0.0</v>
      </c>
      <c r="C231" s="47">
        <v>0.0</v>
      </c>
      <c r="D231" s="35">
        <v>44666.0</v>
      </c>
      <c r="E231" s="47"/>
      <c r="F231" s="47">
        <v>0.0</v>
      </c>
      <c r="G231" s="48">
        <v>0.0</v>
      </c>
      <c r="H231" s="24" t="s">
        <v>6762</v>
      </c>
      <c r="I231" s="47"/>
      <c r="J231" s="24">
        <v>0.0</v>
      </c>
    </row>
    <row r="232">
      <c r="A232" s="24">
        <v>385.0</v>
      </c>
      <c r="B232" s="24">
        <v>1.0</v>
      </c>
      <c r="C232" s="47">
        <v>38.54</v>
      </c>
      <c r="D232" s="35">
        <v>44669.0</v>
      </c>
      <c r="E232" s="47">
        <v>38.54</v>
      </c>
      <c r="F232" s="47">
        <v>100.103896103896</v>
      </c>
      <c r="G232" s="48">
        <v>0.00259740259740259</v>
      </c>
      <c r="H232" s="24" t="s">
        <v>6762</v>
      </c>
      <c r="I232" s="47">
        <v>38.54</v>
      </c>
      <c r="J232" s="24">
        <v>1.0</v>
      </c>
    </row>
    <row r="233">
      <c r="A233" s="24">
        <v>296.0</v>
      </c>
      <c r="B233" s="24">
        <v>2.0</v>
      </c>
      <c r="C233" s="47">
        <v>112.92</v>
      </c>
      <c r="D233" s="35">
        <v>44670.0</v>
      </c>
      <c r="E233" s="47">
        <v>56.46</v>
      </c>
      <c r="F233" s="47">
        <v>381.486486486486</v>
      </c>
      <c r="G233" s="48">
        <v>0.00675675675675675</v>
      </c>
      <c r="H233" s="24" t="s">
        <v>6762</v>
      </c>
      <c r="I233" s="47">
        <v>37.64</v>
      </c>
      <c r="J233" s="24">
        <v>3.0</v>
      </c>
    </row>
    <row r="234">
      <c r="A234" s="24">
        <v>305.0</v>
      </c>
      <c r="B234" s="24">
        <v>2.0</v>
      </c>
      <c r="C234" s="47">
        <v>184.81</v>
      </c>
      <c r="D234" s="35">
        <v>44671.0</v>
      </c>
      <c r="E234" s="47">
        <v>92.405</v>
      </c>
      <c r="F234" s="47">
        <v>605.934426229508</v>
      </c>
      <c r="G234" s="48">
        <v>0.00655737704918032</v>
      </c>
      <c r="H234" s="24" t="s">
        <v>6762</v>
      </c>
      <c r="I234" s="47">
        <v>92.405</v>
      </c>
      <c r="J234" s="24">
        <v>2.0</v>
      </c>
    </row>
    <row r="235">
      <c r="A235" s="24">
        <v>37.0</v>
      </c>
      <c r="B235" s="24">
        <v>0.0</v>
      </c>
      <c r="C235" s="47">
        <v>0.0</v>
      </c>
      <c r="D235" s="35">
        <v>44672.0</v>
      </c>
      <c r="E235" s="47"/>
      <c r="F235" s="47">
        <v>0.0</v>
      </c>
      <c r="G235" s="48">
        <v>0.0</v>
      </c>
      <c r="H235" s="24" t="s">
        <v>6762</v>
      </c>
      <c r="I235" s="47"/>
      <c r="J235" s="24">
        <v>0.0</v>
      </c>
    </row>
    <row r="236">
      <c r="A236" s="24">
        <v>19.0</v>
      </c>
      <c r="B236" s="24">
        <v>0.0</v>
      </c>
      <c r="C236" s="47">
        <v>0.0</v>
      </c>
      <c r="D236" s="35">
        <v>44673.0</v>
      </c>
      <c r="E236" s="47"/>
      <c r="F236" s="47">
        <v>0.0</v>
      </c>
      <c r="G236" s="48">
        <v>0.0</v>
      </c>
      <c r="H236" s="24" t="s">
        <v>6762</v>
      </c>
      <c r="I236" s="47"/>
      <c r="J236" s="24">
        <v>0.0</v>
      </c>
    </row>
    <row r="237">
      <c r="A237" s="24">
        <v>19.0</v>
      </c>
      <c r="B237" s="24">
        <v>0.0</v>
      </c>
      <c r="C237" s="47">
        <v>0.0</v>
      </c>
      <c r="D237" s="35">
        <v>44676.0</v>
      </c>
      <c r="E237" s="47"/>
      <c r="F237" s="47">
        <v>0.0</v>
      </c>
      <c r="G237" s="48">
        <v>0.0</v>
      </c>
      <c r="H237" s="24" t="s">
        <v>6762</v>
      </c>
      <c r="I237" s="47"/>
      <c r="J237" s="24">
        <v>0.0</v>
      </c>
    </row>
    <row r="238">
      <c r="A238" s="24">
        <v>16.0</v>
      </c>
      <c r="B238" s="24">
        <v>1.0</v>
      </c>
      <c r="C238" s="47">
        <v>107.12</v>
      </c>
      <c r="D238" s="35">
        <v>44677.0</v>
      </c>
      <c r="E238" s="47">
        <v>107.12</v>
      </c>
      <c r="F238" s="47">
        <v>6695.0</v>
      </c>
      <c r="G238" s="48">
        <v>0.0625</v>
      </c>
      <c r="H238" s="24" t="s">
        <v>6762</v>
      </c>
      <c r="I238" s="47">
        <v>9.73818181818181</v>
      </c>
      <c r="J238" s="24">
        <v>11.0</v>
      </c>
    </row>
    <row r="239">
      <c r="A239" s="24">
        <v>34.0</v>
      </c>
      <c r="B239" s="24">
        <v>0.0</v>
      </c>
      <c r="C239" s="47">
        <v>0.0</v>
      </c>
      <c r="D239" s="35">
        <v>44678.0</v>
      </c>
      <c r="E239" s="47"/>
      <c r="F239" s="47">
        <v>0.0</v>
      </c>
      <c r="G239" s="48">
        <v>0.0</v>
      </c>
      <c r="H239" s="24" t="s">
        <v>6762</v>
      </c>
      <c r="I239" s="47"/>
      <c r="J239" s="24">
        <v>0.0</v>
      </c>
    </row>
    <row r="240">
      <c r="A240" s="24">
        <v>29.0</v>
      </c>
      <c r="B240" s="24">
        <v>0.0</v>
      </c>
      <c r="C240" s="47">
        <v>0.0</v>
      </c>
      <c r="D240" s="35">
        <v>44679.0</v>
      </c>
      <c r="E240" s="47"/>
      <c r="F240" s="47">
        <v>0.0</v>
      </c>
      <c r="G240" s="48">
        <v>0.0</v>
      </c>
      <c r="H240" s="24" t="s">
        <v>6762</v>
      </c>
      <c r="I240" s="47"/>
      <c r="J240" s="24">
        <v>0.0</v>
      </c>
    </row>
    <row r="241">
      <c r="A241" s="24">
        <v>26.0</v>
      </c>
      <c r="B241" s="24">
        <v>2.0</v>
      </c>
      <c r="C241" s="47">
        <v>154.5</v>
      </c>
      <c r="D241" s="35">
        <v>44680.0</v>
      </c>
      <c r="E241" s="47">
        <v>77.25</v>
      </c>
      <c r="F241" s="47">
        <v>5942.30769230769</v>
      </c>
      <c r="G241" s="48">
        <v>0.0769230769230769</v>
      </c>
      <c r="H241" s="24" t="s">
        <v>6762</v>
      </c>
      <c r="I241" s="47">
        <v>19.3125</v>
      </c>
      <c r="J241" s="24">
        <v>8.0</v>
      </c>
    </row>
    <row r="242">
      <c r="A242" s="24">
        <v>30.0</v>
      </c>
      <c r="B242" s="24">
        <v>0.0</v>
      </c>
      <c r="C242" s="47">
        <v>0.0</v>
      </c>
      <c r="D242" s="35">
        <v>44683.0</v>
      </c>
      <c r="E242" s="47"/>
      <c r="F242" s="47">
        <v>0.0</v>
      </c>
      <c r="G242" s="48">
        <v>0.0</v>
      </c>
      <c r="H242" s="24" t="s">
        <v>6762</v>
      </c>
      <c r="I242" s="47"/>
      <c r="J242" s="24">
        <v>0.0</v>
      </c>
    </row>
    <row r="243">
      <c r="A243" s="24">
        <v>27.0</v>
      </c>
      <c r="B243" s="24">
        <v>0.0</v>
      </c>
      <c r="C243" s="47">
        <v>0.0</v>
      </c>
      <c r="D243" s="35">
        <v>44684.0</v>
      </c>
      <c r="E243" s="47"/>
      <c r="F243" s="47">
        <v>0.0</v>
      </c>
      <c r="G243" s="48">
        <v>0.0</v>
      </c>
      <c r="H243" s="24" t="s">
        <v>6762</v>
      </c>
      <c r="I243" s="47"/>
      <c r="J243" s="24">
        <v>0.0</v>
      </c>
    </row>
    <row r="244">
      <c r="A244" s="24">
        <v>30.0</v>
      </c>
      <c r="B244" s="24">
        <v>0.0</v>
      </c>
      <c r="C244" s="47">
        <v>0.0</v>
      </c>
      <c r="D244" s="35">
        <v>44685.0</v>
      </c>
      <c r="E244" s="47"/>
      <c r="F244" s="47">
        <v>0.0</v>
      </c>
      <c r="G244" s="48">
        <v>0.0</v>
      </c>
      <c r="H244" s="24" t="s">
        <v>6762</v>
      </c>
      <c r="I244" s="47"/>
      <c r="J244" s="24">
        <v>0.0</v>
      </c>
    </row>
    <row r="245">
      <c r="A245" s="24">
        <v>23.0</v>
      </c>
      <c r="B245" s="24">
        <v>0.0</v>
      </c>
      <c r="C245" s="47">
        <v>0.0</v>
      </c>
      <c r="D245" s="35">
        <v>44686.0</v>
      </c>
      <c r="E245" s="47"/>
      <c r="F245" s="47">
        <v>0.0</v>
      </c>
      <c r="G245" s="48">
        <v>0.0</v>
      </c>
      <c r="H245" s="24" t="s">
        <v>6762</v>
      </c>
      <c r="I245" s="47"/>
      <c r="J245" s="24">
        <v>0.0</v>
      </c>
    </row>
    <row r="246">
      <c r="A246" s="24">
        <v>22.0</v>
      </c>
      <c r="B246" s="24">
        <v>1.0</v>
      </c>
      <c r="C246" s="47">
        <v>95.93</v>
      </c>
      <c r="D246" s="35">
        <v>44687.0</v>
      </c>
      <c r="E246" s="47">
        <v>95.93</v>
      </c>
      <c r="F246" s="47">
        <v>4360.45454545454</v>
      </c>
      <c r="G246" s="48">
        <v>0.0454545454545454</v>
      </c>
      <c r="H246" s="24" t="s">
        <v>6762</v>
      </c>
      <c r="I246" s="47"/>
      <c r="J246" s="24">
        <v>0.0</v>
      </c>
    </row>
    <row r="247">
      <c r="A247" s="24">
        <v>18.0</v>
      </c>
      <c r="B247" s="24">
        <v>0.0</v>
      </c>
      <c r="C247" s="47">
        <v>0.0</v>
      </c>
      <c r="D247" s="35">
        <v>44690.0</v>
      </c>
      <c r="E247" s="47"/>
      <c r="F247" s="47">
        <v>0.0</v>
      </c>
      <c r="G247" s="48">
        <v>0.0</v>
      </c>
      <c r="H247" s="24" t="s">
        <v>6762</v>
      </c>
      <c r="I247" s="47"/>
      <c r="J247" s="24">
        <v>0.0</v>
      </c>
    </row>
    <row r="248">
      <c r="A248" s="24">
        <v>35.0</v>
      </c>
      <c r="B248" s="24">
        <v>0.0</v>
      </c>
      <c r="C248" s="47">
        <v>0.0</v>
      </c>
      <c r="D248" s="35">
        <v>44691.0</v>
      </c>
      <c r="E248" s="47"/>
      <c r="F248" s="47">
        <v>0.0</v>
      </c>
      <c r="G248" s="48">
        <v>0.0</v>
      </c>
      <c r="H248" s="24" t="s">
        <v>6762</v>
      </c>
      <c r="I248" s="47"/>
      <c r="J248" s="24">
        <v>0.0</v>
      </c>
    </row>
    <row r="249">
      <c r="A249" s="24">
        <v>32.0</v>
      </c>
      <c r="B249" s="24">
        <v>0.0</v>
      </c>
      <c r="C249" s="47">
        <v>0.0</v>
      </c>
      <c r="D249" s="35">
        <v>44692.0</v>
      </c>
      <c r="E249" s="47"/>
      <c r="F249" s="47">
        <v>0.0</v>
      </c>
      <c r="G249" s="48">
        <v>0.0</v>
      </c>
      <c r="H249" s="24" t="s">
        <v>6762</v>
      </c>
      <c r="I249" s="47"/>
      <c r="J249" s="24">
        <v>0.0</v>
      </c>
    </row>
    <row r="250">
      <c r="A250" s="24">
        <v>18.0</v>
      </c>
      <c r="B250" s="24">
        <v>1.0</v>
      </c>
      <c r="C250" s="47">
        <v>141.36</v>
      </c>
      <c r="D250" s="35">
        <v>44693.0</v>
      </c>
      <c r="E250" s="47">
        <v>141.36</v>
      </c>
      <c r="F250" s="47">
        <v>7853.33333333333</v>
      </c>
      <c r="G250" s="48">
        <v>0.0555555555555555</v>
      </c>
      <c r="H250" s="24" t="s">
        <v>6762</v>
      </c>
      <c r="I250" s="47">
        <v>20.1942857142857</v>
      </c>
      <c r="J250" s="24">
        <v>7.0</v>
      </c>
    </row>
    <row r="251">
      <c r="A251" s="24">
        <v>13.0</v>
      </c>
      <c r="B251" s="24">
        <v>0.0</v>
      </c>
      <c r="C251" s="47">
        <v>0.0</v>
      </c>
      <c r="D251" s="35">
        <v>44694.0</v>
      </c>
      <c r="E251" s="47"/>
      <c r="F251" s="47">
        <v>0.0</v>
      </c>
      <c r="G251" s="48">
        <v>0.0</v>
      </c>
      <c r="H251" s="24" t="s">
        <v>6762</v>
      </c>
      <c r="I251" s="47"/>
      <c r="J251" s="24">
        <v>0.0</v>
      </c>
    </row>
    <row r="252">
      <c r="A252" s="24">
        <v>20.0</v>
      </c>
      <c r="B252" s="24">
        <v>0.0</v>
      </c>
      <c r="C252" s="47">
        <v>0.0</v>
      </c>
      <c r="D252" s="35">
        <v>44697.0</v>
      </c>
      <c r="E252" s="47"/>
      <c r="F252" s="47">
        <v>0.0</v>
      </c>
      <c r="G252" s="48">
        <v>0.0</v>
      </c>
      <c r="H252" s="24" t="s">
        <v>6762</v>
      </c>
      <c r="I252" s="47"/>
      <c r="J252" s="24">
        <v>0.0</v>
      </c>
    </row>
    <row r="253">
      <c r="A253" s="24">
        <v>24.0</v>
      </c>
      <c r="B253" s="24">
        <v>0.0</v>
      </c>
      <c r="C253" s="47">
        <v>0.0</v>
      </c>
      <c r="D253" s="35">
        <v>44698.0</v>
      </c>
      <c r="E253" s="47"/>
      <c r="F253" s="47">
        <v>0.0</v>
      </c>
      <c r="G253" s="48">
        <v>0.0</v>
      </c>
      <c r="H253" s="24" t="s">
        <v>6762</v>
      </c>
      <c r="I253" s="47"/>
      <c r="J253" s="24">
        <v>0.0</v>
      </c>
    </row>
    <row r="254">
      <c r="A254" s="24">
        <v>14.0</v>
      </c>
      <c r="B254" s="24">
        <v>0.0</v>
      </c>
      <c r="C254" s="47">
        <v>0.0</v>
      </c>
      <c r="D254" s="35">
        <v>44699.0</v>
      </c>
      <c r="E254" s="47"/>
      <c r="F254" s="47">
        <v>0.0</v>
      </c>
      <c r="G254" s="48">
        <v>0.0</v>
      </c>
      <c r="H254" s="24" t="s">
        <v>6762</v>
      </c>
      <c r="I254" s="47"/>
      <c r="J254" s="24">
        <v>0.0</v>
      </c>
    </row>
    <row r="255">
      <c r="A255" s="24">
        <v>24.0</v>
      </c>
      <c r="B255" s="24">
        <v>0.0</v>
      </c>
      <c r="C255" s="47">
        <v>0.0</v>
      </c>
      <c r="D255" s="35">
        <v>44700.0</v>
      </c>
      <c r="E255" s="47"/>
      <c r="F255" s="47">
        <v>0.0</v>
      </c>
      <c r="G255" s="48">
        <v>0.0</v>
      </c>
      <c r="H255" s="24" t="s">
        <v>6762</v>
      </c>
      <c r="I255" s="47"/>
      <c r="J255" s="24">
        <v>0.0</v>
      </c>
    </row>
    <row r="256">
      <c r="A256" s="24">
        <v>11.0</v>
      </c>
      <c r="B256" s="24">
        <v>0.0</v>
      </c>
      <c r="C256" s="47">
        <v>0.0</v>
      </c>
      <c r="D256" s="35">
        <v>44701.0</v>
      </c>
      <c r="E256" s="47"/>
      <c r="F256" s="47">
        <v>0.0</v>
      </c>
      <c r="G256" s="48">
        <v>0.0</v>
      </c>
      <c r="H256" s="24" t="s">
        <v>6762</v>
      </c>
      <c r="I256" s="47"/>
      <c r="J256" s="24">
        <v>0.0</v>
      </c>
    </row>
    <row r="257">
      <c r="A257" s="24">
        <v>27.0</v>
      </c>
      <c r="B257" s="24">
        <v>0.0</v>
      </c>
      <c r="C257" s="47">
        <v>0.0</v>
      </c>
      <c r="D257" s="35">
        <v>44704.0</v>
      </c>
      <c r="E257" s="47"/>
      <c r="F257" s="47">
        <v>0.0</v>
      </c>
      <c r="G257" s="48">
        <v>0.0</v>
      </c>
      <c r="H257" s="24" t="s">
        <v>6762</v>
      </c>
      <c r="I257" s="47"/>
      <c r="J257" s="24">
        <v>0.0</v>
      </c>
    </row>
    <row r="258">
      <c r="A258" s="24">
        <v>26.0</v>
      </c>
      <c r="B258" s="24">
        <v>1.0</v>
      </c>
      <c r="C258" s="47">
        <v>113.27</v>
      </c>
      <c r="D258" s="35">
        <v>44705.0</v>
      </c>
      <c r="E258" s="47">
        <v>113.27</v>
      </c>
      <c r="F258" s="47">
        <v>4356.53846153846</v>
      </c>
      <c r="G258" s="48">
        <v>0.0384615384615384</v>
      </c>
      <c r="H258" s="24" t="s">
        <v>6762</v>
      </c>
      <c r="I258" s="47"/>
      <c r="J258" s="24">
        <v>0.0</v>
      </c>
    </row>
    <row r="259">
      <c r="A259" s="24">
        <v>17.0</v>
      </c>
      <c r="B259" s="24">
        <v>2.0</v>
      </c>
      <c r="C259" s="47">
        <v>220.14</v>
      </c>
      <c r="D259" s="35">
        <v>44706.0</v>
      </c>
      <c r="E259" s="47">
        <v>110.07</v>
      </c>
      <c r="F259" s="47">
        <v>12949.4117647058</v>
      </c>
      <c r="G259" s="48">
        <v>0.117647058823529</v>
      </c>
      <c r="H259" s="24" t="s">
        <v>6762</v>
      </c>
      <c r="I259" s="47">
        <v>220.14</v>
      </c>
      <c r="J259" s="24">
        <v>1.0</v>
      </c>
    </row>
    <row r="260">
      <c r="A260" s="24">
        <v>20.0</v>
      </c>
      <c r="B260" s="24">
        <v>0.0</v>
      </c>
      <c r="C260" s="47">
        <v>0.0</v>
      </c>
      <c r="D260" s="35">
        <v>44707.0</v>
      </c>
      <c r="E260" s="47"/>
      <c r="F260" s="47">
        <v>0.0</v>
      </c>
      <c r="G260" s="48">
        <v>0.0</v>
      </c>
      <c r="H260" s="24" t="s">
        <v>6762</v>
      </c>
      <c r="I260" s="47"/>
      <c r="J260" s="24">
        <v>0.0</v>
      </c>
    </row>
    <row r="261">
      <c r="A261" s="24">
        <v>23.0</v>
      </c>
      <c r="B261" s="24">
        <v>2.0</v>
      </c>
      <c r="C261" s="47">
        <v>103.51</v>
      </c>
      <c r="D261" s="35">
        <v>44708.0</v>
      </c>
      <c r="E261" s="47">
        <v>51.755</v>
      </c>
      <c r="F261" s="47">
        <v>4500.43478260869</v>
      </c>
      <c r="G261" s="48">
        <v>0.0869565217391304</v>
      </c>
      <c r="H261" s="24" t="s">
        <v>6762</v>
      </c>
      <c r="I261" s="47"/>
      <c r="J261" s="24">
        <v>0.0</v>
      </c>
    </row>
    <row r="262">
      <c r="A262" s="24">
        <v>4.0</v>
      </c>
      <c r="B262" s="24">
        <v>0.0</v>
      </c>
      <c r="C262" s="47">
        <v>0.0</v>
      </c>
      <c r="D262" s="35">
        <v>44711.0</v>
      </c>
      <c r="E262" s="47"/>
      <c r="F262" s="47">
        <v>0.0</v>
      </c>
      <c r="G262" s="48">
        <v>0.0</v>
      </c>
      <c r="H262" s="24" t="s">
        <v>6762</v>
      </c>
      <c r="I262" s="47"/>
      <c r="J262" s="24">
        <v>0.0</v>
      </c>
    </row>
    <row r="263">
      <c r="A263" s="24">
        <v>18.0</v>
      </c>
      <c r="B263" s="24">
        <v>1.0</v>
      </c>
      <c r="C263" s="47">
        <v>131.84</v>
      </c>
      <c r="D263" s="35">
        <v>44712.0</v>
      </c>
      <c r="E263" s="47">
        <v>131.84</v>
      </c>
      <c r="F263" s="47">
        <v>7324.44444444444</v>
      </c>
      <c r="G263" s="48">
        <v>0.0555555555555555</v>
      </c>
      <c r="H263" s="24" t="s">
        <v>6762</v>
      </c>
      <c r="I263" s="47"/>
      <c r="J263" s="24">
        <v>0.0</v>
      </c>
    </row>
    <row r="264">
      <c r="A264" s="24">
        <v>18.0</v>
      </c>
      <c r="B264" s="24">
        <v>1.0</v>
      </c>
      <c r="C264" s="47">
        <v>61.65</v>
      </c>
      <c r="D264" s="35">
        <v>44713.0</v>
      </c>
      <c r="E264" s="47">
        <v>61.65</v>
      </c>
      <c r="F264" s="47">
        <v>3425.0</v>
      </c>
      <c r="G264" s="48">
        <v>0.0555555555555555</v>
      </c>
      <c r="H264" s="24" t="s">
        <v>6762</v>
      </c>
      <c r="I264" s="47"/>
      <c r="J264" s="24">
        <v>0.0</v>
      </c>
    </row>
    <row r="265">
      <c r="A265" s="24">
        <v>23.0</v>
      </c>
      <c r="B265" s="24">
        <v>0.0</v>
      </c>
      <c r="C265" s="47">
        <v>0.0</v>
      </c>
      <c r="D265" s="35">
        <v>44714.0</v>
      </c>
      <c r="E265" s="47"/>
      <c r="F265" s="47">
        <v>0.0</v>
      </c>
      <c r="G265" s="48">
        <v>0.0</v>
      </c>
      <c r="H265" s="24" t="s">
        <v>6762</v>
      </c>
      <c r="I265" s="47"/>
      <c r="J265" s="24">
        <v>0.0</v>
      </c>
    </row>
    <row r="266">
      <c r="A266" s="24">
        <v>9.0</v>
      </c>
      <c r="B266" s="24">
        <v>1.0</v>
      </c>
      <c r="C266" s="47">
        <v>4.83</v>
      </c>
      <c r="D266" s="35">
        <v>44715.0</v>
      </c>
      <c r="E266" s="47">
        <v>4.83</v>
      </c>
      <c r="F266" s="47">
        <v>536.666666666666</v>
      </c>
      <c r="G266" s="48">
        <v>0.111111111111111</v>
      </c>
      <c r="H266" s="24" t="s">
        <v>6762</v>
      </c>
      <c r="I266" s="47"/>
      <c r="J266" s="24">
        <v>0.0</v>
      </c>
    </row>
    <row r="267">
      <c r="A267" s="24">
        <v>12.0</v>
      </c>
      <c r="B267" s="24">
        <v>0.0</v>
      </c>
      <c r="C267" s="47">
        <v>0.0</v>
      </c>
      <c r="D267" s="35">
        <v>44718.0</v>
      </c>
      <c r="E267" s="47"/>
      <c r="F267" s="47">
        <v>0.0</v>
      </c>
      <c r="G267" s="48">
        <v>0.0</v>
      </c>
      <c r="H267" s="24" t="s">
        <v>6762</v>
      </c>
      <c r="I267" s="47"/>
      <c r="J267" s="24">
        <v>0.0</v>
      </c>
    </row>
    <row r="268">
      <c r="A268" s="24">
        <v>7.0</v>
      </c>
      <c r="B268" s="24">
        <v>0.0</v>
      </c>
      <c r="C268" s="47">
        <v>0.0</v>
      </c>
      <c r="D268" s="35">
        <v>44719.0</v>
      </c>
      <c r="E268" s="47"/>
      <c r="F268" s="47">
        <v>0.0</v>
      </c>
      <c r="G268" s="48">
        <v>0.0</v>
      </c>
      <c r="H268" s="24" t="s">
        <v>6762</v>
      </c>
      <c r="I268" s="47"/>
      <c r="J268" s="24">
        <v>0.0</v>
      </c>
    </row>
    <row r="269">
      <c r="A269" s="24">
        <v>8.0</v>
      </c>
      <c r="B269" s="24">
        <v>0.0</v>
      </c>
      <c r="C269" s="47">
        <v>0.0</v>
      </c>
      <c r="D269" s="35">
        <v>44720.0</v>
      </c>
      <c r="E269" s="47"/>
      <c r="F269" s="47">
        <v>0.0</v>
      </c>
      <c r="G269" s="48">
        <v>0.0</v>
      </c>
      <c r="H269" s="24" t="s">
        <v>6762</v>
      </c>
      <c r="I269" s="47"/>
      <c r="J269" s="24">
        <v>0.0</v>
      </c>
    </row>
    <row r="270">
      <c r="A270" s="24">
        <v>5.0</v>
      </c>
      <c r="B270" s="24">
        <v>0.0</v>
      </c>
      <c r="C270" s="47">
        <v>0.0</v>
      </c>
      <c r="D270" s="35">
        <v>44721.0</v>
      </c>
      <c r="E270" s="47"/>
      <c r="F270" s="47">
        <v>0.0</v>
      </c>
      <c r="G270" s="48">
        <v>0.0</v>
      </c>
      <c r="H270" s="24" t="s">
        <v>6762</v>
      </c>
      <c r="I270" s="47"/>
      <c r="J270" s="24">
        <v>0.0</v>
      </c>
    </row>
    <row r="271">
      <c r="A271" s="24">
        <v>1.0</v>
      </c>
      <c r="B271" s="24">
        <v>0.0</v>
      </c>
      <c r="C271" s="47">
        <v>0.0</v>
      </c>
      <c r="D271" s="35">
        <v>44722.0</v>
      </c>
      <c r="E271" s="47"/>
      <c r="F271" s="47">
        <v>0.0</v>
      </c>
      <c r="G271" s="48">
        <v>0.0</v>
      </c>
      <c r="H271" s="24" t="s">
        <v>6762</v>
      </c>
      <c r="I271" s="47"/>
      <c r="J271" s="24">
        <v>0.0</v>
      </c>
    </row>
    <row r="272">
      <c r="A272" s="24">
        <v>3.0</v>
      </c>
      <c r="B272" s="24">
        <v>0.0</v>
      </c>
      <c r="C272" s="47">
        <v>0.0</v>
      </c>
      <c r="D272" s="35">
        <v>44726.0</v>
      </c>
      <c r="E272" s="47"/>
      <c r="F272" s="47">
        <v>0.0</v>
      </c>
      <c r="G272" s="48">
        <v>0.0</v>
      </c>
      <c r="H272" s="24" t="s">
        <v>6762</v>
      </c>
      <c r="I272" s="47"/>
      <c r="J272" s="24">
        <v>0.0</v>
      </c>
    </row>
    <row r="273">
      <c r="A273" s="24">
        <v>5.0</v>
      </c>
      <c r="B273" s="24">
        <v>0.0</v>
      </c>
      <c r="C273" s="47">
        <v>0.0</v>
      </c>
      <c r="D273" s="35">
        <v>44727.0</v>
      </c>
      <c r="E273" s="47"/>
      <c r="F273" s="47">
        <v>0.0</v>
      </c>
      <c r="G273" s="48">
        <v>0.0</v>
      </c>
      <c r="H273" s="24" t="s">
        <v>6762</v>
      </c>
      <c r="I273" s="47"/>
      <c r="J273" s="24">
        <v>0.0</v>
      </c>
    </row>
    <row r="274">
      <c r="A274" s="24">
        <v>3.0</v>
      </c>
      <c r="B274" s="24">
        <v>0.0</v>
      </c>
      <c r="C274" s="47">
        <v>0.0</v>
      </c>
      <c r="D274" s="35">
        <v>44728.0</v>
      </c>
      <c r="E274" s="47"/>
      <c r="F274" s="47">
        <v>0.0</v>
      </c>
      <c r="G274" s="48">
        <v>0.0</v>
      </c>
      <c r="H274" s="24" t="s">
        <v>6762</v>
      </c>
      <c r="I274" s="47"/>
      <c r="J274" s="24">
        <v>0.0</v>
      </c>
    </row>
    <row r="275">
      <c r="A275" s="24">
        <v>3.0</v>
      </c>
      <c r="B275" s="24">
        <v>0.0</v>
      </c>
      <c r="C275" s="47">
        <v>0.0</v>
      </c>
      <c r="D275" s="35">
        <v>44729.0</v>
      </c>
      <c r="E275" s="47"/>
      <c r="F275" s="47">
        <v>0.0</v>
      </c>
      <c r="G275" s="48">
        <v>0.0</v>
      </c>
      <c r="H275" s="24" t="s">
        <v>6762</v>
      </c>
      <c r="I275" s="47"/>
      <c r="J275" s="24">
        <v>0.0</v>
      </c>
    </row>
    <row r="276">
      <c r="A276" s="24">
        <v>1.0</v>
      </c>
      <c r="B276" s="24">
        <v>0.0</v>
      </c>
      <c r="C276" s="47">
        <v>0.0</v>
      </c>
      <c r="D276" s="35">
        <v>44732.0</v>
      </c>
      <c r="E276" s="47"/>
      <c r="F276" s="47">
        <v>0.0</v>
      </c>
      <c r="G276" s="48">
        <v>0.0</v>
      </c>
      <c r="H276" s="24" t="s">
        <v>6762</v>
      </c>
      <c r="I276" s="47"/>
      <c r="J276" s="24">
        <v>0.0</v>
      </c>
    </row>
    <row r="277">
      <c r="A277" s="24">
        <v>2.0</v>
      </c>
      <c r="B277" s="24">
        <v>0.0</v>
      </c>
      <c r="C277" s="47">
        <v>0.0</v>
      </c>
      <c r="D277" s="35">
        <v>44733.0</v>
      </c>
      <c r="E277" s="47"/>
      <c r="F277" s="47">
        <v>0.0</v>
      </c>
      <c r="G277" s="48">
        <v>0.0</v>
      </c>
      <c r="H277" s="24" t="s">
        <v>6762</v>
      </c>
      <c r="I277" s="47"/>
      <c r="J277" s="24">
        <v>0.0</v>
      </c>
    </row>
    <row r="278">
      <c r="A278" s="24">
        <v>3.0</v>
      </c>
      <c r="B278" s="24">
        <v>0.0</v>
      </c>
      <c r="C278" s="47">
        <v>0.0</v>
      </c>
      <c r="D278" s="35">
        <v>44735.0</v>
      </c>
      <c r="E278" s="47"/>
      <c r="F278" s="47">
        <v>0.0</v>
      </c>
      <c r="G278" s="48">
        <v>0.0</v>
      </c>
      <c r="H278" s="24" t="s">
        <v>6762</v>
      </c>
      <c r="I278" s="47"/>
      <c r="J278" s="24">
        <v>0.0</v>
      </c>
    </row>
    <row r="279">
      <c r="A279" s="24">
        <v>2.0</v>
      </c>
      <c r="B279" s="24">
        <v>0.0</v>
      </c>
      <c r="C279" s="47">
        <v>0.0</v>
      </c>
      <c r="D279" s="35">
        <v>44739.0</v>
      </c>
      <c r="E279" s="47"/>
      <c r="F279" s="47">
        <v>0.0</v>
      </c>
      <c r="G279" s="48">
        <v>0.0</v>
      </c>
      <c r="H279" s="24" t="s">
        <v>6762</v>
      </c>
      <c r="I279" s="47"/>
      <c r="J279" s="24">
        <v>0.0</v>
      </c>
    </row>
    <row r="280">
      <c r="A280" s="24">
        <v>1.0</v>
      </c>
      <c r="B280" s="24">
        <v>0.0</v>
      </c>
      <c r="C280" s="47">
        <v>0.0</v>
      </c>
      <c r="D280" s="35">
        <v>44740.0</v>
      </c>
      <c r="E280" s="47"/>
      <c r="F280" s="47">
        <v>0.0</v>
      </c>
      <c r="G280" s="48">
        <v>0.0</v>
      </c>
      <c r="H280" s="24" t="s">
        <v>6762</v>
      </c>
      <c r="I280" s="47"/>
      <c r="J280" s="24">
        <v>0.0</v>
      </c>
    </row>
    <row r="281">
      <c r="A281" s="24">
        <v>4.0</v>
      </c>
      <c r="B281" s="24">
        <v>0.0</v>
      </c>
      <c r="C281" s="47">
        <v>0.0</v>
      </c>
      <c r="D281" s="35">
        <v>44741.0</v>
      </c>
      <c r="E281" s="47"/>
      <c r="F281" s="47">
        <v>0.0</v>
      </c>
      <c r="G281" s="48">
        <v>0.0</v>
      </c>
      <c r="H281" s="24" t="s">
        <v>6762</v>
      </c>
      <c r="I281" s="47"/>
      <c r="J281" s="24">
        <v>0.0</v>
      </c>
    </row>
    <row r="282">
      <c r="A282" s="24">
        <v>2.0</v>
      </c>
      <c r="B282" s="24">
        <v>0.0</v>
      </c>
      <c r="C282" s="47">
        <v>0.0</v>
      </c>
      <c r="D282" s="35">
        <v>44747.0</v>
      </c>
      <c r="E282" s="47"/>
      <c r="F282" s="47">
        <v>0.0</v>
      </c>
      <c r="G282" s="48">
        <v>0.0</v>
      </c>
      <c r="H282" s="24" t="s">
        <v>6762</v>
      </c>
      <c r="I282" s="47"/>
      <c r="J282" s="24">
        <v>0.0</v>
      </c>
    </row>
    <row r="283">
      <c r="A283" s="24">
        <v>2.0</v>
      </c>
      <c r="B283" s="24">
        <v>0.0</v>
      </c>
      <c r="C283" s="47">
        <v>0.0</v>
      </c>
      <c r="D283" s="35">
        <v>44749.0</v>
      </c>
      <c r="E283" s="47"/>
      <c r="F283" s="47">
        <v>0.0</v>
      </c>
      <c r="G283" s="48">
        <v>0.0</v>
      </c>
      <c r="H283" s="24" t="s">
        <v>6762</v>
      </c>
      <c r="I283" s="47"/>
      <c r="J283" s="24">
        <v>0.0</v>
      </c>
    </row>
    <row r="284">
      <c r="A284" s="24">
        <v>1.0</v>
      </c>
      <c r="B284" s="24">
        <v>0.0</v>
      </c>
      <c r="C284" s="47">
        <v>0.0</v>
      </c>
      <c r="D284" s="35">
        <v>44750.0</v>
      </c>
      <c r="E284" s="47"/>
      <c r="F284" s="47">
        <v>0.0</v>
      </c>
      <c r="G284" s="48">
        <v>0.0</v>
      </c>
      <c r="H284" s="24" t="s">
        <v>6762</v>
      </c>
      <c r="I284" s="47"/>
      <c r="J284" s="24">
        <v>0.0</v>
      </c>
    </row>
    <row r="285">
      <c r="A285" s="24">
        <v>5.0</v>
      </c>
      <c r="B285" s="24">
        <v>0.0</v>
      </c>
      <c r="C285" s="47">
        <v>0.0</v>
      </c>
      <c r="D285" s="35">
        <v>44636.0</v>
      </c>
      <c r="E285" s="47"/>
      <c r="F285" s="47">
        <v>0.0</v>
      </c>
      <c r="G285" s="48">
        <v>0.0</v>
      </c>
      <c r="H285" s="24" t="s">
        <v>6763</v>
      </c>
      <c r="I285" s="47"/>
      <c r="J285" s="24">
        <v>0.0</v>
      </c>
    </row>
    <row r="286">
      <c r="A286" s="24">
        <v>13.0</v>
      </c>
      <c r="B286" s="24">
        <v>0.0</v>
      </c>
      <c r="C286" s="47">
        <v>0.0</v>
      </c>
      <c r="D286" s="35">
        <v>44637.0</v>
      </c>
      <c r="E286" s="47"/>
      <c r="F286" s="47">
        <v>0.0</v>
      </c>
      <c r="G286" s="48">
        <v>0.0</v>
      </c>
      <c r="H286" s="24" t="s">
        <v>6763</v>
      </c>
      <c r="I286" s="47"/>
      <c r="J286" s="24">
        <v>0.0</v>
      </c>
    </row>
    <row r="287">
      <c r="A287" s="24">
        <v>12.0</v>
      </c>
      <c r="B287" s="24">
        <v>0.0</v>
      </c>
      <c r="C287" s="47">
        <v>0.0</v>
      </c>
      <c r="D287" s="35">
        <v>44638.0</v>
      </c>
      <c r="E287" s="47"/>
      <c r="F287" s="47">
        <v>0.0</v>
      </c>
      <c r="G287" s="48">
        <v>0.0</v>
      </c>
      <c r="H287" s="24" t="s">
        <v>6763</v>
      </c>
      <c r="I287" s="47"/>
      <c r="J287" s="24">
        <v>0.0</v>
      </c>
    </row>
    <row r="288">
      <c r="A288" s="24">
        <v>21.0</v>
      </c>
      <c r="B288" s="24">
        <v>0.0</v>
      </c>
      <c r="C288" s="47">
        <v>0.0</v>
      </c>
      <c r="D288" s="35">
        <v>44641.0</v>
      </c>
      <c r="E288" s="47"/>
      <c r="F288" s="47">
        <v>0.0</v>
      </c>
      <c r="G288" s="48">
        <v>0.0</v>
      </c>
      <c r="H288" s="24" t="s">
        <v>6763</v>
      </c>
      <c r="I288" s="47"/>
      <c r="J288" s="24">
        <v>0.0</v>
      </c>
    </row>
    <row r="289">
      <c r="A289" s="24">
        <v>14.0</v>
      </c>
      <c r="B289" s="24">
        <v>0.0</v>
      </c>
      <c r="C289" s="47">
        <v>0.0</v>
      </c>
      <c r="D289" s="35">
        <v>44642.0</v>
      </c>
      <c r="E289" s="47"/>
      <c r="F289" s="47">
        <v>0.0</v>
      </c>
      <c r="G289" s="48">
        <v>0.0</v>
      </c>
      <c r="H289" s="24" t="s">
        <v>6763</v>
      </c>
      <c r="I289" s="47"/>
      <c r="J289" s="24">
        <v>0.0</v>
      </c>
    </row>
    <row r="290">
      <c r="A290" s="24">
        <v>12.0</v>
      </c>
      <c r="B290" s="24">
        <v>0.0</v>
      </c>
      <c r="C290" s="47">
        <v>0.0</v>
      </c>
      <c r="D290" s="35">
        <v>44643.0</v>
      </c>
      <c r="E290" s="47"/>
      <c r="F290" s="47">
        <v>0.0</v>
      </c>
      <c r="G290" s="48">
        <v>0.0</v>
      </c>
      <c r="H290" s="24" t="s">
        <v>6763</v>
      </c>
      <c r="I290" s="47"/>
      <c r="J290" s="24">
        <v>0.0</v>
      </c>
    </row>
    <row r="291">
      <c r="A291" s="24">
        <v>36.0</v>
      </c>
      <c r="B291" s="24">
        <v>0.0</v>
      </c>
      <c r="C291" s="47">
        <v>0.0</v>
      </c>
      <c r="D291" s="35">
        <v>44644.0</v>
      </c>
      <c r="E291" s="47"/>
      <c r="F291" s="47">
        <v>0.0</v>
      </c>
      <c r="G291" s="48">
        <v>0.0</v>
      </c>
      <c r="H291" s="24" t="s">
        <v>6763</v>
      </c>
      <c r="I291" s="47"/>
      <c r="J291" s="24">
        <v>0.0</v>
      </c>
    </row>
    <row r="292">
      <c r="A292" s="24">
        <v>8.0</v>
      </c>
      <c r="B292" s="24">
        <v>1.0</v>
      </c>
      <c r="C292" s="47">
        <v>27.19</v>
      </c>
      <c r="D292" s="35">
        <v>44645.0</v>
      </c>
      <c r="E292" s="47">
        <v>27.19</v>
      </c>
      <c r="F292" s="47">
        <v>3398.75</v>
      </c>
      <c r="G292" s="48">
        <v>0.125</v>
      </c>
      <c r="H292" s="24" t="s">
        <v>6763</v>
      </c>
      <c r="I292" s="47">
        <v>27.19</v>
      </c>
      <c r="J292" s="24">
        <v>1.0</v>
      </c>
    </row>
    <row r="293">
      <c r="A293" s="24">
        <v>20.0</v>
      </c>
      <c r="B293" s="24">
        <v>0.0</v>
      </c>
      <c r="C293" s="47">
        <v>0.0</v>
      </c>
      <c r="D293" s="35">
        <v>44648.0</v>
      </c>
      <c r="E293" s="47"/>
      <c r="F293" s="47">
        <v>0.0</v>
      </c>
      <c r="G293" s="48">
        <v>0.0</v>
      </c>
      <c r="H293" s="24" t="s">
        <v>6763</v>
      </c>
      <c r="I293" s="47"/>
      <c r="J293" s="24">
        <v>0.0</v>
      </c>
    </row>
    <row r="294">
      <c r="A294" s="24">
        <v>20.0</v>
      </c>
      <c r="B294" s="24">
        <v>0.0</v>
      </c>
      <c r="C294" s="47">
        <v>0.0</v>
      </c>
      <c r="D294" s="35">
        <v>44649.0</v>
      </c>
      <c r="E294" s="47"/>
      <c r="F294" s="47">
        <v>0.0</v>
      </c>
      <c r="G294" s="48">
        <v>0.0</v>
      </c>
      <c r="H294" s="24" t="s">
        <v>6763</v>
      </c>
      <c r="I294" s="47"/>
      <c r="J294" s="24">
        <v>0.0</v>
      </c>
    </row>
    <row r="295">
      <c r="A295" s="24">
        <v>8.0</v>
      </c>
      <c r="B295" s="24">
        <v>0.0</v>
      </c>
      <c r="C295" s="47">
        <v>0.0</v>
      </c>
      <c r="D295" s="35">
        <v>44650.0</v>
      </c>
      <c r="E295" s="47"/>
      <c r="F295" s="47">
        <v>0.0</v>
      </c>
      <c r="G295" s="48">
        <v>0.0</v>
      </c>
      <c r="H295" s="24" t="s">
        <v>6763</v>
      </c>
      <c r="I295" s="47"/>
      <c r="J295" s="24">
        <v>0.0</v>
      </c>
    </row>
    <row r="296">
      <c r="A296" s="24">
        <v>16.0</v>
      </c>
      <c r="B296" s="24">
        <v>1.0</v>
      </c>
      <c r="C296" s="47">
        <v>44.74</v>
      </c>
      <c r="D296" s="35">
        <v>44651.0</v>
      </c>
      <c r="E296" s="47">
        <v>44.74</v>
      </c>
      <c r="F296" s="47">
        <v>2796.25</v>
      </c>
      <c r="G296" s="48">
        <v>0.0625</v>
      </c>
      <c r="H296" s="24" t="s">
        <v>6763</v>
      </c>
      <c r="I296" s="47">
        <v>44.74</v>
      </c>
      <c r="J296" s="24">
        <v>1.0</v>
      </c>
    </row>
    <row r="297">
      <c r="A297" s="24">
        <v>7.0</v>
      </c>
      <c r="B297" s="24">
        <v>0.0</v>
      </c>
      <c r="C297" s="47">
        <v>0.0</v>
      </c>
      <c r="D297" s="35">
        <v>44652.0</v>
      </c>
      <c r="E297" s="47"/>
      <c r="F297" s="47">
        <v>0.0</v>
      </c>
      <c r="G297" s="48">
        <v>0.0</v>
      </c>
      <c r="H297" s="24" t="s">
        <v>6763</v>
      </c>
      <c r="I297" s="47"/>
      <c r="J297" s="24">
        <v>0.0</v>
      </c>
    </row>
    <row r="298">
      <c r="A298" s="24">
        <v>11.0</v>
      </c>
      <c r="B298" s="24">
        <v>1.0</v>
      </c>
      <c r="C298" s="47">
        <v>41.86</v>
      </c>
      <c r="D298" s="35">
        <v>44655.0</v>
      </c>
      <c r="E298" s="47">
        <v>41.86</v>
      </c>
      <c r="F298" s="47">
        <v>3805.45454545454</v>
      </c>
      <c r="G298" s="48">
        <v>0.0909090909090909</v>
      </c>
      <c r="H298" s="24" t="s">
        <v>6763</v>
      </c>
      <c r="I298" s="47">
        <v>41.86</v>
      </c>
      <c r="J298" s="24">
        <v>1.0</v>
      </c>
    </row>
    <row r="299">
      <c r="A299" s="24">
        <v>14.0</v>
      </c>
      <c r="B299" s="24">
        <v>0.0</v>
      </c>
      <c r="C299" s="47">
        <v>0.0</v>
      </c>
      <c r="D299" s="35">
        <v>44656.0</v>
      </c>
      <c r="E299" s="47"/>
      <c r="F299" s="47">
        <v>0.0</v>
      </c>
      <c r="G299" s="48">
        <v>0.0</v>
      </c>
      <c r="H299" s="24" t="s">
        <v>6763</v>
      </c>
      <c r="I299" s="47"/>
      <c r="J299" s="24">
        <v>0.0</v>
      </c>
    </row>
    <row r="300">
      <c r="A300" s="24">
        <v>5.0</v>
      </c>
      <c r="B300" s="24">
        <v>0.0</v>
      </c>
      <c r="C300" s="47">
        <v>0.0</v>
      </c>
      <c r="D300" s="35">
        <v>44657.0</v>
      </c>
      <c r="E300" s="47"/>
      <c r="F300" s="47">
        <v>0.0</v>
      </c>
      <c r="G300" s="48">
        <v>0.0</v>
      </c>
      <c r="H300" s="24" t="s">
        <v>6763</v>
      </c>
      <c r="I300" s="47"/>
      <c r="J300" s="24">
        <v>0.0</v>
      </c>
    </row>
    <row r="301">
      <c r="A301" s="24">
        <v>8.0</v>
      </c>
      <c r="B301" s="24">
        <v>0.0</v>
      </c>
      <c r="C301" s="47">
        <v>0.0</v>
      </c>
      <c r="D301" s="35">
        <v>44658.0</v>
      </c>
      <c r="E301" s="47"/>
      <c r="F301" s="47">
        <v>0.0</v>
      </c>
      <c r="G301" s="48">
        <v>0.0</v>
      </c>
      <c r="H301" s="24" t="s">
        <v>6763</v>
      </c>
      <c r="I301" s="47"/>
      <c r="J301" s="24">
        <v>0.0</v>
      </c>
    </row>
    <row r="302">
      <c r="A302" s="24">
        <v>16.0</v>
      </c>
      <c r="B302" s="24">
        <v>0.0</v>
      </c>
      <c r="C302" s="47">
        <v>0.0</v>
      </c>
      <c r="D302" s="35">
        <v>44659.0</v>
      </c>
      <c r="E302" s="47"/>
      <c r="F302" s="47">
        <v>0.0</v>
      </c>
      <c r="G302" s="48">
        <v>0.0</v>
      </c>
      <c r="H302" s="24" t="s">
        <v>6763</v>
      </c>
      <c r="I302" s="47"/>
      <c r="J302" s="24">
        <v>0.0</v>
      </c>
    </row>
    <row r="303">
      <c r="A303" s="24">
        <v>16.0</v>
      </c>
      <c r="B303" s="24">
        <v>0.0</v>
      </c>
      <c r="C303" s="47">
        <v>0.0</v>
      </c>
      <c r="D303" s="35">
        <v>44662.0</v>
      </c>
      <c r="E303" s="47"/>
      <c r="F303" s="47">
        <v>0.0</v>
      </c>
      <c r="G303" s="48">
        <v>0.0</v>
      </c>
      <c r="H303" s="24" t="s">
        <v>6763</v>
      </c>
      <c r="I303" s="47"/>
      <c r="J303" s="24">
        <v>0.0</v>
      </c>
    </row>
    <row r="304">
      <c r="A304" s="24">
        <v>9.0</v>
      </c>
      <c r="B304" s="24">
        <v>0.0</v>
      </c>
      <c r="C304" s="47">
        <v>0.0</v>
      </c>
      <c r="D304" s="35">
        <v>44663.0</v>
      </c>
      <c r="E304" s="47"/>
      <c r="F304" s="47">
        <v>0.0</v>
      </c>
      <c r="G304" s="48">
        <v>0.0</v>
      </c>
      <c r="H304" s="24" t="s">
        <v>6763</v>
      </c>
      <c r="I304" s="47"/>
      <c r="J304" s="24">
        <v>0.0</v>
      </c>
    </row>
    <row r="305">
      <c r="A305" s="24">
        <v>20.0</v>
      </c>
      <c r="B305" s="24">
        <v>0.0</v>
      </c>
      <c r="C305" s="47">
        <v>0.0</v>
      </c>
      <c r="D305" s="35">
        <v>44664.0</v>
      </c>
      <c r="E305" s="47"/>
      <c r="F305" s="47">
        <v>0.0</v>
      </c>
      <c r="G305" s="48">
        <v>0.0</v>
      </c>
      <c r="H305" s="24" t="s">
        <v>6763</v>
      </c>
      <c r="I305" s="47"/>
      <c r="J305" s="24">
        <v>0.0</v>
      </c>
    </row>
    <row r="306">
      <c r="A306" s="24">
        <v>13.0</v>
      </c>
      <c r="B306" s="24">
        <v>0.0</v>
      </c>
      <c r="C306" s="47">
        <v>0.0</v>
      </c>
      <c r="D306" s="35">
        <v>44665.0</v>
      </c>
      <c r="E306" s="47"/>
      <c r="F306" s="47">
        <v>0.0</v>
      </c>
      <c r="G306" s="48">
        <v>0.0</v>
      </c>
      <c r="H306" s="24" t="s">
        <v>6763</v>
      </c>
      <c r="I306" s="47"/>
      <c r="J306" s="24">
        <v>0.0</v>
      </c>
    </row>
    <row r="307">
      <c r="A307" s="24">
        <v>8.0</v>
      </c>
      <c r="B307" s="24">
        <v>0.0</v>
      </c>
      <c r="C307" s="47">
        <v>0.0</v>
      </c>
      <c r="D307" s="35">
        <v>44666.0</v>
      </c>
      <c r="E307" s="47"/>
      <c r="F307" s="47">
        <v>0.0</v>
      </c>
      <c r="G307" s="48">
        <v>0.0</v>
      </c>
      <c r="H307" s="24" t="s">
        <v>6763</v>
      </c>
      <c r="I307" s="47"/>
      <c r="J307" s="24">
        <v>0.0</v>
      </c>
    </row>
    <row r="308">
      <c r="A308" s="24">
        <v>13.0</v>
      </c>
      <c r="B308" s="24">
        <v>0.0</v>
      </c>
      <c r="C308" s="47">
        <v>0.0</v>
      </c>
      <c r="D308" s="35">
        <v>44669.0</v>
      </c>
      <c r="E308" s="47"/>
      <c r="F308" s="47">
        <v>0.0</v>
      </c>
      <c r="G308" s="48">
        <v>0.0</v>
      </c>
      <c r="H308" s="24" t="s">
        <v>6763</v>
      </c>
      <c r="I308" s="47"/>
      <c r="J308" s="24">
        <v>0.0</v>
      </c>
    </row>
    <row r="309">
      <c r="A309" s="24">
        <v>16.0</v>
      </c>
      <c r="B309" s="24">
        <v>0.0</v>
      </c>
      <c r="C309" s="47">
        <v>0.0</v>
      </c>
      <c r="D309" s="35">
        <v>44670.0</v>
      </c>
      <c r="E309" s="47"/>
      <c r="F309" s="47">
        <v>0.0</v>
      </c>
      <c r="G309" s="48">
        <v>0.0</v>
      </c>
      <c r="H309" s="24" t="s">
        <v>6763</v>
      </c>
      <c r="I309" s="47"/>
      <c r="J309" s="24">
        <v>0.0</v>
      </c>
    </row>
    <row r="310">
      <c r="A310" s="24">
        <v>17.0</v>
      </c>
      <c r="B310" s="24">
        <v>0.0</v>
      </c>
      <c r="C310" s="47">
        <v>0.0</v>
      </c>
      <c r="D310" s="35">
        <v>44671.0</v>
      </c>
      <c r="E310" s="47"/>
      <c r="F310" s="47">
        <v>0.0</v>
      </c>
      <c r="G310" s="48">
        <v>0.0</v>
      </c>
      <c r="H310" s="24" t="s">
        <v>6763</v>
      </c>
      <c r="I310" s="47"/>
      <c r="J310" s="24">
        <v>0.0</v>
      </c>
    </row>
    <row r="311">
      <c r="A311" s="24">
        <v>10.0</v>
      </c>
      <c r="B311" s="24">
        <v>0.0</v>
      </c>
      <c r="C311" s="47">
        <v>0.0</v>
      </c>
      <c r="D311" s="35">
        <v>44672.0</v>
      </c>
      <c r="E311" s="47"/>
      <c r="F311" s="47">
        <v>0.0</v>
      </c>
      <c r="G311" s="48">
        <v>0.0</v>
      </c>
      <c r="H311" s="24" t="s">
        <v>6763</v>
      </c>
      <c r="I311" s="47"/>
      <c r="J311" s="24">
        <v>0.0</v>
      </c>
    </row>
    <row r="312">
      <c r="A312" s="24">
        <v>6.0</v>
      </c>
      <c r="B312" s="24">
        <v>0.0</v>
      </c>
      <c r="C312" s="47">
        <v>0.0</v>
      </c>
      <c r="D312" s="35">
        <v>44673.0</v>
      </c>
      <c r="E312" s="47"/>
      <c r="F312" s="47">
        <v>0.0</v>
      </c>
      <c r="G312" s="48">
        <v>0.0</v>
      </c>
      <c r="H312" s="24" t="s">
        <v>6763</v>
      </c>
      <c r="I312" s="47"/>
      <c r="J312" s="24">
        <v>0.0</v>
      </c>
    </row>
    <row r="313">
      <c r="A313" s="24">
        <v>11.0</v>
      </c>
      <c r="B313" s="24">
        <v>0.0</v>
      </c>
      <c r="C313" s="47">
        <v>0.0</v>
      </c>
      <c r="D313" s="35">
        <v>44676.0</v>
      </c>
      <c r="E313" s="47"/>
      <c r="F313" s="47">
        <v>0.0</v>
      </c>
      <c r="G313" s="48">
        <v>0.0</v>
      </c>
      <c r="H313" s="24" t="s">
        <v>6763</v>
      </c>
      <c r="I313" s="47"/>
      <c r="J313" s="24">
        <v>0.0</v>
      </c>
    </row>
    <row r="314">
      <c r="A314" s="24">
        <v>12.0</v>
      </c>
      <c r="B314" s="24">
        <v>0.0</v>
      </c>
      <c r="C314" s="47">
        <v>0.0</v>
      </c>
      <c r="D314" s="35">
        <v>44677.0</v>
      </c>
      <c r="E314" s="47"/>
      <c r="F314" s="47">
        <v>0.0</v>
      </c>
      <c r="G314" s="48">
        <v>0.0</v>
      </c>
      <c r="H314" s="24" t="s">
        <v>6763</v>
      </c>
      <c r="I314" s="47"/>
      <c r="J314" s="24">
        <v>0.0</v>
      </c>
    </row>
    <row r="315">
      <c r="A315" s="24">
        <v>15.0</v>
      </c>
      <c r="B315" s="24">
        <v>0.0</v>
      </c>
      <c r="C315" s="47">
        <v>0.0</v>
      </c>
      <c r="D315" s="35">
        <v>44678.0</v>
      </c>
      <c r="E315" s="47"/>
      <c r="F315" s="47">
        <v>0.0</v>
      </c>
      <c r="G315" s="48">
        <v>0.0</v>
      </c>
      <c r="H315" s="24" t="s">
        <v>6763</v>
      </c>
      <c r="I315" s="47"/>
      <c r="J315" s="24">
        <v>0.0</v>
      </c>
    </row>
    <row r="316">
      <c r="A316" s="24">
        <v>17.0</v>
      </c>
      <c r="B316" s="24">
        <v>1.0</v>
      </c>
      <c r="C316" s="47">
        <v>21.82</v>
      </c>
      <c r="D316" s="35">
        <v>44679.0</v>
      </c>
      <c r="E316" s="47">
        <v>21.82</v>
      </c>
      <c r="F316" s="47">
        <v>1283.5294117647</v>
      </c>
      <c r="G316" s="48">
        <v>0.0588235294117647</v>
      </c>
      <c r="H316" s="24" t="s">
        <v>6763</v>
      </c>
      <c r="I316" s="47">
        <v>4.364</v>
      </c>
      <c r="J316" s="24">
        <v>5.0</v>
      </c>
    </row>
    <row r="317">
      <c r="A317" s="24">
        <v>2.0</v>
      </c>
      <c r="B317" s="24">
        <v>0.0</v>
      </c>
      <c r="C317" s="47">
        <v>0.0</v>
      </c>
      <c r="D317" s="35">
        <v>44680.0</v>
      </c>
      <c r="E317" s="47"/>
      <c r="F317" s="47">
        <v>0.0</v>
      </c>
      <c r="G317" s="48">
        <v>0.0</v>
      </c>
      <c r="H317" s="24" t="s">
        <v>6763</v>
      </c>
      <c r="I317" s="47"/>
      <c r="J317" s="24">
        <v>0.0</v>
      </c>
    </row>
    <row r="318">
      <c r="A318" s="24">
        <v>10.0</v>
      </c>
      <c r="B318" s="24">
        <v>0.0</v>
      </c>
      <c r="C318" s="47">
        <v>0.0</v>
      </c>
      <c r="D318" s="35">
        <v>44683.0</v>
      </c>
      <c r="E318" s="47"/>
      <c r="F318" s="47">
        <v>0.0</v>
      </c>
      <c r="G318" s="48">
        <v>0.0</v>
      </c>
      <c r="H318" s="24" t="s">
        <v>6763</v>
      </c>
      <c r="I318" s="47"/>
      <c r="J318" s="24">
        <v>0.0</v>
      </c>
    </row>
    <row r="319">
      <c r="A319" s="24">
        <v>6.0</v>
      </c>
      <c r="B319" s="24">
        <v>0.0</v>
      </c>
      <c r="C319" s="47">
        <v>0.0</v>
      </c>
      <c r="D319" s="35">
        <v>44684.0</v>
      </c>
      <c r="E319" s="47"/>
      <c r="F319" s="47">
        <v>0.0</v>
      </c>
      <c r="G319" s="48">
        <v>0.0</v>
      </c>
      <c r="H319" s="24" t="s">
        <v>6763</v>
      </c>
      <c r="I319" s="47"/>
      <c r="J319" s="24">
        <v>0.0</v>
      </c>
    </row>
    <row r="320">
      <c r="A320" s="24">
        <v>20.0</v>
      </c>
      <c r="B320" s="24">
        <v>0.0</v>
      </c>
      <c r="C320" s="47">
        <v>0.0</v>
      </c>
      <c r="D320" s="35">
        <v>44685.0</v>
      </c>
      <c r="E320" s="47"/>
      <c r="F320" s="47">
        <v>0.0</v>
      </c>
      <c r="G320" s="48">
        <v>0.0</v>
      </c>
      <c r="H320" s="24" t="s">
        <v>6763</v>
      </c>
      <c r="I320" s="47"/>
      <c r="J320" s="24">
        <v>0.0</v>
      </c>
    </row>
    <row r="321">
      <c r="A321" s="24">
        <v>9.0</v>
      </c>
      <c r="B321" s="24">
        <v>0.0</v>
      </c>
      <c r="C321" s="47">
        <v>0.0</v>
      </c>
      <c r="D321" s="35">
        <v>44686.0</v>
      </c>
      <c r="E321" s="47"/>
      <c r="F321" s="47">
        <v>0.0</v>
      </c>
      <c r="G321" s="48">
        <v>0.0</v>
      </c>
      <c r="H321" s="24" t="s">
        <v>6763</v>
      </c>
      <c r="I321" s="47"/>
      <c r="J321" s="24">
        <v>0.0</v>
      </c>
    </row>
    <row r="322">
      <c r="A322" s="24">
        <v>10.0</v>
      </c>
      <c r="B322" s="24">
        <v>0.0</v>
      </c>
      <c r="C322" s="47">
        <v>0.0</v>
      </c>
      <c r="D322" s="35">
        <v>44687.0</v>
      </c>
      <c r="E322" s="47"/>
      <c r="F322" s="47">
        <v>0.0</v>
      </c>
      <c r="G322" s="48">
        <v>0.0</v>
      </c>
      <c r="H322" s="24" t="s">
        <v>6763</v>
      </c>
      <c r="I322" s="47"/>
      <c r="J322" s="24">
        <v>0.0</v>
      </c>
    </row>
    <row r="323">
      <c r="A323" s="24">
        <v>14.0</v>
      </c>
      <c r="B323" s="24">
        <v>0.0</v>
      </c>
      <c r="C323" s="47">
        <v>0.0</v>
      </c>
      <c r="D323" s="35">
        <v>44690.0</v>
      </c>
      <c r="E323" s="47"/>
      <c r="F323" s="47">
        <v>0.0</v>
      </c>
      <c r="G323" s="48">
        <v>0.0</v>
      </c>
      <c r="H323" s="24" t="s">
        <v>6763</v>
      </c>
      <c r="I323" s="47"/>
      <c r="J323" s="24">
        <v>0.0</v>
      </c>
    </row>
    <row r="324">
      <c r="A324" s="24">
        <v>9.0</v>
      </c>
      <c r="B324" s="24">
        <v>0.0</v>
      </c>
      <c r="C324" s="47">
        <v>0.0</v>
      </c>
      <c r="D324" s="35">
        <v>44691.0</v>
      </c>
      <c r="E324" s="47"/>
      <c r="F324" s="47">
        <v>0.0</v>
      </c>
      <c r="G324" s="48">
        <v>0.0</v>
      </c>
      <c r="H324" s="24" t="s">
        <v>6763</v>
      </c>
      <c r="I324" s="47"/>
      <c r="J324" s="24">
        <v>0.0</v>
      </c>
    </row>
    <row r="325">
      <c r="A325" s="24">
        <v>23.0</v>
      </c>
      <c r="B325" s="24">
        <v>0.0</v>
      </c>
      <c r="C325" s="47">
        <v>0.0</v>
      </c>
      <c r="D325" s="35">
        <v>44692.0</v>
      </c>
      <c r="E325" s="47"/>
      <c r="F325" s="47">
        <v>0.0</v>
      </c>
      <c r="G325" s="48">
        <v>0.0</v>
      </c>
      <c r="H325" s="24" t="s">
        <v>6763</v>
      </c>
      <c r="I325" s="47"/>
      <c r="J325" s="24">
        <v>0.0</v>
      </c>
    </row>
    <row r="326">
      <c r="A326" s="24">
        <v>8.0</v>
      </c>
      <c r="B326" s="24">
        <v>0.0</v>
      </c>
      <c r="C326" s="47">
        <v>0.0</v>
      </c>
      <c r="D326" s="35">
        <v>44693.0</v>
      </c>
      <c r="E326" s="47"/>
      <c r="F326" s="47">
        <v>0.0</v>
      </c>
      <c r="G326" s="48">
        <v>0.0</v>
      </c>
      <c r="H326" s="24" t="s">
        <v>6763</v>
      </c>
      <c r="I326" s="47"/>
      <c r="J326" s="24">
        <v>0.0</v>
      </c>
    </row>
    <row r="327">
      <c r="A327" s="24">
        <v>12.0</v>
      </c>
      <c r="B327" s="24">
        <v>0.0</v>
      </c>
      <c r="C327" s="47">
        <v>0.0</v>
      </c>
      <c r="D327" s="35">
        <v>44694.0</v>
      </c>
      <c r="E327" s="47"/>
      <c r="F327" s="47">
        <v>0.0</v>
      </c>
      <c r="G327" s="48">
        <v>0.0</v>
      </c>
      <c r="H327" s="24" t="s">
        <v>6763</v>
      </c>
      <c r="I327" s="47"/>
      <c r="J327" s="24">
        <v>0.0</v>
      </c>
    </row>
    <row r="328">
      <c r="A328" s="24">
        <v>9.0</v>
      </c>
      <c r="B328" s="24">
        <v>0.0</v>
      </c>
      <c r="C328" s="47">
        <v>0.0</v>
      </c>
      <c r="D328" s="35">
        <v>44697.0</v>
      </c>
      <c r="E328" s="47"/>
      <c r="F328" s="47">
        <v>0.0</v>
      </c>
      <c r="G328" s="48">
        <v>0.0</v>
      </c>
      <c r="H328" s="24" t="s">
        <v>6763</v>
      </c>
      <c r="I328" s="47"/>
      <c r="J328" s="24">
        <v>0.0</v>
      </c>
    </row>
    <row r="329">
      <c r="A329" s="24">
        <v>14.0</v>
      </c>
      <c r="B329" s="24">
        <v>0.0</v>
      </c>
      <c r="C329" s="47">
        <v>0.0</v>
      </c>
      <c r="D329" s="35">
        <v>44698.0</v>
      </c>
      <c r="E329" s="47"/>
      <c r="F329" s="47">
        <v>0.0</v>
      </c>
      <c r="G329" s="48">
        <v>0.0</v>
      </c>
      <c r="H329" s="24" t="s">
        <v>6763</v>
      </c>
      <c r="I329" s="47"/>
      <c r="J329" s="24">
        <v>0.0</v>
      </c>
    </row>
    <row r="330">
      <c r="A330" s="24">
        <v>7.0</v>
      </c>
      <c r="B330" s="24">
        <v>0.0</v>
      </c>
      <c r="C330" s="47">
        <v>0.0</v>
      </c>
      <c r="D330" s="35">
        <v>44699.0</v>
      </c>
      <c r="E330" s="47"/>
      <c r="F330" s="47">
        <v>0.0</v>
      </c>
      <c r="G330" s="48">
        <v>0.0</v>
      </c>
      <c r="H330" s="24" t="s">
        <v>6763</v>
      </c>
      <c r="I330" s="47"/>
      <c r="J330" s="24">
        <v>0.0</v>
      </c>
    </row>
    <row r="331">
      <c r="A331" s="24">
        <v>11.0</v>
      </c>
      <c r="B331" s="24">
        <v>0.0</v>
      </c>
      <c r="C331" s="47">
        <v>0.0</v>
      </c>
      <c r="D331" s="35">
        <v>44700.0</v>
      </c>
      <c r="E331" s="47"/>
      <c r="F331" s="47">
        <v>0.0</v>
      </c>
      <c r="G331" s="48">
        <v>0.0</v>
      </c>
      <c r="H331" s="24" t="s">
        <v>6763</v>
      </c>
      <c r="I331" s="47"/>
      <c r="J331" s="24">
        <v>0.0</v>
      </c>
    </row>
    <row r="332">
      <c r="A332" s="24">
        <v>8.0</v>
      </c>
      <c r="B332" s="24">
        <v>0.0</v>
      </c>
      <c r="C332" s="47">
        <v>0.0</v>
      </c>
      <c r="D332" s="35">
        <v>44701.0</v>
      </c>
      <c r="E332" s="47"/>
      <c r="F332" s="47">
        <v>0.0</v>
      </c>
      <c r="G332" s="48">
        <v>0.0</v>
      </c>
      <c r="H332" s="24" t="s">
        <v>6763</v>
      </c>
      <c r="I332" s="47"/>
      <c r="J332" s="24">
        <v>0.0</v>
      </c>
    </row>
    <row r="333">
      <c r="A333" s="24">
        <v>14.0</v>
      </c>
      <c r="B333" s="24">
        <v>0.0</v>
      </c>
      <c r="C333" s="47">
        <v>0.0</v>
      </c>
      <c r="D333" s="35">
        <v>44704.0</v>
      </c>
      <c r="E333" s="47"/>
      <c r="F333" s="47">
        <v>0.0</v>
      </c>
      <c r="G333" s="48">
        <v>0.0</v>
      </c>
      <c r="H333" s="24" t="s">
        <v>6763</v>
      </c>
      <c r="I333" s="47"/>
      <c r="J333" s="24">
        <v>0.0</v>
      </c>
    </row>
    <row r="334">
      <c r="A334" s="24">
        <v>10.0</v>
      </c>
      <c r="B334" s="24">
        <v>0.0</v>
      </c>
      <c r="C334" s="47">
        <v>0.0</v>
      </c>
      <c r="D334" s="35">
        <v>44705.0</v>
      </c>
      <c r="E334" s="47"/>
      <c r="F334" s="47">
        <v>0.0</v>
      </c>
      <c r="G334" s="48">
        <v>0.0</v>
      </c>
      <c r="H334" s="24" t="s">
        <v>6763</v>
      </c>
      <c r="I334" s="47"/>
      <c r="J334" s="24">
        <v>0.0</v>
      </c>
    </row>
    <row r="335">
      <c r="A335" s="24">
        <v>11.0</v>
      </c>
      <c r="B335" s="24">
        <v>1.0</v>
      </c>
      <c r="C335" s="47">
        <v>21.76</v>
      </c>
      <c r="D335" s="35">
        <v>44706.0</v>
      </c>
      <c r="E335" s="47">
        <v>21.76</v>
      </c>
      <c r="F335" s="47">
        <v>1978.18181818181</v>
      </c>
      <c r="G335" s="48">
        <v>0.0909090909090909</v>
      </c>
      <c r="H335" s="24" t="s">
        <v>6763</v>
      </c>
      <c r="I335" s="47"/>
      <c r="J335" s="24">
        <v>0.0</v>
      </c>
    </row>
    <row r="336">
      <c r="A336" s="24">
        <v>11.0</v>
      </c>
      <c r="B336" s="24">
        <v>1.0</v>
      </c>
      <c r="C336" s="47">
        <v>20.69</v>
      </c>
      <c r="D336" s="35">
        <v>44707.0</v>
      </c>
      <c r="E336" s="47">
        <v>20.69</v>
      </c>
      <c r="F336" s="47">
        <v>1880.90909090909</v>
      </c>
      <c r="G336" s="48">
        <v>0.0909090909090909</v>
      </c>
      <c r="H336" s="24" t="s">
        <v>6763</v>
      </c>
      <c r="I336" s="47"/>
      <c r="J336" s="24">
        <v>0.0</v>
      </c>
    </row>
    <row r="337">
      <c r="A337" s="24">
        <v>6.0</v>
      </c>
      <c r="B337" s="24">
        <v>0.0</v>
      </c>
      <c r="C337" s="47">
        <v>0.0</v>
      </c>
      <c r="D337" s="35">
        <v>44708.0</v>
      </c>
      <c r="E337" s="47"/>
      <c r="F337" s="47">
        <v>0.0</v>
      </c>
      <c r="G337" s="48">
        <v>0.0</v>
      </c>
      <c r="H337" s="24" t="s">
        <v>6763</v>
      </c>
      <c r="I337" s="47"/>
      <c r="J337" s="24">
        <v>0.0</v>
      </c>
    </row>
    <row r="338">
      <c r="A338" s="24">
        <v>3.0</v>
      </c>
      <c r="B338" s="24">
        <v>0.0</v>
      </c>
      <c r="C338" s="47">
        <v>0.0</v>
      </c>
      <c r="D338" s="35">
        <v>44711.0</v>
      </c>
      <c r="E338" s="47"/>
      <c r="F338" s="47">
        <v>0.0</v>
      </c>
      <c r="G338" s="48">
        <v>0.0</v>
      </c>
      <c r="H338" s="24" t="s">
        <v>6763</v>
      </c>
      <c r="I338" s="47"/>
      <c r="J338" s="24">
        <v>0.0</v>
      </c>
    </row>
    <row r="339">
      <c r="A339" s="24">
        <v>15.0</v>
      </c>
      <c r="B339" s="24">
        <v>0.0</v>
      </c>
      <c r="C339" s="47">
        <v>0.0</v>
      </c>
      <c r="D339" s="35">
        <v>44712.0</v>
      </c>
      <c r="E339" s="47"/>
      <c r="F339" s="47">
        <v>0.0</v>
      </c>
      <c r="G339" s="48">
        <v>0.0</v>
      </c>
      <c r="H339" s="24" t="s">
        <v>6763</v>
      </c>
      <c r="I339" s="47"/>
      <c r="J339" s="24">
        <v>0.0</v>
      </c>
    </row>
    <row r="340">
      <c r="A340" s="24">
        <v>16.0</v>
      </c>
      <c r="B340" s="24">
        <v>0.0</v>
      </c>
      <c r="C340" s="47">
        <v>0.0</v>
      </c>
      <c r="D340" s="35">
        <v>44713.0</v>
      </c>
      <c r="E340" s="47"/>
      <c r="F340" s="47">
        <v>0.0</v>
      </c>
      <c r="G340" s="48">
        <v>0.0</v>
      </c>
      <c r="H340" s="24" t="s">
        <v>6763</v>
      </c>
      <c r="I340" s="47"/>
      <c r="J340" s="24">
        <v>0.0</v>
      </c>
    </row>
    <row r="341">
      <c r="A341" s="24">
        <v>14.0</v>
      </c>
      <c r="B341" s="24">
        <v>1.0</v>
      </c>
      <c r="C341" s="47">
        <v>22.0</v>
      </c>
      <c r="D341" s="35">
        <v>44714.0</v>
      </c>
      <c r="E341" s="47">
        <v>22.0</v>
      </c>
      <c r="F341" s="47">
        <v>1571.42857142857</v>
      </c>
      <c r="G341" s="48">
        <v>0.0714285714285714</v>
      </c>
      <c r="H341" s="24" t="s">
        <v>6763</v>
      </c>
      <c r="I341" s="47"/>
      <c r="J341" s="24">
        <v>0.0</v>
      </c>
    </row>
    <row r="342">
      <c r="A342" s="24">
        <v>8.0</v>
      </c>
      <c r="B342" s="24">
        <v>0.0</v>
      </c>
      <c r="C342" s="47">
        <v>0.0</v>
      </c>
      <c r="D342" s="35">
        <v>44715.0</v>
      </c>
      <c r="E342" s="47"/>
      <c r="F342" s="47">
        <v>0.0</v>
      </c>
      <c r="G342" s="48">
        <v>0.0</v>
      </c>
      <c r="H342" s="24" t="s">
        <v>6763</v>
      </c>
      <c r="I342" s="47"/>
      <c r="J342" s="24">
        <v>0.0</v>
      </c>
    </row>
    <row r="343">
      <c r="A343" s="24">
        <v>16.0</v>
      </c>
      <c r="B343" s="24">
        <v>1.0</v>
      </c>
      <c r="C343" s="47">
        <v>22.14</v>
      </c>
      <c r="D343" s="35">
        <v>44718.0</v>
      </c>
      <c r="E343" s="47">
        <v>22.14</v>
      </c>
      <c r="F343" s="47">
        <v>1383.75</v>
      </c>
      <c r="G343" s="48">
        <v>0.0625</v>
      </c>
      <c r="H343" s="24" t="s">
        <v>6763</v>
      </c>
      <c r="I343" s="47"/>
      <c r="J343" s="24">
        <v>0.0</v>
      </c>
    </row>
    <row r="344">
      <c r="A344" s="24">
        <v>20.0</v>
      </c>
      <c r="B344" s="24">
        <v>2.0</v>
      </c>
      <c r="C344" s="47">
        <v>82.32</v>
      </c>
      <c r="D344" s="35">
        <v>44719.0</v>
      </c>
      <c r="E344" s="47">
        <v>41.16</v>
      </c>
      <c r="F344" s="47">
        <v>4116.0</v>
      </c>
      <c r="G344" s="48">
        <v>0.1</v>
      </c>
      <c r="H344" s="24" t="s">
        <v>6763</v>
      </c>
      <c r="I344" s="47"/>
      <c r="J344" s="24">
        <v>0.0</v>
      </c>
    </row>
    <row r="345">
      <c r="A345" s="24">
        <v>10.0</v>
      </c>
      <c r="B345" s="24">
        <v>1.0</v>
      </c>
      <c r="C345" s="47">
        <v>21.16</v>
      </c>
      <c r="D345" s="35">
        <v>44720.0</v>
      </c>
      <c r="E345" s="47">
        <v>21.16</v>
      </c>
      <c r="F345" s="47">
        <v>2116.0</v>
      </c>
      <c r="G345" s="48">
        <v>0.1</v>
      </c>
      <c r="H345" s="24" t="s">
        <v>6763</v>
      </c>
      <c r="I345" s="47"/>
      <c r="J345" s="24">
        <v>0.0</v>
      </c>
    </row>
    <row r="346">
      <c r="A346" s="24">
        <v>15.0</v>
      </c>
      <c r="B346" s="24">
        <v>2.0</v>
      </c>
      <c r="C346" s="47">
        <v>63.24</v>
      </c>
      <c r="D346" s="35">
        <v>44721.0</v>
      </c>
      <c r="E346" s="47">
        <v>31.62</v>
      </c>
      <c r="F346" s="47">
        <v>4216.0</v>
      </c>
      <c r="G346" s="48">
        <v>0.133333333333333</v>
      </c>
      <c r="H346" s="24" t="s">
        <v>6763</v>
      </c>
      <c r="I346" s="47"/>
      <c r="J346" s="24">
        <v>0.0</v>
      </c>
    </row>
    <row r="347">
      <c r="A347" s="24">
        <v>13.0</v>
      </c>
      <c r="B347" s="24">
        <v>0.0</v>
      </c>
      <c r="C347" s="47">
        <v>0.0</v>
      </c>
      <c r="D347" s="35">
        <v>44722.0</v>
      </c>
      <c r="E347" s="47"/>
      <c r="F347" s="47">
        <v>0.0</v>
      </c>
      <c r="G347" s="48">
        <v>0.0</v>
      </c>
      <c r="H347" s="24" t="s">
        <v>6763</v>
      </c>
      <c r="I347" s="47"/>
      <c r="J347" s="24">
        <v>0.0</v>
      </c>
    </row>
    <row r="348">
      <c r="A348" s="24">
        <v>12.0</v>
      </c>
      <c r="B348" s="24">
        <v>1.0</v>
      </c>
      <c r="C348" s="47">
        <v>20.22</v>
      </c>
      <c r="D348" s="35">
        <v>44725.0</v>
      </c>
      <c r="E348" s="47">
        <v>20.22</v>
      </c>
      <c r="F348" s="47">
        <v>1685.0</v>
      </c>
      <c r="G348" s="48">
        <v>0.0833333333333333</v>
      </c>
      <c r="H348" s="24" t="s">
        <v>6763</v>
      </c>
      <c r="I348" s="47"/>
      <c r="J348" s="24">
        <v>0.0</v>
      </c>
    </row>
    <row r="349">
      <c r="A349" s="24">
        <v>20.0</v>
      </c>
      <c r="B349" s="24">
        <v>0.0</v>
      </c>
      <c r="C349" s="47">
        <v>0.0</v>
      </c>
      <c r="D349" s="35">
        <v>44726.0</v>
      </c>
      <c r="E349" s="47"/>
      <c r="F349" s="47">
        <v>0.0</v>
      </c>
      <c r="G349" s="48">
        <v>0.0</v>
      </c>
      <c r="H349" s="24" t="s">
        <v>6763</v>
      </c>
      <c r="I349" s="47"/>
      <c r="J349" s="24">
        <v>0.0</v>
      </c>
    </row>
    <row r="350">
      <c r="A350" s="24">
        <v>16.0</v>
      </c>
      <c r="B350" s="24">
        <v>0.0</v>
      </c>
      <c r="C350" s="47">
        <v>0.0</v>
      </c>
      <c r="D350" s="35">
        <v>44727.0</v>
      </c>
      <c r="E350" s="47"/>
      <c r="F350" s="47">
        <v>0.0</v>
      </c>
      <c r="G350" s="48">
        <v>0.0</v>
      </c>
      <c r="H350" s="24" t="s">
        <v>6763</v>
      </c>
      <c r="I350" s="47"/>
      <c r="J350" s="24">
        <v>0.0</v>
      </c>
    </row>
    <row r="351">
      <c r="A351" s="24">
        <v>16.0</v>
      </c>
      <c r="B351" s="24">
        <v>0.0</v>
      </c>
      <c r="C351" s="47">
        <v>0.0</v>
      </c>
      <c r="D351" s="35">
        <v>44728.0</v>
      </c>
      <c r="E351" s="47"/>
      <c r="F351" s="47">
        <v>0.0</v>
      </c>
      <c r="G351" s="48">
        <v>0.0</v>
      </c>
      <c r="H351" s="24" t="s">
        <v>6763</v>
      </c>
      <c r="I351" s="47"/>
      <c r="J351" s="24">
        <v>0.0</v>
      </c>
    </row>
    <row r="352">
      <c r="A352" s="24">
        <v>4.0</v>
      </c>
      <c r="B352" s="24">
        <v>0.0</v>
      </c>
      <c r="C352" s="47">
        <v>0.0</v>
      </c>
      <c r="D352" s="35">
        <v>44729.0</v>
      </c>
      <c r="E352" s="47"/>
      <c r="F352" s="47">
        <v>0.0</v>
      </c>
      <c r="G352" s="48">
        <v>0.0</v>
      </c>
      <c r="H352" s="24" t="s">
        <v>6763</v>
      </c>
      <c r="I352" s="47"/>
      <c r="J352" s="24">
        <v>0.0</v>
      </c>
    </row>
    <row r="353">
      <c r="A353" s="24">
        <v>4.0</v>
      </c>
      <c r="B353" s="24">
        <v>0.0</v>
      </c>
      <c r="C353" s="47">
        <v>0.0</v>
      </c>
      <c r="D353" s="35">
        <v>44732.0</v>
      </c>
      <c r="E353" s="47"/>
      <c r="F353" s="47">
        <v>0.0</v>
      </c>
      <c r="G353" s="48">
        <v>0.0</v>
      </c>
      <c r="H353" s="24" t="s">
        <v>6763</v>
      </c>
      <c r="I353" s="47"/>
      <c r="J353" s="24">
        <v>0.0</v>
      </c>
    </row>
    <row r="354">
      <c r="A354" s="24">
        <v>10.0</v>
      </c>
      <c r="B354" s="24">
        <v>1.0</v>
      </c>
      <c r="C354" s="47">
        <v>32.46</v>
      </c>
      <c r="D354" s="35">
        <v>44733.0</v>
      </c>
      <c r="E354" s="47">
        <v>32.46</v>
      </c>
      <c r="F354" s="47">
        <v>3246.0</v>
      </c>
      <c r="G354" s="48">
        <v>0.1</v>
      </c>
      <c r="H354" s="24" t="s">
        <v>6763</v>
      </c>
      <c r="I354" s="47"/>
      <c r="J354" s="24">
        <v>0.0</v>
      </c>
    </row>
    <row r="355">
      <c r="A355" s="24">
        <v>16.0</v>
      </c>
      <c r="B355" s="24">
        <v>0.0</v>
      </c>
      <c r="C355" s="47">
        <v>0.0</v>
      </c>
      <c r="D355" s="35">
        <v>44734.0</v>
      </c>
      <c r="E355" s="47"/>
      <c r="F355" s="47">
        <v>0.0</v>
      </c>
      <c r="G355" s="48">
        <v>0.0</v>
      </c>
      <c r="H355" s="24" t="s">
        <v>6763</v>
      </c>
      <c r="I355" s="47"/>
      <c r="J355" s="24">
        <v>0.0</v>
      </c>
    </row>
    <row r="356">
      <c r="A356" s="24">
        <v>15.0</v>
      </c>
      <c r="B356" s="24">
        <v>0.0</v>
      </c>
      <c r="C356" s="47">
        <v>0.0</v>
      </c>
      <c r="D356" s="35">
        <v>44735.0</v>
      </c>
      <c r="E356" s="47"/>
      <c r="F356" s="47">
        <v>0.0</v>
      </c>
      <c r="G356" s="48">
        <v>0.0</v>
      </c>
      <c r="H356" s="24" t="s">
        <v>6763</v>
      </c>
      <c r="I356" s="47"/>
      <c r="J356" s="24">
        <v>0.0</v>
      </c>
    </row>
    <row r="357">
      <c r="A357" s="24">
        <v>8.0</v>
      </c>
      <c r="B357" s="24">
        <v>0.0</v>
      </c>
      <c r="C357" s="47">
        <v>0.0</v>
      </c>
      <c r="D357" s="35">
        <v>44736.0</v>
      </c>
      <c r="E357" s="47"/>
      <c r="F357" s="47">
        <v>0.0</v>
      </c>
      <c r="G357" s="48">
        <v>0.0</v>
      </c>
      <c r="H357" s="24" t="s">
        <v>6763</v>
      </c>
      <c r="I357" s="47"/>
      <c r="J357" s="24">
        <v>0.0</v>
      </c>
    </row>
    <row r="358">
      <c r="A358" s="24">
        <v>8.0</v>
      </c>
      <c r="B358" s="24">
        <v>0.0</v>
      </c>
      <c r="C358" s="47">
        <v>0.0</v>
      </c>
      <c r="D358" s="35">
        <v>44739.0</v>
      </c>
      <c r="E358" s="47"/>
      <c r="F358" s="47">
        <v>0.0</v>
      </c>
      <c r="G358" s="48">
        <v>0.0</v>
      </c>
      <c r="H358" s="24" t="s">
        <v>6763</v>
      </c>
      <c r="I358" s="47"/>
      <c r="J358" s="24">
        <v>0.0</v>
      </c>
    </row>
    <row r="359">
      <c r="A359" s="24">
        <v>28.0</v>
      </c>
      <c r="B359" s="24">
        <v>1.0</v>
      </c>
      <c r="C359" s="47">
        <v>41.8</v>
      </c>
      <c r="D359" s="35">
        <v>44740.0</v>
      </c>
      <c r="E359" s="47">
        <v>41.8</v>
      </c>
      <c r="F359" s="47">
        <v>1492.85714285714</v>
      </c>
      <c r="G359" s="48">
        <v>0.0357142857142857</v>
      </c>
      <c r="H359" s="24" t="s">
        <v>6763</v>
      </c>
      <c r="I359" s="47"/>
      <c r="J359" s="24">
        <v>0.0</v>
      </c>
    </row>
    <row r="360">
      <c r="A360" s="24">
        <v>5.0</v>
      </c>
      <c r="B360" s="24">
        <v>0.0</v>
      </c>
      <c r="C360" s="47">
        <v>0.0</v>
      </c>
      <c r="D360" s="35">
        <v>44741.0</v>
      </c>
      <c r="E360" s="47"/>
      <c r="F360" s="47">
        <v>0.0</v>
      </c>
      <c r="G360" s="48">
        <v>0.0</v>
      </c>
      <c r="H360" s="24" t="s">
        <v>6763</v>
      </c>
      <c r="I360" s="47"/>
      <c r="J360" s="24">
        <v>0.0</v>
      </c>
    </row>
    <row r="361">
      <c r="A361" s="24">
        <v>23.0</v>
      </c>
      <c r="B361" s="24">
        <v>1.0</v>
      </c>
      <c r="C361" s="47">
        <v>21.04</v>
      </c>
      <c r="D361" s="35">
        <v>44742.0</v>
      </c>
      <c r="E361" s="47">
        <v>21.04</v>
      </c>
      <c r="F361" s="47">
        <v>914.782608695652</v>
      </c>
      <c r="G361" s="48">
        <v>0.0434782608695652</v>
      </c>
      <c r="H361" s="24" t="s">
        <v>6763</v>
      </c>
      <c r="I361" s="47"/>
      <c r="J361" s="24">
        <v>0.0</v>
      </c>
    </row>
    <row r="362">
      <c r="A362" s="24">
        <v>5.0</v>
      </c>
      <c r="B362" s="24">
        <v>0.0</v>
      </c>
      <c r="C362" s="47">
        <v>0.0</v>
      </c>
      <c r="D362" s="35">
        <v>44743.0</v>
      </c>
      <c r="E362" s="47"/>
      <c r="F362" s="47">
        <v>0.0</v>
      </c>
      <c r="G362" s="48">
        <v>0.0</v>
      </c>
      <c r="H362" s="24" t="s">
        <v>6763</v>
      </c>
      <c r="I362" s="47"/>
      <c r="J362" s="24">
        <v>0.0</v>
      </c>
    </row>
    <row r="363">
      <c r="A363" s="24">
        <v>4.0</v>
      </c>
      <c r="B363" s="24">
        <v>0.0</v>
      </c>
      <c r="C363" s="47">
        <v>0.0</v>
      </c>
      <c r="D363" s="35">
        <v>44747.0</v>
      </c>
      <c r="E363" s="47"/>
      <c r="F363" s="47">
        <v>0.0</v>
      </c>
      <c r="G363" s="48">
        <v>0.0</v>
      </c>
      <c r="H363" s="24" t="s">
        <v>6763</v>
      </c>
      <c r="I363" s="47"/>
      <c r="J363" s="24">
        <v>0.0</v>
      </c>
    </row>
    <row r="364">
      <c r="A364" s="24">
        <v>11.0</v>
      </c>
      <c r="B364" s="24">
        <v>0.0</v>
      </c>
      <c r="C364" s="47">
        <v>0.0</v>
      </c>
      <c r="D364" s="35">
        <v>44748.0</v>
      </c>
      <c r="E364" s="47"/>
      <c r="F364" s="47">
        <v>0.0</v>
      </c>
      <c r="G364" s="48">
        <v>0.0</v>
      </c>
      <c r="H364" s="24" t="s">
        <v>6763</v>
      </c>
      <c r="I364" s="47"/>
      <c r="J364" s="24">
        <v>0.0</v>
      </c>
    </row>
    <row r="365">
      <c r="A365" s="24">
        <v>14.0</v>
      </c>
      <c r="B365" s="24">
        <v>0.0</v>
      </c>
      <c r="C365" s="47">
        <v>0.0</v>
      </c>
      <c r="D365" s="35">
        <v>44749.0</v>
      </c>
      <c r="E365" s="47"/>
      <c r="F365" s="47">
        <v>0.0</v>
      </c>
      <c r="G365" s="48">
        <v>0.0</v>
      </c>
      <c r="H365" s="24" t="s">
        <v>6763</v>
      </c>
      <c r="I365" s="47"/>
      <c r="J365" s="24">
        <v>0.0</v>
      </c>
    </row>
    <row r="366">
      <c r="A366" s="24">
        <v>11.0</v>
      </c>
      <c r="B366" s="24">
        <v>0.0</v>
      </c>
      <c r="C366" s="47">
        <v>0.0</v>
      </c>
      <c r="D366" s="35">
        <v>44750.0</v>
      </c>
      <c r="E366" s="47"/>
      <c r="F366" s="47">
        <v>0.0</v>
      </c>
      <c r="G366" s="48">
        <v>0.0</v>
      </c>
      <c r="H366" s="24" t="s">
        <v>6763</v>
      </c>
      <c r="I366" s="47"/>
      <c r="J366" s="24">
        <v>0.0</v>
      </c>
    </row>
    <row r="367">
      <c r="A367" s="24">
        <v>6.0</v>
      </c>
      <c r="B367" s="24">
        <v>0.0</v>
      </c>
      <c r="C367" s="47">
        <v>0.0</v>
      </c>
      <c r="D367" s="35">
        <v>44753.0</v>
      </c>
      <c r="E367" s="47"/>
      <c r="F367" s="47">
        <v>0.0</v>
      </c>
      <c r="G367" s="48">
        <v>0.0</v>
      </c>
      <c r="H367" s="24" t="s">
        <v>6763</v>
      </c>
      <c r="I367" s="47"/>
      <c r="J367" s="24">
        <v>0.0</v>
      </c>
    </row>
    <row r="368">
      <c r="A368" s="24">
        <v>11.0</v>
      </c>
      <c r="B368" s="24">
        <v>0.0</v>
      </c>
      <c r="C368" s="47">
        <v>0.0</v>
      </c>
      <c r="D368" s="35">
        <v>44754.0</v>
      </c>
      <c r="E368" s="47"/>
      <c r="F368" s="47">
        <v>0.0</v>
      </c>
      <c r="G368" s="48">
        <v>0.0</v>
      </c>
      <c r="H368" s="24" t="s">
        <v>6763</v>
      </c>
      <c r="I368" s="47"/>
      <c r="J368" s="24">
        <v>0.0</v>
      </c>
    </row>
    <row r="369">
      <c r="A369" s="24">
        <v>5.0</v>
      </c>
      <c r="B369" s="24">
        <v>0.0</v>
      </c>
      <c r="C369" s="47">
        <v>0.0</v>
      </c>
      <c r="D369" s="35">
        <v>44664.0</v>
      </c>
      <c r="E369" s="47"/>
      <c r="F369" s="47">
        <v>0.0</v>
      </c>
      <c r="G369" s="48">
        <v>0.0</v>
      </c>
      <c r="H369" s="24" t="s">
        <v>6764</v>
      </c>
      <c r="I369" s="47"/>
      <c r="J369" s="24">
        <v>0.0</v>
      </c>
    </row>
    <row r="370">
      <c r="A370" s="24">
        <v>5.0</v>
      </c>
      <c r="B370" s="24">
        <v>0.0</v>
      </c>
      <c r="C370" s="47">
        <v>0.0</v>
      </c>
      <c r="D370" s="35">
        <v>44665.0</v>
      </c>
      <c r="E370" s="47"/>
      <c r="F370" s="47">
        <v>0.0</v>
      </c>
      <c r="G370" s="48">
        <v>0.0</v>
      </c>
      <c r="H370" s="24" t="s">
        <v>6764</v>
      </c>
      <c r="I370" s="47"/>
      <c r="J370" s="24">
        <v>0.0</v>
      </c>
    </row>
    <row r="371">
      <c r="A371" s="24">
        <v>3.0</v>
      </c>
      <c r="B371" s="24">
        <v>0.0</v>
      </c>
      <c r="C371" s="47">
        <v>0.0</v>
      </c>
      <c r="D371" s="35">
        <v>44670.0</v>
      </c>
      <c r="E371" s="47"/>
      <c r="F371" s="47">
        <v>0.0</v>
      </c>
      <c r="G371" s="48">
        <v>0.0</v>
      </c>
      <c r="H371" s="24" t="s">
        <v>6764</v>
      </c>
      <c r="I371" s="47"/>
      <c r="J371" s="24">
        <v>0.0</v>
      </c>
    </row>
    <row r="372">
      <c r="A372" s="24">
        <v>2.0</v>
      </c>
      <c r="B372" s="24">
        <v>0.0</v>
      </c>
      <c r="C372" s="47">
        <v>0.0</v>
      </c>
      <c r="D372" s="35">
        <v>44671.0</v>
      </c>
      <c r="E372" s="47"/>
      <c r="F372" s="47">
        <v>0.0</v>
      </c>
      <c r="G372" s="48">
        <v>0.0</v>
      </c>
      <c r="H372" s="24" t="s">
        <v>6764</v>
      </c>
      <c r="I372" s="47"/>
      <c r="J372" s="24">
        <v>0.0</v>
      </c>
    </row>
    <row r="373">
      <c r="A373" s="24">
        <v>5.0</v>
      </c>
      <c r="B373" s="24">
        <v>0.0</v>
      </c>
      <c r="C373" s="47">
        <v>0.0</v>
      </c>
      <c r="D373" s="35">
        <v>44672.0</v>
      </c>
      <c r="E373" s="47"/>
      <c r="F373" s="47">
        <v>0.0</v>
      </c>
      <c r="G373" s="48">
        <v>0.0</v>
      </c>
      <c r="H373" s="24" t="s">
        <v>6764</v>
      </c>
      <c r="I373" s="47"/>
      <c r="J373" s="24">
        <v>0.0</v>
      </c>
    </row>
    <row r="374">
      <c r="A374" s="24">
        <v>6.0</v>
      </c>
      <c r="B374" s="24">
        <v>0.0</v>
      </c>
      <c r="C374" s="47">
        <v>0.0</v>
      </c>
      <c r="D374" s="35">
        <v>44673.0</v>
      </c>
      <c r="E374" s="47"/>
      <c r="F374" s="47">
        <v>0.0</v>
      </c>
      <c r="G374" s="48">
        <v>0.0</v>
      </c>
      <c r="H374" s="24" t="s">
        <v>6764</v>
      </c>
      <c r="I374" s="47"/>
      <c r="J374" s="24">
        <v>0.0</v>
      </c>
    </row>
    <row r="375">
      <c r="A375" s="24">
        <v>9.0</v>
      </c>
      <c r="B375" s="24">
        <v>0.0</v>
      </c>
      <c r="C375" s="47">
        <v>0.0</v>
      </c>
      <c r="D375" s="35">
        <v>44676.0</v>
      </c>
      <c r="E375" s="47"/>
      <c r="F375" s="47">
        <v>0.0</v>
      </c>
      <c r="G375" s="48">
        <v>0.0</v>
      </c>
      <c r="H375" s="24" t="s">
        <v>6764</v>
      </c>
      <c r="I375" s="47"/>
      <c r="J375" s="24">
        <v>0.0</v>
      </c>
    </row>
    <row r="376">
      <c r="A376" s="24">
        <v>6.0</v>
      </c>
      <c r="B376" s="24">
        <v>0.0</v>
      </c>
      <c r="C376" s="47">
        <v>0.0</v>
      </c>
      <c r="D376" s="35">
        <v>44677.0</v>
      </c>
      <c r="E376" s="47"/>
      <c r="F376" s="47">
        <v>0.0</v>
      </c>
      <c r="G376" s="48">
        <v>0.0</v>
      </c>
      <c r="H376" s="24" t="s">
        <v>6764</v>
      </c>
      <c r="I376" s="47"/>
      <c r="J376" s="24">
        <v>0.0</v>
      </c>
    </row>
    <row r="377">
      <c r="A377" s="24">
        <v>6.0</v>
      </c>
      <c r="B377" s="24">
        <v>0.0</v>
      </c>
      <c r="C377" s="47">
        <v>0.0</v>
      </c>
      <c r="D377" s="35">
        <v>44678.0</v>
      </c>
      <c r="E377" s="47"/>
      <c r="F377" s="47">
        <v>0.0</v>
      </c>
      <c r="G377" s="48">
        <v>0.0</v>
      </c>
      <c r="H377" s="24" t="s">
        <v>6764</v>
      </c>
      <c r="I377" s="47"/>
      <c r="J377" s="24">
        <v>0.0</v>
      </c>
    </row>
    <row r="378">
      <c r="A378" s="24">
        <v>9.0</v>
      </c>
      <c r="B378" s="24">
        <v>0.0</v>
      </c>
      <c r="C378" s="47">
        <v>0.0</v>
      </c>
      <c r="D378" s="35">
        <v>44679.0</v>
      </c>
      <c r="E378" s="47"/>
      <c r="F378" s="47">
        <v>0.0</v>
      </c>
      <c r="G378" s="48">
        <v>0.0</v>
      </c>
      <c r="H378" s="24" t="s">
        <v>6764</v>
      </c>
      <c r="I378" s="47"/>
      <c r="J378" s="24">
        <v>0.0</v>
      </c>
    </row>
    <row r="379">
      <c r="A379" s="24">
        <v>9.0</v>
      </c>
      <c r="B379" s="24">
        <v>0.0</v>
      </c>
      <c r="C379" s="47">
        <v>0.0</v>
      </c>
      <c r="D379" s="35">
        <v>44680.0</v>
      </c>
      <c r="E379" s="47"/>
      <c r="F379" s="47">
        <v>0.0</v>
      </c>
      <c r="G379" s="48">
        <v>0.0</v>
      </c>
      <c r="H379" s="24" t="s">
        <v>6764</v>
      </c>
      <c r="I379" s="47"/>
      <c r="J379" s="24">
        <v>0.0</v>
      </c>
    </row>
    <row r="380">
      <c r="A380" s="24">
        <v>2.0</v>
      </c>
      <c r="B380" s="24">
        <v>0.0</v>
      </c>
      <c r="C380" s="47">
        <v>0.0</v>
      </c>
      <c r="D380" s="35">
        <v>44683.0</v>
      </c>
      <c r="E380" s="47"/>
      <c r="F380" s="47">
        <v>0.0</v>
      </c>
      <c r="G380" s="48">
        <v>0.0</v>
      </c>
      <c r="H380" s="24" t="s">
        <v>6764</v>
      </c>
      <c r="I380" s="47"/>
      <c r="J380" s="24">
        <v>0.0</v>
      </c>
    </row>
    <row r="381">
      <c r="A381" s="24">
        <v>12.0</v>
      </c>
      <c r="B381" s="24">
        <v>1.0</v>
      </c>
      <c r="C381" s="47">
        <v>24.47</v>
      </c>
      <c r="D381" s="35">
        <v>44684.0</v>
      </c>
      <c r="E381" s="47">
        <v>24.47</v>
      </c>
      <c r="F381" s="47">
        <v>2039.16666666666</v>
      </c>
      <c r="G381" s="48">
        <v>0.0833333333333333</v>
      </c>
      <c r="H381" s="24" t="s">
        <v>6764</v>
      </c>
      <c r="I381" s="47">
        <v>24.47</v>
      </c>
      <c r="J381" s="24">
        <v>1.0</v>
      </c>
    </row>
    <row r="382">
      <c r="A382" s="24">
        <v>11.0</v>
      </c>
      <c r="B382" s="24">
        <v>0.0</v>
      </c>
      <c r="C382" s="47">
        <v>0.0</v>
      </c>
      <c r="D382" s="35">
        <v>44685.0</v>
      </c>
      <c r="E382" s="47"/>
      <c r="F382" s="47">
        <v>0.0</v>
      </c>
      <c r="G382" s="48">
        <v>0.0</v>
      </c>
      <c r="H382" s="24" t="s">
        <v>6764</v>
      </c>
      <c r="I382" s="47"/>
      <c r="J382" s="24">
        <v>0.0</v>
      </c>
    </row>
    <row r="383">
      <c r="A383" s="24">
        <v>4.0</v>
      </c>
      <c r="B383" s="24">
        <v>0.0</v>
      </c>
      <c r="C383" s="47">
        <v>0.0</v>
      </c>
      <c r="D383" s="35">
        <v>44686.0</v>
      </c>
      <c r="E383" s="47"/>
      <c r="F383" s="47">
        <v>0.0</v>
      </c>
      <c r="G383" s="48">
        <v>0.0</v>
      </c>
      <c r="H383" s="24" t="s">
        <v>6764</v>
      </c>
      <c r="I383" s="47"/>
      <c r="J383" s="24">
        <v>0.0</v>
      </c>
    </row>
    <row r="384">
      <c r="A384" s="24">
        <v>3.0</v>
      </c>
      <c r="B384" s="24">
        <v>0.0</v>
      </c>
      <c r="C384" s="47">
        <v>0.0</v>
      </c>
      <c r="D384" s="35">
        <v>44687.0</v>
      </c>
      <c r="E384" s="47"/>
      <c r="F384" s="47">
        <v>0.0</v>
      </c>
      <c r="G384" s="48">
        <v>0.0</v>
      </c>
      <c r="H384" s="24" t="s">
        <v>6764</v>
      </c>
      <c r="I384" s="47"/>
      <c r="J384" s="24">
        <v>0.0</v>
      </c>
    </row>
    <row r="385">
      <c r="A385" s="24">
        <v>4.0</v>
      </c>
      <c r="B385" s="24">
        <v>0.0</v>
      </c>
      <c r="C385" s="47">
        <v>0.0</v>
      </c>
      <c r="D385" s="35">
        <v>44690.0</v>
      </c>
      <c r="E385" s="47"/>
      <c r="F385" s="47">
        <v>0.0</v>
      </c>
      <c r="G385" s="48">
        <v>0.0</v>
      </c>
      <c r="H385" s="24" t="s">
        <v>6764</v>
      </c>
      <c r="I385" s="47"/>
      <c r="J385" s="24">
        <v>0.0</v>
      </c>
    </row>
    <row r="386">
      <c r="A386" s="24">
        <v>5.0</v>
      </c>
      <c r="B386" s="24">
        <v>0.0</v>
      </c>
      <c r="C386" s="47">
        <v>0.0</v>
      </c>
      <c r="D386" s="35">
        <v>44691.0</v>
      </c>
      <c r="E386" s="47"/>
      <c r="F386" s="47">
        <v>0.0</v>
      </c>
      <c r="G386" s="48">
        <v>0.0</v>
      </c>
      <c r="H386" s="24" t="s">
        <v>6764</v>
      </c>
      <c r="I386" s="47"/>
      <c r="J386" s="24">
        <v>0.0</v>
      </c>
    </row>
    <row r="387">
      <c r="A387" s="24">
        <v>9.0</v>
      </c>
      <c r="B387" s="24">
        <v>0.0</v>
      </c>
      <c r="C387" s="47">
        <v>0.0</v>
      </c>
      <c r="D387" s="35">
        <v>44692.0</v>
      </c>
      <c r="E387" s="47"/>
      <c r="F387" s="47">
        <v>0.0</v>
      </c>
      <c r="G387" s="48">
        <v>0.0</v>
      </c>
      <c r="H387" s="24" t="s">
        <v>6764</v>
      </c>
      <c r="I387" s="47"/>
      <c r="J387" s="24">
        <v>0.0</v>
      </c>
    </row>
    <row r="388">
      <c r="A388" s="24">
        <v>3.0</v>
      </c>
      <c r="B388" s="24">
        <v>0.0</v>
      </c>
      <c r="C388" s="47">
        <v>0.0</v>
      </c>
      <c r="D388" s="35">
        <v>44693.0</v>
      </c>
      <c r="E388" s="47"/>
      <c r="F388" s="47">
        <v>0.0</v>
      </c>
      <c r="G388" s="48">
        <v>0.0</v>
      </c>
      <c r="H388" s="24" t="s">
        <v>6764</v>
      </c>
      <c r="I388" s="47"/>
      <c r="J388" s="24">
        <v>0.0</v>
      </c>
    </row>
    <row r="389">
      <c r="A389" s="24">
        <v>3.0</v>
      </c>
      <c r="B389" s="24">
        <v>0.0</v>
      </c>
      <c r="C389" s="47">
        <v>0.0</v>
      </c>
      <c r="D389" s="35">
        <v>44694.0</v>
      </c>
      <c r="E389" s="47"/>
      <c r="F389" s="47">
        <v>0.0</v>
      </c>
      <c r="G389" s="48">
        <v>0.0</v>
      </c>
      <c r="H389" s="24" t="s">
        <v>6764</v>
      </c>
      <c r="I389" s="47"/>
      <c r="J389" s="24">
        <v>0.0</v>
      </c>
    </row>
    <row r="390">
      <c r="A390" s="24">
        <v>7.0</v>
      </c>
      <c r="B390" s="24">
        <v>0.0</v>
      </c>
      <c r="C390" s="47">
        <v>0.0</v>
      </c>
      <c r="D390" s="35">
        <v>44697.0</v>
      </c>
      <c r="E390" s="47"/>
      <c r="F390" s="47">
        <v>0.0</v>
      </c>
      <c r="G390" s="48">
        <v>0.0</v>
      </c>
      <c r="H390" s="24" t="s">
        <v>6764</v>
      </c>
      <c r="I390" s="47"/>
      <c r="J390" s="24">
        <v>0.0</v>
      </c>
    </row>
    <row r="391">
      <c r="A391" s="24">
        <v>6.0</v>
      </c>
      <c r="B391" s="24">
        <v>0.0</v>
      </c>
      <c r="C391" s="47">
        <v>0.0</v>
      </c>
      <c r="D391" s="35">
        <v>44699.0</v>
      </c>
      <c r="E391" s="47"/>
      <c r="F391" s="47">
        <v>0.0</v>
      </c>
      <c r="G391" s="48">
        <v>0.0</v>
      </c>
      <c r="H391" s="24" t="s">
        <v>6764</v>
      </c>
      <c r="I391" s="47"/>
      <c r="J391" s="24">
        <v>0.0</v>
      </c>
    </row>
    <row r="392">
      <c r="A392" s="24">
        <v>9.0</v>
      </c>
      <c r="B392" s="24">
        <v>0.0</v>
      </c>
      <c r="C392" s="47">
        <v>0.0</v>
      </c>
      <c r="D392" s="35">
        <v>44700.0</v>
      </c>
      <c r="E392" s="47"/>
      <c r="F392" s="47">
        <v>0.0</v>
      </c>
      <c r="G392" s="48">
        <v>0.0</v>
      </c>
      <c r="H392" s="24" t="s">
        <v>6764</v>
      </c>
      <c r="I392" s="47"/>
      <c r="J392" s="24">
        <v>0.0</v>
      </c>
    </row>
    <row r="393">
      <c r="A393" s="24">
        <v>8.0</v>
      </c>
      <c r="B393" s="24">
        <v>0.0</v>
      </c>
      <c r="C393" s="47">
        <v>0.0</v>
      </c>
      <c r="D393" s="35">
        <v>44701.0</v>
      </c>
      <c r="E393" s="47"/>
      <c r="F393" s="47">
        <v>0.0</v>
      </c>
      <c r="G393" s="48">
        <v>0.0</v>
      </c>
      <c r="H393" s="24" t="s">
        <v>6764</v>
      </c>
      <c r="I393" s="47"/>
      <c r="J393" s="24">
        <v>0.0</v>
      </c>
    </row>
    <row r="394">
      <c r="A394" s="24">
        <v>2.0</v>
      </c>
      <c r="B394" s="24">
        <v>0.0</v>
      </c>
      <c r="C394" s="47">
        <v>0.0</v>
      </c>
      <c r="D394" s="35">
        <v>44704.0</v>
      </c>
      <c r="E394" s="47"/>
      <c r="F394" s="47">
        <v>0.0</v>
      </c>
      <c r="G394" s="48">
        <v>0.0</v>
      </c>
      <c r="H394" s="24" t="s">
        <v>6764</v>
      </c>
      <c r="I394" s="47"/>
      <c r="J394" s="24">
        <v>0.0</v>
      </c>
    </row>
    <row r="395">
      <c r="A395" s="24">
        <v>4.0</v>
      </c>
      <c r="B395" s="24">
        <v>0.0</v>
      </c>
      <c r="C395" s="47">
        <v>0.0</v>
      </c>
      <c r="D395" s="35">
        <v>44705.0</v>
      </c>
      <c r="E395" s="47"/>
      <c r="F395" s="47">
        <v>0.0</v>
      </c>
      <c r="G395" s="48">
        <v>0.0</v>
      </c>
      <c r="H395" s="24" t="s">
        <v>6764</v>
      </c>
      <c r="I395" s="47"/>
      <c r="J395" s="24">
        <v>0.0</v>
      </c>
    </row>
    <row r="396">
      <c r="A396" s="24">
        <v>4.0</v>
      </c>
      <c r="B396" s="24">
        <v>0.0</v>
      </c>
      <c r="C396" s="47">
        <v>0.0</v>
      </c>
      <c r="D396" s="35">
        <v>44706.0</v>
      </c>
      <c r="E396" s="47"/>
      <c r="F396" s="47">
        <v>0.0</v>
      </c>
      <c r="G396" s="48">
        <v>0.0</v>
      </c>
      <c r="H396" s="24" t="s">
        <v>6764</v>
      </c>
      <c r="I396" s="47"/>
      <c r="J396" s="24">
        <v>0.0</v>
      </c>
    </row>
    <row r="397">
      <c r="A397" s="24">
        <v>5.0</v>
      </c>
      <c r="B397" s="24">
        <v>0.0</v>
      </c>
      <c r="C397" s="47">
        <v>0.0</v>
      </c>
      <c r="D397" s="35">
        <v>44707.0</v>
      </c>
      <c r="E397" s="47"/>
      <c r="F397" s="47">
        <v>0.0</v>
      </c>
      <c r="G397" s="48">
        <v>0.0</v>
      </c>
      <c r="H397" s="24" t="s">
        <v>6764</v>
      </c>
      <c r="I397" s="47"/>
      <c r="J397" s="24">
        <v>0.0</v>
      </c>
    </row>
    <row r="398">
      <c r="A398" s="24">
        <v>5.0</v>
      </c>
      <c r="B398" s="24">
        <v>0.0</v>
      </c>
      <c r="C398" s="47">
        <v>0.0</v>
      </c>
      <c r="D398" s="35">
        <v>44708.0</v>
      </c>
      <c r="E398" s="47"/>
      <c r="F398" s="47">
        <v>0.0</v>
      </c>
      <c r="G398" s="48">
        <v>0.0</v>
      </c>
      <c r="H398" s="24" t="s">
        <v>6764</v>
      </c>
      <c r="I398" s="47"/>
      <c r="J398" s="24">
        <v>0.0</v>
      </c>
    </row>
    <row r="399">
      <c r="A399" s="24">
        <v>1.0</v>
      </c>
      <c r="B399" s="24">
        <v>0.0</v>
      </c>
      <c r="C399" s="47">
        <v>0.0</v>
      </c>
      <c r="D399" s="35">
        <v>44711.0</v>
      </c>
      <c r="E399" s="47"/>
      <c r="F399" s="47">
        <v>0.0</v>
      </c>
      <c r="G399" s="48">
        <v>0.0</v>
      </c>
      <c r="H399" s="24" t="s">
        <v>6764</v>
      </c>
      <c r="I399" s="47"/>
      <c r="J399" s="24">
        <v>0.0</v>
      </c>
    </row>
    <row r="400">
      <c r="A400" s="24">
        <v>5.0</v>
      </c>
      <c r="B400" s="24">
        <v>0.0</v>
      </c>
      <c r="C400" s="47">
        <v>0.0</v>
      </c>
      <c r="D400" s="35">
        <v>44712.0</v>
      </c>
      <c r="E400" s="47"/>
      <c r="F400" s="47">
        <v>0.0</v>
      </c>
      <c r="G400" s="48">
        <v>0.0</v>
      </c>
      <c r="H400" s="24" t="s">
        <v>6764</v>
      </c>
      <c r="I400" s="47"/>
      <c r="J400" s="24">
        <v>0.0</v>
      </c>
    </row>
    <row r="401">
      <c r="A401" s="24">
        <v>3.0</v>
      </c>
      <c r="B401" s="24">
        <v>0.0</v>
      </c>
      <c r="C401" s="47">
        <v>0.0</v>
      </c>
      <c r="D401" s="35">
        <v>44713.0</v>
      </c>
      <c r="E401" s="47"/>
      <c r="F401" s="47">
        <v>0.0</v>
      </c>
      <c r="G401" s="48">
        <v>0.0</v>
      </c>
      <c r="H401" s="24" t="s">
        <v>6764</v>
      </c>
      <c r="I401" s="47"/>
      <c r="J401" s="24">
        <v>0.0</v>
      </c>
    </row>
    <row r="402">
      <c r="A402" s="24">
        <v>7.0</v>
      </c>
      <c r="B402" s="24">
        <v>0.0</v>
      </c>
      <c r="C402" s="47">
        <v>0.0</v>
      </c>
      <c r="D402" s="35">
        <v>44714.0</v>
      </c>
      <c r="E402" s="47"/>
      <c r="F402" s="47">
        <v>0.0</v>
      </c>
      <c r="G402" s="48">
        <v>0.0</v>
      </c>
      <c r="H402" s="24" t="s">
        <v>6764</v>
      </c>
      <c r="I402" s="47"/>
      <c r="J402" s="24">
        <v>0.0</v>
      </c>
    </row>
    <row r="403">
      <c r="A403" s="24">
        <v>4.0</v>
      </c>
      <c r="B403" s="24">
        <v>0.0</v>
      </c>
      <c r="C403" s="47">
        <v>0.0</v>
      </c>
      <c r="D403" s="35">
        <v>44715.0</v>
      </c>
      <c r="E403" s="47"/>
      <c r="F403" s="47">
        <v>0.0</v>
      </c>
      <c r="G403" s="48">
        <v>0.0</v>
      </c>
      <c r="H403" s="24" t="s">
        <v>6764</v>
      </c>
      <c r="I403" s="47"/>
      <c r="J403" s="24">
        <v>0.0</v>
      </c>
    </row>
    <row r="404">
      <c r="A404" s="24">
        <v>5.0</v>
      </c>
      <c r="B404" s="24">
        <v>0.0</v>
      </c>
      <c r="C404" s="47">
        <v>0.0</v>
      </c>
      <c r="D404" s="35">
        <v>44718.0</v>
      </c>
      <c r="E404" s="47"/>
      <c r="F404" s="47">
        <v>0.0</v>
      </c>
      <c r="G404" s="48">
        <v>0.0</v>
      </c>
      <c r="H404" s="24" t="s">
        <v>6764</v>
      </c>
      <c r="I404" s="47"/>
      <c r="J404" s="24">
        <v>0.0</v>
      </c>
    </row>
    <row r="405">
      <c r="A405" s="24">
        <v>3.0</v>
      </c>
      <c r="B405" s="24">
        <v>0.0</v>
      </c>
      <c r="C405" s="47">
        <v>0.0</v>
      </c>
      <c r="D405" s="35">
        <v>44719.0</v>
      </c>
      <c r="E405" s="47"/>
      <c r="F405" s="47">
        <v>0.0</v>
      </c>
      <c r="G405" s="48">
        <v>0.0</v>
      </c>
      <c r="H405" s="24" t="s">
        <v>6764</v>
      </c>
      <c r="I405" s="47"/>
      <c r="J405" s="24">
        <v>0.0</v>
      </c>
    </row>
    <row r="406">
      <c r="A406" s="24">
        <v>3.0</v>
      </c>
      <c r="B406" s="24">
        <v>0.0</v>
      </c>
      <c r="C406" s="47">
        <v>0.0</v>
      </c>
      <c r="D406" s="35">
        <v>44720.0</v>
      </c>
      <c r="E406" s="47"/>
      <c r="F406" s="47">
        <v>0.0</v>
      </c>
      <c r="G406" s="48">
        <v>0.0</v>
      </c>
      <c r="H406" s="24" t="s">
        <v>6764</v>
      </c>
      <c r="I406" s="47"/>
      <c r="J406" s="24">
        <v>0.0</v>
      </c>
    </row>
    <row r="407">
      <c r="A407" s="24">
        <v>7.0</v>
      </c>
      <c r="B407" s="24">
        <v>1.0</v>
      </c>
      <c r="C407" s="47">
        <v>24.19</v>
      </c>
      <c r="D407" s="35">
        <v>44721.0</v>
      </c>
      <c r="E407" s="47">
        <v>24.19</v>
      </c>
      <c r="F407" s="47">
        <v>3455.71428571428</v>
      </c>
      <c r="G407" s="48">
        <v>0.142857142857142</v>
      </c>
      <c r="H407" s="24" t="s">
        <v>6764</v>
      </c>
      <c r="I407" s="47"/>
      <c r="J407" s="24">
        <v>0.0</v>
      </c>
    </row>
    <row r="408">
      <c r="A408" s="24">
        <v>9.0</v>
      </c>
      <c r="B408" s="24">
        <v>0.0</v>
      </c>
      <c r="C408" s="47">
        <v>0.0</v>
      </c>
      <c r="D408" s="35">
        <v>44726.0</v>
      </c>
      <c r="E408" s="47"/>
      <c r="F408" s="47">
        <v>0.0</v>
      </c>
      <c r="G408" s="48">
        <v>0.0</v>
      </c>
      <c r="H408" s="24" t="s">
        <v>6764</v>
      </c>
      <c r="I408" s="47"/>
      <c r="J408" s="24">
        <v>0.0</v>
      </c>
    </row>
    <row r="409">
      <c r="A409" s="24">
        <v>7.0</v>
      </c>
      <c r="B409" s="24">
        <v>0.0</v>
      </c>
      <c r="C409" s="47">
        <v>0.0</v>
      </c>
      <c r="D409" s="35">
        <v>44727.0</v>
      </c>
      <c r="E409" s="47"/>
      <c r="F409" s="47">
        <v>0.0</v>
      </c>
      <c r="G409" s="48">
        <v>0.0</v>
      </c>
      <c r="H409" s="24" t="s">
        <v>6764</v>
      </c>
      <c r="I409" s="47"/>
      <c r="J409" s="24">
        <v>0.0</v>
      </c>
    </row>
    <row r="410">
      <c r="A410" s="24">
        <v>10.0</v>
      </c>
      <c r="B410" s="24">
        <v>0.0</v>
      </c>
      <c r="C410" s="47">
        <v>0.0</v>
      </c>
      <c r="D410" s="35">
        <v>44728.0</v>
      </c>
      <c r="E410" s="47"/>
      <c r="F410" s="47">
        <v>0.0</v>
      </c>
      <c r="G410" s="48">
        <v>0.0</v>
      </c>
      <c r="H410" s="24" t="s">
        <v>6764</v>
      </c>
      <c r="I410" s="47"/>
      <c r="J410" s="24">
        <v>0.0</v>
      </c>
    </row>
    <row r="411">
      <c r="A411" s="24">
        <v>4.0</v>
      </c>
      <c r="B411" s="24">
        <v>0.0</v>
      </c>
      <c r="C411" s="47">
        <v>0.0</v>
      </c>
      <c r="D411" s="35">
        <v>44729.0</v>
      </c>
      <c r="E411" s="47"/>
      <c r="F411" s="47">
        <v>0.0</v>
      </c>
      <c r="G411" s="48">
        <v>0.0</v>
      </c>
      <c r="H411" s="24" t="s">
        <v>6764</v>
      </c>
      <c r="I411" s="47"/>
      <c r="J411" s="24">
        <v>0.0</v>
      </c>
    </row>
    <row r="412">
      <c r="A412" s="24">
        <v>1.0</v>
      </c>
      <c r="B412" s="24">
        <v>0.0</v>
      </c>
      <c r="C412" s="47">
        <v>0.0</v>
      </c>
      <c r="D412" s="35">
        <v>44732.0</v>
      </c>
      <c r="E412" s="47"/>
      <c r="F412" s="47">
        <v>0.0</v>
      </c>
      <c r="G412" s="48">
        <v>0.0</v>
      </c>
      <c r="H412" s="24" t="s">
        <v>6764</v>
      </c>
      <c r="I412" s="47"/>
      <c r="J412" s="24">
        <v>0.0</v>
      </c>
    </row>
    <row r="413">
      <c r="A413" s="24">
        <v>7.0</v>
      </c>
      <c r="B413" s="24">
        <v>0.0</v>
      </c>
      <c r="C413" s="47">
        <v>0.0</v>
      </c>
      <c r="D413" s="35">
        <v>44733.0</v>
      </c>
      <c r="E413" s="47"/>
      <c r="F413" s="47">
        <v>0.0</v>
      </c>
      <c r="G413" s="48">
        <v>0.0</v>
      </c>
      <c r="H413" s="24" t="s">
        <v>6764</v>
      </c>
      <c r="I413" s="47"/>
      <c r="J413" s="24">
        <v>0.0</v>
      </c>
    </row>
    <row r="414">
      <c r="A414" s="24">
        <v>3.0</v>
      </c>
      <c r="B414" s="24">
        <v>0.0</v>
      </c>
      <c r="C414" s="47">
        <v>0.0</v>
      </c>
      <c r="D414" s="35">
        <v>44734.0</v>
      </c>
      <c r="E414" s="47"/>
      <c r="F414" s="47">
        <v>0.0</v>
      </c>
      <c r="G414" s="48">
        <v>0.0</v>
      </c>
      <c r="H414" s="24" t="s">
        <v>6764</v>
      </c>
      <c r="I414" s="47"/>
      <c r="J414" s="24">
        <v>0.0</v>
      </c>
    </row>
    <row r="415">
      <c r="A415" s="24">
        <v>5.0</v>
      </c>
      <c r="B415" s="24">
        <v>0.0</v>
      </c>
      <c r="C415" s="47">
        <v>0.0</v>
      </c>
      <c r="D415" s="35">
        <v>44735.0</v>
      </c>
      <c r="E415" s="47"/>
      <c r="F415" s="47">
        <v>0.0</v>
      </c>
      <c r="G415" s="48">
        <v>0.0</v>
      </c>
      <c r="H415" s="24" t="s">
        <v>6764</v>
      </c>
      <c r="I415" s="47"/>
      <c r="J415" s="24">
        <v>0.0</v>
      </c>
    </row>
    <row r="416">
      <c r="A416" s="24">
        <v>5.0</v>
      </c>
      <c r="B416" s="24">
        <v>0.0</v>
      </c>
      <c r="C416" s="47">
        <v>0.0</v>
      </c>
      <c r="D416" s="35">
        <v>44736.0</v>
      </c>
      <c r="E416" s="47"/>
      <c r="F416" s="47">
        <v>0.0</v>
      </c>
      <c r="G416" s="48">
        <v>0.0</v>
      </c>
      <c r="H416" s="24" t="s">
        <v>6764</v>
      </c>
      <c r="I416" s="47"/>
      <c r="J416" s="24">
        <v>0.0</v>
      </c>
    </row>
    <row r="417">
      <c r="A417" s="24">
        <v>6.0</v>
      </c>
      <c r="B417" s="24">
        <v>1.0</v>
      </c>
      <c r="C417" s="47">
        <v>23.71</v>
      </c>
      <c r="D417" s="35">
        <v>44739.0</v>
      </c>
      <c r="E417" s="47">
        <v>23.71</v>
      </c>
      <c r="F417" s="47">
        <v>3951.66666666666</v>
      </c>
      <c r="G417" s="48">
        <v>0.166666666666666</v>
      </c>
      <c r="H417" s="24" t="s">
        <v>6764</v>
      </c>
      <c r="I417" s="47"/>
      <c r="J417" s="24">
        <v>0.0</v>
      </c>
    </row>
    <row r="418">
      <c r="A418" s="24">
        <v>5.0</v>
      </c>
      <c r="B418" s="24">
        <v>1.0</v>
      </c>
      <c r="C418" s="47">
        <v>23.8</v>
      </c>
      <c r="D418" s="35">
        <v>44740.0</v>
      </c>
      <c r="E418" s="47">
        <v>23.8</v>
      </c>
      <c r="F418" s="47">
        <v>4760.0</v>
      </c>
      <c r="G418" s="48">
        <v>0.2</v>
      </c>
      <c r="H418" s="24" t="s">
        <v>6764</v>
      </c>
      <c r="I418" s="47"/>
      <c r="J418" s="24">
        <v>0.0</v>
      </c>
    </row>
    <row r="419">
      <c r="A419" s="24">
        <v>7.0</v>
      </c>
      <c r="B419" s="24">
        <v>0.0</v>
      </c>
      <c r="C419" s="47">
        <v>0.0</v>
      </c>
      <c r="D419" s="35">
        <v>44741.0</v>
      </c>
      <c r="E419" s="47"/>
      <c r="F419" s="47">
        <v>0.0</v>
      </c>
      <c r="G419" s="48">
        <v>0.0</v>
      </c>
      <c r="H419" s="24" t="s">
        <v>6764</v>
      </c>
      <c r="I419" s="47"/>
      <c r="J419" s="24">
        <v>0.0</v>
      </c>
    </row>
    <row r="420">
      <c r="A420" s="24">
        <v>3.0</v>
      </c>
      <c r="B420" s="24">
        <v>0.0</v>
      </c>
      <c r="C420" s="47">
        <v>0.0</v>
      </c>
      <c r="D420" s="35">
        <v>44742.0</v>
      </c>
      <c r="E420" s="47"/>
      <c r="F420" s="47">
        <v>0.0</v>
      </c>
      <c r="G420" s="48">
        <v>0.0</v>
      </c>
      <c r="H420" s="24" t="s">
        <v>6764</v>
      </c>
      <c r="I420" s="47"/>
      <c r="J420" s="24">
        <v>0.0</v>
      </c>
    </row>
    <row r="421">
      <c r="A421" s="24">
        <v>4.0</v>
      </c>
      <c r="B421" s="24">
        <v>2.0</v>
      </c>
      <c r="C421" s="47">
        <v>47.64</v>
      </c>
      <c r="D421" s="35">
        <v>44743.0</v>
      </c>
      <c r="E421" s="47">
        <v>23.82</v>
      </c>
      <c r="F421" s="47">
        <v>11910.0</v>
      </c>
      <c r="G421" s="48">
        <v>0.5</v>
      </c>
      <c r="H421" s="24" t="s">
        <v>6764</v>
      </c>
      <c r="I421" s="47"/>
      <c r="J421" s="24">
        <v>0.0</v>
      </c>
    </row>
    <row r="422">
      <c r="A422" s="24">
        <v>10.0</v>
      </c>
      <c r="B422" s="24">
        <v>0.0</v>
      </c>
      <c r="C422" s="47">
        <v>0.0</v>
      </c>
      <c r="D422" s="35">
        <v>44747.0</v>
      </c>
      <c r="E422" s="47"/>
      <c r="F422" s="47">
        <v>0.0</v>
      </c>
      <c r="G422" s="48">
        <v>0.0</v>
      </c>
      <c r="H422" s="24" t="s">
        <v>6764</v>
      </c>
      <c r="I422" s="47"/>
      <c r="J422" s="24">
        <v>0.0</v>
      </c>
    </row>
    <row r="423">
      <c r="A423" s="24">
        <v>6.0</v>
      </c>
      <c r="B423" s="24">
        <v>0.0</v>
      </c>
      <c r="C423" s="47">
        <v>0.0</v>
      </c>
      <c r="D423" s="35">
        <v>44748.0</v>
      </c>
      <c r="E423" s="47"/>
      <c r="F423" s="47">
        <v>0.0</v>
      </c>
      <c r="G423" s="48">
        <v>0.0</v>
      </c>
      <c r="H423" s="24" t="s">
        <v>6764</v>
      </c>
      <c r="I423" s="47"/>
      <c r="J423" s="24">
        <v>0.0</v>
      </c>
    </row>
    <row r="424">
      <c r="A424" s="24">
        <v>8.0</v>
      </c>
      <c r="B424" s="24">
        <v>0.0</v>
      </c>
      <c r="C424" s="47">
        <v>0.0</v>
      </c>
      <c r="D424" s="35">
        <v>44749.0</v>
      </c>
      <c r="E424" s="47"/>
      <c r="F424" s="47">
        <v>0.0</v>
      </c>
      <c r="G424" s="48">
        <v>0.0</v>
      </c>
      <c r="H424" s="24" t="s">
        <v>6764</v>
      </c>
      <c r="I424" s="47"/>
      <c r="J424" s="24">
        <v>0.0</v>
      </c>
    </row>
    <row r="425">
      <c r="A425" s="24">
        <v>8.0</v>
      </c>
      <c r="B425" s="24">
        <v>0.0</v>
      </c>
      <c r="C425" s="47">
        <v>0.0</v>
      </c>
      <c r="D425" s="35">
        <v>44750.0</v>
      </c>
      <c r="E425" s="47"/>
      <c r="F425" s="47">
        <v>0.0</v>
      </c>
      <c r="G425" s="48">
        <v>0.0</v>
      </c>
      <c r="H425" s="24" t="s">
        <v>6764</v>
      </c>
      <c r="I425" s="47"/>
      <c r="J425" s="24">
        <v>0.0</v>
      </c>
    </row>
    <row r="426">
      <c r="A426" s="24">
        <v>5.0</v>
      </c>
      <c r="B426" s="24">
        <v>1.0</v>
      </c>
      <c r="C426" s="47">
        <v>23.56</v>
      </c>
      <c r="D426" s="35">
        <v>44753.0</v>
      </c>
      <c r="E426" s="47">
        <v>23.56</v>
      </c>
      <c r="F426" s="47">
        <v>4712.0</v>
      </c>
      <c r="G426" s="48">
        <v>0.2</v>
      </c>
      <c r="H426" s="24" t="s">
        <v>6764</v>
      </c>
      <c r="I426" s="47"/>
      <c r="J426" s="24">
        <v>0.0</v>
      </c>
    </row>
    <row r="427">
      <c r="A427" s="24">
        <v>6.0</v>
      </c>
      <c r="B427" s="24">
        <v>0.0</v>
      </c>
      <c r="C427" s="47">
        <v>0.0</v>
      </c>
      <c r="D427" s="35">
        <v>44754.0</v>
      </c>
      <c r="E427" s="47"/>
      <c r="F427" s="47">
        <v>0.0</v>
      </c>
      <c r="G427" s="48">
        <v>0.0</v>
      </c>
      <c r="H427" s="24" t="s">
        <v>6764</v>
      </c>
      <c r="I427" s="47"/>
      <c r="J427" s="24">
        <v>0.0</v>
      </c>
    </row>
    <row r="428">
      <c r="A428" s="24">
        <v>12.0</v>
      </c>
      <c r="B428" s="24">
        <v>1.0</v>
      </c>
      <c r="C428" s="47">
        <v>23.28</v>
      </c>
      <c r="D428" s="35">
        <v>44755.0</v>
      </c>
      <c r="E428" s="47">
        <v>23.28</v>
      </c>
      <c r="F428" s="47">
        <v>1940.0</v>
      </c>
      <c r="G428" s="48">
        <v>0.0833333333333333</v>
      </c>
      <c r="H428" s="24" t="s">
        <v>6764</v>
      </c>
      <c r="I428" s="47"/>
      <c r="J428" s="24">
        <v>0.0</v>
      </c>
    </row>
    <row r="429">
      <c r="A429" s="24">
        <v>2.0</v>
      </c>
      <c r="B429" s="24">
        <v>0.0</v>
      </c>
      <c r="C429" s="47">
        <v>0.0</v>
      </c>
      <c r="D429" s="35">
        <v>44756.0</v>
      </c>
      <c r="E429" s="47"/>
      <c r="F429" s="47">
        <v>0.0</v>
      </c>
      <c r="G429" s="48">
        <v>0.0</v>
      </c>
      <c r="H429" s="24" t="s">
        <v>6764</v>
      </c>
      <c r="I429" s="47"/>
      <c r="J429" s="24">
        <v>0.0</v>
      </c>
    </row>
    <row r="430">
      <c r="A430" s="24">
        <v>24.0</v>
      </c>
      <c r="B430" s="24">
        <v>0.0</v>
      </c>
      <c r="C430" s="47">
        <v>0.0</v>
      </c>
      <c r="D430" s="35">
        <v>44708.0</v>
      </c>
      <c r="E430" s="47"/>
      <c r="F430" s="47">
        <v>0.0</v>
      </c>
      <c r="G430" s="48">
        <v>0.0</v>
      </c>
      <c r="H430" s="24" t="s">
        <v>6765</v>
      </c>
      <c r="I430" s="47"/>
      <c r="J430" s="24">
        <v>0.0</v>
      </c>
    </row>
    <row r="431">
      <c r="A431" s="24">
        <v>8.0</v>
      </c>
      <c r="B431" s="24">
        <v>0.0</v>
      </c>
      <c r="C431" s="47">
        <v>0.0</v>
      </c>
      <c r="D431" s="35">
        <v>44709.0</v>
      </c>
      <c r="E431" s="47"/>
      <c r="F431" s="47">
        <v>0.0</v>
      </c>
      <c r="G431" s="48">
        <v>0.0</v>
      </c>
      <c r="H431" s="24" t="s">
        <v>6765</v>
      </c>
      <c r="I431" s="47"/>
      <c r="J431" s="24">
        <v>0.0</v>
      </c>
    </row>
    <row r="432">
      <c r="A432" s="24">
        <v>9.0</v>
      </c>
      <c r="B432" s="24">
        <v>1.0</v>
      </c>
      <c r="C432" s="47">
        <v>4.98</v>
      </c>
      <c r="D432" s="35">
        <v>44710.0</v>
      </c>
      <c r="E432" s="47">
        <v>4.98</v>
      </c>
      <c r="F432" s="47">
        <v>553.333333333333</v>
      </c>
      <c r="G432" s="48">
        <v>0.111111111111111</v>
      </c>
      <c r="H432" s="24" t="s">
        <v>6765</v>
      </c>
      <c r="I432" s="47"/>
      <c r="J432" s="24">
        <v>0.0</v>
      </c>
    </row>
    <row r="433">
      <c r="A433" s="24">
        <v>10.0</v>
      </c>
      <c r="B433" s="24">
        <v>0.0</v>
      </c>
      <c r="C433" s="47">
        <v>0.0</v>
      </c>
      <c r="D433" s="35">
        <v>44711.0</v>
      </c>
      <c r="E433" s="47"/>
      <c r="F433" s="47">
        <v>0.0</v>
      </c>
      <c r="G433" s="48">
        <v>0.0</v>
      </c>
      <c r="H433" s="24" t="s">
        <v>6765</v>
      </c>
      <c r="I433" s="47"/>
      <c r="J433" s="24">
        <v>0.0</v>
      </c>
    </row>
    <row r="434">
      <c r="A434" s="24">
        <v>36.0</v>
      </c>
      <c r="B434" s="24">
        <v>1.0</v>
      </c>
      <c r="C434" s="47">
        <v>3.59</v>
      </c>
      <c r="D434" s="35">
        <v>44712.0</v>
      </c>
      <c r="E434" s="47">
        <v>3.59</v>
      </c>
      <c r="F434" s="47">
        <v>99.7222222222222</v>
      </c>
      <c r="G434" s="48">
        <v>0.0277777777777777</v>
      </c>
      <c r="H434" s="24" t="s">
        <v>6765</v>
      </c>
      <c r="I434" s="47"/>
      <c r="J434" s="24">
        <v>0.0</v>
      </c>
    </row>
    <row r="435">
      <c r="A435" s="24">
        <v>39.0</v>
      </c>
      <c r="B435" s="24">
        <v>0.0</v>
      </c>
      <c r="C435" s="47">
        <v>0.0</v>
      </c>
      <c r="D435" s="35">
        <v>44713.0</v>
      </c>
      <c r="E435" s="47"/>
      <c r="F435" s="47">
        <v>0.0</v>
      </c>
      <c r="G435" s="48">
        <v>0.0</v>
      </c>
      <c r="H435" s="24" t="s">
        <v>6765</v>
      </c>
      <c r="I435" s="47"/>
      <c r="J435" s="24">
        <v>0.0</v>
      </c>
    </row>
    <row r="436">
      <c r="A436" s="24">
        <v>33.0</v>
      </c>
      <c r="B436" s="24">
        <v>1.0</v>
      </c>
      <c r="C436" s="47">
        <v>4.86</v>
      </c>
      <c r="D436" s="35">
        <v>44714.0</v>
      </c>
      <c r="E436" s="47">
        <v>4.86</v>
      </c>
      <c r="F436" s="47">
        <v>147.272727272727</v>
      </c>
      <c r="G436" s="48">
        <v>0.0303030303030303</v>
      </c>
      <c r="H436" s="24" t="s">
        <v>6765</v>
      </c>
      <c r="I436" s="47"/>
      <c r="J436" s="24">
        <v>0.0</v>
      </c>
    </row>
    <row r="437">
      <c r="A437" s="24">
        <v>41.0</v>
      </c>
      <c r="B437" s="24">
        <v>2.0</v>
      </c>
      <c r="C437" s="47">
        <v>15.77</v>
      </c>
      <c r="D437" s="35">
        <v>44715.0</v>
      </c>
      <c r="E437" s="47">
        <v>7.885</v>
      </c>
      <c r="F437" s="47">
        <v>384.634146341463</v>
      </c>
      <c r="G437" s="48">
        <v>0.048780487804878</v>
      </c>
      <c r="H437" s="24" t="s">
        <v>6765</v>
      </c>
      <c r="I437" s="47"/>
      <c r="J437" s="24">
        <v>0.0</v>
      </c>
    </row>
    <row r="438">
      <c r="A438" s="24">
        <v>10.0</v>
      </c>
      <c r="B438" s="24">
        <v>2.0</v>
      </c>
      <c r="C438" s="47">
        <v>15.99</v>
      </c>
      <c r="D438" s="35">
        <v>44716.0</v>
      </c>
      <c r="E438" s="47">
        <v>7.995</v>
      </c>
      <c r="F438" s="47">
        <v>1599.0</v>
      </c>
      <c r="G438" s="48">
        <v>0.2</v>
      </c>
      <c r="H438" s="24" t="s">
        <v>6765</v>
      </c>
      <c r="I438" s="47"/>
      <c r="J438" s="24">
        <v>0.0</v>
      </c>
    </row>
    <row r="439">
      <c r="A439" s="24">
        <v>11.0</v>
      </c>
      <c r="B439" s="24">
        <v>0.0</v>
      </c>
      <c r="C439" s="47">
        <v>0.0</v>
      </c>
      <c r="D439" s="35">
        <v>44717.0</v>
      </c>
      <c r="E439" s="47"/>
      <c r="F439" s="47">
        <v>0.0</v>
      </c>
      <c r="G439" s="48">
        <v>0.0</v>
      </c>
      <c r="H439" s="24" t="s">
        <v>6765</v>
      </c>
      <c r="I439" s="47"/>
      <c r="J439" s="24">
        <v>0.0</v>
      </c>
    </row>
    <row r="440">
      <c r="A440" s="24">
        <v>50.0</v>
      </c>
      <c r="B440" s="24">
        <v>1.0</v>
      </c>
      <c r="C440" s="47">
        <v>7.83</v>
      </c>
      <c r="D440" s="35">
        <v>44718.0</v>
      </c>
      <c r="E440" s="47">
        <v>7.83</v>
      </c>
      <c r="F440" s="47">
        <v>156.6</v>
      </c>
      <c r="G440" s="48">
        <v>0.02</v>
      </c>
      <c r="H440" s="24" t="s">
        <v>6765</v>
      </c>
      <c r="I440" s="47"/>
      <c r="J440" s="24">
        <v>0.0</v>
      </c>
    </row>
    <row r="441">
      <c r="A441" s="24">
        <v>53.0</v>
      </c>
      <c r="B441" s="24">
        <v>0.0</v>
      </c>
      <c r="C441" s="47">
        <v>0.0</v>
      </c>
      <c r="D441" s="35">
        <v>44719.0</v>
      </c>
      <c r="E441" s="47"/>
      <c r="F441" s="47">
        <v>0.0</v>
      </c>
      <c r="G441" s="48">
        <v>0.0</v>
      </c>
      <c r="H441" s="24" t="s">
        <v>6765</v>
      </c>
      <c r="I441" s="47"/>
      <c r="J441" s="24">
        <v>0.0</v>
      </c>
    </row>
    <row r="442">
      <c r="A442" s="24">
        <v>53.0</v>
      </c>
      <c r="B442" s="24">
        <v>3.0</v>
      </c>
      <c r="C442" s="47">
        <v>23.15</v>
      </c>
      <c r="D442" s="35">
        <v>44720.0</v>
      </c>
      <c r="E442" s="47">
        <v>7.71666666666666</v>
      </c>
      <c r="F442" s="47">
        <v>436.792452830188</v>
      </c>
      <c r="G442" s="48">
        <v>0.0566037735849056</v>
      </c>
      <c r="H442" s="24" t="s">
        <v>6765</v>
      </c>
      <c r="I442" s="47"/>
      <c r="J442" s="24">
        <v>0.0</v>
      </c>
    </row>
    <row r="443">
      <c r="A443" s="24">
        <v>79.0</v>
      </c>
      <c r="B443" s="24">
        <v>2.0</v>
      </c>
      <c r="C443" s="47">
        <v>14.97</v>
      </c>
      <c r="D443" s="35">
        <v>44721.0</v>
      </c>
      <c r="E443" s="47">
        <v>7.485</v>
      </c>
      <c r="F443" s="47">
        <v>189.493670886075</v>
      </c>
      <c r="G443" s="48">
        <v>0.0253164556962025</v>
      </c>
      <c r="H443" s="24" t="s">
        <v>6765</v>
      </c>
      <c r="I443" s="47"/>
      <c r="J443" s="24">
        <v>0.0</v>
      </c>
    </row>
    <row r="444">
      <c r="A444" s="24">
        <v>31.0</v>
      </c>
      <c r="B444" s="24">
        <v>1.0</v>
      </c>
      <c r="C444" s="47">
        <v>7.46</v>
      </c>
      <c r="D444" s="35">
        <v>44722.0</v>
      </c>
      <c r="E444" s="47">
        <v>7.46</v>
      </c>
      <c r="F444" s="47">
        <v>240.645161290322</v>
      </c>
      <c r="G444" s="48">
        <v>0.032258064516129</v>
      </c>
      <c r="H444" s="24" t="s">
        <v>6765</v>
      </c>
      <c r="I444" s="47"/>
      <c r="J444" s="24">
        <v>0.0</v>
      </c>
    </row>
    <row r="445">
      <c r="A445" s="24">
        <v>21.0</v>
      </c>
      <c r="B445" s="24">
        <v>1.0</v>
      </c>
      <c r="C445" s="47">
        <v>7.83</v>
      </c>
      <c r="D445" s="35">
        <v>44723.0</v>
      </c>
      <c r="E445" s="47">
        <v>7.83</v>
      </c>
      <c r="F445" s="47">
        <v>372.857142857142</v>
      </c>
      <c r="G445" s="48">
        <v>0.0476190476190476</v>
      </c>
      <c r="H445" s="24" t="s">
        <v>6765</v>
      </c>
      <c r="I445" s="47"/>
      <c r="J445" s="24">
        <v>0.0</v>
      </c>
    </row>
    <row r="446">
      <c r="A446" s="24">
        <v>19.0</v>
      </c>
      <c r="B446" s="24">
        <v>0.0</v>
      </c>
      <c r="C446" s="47">
        <v>0.0</v>
      </c>
      <c r="D446" s="35">
        <v>44724.0</v>
      </c>
      <c r="E446" s="47"/>
      <c r="F446" s="47">
        <v>0.0</v>
      </c>
      <c r="G446" s="48">
        <v>0.0</v>
      </c>
      <c r="H446" s="24" t="s">
        <v>6765</v>
      </c>
      <c r="I446" s="47"/>
      <c r="J446" s="24">
        <v>0.0</v>
      </c>
    </row>
    <row r="447">
      <c r="A447" s="24">
        <v>69.0</v>
      </c>
      <c r="B447" s="24">
        <v>4.0</v>
      </c>
      <c r="C447" s="47">
        <v>45.18</v>
      </c>
      <c r="D447" s="35">
        <v>44725.0</v>
      </c>
      <c r="E447" s="47">
        <v>11.295</v>
      </c>
      <c r="F447" s="47">
        <v>654.782608695652</v>
      </c>
      <c r="G447" s="48">
        <v>0.0579710144927536</v>
      </c>
      <c r="H447" s="24" t="s">
        <v>6765</v>
      </c>
      <c r="I447" s="47"/>
      <c r="J447" s="24">
        <v>0.0</v>
      </c>
    </row>
    <row r="448">
      <c r="A448" s="24">
        <v>69.0</v>
      </c>
      <c r="B448" s="24">
        <v>5.0</v>
      </c>
      <c r="C448" s="47">
        <v>75.83</v>
      </c>
      <c r="D448" s="35">
        <v>44726.0</v>
      </c>
      <c r="E448" s="47">
        <v>15.166</v>
      </c>
      <c r="F448" s="47">
        <v>1098.98550724637</v>
      </c>
      <c r="G448" s="48">
        <v>0.072463768115942</v>
      </c>
      <c r="H448" s="24" t="s">
        <v>6765</v>
      </c>
      <c r="I448" s="47"/>
      <c r="J448" s="24">
        <v>0.0</v>
      </c>
    </row>
    <row r="449">
      <c r="A449" s="24">
        <v>67.0</v>
      </c>
      <c r="B449" s="24">
        <v>3.0</v>
      </c>
      <c r="C449" s="47">
        <v>48.31</v>
      </c>
      <c r="D449" s="35">
        <v>44727.0</v>
      </c>
      <c r="E449" s="47">
        <v>16.1033333333333</v>
      </c>
      <c r="F449" s="47">
        <v>721.044776119403</v>
      </c>
      <c r="G449" s="48">
        <v>0.044776119402985</v>
      </c>
      <c r="H449" s="24" t="s">
        <v>6765</v>
      </c>
      <c r="I449" s="47"/>
      <c r="J449" s="24">
        <v>0.0</v>
      </c>
    </row>
    <row r="450">
      <c r="A450" s="24">
        <v>53.0</v>
      </c>
      <c r="B450" s="24">
        <v>2.0</v>
      </c>
      <c r="C450" s="47">
        <v>14.55</v>
      </c>
      <c r="D450" s="35">
        <v>44728.0</v>
      </c>
      <c r="E450" s="47">
        <v>7.275</v>
      </c>
      <c r="F450" s="47">
        <v>274.528301886792</v>
      </c>
      <c r="G450" s="48">
        <v>0.0377358490566037</v>
      </c>
      <c r="H450" s="24" t="s">
        <v>6765</v>
      </c>
      <c r="I450" s="47"/>
      <c r="J450" s="24">
        <v>0.0</v>
      </c>
    </row>
    <row r="451">
      <c r="A451" s="24">
        <v>66.0</v>
      </c>
      <c r="B451" s="24">
        <v>4.0</v>
      </c>
      <c r="C451" s="47">
        <v>83.06</v>
      </c>
      <c r="D451" s="35">
        <v>44729.0</v>
      </c>
      <c r="E451" s="47">
        <v>20.765</v>
      </c>
      <c r="F451" s="47">
        <v>1258.48484848484</v>
      </c>
      <c r="G451" s="48">
        <v>0.0606060606060606</v>
      </c>
      <c r="H451" s="24" t="s">
        <v>6765</v>
      </c>
      <c r="I451" s="47"/>
      <c r="J451" s="24">
        <v>0.0</v>
      </c>
    </row>
    <row r="452">
      <c r="A452" s="24">
        <v>12.0</v>
      </c>
      <c r="B452" s="24">
        <v>0.0</v>
      </c>
      <c r="C452" s="47">
        <v>0.0</v>
      </c>
      <c r="D452" s="35">
        <v>44730.0</v>
      </c>
      <c r="E452" s="47"/>
      <c r="F452" s="47">
        <v>0.0</v>
      </c>
      <c r="G452" s="48">
        <v>0.0</v>
      </c>
      <c r="H452" s="24" t="s">
        <v>6765</v>
      </c>
      <c r="I452" s="47"/>
      <c r="J452" s="24">
        <v>0.0</v>
      </c>
    </row>
    <row r="453">
      <c r="A453" s="24">
        <v>18.0</v>
      </c>
      <c r="B453" s="24">
        <v>2.0</v>
      </c>
      <c r="C453" s="47">
        <v>70.76</v>
      </c>
      <c r="D453" s="35">
        <v>44731.0</v>
      </c>
      <c r="E453" s="47">
        <v>35.38</v>
      </c>
      <c r="F453" s="47">
        <v>3931.11111111111</v>
      </c>
      <c r="G453" s="48">
        <v>0.111111111111111</v>
      </c>
      <c r="H453" s="24" t="s">
        <v>6765</v>
      </c>
      <c r="I453" s="47"/>
      <c r="J453" s="24">
        <v>0.0</v>
      </c>
    </row>
    <row r="454">
      <c r="A454" s="24">
        <v>39.0</v>
      </c>
      <c r="B454" s="24">
        <v>2.0</v>
      </c>
      <c r="C454" s="47">
        <v>59.79</v>
      </c>
      <c r="D454" s="35">
        <v>44732.0</v>
      </c>
      <c r="E454" s="47">
        <v>29.895</v>
      </c>
      <c r="F454" s="47">
        <v>1533.07692307692</v>
      </c>
      <c r="G454" s="48">
        <v>0.0512820512820512</v>
      </c>
      <c r="H454" s="24" t="s">
        <v>6765</v>
      </c>
      <c r="I454" s="47"/>
      <c r="J454" s="24">
        <v>0.0</v>
      </c>
    </row>
    <row r="455">
      <c r="A455" s="24">
        <v>57.0</v>
      </c>
      <c r="B455" s="24">
        <v>4.0</v>
      </c>
      <c r="C455" s="47">
        <v>135.51</v>
      </c>
      <c r="D455" s="35">
        <v>44733.0</v>
      </c>
      <c r="E455" s="47">
        <v>33.8775</v>
      </c>
      <c r="F455" s="47">
        <v>2377.36842105263</v>
      </c>
      <c r="G455" s="48">
        <v>0.0701754385964912</v>
      </c>
      <c r="H455" s="24" t="s">
        <v>6765</v>
      </c>
      <c r="I455" s="47"/>
      <c r="J455" s="24">
        <v>0.0</v>
      </c>
    </row>
    <row r="456">
      <c r="A456" s="24">
        <v>74.0</v>
      </c>
      <c r="B456" s="24">
        <v>3.0</v>
      </c>
      <c r="C456" s="47">
        <v>93.1</v>
      </c>
      <c r="D456" s="35">
        <v>44734.0</v>
      </c>
      <c r="E456" s="47">
        <v>31.0333333333333</v>
      </c>
      <c r="F456" s="47">
        <v>1258.1081081081</v>
      </c>
      <c r="G456" s="48">
        <v>0.0405405405405405</v>
      </c>
      <c r="H456" s="24" t="s">
        <v>6765</v>
      </c>
      <c r="I456" s="47"/>
      <c r="J456" s="24">
        <v>0.0</v>
      </c>
    </row>
    <row r="457">
      <c r="A457" s="24">
        <v>72.0</v>
      </c>
      <c r="B457" s="24">
        <v>3.0</v>
      </c>
      <c r="C457" s="47">
        <v>108.31</v>
      </c>
      <c r="D457" s="35">
        <v>44735.0</v>
      </c>
      <c r="E457" s="47">
        <v>36.1033333333333</v>
      </c>
      <c r="F457" s="47">
        <v>1504.30555555555</v>
      </c>
      <c r="G457" s="48">
        <v>0.0416666666666666</v>
      </c>
      <c r="H457" s="24" t="s">
        <v>6765</v>
      </c>
      <c r="I457" s="47"/>
      <c r="J457" s="24">
        <v>0.0</v>
      </c>
    </row>
    <row r="458">
      <c r="A458" s="24">
        <v>49.0</v>
      </c>
      <c r="B458" s="24">
        <v>3.0</v>
      </c>
      <c r="C458" s="47">
        <v>107.22</v>
      </c>
      <c r="D458" s="35">
        <v>44736.0</v>
      </c>
      <c r="E458" s="47">
        <v>35.74</v>
      </c>
      <c r="F458" s="47">
        <v>2188.16326530612</v>
      </c>
      <c r="G458" s="48">
        <v>0.0612244897959183</v>
      </c>
      <c r="H458" s="24" t="s">
        <v>6765</v>
      </c>
      <c r="I458" s="47"/>
      <c r="J458" s="24">
        <v>0.0</v>
      </c>
    </row>
    <row r="459">
      <c r="A459" s="24">
        <v>25.0</v>
      </c>
      <c r="B459" s="24">
        <v>1.0</v>
      </c>
      <c r="C459" s="47">
        <v>14.02</v>
      </c>
      <c r="D459" s="35">
        <v>44737.0</v>
      </c>
      <c r="E459" s="47">
        <v>14.02</v>
      </c>
      <c r="F459" s="47">
        <v>560.8</v>
      </c>
      <c r="G459" s="48">
        <v>0.04</v>
      </c>
      <c r="H459" s="24" t="s">
        <v>6765</v>
      </c>
      <c r="I459" s="47"/>
      <c r="J459" s="24">
        <v>0.0</v>
      </c>
    </row>
    <row r="460">
      <c r="A460" s="24">
        <v>28.0</v>
      </c>
      <c r="B460" s="24">
        <v>0.0</v>
      </c>
      <c r="C460" s="47">
        <v>0.0</v>
      </c>
      <c r="D460" s="35">
        <v>44738.0</v>
      </c>
      <c r="E460" s="47"/>
      <c r="F460" s="47">
        <v>0.0</v>
      </c>
      <c r="G460" s="48">
        <v>0.0</v>
      </c>
      <c r="H460" s="24" t="s">
        <v>6765</v>
      </c>
      <c r="I460" s="47"/>
      <c r="J460" s="24">
        <v>0.0</v>
      </c>
    </row>
    <row r="461">
      <c r="A461" s="24">
        <v>72.0</v>
      </c>
      <c r="B461" s="24">
        <v>2.0</v>
      </c>
      <c r="C461" s="47">
        <v>42.01</v>
      </c>
      <c r="D461" s="35">
        <v>44739.0</v>
      </c>
      <c r="E461" s="47">
        <v>21.005</v>
      </c>
      <c r="F461" s="47">
        <v>583.472222222222</v>
      </c>
      <c r="G461" s="48">
        <v>0.0277777777777777</v>
      </c>
      <c r="H461" s="24" t="s">
        <v>6765</v>
      </c>
      <c r="I461" s="47"/>
      <c r="J461" s="24">
        <v>0.0</v>
      </c>
    </row>
    <row r="462">
      <c r="A462" s="24">
        <v>86.0</v>
      </c>
      <c r="B462" s="24">
        <v>2.0</v>
      </c>
      <c r="C462" s="47">
        <v>48.5</v>
      </c>
      <c r="D462" s="35">
        <v>44740.0</v>
      </c>
      <c r="E462" s="47">
        <v>24.25</v>
      </c>
      <c r="F462" s="47">
        <v>563.953488372093</v>
      </c>
      <c r="G462" s="48">
        <v>0.0232558139534883</v>
      </c>
      <c r="H462" s="24" t="s">
        <v>6765</v>
      </c>
      <c r="I462" s="47"/>
      <c r="J462" s="24">
        <v>0.0</v>
      </c>
    </row>
    <row r="463">
      <c r="A463" s="24">
        <v>107.0</v>
      </c>
      <c r="B463" s="24">
        <v>2.0</v>
      </c>
      <c r="C463" s="47">
        <v>39.97</v>
      </c>
      <c r="D463" s="35">
        <v>44741.0</v>
      </c>
      <c r="E463" s="47">
        <v>19.985</v>
      </c>
      <c r="F463" s="47">
        <v>373.551401869158</v>
      </c>
      <c r="G463" s="48">
        <v>0.0186915887850467</v>
      </c>
      <c r="H463" s="24" t="s">
        <v>6765</v>
      </c>
      <c r="I463" s="47"/>
      <c r="J463" s="24">
        <v>0.0</v>
      </c>
    </row>
    <row r="464">
      <c r="A464" s="24">
        <v>65.0</v>
      </c>
      <c r="B464" s="24">
        <v>5.0</v>
      </c>
      <c r="C464" s="47">
        <v>160.36</v>
      </c>
      <c r="D464" s="35">
        <v>44742.0</v>
      </c>
      <c r="E464" s="47">
        <v>32.072</v>
      </c>
      <c r="F464" s="47">
        <v>2467.07692307692</v>
      </c>
      <c r="G464" s="48">
        <v>0.0769230769230769</v>
      </c>
      <c r="H464" s="24" t="s">
        <v>6765</v>
      </c>
      <c r="I464" s="47"/>
      <c r="J464" s="24">
        <v>0.0</v>
      </c>
    </row>
    <row r="465">
      <c r="A465" s="24">
        <v>32.0</v>
      </c>
      <c r="B465" s="24">
        <v>2.0</v>
      </c>
      <c r="C465" s="47">
        <v>20.94</v>
      </c>
      <c r="D465" s="35">
        <v>44743.0</v>
      </c>
      <c r="E465" s="47">
        <v>10.47</v>
      </c>
      <c r="F465" s="47">
        <v>654.375</v>
      </c>
      <c r="G465" s="48">
        <v>0.0625</v>
      </c>
      <c r="H465" s="24" t="s">
        <v>6765</v>
      </c>
      <c r="I465" s="47"/>
      <c r="J465" s="24">
        <v>0.0</v>
      </c>
    </row>
    <row r="466">
      <c r="A466" s="24">
        <v>29.0</v>
      </c>
      <c r="B466" s="24">
        <v>3.0</v>
      </c>
      <c r="C466" s="47">
        <v>46.18</v>
      </c>
      <c r="D466" s="35">
        <v>44744.0</v>
      </c>
      <c r="E466" s="47">
        <v>15.3933333333333</v>
      </c>
      <c r="F466" s="47">
        <v>1592.41379310344</v>
      </c>
      <c r="G466" s="48">
        <v>0.103448275862068</v>
      </c>
      <c r="H466" s="24" t="s">
        <v>6765</v>
      </c>
      <c r="I466" s="47"/>
      <c r="J466" s="24">
        <v>0.0</v>
      </c>
    </row>
    <row r="467">
      <c r="A467" s="24">
        <v>20.0</v>
      </c>
      <c r="B467" s="24">
        <v>1.0</v>
      </c>
      <c r="C467" s="47">
        <v>35.76</v>
      </c>
      <c r="D467" s="35">
        <v>44745.0</v>
      </c>
      <c r="E467" s="47">
        <v>35.76</v>
      </c>
      <c r="F467" s="47">
        <v>1788.0</v>
      </c>
      <c r="G467" s="48">
        <v>0.05</v>
      </c>
      <c r="H467" s="24" t="s">
        <v>6765</v>
      </c>
      <c r="I467" s="47"/>
      <c r="J467" s="24">
        <v>0.0</v>
      </c>
    </row>
    <row r="468">
      <c r="A468" s="24">
        <v>19.0</v>
      </c>
      <c r="B468" s="24">
        <v>3.0</v>
      </c>
      <c r="C468" s="47">
        <v>78.56</v>
      </c>
      <c r="D468" s="35">
        <v>44746.0</v>
      </c>
      <c r="E468" s="47">
        <v>26.1866666666666</v>
      </c>
      <c r="F468" s="47">
        <v>4134.73684210526</v>
      </c>
      <c r="G468" s="48">
        <v>0.157894736842105</v>
      </c>
      <c r="H468" s="24" t="s">
        <v>6765</v>
      </c>
      <c r="I468" s="47"/>
      <c r="J468" s="24">
        <v>0.0</v>
      </c>
    </row>
    <row r="469">
      <c r="A469" s="24">
        <v>60.0</v>
      </c>
      <c r="B469" s="24">
        <v>2.0</v>
      </c>
      <c r="C469" s="47">
        <v>48.49</v>
      </c>
      <c r="D469" s="35">
        <v>44747.0</v>
      </c>
      <c r="E469" s="47">
        <v>24.245</v>
      </c>
      <c r="F469" s="47">
        <v>808.166666666666</v>
      </c>
      <c r="G469" s="48">
        <v>0.0333333333333333</v>
      </c>
      <c r="H469" s="24" t="s">
        <v>6765</v>
      </c>
      <c r="I469" s="47"/>
      <c r="J469" s="24">
        <v>0.0</v>
      </c>
    </row>
    <row r="470">
      <c r="A470" s="24">
        <v>95.0</v>
      </c>
      <c r="B470" s="24">
        <v>1.0</v>
      </c>
      <c r="C470" s="47">
        <v>37.97</v>
      </c>
      <c r="D470" s="35">
        <v>44748.0</v>
      </c>
      <c r="E470" s="47">
        <v>37.97</v>
      </c>
      <c r="F470" s="47">
        <v>399.684210526315</v>
      </c>
      <c r="G470" s="48">
        <v>0.0105263157894736</v>
      </c>
      <c r="H470" s="24" t="s">
        <v>6765</v>
      </c>
      <c r="I470" s="47"/>
      <c r="J470" s="24">
        <v>0.0</v>
      </c>
    </row>
    <row r="471">
      <c r="A471" s="24">
        <v>66.0</v>
      </c>
      <c r="B471" s="24">
        <v>3.0</v>
      </c>
      <c r="C471" s="47">
        <v>95.65</v>
      </c>
      <c r="D471" s="35">
        <v>44749.0</v>
      </c>
      <c r="E471" s="47">
        <v>31.8833333333333</v>
      </c>
      <c r="F471" s="47">
        <v>1449.24242424242</v>
      </c>
      <c r="G471" s="48">
        <v>0.0454545454545454</v>
      </c>
      <c r="H471" s="24" t="s">
        <v>6765</v>
      </c>
      <c r="I471" s="47"/>
      <c r="J471" s="24">
        <v>0.0</v>
      </c>
    </row>
    <row r="472">
      <c r="A472" s="24">
        <v>45.0</v>
      </c>
      <c r="B472" s="24">
        <v>1.0</v>
      </c>
      <c r="C472" s="47">
        <v>30.82</v>
      </c>
      <c r="D472" s="35">
        <v>44750.0</v>
      </c>
      <c r="E472" s="47">
        <v>30.82</v>
      </c>
      <c r="F472" s="47">
        <v>684.888888888888</v>
      </c>
      <c r="G472" s="48">
        <v>0.0222222222222222</v>
      </c>
      <c r="H472" s="24" t="s">
        <v>6765</v>
      </c>
      <c r="I472" s="47"/>
      <c r="J472" s="24">
        <v>0.0</v>
      </c>
    </row>
    <row r="473">
      <c r="A473" s="24">
        <v>16.0</v>
      </c>
      <c r="B473" s="24">
        <v>0.0</v>
      </c>
      <c r="C473" s="47">
        <v>0.0</v>
      </c>
      <c r="D473" s="35">
        <v>44751.0</v>
      </c>
      <c r="E473" s="47"/>
      <c r="F473" s="47">
        <v>0.0</v>
      </c>
      <c r="G473" s="48">
        <v>0.0</v>
      </c>
      <c r="H473" s="24" t="s">
        <v>6765</v>
      </c>
      <c r="I473" s="47"/>
      <c r="J473" s="24">
        <v>0.0</v>
      </c>
    </row>
    <row r="474">
      <c r="A474" s="24">
        <v>28.0</v>
      </c>
      <c r="B474" s="24">
        <v>0.0</v>
      </c>
      <c r="C474" s="47">
        <v>0.0</v>
      </c>
      <c r="D474" s="35">
        <v>44752.0</v>
      </c>
      <c r="E474" s="47"/>
      <c r="F474" s="47">
        <v>0.0</v>
      </c>
      <c r="G474" s="48">
        <v>0.0</v>
      </c>
      <c r="H474" s="24" t="s">
        <v>6765</v>
      </c>
      <c r="I474" s="47"/>
      <c r="J474" s="24">
        <v>0.0</v>
      </c>
    </row>
    <row r="475">
      <c r="A475" s="24">
        <v>77.0</v>
      </c>
      <c r="B475" s="24">
        <v>1.0</v>
      </c>
      <c r="C475" s="47">
        <v>28.02</v>
      </c>
      <c r="D475" s="35">
        <v>44753.0</v>
      </c>
      <c r="E475" s="47">
        <v>28.02</v>
      </c>
      <c r="F475" s="47">
        <v>363.896103896103</v>
      </c>
      <c r="G475" s="48">
        <v>0.0129870129870129</v>
      </c>
      <c r="H475" s="24" t="s">
        <v>6765</v>
      </c>
      <c r="I475" s="47"/>
      <c r="J475" s="24">
        <v>0.0</v>
      </c>
    </row>
    <row r="476">
      <c r="A476" s="24">
        <v>65.0</v>
      </c>
      <c r="B476" s="24">
        <v>1.0</v>
      </c>
      <c r="C476" s="47">
        <v>35.21</v>
      </c>
      <c r="D476" s="35">
        <v>44754.0</v>
      </c>
      <c r="E476" s="47">
        <v>35.21</v>
      </c>
      <c r="F476" s="47">
        <v>541.692307692307</v>
      </c>
      <c r="G476" s="48">
        <v>0.0153846153846153</v>
      </c>
      <c r="H476" s="24" t="s">
        <v>6765</v>
      </c>
      <c r="I476" s="47"/>
      <c r="J476" s="24">
        <v>0.0</v>
      </c>
    </row>
    <row r="477">
      <c r="A477" s="24">
        <v>112.0</v>
      </c>
      <c r="B477" s="24">
        <v>5.0</v>
      </c>
      <c r="C477" s="47">
        <v>151.11</v>
      </c>
      <c r="D477" s="35">
        <v>44755.0</v>
      </c>
      <c r="E477" s="47">
        <v>30.222</v>
      </c>
      <c r="F477" s="47">
        <v>1349.19642857142</v>
      </c>
      <c r="G477" s="48">
        <v>0.0446428571428571</v>
      </c>
      <c r="H477" s="24" t="s">
        <v>6765</v>
      </c>
      <c r="I477" s="47"/>
      <c r="J477" s="24">
        <v>0.0</v>
      </c>
    </row>
    <row r="478">
      <c r="A478" s="24">
        <v>123.0</v>
      </c>
      <c r="B478" s="24">
        <v>5.0</v>
      </c>
      <c r="C478" s="47">
        <v>157.47</v>
      </c>
      <c r="D478" s="35">
        <v>44756.0</v>
      </c>
      <c r="E478" s="47">
        <v>31.494</v>
      </c>
      <c r="F478" s="47">
        <v>1280.24390243902</v>
      </c>
      <c r="G478" s="48">
        <v>0.040650406504065</v>
      </c>
      <c r="H478" s="24" t="s">
        <v>6765</v>
      </c>
      <c r="I478" s="47"/>
      <c r="J478" s="24">
        <v>0.0</v>
      </c>
    </row>
    <row r="479">
      <c r="A479" s="24">
        <v>94.0</v>
      </c>
      <c r="B479" s="24">
        <v>3.0</v>
      </c>
      <c r="C479" s="47">
        <v>110.52</v>
      </c>
      <c r="D479" s="35">
        <v>44757.0</v>
      </c>
      <c r="E479" s="47">
        <v>36.84</v>
      </c>
      <c r="F479" s="47">
        <v>1175.74468085106</v>
      </c>
      <c r="G479" s="48">
        <v>0.0319148936170212</v>
      </c>
      <c r="H479" s="24" t="s">
        <v>6765</v>
      </c>
      <c r="I479" s="47"/>
      <c r="J479" s="24">
        <v>0.0</v>
      </c>
    </row>
    <row r="480">
      <c r="A480" s="24">
        <v>25.0</v>
      </c>
      <c r="B480" s="24">
        <v>3.0</v>
      </c>
      <c r="C480" s="47">
        <v>40.79</v>
      </c>
      <c r="D480" s="35">
        <v>44758.0</v>
      </c>
      <c r="E480" s="47">
        <v>13.5966666666666</v>
      </c>
      <c r="F480" s="47">
        <v>1631.6</v>
      </c>
      <c r="G480" s="48">
        <v>0.12</v>
      </c>
      <c r="H480" s="24" t="s">
        <v>6765</v>
      </c>
      <c r="I480" s="47"/>
      <c r="J480" s="24">
        <v>0.0</v>
      </c>
    </row>
    <row r="481">
      <c r="A481" s="24">
        <v>32.0</v>
      </c>
      <c r="B481" s="24">
        <v>0.0</v>
      </c>
      <c r="C481" s="47">
        <v>0.0</v>
      </c>
      <c r="D481" s="35">
        <v>44759.0</v>
      </c>
      <c r="E481" s="47"/>
      <c r="F481" s="47">
        <v>0.0</v>
      </c>
      <c r="G481" s="48">
        <v>0.0</v>
      </c>
      <c r="H481" s="24" t="s">
        <v>6765</v>
      </c>
      <c r="I481" s="47"/>
      <c r="J481" s="24">
        <v>0.0</v>
      </c>
    </row>
    <row r="482">
      <c r="A482" s="24">
        <v>133.0</v>
      </c>
      <c r="B482" s="24">
        <v>2.0</v>
      </c>
      <c r="C482" s="47">
        <v>41.9</v>
      </c>
      <c r="D482" s="35">
        <v>44760.0</v>
      </c>
      <c r="E482" s="47">
        <v>20.95</v>
      </c>
      <c r="F482" s="47">
        <v>315.037593984962</v>
      </c>
      <c r="G482" s="48">
        <v>0.0150375939849624</v>
      </c>
      <c r="H482" s="24" t="s">
        <v>6765</v>
      </c>
      <c r="I482" s="47"/>
      <c r="J482" s="24">
        <v>0.0</v>
      </c>
    </row>
    <row r="483">
      <c r="A483" s="24">
        <v>144.0</v>
      </c>
      <c r="B483" s="24">
        <v>2.0</v>
      </c>
      <c r="C483" s="47">
        <v>53.68</v>
      </c>
      <c r="D483" s="35">
        <v>44761.0</v>
      </c>
      <c r="E483" s="47">
        <v>26.84</v>
      </c>
      <c r="F483" s="47">
        <v>372.777777777777</v>
      </c>
      <c r="G483" s="48">
        <v>0.0138888888888888</v>
      </c>
      <c r="H483" s="24" t="s">
        <v>6765</v>
      </c>
      <c r="I483" s="47"/>
      <c r="J483" s="24">
        <v>0.0</v>
      </c>
    </row>
    <row r="484">
      <c r="A484" s="24">
        <v>137.0</v>
      </c>
      <c r="B484" s="24">
        <v>8.0</v>
      </c>
      <c r="C484" s="47">
        <v>233.53</v>
      </c>
      <c r="D484" s="35">
        <v>44762.0</v>
      </c>
      <c r="E484" s="47">
        <v>29.19125</v>
      </c>
      <c r="F484" s="47">
        <v>1704.59854014598</v>
      </c>
      <c r="G484" s="48">
        <v>0.0583941605839416</v>
      </c>
      <c r="H484" s="24" t="s">
        <v>6765</v>
      </c>
      <c r="I484" s="47"/>
      <c r="J484" s="24">
        <v>0.0</v>
      </c>
    </row>
    <row r="485">
      <c r="A485" s="24">
        <v>130.0</v>
      </c>
      <c r="B485" s="24">
        <v>8.0</v>
      </c>
      <c r="C485" s="47">
        <v>228.35</v>
      </c>
      <c r="D485" s="35">
        <v>44763.0</v>
      </c>
      <c r="E485" s="47">
        <v>28.54375</v>
      </c>
      <c r="F485" s="47">
        <v>1756.53846153846</v>
      </c>
      <c r="G485" s="48">
        <v>0.0615384615384615</v>
      </c>
      <c r="H485" s="24" t="s">
        <v>6765</v>
      </c>
      <c r="I485" s="47"/>
      <c r="J485" s="24">
        <v>0.0</v>
      </c>
    </row>
    <row r="486">
      <c r="A486" s="24">
        <v>82.0</v>
      </c>
      <c r="B486" s="24">
        <v>4.0</v>
      </c>
      <c r="C486" s="47">
        <v>117.64</v>
      </c>
      <c r="D486" s="35">
        <v>44764.0</v>
      </c>
      <c r="E486" s="47">
        <v>29.41</v>
      </c>
      <c r="F486" s="47">
        <v>1434.63414634146</v>
      </c>
      <c r="G486" s="48">
        <v>0.048780487804878</v>
      </c>
      <c r="H486" s="24" t="s">
        <v>6765</v>
      </c>
      <c r="I486" s="47"/>
      <c r="J486" s="24">
        <v>0.0</v>
      </c>
    </row>
    <row r="487">
      <c r="A487" s="24">
        <v>25.0</v>
      </c>
      <c r="B487" s="24">
        <v>3.0</v>
      </c>
      <c r="C487" s="47">
        <v>47.52</v>
      </c>
      <c r="D487" s="35">
        <v>44765.0</v>
      </c>
      <c r="E487" s="47">
        <v>15.84</v>
      </c>
      <c r="F487" s="47">
        <v>1900.8</v>
      </c>
      <c r="G487" s="48">
        <v>0.12</v>
      </c>
      <c r="H487" s="24" t="s">
        <v>6765</v>
      </c>
      <c r="I487" s="47"/>
      <c r="J487" s="24">
        <v>0.0</v>
      </c>
    </row>
    <row r="488">
      <c r="A488" s="24">
        <v>32.0</v>
      </c>
      <c r="B488" s="24">
        <v>1.0</v>
      </c>
      <c r="C488" s="47">
        <v>0.72</v>
      </c>
      <c r="D488" s="35">
        <v>44766.0</v>
      </c>
      <c r="E488" s="47">
        <v>0.72</v>
      </c>
      <c r="F488" s="47">
        <v>22.5</v>
      </c>
      <c r="G488" s="48">
        <v>0.03125</v>
      </c>
      <c r="H488" s="24" t="s">
        <v>6765</v>
      </c>
      <c r="I488" s="47"/>
      <c r="J488" s="24">
        <v>0.0</v>
      </c>
    </row>
    <row r="489">
      <c r="A489" s="24">
        <v>122.0</v>
      </c>
      <c r="B489" s="24">
        <v>2.0</v>
      </c>
      <c r="C489" s="47">
        <v>31.62</v>
      </c>
      <c r="D489" s="35">
        <v>44767.0</v>
      </c>
      <c r="E489" s="47">
        <v>15.81</v>
      </c>
      <c r="F489" s="47">
        <v>259.180327868852</v>
      </c>
      <c r="G489" s="48">
        <v>0.0163934426229508</v>
      </c>
      <c r="H489" s="24" t="s">
        <v>6765</v>
      </c>
      <c r="I489" s="47"/>
      <c r="J489" s="24">
        <v>0.0</v>
      </c>
    </row>
    <row r="490">
      <c r="A490" s="24">
        <v>133.0</v>
      </c>
      <c r="B490" s="24">
        <v>8.0</v>
      </c>
      <c r="C490" s="47">
        <v>291.96</v>
      </c>
      <c r="D490" s="35">
        <v>44768.0</v>
      </c>
      <c r="E490" s="47">
        <v>36.495</v>
      </c>
      <c r="F490" s="47">
        <v>2195.18796992481</v>
      </c>
      <c r="G490" s="48">
        <v>0.0601503759398496</v>
      </c>
      <c r="H490" s="24" t="s">
        <v>6765</v>
      </c>
      <c r="I490" s="47"/>
      <c r="J490" s="24">
        <v>0.0</v>
      </c>
    </row>
    <row r="491">
      <c r="A491" s="24">
        <v>137.0</v>
      </c>
      <c r="B491" s="24">
        <v>2.0</v>
      </c>
      <c r="C491" s="47">
        <v>38.87</v>
      </c>
      <c r="D491" s="35">
        <v>44769.0</v>
      </c>
      <c r="E491" s="47">
        <v>19.435</v>
      </c>
      <c r="F491" s="47">
        <v>283.722627737226</v>
      </c>
      <c r="G491" s="48">
        <v>0.0145985401459854</v>
      </c>
      <c r="H491" s="24" t="s">
        <v>6765</v>
      </c>
      <c r="I491" s="47"/>
      <c r="J491" s="24">
        <v>0.0</v>
      </c>
    </row>
    <row r="492">
      <c r="A492" s="24">
        <v>123.0</v>
      </c>
      <c r="B492" s="24">
        <v>2.0</v>
      </c>
      <c r="C492" s="47">
        <v>64.42</v>
      </c>
      <c r="D492" s="35">
        <v>44770.0</v>
      </c>
      <c r="E492" s="47">
        <v>32.21</v>
      </c>
      <c r="F492" s="47">
        <v>523.739837398374</v>
      </c>
      <c r="G492" s="48">
        <v>0.016260162601626</v>
      </c>
      <c r="H492" s="24" t="s">
        <v>6765</v>
      </c>
      <c r="I492" s="47"/>
      <c r="J492" s="24">
        <v>0.0</v>
      </c>
    </row>
    <row r="493">
      <c r="A493" s="24">
        <v>90.0</v>
      </c>
      <c r="B493" s="24">
        <v>4.0</v>
      </c>
      <c r="C493" s="47">
        <v>105.92</v>
      </c>
      <c r="D493" s="35">
        <v>44771.0</v>
      </c>
      <c r="E493" s="47">
        <v>26.48</v>
      </c>
      <c r="F493" s="47">
        <v>1176.88888888888</v>
      </c>
      <c r="G493" s="48">
        <v>0.0444444444444444</v>
      </c>
      <c r="H493" s="24" t="s">
        <v>6765</v>
      </c>
      <c r="I493" s="47"/>
      <c r="J493" s="24">
        <v>0.0</v>
      </c>
    </row>
    <row r="494">
      <c r="A494" s="24">
        <v>30.0</v>
      </c>
      <c r="B494" s="24">
        <v>2.0</v>
      </c>
      <c r="C494" s="47">
        <v>38.75</v>
      </c>
      <c r="D494" s="35">
        <v>44772.0</v>
      </c>
      <c r="E494" s="47">
        <v>19.375</v>
      </c>
      <c r="F494" s="47">
        <v>1291.66666666666</v>
      </c>
      <c r="G494" s="48">
        <v>0.0666666666666666</v>
      </c>
      <c r="H494" s="24" t="s">
        <v>6765</v>
      </c>
      <c r="I494" s="47"/>
      <c r="J494" s="24">
        <v>0.0</v>
      </c>
    </row>
    <row r="495">
      <c r="A495" s="24">
        <v>24.0</v>
      </c>
      <c r="B495" s="24">
        <v>2.0</v>
      </c>
      <c r="C495" s="47">
        <v>41.44</v>
      </c>
      <c r="D495" s="35">
        <v>44773.0</v>
      </c>
      <c r="E495" s="47">
        <v>20.72</v>
      </c>
      <c r="F495" s="47">
        <v>1726.66666666666</v>
      </c>
      <c r="G495" s="48">
        <v>0.0833333333333333</v>
      </c>
      <c r="H495" s="24" t="s">
        <v>6765</v>
      </c>
      <c r="I495" s="47"/>
      <c r="J495" s="24">
        <v>0.0</v>
      </c>
    </row>
    <row r="496">
      <c r="A496" s="24">
        <v>126.0</v>
      </c>
      <c r="B496" s="24">
        <v>6.0</v>
      </c>
      <c r="C496" s="47">
        <v>166.57</v>
      </c>
      <c r="D496" s="35">
        <v>44774.0</v>
      </c>
      <c r="E496" s="47">
        <v>27.7616666666666</v>
      </c>
      <c r="F496" s="47">
        <v>1321.98412698412</v>
      </c>
      <c r="G496" s="48">
        <v>0.0476190476190476</v>
      </c>
      <c r="H496" s="24" t="s">
        <v>6765</v>
      </c>
      <c r="I496" s="47"/>
      <c r="J496" s="24">
        <v>0.0</v>
      </c>
    </row>
    <row r="497">
      <c r="A497" s="24">
        <v>142.0</v>
      </c>
      <c r="B497" s="24">
        <v>3.0</v>
      </c>
      <c r="C497" s="47">
        <v>63.87</v>
      </c>
      <c r="D497" s="35">
        <v>44775.0</v>
      </c>
      <c r="E497" s="47">
        <v>21.29</v>
      </c>
      <c r="F497" s="47">
        <v>449.788732394366</v>
      </c>
      <c r="G497" s="48">
        <v>0.0211267605633802</v>
      </c>
      <c r="H497" s="24" t="s">
        <v>6765</v>
      </c>
      <c r="I497" s="47"/>
      <c r="J497" s="24">
        <v>0.0</v>
      </c>
    </row>
    <row r="498">
      <c r="A498" s="24">
        <v>129.0</v>
      </c>
      <c r="B498" s="24">
        <v>4.0</v>
      </c>
      <c r="C498" s="47">
        <v>129.5</v>
      </c>
      <c r="D498" s="35">
        <v>44776.0</v>
      </c>
      <c r="E498" s="47">
        <v>32.375</v>
      </c>
      <c r="F498" s="47">
        <v>1003.87596899224</v>
      </c>
      <c r="G498" s="48">
        <v>0.0310077519379844</v>
      </c>
      <c r="H498" s="24" t="s">
        <v>6765</v>
      </c>
      <c r="I498" s="47"/>
      <c r="J498" s="24">
        <v>0.0</v>
      </c>
    </row>
    <row r="499">
      <c r="A499" s="24">
        <v>158.0</v>
      </c>
      <c r="B499" s="24">
        <v>10.0</v>
      </c>
      <c r="C499" s="47">
        <v>293.29</v>
      </c>
      <c r="D499" s="35">
        <v>44777.0</v>
      </c>
      <c r="E499" s="47">
        <v>29.329</v>
      </c>
      <c r="F499" s="47">
        <v>1856.26582278481</v>
      </c>
      <c r="G499" s="48">
        <v>0.0632911392405063</v>
      </c>
      <c r="H499" s="24" t="s">
        <v>6765</v>
      </c>
      <c r="I499" s="47"/>
      <c r="J499" s="24">
        <v>0.0</v>
      </c>
    </row>
    <row r="500">
      <c r="A500" s="24">
        <v>77.0</v>
      </c>
      <c r="B500" s="24">
        <v>1.0</v>
      </c>
      <c r="C500" s="47">
        <v>37.77</v>
      </c>
      <c r="D500" s="35">
        <v>44778.0</v>
      </c>
      <c r="E500" s="47">
        <v>37.77</v>
      </c>
      <c r="F500" s="47">
        <v>490.51948051948</v>
      </c>
      <c r="G500" s="48">
        <v>0.0129870129870129</v>
      </c>
      <c r="H500" s="24" t="s">
        <v>6765</v>
      </c>
      <c r="I500" s="47"/>
      <c r="J500" s="24">
        <v>0.0</v>
      </c>
    </row>
    <row r="501">
      <c r="A501" s="24">
        <v>13.0</v>
      </c>
      <c r="B501" s="24">
        <v>0.0</v>
      </c>
      <c r="C501" s="47">
        <v>0.0</v>
      </c>
      <c r="D501" s="35">
        <v>44779.0</v>
      </c>
      <c r="E501" s="47"/>
      <c r="F501" s="47">
        <v>0.0</v>
      </c>
      <c r="G501" s="48">
        <v>0.0</v>
      </c>
      <c r="H501" s="24" t="s">
        <v>6765</v>
      </c>
      <c r="I501" s="47"/>
      <c r="J501" s="24">
        <v>0.0</v>
      </c>
    </row>
    <row r="502">
      <c r="A502" s="24">
        <v>19.0</v>
      </c>
      <c r="B502" s="24">
        <v>0.0</v>
      </c>
      <c r="C502" s="47">
        <v>0.0</v>
      </c>
      <c r="D502" s="35">
        <v>44780.0</v>
      </c>
      <c r="E502" s="47"/>
      <c r="F502" s="47">
        <v>0.0</v>
      </c>
      <c r="G502" s="48">
        <v>0.0</v>
      </c>
      <c r="H502" s="24" t="s">
        <v>6765</v>
      </c>
      <c r="I502" s="47"/>
      <c r="J502" s="24">
        <v>0.0</v>
      </c>
    </row>
    <row r="503">
      <c r="A503" s="24">
        <v>81.0</v>
      </c>
      <c r="B503" s="24">
        <v>2.0</v>
      </c>
      <c r="C503" s="47">
        <v>47.12</v>
      </c>
      <c r="D503" s="35">
        <v>44781.0</v>
      </c>
      <c r="E503" s="47">
        <v>23.56</v>
      </c>
      <c r="F503" s="47">
        <v>581.728395061728</v>
      </c>
      <c r="G503" s="48">
        <v>0.0246913580246913</v>
      </c>
      <c r="H503" s="24" t="s">
        <v>6765</v>
      </c>
      <c r="I503" s="47"/>
      <c r="J503" s="24">
        <v>0.0</v>
      </c>
    </row>
    <row r="504">
      <c r="A504" s="24">
        <v>84.0</v>
      </c>
      <c r="B504" s="24">
        <v>0.0</v>
      </c>
      <c r="C504" s="47">
        <v>0.0</v>
      </c>
      <c r="D504" s="35">
        <v>44782.0</v>
      </c>
      <c r="E504" s="47"/>
      <c r="F504" s="47">
        <v>0.0</v>
      </c>
      <c r="G504" s="48">
        <v>0.0</v>
      </c>
      <c r="H504" s="24" t="s">
        <v>6765</v>
      </c>
      <c r="I504" s="47"/>
      <c r="J504" s="24">
        <v>0.0</v>
      </c>
    </row>
    <row r="505">
      <c r="A505" s="24">
        <v>82.0</v>
      </c>
      <c r="B505" s="24">
        <v>5.0</v>
      </c>
      <c r="C505" s="47">
        <v>164.49</v>
      </c>
      <c r="D505" s="35">
        <v>44783.0</v>
      </c>
      <c r="E505" s="47">
        <v>32.898</v>
      </c>
      <c r="F505" s="47">
        <v>2005.97560975609</v>
      </c>
      <c r="G505" s="48">
        <v>0.0609756097560975</v>
      </c>
      <c r="H505" s="24" t="s">
        <v>6765</v>
      </c>
      <c r="I505" s="47"/>
      <c r="J505" s="24">
        <v>0.0</v>
      </c>
    </row>
    <row r="506">
      <c r="A506" s="24">
        <v>81.0</v>
      </c>
      <c r="B506" s="24">
        <v>3.0</v>
      </c>
      <c r="C506" s="47">
        <v>96.5</v>
      </c>
      <c r="D506" s="35">
        <v>44784.0</v>
      </c>
      <c r="E506" s="47">
        <v>32.1666666666666</v>
      </c>
      <c r="F506" s="47">
        <v>1191.35802469135</v>
      </c>
      <c r="G506" s="48">
        <v>0.037037037037037</v>
      </c>
      <c r="H506" s="24" t="s">
        <v>6765</v>
      </c>
      <c r="I506" s="47"/>
      <c r="J506" s="24">
        <v>0.0</v>
      </c>
    </row>
    <row r="507">
      <c r="A507" s="24">
        <v>57.0</v>
      </c>
      <c r="B507" s="24">
        <v>1.0</v>
      </c>
      <c r="C507" s="47">
        <v>36.83</v>
      </c>
      <c r="D507" s="35">
        <v>44785.0</v>
      </c>
      <c r="E507" s="47">
        <v>36.83</v>
      </c>
      <c r="F507" s="47">
        <v>646.140350877193</v>
      </c>
      <c r="G507" s="48">
        <v>0.0175438596491228</v>
      </c>
      <c r="H507" s="24" t="s">
        <v>6765</v>
      </c>
      <c r="I507" s="47"/>
      <c r="J507" s="24">
        <v>0.0</v>
      </c>
    </row>
    <row r="508">
      <c r="A508" s="24">
        <v>12.0</v>
      </c>
      <c r="B508" s="24">
        <v>0.0</v>
      </c>
      <c r="C508" s="47">
        <v>0.0</v>
      </c>
      <c r="D508" s="35">
        <v>44786.0</v>
      </c>
      <c r="E508" s="47"/>
      <c r="F508" s="47">
        <v>0.0</v>
      </c>
      <c r="G508" s="48">
        <v>0.0</v>
      </c>
      <c r="H508" s="24" t="s">
        <v>6765</v>
      </c>
      <c r="I508" s="47"/>
      <c r="J508" s="24">
        <v>0.0</v>
      </c>
    </row>
    <row r="509">
      <c r="A509" s="24">
        <v>17.0</v>
      </c>
      <c r="B509" s="24">
        <v>0.0</v>
      </c>
      <c r="C509" s="47">
        <v>0.0</v>
      </c>
      <c r="D509" s="35">
        <v>44787.0</v>
      </c>
      <c r="E509" s="47"/>
      <c r="F509" s="47">
        <v>0.0</v>
      </c>
      <c r="G509" s="48">
        <v>0.0</v>
      </c>
      <c r="H509" s="24" t="s">
        <v>6765</v>
      </c>
      <c r="I509" s="47"/>
      <c r="J509" s="24">
        <v>0.0</v>
      </c>
    </row>
    <row r="510">
      <c r="A510" s="24">
        <v>77.0</v>
      </c>
      <c r="B510" s="24">
        <v>4.0</v>
      </c>
      <c r="C510" s="47">
        <v>132.39</v>
      </c>
      <c r="D510" s="35">
        <v>44788.0</v>
      </c>
      <c r="E510" s="47">
        <v>33.0975</v>
      </c>
      <c r="F510" s="47">
        <v>1719.35064935064</v>
      </c>
      <c r="G510" s="48">
        <v>0.0519480519480519</v>
      </c>
      <c r="H510" s="24" t="s">
        <v>6765</v>
      </c>
      <c r="I510" s="47"/>
      <c r="J510" s="24">
        <v>0.0</v>
      </c>
    </row>
    <row r="511">
      <c r="A511" s="24">
        <v>136.0</v>
      </c>
      <c r="B511" s="24">
        <v>15.0</v>
      </c>
      <c r="C511" s="47">
        <v>389.5</v>
      </c>
      <c r="D511" s="35">
        <v>44789.0</v>
      </c>
      <c r="E511" s="47">
        <v>25.9666666666666</v>
      </c>
      <c r="F511" s="47">
        <v>2863.97058823529</v>
      </c>
      <c r="G511" s="48">
        <v>0.110294117647058</v>
      </c>
      <c r="H511" s="24" t="s">
        <v>6765</v>
      </c>
      <c r="I511" s="47"/>
      <c r="J511" s="24">
        <v>0.0</v>
      </c>
    </row>
    <row r="512">
      <c r="A512" s="24">
        <v>121.0</v>
      </c>
      <c r="B512" s="24">
        <v>9.0</v>
      </c>
      <c r="C512" s="47">
        <v>254.22</v>
      </c>
      <c r="D512" s="35">
        <v>44790.0</v>
      </c>
      <c r="E512" s="47">
        <v>28.2466666666666</v>
      </c>
      <c r="F512" s="47">
        <v>2100.99173553719</v>
      </c>
      <c r="G512" s="48">
        <v>0.0743801652892562</v>
      </c>
      <c r="H512" s="24" t="s">
        <v>6765</v>
      </c>
      <c r="I512" s="47">
        <v>127.11</v>
      </c>
      <c r="J512" s="24">
        <v>2.0</v>
      </c>
    </row>
    <row r="513">
      <c r="A513" s="24">
        <v>98.0</v>
      </c>
      <c r="B513" s="24">
        <v>3.0</v>
      </c>
      <c r="C513" s="47">
        <v>101.46</v>
      </c>
      <c r="D513" s="35">
        <v>44791.0</v>
      </c>
      <c r="E513" s="47">
        <v>33.82</v>
      </c>
      <c r="F513" s="47">
        <v>1035.30612244897</v>
      </c>
      <c r="G513" s="48">
        <v>0.0306122448979591</v>
      </c>
      <c r="H513" s="24" t="s">
        <v>6765</v>
      </c>
      <c r="I513" s="47"/>
      <c r="J513" s="24">
        <v>0.0</v>
      </c>
    </row>
    <row r="514">
      <c r="A514" s="24">
        <v>63.0</v>
      </c>
      <c r="B514" s="24">
        <v>3.0</v>
      </c>
      <c r="C514" s="47">
        <v>111.53</v>
      </c>
      <c r="D514" s="35">
        <v>44792.0</v>
      </c>
      <c r="E514" s="47">
        <v>37.1766666666666</v>
      </c>
      <c r="F514" s="47">
        <v>1770.31746031746</v>
      </c>
      <c r="G514" s="48">
        <v>0.0476190476190476</v>
      </c>
      <c r="H514" s="24" t="s">
        <v>6765</v>
      </c>
      <c r="I514" s="47"/>
      <c r="J514" s="24">
        <v>0.0</v>
      </c>
    </row>
    <row r="515">
      <c r="A515" s="24">
        <v>9.0</v>
      </c>
      <c r="B515" s="24">
        <v>0.0</v>
      </c>
      <c r="C515" s="47">
        <v>0.0</v>
      </c>
      <c r="D515" s="35">
        <v>44793.0</v>
      </c>
      <c r="E515" s="47"/>
      <c r="F515" s="47">
        <v>0.0</v>
      </c>
      <c r="G515" s="48">
        <v>0.0</v>
      </c>
      <c r="H515" s="24" t="s">
        <v>6765</v>
      </c>
      <c r="I515" s="47"/>
      <c r="J515" s="24">
        <v>0.0</v>
      </c>
    </row>
    <row r="516">
      <c r="A516" s="24">
        <v>23.0</v>
      </c>
      <c r="B516" s="24">
        <v>0.0</v>
      </c>
      <c r="C516" s="47">
        <v>0.0</v>
      </c>
      <c r="D516" s="35">
        <v>44794.0</v>
      </c>
      <c r="E516" s="47"/>
      <c r="F516" s="47">
        <v>0.0</v>
      </c>
      <c r="G516" s="48">
        <v>0.0</v>
      </c>
      <c r="H516" s="24" t="s">
        <v>6765</v>
      </c>
      <c r="I516" s="47"/>
      <c r="J516" s="24">
        <v>0.0</v>
      </c>
    </row>
    <row r="517">
      <c r="A517" s="24">
        <v>86.0</v>
      </c>
      <c r="B517" s="24">
        <v>1.0</v>
      </c>
      <c r="C517" s="47">
        <v>17.84</v>
      </c>
      <c r="D517" s="35">
        <v>44795.0</v>
      </c>
      <c r="E517" s="47">
        <v>17.84</v>
      </c>
      <c r="F517" s="47">
        <v>207.441860465116</v>
      </c>
      <c r="G517" s="48">
        <v>0.0116279069767441</v>
      </c>
      <c r="H517" s="24" t="s">
        <v>6765</v>
      </c>
      <c r="I517" s="47"/>
      <c r="J517" s="24">
        <v>0.0</v>
      </c>
    </row>
    <row r="518">
      <c r="A518" s="24">
        <v>37.0</v>
      </c>
      <c r="B518" s="24">
        <v>4.0</v>
      </c>
      <c r="C518" s="47">
        <v>109.71</v>
      </c>
      <c r="D518" s="35">
        <v>44796.0</v>
      </c>
      <c r="E518" s="47">
        <v>27.4275</v>
      </c>
      <c r="F518" s="47">
        <v>2965.13513513513</v>
      </c>
      <c r="G518" s="48">
        <v>0.108108108108108</v>
      </c>
      <c r="H518" s="24" t="s">
        <v>6765</v>
      </c>
      <c r="I518" s="47"/>
      <c r="J518" s="24">
        <v>0.0</v>
      </c>
    </row>
    <row r="519">
      <c r="A519" s="24">
        <v>69.0</v>
      </c>
      <c r="B519" s="24">
        <v>4.0</v>
      </c>
      <c r="C519" s="47">
        <v>120.9</v>
      </c>
      <c r="D519" s="35">
        <v>44797.0</v>
      </c>
      <c r="E519" s="47">
        <v>30.225</v>
      </c>
      <c r="F519" s="47">
        <v>1752.17391304347</v>
      </c>
      <c r="G519" s="48">
        <v>0.0579710144927536</v>
      </c>
      <c r="H519" s="24" t="s">
        <v>6765</v>
      </c>
      <c r="I519" s="47"/>
      <c r="J519" s="24">
        <v>0.0</v>
      </c>
    </row>
    <row r="520">
      <c r="A520" s="24">
        <v>70.0</v>
      </c>
      <c r="B520" s="24">
        <v>4.0</v>
      </c>
      <c r="C520" s="47">
        <v>114.34</v>
      </c>
      <c r="D520" s="35">
        <v>44798.0</v>
      </c>
      <c r="E520" s="47">
        <v>28.585</v>
      </c>
      <c r="F520" s="47">
        <v>1633.42857142857</v>
      </c>
      <c r="G520" s="48">
        <v>0.0571428571428571</v>
      </c>
      <c r="H520" s="24" t="s">
        <v>6765</v>
      </c>
      <c r="I520" s="47"/>
      <c r="J520" s="24">
        <v>0.0</v>
      </c>
    </row>
    <row r="521">
      <c r="A521" s="24">
        <v>94.0</v>
      </c>
      <c r="B521" s="24">
        <v>1.0</v>
      </c>
      <c r="C521" s="47">
        <v>17.7</v>
      </c>
      <c r="D521" s="35">
        <v>44799.0</v>
      </c>
      <c r="E521" s="47">
        <v>17.7</v>
      </c>
      <c r="F521" s="47">
        <v>188.297872340425</v>
      </c>
      <c r="G521" s="48">
        <v>0.0106382978723404</v>
      </c>
      <c r="H521" s="24" t="s">
        <v>6765</v>
      </c>
      <c r="I521" s="47"/>
      <c r="J521" s="24">
        <v>0.0</v>
      </c>
    </row>
    <row r="522">
      <c r="A522" s="24">
        <v>8.0</v>
      </c>
      <c r="B522" s="24">
        <v>1.0</v>
      </c>
      <c r="C522" s="47">
        <v>24.97</v>
      </c>
      <c r="D522" s="35">
        <v>44800.0</v>
      </c>
      <c r="E522" s="47">
        <v>24.97</v>
      </c>
      <c r="F522" s="47">
        <v>3121.25</v>
      </c>
      <c r="G522" s="48">
        <v>0.125</v>
      </c>
      <c r="H522" s="24" t="s">
        <v>6765</v>
      </c>
      <c r="I522" s="47"/>
      <c r="J522" s="24">
        <v>0.0</v>
      </c>
    </row>
    <row r="523">
      <c r="A523" s="24">
        <v>18.0</v>
      </c>
      <c r="B523" s="24">
        <v>1.0</v>
      </c>
      <c r="C523" s="47">
        <v>11.71</v>
      </c>
      <c r="D523" s="35">
        <v>44801.0</v>
      </c>
      <c r="E523" s="47">
        <v>11.71</v>
      </c>
      <c r="F523" s="47">
        <v>650.555555555555</v>
      </c>
      <c r="G523" s="48">
        <v>0.0555555555555555</v>
      </c>
      <c r="H523" s="24" t="s">
        <v>6765</v>
      </c>
      <c r="I523" s="47"/>
      <c r="J523" s="24">
        <v>0.0</v>
      </c>
    </row>
    <row r="524">
      <c r="A524" s="24">
        <v>92.0</v>
      </c>
      <c r="B524" s="24">
        <v>4.0</v>
      </c>
      <c r="C524" s="47">
        <v>147.12</v>
      </c>
      <c r="D524" s="35">
        <v>44802.0</v>
      </c>
      <c r="E524" s="47">
        <v>36.78</v>
      </c>
      <c r="F524" s="47">
        <v>1599.1304347826</v>
      </c>
      <c r="G524" s="48">
        <v>0.0434782608695652</v>
      </c>
      <c r="H524" s="24" t="s">
        <v>6765</v>
      </c>
      <c r="I524" s="47"/>
      <c r="J524" s="24">
        <v>0.0</v>
      </c>
    </row>
    <row r="525">
      <c r="A525" s="24">
        <v>94.0</v>
      </c>
      <c r="B525" s="24">
        <v>4.0</v>
      </c>
      <c r="C525" s="47">
        <v>102.29</v>
      </c>
      <c r="D525" s="35">
        <v>44803.0</v>
      </c>
      <c r="E525" s="47">
        <v>25.5725</v>
      </c>
      <c r="F525" s="47">
        <v>1088.1914893617</v>
      </c>
      <c r="G525" s="48">
        <v>0.0425531914893617</v>
      </c>
      <c r="H525" s="24" t="s">
        <v>6765</v>
      </c>
      <c r="I525" s="47"/>
      <c r="J525" s="24">
        <v>0.0</v>
      </c>
    </row>
    <row r="526">
      <c r="A526" s="24">
        <v>85.0</v>
      </c>
      <c r="B526" s="24">
        <v>3.0</v>
      </c>
      <c r="C526" s="47">
        <v>104.7</v>
      </c>
      <c r="D526" s="35">
        <v>44804.0</v>
      </c>
      <c r="E526" s="47">
        <v>34.9</v>
      </c>
      <c r="F526" s="47">
        <v>1231.76470588235</v>
      </c>
      <c r="G526" s="48">
        <v>0.0352941176470588</v>
      </c>
      <c r="H526" s="24" t="s">
        <v>6765</v>
      </c>
      <c r="I526" s="47"/>
      <c r="J526" s="24">
        <v>0.0</v>
      </c>
    </row>
    <row r="527">
      <c r="A527" s="24">
        <v>90.0</v>
      </c>
      <c r="B527" s="24">
        <v>3.0</v>
      </c>
      <c r="C527" s="47">
        <v>107.57</v>
      </c>
      <c r="D527" s="35">
        <v>44805.0</v>
      </c>
      <c r="E527" s="47">
        <v>35.8566666666666</v>
      </c>
      <c r="F527" s="47">
        <v>1195.22222222222</v>
      </c>
      <c r="G527" s="48">
        <v>0.0333333333333333</v>
      </c>
      <c r="H527" s="24" t="s">
        <v>6765</v>
      </c>
      <c r="I527" s="47"/>
      <c r="J527" s="24">
        <v>0.0</v>
      </c>
    </row>
    <row r="528">
      <c r="A528" s="24">
        <v>49.0</v>
      </c>
      <c r="B528" s="24">
        <v>1.0</v>
      </c>
      <c r="C528" s="47">
        <v>37.27</v>
      </c>
      <c r="D528" s="35">
        <v>44806.0</v>
      </c>
      <c r="E528" s="47">
        <v>37.27</v>
      </c>
      <c r="F528" s="47">
        <v>760.612244897959</v>
      </c>
      <c r="G528" s="48">
        <v>0.0204081632653061</v>
      </c>
      <c r="H528" s="24" t="s">
        <v>6765</v>
      </c>
      <c r="I528" s="47"/>
      <c r="J528" s="24">
        <v>0.0</v>
      </c>
    </row>
    <row r="529">
      <c r="A529" s="24">
        <v>17.0</v>
      </c>
      <c r="B529" s="24">
        <v>0.0</v>
      </c>
      <c r="C529" s="47">
        <v>0.0</v>
      </c>
      <c r="D529" s="35">
        <v>44807.0</v>
      </c>
      <c r="E529" s="47"/>
      <c r="F529" s="47">
        <v>0.0</v>
      </c>
      <c r="G529" s="48">
        <v>0.0</v>
      </c>
      <c r="H529" s="24" t="s">
        <v>6765</v>
      </c>
      <c r="I529" s="47"/>
      <c r="J529" s="24">
        <v>0.0</v>
      </c>
    </row>
    <row r="530">
      <c r="A530" s="24">
        <v>7.0</v>
      </c>
      <c r="B530" s="24">
        <v>2.0</v>
      </c>
      <c r="C530" s="47">
        <v>30.98</v>
      </c>
      <c r="D530" s="35">
        <v>44808.0</v>
      </c>
      <c r="E530" s="47">
        <v>15.49</v>
      </c>
      <c r="F530" s="47">
        <v>4425.71428571428</v>
      </c>
      <c r="G530" s="48">
        <v>0.285714285714285</v>
      </c>
      <c r="H530" s="24" t="s">
        <v>6765</v>
      </c>
      <c r="I530" s="47"/>
      <c r="J530" s="24">
        <v>0.0</v>
      </c>
    </row>
    <row r="531">
      <c r="A531" s="24">
        <v>14.0</v>
      </c>
      <c r="B531" s="24">
        <v>0.0</v>
      </c>
      <c r="C531" s="47">
        <v>0.0</v>
      </c>
      <c r="D531" s="35">
        <v>44809.0</v>
      </c>
      <c r="E531" s="47"/>
      <c r="F531" s="47">
        <v>0.0</v>
      </c>
      <c r="G531" s="48">
        <v>0.0</v>
      </c>
      <c r="H531" s="24" t="s">
        <v>6765</v>
      </c>
      <c r="I531" s="47"/>
      <c r="J531" s="24">
        <v>0.0</v>
      </c>
    </row>
    <row r="532">
      <c r="A532" s="24">
        <v>104.0</v>
      </c>
      <c r="B532" s="24">
        <v>4.0</v>
      </c>
      <c r="C532" s="47">
        <v>122.32</v>
      </c>
      <c r="D532" s="35">
        <v>44810.0</v>
      </c>
      <c r="E532" s="47">
        <v>30.58</v>
      </c>
      <c r="F532" s="47">
        <v>1176.15384615384</v>
      </c>
      <c r="G532" s="48">
        <v>0.0384615384615384</v>
      </c>
      <c r="H532" s="24" t="s">
        <v>6765</v>
      </c>
      <c r="I532" s="47"/>
      <c r="J532" s="24">
        <v>0.0</v>
      </c>
    </row>
    <row r="533">
      <c r="A533" s="24">
        <v>107.0</v>
      </c>
      <c r="B533" s="24">
        <v>5.0</v>
      </c>
      <c r="C533" s="47">
        <v>183.93</v>
      </c>
      <c r="D533" s="35">
        <v>44811.0</v>
      </c>
      <c r="E533" s="47">
        <v>36.786</v>
      </c>
      <c r="F533" s="47">
        <v>1718.97196261682</v>
      </c>
      <c r="G533" s="48">
        <v>0.0467289719626168</v>
      </c>
      <c r="H533" s="24" t="s">
        <v>6765</v>
      </c>
      <c r="I533" s="47"/>
      <c r="J533" s="24">
        <v>0.0</v>
      </c>
    </row>
    <row r="534">
      <c r="A534" s="24">
        <v>101.0</v>
      </c>
      <c r="B534" s="24">
        <v>3.0</v>
      </c>
      <c r="C534" s="47">
        <v>72.36</v>
      </c>
      <c r="D534" s="35">
        <v>44812.0</v>
      </c>
      <c r="E534" s="47">
        <v>24.12</v>
      </c>
      <c r="F534" s="47">
        <v>716.435643564356</v>
      </c>
      <c r="G534" s="48">
        <v>0.0297029702970297</v>
      </c>
      <c r="H534" s="24" t="s">
        <v>6765</v>
      </c>
      <c r="I534" s="47"/>
      <c r="J534" s="24">
        <v>0.0</v>
      </c>
    </row>
    <row r="535">
      <c r="A535" s="24">
        <v>84.0</v>
      </c>
      <c r="B535" s="24">
        <v>3.0</v>
      </c>
      <c r="C535" s="47">
        <v>109.54</v>
      </c>
      <c r="D535" s="35">
        <v>44813.0</v>
      </c>
      <c r="E535" s="47">
        <v>36.5133333333333</v>
      </c>
      <c r="F535" s="47">
        <v>1304.04761904761</v>
      </c>
      <c r="G535" s="48">
        <v>0.0357142857142857</v>
      </c>
      <c r="H535" s="24" t="s">
        <v>6765</v>
      </c>
      <c r="I535" s="47"/>
      <c r="J535" s="24">
        <v>0.0</v>
      </c>
    </row>
    <row r="536">
      <c r="A536" s="24">
        <v>14.0</v>
      </c>
      <c r="B536" s="24">
        <v>1.0</v>
      </c>
      <c r="C536" s="47">
        <v>16.41</v>
      </c>
      <c r="D536" s="35">
        <v>44814.0</v>
      </c>
      <c r="E536" s="47">
        <v>16.41</v>
      </c>
      <c r="F536" s="47">
        <v>1172.14285714285</v>
      </c>
      <c r="G536" s="48">
        <v>0.0714285714285714</v>
      </c>
      <c r="H536" s="24" t="s">
        <v>6765</v>
      </c>
      <c r="I536" s="47"/>
      <c r="J536" s="24">
        <v>0.0</v>
      </c>
    </row>
    <row r="537">
      <c r="A537" s="24">
        <v>22.0</v>
      </c>
      <c r="B537" s="24">
        <v>3.0</v>
      </c>
      <c r="C537" s="47">
        <v>93.07</v>
      </c>
      <c r="D537" s="35">
        <v>44815.0</v>
      </c>
      <c r="E537" s="47">
        <v>31.0233333333333</v>
      </c>
      <c r="F537" s="47">
        <v>4230.45454545454</v>
      </c>
      <c r="G537" s="48">
        <v>0.136363636363636</v>
      </c>
      <c r="H537" s="24" t="s">
        <v>6765</v>
      </c>
      <c r="I537" s="47"/>
      <c r="J537" s="24">
        <v>0.0</v>
      </c>
    </row>
    <row r="538">
      <c r="A538" s="24">
        <v>88.0</v>
      </c>
      <c r="B538" s="24">
        <v>2.0</v>
      </c>
      <c r="C538" s="47">
        <v>67.82</v>
      </c>
      <c r="D538" s="35">
        <v>44816.0</v>
      </c>
      <c r="E538" s="47">
        <v>33.91</v>
      </c>
      <c r="F538" s="47">
        <v>770.681818181818</v>
      </c>
      <c r="G538" s="48">
        <v>0.0227272727272727</v>
      </c>
      <c r="H538" s="24" t="s">
        <v>6765</v>
      </c>
      <c r="I538" s="47"/>
      <c r="J538" s="24">
        <v>0.0</v>
      </c>
    </row>
    <row r="539">
      <c r="A539" s="24">
        <v>103.0</v>
      </c>
      <c r="B539" s="24">
        <v>3.0</v>
      </c>
      <c r="C539" s="47">
        <v>88.82</v>
      </c>
      <c r="D539" s="35">
        <v>44817.0</v>
      </c>
      <c r="E539" s="47">
        <v>29.6066666666666</v>
      </c>
      <c r="F539" s="47">
        <v>862.330097087378</v>
      </c>
      <c r="G539" s="48">
        <v>0.029126213592233</v>
      </c>
      <c r="H539" s="24" t="s">
        <v>6765</v>
      </c>
      <c r="I539" s="47"/>
      <c r="J539" s="24">
        <v>0.0</v>
      </c>
    </row>
    <row r="540">
      <c r="A540" s="24">
        <v>104.0</v>
      </c>
      <c r="B540" s="24">
        <v>4.0</v>
      </c>
      <c r="C540" s="47">
        <v>119.49</v>
      </c>
      <c r="D540" s="35">
        <v>44818.0</v>
      </c>
      <c r="E540" s="47">
        <v>29.8725</v>
      </c>
      <c r="F540" s="47">
        <v>1148.9423076923</v>
      </c>
      <c r="G540" s="48">
        <v>0.0384615384615384</v>
      </c>
      <c r="H540" s="24" t="s">
        <v>6765</v>
      </c>
      <c r="I540" s="47"/>
      <c r="J540" s="24">
        <v>0.0</v>
      </c>
    </row>
    <row r="541">
      <c r="A541" s="24">
        <v>83.0</v>
      </c>
      <c r="B541" s="24">
        <v>2.0</v>
      </c>
      <c r="C541" s="47">
        <v>54.02</v>
      </c>
      <c r="D541" s="35">
        <v>44819.0</v>
      </c>
      <c r="E541" s="47">
        <v>27.01</v>
      </c>
      <c r="F541" s="47">
        <v>650.843373493976</v>
      </c>
      <c r="G541" s="48">
        <v>0.0240963855421686</v>
      </c>
      <c r="H541" s="24" t="s">
        <v>6765</v>
      </c>
      <c r="I541" s="47"/>
      <c r="J541" s="24">
        <v>0.0</v>
      </c>
    </row>
    <row r="542">
      <c r="A542" s="24">
        <v>68.0</v>
      </c>
      <c r="B542" s="24">
        <v>0.0</v>
      </c>
      <c r="C542" s="47">
        <v>0.0</v>
      </c>
      <c r="D542" s="35">
        <v>44820.0</v>
      </c>
      <c r="E542" s="47"/>
      <c r="F542" s="47">
        <v>0.0</v>
      </c>
      <c r="G542" s="48">
        <v>0.0</v>
      </c>
      <c r="H542" s="24" t="s">
        <v>6765</v>
      </c>
      <c r="I542" s="47"/>
      <c r="J542" s="24">
        <v>0.0</v>
      </c>
    </row>
    <row r="543">
      <c r="A543" s="24">
        <v>13.0</v>
      </c>
      <c r="B543" s="24">
        <v>1.0</v>
      </c>
      <c r="C543" s="47">
        <v>8.07</v>
      </c>
      <c r="D543" s="35">
        <v>44821.0</v>
      </c>
      <c r="E543" s="47">
        <v>8.07</v>
      </c>
      <c r="F543" s="47">
        <v>620.76923076923</v>
      </c>
      <c r="G543" s="48">
        <v>0.0769230769230769</v>
      </c>
      <c r="H543" s="24" t="s">
        <v>6765</v>
      </c>
      <c r="I543" s="47"/>
      <c r="J543" s="24">
        <v>0.0</v>
      </c>
    </row>
    <row r="544">
      <c r="A544" s="24">
        <v>10.0</v>
      </c>
      <c r="B544" s="24">
        <v>1.0</v>
      </c>
      <c r="C544" s="47">
        <v>15.33</v>
      </c>
      <c r="D544" s="35">
        <v>44822.0</v>
      </c>
      <c r="E544" s="47">
        <v>15.33</v>
      </c>
      <c r="F544" s="47">
        <v>1533.0</v>
      </c>
      <c r="G544" s="48">
        <v>0.1</v>
      </c>
      <c r="H544" s="24" t="s">
        <v>6765</v>
      </c>
      <c r="I544" s="47"/>
      <c r="J544" s="24">
        <v>0.0</v>
      </c>
    </row>
    <row r="545">
      <c r="A545" s="24">
        <v>59.0</v>
      </c>
      <c r="B545" s="24">
        <v>2.0</v>
      </c>
      <c r="C545" s="47">
        <v>71.56</v>
      </c>
      <c r="D545" s="35">
        <v>44823.0</v>
      </c>
      <c r="E545" s="47">
        <v>35.78</v>
      </c>
      <c r="F545" s="47">
        <v>1212.8813559322</v>
      </c>
      <c r="G545" s="48">
        <v>0.0338983050847457</v>
      </c>
      <c r="H545" s="24" t="s">
        <v>6765</v>
      </c>
      <c r="I545" s="47"/>
      <c r="J545" s="24">
        <v>0.0</v>
      </c>
    </row>
    <row r="546">
      <c r="A546" s="24">
        <v>115.0</v>
      </c>
      <c r="B546" s="24">
        <v>4.0</v>
      </c>
      <c r="C546" s="47">
        <v>126.2</v>
      </c>
      <c r="D546" s="35">
        <v>44824.0</v>
      </c>
      <c r="E546" s="47">
        <v>31.55</v>
      </c>
      <c r="F546" s="47">
        <v>1097.39130434782</v>
      </c>
      <c r="G546" s="48">
        <v>0.0347826086956521</v>
      </c>
      <c r="H546" s="24" t="s">
        <v>6765</v>
      </c>
      <c r="I546" s="47"/>
      <c r="J546" s="24">
        <v>0.0</v>
      </c>
    </row>
    <row r="547">
      <c r="A547" s="24">
        <v>96.0</v>
      </c>
      <c r="B547" s="24">
        <v>3.0</v>
      </c>
      <c r="C547" s="47">
        <v>104.98</v>
      </c>
      <c r="D547" s="35">
        <v>44825.0</v>
      </c>
      <c r="E547" s="47">
        <v>34.9933333333333</v>
      </c>
      <c r="F547" s="47">
        <v>1093.54166666666</v>
      </c>
      <c r="G547" s="48">
        <v>0.03125</v>
      </c>
      <c r="H547" s="24" t="s">
        <v>6765</v>
      </c>
      <c r="I547" s="47"/>
      <c r="J547" s="24">
        <v>0.0</v>
      </c>
    </row>
    <row r="548">
      <c r="A548" s="24">
        <v>90.0</v>
      </c>
      <c r="B548" s="24">
        <v>3.0</v>
      </c>
      <c r="C548" s="47">
        <v>65.11</v>
      </c>
      <c r="D548" s="35">
        <v>44826.0</v>
      </c>
      <c r="E548" s="47">
        <v>21.7033333333333</v>
      </c>
      <c r="F548" s="47">
        <v>723.444444444444</v>
      </c>
      <c r="G548" s="48">
        <v>0.0333333333333333</v>
      </c>
      <c r="H548" s="24" t="s">
        <v>6765</v>
      </c>
      <c r="I548" s="47"/>
      <c r="J548" s="24">
        <v>0.0</v>
      </c>
    </row>
    <row r="549">
      <c r="A549" s="24">
        <v>59.0</v>
      </c>
      <c r="B549" s="24">
        <v>4.0</v>
      </c>
      <c r="C549" s="47">
        <v>119.91</v>
      </c>
      <c r="D549" s="35">
        <v>44827.0</v>
      </c>
      <c r="E549" s="47">
        <v>29.9775</v>
      </c>
      <c r="F549" s="47">
        <v>2032.37288135593</v>
      </c>
      <c r="G549" s="48">
        <v>0.0677966101694915</v>
      </c>
      <c r="H549" s="24" t="s">
        <v>6765</v>
      </c>
      <c r="I549" s="47"/>
      <c r="J549" s="24">
        <v>0.0</v>
      </c>
    </row>
    <row r="550">
      <c r="A550" s="24">
        <v>16.0</v>
      </c>
      <c r="B550" s="24">
        <v>0.0</v>
      </c>
      <c r="C550" s="47">
        <v>0.0</v>
      </c>
      <c r="D550" s="35">
        <v>44828.0</v>
      </c>
      <c r="E550" s="47"/>
      <c r="F550" s="47">
        <v>0.0</v>
      </c>
      <c r="G550" s="48">
        <v>0.0</v>
      </c>
      <c r="H550" s="24" t="s">
        <v>6765</v>
      </c>
      <c r="I550" s="47"/>
      <c r="J550" s="24">
        <v>0.0</v>
      </c>
    </row>
    <row r="551">
      <c r="A551" s="24">
        <v>16.0</v>
      </c>
      <c r="B551" s="24">
        <v>0.0</v>
      </c>
      <c r="C551" s="47">
        <v>0.0</v>
      </c>
      <c r="D551" s="35">
        <v>44829.0</v>
      </c>
      <c r="E551" s="47"/>
      <c r="F551" s="47">
        <v>0.0</v>
      </c>
      <c r="G551" s="48">
        <v>0.0</v>
      </c>
      <c r="H551" s="24" t="s">
        <v>6765</v>
      </c>
      <c r="I551" s="47"/>
      <c r="J551" s="24">
        <v>0.0</v>
      </c>
    </row>
    <row r="552">
      <c r="A552" s="24">
        <v>25.0</v>
      </c>
      <c r="B552" s="24">
        <v>3.0</v>
      </c>
      <c r="C552" s="47">
        <v>49.82</v>
      </c>
      <c r="D552" s="35">
        <v>44830.0</v>
      </c>
      <c r="E552" s="47">
        <v>16.6066666666666</v>
      </c>
      <c r="F552" s="47">
        <v>1992.8</v>
      </c>
      <c r="G552" s="48">
        <v>0.12</v>
      </c>
      <c r="H552" s="24" t="s">
        <v>6765</v>
      </c>
      <c r="I552" s="47"/>
      <c r="J552" s="24">
        <v>0.0</v>
      </c>
    </row>
    <row r="553">
      <c r="A553" s="24">
        <v>77.0</v>
      </c>
      <c r="B553" s="24">
        <v>2.0</v>
      </c>
      <c r="C553" s="47">
        <v>31.02</v>
      </c>
      <c r="D553" s="35">
        <v>44831.0</v>
      </c>
      <c r="E553" s="47">
        <v>15.51</v>
      </c>
      <c r="F553" s="47">
        <v>402.857142857142</v>
      </c>
      <c r="G553" s="48">
        <v>0.0259740259740259</v>
      </c>
      <c r="H553" s="24" t="s">
        <v>6765</v>
      </c>
      <c r="I553" s="47"/>
      <c r="J553" s="24">
        <v>0.0</v>
      </c>
    </row>
    <row r="554">
      <c r="A554" s="24">
        <v>52.0</v>
      </c>
      <c r="B554" s="24">
        <v>3.0</v>
      </c>
      <c r="C554" s="47">
        <v>49.57</v>
      </c>
      <c r="D554" s="35">
        <v>44832.0</v>
      </c>
      <c r="E554" s="47">
        <v>16.5233333333333</v>
      </c>
      <c r="F554" s="47">
        <v>953.26923076923</v>
      </c>
      <c r="G554" s="48">
        <v>0.0576923076923076</v>
      </c>
      <c r="H554" s="24" t="s">
        <v>6765</v>
      </c>
      <c r="I554" s="47"/>
      <c r="J554" s="24">
        <v>0.0</v>
      </c>
    </row>
    <row r="555">
      <c r="A555" s="24">
        <v>38.0</v>
      </c>
      <c r="B555" s="24">
        <v>1.0</v>
      </c>
      <c r="C555" s="47">
        <v>24.31</v>
      </c>
      <c r="D555" s="35">
        <v>44833.0</v>
      </c>
      <c r="E555" s="47">
        <v>24.31</v>
      </c>
      <c r="F555" s="47">
        <v>639.736842105263</v>
      </c>
      <c r="G555" s="48">
        <v>0.0263157894736842</v>
      </c>
      <c r="H555" s="24" t="s">
        <v>6765</v>
      </c>
      <c r="I555" s="47"/>
      <c r="J555" s="24">
        <v>0.0</v>
      </c>
    </row>
    <row r="556">
      <c r="A556" s="24">
        <v>11.0</v>
      </c>
      <c r="B556" s="24">
        <v>2.0</v>
      </c>
      <c r="C556" s="47">
        <v>20.27</v>
      </c>
      <c r="D556" s="35">
        <v>44834.0</v>
      </c>
      <c r="E556" s="47">
        <v>10.135</v>
      </c>
      <c r="F556" s="47">
        <v>1842.72727272727</v>
      </c>
      <c r="G556" s="48">
        <v>0.181818181818181</v>
      </c>
      <c r="H556" s="24" t="s">
        <v>6765</v>
      </c>
      <c r="I556" s="47"/>
      <c r="J556" s="24">
        <v>0.0</v>
      </c>
    </row>
    <row r="557">
      <c r="A557" s="24">
        <v>5.0</v>
      </c>
      <c r="B557" s="24">
        <v>1.0</v>
      </c>
      <c r="C557" s="47">
        <v>24.71</v>
      </c>
      <c r="D557" s="35">
        <v>44835.0</v>
      </c>
      <c r="E557" s="47">
        <v>24.71</v>
      </c>
      <c r="F557" s="47">
        <v>4942.0</v>
      </c>
      <c r="G557" s="48">
        <v>0.2</v>
      </c>
      <c r="H557" s="24" t="s">
        <v>6765</v>
      </c>
      <c r="I557" s="47"/>
      <c r="J557" s="24">
        <v>0.0</v>
      </c>
    </row>
    <row r="558">
      <c r="A558" s="24">
        <v>10.0</v>
      </c>
      <c r="B558" s="24">
        <v>0.0</v>
      </c>
      <c r="C558" s="47">
        <v>0.0</v>
      </c>
      <c r="D558" s="35">
        <v>44836.0</v>
      </c>
      <c r="E558" s="47"/>
      <c r="F558" s="47">
        <v>0.0</v>
      </c>
      <c r="G558" s="48">
        <v>0.0</v>
      </c>
      <c r="H558" s="24" t="s">
        <v>6765</v>
      </c>
      <c r="I558" s="47"/>
      <c r="J558" s="24">
        <v>0.0</v>
      </c>
    </row>
    <row r="559">
      <c r="A559" s="24">
        <v>23.0</v>
      </c>
      <c r="B559" s="24">
        <v>2.0</v>
      </c>
      <c r="C559" s="47">
        <v>47.48</v>
      </c>
      <c r="D559" s="35">
        <v>44837.0</v>
      </c>
      <c r="E559" s="47">
        <v>23.74</v>
      </c>
      <c r="F559" s="47">
        <v>2064.34782608695</v>
      </c>
      <c r="G559" s="48">
        <v>0.0869565217391304</v>
      </c>
      <c r="H559" s="24" t="s">
        <v>6765</v>
      </c>
      <c r="I559" s="47"/>
      <c r="J559" s="24">
        <v>0.0</v>
      </c>
    </row>
    <row r="560">
      <c r="A560" s="24">
        <v>44.0</v>
      </c>
      <c r="B560" s="24">
        <v>2.0</v>
      </c>
      <c r="C560" s="47">
        <v>34.09</v>
      </c>
      <c r="D560" s="35">
        <v>44838.0</v>
      </c>
      <c r="E560" s="47">
        <v>17.045</v>
      </c>
      <c r="F560" s="47">
        <v>774.772727272727</v>
      </c>
      <c r="G560" s="48">
        <v>0.0454545454545454</v>
      </c>
      <c r="H560" s="24" t="s">
        <v>6765</v>
      </c>
      <c r="I560" s="47"/>
      <c r="J560" s="24">
        <v>0.0</v>
      </c>
    </row>
    <row r="561">
      <c r="A561" s="24">
        <v>27.0</v>
      </c>
      <c r="B561" s="24">
        <v>2.0</v>
      </c>
      <c r="C561" s="47">
        <v>34.92</v>
      </c>
      <c r="D561" s="35">
        <v>44839.0</v>
      </c>
      <c r="E561" s="47">
        <v>17.46</v>
      </c>
      <c r="F561" s="47">
        <v>1293.33333333333</v>
      </c>
      <c r="G561" s="48">
        <v>0.074074074074074</v>
      </c>
      <c r="H561" s="24" t="s">
        <v>6765</v>
      </c>
      <c r="I561" s="47"/>
      <c r="J561" s="24">
        <v>0.0</v>
      </c>
    </row>
    <row r="562">
      <c r="A562" s="24">
        <v>19.0</v>
      </c>
      <c r="B562" s="24">
        <v>2.0</v>
      </c>
      <c r="C562" s="47">
        <v>34.8</v>
      </c>
      <c r="D562" s="35">
        <v>44840.0</v>
      </c>
      <c r="E562" s="47">
        <v>17.4</v>
      </c>
      <c r="F562" s="47">
        <v>1831.57894736842</v>
      </c>
      <c r="G562" s="48">
        <v>0.105263157894736</v>
      </c>
      <c r="H562" s="24" t="s">
        <v>6765</v>
      </c>
      <c r="I562" s="47"/>
      <c r="J562" s="24">
        <v>0.0</v>
      </c>
    </row>
    <row r="563">
      <c r="A563" s="24">
        <v>14.0</v>
      </c>
      <c r="B563" s="24">
        <v>2.0</v>
      </c>
      <c r="C563" s="47">
        <v>31.88</v>
      </c>
      <c r="D563" s="35">
        <v>44841.0</v>
      </c>
      <c r="E563" s="47">
        <v>15.94</v>
      </c>
      <c r="F563" s="47">
        <v>2277.14285714285</v>
      </c>
      <c r="G563" s="48">
        <v>0.142857142857142</v>
      </c>
      <c r="H563" s="24" t="s">
        <v>6765</v>
      </c>
      <c r="I563" s="47"/>
      <c r="J563" s="24">
        <v>0.0</v>
      </c>
    </row>
    <row r="564">
      <c r="A564" s="24">
        <v>7.0</v>
      </c>
      <c r="B564" s="24">
        <v>0.0</v>
      </c>
      <c r="C564" s="47">
        <v>0.0</v>
      </c>
      <c r="D564" s="35">
        <v>44842.0</v>
      </c>
      <c r="E564" s="47"/>
      <c r="F564" s="47">
        <v>0.0</v>
      </c>
      <c r="G564" s="48">
        <v>0.0</v>
      </c>
      <c r="H564" s="24" t="s">
        <v>6765</v>
      </c>
      <c r="I564" s="47"/>
      <c r="J564" s="24">
        <v>0.0</v>
      </c>
    </row>
    <row r="565">
      <c r="A565" s="24">
        <v>12.0</v>
      </c>
      <c r="B565" s="24">
        <v>1.0</v>
      </c>
      <c r="C565" s="47">
        <v>24.05</v>
      </c>
      <c r="D565" s="35">
        <v>44843.0</v>
      </c>
      <c r="E565" s="47">
        <v>24.05</v>
      </c>
      <c r="F565" s="47">
        <v>2004.16666666666</v>
      </c>
      <c r="G565" s="48">
        <v>0.0833333333333333</v>
      </c>
      <c r="H565" s="24" t="s">
        <v>6765</v>
      </c>
      <c r="I565" s="47"/>
      <c r="J565" s="24">
        <v>0.0</v>
      </c>
    </row>
    <row r="566">
      <c r="A566" s="24">
        <v>44.0</v>
      </c>
      <c r="B566" s="24">
        <v>0.0</v>
      </c>
      <c r="C566" s="47">
        <v>0.0</v>
      </c>
      <c r="D566" s="35">
        <v>44844.0</v>
      </c>
      <c r="E566" s="47"/>
      <c r="F566" s="47">
        <v>0.0</v>
      </c>
      <c r="G566" s="48">
        <v>0.0</v>
      </c>
      <c r="H566" s="24" t="s">
        <v>6765</v>
      </c>
      <c r="I566" s="47"/>
      <c r="J566" s="24">
        <v>0.0</v>
      </c>
    </row>
    <row r="567">
      <c r="A567" s="24">
        <v>50.0</v>
      </c>
      <c r="B567" s="24">
        <v>2.0</v>
      </c>
      <c r="C567" s="47">
        <v>46.76</v>
      </c>
      <c r="D567" s="35">
        <v>44845.0</v>
      </c>
      <c r="E567" s="47">
        <v>23.38</v>
      </c>
      <c r="F567" s="47">
        <v>935.2</v>
      </c>
      <c r="G567" s="48">
        <v>0.04</v>
      </c>
      <c r="H567" s="24" t="s">
        <v>6765</v>
      </c>
      <c r="I567" s="47"/>
      <c r="J567" s="24">
        <v>0.0</v>
      </c>
    </row>
    <row r="568">
      <c r="A568" s="24">
        <v>44.0</v>
      </c>
      <c r="B568" s="24">
        <v>2.0</v>
      </c>
      <c r="C568" s="47">
        <v>31.97</v>
      </c>
      <c r="D568" s="35">
        <v>44846.0</v>
      </c>
      <c r="E568" s="47">
        <v>15.985</v>
      </c>
      <c r="F568" s="47">
        <v>726.590909090909</v>
      </c>
      <c r="G568" s="48">
        <v>0.0454545454545454</v>
      </c>
      <c r="H568" s="24" t="s">
        <v>6765</v>
      </c>
      <c r="I568" s="47"/>
      <c r="J568" s="24">
        <v>0.0</v>
      </c>
    </row>
    <row r="569">
      <c r="A569" s="24">
        <v>8.0</v>
      </c>
      <c r="B569" s="24">
        <v>2.0</v>
      </c>
      <c r="C569" s="47">
        <v>33.28</v>
      </c>
      <c r="D569" s="35">
        <v>44847.0</v>
      </c>
      <c r="E569" s="47">
        <v>16.64</v>
      </c>
      <c r="F569" s="47">
        <v>4160.0</v>
      </c>
      <c r="G569" s="48">
        <v>0.25</v>
      </c>
      <c r="H569" s="24" t="s">
        <v>6765</v>
      </c>
      <c r="I569" s="47"/>
      <c r="J569" s="24">
        <v>0.0</v>
      </c>
    </row>
    <row r="570">
      <c r="A570" s="24">
        <v>27.0</v>
      </c>
      <c r="B570" s="24">
        <v>2.0</v>
      </c>
      <c r="C570" s="47">
        <v>27.41</v>
      </c>
      <c r="D570" s="35">
        <v>44848.0</v>
      </c>
      <c r="E570" s="47">
        <v>13.705</v>
      </c>
      <c r="F570" s="47">
        <v>1015.18518518518</v>
      </c>
      <c r="G570" s="48">
        <v>0.074074074074074</v>
      </c>
      <c r="H570" s="24" t="s">
        <v>6765</v>
      </c>
      <c r="I570" s="47"/>
      <c r="J570" s="24">
        <v>0.0</v>
      </c>
    </row>
    <row r="571">
      <c r="A571" s="24">
        <v>12.0</v>
      </c>
      <c r="B571" s="24">
        <v>1.0</v>
      </c>
      <c r="C571" s="47">
        <v>20.01</v>
      </c>
      <c r="D571" s="35">
        <v>44849.0</v>
      </c>
      <c r="E571" s="47">
        <v>20.01</v>
      </c>
      <c r="F571" s="47">
        <v>1667.5</v>
      </c>
      <c r="G571" s="48">
        <v>0.0833333333333333</v>
      </c>
      <c r="H571" s="24" t="s">
        <v>6765</v>
      </c>
      <c r="I571" s="47"/>
      <c r="J571" s="24">
        <v>0.0</v>
      </c>
    </row>
    <row r="572">
      <c r="A572" s="24">
        <v>18.0</v>
      </c>
      <c r="B572" s="24">
        <v>0.0</v>
      </c>
      <c r="C572" s="47">
        <v>0.0</v>
      </c>
      <c r="D572" s="35">
        <v>44850.0</v>
      </c>
      <c r="E572" s="47"/>
      <c r="F572" s="47">
        <v>0.0</v>
      </c>
      <c r="G572" s="48">
        <v>0.0</v>
      </c>
      <c r="H572" s="24" t="s">
        <v>6765</v>
      </c>
      <c r="I572" s="47"/>
      <c r="J572" s="24">
        <v>0.0</v>
      </c>
    </row>
    <row r="573">
      <c r="A573" s="24">
        <v>24.0</v>
      </c>
      <c r="B573" s="24">
        <v>2.0</v>
      </c>
      <c r="C573" s="47">
        <v>41.73</v>
      </c>
      <c r="D573" s="35">
        <v>44851.0</v>
      </c>
      <c r="E573" s="47">
        <v>20.865</v>
      </c>
      <c r="F573" s="47">
        <v>1738.75</v>
      </c>
      <c r="G573" s="48">
        <v>0.0833333333333333</v>
      </c>
      <c r="H573" s="24" t="s">
        <v>6765</v>
      </c>
      <c r="I573" s="47"/>
      <c r="J573" s="24">
        <v>0.0</v>
      </c>
    </row>
    <row r="574">
      <c r="A574" s="24">
        <v>49.0</v>
      </c>
      <c r="B574" s="24">
        <v>1.0</v>
      </c>
      <c r="C574" s="47">
        <v>24.78</v>
      </c>
      <c r="D574" s="35">
        <v>44852.0</v>
      </c>
      <c r="E574" s="47">
        <v>24.78</v>
      </c>
      <c r="F574" s="47">
        <v>505.714285714285</v>
      </c>
      <c r="G574" s="48">
        <v>0.0204081632653061</v>
      </c>
      <c r="H574" s="24" t="s">
        <v>6765</v>
      </c>
      <c r="I574" s="47"/>
      <c r="J574" s="24">
        <v>0.0</v>
      </c>
    </row>
    <row r="575">
      <c r="A575" s="24">
        <v>3.0</v>
      </c>
      <c r="B575" s="24">
        <v>0.0</v>
      </c>
      <c r="C575" s="47">
        <v>0.0</v>
      </c>
      <c r="D575" s="35">
        <v>44853.0</v>
      </c>
      <c r="E575" s="47"/>
      <c r="F575" s="47">
        <v>0.0</v>
      </c>
      <c r="G575" s="48">
        <v>0.0</v>
      </c>
      <c r="H575" s="24" t="s">
        <v>6765</v>
      </c>
      <c r="I575" s="47"/>
      <c r="J575" s="24">
        <v>0.0</v>
      </c>
    </row>
    <row r="576">
      <c r="A576" s="24">
        <v>7.0</v>
      </c>
      <c r="B576" s="24">
        <v>0.0</v>
      </c>
      <c r="C576" s="47">
        <v>0.0</v>
      </c>
      <c r="D576" s="35">
        <v>44889.0</v>
      </c>
      <c r="E576" s="47"/>
      <c r="F576" s="47">
        <v>0.0</v>
      </c>
      <c r="G576" s="48">
        <v>0.0</v>
      </c>
      <c r="H576" s="24" t="s">
        <v>6765</v>
      </c>
      <c r="I576" s="47"/>
      <c r="J576" s="24">
        <v>0.0</v>
      </c>
    </row>
    <row r="577">
      <c r="A577" s="24">
        <v>8.0</v>
      </c>
      <c r="B577" s="24">
        <v>2.0</v>
      </c>
      <c r="C577" s="47">
        <v>37.62</v>
      </c>
      <c r="D577" s="35">
        <v>44890.0</v>
      </c>
      <c r="E577" s="47">
        <v>18.81</v>
      </c>
      <c r="F577" s="47">
        <v>4702.5</v>
      </c>
      <c r="G577" s="48">
        <v>0.25</v>
      </c>
      <c r="H577" s="24" t="s">
        <v>6765</v>
      </c>
      <c r="I577" s="47"/>
      <c r="J577" s="24">
        <v>0.0</v>
      </c>
    </row>
    <row r="578">
      <c r="A578" s="24">
        <v>6.0</v>
      </c>
      <c r="B578" s="24">
        <v>1.0</v>
      </c>
      <c r="C578" s="47">
        <v>23.39</v>
      </c>
      <c r="D578" s="35">
        <v>44891.0</v>
      </c>
      <c r="E578" s="47">
        <v>23.39</v>
      </c>
      <c r="F578" s="47">
        <v>3898.33333333333</v>
      </c>
      <c r="G578" s="48">
        <v>0.166666666666666</v>
      </c>
      <c r="H578" s="24" t="s">
        <v>6765</v>
      </c>
      <c r="I578" s="47"/>
      <c r="J578" s="24">
        <v>0.0</v>
      </c>
    </row>
    <row r="579">
      <c r="A579" s="24">
        <v>7.0</v>
      </c>
      <c r="B579" s="24">
        <v>0.0</v>
      </c>
      <c r="C579" s="47">
        <v>0.0</v>
      </c>
      <c r="D579" s="35">
        <v>44892.0</v>
      </c>
      <c r="E579" s="47"/>
      <c r="F579" s="47">
        <v>0.0</v>
      </c>
      <c r="G579" s="48">
        <v>0.0</v>
      </c>
      <c r="H579" s="24" t="s">
        <v>6765</v>
      </c>
      <c r="I579" s="47"/>
      <c r="J579" s="24">
        <v>0.0</v>
      </c>
    </row>
    <row r="580">
      <c r="A580" s="24">
        <v>47.0</v>
      </c>
      <c r="B580" s="24">
        <v>2.0</v>
      </c>
      <c r="C580" s="47">
        <v>49.38</v>
      </c>
      <c r="D580" s="35">
        <v>44893.0</v>
      </c>
      <c r="E580" s="47">
        <v>24.69</v>
      </c>
      <c r="F580" s="47">
        <v>1050.63829787234</v>
      </c>
      <c r="G580" s="48">
        <v>0.0425531914893617</v>
      </c>
      <c r="H580" s="24" t="s">
        <v>6765</v>
      </c>
      <c r="I580" s="47"/>
      <c r="J580" s="24">
        <v>0.0</v>
      </c>
    </row>
    <row r="581">
      <c r="A581" s="24">
        <v>21.0</v>
      </c>
      <c r="B581" s="24">
        <v>2.0</v>
      </c>
      <c r="C581" s="47">
        <v>48.3</v>
      </c>
      <c r="D581" s="35">
        <v>44894.0</v>
      </c>
      <c r="E581" s="47">
        <v>24.15</v>
      </c>
      <c r="F581" s="47">
        <v>2300.0</v>
      </c>
      <c r="G581" s="48">
        <v>0.0952380952380952</v>
      </c>
      <c r="H581" s="24" t="s">
        <v>6765</v>
      </c>
      <c r="I581" s="47"/>
      <c r="J581" s="24">
        <v>0.0</v>
      </c>
    </row>
    <row r="582">
      <c r="A582" s="24">
        <v>42.0</v>
      </c>
      <c r="B582" s="24">
        <v>1.0</v>
      </c>
      <c r="C582" s="47">
        <v>15.18</v>
      </c>
      <c r="D582" s="35">
        <v>44895.0</v>
      </c>
      <c r="E582" s="47">
        <v>15.18</v>
      </c>
      <c r="F582" s="47">
        <v>361.428571428571</v>
      </c>
      <c r="G582" s="48">
        <v>0.0238095238095238</v>
      </c>
      <c r="H582" s="24" t="s">
        <v>6765</v>
      </c>
      <c r="I582" s="47"/>
      <c r="J582" s="24">
        <v>0.0</v>
      </c>
    </row>
    <row r="583">
      <c r="A583" s="24">
        <v>48.0</v>
      </c>
      <c r="B583" s="24">
        <v>1.0</v>
      </c>
      <c r="C583" s="47">
        <v>22.78</v>
      </c>
      <c r="D583" s="35">
        <v>44896.0</v>
      </c>
      <c r="E583" s="47">
        <v>22.78</v>
      </c>
      <c r="F583" s="47">
        <v>474.583333333333</v>
      </c>
      <c r="G583" s="48">
        <v>0.0208333333333333</v>
      </c>
      <c r="H583" s="24" t="s">
        <v>6765</v>
      </c>
      <c r="I583" s="47"/>
      <c r="J583" s="24">
        <v>0.0</v>
      </c>
    </row>
    <row r="584">
      <c r="A584" s="24">
        <v>54.0</v>
      </c>
      <c r="B584" s="24">
        <v>1.0</v>
      </c>
      <c r="C584" s="47">
        <v>18.05</v>
      </c>
      <c r="D584" s="35">
        <v>44897.0</v>
      </c>
      <c r="E584" s="47">
        <v>18.05</v>
      </c>
      <c r="F584" s="47">
        <v>334.259259259259</v>
      </c>
      <c r="G584" s="48">
        <v>0.0185185185185185</v>
      </c>
      <c r="H584" s="24" t="s">
        <v>6765</v>
      </c>
      <c r="I584" s="47"/>
      <c r="J584" s="24">
        <v>0.0</v>
      </c>
    </row>
    <row r="585">
      <c r="A585" s="24">
        <v>9.0</v>
      </c>
      <c r="B585" s="24">
        <v>1.0</v>
      </c>
      <c r="C585" s="47">
        <v>20.06</v>
      </c>
      <c r="D585" s="35">
        <v>44898.0</v>
      </c>
      <c r="E585" s="47">
        <v>20.06</v>
      </c>
      <c r="F585" s="47">
        <v>2228.88888888888</v>
      </c>
      <c r="G585" s="48">
        <v>0.111111111111111</v>
      </c>
      <c r="H585" s="24" t="s">
        <v>6765</v>
      </c>
      <c r="I585" s="47"/>
      <c r="J585" s="24">
        <v>0.0</v>
      </c>
    </row>
    <row r="586">
      <c r="A586" s="24">
        <v>14.0</v>
      </c>
      <c r="B586" s="24">
        <v>1.0</v>
      </c>
      <c r="C586" s="47">
        <v>3.31</v>
      </c>
      <c r="D586" s="35">
        <v>44899.0</v>
      </c>
      <c r="E586" s="47">
        <v>3.31</v>
      </c>
      <c r="F586" s="47">
        <v>236.428571428571</v>
      </c>
      <c r="G586" s="48">
        <v>0.0714285714285714</v>
      </c>
      <c r="H586" s="24" t="s">
        <v>6765</v>
      </c>
      <c r="I586" s="47"/>
      <c r="J586" s="24">
        <v>0.0</v>
      </c>
    </row>
    <row r="587">
      <c r="A587" s="24">
        <v>58.0</v>
      </c>
      <c r="B587" s="24">
        <v>2.0</v>
      </c>
      <c r="C587" s="47">
        <v>40.13</v>
      </c>
      <c r="D587" s="35">
        <v>44900.0</v>
      </c>
      <c r="E587" s="47">
        <v>20.065</v>
      </c>
      <c r="F587" s="47">
        <v>691.896551724138</v>
      </c>
      <c r="G587" s="48">
        <v>0.0344827586206896</v>
      </c>
      <c r="H587" s="24" t="s">
        <v>6765</v>
      </c>
      <c r="I587" s="47"/>
      <c r="J587" s="24">
        <v>0.0</v>
      </c>
    </row>
    <row r="588">
      <c r="A588" s="24">
        <v>56.0</v>
      </c>
      <c r="B588" s="24">
        <v>2.0</v>
      </c>
      <c r="C588" s="47">
        <v>45.23</v>
      </c>
      <c r="D588" s="35">
        <v>44901.0</v>
      </c>
      <c r="E588" s="47">
        <v>22.615</v>
      </c>
      <c r="F588" s="47">
        <v>807.678571428571</v>
      </c>
      <c r="G588" s="48">
        <v>0.0357142857142857</v>
      </c>
      <c r="H588" s="24" t="s">
        <v>6765</v>
      </c>
      <c r="I588" s="47"/>
      <c r="J588" s="24">
        <v>0.0</v>
      </c>
    </row>
    <row r="589">
      <c r="A589" s="24">
        <v>61.0</v>
      </c>
      <c r="B589" s="24">
        <v>1.0</v>
      </c>
      <c r="C589" s="47">
        <v>21.74</v>
      </c>
      <c r="D589" s="35">
        <v>44902.0</v>
      </c>
      <c r="E589" s="47">
        <v>21.74</v>
      </c>
      <c r="F589" s="47">
        <v>356.39344262295</v>
      </c>
      <c r="G589" s="48">
        <v>0.0163934426229508</v>
      </c>
      <c r="H589" s="24" t="s">
        <v>6765</v>
      </c>
      <c r="I589" s="47"/>
      <c r="J589" s="24">
        <v>0.0</v>
      </c>
    </row>
    <row r="590">
      <c r="A590" s="24">
        <v>40.0</v>
      </c>
      <c r="B590" s="24">
        <v>2.0</v>
      </c>
      <c r="C590" s="47">
        <v>40.35</v>
      </c>
      <c r="D590" s="35">
        <v>44903.0</v>
      </c>
      <c r="E590" s="47">
        <v>20.175</v>
      </c>
      <c r="F590" s="47">
        <v>1008.75</v>
      </c>
      <c r="G590" s="48">
        <v>0.05</v>
      </c>
      <c r="H590" s="24" t="s">
        <v>6765</v>
      </c>
      <c r="I590" s="47"/>
      <c r="J590" s="24">
        <v>0.0</v>
      </c>
    </row>
    <row r="591">
      <c r="A591" s="24">
        <v>14.0</v>
      </c>
      <c r="B591" s="24">
        <v>2.0</v>
      </c>
      <c r="C591" s="47">
        <v>36.73</v>
      </c>
      <c r="D591" s="35">
        <v>44904.0</v>
      </c>
      <c r="E591" s="47">
        <v>18.365</v>
      </c>
      <c r="F591" s="47">
        <v>2623.57142857142</v>
      </c>
      <c r="G591" s="48">
        <v>0.142857142857142</v>
      </c>
      <c r="H591" s="24" t="s">
        <v>6765</v>
      </c>
      <c r="I591" s="47"/>
      <c r="J591" s="24">
        <v>0.0</v>
      </c>
    </row>
    <row r="592">
      <c r="A592" s="24">
        <v>23.0</v>
      </c>
      <c r="B592" s="24">
        <v>0.0</v>
      </c>
      <c r="C592" s="47">
        <v>0.0</v>
      </c>
      <c r="D592" s="35">
        <v>44905.0</v>
      </c>
      <c r="E592" s="47"/>
      <c r="F592" s="47">
        <v>0.0</v>
      </c>
      <c r="G592" s="48">
        <v>0.0</v>
      </c>
      <c r="H592" s="24" t="s">
        <v>6765</v>
      </c>
      <c r="I592" s="47"/>
      <c r="J592" s="24">
        <v>0.0</v>
      </c>
    </row>
    <row r="593">
      <c r="A593" s="24">
        <v>10.0</v>
      </c>
      <c r="B593" s="24">
        <v>1.0</v>
      </c>
      <c r="C593" s="47">
        <v>24.0</v>
      </c>
      <c r="D593" s="35">
        <v>44906.0</v>
      </c>
      <c r="E593" s="47">
        <v>24.0</v>
      </c>
      <c r="F593" s="47">
        <v>2400.0</v>
      </c>
      <c r="G593" s="48">
        <v>0.1</v>
      </c>
      <c r="H593" s="24" t="s">
        <v>6765</v>
      </c>
      <c r="I593" s="47"/>
      <c r="J593" s="24">
        <v>0.0</v>
      </c>
    </row>
    <row r="594">
      <c r="A594" s="24">
        <v>11.0</v>
      </c>
      <c r="B594" s="24">
        <v>2.0</v>
      </c>
      <c r="C594" s="47">
        <v>37.83</v>
      </c>
      <c r="D594" s="35">
        <v>44907.0</v>
      </c>
      <c r="E594" s="47">
        <v>18.915</v>
      </c>
      <c r="F594" s="47">
        <v>3439.0909090909</v>
      </c>
      <c r="G594" s="48">
        <v>0.181818181818181</v>
      </c>
      <c r="H594" s="24" t="s">
        <v>6765</v>
      </c>
      <c r="I594" s="47"/>
      <c r="J594" s="24">
        <v>0.0</v>
      </c>
    </row>
    <row r="595">
      <c r="A595" s="24">
        <v>55.0</v>
      </c>
      <c r="B595" s="24">
        <v>4.0</v>
      </c>
      <c r="C595" s="47">
        <v>26.32</v>
      </c>
      <c r="D595" s="35">
        <v>44908.0</v>
      </c>
      <c r="E595" s="47">
        <v>6.58</v>
      </c>
      <c r="F595" s="47">
        <v>478.545454545454</v>
      </c>
      <c r="G595" s="48">
        <v>0.0727272727272727</v>
      </c>
      <c r="H595" s="24" t="s">
        <v>6765</v>
      </c>
      <c r="I595" s="47"/>
      <c r="J595" s="24">
        <v>0.0</v>
      </c>
    </row>
    <row r="596">
      <c r="A596" s="24">
        <v>92.0</v>
      </c>
      <c r="B596" s="24">
        <v>1.0</v>
      </c>
      <c r="C596" s="47">
        <v>8.43</v>
      </c>
      <c r="D596" s="35">
        <v>44909.0</v>
      </c>
      <c r="E596" s="47">
        <v>8.43</v>
      </c>
      <c r="F596" s="47">
        <v>91.6304347826086</v>
      </c>
      <c r="G596" s="48">
        <v>0.0108695652173913</v>
      </c>
      <c r="H596" s="24" t="s">
        <v>6765</v>
      </c>
      <c r="I596" s="47"/>
      <c r="J596" s="24">
        <v>0.0</v>
      </c>
    </row>
    <row r="597">
      <c r="A597" s="24">
        <v>55.0</v>
      </c>
      <c r="B597" s="24">
        <v>2.0</v>
      </c>
      <c r="C597" s="47">
        <v>23.86</v>
      </c>
      <c r="D597" s="35">
        <v>44910.0</v>
      </c>
      <c r="E597" s="47">
        <v>11.93</v>
      </c>
      <c r="F597" s="47">
        <v>433.818181818181</v>
      </c>
      <c r="G597" s="48">
        <v>0.0363636363636363</v>
      </c>
      <c r="H597" s="24" t="s">
        <v>6765</v>
      </c>
      <c r="I597" s="47"/>
      <c r="J597" s="24">
        <v>0.0</v>
      </c>
    </row>
    <row r="598">
      <c r="A598" s="24">
        <v>51.0</v>
      </c>
      <c r="B598" s="24">
        <v>3.0</v>
      </c>
      <c r="C598" s="47">
        <v>40.67</v>
      </c>
      <c r="D598" s="35">
        <v>44911.0</v>
      </c>
      <c r="E598" s="47">
        <v>13.5566666666666</v>
      </c>
      <c r="F598" s="47">
        <v>797.450980392156</v>
      </c>
      <c r="G598" s="48">
        <v>0.0588235294117647</v>
      </c>
      <c r="H598" s="24" t="s">
        <v>6765</v>
      </c>
      <c r="I598" s="47"/>
      <c r="J598" s="24">
        <v>0.0</v>
      </c>
    </row>
    <row r="599">
      <c r="A599" s="24">
        <v>11.0</v>
      </c>
      <c r="B599" s="24">
        <v>0.0</v>
      </c>
      <c r="C599" s="47">
        <v>0.0</v>
      </c>
      <c r="D599" s="35">
        <v>44912.0</v>
      </c>
      <c r="E599" s="47"/>
      <c r="F599" s="47">
        <v>0.0</v>
      </c>
      <c r="G599" s="48">
        <v>0.0</v>
      </c>
      <c r="H599" s="24" t="s">
        <v>6765</v>
      </c>
      <c r="I599" s="47"/>
      <c r="J599" s="24">
        <v>0.0</v>
      </c>
    </row>
    <row r="600">
      <c r="A600" s="24">
        <v>15.0</v>
      </c>
      <c r="B600" s="24">
        <v>1.0</v>
      </c>
      <c r="C600" s="47">
        <v>8.92</v>
      </c>
      <c r="D600" s="35">
        <v>44913.0</v>
      </c>
      <c r="E600" s="47">
        <v>8.92</v>
      </c>
      <c r="F600" s="47">
        <v>594.666666666666</v>
      </c>
      <c r="G600" s="48">
        <v>0.0666666666666666</v>
      </c>
      <c r="H600" s="24" t="s">
        <v>6765</v>
      </c>
      <c r="I600" s="47"/>
      <c r="J600" s="24">
        <v>0.0</v>
      </c>
    </row>
    <row r="601">
      <c r="A601" s="24">
        <v>61.0</v>
      </c>
      <c r="B601" s="24">
        <v>3.0</v>
      </c>
      <c r="C601" s="47">
        <v>42.12</v>
      </c>
      <c r="D601" s="35">
        <v>44914.0</v>
      </c>
      <c r="E601" s="47">
        <v>14.04</v>
      </c>
      <c r="F601" s="47">
        <v>690.491803278688</v>
      </c>
      <c r="G601" s="48">
        <v>0.0491803278688524</v>
      </c>
      <c r="H601" s="24" t="s">
        <v>6765</v>
      </c>
      <c r="I601" s="47"/>
      <c r="J601" s="24">
        <v>0.0</v>
      </c>
    </row>
    <row r="602">
      <c r="A602" s="24">
        <v>66.0</v>
      </c>
      <c r="B602" s="24">
        <v>2.0</v>
      </c>
      <c r="C602" s="47">
        <v>29.61</v>
      </c>
      <c r="D602" s="35">
        <v>44915.0</v>
      </c>
      <c r="E602" s="47">
        <v>14.805</v>
      </c>
      <c r="F602" s="47">
        <v>448.636363636363</v>
      </c>
      <c r="G602" s="48">
        <v>0.0303030303030303</v>
      </c>
      <c r="H602" s="24" t="s">
        <v>6765</v>
      </c>
      <c r="I602" s="47"/>
      <c r="J602" s="24">
        <v>0.0</v>
      </c>
    </row>
    <row r="603">
      <c r="A603" s="24">
        <v>63.0</v>
      </c>
      <c r="B603" s="24">
        <v>1.0</v>
      </c>
      <c r="C603" s="47">
        <v>14.41</v>
      </c>
      <c r="D603" s="35">
        <v>44916.0</v>
      </c>
      <c r="E603" s="47">
        <v>14.41</v>
      </c>
      <c r="F603" s="47">
        <v>228.730158730158</v>
      </c>
      <c r="G603" s="48">
        <v>0.0158730158730158</v>
      </c>
      <c r="H603" s="24" t="s">
        <v>6765</v>
      </c>
      <c r="I603" s="47"/>
      <c r="J603" s="24">
        <v>0.0</v>
      </c>
    </row>
    <row r="604">
      <c r="A604" s="24">
        <v>54.0</v>
      </c>
      <c r="B604" s="24">
        <v>0.0</v>
      </c>
      <c r="C604" s="47">
        <v>0.0</v>
      </c>
      <c r="D604" s="35">
        <v>44917.0</v>
      </c>
      <c r="E604" s="47"/>
      <c r="F604" s="47">
        <v>0.0</v>
      </c>
      <c r="G604" s="48">
        <v>0.0</v>
      </c>
      <c r="H604" s="24" t="s">
        <v>6765</v>
      </c>
      <c r="I604" s="47"/>
      <c r="J604" s="24">
        <v>0.0</v>
      </c>
    </row>
    <row r="605">
      <c r="A605" s="24">
        <v>29.0</v>
      </c>
      <c r="B605" s="24">
        <v>1.0</v>
      </c>
      <c r="C605" s="47">
        <v>8.38</v>
      </c>
      <c r="D605" s="35">
        <v>44918.0</v>
      </c>
      <c r="E605" s="47">
        <v>8.38</v>
      </c>
      <c r="F605" s="47">
        <v>288.965517241379</v>
      </c>
      <c r="G605" s="48">
        <v>0.0344827586206896</v>
      </c>
      <c r="H605" s="24" t="s">
        <v>6765</v>
      </c>
      <c r="I605" s="47"/>
      <c r="J605" s="24">
        <v>0.0</v>
      </c>
    </row>
    <row r="606">
      <c r="A606" s="24">
        <v>8.0</v>
      </c>
      <c r="B606" s="24">
        <v>0.0</v>
      </c>
      <c r="C606" s="47">
        <v>0.0</v>
      </c>
      <c r="D606" s="35">
        <v>44919.0</v>
      </c>
      <c r="E606" s="47"/>
      <c r="F606" s="47">
        <v>0.0</v>
      </c>
      <c r="G606" s="48">
        <v>0.0</v>
      </c>
      <c r="H606" s="24" t="s">
        <v>6765</v>
      </c>
      <c r="I606" s="47"/>
      <c r="J606" s="24">
        <v>0.0</v>
      </c>
    </row>
    <row r="607">
      <c r="A607" s="24">
        <v>8.0</v>
      </c>
      <c r="B607" s="24">
        <v>0.0</v>
      </c>
      <c r="C607" s="47">
        <v>0.0</v>
      </c>
      <c r="D607" s="35">
        <v>44920.0</v>
      </c>
      <c r="E607" s="47"/>
      <c r="F607" s="47">
        <v>0.0</v>
      </c>
      <c r="G607" s="48">
        <v>0.0</v>
      </c>
      <c r="H607" s="24" t="s">
        <v>6765</v>
      </c>
      <c r="I607" s="47"/>
      <c r="J607" s="24">
        <v>0.0</v>
      </c>
    </row>
    <row r="608">
      <c r="A608" s="24">
        <v>5.0</v>
      </c>
      <c r="B608" s="24">
        <v>2.0</v>
      </c>
      <c r="C608" s="47">
        <v>29.18</v>
      </c>
      <c r="D608" s="35">
        <v>44921.0</v>
      </c>
      <c r="E608" s="47">
        <v>14.59</v>
      </c>
      <c r="F608" s="47">
        <v>5836.0</v>
      </c>
      <c r="G608" s="48">
        <v>0.4</v>
      </c>
      <c r="H608" s="24" t="s">
        <v>6765</v>
      </c>
      <c r="I608" s="47"/>
      <c r="J608" s="24">
        <v>0.0</v>
      </c>
    </row>
    <row r="609">
      <c r="A609" s="24">
        <v>17.0</v>
      </c>
      <c r="B609" s="24">
        <v>1.0</v>
      </c>
      <c r="C609" s="47">
        <v>12.4</v>
      </c>
      <c r="D609" s="35">
        <v>44922.0</v>
      </c>
      <c r="E609" s="47">
        <v>12.4</v>
      </c>
      <c r="F609" s="47">
        <v>729.411764705882</v>
      </c>
      <c r="G609" s="48">
        <v>0.0588235294117647</v>
      </c>
      <c r="H609" s="24" t="s">
        <v>6765</v>
      </c>
      <c r="I609" s="47"/>
      <c r="J609" s="24">
        <v>0.0</v>
      </c>
    </row>
    <row r="610">
      <c r="A610" s="24">
        <v>35.0</v>
      </c>
      <c r="B610" s="24">
        <v>1.0</v>
      </c>
      <c r="C610" s="47">
        <v>14.4</v>
      </c>
      <c r="D610" s="35">
        <v>44923.0</v>
      </c>
      <c r="E610" s="47">
        <v>14.4</v>
      </c>
      <c r="F610" s="47">
        <v>411.428571428571</v>
      </c>
      <c r="G610" s="48">
        <v>0.0285714285714285</v>
      </c>
      <c r="H610" s="24" t="s">
        <v>6765</v>
      </c>
      <c r="I610" s="47"/>
      <c r="J610" s="24">
        <v>0.0</v>
      </c>
    </row>
    <row r="611">
      <c r="A611" s="24">
        <v>8.0</v>
      </c>
      <c r="B611" s="24">
        <v>1.0</v>
      </c>
      <c r="C611" s="47">
        <v>14.73</v>
      </c>
      <c r="D611" s="35">
        <v>44924.0</v>
      </c>
      <c r="E611" s="47">
        <v>14.73</v>
      </c>
      <c r="F611" s="47">
        <v>1841.25</v>
      </c>
      <c r="G611" s="48">
        <v>0.125</v>
      </c>
      <c r="H611" s="24" t="s">
        <v>6765</v>
      </c>
      <c r="I611" s="47"/>
      <c r="J611" s="24">
        <v>0.0</v>
      </c>
    </row>
    <row r="612">
      <c r="A612" s="24">
        <v>18.0</v>
      </c>
      <c r="B612" s="24">
        <v>0.0</v>
      </c>
      <c r="C612" s="47">
        <v>0.0</v>
      </c>
      <c r="D612" s="35">
        <v>44925.0</v>
      </c>
      <c r="E612" s="47"/>
      <c r="F612" s="47">
        <v>0.0</v>
      </c>
      <c r="G612" s="48">
        <v>0.0</v>
      </c>
      <c r="H612" s="24" t="s">
        <v>6765</v>
      </c>
      <c r="I612" s="47"/>
      <c r="J612" s="24">
        <v>0.0</v>
      </c>
    </row>
    <row r="613">
      <c r="A613" s="24">
        <v>7.0</v>
      </c>
      <c r="B613" s="24">
        <v>0.0</v>
      </c>
      <c r="C613" s="47">
        <v>0.0</v>
      </c>
      <c r="D613" s="35">
        <v>44926.0</v>
      </c>
      <c r="E613" s="47"/>
      <c r="F613" s="47">
        <v>0.0</v>
      </c>
      <c r="G613" s="48">
        <v>0.0</v>
      </c>
      <c r="H613" s="24" t="s">
        <v>6765</v>
      </c>
      <c r="I613" s="47"/>
      <c r="J613" s="24">
        <v>0.0</v>
      </c>
    </row>
    <row r="614">
      <c r="A614" s="24">
        <v>6.0</v>
      </c>
      <c r="B614" s="24">
        <v>0.0</v>
      </c>
      <c r="C614" s="47">
        <v>0.0</v>
      </c>
      <c r="D614" s="35">
        <v>44927.0</v>
      </c>
      <c r="E614" s="47"/>
      <c r="F614" s="47">
        <v>0.0</v>
      </c>
      <c r="G614" s="48">
        <v>0.0</v>
      </c>
      <c r="H614" s="24" t="s">
        <v>6765</v>
      </c>
      <c r="I614" s="47"/>
      <c r="J614" s="24">
        <v>0.0</v>
      </c>
    </row>
    <row r="615">
      <c r="A615" s="24">
        <v>24.0</v>
      </c>
      <c r="B615" s="24">
        <v>1.0</v>
      </c>
      <c r="C615" s="47">
        <v>10.2</v>
      </c>
      <c r="D615" s="35">
        <v>44928.0</v>
      </c>
      <c r="E615" s="47">
        <v>10.2</v>
      </c>
      <c r="F615" s="47">
        <v>425.0</v>
      </c>
      <c r="G615" s="48">
        <v>0.0416666666666666</v>
      </c>
      <c r="H615" s="24" t="s">
        <v>6765</v>
      </c>
      <c r="I615" s="47"/>
      <c r="J615" s="24">
        <v>0.0</v>
      </c>
    </row>
    <row r="616">
      <c r="A616" s="24">
        <v>57.0</v>
      </c>
      <c r="B616" s="24">
        <v>1.0</v>
      </c>
      <c r="C616" s="47">
        <v>14.75</v>
      </c>
      <c r="D616" s="35">
        <v>44929.0</v>
      </c>
      <c r="E616" s="47">
        <v>14.75</v>
      </c>
      <c r="F616" s="47">
        <v>258.771929824561</v>
      </c>
      <c r="G616" s="48">
        <v>0.0175438596491228</v>
      </c>
      <c r="H616" s="24" t="s">
        <v>6765</v>
      </c>
      <c r="I616" s="47"/>
      <c r="J616" s="24">
        <v>0.0</v>
      </c>
    </row>
    <row r="617">
      <c r="A617" s="24">
        <v>78.0</v>
      </c>
      <c r="B617" s="24">
        <v>2.0</v>
      </c>
      <c r="C617" s="47">
        <v>28.07</v>
      </c>
      <c r="D617" s="35">
        <v>44930.0</v>
      </c>
      <c r="E617" s="47">
        <v>14.035</v>
      </c>
      <c r="F617" s="47">
        <v>359.871794871794</v>
      </c>
      <c r="G617" s="48">
        <v>0.0256410256410256</v>
      </c>
      <c r="H617" s="24" t="s">
        <v>6765</v>
      </c>
      <c r="I617" s="47"/>
      <c r="J617" s="24">
        <v>0.0</v>
      </c>
    </row>
    <row r="618">
      <c r="A618" s="24">
        <v>54.0</v>
      </c>
      <c r="B618" s="24">
        <v>4.0</v>
      </c>
      <c r="C618" s="47">
        <v>43.27</v>
      </c>
      <c r="D618" s="35">
        <v>44931.0</v>
      </c>
      <c r="E618" s="47">
        <v>10.8175</v>
      </c>
      <c r="F618" s="47">
        <v>801.296296296296</v>
      </c>
      <c r="G618" s="48">
        <v>0.074074074074074</v>
      </c>
      <c r="H618" s="24" t="s">
        <v>6765</v>
      </c>
      <c r="I618" s="47"/>
      <c r="J618" s="24">
        <v>0.0</v>
      </c>
    </row>
    <row r="619">
      <c r="A619" s="24">
        <v>25.0</v>
      </c>
      <c r="B619" s="24">
        <v>4.0</v>
      </c>
      <c r="C619" s="47">
        <v>49.53</v>
      </c>
      <c r="D619" s="35">
        <v>44932.0</v>
      </c>
      <c r="E619" s="47">
        <v>12.3825</v>
      </c>
      <c r="F619" s="47">
        <v>1981.2</v>
      </c>
      <c r="G619" s="48">
        <v>0.16</v>
      </c>
      <c r="H619" s="24" t="s">
        <v>6765</v>
      </c>
      <c r="I619" s="47"/>
      <c r="J619" s="24">
        <v>0.0</v>
      </c>
    </row>
    <row r="620">
      <c r="A620" s="24">
        <v>9.0</v>
      </c>
      <c r="B620" s="24">
        <v>0.0</v>
      </c>
      <c r="C620" s="47">
        <v>0.0</v>
      </c>
      <c r="D620" s="35">
        <v>44933.0</v>
      </c>
      <c r="E620" s="47"/>
      <c r="F620" s="47">
        <v>0.0</v>
      </c>
      <c r="G620" s="48">
        <v>0.0</v>
      </c>
      <c r="H620" s="24" t="s">
        <v>6765</v>
      </c>
      <c r="I620" s="47"/>
      <c r="J620" s="24">
        <v>0.0</v>
      </c>
    </row>
    <row r="621">
      <c r="A621" s="24">
        <v>19.0</v>
      </c>
      <c r="B621" s="24">
        <v>0.0</v>
      </c>
      <c r="C621" s="47">
        <v>0.0</v>
      </c>
      <c r="D621" s="35">
        <v>44934.0</v>
      </c>
      <c r="E621" s="47"/>
      <c r="F621" s="47">
        <v>0.0</v>
      </c>
      <c r="G621" s="48">
        <v>0.0</v>
      </c>
      <c r="H621" s="24" t="s">
        <v>6765</v>
      </c>
      <c r="I621" s="47"/>
      <c r="J621" s="24">
        <v>0.0</v>
      </c>
    </row>
    <row r="622">
      <c r="A622" s="24">
        <v>80.0</v>
      </c>
      <c r="B622" s="24">
        <v>3.0</v>
      </c>
      <c r="C622" s="47">
        <v>38.39</v>
      </c>
      <c r="D622" s="35">
        <v>44935.0</v>
      </c>
      <c r="E622" s="47">
        <v>12.7966666666666</v>
      </c>
      <c r="F622" s="47">
        <v>479.875</v>
      </c>
      <c r="G622" s="48">
        <v>0.0375</v>
      </c>
      <c r="H622" s="24" t="s">
        <v>6765</v>
      </c>
      <c r="I622" s="47"/>
      <c r="J622" s="24">
        <v>0.0</v>
      </c>
    </row>
    <row r="623">
      <c r="A623" s="24">
        <v>93.0</v>
      </c>
      <c r="B623" s="24">
        <v>2.0</v>
      </c>
      <c r="C623" s="47">
        <v>19.87</v>
      </c>
      <c r="D623" s="35">
        <v>44936.0</v>
      </c>
      <c r="E623" s="47">
        <v>9.935</v>
      </c>
      <c r="F623" s="47">
        <v>213.655913978494</v>
      </c>
      <c r="G623" s="48">
        <v>0.021505376344086</v>
      </c>
      <c r="H623" s="24" t="s">
        <v>6765</v>
      </c>
      <c r="I623" s="47"/>
      <c r="J623" s="24">
        <v>0.0</v>
      </c>
    </row>
    <row r="624">
      <c r="A624" s="24">
        <v>79.0</v>
      </c>
      <c r="B624" s="24">
        <v>3.0</v>
      </c>
      <c r="C624" s="47">
        <v>43.34</v>
      </c>
      <c r="D624" s="35">
        <v>44937.0</v>
      </c>
      <c r="E624" s="47">
        <v>14.4466666666666</v>
      </c>
      <c r="F624" s="47">
        <v>548.607594936708</v>
      </c>
      <c r="G624" s="48">
        <v>0.0379746835443038</v>
      </c>
      <c r="H624" s="24" t="s">
        <v>6765</v>
      </c>
      <c r="I624" s="47"/>
      <c r="J624" s="24">
        <v>0.0</v>
      </c>
    </row>
    <row r="625">
      <c r="A625" s="24">
        <v>36.0</v>
      </c>
      <c r="B625" s="24">
        <v>3.0</v>
      </c>
      <c r="C625" s="47">
        <v>35.14</v>
      </c>
      <c r="D625" s="35">
        <v>44938.0</v>
      </c>
      <c r="E625" s="47">
        <v>11.7133333333333</v>
      </c>
      <c r="F625" s="47">
        <v>976.111111111111</v>
      </c>
      <c r="G625" s="48">
        <v>0.0833333333333333</v>
      </c>
      <c r="H625" s="24" t="s">
        <v>6765</v>
      </c>
      <c r="I625" s="47"/>
      <c r="J625" s="24">
        <v>0.0</v>
      </c>
    </row>
    <row r="626">
      <c r="A626" s="24">
        <v>60.0</v>
      </c>
      <c r="B626" s="24">
        <v>2.0</v>
      </c>
      <c r="C626" s="47">
        <v>22.72</v>
      </c>
      <c r="D626" s="35">
        <v>44939.0</v>
      </c>
      <c r="E626" s="47">
        <v>11.36</v>
      </c>
      <c r="F626" s="47">
        <v>378.666666666666</v>
      </c>
      <c r="G626" s="48">
        <v>0.0333333333333333</v>
      </c>
      <c r="H626" s="24" t="s">
        <v>6765</v>
      </c>
      <c r="I626" s="47"/>
      <c r="J626" s="24">
        <v>0.0</v>
      </c>
    </row>
    <row r="627">
      <c r="A627" s="24">
        <v>8.0</v>
      </c>
      <c r="B627" s="24">
        <v>0.0</v>
      </c>
      <c r="C627" s="47">
        <v>0.0</v>
      </c>
      <c r="D627" s="35">
        <v>44940.0</v>
      </c>
      <c r="E627" s="47"/>
      <c r="F627" s="47">
        <v>0.0</v>
      </c>
      <c r="G627" s="48">
        <v>0.0</v>
      </c>
      <c r="H627" s="24" t="s">
        <v>6765</v>
      </c>
      <c r="I627" s="47"/>
      <c r="J627" s="24">
        <v>0.0</v>
      </c>
    </row>
    <row r="628">
      <c r="A628" s="24">
        <v>15.0</v>
      </c>
      <c r="B628" s="24">
        <v>1.0</v>
      </c>
      <c r="C628" s="47">
        <v>9.24</v>
      </c>
      <c r="D628" s="35">
        <v>44941.0</v>
      </c>
      <c r="E628" s="47">
        <v>9.24</v>
      </c>
      <c r="F628" s="47">
        <v>616.0</v>
      </c>
      <c r="G628" s="48">
        <v>0.0666666666666666</v>
      </c>
      <c r="H628" s="24" t="s">
        <v>6765</v>
      </c>
      <c r="I628" s="47"/>
      <c r="J628" s="24">
        <v>0.0</v>
      </c>
    </row>
    <row r="629">
      <c r="A629" s="24">
        <v>37.0</v>
      </c>
      <c r="B629" s="24">
        <v>2.0</v>
      </c>
      <c r="C629" s="47">
        <v>28.93</v>
      </c>
      <c r="D629" s="35">
        <v>44942.0</v>
      </c>
      <c r="E629" s="47">
        <v>14.465</v>
      </c>
      <c r="F629" s="47">
        <v>781.891891891891</v>
      </c>
      <c r="G629" s="48">
        <v>0.054054054054054</v>
      </c>
      <c r="H629" s="24" t="s">
        <v>6765</v>
      </c>
      <c r="I629" s="47"/>
      <c r="J629" s="24">
        <v>0.0</v>
      </c>
    </row>
    <row r="630">
      <c r="A630" s="24">
        <v>72.0</v>
      </c>
      <c r="B630" s="24">
        <v>0.0</v>
      </c>
      <c r="C630" s="47">
        <v>0.0</v>
      </c>
      <c r="D630" s="35">
        <v>44943.0</v>
      </c>
      <c r="E630" s="47"/>
      <c r="F630" s="47">
        <v>0.0</v>
      </c>
      <c r="G630" s="48">
        <v>0.0</v>
      </c>
      <c r="H630" s="24" t="s">
        <v>6765</v>
      </c>
      <c r="I630" s="47"/>
      <c r="J630" s="24">
        <v>0.0</v>
      </c>
    </row>
    <row r="631">
      <c r="A631" s="24">
        <v>85.0</v>
      </c>
      <c r="B631" s="24">
        <v>4.0</v>
      </c>
      <c r="C631" s="47">
        <v>46.95</v>
      </c>
      <c r="D631" s="35">
        <v>44944.0</v>
      </c>
      <c r="E631" s="47">
        <v>11.7375</v>
      </c>
      <c r="F631" s="47">
        <v>552.35294117647</v>
      </c>
      <c r="G631" s="48">
        <v>0.0470588235294117</v>
      </c>
      <c r="H631" s="24" t="s">
        <v>6765</v>
      </c>
      <c r="I631" s="47"/>
      <c r="J631" s="24">
        <v>0.0</v>
      </c>
    </row>
    <row r="632">
      <c r="A632" s="24">
        <v>54.0</v>
      </c>
      <c r="B632" s="24">
        <v>3.0</v>
      </c>
      <c r="C632" s="47">
        <v>37.52</v>
      </c>
      <c r="D632" s="35">
        <v>44945.0</v>
      </c>
      <c r="E632" s="47">
        <v>12.5066666666666</v>
      </c>
      <c r="F632" s="47">
        <v>694.814814814814</v>
      </c>
      <c r="G632" s="48">
        <v>0.0555555555555555</v>
      </c>
      <c r="H632" s="24" t="s">
        <v>6765</v>
      </c>
      <c r="I632" s="47"/>
      <c r="J632" s="24">
        <v>0.0</v>
      </c>
    </row>
    <row r="633">
      <c r="A633" s="24">
        <v>63.0</v>
      </c>
      <c r="B633" s="24">
        <v>4.0</v>
      </c>
      <c r="C633" s="47">
        <v>48.13</v>
      </c>
      <c r="D633" s="35">
        <v>44946.0</v>
      </c>
      <c r="E633" s="47">
        <v>12.0325</v>
      </c>
      <c r="F633" s="47">
        <v>763.968253968254</v>
      </c>
      <c r="G633" s="48">
        <v>0.0634920634920634</v>
      </c>
      <c r="H633" s="24" t="s">
        <v>6765</v>
      </c>
      <c r="I633" s="47"/>
      <c r="J633" s="24">
        <v>0.0</v>
      </c>
    </row>
    <row r="634">
      <c r="A634" s="24">
        <v>13.0</v>
      </c>
      <c r="B634" s="24">
        <v>0.0</v>
      </c>
      <c r="C634" s="47">
        <v>0.0</v>
      </c>
      <c r="D634" s="35">
        <v>44947.0</v>
      </c>
      <c r="E634" s="47"/>
      <c r="F634" s="47">
        <v>0.0</v>
      </c>
      <c r="G634" s="48">
        <v>0.0</v>
      </c>
      <c r="H634" s="24" t="s">
        <v>6765</v>
      </c>
      <c r="I634" s="47"/>
      <c r="J634" s="24">
        <v>0.0</v>
      </c>
    </row>
    <row r="635">
      <c r="A635" s="24">
        <v>38.0</v>
      </c>
      <c r="B635" s="24">
        <v>0.0</v>
      </c>
      <c r="C635" s="47">
        <v>0.0</v>
      </c>
      <c r="D635" s="35">
        <v>44948.0</v>
      </c>
      <c r="E635" s="47"/>
      <c r="F635" s="47">
        <v>0.0</v>
      </c>
      <c r="G635" s="48">
        <v>0.0</v>
      </c>
      <c r="H635" s="24" t="s">
        <v>6765</v>
      </c>
      <c r="I635" s="47"/>
      <c r="J635" s="24">
        <v>0.0</v>
      </c>
    </row>
    <row r="636">
      <c r="A636" s="24">
        <v>71.0</v>
      </c>
      <c r="B636" s="24">
        <v>1.0</v>
      </c>
      <c r="C636" s="47">
        <v>14.19</v>
      </c>
      <c r="D636" s="35">
        <v>44949.0</v>
      </c>
      <c r="E636" s="47">
        <v>14.19</v>
      </c>
      <c r="F636" s="47">
        <v>199.859154929577</v>
      </c>
      <c r="G636" s="48">
        <v>0.0140845070422535</v>
      </c>
      <c r="H636" s="24" t="s">
        <v>6765</v>
      </c>
      <c r="I636" s="47"/>
      <c r="J636" s="24">
        <v>0.0</v>
      </c>
    </row>
    <row r="637">
      <c r="A637" s="24">
        <v>81.0</v>
      </c>
      <c r="B637" s="24">
        <v>2.0</v>
      </c>
      <c r="C637" s="47">
        <v>28.84</v>
      </c>
      <c r="D637" s="35">
        <v>44950.0</v>
      </c>
      <c r="E637" s="47">
        <v>14.42</v>
      </c>
      <c r="F637" s="47">
        <v>356.049382716049</v>
      </c>
      <c r="G637" s="48">
        <v>0.0246913580246913</v>
      </c>
      <c r="H637" s="24" t="s">
        <v>6765</v>
      </c>
      <c r="I637" s="47"/>
      <c r="J637" s="24">
        <v>0.0</v>
      </c>
    </row>
    <row r="638">
      <c r="A638" s="24">
        <v>72.0</v>
      </c>
      <c r="B638" s="24">
        <v>4.0</v>
      </c>
      <c r="C638" s="47">
        <v>49.68</v>
      </c>
      <c r="D638" s="35">
        <v>44951.0</v>
      </c>
      <c r="E638" s="47">
        <v>12.42</v>
      </c>
      <c r="F638" s="47">
        <v>690.0</v>
      </c>
      <c r="G638" s="48">
        <v>0.0555555555555555</v>
      </c>
      <c r="H638" s="24" t="s">
        <v>6765</v>
      </c>
      <c r="I638" s="47"/>
      <c r="J638" s="24">
        <v>0.0</v>
      </c>
    </row>
    <row r="639">
      <c r="A639" s="24">
        <v>71.0</v>
      </c>
      <c r="B639" s="24">
        <v>3.0</v>
      </c>
      <c r="C639" s="47">
        <v>43.7</v>
      </c>
      <c r="D639" s="35">
        <v>44952.0</v>
      </c>
      <c r="E639" s="47">
        <v>14.5666666666666</v>
      </c>
      <c r="F639" s="47">
        <v>615.492957746478</v>
      </c>
      <c r="G639" s="48">
        <v>0.0422535211267605</v>
      </c>
      <c r="H639" s="24" t="s">
        <v>6765</v>
      </c>
      <c r="I639" s="47"/>
      <c r="J639" s="24">
        <v>0.0</v>
      </c>
    </row>
    <row r="640">
      <c r="A640" s="24">
        <v>39.0</v>
      </c>
      <c r="B640" s="24">
        <v>4.0</v>
      </c>
      <c r="C640" s="47">
        <v>49.66</v>
      </c>
      <c r="D640" s="35">
        <v>44953.0</v>
      </c>
      <c r="E640" s="47">
        <v>12.415</v>
      </c>
      <c r="F640" s="47">
        <v>1273.33333333333</v>
      </c>
      <c r="G640" s="48">
        <v>0.102564102564102</v>
      </c>
      <c r="H640" s="24" t="s">
        <v>6765</v>
      </c>
      <c r="I640" s="47"/>
      <c r="J640" s="24">
        <v>0.0</v>
      </c>
    </row>
    <row r="641">
      <c r="A641" s="24">
        <v>11.0</v>
      </c>
      <c r="B641" s="24">
        <v>2.0</v>
      </c>
      <c r="C641" s="47">
        <v>29.42</v>
      </c>
      <c r="D641" s="35">
        <v>44954.0</v>
      </c>
      <c r="E641" s="47">
        <v>14.71</v>
      </c>
      <c r="F641" s="47">
        <v>2674.54545454545</v>
      </c>
      <c r="G641" s="48">
        <v>0.181818181818181</v>
      </c>
      <c r="H641" s="24" t="s">
        <v>6765</v>
      </c>
      <c r="I641" s="47"/>
      <c r="J641" s="24">
        <v>0.0</v>
      </c>
    </row>
    <row r="642">
      <c r="A642" s="24">
        <v>18.0</v>
      </c>
      <c r="B642" s="24">
        <v>1.0</v>
      </c>
      <c r="C642" s="47">
        <v>11.12</v>
      </c>
      <c r="D642" s="35">
        <v>44955.0</v>
      </c>
      <c r="E642" s="47">
        <v>11.12</v>
      </c>
      <c r="F642" s="47">
        <v>617.777777777777</v>
      </c>
      <c r="G642" s="48">
        <v>0.0555555555555555</v>
      </c>
      <c r="H642" s="24" t="s">
        <v>6765</v>
      </c>
      <c r="I642" s="47"/>
      <c r="J642" s="24">
        <v>0.0</v>
      </c>
    </row>
    <row r="643">
      <c r="A643" s="24">
        <v>34.0</v>
      </c>
      <c r="B643" s="24">
        <v>3.0</v>
      </c>
      <c r="C643" s="47">
        <v>43.05</v>
      </c>
      <c r="D643" s="35">
        <v>44956.0</v>
      </c>
      <c r="E643" s="47">
        <v>14.35</v>
      </c>
      <c r="F643" s="47">
        <v>1266.17647058823</v>
      </c>
      <c r="G643" s="48">
        <v>0.088235294117647</v>
      </c>
      <c r="H643" s="24" t="s">
        <v>6765</v>
      </c>
      <c r="I643" s="47"/>
      <c r="J643" s="24">
        <v>0.0</v>
      </c>
    </row>
    <row r="644">
      <c r="A644" s="24">
        <v>61.0</v>
      </c>
      <c r="B644" s="24">
        <v>1.0</v>
      </c>
      <c r="C644" s="47">
        <v>14.23</v>
      </c>
      <c r="D644" s="35">
        <v>44957.0</v>
      </c>
      <c r="E644" s="47">
        <v>14.23</v>
      </c>
      <c r="F644" s="47">
        <v>233.27868852459</v>
      </c>
      <c r="G644" s="48">
        <v>0.0163934426229508</v>
      </c>
      <c r="H644" s="24" t="s">
        <v>6765</v>
      </c>
      <c r="I644" s="47"/>
      <c r="J644" s="24">
        <v>0.0</v>
      </c>
    </row>
    <row r="645">
      <c r="A645" s="24">
        <v>68.0</v>
      </c>
      <c r="B645" s="24">
        <v>3.0</v>
      </c>
      <c r="C645" s="47">
        <v>38.75</v>
      </c>
      <c r="D645" s="35">
        <v>44958.0</v>
      </c>
      <c r="E645" s="47">
        <v>12.9166666666666</v>
      </c>
      <c r="F645" s="47">
        <v>569.85294117647</v>
      </c>
      <c r="G645" s="48">
        <v>0.0441176470588235</v>
      </c>
      <c r="H645" s="24" t="s">
        <v>6765</v>
      </c>
      <c r="I645" s="47"/>
      <c r="J645" s="24">
        <v>0.0</v>
      </c>
    </row>
    <row r="646">
      <c r="A646" s="24">
        <v>58.0</v>
      </c>
      <c r="B646" s="24">
        <v>2.0</v>
      </c>
      <c r="C646" s="47">
        <v>29.19</v>
      </c>
      <c r="D646" s="35">
        <v>44959.0</v>
      </c>
      <c r="E646" s="47">
        <v>14.595</v>
      </c>
      <c r="F646" s="47">
        <v>503.275862068965</v>
      </c>
      <c r="G646" s="48">
        <v>0.0344827586206896</v>
      </c>
      <c r="H646" s="24" t="s">
        <v>6765</v>
      </c>
      <c r="I646" s="47"/>
      <c r="J646" s="24">
        <v>0.0</v>
      </c>
    </row>
    <row r="647">
      <c r="A647" s="24">
        <v>67.0</v>
      </c>
      <c r="B647" s="24">
        <v>1.0</v>
      </c>
      <c r="C647" s="47">
        <v>14.99</v>
      </c>
      <c r="D647" s="35">
        <v>44960.0</v>
      </c>
      <c r="E647" s="47">
        <v>14.99</v>
      </c>
      <c r="F647" s="47">
        <v>223.731343283582</v>
      </c>
      <c r="G647" s="48">
        <v>0.0149253731343283</v>
      </c>
      <c r="H647" s="24" t="s">
        <v>6765</v>
      </c>
      <c r="I647" s="47"/>
      <c r="J647" s="24">
        <v>0.0</v>
      </c>
    </row>
    <row r="648">
      <c r="A648" s="24">
        <v>12.0</v>
      </c>
      <c r="B648" s="24">
        <v>1.0</v>
      </c>
      <c r="C648" s="47">
        <v>14.42</v>
      </c>
      <c r="D648" s="35">
        <v>44961.0</v>
      </c>
      <c r="E648" s="47">
        <v>14.42</v>
      </c>
      <c r="F648" s="47">
        <v>1201.66666666666</v>
      </c>
      <c r="G648" s="48">
        <v>0.0833333333333333</v>
      </c>
      <c r="H648" s="24" t="s">
        <v>6765</v>
      </c>
      <c r="I648" s="47"/>
      <c r="J648" s="24">
        <v>0.0</v>
      </c>
    </row>
    <row r="649">
      <c r="A649" s="24">
        <v>24.0</v>
      </c>
      <c r="B649" s="24">
        <v>0.0</v>
      </c>
      <c r="C649" s="47">
        <v>0.0</v>
      </c>
      <c r="D649" s="35">
        <v>44962.0</v>
      </c>
      <c r="E649" s="47"/>
      <c r="F649" s="47">
        <v>0.0</v>
      </c>
      <c r="G649" s="48">
        <v>0.0</v>
      </c>
      <c r="H649" s="24" t="s">
        <v>6765</v>
      </c>
      <c r="I649" s="47"/>
      <c r="J649" s="24">
        <v>0.0</v>
      </c>
    </row>
    <row r="650">
      <c r="A650" s="24">
        <v>96.0</v>
      </c>
      <c r="B650" s="24">
        <v>2.0</v>
      </c>
      <c r="C650" s="47">
        <v>29.29</v>
      </c>
      <c r="D650" s="35">
        <v>44963.0</v>
      </c>
      <c r="E650" s="47">
        <v>14.645</v>
      </c>
      <c r="F650" s="47">
        <v>305.104166666666</v>
      </c>
      <c r="G650" s="48">
        <v>0.0208333333333333</v>
      </c>
      <c r="H650" s="24" t="s">
        <v>6765</v>
      </c>
      <c r="I650" s="47"/>
      <c r="J650" s="24">
        <v>0.0</v>
      </c>
    </row>
    <row r="651">
      <c r="A651" s="24">
        <v>75.0</v>
      </c>
      <c r="B651" s="24">
        <v>2.0</v>
      </c>
      <c r="C651" s="47">
        <v>28.39</v>
      </c>
      <c r="D651" s="35">
        <v>44964.0</v>
      </c>
      <c r="E651" s="47">
        <v>14.195</v>
      </c>
      <c r="F651" s="47">
        <v>378.533333333333</v>
      </c>
      <c r="G651" s="48">
        <v>0.0266666666666666</v>
      </c>
      <c r="H651" s="24" t="s">
        <v>6765</v>
      </c>
      <c r="I651" s="47"/>
      <c r="J651" s="24">
        <v>0.0</v>
      </c>
    </row>
    <row r="652">
      <c r="A652" s="24">
        <v>98.0</v>
      </c>
      <c r="B652" s="24">
        <v>1.0</v>
      </c>
      <c r="C652" s="47">
        <v>14.32</v>
      </c>
      <c r="D652" s="35">
        <v>44965.0</v>
      </c>
      <c r="E652" s="47">
        <v>14.32</v>
      </c>
      <c r="F652" s="47">
        <v>146.122448979591</v>
      </c>
      <c r="G652" s="48">
        <v>0.010204081632653</v>
      </c>
      <c r="H652" s="24" t="s">
        <v>6765</v>
      </c>
      <c r="I652" s="47"/>
      <c r="J652" s="24">
        <v>0.0</v>
      </c>
    </row>
    <row r="653">
      <c r="A653" s="24">
        <v>18.0</v>
      </c>
      <c r="B653" s="24">
        <v>4.0</v>
      </c>
      <c r="C653" s="47">
        <v>49.76</v>
      </c>
      <c r="D653" s="35">
        <v>44966.0</v>
      </c>
      <c r="E653" s="47">
        <v>12.44</v>
      </c>
      <c r="F653" s="47">
        <v>2764.44444444444</v>
      </c>
      <c r="G653" s="48">
        <v>0.222222222222222</v>
      </c>
      <c r="H653" s="24" t="s">
        <v>6765</v>
      </c>
      <c r="I653" s="47"/>
      <c r="J653" s="24">
        <v>0.0</v>
      </c>
    </row>
    <row r="654">
      <c r="A654" s="24">
        <v>78.0</v>
      </c>
      <c r="B654" s="24">
        <v>2.0</v>
      </c>
      <c r="C654" s="47">
        <v>25.22</v>
      </c>
      <c r="D654" s="35">
        <v>44967.0</v>
      </c>
      <c r="E654" s="47">
        <v>12.61</v>
      </c>
      <c r="F654" s="47">
        <v>323.333333333333</v>
      </c>
      <c r="G654" s="48">
        <v>0.0256410256410256</v>
      </c>
      <c r="H654" s="24" t="s">
        <v>6765</v>
      </c>
      <c r="I654" s="47"/>
      <c r="J654" s="24">
        <v>0.0</v>
      </c>
    </row>
    <row r="655">
      <c r="A655" s="24">
        <v>17.0</v>
      </c>
      <c r="B655" s="24">
        <v>2.0</v>
      </c>
      <c r="C655" s="47">
        <v>29.01</v>
      </c>
      <c r="D655" s="35">
        <v>44968.0</v>
      </c>
      <c r="E655" s="47">
        <v>14.505</v>
      </c>
      <c r="F655" s="47">
        <v>1706.47058823529</v>
      </c>
      <c r="G655" s="48">
        <v>0.117647058823529</v>
      </c>
      <c r="H655" s="24" t="s">
        <v>6765</v>
      </c>
      <c r="I655" s="47"/>
      <c r="J655" s="24">
        <v>0.0</v>
      </c>
    </row>
    <row r="656">
      <c r="A656" s="24">
        <v>13.0</v>
      </c>
      <c r="B656" s="24">
        <v>1.0</v>
      </c>
      <c r="C656" s="47">
        <v>12.79</v>
      </c>
      <c r="D656" s="35">
        <v>44969.0</v>
      </c>
      <c r="E656" s="47">
        <v>12.79</v>
      </c>
      <c r="F656" s="47">
        <v>983.846153846153</v>
      </c>
      <c r="G656" s="48">
        <v>0.0769230769230769</v>
      </c>
      <c r="H656" s="24" t="s">
        <v>6765</v>
      </c>
      <c r="I656" s="47"/>
      <c r="J656" s="24">
        <v>0.0</v>
      </c>
    </row>
    <row r="657">
      <c r="A657" s="24">
        <v>37.0</v>
      </c>
      <c r="B657" s="24">
        <v>4.0</v>
      </c>
      <c r="C657" s="47">
        <v>49.77</v>
      </c>
      <c r="D657" s="35">
        <v>44970.0</v>
      </c>
      <c r="E657" s="47">
        <v>12.4425</v>
      </c>
      <c r="F657" s="47">
        <v>1345.13513513513</v>
      </c>
      <c r="G657" s="48">
        <v>0.108108108108108</v>
      </c>
      <c r="H657" s="24" t="s">
        <v>6765</v>
      </c>
      <c r="I657" s="47"/>
      <c r="J657" s="24">
        <v>0.0</v>
      </c>
    </row>
    <row r="658">
      <c r="A658" s="24">
        <v>84.0</v>
      </c>
      <c r="B658" s="24">
        <v>2.0</v>
      </c>
      <c r="C658" s="47">
        <v>29.5</v>
      </c>
      <c r="D658" s="35">
        <v>44971.0</v>
      </c>
      <c r="E658" s="47">
        <v>14.75</v>
      </c>
      <c r="F658" s="47">
        <v>351.190476190476</v>
      </c>
      <c r="G658" s="48">
        <v>0.0238095238095238</v>
      </c>
      <c r="H658" s="24" t="s">
        <v>6765</v>
      </c>
      <c r="I658" s="47"/>
      <c r="J658" s="24">
        <v>0.0</v>
      </c>
    </row>
    <row r="659">
      <c r="A659" s="24">
        <v>53.0</v>
      </c>
      <c r="B659" s="24">
        <v>4.0</v>
      </c>
      <c r="C659" s="47">
        <v>49.92</v>
      </c>
      <c r="D659" s="35">
        <v>44972.0</v>
      </c>
      <c r="E659" s="47">
        <v>12.48</v>
      </c>
      <c r="F659" s="47">
        <v>941.88679245283</v>
      </c>
      <c r="G659" s="48">
        <v>0.0754716981132075</v>
      </c>
      <c r="H659" s="24" t="s">
        <v>6765</v>
      </c>
      <c r="I659" s="47"/>
      <c r="J659" s="24">
        <v>0.0</v>
      </c>
    </row>
    <row r="660">
      <c r="A660" s="24">
        <v>42.0</v>
      </c>
      <c r="B660" s="24">
        <v>3.0</v>
      </c>
      <c r="C660" s="47">
        <v>40.99</v>
      </c>
      <c r="D660" s="35">
        <v>44973.0</v>
      </c>
      <c r="E660" s="47">
        <v>13.6633333333333</v>
      </c>
      <c r="F660" s="47">
        <v>975.95238095238</v>
      </c>
      <c r="G660" s="48">
        <v>0.0714285714285714</v>
      </c>
      <c r="H660" s="24" t="s">
        <v>6765</v>
      </c>
      <c r="I660" s="47"/>
      <c r="J660" s="24">
        <v>0.0</v>
      </c>
    </row>
    <row r="661">
      <c r="A661" s="24">
        <v>18.0</v>
      </c>
      <c r="B661" s="24">
        <v>2.0</v>
      </c>
      <c r="C661" s="47">
        <v>29.07</v>
      </c>
      <c r="D661" s="35">
        <v>44974.0</v>
      </c>
      <c r="E661" s="47">
        <v>14.535</v>
      </c>
      <c r="F661" s="47">
        <v>1615.0</v>
      </c>
      <c r="G661" s="48">
        <v>0.111111111111111</v>
      </c>
      <c r="H661" s="24" t="s">
        <v>6765</v>
      </c>
      <c r="I661" s="47"/>
      <c r="J661" s="24">
        <v>0.0</v>
      </c>
    </row>
    <row r="662">
      <c r="A662" s="24">
        <v>5.0</v>
      </c>
      <c r="B662" s="24">
        <v>1.0</v>
      </c>
      <c r="C662" s="47">
        <v>8.57</v>
      </c>
      <c r="D662" s="35">
        <v>44975.0</v>
      </c>
      <c r="E662" s="47">
        <v>8.57</v>
      </c>
      <c r="F662" s="47">
        <v>1714.0</v>
      </c>
      <c r="G662" s="48">
        <v>0.2</v>
      </c>
      <c r="H662" s="24" t="s">
        <v>6765</v>
      </c>
      <c r="I662" s="47"/>
      <c r="J662" s="24">
        <v>0.0</v>
      </c>
    </row>
    <row r="663">
      <c r="A663" s="24">
        <v>14.0</v>
      </c>
      <c r="B663" s="24">
        <v>1.0</v>
      </c>
      <c r="C663" s="47">
        <v>14.69</v>
      </c>
      <c r="D663" s="35">
        <v>44976.0</v>
      </c>
      <c r="E663" s="47">
        <v>14.69</v>
      </c>
      <c r="F663" s="47">
        <v>1049.28571428571</v>
      </c>
      <c r="G663" s="48">
        <v>0.0714285714285714</v>
      </c>
      <c r="H663" s="24" t="s">
        <v>6765</v>
      </c>
      <c r="I663" s="47"/>
      <c r="J663" s="24">
        <v>0.0</v>
      </c>
    </row>
    <row r="664">
      <c r="A664" s="24">
        <v>15.0</v>
      </c>
      <c r="B664" s="24">
        <v>3.0</v>
      </c>
      <c r="C664" s="47">
        <v>42.31</v>
      </c>
      <c r="D664" s="35">
        <v>44977.0</v>
      </c>
      <c r="E664" s="47">
        <v>14.1033333333333</v>
      </c>
      <c r="F664" s="47">
        <v>2820.66666666666</v>
      </c>
      <c r="G664" s="48">
        <v>0.2</v>
      </c>
      <c r="H664" s="24" t="s">
        <v>6765</v>
      </c>
      <c r="I664" s="47"/>
      <c r="J664" s="24">
        <v>0.0</v>
      </c>
    </row>
    <row r="665">
      <c r="A665" s="24">
        <v>57.0</v>
      </c>
      <c r="B665" s="24">
        <v>2.0</v>
      </c>
      <c r="C665" s="47">
        <v>28.82</v>
      </c>
      <c r="D665" s="35">
        <v>44978.0</v>
      </c>
      <c r="E665" s="47">
        <v>14.41</v>
      </c>
      <c r="F665" s="47">
        <v>505.614035087719</v>
      </c>
      <c r="G665" s="48">
        <v>0.0350877192982456</v>
      </c>
      <c r="H665" s="24" t="s">
        <v>6765</v>
      </c>
      <c r="I665" s="47"/>
      <c r="J665" s="24">
        <v>0.0</v>
      </c>
    </row>
    <row r="666">
      <c r="A666" s="24">
        <v>84.0</v>
      </c>
      <c r="B666" s="24">
        <v>1.0</v>
      </c>
      <c r="C666" s="47">
        <v>14.57</v>
      </c>
      <c r="D666" s="35">
        <v>44979.0</v>
      </c>
      <c r="E666" s="47">
        <v>14.57</v>
      </c>
      <c r="F666" s="47">
        <v>173.45238095238</v>
      </c>
      <c r="G666" s="48">
        <v>0.0119047619047619</v>
      </c>
      <c r="H666" s="24" t="s">
        <v>6765</v>
      </c>
      <c r="I666" s="47"/>
      <c r="J666" s="24">
        <v>0.0</v>
      </c>
    </row>
    <row r="667">
      <c r="A667" s="24">
        <v>27.0</v>
      </c>
      <c r="B667" s="24">
        <v>4.0</v>
      </c>
      <c r="C667" s="47">
        <v>44.74</v>
      </c>
      <c r="D667" s="35">
        <v>44980.0</v>
      </c>
      <c r="E667" s="47">
        <v>11.185</v>
      </c>
      <c r="F667" s="47">
        <v>1657.03703703703</v>
      </c>
      <c r="G667" s="48">
        <v>0.148148148148148</v>
      </c>
      <c r="H667" s="24" t="s">
        <v>6765</v>
      </c>
      <c r="I667" s="47"/>
      <c r="J667" s="24">
        <v>0.0</v>
      </c>
    </row>
    <row r="668">
      <c r="A668" s="24">
        <v>47.0</v>
      </c>
      <c r="B668" s="24">
        <v>0.0</v>
      </c>
      <c r="C668" s="47">
        <v>0.0</v>
      </c>
      <c r="D668" s="35">
        <v>44981.0</v>
      </c>
      <c r="E668" s="47"/>
      <c r="F668" s="47">
        <v>0.0</v>
      </c>
      <c r="G668" s="48">
        <v>0.0</v>
      </c>
      <c r="H668" s="24" t="s">
        <v>6765</v>
      </c>
      <c r="I668" s="47"/>
      <c r="J668" s="24">
        <v>0.0</v>
      </c>
    </row>
    <row r="669">
      <c r="A669" s="24">
        <v>9.0</v>
      </c>
      <c r="B669" s="24">
        <v>0.0</v>
      </c>
      <c r="C669" s="47">
        <v>0.0</v>
      </c>
      <c r="D669" s="35">
        <v>44982.0</v>
      </c>
      <c r="E669" s="47"/>
      <c r="F669" s="47">
        <v>0.0</v>
      </c>
      <c r="G669" s="48">
        <v>0.0</v>
      </c>
      <c r="H669" s="24" t="s">
        <v>6765</v>
      </c>
      <c r="I669" s="47"/>
      <c r="J669" s="24">
        <v>0.0</v>
      </c>
    </row>
    <row r="670">
      <c r="A670" s="24">
        <v>12.0</v>
      </c>
      <c r="B670" s="24">
        <v>1.0</v>
      </c>
      <c r="C670" s="47">
        <v>14.73</v>
      </c>
      <c r="D670" s="35">
        <v>44983.0</v>
      </c>
      <c r="E670" s="47">
        <v>14.73</v>
      </c>
      <c r="F670" s="47">
        <v>1227.5</v>
      </c>
      <c r="G670" s="48">
        <v>0.0833333333333333</v>
      </c>
      <c r="H670" s="24" t="s">
        <v>6765</v>
      </c>
      <c r="I670" s="47"/>
      <c r="J670" s="24">
        <v>0.0</v>
      </c>
    </row>
    <row r="671">
      <c r="A671" s="24">
        <v>63.0</v>
      </c>
      <c r="B671" s="24">
        <v>3.0</v>
      </c>
      <c r="C671" s="47">
        <v>43.47</v>
      </c>
      <c r="D671" s="35">
        <v>44984.0</v>
      </c>
      <c r="E671" s="47">
        <v>14.49</v>
      </c>
      <c r="F671" s="47">
        <v>690.0</v>
      </c>
      <c r="G671" s="48">
        <v>0.0476190476190476</v>
      </c>
      <c r="H671" s="24" t="s">
        <v>6765</v>
      </c>
      <c r="I671" s="47"/>
      <c r="J671" s="24">
        <v>0.0</v>
      </c>
    </row>
    <row r="672">
      <c r="A672" s="24">
        <v>79.0</v>
      </c>
      <c r="B672" s="24">
        <v>3.0</v>
      </c>
      <c r="C672" s="47">
        <v>43.84</v>
      </c>
      <c r="D672" s="35">
        <v>44985.0</v>
      </c>
      <c r="E672" s="47">
        <v>14.6133333333333</v>
      </c>
      <c r="F672" s="47">
        <v>554.936708860759</v>
      </c>
      <c r="G672" s="48">
        <v>0.0379746835443038</v>
      </c>
      <c r="H672" s="24" t="s">
        <v>6765</v>
      </c>
      <c r="I672" s="47"/>
      <c r="J672" s="24">
        <v>0.0</v>
      </c>
    </row>
    <row r="673">
      <c r="A673" s="24">
        <v>39.0</v>
      </c>
      <c r="B673" s="24">
        <v>3.0</v>
      </c>
      <c r="C673" s="47">
        <v>36.81</v>
      </c>
      <c r="D673" s="35">
        <v>44986.0</v>
      </c>
      <c r="E673" s="47">
        <v>12.27</v>
      </c>
      <c r="F673" s="47">
        <v>943.846153846153</v>
      </c>
      <c r="G673" s="48">
        <v>0.0769230769230769</v>
      </c>
      <c r="H673" s="24" t="s">
        <v>6765</v>
      </c>
      <c r="I673" s="47"/>
      <c r="J673" s="24">
        <v>0.0</v>
      </c>
    </row>
    <row r="674">
      <c r="A674" s="24">
        <v>61.0</v>
      </c>
      <c r="B674" s="24">
        <v>2.0</v>
      </c>
      <c r="C674" s="47">
        <v>29.68</v>
      </c>
      <c r="D674" s="35">
        <v>44987.0</v>
      </c>
      <c r="E674" s="47">
        <v>14.84</v>
      </c>
      <c r="F674" s="47">
        <v>486.55737704918</v>
      </c>
      <c r="G674" s="48">
        <v>0.0327868852459016</v>
      </c>
      <c r="H674" s="24" t="s">
        <v>6765</v>
      </c>
      <c r="I674" s="47"/>
      <c r="J674" s="24">
        <v>0.0</v>
      </c>
    </row>
    <row r="675">
      <c r="A675" s="24">
        <v>54.0</v>
      </c>
      <c r="B675" s="24">
        <v>3.0</v>
      </c>
      <c r="C675" s="47">
        <v>37.76</v>
      </c>
      <c r="D675" s="35">
        <v>44988.0</v>
      </c>
      <c r="E675" s="47">
        <v>12.5866666666666</v>
      </c>
      <c r="F675" s="47">
        <v>699.259259259259</v>
      </c>
      <c r="G675" s="48">
        <v>0.0555555555555555</v>
      </c>
      <c r="H675" s="24" t="s">
        <v>6765</v>
      </c>
      <c r="I675" s="47">
        <v>37.76</v>
      </c>
      <c r="J675" s="24">
        <v>1.0</v>
      </c>
    </row>
    <row r="676">
      <c r="A676" s="24">
        <v>14.0</v>
      </c>
      <c r="B676" s="24">
        <v>0.0</v>
      </c>
      <c r="C676" s="47">
        <v>0.0</v>
      </c>
      <c r="D676" s="35">
        <v>44989.0</v>
      </c>
      <c r="E676" s="47"/>
      <c r="F676" s="47">
        <v>0.0</v>
      </c>
      <c r="G676" s="48">
        <v>0.0</v>
      </c>
      <c r="H676" s="24" t="s">
        <v>6765</v>
      </c>
      <c r="I676" s="47"/>
      <c r="J676" s="24">
        <v>0.0</v>
      </c>
    </row>
    <row r="677">
      <c r="A677" s="24">
        <v>12.0</v>
      </c>
      <c r="B677" s="24">
        <v>0.0</v>
      </c>
      <c r="C677" s="47">
        <v>0.0</v>
      </c>
      <c r="D677" s="35">
        <v>44990.0</v>
      </c>
      <c r="E677" s="47"/>
      <c r="F677" s="47">
        <v>0.0</v>
      </c>
      <c r="G677" s="48">
        <v>0.0</v>
      </c>
      <c r="H677" s="24" t="s">
        <v>6765</v>
      </c>
      <c r="I677" s="47"/>
      <c r="J677" s="24">
        <v>0.0</v>
      </c>
    </row>
    <row r="678">
      <c r="A678" s="24">
        <v>25.0</v>
      </c>
      <c r="B678" s="24">
        <v>4.0</v>
      </c>
      <c r="C678" s="47">
        <v>49.85</v>
      </c>
      <c r="D678" s="35">
        <v>44991.0</v>
      </c>
      <c r="E678" s="47">
        <v>12.4625</v>
      </c>
      <c r="F678" s="47">
        <v>1994.0</v>
      </c>
      <c r="G678" s="48">
        <v>0.16</v>
      </c>
      <c r="H678" s="24" t="s">
        <v>6765</v>
      </c>
      <c r="I678" s="47"/>
      <c r="J678" s="24">
        <v>0.0</v>
      </c>
    </row>
    <row r="679">
      <c r="A679" s="24">
        <v>27.0</v>
      </c>
      <c r="B679" s="24">
        <v>2.0</v>
      </c>
      <c r="C679" s="47">
        <v>28.63</v>
      </c>
      <c r="D679" s="35">
        <v>44992.0</v>
      </c>
      <c r="E679" s="47">
        <v>14.315</v>
      </c>
      <c r="F679" s="47">
        <v>1060.37037037037</v>
      </c>
      <c r="G679" s="48">
        <v>0.074074074074074</v>
      </c>
      <c r="H679" s="24" t="s">
        <v>6765</v>
      </c>
      <c r="I679" s="47"/>
      <c r="J679" s="24">
        <v>0.0</v>
      </c>
    </row>
    <row r="680">
      <c r="A680" s="24">
        <v>25.0</v>
      </c>
      <c r="B680" s="24">
        <v>3.0</v>
      </c>
      <c r="C680" s="47">
        <v>34.53</v>
      </c>
      <c r="D680" s="35">
        <v>44993.0</v>
      </c>
      <c r="E680" s="47">
        <v>11.51</v>
      </c>
      <c r="F680" s="47">
        <v>1381.2</v>
      </c>
      <c r="G680" s="48">
        <v>0.12</v>
      </c>
      <c r="H680" s="24" t="s">
        <v>6765</v>
      </c>
      <c r="I680" s="47"/>
      <c r="J680" s="24">
        <v>0.0</v>
      </c>
    </row>
    <row r="681">
      <c r="A681" s="24">
        <v>43.0</v>
      </c>
      <c r="B681" s="24">
        <v>2.0</v>
      </c>
      <c r="C681" s="47">
        <v>27.31</v>
      </c>
      <c r="D681" s="35">
        <v>44994.0</v>
      </c>
      <c r="E681" s="47">
        <v>13.655</v>
      </c>
      <c r="F681" s="47">
        <v>635.116279069767</v>
      </c>
      <c r="G681" s="48">
        <v>0.0465116279069767</v>
      </c>
      <c r="H681" s="24" t="s">
        <v>6765</v>
      </c>
      <c r="I681" s="47"/>
      <c r="J681" s="24">
        <v>0.0</v>
      </c>
    </row>
    <row r="682">
      <c r="A682" s="24">
        <v>9.0</v>
      </c>
      <c r="B682" s="24">
        <v>2.0</v>
      </c>
      <c r="C682" s="47">
        <v>29.5</v>
      </c>
      <c r="D682" s="35">
        <v>44995.0</v>
      </c>
      <c r="E682" s="47">
        <v>14.75</v>
      </c>
      <c r="F682" s="47">
        <v>3277.77777777777</v>
      </c>
      <c r="G682" s="48">
        <v>0.222222222222222</v>
      </c>
      <c r="H682" s="24" t="s">
        <v>6765</v>
      </c>
      <c r="I682" s="47"/>
      <c r="J682" s="24">
        <v>0.0</v>
      </c>
    </row>
    <row r="683">
      <c r="A683" s="24">
        <v>13.0</v>
      </c>
      <c r="B683" s="24">
        <v>0.0</v>
      </c>
      <c r="C683" s="47">
        <v>0.0</v>
      </c>
      <c r="D683" s="35">
        <v>44996.0</v>
      </c>
      <c r="E683" s="47"/>
      <c r="F683" s="47">
        <v>0.0</v>
      </c>
      <c r="G683" s="48">
        <v>0.0</v>
      </c>
      <c r="H683" s="24" t="s">
        <v>6765</v>
      </c>
      <c r="I683" s="47"/>
      <c r="J683" s="24">
        <v>0.0</v>
      </c>
    </row>
    <row r="684">
      <c r="A684" s="24">
        <v>12.0</v>
      </c>
      <c r="B684" s="24">
        <v>0.0</v>
      </c>
      <c r="C684" s="47">
        <v>0.0</v>
      </c>
      <c r="D684" s="35">
        <v>44997.0</v>
      </c>
      <c r="E684" s="47"/>
      <c r="F684" s="47">
        <v>0.0</v>
      </c>
      <c r="G684" s="48">
        <v>0.0</v>
      </c>
      <c r="H684" s="24" t="s">
        <v>6765</v>
      </c>
      <c r="I684" s="47"/>
      <c r="J684" s="24">
        <v>0.0</v>
      </c>
    </row>
    <row r="685">
      <c r="A685" s="24">
        <v>82.0</v>
      </c>
      <c r="B685" s="24">
        <v>3.0</v>
      </c>
      <c r="C685" s="47">
        <v>38.28</v>
      </c>
      <c r="D685" s="35">
        <v>44998.0</v>
      </c>
      <c r="E685" s="47">
        <v>12.76</v>
      </c>
      <c r="F685" s="47">
        <v>466.829268292682</v>
      </c>
      <c r="G685" s="48">
        <v>0.0365853658536585</v>
      </c>
      <c r="H685" s="24" t="s">
        <v>6765</v>
      </c>
      <c r="I685" s="47"/>
      <c r="J685" s="24">
        <v>0.0</v>
      </c>
    </row>
    <row r="686">
      <c r="A686" s="24">
        <v>5.0</v>
      </c>
      <c r="B686" s="24">
        <v>3.0</v>
      </c>
      <c r="C686" s="47">
        <v>42.73</v>
      </c>
      <c r="D686" s="35">
        <v>44999.0</v>
      </c>
      <c r="E686" s="47">
        <v>14.2433333333333</v>
      </c>
      <c r="F686" s="47">
        <v>8546.0</v>
      </c>
      <c r="G686" s="48">
        <v>0.6</v>
      </c>
      <c r="H686" s="24" t="s">
        <v>6765</v>
      </c>
      <c r="I686" s="47"/>
      <c r="J686" s="24">
        <v>0.0</v>
      </c>
    </row>
    <row r="687">
      <c r="A687" s="24">
        <v>28.0</v>
      </c>
      <c r="B687" s="24">
        <v>3.0</v>
      </c>
      <c r="C687" s="47">
        <v>34.66</v>
      </c>
      <c r="D687" s="35">
        <v>45000.0</v>
      </c>
      <c r="E687" s="47">
        <v>11.5533333333333</v>
      </c>
      <c r="F687" s="47">
        <v>1237.85714285714</v>
      </c>
      <c r="G687" s="48">
        <v>0.107142857142857</v>
      </c>
      <c r="H687" s="24" t="s">
        <v>6765</v>
      </c>
      <c r="I687" s="47"/>
      <c r="J687" s="24">
        <v>0.0</v>
      </c>
    </row>
    <row r="688">
      <c r="A688" s="24">
        <v>68.0</v>
      </c>
      <c r="B688" s="24">
        <v>2.0</v>
      </c>
      <c r="C688" s="47">
        <v>28.96</v>
      </c>
      <c r="D688" s="35">
        <v>45001.0</v>
      </c>
      <c r="E688" s="47">
        <v>14.48</v>
      </c>
      <c r="F688" s="47">
        <v>425.882352941176</v>
      </c>
      <c r="G688" s="48">
        <v>0.0294117647058823</v>
      </c>
      <c r="H688" s="24" t="s">
        <v>6765</v>
      </c>
      <c r="I688" s="47"/>
      <c r="J688" s="24">
        <v>0.0</v>
      </c>
    </row>
    <row r="689">
      <c r="A689" s="24">
        <v>47.0</v>
      </c>
      <c r="B689" s="24">
        <v>1.0</v>
      </c>
      <c r="C689" s="47">
        <v>13.32</v>
      </c>
      <c r="D689" s="35">
        <v>45002.0</v>
      </c>
      <c r="E689" s="47">
        <v>13.32</v>
      </c>
      <c r="F689" s="47">
        <v>283.404255319148</v>
      </c>
      <c r="G689" s="48">
        <v>0.0212765957446808</v>
      </c>
      <c r="H689" s="24" t="s">
        <v>6765</v>
      </c>
      <c r="I689" s="47"/>
      <c r="J689" s="24">
        <v>0.0</v>
      </c>
    </row>
    <row r="690">
      <c r="A690" s="24">
        <v>19.0</v>
      </c>
      <c r="B690" s="24">
        <v>2.0</v>
      </c>
      <c r="C690" s="47">
        <v>28.54</v>
      </c>
      <c r="D690" s="35">
        <v>45003.0</v>
      </c>
      <c r="E690" s="47">
        <v>14.27</v>
      </c>
      <c r="F690" s="47">
        <v>1502.10526315789</v>
      </c>
      <c r="G690" s="48">
        <v>0.105263157894736</v>
      </c>
      <c r="H690" s="24" t="s">
        <v>6765</v>
      </c>
      <c r="I690" s="47"/>
      <c r="J690" s="24">
        <v>0.0</v>
      </c>
    </row>
    <row r="691">
      <c r="A691" s="24">
        <v>13.0</v>
      </c>
      <c r="B691" s="24">
        <v>0.0</v>
      </c>
      <c r="C691" s="47">
        <v>0.0</v>
      </c>
      <c r="D691" s="35">
        <v>45004.0</v>
      </c>
      <c r="E691" s="47"/>
      <c r="F691" s="47">
        <v>0.0</v>
      </c>
      <c r="G691" s="48">
        <v>0.0</v>
      </c>
      <c r="H691" s="24" t="s">
        <v>6765</v>
      </c>
      <c r="I691" s="47"/>
      <c r="J691" s="24">
        <v>0.0</v>
      </c>
    </row>
    <row r="692">
      <c r="A692" s="24">
        <v>40.0</v>
      </c>
      <c r="B692" s="24">
        <v>3.0</v>
      </c>
      <c r="C692" s="47">
        <v>43.37</v>
      </c>
      <c r="D692" s="35">
        <v>45005.0</v>
      </c>
      <c r="E692" s="47">
        <v>14.4566666666666</v>
      </c>
      <c r="F692" s="47">
        <v>1084.25</v>
      </c>
      <c r="G692" s="48">
        <v>0.075</v>
      </c>
      <c r="H692" s="24" t="s">
        <v>6765</v>
      </c>
      <c r="I692" s="47"/>
      <c r="J692" s="24">
        <v>0.0</v>
      </c>
    </row>
    <row r="693">
      <c r="A693" s="24">
        <v>89.0</v>
      </c>
      <c r="B693" s="24">
        <v>3.0</v>
      </c>
      <c r="C693" s="47">
        <v>42.21</v>
      </c>
      <c r="D693" s="35">
        <v>45006.0</v>
      </c>
      <c r="E693" s="47">
        <v>14.07</v>
      </c>
      <c r="F693" s="47">
        <v>474.269662921348</v>
      </c>
      <c r="G693" s="48">
        <v>0.0337078651685393</v>
      </c>
      <c r="H693" s="24" t="s">
        <v>6765</v>
      </c>
      <c r="I693" s="47"/>
      <c r="J693" s="24">
        <v>0.0</v>
      </c>
    </row>
    <row r="694">
      <c r="A694" s="24">
        <v>12.0</v>
      </c>
      <c r="B694" s="24">
        <v>3.0</v>
      </c>
      <c r="C694" s="47">
        <v>42.69</v>
      </c>
      <c r="D694" s="35">
        <v>45007.0</v>
      </c>
      <c r="E694" s="47">
        <v>14.23</v>
      </c>
      <c r="F694" s="47">
        <v>3557.5</v>
      </c>
      <c r="G694" s="48">
        <v>0.25</v>
      </c>
      <c r="H694" s="24" t="s">
        <v>6765</v>
      </c>
      <c r="I694" s="47"/>
      <c r="J694" s="24">
        <v>0.0</v>
      </c>
    </row>
    <row r="695">
      <c r="A695" s="24">
        <v>123.0</v>
      </c>
      <c r="B695" s="24">
        <v>2.0</v>
      </c>
      <c r="C695" s="47">
        <v>23.51</v>
      </c>
      <c r="D695" s="35">
        <v>45008.0</v>
      </c>
      <c r="E695" s="47">
        <v>11.755</v>
      </c>
      <c r="F695" s="47">
        <v>191.138211382113</v>
      </c>
      <c r="G695" s="48">
        <v>0.016260162601626</v>
      </c>
      <c r="H695" s="24" t="s">
        <v>6765</v>
      </c>
      <c r="I695" s="47"/>
      <c r="J695" s="24">
        <v>0.0</v>
      </c>
    </row>
    <row r="696">
      <c r="A696" s="24">
        <v>35.0</v>
      </c>
      <c r="B696" s="24">
        <v>3.0</v>
      </c>
      <c r="C696" s="47">
        <v>44.21</v>
      </c>
      <c r="D696" s="35">
        <v>45009.0</v>
      </c>
      <c r="E696" s="47">
        <v>14.7366666666666</v>
      </c>
      <c r="F696" s="47">
        <v>1263.14285714285</v>
      </c>
      <c r="G696" s="48">
        <v>0.0857142857142857</v>
      </c>
      <c r="H696" s="24" t="s">
        <v>6765</v>
      </c>
      <c r="I696" s="47"/>
      <c r="J696" s="24">
        <v>0.0</v>
      </c>
    </row>
    <row r="697">
      <c r="A697" s="24">
        <v>14.0</v>
      </c>
      <c r="B697" s="24">
        <v>2.0</v>
      </c>
      <c r="C697" s="47">
        <v>0.77</v>
      </c>
      <c r="D697" s="35">
        <v>45010.0</v>
      </c>
      <c r="E697" s="47">
        <v>0.385</v>
      </c>
      <c r="F697" s="47">
        <v>55.0</v>
      </c>
      <c r="G697" s="48">
        <v>0.142857142857142</v>
      </c>
      <c r="H697" s="24" t="s">
        <v>6765</v>
      </c>
      <c r="I697" s="47"/>
      <c r="J697" s="24">
        <v>0.0</v>
      </c>
    </row>
    <row r="698">
      <c r="A698" s="24">
        <v>28.0</v>
      </c>
      <c r="B698" s="24">
        <v>0.0</v>
      </c>
      <c r="C698" s="47">
        <v>0.0</v>
      </c>
      <c r="D698" s="35">
        <v>45011.0</v>
      </c>
      <c r="E698" s="47"/>
      <c r="F698" s="47">
        <v>0.0</v>
      </c>
      <c r="G698" s="48">
        <v>0.0</v>
      </c>
      <c r="H698" s="24" t="s">
        <v>6765</v>
      </c>
      <c r="I698" s="47"/>
      <c r="J698" s="24">
        <v>0.0</v>
      </c>
    </row>
    <row r="699">
      <c r="A699" s="24">
        <v>139.0</v>
      </c>
      <c r="B699" s="24">
        <v>4.0</v>
      </c>
      <c r="C699" s="47">
        <v>47.21</v>
      </c>
      <c r="D699" s="35">
        <v>45012.0</v>
      </c>
      <c r="E699" s="47">
        <v>11.8025</v>
      </c>
      <c r="F699" s="47">
        <v>339.640287769784</v>
      </c>
      <c r="G699" s="48">
        <v>0.0287769784172661</v>
      </c>
      <c r="H699" s="24" t="s">
        <v>6765</v>
      </c>
      <c r="I699" s="47"/>
      <c r="J699" s="24">
        <v>0.0</v>
      </c>
    </row>
    <row r="700">
      <c r="A700" s="24">
        <v>117.0</v>
      </c>
      <c r="B700" s="24">
        <v>6.0</v>
      </c>
      <c r="C700" s="47">
        <v>66.71</v>
      </c>
      <c r="D700" s="35">
        <v>45013.0</v>
      </c>
      <c r="E700" s="47">
        <v>11.1183333333333</v>
      </c>
      <c r="F700" s="47">
        <v>570.17094017094</v>
      </c>
      <c r="G700" s="48">
        <v>0.0512820512820512</v>
      </c>
      <c r="H700" s="24" t="s">
        <v>6765</v>
      </c>
      <c r="I700" s="47"/>
      <c r="J700" s="24">
        <v>0.0</v>
      </c>
    </row>
    <row r="701">
      <c r="A701" s="24">
        <v>110.0</v>
      </c>
      <c r="B701" s="24">
        <v>4.0</v>
      </c>
      <c r="C701" s="47">
        <v>56.88</v>
      </c>
      <c r="D701" s="35">
        <v>45014.0</v>
      </c>
      <c r="E701" s="47">
        <v>14.22</v>
      </c>
      <c r="F701" s="47">
        <v>517.090909090909</v>
      </c>
      <c r="G701" s="48">
        <v>0.0363636363636363</v>
      </c>
      <c r="H701" s="24" t="s">
        <v>6765</v>
      </c>
      <c r="I701" s="47"/>
      <c r="J701" s="24">
        <v>0.0</v>
      </c>
    </row>
    <row r="702">
      <c r="A702" s="24">
        <v>39.0</v>
      </c>
      <c r="B702" s="24">
        <v>4.0</v>
      </c>
      <c r="C702" s="47">
        <v>44.31</v>
      </c>
      <c r="D702" s="35">
        <v>45015.0</v>
      </c>
      <c r="E702" s="47">
        <v>11.0775</v>
      </c>
      <c r="F702" s="47">
        <v>1136.15384615384</v>
      </c>
      <c r="G702" s="48">
        <v>0.102564102564102</v>
      </c>
      <c r="H702" s="24" t="s">
        <v>6765</v>
      </c>
      <c r="I702" s="47"/>
      <c r="J702" s="24">
        <v>0.0</v>
      </c>
    </row>
    <row r="703">
      <c r="A703" s="24">
        <v>17.0</v>
      </c>
      <c r="B703" s="24">
        <v>1.0</v>
      </c>
      <c r="C703" s="47">
        <v>14.08</v>
      </c>
      <c r="D703" s="35">
        <v>45016.0</v>
      </c>
      <c r="E703" s="47">
        <v>14.08</v>
      </c>
      <c r="F703" s="47">
        <v>828.235294117647</v>
      </c>
      <c r="G703" s="48">
        <v>0.0588235294117647</v>
      </c>
      <c r="H703" s="24" t="s">
        <v>6765</v>
      </c>
      <c r="I703" s="47"/>
      <c r="J703" s="24">
        <v>0.0</v>
      </c>
    </row>
    <row r="704">
      <c r="A704" s="24">
        <v>24.0</v>
      </c>
      <c r="B704" s="24">
        <v>3.0</v>
      </c>
      <c r="C704" s="47">
        <v>41.78</v>
      </c>
      <c r="D704" s="35">
        <v>45017.0</v>
      </c>
      <c r="E704" s="47">
        <v>13.9266666666666</v>
      </c>
      <c r="F704" s="47">
        <v>1740.83333333333</v>
      </c>
      <c r="G704" s="48">
        <v>0.125</v>
      </c>
      <c r="H704" s="24" t="s">
        <v>6765</v>
      </c>
      <c r="I704" s="47"/>
      <c r="J704" s="24">
        <v>0.0</v>
      </c>
    </row>
    <row r="705">
      <c r="A705" s="24">
        <v>25.0</v>
      </c>
      <c r="B705" s="24">
        <v>2.0</v>
      </c>
      <c r="C705" s="47">
        <v>15.34</v>
      </c>
      <c r="D705" s="35">
        <v>45018.0</v>
      </c>
      <c r="E705" s="47">
        <v>7.67</v>
      </c>
      <c r="F705" s="47">
        <v>613.6</v>
      </c>
      <c r="G705" s="48">
        <v>0.08</v>
      </c>
      <c r="H705" s="24" t="s">
        <v>6765</v>
      </c>
      <c r="I705" s="47"/>
      <c r="J705" s="24">
        <v>0.0</v>
      </c>
    </row>
    <row r="706">
      <c r="A706" s="24">
        <v>101.0</v>
      </c>
      <c r="B706" s="24">
        <v>5.0</v>
      </c>
      <c r="C706" s="47">
        <v>57.58</v>
      </c>
      <c r="D706" s="35">
        <v>45019.0</v>
      </c>
      <c r="E706" s="47">
        <v>11.516</v>
      </c>
      <c r="F706" s="47">
        <v>570.09900990099</v>
      </c>
      <c r="G706" s="48">
        <v>0.0495049504950495</v>
      </c>
      <c r="H706" s="24" t="s">
        <v>6765</v>
      </c>
      <c r="I706" s="47"/>
      <c r="J706" s="24">
        <v>0.0</v>
      </c>
    </row>
    <row r="707">
      <c r="A707" s="24">
        <v>41.0</v>
      </c>
      <c r="B707" s="24">
        <v>3.0</v>
      </c>
      <c r="C707" s="47">
        <v>41.18</v>
      </c>
      <c r="D707" s="35">
        <v>45020.0</v>
      </c>
      <c r="E707" s="47">
        <v>13.7266666666666</v>
      </c>
      <c r="F707" s="47">
        <v>1004.39024390243</v>
      </c>
      <c r="G707" s="48">
        <v>0.073170731707317</v>
      </c>
      <c r="H707" s="24" t="s">
        <v>6765</v>
      </c>
      <c r="I707" s="47">
        <v>41.18</v>
      </c>
      <c r="J707" s="24">
        <v>1.0</v>
      </c>
    </row>
    <row r="708">
      <c r="A708" s="24">
        <v>61.0</v>
      </c>
      <c r="B708" s="24">
        <v>3.0</v>
      </c>
      <c r="C708" s="47">
        <v>38.32</v>
      </c>
      <c r="D708" s="35">
        <v>45021.0</v>
      </c>
      <c r="E708" s="47">
        <v>12.7733333333333</v>
      </c>
      <c r="F708" s="47">
        <v>628.196721311475</v>
      </c>
      <c r="G708" s="48">
        <v>0.0491803278688524</v>
      </c>
      <c r="H708" s="24" t="s">
        <v>6765</v>
      </c>
      <c r="I708" s="47"/>
      <c r="J708" s="24">
        <v>0.0</v>
      </c>
    </row>
    <row r="709">
      <c r="A709" s="24">
        <v>93.0</v>
      </c>
      <c r="B709" s="24">
        <v>3.0</v>
      </c>
      <c r="C709" s="47">
        <v>29.9</v>
      </c>
      <c r="D709" s="35">
        <v>45022.0</v>
      </c>
      <c r="E709" s="47">
        <v>9.96666666666666</v>
      </c>
      <c r="F709" s="47">
        <v>321.505376344086</v>
      </c>
      <c r="G709" s="48">
        <v>0.032258064516129</v>
      </c>
      <c r="H709" s="24" t="s">
        <v>6765</v>
      </c>
      <c r="I709" s="47"/>
      <c r="J709" s="24">
        <v>0.0</v>
      </c>
    </row>
    <row r="710">
      <c r="A710" s="24">
        <v>27.0</v>
      </c>
      <c r="B710" s="24">
        <v>3.0</v>
      </c>
      <c r="C710" s="47">
        <v>43.64</v>
      </c>
      <c r="D710" s="35">
        <v>45023.0</v>
      </c>
      <c r="E710" s="47">
        <v>14.5466666666666</v>
      </c>
      <c r="F710" s="47">
        <v>1616.29629629629</v>
      </c>
      <c r="G710" s="48">
        <v>0.111111111111111</v>
      </c>
      <c r="H710" s="24" t="s">
        <v>6765</v>
      </c>
      <c r="I710" s="47"/>
      <c r="J710" s="24">
        <v>0.0</v>
      </c>
    </row>
    <row r="711">
      <c r="A711" s="24">
        <v>10.0</v>
      </c>
      <c r="B711" s="24">
        <v>0.0</v>
      </c>
      <c r="C711" s="47">
        <v>0.0</v>
      </c>
      <c r="D711" s="35">
        <v>45024.0</v>
      </c>
      <c r="E711" s="47"/>
      <c r="F711" s="47">
        <v>0.0</v>
      </c>
      <c r="G711" s="48">
        <v>0.0</v>
      </c>
      <c r="H711" s="24" t="s">
        <v>6765</v>
      </c>
      <c r="I711" s="47"/>
      <c r="J711" s="24">
        <v>0.0</v>
      </c>
    </row>
    <row r="712">
      <c r="A712" s="24">
        <v>21.0</v>
      </c>
      <c r="B712" s="24">
        <v>2.0</v>
      </c>
      <c r="C712" s="47">
        <v>15.26</v>
      </c>
      <c r="D712" s="35">
        <v>45025.0</v>
      </c>
      <c r="E712" s="47">
        <v>7.63</v>
      </c>
      <c r="F712" s="47">
        <v>726.666666666666</v>
      </c>
      <c r="G712" s="48">
        <v>0.0952380952380952</v>
      </c>
      <c r="H712" s="24" t="s">
        <v>6765</v>
      </c>
      <c r="I712" s="47"/>
      <c r="J712" s="24">
        <v>0.0</v>
      </c>
    </row>
    <row r="713">
      <c r="A713" s="24">
        <v>64.0</v>
      </c>
      <c r="B713" s="24">
        <v>4.0</v>
      </c>
      <c r="C713" s="47">
        <v>58.53</v>
      </c>
      <c r="D713" s="35">
        <v>45026.0</v>
      </c>
      <c r="E713" s="47">
        <v>14.6325</v>
      </c>
      <c r="F713" s="47">
        <v>914.53125</v>
      </c>
      <c r="G713" s="48">
        <v>0.0625</v>
      </c>
      <c r="H713" s="24" t="s">
        <v>6765</v>
      </c>
      <c r="I713" s="47"/>
      <c r="J713" s="24">
        <v>0.0</v>
      </c>
    </row>
    <row r="714">
      <c r="A714" s="24">
        <v>40.0</v>
      </c>
      <c r="B714" s="24">
        <v>5.0</v>
      </c>
      <c r="C714" s="47">
        <v>67.56</v>
      </c>
      <c r="D714" s="35">
        <v>45027.0</v>
      </c>
      <c r="E714" s="47">
        <v>13.512</v>
      </c>
      <c r="F714" s="47">
        <v>1689.0</v>
      </c>
      <c r="G714" s="48">
        <v>0.125</v>
      </c>
      <c r="H714" s="24" t="s">
        <v>6765</v>
      </c>
      <c r="I714" s="47"/>
      <c r="J714" s="24">
        <v>0.0</v>
      </c>
    </row>
    <row r="715">
      <c r="A715" s="24">
        <v>79.0</v>
      </c>
      <c r="B715" s="24">
        <v>3.0</v>
      </c>
      <c r="C715" s="47">
        <v>43.05</v>
      </c>
      <c r="D715" s="35">
        <v>45028.0</v>
      </c>
      <c r="E715" s="47">
        <v>14.35</v>
      </c>
      <c r="F715" s="47">
        <v>544.936708860759</v>
      </c>
      <c r="G715" s="48">
        <v>0.0379746835443038</v>
      </c>
      <c r="H715" s="24" t="s">
        <v>6765</v>
      </c>
      <c r="I715" s="47"/>
      <c r="J715" s="24">
        <v>0.0</v>
      </c>
    </row>
    <row r="716">
      <c r="A716" s="24">
        <v>99.0</v>
      </c>
      <c r="B716" s="24">
        <v>2.0</v>
      </c>
      <c r="C716" s="47">
        <v>28.34</v>
      </c>
      <c r="D716" s="35">
        <v>45029.0</v>
      </c>
      <c r="E716" s="47">
        <v>14.17</v>
      </c>
      <c r="F716" s="47">
        <v>286.262626262626</v>
      </c>
      <c r="G716" s="48">
        <v>0.0202020202020202</v>
      </c>
      <c r="H716" s="24" t="s">
        <v>6765</v>
      </c>
      <c r="I716" s="47"/>
      <c r="J716" s="24">
        <v>0.0</v>
      </c>
    </row>
    <row r="717">
      <c r="A717" s="24">
        <v>50.0</v>
      </c>
      <c r="B717" s="24">
        <v>3.0</v>
      </c>
      <c r="C717" s="47">
        <v>43.56</v>
      </c>
      <c r="D717" s="35">
        <v>45030.0</v>
      </c>
      <c r="E717" s="47">
        <v>14.52</v>
      </c>
      <c r="F717" s="47">
        <v>871.2</v>
      </c>
      <c r="G717" s="48">
        <v>0.06</v>
      </c>
      <c r="H717" s="24" t="s">
        <v>6765</v>
      </c>
      <c r="I717" s="47"/>
      <c r="J717" s="24">
        <v>0.0</v>
      </c>
    </row>
    <row r="718">
      <c r="A718" s="24">
        <v>19.0</v>
      </c>
      <c r="B718" s="24">
        <v>1.0</v>
      </c>
      <c r="C718" s="47">
        <v>13.96</v>
      </c>
      <c r="D718" s="35">
        <v>45031.0</v>
      </c>
      <c r="E718" s="47">
        <v>13.96</v>
      </c>
      <c r="F718" s="47">
        <v>734.736842105263</v>
      </c>
      <c r="G718" s="48">
        <v>0.0526315789473684</v>
      </c>
      <c r="H718" s="24" t="s">
        <v>6765</v>
      </c>
      <c r="I718" s="47"/>
      <c r="J718" s="24">
        <v>0.0</v>
      </c>
    </row>
    <row r="719">
      <c r="A719" s="24">
        <v>22.0</v>
      </c>
      <c r="B719" s="24">
        <v>4.0</v>
      </c>
      <c r="C719" s="47">
        <v>55.97</v>
      </c>
      <c r="D719" s="35">
        <v>45032.0</v>
      </c>
      <c r="E719" s="47">
        <v>13.9925</v>
      </c>
      <c r="F719" s="47">
        <v>2544.0909090909</v>
      </c>
      <c r="G719" s="48">
        <v>0.181818181818181</v>
      </c>
      <c r="H719" s="24" t="s">
        <v>6765</v>
      </c>
      <c r="I719" s="47"/>
      <c r="J719" s="24">
        <v>0.0</v>
      </c>
    </row>
    <row r="720">
      <c r="A720" s="24">
        <v>23.0</v>
      </c>
      <c r="B720" s="24">
        <v>3.0</v>
      </c>
      <c r="C720" s="47">
        <v>44.39</v>
      </c>
      <c r="D720" s="35">
        <v>45033.0</v>
      </c>
      <c r="E720" s="47">
        <v>14.7966666666666</v>
      </c>
      <c r="F720" s="47">
        <v>1930.0</v>
      </c>
      <c r="G720" s="48">
        <v>0.130434782608695</v>
      </c>
      <c r="H720" s="24" t="s">
        <v>6765</v>
      </c>
      <c r="I720" s="47"/>
      <c r="J720" s="24">
        <v>0.0</v>
      </c>
    </row>
    <row r="721">
      <c r="A721" s="24">
        <v>117.0</v>
      </c>
      <c r="B721" s="24">
        <v>2.0</v>
      </c>
      <c r="C721" s="47">
        <v>29.41</v>
      </c>
      <c r="D721" s="35">
        <v>45034.0</v>
      </c>
      <c r="E721" s="47">
        <v>14.705</v>
      </c>
      <c r="F721" s="47">
        <v>251.367521367521</v>
      </c>
      <c r="G721" s="48">
        <v>0.017094017094017</v>
      </c>
      <c r="H721" s="24" t="s">
        <v>6765</v>
      </c>
      <c r="I721" s="47"/>
      <c r="J721" s="24">
        <v>0.0</v>
      </c>
    </row>
    <row r="722">
      <c r="A722" s="24">
        <v>91.0</v>
      </c>
      <c r="B722" s="24">
        <v>2.0</v>
      </c>
      <c r="C722" s="47">
        <v>29.6</v>
      </c>
      <c r="D722" s="35">
        <v>45035.0</v>
      </c>
      <c r="E722" s="47">
        <v>14.8</v>
      </c>
      <c r="F722" s="47">
        <v>325.274725274725</v>
      </c>
      <c r="G722" s="48">
        <v>0.0219780219780219</v>
      </c>
      <c r="H722" s="24" t="s">
        <v>6765</v>
      </c>
      <c r="I722" s="47"/>
      <c r="J722" s="24">
        <v>0.0</v>
      </c>
    </row>
    <row r="723">
      <c r="A723" s="24">
        <v>8.0</v>
      </c>
      <c r="B723" s="24">
        <v>3.0</v>
      </c>
      <c r="C723" s="47">
        <v>43.5</v>
      </c>
      <c r="D723" s="35">
        <v>45036.0</v>
      </c>
      <c r="E723" s="47">
        <v>14.5</v>
      </c>
      <c r="F723" s="47">
        <v>5437.5</v>
      </c>
      <c r="G723" s="48">
        <v>0.375</v>
      </c>
      <c r="H723" s="24" t="s">
        <v>6765</v>
      </c>
      <c r="I723" s="47"/>
      <c r="J723" s="24">
        <v>0.0</v>
      </c>
    </row>
    <row r="724">
      <c r="A724" s="24">
        <v>23.0</v>
      </c>
      <c r="B724" s="24">
        <v>3.0</v>
      </c>
      <c r="C724" s="47">
        <v>43.2</v>
      </c>
      <c r="D724" s="35">
        <v>45037.0</v>
      </c>
      <c r="E724" s="47">
        <v>14.4</v>
      </c>
      <c r="F724" s="47">
        <v>1878.26086956521</v>
      </c>
      <c r="G724" s="48">
        <v>0.130434782608695</v>
      </c>
      <c r="H724" s="24" t="s">
        <v>6765</v>
      </c>
      <c r="I724" s="47"/>
      <c r="J724" s="24">
        <v>0.0</v>
      </c>
    </row>
    <row r="725">
      <c r="A725" s="24">
        <v>22.0</v>
      </c>
      <c r="B725" s="24">
        <v>1.0</v>
      </c>
      <c r="C725" s="47">
        <v>14.03</v>
      </c>
      <c r="D725" s="35">
        <v>45038.0</v>
      </c>
      <c r="E725" s="47">
        <v>14.03</v>
      </c>
      <c r="F725" s="47">
        <v>637.727272727272</v>
      </c>
      <c r="G725" s="48">
        <v>0.0454545454545454</v>
      </c>
      <c r="H725" s="24" t="s">
        <v>6765</v>
      </c>
      <c r="I725" s="47"/>
      <c r="J725" s="24">
        <v>0.0</v>
      </c>
    </row>
    <row r="726">
      <c r="A726" s="24">
        <v>23.0</v>
      </c>
      <c r="B726" s="24">
        <v>0.0</v>
      </c>
      <c r="C726" s="47">
        <v>0.0</v>
      </c>
      <c r="D726" s="35">
        <v>45039.0</v>
      </c>
      <c r="E726" s="47"/>
      <c r="F726" s="47">
        <v>0.0</v>
      </c>
      <c r="G726" s="48">
        <v>0.0</v>
      </c>
      <c r="H726" s="24" t="s">
        <v>6765</v>
      </c>
      <c r="I726" s="47"/>
      <c r="J726" s="24">
        <v>0.0</v>
      </c>
    </row>
    <row r="727">
      <c r="A727" s="24">
        <v>79.0</v>
      </c>
      <c r="B727" s="24">
        <v>5.0</v>
      </c>
      <c r="C727" s="47">
        <v>68.85</v>
      </c>
      <c r="D727" s="35">
        <v>45040.0</v>
      </c>
      <c r="E727" s="47">
        <v>13.77</v>
      </c>
      <c r="F727" s="47">
        <v>871.518987341772</v>
      </c>
      <c r="G727" s="48">
        <v>0.0632911392405063</v>
      </c>
      <c r="H727" s="24" t="s">
        <v>6765</v>
      </c>
      <c r="I727" s="47"/>
      <c r="J727" s="24">
        <v>0.0</v>
      </c>
    </row>
    <row r="728">
      <c r="A728" s="24">
        <v>85.0</v>
      </c>
      <c r="B728" s="24">
        <v>3.0</v>
      </c>
      <c r="C728" s="47">
        <v>37.04</v>
      </c>
      <c r="D728" s="35">
        <v>45041.0</v>
      </c>
      <c r="E728" s="47">
        <v>12.3466666666666</v>
      </c>
      <c r="F728" s="47">
        <v>435.764705882352</v>
      </c>
      <c r="G728" s="48">
        <v>0.0352941176470588</v>
      </c>
      <c r="H728" s="24" t="s">
        <v>6765</v>
      </c>
      <c r="I728" s="47"/>
      <c r="J728" s="24">
        <v>0.0</v>
      </c>
    </row>
    <row r="729">
      <c r="A729" s="24">
        <v>97.0</v>
      </c>
      <c r="B729" s="24">
        <v>4.0</v>
      </c>
      <c r="C729" s="47">
        <v>42.57</v>
      </c>
      <c r="D729" s="35">
        <v>45042.0</v>
      </c>
      <c r="E729" s="47">
        <v>10.6425</v>
      </c>
      <c r="F729" s="47">
        <v>438.865979381443</v>
      </c>
      <c r="G729" s="48">
        <v>0.0412371134020618</v>
      </c>
      <c r="H729" s="24" t="s">
        <v>6765</v>
      </c>
      <c r="I729" s="47"/>
      <c r="J729" s="24">
        <v>0.0</v>
      </c>
    </row>
    <row r="730">
      <c r="A730" s="24">
        <v>38.0</v>
      </c>
      <c r="B730" s="24">
        <v>3.0</v>
      </c>
      <c r="C730" s="47">
        <v>44.01</v>
      </c>
      <c r="D730" s="35">
        <v>45043.0</v>
      </c>
      <c r="E730" s="47">
        <v>14.67</v>
      </c>
      <c r="F730" s="47">
        <v>1158.15789473684</v>
      </c>
      <c r="G730" s="48">
        <v>0.0789473684210526</v>
      </c>
      <c r="H730" s="24" t="s">
        <v>6765</v>
      </c>
      <c r="I730" s="47"/>
      <c r="J730" s="24">
        <v>0.0</v>
      </c>
    </row>
    <row r="731">
      <c r="A731" s="24">
        <v>106.0</v>
      </c>
      <c r="B731" s="24">
        <v>2.0</v>
      </c>
      <c r="C731" s="47">
        <v>29.11</v>
      </c>
      <c r="D731" s="35">
        <v>45044.0</v>
      </c>
      <c r="E731" s="47">
        <v>14.555</v>
      </c>
      <c r="F731" s="47">
        <v>274.622641509434</v>
      </c>
      <c r="G731" s="48">
        <v>0.0188679245283018</v>
      </c>
      <c r="H731" s="24" t="s">
        <v>6765</v>
      </c>
      <c r="I731" s="47"/>
      <c r="J731" s="24">
        <v>0.0</v>
      </c>
    </row>
    <row r="732">
      <c r="A732" s="24">
        <v>21.0</v>
      </c>
      <c r="B732" s="24">
        <v>0.0</v>
      </c>
      <c r="C732" s="47">
        <v>0.0</v>
      </c>
      <c r="D732" s="35">
        <v>45045.0</v>
      </c>
      <c r="E732" s="47"/>
      <c r="F732" s="47">
        <v>0.0</v>
      </c>
      <c r="G732" s="48">
        <v>0.0</v>
      </c>
      <c r="H732" s="24" t="s">
        <v>6765</v>
      </c>
      <c r="I732" s="47"/>
      <c r="J732" s="24">
        <v>0.0</v>
      </c>
    </row>
    <row r="733">
      <c r="A733" s="24">
        <v>23.0</v>
      </c>
      <c r="B733" s="24">
        <v>3.0</v>
      </c>
      <c r="C733" s="47">
        <v>29.7</v>
      </c>
      <c r="D733" s="35">
        <v>45046.0</v>
      </c>
      <c r="E733" s="47">
        <v>9.9</v>
      </c>
      <c r="F733" s="47">
        <v>1291.30434782608</v>
      </c>
      <c r="G733" s="48">
        <v>0.130434782608695</v>
      </c>
      <c r="H733" s="24" t="s">
        <v>6765</v>
      </c>
      <c r="I733" s="47"/>
      <c r="J733" s="24">
        <v>0.0</v>
      </c>
    </row>
    <row r="734">
      <c r="A734" s="24">
        <v>75.0</v>
      </c>
      <c r="B734" s="24">
        <v>3.0</v>
      </c>
      <c r="C734" s="47">
        <v>43.37</v>
      </c>
      <c r="D734" s="35">
        <v>45047.0</v>
      </c>
      <c r="E734" s="47">
        <v>14.4566666666666</v>
      </c>
      <c r="F734" s="47">
        <v>578.266666666666</v>
      </c>
      <c r="G734" s="48">
        <v>0.04</v>
      </c>
      <c r="H734" s="24" t="s">
        <v>6765</v>
      </c>
      <c r="I734" s="47"/>
      <c r="J734" s="24">
        <v>0.0</v>
      </c>
    </row>
    <row r="735">
      <c r="A735" s="24">
        <v>116.0</v>
      </c>
      <c r="B735" s="24">
        <v>1.0</v>
      </c>
      <c r="C735" s="47">
        <v>14.57</v>
      </c>
      <c r="D735" s="35">
        <v>45048.0</v>
      </c>
      <c r="E735" s="47">
        <v>14.57</v>
      </c>
      <c r="F735" s="47">
        <v>125.603448275862</v>
      </c>
      <c r="G735" s="48">
        <v>0.00862068965517241</v>
      </c>
      <c r="H735" s="24" t="s">
        <v>6765</v>
      </c>
      <c r="I735" s="47"/>
      <c r="J735" s="24">
        <v>0.0</v>
      </c>
    </row>
    <row r="736">
      <c r="A736" s="24">
        <v>155.0</v>
      </c>
      <c r="B736" s="24">
        <v>4.0</v>
      </c>
      <c r="C736" s="47">
        <v>58.66</v>
      </c>
      <c r="D736" s="35">
        <v>45049.0</v>
      </c>
      <c r="E736" s="47">
        <v>14.665</v>
      </c>
      <c r="F736" s="47">
        <v>378.451612903225</v>
      </c>
      <c r="G736" s="48">
        <v>0.0258064516129032</v>
      </c>
      <c r="H736" s="24" t="s">
        <v>6765</v>
      </c>
      <c r="I736" s="47"/>
      <c r="J736" s="24">
        <v>0.0</v>
      </c>
    </row>
    <row r="737">
      <c r="A737" s="24">
        <v>18.0</v>
      </c>
      <c r="B737" s="24">
        <v>3.0</v>
      </c>
      <c r="C737" s="47">
        <v>44.33</v>
      </c>
      <c r="D737" s="35">
        <v>45050.0</v>
      </c>
      <c r="E737" s="47">
        <v>14.7766666666666</v>
      </c>
      <c r="F737" s="47">
        <v>2462.77777777777</v>
      </c>
      <c r="G737" s="48">
        <v>0.166666666666666</v>
      </c>
      <c r="H737" s="24" t="s">
        <v>6765</v>
      </c>
      <c r="I737" s="47"/>
      <c r="J737" s="24">
        <v>0.0</v>
      </c>
    </row>
    <row r="738">
      <c r="A738" s="24">
        <v>57.0</v>
      </c>
      <c r="B738" s="24">
        <v>3.0</v>
      </c>
      <c r="C738" s="47">
        <v>43.25</v>
      </c>
      <c r="D738" s="35">
        <v>45051.0</v>
      </c>
      <c r="E738" s="47">
        <v>14.4166666666666</v>
      </c>
      <c r="F738" s="47">
        <v>758.771929824561</v>
      </c>
      <c r="G738" s="48">
        <v>0.0526315789473684</v>
      </c>
      <c r="H738" s="24" t="s">
        <v>6765</v>
      </c>
      <c r="I738" s="47"/>
      <c r="J738" s="24">
        <v>0.0</v>
      </c>
    </row>
    <row r="739">
      <c r="A739" s="24">
        <v>6.0</v>
      </c>
      <c r="B739" s="24">
        <v>3.0</v>
      </c>
      <c r="C739" s="47">
        <v>42.91</v>
      </c>
      <c r="D739" s="35">
        <v>45052.0</v>
      </c>
      <c r="E739" s="47">
        <v>14.3033333333333</v>
      </c>
      <c r="F739" s="47">
        <v>7151.66666666666</v>
      </c>
      <c r="G739" s="48">
        <v>0.5</v>
      </c>
      <c r="H739" s="24" t="s">
        <v>6765</v>
      </c>
      <c r="I739" s="47"/>
      <c r="J739" s="24">
        <v>0.0</v>
      </c>
    </row>
    <row r="740">
      <c r="A740" s="24">
        <v>15.0</v>
      </c>
      <c r="B740" s="24">
        <v>2.0</v>
      </c>
      <c r="C740" s="47">
        <v>28.14</v>
      </c>
      <c r="D740" s="35">
        <v>45053.0</v>
      </c>
      <c r="E740" s="47">
        <v>14.07</v>
      </c>
      <c r="F740" s="47">
        <v>1876.0</v>
      </c>
      <c r="G740" s="48">
        <v>0.133333333333333</v>
      </c>
      <c r="H740" s="24" t="s">
        <v>6765</v>
      </c>
      <c r="I740" s="47"/>
      <c r="J740" s="24">
        <v>0.0</v>
      </c>
    </row>
    <row r="741">
      <c r="A741" s="24">
        <v>73.0</v>
      </c>
      <c r="B741" s="24">
        <v>3.0</v>
      </c>
      <c r="C741" s="47">
        <v>40.16</v>
      </c>
      <c r="D741" s="35">
        <v>45054.0</v>
      </c>
      <c r="E741" s="47">
        <v>13.3866666666666</v>
      </c>
      <c r="F741" s="47">
        <v>550.136986301369</v>
      </c>
      <c r="G741" s="48">
        <v>0.0410958904109589</v>
      </c>
      <c r="H741" s="24" t="s">
        <v>6765</v>
      </c>
      <c r="I741" s="47"/>
      <c r="J741" s="24">
        <v>0.0</v>
      </c>
    </row>
    <row r="742">
      <c r="A742" s="24">
        <v>25.0</v>
      </c>
      <c r="B742" s="24">
        <v>2.0</v>
      </c>
      <c r="C742" s="47">
        <v>28.47</v>
      </c>
      <c r="D742" s="35">
        <v>45055.0</v>
      </c>
      <c r="E742" s="47">
        <v>14.235</v>
      </c>
      <c r="F742" s="47">
        <v>1138.8</v>
      </c>
      <c r="G742" s="48">
        <v>0.08</v>
      </c>
      <c r="H742" s="24" t="s">
        <v>6765</v>
      </c>
      <c r="I742" s="47"/>
      <c r="J742" s="24">
        <v>0.0</v>
      </c>
    </row>
    <row r="743">
      <c r="A743" s="24">
        <v>77.0</v>
      </c>
      <c r="B743" s="24">
        <v>3.0</v>
      </c>
      <c r="C743" s="47">
        <v>35.39</v>
      </c>
      <c r="D743" s="35">
        <v>45056.0</v>
      </c>
      <c r="E743" s="47">
        <v>11.7966666666666</v>
      </c>
      <c r="F743" s="47">
        <v>459.610389610389</v>
      </c>
      <c r="G743" s="48">
        <v>0.0389610389610389</v>
      </c>
      <c r="H743" s="24" t="s">
        <v>6765</v>
      </c>
      <c r="I743" s="47"/>
      <c r="J743" s="24">
        <v>0.0</v>
      </c>
    </row>
    <row r="744">
      <c r="A744" s="24">
        <v>57.0</v>
      </c>
      <c r="B744" s="24">
        <v>3.0</v>
      </c>
      <c r="C744" s="47">
        <v>39.08</v>
      </c>
      <c r="D744" s="35">
        <v>45057.0</v>
      </c>
      <c r="E744" s="47">
        <v>13.0266666666666</v>
      </c>
      <c r="F744" s="47">
        <v>685.614035087719</v>
      </c>
      <c r="G744" s="48">
        <v>0.0526315789473684</v>
      </c>
      <c r="H744" s="24" t="s">
        <v>6765</v>
      </c>
      <c r="I744" s="47"/>
      <c r="J744" s="24">
        <v>0.0</v>
      </c>
    </row>
    <row r="745">
      <c r="A745" s="24">
        <v>40.0</v>
      </c>
      <c r="B745" s="24">
        <v>2.0</v>
      </c>
      <c r="C745" s="47">
        <v>29.66</v>
      </c>
      <c r="D745" s="35">
        <v>45058.0</v>
      </c>
      <c r="E745" s="47">
        <v>14.83</v>
      </c>
      <c r="F745" s="47">
        <v>741.5</v>
      </c>
      <c r="G745" s="48">
        <v>0.05</v>
      </c>
      <c r="H745" s="24" t="s">
        <v>6765</v>
      </c>
      <c r="I745" s="47"/>
      <c r="J745" s="24">
        <v>0.0</v>
      </c>
    </row>
    <row r="746">
      <c r="A746" s="24">
        <v>21.0</v>
      </c>
      <c r="B746" s="24">
        <v>1.0</v>
      </c>
      <c r="C746" s="47">
        <v>14.05</v>
      </c>
      <c r="D746" s="35">
        <v>45059.0</v>
      </c>
      <c r="E746" s="47">
        <v>14.05</v>
      </c>
      <c r="F746" s="47">
        <v>669.047619047619</v>
      </c>
      <c r="G746" s="48">
        <v>0.0476190476190476</v>
      </c>
      <c r="H746" s="24" t="s">
        <v>6765</v>
      </c>
      <c r="I746" s="47"/>
      <c r="J746" s="24">
        <v>0.0</v>
      </c>
    </row>
    <row r="747">
      <c r="A747" s="24">
        <v>30.0</v>
      </c>
      <c r="B747" s="24">
        <v>1.0</v>
      </c>
      <c r="C747" s="47">
        <v>14.76</v>
      </c>
      <c r="D747" s="35">
        <v>45060.0</v>
      </c>
      <c r="E747" s="47">
        <v>14.76</v>
      </c>
      <c r="F747" s="47">
        <v>492.0</v>
      </c>
      <c r="G747" s="48">
        <v>0.0333333333333333</v>
      </c>
      <c r="H747" s="24" t="s">
        <v>6765</v>
      </c>
      <c r="I747" s="47"/>
      <c r="J747" s="24">
        <v>0.0</v>
      </c>
    </row>
    <row r="748">
      <c r="A748" s="24">
        <v>66.0</v>
      </c>
      <c r="B748" s="24">
        <v>4.0</v>
      </c>
      <c r="C748" s="47">
        <v>56.26</v>
      </c>
      <c r="D748" s="35">
        <v>45061.0</v>
      </c>
      <c r="E748" s="47">
        <v>14.065</v>
      </c>
      <c r="F748" s="47">
        <v>852.424242424242</v>
      </c>
      <c r="G748" s="48">
        <v>0.0606060606060606</v>
      </c>
      <c r="H748" s="24" t="s">
        <v>6765</v>
      </c>
      <c r="I748" s="47"/>
      <c r="J748" s="24">
        <v>0.0</v>
      </c>
    </row>
    <row r="749">
      <c r="A749" s="24">
        <v>42.0</v>
      </c>
      <c r="B749" s="24">
        <v>3.0</v>
      </c>
      <c r="C749" s="47">
        <v>39.26</v>
      </c>
      <c r="D749" s="35">
        <v>45062.0</v>
      </c>
      <c r="E749" s="47">
        <v>13.0866666666666</v>
      </c>
      <c r="F749" s="47">
        <v>934.761904761904</v>
      </c>
      <c r="G749" s="48">
        <v>0.0714285714285714</v>
      </c>
      <c r="H749" s="24" t="s">
        <v>6765</v>
      </c>
      <c r="I749" s="47">
        <v>39.26</v>
      </c>
      <c r="J749" s="24">
        <v>1.0</v>
      </c>
    </row>
    <row r="750">
      <c r="A750" s="24">
        <v>79.0</v>
      </c>
      <c r="B750" s="24">
        <v>3.0</v>
      </c>
      <c r="C750" s="47">
        <v>43.7</v>
      </c>
      <c r="D750" s="35">
        <v>45063.0</v>
      </c>
      <c r="E750" s="47">
        <v>14.5666666666666</v>
      </c>
      <c r="F750" s="47">
        <v>553.164556962025</v>
      </c>
      <c r="G750" s="48">
        <v>0.0379746835443038</v>
      </c>
      <c r="H750" s="24" t="s">
        <v>6765</v>
      </c>
      <c r="I750" s="47"/>
      <c r="J750" s="24">
        <v>0.0</v>
      </c>
    </row>
    <row r="751">
      <c r="A751" s="24">
        <v>81.0</v>
      </c>
      <c r="B751" s="24">
        <v>1.0</v>
      </c>
      <c r="C751" s="47">
        <v>14.69</v>
      </c>
      <c r="D751" s="35">
        <v>45064.0</v>
      </c>
      <c r="E751" s="47">
        <v>14.69</v>
      </c>
      <c r="F751" s="47">
        <v>181.358024691358</v>
      </c>
      <c r="G751" s="48">
        <v>0.0123456790123456</v>
      </c>
      <c r="H751" s="24" t="s">
        <v>6765</v>
      </c>
      <c r="I751" s="47"/>
      <c r="J751" s="24">
        <v>0.0</v>
      </c>
    </row>
    <row r="752">
      <c r="A752" s="24">
        <v>38.0</v>
      </c>
      <c r="B752" s="24">
        <v>4.0</v>
      </c>
      <c r="C752" s="47">
        <v>50.06</v>
      </c>
      <c r="D752" s="35">
        <v>45065.0</v>
      </c>
      <c r="E752" s="47">
        <v>12.515</v>
      </c>
      <c r="F752" s="47">
        <v>1317.36842105263</v>
      </c>
      <c r="G752" s="48">
        <v>0.105263157894736</v>
      </c>
      <c r="H752" s="24" t="s">
        <v>6765</v>
      </c>
      <c r="I752" s="47"/>
      <c r="J752" s="24">
        <v>0.0</v>
      </c>
    </row>
    <row r="753">
      <c r="A753" s="24">
        <v>14.0</v>
      </c>
      <c r="B753" s="24">
        <v>2.0</v>
      </c>
      <c r="C753" s="47">
        <v>20.09</v>
      </c>
      <c r="D753" s="35">
        <v>45066.0</v>
      </c>
      <c r="E753" s="47">
        <v>10.045</v>
      </c>
      <c r="F753" s="47">
        <v>1435.0</v>
      </c>
      <c r="G753" s="48">
        <v>0.142857142857142</v>
      </c>
      <c r="H753" s="24" t="s">
        <v>6765</v>
      </c>
      <c r="I753" s="47"/>
      <c r="J753" s="24">
        <v>0.0</v>
      </c>
    </row>
    <row r="754">
      <c r="A754" s="24">
        <v>5.0</v>
      </c>
      <c r="B754" s="24">
        <v>3.0</v>
      </c>
      <c r="C754" s="47">
        <v>44.44</v>
      </c>
      <c r="D754" s="35">
        <v>45067.0</v>
      </c>
      <c r="E754" s="47">
        <v>14.8133333333333</v>
      </c>
      <c r="F754" s="47">
        <v>8888.0</v>
      </c>
      <c r="G754" s="48">
        <v>0.6</v>
      </c>
      <c r="H754" s="24" t="s">
        <v>6765</v>
      </c>
      <c r="I754" s="47"/>
      <c r="J754" s="24">
        <v>0.0</v>
      </c>
    </row>
    <row r="755">
      <c r="A755" s="24">
        <v>42.0</v>
      </c>
      <c r="B755" s="24">
        <v>3.0</v>
      </c>
      <c r="C755" s="47">
        <v>43.21</v>
      </c>
      <c r="D755" s="35">
        <v>45068.0</v>
      </c>
      <c r="E755" s="47">
        <v>14.4033333333333</v>
      </c>
      <c r="F755" s="47">
        <v>1028.80952380952</v>
      </c>
      <c r="G755" s="48">
        <v>0.0714285714285714</v>
      </c>
      <c r="H755" s="24" t="s">
        <v>6765</v>
      </c>
      <c r="I755" s="47">
        <v>43.21</v>
      </c>
      <c r="J755" s="24">
        <v>1.0</v>
      </c>
    </row>
    <row r="756">
      <c r="A756" s="24">
        <v>85.0</v>
      </c>
      <c r="B756" s="24">
        <v>2.0</v>
      </c>
      <c r="C756" s="47">
        <v>29.22</v>
      </c>
      <c r="D756" s="35">
        <v>45069.0</v>
      </c>
      <c r="E756" s="47">
        <v>14.61</v>
      </c>
      <c r="F756" s="47">
        <v>343.764705882352</v>
      </c>
      <c r="G756" s="48">
        <v>0.0235294117647058</v>
      </c>
      <c r="H756" s="24" t="s">
        <v>6765</v>
      </c>
      <c r="I756" s="47"/>
      <c r="J756" s="24">
        <v>0.0</v>
      </c>
    </row>
    <row r="757">
      <c r="A757" s="24">
        <v>42.0</v>
      </c>
      <c r="B757" s="24">
        <v>3.0</v>
      </c>
      <c r="C757" s="47">
        <v>39.88</v>
      </c>
      <c r="D757" s="35">
        <v>45070.0</v>
      </c>
      <c r="E757" s="47">
        <v>13.2933333333333</v>
      </c>
      <c r="F757" s="47">
        <v>949.523809523809</v>
      </c>
      <c r="G757" s="48">
        <v>0.0714285714285714</v>
      </c>
      <c r="H757" s="24" t="s">
        <v>6765</v>
      </c>
      <c r="I757" s="47"/>
      <c r="J757" s="24">
        <v>0.0</v>
      </c>
    </row>
    <row r="758">
      <c r="A758" s="24">
        <v>73.0</v>
      </c>
      <c r="B758" s="24">
        <v>2.0</v>
      </c>
      <c r="C758" s="47">
        <v>29.76</v>
      </c>
      <c r="D758" s="35">
        <v>45071.0</v>
      </c>
      <c r="E758" s="47">
        <v>14.88</v>
      </c>
      <c r="F758" s="47">
        <v>407.671232876712</v>
      </c>
      <c r="G758" s="48">
        <v>0.0273972602739726</v>
      </c>
      <c r="H758" s="24" t="s">
        <v>6765</v>
      </c>
      <c r="I758" s="47"/>
      <c r="J758" s="24">
        <v>0.0</v>
      </c>
    </row>
    <row r="759">
      <c r="A759" s="24">
        <v>58.0</v>
      </c>
      <c r="B759" s="24">
        <v>1.0</v>
      </c>
      <c r="C759" s="47">
        <v>14.88</v>
      </c>
      <c r="D759" s="35">
        <v>45072.0</v>
      </c>
      <c r="E759" s="47">
        <v>14.88</v>
      </c>
      <c r="F759" s="47">
        <v>256.551724137931</v>
      </c>
      <c r="G759" s="48">
        <v>0.0172413793103448</v>
      </c>
      <c r="H759" s="24" t="s">
        <v>6765</v>
      </c>
      <c r="I759" s="47"/>
      <c r="J759" s="24">
        <v>0.0</v>
      </c>
    </row>
    <row r="760">
      <c r="A760" s="24">
        <v>20.0</v>
      </c>
      <c r="B760" s="24">
        <v>1.0</v>
      </c>
      <c r="C760" s="47">
        <v>14.88</v>
      </c>
      <c r="D760" s="35">
        <v>45073.0</v>
      </c>
      <c r="E760" s="47">
        <v>14.88</v>
      </c>
      <c r="F760" s="47">
        <v>744.0</v>
      </c>
      <c r="G760" s="48">
        <v>0.05</v>
      </c>
      <c r="H760" s="24" t="s">
        <v>6765</v>
      </c>
      <c r="I760" s="47"/>
      <c r="J760" s="24">
        <v>0.0</v>
      </c>
    </row>
    <row r="761">
      <c r="A761" s="24">
        <v>22.0</v>
      </c>
      <c r="B761" s="24">
        <v>3.0</v>
      </c>
      <c r="C761" s="47">
        <v>37.8</v>
      </c>
      <c r="D761" s="35">
        <v>45074.0</v>
      </c>
      <c r="E761" s="47">
        <v>12.6</v>
      </c>
      <c r="F761" s="47">
        <v>1718.18181818181</v>
      </c>
      <c r="G761" s="48">
        <v>0.136363636363636</v>
      </c>
      <c r="H761" s="24" t="s">
        <v>6765</v>
      </c>
      <c r="I761" s="47"/>
      <c r="J761" s="24">
        <v>0.0</v>
      </c>
    </row>
    <row r="762">
      <c r="A762" s="24">
        <v>21.0</v>
      </c>
      <c r="B762" s="24">
        <v>0.0</v>
      </c>
      <c r="C762" s="47">
        <v>0.0</v>
      </c>
      <c r="D762" s="35">
        <v>45075.0</v>
      </c>
      <c r="E762" s="47"/>
      <c r="F762" s="47">
        <v>0.0</v>
      </c>
      <c r="G762" s="48">
        <v>0.0</v>
      </c>
      <c r="H762" s="24" t="s">
        <v>6765</v>
      </c>
      <c r="I762" s="47"/>
      <c r="J762" s="24">
        <v>0.0</v>
      </c>
    </row>
    <row r="763">
      <c r="A763" s="24">
        <v>57.0</v>
      </c>
      <c r="B763" s="24">
        <v>5.0</v>
      </c>
      <c r="C763" s="47">
        <v>69.92</v>
      </c>
      <c r="D763" s="35">
        <v>45076.0</v>
      </c>
      <c r="E763" s="47">
        <v>13.984</v>
      </c>
      <c r="F763" s="47">
        <v>1226.66666666666</v>
      </c>
      <c r="G763" s="48">
        <v>0.087719298245614</v>
      </c>
      <c r="H763" s="24" t="s">
        <v>6765</v>
      </c>
      <c r="I763" s="47"/>
      <c r="J763" s="24">
        <v>0.0</v>
      </c>
    </row>
    <row r="764">
      <c r="A764" s="24">
        <v>67.0</v>
      </c>
      <c r="B764" s="24">
        <v>3.0</v>
      </c>
      <c r="C764" s="47">
        <v>38.92</v>
      </c>
      <c r="D764" s="35">
        <v>45077.0</v>
      </c>
      <c r="E764" s="47">
        <v>12.9733333333333</v>
      </c>
      <c r="F764" s="47">
        <v>580.895522388059</v>
      </c>
      <c r="G764" s="48">
        <v>0.044776119402985</v>
      </c>
      <c r="H764" s="24" t="s">
        <v>6765</v>
      </c>
      <c r="I764" s="47"/>
      <c r="J764" s="24">
        <v>0.0</v>
      </c>
    </row>
    <row r="765">
      <c r="A765" s="24">
        <v>110.0</v>
      </c>
      <c r="B765" s="24">
        <v>3.0</v>
      </c>
      <c r="C765" s="47">
        <v>31.96</v>
      </c>
      <c r="D765" s="35">
        <v>45078.0</v>
      </c>
      <c r="E765" s="47">
        <v>10.6533333333333</v>
      </c>
      <c r="F765" s="47">
        <v>290.545454545454</v>
      </c>
      <c r="G765" s="48">
        <v>0.0272727272727272</v>
      </c>
      <c r="H765" s="24" t="s">
        <v>6765</v>
      </c>
      <c r="I765" s="47"/>
      <c r="J765" s="24">
        <v>0.0</v>
      </c>
    </row>
    <row r="766">
      <c r="A766" s="24">
        <v>20.0</v>
      </c>
      <c r="B766" s="24">
        <v>4.0</v>
      </c>
      <c r="C766" s="47">
        <v>45.37</v>
      </c>
      <c r="D766" s="35">
        <v>45079.0</v>
      </c>
      <c r="E766" s="47">
        <v>11.3425</v>
      </c>
      <c r="F766" s="47">
        <v>2268.5</v>
      </c>
      <c r="G766" s="48">
        <v>0.2</v>
      </c>
      <c r="H766" s="24" t="s">
        <v>6765</v>
      </c>
      <c r="I766" s="47"/>
      <c r="J766" s="24">
        <v>0.0</v>
      </c>
    </row>
    <row r="767">
      <c r="A767" s="24">
        <v>16.0</v>
      </c>
      <c r="B767" s="24">
        <v>1.0</v>
      </c>
      <c r="C767" s="47">
        <v>14.09</v>
      </c>
      <c r="D767" s="35">
        <v>45080.0</v>
      </c>
      <c r="E767" s="47">
        <v>14.09</v>
      </c>
      <c r="F767" s="47">
        <v>880.625</v>
      </c>
      <c r="G767" s="48">
        <v>0.0625</v>
      </c>
      <c r="H767" s="24" t="s">
        <v>6765</v>
      </c>
      <c r="I767" s="47"/>
      <c r="J767" s="24">
        <v>0.0</v>
      </c>
    </row>
    <row r="768">
      <c r="A768" s="24">
        <v>10.0</v>
      </c>
      <c r="B768" s="24">
        <v>1.0</v>
      </c>
      <c r="C768" s="47">
        <v>13.9</v>
      </c>
      <c r="D768" s="35">
        <v>45081.0</v>
      </c>
      <c r="E768" s="47">
        <v>13.9</v>
      </c>
      <c r="F768" s="47">
        <v>1390.0</v>
      </c>
      <c r="G768" s="48">
        <v>0.1</v>
      </c>
      <c r="H768" s="24" t="s">
        <v>6765</v>
      </c>
      <c r="I768" s="47"/>
      <c r="J768" s="24">
        <v>0.0</v>
      </c>
    </row>
    <row r="769">
      <c r="A769" s="24">
        <v>79.0</v>
      </c>
      <c r="B769" s="24">
        <v>5.0</v>
      </c>
      <c r="C769" s="47">
        <v>69.83</v>
      </c>
      <c r="D769" s="35">
        <v>45082.0</v>
      </c>
      <c r="E769" s="47">
        <v>13.966</v>
      </c>
      <c r="F769" s="47">
        <v>883.924050632911</v>
      </c>
      <c r="G769" s="48">
        <v>0.0632911392405063</v>
      </c>
      <c r="H769" s="24" t="s">
        <v>6765</v>
      </c>
      <c r="I769" s="47"/>
      <c r="J769" s="24">
        <v>0.0</v>
      </c>
    </row>
    <row r="770">
      <c r="A770" s="24">
        <v>98.0</v>
      </c>
      <c r="B770" s="24">
        <v>4.0</v>
      </c>
      <c r="C770" s="47">
        <v>54.21</v>
      </c>
      <c r="D770" s="35">
        <v>45083.0</v>
      </c>
      <c r="E770" s="47">
        <v>13.5525</v>
      </c>
      <c r="F770" s="47">
        <v>553.163265306122</v>
      </c>
      <c r="G770" s="48">
        <v>0.0408163265306122</v>
      </c>
      <c r="H770" s="24" t="s">
        <v>6765</v>
      </c>
      <c r="I770" s="47">
        <v>54.21</v>
      </c>
      <c r="J770" s="24">
        <v>1.0</v>
      </c>
    </row>
    <row r="771">
      <c r="A771" s="24">
        <v>104.0</v>
      </c>
      <c r="B771" s="24">
        <v>0.0</v>
      </c>
      <c r="C771" s="47">
        <v>0.0</v>
      </c>
      <c r="D771" s="35">
        <v>45084.0</v>
      </c>
      <c r="E771" s="47"/>
      <c r="F771" s="47">
        <v>0.0</v>
      </c>
      <c r="G771" s="48">
        <v>0.0</v>
      </c>
      <c r="H771" s="24" t="s">
        <v>6765</v>
      </c>
      <c r="I771" s="47"/>
      <c r="J771" s="24">
        <v>0.0</v>
      </c>
    </row>
    <row r="772">
      <c r="A772" s="24">
        <v>95.0</v>
      </c>
      <c r="B772" s="24">
        <v>3.0</v>
      </c>
      <c r="C772" s="47">
        <v>42.84</v>
      </c>
      <c r="D772" s="35">
        <v>45085.0</v>
      </c>
      <c r="E772" s="47">
        <v>14.28</v>
      </c>
      <c r="F772" s="47">
        <v>450.947368421052</v>
      </c>
      <c r="G772" s="48">
        <v>0.031578947368421</v>
      </c>
      <c r="H772" s="24" t="s">
        <v>6765</v>
      </c>
      <c r="I772" s="47"/>
      <c r="J772" s="24">
        <v>0.0</v>
      </c>
    </row>
    <row r="773">
      <c r="A773" s="24">
        <v>67.0</v>
      </c>
      <c r="B773" s="24">
        <v>3.0</v>
      </c>
      <c r="C773" s="47">
        <v>36.12</v>
      </c>
      <c r="D773" s="35">
        <v>45086.0</v>
      </c>
      <c r="E773" s="47">
        <v>12.04</v>
      </c>
      <c r="F773" s="47">
        <v>539.10447761194</v>
      </c>
      <c r="G773" s="48">
        <v>0.044776119402985</v>
      </c>
      <c r="H773" s="24" t="s">
        <v>6765</v>
      </c>
      <c r="I773" s="47"/>
      <c r="J773" s="24">
        <v>0.0</v>
      </c>
    </row>
    <row r="774">
      <c r="A774" s="24">
        <v>21.0</v>
      </c>
      <c r="B774" s="24">
        <v>1.0</v>
      </c>
      <c r="C774" s="47">
        <v>15.0</v>
      </c>
      <c r="D774" s="35">
        <v>45087.0</v>
      </c>
      <c r="E774" s="47">
        <v>15.0</v>
      </c>
      <c r="F774" s="47">
        <v>714.285714285714</v>
      </c>
      <c r="G774" s="48">
        <v>0.0476190476190476</v>
      </c>
      <c r="H774" s="24" t="s">
        <v>6765</v>
      </c>
      <c r="I774" s="47"/>
      <c r="J774" s="24">
        <v>0.0</v>
      </c>
    </row>
    <row r="775">
      <c r="A775" s="24">
        <v>14.0</v>
      </c>
      <c r="B775" s="24">
        <v>2.0</v>
      </c>
      <c r="C775" s="47">
        <v>28.96</v>
      </c>
      <c r="D775" s="35">
        <v>45088.0</v>
      </c>
      <c r="E775" s="47">
        <v>14.48</v>
      </c>
      <c r="F775" s="47">
        <v>2068.57142857142</v>
      </c>
      <c r="G775" s="48">
        <v>0.142857142857142</v>
      </c>
      <c r="H775" s="24" t="s">
        <v>6765</v>
      </c>
      <c r="I775" s="47"/>
      <c r="J775" s="24">
        <v>0.0</v>
      </c>
    </row>
    <row r="776">
      <c r="A776" s="24">
        <v>109.0</v>
      </c>
      <c r="B776" s="24">
        <v>1.0</v>
      </c>
      <c r="C776" s="47">
        <v>14.08</v>
      </c>
      <c r="D776" s="35">
        <v>45089.0</v>
      </c>
      <c r="E776" s="47">
        <v>14.08</v>
      </c>
      <c r="F776" s="47">
        <v>129.174311926605</v>
      </c>
      <c r="G776" s="48">
        <v>0.0091743119266055</v>
      </c>
      <c r="H776" s="24" t="s">
        <v>6765</v>
      </c>
      <c r="I776" s="47"/>
      <c r="J776" s="24">
        <v>0.0</v>
      </c>
    </row>
    <row r="777">
      <c r="A777" s="24">
        <v>82.0</v>
      </c>
      <c r="B777" s="24">
        <v>5.0</v>
      </c>
      <c r="C777" s="47">
        <v>69.59</v>
      </c>
      <c r="D777" s="35">
        <v>45090.0</v>
      </c>
      <c r="E777" s="47">
        <v>13.918</v>
      </c>
      <c r="F777" s="47">
        <v>848.658536585365</v>
      </c>
      <c r="G777" s="48">
        <v>0.0609756097560975</v>
      </c>
      <c r="H777" s="24" t="s">
        <v>6765</v>
      </c>
      <c r="I777" s="47"/>
      <c r="J777" s="24">
        <v>0.0</v>
      </c>
    </row>
    <row r="778">
      <c r="A778" s="24">
        <v>66.0</v>
      </c>
      <c r="B778" s="24">
        <v>2.0</v>
      </c>
      <c r="C778" s="47">
        <v>28.95</v>
      </c>
      <c r="D778" s="35">
        <v>45091.0</v>
      </c>
      <c r="E778" s="47">
        <v>14.475</v>
      </c>
      <c r="F778" s="47">
        <v>438.636363636363</v>
      </c>
      <c r="G778" s="48">
        <v>0.0303030303030303</v>
      </c>
      <c r="H778" s="24" t="s">
        <v>6765</v>
      </c>
      <c r="I778" s="47"/>
      <c r="J778" s="24">
        <v>0.0</v>
      </c>
    </row>
    <row r="779">
      <c r="A779" s="24">
        <v>61.0</v>
      </c>
      <c r="B779" s="24">
        <v>3.0</v>
      </c>
      <c r="C779" s="47">
        <v>28.13</v>
      </c>
      <c r="D779" s="35">
        <v>45092.0</v>
      </c>
      <c r="E779" s="47">
        <v>9.37666666666666</v>
      </c>
      <c r="F779" s="47">
        <v>461.147540983606</v>
      </c>
      <c r="G779" s="48">
        <v>0.0491803278688524</v>
      </c>
      <c r="H779" s="24" t="s">
        <v>6765</v>
      </c>
      <c r="I779" s="47"/>
      <c r="J779" s="24">
        <v>0.0</v>
      </c>
    </row>
    <row r="780">
      <c r="A780" s="24">
        <v>55.0</v>
      </c>
      <c r="B780" s="24">
        <v>2.0</v>
      </c>
      <c r="C780" s="47">
        <v>28.34</v>
      </c>
      <c r="D780" s="35">
        <v>45093.0</v>
      </c>
      <c r="E780" s="47">
        <v>14.17</v>
      </c>
      <c r="F780" s="47">
        <v>515.272727272727</v>
      </c>
      <c r="G780" s="48">
        <v>0.0363636363636363</v>
      </c>
      <c r="H780" s="24" t="s">
        <v>6765</v>
      </c>
      <c r="I780" s="47"/>
      <c r="J780" s="24">
        <v>0.0</v>
      </c>
    </row>
    <row r="781">
      <c r="A781" s="24">
        <v>18.0</v>
      </c>
      <c r="B781" s="24">
        <v>1.0</v>
      </c>
      <c r="C781" s="47">
        <v>14.68</v>
      </c>
      <c r="D781" s="35">
        <v>45094.0</v>
      </c>
      <c r="E781" s="47">
        <v>14.68</v>
      </c>
      <c r="F781" s="47">
        <v>815.555555555555</v>
      </c>
      <c r="G781" s="48">
        <v>0.0555555555555555</v>
      </c>
      <c r="H781" s="24" t="s">
        <v>6765</v>
      </c>
      <c r="I781" s="47"/>
      <c r="J781" s="24">
        <v>0.0</v>
      </c>
    </row>
    <row r="782">
      <c r="A782" s="24">
        <v>15.0</v>
      </c>
      <c r="B782" s="24">
        <v>1.0</v>
      </c>
      <c r="C782" s="47">
        <v>14.57</v>
      </c>
      <c r="D782" s="35">
        <v>45095.0</v>
      </c>
      <c r="E782" s="47">
        <v>14.57</v>
      </c>
      <c r="F782" s="47">
        <v>971.333333333333</v>
      </c>
      <c r="G782" s="48">
        <v>0.0666666666666666</v>
      </c>
      <c r="H782" s="24" t="s">
        <v>6765</v>
      </c>
      <c r="I782" s="47"/>
      <c r="J782" s="24">
        <v>0.0</v>
      </c>
    </row>
    <row r="783">
      <c r="A783" s="24">
        <v>50.0</v>
      </c>
      <c r="B783" s="24">
        <v>1.0</v>
      </c>
      <c r="C783" s="47">
        <v>10.12</v>
      </c>
      <c r="D783" s="35">
        <v>45096.0</v>
      </c>
      <c r="E783" s="47">
        <v>10.12</v>
      </c>
      <c r="F783" s="47">
        <v>202.4</v>
      </c>
      <c r="G783" s="48">
        <v>0.02</v>
      </c>
      <c r="H783" s="24" t="s">
        <v>6765</v>
      </c>
      <c r="I783" s="47"/>
      <c r="J783" s="24">
        <v>0.0</v>
      </c>
    </row>
    <row r="784">
      <c r="A784" s="24">
        <v>114.0</v>
      </c>
      <c r="B784" s="24">
        <v>3.0</v>
      </c>
      <c r="C784" s="47">
        <v>42.7</v>
      </c>
      <c r="D784" s="35">
        <v>45097.0</v>
      </c>
      <c r="E784" s="47">
        <v>14.2333333333333</v>
      </c>
      <c r="F784" s="47">
        <v>374.561403508771</v>
      </c>
      <c r="G784" s="48">
        <v>0.0263157894736842</v>
      </c>
      <c r="H784" s="24" t="s">
        <v>6765</v>
      </c>
      <c r="I784" s="47"/>
      <c r="J784" s="24">
        <v>0.0</v>
      </c>
    </row>
    <row r="785">
      <c r="A785" s="24">
        <v>83.0</v>
      </c>
      <c r="B785" s="24">
        <v>5.0</v>
      </c>
      <c r="C785" s="47">
        <v>69.55</v>
      </c>
      <c r="D785" s="35">
        <v>45098.0</v>
      </c>
      <c r="E785" s="47">
        <v>13.91</v>
      </c>
      <c r="F785" s="47">
        <v>837.951807228915</v>
      </c>
      <c r="G785" s="48">
        <v>0.0602409638554216</v>
      </c>
      <c r="H785" s="24" t="s">
        <v>6765</v>
      </c>
      <c r="I785" s="47"/>
      <c r="J785" s="24">
        <v>0.0</v>
      </c>
    </row>
    <row r="786">
      <c r="A786" s="24">
        <v>44.0</v>
      </c>
      <c r="B786" s="24">
        <v>5.0</v>
      </c>
      <c r="C786" s="47">
        <v>71.87</v>
      </c>
      <c r="D786" s="35">
        <v>45099.0</v>
      </c>
      <c r="E786" s="47">
        <v>14.374</v>
      </c>
      <c r="F786" s="47">
        <v>1633.40909090909</v>
      </c>
      <c r="G786" s="48">
        <v>0.113636363636363</v>
      </c>
      <c r="H786" s="24" t="s">
        <v>6765</v>
      </c>
      <c r="I786" s="47"/>
      <c r="J786" s="24">
        <v>0.0</v>
      </c>
    </row>
    <row r="787">
      <c r="A787" s="24">
        <v>73.0</v>
      </c>
      <c r="B787" s="24">
        <v>4.0</v>
      </c>
      <c r="C787" s="47">
        <v>53.83</v>
      </c>
      <c r="D787" s="35">
        <v>45100.0</v>
      </c>
      <c r="E787" s="47">
        <v>13.4575</v>
      </c>
      <c r="F787" s="47">
        <v>737.397260273972</v>
      </c>
      <c r="G787" s="48">
        <v>0.0547945205479452</v>
      </c>
      <c r="H787" s="24" t="s">
        <v>6765</v>
      </c>
      <c r="I787" s="47"/>
      <c r="J787" s="24">
        <v>0.0</v>
      </c>
    </row>
    <row r="788">
      <c r="A788" s="24">
        <v>14.0</v>
      </c>
      <c r="B788" s="24">
        <v>1.0</v>
      </c>
      <c r="C788" s="47">
        <v>14.51</v>
      </c>
      <c r="D788" s="35">
        <v>45101.0</v>
      </c>
      <c r="E788" s="47">
        <v>14.51</v>
      </c>
      <c r="F788" s="47">
        <v>1036.42857142857</v>
      </c>
      <c r="G788" s="48">
        <v>0.0714285714285714</v>
      </c>
      <c r="H788" s="24" t="s">
        <v>6765</v>
      </c>
      <c r="I788" s="47"/>
      <c r="J788" s="24">
        <v>0.0</v>
      </c>
    </row>
    <row r="789">
      <c r="A789" s="24">
        <v>16.0</v>
      </c>
      <c r="B789" s="24">
        <v>2.0</v>
      </c>
      <c r="C789" s="47">
        <v>26.63</v>
      </c>
      <c r="D789" s="35">
        <v>45102.0</v>
      </c>
      <c r="E789" s="47">
        <v>13.315</v>
      </c>
      <c r="F789" s="47">
        <v>1664.375</v>
      </c>
      <c r="G789" s="48">
        <v>0.125</v>
      </c>
      <c r="H789" s="24" t="s">
        <v>6765</v>
      </c>
      <c r="I789" s="47"/>
      <c r="J789" s="24">
        <v>0.0</v>
      </c>
    </row>
    <row r="790">
      <c r="A790" s="24">
        <v>51.0</v>
      </c>
      <c r="B790" s="24">
        <v>5.0</v>
      </c>
      <c r="C790" s="47">
        <v>69.79</v>
      </c>
      <c r="D790" s="35">
        <v>45103.0</v>
      </c>
      <c r="E790" s="47">
        <v>13.958</v>
      </c>
      <c r="F790" s="47">
        <v>1368.43137254901</v>
      </c>
      <c r="G790" s="48">
        <v>0.0980392156862745</v>
      </c>
      <c r="H790" s="24" t="s">
        <v>6765</v>
      </c>
      <c r="I790" s="47"/>
      <c r="J790" s="24">
        <v>0.0</v>
      </c>
    </row>
    <row r="791">
      <c r="A791" s="24">
        <v>96.0</v>
      </c>
      <c r="B791" s="24">
        <v>1.0</v>
      </c>
      <c r="C791" s="47">
        <v>14.88</v>
      </c>
      <c r="D791" s="35">
        <v>45104.0</v>
      </c>
      <c r="E791" s="47">
        <v>14.88</v>
      </c>
      <c r="F791" s="47">
        <v>155.0</v>
      </c>
      <c r="G791" s="48">
        <v>0.0104166666666666</v>
      </c>
      <c r="H791" s="24" t="s">
        <v>6765</v>
      </c>
      <c r="I791" s="47"/>
      <c r="J791" s="24">
        <v>0.0</v>
      </c>
    </row>
    <row r="792">
      <c r="A792" s="24">
        <v>93.0</v>
      </c>
      <c r="B792" s="24">
        <v>3.0</v>
      </c>
      <c r="C792" s="47">
        <v>41.18</v>
      </c>
      <c r="D792" s="35">
        <v>45105.0</v>
      </c>
      <c r="E792" s="47">
        <v>13.7266666666666</v>
      </c>
      <c r="F792" s="47">
        <v>442.795698924731</v>
      </c>
      <c r="G792" s="48">
        <v>0.032258064516129</v>
      </c>
      <c r="H792" s="24" t="s">
        <v>6765</v>
      </c>
      <c r="I792" s="47">
        <v>41.18</v>
      </c>
      <c r="J792" s="24">
        <v>1.0</v>
      </c>
    </row>
    <row r="793">
      <c r="A793" s="24">
        <v>62.0</v>
      </c>
      <c r="B793" s="24">
        <v>5.0</v>
      </c>
      <c r="C793" s="47">
        <v>69.77</v>
      </c>
      <c r="D793" s="35">
        <v>45106.0</v>
      </c>
      <c r="E793" s="47">
        <v>13.954</v>
      </c>
      <c r="F793" s="47">
        <v>1125.32258064516</v>
      </c>
      <c r="G793" s="48">
        <v>0.0806451612903225</v>
      </c>
      <c r="H793" s="24" t="s">
        <v>6765</v>
      </c>
      <c r="I793" s="47"/>
      <c r="J793" s="24">
        <v>0.0</v>
      </c>
    </row>
    <row r="794">
      <c r="A794" s="24">
        <v>62.0</v>
      </c>
      <c r="B794" s="24">
        <v>3.0</v>
      </c>
      <c r="C794" s="47">
        <v>30.35</v>
      </c>
      <c r="D794" s="35">
        <v>45107.0</v>
      </c>
      <c r="E794" s="47">
        <v>10.1166666666666</v>
      </c>
      <c r="F794" s="47">
        <v>489.516129032258</v>
      </c>
      <c r="G794" s="48">
        <v>0.0483870967741935</v>
      </c>
      <c r="H794" s="24" t="s">
        <v>6765</v>
      </c>
      <c r="I794" s="47"/>
      <c r="J794" s="24">
        <v>0.0</v>
      </c>
    </row>
    <row r="795">
      <c r="A795" s="24">
        <v>23.0</v>
      </c>
      <c r="B795" s="24">
        <v>1.0</v>
      </c>
      <c r="C795" s="47">
        <v>14.77</v>
      </c>
      <c r="D795" s="35">
        <v>45108.0</v>
      </c>
      <c r="E795" s="47">
        <v>14.77</v>
      </c>
      <c r="F795" s="47">
        <v>642.173913043478</v>
      </c>
      <c r="G795" s="48">
        <v>0.0434782608695652</v>
      </c>
      <c r="H795" s="24" t="s">
        <v>6765</v>
      </c>
      <c r="I795" s="47"/>
      <c r="J795" s="24">
        <v>0.0</v>
      </c>
    </row>
    <row r="796">
      <c r="A796" s="24">
        <v>16.0</v>
      </c>
      <c r="B796" s="24">
        <v>1.0</v>
      </c>
      <c r="C796" s="47">
        <v>14.63</v>
      </c>
      <c r="D796" s="35">
        <v>45109.0</v>
      </c>
      <c r="E796" s="47">
        <v>14.63</v>
      </c>
      <c r="F796" s="47">
        <v>914.375</v>
      </c>
      <c r="G796" s="48">
        <v>0.0625</v>
      </c>
      <c r="H796" s="24" t="s">
        <v>6765</v>
      </c>
      <c r="I796" s="47"/>
      <c r="J796" s="24">
        <v>0.0</v>
      </c>
    </row>
    <row r="797">
      <c r="A797" s="24">
        <v>25.0</v>
      </c>
      <c r="B797" s="24">
        <v>1.0</v>
      </c>
      <c r="C797" s="47">
        <v>14.8</v>
      </c>
      <c r="D797" s="35">
        <v>45110.0</v>
      </c>
      <c r="E797" s="47">
        <v>14.8</v>
      </c>
      <c r="F797" s="47">
        <v>592.0</v>
      </c>
      <c r="G797" s="48">
        <v>0.04</v>
      </c>
      <c r="H797" s="24" t="s">
        <v>6765</v>
      </c>
      <c r="I797" s="47"/>
      <c r="J797" s="24">
        <v>0.0</v>
      </c>
    </row>
    <row r="798">
      <c r="A798" s="24">
        <v>18.0</v>
      </c>
      <c r="B798" s="24">
        <v>1.0</v>
      </c>
      <c r="C798" s="47">
        <v>14.05</v>
      </c>
      <c r="D798" s="35">
        <v>45111.0</v>
      </c>
      <c r="E798" s="47">
        <v>14.05</v>
      </c>
      <c r="F798" s="47">
        <v>780.555555555555</v>
      </c>
      <c r="G798" s="48">
        <v>0.0555555555555555</v>
      </c>
      <c r="H798" s="24" t="s">
        <v>6765</v>
      </c>
      <c r="I798" s="47"/>
      <c r="J798" s="24">
        <v>0.0</v>
      </c>
    </row>
    <row r="799">
      <c r="A799" s="24">
        <v>36.0</v>
      </c>
      <c r="B799" s="24">
        <v>4.0</v>
      </c>
      <c r="C799" s="47">
        <v>58.57</v>
      </c>
      <c r="D799" s="35">
        <v>45112.0</v>
      </c>
      <c r="E799" s="47">
        <v>14.6425</v>
      </c>
      <c r="F799" s="47">
        <v>1626.94444444444</v>
      </c>
      <c r="G799" s="48">
        <v>0.111111111111111</v>
      </c>
      <c r="H799" s="24" t="s">
        <v>6765</v>
      </c>
      <c r="I799" s="47"/>
      <c r="J799" s="24">
        <v>0.0</v>
      </c>
    </row>
    <row r="800">
      <c r="A800" s="24">
        <v>41.0</v>
      </c>
      <c r="B800" s="24">
        <v>4.0</v>
      </c>
      <c r="C800" s="47">
        <v>57.47</v>
      </c>
      <c r="D800" s="35">
        <v>45113.0</v>
      </c>
      <c r="E800" s="47">
        <v>14.3675</v>
      </c>
      <c r="F800" s="47">
        <v>1401.70731707317</v>
      </c>
      <c r="G800" s="48">
        <v>0.0975609756097561</v>
      </c>
      <c r="H800" s="24" t="s">
        <v>6765</v>
      </c>
      <c r="I800" s="47"/>
      <c r="J800" s="24">
        <v>0.0</v>
      </c>
    </row>
    <row r="801">
      <c r="A801" s="24">
        <v>39.0</v>
      </c>
      <c r="B801" s="24">
        <v>2.0</v>
      </c>
      <c r="C801" s="47">
        <v>28.67</v>
      </c>
      <c r="D801" s="35">
        <v>45114.0</v>
      </c>
      <c r="E801" s="47">
        <v>14.335</v>
      </c>
      <c r="F801" s="47">
        <v>735.128205128205</v>
      </c>
      <c r="G801" s="48">
        <v>0.0512820512820512</v>
      </c>
      <c r="H801" s="24" t="s">
        <v>6765</v>
      </c>
      <c r="I801" s="47"/>
      <c r="J801" s="24">
        <v>0.0</v>
      </c>
    </row>
    <row r="802">
      <c r="A802" s="24">
        <v>8.0</v>
      </c>
      <c r="B802" s="24">
        <v>1.0</v>
      </c>
      <c r="C802" s="47">
        <v>4.61</v>
      </c>
      <c r="D802" s="35">
        <v>45115.0</v>
      </c>
      <c r="E802" s="47">
        <v>4.61</v>
      </c>
      <c r="F802" s="47">
        <v>576.25</v>
      </c>
      <c r="G802" s="48">
        <v>0.125</v>
      </c>
      <c r="H802" s="24" t="s">
        <v>6765</v>
      </c>
      <c r="I802" s="47"/>
      <c r="J802" s="24">
        <v>0.0</v>
      </c>
    </row>
    <row r="803">
      <c r="A803" s="24">
        <v>13.0</v>
      </c>
      <c r="B803" s="24">
        <v>1.0</v>
      </c>
      <c r="C803" s="47">
        <v>14.09</v>
      </c>
      <c r="D803" s="35">
        <v>45116.0</v>
      </c>
      <c r="E803" s="47">
        <v>14.09</v>
      </c>
      <c r="F803" s="47">
        <v>1083.84615384615</v>
      </c>
      <c r="G803" s="48">
        <v>0.0769230769230769</v>
      </c>
      <c r="H803" s="24" t="s">
        <v>6765</v>
      </c>
      <c r="I803" s="47"/>
      <c r="J803" s="24">
        <v>0.0</v>
      </c>
    </row>
    <row r="804">
      <c r="A804" s="24">
        <v>58.0</v>
      </c>
      <c r="B804" s="24">
        <v>0.0</v>
      </c>
      <c r="C804" s="47">
        <v>0.0</v>
      </c>
      <c r="D804" s="35">
        <v>45117.0</v>
      </c>
      <c r="E804" s="47"/>
      <c r="F804" s="47">
        <v>0.0</v>
      </c>
      <c r="G804" s="48">
        <v>0.0</v>
      </c>
      <c r="H804" s="24" t="s">
        <v>6765</v>
      </c>
      <c r="I804" s="47"/>
      <c r="J804" s="24">
        <v>0.0</v>
      </c>
    </row>
    <row r="805">
      <c r="A805" s="24">
        <v>38.0</v>
      </c>
      <c r="B805" s="24">
        <v>1.0</v>
      </c>
      <c r="C805" s="47">
        <v>9.5</v>
      </c>
      <c r="D805" s="35">
        <v>45118.0</v>
      </c>
      <c r="E805" s="47">
        <v>9.5</v>
      </c>
      <c r="F805" s="47">
        <v>250.0</v>
      </c>
      <c r="G805" s="48">
        <v>0.0263157894736842</v>
      </c>
      <c r="H805" s="24" t="s">
        <v>6765</v>
      </c>
      <c r="I805" s="47"/>
      <c r="J805" s="24">
        <v>0.0</v>
      </c>
    </row>
    <row r="806">
      <c r="A806" s="24">
        <v>66.0</v>
      </c>
      <c r="B806" s="24">
        <v>2.0</v>
      </c>
      <c r="C806" s="47">
        <v>19.61</v>
      </c>
      <c r="D806" s="35">
        <v>45119.0</v>
      </c>
      <c r="E806" s="47">
        <v>9.805</v>
      </c>
      <c r="F806" s="47">
        <v>297.121212121212</v>
      </c>
      <c r="G806" s="48">
        <v>0.0303030303030303</v>
      </c>
      <c r="H806" s="24" t="s">
        <v>6765</v>
      </c>
      <c r="I806" s="47"/>
      <c r="J806" s="24">
        <v>0.0</v>
      </c>
    </row>
    <row r="807">
      <c r="A807" s="24">
        <v>38.0</v>
      </c>
      <c r="B807" s="24">
        <v>6.0</v>
      </c>
      <c r="C807" s="47">
        <v>69.98</v>
      </c>
      <c r="D807" s="35">
        <v>45120.0</v>
      </c>
      <c r="E807" s="47">
        <v>11.6633333333333</v>
      </c>
      <c r="F807" s="47">
        <v>1841.57894736842</v>
      </c>
      <c r="G807" s="48">
        <v>0.157894736842105</v>
      </c>
      <c r="H807" s="24" t="s">
        <v>6765</v>
      </c>
      <c r="I807" s="47"/>
      <c r="J807" s="24">
        <v>0.0</v>
      </c>
    </row>
    <row r="808">
      <c r="A808" s="24">
        <v>63.0</v>
      </c>
      <c r="B808" s="24">
        <v>4.0</v>
      </c>
      <c r="C808" s="47">
        <v>58.74</v>
      </c>
      <c r="D808" s="35">
        <v>45121.0</v>
      </c>
      <c r="E808" s="47">
        <v>14.685</v>
      </c>
      <c r="F808" s="47">
        <v>932.380952380952</v>
      </c>
      <c r="G808" s="48">
        <v>0.0634920634920634</v>
      </c>
      <c r="H808" s="24" t="s">
        <v>6765</v>
      </c>
      <c r="I808" s="47"/>
      <c r="J808" s="24">
        <v>0.0</v>
      </c>
    </row>
    <row r="809">
      <c r="A809" s="24">
        <v>12.0</v>
      </c>
      <c r="B809" s="24">
        <v>2.0</v>
      </c>
      <c r="C809" s="47">
        <v>17.81</v>
      </c>
      <c r="D809" s="35">
        <v>45122.0</v>
      </c>
      <c r="E809" s="47">
        <v>8.905</v>
      </c>
      <c r="F809" s="47">
        <v>1484.16666666666</v>
      </c>
      <c r="G809" s="48">
        <v>0.166666666666666</v>
      </c>
      <c r="H809" s="24" t="s">
        <v>6765</v>
      </c>
      <c r="I809" s="47"/>
      <c r="J809" s="24">
        <v>0.0</v>
      </c>
    </row>
    <row r="810">
      <c r="A810" s="24">
        <v>19.0</v>
      </c>
      <c r="B810" s="24">
        <v>0.0</v>
      </c>
      <c r="C810" s="47">
        <v>0.0</v>
      </c>
      <c r="D810" s="35">
        <v>45123.0</v>
      </c>
      <c r="E810" s="47"/>
      <c r="F810" s="47">
        <v>0.0</v>
      </c>
      <c r="G810" s="48">
        <v>0.0</v>
      </c>
      <c r="H810" s="24" t="s">
        <v>6765</v>
      </c>
      <c r="I810" s="47"/>
      <c r="J810" s="24">
        <v>0.0</v>
      </c>
    </row>
    <row r="811">
      <c r="A811" s="24">
        <v>45.0</v>
      </c>
      <c r="B811" s="24">
        <v>1.0</v>
      </c>
      <c r="C811" s="47">
        <v>14.88</v>
      </c>
      <c r="D811" s="35">
        <v>45124.0</v>
      </c>
      <c r="E811" s="47">
        <v>14.88</v>
      </c>
      <c r="F811" s="47">
        <v>330.666666666666</v>
      </c>
      <c r="G811" s="48">
        <v>0.0222222222222222</v>
      </c>
      <c r="H811" s="24" t="s">
        <v>6765</v>
      </c>
      <c r="I811" s="47"/>
      <c r="J811" s="24">
        <v>0.0</v>
      </c>
    </row>
    <row r="812">
      <c r="A812" s="24">
        <v>52.0</v>
      </c>
      <c r="B812" s="24">
        <v>5.0</v>
      </c>
      <c r="C812" s="47">
        <v>69.5</v>
      </c>
      <c r="D812" s="35">
        <v>45125.0</v>
      </c>
      <c r="E812" s="47">
        <v>13.9</v>
      </c>
      <c r="F812" s="47">
        <v>1336.53846153846</v>
      </c>
      <c r="G812" s="48">
        <v>0.0961538461538461</v>
      </c>
      <c r="H812" s="24" t="s">
        <v>6765</v>
      </c>
      <c r="I812" s="47"/>
      <c r="J812" s="24">
        <v>0.0</v>
      </c>
    </row>
    <row r="813">
      <c r="A813" s="24">
        <v>54.0</v>
      </c>
      <c r="B813" s="24">
        <v>1.0</v>
      </c>
      <c r="C813" s="47">
        <v>0.25</v>
      </c>
      <c r="D813" s="35">
        <v>45126.0</v>
      </c>
      <c r="E813" s="47">
        <v>0.25</v>
      </c>
      <c r="F813" s="47">
        <v>4.62962962962963</v>
      </c>
      <c r="G813" s="48">
        <v>0.0185185185185185</v>
      </c>
      <c r="H813" s="24" t="s">
        <v>6765</v>
      </c>
      <c r="I813" s="47"/>
      <c r="J813" s="24">
        <v>0.0</v>
      </c>
    </row>
    <row r="814">
      <c r="A814" s="24">
        <v>50.0</v>
      </c>
      <c r="B814" s="24">
        <v>2.0</v>
      </c>
      <c r="C814" s="47">
        <v>26.6</v>
      </c>
      <c r="D814" s="35">
        <v>45127.0</v>
      </c>
      <c r="E814" s="47">
        <v>13.3</v>
      </c>
      <c r="F814" s="47">
        <v>532.0</v>
      </c>
      <c r="G814" s="48">
        <v>0.04</v>
      </c>
      <c r="H814" s="24" t="s">
        <v>6765</v>
      </c>
      <c r="I814" s="47"/>
      <c r="J814" s="24">
        <v>0.0</v>
      </c>
    </row>
    <row r="815">
      <c r="A815" s="24">
        <v>32.0</v>
      </c>
      <c r="B815" s="24">
        <v>0.0</v>
      </c>
      <c r="C815" s="47">
        <v>0.0</v>
      </c>
      <c r="D815" s="35">
        <v>45128.0</v>
      </c>
      <c r="E815" s="47"/>
      <c r="F815" s="47">
        <v>0.0</v>
      </c>
      <c r="G815" s="48">
        <v>0.0</v>
      </c>
      <c r="H815" s="24" t="s">
        <v>6765</v>
      </c>
      <c r="I815" s="47"/>
      <c r="J815" s="24">
        <v>0.0</v>
      </c>
    </row>
    <row r="816">
      <c r="A816" s="24">
        <v>7.0</v>
      </c>
      <c r="B816" s="24">
        <v>0.0</v>
      </c>
      <c r="C816" s="47">
        <v>0.0</v>
      </c>
      <c r="D816" s="35">
        <v>45129.0</v>
      </c>
      <c r="E816" s="47"/>
      <c r="F816" s="47">
        <v>0.0</v>
      </c>
      <c r="G816" s="48">
        <v>0.0</v>
      </c>
      <c r="H816" s="24" t="s">
        <v>6765</v>
      </c>
      <c r="I816" s="47"/>
      <c r="J816" s="24">
        <v>0.0</v>
      </c>
    </row>
    <row r="817">
      <c r="A817" s="24">
        <v>15.0</v>
      </c>
      <c r="B817" s="24">
        <v>0.0</v>
      </c>
      <c r="C817" s="47">
        <v>0.0</v>
      </c>
      <c r="D817" s="35">
        <v>45130.0</v>
      </c>
      <c r="E817" s="47"/>
      <c r="F817" s="47">
        <v>0.0</v>
      </c>
      <c r="G817" s="48">
        <v>0.0</v>
      </c>
      <c r="H817" s="24" t="s">
        <v>6765</v>
      </c>
      <c r="I817" s="47"/>
      <c r="J817" s="24">
        <v>0.0</v>
      </c>
    </row>
    <row r="818">
      <c r="A818" s="24">
        <v>48.0</v>
      </c>
      <c r="B818" s="24">
        <v>1.0</v>
      </c>
      <c r="C818" s="47">
        <v>14.22</v>
      </c>
      <c r="D818" s="35">
        <v>45131.0</v>
      </c>
      <c r="E818" s="47">
        <v>14.22</v>
      </c>
      <c r="F818" s="47">
        <v>296.25</v>
      </c>
      <c r="G818" s="48">
        <v>0.0208333333333333</v>
      </c>
      <c r="H818" s="24" t="s">
        <v>6765</v>
      </c>
      <c r="I818" s="47"/>
      <c r="J818" s="24">
        <v>0.0</v>
      </c>
    </row>
    <row r="819">
      <c r="A819" s="24">
        <v>68.0</v>
      </c>
      <c r="B819" s="24">
        <v>2.0</v>
      </c>
      <c r="C819" s="47">
        <v>22.77</v>
      </c>
      <c r="D819" s="35">
        <v>45132.0</v>
      </c>
      <c r="E819" s="47">
        <v>11.385</v>
      </c>
      <c r="F819" s="47">
        <v>334.85294117647</v>
      </c>
      <c r="G819" s="48">
        <v>0.0294117647058823</v>
      </c>
      <c r="H819" s="24" t="s">
        <v>6765</v>
      </c>
      <c r="I819" s="47"/>
      <c r="J819" s="24">
        <v>0.0</v>
      </c>
    </row>
    <row r="820">
      <c r="A820" s="24">
        <v>64.0</v>
      </c>
      <c r="B820" s="24">
        <v>4.0</v>
      </c>
      <c r="C820" s="47">
        <v>39.52</v>
      </c>
      <c r="D820" s="35">
        <v>45133.0</v>
      </c>
      <c r="E820" s="47">
        <v>9.88</v>
      </c>
      <c r="F820" s="47">
        <v>617.5</v>
      </c>
      <c r="G820" s="48">
        <v>0.0625</v>
      </c>
      <c r="H820" s="24" t="s">
        <v>6765</v>
      </c>
      <c r="I820" s="47"/>
      <c r="J820" s="24">
        <v>0.0</v>
      </c>
    </row>
    <row r="821">
      <c r="A821" s="24">
        <v>68.0</v>
      </c>
      <c r="B821" s="24">
        <v>1.0</v>
      </c>
      <c r="C821" s="47">
        <v>5.21</v>
      </c>
      <c r="D821" s="35">
        <v>45134.0</v>
      </c>
      <c r="E821" s="47">
        <v>5.21</v>
      </c>
      <c r="F821" s="47">
        <v>76.6176470588235</v>
      </c>
      <c r="G821" s="48">
        <v>0.0147058823529411</v>
      </c>
      <c r="H821" s="24" t="s">
        <v>6765</v>
      </c>
      <c r="I821" s="47"/>
      <c r="J821" s="24">
        <v>0.0</v>
      </c>
    </row>
    <row r="822">
      <c r="A822" s="24">
        <v>46.0</v>
      </c>
      <c r="B822" s="24">
        <v>2.0</v>
      </c>
      <c r="C822" s="47">
        <v>27.73</v>
      </c>
      <c r="D822" s="35">
        <v>45135.0</v>
      </c>
      <c r="E822" s="47">
        <v>13.865</v>
      </c>
      <c r="F822" s="47">
        <v>602.826086956521</v>
      </c>
      <c r="G822" s="48">
        <v>0.0434782608695652</v>
      </c>
      <c r="H822" s="24" t="s">
        <v>6765</v>
      </c>
      <c r="I822" s="47"/>
      <c r="J822" s="24">
        <v>0.0</v>
      </c>
    </row>
    <row r="823">
      <c r="A823" s="24">
        <v>7.0</v>
      </c>
      <c r="B823" s="24">
        <v>0.0</v>
      </c>
      <c r="C823" s="47">
        <v>0.0</v>
      </c>
      <c r="D823" s="35">
        <v>45136.0</v>
      </c>
      <c r="E823" s="47"/>
      <c r="F823" s="47">
        <v>0.0</v>
      </c>
      <c r="G823" s="48">
        <v>0.0</v>
      </c>
      <c r="H823" s="24" t="s">
        <v>6765</v>
      </c>
      <c r="I823" s="47"/>
      <c r="J823" s="24">
        <v>0.0</v>
      </c>
    </row>
    <row r="824">
      <c r="A824" s="24">
        <v>12.0</v>
      </c>
      <c r="B824" s="24">
        <v>0.0</v>
      </c>
      <c r="C824" s="47">
        <v>0.0</v>
      </c>
      <c r="D824" s="35">
        <v>45137.0</v>
      </c>
      <c r="E824" s="47"/>
      <c r="F824" s="47">
        <v>0.0</v>
      </c>
      <c r="G824" s="48">
        <v>0.0</v>
      </c>
      <c r="H824" s="24" t="s">
        <v>6765</v>
      </c>
      <c r="I824" s="47"/>
      <c r="J824" s="24">
        <v>0.0</v>
      </c>
    </row>
    <row r="825">
      <c r="A825" s="24">
        <v>48.0</v>
      </c>
      <c r="B825" s="24">
        <v>2.0</v>
      </c>
      <c r="C825" s="47">
        <v>28.14</v>
      </c>
      <c r="D825" s="35">
        <v>45138.0</v>
      </c>
      <c r="E825" s="47">
        <v>14.07</v>
      </c>
      <c r="F825" s="47">
        <v>586.25</v>
      </c>
      <c r="G825" s="48">
        <v>0.0416666666666666</v>
      </c>
      <c r="H825" s="24" t="s">
        <v>6765</v>
      </c>
      <c r="I825" s="47"/>
      <c r="J825" s="24">
        <v>0.0</v>
      </c>
    </row>
    <row r="826">
      <c r="A826" s="24">
        <v>47.0</v>
      </c>
      <c r="B826" s="24">
        <v>0.0</v>
      </c>
      <c r="C826" s="47">
        <v>0.0</v>
      </c>
      <c r="D826" s="35">
        <v>45139.0</v>
      </c>
      <c r="E826" s="47"/>
      <c r="F826" s="47">
        <v>0.0</v>
      </c>
      <c r="G826" s="48">
        <v>0.0</v>
      </c>
      <c r="H826" s="24" t="s">
        <v>6765</v>
      </c>
      <c r="I826" s="47"/>
      <c r="J826" s="24">
        <v>0.0</v>
      </c>
    </row>
    <row r="827">
      <c r="A827" s="24">
        <v>31.0</v>
      </c>
      <c r="B827" s="24">
        <v>2.0</v>
      </c>
      <c r="C827" s="47">
        <v>23.7</v>
      </c>
      <c r="D827" s="35">
        <v>45140.0</v>
      </c>
      <c r="E827" s="47">
        <v>11.85</v>
      </c>
      <c r="F827" s="47">
        <v>764.516129032258</v>
      </c>
      <c r="G827" s="48">
        <v>0.064516129032258</v>
      </c>
      <c r="H827" s="24" t="s">
        <v>6765</v>
      </c>
      <c r="I827" s="47"/>
      <c r="J827" s="24">
        <v>0.0</v>
      </c>
    </row>
    <row r="828">
      <c r="A828" s="24">
        <v>38.0</v>
      </c>
      <c r="B828" s="24">
        <v>0.0</v>
      </c>
      <c r="C828" s="47">
        <v>0.0</v>
      </c>
      <c r="D828" s="35">
        <v>45141.0</v>
      </c>
      <c r="E828" s="47"/>
      <c r="F828" s="47">
        <v>0.0</v>
      </c>
      <c r="G828" s="48">
        <v>0.0</v>
      </c>
      <c r="H828" s="24" t="s">
        <v>6765</v>
      </c>
      <c r="I828" s="47"/>
      <c r="J828" s="24">
        <v>0.0</v>
      </c>
    </row>
    <row r="829">
      <c r="A829" s="24">
        <v>39.0</v>
      </c>
      <c r="B829" s="24">
        <v>0.0</v>
      </c>
      <c r="C829" s="47">
        <v>0.0</v>
      </c>
      <c r="D829" s="35">
        <v>45142.0</v>
      </c>
      <c r="E829" s="47"/>
      <c r="F829" s="47">
        <v>0.0</v>
      </c>
      <c r="G829" s="48">
        <v>0.0</v>
      </c>
      <c r="H829" s="24" t="s">
        <v>6765</v>
      </c>
      <c r="I829" s="47"/>
      <c r="J829" s="24">
        <v>0.0</v>
      </c>
    </row>
    <row r="830">
      <c r="A830" s="24">
        <v>3.0</v>
      </c>
      <c r="B830" s="24">
        <v>0.0</v>
      </c>
      <c r="C830" s="47">
        <v>0.0</v>
      </c>
      <c r="D830" s="35">
        <v>45143.0</v>
      </c>
      <c r="E830" s="47"/>
      <c r="F830" s="47">
        <v>0.0</v>
      </c>
      <c r="G830" s="48">
        <v>0.0</v>
      </c>
      <c r="H830" s="24" t="s">
        <v>6765</v>
      </c>
      <c r="I830" s="47"/>
      <c r="J830" s="24">
        <v>0.0</v>
      </c>
    </row>
    <row r="831">
      <c r="A831" s="24">
        <v>5.0</v>
      </c>
      <c r="B831" s="24">
        <v>1.0</v>
      </c>
      <c r="C831" s="47">
        <v>9.93</v>
      </c>
      <c r="D831" s="35">
        <v>45144.0</v>
      </c>
      <c r="E831" s="47">
        <v>9.93</v>
      </c>
      <c r="F831" s="47">
        <v>1986.0</v>
      </c>
      <c r="G831" s="48">
        <v>0.2</v>
      </c>
      <c r="H831" s="24" t="s">
        <v>6765</v>
      </c>
      <c r="I831" s="47"/>
      <c r="J831" s="24">
        <v>0.0</v>
      </c>
    </row>
    <row r="832">
      <c r="A832" s="24">
        <v>17.0</v>
      </c>
      <c r="B832" s="24">
        <v>0.0</v>
      </c>
      <c r="C832" s="47">
        <v>0.0</v>
      </c>
      <c r="D832" s="35">
        <v>45145.0</v>
      </c>
      <c r="E832" s="47"/>
      <c r="F832" s="47">
        <v>0.0</v>
      </c>
      <c r="G832" s="48">
        <v>0.0</v>
      </c>
      <c r="H832" s="24" t="s">
        <v>6765</v>
      </c>
      <c r="I832" s="47"/>
      <c r="J832" s="24">
        <v>0.0</v>
      </c>
    </row>
    <row r="833">
      <c r="A833" s="24">
        <v>23.0</v>
      </c>
      <c r="B833" s="24">
        <v>1.0</v>
      </c>
      <c r="C833" s="47">
        <v>14.45</v>
      </c>
      <c r="D833" s="35">
        <v>45146.0</v>
      </c>
      <c r="E833" s="47">
        <v>14.45</v>
      </c>
      <c r="F833" s="47">
        <v>628.260869565217</v>
      </c>
      <c r="G833" s="48">
        <v>0.0434782608695652</v>
      </c>
      <c r="H833" s="24" t="s">
        <v>6765</v>
      </c>
      <c r="I833" s="47"/>
      <c r="J833" s="24">
        <v>0.0</v>
      </c>
    </row>
    <row r="834">
      <c r="A834" s="24">
        <v>26.0</v>
      </c>
      <c r="B834" s="24">
        <v>0.0</v>
      </c>
      <c r="C834" s="47">
        <v>0.0</v>
      </c>
      <c r="D834" s="35">
        <v>45147.0</v>
      </c>
      <c r="E834" s="47"/>
      <c r="F834" s="47">
        <v>0.0</v>
      </c>
      <c r="G834" s="48">
        <v>0.0</v>
      </c>
      <c r="H834" s="24" t="s">
        <v>6765</v>
      </c>
      <c r="I834" s="47"/>
      <c r="J834" s="24">
        <v>0.0</v>
      </c>
    </row>
    <row r="835">
      <c r="A835" s="24">
        <v>23.0</v>
      </c>
      <c r="B835" s="24">
        <v>1.0</v>
      </c>
      <c r="C835" s="47">
        <v>15.0</v>
      </c>
      <c r="D835" s="35">
        <v>45148.0</v>
      </c>
      <c r="E835" s="47">
        <v>15.0</v>
      </c>
      <c r="F835" s="47">
        <v>652.173913043478</v>
      </c>
      <c r="G835" s="48">
        <v>0.0434782608695652</v>
      </c>
      <c r="H835" s="24" t="s">
        <v>6765</v>
      </c>
      <c r="I835" s="47"/>
      <c r="J835" s="24">
        <v>0.0</v>
      </c>
    </row>
    <row r="836">
      <c r="A836" s="24">
        <v>14.0</v>
      </c>
      <c r="B836" s="24">
        <v>2.0</v>
      </c>
      <c r="C836" s="47">
        <v>22.9</v>
      </c>
      <c r="D836" s="35">
        <v>45149.0</v>
      </c>
      <c r="E836" s="47">
        <v>11.45</v>
      </c>
      <c r="F836" s="47">
        <v>1635.71428571428</v>
      </c>
      <c r="G836" s="48">
        <v>0.142857142857142</v>
      </c>
      <c r="H836" s="24" t="s">
        <v>6765</v>
      </c>
      <c r="I836" s="47"/>
      <c r="J836" s="24">
        <v>0.0</v>
      </c>
    </row>
    <row r="837">
      <c r="A837" s="24">
        <v>1.0</v>
      </c>
      <c r="B837" s="24">
        <v>0.0</v>
      </c>
      <c r="C837" s="47">
        <v>0.0</v>
      </c>
      <c r="D837" s="35">
        <v>45150.0</v>
      </c>
      <c r="E837" s="47"/>
      <c r="F837" s="47">
        <v>0.0</v>
      </c>
      <c r="G837" s="48">
        <v>0.0</v>
      </c>
      <c r="H837" s="24" t="s">
        <v>6765</v>
      </c>
      <c r="I837" s="47"/>
      <c r="J837" s="24">
        <v>0.0</v>
      </c>
    </row>
    <row r="838">
      <c r="A838" s="24">
        <v>3.0</v>
      </c>
      <c r="B838" s="24">
        <v>0.0</v>
      </c>
      <c r="C838" s="47">
        <v>0.0</v>
      </c>
      <c r="D838" s="35">
        <v>45151.0</v>
      </c>
      <c r="E838" s="47"/>
      <c r="F838" s="47">
        <v>0.0</v>
      </c>
      <c r="G838" s="48">
        <v>0.0</v>
      </c>
      <c r="H838" s="24" t="s">
        <v>6765</v>
      </c>
      <c r="I838" s="47"/>
      <c r="J838" s="24">
        <v>0.0</v>
      </c>
    </row>
    <row r="839">
      <c r="A839" s="24">
        <v>20.0</v>
      </c>
      <c r="B839" s="24">
        <v>0.0</v>
      </c>
      <c r="C839" s="47">
        <v>0.0</v>
      </c>
      <c r="D839" s="35">
        <v>45152.0</v>
      </c>
      <c r="E839" s="47"/>
      <c r="F839" s="47">
        <v>0.0</v>
      </c>
      <c r="G839" s="48">
        <v>0.0</v>
      </c>
      <c r="H839" s="24" t="s">
        <v>6765</v>
      </c>
      <c r="I839" s="47"/>
      <c r="J839" s="24">
        <v>0.0</v>
      </c>
    </row>
    <row r="840">
      <c r="A840" s="24">
        <v>39.0</v>
      </c>
      <c r="B840" s="24">
        <v>2.0</v>
      </c>
      <c r="C840" s="47">
        <v>29.18</v>
      </c>
      <c r="D840" s="35">
        <v>45153.0</v>
      </c>
      <c r="E840" s="47">
        <v>14.59</v>
      </c>
      <c r="F840" s="47">
        <v>748.205128205128</v>
      </c>
      <c r="G840" s="48">
        <v>0.0512820512820512</v>
      </c>
      <c r="H840" s="24" t="s">
        <v>6765</v>
      </c>
      <c r="I840" s="47"/>
      <c r="J840" s="24">
        <v>0.0</v>
      </c>
    </row>
    <row r="841">
      <c r="A841" s="24">
        <v>28.0</v>
      </c>
      <c r="B841" s="24">
        <v>2.0</v>
      </c>
      <c r="C841" s="47">
        <v>28.62</v>
      </c>
      <c r="D841" s="35">
        <v>45154.0</v>
      </c>
      <c r="E841" s="47">
        <v>14.31</v>
      </c>
      <c r="F841" s="47">
        <v>1022.14285714285</v>
      </c>
      <c r="G841" s="48">
        <v>0.0714285714285714</v>
      </c>
      <c r="H841" s="24" t="s">
        <v>6765</v>
      </c>
      <c r="I841" s="47"/>
      <c r="J841" s="24">
        <v>0.0</v>
      </c>
    </row>
    <row r="842">
      <c r="A842" s="24">
        <v>38.0</v>
      </c>
      <c r="B842" s="24">
        <v>0.0</v>
      </c>
      <c r="C842" s="47">
        <v>0.0</v>
      </c>
      <c r="D842" s="35">
        <v>45155.0</v>
      </c>
      <c r="E842" s="47"/>
      <c r="F842" s="47">
        <v>0.0</v>
      </c>
      <c r="G842" s="48">
        <v>0.0</v>
      </c>
      <c r="H842" s="24" t="s">
        <v>6765</v>
      </c>
      <c r="I842" s="47"/>
      <c r="J842" s="24">
        <v>0.0</v>
      </c>
    </row>
    <row r="843">
      <c r="A843" s="24">
        <v>19.0</v>
      </c>
      <c r="B843" s="24">
        <v>0.0</v>
      </c>
      <c r="C843" s="47">
        <v>0.0</v>
      </c>
      <c r="D843" s="35">
        <v>45156.0</v>
      </c>
      <c r="E843" s="47"/>
      <c r="F843" s="47">
        <v>0.0</v>
      </c>
      <c r="G843" s="48">
        <v>0.0</v>
      </c>
      <c r="H843" s="24" t="s">
        <v>6765</v>
      </c>
      <c r="I843" s="47"/>
      <c r="J843" s="24">
        <v>0.0</v>
      </c>
    </row>
    <row r="844">
      <c r="A844" s="24">
        <v>6.0</v>
      </c>
      <c r="B844" s="24">
        <v>0.0</v>
      </c>
      <c r="C844" s="47">
        <v>0.0</v>
      </c>
      <c r="D844" s="35">
        <v>45157.0</v>
      </c>
      <c r="E844" s="47"/>
      <c r="F844" s="47">
        <v>0.0</v>
      </c>
      <c r="G844" s="48">
        <v>0.0</v>
      </c>
      <c r="H844" s="24" t="s">
        <v>6765</v>
      </c>
      <c r="I844" s="47"/>
      <c r="J844" s="24">
        <v>0.0</v>
      </c>
    </row>
    <row r="845">
      <c r="A845" s="24">
        <v>2.0</v>
      </c>
      <c r="B845" s="24">
        <v>0.0</v>
      </c>
      <c r="C845" s="47">
        <v>0.0</v>
      </c>
      <c r="D845" s="35">
        <v>45158.0</v>
      </c>
      <c r="E845" s="47"/>
      <c r="F845" s="47">
        <v>0.0</v>
      </c>
      <c r="G845" s="48">
        <v>0.0</v>
      </c>
      <c r="H845" s="24" t="s">
        <v>6765</v>
      </c>
      <c r="I845" s="47"/>
      <c r="J845" s="24">
        <v>0.0</v>
      </c>
    </row>
    <row r="846">
      <c r="A846" s="24">
        <v>31.0</v>
      </c>
      <c r="B846" s="24">
        <v>3.0</v>
      </c>
      <c r="C846" s="47">
        <v>43.75</v>
      </c>
      <c r="D846" s="35">
        <v>45159.0</v>
      </c>
      <c r="E846" s="47">
        <v>14.5833333333333</v>
      </c>
      <c r="F846" s="47">
        <v>1411.29032258064</v>
      </c>
      <c r="G846" s="48">
        <v>0.0967741935483871</v>
      </c>
      <c r="H846" s="24" t="s">
        <v>6765</v>
      </c>
      <c r="I846" s="47"/>
      <c r="J846" s="24">
        <v>0.0</v>
      </c>
    </row>
    <row r="847">
      <c r="A847" s="24">
        <v>39.0</v>
      </c>
      <c r="B847" s="24">
        <v>2.0</v>
      </c>
      <c r="C847" s="47">
        <v>26.52</v>
      </c>
      <c r="D847" s="35">
        <v>45160.0</v>
      </c>
      <c r="E847" s="47">
        <v>13.26</v>
      </c>
      <c r="F847" s="47">
        <v>680.0</v>
      </c>
      <c r="G847" s="48">
        <v>0.0512820512820512</v>
      </c>
      <c r="H847" s="24" t="s">
        <v>6765</v>
      </c>
      <c r="I847" s="47"/>
      <c r="J847" s="24">
        <v>0.0</v>
      </c>
    </row>
    <row r="848">
      <c r="A848" s="24">
        <v>25.0</v>
      </c>
      <c r="B848" s="24">
        <v>0.0</v>
      </c>
      <c r="C848" s="47">
        <v>0.0</v>
      </c>
      <c r="D848" s="35">
        <v>45161.0</v>
      </c>
      <c r="E848" s="47"/>
      <c r="F848" s="47">
        <v>0.0</v>
      </c>
      <c r="G848" s="48">
        <v>0.0</v>
      </c>
      <c r="H848" s="24" t="s">
        <v>6765</v>
      </c>
      <c r="I848" s="47"/>
      <c r="J848" s="24">
        <v>0.0</v>
      </c>
    </row>
    <row r="849">
      <c r="A849" s="24">
        <v>33.0</v>
      </c>
      <c r="B849" s="24">
        <v>2.0</v>
      </c>
      <c r="C849" s="47">
        <v>24.76</v>
      </c>
      <c r="D849" s="35">
        <v>45162.0</v>
      </c>
      <c r="E849" s="47">
        <v>12.38</v>
      </c>
      <c r="F849" s="47">
        <v>750.30303030303</v>
      </c>
      <c r="G849" s="48">
        <v>0.0606060606060606</v>
      </c>
      <c r="H849" s="24" t="s">
        <v>6765</v>
      </c>
      <c r="I849" s="47"/>
      <c r="J849" s="24">
        <v>0.0</v>
      </c>
    </row>
    <row r="850">
      <c r="A850" s="24">
        <v>26.0</v>
      </c>
      <c r="B850" s="24">
        <v>1.0</v>
      </c>
      <c r="C850" s="47">
        <v>14.26</v>
      </c>
      <c r="D850" s="35">
        <v>45163.0</v>
      </c>
      <c r="E850" s="47">
        <v>14.26</v>
      </c>
      <c r="F850" s="47">
        <v>548.461538461538</v>
      </c>
      <c r="G850" s="48">
        <v>0.0384615384615384</v>
      </c>
      <c r="H850" s="24" t="s">
        <v>6765</v>
      </c>
      <c r="I850" s="47"/>
      <c r="J850" s="24">
        <v>0.0</v>
      </c>
    </row>
    <row r="851">
      <c r="A851" s="24">
        <v>3.0</v>
      </c>
      <c r="B851" s="24">
        <v>0.0</v>
      </c>
      <c r="C851" s="47">
        <v>0.0</v>
      </c>
      <c r="D851" s="35">
        <v>45164.0</v>
      </c>
      <c r="E851" s="47"/>
      <c r="F851" s="47">
        <v>0.0</v>
      </c>
      <c r="G851" s="48">
        <v>0.0</v>
      </c>
      <c r="H851" s="24" t="s">
        <v>6765</v>
      </c>
      <c r="I851" s="47"/>
      <c r="J851" s="24">
        <v>0.0</v>
      </c>
    </row>
    <row r="852">
      <c r="A852" s="24">
        <v>4.0</v>
      </c>
      <c r="B852" s="24">
        <v>0.0</v>
      </c>
      <c r="C852" s="47">
        <v>0.0</v>
      </c>
      <c r="D852" s="35">
        <v>45165.0</v>
      </c>
      <c r="E852" s="47"/>
      <c r="F852" s="47">
        <v>0.0</v>
      </c>
      <c r="G852" s="48">
        <v>0.0</v>
      </c>
      <c r="H852" s="24" t="s">
        <v>6765</v>
      </c>
      <c r="I852" s="47"/>
      <c r="J852" s="24">
        <v>0.0</v>
      </c>
    </row>
    <row r="853">
      <c r="A853" s="24">
        <v>27.0</v>
      </c>
      <c r="B853" s="24">
        <v>0.0</v>
      </c>
      <c r="C853" s="47">
        <v>0.0</v>
      </c>
      <c r="D853" s="35">
        <v>45166.0</v>
      </c>
      <c r="E853" s="47"/>
      <c r="F853" s="47">
        <v>0.0</v>
      </c>
      <c r="G853" s="48">
        <v>0.0</v>
      </c>
      <c r="H853" s="24" t="s">
        <v>6765</v>
      </c>
      <c r="I853" s="47"/>
      <c r="J853" s="24">
        <v>0.0</v>
      </c>
    </row>
    <row r="854">
      <c r="A854" s="24">
        <v>13.0</v>
      </c>
      <c r="B854" s="24">
        <v>0.0</v>
      </c>
      <c r="C854" s="47">
        <v>0.0</v>
      </c>
      <c r="D854" s="35">
        <v>45167.0</v>
      </c>
      <c r="E854" s="47"/>
      <c r="F854" s="47">
        <v>0.0</v>
      </c>
      <c r="G854" s="48">
        <v>0.0</v>
      </c>
      <c r="H854" s="24" t="s">
        <v>6765</v>
      </c>
      <c r="I854" s="47"/>
      <c r="J854" s="24">
        <v>0.0</v>
      </c>
    </row>
    <row r="855">
      <c r="A855" s="24">
        <v>28.0</v>
      </c>
      <c r="B855" s="24">
        <v>1.0</v>
      </c>
      <c r="C855" s="47">
        <v>13.91</v>
      </c>
      <c r="D855" s="35">
        <v>45168.0</v>
      </c>
      <c r="E855" s="47">
        <v>13.91</v>
      </c>
      <c r="F855" s="47">
        <v>496.785714285714</v>
      </c>
      <c r="G855" s="48">
        <v>0.0357142857142857</v>
      </c>
      <c r="H855" s="24" t="s">
        <v>6765</v>
      </c>
      <c r="I855" s="47"/>
      <c r="J855" s="24">
        <v>0.0</v>
      </c>
    </row>
    <row r="856">
      <c r="A856" s="24">
        <v>32.0</v>
      </c>
      <c r="B856" s="24">
        <v>0.0</v>
      </c>
      <c r="C856" s="47">
        <v>0.0</v>
      </c>
      <c r="D856" s="35">
        <v>45169.0</v>
      </c>
      <c r="E856" s="47"/>
      <c r="F856" s="47">
        <v>0.0</v>
      </c>
      <c r="G856" s="48">
        <v>0.0</v>
      </c>
      <c r="H856" s="24" t="s">
        <v>6765</v>
      </c>
      <c r="I856" s="47"/>
      <c r="J856" s="24">
        <v>0.0</v>
      </c>
    </row>
    <row r="857">
      <c r="A857" s="24">
        <v>10.0</v>
      </c>
      <c r="B857" s="24">
        <v>0.0</v>
      </c>
      <c r="C857" s="47">
        <v>0.0</v>
      </c>
      <c r="D857" s="35">
        <v>45170.0</v>
      </c>
      <c r="E857" s="47"/>
      <c r="F857" s="47">
        <v>0.0</v>
      </c>
      <c r="G857" s="48">
        <v>0.0</v>
      </c>
      <c r="H857" s="24" t="s">
        <v>6765</v>
      </c>
      <c r="I857" s="47"/>
      <c r="J857" s="24">
        <v>0.0</v>
      </c>
    </row>
    <row r="858">
      <c r="A858" s="24">
        <v>5.0</v>
      </c>
      <c r="B858" s="24">
        <v>0.0</v>
      </c>
      <c r="C858" s="47">
        <v>0.0</v>
      </c>
      <c r="D858" s="35">
        <v>45171.0</v>
      </c>
      <c r="E858" s="47"/>
      <c r="F858" s="47">
        <v>0.0</v>
      </c>
      <c r="G858" s="48">
        <v>0.0</v>
      </c>
      <c r="H858" s="24" t="s">
        <v>6765</v>
      </c>
      <c r="I858" s="47"/>
      <c r="J858" s="24">
        <v>0.0</v>
      </c>
    </row>
    <row r="859">
      <c r="A859" s="24">
        <v>5.0</v>
      </c>
      <c r="B859" s="24">
        <v>0.0</v>
      </c>
      <c r="C859" s="47">
        <v>0.0</v>
      </c>
      <c r="D859" s="35">
        <v>45172.0</v>
      </c>
      <c r="E859" s="47"/>
      <c r="F859" s="47">
        <v>0.0</v>
      </c>
      <c r="G859" s="48">
        <v>0.0</v>
      </c>
      <c r="H859" s="24" t="s">
        <v>6765</v>
      </c>
      <c r="I859" s="47"/>
      <c r="J859" s="24">
        <v>0.0</v>
      </c>
    </row>
    <row r="860">
      <c r="A860" s="24">
        <v>10.0</v>
      </c>
      <c r="B860" s="24">
        <v>0.0</v>
      </c>
      <c r="C860" s="47">
        <v>0.0</v>
      </c>
      <c r="D860" s="35">
        <v>45173.0</v>
      </c>
      <c r="E860" s="47"/>
      <c r="F860" s="47">
        <v>0.0</v>
      </c>
      <c r="G860" s="48">
        <v>0.0</v>
      </c>
      <c r="H860" s="24" t="s">
        <v>6765</v>
      </c>
      <c r="I860" s="47"/>
      <c r="J860" s="24">
        <v>0.0</v>
      </c>
    </row>
    <row r="861">
      <c r="A861" s="24">
        <v>38.0</v>
      </c>
      <c r="B861" s="24">
        <v>1.0</v>
      </c>
      <c r="C861" s="47">
        <v>14.72</v>
      </c>
      <c r="D861" s="35">
        <v>45174.0</v>
      </c>
      <c r="E861" s="47">
        <v>14.72</v>
      </c>
      <c r="F861" s="47">
        <v>387.368421052631</v>
      </c>
      <c r="G861" s="48">
        <v>0.0263157894736842</v>
      </c>
      <c r="H861" s="24" t="s">
        <v>6765</v>
      </c>
      <c r="I861" s="47"/>
      <c r="J861" s="24">
        <v>0.0</v>
      </c>
    </row>
    <row r="862">
      <c r="A862" s="24">
        <v>25.0</v>
      </c>
      <c r="B862" s="24">
        <v>1.0</v>
      </c>
      <c r="C862" s="47">
        <v>14.53</v>
      </c>
      <c r="D862" s="35">
        <v>45175.0</v>
      </c>
      <c r="E862" s="47">
        <v>14.53</v>
      </c>
      <c r="F862" s="47">
        <v>581.2</v>
      </c>
      <c r="G862" s="48">
        <v>0.04</v>
      </c>
      <c r="H862" s="24" t="s">
        <v>6765</v>
      </c>
      <c r="I862" s="47"/>
      <c r="J862" s="24">
        <v>0.0</v>
      </c>
    </row>
    <row r="863">
      <c r="A863" s="24">
        <v>34.0</v>
      </c>
      <c r="B863" s="24">
        <v>3.0</v>
      </c>
      <c r="C863" s="47">
        <v>42.24</v>
      </c>
      <c r="D863" s="35">
        <v>45176.0</v>
      </c>
      <c r="E863" s="47">
        <v>14.08</v>
      </c>
      <c r="F863" s="47">
        <v>1242.35294117647</v>
      </c>
      <c r="G863" s="48">
        <v>0.088235294117647</v>
      </c>
      <c r="H863" s="24" t="s">
        <v>6765</v>
      </c>
      <c r="I863" s="47"/>
      <c r="J863" s="24">
        <v>0.0</v>
      </c>
    </row>
    <row r="864">
      <c r="A864" s="24">
        <v>27.0</v>
      </c>
      <c r="B864" s="24">
        <v>0.0</v>
      </c>
      <c r="C864" s="47">
        <v>0.0</v>
      </c>
      <c r="D864" s="35">
        <v>45177.0</v>
      </c>
      <c r="E864" s="47"/>
      <c r="F864" s="47">
        <v>0.0</v>
      </c>
      <c r="G864" s="48">
        <v>0.0</v>
      </c>
      <c r="H864" s="24" t="s">
        <v>6765</v>
      </c>
      <c r="I864" s="47"/>
      <c r="J864" s="24">
        <v>0.0</v>
      </c>
    </row>
    <row r="865">
      <c r="A865" s="24">
        <v>12.0</v>
      </c>
      <c r="B865" s="24">
        <v>0.0</v>
      </c>
      <c r="C865" s="47">
        <v>0.0</v>
      </c>
      <c r="D865" s="35">
        <v>45178.0</v>
      </c>
      <c r="E865" s="47"/>
      <c r="F865" s="47">
        <v>0.0</v>
      </c>
      <c r="G865" s="48">
        <v>0.0</v>
      </c>
      <c r="H865" s="24" t="s">
        <v>6765</v>
      </c>
      <c r="I865" s="47"/>
      <c r="J865" s="24">
        <v>0.0</v>
      </c>
    </row>
    <row r="866">
      <c r="A866" s="24">
        <v>7.0</v>
      </c>
      <c r="B866" s="24">
        <v>0.0</v>
      </c>
      <c r="C866" s="47">
        <v>0.0</v>
      </c>
      <c r="D866" s="35">
        <v>45179.0</v>
      </c>
      <c r="E866" s="47"/>
      <c r="F866" s="47">
        <v>0.0</v>
      </c>
      <c r="G866" s="48">
        <v>0.0</v>
      </c>
      <c r="H866" s="24" t="s">
        <v>6765</v>
      </c>
      <c r="I866" s="47"/>
      <c r="J866" s="24">
        <v>0.0</v>
      </c>
    </row>
    <row r="867">
      <c r="A867" s="24">
        <v>31.0</v>
      </c>
      <c r="B867" s="24">
        <v>0.0</v>
      </c>
      <c r="C867" s="47">
        <v>0.0</v>
      </c>
      <c r="D867" s="35">
        <v>45180.0</v>
      </c>
      <c r="E867" s="47"/>
      <c r="F867" s="47">
        <v>0.0</v>
      </c>
      <c r="G867" s="48">
        <v>0.0</v>
      </c>
      <c r="H867" s="24" t="s">
        <v>6765</v>
      </c>
      <c r="I867" s="47"/>
      <c r="J867" s="24">
        <v>0.0</v>
      </c>
    </row>
    <row r="868">
      <c r="A868" s="24">
        <v>24.0</v>
      </c>
      <c r="B868" s="24">
        <v>0.0</v>
      </c>
      <c r="C868" s="47">
        <v>0.0</v>
      </c>
      <c r="D868" s="35">
        <v>45181.0</v>
      </c>
      <c r="E868" s="47"/>
      <c r="F868" s="47">
        <v>0.0</v>
      </c>
      <c r="G868" s="48">
        <v>0.0</v>
      </c>
      <c r="H868" s="24" t="s">
        <v>6765</v>
      </c>
      <c r="I868" s="47"/>
      <c r="J868" s="24">
        <v>0.0</v>
      </c>
    </row>
    <row r="869">
      <c r="A869" s="24">
        <v>17.0</v>
      </c>
      <c r="B869" s="24">
        <v>0.0</v>
      </c>
      <c r="C869" s="47">
        <v>0.0</v>
      </c>
      <c r="D869" s="35">
        <v>45182.0</v>
      </c>
      <c r="E869" s="47"/>
      <c r="F869" s="47">
        <v>0.0</v>
      </c>
      <c r="G869" s="48">
        <v>0.0</v>
      </c>
      <c r="H869" s="24" t="s">
        <v>6765</v>
      </c>
      <c r="I869" s="47"/>
      <c r="J869" s="24">
        <v>0.0</v>
      </c>
    </row>
    <row r="870">
      <c r="A870" s="24">
        <v>31.0</v>
      </c>
      <c r="B870" s="24">
        <v>0.0</v>
      </c>
      <c r="C870" s="47">
        <v>0.0</v>
      </c>
      <c r="D870" s="35">
        <v>45183.0</v>
      </c>
      <c r="E870" s="47"/>
      <c r="F870" s="47">
        <v>0.0</v>
      </c>
      <c r="G870" s="48">
        <v>0.0</v>
      </c>
      <c r="H870" s="24" t="s">
        <v>6765</v>
      </c>
      <c r="I870" s="47"/>
      <c r="J870" s="24">
        <v>0.0</v>
      </c>
    </row>
    <row r="871">
      <c r="A871" s="24">
        <v>17.0</v>
      </c>
      <c r="B871" s="24">
        <v>0.0</v>
      </c>
      <c r="C871" s="47">
        <v>0.0</v>
      </c>
      <c r="D871" s="35">
        <v>45184.0</v>
      </c>
      <c r="E871" s="47"/>
      <c r="F871" s="47">
        <v>0.0</v>
      </c>
      <c r="G871" s="48">
        <v>0.0</v>
      </c>
      <c r="H871" s="24" t="s">
        <v>6765</v>
      </c>
      <c r="I871" s="47"/>
      <c r="J871" s="24">
        <v>0.0</v>
      </c>
    </row>
    <row r="872">
      <c r="A872" s="24">
        <v>3.0</v>
      </c>
      <c r="B872" s="24">
        <v>0.0</v>
      </c>
      <c r="C872" s="47">
        <v>0.0</v>
      </c>
      <c r="D872" s="35">
        <v>45185.0</v>
      </c>
      <c r="E872" s="47"/>
      <c r="F872" s="47">
        <v>0.0</v>
      </c>
      <c r="G872" s="48">
        <v>0.0</v>
      </c>
      <c r="H872" s="24" t="s">
        <v>6765</v>
      </c>
      <c r="I872" s="47"/>
      <c r="J872" s="24">
        <v>0.0</v>
      </c>
    </row>
    <row r="873">
      <c r="A873" s="24">
        <v>3.0</v>
      </c>
      <c r="B873" s="24">
        <v>0.0</v>
      </c>
      <c r="C873" s="47">
        <v>0.0</v>
      </c>
      <c r="D873" s="35">
        <v>45186.0</v>
      </c>
      <c r="E873" s="47"/>
      <c r="F873" s="47">
        <v>0.0</v>
      </c>
      <c r="G873" s="48">
        <v>0.0</v>
      </c>
      <c r="H873" s="24" t="s">
        <v>6765</v>
      </c>
      <c r="I873" s="47"/>
      <c r="J873" s="24">
        <v>0.0</v>
      </c>
    </row>
    <row r="874">
      <c r="A874" s="24">
        <v>27.0</v>
      </c>
      <c r="B874" s="24">
        <v>0.0</v>
      </c>
      <c r="C874" s="47">
        <v>0.0</v>
      </c>
      <c r="D874" s="35">
        <v>45187.0</v>
      </c>
      <c r="E874" s="47"/>
      <c r="F874" s="47">
        <v>0.0</v>
      </c>
      <c r="G874" s="48">
        <v>0.0</v>
      </c>
      <c r="H874" s="24" t="s">
        <v>6765</v>
      </c>
      <c r="I874" s="47"/>
      <c r="J874" s="24">
        <v>0.0</v>
      </c>
    </row>
    <row r="875">
      <c r="A875" s="24">
        <v>34.0</v>
      </c>
      <c r="B875" s="24">
        <v>5.0</v>
      </c>
      <c r="C875" s="47">
        <v>65.95</v>
      </c>
      <c r="D875" s="35">
        <v>45188.0</v>
      </c>
      <c r="E875" s="47">
        <v>13.19</v>
      </c>
      <c r="F875" s="47">
        <v>1939.70588235294</v>
      </c>
      <c r="G875" s="48">
        <v>0.147058823529411</v>
      </c>
      <c r="H875" s="24" t="s">
        <v>6765</v>
      </c>
      <c r="I875" s="47"/>
      <c r="J875" s="24">
        <v>0.0</v>
      </c>
    </row>
    <row r="876">
      <c r="A876" s="24">
        <v>33.0</v>
      </c>
      <c r="B876" s="24">
        <v>2.0</v>
      </c>
      <c r="C876" s="47">
        <v>28.32</v>
      </c>
      <c r="D876" s="35">
        <v>45189.0</v>
      </c>
      <c r="E876" s="47">
        <v>14.16</v>
      </c>
      <c r="F876" s="47">
        <v>858.181818181818</v>
      </c>
      <c r="G876" s="48">
        <v>0.0606060606060606</v>
      </c>
      <c r="H876" s="24" t="s">
        <v>6765</v>
      </c>
      <c r="I876" s="47"/>
      <c r="J876" s="24">
        <v>0.0</v>
      </c>
    </row>
    <row r="877">
      <c r="A877" s="24">
        <v>23.0</v>
      </c>
      <c r="B877" s="24">
        <v>0.0</v>
      </c>
      <c r="C877" s="47">
        <v>0.0</v>
      </c>
      <c r="D877" s="35">
        <v>45190.0</v>
      </c>
      <c r="E877" s="47"/>
      <c r="F877" s="47">
        <v>0.0</v>
      </c>
      <c r="G877" s="48">
        <v>0.0</v>
      </c>
      <c r="H877" s="24" t="s">
        <v>6765</v>
      </c>
      <c r="I877" s="47"/>
      <c r="J877" s="24">
        <v>0.0</v>
      </c>
    </row>
    <row r="878">
      <c r="A878" s="24">
        <v>15.0</v>
      </c>
      <c r="B878" s="24">
        <v>0.0</v>
      </c>
      <c r="C878" s="47">
        <v>0.0</v>
      </c>
      <c r="D878" s="35">
        <v>45191.0</v>
      </c>
      <c r="E878" s="47"/>
      <c r="F878" s="47">
        <v>0.0</v>
      </c>
      <c r="G878" s="48">
        <v>0.0</v>
      </c>
      <c r="H878" s="24" t="s">
        <v>6765</v>
      </c>
      <c r="I878" s="47"/>
      <c r="J878" s="24">
        <v>0.0</v>
      </c>
    </row>
    <row r="879">
      <c r="A879" s="24">
        <v>6.0</v>
      </c>
      <c r="B879" s="24">
        <v>0.0</v>
      </c>
      <c r="C879" s="47">
        <v>0.0</v>
      </c>
      <c r="D879" s="35">
        <v>45192.0</v>
      </c>
      <c r="E879" s="47"/>
      <c r="F879" s="47">
        <v>0.0</v>
      </c>
      <c r="G879" s="48">
        <v>0.0</v>
      </c>
      <c r="H879" s="24" t="s">
        <v>6765</v>
      </c>
      <c r="I879" s="47"/>
      <c r="J879" s="24">
        <v>0.0</v>
      </c>
    </row>
    <row r="880">
      <c r="A880" s="24">
        <v>7.0</v>
      </c>
      <c r="B880" s="24">
        <v>0.0</v>
      </c>
      <c r="C880" s="47">
        <v>0.0</v>
      </c>
      <c r="D880" s="35">
        <v>45193.0</v>
      </c>
      <c r="E880" s="47"/>
      <c r="F880" s="47">
        <v>0.0</v>
      </c>
      <c r="G880" s="48">
        <v>0.0</v>
      </c>
      <c r="H880" s="24" t="s">
        <v>6765</v>
      </c>
      <c r="I880" s="47"/>
      <c r="J880" s="24">
        <v>0.0</v>
      </c>
    </row>
    <row r="881">
      <c r="A881" s="24">
        <v>28.0</v>
      </c>
      <c r="B881" s="24">
        <v>3.0</v>
      </c>
      <c r="C881" s="47">
        <v>42.21</v>
      </c>
      <c r="D881" s="35">
        <v>45194.0</v>
      </c>
      <c r="E881" s="47">
        <v>14.07</v>
      </c>
      <c r="F881" s="47">
        <v>1507.5</v>
      </c>
      <c r="G881" s="48">
        <v>0.107142857142857</v>
      </c>
      <c r="H881" s="24" t="s">
        <v>6765</v>
      </c>
      <c r="I881" s="47"/>
      <c r="J881" s="24">
        <v>0.0</v>
      </c>
    </row>
    <row r="882">
      <c r="A882" s="24">
        <v>32.0</v>
      </c>
      <c r="B882" s="24">
        <v>3.0</v>
      </c>
      <c r="C882" s="47">
        <v>41.8</v>
      </c>
      <c r="D882" s="35">
        <v>45195.0</v>
      </c>
      <c r="E882" s="47">
        <v>13.9333333333333</v>
      </c>
      <c r="F882" s="47">
        <v>1306.25</v>
      </c>
      <c r="G882" s="48">
        <v>0.09375</v>
      </c>
      <c r="H882" s="24" t="s">
        <v>6765</v>
      </c>
      <c r="I882" s="47"/>
      <c r="J882" s="24">
        <v>0.0</v>
      </c>
    </row>
    <row r="883">
      <c r="A883" s="24">
        <v>28.0</v>
      </c>
      <c r="B883" s="24">
        <v>0.0</v>
      </c>
      <c r="C883" s="47">
        <v>0.0</v>
      </c>
      <c r="D883" s="35">
        <v>45196.0</v>
      </c>
      <c r="E883" s="47"/>
      <c r="F883" s="47">
        <v>0.0</v>
      </c>
      <c r="G883" s="48">
        <v>0.0</v>
      </c>
      <c r="H883" s="24" t="s">
        <v>6765</v>
      </c>
      <c r="I883" s="47"/>
      <c r="J883" s="24">
        <v>0.0</v>
      </c>
    </row>
    <row r="884">
      <c r="A884" s="24">
        <v>22.0</v>
      </c>
      <c r="B884" s="24">
        <v>3.0</v>
      </c>
      <c r="C884" s="47">
        <v>43.65</v>
      </c>
      <c r="D884" s="35">
        <v>45197.0</v>
      </c>
      <c r="E884" s="47">
        <v>14.55</v>
      </c>
      <c r="F884" s="47">
        <v>1984.0909090909</v>
      </c>
      <c r="G884" s="48">
        <v>0.136363636363636</v>
      </c>
      <c r="H884" s="24" t="s">
        <v>6765</v>
      </c>
      <c r="I884" s="47"/>
      <c r="J884" s="24">
        <v>0.0</v>
      </c>
    </row>
    <row r="885">
      <c r="A885" s="24">
        <v>30.0</v>
      </c>
      <c r="B885" s="24">
        <v>4.0</v>
      </c>
      <c r="C885" s="47">
        <v>50.78</v>
      </c>
      <c r="D885" s="35">
        <v>45198.0</v>
      </c>
      <c r="E885" s="47">
        <v>12.695</v>
      </c>
      <c r="F885" s="47">
        <v>1692.66666666666</v>
      </c>
      <c r="G885" s="48">
        <v>0.133333333333333</v>
      </c>
      <c r="H885" s="24" t="s">
        <v>6765</v>
      </c>
      <c r="I885" s="47"/>
      <c r="J885" s="24">
        <v>0.0</v>
      </c>
    </row>
    <row r="886">
      <c r="A886" s="24">
        <v>17.0</v>
      </c>
      <c r="B886" s="24">
        <v>0.0</v>
      </c>
      <c r="C886" s="47">
        <v>0.0</v>
      </c>
      <c r="D886" s="35">
        <v>45199.0</v>
      </c>
      <c r="E886" s="47"/>
      <c r="F886" s="47">
        <v>0.0</v>
      </c>
      <c r="G886" s="48">
        <v>0.0</v>
      </c>
      <c r="H886" s="24" t="s">
        <v>6765</v>
      </c>
      <c r="I886" s="47"/>
      <c r="J886" s="24">
        <v>0.0</v>
      </c>
    </row>
    <row r="887">
      <c r="A887" s="24">
        <v>23.0</v>
      </c>
      <c r="B887" s="24">
        <v>2.0</v>
      </c>
      <c r="C887" s="47">
        <v>19.69</v>
      </c>
      <c r="D887" s="35">
        <v>45201.0</v>
      </c>
      <c r="E887" s="47">
        <v>9.845</v>
      </c>
      <c r="F887" s="47">
        <v>856.086956521739</v>
      </c>
      <c r="G887" s="48">
        <v>0.0869565217391304</v>
      </c>
      <c r="H887" s="24" t="s">
        <v>6765</v>
      </c>
      <c r="I887" s="47"/>
      <c r="J887" s="24">
        <v>0.0</v>
      </c>
    </row>
    <row r="888">
      <c r="A888" s="24">
        <v>28.0</v>
      </c>
      <c r="B888" s="24">
        <v>1.0</v>
      </c>
      <c r="C888" s="47">
        <v>6.18</v>
      </c>
      <c r="D888" s="35">
        <v>45202.0</v>
      </c>
      <c r="E888" s="47">
        <v>6.18</v>
      </c>
      <c r="F888" s="47">
        <v>220.714285714285</v>
      </c>
      <c r="G888" s="48">
        <v>0.0357142857142857</v>
      </c>
      <c r="H888" s="24" t="s">
        <v>6765</v>
      </c>
      <c r="I888" s="47"/>
      <c r="J888" s="24">
        <v>0.0</v>
      </c>
    </row>
    <row r="889">
      <c r="A889" s="24">
        <v>37.0</v>
      </c>
      <c r="B889" s="24">
        <v>1.0</v>
      </c>
      <c r="C889" s="47">
        <v>13.5</v>
      </c>
      <c r="D889" s="35">
        <v>45203.0</v>
      </c>
      <c r="E889" s="47">
        <v>13.5</v>
      </c>
      <c r="F889" s="47">
        <v>364.864864864864</v>
      </c>
      <c r="G889" s="48">
        <v>0.027027027027027</v>
      </c>
      <c r="H889" s="24" t="s">
        <v>6765</v>
      </c>
      <c r="I889" s="47"/>
      <c r="J889" s="24">
        <v>0.0</v>
      </c>
    </row>
    <row r="890">
      <c r="A890" s="24">
        <v>24.0</v>
      </c>
      <c r="B890" s="24">
        <v>1.0</v>
      </c>
      <c r="C890" s="47">
        <v>14.69</v>
      </c>
      <c r="D890" s="35">
        <v>45204.0</v>
      </c>
      <c r="E890" s="47">
        <v>14.69</v>
      </c>
      <c r="F890" s="47">
        <v>612.083333333333</v>
      </c>
      <c r="G890" s="48">
        <v>0.0416666666666666</v>
      </c>
      <c r="H890" s="24" t="s">
        <v>6765</v>
      </c>
      <c r="I890" s="47"/>
      <c r="J890" s="24">
        <v>0.0</v>
      </c>
    </row>
    <row r="891">
      <c r="A891" s="24">
        <v>20.0</v>
      </c>
      <c r="B891" s="24">
        <v>1.0</v>
      </c>
      <c r="C891" s="47">
        <v>2.58</v>
      </c>
      <c r="D891" s="35">
        <v>45205.0</v>
      </c>
      <c r="E891" s="47">
        <v>2.58</v>
      </c>
      <c r="F891" s="47">
        <v>129.0</v>
      </c>
      <c r="G891" s="48">
        <v>0.05</v>
      </c>
      <c r="H891" s="24" t="s">
        <v>6765</v>
      </c>
      <c r="I891" s="47"/>
      <c r="J891" s="24">
        <v>0.0</v>
      </c>
    </row>
    <row r="892">
      <c r="A892" s="24">
        <v>6.0</v>
      </c>
      <c r="B892" s="24">
        <v>1.0</v>
      </c>
      <c r="C892" s="47">
        <v>8.63</v>
      </c>
      <c r="D892" s="35">
        <v>45206.0</v>
      </c>
      <c r="E892" s="47">
        <v>8.63</v>
      </c>
      <c r="F892" s="47">
        <v>1438.33333333333</v>
      </c>
      <c r="G892" s="48">
        <v>0.166666666666666</v>
      </c>
      <c r="H892" s="24" t="s">
        <v>6765</v>
      </c>
      <c r="I892" s="47"/>
      <c r="J892" s="24">
        <v>0.0</v>
      </c>
    </row>
    <row r="893">
      <c r="A893" s="24">
        <v>11.0</v>
      </c>
      <c r="B893" s="24">
        <v>0.0</v>
      </c>
      <c r="C893" s="47">
        <v>0.0</v>
      </c>
      <c r="D893" s="35">
        <v>45207.0</v>
      </c>
      <c r="E893" s="47"/>
      <c r="F893" s="47">
        <v>0.0</v>
      </c>
      <c r="G893" s="48">
        <v>0.0</v>
      </c>
      <c r="H893" s="24" t="s">
        <v>6765</v>
      </c>
      <c r="I893" s="47"/>
      <c r="J893" s="24">
        <v>0.0</v>
      </c>
    </row>
    <row r="894">
      <c r="A894" s="24">
        <v>7.0</v>
      </c>
      <c r="B894" s="24">
        <v>0.0</v>
      </c>
      <c r="C894" s="47">
        <v>0.0</v>
      </c>
      <c r="D894" s="35">
        <v>45208.0</v>
      </c>
      <c r="E894" s="47"/>
      <c r="F894" s="47">
        <v>0.0</v>
      </c>
      <c r="G894" s="48">
        <v>0.0</v>
      </c>
      <c r="H894" s="24" t="s">
        <v>6765</v>
      </c>
      <c r="I894" s="47"/>
      <c r="J894" s="24">
        <v>0.0</v>
      </c>
    </row>
    <row r="895">
      <c r="A895" s="24">
        <v>42.0</v>
      </c>
      <c r="B895" s="24">
        <v>2.0</v>
      </c>
      <c r="C895" s="47">
        <v>13.21</v>
      </c>
      <c r="D895" s="35">
        <v>45209.0</v>
      </c>
      <c r="E895" s="47">
        <v>6.605</v>
      </c>
      <c r="F895" s="47">
        <v>314.523809523809</v>
      </c>
      <c r="G895" s="48">
        <v>0.0476190476190476</v>
      </c>
      <c r="H895" s="24" t="s">
        <v>6765</v>
      </c>
      <c r="I895" s="47"/>
      <c r="J895" s="24">
        <v>0.0</v>
      </c>
    </row>
    <row r="896">
      <c r="A896" s="24">
        <v>42.0</v>
      </c>
      <c r="B896" s="24">
        <v>0.0</v>
      </c>
      <c r="C896" s="47">
        <v>0.0</v>
      </c>
      <c r="D896" s="35">
        <v>45210.0</v>
      </c>
      <c r="E896" s="47"/>
      <c r="F896" s="47">
        <v>0.0</v>
      </c>
      <c r="G896" s="48">
        <v>0.0</v>
      </c>
      <c r="H896" s="24" t="s">
        <v>6765</v>
      </c>
      <c r="I896" s="47"/>
      <c r="J896" s="24">
        <v>0.0</v>
      </c>
    </row>
    <row r="897">
      <c r="A897" s="24">
        <v>37.0</v>
      </c>
      <c r="B897" s="24">
        <v>3.0</v>
      </c>
      <c r="C897" s="47">
        <v>43.97</v>
      </c>
      <c r="D897" s="35">
        <v>45211.0</v>
      </c>
      <c r="E897" s="47">
        <v>14.6566666666666</v>
      </c>
      <c r="F897" s="47">
        <v>1188.37837837837</v>
      </c>
      <c r="G897" s="48">
        <v>0.081081081081081</v>
      </c>
      <c r="H897" s="24" t="s">
        <v>6765</v>
      </c>
      <c r="I897" s="47"/>
      <c r="J897" s="24">
        <v>0.0</v>
      </c>
    </row>
    <row r="898">
      <c r="A898" s="24">
        <v>15.0</v>
      </c>
      <c r="B898" s="24">
        <v>0.0</v>
      </c>
      <c r="C898" s="47">
        <v>0.0</v>
      </c>
      <c r="D898" s="35">
        <v>45212.0</v>
      </c>
      <c r="E898" s="47"/>
      <c r="F898" s="47">
        <v>0.0</v>
      </c>
      <c r="G898" s="48">
        <v>0.0</v>
      </c>
      <c r="H898" s="24" t="s">
        <v>6765</v>
      </c>
      <c r="I898" s="47"/>
      <c r="J898" s="24">
        <v>0.0</v>
      </c>
    </row>
    <row r="899">
      <c r="A899" s="24">
        <v>2.0</v>
      </c>
      <c r="B899" s="24">
        <v>0.0</v>
      </c>
      <c r="C899" s="47">
        <v>0.0</v>
      </c>
      <c r="D899" s="35">
        <v>45213.0</v>
      </c>
      <c r="E899" s="47"/>
      <c r="F899" s="47">
        <v>0.0</v>
      </c>
      <c r="G899" s="48">
        <v>0.0</v>
      </c>
      <c r="H899" s="24" t="s">
        <v>6765</v>
      </c>
      <c r="I899" s="47"/>
      <c r="J899" s="24">
        <v>0.0</v>
      </c>
    </row>
    <row r="900">
      <c r="A900" s="24">
        <v>3.0</v>
      </c>
      <c r="B900" s="24">
        <v>0.0</v>
      </c>
      <c r="C900" s="47">
        <v>0.0</v>
      </c>
      <c r="D900" s="35">
        <v>45214.0</v>
      </c>
      <c r="E900" s="47"/>
      <c r="F900" s="47">
        <v>0.0</v>
      </c>
      <c r="G900" s="48">
        <v>0.0</v>
      </c>
      <c r="H900" s="24" t="s">
        <v>6765</v>
      </c>
      <c r="I900" s="47"/>
      <c r="J900" s="24">
        <v>0.0</v>
      </c>
    </row>
    <row r="901">
      <c r="A901" s="24">
        <v>20.0</v>
      </c>
      <c r="B901" s="24">
        <v>1.0</v>
      </c>
      <c r="C901" s="47">
        <v>14.98</v>
      </c>
      <c r="D901" s="35">
        <v>45215.0</v>
      </c>
      <c r="E901" s="47">
        <v>14.98</v>
      </c>
      <c r="F901" s="47">
        <v>749.0</v>
      </c>
      <c r="G901" s="48">
        <v>0.05</v>
      </c>
      <c r="H901" s="24" t="s">
        <v>6765</v>
      </c>
      <c r="I901" s="47"/>
      <c r="J901" s="24">
        <v>0.0</v>
      </c>
    </row>
    <row r="902">
      <c r="A902" s="24">
        <v>33.0</v>
      </c>
      <c r="B902" s="24">
        <v>3.0</v>
      </c>
      <c r="C902" s="47">
        <v>38.46</v>
      </c>
      <c r="D902" s="35">
        <v>45216.0</v>
      </c>
      <c r="E902" s="47">
        <v>12.82</v>
      </c>
      <c r="F902" s="47">
        <v>1165.45454545454</v>
      </c>
      <c r="G902" s="48">
        <v>0.0909090909090909</v>
      </c>
      <c r="H902" s="24" t="s">
        <v>6765</v>
      </c>
      <c r="I902" s="47"/>
      <c r="J902" s="24">
        <v>0.0</v>
      </c>
    </row>
    <row r="903">
      <c r="A903" s="24">
        <v>24.0</v>
      </c>
      <c r="B903" s="24">
        <v>0.0</v>
      </c>
      <c r="C903" s="47">
        <v>0.0</v>
      </c>
      <c r="D903" s="35">
        <v>45217.0</v>
      </c>
      <c r="E903" s="47"/>
      <c r="F903" s="47">
        <v>0.0</v>
      </c>
      <c r="G903" s="48">
        <v>0.0</v>
      </c>
      <c r="H903" s="24" t="s">
        <v>6765</v>
      </c>
      <c r="I903" s="47"/>
      <c r="J903" s="24">
        <v>0.0</v>
      </c>
    </row>
    <row r="904">
      <c r="A904" s="24">
        <v>27.0</v>
      </c>
      <c r="B904" s="24">
        <v>1.0</v>
      </c>
      <c r="C904" s="47">
        <v>14.17</v>
      </c>
      <c r="D904" s="35">
        <v>45218.0</v>
      </c>
      <c r="E904" s="47">
        <v>14.17</v>
      </c>
      <c r="F904" s="47">
        <v>524.814814814814</v>
      </c>
      <c r="G904" s="48">
        <v>0.037037037037037</v>
      </c>
      <c r="H904" s="24" t="s">
        <v>6765</v>
      </c>
      <c r="I904" s="47"/>
      <c r="J904" s="24">
        <v>0.0</v>
      </c>
    </row>
    <row r="905">
      <c r="A905" s="24">
        <v>20.0</v>
      </c>
      <c r="B905" s="24">
        <v>5.0</v>
      </c>
      <c r="C905" s="47">
        <v>63.49</v>
      </c>
      <c r="D905" s="35">
        <v>45219.0</v>
      </c>
      <c r="E905" s="47">
        <v>12.698</v>
      </c>
      <c r="F905" s="47">
        <v>3174.5</v>
      </c>
      <c r="G905" s="48">
        <v>0.25</v>
      </c>
      <c r="H905" s="24" t="s">
        <v>6765</v>
      </c>
      <c r="I905" s="47"/>
      <c r="J905" s="24">
        <v>0.0</v>
      </c>
    </row>
    <row r="906">
      <c r="A906" s="24">
        <v>5.0</v>
      </c>
      <c r="B906" s="24">
        <v>0.0</v>
      </c>
      <c r="C906" s="47">
        <v>0.0</v>
      </c>
      <c r="D906" s="35">
        <v>45220.0</v>
      </c>
      <c r="E906" s="47"/>
      <c r="F906" s="47">
        <v>0.0</v>
      </c>
      <c r="G906" s="48">
        <v>0.0</v>
      </c>
      <c r="H906" s="24" t="s">
        <v>6765</v>
      </c>
      <c r="I906" s="47"/>
      <c r="J906" s="24">
        <v>0.0</v>
      </c>
    </row>
    <row r="907">
      <c r="A907" s="24">
        <v>10.0</v>
      </c>
      <c r="B907" s="24">
        <v>0.0</v>
      </c>
      <c r="C907" s="47">
        <v>0.0</v>
      </c>
      <c r="D907" s="35">
        <v>45221.0</v>
      </c>
      <c r="E907" s="47"/>
      <c r="F907" s="47">
        <v>0.0</v>
      </c>
      <c r="G907" s="48">
        <v>0.0</v>
      </c>
      <c r="H907" s="24" t="s">
        <v>6765</v>
      </c>
      <c r="I907" s="47"/>
      <c r="J907" s="24">
        <v>0.0</v>
      </c>
    </row>
    <row r="908">
      <c r="A908" s="24">
        <v>25.0</v>
      </c>
      <c r="B908" s="24">
        <v>1.0</v>
      </c>
      <c r="C908" s="47">
        <v>14.81</v>
      </c>
      <c r="D908" s="35">
        <v>45222.0</v>
      </c>
      <c r="E908" s="47">
        <v>14.81</v>
      </c>
      <c r="F908" s="47">
        <v>592.4</v>
      </c>
      <c r="G908" s="48">
        <v>0.04</v>
      </c>
      <c r="H908" s="24" t="s">
        <v>6765</v>
      </c>
      <c r="I908" s="47"/>
      <c r="J908" s="24">
        <v>0.0</v>
      </c>
    </row>
    <row r="909">
      <c r="A909" s="24">
        <v>27.0</v>
      </c>
      <c r="B909" s="24">
        <v>0.0</v>
      </c>
      <c r="C909" s="47">
        <v>0.0</v>
      </c>
      <c r="D909" s="35">
        <v>45223.0</v>
      </c>
      <c r="E909" s="47"/>
      <c r="F909" s="47">
        <v>0.0</v>
      </c>
      <c r="G909" s="48">
        <v>0.0</v>
      </c>
      <c r="H909" s="24" t="s">
        <v>6765</v>
      </c>
      <c r="I909" s="47"/>
      <c r="J909" s="24">
        <v>0.0</v>
      </c>
    </row>
    <row r="910">
      <c r="A910" s="24">
        <v>32.0</v>
      </c>
      <c r="B910" s="24">
        <v>2.0</v>
      </c>
      <c r="C910" s="47">
        <v>20.97</v>
      </c>
      <c r="D910" s="35">
        <v>45224.0</v>
      </c>
      <c r="E910" s="47">
        <v>10.485</v>
      </c>
      <c r="F910" s="47">
        <v>655.3125</v>
      </c>
      <c r="G910" s="48">
        <v>0.0625</v>
      </c>
      <c r="H910" s="24" t="s">
        <v>6765</v>
      </c>
      <c r="I910" s="47"/>
      <c r="J910" s="24">
        <v>0.0</v>
      </c>
    </row>
    <row r="911">
      <c r="A911" s="24">
        <v>26.0</v>
      </c>
      <c r="B911" s="24">
        <v>0.0</v>
      </c>
      <c r="C911" s="47">
        <v>0.0</v>
      </c>
      <c r="D911" s="35">
        <v>45225.0</v>
      </c>
      <c r="E911" s="47"/>
      <c r="F911" s="47">
        <v>0.0</v>
      </c>
      <c r="G911" s="48">
        <v>0.0</v>
      </c>
      <c r="H911" s="24" t="s">
        <v>6765</v>
      </c>
      <c r="I911" s="47"/>
      <c r="J911" s="24">
        <v>0.0</v>
      </c>
    </row>
    <row r="912">
      <c r="A912" s="24">
        <v>17.0</v>
      </c>
      <c r="B912" s="24">
        <v>1.0</v>
      </c>
      <c r="C912" s="47">
        <v>13.95</v>
      </c>
      <c r="D912" s="35">
        <v>45226.0</v>
      </c>
      <c r="E912" s="47">
        <v>13.95</v>
      </c>
      <c r="F912" s="47">
        <v>820.588235294117</v>
      </c>
      <c r="G912" s="48">
        <v>0.0588235294117647</v>
      </c>
      <c r="H912" s="24" t="s">
        <v>6765</v>
      </c>
      <c r="I912" s="47"/>
      <c r="J912" s="24">
        <v>0.0</v>
      </c>
    </row>
    <row r="913">
      <c r="A913" s="24">
        <v>5.0</v>
      </c>
      <c r="B913" s="24">
        <v>0.0</v>
      </c>
      <c r="C913" s="47">
        <v>0.0</v>
      </c>
      <c r="D913" s="35">
        <v>45227.0</v>
      </c>
      <c r="E913" s="47"/>
      <c r="F913" s="47">
        <v>0.0</v>
      </c>
      <c r="G913" s="48">
        <v>0.0</v>
      </c>
      <c r="H913" s="24" t="s">
        <v>6765</v>
      </c>
      <c r="I913" s="47"/>
      <c r="J913" s="24">
        <v>0.0</v>
      </c>
    </row>
    <row r="914">
      <c r="A914" s="24">
        <v>8.0</v>
      </c>
      <c r="B914" s="24">
        <v>0.0</v>
      </c>
      <c r="C914" s="47">
        <v>0.0</v>
      </c>
      <c r="D914" s="35">
        <v>45228.0</v>
      </c>
      <c r="E914" s="47"/>
      <c r="F914" s="47">
        <v>0.0</v>
      </c>
      <c r="G914" s="48">
        <v>0.0</v>
      </c>
      <c r="H914" s="24" t="s">
        <v>6765</v>
      </c>
      <c r="I914" s="47"/>
      <c r="J914" s="24">
        <v>0.0</v>
      </c>
    </row>
    <row r="915">
      <c r="A915" s="24">
        <v>19.0</v>
      </c>
      <c r="B915" s="24">
        <v>0.0</v>
      </c>
      <c r="C915" s="47">
        <v>0.0</v>
      </c>
      <c r="D915" s="35">
        <v>45229.0</v>
      </c>
      <c r="E915" s="47"/>
      <c r="F915" s="47">
        <v>0.0</v>
      </c>
      <c r="G915" s="48">
        <v>0.0</v>
      </c>
      <c r="H915" s="24" t="s">
        <v>6765</v>
      </c>
      <c r="I915" s="47"/>
      <c r="J915" s="24">
        <v>0.0</v>
      </c>
    </row>
    <row r="916">
      <c r="A916" s="24">
        <v>39.0</v>
      </c>
      <c r="B916" s="24">
        <v>0.0</v>
      </c>
      <c r="C916" s="47">
        <v>0.0</v>
      </c>
      <c r="D916" s="35">
        <v>45230.0</v>
      </c>
      <c r="E916" s="47"/>
      <c r="F916" s="47">
        <v>0.0</v>
      </c>
      <c r="G916" s="48">
        <v>0.0</v>
      </c>
      <c r="H916" s="24" t="s">
        <v>6765</v>
      </c>
      <c r="I916" s="47"/>
      <c r="J916" s="24">
        <v>0.0</v>
      </c>
    </row>
    <row r="917">
      <c r="A917" s="24">
        <v>32.0</v>
      </c>
      <c r="B917" s="24">
        <v>3.0</v>
      </c>
      <c r="C917" s="47">
        <v>44.11</v>
      </c>
      <c r="D917" s="35">
        <v>45231.0</v>
      </c>
      <c r="E917" s="47">
        <v>14.7033333333333</v>
      </c>
      <c r="F917" s="47">
        <v>1378.4375</v>
      </c>
      <c r="G917" s="48">
        <v>0.09375</v>
      </c>
      <c r="H917" s="24" t="s">
        <v>6765</v>
      </c>
      <c r="I917" s="47"/>
      <c r="J917" s="24">
        <v>0.0</v>
      </c>
    </row>
    <row r="918">
      <c r="A918" s="24">
        <v>26.0</v>
      </c>
      <c r="B918" s="24">
        <v>2.0</v>
      </c>
      <c r="C918" s="47">
        <v>21.78</v>
      </c>
      <c r="D918" s="35">
        <v>45232.0</v>
      </c>
      <c r="E918" s="47">
        <v>10.89</v>
      </c>
      <c r="F918" s="47">
        <v>837.692307692307</v>
      </c>
      <c r="G918" s="48">
        <v>0.0769230769230769</v>
      </c>
      <c r="H918" s="24" t="s">
        <v>6765</v>
      </c>
      <c r="I918" s="47"/>
      <c r="J918" s="24">
        <v>0.0</v>
      </c>
    </row>
    <row r="919">
      <c r="A919" s="24">
        <v>22.0</v>
      </c>
      <c r="B919" s="24">
        <v>0.0</v>
      </c>
      <c r="C919" s="47">
        <v>0.0</v>
      </c>
      <c r="D919" s="35">
        <v>45233.0</v>
      </c>
      <c r="E919" s="47"/>
      <c r="F919" s="47">
        <v>0.0</v>
      </c>
      <c r="G919" s="48">
        <v>0.0</v>
      </c>
      <c r="H919" s="24" t="s">
        <v>6765</v>
      </c>
      <c r="I919" s="47"/>
      <c r="J919" s="24">
        <v>0.0</v>
      </c>
    </row>
    <row r="920">
      <c r="A920" s="24">
        <v>2.0</v>
      </c>
      <c r="B920" s="24">
        <v>0.0</v>
      </c>
      <c r="C920" s="47">
        <v>0.0</v>
      </c>
      <c r="D920" s="35">
        <v>45234.0</v>
      </c>
      <c r="E920" s="47"/>
      <c r="F920" s="47">
        <v>0.0</v>
      </c>
      <c r="G920" s="48">
        <v>0.0</v>
      </c>
      <c r="H920" s="24" t="s">
        <v>6765</v>
      </c>
      <c r="I920" s="47"/>
      <c r="J920" s="24">
        <v>0.0</v>
      </c>
    </row>
    <row r="921">
      <c r="A921" s="24">
        <v>7.0</v>
      </c>
      <c r="B921" s="24">
        <v>0.0</v>
      </c>
      <c r="C921" s="47">
        <v>0.0</v>
      </c>
      <c r="D921" s="35">
        <v>45235.0</v>
      </c>
      <c r="E921" s="47"/>
      <c r="F921" s="47">
        <v>0.0</v>
      </c>
      <c r="G921" s="48">
        <v>0.0</v>
      </c>
      <c r="H921" s="24" t="s">
        <v>6765</v>
      </c>
      <c r="I921" s="47"/>
      <c r="J921" s="24">
        <v>0.0</v>
      </c>
    </row>
    <row r="922">
      <c r="A922" s="24">
        <v>31.0</v>
      </c>
      <c r="B922" s="24">
        <v>0.0</v>
      </c>
      <c r="C922" s="47">
        <v>0.0</v>
      </c>
      <c r="D922" s="35">
        <v>45236.0</v>
      </c>
      <c r="E922" s="47"/>
      <c r="F922" s="47">
        <v>0.0</v>
      </c>
      <c r="G922" s="48">
        <v>0.0</v>
      </c>
      <c r="H922" s="24" t="s">
        <v>6765</v>
      </c>
      <c r="I922" s="47"/>
      <c r="J922" s="24">
        <v>0.0</v>
      </c>
    </row>
    <row r="923">
      <c r="A923" s="24">
        <v>36.0</v>
      </c>
      <c r="B923" s="24">
        <v>2.0</v>
      </c>
      <c r="C923" s="47">
        <v>19.77</v>
      </c>
      <c r="D923" s="35">
        <v>45237.0</v>
      </c>
      <c r="E923" s="47">
        <v>9.885</v>
      </c>
      <c r="F923" s="47">
        <v>549.166666666666</v>
      </c>
      <c r="G923" s="48">
        <v>0.0555555555555555</v>
      </c>
      <c r="H923" s="24" t="s">
        <v>6765</v>
      </c>
      <c r="I923" s="47">
        <v>19.77</v>
      </c>
      <c r="J923" s="24">
        <v>1.0</v>
      </c>
    </row>
    <row r="924">
      <c r="A924" s="24">
        <v>29.0</v>
      </c>
      <c r="B924" s="24">
        <v>0.0</v>
      </c>
      <c r="C924" s="47">
        <v>0.0</v>
      </c>
      <c r="D924" s="35">
        <v>45238.0</v>
      </c>
      <c r="E924" s="47"/>
      <c r="F924" s="47">
        <v>0.0</v>
      </c>
      <c r="G924" s="48">
        <v>0.0</v>
      </c>
      <c r="H924" s="24" t="s">
        <v>6765</v>
      </c>
      <c r="I924" s="47"/>
      <c r="J924" s="24">
        <v>0.0</v>
      </c>
    </row>
    <row r="925">
      <c r="A925" s="24">
        <v>39.0</v>
      </c>
      <c r="B925" s="24">
        <v>1.0</v>
      </c>
      <c r="C925" s="47">
        <v>14.93</v>
      </c>
      <c r="D925" s="35">
        <v>45239.0</v>
      </c>
      <c r="E925" s="47">
        <v>14.93</v>
      </c>
      <c r="F925" s="47">
        <v>382.820512820512</v>
      </c>
      <c r="G925" s="48">
        <v>0.0256410256410256</v>
      </c>
      <c r="H925" s="24" t="s">
        <v>6765</v>
      </c>
      <c r="I925" s="47"/>
      <c r="J925" s="24">
        <v>0.0</v>
      </c>
    </row>
    <row r="926">
      <c r="A926" s="24">
        <v>25.0</v>
      </c>
      <c r="B926" s="24">
        <v>0.0</v>
      </c>
      <c r="C926" s="47">
        <v>0.0</v>
      </c>
      <c r="D926" s="35">
        <v>45240.0</v>
      </c>
      <c r="E926" s="47"/>
      <c r="F926" s="47">
        <v>0.0</v>
      </c>
      <c r="G926" s="48">
        <v>0.0</v>
      </c>
      <c r="H926" s="24" t="s">
        <v>6765</v>
      </c>
      <c r="I926" s="47"/>
      <c r="J926" s="24">
        <v>0.0</v>
      </c>
    </row>
    <row r="927">
      <c r="A927" s="24">
        <v>7.0</v>
      </c>
      <c r="B927" s="24">
        <v>0.0</v>
      </c>
      <c r="C927" s="47">
        <v>0.0</v>
      </c>
      <c r="D927" s="35">
        <v>45242.0</v>
      </c>
      <c r="E927" s="47"/>
      <c r="F927" s="47">
        <v>0.0</v>
      </c>
      <c r="G927" s="48">
        <v>0.0</v>
      </c>
      <c r="H927" s="24" t="s">
        <v>6765</v>
      </c>
      <c r="I927" s="47"/>
      <c r="J927" s="24">
        <v>0.0</v>
      </c>
    </row>
    <row r="928">
      <c r="A928" s="24">
        <v>19.0</v>
      </c>
      <c r="B928" s="24">
        <v>1.0</v>
      </c>
      <c r="C928" s="47">
        <v>9.24</v>
      </c>
      <c r="D928" s="35">
        <v>45243.0</v>
      </c>
      <c r="E928" s="47">
        <v>9.24</v>
      </c>
      <c r="F928" s="47">
        <v>486.315789473684</v>
      </c>
      <c r="G928" s="48">
        <v>0.0526315789473684</v>
      </c>
      <c r="H928" s="24" t="s">
        <v>6765</v>
      </c>
      <c r="I928" s="47"/>
      <c r="J928" s="24">
        <v>0.0</v>
      </c>
    </row>
    <row r="929">
      <c r="A929" s="24">
        <v>34.0</v>
      </c>
      <c r="B929" s="24">
        <v>3.0</v>
      </c>
      <c r="C929" s="47">
        <v>35.52</v>
      </c>
      <c r="D929" s="35">
        <v>45244.0</v>
      </c>
      <c r="E929" s="47">
        <v>11.84</v>
      </c>
      <c r="F929" s="47">
        <v>1044.70588235294</v>
      </c>
      <c r="G929" s="48">
        <v>0.088235294117647</v>
      </c>
      <c r="H929" s="24" t="s">
        <v>6765</v>
      </c>
      <c r="I929" s="47"/>
      <c r="J929" s="24">
        <v>0.0</v>
      </c>
    </row>
    <row r="930">
      <c r="A930" s="24">
        <v>27.0</v>
      </c>
      <c r="B930" s="24">
        <v>1.0</v>
      </c>
      <c r="C930" s="47">
        <v>14.56</v>
      </c>
      <c r="D930" s="35">
        <v>45245.0</v>
      </c>
      <c r="E930" s="47">
        <v>14.56</v>
      </c>
      <c r="F930" s="47">
        <v>539.259259259259</v>
      </c>
      <c r="G930" s="48">
        <v>0.037037037037037</v>
      </c>
      <c r="H930" s="24" t="s">
        <v>6765</v>
      </c>
      <c r="I930" s="47"/>
      <c r="J930" s="24">
        <v>0.0</v>
      </c>
    </row>
    <row r="931">
      <c r="A931" s="24">
        <v>26.0</v>
      </c>
      <c r="B931" s="24">
        <v>2.0</v>
      </c>
      <c r="C931" s="47">
        <v>28.78</v>
      </c>
      <c r="D931" s="35">
        <v>45246.0</v>
      </c>
      <c r="E931" s="47">
        <v>14.39</v>
      </c>
      <c r="F931" s="47">
        <v>1106.92307692307</v>
      </c>
      <c r="G931" s="48">
        <v>0.0769230769230769</v>
      </c>
      <c r="H931" s="24" t="s">
        <v>6765</v>
      </c>
      <c r="I931" s="47"/>
      <c r="J931" s="24">
        <v>0.0</v>
      </c>
    </row>
    <row r="932">
      <c r="A932" s="24">
        <v>22.0</v>
      </c>
      <c r="B932" s="24">
        <v>1.0</v>
      </c>
      <c r="C932" s="47">
        <v>14.98</v>
      </c>
      <c r="D932" s="35">
        <v>45247.0</v>
      </c>
      <c r="E932" s="47">
        <v>14.98</v>
      </c>
      <c r="F932" s="47">
        <v>680.909090909091</v>
      </c>
      <c r="G932" s="48">
        <v>0.0454545454545454</v>
      </c>
      <c r="H932" s="24" t="s">
        <v>6765</v>
      </c>
      <c r="I932" s="47"/>
      <c r="J932" s="24">
        <v>0.0</v>
      </c>
    </row>
    <row r="933">
      <c r="A933" s="24">
        <v>1.0</v>
      </c>
      <c r="B933" s="24">
        <v>0.0</v>
      </c>
      <c r="C933" s="47">
        <v>0.0</v>
      </c>
      <c r="D933" s="35">
        <v>45248.0</v>
      </c>
      <c r="E933" s="47"/>
      <c r="F933" s="47">
        <v>0.0</v>
      </c>
      <c r="G933" s="48">
        <v>0.0</v>
      </c>
      <c r="H933" s="24" t="s">
        <v>6765</v>
      </c>
      <c r="I933" s="47"/>
      <c r="J933" s="24">
        <v>0.0</v>
      </c>
    </row>
    <row r="934">
      <c r="A934" s="24">
        <v>20.0</v>
      </c>
      <c r="B934" s="24">
        <v>0.0</v>
      </c>
      <c r="C934" s="47">
        <v>0.0</v>
      </c>
      <c r="D934" s="35">
        <v>45250.0</v>
      </c>
      <c r="E934" s="47"/>
      <c r="F934" s="47">
        <v>0.0</v>
      </c>
      <c r="G934" s="48">
        <v>0.0</v>
      </c>
      <c r="H934" s="24" t="s">
        <v>6765</v>
      </c>
      <c r="I934" s="47"/>
      <c r="J934" s="24">
        <v>0.0</v>
      </c>
    </row>
    <row r="935">
      <c r="A935" s="24">
        <v>17.0</v>
      </c>
      <c r="B935" s="24">
        <v>3.0</v>
      </c>
      <c r="C935" s="47">
        <v>42.13</v>
      </c>
      <c r="D935" s="35">
        <v>45251.0</v>
      </c>
      <c r="E935" s="47">
        <v>14.0433333333333</v>
      </c>
      <c r="F935" s="47">
        <v>2478.23529411764</v>
      </c>
      <c r="G935" s="48">
        <v>0.176470588235294</v>
      </c>
      <c r="H935" s="24" t="s">
        <v>6765</v>
      </c>
      <c r="I935" s="47"/>
      <c r="J935" s="24">
        <v>0.0</v>
      </c>
    </row>
    <row r="936">
      <c r="A936" s="24">
        <v>21.0</v>
      </c>
      <c r="B936" s="24">
        <v>0.0</v>
      </c>
      <c r="C936" s="47">
        <v>0.0</v>
      </c>
      <c r="D936" s="35">
        <v>45252.0</v>
      </c>
      <c r="E936" s="47"/>
      <c r="F936" s="47">
        <v>0.0</v>
      </c>
      <c r="G936" s="48">
        <v>0.0</v>
      </c>
      <c r="H936" s="24" t="s">
        <v>6765</v>
      </c>
      <c r="I936" s="47"/>
      <c r="J936" s="24">
        <v>0.0</v>
      </c>
    </row>
    <row r="937">
      <c r="A937" s="24">
        <v>7.0</v>
      </c>
      <c r="B937" s="24">
        <v>0.0</v>
      </c>
      <c r="C937" s="47">
        <v>0.0</v>
      </c>
      <c r="D937" s="35">
        <v>45253.0</v>
      </c>
      <c r="E937" s="47"/>
      <c r="F937" s="47">
        <v>0.0</v>
      </c>
      <c r="G937" s="48">
        <v>0.0</v>
      </c>
      <c r="H937" s="24" t="s">
        <v>6765</v>
      </c>
      <c r="I937" s="47"/>
      <c r="J937" s="24">
        <v>0.0</v>
      </c>
    </row>
    <row r="938">
      <c r="A938" s="24">
        <v>6.0</v>
      </c>
      <c r="B938" s="24">
        <v>2.0</v>
      </c>
      <c r="C938" s="47">
        <v>28.59</v>
      </c>
      <c r="D938" s="35">
        <v>45254.0</v>
      </c>
      <c r="E938" s="47">
        <v>14.295</v>
      </c>
      <c r="F938" s="47">
        <v>4765.0</v>
      </c>
      <c r="G938" s="48">
        <v>0.333333333333333</v>
      </c>
      <c r="H938" s="24" t="s">
        <v>6765</v>
      </c>
      <c r="I938" s="47"/>
      <c r="J938" s="24">
        <v>0.0</v>
      </c>
    </row>
    <row r="939">
      <c r="A939" s="24">
        <v>6.0</v>
      </c>
      <c r="B939" s="24">
        <v>0.0</v>
      </c>
      <c r="C939" s="47">
        <v>0.0</v>
      </c>
      <c r="D939" s="35">
        <v>45255.0</v>
      </c>
      <c r="E939" s="47"/>
      <c r="F939" s="47">
        <v>0.0</v>
      </c>
      <c r="G939" s="48">
        <v>0.0</v>
      </c>
      <c r="H939" s="24" t="s">
        <v>6765</v>
      </c>
      <c r="I939" s="47"/>
      <c r="J939" s="24">
        <v>0.0</v>
      </c>
    </row>
    <row r="940">
      <c r="A940" s="24">
        <v>3.0</v>
      </c>
      <c r="B940" s="24">
        <v>0.0</v>
      </c>
      <c r="C940" s="47">
        <v>0.0</v>
      </c>
      <c r="D940" s="35">
        <v>45256.0</v>
      </c>
      <c r="E940" s="47"/>
      <c r="F940" s="47">
        <v>0.0</v>
      </c>
      <c r="G940" s="48">
        <v>0.0</v>
      </c>
      <c r="H940" s="24" t="s">
        <v>6765</v>
      </c>
      <c r="I940" s="47"/>
      <c r="J940" s="24">
        <v>0.0</v>
      </c>
    </row>
    <row r="941">
      <c r="A941" s="24">
        <v>28.0</v>
      </c>
      <c r="B941" s="24">
        <v>1.0</v>
      </c>
      <c r="C941" s="47">
        <v>6.22</v>
      </c>
      <c r="D941" s="35">
        <v>45257.0</v>
      </c>
      <c r="E941" s="47">
        <v>6.22</v>
      </c>
      <c r="F941" s="47">
        <v>222.142857142857</v>
      </c>
      <c r="G941" s="48">
        <v>0.0357142857142857</v>
      </c>
      <c r="H941" s="24" t="s">
        <v>6765</v>
      </c>
      <c r="I941" s="47"/>
      <c r="J941" s="24">
        <v>0.0</v>
      </c>
    </row>
    <row r="942">
      <c r="A942" s="24">
        <v>21.0</v>
      </c>
      <c r="B942" s="24">
        <v>0.0</v>
      </c>
      <c r="C942" s="47">
        <v>0.0</v>
      </c>
      <c r="D942" s="35">
        <v>45258.0</v>
      </c>
      <c r="E942" s="47"/>
      <c r="F942" s="47">
        <v>0.0</v>
      </c>
      <c r="G942" s="48">
        <v>0.0</v>
      </c>
      <c r="H942" s="24" t="s">
        <v>6765</v>
      </c>
      <c r="I942" s="47"/>
      <c r="J942" s="24">
        <v>0.0</v>
      </c>
    </row>
    <row r="943">
      <c r="A943" s="24">
        <v>37.0</v>
      </c>
      <c r="B943" s="24">
        <v>1.0</v>
      </c>
      <c r="C943" s="47">
        <v>14.12</v>
      </c>
      <c r="D943" s="35">
        <v>45259.0</v>
      </c>
      <c r="E943" s="47">
        <v>14.12</v>
      </c>
      <c r="F943" s="47">
        <v>381.621621621621</v>
      </c>
      <c r="G943" s="48">
        <v>0.027027027027027</v>
      </c>
      <c r="H943" s="24" t="s">
        <v>6765</v>
      </c>
      <c r="I943" s="47"/>
      <c r="J943" s="24">
        <v>0.0</v>
      </c>
    </row>
    <row r="944">
      <c r="A944" s="24">
        <v>27.0</v>
      </c>
      <c r="B944" s="24">
        <v>0.0</v>
      </c>
      <c r="C944" s="47">
        <v>0.0</v>
      </c>
      <c r="D944" s="35">
        <v>45260.0</v>
      </c>
      <c r="E944" s="47"/>
      <c r="F944" s="47">
        <v>0.0</v>
      </c>
      <c r="G944" s="48">
        <v>0.0</v>
      </c>
      <c r="H944" s="24" t="s">
        <v>6765</v>
      </c>
      <c r="I944" s="47"/>
      <c r="J944" s="24">
        <v>0.0</v>
      </c>
    </row>
    <row r="945">
      <c r="A945" s="24">
        <v>18.0</v>
      </c>
      <c r="B945" s="24">
        <v>1.0</v>
      </c>
      <c r="C945" s="47">
        <v>14.21</v>
      </c>
      <c r="D945" s="35">
        <v>45261.0</v>
      </c>
      <c r="E945" s="47">
        <v>14.21</v>
      </c>
      <c r="F945" s="47">
        <v>789.444444444444</v>
      </c>
      <c r="G945" s="48">
        <v>0.0555555555555555</v>
      </c>
      <c r="H945" s="24" t="s">
        <v>6765</v>
      </c>
      <c r="I945" s="47"/>
      <c r="J945" s="24">
        <v>0.0</v>
      </c>
    </row>
    <row r="946">
      <c r="A946" s="24">
        <v>5.0</v>
      </c>
      <c r="B946" s="24">
        <v>1.0</v>
      </c>
      <c r="C946" s="47">
        <v>14.97</v>
      </c>
      <c r="D946" s="35">
        <v>45262.0</v>
      </c>
      <c r="E946" s="47">
        <v>14.97</v>
      </c>
      <c r="F946" s="47">
        <v>2994.0</v>
      </c>
      <c r="G946" s="48">
        <v>0.2</v>
      </c>
      <c r="H946" s="24" t="s">
        <v>6765</v>
      </c>
      <c r="I946" s="47"/>
      <c r="J946" s="24">
        <v>0.0</v>
      </c>
    </row>
    <row r="947">
      <c r="A947" s="24">
        <v>6.0</v>
      </c>
      <c r="B947" s="24">
        <v>1.0</v>
      </c>
      <c r="C947" s="47">
        <v>14.94</v>
      </c>
      <c r="D947" s="35">
        <v>45263.0</v>
      </c>
      <c r="E947" s="47">
        <v>14.94</v>
      </c>
      <c r="F947" s="47">
        <v>2490.0</v>
      </c>
      <c r="G947" s="48">
        <v>0.166666666666666</v>
      </c>
      <c r="H947" s="24" t="s">
        <v>6765</v>
      </c>
      <c r="I947" s="47"/>
      <c r="J947" s="24">
        <v>0.0</v>
      </c>
    </row>
    <row r="948">
      <c r="A948" s="24">
        <v>18.0</v>
      </c>
      <c r="B948" s="24">
        <v>0.0</v>
      </c>
      <c r="C948" s="47">
        <v>0.0</v>
      </c>
      <c r="D948" s="35">
        <v>45264.0</v>
      </c>
      <c r="E948" s="47"/>
      <c r="F948" s="47">
        <v>0.0</v>
      </c>
      <c r="G948" s="48">
        <v>0.0</v>
      </c>
      <c r="H948" s="24" t="s">
        <v>6765</v>
      </c>
      <c r="I948" s="47"/>
      <c r="J948" s="24">
        <v>0.0</v>
      </c>
    </row>
    <row r="949">
      <c r="A949" s="24">
        <v>14.0</v>
      </c>
      <c r="B949" s="24">
        <v>1.0</v>
      </c>
      <c r="C949" s="47">
        <v>14.24</v>
      </c>
      <c r="D949" s="35">
        <v>45265.0</v>
      </c>
      <c r="E949" s="47">
        <v>14.24</v>
      </c>
      <c r="F949" s="47">
        <v>1017.14285714285</v>
      </c>
      <c r="G949" s="48">
        <v>0.0714285714285714</v>
      </c>
      <c r="H949" s="24" t="s">
        <v>6765</v>
      </c>
      <c r="I949" s="47"/>
      <c r="J949" s="24">
        <v>0.0</v>
      </c>
    </row>
    <row r="950">
      <c r="A950" s="24">
        <v>19.0</v>
      </c>
      <c r="B950" s="24">
        <v>1.0</v>
      </c>
      <c r="C950" s="47">
        <v>9.41</v>
      </c>
      <c r="D950" s="35">
        <v>45266.0</v>
      </c>
      <c r="E950" s="47">
        <v>9.41</v>
      </c>
      <c r="F950" s="47">
        <v>495.263157894736</v>
      </c>
      <c r="G950" s="48">
        <v>0.0526315789473684</v>
      </c>
      <c r="H950" s="24" t="s">
        <v>6765</v>
      </c>
      <c r="I950" s="47"/>
      <c r="J950" s="24">
        <v>0.0</v>
      </c>
    </row>
    <row r="951">
      <c r="A951" s="24">
        <v>18.0</v>
      </c>
      <c r="B951" s="24">
        <v>1.0</v>
      </c>
      <c r="C951" s="47">
        <v>14.93</v>
      </c>
      <c r="D951" s="35">
        <v>45267.0</v>
      </c>
      <c r="E951" s="47">
        <v>14.93</v>
      </c>
      <c r="F951" s="47">
        <v>829.444444444444</v>
      </c>
      <c r="G951" s="48">
        <v>0.0555555555555555</v>
      </c>
      <c r="H951" s="24" t="s">
        <v>6765</v>
      </c>
      <c r="I951" s="47"/>
      <c r="J951" s="24">
        <v>0.0</v>
      </c>
    </row>
    <row r="952">
      <c r="A952" s="24">
        <v>14.0</v>
      </c>
      <c r="B952" s="24">
        <v>2.0</v>
      </c>
      <c r="C952" s="47">
        <v>27.74</v>
      </c>
      <c r="D952" s="35">
        <v>45268.0</v>
      </c>
      <c r="E952" s="47">
        <v>13.87</v>
      </c>
      <c r="F952" s="47">
        <v>1981.42857142857</v>
      </c>
      <c r="G952" s="48">
        <v>0.142857142857142</v>
      </c>
      <c r="H952" s="24" t="s">
        <v>6765</v>
      </c>
      <c r="I952" s="47"/>
      <c r="J952" s="24">
        <v>0.0</v>
      </c>
    </row>
    <row r="953">
      <c r="A953" s="24">
        <v>4.0</v>
      </c>
      <c r="B953" s="24">
        <v>0.0</v>
      </c>
      <c r="C953" s="47">
        <v>0.0</v>
      </c>
      <c r="D953" s="35">
        <v>45269.0</v>
      </c>
      <c r="E953" s="47"/>
      <c r="F953" s="47">
        <v>0.0</v>
      </c>
      <c r="G953" s="48">
        <v>0.0</v>
      </c>
      <c r="H953" s="24" t="s">
        <v>6765</v>
      </c>
      <c r="I953" s="47"/>
      <c r="J953" s="24">
        <v>0.0</v>
      </c>
    </row>
    <row r="954">
      <c r="A954" s="24">
        <v>3.0</v>
      </c>
      <c r="B954" s="24">
        <v>0.0</v>
      </c>
      <c r="C954" s="47">
        <v>0.0</v>
      </c>
      <c r="D954" s="35">
        <v>45270.0</v>
      </c>
      <c r="E954" s="47"/>
      <c r="F954" s="47">
        <v>0.0</v>
      </c>
      <c r="G954" s="48">
        <v>0.0</v>
      </c>
      <c r="H954" s="24" t="s">
        <v>6765</v>
      </c>
      <c r="I954" s="47"/>
      <c r="J954" s="24">
        <v>0.0</v>
      </c>
    </row>
    <row r="955">
      <c r="A955" s="24">
        <v>15.0</v>
      </c>
      <c r="B955" s="24">
        <v>0.0</v>
      </c>
      <c r="C955" s="47">
        <v>0.0</v>
      </c>
      <c r="D955" s="35">
        <v>45271.0</v>
      </c>
      <c r="E955" s="47"/>
      <c r="F955" s="47">
        <v>0.0</v>
      </c>
      <c r="G955" s="48">
        <v>0.0</v>
      </c>
      <c r="H955" s="24" t="s">
        <v>6765</v>
      </c>
      <c r="I955" s="47"/>
      <c r="J955" s="24">
        <v>0.0</v>
      </c>
    </row>
    <row r="956">
      <c r="A956" s="24">
        <v>25.0</v>
      </c>
      <c r="B956" s="24">
        <v>1.0</v>
      </c>
      <c r="C956" s="47">
        <v>14.65</v>
      </c>
      <c r="D956" s="35">
        <v>45272.0</v>
      </c>
      <c r="E956" s="47">
        <v>14.65</v>
      </c>
      <c r="F956" s="47">
        <v>586.0</v>
      </c>
      <c r="G956" s="48">
        <v>0.04</v>
      </c>
      <c r="H956" s="24" t="s">
        <v>6765</v>
      </c>
      <c r="I956" s="47"/>
      <c r="J956" s="24">
        <v>0.0</v>
      </c>
    </row>
    <row r="957">
      <c r="A957" s="24">
        <v>12.0</v>
      </c>
      <c r="B957" s="24">
        <v>0.0</v>
      </c>
      <c r="C957" s="47">
        <v>0.0</v>
      </c>
      <c r="D957" s="35">
        <v>45273.0</v>
      </c>
      <c r="E957" s="47"/>
      <c r="F957" s="47">
        <v>0.0</v>
      </c>
      <c r="G957" s="48">
        <v>0.0</v>
      </c>
      <c r="H957" s="24" t="s">
        <v>6765</v>
      </c>
      <c r="I957" s="47"/>
      <c r="J957" s="24">
        <v>0.0</v>
      </c>
    </row>
    <row r="958">
      <c r="A958" s="24">
        <v>17.0</v>
      </c>
      <c r="B958" s="24">
        <v>1.0</v>
      </c>
      <c r="C958" s="47">
        <v>14.93</v>
      </c>
      <c r="D958" s="35">
        <v>45274.0</v>
      </c>
      <c r="E958" s="47">
        <v>14.93</v>
      </c>
      <c r="F958" s="47">
        <v>878.235294117647</v>
      </c>
      <c r="G958" s="48">
        <v>0.0588235294117647</v>
      </c>
      <c r="H958" s="24" t="s">
        <v>6765</v>
      </c>
      <c r="I958" s="47"/>
      <c r="J958" s="24">
        <v>0.0</v>
      </c>
    </row>
    <row r="959">
      <c r="A959" s="24">
        <v>11.0</v>
      </c>
      <c r="B959" s="24">
        <v>0.0</v>
      </c>
      <c r="C959" s="47">
        <v>0.0</v>
      </c>
      <c r="D959" s="35">
        <v>45275.0</v>
      </c>
      <c r="E959" s="47"/>
      <c r="F959" s="47">
        <v>0.0</v>
      </c>
      <c r="G959" s="48">
        <v>0.0</v>
      </c>
      <c r="H959" s="24" t="s">
        <v>6765</v>
      </c>
      <c r="I959" s="47"/>
      <c r="J959" s="24">
        <v>0.0</v>
      </c>
    </row>
    <row r="960">
      <c r="A960" s="24">
        <v>2.0</v>
      </c>
      <c r="B960" s="24">
        <v>0.0</v>
      </c>
      <c r="C960" s="47">
        <v>0.0</v>
      </c>
      <c r="D960" s="35">
        <v>45276.0</v>
      </c>
      <c r="E960" s="47"/>
      <c r="F960" s="47">
        <v>0.0</v>
      </c>
      <c r="G960" s="48">
        <v>0.0</v>
      </c>
      <c r="H960" s="24" t="s">
        <v>6765</v>
      </c>
      <c r="I960" s="47"/>
      <c r="J960" s="24">
        <v>0.0</v>
      </c>
    </row>
    <row r="961">
      <c r="A961" s="24">
        <v>3.0</v>
      </c>
      <c r="B961" s="24">
        <v>0.0</v>
      </c>
      <c r="C961" s="47">
        <v>0.0</v>
      </c>
      <c r="D961" s="35">
        <v>45277.0</v>
      </c>
      <c r="E961" s="47"/>
      <c r="F961" s="47">
        <v>0.0</v>
      </c>
      <c r="G961" s="48">
        <v>0.0</v>
      </c>
      <c r="H961" s="24" t="s">
        <v>6765</v>
      </c>
      <c r="I961" s="47"/>
      <c r="J961" s="24">
        <v>0.0</v>
      </c>
    </row>
    <row r="962">
      <c r="A962" s="24">
        <v>17.0</v>
      </c>
      <c r="B962" s="24">
        <v>0.0</v>
      </c>
      <c r="C962" s="47">
        <v>0.0</v>
      </c>
      <c r="D962" s="35">
        <v>45278.0</v>
      </c>
      <c r="E962" s="47"/>
      <c r="F962" s="47">
        <v>0.0</v>
      </c>
      <c r="G962" s="48">
        <v>0.0</v>
      </c>
      <c r="H962" s="24" t="s">
        <v>6765</v>
      </c>
      <c r="I962" s="47"/>
      <c r="J962" s="24">
        <v>0.0</v>
      </c>
    </row>
    <row r="963">
      <c r="A963" s="24">
        <v>15.0</v>
      </c>
      <c r="B963" s="24">
        <v>1.0</v>
      </c>
      <c r="C963" s="47">
        <v>14.94</v>
      </c>
      <c r="D963" s="35">
        <v>45279.0</v>
      </c>
      <c r="E963" s="47">
        <v>14.94</v>
      </c>
      <c r="F963" s="47">
        <v>996.0</v>
      </c>
      <c r="G963" s="48">
        <v>0.0666666666666666</v>
      </c>
      <c r="H963" s="24" t="s">
        <v>6765</v>
      </c>
      <c r="I963" s="47">
        <v>14.94</v>
      </c>
      <c r="J963" s="24">
        <v>1.0</v>
      </c>
    </row>
    <row r="964">
      <c r="A964" s="24">
        <v>12.0</v>
      </c>
      <c r="B964" s="24">
        <v>2.0</v>
      </c>
      <c r="C964" s="47">
        <v>21.54</v>
      </c>
      <c r="D964" s="35">
        <v>45280.0</v>
      </c>
      <c r="E964" s="47">
        <v>10.77</v>
      </c>
      <c r="F964" s="47">
        <v>1795.0</v>
      </c>
      <c r="G964" s="48">
        <v>0.166666666666666</v>
      </c>
      <c r="H964" s="24" t="s">
        <v>6765</v>
      </c>
      <c r="I964" s="47"/>
      <c r="J964" s="24">
        <v>0.0</v>
      </c>
    </row>
    <row r="965">
      <c r="A965" s="24">
        <v>10.0</v>
      </c>
      <c r="B965" s="24">
        <v>0.0</v>
      </c>
      <c r="C965" s="47">
        <v>0.0</v>
      </c>
      <c r="D965" s="35">
        <v>45281.0</v>
      </c>
      <c r="E965" s="47"/>
      <c r="F965" s="47">
        <v>0.0</v>
      </c>
      <c r="G965" s="48">
        <v>0.0</v>
      </c>
      <c r="H965" s="24" t="s">
        <v>6765</v>
      </c>
      <c r="I965" s="47"/>
      <c r="J965" s="24">
        <v>0.0</v>
      </c>
    </row>
    <row r="966">
      <c r="A966" s="24">
        <v>1.0</v>
      </c>
      <c r="B966" s="24">
        <v>0.0</v>
      </c>
      <c r="C966" s="47">
        <v>0.0</v>
      </c>
      <c r="D966" s="35">
        <v>45282.0</v>
      </c>
      <c r="E966" s="47"/>
      <c r="F966" s="47">
        <v>0.0</v>
      </c>
      <c r="G966" s="48">
        <v>0.0</v>
      </c>
      <c r="H966" s="24" t="s">
        <v>6765</v>
      </c>
      <c r="I966" s="47"/>
      <c r="J966" s="24">
        <v>0.0</v>
      </c>
    </row>
    <row r="967">
      <c r="A967" s="24">
        <v>2.0</v>
      </c>
      <c r="B967" s="24">
        <v>0.0</v>
      </c>
      <c r="C967" s="47">
        <v>0.0</v>
      </c>
      <c r="D967" s="35">
        <v>45283.0</v>
      </c>
      <c r="E967" s="47"/>
      <c r="F967" s="47">
        <v>0.0</v>
      </c>
      <c r="G967" s="48">
        <v>0.0</v>
      </c>
      <c r="H967" s="24" t="s">
        <v>6765</v>
      </c>
      <c r="I967" s="47"/>
      <c r="J967" s="24">
        <v>0.0</v>
      </c>
    </row>
    <row r="968">
      <c r="A968" s="24">
        <v>1.0</v>
      </c>
      <c r="B968" s="24">
        <v>0.0</v>
      </c>
      <c r="C968" s="47">
        <v>0.0</v>
      </c>
      <c r="D968" s="35">
        <v>45284.0</v>
      </c>
      <c r="E968" s="47"/>
      <c r="F968" s="47">
        <v>0.0</v>
      </c>
      <c r="G968" s="48">
        <v>0.0</v>
      </c>
      <c r="H968" s="24" t="s">
        <v>6765</v>
      </c>
      <c r="I968" s="47"/>
      <c r="J968" s="24">
        <v>0.0</v>
      </c>
    </row>
    <row r="969">
      <c r="A969" s="24">
        <v>5.0</v>
      </c>
      <c r="B969" s="24">
        <v>0.0</v>
      </c>
      <c r="C969" s="47">
        <v>0.0</v>
      </c>
      <c r="D969" s="35">
        <v>45285.0</v>
      </c>
      <c r="E969" s="47"/>
      <c r="F969" s="47">
        <v>0.0</v>
      </c>
      <c r="G969" s="48">
        <v>0.0</v>
      </c>
      <c r="H969" s="24" t="s">
        <v>6765</v>
      </c>
      <c r="I969" s="47"/>
      <c r="J969" s="24">
        <v>0.0</v>
      </c>
    </row>
    <row r="970">
      <c r="A970" s="24">
        <v>2.0</v>
      </c>
      <c r="B970" s="24">
        <v>0.0</v>
      </c>
      <c r="C970" s="47">
        <v>0.0</v>
      </c>
      <c r="D970" s="35">
        <v>45286.0</v>
      </c>
      <c r="E970" s="47"/>
      <c r="F970" s="47">
        <v>0.0</v>
      </c>
      <c r="G970" s="48">
        <v>0.0</v>
      </c>
      <c r="H970" s="24" t="s">
        <v>6765</v>
      </c>
      <c r="I970" s="47"/>
      <c r="J970" s="24">
        <v>0.0</v>
      </c>
    </row>
    <row r="971">
      <c r="A971" s="24">
        <v>7.0</v>
      </c>
      <c r="B971" s="24">
        <v>2.0</v>
      </c>
      <c r="C971" s="47">
        <v>29.59</v>
      </c>
      <c r="D971" s="35">
        <v>45287.0</v>
      </c>
      <c r="E971" s="47">
        <v>14.795</v>
      </c>
      <c r="F971" s="47">
        <v>4227.14285714285</v>
      </c>
      <c r="G971" s="48">
        <v>0.285714285714285</v>
      </c>
      <c r="H971" s="24" t="s">
        <v>6765</v>
      </c>
      <c r="I971" s="47"/>
      <c r="J971" s="24">
        <v>0.0</v>
      </c>
    </row>
    <row r="972">
      <c r="A972" s="24">
        <v>8.0</v>
      </c>
      <c r="B972" s="24">
        <v>0.0</v>
      </c>
      <c r="C972" s="47">
        <v>0.0</v>
      </c>
      <c r="D972" s="35">
        <v>45288.0</v>
      </c>
      <c r="E972" s="47"/>
      <c r="F972" s="47">
        <v>0.0</v>
      </c>
      <c r="G972" s="48">
        <v>0.0</v>
      </c>
      <c r="H972" s="24" t="s">
        <v>6765</v>
      </c>
      <c r="I972" s="47"/>
      <c r="J972" s="24">
        <v>0.0</v>
      </c>
    </row>
    <row r="973">
      <c r="A973" s="24">
        <v>2.0</v>
      </c>
      <c r="B973" s="24">
        <v>0.0</v>
      </c>
      <c r="C973" s="47">
        <v>0.0</v>
      </c>
      <c r="D973" s="35">
        <v>45289.0</v>
      </c>
      <c r="E973" s="47"/>
      <c r="F973" s="47">
        <v>0.0</v>
      </c>
      <c r="G973" s="48">
        <v>0.0</v>
      </c>
      <c r="H973" s="24" t="s">
        <v>6765</v>
      </c>
      <c r="I973" s="47"/>
      <c r="J973" s="24">
        <v>0.0</v>
      </c>
    </row>
    <row r="974">
      <c r="A974" s="24">
        <v>4.0</v>
      </c>
      <c r="B974" s="24">
        <v>0.0</v>
      </c>
      <c r="C974" s="47">
        <v>0.0</v>
      </c>
      <c r="D974" s="35">
        <v>45291.0</v>
      </c>
      <c r="E974" s="47"/>
      <c r="F974" s="47">
        <v>0.0</v>
      </c>
      <c r="G974" s="48">
        <v>0.0</v>
      </c>
      <c r="H974" s="24" t="s">
        <v>6765</v>
      </c>
      <c r="I974" s="47"/>
      <c r="J974" s="24">
        <v>0.0</v>
      </c>
    </row>
    <row r="975">
      <c r="A975" s="24">
        <v>1.0</v>
      </c>
      <c r="B975" s="24">
        <v>0.0</v>
      </c>
      <c r="C975" s="47">
        <v>0.0</v>
      </c>
      <c r="D975" s="35">
        <v>45292.0</v>
      </c>
      <c r="E975" s="47"/>
      <c r="F975" s="47">
        <v>0.0</v>
      </c>
      <c r="G975" s="48">
        <v>0.0</v>
      </c>
      <c r="H975" s="24" t="s">
        <v>6765</v>
      </c>
      <c r="I975" s="47"/>
      <c r="J975" s="24">
        <v>0.0</v>
      </c>
    </row>
    <row r="976">
      <c r="A976" s="24">
        <v>13.0</v>
      </c>
      <c r="B976" s="24">
        <v>1.0</v>
      </c>
      <c r="C976" s="47">
        <v>14.75</v>
      </c>
      <c r="D976" s="35">
        <v>45293.0</v>
      </c>
      <c r="E976" s="47">
        <v>14.75</v>
      </c>
      <c r="F976" s="47">
        <v>1134.61538461538</v>
      </c>
      <c r="G976" s="48">
        <v>0.0769230769230769</v>
      </c>
      <c r="H976" s="24" t="s">
        <v>6765</v>
      </c>
      <c r="I976" s="47"/>
      <c r="J976" s="24">
        <v>0.0</v>
      </c>
    </row>
    <row r="977">
      <c r="A977" s="24">
        <v>7.0</v>
      </c>
      <c r="B977" s="24">
        <v>0.0</v>
      </c>
      <c r="C977" s="47">
        <v>0.0</v>
      </c>
      <c r="D977" s="35">
        <v>45294.0</v>
      </c>
      <c r="E977" s="47"/>
      <c r="F977" s="47">
        <v>0.0</v>
      </c>
      <c r="G977" s="48">
        <v>0.0</v>
      </c>
      <c r="H977" s="24" t="s">
        <v>6765</v>
      </c>
      <c r="I977" s="47"/>
      <c r="J977" s="24">
        <v>0.0</v>
      </c>
    </row>
    <row r="978">
      <c r="A978" s="24">
        <v>14.0</v>
      </c>
      <c r="B978" s="24">
        <v>0.0</v>
      </c>
      <c r="C978" s="47">
        <v>0.0</v>
      </c>
      <c r="D978" s="35">
        <v>45295.0</v>
      </c>
      <c r="E978" s="47"/>
      <c r="F978" s="47">
        <v>0.0</v>
      </c>
      <c r="G978" s="48">
        <v>0.0</v>
      </c>
      <c r="H978" s="24" t="s">
        <v>6765</v>
      </c>
      <c r="I978" s="47"/>
      <c r="J978" s="24">
        <v>0.0</v>
      </c>
    </row>
    <row r="979">
      <c r="A979" s="24">
        <v>15.0</v>
      </c>
      <c r="B979" s="24">
        <v>1.0</v>
      </c>
      <c r="C979" s="47">
        <v>14.55</v>
      </c>
      <c r="D979" s="35">
        <v>45296.0</v>
      </c>
      <c r="E979" s="47">
        <v>14.55</v>
      </c>
      <c r="F979" s="47">
        <v>970.0</v>
      </c>
      <c r="G979" s="48">
        <v>0.0666666666666666</v>
      </c>
      <c r="H979" s="24" t="s">
        <v>6765</v>
      </c>
      <c r="I979" s="47"/>
      <c r="J979" s="24">
        <v>0.0</v>
      </c>
    </row>
    <row r="980">
      <c r="A980" s="24">
        <v>6.0</v>
      </c>
      <c r="B980" s="24">
        <v>0.0</v>
      </c>
      <c r="C980" s="47">
        <v>0.0</v>
      </c>
      <c r="D980" s="35">
        <v>45297.0</v>
      </c>
      <c r="E980" s="47"/>
      <c r="F980" s="47">
        <v>0.0</v>
      </c>
      <c r="G980" s="48">
        <v>0.0</v>
      </c>
      <c r="H980" s="24" t="s">
        <v>6765</v>
      </c>
      <c r="I980" s="47"/>
      <c r="J980" s="24">
        <v>0.0</v>
      </c>
    </row>
    <row r="981">
      <c r="A981" s="24">
        <v>3.0</v>
      </c>
      <c r="B981" s="24">
        <v>0.0</v>
      </c>
      <c r="C981" s="47">
        <v>0.0</v>
      </c>
      <c r="D981" s="35">
        <v>45298.0</v>
      </c>
      <c r="E981" s="47"/>
      <c r="F981" s="47">
        <v>0.0</v>
      </c>
      <c r="G981" s="48">
        <v>0.0</v>
      </c>
      <c r="H981" s="24" t="s">
        <v>6765</v>
      </c>
      <c r="I981" s="47"/>
      <c r="J981" s="24">
        <v>0.0</v>
      </c>
    </row>
    <row r="982">
      <c r="A982" s="24">
        <v>21.0</v>
      </c>
      <c r="B982" s="24">
        <v>1.0</v>
      </c>
      <c r="C982" s="47">
        <v>4.98</v>
      </c>
      <c r="D982" s="35">
        <v>45299.0</v>
      </c>
      <c r="E982" s="47">
        <v>4.98</v>
      </c>
      <c r="F982" s="47">
        <v>237.142857142857</v>
      </c>
      <c r="G982" s="48">
        <v>0.0476190476190476</v>
      </c>
      <c r="H982" s="24" t="s">
        <v>6765</v>
      </c>
      <c r="I982" s="47"/>
      <c r="J982" s="24">
        <v>0.0</v>
      </c>
    </row>
    <row r="983">
      <c r="A983" s="24">
        <v>16.0</v>
      </c>
      <c r="B983" s="24">
        <v>1.0</v>
      </c>
      <c r="C983" s="47">
        <v>9.96</v>
      </c>
      <c r="D983" s="35">
        <v>45300.0</v>
      </c>
      <c r="E983" s="47">
        <v>9.96</v>
      </c>
      <c r="F983" s="47">
        <v>622.5</v>
      </c>
      <c r="G983" s="48">
        <v>0.0625</v>
      </c>
      <c r="H983" s="24" t="s">
        <v>6765</v>
      </c>
      <c r="I983" s="47"/>
      <c r="J983" s="24">
        <v>0.0</v>
      </c>
    </row>
    <row r="984">
      <c r="A984" s="24">
        <v>30.0</v>
      </c>
      <c r="B984" s="24">
        <v>2.0</v>
      </c>
      <c r="C984" s="47">
        <v>28.71</v>
      </c>
      <c r="D984" s="35">
        <v>45301.0</v>
      </c>
      <c r="E984" s="47">
        <v>14.355</v>
      </c>
      <c r="F984" s="47">
        <v>957.0</v>
      </c>
      <c r="G984" s="48">
        <v>0.0666666666666666</v>
      </c>
      <c r="H984" s="24" t="s">
        <v>6765</v>
      </c>
      <c r="I984" s="47"/>
      <c r="J984" s="24">
        <v>0.0</v>
      </c>
    </row>
    <row r="985">
      <c r="A985" s="24">
        <v>31.0</v>
      </c>
      <c r="B985" s="24">
        <v>2.0</v>
      </c>
      <c r="C985" s="47">
        <v>22.96</v>
      </c>
      <c r="D985" s="35">
        <v>45302.0</v>
      </c>
      <c r="E985" s="47">
        <v>11.48</v>
      </c>
      <c r="F985" s="47">
        <v>740.645161290322</v>
      </c>
      <c r="G985" s="48">
        <v>0.064516129032258</v>
      </c>
      <c r="H985" s="24" t="s">
        <v>6765</v>
      </c>
      <c r="I985" s="47"/>
      <c r="J985" s="24">
        <v>0.0</v>
      </c>
    </row>
    <row r="986">
      <c r="A986" s="24">
        <v>14.0</v>
      </c>
      <c r="B986" s="24">
        <v>0.0</v>
      </c>
      <c r="C986" s="47">
        <v>0.0</v>
      </c>
      <c r="D986" s="35">
        <v>45303.0</v>
      </c>
      <c r="E986" s="47"/>
      <c r="F986" s="47">
        <v>0.0</v>
      </c>
      <c r="G986" s="48">
        <v>0.0</v>
      </c>
      <c r="H986" s="24" t="s">
        <v>6765</v>
      </c>
      <c r="I986" s="47"/>
      <c r="J986" s="24">
        <v>0.0</v>
      </c>
    </row>
    <row r="987">
      <c r="A987" s="24">
        <v>4.0</v>
      </c>
      <c r="B987" s="24">
        <v>0.0</v>
      </c>
      <c r="C987" s="47">
        <v>0.0</v>
      </c>
      <c r="D987" s="35">
        <v>45304.0</v>
      </c>
      <c r="E987" s="47"/>
      <c r="F987" s="47">
        <v>0.0</v>
      </c>
      <c r="G987" s="48">
        <v>0.0</v>
      </c>
      <c r="H987" s="24" t="s">
        <v>6765</v>
      </c>
      <c r="I987" s="47"/>
      <c r="J987" s="24">
        <v>0.0</v>
      </c>
    </row>
    <row r="988">
      <c r="A988" s="24">
        <v>9.0</v>
      </c>
      <c r="B988" s="24">
        <v>0.0</v>
      </c>
      <c r="C988" s="47">
        <v>0.0</v>
      </c>
      <c r="D988" s="35">
        <v>45305.0</v>
      </c>
      <c r="E988" s="47"/>
      <c r="F988" s="47">
        <v>0.0</v>
      </c>
      <c r="G988" s="48">
        <v>0.0</v>
      </c>
      <c r="H988" s="24" t="s">
        <v>6765</v>
      </c>
      <c r="I988" s="47"/>
      <c r="J988" s="24">
        <v>0.0</v>
      </c>
    </row>
    <row r="989">
      <c r="A989" s="24">
        <v>9.0</v>
      </c>
      <c r="B989" s="24">
        <v>0.0</v>
      </c>
      <c r="C989" s="47">
        <v>0.0</v>
      </c>
      <c r="D989" s="35">
        <v>45306.0</v>
      </c>
      <c r="E989" s="47"/>
      <c r="F989" s="47">
        <v>0.0</v>
      </c>
      <c r="G989" s="48">
        <v>0.0</v>
      </c>
      <c r="H989" s="24" t="s">
        <v>6765</v>
      </c>
      <c r="I989" s="47"/>
      <c r="J989" s="24">
        <v>0.0</v>
      </c>
    </row>
    <row r="990">
      <c r="A990" s="24">
        <v>16.0</v>
      </c>
      <c r="B990" s="24">
        <v>1.0</v>
      </c>
      <c r="C990" s="47">
        <v>13.55</v>
      </c>
      <c r="D990" s="35">
        <v>45307.0</v>
      </c>
      <c r="E990" s="47">
        <v>13.55</v>
      </c>
      <c r="F990" s="47">
        <v>846.875</v>
      </c>
      <c r="G990" s="48">
        <v>0.0625</v>
      </c>
      <c r="H990" s="24" t="s">
        <v>6765</v>
      </c>
      <c r="I990" s="47"/>
      <c r="J990" s="24">
        <v>0.0</v>
      </c>
    </row>
    <row r="991">
      <c r="A991" s="24">
        <v>18.0</v>
      </c>
      <c r="B991" s="24">
        <v>1.0</v>
      </c>
      <c r="C991" s="47">
        <v>2.95</v>
      </c>
      <c r="D991" s="35">
        <v>45308.0</v>
      </c>
      <c r="E991" s="47">
        <v>2.95</v>
      </c>
      <c r="F991" s="47">
        <v>163.888888888888</v>
      </c>
      <c r="G991" s="48">
        <v>0.0555555555555555</v>
      </c>
      <c r="H991" s="24" t="s">
        <v>6765</v>
      </c>
      <c r="I991" s="47"/>
      <c r="J991" s="24">
        <v>0.0</v>
      </c>
    </row>
    <row r="992">
      <c r="A992" s="24">
        <v>19.0</v>
      </c>
      <c r="B992" s="24">
        <v>1.0</v>
      </c>
      <c r="C992" s="47">
        <v>14.39</v>
      </c>
      <c r="D992" s="35">
        <v>45309.0</v>
      </c>
      <c r="E992" s="47">
        <v>14.39</v>
      </c>
      <c r="F992" s="47">
        <v>757.368421052631</v>
      </c>
      <c r="G992" s="48">
        <v>0.0526315789473684</v>
      </c>
      <c r="H992" s="24" t="s">
        <v>6765</v>
      </c>
      <c r="I992" s="47"/>
      <c r="J992" s="24">
        <v>0.0</v>
      </c>
    </row>
    <row r="993">
      <c r="A993" s="24">
        <v>19.0</v>
      </c>
      <c r="B993" s="24">
        <v>2.0</v>
      </c>
      <c r="C993" s="47">
        <v>27.71</v>
      </c>
      <c r="D993" s="35">
        <v>45310.0</v>
      </c>
      <c r="E993" s="47">
        <v>13.855</v>
      </c>
      <c r="F993" s="47">
        <v>1458.42105263157</v>
      </c>
      <c r="G993" s="48">
        <v>0.105263157894736</v>
      </c>
      <c r="H993" s="24" t="s">
        <v>6765</v>
      </c>
      <c r="I993" s="47"/>
      <c r="J993" s="24">
        <v>0.0</v>
      </c>
    </row>
    <row r="994">
      <c r="A994" s="24">
        <v>3.0</v>
      </c>
      <c r="B994" s="24">
        <v>1.0</v>
      </c>
      <c r="C994" s="47">
        <v>14.5</v>
      </c>
      <c r="D994" s="35">
        <v>45311.0</v>
      </c>
      <c r="E994" s="47">
        <v>14.5</v>
      </c>
      <c r="F994" s="47">
        <v>4833.33333333333</v>
      </c>
      <c r="G994" s="48">
        <v>0.333333333333333</v>
      </c>
      <c r="H994" s="24" t="s">
        <v>6765</v>
      </c>
      <c r="I994" s="47"/>
      <c r="J994" s="24">
        <v>0.0</v>
      </c>
    </row>
    <row r="995">
      <c r="A995" s="24">
        <v>2.0</v>
      </c>
      <c r="B995" s="24">
        <v>0.0</v>
      </c>
      <c r="C995" s="47">
        <v>0.0</v>
      </c>
      <c r="D995" s="35">
        <v>45312.0</v>
      </c>
      <c r="E995" s="47"/>
      <c r="F995" s="47">
        <v>0.0</v>
      </c>
      <c r="G995" s="48">
        <v>0.0</v>
      </c>
      <c r="H995" s="24" t="s">
        <v>6765</v>
      </c>
      <c r="I995" s="47"/>
      <c r="J995" s="24">
        <v>0.0</v>
      </c>
    </row>
    <row r="996">
      <c r="A996" s="24">
        <v>24.0</v>
      </c>
      <c r="B996" s="24">
        <v>1.0</v>
      </c>
      <c r="C996" s="47">
        <v>5.69</v>
      </c>
      <c r="D996" s="35">
        <v>45313.0</v>
      </c>
      <c r="E996" s="47">
        <v>5.69</v>
      </c>
      <c r="F996" s="47">
        <v>237.083333333333</v>
      </c>
      <c r="G996" s="48">
        <v>0.0416666666666666</v>
      </c>
      <c r="H996" s="24" t="s">
        <v>6765</v>
      </c>
      <c r="I996" s="47"/>
      <c r="J996" s="24">
        <v>0.0</v>
      </c>
    </row>
    <row r="997">
      <c r="A997" s="24">
        <v>19.0</v>
      </c>
      <c r="B997" s="24">
        <v>1.0</v>
      </c>
      <c r="C997" s="47">
        <v>14.51</v>
      </c>
      <c r="D997" s="35">
        <v>45314.0</v>
      </c>
      <c r="E997" s="47">
        <v>14.51</v>
      </c>
      <c r="F997" s="47">
        <v>763.684210526315</v>
      </c>
      <c r="G997" s="48">
        <v>0.0526315789473684</v>
      </c>
      <c r="H997" s="24" t="s">
        <v>6765</v>
      </c>
      <c r="I997" s="47"/>
      <c r="J997" s="24">
        <v>0.0</v>
      </c>
    </row>
    <row r="998">
      <c r="A998" s="24">
        <v>21.0</v>
      </c>
      <c r="B998" s="24">
        <v>1.0</v>
      </c>
      <c r="C998" s="47">
        <v>6.85</v>
      </c>
      <c r="D998" s="35">
        <v>45315.0</v>
      </c>
      <c r="E998" s="47">
        <v>6.85</v>
      </c>
      <c r="F998" s="47">
        <v>326.190476190476</v>
      </c>
      <c r="G998" s="48">
        <v>0.0476190476190476</v>
      </c>
      <c r="H998" s="24" t="s">
        <v>6765</v>
      </c>
      <c r="I998" s="47"/>
      <c r="J998" s="24">
        <v>0.0</v>
      </c>
    </row>
    <row r="999">
      <c r="A999" s="24">
        <v>18.0</v>
      </c>
      <c r="B999" s="24">
        <v>4.0</v>
      </c>
      <c r="C999" s="47">
        <v>38.43</v>
      </c>
      <c r="D999" s="35">
        <v>45316.0</v>
      </c>
      <c r="E999" s="47">
        <v>9.6075</v>
      </c>
      <c r="F999" s="47">
        <v>2135.0</v>
      </c>
      <c r="G999" s="48">
        <v>0.222222222222222</v>
      </c>
      <c r="H999" s="24" t="s">
        <v>6765</v>
      </c>
      <c r="I999" s="47"/>
      <c r="J999" s="24">
        <v>0.0</v>
      </c>
    </row>
    <row r="1000">
      <c r="A1000" s="24">
        <v>13.0</v>
      </c>
      <c r="B1000" s="24">
        <v>0.0</v>
      </c>
      <c r="C1000" s="47">
        <v>0.0</v>
      </c>
      <c r="D1000" s="35">
        <v>45317.0</v>
      </c>
      <c r="E1000" s="47"/>
      <c r="F1000" s="47">
        <v>0.0</v>
      </c>
      <c r="G1000" s="48">
        <v>0.0</v>
      </c>
      <c r="H1000" s="24" t="s">
        <v>6765</v>
      </c>
      <c r="I1000" s="47"/>
      <c r="J1000" s="24">
        <v>0.0</v>
      </c>
    </row>
    <row r="1001">
      <c r="A1001" s="24">
        <v>1.0</v>
      </c>
      <c r="B1001" s="24">
        <v>0.0</v>
      </c>
      <c r="C1001" s="47">
        <v>0.0</v>
      </c>
      <c r="D1001" s="35">
        <v>45319.0</v>
      </c>
      <c r="E1001" s="47"/>
      <c r="F1001" s="47">
        <v>0.0</v>
      </c>
      <c r="G1001" s="48">
        <v>0.0</v>
      </c>
      <c r="H1001" s="24" t="s">
        <v>6765</v>
      </c>
      <c r="I1001" s="47"/>
      <c r="J1001" s="24">
        <v>0.0</v>
      </c>
    </row>
    <row r="1002">
      <c r="A1002" s="24">
        <v>24.0</v>
      </c>
      <c r="B1002" s="24">
        <v>1.0</v>
      </c>
      <c r="C1002" s="47">
        <v>14.42</v>
      </c>
      <c r="D1002" s="35">
        <v>45320.0</v>
      </c>
      <c r="E1002" s="47">
        <v>14.42</v>
      </c>
      <c r="F1002" s="47">
        <v>600.833333333333</v>
      </c>
      <c r="G1002" s="48">
        <v>0.0416666666666666</v>
      </c>
      <c r="H1002" s="24" t="s">
        <v>6765</v>
      </c>
      <c r="I1002" s="47"/>
      <c r="J1002" s="24">
        <v>0.0</v>
      </c>
    </row>
    <row r="1003">
      <c r="A1003" s="24">
        <v>17.0</v>
      </c>
      <c r="B1003" s="24">
        <v>0.0</v>
      </c>
      <c r="C1003" s="47">
        <v>0.0</v>
      </c>
      <c r="D1003" s="35">
        <v>45321.0</v>
      </c>
      <c r="E1003" s="47"/>
      <c r="F1003" s="47">
        <v>0.0</v>
      </c>
      <c r="G1003" s="48">
        <v>0.0</v>
      </c>
      <c r="H1003" s="24" t="s">
        <v>6765</v>
      </c>
      <c r="I1003" s="47"/>
      <c r="J1003" s="24">
        <v>0.0</v>
      </c>
    </row>
    <row r="1004">
      <c r="A1004" s="24">
        <v>33.0</v>
      </c>
      <c r="B1004" s="24">
        <v>0.0</v>
      </c>
      <c r="C1004" s="47">
        <v>0.0</v>
      </c>
      <c r="D1004" s="35">
        <v>45322.0</v>
      </c>
      <c r="E1004" s="47"/>
      <c r="F1004" s="47">
        <v>0.0</v>
      </c>
      <c r="G1004" s="48">
        <v>0.0</v>
      </c>
      <c r="H1004" s="24" t="s">
        <v>6765</v>
      </c>
      <c r="I1004" s="47"/>
      <c r="J1004" s="24">
        <v>0.0</v>
      </c>
    </row>
    <row r="1005">
      <c r="A1005" s="24">
        <v>24.0</v>
      </c>
      <c r="B1005" s="24">
        <v>2.0</v>
      </c>
      <c r="C1005" s="47">
        <v>24.38</v>
      </c>
      <c r="D1005" s="35">
        <v>45323.0</v>
      </c>
      <c r="E1005" s="47">
        <v>12.19</v>
      </c>
      <c r="F1005" s="47">
        <v>1015.83333333333</v>
      </c>
      <c r="G1005" s="48">
        <v>0.0833333333333333</v>
      </c>
      <c r="H1005" s="24" t="s">
        <v>6765</v>
      </c>
      <c r="I1005" s="47"/>
      <c r="J1005" s="24">
        <v>0.0</v>
      </c>
    </row>
    <row r="1006">
      <c r="A1006" s="24">
        <v>15.0</v>
      </c>
      <c r="B1006" s="24">
        <v>2.0</v>
      </c>
      <c r="C1006" s="47">
        <v>28.81</v>
      </c>
      <c r="D1006" s="35">
        <v>45324.0</v>
      </c>
      <c r="E1006" s="47">
        <v>14.405</v>
      </c>
      <c r="F1006" s="47">
        <v>1920.66666666666</v>
      </c>
      <c r="G1006" s="48">
        <v>0.133333333333333</v>
      </c>
      <c r="H1006" s="24" t="s">
        <v>6765</v>
      </c>
      <c r="I1006" s="47"/>
      <c r="J1006" s="24">
        <v>0.0</v>
      </c>
    </row>
    <row r="1007">
      <c r="A1007" s="24">
        <v>3.0</v>
      </c>
      <c r="B1007" s="24">
        <v>0.0</v>
      </c>
      <c r="C1007" s="47">
        <v>0.0</v>
      </c>
      <c r="D1007" s="35">
        <v>45325.0</v>
      </c>
      <c r="E1007" s="47"/>
      <c r="F1007" s="47">
        <v>0.0</v>
      </c>
      <c r="G1007" s="48">
        <v>0.0</v>
      </c>
      <c r="H1007" s="24" t="s">
        <v>6765</v>
      </c>
      <c r="I1007" s="47"/>
      <c r="J1007" s="24">
        <v>0.0</v>
      </c>
    </row>
    <row r="1008">
      <c r="A1008" s="24">
        <v>5.0</v>
      </c>
      <c r="B1008" s="24">
        <v>0.0</v>
      </c>
      <c r="C1008" s="47">
        <v>0.0</v>
      </c>
      <c r="D1008" s="35">
        <v>45326.0</v>
      </c>
      <c r="E1008" s="47"/>
      <c r="F1008" s="47">
        <v>0.0</v>
      </c>
      <c r="G1008" s="48">
        <v>0.0</v>
      </c>
      <c r="H1008" s="24" t="s">
        <v>6765</v>
      </c>
      <c r="I1008" s="47"/>
      <c r="J1008" s="24">
        <v>0.0</v>
      </c>
    </row>
    <row r="1009">
      <c r="A1009" s="24">
        <v>16.0</v>
      </c>
      <c r="B1009" s="24">
        <v>0.0</v>
      </c>
      <c r="C1009" s="47">
        <v>0.0</v>
      </c>
      <c r="D1009" s="35">
        <v>45327.0</v>
      </c>
      <c r="E1009" s="47"/>
      <c r="F1009" s="47">
        <v>0.0</v>
      </c>
      <c r="G1009" s="48">
        <v>0.0</v>
      </c>
      <c r="H1009" s="24" t="s">
        <v>6765</v>
      </c>
      <c r="I1009" s="47"/>
      <c r="J1009" s="24">
        <v>0.0</v>
      </c>
    </row>
    <row r="1010">
      <c r="A1010" s="24">
        <v>10.0</v>
      </c>
      <c r="B1010" s="24">
        <v>0.0</v>
      </c>
      <c r="C1010" s="47">
        <v>0.0</v>
      </c>
      <c r="D1010" s="35">
        <v>45328.0</v>
      </c>
      <c r="E1010" s="47"/>
      <c r="F1010" s="47">
        <v>0.0</v>
      </c>
      <c r="G1010" s="48">
        <v>0.0</v>
      </c>
      <c r="H1010" s="24" t="s">
        <v>6765</v>
      </c>
      <c r="I1010" s="47"/>
      <c r="J1010" s="24">
        <v>0.0</v>
      </c>
    </row>
    <row r="1011">
      <c r="A1011" s="24">
        <v>26.0</v>
      </c>
      <c r="B1011" s="24">
        <v>1.0</v>
      </c>
      <c r="C1011" s="47">
        <v>5.25</v>
      </c>
      <c r="D1011" s="35">
        <v>45329.0</v>
      </c>
      <c r="E1011" s="47">
        <v>5.25</v>
      </c>
      <c r="F1011" s="47">
        <v>201.923076923076</v>
      </c>
      <c r="G1011" s="48">
        <v>0.0384615384615384</v>
      </c>
      <c r="H1011" s="24" t="s">
        <v>6765</v>
      </c>
      <c r="I1011" s="47"/>
      <c r="J1011" s="24">
        <v>0.0</v>
      </c>
    </row>
    <row r="1012">
      <c r="A1012" s="24">
        <v>15.0</v>
      </c>
      <c r="B1012" s="24">
        <v>1.0</v>
      </c>
      <c r="C1012" s="47">
        <v>14.91</v>
      </c>
      <c r="D1012" s="35">
        <v>45330.0</v>
      </c>
      <c r="E1012" s="47">
        <v>14.91</v>
      </c>
      <c r="F1012" s="47">
        <v>994.0</v>
      </c>
      <c r="G1012" s="48">
        <v>0.0666666666666666</v>
      </c>
      <c r="H1012" s="24" t="s">
        <v>6765</v>
      </c>
      <c r="I1012" s="47"/>
      <c r="J1012" s="24">
        <v>0.0</v>
      </c>
    </row>
    <row r="1013">
      <c r="A1013" s="24">
        <v>17.0</v>
      </c>
      <c r="B1013" s="24">
        <v>0.0</v>
      </c>
      <c r="C1013" s="47">
        <v>0.0</v>
      </c>
      <c r="D1013" s="35">
        <v>45331.0</v>
      </c>
      <c r="E1013" s="47"/>
      <c r="F1013" s="47">
        <v>0.0</v>
      </c>
      <c r="G1013" s="48">
        <v>0.0</v>
      </c>
      <c r="H1013" s="24" t="s">
        <v>6765</v>
      </c>
      <c r="I1013" s="47"/>
      <c r="J1013" s="24">
        <v>0.0</v>
      </c>
    </row>
    <row r="1014">
      <c r="A1014" s="24">
        <v>2.0</v>
      </c>
      <c r="B1014" s="24">
        <v>0.0</v>
      </c>
      <c r="C1014" s="47">
        <v>0.0</v>
      </c>
      <c r="D1014" s="35">
        <v>45332.0</v>
      </c>
      <c r="E1014" s="47"/>
      <c r="F1014" s="47">
        <v>0.0</v>
      </c>
      <c r="G1014" s="48">
        <v>0.0</v>
      </c>
      <c r="H1014" s="24" t="s">
        <v>6765</v>
      </c>
      <c r="I1014" s="47"/>
      <c r="J1014" s="24">
        <v>0.0</v>
      </c>
    </row>
    <row r="1015">
      <c r="A1015" s="24">
        <v>6.0</v>
      </c>
      <c r="B1015" s="24">
        <v>0.0</v>
      </c>
      <c r="C1015" s="47">
        <v>0.0</v>
      </c>
      <c r="D1015" s="35">
        <v>45333.0</v>
      </c>
      <c r="E1015" s="47"/>
      <c r="F1015" s="47">
        <v>0.0</v>
      </c>
      <c r="G1015" s="48">
        <v>0.0</v>
      </c>
      <c r="H1015" s="24" t="s">
        <v>6765</v>
      </c>
      <c r="I1015" s="47"/>
      <c r="J1015" s="24">
        <v>0.0</v>
      </c>
    </row>
    <row r="1016">
      <c r="A1016" s="24">
        <v>29.0</v>
      </c>
      <c r="B1016" s="24">
        <v>1.0</v>
      </c>
      <c r="C1016" s="47">
        <v>14.27</v>
      </c>
      <c r="D1016" s="35">
        <v>45334.0</v>
      </c>
      <c r="E1016" s="47">
        <v>14.27</v>
      </c>
      <c r="F1016" s="47">
        <v>492.068965517241</v>
      </c>
      <c r="G1016" s="48">
        <v>0.0344827586206896</v>
      </c>
      <c r="H1016" s="24" t="s">
        <v>6765</v>
      </c>
      <c r="I1016" s="47"/>
      <c r="J1016" s="24">
        <v>0.0</v>
      </c>
    </row>
    <row r="1017">
      <c r="A1017" s="24">
        <v>19.0</v>
      </c>
      <c r="B1017" s="24">
        <v>1.0</v>
      </c>
      <c r="C1017" s="47">
        <v>14.29</v>
      </c>
      <c r="D1017" s="35">
        <v>45335.0</v>
      </c>
      <c r="E1017" s="47">
        <v>14.29</v>
      </c>
      <c r="F1017" s="47">
        <v>752.105263157894</v>
      </c>
      <c r="G1017" s="48">
        <v>0.0526315789473684</v>
      </c>
      <c r="H1017" s="24" t="s">
        <v>6765</v>
      </c>
      <c r="I1017" s="47"/>
      <c r="J1017" s="24">
        <v>0.0</v>
      </c>
    </row>
    <row r="1018">
      <c r="A1018" s="24">
        <v>28.0</v>
      </c>
      <c r="B1018" s="24">
        <v>0.0</v>
      </c>
      <c r="C1018" s="47">
        <v>0.0</v>
      </c>
      <c r="D1018" s="35">
        <v>45336.0</v>
      </c>
      <c r="E1018" s="47"/>
      <c r="F1018" s="47">
        <v>0.0</v>
      </c>
      <c r="G1018" s="48">
        <v>0.0</v>
      </c>
      <c r="H1018" s="24" t="s">
        <v>6765</v>
      </c>
      <c r="I1018" s="47"/>
      <c r="J1018" s="24">
        <v>0.0</v>
      </c>
    </row>
    <row r="1019">
      <c r="A1019" s="24">
        <v>20.0</v>
      </c>
      <c r="B1019" s="24">
        <v>1.0</v>
      </c>
      <c r="C1019" s="47">
        <v>14.73</v>
      </c>
      <c r="D1019" s="35">
        <v>45337.0</v>
      </c>
      <c r="E1019" s="47">
        <v>14.73</v>
      </c>
      <c r="F1019" s="47">
        <v>736.5</v>
      </c>
      <c r="G1019" s="48">
        <v>0.05</v>
      </c>
      <c r="H1019" s="24" t="s">
        <v>6765</v>
      </c>
      <c r="I1019" s="47"/>
      <c r="J1019" s="24">
        <v>0.0</v>
      </c>
    </row>
    <row r="1020">
      <c r="A1020" s="24">
        <v>16.0</v>
      </c>
      <c r="B1020" s="24">
        <v>1.0</v>
      </c>
      <c r="C1020" s="47">
        <v>14.72</v>
      </c>
      <c r="D1020" s="35">
        <v>45338.0</v>
      </c>
      <c r="E1020" s="47">
        <v>14.72</v>
      </c>
      <c r="F1020" s="47">
        <v>920.0</v>
      </c>
      <c r="G1020" s="48">
        <v>0.0625</v>
      </c>
      <c r="H1020" s="24" t="s">
        <v>6765</v>
      </c>
      <c r="I1020" s="47"/>
      <c r="J1020" s="24">
        <v>0.0</v>
      </c>
    </row>
    <row r="1021">
      <c r="A1021" s="24">
        <v>2.0</v>
      </c>
      <c r="B1021" s="24">
        <v>1.0</v>
      </c>
      <c r="C1021" s="47">
        <v>14.91</v>
      </c>
      <c r="D1021" s="35">
        <v>45339.0</v>
      </c>
      <c r="E1021" s="47">
        <v>14.91</v>
      </c>
      <c r="F1021" s="47">
        <v>7455.0</v>
      </c>
      <c r="G1021" s="48">
        <v>0.5</v>
      </c>
      <c r="H1021" s="24" t="s">
        <v>6765</v>
      </c>
      <c r="I1021" s="47"/>
      <c r="J1021" s="24">
        <v>0.0</v>
      </c>
    </row>
    <row r="1022">
      <c r="A1022" s="24">
        <v>5.0</v>
      </c>
      <c r="B1022" s="24">
        <v>1.0</v>
      </c>
      <c r="C1022" s="47">
        <v>4.42</v>
      </c>
      <c r="D1022" s="35">
        <v>45340.0</v>
      </c>
      <c r="E1022" s="47">
        <v>4.42</v>
      </c>
      <c r="F1022" s="47">
        <v>884.0</v>
      </c>
      <c r="G1022" s="48">
        <v>0.2</v>
      </c>
      <c r="H1022" s="24" t="s">
        <v>6765</v>
      </c>
      <c r="I1022" s="47"/>
      <c r="J1022" s="24">
        <v>0.0</v>
      </c>
    </row>
    <row r="1023">
      <c r="A1023" s="24">
        <v>14.0</v>
      </c>
      <c r="B1023" s="24">
        <v>0.0</v>
      </c>
      <c r="C1023" s="47">
        <v>0.0</v>
      </c>
      <c r="D1023" s="35">
        <v>45341.0</v>
      </c>
      <c r="E1023" s="47"/>
      <c r="F1023" s="47">
        <v>0.0</v>
      </c>
      <c r="G1023" s="48">
        <v>0.0</v>
      </c>
      <c r="H1023" s="24" t="s">
        <v>6765</v>
      </c>
      <c r="I1023" s="47"/>
      <c r="J1023" s="24">
        <v>0.0</v>
      </c>
    </row>
    <row r="1024">
      <c r="A1024" s="24">
        <v>26.0</v>
      </c>
      <c r="B1024" s="24">
        <v>3.0</v>
      </c>
      <c r="C1024" s="47">
        <v>32.94</v>
      </c>
      <c r="D1024" s="35">
        <v>45342.0</v>
      </c>
      <c r="E1024" s="47">
        <v>10.98</v>
      </c>
      <c r="F1024" s="47">
        <v>1266.92307692307</v>
      </c>
      <c r="G1024" s="48">
        <v>0.115384615384615</v>
      </c>
      <c r="H1024" s="24" t="s">
        <v>6765</v>
      </c>
      <c r="I1024" s="47"/>
      <c r="J1024" s="24">
        <v>0.0</v>
      </c>
    </row>
    <row r="1025">
      <c r="A1025" s="24">
        <v>21.0</v>
      </c>
      <c r="B1025" s="24">
        <v>1.0</v>
      </c>
      <c r="C1025" s="47">
        <v>14.46</v>
      </c>
      <c r="D1025" s="35">
        <v>45343.0</v>
      </c>
      <c r="E1025" s="47">
        <v>14.46</v>
      </c>
      <c r="F1025" s="47">
        <v>688.571428571428</v>
      </c>
      <c r="G1025" s="48">
        <v>0.0476190476190476</v>
      </c>
      <c r="H1025" s="24" t="s">
        <v>6765</v>
      </c>
      <c r="I1025" s="47"/>
      <c r="J1025" s="24">
        <v>0.0</v>
      </c>
    </row>
    <row r="1026">
      <c r="A1026" s="24">
        <v>24.0</v>
      </c>
      <c r="B1026" s="24">
        <v>2.0</v>
      </c>
      <c r="C1026" s="47">
        <v>26.79</v>
      </c>
      <c r="D1026" s="35">
        <v>45344.0</v>
      </c>
      <c r="E1026" s="47">
        <v>13.395</v>
      </c>
      <c r="F1026" s="47">
        <v>1116.25</v>
      </c>
      <c r="G1026" s="48">
        <v>0.0833333333333333</v>
      </c>
      <c r="H1026" s="24" t="s">
        <v>6765</v>
      </c>
      <c r="I1026" s="47"/>
      <c r="J1026" s="24">
        <v>0.0</v>
      </c>
    </row>
    <row r="1027">
      <c r="A1027" s="24">
        <v>19.0</v>
      </c>
      <c r="B1027" s="24">
        <v>0.0</v>
      </c>
      <c r="C1027" s="47">
        <v>0.0</v>
      </c>
      <c r="D1027" s="35">
        <v>45345.0</v>
      </c>
      <c r="E1027" s="47"/>
      <c r="F1027" s="47">
        <v>0.0</v>
      </c>
      <c r="G1027" s="48">
        <v>0.0</v>
      </c>
      <c r="H1027" s="24" t="s">
        <v>6765</v>
      </c>
      <c r="I1027" s="47"/>
      <c r="J1027" s="24">
        <v>0.0</v>
      </c>
    </row>
    <row r="1028">
      <c r="A1028" s="24">
        <v>4.0</v>
      </c>
      <c r="B1028" s="24">
        <v>1.0</v>
      </c>
      <c r="C1028" s="47">
        <v>5.53</v>
      </c>
      <c r="D1028" s="35">
        <v>45346.0</v>
      </c>
      <c r="E1028" s="47">
        <v>5.53</v>
      </c>
      <c r="F1028" s="47">
        <v>1382.5</v>
      </c>
      <c r="G1028" s="48">
        <v>0.25</v>
      </c>
      <c r="H1028" s="24" t="s">
        <v>6765</v>
      </c>
      <c r="I1028" s="47"/>
      <c r="J1028" s="24">
        <v>0.0</v>
      </c>
    </row>
    <row r="1029">
      <c r="A1029" s="24">
        <v>2.0</v>
      </c>
      <c r="B1029" s="24">
        <v>0.0</v>
      </c>
      <c r="C1029" s="47">
        <v>0.0</v>
      </c>
      <c r="D1029" s="35">
        <v>45347.0</v>
      </c>
      <c r="E1029" s="47"/>
      <c r="F1029" s="47">
        <v>0.0</v>
      </c>
      <c r="G1029" s="48">
        <v>0.0</v>
      </c>
      <c r="H1029" s="24" t="s">
        <v>6765</v>
      </c>
      <c r="I1029" s="47"/>
      <c r="J1029" s="24">
        <v>0.0</v>
      </c>
    </row>
    <row r="1030">
      <c r="A1030" s="24">
        <v>30.0</v>
      </c>
      <c r="B1030" s="24">
        <v>0.0</v>
      </c>
      <c r="C1030" s="47">
        <v>0.0</v>
      </c>
      <c r="D1030" s="35">
        <v>45348.0</v>
      </c>
      <c r="E1030" s="47"/>
      <c r="F1030" s="47">
        <v>0.0</v>
      </c>
      <c r="G1030" s="48">
        <v>0.0</v>
      </c>
      <c r="H1030" s="24" t="s">
        <v>6765</v>
      </c>
      <c r="I1030" s="47"/>
      <c r="J1030" s="24">
        <v>0.0</v>
      </c>
    </row>
    <row r="1031">
      <c r="A1031" s="24">
        <v>23.0</v>
      </c>
      <c r="B1031" s="24">
        <v>0.0</v>
      </c>
      <c r="C1031" s="47">
        <v>0.0</v>
      </c>
      <c r="D1031" s="35">
        <v>45349.0</v>
      </c>
      <c r="E1031" s="47"/>
      <c r="F1031" s="47">
        <v>0.0</v>
      </c>
      <c r="G1031" s="48">
        <v>0.0</v>
      </c>
      <c r="H1031" s="24" t="s">
        <v>6765</v>
      </c>
      <c r="I1031" s="47"/>
      <c r="J1031" s="24">
        <v>0.0</v>
      </c>
    </row>
    <row r="1032">
      <c r="A1032" s="24">
        <v>31.0</v>
      </c>
      <c r="B1032" s="24">
        <v>2.0</v>
      </c>
      <c r="C1032" s="47">
        <v>22.36</v>
      </c>
      <c r="D1032" s="35">
        <v>45350.0</v>
      </c>
      <c r="E1032" s="47">
        <v>11.18</v>
      </c>
      <c r="F1032" s="47">
        <v>721.290322580645</v>
      </c>
      <c r="G1032" s="48">
        <v>0.064516129032258</v>
      </c>
      <c r="H1032" s="24" t="s">
        <v>6765</v>
      </c>
      <c r="I1032" s="47"/>
      <c r="J1032" s="24">
        <v>0.0</v>
      </c>
    </row>
    <row r="1033">
      <c r="A1033" s="24">
        <v>28.0</v>
      </c>
      <c r="B1033" s="24">
        <v>1.0</v>
      </c>
      <c r="C1033" s="47">
        <v>14.25</v>
      </c>
      <c r="D1033" s="35">
        <v>45351.0</v>
      </c>
      <c r="E1033" s="47">
        <v>14.25</v>
      </c>
      <c r="F1033" s="47">
        <v>508.928571428571</v>
      </c>
      <c r="G1033" s="48">
        <v>0.0357142857142857</v>
      </c>
      <c r="H1033" s="24" t="s">
        <v>6765</v>
      </c>
      <c r="I1033" s="47"/>
      <c r="J1033" s="24">
        <v>0.0</v>
      </c>
    </row>
    <row r="1034">
      <c r="A1034" s="24">
        <v>20.0</v>
      </c>
      <c r="B1034" s="24">
        <v>3.0</v>
      </c>
      <c r="C1034" s="47">
        <v>27.09</v>
      </c>
      <c r="D1034" s="35">
        <v>45352.0</v>
      </c>
      <c r="E1034" s="47">
        <v>9.03</v>
      </c>
      <c r="F1034" s="47">
        <v>1354.5</v>
      </c>
      <c r="G1034" s="48">
        <v>0.15</v>
      </c>
      <c r="H1034" s="24" t="s">
        <v>6765</v>
      </c>
      <c r="I1034" s="47"/>
      <c r="J1034" s="24">
        <v>0.0</v>
      </c>
    </row>
    <row r="1035">
      <c r="A1035" s="24">
        <v>4.0</v>
      </c>
      <c r="B1035" s="24">
        <v>0.0</v>
      </c>
      <c r="C1035" s="47">
        <v>0.0</v>
      </c>
      <c r="D1035" s="35">
        <v>45353.0</v>
      </c>
      <c r="E1035" s="47"/>
      <c r="F1035" s="47">
        <v>0.0</v>
      </c>
      <c r="G1035" s="48">
        <v>0.0</v>
      </c>
      <c r="H1035" s="24" t="s">
        <v>6765</v>
      </c>
      <c r="I1035" s="47"/>
      <c r="J1035" s="24">
        <v>0.0</v>
      </c>
    </row>
    <row r="1036">
      <c r="A1036" s="24">
        <v>5.0</v>
      </c>
      <c r="B1036" s="24">
        <v>0.0</v>
      </c>
      <c r="C1036" s="47">
        <v>0.0</v>
      </c>
      <c r="D1036" s="35">
        <v>45354.0</v>
      </c>
      <c r="E1036" s="47"/>
      <c r="F1036" s="47">
        <v>0.0</v>
      </c>
      <c r="G1036" s="48">
        <v>0.0</v>
      </c>
      <c r="H1036" s="24" t="s">
        <v>6765</v>
      </c>
      <c r="I1036" s="47"/>
      <c r="J1036" s="24">
        <v>0.0</v>
      </c>
    </row>
    <row r="1037">
      <c r="A1037" s="24">
        <v>25.0</v>
      </c>
      <c r="B1037" s="24">
        <v>2.0</v>
      </c>
      <c r="C1037" s="47">
        <v>28.98</v>
      </c>
      <c r="D1037" s="35">
        <v>45355.0</v>
      </c>
      <c r="E1037" s="47">
        <v>14.49</v>
      </c>
      <c r="F1037" s="47">
        <v>1159.2</v>
      </c>
      <c r="G1037" s="48">
        <v>0.08</v>
      </c>
      <c r="H1037" s="24" t="s">
        <v>6765</v>
      </c>
      <c r="I1037" s="47"/>
      <c r="J1037" s="24">
        <v>0.0</v>
      </c>
    </row>
    <row r="1038">
      <c r="A1038" s="24">
        <v>31.0</v>
      </c>
      <c r="B1038" s="24">
        <v>2.0</v>
      </c>
      <c r="C1038" s="47">
        <v>28.85</v>
      </c>
      <c r="D1038" s="35">
        <v>45356.0</v>
      </c>
      <c r="E1038" s="47">
        <v>14.425</v>
      </c>
      <c r="F1038" s="47">
        <v>930.645161290322</v>
      </c>
      <c r="G1038" s="48">
        <v>0.064516129032258</v>
      </c>
      <c r="H1038" s="24" t="s">
        <v>6765</v>
      </c>
      <c r="I1038" s="47"/>
      <c r="J1038" s="24">
        <v>0.0</v>
      </c>
    </row>
    <row r="1039">
      <c r="A1039" s="24">
        <v>1.0</v>
      </c>
      <c r="B1039" s="24">
        <v>0.0</v>
      </c>
      <c r="C1039" s="47">
        <v>0.0</v>
      </c>
      <c r="D1039" s="35">
        <v>45357.0</v>
      </c>
      <c r="E1039" s="47"/>
      <c r="F1039" s="47">
        <v>0.0</v>
      </c>
      <c r="G1039" s="48">
        <v>0.0</v>
      </c>
      <c r="H1039" s="24" t="s">
        <v>6765</v>
      </c>
      <c r="I1039" s="47"/>
      <c r="J1039" s="24">
        <v>0.0</v>
      </c>
    </row>
    <row r="1040">
      <c r="A1040" s="24">
        <v>3.0</v>
      </c>
      <c r="B1040" s="24">
        <v>0.0</v>
      </c>
      <c r="C1040" s="47">
        <v>0.0</v>
      </c>
      <c r="D1040" s="35">
        <v>44711.0</v>
      </c>
      <c r="E1040" s="47"/>
      <c r="F1040" s="47">
        <v>0.0</v>
      </c>
      <c r="G1040" s="48">
        <v>0.0</v>
      </c>
      <c r="H1040" s="24" t="s">
        <v>6766</v>
      </c>
      <c r="I1040" s="47"/>
      <c r="J1040" s="24">
        <v>0.0</v>
      </c>
    </row>
    <row r="1041">
      <c r="A1041" s="24">
        <v>8.0</v>
      </c>
      <c r="B1041" s="24">
        <v>0.0</v>
      </c>
      <c r="C1041" s="47">
        <v>0.0</v>
      </c>
      <c r="D1041" s="35">
        <v>44712.0</v>
      </c>
      <c r="E1041" s="47"/>
      <c r="F1041" s="47">
        <v>0.0</v>
      </c>
      <c r="G1041" s="48">
        <v>0.0</v>
      </c>
      <c r="H1041" s="24" t="s">
        <v>6766</v>
      </c>
      <c r="I1041" s="47"/>
      <c r="J1041" s="24">
        <v>0.0</v>
      </c>
    </row>
    <row r="1042">
      <c r="A1042" s="24">
        <v>6.0</v>
      </c>
      <c r="B1042" s="24">
        <v>1.0</v>
      </c>
      <c r="C1042" s="47">
        <v>2.81</v>
      </c>
      <c r="D1042" s="35">
        <v>44713.0</v>
      </c>
      <c r="E1042" s="47">
        <v>2.81</v>
      </c>
      <c r="F1042" s="47">
        <v>468.333333333333</v>
      </c>
      <c r="G1042" s="48">
        <v>0.166666666666666</v>
      </c>
      <c r="H1042" s="24" t="s">
        <v>6766</v>
      </c>
      <c r="I1042" s="47"/>
      <c r="J1042" s="24">
        <v>0.0</v>
      </c>
    </row>
    <row r="1043">
      <c r="A1043" s="24">
        <v>8.0</v>
      </c>
      <c r="B1043" s="24">
        <v>0.0</v>
      </c>
      <c r="C1043" s="47">
        <v>0.0</v>
      </c>
      <c r="D1043" s="35">
        <v>44714.0</v>
      </c>
      <c r="E1043" s="47"/>
      <c r="F1043" s="47">
        <v>0.0</v>
      </c>
      <c r="G1043" s="48">
        <v>0.0</v>
      </c>
      <c r="H1043" s="24" t="s">
        <v>6766</v>
      </c>
      <c r="I1043" s="47"/>
      <c r="J1043" s="24">
        <v>0.0</v>
      </c>
    </row>
    <row r="1044">
      <c r="A1044" s="24">
        <v>9.0</v>
      </c>
      <c r="B1044" s="24">
        <v>0.0</v>
      </c>
      <c r="C1044" s="47">
        <v>0.0</v>
      </c>
      <c r="D1044" s="35">
        <v>44715.0</v>
      </c>
      <c r="E1044" s="47"/>
      <c r="F1044" s="47">
        <v>0.0</v>
      </c>
      <c r="G1044" s="48">
        <v>0.0</v>
      </c>
      <c r="H1044" s="24" t="s">
        <v>6766</v>
      </c>
      <c r="I1044" s="47"/>
      <c r="J1044" s="24">
        <v>0.0</v>
      </c>
    </row>
    <row r="1045">
      <c r="A1045" s="24">
        <v>1.0</v>
      </c>
      <c r="B1045" s="24">
        <v>0.0</v>
      </c>
      <c r="C1045" s="47">
        <v>0.0</v>
      </c>
      <c r="D1045" s="35">
        <v>44716.0</v>
      </c>
      <c r="E1045" s="47"/>
      <c r="F1045" s="47">
        <v>0.0</v>
      </c>
      <c r="G1045" s="48">
        <v>0.0</v>
      </c>
      <c r="H1045" s="24" t="s">
        <v>6766</v>
      </c>
      <c r="I1045" s="47"/>
      <c r="J1045" s="24">
        <v>0.0</v>
      </c>
    </row>
    <row r="1046">
      <c r="A1046" s="24">
        <v>4.0</v>
      </c>
      <c r="B1046" s="24">
        <v>0.0</v>
      </c>
      <c r="C1046" s="47">
        <v>0.0</v>
      </c>
      <c r="D1046" s="35">
        <v>44717.0</v>
      </c>
      <c r="E1046" s="47"/>
      <c r="F1046" s="47">
        <v>0.0</v>
      </c>
      <c r="G1046" s="48">
        <v>0.0</v>
      </c>
      <c r="H1046" s="24" t="s">
        <v>6766</v>
      </c>
      <c r="I1046" s="47"/>
      <c r="J1046" s="24">
        <v>0.0</v>
      </c>
    </row>
    <row r="1047">
      <c r="A1047" s="24">
        <v>9.0</v>
      </c>
      <c r="B1047" s="24">
        <v>0.0</v>
      </c>
      <c r="C1047" s="47">
        <v>0.0</v>
      </c>
      <c r="D1047" s="35">
        <v>44718.0</v>
      </c>
      <c r="E1047" s="47"/>
      <c r="F1047" s="47">
        <v>0.0</v>
      </c>
      <c r="G1047" s="48">
        <v>0.0</v>
      </c>
      <c r="H1047" s="24" t="s">
        <v>6766</v>
      </c>
      <c r="I1047" s="47"/>
      <c r="J1047" s="24">
        <v>0.0</v>
      </c>
    </row>
    <row r="1048">
      <c r="A1048" s="24">
        <v>5.0</v>
      </c>
      <c r="B1048" s="24">
        <v>0.0</v>
      </c>
      <c r="C1048" s="47">
        <v>0.0</v>
      </c>
      <c r="D1048" s="35">
        <v>44719.0</v>
      </c>
      <c r="E1048" s="47"/>
      <c r="F1048" s="47">
        <v>0.0</v>
      </c>
      <c r="G1048" s="48">
        <v>0.0</v>
      </c>
      <c r="H1048" s="24" t="s">
        <v>6766</v>
      </c>
      <c r="I1048" s="47"/>
      <c r="J1048" s="24">
        <v>0.0</v>
      </c>
    </row>
    <row r="1049">
      <c r="A1049" s="24">
        <v>3.0</v>
      </c>
      <c r="B1049" s="24">
        <v>1.0</v>
      </c>
      <c r="C1049" s="47">
        <v>0.73</v>
      </c>
      <c r="D1049" s="35">
        <v>44720.0</v>
      </c>
      <c r="E1049" s="47">
        <v>0.73</v>
      </c>
      <c r="F1049" s="47">
        <v>243.333333333333</v>
      </c>
      <c r="G1049" s="48">
        <v>0.333333333333333</v>
      </c>
      <c r="H1049" s="24" t="s">
        <v>6766</v>
      </c>
      <c r="I1049" s="47"/>
      <c r="J1049" s="24">
        <v>0.0</v>
      </c>
    </row>
    <row r="1050">
      <c r="A1050" s="24">
        <v>15.0</v>
      </c>
      <c r="B1050" s="24">
        <v>2.0</v>
      </c>
      <c r="C1050" s="47">
        <v>2.61</v>
      </c>
      <c r="D1050" s="35">
        <v>44721.0</v>
      </c>
      <c r="E1050" s="47">
        <v>1.305</v>
      </c>
      <c r="F1050" s="47">
        <v>174.0</v>
      </c>
      <c r="G1050" s="48">
        <v>0.133333333333333</v>
      </c>
      <c r="H1050" s="24" t="s">
        <v>6766</v>
      </c>
      <c r="I1050" s="47"/>
      <c r="J1050" s="24">
        <v>0.0</v>
      </c>
    </row>
    <row r="1051">
      <c r="A1051" s="24">
        <v>7.0</v>
      </c>
      <c r="B1051" s="24">
        <v>1.0</v>
      </c>
      <c r="C1051" s="47">
        <v>2.02</v>
      </c>
      <c r="D1051" s="35">
        <v>44722.0</v>
      </c>
      <c r="E1051" s="47">
        <v>2.02</v>
      </c>
      <c r="F1051" s="47">
        <v>288.571428571428</v>
      </c>
      <c r="G1051" s="48">
        <v>0.142857142857142</v>
      </c>
      <c r="H1051" s="24" t="s">
        <v>6766</v>
      </c>
      <c r="I1051" s="47"/>
      <c r="J1051" s="24">
        <v>0.0</v>
      </c>
    </row>
    <row r="1052">
      <c r="A1052" s="24">
        <v>2.0</v>
      </c>
      <c r="B1052" s="24">
        <v>0.0</v>
      </c>
      <c r="C1052" s="47">
        <v>0.0</v>
      </c>
      <c r="D1052" s="35">
        <v>44723.0</v>
      </c>
      <c r="E1052" s="47"/>
      <c r="F1052" s="47">
        <v>0.0</v>
      </c>
      <c r="G1052" s="48">
        <v>0.0</v>
      </c>
      <c r="H1052" s="24" t="s">
        <v>6766</v>
      </c>
      <c r="I1052" s="47"/>
      <c r="J1052" s="24">
        <v>0.0</v>
      </c>
    </row>
    <row r="1053">
      <c r="A1053" s="24">
        <v>6.0</v>
      </c>
      <c r="B1053" s="24">
        <v>1.0</v>
      </c>
      <c r="C1053" s="47">
        <v>1.14</v>
      </c>
      <c r="D1053" s="35">
        <v>44725.0</v>
      </c>
      <c r="E1053" s="47">
        <v>1.14</v>
      </c>
      <c r="F1053" s="47">
        <v>190.0</v>
      </c>
      <c r="G1053" s="48">
        <v>0.166666666666666</v>
      </c>
      <c r="H1053" s="24" t="s">
        <v>6766</v>
      </c>
      <c r="I1053" s="47"/>
      <c r="J1053" s="24">
        <v>0.0</v>
      </c>
    </row>
    <row r="1054">
      <c r="A1054" s="24">
        <v>6.0</v>
      </c>
      <c r="B1054" s="24">
        <v>0.0</v>
      </c>
      <c r="C1054" s="47">
        <v>0.0</v>
      </c>
      <c r="D1054" s="35">
        <v>44726.0</v>
      </c>
      <c r="E1054" s="47"/>
      <c r="F1054" s="47">
        <v>0.0</v>
      </c>
      <c r="G1054" s="48">
        <v>0.0</v>
      </c>
      <c r="H1054" s="24" t="s">
        <v>6766</v>
      </c>
      <c r="I1054" s="47"/>
      <c r="J1054" s="24">
        <v>0.0</v>
      </c>
    </row>
    <row r="1055">
      <c r="A1055" s="24">
        <v>12.0</v>
      </c>
      <c r="B1055" s="24">
        <v>1.0</v>
      </c>
      <c r="C1055" s="47">
        <v>2.82</v>
      </c>
      <c r="D1055" s="35">
        <v>44727.0</v>
      </c>
      <c r="E1055" s="47">
        <v>2.82</v>
      </c>
      <c r="F1055" s="47">
        <v>235.0</v>
      </c>
      <c r="G1055" s="48">
        <v>0.0833333333333333</v>
      </c>
      <c r="H1055" s="24" t="s">
        <v>6766</v>
      </c>
      <c r="I1055" s="47"/>
      <c r="J1055" s="24">
        <v>0.0</v>
      </c>
    </row>
    <row r="1056">
      <c r="A1056" s="24">
        <v>11.0</v>
      </c>
      <c r="B1056" s="24">
        <v>1.0</v>
      </c>
      <c r="C1056" s="47">
        <v>2.64</v>
      </c>
      <c r="D1056" s="35">
        <v>44728.0</v>
      </c>
      <c r="E1056" s="47">
        <v>2.64</v>
      </c>
      <c r="F1056" s="47">
        <v>240.0</v>
      </c>
      <c r="G1056" s="48">
        <v>0.0909090909090909</v>
      </c>
      <c r="H1056" s="24" t="s">
        <v>6766</v>
      </c>
      <c r="I1056" s="47"/>
      <c r="J1056" s="24">
        <v>0.0</v>
      </c>
    </row>
    <row r="1057">
      <c r="A1057" s="24">
        <v>18.0</v>
      </c>
      <c r="B1057" s="24">
        <v>4.0</v>
      </c>
      <c r="C1057" s="47">
        <v>7.85</v>
      </c>
      <c r="D1057" s="35">
        <v>44729.0</v>
      </c>
      <c r="E1057" s="47">
        <v>1.9625</v>
      </c>
      <c r="F1057" s="47">
        <v>436.111111111111</v>
      </c>
      <c r="G1057" s="48">
        <v>0.222222222222222</v>
      </c>
      <c r="H1057" s="24" t="s">
        <v>6766</v>
      </c>
      <c r="I1057" s="47"/>
      <c r="J1057" s="24">
        <v>0.0</v>
      </c>
    </row>
    <row r="1058">
      <c r="A1058" s="24">
        <v>4.0</v>
      </c>
      <c r="B1058" s="24">
        <v>0.0</v>
      </c>
      <c r="C1058" s="47">
        <v>0.0</v>
      </c>
      <c r="D1058" s="35">
        <v>44731.0</v>
      </c>
      <c r="E1058" s="47"/>
      <c r="F1058" s="47">
        <v>0.0</v>
      </c>
      <c r="G1058" s="48">
        <v>0.0</v>
      </c>
      <c r="H1058" s="24" t="s">
        <v>6766</v>
      </c>
      <c r="I1058" s="47"/>
      <c r="J1058" s="24">
        <v>0.0</v>
      </c>
    </row>
    <row r="1059">
      <c r="A1059" s="24">
        <v>8.0</v>
      </c>
      <c r="B1059" s="24">
        <v>1.0</v>
      </c>
      <c r="C1059" s="47">
        <v>2.32</v>
      </c>
      <c r="D1059" s="35">
        <v>44732.0</v>
      </c>
      <c r="E1059" s="47">
        <v>2.32</v>
      </c>
      <c r="F1059" s="47">
        <v>290.0</v>
      </c>
      <c r="G1059" s="48">
        <v>0.125</v>
      </c>
      <c r="H1059" s="24" t="s">
        <v>6766</v>
      </c>
      <c r="I1059" s="47"/>
      <c r="J1059" s="24">
        <v>0.0</v>
      </c>
    </row>
    <row r="1060">
      <c r="A1060" s="24">
        <v>8.0</v>
      </c>
      <c r="B1060" s="24">
        <v>1.0</v>
      </c>
      <c r="C1060" s="47">
        <v>2.69</v>
      </c>
      <c r="D1060" s="35">
        <v>44733.0</v>
      </c>
      <c r="E1060" s="47">
        <v>2.69</v>
      </c>
      <c r="F1060" s="47">
        <v>336.25</v>
      </c>
      <c r="G1060" s="48">
        <v>0.125</v>
      </c>
      <c r="H1060" s="24" t="s">
        <v>6766</v>
      </c>
      <c r="I1060" s="47"/>
      <c r="J1060" s="24">
        <v>0.0</v>
      </c>
    </row>
    <row r="1061">
      <c r="A1061" s="24">
        <v>9.0</v>
      </c>
      <c r="B1061" s="24">
        <v>0.0</v>
      </c>
      <c r="C1061" s="47">
        <v>0.0</v>
      </c>
      <c r="D1061" s="35">
        <v>44734.0</v>
      </c>
      <c r="E1061" s="47"/>
      <c r="F1061" s="47">
        <v>0.0</v>
      </c>
      <c r="G1061" s="48">
        <v>0.0</v>
      </c>
      <c r="H1061" s="24" t="s">
        <v>6766</v>
      </c>
      <c r="I1061" s="47"/>
      <c r="J1061" s="24">
        <v>0.0</v>
      </c>
    </row>
    <row r="1062">
      <c r="A1062" s="24">
        <v>5.0</v>
      </c>
      <c r="B1062" s="24">
        <v>1.0</v>
      </c>
      <c r="C1062" s="47">
        <v>2.72</v>
      </c>
      <c r="D1062" s="35">
        <v>44735.0</v>
      </c>
      <c r="E1062" s="47">
        <v>2.72</v>
      </c>
      <c r="F1062" s="47">
        <v>544.0</v>
      </c>
      <c r="G1062" s="48">
        <v>0.2</v>
      </c>
      <c r="H1062" s="24" t="s">
        <v>6766</v>
      </c>
      <c r="I1062" s="47"/>
      <c r="J1062" s="24">
        <v>0.0</v>
      </c>
    </row>
    <row r="1063">
      <c r="A1063" s="24">
        <v>4.0</v>
      </c>
      <c r="B1063" s="24">
        <v>0.0</v>
      </c>
      <c r="C1063" s="47">
        <v>0.0</v>
      </c>
      <c r="D1063" s="35">
        <v>44736.0</v>
      </c>
      <c r="E1063" s="47"/>
      <c r="F1063" s="47">
        <v>0.0</v>
      </c>
      <c r="G1063" s="48">
        <v>0.0</v>
      </c>
      <c r="H1063" s="24" t="s">
        <v>6766</v>
      </c>
      <c r="I1063" s="47"/>
      <c r="J1063" s="24">
        <v>0.0</v>
      </c>
    </row>
    <row r="1064">
      <c r="A1064" s="24">
        <v>5.0</v>
      </c>
      <c r="B1064" s="24">
        <v>1.0</v>
      </c>
      <c r="C1064" s="47">
        <v>1.24</v>
      </c>
      <c r="D1064" s="35">
        <v>44738.0</v>
      </c>
      <c r="E1064" s="47">
        <v>1.24</v>
      </c>
      <c r="F1064" s="47">
        <v>248.0</v>
      </c>
      <c r="G1064" s="48">
        <v>0.2</v>
      </c>
      <c r="H1064" s="24" t="s">
        <v>6766</v>
      </c>
      <c r="I1064" s="47"/>
      <c r="J1064" s="24">
        <v>0.0</v>
      </c>
    </row>
    <row r="1065">
      <c r="A1065" s="24">
        <v>18.0</v>
      </c>
      <c r="B1065" s="24">
        <v>0.0</v>
      </c>
      <c r="C1065" s="47">
        <v>0.0</v>
      </c>
      <c r="D1065" s="35">
        <v>44739.0</v>
      </c>
      <c r="E1065" s="47"/>
      <c r="F1065" s="47">
        <v>0.0</v>
      </c>
      <c r="G1065" s="48">
        <v>0.0</v>
      </c>
      <c r="H1065" s="24" t="s">
        <v>6766</v>
      </c>
      <c r="I1065" s="47"/>
      <c r="J1065" s="24">
        <v>0.0</v>
      </c>
    </row>
    <row r="1066">
      <c r="A1066" s="24">
        <v>8.0</v>
      </c>
      <c r="B1066" s="24">
        <v>1.0</v>
      </c>
      <c r="C1066" s="47">
        <v>1.67</v>
      </c>
      <c r="D1066" s="35">
        <v>44740.0</v>
      </c>
      <c r="E1066" s="47">
        <v>1.67</v>
      </c>
      <c r="F1066" s="47">
        <v>208.75</v>
      </c>
      <c r="G1066" s="48">
        <v>0.125</v>
      </c>
      <c r="H1066" s="24" t="s">
        <v>6766</v>
      </c>
      <c r="I1066" s="47"/>
      <c r="J1066" s="24">
        <v>0.0</v>
      </c>
    </row>
    <row r="1067">
      <c r="A1067" s="24">
        <v>27.0</v>
      </c>
      <c r="B1067" s="24">
        <v>4.0</v>
      </c>
      <c r="C1067" s="47">
        <v>10.28</v>
      </c>
      <c r="D1067" s="35">
        <v>44741.0</v>
      </c>
      <c r="E1067" s="47">
        <v>2.57</v>
      </c>
      <c r="F1067" s="47">
        <v>380.74074074074</v>
      </c>
      <c r="G1067" s="48">
        <v>0.148148148148148</v>
      </c>
      <c r="H1067" s="24" t="s">
        <v>6766</v>
      </c>
      <c r="I1067" s="47"/>
      <c r="J1067" s="24">
        <v>0.0</v>
      </c>
    </row>
    <row r="1068">
      <c r="A1068" s="24">
        <v>10.0</v>
      </c>
      <c r="B1068" s="24">
        <v>3.0</v>
      </c>
      <c r="C1068" s="47">
        <v>1.93</v>
      </c>
      <c r="D1068" s="35">
        <v>44742.0</v>
      </c>
      <c r="E1068" s="47">
        <v>0.643333333333333</v>
      </c>
      <c r="F1068" s="47">
        <v>193.0</v>
      </c>
      <c r="G1068" s="48">
        <v>0.3</v>
      </c>
      <c r="H1068" s="24" t="s">
        <v>6766</v>
      </c>
      <c r="I1068" s="47"/>
      <c r="J1068" s="24">
        <v>0.0</v>
      </c>
    </row>
    <row r="1069">
      <c r="A1069" s="24">
        <v>5.0</v>
      </c>
      <c r="B1069" s="24">
        <v>2.0</v>
      </c>
      <c r="C1069" s="47">
        <v>3.72</v>
      </c>
      <c r="D1069" s="35">
        <v>44743.0</v>
      </c>
      <c r="E1069" s="47">
        <v>1.86</v>
      </c>
      <c r="F1069" s="47">
        <v>744.0</v>
      </c>
      <c r="G1069" s="48">
        <v>0.4</v>
      </c>
      <c r="H1069" s="24" t="s">
        <v>6766</v>
      </c>
      <c r="I1069" s="47"/>
      <c r="J1069" s="24">
        <v>0.0</v>
      </c>
    </row>
    <row r="1070">
      <c r="A1070" s="24">
        <v>2.0</v>
      </c>
      <c r="B1070" s="24">
        <v>1.0</v>
      </c>
      <c r="C1070" s="47">
        <v>1.01</v>
      </c>
      <c r="D1070" s="35">
        <v>44744.0</v>
      </c>
      <c r="E1070" s="47">
        <v>1.01</v>
      </c>
      <c r="F1070" s="47">
        <v>505.0</v>
      </c>
      <c r="G1070" s="48">
        <v>0.5</v>
      </c>
      <c r="H1070" s="24" t="s">
        <v>6766</v>
      </c>
      <c r="I1070" s="47"/>
      <c r="J1070" s="24">
        <v>0.0</v>
      </c>
    </row>
    <row r="1071">
      <c r="A1071" s="24">
        <v>3.0</v>
      </c>
      <c r="B1071" s="24">
        <v>0.0</v>
      </c>
      <c r="C1071" s="47">
        <v>0.0</v>
      </c>
      <c r="D1071" s="35">
        <v>44745.0</v>
      </c>
      <c r="E1071" s="47"/>
      <c r="F1071" s="47">
        <v>0.0</v>
      </c>
      <c r="G1071" s="48">
        <v>0.0</v>
      </c>
      <c r="H1071" s="24" t="s">
        <v>6766</v>
      </c>
      <c r="I1071" s="47"/>
      <c r="J1071" s="24">
        <v>0.0</v>
      </c>
    </row>
    <row r="1072">
      <c r="A1072" s="24">
        <v>2.0</v>
      </c>
      <c r="B1072" s="24">
        <v>0.0</v>
      </c>
      <c r="C1072" s="47">
        <v>0.0</v>
      </c>
      <c r="D1072" s="35">
        <v>44746.0</v>
      </c>
      <c r="E1072" s="47"/>
      <c r="F1072" s="47">
        <v>0.0</v>
      </c>
      <c r="G1072" s="48">
        <v>0.0</v>
      </c>
      <c r="H1072" s="24" t="s">
        <v>6766</v>
      </c>
      <c r="I1072" s="47"/>
      <c r="J1072" s="24">
        <v>0.0</v>
      </c>
    </row>
    <row r="1073">
      <c r="A1073" s="24">
        <v>10.0</v>
      </c>
      <c r="B1073" s="24">
        <v>0.0</v>
      </c>
      <c r="C1073" s="47">
        <v>0.0</v>
      </c>
      <c r="D1073" s="35">
        <v>44747.0</v>
      </c>
      <c r="E1073" s="47"/>
      <c r="F1073" s="47">
        <v>0.0</v>
      </c>
      <c r="G1073" s="48">
        <v>0.0</v>
      </c>
      <c r="H1073" s="24" t="s">
        <v>6766</v>
      </c>
      <c r="I1073" s="47"/>
      <c r="J1073" s="24">
        <v>0.0</v>
      </c>
    </row>
    <row r="1074">
      <c r="A1074" s="24">
        <v>14.0</v>
      </c>
      <c r="B1074" s="24">
        <v>3.0</v>
      </c>
      <c r="C1074" s="47">
        <v>7.16</v>
      </c>
      <c r="D1074" s="35">
        <v>44748.0</v>
      </c>
      <c r="E1074" s="47">
        <v>2.38666666666666</v>
      </c>
      <c r="F1074" s="47">
        <v>511.428571428571</v>
      </c>
      <c r="G1074" s="48">
        <v>0.214285714285714</v>
      </c>
      <c r="H1074" s="24" t="s">
        <v>6766</v>
      </c>
      <c r="I1074" s="47"/>
      <c r="J1074" s="24">
        <v>0.0</v>
      </c>
    </row>
    <row r="1075">
      <c r="A1075" s="24">
        <v>11.0</v>
      </c>
      <c r="B1075" s="24">
        <v>2.0</v>
      </c>
      <c r="C1075" s="47">
        <v>3.52</v>
      </c>
      <c r="D1075" s="35">
        <v>44749.0</v>
      </c>
      <c r="E1075" s="47">
        <v>1.76</v>
      </c>
      <c r="F1075" s="47">
        <v>320.0</v>
      </c>
      <c r="G1075" s="48">
        <v>0.181818181818181</v>
      </c>
      <c r="H1075" s="24" t="s">
        <v>6766</v>
      </c>
      <c r="I1075" s="47"/>
      <c r="J1075" s="24">
        <v>0.0</v>
      </c>
    </row>
    <row r="1076">
      <c r="A1076" s="24">
        <v>8.0</v>
      </c>
      <c r="B1076" s="24">
        <v>1.0</v>
      </c>
      <c r="C1076" s="47">
        <v>1.77</v>
      </c>
      <c r="D1076" s="35">
        <v>44750.0</v>
      </c>
      <c r="E1076" s="47">
        <v>1.77</v>
      </c>
      <c r="F1076" s="47">
        <v>221.25</v>
      </c>
      <c r="G1076" s="48">
        <v>0.125</v>
      </c>
      <c r="H1076" s="24" t="s">
        <v>6766</v>
      </c>
      <c r="I1076" s="47"/>
      <c r="J1076" s="24">
        <v>0.0</v>
      </c>
    </row>
    <row r="1077">
      <c r="A1077" s="24">
        <v>5.0</v>
      </c>
      <c r="B1077" s="24">
        <v>0.0</v>
      </c>
      <c r="C1077" s="47">
        <v>0.0</v>
      </c>
      <c r="D1077" s="35">
        <v>44751.0</v>
      </c>
      <c r="E1077" s="47"/>
      <c r="F1077" s="47">
        <v>0.0</v>
      </c>
      <c r="G1077" s="48">
        <v>0.0</v>
      </c>
      <c r="H1077" s="24" t="s">
        <v>6766</v>
      </c>
      <c r="I1077" s="47"/>
      <c r="J1077" s="24">
        <v>0.0</v>
      </c>
    </row>
    <row r="1078">
      <c r="A1078" s="24">
        <v>2.0</v>
      </c>
      <c r="B1078" s="24">
        <v>0.0</v>
      </c>
      <c r="C1078" s="47">
        <v>0.0</v>
      </c>
      <c r="D1078" s="35">
        <v>44752.0</v>
      </c>
      <c r="E1078" s="47"/>
      <c r="F1078" s="47">
        <v>0.0</v>
      </c>
      <c r="G1078" s="48">
        <v>0.0</v>
      </c>
      <c r="H1078" s="24" t="s">
        <v>6766</v>
      </c>
      <c r="I1078" s="47"/>
      <c r="J1078" s="24">
        <v>0.0</v>
      </c>
    </row>
    <row r="1079">
      <c r="A1079" s="24">
        <v>6.0</v>
      </c>
      <c r="B1079" s="24">
        <v>0.0</v>
      </c>
      <c r="C1079" s="47">
        <v>0.0</v>
      </c>
      <c r="D1079" s="35">
        <v>44753.0</v>
      </c>
      <c r="E1079" s="47"/>
      <c r="F1079" s="47">
        <v>0.0</v>
      </c>
      <c r="G1079" s="48">
        <v>0.0</v>
      </c>
      <c r="H1079" s="24" t="s">
        <v>6766</v>
      </c>
      <c r="I1079" s="47"/>
      <c r="J1079" s="24">
        <v>0.0</v>
      </c>
    </row>
    <row r="1080">
      <c r="A1080" s="24">
        <v>7.0</v>
      </c>
      <c r="B1080" s="24">
        <v>1.0</v>
      </c>
      <c r="C1080" s="47">
        <v>1.61</v>
      </c>
      <c r="D1080" s="35">
        <v>44754.0</v>
      </c>
      <c r="E1080" s="47">
        <v>1.61</v>
      </c>
      <c r="F1080" s="47">
        <v>230.0</v>
      </c>
      <c r="G1080" s="48">
        <v>0.142857142857142</v>
      </c>
      <c r="H1080" s="24" t="s">
        <v>6766</v>
      </c>
      <c r="I1080" s="47"/>
      <c r="J1080" s="24">
        <v>0.0</v>
      </c>
    </row>
    <row r="1081">
      <c r="A1081" s="24">
        <v>20.0</v>
      </c>
      <c r="B1081" s="24">
        <v>1.0</v>
      </c>
      <c r="C1081" s="47">
        <v>0.93</v>
      </c>
      <c r="D1081" s="35">
        <v>44755.0</v>
      </c>
      <c r="E1081" s="47">
        <v>0.93</v>
      </c>
      <c r="F1081" s="47">
        <v>46.5</v>
      </c>
      <c r="G1081" s="48">
        <v>0.05</v>
      </c>
      <c r="H1081" s="24" t="s">
        <v>6766</v>
      </c>
      <c r="I1081" s="47"/>
      <c r="J1081" s="24">
        <v>0.0</v>
      </c>
    </row>
    <row r="1082">
      <c r="A1082" s="24">
        <v>10.0</v>
      </c>
      <c r="B1082" s="24">
        <v>1.0</v>
      </c>
      <c r="C1082" s="47">
        <v>1.06</v>
      </c>
      <c r="D1082" s="35">
        <v>44756.0</v>
      </c>
      <c r="E1082" s="47">
        <v>1.06</v>
      </c>
      <c r="F1082" s="47">
        <v>106.0</v>
      </c>
      <c r="G1082" s="48">
        <v>0.1</v>
      </c>
      <c r="H1082" s="24" t="s">
        <v>6766</v>
      </c>
      <c r="I1082" s="47"/>
      <c r="J1082" s="24">
        <v>0.0</v>
      </c>
    </row>
    <row r="1083">
      <c r="A1083" s="24">
        <v>23.0</v>
      </c>
      <c r="B1083" s="24">
        <v>2.0</v>
      </c>
      <c r="C1083" s="47">
        <v>5.42</v>
      </c>
      <c r="D1083" s="35">
        <v>44757.0</v>
      </c>
      <c r="E1083" s="47">
        <v>2.71</v>
      </c>
      <c r="F1083" s="47">
        <v>235.652173913043</v>
      </c>
      <c r="G1083" s="48">
        <v>0.0869565217391304</v>
      </c>
      <c r="H1083" s="24" t="s">
        <v>6766</v>
      </c>
      <c r="I1083" s="47"/>
      <c r="J1083" s="24">
        <v>0.0</v>
      </c>
    </row>
    <row r="1084">
      <c r="A1084" s="24">
        <v>1.0</v>
      </c>
      <c r="B1084" s="24">
        <v>0.0</v>
      </c>
      <c r="C1084" s="47">
        <v>0.0</v>
      </c>
      <c r="D1084" s="35">
        <v>44758.0</v>
      </c>
      <c r="E1084" s="47"/>
      <c r="F1084" s="47">
        <v>0.0</v>
      </c>
      <c r="G1084" s="48">
        <v>0.0</v>
      </c>
      <c r="H1084" s="24" t="s">
        <v>6766</v>
      </c>
      <c r="I1084" s="47"/>
      <c r="J1084" s="24">
        <v>0.0</v>
      </c>
    </row>
    <row r="1085">
      <c r="A1085" s="24">
        <v>1.0</v>
      </c>
      <c r="B1085" s="24">
        <v>0.0</v>
      </c>
      <c r="C1085" s="47">
        <v>0.0</v>
      </c>
      <c r="D1085" s="35">
        <v>44759.0</v>
      </c>
      <c r="E1085" s="47"/>
      <c r="F1085" s="47">
        <v>0.0</v>
      </c>
      <c r="G1085" s="48">
        <v>0.0</v>
      </c>
      <c r="H1085" s="24" t="s">
        <v>6766</v>
      </c>
      <c r="I1085" s="47"/>
      <c r="J1085" s="24">
        <v>0.0</v>
      </c>
    </row>
    <row r="1086">
      <c r="A1086" s="24">
        <v>7.0</v>
      </c>
      <c r="B1086" s="24">
        <v>0.0</v>
      </c>
      <c r="C1086" s="47">
        <v>0.0</v>
      </c>
      <c r="D1086" s="35">
        <v>44760.0</v>
      </c>
      <c r="E1086" s="47"/>
      <c r="F1086" s="47">
        <v>0.0</v>
      </c>
      <c r="G1086" s="48">
        <v>0.0</v>
      </c>
      <c r="H1086" s="24" t="s">
        <v>6766</v>
      </c>
      <c r="I1086" s="47"/>
      <c r="J1086" s="24">
        <v>0.0</v>
      </c>
    </row>
    <row r="1087">
      <c r="A1087" s="24">
        <v>22.0</v>
      </c>
      <c r="B1087" s="24">
        <v>2.0</v>
      </c>
      <c r="C1087" s="47">
        <v>5.14</v>
      </c>
      <c r="D1087" s="35">
        <v>44761.0</v>
      </c>
      <c r="E1087" s="47">
        <v>2.57</v>
      </c>
      <c r="F1087" s="47">
        <v>233.636363636363</v>
      </c>
      <c r="G1087" s="48">
        <v>0.0909090909090909</v>
      </c>
      <c r="H1087" s="24" t="s">
        <v>6766</v>
      </c>
      <c r="I1087" s="47"/>
      <c r="J1087" s="24">
        <v>0.0</v>
      </c>
    </row>
    <row r="1088">
      <c r="A1088" s="24">
        <v>28.0</v>
      </c>
      <c r="B1088" s="24">
        <v>2.0</v>
      </c>
      <c r="C1088" s="47">
        <v>5.29</v>
      </c>
      <c r="D1088" s="35">
        <v>44762.0</v>
      </c>
      <c r="E1088" s="47">
        <v>2.645</v>
      </c>
      <c r="F1088" s="47">
        <v>188.928571428571</v>
      </c>
      <c r="G1088" s="48">
        <v>0.0714285714285714</v>
      </c>
      <c r="H1088" s="24" t="s">
        <v>6766</v>
      </c>
      <c r="I1088" s="47"/>
      <c r="J1088" s="24">
        <v>0.0</v>
      </c>
    </row>
    <row r="1089">
      <c r="A1089" s="24">
        <v>22.0</v>
      </c>
      <c r="B1089" s="24">
        <v>1.0</v>
      </c>
      <c r="C1089" s="47">
        <v>2.97</v>
      </c>
      <c r="D1089" s="35">
        <v>44763.0</v>
      </c>
      <c r="E1089" s="47">
        <v>2.97</v>
      </c>
      <c r="F1089" s="47">
        <v>135.0</v>
      </c>
      <c r="G1089" s="48">
        <v>0.0454545454545454</v>
      </c>
      <c r="H1089" s="24" t="s">
        <v>6766</v>
      </c>
      <c r="I1089" s="47"/>
      <c r="J1089" s="24">
        <v>0.0</v>
      </c>
    </row>
    <row r="1090">
      <c r="A1090" s="24">
        <v>17.0</v>
      </c>
      <c r="B1090" s="24">
        <v>0.0</v>
      </c>
      <c r="C1090" s="47">
        <v>0.0</v>
      </c>
      <c r="D1090" s="35">
        <v>44764.0</v>
      </c>
      <c r="E1090" s="47"/>
      <c r="F1090" s="47">
        <v>0.0</v>
      </c>
      <c r="G1090" s="48">
        <v>0.0</v>
      </c>
      <c r="H1090" s="24" t="s">
        <v>6766</v>
      </c>
      <c r="I1090" s="47"/>
      <c r="J1090" s="24">
        <v>0.0</v>
      </c>
    </row>
    <row r="1091">
      <c r="A1091" s="24">
        <v>4.0</v>
      </c>
      <c r="B1091" s="24">
        <v>1.0</v>
      </c>
      <c r="C1091" s="47">
        <v>1.37</v>
      </c>
      <c r="D1091" s="35">
        <v>44765.0</v>
      </c>
      <c r="E1091" s="47">
        <v>1.37</v>
      </c>
      <c r="F1091" s="47">
        <v>342.5</v>
      </c>
      <c r="G1091" s="48">
        <v>0.25</v>
      </c>
      <c r="H1091" s="24" t="s">
        <v>6766</v>
      </c>
      <c r="I1091" s="47"/>
      <c r="J1091" s="24">
        <v>0.0</v>
      </c>
    </row>
    <row r="1092">
      <c r="A1092" s="24">
        <v>8.0</v>
      </c>
      <c r="B1092" s="24">
        <v>2.0</v>
      </c>
      <c r="C1092" s="47">
        <v>4.77</v>
      </c>
      <c r="D1092" s="35">
        <v>44766.0</v>
      </c>
      <c r="E1092" s="47">
        <v>2.385</v>
      </c>
      <c r="F1092" s="47">
        <v>596.25</v>
      </c>
      <c r="G1092" s="48">
        <v>0.25</v>
      </c>
      <c r="H1092" s="24" t="s">
        <v>6766</v>
      </c>
      <c r="I1092" s="47"/>
      <c r="J1092" s="24">
        <v>0.0</v>
      </c>
    </row>
    <row r="1093">
      <c r="A1093" s="24">
        <v>22.0</v>
      </c>
      <c r="B1093" s="24">
        <v>1.0</v>
      </c>
      <c r="C1093" s="47">
        <v>2.91</v>
      </c>
      <c r="D1093" s="35">
        <v>44767.0</v>
      </c>
      <c r="E1093" s="47">
        <v>2.91</v>
      </c>
      <c r="F1093" s="47">
        <v>132.272727272727</v>
      </c>
      <c r="G1093" s="48">
        <v>0.0454545454545454</v>
      </c>
      <c r="H1093" s="24" t="s">
        <v>6766</v>
      </c>
      <c r="I1093" s="47"/>
      <c r="J1093" s="24">
        <v>0.0</v>
      </c>
    </row>
    <row r="1094">
      <c r="A1094" s="24">
        <v>32.0</v>
      </c>
      <c r="B1094" s="24">
        <v>0.0</v>
      </c>
      <c r="C1094" s="47">
        <v>0.0</v>
      </c>
      <c r="D1094" s="35">
        <v>44768.0</v>
      </c>
      <c r="E1094" s="47"/>
      <c r="F1094" s="47">
        <v>0.0</v>
      </c>
      <c r="G1094" s="48">
        <v>0.0</v>
      </c>
      <c r="H1094" s="24" t="s">
        <v>6766</v>
      </c>
      <c r="I1094" s="47"/>
      <c r="J1094" s="24">
        <v>0.0</v>
      </c>
    </row>
    <row r="1095">
      <c r="A1095" s="24">
        <v>39.0</v>
      </c>
      <c r="B1095" s="24">
        <v>3.0</v>
      </c>
      <c r="C1095" s="47">
        <v>8.15</v>
      </c>
      <c r="D1095" s="35">
        <v>44769.0</v>
      </c>
      <c r="E1095" s="47">
        <v>2.71666666666666</v>
      </c>
      <c r="F1095" s="47">
        <v>208.974358974358</v>
      </c>
      <c r="G1095" s="48">
        <v>0.0769230769230769</v>
      </c>
      <c r="H1095" s="24" t="s">
        <v>6766</v>
      </c>
      <c r="I1095" s="47"/>
      <c r="J1095" s="24">
        <v>0.0</v>
      </c>
    </row>
    <row r="1096">
      <c r="A1096" s="24">
        <v>35.0</v>
      </c>
      <c r="B1096" s="24">
        <v>3.0</v>
      </c>
      <c r="C1096" s="47">
        <v>5.05</v>
      </c>
      <c r="D1096" s="35">
        <v>44770.0</v>
      </c>
      <c r="E1096" s="47">
        <v>1.68333333333333</v>
      </c>
      <c r="F1096" s="47">
        <v>144.285714285714</v>
      </c>
      <c r="G1096" s="48">
        <v>0.0857142857142857</v>
      </c>
      <c r="H1096" s="24" t="s">
        <v>6766</v>
      </c>
      <c r="I1096" s="47"/>
      <c r="J1096" s="24">
        <v>0.0</v>
      </c>
    </row>
    <row r="1097">
      <c r="A1097" s="24">
        <v>24.0</v>
      </c>
      <c r="B1097" s="24">
        <v>4.0</v>
      </c>
      <c r="C1097" s="47">
        <v>8.69</v>
      </c>
      <c r="D1097" s="35">
        <v>44771.0</v>
      </c>
      <c r="E1097" s="47">
        <v>2.1725</v>
      </c>
      <c r="F1097" s="47">
        <v>362.083333333333</v>
      </c>
      <c r="G1097" s="48">
        <v>0.166666666666666</v>
      </c>
      <c r="H1097" s="24" t="s">
        <v>6766</v>
      </c>
      <c r="I1097" s="47"/>
      <c r="J1097" s="24">
        <v>0.0</v>
      </c>
    </row>
    <row r="1098">
      <c r="A1098" s="24">
        <v>4.0</v>
      </c>
      <c r="B1098" s="24">
        <v>0.0</v>
      </c>
      <c r="C1098" s="47">
        <v>0.0</v>
      </c>
      <c r="D1098" s="35">
        <v>44772.0</v>
      </c>
      <c r="E1098" s="47"/>
      <c r="F1098" s="47">
        <v>0.0</v>
      </c>
      <c r="G1098" s="48">
        <v>0.0</v>
      </c>
      <c r="H1098" s="24" t="s">
        <v>6766</v>
      </c>
      <c r="I1098" s="47"/>
      <c r="J1098" s="24">
        <v>0.0</v>
      </c>
    </row>
    <row r="1099">
      <c r="A1099" s="24">
        <v>6.0</v>
      </c>
      <c r="B1099" s="24">
        <v>1.0</v>
      </c>
      <c r="C1099" s="47">
        <v>1.72</v>
      </c>
      <c r="D1099" s="35">
        <v>44773.0</v>
      </c>
      <c r="E1099" s="47">
        <v>1.72</v>
      </c>
      <c r="F1099" s="47">
        <v>286.666666666666</v>
      </c>
      <c r="G1099" s="48">
        <v>0.166666666666666</v>
      </c>
      <c r="H1099" s="24" t="s">
        <v>6766</v>
      </c>
      <c r="I1099" s="47"/>
      <c r="J1099" s="24">
        <v>0.0</v>
      </c>
    </row>
    <row r="1100">
      <c r="A1100" s="24">
        <v>43.0</v>
      </c>
      <c r="B1100" s="24">
        <v>3.0</v>
      </c>
      <c r="C1100" s="47">
        <v>8.73</v>
      </c>
      <c r="D1100" s="35">
        <v>44774.0</v>
      </c>
      <c r="E1100" s="47">
        <v>2.91</v>
      </c>
      <c r="F1100" s="47">
        <v>203.023255813953</v>
      </c>
      <c r="G1100" s="48">
        <v>0.0697674418604651</v>
      </c>
      <c r="H1100" s="24" t="s">
        <v>6766</v>
      </c>
      <c r="I1100" s="47"/>
      <c r="J1100" s="24">
        <v>0.0</v>
      </c>
    </row>
    <row r="1101">
      <c r="A1101" s="24">
        <v>30.0</v>
      </c>
      <c r="B1101" s="24">
        <v>0.0</v>
      </c>
      <c r="C1101" s="47">
        <v>0.0</v>
      </c>
      <c r="D1101" s="35">
        <v>44775.0</v>
      </c>
      <c r="E1101" s="47"/>
      <c r="F1101" s="47">
        <v>0.0</v>
      </c>
      <c r="G1101" s="48">
        <v>0.0</v>
      </c>
      <c r="H1101" s="24" t="s">
        <v>6766</v>
      </c>
      <c r="I1101" s="47"/>
      <c r="J1101" s="24">
        <v>0.0</v>
      </c>
    </row>
    <row r="1102">
      <c r="A1102" s="24">
        <v>31.0</v>
      </c>
      <c r="B1102" s="24">
        <v>1.0</v>
      </c>
      <c r="C1102" s="47">
        <v>2.92</v>
      </c>
      <c r="D1102" s="35">
        <v>44776.0</v>
      </c>
      <c r="E1102" s="47">
        <v>2.92</v>
      </c>
      <c r="F1102" s="47">
        <v>94.1935483870967</v>
      </c>
      <c r="G1102" s="48">
        <v>0.032258064516129</v>
      </c>
      <c r="H1102" s="24" t="s">
        <v>6766</v>
      </c>
      <c r="I1102" s="47"/>
      <c r="J1102" s="24">
        <v>0.0</v>
      </c>
    </row>
    <row r="1103">
      <c r="A1103" s="24">
        <v>40.0</v>
      </c>
      <c r="B1103" s="24">
        <v>1.0</v>
      </c>
      <c r="C1103" s="47">
        <v>2.7</v>
      </c>
      <c r="D1103" s="35">
        <v>44777.0</v>
      </c>
      <c r="E1103" s="47">
        <v>2.7</v>
      </c>
      <c r="F1103" s="47">
        <v>67.5</v>
      </c>
      <c r="G1103" s="48">
        <v>0.025</v>
      </c>
      <c r="H1103" s="24" t="s">
        <v>6766</v>
      </c>
      <c r="I1103" s="47"/>
      <c r="J1103" s="24">
        <v>0.0</v>
      </c>
    </row>
    <row r="1104">
      <c r="A1104" s="24">
        <v>15.0</v>
      </c>
      <c r="B1104" s="24">
        <v>1.0</v>
      </c>
      <c r="C1104" s="47">
        <v>2.94</v>
      </c>
      <c r="D1104" s="35">
        <v>44778.0</v>
      </c>
      <c r="E1104" s="47">
        <v>2.94</v>
      </c>
      <c r="F1104" s="47">
        <v>196.0</v>
      </c>
      <c r="G1104" s="48">
        <v>0.0666666666666666</v>
      </c>
      <c r="H1104" s="24" t="s">
        <v>6766</v>
      </c>
      <c r="I1104" s="47"/>
      <c r="J1104" s="24">
        <v>0.0</v>
      </c>
    </row>
    <row r="1105">
      <c r="A1105" s="24">
        <v>3.0</v>
      </c>
      <c r="B1105" s="24">
        <v>0.0</v>
      </c>
      <c r="C1105" s="47">
        <v>0.0</v>
      </c>
      <c r="D1105" s="35">
        <v>44779.0</v>
      </c>
      <c r="E1105" s="47"/>
      <c r="F1105" s="47">
        <v>0.0</v>
      </c>
      <c r="G1105" s="48">
        <v>0.0</v>
      </c>
      <c r="H1105" s="24" t="s">
        <v>6766</v>
      </c>
      <c r="I1105" s="47"/>
      <c r="J1105" s="24">
        <v>0.0</v>
      </c>
    </row>
    <row r="1106">
      <c r="A1106" s="24">
        <v>7.0</v>
      </c>
      <c r="B1106" s="24">
        <v>1.0</v>
      </c>
      <c r="C1106" s="47">
        <v>1.12</v>
      </c>
      <c r="D1106" s="35">
        <v>44780.0</v>
      </c>
      <c r="E1106" s="47">
        <v>1.12</v>
      </c>
      <c r="F1106" s="47">
        <v>160.0</v>
      </c>
      <c r="G1106" s="48">
        <v>0.142857142857142</v>
      </c>
      <c r="H1106" s="24" t="s">
        <v>6766</v>
      </c>
      <c r="I1106" s="47"/>
      <c r="J1106" s="24">
        <v>0.0</v>
      </c>
    </row>
    <row r="1107">
      <c r="A1107" s="24">
        <v>33.0</v>
      </c>
      <c r="B1107" s="24">
        <v>2.0</v>
      </c>
      <c r="C1107" s="47">
        <v>5.38</v>
      </c>
      <c r="D1107" s="35">
        <v>44781.0</v>
      </c>
      <c r="E1107" s="47">
        <v>2.69</v>
      </c>
      <c r="F1107" s="47">
        <v>163.030303030303</v>
      </c>
      <c r="G1107" s="48">
        <v>0.0606060606060606</v>
      </c>
      <c r="H1107" s="24" t="s">
        <v>6766</v>
      </c>
      <c r="I1107" s="47"/>
      <c r="J1107" s="24">
        <v>0.0</v>
      </c>
    </row>
    <row r="1108">
      <c r="A1108" s="24">
        <v>33.0</v>
      </c>
      <c r="B1108" s="24">
        <v>3.0</v>
      </c>
      <c r="C1108" s="47">
        <v>7.98</v>
      </c>
      <c r="D1108" s="35">
        <v>44782.0</v>
      </c>
      <c r="E1108" s="47">
        <v>2.66</v>
      </c>
      <c r="F1108" s="47">
        <v>241.818181818181</v>
      </c>
      <c r="G1108" s="48">
        <v>0.0909090909090909</v>
      </c>
      <c r="H1108" s="24" t="s">
        <v>6766</v>
      </c>
      <c r="I1108" s="47"/>
      <c r="J1108" s="24">
        <v>0.0</v>
      </c>
    </row>
    <row r="1109">
      <c r="A1109" s="24">
        <v>21.0</v>
      </c>
      <c r="B1109" s="24">
        <v>1.0</v>
      </c>
      <c r="C1109" s="47">
        <v>2.32</v>
      </c>
      <c r="D1109" s="35">
        <v>44783.0</v>
      </c>
      <c r="E1109" s="47">
        <v>2.32</v>
      </c>
      <c r="F1109" s="47">
        <v>110.47619047619</v>
      </c>
      <c r="G1109" s="48">
        <v>0.0476190476190476</v>
      </c>
      <c r="H1109" s="24" t="s">
        <v>6766</v>
      </c>
      <c r="I1109" s="47"/>
      <c r="J1109" s="24">
        <v>0.0</v>
      </c>
    </row>
    <row r="1110">
      <c r="A1110" s="24">
        <v>29.0</v>
      </c>
      <c r="B1110" s="24">
        <v>1.0</v>
      </c>
      <c r="C1110" s="47">
        <v>2.34</v>
      </c>
      <c r="D1110" s="35">
        <v>44784.0</v>
      </c>
      <c r="E1110" s="47">
        <v>2.34</v>
      </c>
      <c r="F1110" s="47">
        <v>80.6896551724138</v>
      </c>
      <c r="G1110" s="48">
        <v>0.0344827586206896</v>
      </c>
      <c r="H1110" s="24" t="s">
        <v>6766</v>
      </c>
      <c r="I1110" s="47"/>
      <c r="J1110" s="24">
        <v>0.0</v>
      </c>
    </row>
    <row r="1111">
      <c r="A1111" s="24">
        <v>26.0</v>
      </c>
      <c r="B1111" s="24">
        <v>0.0</v>
      </c>
      <c r="C1111" s="47">
        <v>0.0</v>
      </c>
      <c r="D1111" s="35">
        <v>44785.0</v>
      </c>
      <c r="E1111" s="47"/>
      <c r="F1111" s="47">
        <v>0.0</v>
      </c>
      <c r="G1111" s="48">
        <v>0.0</v>
      </c>
      <c r="H1111" s="24" t="s">
        <v>6766</v>
      </c>
      <c r="I1111" s="47"/>
      <c r="J1111" s="24">
        <v>0.0</v>
      </c>
    </row>
    <row r="1112">
      <c r="A1112" s="24">
        <v>11.0</v>
      </c>
      <c r="B1112" s="24">
        <v>0.0</v>
      </c>
      <c r="C1112" s="47">
        <v>0.0</v>
      </c>
      <c r="D1112" s="35">
        <v>44786.0</v>
      </c>
      <c r="E1112" s="47"/>
      <c r="F1112" s="47">
        <v>0.0</v>
      </c>
      <c r="G1112" s="48">
        <v>0.0</v>
      </c>
      <c r="H1112" s="24" t="s">
        <v>6766</v>
      </c>
      <c r="I1112" s="47"/>
      <c r="J1112" s="24">
        <v>0.0</v>
      </c>
    </row>
    <row r="1113">
      <c r="A1113" s="24">
        <v>3.0</v>
      </c>
      <c r="B1113" s="24">
        <v>0.0</v>
      </c>
      <c r="C1113" s="47">
        <v>0.0</v>
      </c>
      <c r="D1113" s="35">
        <v>44787.0</v>
      </c>
      <c r="E1113" s="47"/>
      <c r="F1113" s="47">
        <v>0.0</v>
      </c>
      <c r="G1113" s="48">
        <v>0.0</v>
      </c>
      <c r="H1113" s="24" t="s">
        <v>6766</v>
      </c>
      <c r="I1113" s="47"/>
      <c r="J1113" s="24">
        <v>0.0</v>
      </c>
    </row>
    <row r="1114">
      <c r="A1114" s="24">
        <v>15.0</v>
      </c>
      <c r="B1114" s="24">
        <v>1.0</v>
      </c>
      <c r="C1114" s="47">
        <v>0.02</v>
      </c>
      <c r="D1114" s="35">
        <v>44788.0</v>
      </c>
      <c r="E1114" s="47">
        <v>0.02</v>
      </c>
      <c r="F1114" s="47">
        <v>1.33333333333333</v>
      </c>
      <c r="G1114" s="48">
        <v>0.0666666666666666</v>
      </c>
      <c r="H1114" s="24" t="s">
        <v>6766</v>
      </c>
      <c r="I1114" s="47"/>
      <c r="J1114" s="24">
        <v>0.0</v>
      </c>
    </row>
    <row r="1115">
      <c r="A1115" s="24">
        <v>23.0</v>
      </c>
      <c r="B1115" s="24">
        <v>1.0</v>
      </c>
      <c r="C1115" s="47">
        <v>2.96</v>
      </c>
      <c r="D1115" s="35">
        <v>44789.0</v>
      </c>
      <c r="E1115" s="47">
        <v>2.96</v>
      </c>
      <c r="F1115" s="47">
        <v>128.695652173913</v>
      </c>
      <c r="G1115" s="48">
        <v>0.0434782608695652</v>
      </c>
      <c r="H1115" s="24" t="s">
        <v>6766</v>
      </c>
      <c r="I1115" s="47"/>
      <c r="J1115" s="24">
        <v>0.0</v>
      </c>
    </row>
    <row r="1116">
      <c r="A1116" s="24">
        <v>30.0</v>
      </c>
      <c r="B1116" s="24">
        <v>2.0</v>
      </c>
      <c r="C1116" s="47">
        <v>5.54</v>
      </c>
      <c r="D1116" s="35">
        <v>44790.0</v>
      </c>
      <c r="E1116" s="47">
        <v>2.77</v>
      </c>
      <c r="F1116" s="47">
        <v>184.666666666666</v>
      </c>
      <c r="G1116" s="48">
        <v>0.0666666666666666</v>
      </c>
      <c r="H1116" s="24" t="s">
        <v>6766</v>
      </c>
      <c r="I1116" s="47"/>
      <c r="J1116" s="24">
        <v>0.0</v>
      </c>
    </row>
    <row r="1117">
      <c r="A1117" s="24">
        <v>32.0</v>
      </c>
      <c r="B1117" s="24">
        <v>1.0</v>
      </c>
      <c r="C1117" s="47">
        <v>2.92</v>
      </c>
      <c r="D1117" s="35">
        <v>44791.0</v>
      </c>
      <c r="E1117" s="47">
        <v>2.92</v>
      </c>
      <c r="F1117" s="47">
        <v>91.25</v>
      </c>
      <c r="G1117" s="48">
        <v>0.03125</v>
      </c>
      <c r="H1117" s="24" t="s">
        <v>6766</v>
      </c>
      <c r="I1117" s="47"/>
      <c r="J1117" s="24">
        <v>0.0</v>
      </c>
    </row>
    <row r="1118">
      <c r="A1118" s="24">
        <v>20.0</v>
      </c>
      <c r="B1118" s="24">
        <v>1.0</v>
      </c>
      <c r="C1118" s="47">
        <v>2.95</v>
      </c>
      <c r="D1118" s="35">
        <v>44792.0</v>
      </c>
      <c r="E1118" s="47">
        <v>2.95</v>
      </c>
      <c r="F1118" s="47">
        <v>147.5</v>
      </c>
      <c r="G1118" s="48">
        <v>0.05</v>
      </c>
      <c r="H1118" s="24" t="s">
        <v>6766</v>
      </c>
      <c r="I1118" s="47"/>
      <c r="J1118" s="24">
        <v>0.0</v>
      </c>
    </row>
    <row r="1119">
      <c r="A1119" s="24">
        <v>4.0</v>
      </c>
      <c r="B1119" s="24">
        <v>0.0</v>
      </c>
      <c r="C1119" s="47">
        <v>0.0</v>
      </c>
      <c r="D1119" s="35">
        <v>44793.0</v>
      </c>
      <c r="E1119" s="47"/>
      <c r="F1119" s="47">
        <v>0.0</v>
      </c>
      <c r="G1119" s="48">
        <v>0.0</v>
      </c>
      <c r="H1119" s="24" t="s">
        <v>6766</v>
      </c>
      <c r="I1119" s="47"/>
      <c r="J1119" s="24">
        <v>0.0</v>
      </c>
    </row>
    <row r="1120">
      <c r="A1120" s="24">
        <v>12.0</v>
      </c>
      <c r="B1120" s="24">
        <v>0.0</v>
      </c>
      <c r="C1120" s="47">
        <v>0.0</v>
      </c>
      <c r="D1120" s="35">
        <v>44794.0</v>
      </c>
      <c r="E1120" s="47"/>
      <c r="F1120" s="47">
        <v>0.0</v>
      </c>
      <c r="G1120" s="48">
        <v>0.0</v>
      </c>
      <c r="H1120" s="24" t="s">
        <v>6766</v>
      </c>
      <c r="I1120" s="47"/>
      <c r="J1120" s="24">
        <v>0.0</v>
      </c>
    </row>
    <row r="1121">
      <c r="A1121" s="24">
        <v>22.0</v>
      </c>
      <c r="B1121" s="24">
        <v>3.0</v>
      </c>
      <c r="C1121" s="47">
        <v>6.75</v>
      </c>
      <c r="D1121" s="35">
        <v>44795.0</v>
      </c>
      <c r="E1121" s="47">
        <v>2.25</v>
      </c>
      <c r="F1121" s="47">
        <v>306.818181818181</v>
      </c>
      <c r="G1121" s="48">
        <v>0.136363636363636</v>
      </c>
      <c r="H1121" s="24" t="s">
        <v>6766</v>
      </c>
      <c r="I1121" s="47"/>
      <c r="J1121" s="24">
        <v>0.0</v>
      </c>
    </row>
    <row r="1122">
      <c r="A1122" s="24">
        <v>17.0</v>
      </c>
      <c r="B1122" s="24">
        <v>1.0</v>
      </c>
      <c r="C1122" s="47">
        <v>2.74</v>
      </c>
      <c r="D1122" s="35">
        <v>44796.0</v>
      </c>
      <c r="E1122" s="47">
        <v>2.74</v>
      </c>
      <c r="F1122" s="47">
        <v>161.176470588235</v>
      </c>
      <c r="G1122" s="48">
        <v>0.0588235294117647</v>
      </c>
      <c r="H1122" s="24" t="s">
        <v>6766</v>
      </c>
      <c r="I1122" s="47"/>
      <c r="J1122" s="24">
        <v>0.0</v>
      </c>
    </row>
    <row r="1123">
      <c r="A1123" s="24">
        <v>39.0</v>
      </c>
      <c r="B1123" s="24">
        <v>3.0</v>
      </c>
      <c r="C1123" s="47">
        <v>6.25</v>
      </c>
      <c r="D1123" s="35">
        <v>44797.0</v>
      </c>
      <c r="E1123" s="47">
        <v>2.08333333333333</v>
      </c>
      <c r="F1123" s="47">
        <v>160.25641025641</v>
      </c>
      <c r="G1123" s="48">
        <v>0.0769230769230769</v>
      </c>
      <c r="H1123" s="24" t="s">
        <v>6766</v>
      </c>
      <c r="I1123" s="47"/>
      <c r="J1123" s="24">
        <v>0.0</v>
      </c>
    </row>
    <row r="1124">
      <c r="A1124" s="24">
        <v>30.0</v>
      </c>
      <c r="B1124" s="24">
        <v>0.0</v>
      </c>
      <c r="C1124" s="47">
        <v>0.0</v>
      </c>
      <c r="D1124" s="35">
        <v>44798.0</v>
      </c>
      <c r="E1124" s="47"/>
      <c r="F1124" s="47">
        <v>0.0</v>
      </c>
      <c r="G1124" s="48">
        <v>0.0</v>
      </c>
      <c r="H1124" s="24" t="s">
        <v>6766</v>
      </c>
      <c r="I1124" s="47"/>
      <c r="J1124" s="24">
        <v>0.0</v>
      </c>
    </row>
    <row r="1125">
      <c r="A1125" s="24">
        <v>20.0</v>
      </c>
      <c r="B1125" s="24">
        <v>7.0</v>
      </c>
      <c r="C1125" s="47">
        <v>11.06</v>
      </c>
      <c r="D1125" s="35">
        <v>44799.0</v>
      </c>
      <c r="E1125" s="47">
        <v>1.58</v>
      </c>
      <c r="F1125" s="47">
        <v>553.0</v>
      </c>
      <c r="G1125" s="48">
        <v>0.35</v>
      </c>
      <c r="H1125" s="24" t="s">
        <v>6766</v>
      </c>
      <c r="I1125" s="47"/>
      <c r="J1125" s="24">
        <v>0.0</v>
      </c>
    </row>
    <row r="1126">
      <c r="A1126" s="24">
        <v>4.0</v>
      </c>
      <c r="B1126" s="24">
        <v>1.0</v>
      </c>
      <c r="C1126" s="47">
        <v>2.92</v>
      </c>
      <c r="D1126" s="35">
        <v>44800.0</v>
      </c>
      <c r="E1126" s="47">
        <v>2.92</v>
      </c>
      <c r="F1126" s="47">
        <v>730.0</v>
      </c>
      <c r="G1126" s="48">
        <v>0.25</v>
      </c>
      <c r="H1126" s="24" t="s">
        <v>6766</v>
      </c>
      <c r="I1126" s="47"/>
      <c r="J1126" s="24">
        <v>0.0</v>
      </c>
    </row>
    <row r="1127">
      <c r="A1127" s="24">
        <v>6.0</v>
      </c>
      <c r="B1127" s="24">
        <v>0.0</v>
      </c>
      <c r="C1127" s="47">
        <v>0.0</v>
      </c>
      <c r="D1127" s="35">
        <v>44801.0</v>
      </c>
      <c r="E1127" s="47"/>
      <c r="F1127" s="47">
        <v>0.0</v>
      </c>
      <c r="G1127" s="48">
        <v>0.0</v>
      </c>
      <c r="H1127" s="24" t="s">
        <v>6766</v>
      </c>
      <c r="I1127" s="47"/>
      <c r="J1127" s="24">
        <v>0.0</v>
      </c>
    </row>
    <row r="1128">
      <c r="A1128" s="24">
        <v>22.0</v>
      </c>
      <c r="B1128" s="24">
        <v>3.0</v>
      </c>
      <c r="C1128" s="47">
        <v>8.9</v>
      </c>
      <c r="D1128" s="35">
        <v>44802.0</v>
      </c>
      <c r="E1128" s="47">
        <v>2.96666666666666</v>
      </c>
      <c r="F1128" s="47">
        <v>404.545454545454</v>
      </c>
      <c r="G1128" s="48">
        <v>0.136363636363636</v>
      </c>
      <c r="H1128" s="24" t="s">
        <v>6766</v>
      </c>
      <c r="I1128" s="47"/>
      <c r="J1128" s="24">
        <v>0.0</v>
      </c>
    </row>
    <row r="1129">
      <c r="A1129" s="24">
        <v>30.0</v>
      </c>
      <c r="B1129" s="24">
        <v>4.0</v>
      </c>
      <c r="C1129" s="47">
        <v>11.73</v>
      </c>
      <c r="D1129" s="35">
        <v>44803.0</v>
      </c>
      <c r="E1129" s="47">
        <v>2.9325</v>
      </c>
      <c r="F1129" s="47">
        <v>391.0</v>
      </c>
      <c r="G1129" s="48">
        <v>0.133333333333333</v>
      </c>
      <c r="H1129" s="24" t="s">
        <v>6766</v>
      </c>
      <c r="I1129" s="47"/>
      <c r="J1129" s="24">
        <v>0.0</v>
      </c>
    </row>
    <row r="1130">
      <c r="A1130" s="24">
        <v>36.0</v>
      </c>
      <c r="B1130" s="24">
        <v>4.0</v>
      </c>
      <c r="C1130" s="47">
        <v>9.94</v>
      </c>
      <c r="D1130" s="35">
        <v>44804.0</v>
      </c>
      <c r="E1130" s="47">
        <v>2.485</v>
      </c>
      <c r="F1130" s="47">
        <v>276.111111111111</v>
      </c>
      <c r="G1130" s="48">
        <v>0.111111111111111</v>
      </c>
      <c r="H1130" s="24" t="s">
        <v>6766</v>
      </c>
      <c r="I1130" s="47"/>
      <c r="J1130" s="24">
        <v>0.0</v>
      </c>
    </row>
    <row r="1131">
      <c r="A1131" s="24">
        <v>34.0</v>
      </c>
      <c r="B1131" s="24">
        <v>2.0</v>
      </c>
      <c r="C1131" s="47">
        <v>4.93</v>
      </c>
      <c r="D1131" s="35">
        <v>44805.0</v>
      </c>
      <c r="E1131" s="47">
        <v>2.465</v>
      </c>
      <c r="F1131" s="47">
        <v>145.0</v>
      </c>
      <c r="G1131" s="48">
        <v>0.0588235294117647</v>
      </c>
      <c r="H1131" s="24" t="s">
        <v>6766</v>
      </c>
      <c r="I1131" s="47"/>
      <c r="J1131" s="24">
        <v>0.0</v>
      </c>
    </row>
    <row r="1132">
      <c r="A1132" s="24">
        <v>26.0</v>
      </c>
      <c r="B1132" s="24">
        <v>1.0</v>
      </c>
      <c r="C1132" s="47">
        <v>1.21</v>
      </c>
      <c r="D1132" s="35">
        <v>44806.0</v>
      </c>
      <c r="E1132" s="47">
        <v>1.21</v>
      </c>
      <c r="F1132" s="47">
        <v>46.5384615384615</v>
      </c>
      <c r="G1132" s="48">
        <v>0.0384615384615384</v>
      </c>
      <c r="H1132" s="24" t="s">
        <v>6766</v>
      </c>
      <c r="I1132" s="47"/>
      <c r="J1132" s="24">
        <v>0.0</v>
      </c>
    </row>
    <row r="1133">
      <c r="A1133" s="24">
        <v>7.0</v>
      </c>
      <c r="B1133" s="24">
        <v>2.0</v>
      </c>
      <c r="C1133" s="47">
        <v>5.03</v>
      </c>
      <c r="D1133" s="35">
        <v>44807.0</v>
      </c>
      <c r="E1133" s="47">
        <v>2.515</v>
      </c>
      <c r="F1133" s="47">
        <v>718.571428571428</v>
      </c>
      <c r="G1133" s="48">
        <v>0.285714285714285</v>
      </c>
      <c r="H1133" s="24" t="s">
        <v>6766</v>
      </c>
      <c r="I1133" s="47"/>
      <c r="J1133" s="24">
        <v>0.0</v>
      </c>
    </row>
    <row r="1134">
      <c r="A1134" s="24">
        <v>3.0</v>
      </c>
      <c r="B1134" s="24">
        <v>0.0</v>
      </c>
      <c r="C1134" s="47">
        <v>0.0</v>
      </c>
      <c r="D1134" s="35">
        <v>44808.0</v>
      </c>
      <c r="E1134" s="47"/>
      <c r="F1134" s="47">
        <v>0.0</v>
      </c>
      <c r="G1134" s="48">
        <v>0.0</v>
      </c>
      <c r="H1134" s="24" t="s">
        <v>6766</v>
      </c>
      <c r="I1134" s="47"/>
      <c r="J1134" s="24">
        <v>0.0</v>
      </c>
    </row>
    <row r="1135">
      <c r="A1135" s="24">
        <v>25.0</v>
      </c>
      <c r="B1135" s="24">
        <v>2.0</v>
      </c>
      <c r="C1135" s="47">
        <v>5.98</v>
      </c>
      <c r="D1135" s="35">
        <v>44809.0</v>
      </c>
      <c r="E1135" s="47">
        <v>2.99</v>
      </c>
      <c r="F1135" s="47">
        <v>239.2</v>
      </c>
      <c r="G1135" s="48">
        <v>0.08</v>
      </c>
      <c r="H1135" s="24" t="s">
        <v>6766</v>
      </c>
      <c r="I1135" s="47"/>
      <c r="J1135" s="24">
        <v>0.0</v>
      </c>
    </row>
    <row r="1136">
      <c r="A1136" s="24">
        <v>24.0</v>
      </c>
      <c r="B1136" s="24">
        <v>4.0</v>
      </c>
      <c r="C1136" s="47">
        <v>9.69</v>
      </c>
      <c r="D1136" s="35">
        <v>44810.0</v>
      </c>
      <c r="E1136" s="47">
        <v>2.4225</v>
      </c>
      <c r="F1136" s="47">
        <v>403.75</v>
      </c>
      <c r="G1136" s="48">
        <v>0.166666666666666</v>
      </c>
      <c r="H1136" s="24" t="s">
        <v>6766</v>
      </c>
      <c r="I1136" s="47"/>
      <c r="J1136" s="24">
        <v>0.0</v>
      </c>
    </row>
    <row r="1137">
      <c r="A1137" s="24">
        <v>26.0</v>
      </c>
      <c r="B1137" s="24">
        <v>2.0</v>
      </c>
      <c r="C1137" s="47">
        <v>4.3</v>
      </c>
      <c r="D1137" s="35">
        <v>44811.0</v>
      </c>
      <c r="E1137" s="47">
        <v>2.15</v>
      </c>
      <c r="F1137" s="47">
        <v>165.384615384615</v>
      </c>
      <c r="G1137" s="48">
        <v>0.0769230769230769</v>
      </c>
      <c r="H1137" s="24" t="s">
        <v>6766</v>
      </c>
      <c r="I1137" s="47"/>
      <c r="J1137" s="24">
        <v>0.0</v>
      </c>
    </row>
    <row r="1138">
      <c r="A1138" s="24">
        <v>24.0</v>
      </c>
      <c r="B1138" s="24">
        <v>0.0</v>
      </c>
      <c r="C1138" s="47">
        <v>0.0</v>
      </c>
      <c r="D1138" s="35">
        <v>44812.0</v>
      </c>
      <c r="E1138" s="47"/>
      <c r="F1138" s="47">
        <v>0.0</v>
      </c>
      <c r="G1138" s="48">
        <v>0.0</v>
      </c>
      <c r="H1138" s="24" t="s">
        <v>6766</v>
      </c>
      <c r="I1138" s="47"/>
      <c r="J1138" s="24">
        <v>0.0</v>
      </c>
    </row>
    <row r="1139">
      <c r="A1139" s="24">
        <v>32.0</v>
      </c>
      <c r="B1139" s="24">
        <v>1.0</v>
      </c>
      <c r="C1139" s="47">
        <v>2.97</v>
      </c>
      <c r="D1139" s="35">
        <v>44813.0</v>
      </c>
      <c r="E1139" s="47">
        <v>2.97</v>
      </c>
      <c r="F1139" s="47">
        <v>92.8125</v>
      </c>
      <c r="G1139" s="48">
        <v>0.03125</v>
      </c>
      <c r="H1139" s="24" t="s">
        <v>6766</v>
      </c>
      <c r="I1139" s="47"/>
      <c r="J1139" s="24">
        <v>0.0</v>
      </c>
    </row>
    <row r="1140">
      <c r="A1140" s="24">
        <v>5.0</v>
      </c>
      <c r="B1140" s="24">
        <v>0.0</v>
      </c>
      <c r="C1140" s="47">
        <v>0.0</v>
      </c>
      <c r="D1140" s="35">
        <v>44814.0</v>
      </c>
      <c r="E1140" s="47"/>
      <c r="F1140" s="47">
        <v>0.0</v>
      </c>
      <c r="G1140" s="48">
        <v>0.0</v>
      </c>
      <c r="H1140" s="24" t="s">
        <v>6766</v>
      </c>
      <c r="I1140" s="47"/>
      <c r="J1140" s="24">
        <v>0.0</v>
      </c>
    </row>
    <row r="1141">
      <c r="A1141" s="24">
        <v>6.0</v>
      </c>
      <c r="B1141" s="24">
        <v>1.0</v>
      </c>
      <c r="C1141" s="47">
        <v>2.94</v>
      </c>
      <c r="D1141" s="35">
        <v>44815.0</v>
      </c>
      <c r="E1141" s="47">
        <v>2.94</v>
      </c>
      <c r="F1141" s="47">
        <v>490.0</v>
      </c>
      <c r="G1141" s="48">
        <v>0.166666666666666</v>
      </c>
      <c r="H1141" s="24" t="s">
        <v>6766</v>
      </c>
      <c r="I1141" s="47"/>
      <c r="J1141" s="24">
        <v>0.0</v>
      </c>
    </row>
    <row r="1142">
      <c r="A1142" s="24">
        <v>17.0</v>
      </c>
      <c r="B1142" s="24">
        <v>1.0</v>
      </c>
      <c r="C1142" s="47">
        <v>2.97</v>
      </c>
      <c r="D1142" s="35">
        <v>44816.0</v>
      </c>
      <c r="E1142" s="47">
        <v>2.97</v>
      </c>
      <c r="F1142" s="47">
        <v>174.705882352941</v>
      </c>
      <c r="G1142" s="48">
        <v>0.0588235294117647</v>
      </c>
      <c r="H1142" s="24" t="s">
        <v>6766</v>
      </c>
      <c r="I1142" s="47"/>
      <c r="J1142" s="24">
        <v>0.0</v>
      </c>
    </row>
    <row r="1143">
      <c r="A1143" s="24">
        <v>22.0</v>
      </c>
      <c r="B1143" s="24">
        <v>3.0</v>
      </c>
      <c r="C1143" s="47">
        <v>5.38</v>
      </c>
      <c r="D1143" s="35">
        <v>44817.0</v>
      </c>
      <c r="E1143" s="47">
        <v>1.79333333333333</v>
      </c>
      <c r="F1143" s="47">
        <v>244.545454545454</v>
      </c>
      <c r="G1143" s="48">
        <v>0.136363636363636</v>
      </c>
      <c r="H1143" s="24" t="s">
        <v>6766</v>
      </c>
      <c r="I1143" s="47"/>
      <c r="J1143" s="24">
        <v>0.0</v>
      </c>
    </row>
    <row r="1144">
      <c r="A1144" s="24">
        <v>23.0</v>
      </c>
      <c r="B1144" s="24">
        <v>4.0</v>
      </c>
      <c r="C1144" s="47">
        <v>7.61</v>
      </c>
      <c r="D1144" s="35">
        <v>44818.0</v>
      </c>
      <c r="E1144" s="47">
        <v>1.9025</v>
      </c>
      <c r="F1144" s="47">
        <v>330.869565217391</v>
      </c>
      <c r="G1144" s="48">
        <v>0.17391304347826</v>
      </c>
      <c r="H1144" s="24" t="s">
        <v>6766</v>
      </c>
      <c r="I1144" s="47"/>
      <c r="J1144" s="24">
        <v>0.0</v>
      </c>
    </row>
    <row r="1145">
      <c r="A1145" s="24">
        <v>28.0</v>
      </c>
      <c r="B1145" s="24">
        <v>1.0</v>
      </c>
      <c r="C1145" s="47">
        <v>2.89</v>
      </c>
      <c r="D1145" s="35">
        <v>44819.0</v>
      </c>
      <c r="E1145" s="47">
        <v>2.89</v>
      </c>
      <c r="F1145" s="47">
        <v>103.214285714285</v>
      </c>
      <c r="G1145" s="48">
        <v>0.0357142857142857</v>
      </c>
      <c r="H1145" s="24" t="s">
        <v>6766</v>
      </c>
      <c r="I1145" s="47"/>
      <c r="J1145" s="24">
        <v>0.0</v>
      </c>
    </row>
    <row r="1146">
      <c r="A1146" s="24">
        <v>22.0</v>
      </c>
      <c r="B1146" s="24">
        <v>3.0</v>
      </c>
      <c r="C1146" s="47">
        <v>8.74</v>
      </c>
      <c r="D1146" s="35">
        <v>44820.0</v>
      </c>
      <c r="E1146" s="47">
        <v>2.91333333333333</v>
      </c>
      <c r="F1146" s="47">
        <v>397.272727272727</v>
      </c>
      <c r="G1146" s="48">
        <v>0.136363636363636</v>
      </c>
      <c r="H1146" s="24" t="s">
        <v>6766</v>
      </c>
      <c r="I1146" s="47"/>
      <c r="J1146" s="24">
        <v>0.0</v>
      </c>
    </row>
    <row r="1147">
      <c r="A1147" s="24">
        <v>5.0</v>
      </c>
      <c r="B1147" s="24">
        <v>1.0</v>
      </c>
      <c r="C1147" s="47">
        <v>2.87</v>
      </c>
      <c r="D1147" s="35">
        <v>44821.0</v>
      </c>
      <c r="E1147" s="47">
        <v>2.87</v>
      </c>
      <c r="F1147" s="47">
        <v>574.0</v>
      </c>
      <c r="G1147" s="48">
        <v>0.2</v>
      </c>
      <c r="H1147" s="24" t="s">
        <v>6766</v>
      </c>
      <c r="I1147" s="47"/>
      <c r="J1147" s="24">
        <v>0.0</v>
      </c>
    </row>
    <row r="1148">
      <c r="A1148" s="24">
        <v>9.0</v>
      </c>
      <c r="B1148" s="24">
        <v>0.0</v>
      </c>
      <c r="C1148" s="47">
        <v>0.0</v>
      </c>
      <c r="D1148" s="35">
        <v>44822.0</v>
      </c>
      <c r="E1148" s="47"/>
      <c r="F1148" s="47">
        <v>0.0</v>
      </c>
      <c r="G1148" s="48">
        <v>0.0</v>
      </c>
      <c r="H1148" s="24" t="s">
        <v>6766</v>
      </c>
      <c r="I1148" s="47"/>
      <c r="J1148" s="24">
        <v>0.0</v>
      </c>
    </row>
    <row r="1149">
      <c r="A1149" s="24">
        <v>29.0</v>
      </c>
      <c r="B1149" s="24">
        <v>2.0</v>
      </c>
      <c r="C1149" s="47">
        <v>4.36</v>
      </c>
      <c r="D1149" s="35">
        <v>44823.0</v>
      </c>
      <c r="E1149" s="47">
        <v>2.18</v>
      </c>
      <c r="F1149" s="47">
        <v>150.344827586206</v>
      </c>
      <c r="G1149" s="48">
        <v>0.0689655172413793</v>
      </c>
      <c r="H1149" s="24" t="s">
        <v>6766</v>
      </c>
      <c r="I1149" s="47"/>
      <c r="J1149" s="24">
        <v>0.0</v>
      </c>
    </row>
    <row r="1150">
      <c r="A1150" s="24">
        <v>30.0</v>
      </c>
      <c r="B1150" s="24">
        <v>0.0</v>
      </c>
      <c r="C1150" s="47">
        <v>0.0</v>
      </c>
      <c r="D1150" s="35">
        <v>44824.0</v>
      </c>
      <c r="E1150" s="47"/>
      <c r="F1150" s="47">
        <v>0.0</v>
      </c>
      <c r="G1150" s="48">
        <v>0.0</v>
      </c>
      <c r="H1150" s="24" t="s">
        <v>6766</v>
      </c>
      <c r="I1150" s="47"/>
      <c r="J1150" s="24">
        <v>0.0</v>
      </c>
    </row>
    <row r="1151">
      <c r="A1151" s="24">
        <v>28.0</v>
      </c>
      <c r="B1151" s="24">
        <v>4.0</v>
      </c>
      <c r="C1151" s="47">
        <v>10.16</v>
      </c>
      <c r="D1151" s="35">
        <v>44825.0</v>
      </c>
      <c r="E1151" s="47">
        <v>2.54</v>
      </c>
      <c r="F1151" s="47">
        <v>362.857142857142</v>
      </c>
      <c r="G1151" s="48">
        <v>0.142857142857142</v>
      </c>
      <c r="H1151" s="24" t="s">
        <v>6766</v>
      </c>
      <c r="I1151" s="47"/>
      <c r="J1151" s="24">
        <v>0.0</v>
      </c>
    </row>
    <row r="1152">
      <c r="A1152" s="24">
        <v>25.0</v>
      </c>
      <c r="B1152" s="24">
        <v>2.0</v>
      </c>
      <c r="C1152" s="47">
        <v>2.1</v>
      </c>
      <c r="D1152" s="35">
        <v>44826.0</v>
      </c>
      <c r="E1152" s="47">
        <v>1.05</v>
      </c>
      <c r="F1152" s="47">
        <v>84.0</v>
      </c>
      <c r="G1152" s="48">
        <v>0.08</v>
      </c>
      <c r="H1152" s="24" t="s">
        <v>6766</v>
      </c>
      <c r="I1152" s="47"/>
      <c r="J1152" s="24">
        <v>0.0</v>
      </c>
    </row>
    <row r="1153">
      <c r="A1153" s="24">
        <v>11.0</v>
      </c>
      <c r="B1153" s="24">
        <v>1.0</v>
      </c>
      <c r="C1153" s="47">
        <v>2.87</v>
      </c>
      <c r="D1153" s="35">
        <v>44827.0</v>
      </c>
      <c r="E1153" s="47">
        <v>2.87</v>
      </c>
      <c r="F1153" s="47">
        <v>260.90909090909</v>
      </c>
      <c r="G1153" s="48">
        <v>0.0909090909090909</v>
      </c>
      <c r="H1153" s="24" t="s">
        <v>6766</v>
      </c>
      <c r="I1153" s="47"/>
      <c r="J1153" s="24">
        <v>0.0</v>
      </c>
    </row>
    <row r="1154">
      <c r="A1154" s="24">
        <v>1.0</v>
      </c>
      <c r="B1154" s="24">
        <v>0.0</v>
      </c>
      <c r="C1154" s="47">
        <v>0.0</v>
      </c>
      <c r="D1154" s="35">
        <v>44828.0</v>
      </c>
      <c r="E1154" s="47"/>
      <c r="F1154" s="47">
        <v>0.0</v>
      </c>
      <c r="G1154" s="48">
        <v>0.0</v>
      </c>
      <c r="H1154" s="24" t="s">
        <v>6766</v>
      </c>
      <c r="I1154" s="47"/>
      <c r="J1154" s="24">
        <v>0.0</v>
      </c>
    </row>
    <row r="1155">
      <c r="A1155" s="24">
        <v>6.0</v>
      </c>
      <c r="B1155" s="24">
        <v>0.0</v>
      </c>
      <c r="C1155" s="47">
        <v>0.0</v>
      </c>
      <c r="D1155" s="35">
        <v>44829.0</v>
      </c>
      <c r="E1155" s="47"/>
      <c r="F1155" s="47">
        <v>0.0</v>
      </c>
      <c r="G1155" s="48">
        <v>0.0</v>
      </c>
      <c r="H1155" s="24" t="s">
        <v>6766</v>
      </c>
      <c r="I1155" s="47"/>
      <c r="J1155" s="24">
        <v>0.0</v>
      </c>
    </row>
    <row r="1156">
      <c r="A1156" s="24">
        <v>34.0</v>
      </c>
      <c r="B1156" s="24">
        <v>1.0</v>
      </c>
      <c r="C1156" s="47">
        <v>2.92</v>
      </c>
      <c r="D1156" s="35">
        <v>44830.0</v>
      </c>
      <c r="E1156" s="47">
        <v>2.92</v>
      </c>
      <c r="F1156" s="47">
        <v>85.8823529411764</v>
      </c>
      <c r="G1156" s="48">
        <v>0.0294117647058823</v>
      </c>
      <c r="H1156" s="24" t="s">
        <v>6766</v>
      </c>
      <c r="I1156" s="47"/>
      <c r="J1156" s="24">
        <v>0.0</v>
      </c>
    </row>
    <row r="1157">
      <c r="A1157" s="24">
        <v>18.0</v>
      </c>
      <c r="B1157" s="24">
        <v>1.0</v>
      </c>
      <c r="C1157" s="47">
        <v>1.88</v>
      </c>
      <c r="D1157" s="35">
        <v>44831.0</v>
      </c>
      <c r="E1157" s="47">
        <v>1.88</v>
      </c>
      <c r="F1157" s="47">
        <v>104.444444444444</v>
      </c>
      <c r="G1157" s="48">
        <v>0.0555555555555555</v>
      </c>
      <c r="H1157" s="24" t="s">
        <v>6766</v>
      </c>
      <c r="I1157" s="47">
        <v>1.88</v>
      </c>
      <c r="J1157" s="24">
        <v>1.0</v>
      </c>
    </row>
    <row r="1158">
      <c r="A1158" s="24">
        <v>31.0</v>
      </c>
      <c r="B1158" s="24">
        <v>2.0</v>
      </c>
      <c r="C1158" s="47">
        <v>4.66</v>
      </c>
      <c r="D1158" s="35">
        <v>44832.0</v>
      </c>
      <c r="E1158" s="47">
        <v>2.33</v>
      </c>
      <c r="F1158" s="47">
        <v>150.322580645161</v>
      </c>
      <c r="G1158" s="48">
        <v>0.064516129032258</v>
      </c>
      <c r="H1158" s="24" t="s">
        <v>6766</v>
      </c>
      <c r="I1158" s="47"/>
      <c r="J1158" s="24">
        <v>0.0</v>
      </c>
    </row>
    <row r="1159">
      <c r="A1159" s="24">
        <v>31.0</v>
      </c>
      <c r="B1159" s="24">
        <v>0.0</v>
      </c>
      <c r="C1159" s="47">
        <v>0.0</v>
      </c>
      <c r="D1159" s="35">
        <v>44833.0</v>
      </c>
      <c r="E1159" s="47"/>
      <c r="F1159" s="47">
        <v>0.0</v>
      </c>
      <c r="G1159" s="48">
        <v>0.0</v>
      </c>
      <c r="H1159" s="24" t="s">
        <v>6766</v>
      </c>
      <c r="I1159" s="47"/>
      <c r="J1159" s="24">
        <v>0.0</v>
      </c>
    </row>
    <row r="1160">
      <c r="A1160" s="24">
        <v>32.0</v>
      </c>
      <c r="B1160" s="24">
        <v>2.0</v>
      </c>
      <c r="C1160" s="47">
        <v>5.72</v>
      </c>
      <c r="D1160" s="35">
        <v>44834.0</v>
      </c>
      <c r="E1160" s="47">
        <v>2.86</v>
      </c>
      <c r="F1160" s="47">
        <v>178.75</v>
      </c>
      <c r="G1160" s="48">
        <v>0.0625</v>
      </c>
      <c r="H1160" s="24" t="s">
        <v>6766</v>
      </c>
      <c r="I1160" s="47"/>
      <c r="J1160" s="24">
        <v>0.0</v>
      </c>
    </row>
    <row r="1161">
      <c r="A1161" s="24">
        <v>2.0</v>
      </c>
      <c r="B1161" s="24">
        <v>1.0</v>
      </c>
      <c r="C1161" s="47">
        <v>2.98</v>
      </c>
      <c r="D1161" s="35">
        <v>44835.0</v>
      </c>
      <c r="E1161" s="47">
        <v>2.98</v>
      </c>
      <c r="F1161" s="47">
        <v>1490.0</v>
      </c>
      <c r="G1161" s="48">
        <v>0.5</v>
      </c>
      <c r="H1161" s="24" t="s">
        <v>6766</v>
      </c>
      <c r="I1161" s="47"/>
      <c r="J1161" s="24">
        <v>0.0</v>
      </c>
    </row>
    <row r="1162">
      <c r="A1162" s="24">
        <v>6.0</v>
      </c>
      <c r="B1162" s="24">
        <v>0.0</v>
      </c>
      <c r="C1162" s="47">
        <v>0.0</v>
      </c>
      <c r="D1162" s="35">
        <v>44836.0</v>
      </c>
      <c r="E1162" s="47"/>
      <c r="F1162" s="47">
        <v>0.0</v>
      </c>
      <c r="G1162" s="48">
        <v>0.0</v>
      </c>
      <c r="H1162" s="24" t="s">
        <v>6766</v>
      </c>
      <c r="I1162" s="47"/>
      <c r="J1162" s="24">
        <v>0.0</v>
      </c>
    </row>
    <row r="1163">
      <c r="A1163" s="24">
        <v>22.0</v>
      </c>
      <c r="B1163" s="24">
        <v>0.0</v>
      </c>
      <c r="C1163" s="47">
        <v>0.0</v>
      </c>
      <c r="D1163" s="35">
        <v>44837.0</v>
      </c>
      <c r="E1163" s="47"/>
      <c r="F1163" s="47">
        <v>0.0</v>
      </c>
      <c r="G1163" s="48">
        <v>0.0</v>
      </c>
      <c r="H1163" s="24" t="s">
        <v>6766</v>
      </c>
      <c r="I1163" s="47"/>
      <c r="J1163" s="24">
        <v>0.0</v>
      </c>
    </row>
    <row r="1164">
      <c r="A1164" s="24">
        <v>36.0</v>
      </c>
      <c r="B1164" s="24">
        <v>3.0</v>
      </c>
      <c r="C1164" s="47">
        <v>8.78</v>
      </c>
      <c r="D1164" s="35">
        <v>44838.0</v>
      </c>
      <c r="E1164" s="47">
        <v>2.92666666666666</v>
      </c>
      <c r="F1164" s="47">
        <v>243.888888888888</v>
      </c>
      <c r="G1164" s="48">
        <v>0.0833333333333333</v>
      </c>
      <c r="H1164" s="24" t="s">
        <v>6766</v>
      </c>
      <c r="I1164" s="47"/>
      <c r="J1164" s="24">
        <v>0.0</v>
      </c>
    </row>
    <row r="1165">
      <c r="A1165" s="24">
        <v>34.0</v>
      </c>
      <c r="B1165" s="24">
        <v>3.0</v>
      </c>
      <c r="C1165" s="47">
        <v>4.65</v>
      </c>
      <c r="D1165" s="35">
        <v>44839.0</v>
      </c>
      <c r="E1165" s="47">
        <v>1.55</v>
      </c>
      <c r="F1165" s="47">
        <v>136.764705882352</v>
      </c>
      <c r="G1165" s="48">
        <v>0.088235294117647</v>
      </c>
      <c r="H1165" s="24" t="s">
        <v>6766</v>
      </c>
      <c r="I1165" s="47"/>
      <c r="J1165" s="24">
        <v>0.0</v>
      </c>
    </row>
    <row r="1166">
      <c r="A1166" s="24">
        <v>37.0</v>
      </c>
      <c r="B1166" s="24">
        <v>3.0</v>
      </c>
      <c r="C1166" s="47">
        <v>5.23</v>
      </c>
      <c r="D1166" s="35">
        <v>44840.0</v>
      </c>
      <c r="E1166" s="47">
        <v>1.74333333333333</v>
      </c>
      <c r="F1166" s="47">
        <v>141.351351351351</v>
      </c>
      <c r="G1166" s="48">
        <v>0.081081081081081</v>
      </c>
      <c r="H1166" s="24" t="s">
        <v>6766</v>
      </c>
      <c r="I1166" s="47"/>
      <c r="J1166" s="24">
        <v>0.0</v>
      </c>
    </row>
    <row r="1167">
      <c r="A1167" s="24">
        <v>27.0</v>
      </c>
      <c r="B1167" s="24">
        <v>0.0</v>
      </c>
      <c r="C1167" s="47">
        <v>0.0</v>
      </c>
      <c r="D1167" s="35">
        <v>44841.0</v>
      </c>
      <c r="E1167" s="47"/>
      <c r="F1167" s="47">
        <v>0.0</v>
      </c>
      <c r="G1167" s="48">
        <v>0.0</v>
      </c>
      <c r="H1167" s="24" t="s">
        <v>6766</v>
      </c>
      <c r="I1167" s="47"/>
      <c r="J1167" s="24">
        <v>0.0</v>
      </c>
    </row>
    <row r="1168">
      <c r="A1168" s="24">
        <v>7.0</v>
      </c>
      <c r="B1168" s="24">
        <v>0.0</v>
      </c>
      <c r="C1168" s="47">
        <v>0.0</v>
      </c>
      <c r="D1168" s="35">
        <v>44842.0</v>
      </c>
      <c r="E1168" s="47"/>
      <c r="F1168" s="47">
        <v>0.0</v>
      </c>
      <c r="G1168" s="48">
        <v>0.0</v>
      </c>
      <c r="H1168" s="24" t="s">
        <v>6766</v>
      </c>
      <c r="I1168" s="47"/>
      <c r="J1168" s="24">
        <v>0.0</v>
      </c>
    </row>
    <row r="1169">
      <c r="A1169" s="24">
        <v>7.0</v>
      </c>
      <c r="B1169" s="24">
        <v>2.0</v>
      </c>
      <c r="C1169" s="47">
        <v>5.84</v>
      </c>
      <c r="D1169" s="35">
        <v>44843.0</v>
      </c>
      <c r="E1169" s="47">
        <v>2.92</v>
      </c>
      <c r="F1169" s="47">
        <v>834.285714285714</v>
      </c>
      <c r="G1169" s="48">
        <v>0.285714285714285</v>
      </c>
      <c r="H1169" s="24" t="s">
        <v>6766</v>
      </c>
      <c r="I1169" s="47"/>
      <c r="J1169" s="24">
        <v>0.0</v>
      </c>
    </row>
    <row r="1170">
      <c r="A1170" s="24">
        <v>21.0</v>
      </c>
      <c r="B1170" s="24">
        <v>2.0</v>
      </c>
      <c r="C1170" s="47">
        <v>5.59</v>
      </c>
      <c r="D1170" s="35">
        <v>44844.0</v>
      </c>
      <c r="E1170" s="47">
        <v>2.795</v>
      </c>
      <c r="F1170" s="47">
        <v>266.190476190476</v>
      </c>
      <c r="G1170" s="48">
        <v>0.0952380952380952</v>
      </c>
      <c r="H1170" s="24" t="s">
        <v>6766</v>
      </c>
      <c r="I1170" s="47"/>
      <c r="J1170" s="24">
        <v>0.0</v>
      </c>
    </row>
    <row r="1171">
      <c r="A1171" s="24">
        <v>32.0</v>
      </c>
      <c r="B1171" s="24">
        <v>2.0</v>
      </c>
      <c r="C1171" s="47">
        <v>6.0</v>
      </c>
      <c r="D1171" s="35">
        <v>44845.0</v>
      </c>
      <c r="E1171" s="47">
        <v>3.0</v>
      </c>
      <c r="F1171" s="47">
        <v>187.5</v>
      </c>
      <c r="G1171" s="48">
        <v>0.0625</v>
      </c>
      <c r="H1171" s="24" t="s">
        <v>6766</v>
      </c>
      <c r="I1171" s="47">
        <v>6.0</v>
      </c>
      <c r="J1171" s="24">
        <v>1.0</v>
      </c>
    </row>
    <row r="1172">
      <c r="A1172" s="24">
        <v>22.0</v>
      </c>
      <c r="B1172" s="24">
        <v>1.0</v>
      </c>
      <c r="C1172" s="47">
        <v>2.94</v>
      </c>
      <c r="D1172" s="35">
        <v>44846.0</v>
      </c>
      <c r="E1172" s="47">
        <v>2.94</v>
      </c>
      <c r="F1172" s="47">
        <v>133.636363636363</v>
      </c>
      <c r="G1172" s="48">
        <v>0.0454545454545454</v>
      </c>
      <c r="H1172" s="24" t="s">
        <v>6766</v>
      </c>
      <c r="I1172" s="47"/>
      <c r="J1172" s="24">
        <v>0.0</v>
      </c>
    </row>
    <row r="1173">
      <c r="A1173" s="24">
        <v>17.0</v>
      </c>
      <c r="B1173" s="24">
        <v>2.0</v>
      </c>
      <c r="C1173" s="47">
        <v>3.46</v>
      </c>
      <c r="D1173" s="35">
        <v>44847.0</v>
      </c>
      <c r="E1173" s="47">
        <v>1.73</v>
      </c>
      <c r="F1173" s="47">
        <v>203.529411764705</v>
      </c>
      <c r="G1173" s="48">
        <v>0.117647058823529</v>
      </c>
      <c r="H1173" s="24" t="s">
        <v>6766</v>
      </c>
      <c r="I1173" s="47"/>
      <c r="J1173" s="24">
        <v>0.0</v>
      </c>
    </row>
    <row r="1174">
      <c r="A1174" s="24">
        <v>26.0</v>
      </c>
      <c r="B1174" s="24">
        <v>2.0</v>
      </c>
      <c r="C1174" s="47">
        <v>4.92</v>
      </c>
      <c r="D1174" s="35">
        <v>44848.0</v>
      </c>
      <c r="E1174" s="47">
        <v>2.46</v>
      </c>
      <c r="F1174" s="47">
        <v>189.230769230769</v>
      </c>
      <c r="G1174" s="48">
        <v>0.0769230769230769</v>
      </c>
      <c r="H1174" s="24" t="s">
        <v>6766</v>
      </c>
      <c r="I1174" s="47"/>
      <c r="J1174" s="24">
        <v>0.0</v>
      </c>
    </row>
    <row r="1175">
      <c r="A1175" s="24">
        <v>4.0</v>
      </c>
      <c r="B1175" s="24">
        <v>0.0</v>
      </c>
      <c r="C1175" s="47">
        <v>0.0</v>
      </c>
      <c r="D1175" s="35">
        <v>44849.0</v>
      </c>
      <c r="E1175" s="47"/>
      <c r="F1175" s="47">
        <v>0.0</v>
      </c>
      <c r="G1175" s="48">
        <v>0.0</v>
      </c>
      <c r="H1175" s="24" t="s">
        <v>6766</v>
      </c>
      <c r="I1175" s="47"/>
      <c r="J1175" s="24">
        <v>0.0</v>
      </c>
    </row>
    <row r="1176">
      <c r="A1176" s="24">
        <v>13.0</v>
      </c>
      <c r="B1176" s="24">
        <v>2.0</v>
      </c>
      <c r="C1176" s="47">
        <v>4.78</v>
      </c>
      <c r="D1176" s="35">
        <v>44850.0</v>
      </c>
      <c r="E1176" s="47">
        <v>2.39</v>
      </c>
      <c r="F1176" s="47">
        <v>367.692307692307</v>
      </c>
      <c r="G1176" s="48">
        <v>0.153846153846153</v>
      </c>
      <c r="H1176" s="24" t="s">
        <v>6766</v>
      </c>
      <c r="I1176" s="47"/>
      <c r="J1176" s="24">
        <v>0.0</v>
      </c>
    </row>
    <row r="1177">
      <c r="A1177" s="24">
        <v>27.0</v>
      </c>
      <c r="B1177" s="24">
        <v>4.0</v>
      </c>
      <c r="C1177" s="47">
        <v>6.17</v>
      </c>
      <c r="D1177" s="35">
        <v>44851.0</v>
      </c>
      <c r="E1177" s="47">
        <v>1.5425</v>
      </c>
      <c r="F1177" s="47">
        <v>228.518518518518</v>
      </c>
      <c r="G1177" s="48">
        <v>0.148148148148148</v>
      </c>
      <c r="H1177" s="24" t="s">
        <v>6766</v>
      </c>
      <c r="I1177" s="47"/>
      <c r="J1177" s="24">
        <v>0.0</v>
      </c>
    </row>
    <row r="1178">
      <c r="A1178" s="24">
        <v>34.0</v>
      </c>
      <c r="B1178" s="24">
        <v>0.0</v>
      </c>
      <c r="C1178" s="47">
        <v>0.0</v>
      </c>
      <c r="D1178" s="35">
        <v>44852.0</v>
      </c>
      <c r="E1178" s="47"/>
      <c r="F1178" s="47">
        <v>0.0</v>
      </c>
      <c r="G1178" s="48">
        <v>0.0</v>
      </c>
      <c r="H1178" s="24" t="s">
        <v>6766</v>
      </c>
      <c r="I1178" s="47"/>
      <c r="J1178" s="24">
        <v>0.0</v>
      </c>
    </row>
    <row r="1179">
      <c r="A1179" s="24">
        <v>11.0</v>
      </c>
      <c r="B1179" s="24">
        <v>1.0</v>
      </c>
      <c r="C1179" s="47">
        <v>2.99</v>
      </c>
      <c r="D1179" s="35">
        <v>44853.0</v>
      </c>
      <c r="E1179" s="47">
        <v>2.99</v>
      </c>
      <c r="F1179" s="47">
        <v>271.818181818181</v>
      </c>
      <c r="G1179" s="48">
        <v>0.0909090909090909</v>
      </c>
      <c r="H1179" s="24" t="s">
        <v>6766</v>
      </c>
      <c r="I1179" s="47"/>
      <c r="J1179" s="24">
        <v>0.0</v>
      </c>
    </row>
    <row r="1180">
      <c r="A1180" s="24">
        <v>3.0</v>
      </c>
      <c r="B1180" s="24">
        <v>1.0</v>
      </c>
      <c r="C1180" s="47">
        <v>3.0</v>
      </c>
      <c r="D1180" s="35">
        <v>44889.0</v>
      </c>
      <c r="E1180" s="47">
        <v>3.0</v>
      </c>
      <c r="F1180" s="47">
        <v>1000.0</v>
      </c>
      <c r="G1180" s="48">
        <v>0.333333333333333</v>
      </c>
      <c r="H1180" s="24" t="s">
        <v>6766</v>
      </c>
      <c r="I1180" s="47">
        <v>3.0</v>
      </c>
      <c r="J1180" s="24">
        <v>1.0</v>
      </c>
    </row>
    <row r="1181">
      <c r="A1181" s="24">
        <v>6.0</v>
      </c>
      <c r="B1181" s="24">
        <v>4.0</v>
      </c>
      <c r="C1181" s="47">
        <v>9.96</v>
      </c>
      <c r="D1181" s="35">
        <v>44890.0</v>
      </c>
      <c r="E1181" s="47">
        <v>2.49</v>
      </c>
      <c r="F1181" s="47">
        <v>1660.0</v>
      </c>
      <c r="G1181" s="48">
        <v>0.666666666666666</v>
      </c>
      <c r="H1181" s="24" t="s">
        <v>6766</v>
      </c>
      <c r="I1181" s="47"/>
      <c r="J1181" s="24">
        <v>0.0</v>
      </c>
    </row>
    <row r="1182">
      <c r="A1182" s="24">
        <v>9.0</v>
      </c>
      <c r="B1182" s="24">
        <v>0.0</v>
      </c>
      <c r="C1182" s="47">
        <v>0.0</v>
      </c>
      <c r="D1182" s="35">
        <v>44891.0</v>
      </c>
      <c r="E1182" s="47"/>
      <c r="F1182" s="47">
        <v>0.0</v>
      </c>
      <c r="G1182" s="48">
        <v>0.0</v>
      </c>
      <c r="H1182" s="24" t="s">
        <v>6766</v>
      </c>
      <c r="I1182" s="47"/>
      <c r="J1182" s="24">
        <v>0.0</v>
      </c>
    </row>
    <row r="1183">
      <c r="A1183" s="24">
        <v>5.0</v>
      </c>
      <c r="B1183" s="24">
        <v>0.0</v>
      </c>
      <c r="C1183" s="47">
        <v>0.0</v>
      </c>
      <c r="D1183" s="35">
        <v>44892.0</v>
      </c>
      <c r="E1183" s="47"/>
      <c r="F1183" s="47">
        <v>0.0</v>
      </c>
      <c r="G1183" s="48">
        <v>0.0</v>
      </c>
      <c r="H1183" s="24" t="s">
        <v>6766</v>
      </c>
      <c r="I1183" s="47"/>
      <c r="J1183" s="24">
        <v>0.0</v>
      </c>
    </row>
    <row r="1184">
      <c r="A1184" s="24">
        <v>19.0</v>
      </c>
      <c r="B1184" s="24">
        <v>0.0</v>
      </c>
      <c r="C1184" s="47">
        <v>0.0</v>
      </c>
      <c r="D1184" s="35">
        <v>44893.0</v>
      </c>
      <c r="E1184" s="47"/>
      <c r="F1184" s="47">
        <v>0.0</v>
      </c>
      <c r="G1184" s="48">
        <v>0.0</v>
      </c>
      <c r="H1184" s="24" t="s">
        <v>6766</v>
      </c>
      <c r="I1184" s="47"/>
      <c r="J1184" s="24">
        <v>0.0</v>
      </c>
    </row>
    <row r="1185">
      <c r="A1185" s="24">
        <v>47.0</v>
      </c>
      <c r="B1185" s="24">
        <v>2.0</v>
      </c>
      <c r="C1185" s="47">
        <v>5.88</v>
      </c>
      <c r="D1185" s="35">
        <v>44894.0</v>
      </c>
      <c r="E1185" s="47">
        <v>2.94</v>
      </c>
      <c r="F1185" s="47">
        <v>125.106382978723</v>
      </c>
      <c r="G1185" s="48">
        <v>0.0425531914893617</v>
      </c>
      <c r="H1185" s="24" t="s">
        <v>6766</v>
      </c>
      <c r="I1185" s="47"/>
      <c r="J1185" s="24">
        <v>0.0</v>
      </c>
    </row>
    <row r="1186">
      <c r="A1186" s="24">
        <v>29.0</v>
      </c>
      <c r="B1186" s="24">
        <v>3.0</v>
      </c>
      <c r="C1186" s="47">
        <v>8.74</v>
      </c>
      <c r="D1186" s="35">
        <v>44895.0</v>
      </c>
      <c r="E1186" s="47">
        <v>2.91333333333333</v>
      </c>
      <c r="F1186" s="47">
        <v>301.379310344827</v>
      </c>
      <c r="G1186" s="48">
        <v>0.103448275862068</v>
      </c>
      <c r="H1186" s="24" t="s">
        <v>6766</v>
      </c>
      <c r="I1186" s="47"/>
      <c r="J1186" s="24">
        <v>0.0</v>
      </c>
    </row>
    <row r="1187">
      <c r="A1187" s="24">
        <v>37.0</v>
      </c>
      <c r="B1187" s="24">
        <v>1.0</v>
      </c>
      <c r="C1187" s="47">
        <v>1.42</v>
      </c>
      <c r="D1187" s="35">
        <v>44896.0</v>
      </c>
      <c r="E1187" s="47">
        <v>1.42</v>
      </c>
      <c r="F1187" s="47">
        <v>38.3783783783783</v>
      </c>
      <c r="G1187" s="48">
        <v>0.027027027027027</v>
      </c>
      <c r="H1187" s="24" t="s">
        <v>6766</v>
      </c>
      <c r="I1187" s="47"/>
      <c r="J1187" s="24">
        <v>0.0</v>
      </c>
    </row>
    <row r="1188">
      <c r="A1188" s="24">
        <v>22.0</v>
      </c>
      <c r="B1188" s="24">
        <v>2.0</v>
      </c>
      <c r="C1188" s="47">
        <v>3.8</v>
      </c>
      <c r="D1188" s="35">
        <v>44897.0</v>
      </c>
      <c r="E1188" s="47">
        <v>1.9</v>
      </c>
      <c r="F1188" s="47">
        <v>172.727272727272</v>
      </c>
      <c r="G1188" s="48">
        <v>0.0909090909090909</v>
      </c>
      <c r="H1188" s="24" t="s">
        <v>6766</v>
      </c>
      <c r="I1188" s="47"/>
      <c r="J1188" s="24">
        <v>0.0</v>
      </c>
    </row>
    <row r="1189">
      <c r="A1189" s="24">
        <v>2.0</v>
      </c>
      <c r="B1189" s="24">
        <v>0.0</v>
      </c>
      <c r="C1189" s="47">
        <v>0.0</v>
      </c>
      <c r="D1189" s="35">
        <v>44898.0</v>
      </c>
      <c r="E1189" s="47"/>
      <c r="F1189" s="47">
        <v>0.0</v>
      </c>
      <c r="G1189" s="48">
        <v>0.0</v>
      </c>
      <c r="H1189" s="24" t="s">
        <v>6766</v>
      </c>
      <c r="I1189" s="47"/>
      <c r="J1189" s="24">
        <v>0.0</v>
      </c>
    </row>
    <row r="1190">
      <c r="A1190" s="24">
        <v>7.0</v>
      </c>
      <c r="B1190" s="24">
        <v>0.0</v>
      </c>
      <c r="C1190" s="47">
        <v>0.0</v>
      </c>
      <c r="D1190" s="35">
        <v>44899.0</v>
      </c>
      <c r="E1190" s="47"/>
      <c r="F1190" s="47">
        <v>0.0</v>
      </c>
      <c r="G1190" s="48">
        <v>0.0</v>
      </c>
      <c r="H1190" s="24" t="s">
        <v>6766</v>
      </c>
      <c r="I1190" s="47"/>
      <c r="J1190" s="24">
        <v>0.0</v>
      </c>
    </row>
    <row r="1191">
      <c r="A1191" s="24">
        <v>30.0</v>
      </c>
      <c r="B1191" s="24">
        <v>2.0</v>
      </c>
      <c r="C1191" s="47">
        <v>3.48</v>
      </c>
      <c r="D1191" s="35">
        <v>44900.0</v>
      </c>
      <c r="E1191" s="47">
        <v>1.74</v>
      </c>
      <c r="F1191" s="47">
        <v>116.0</v>
      </c>
      <c r="G1191" s="48">
        <v>0.0666666666666666</v>
      </c>
      <c r="H1191" s="24" t="s">
        <v>6766</v>
      </c>
      <c r="I1191" s="47"/>
      <c r="J1191" s="24">
        <v>0.0</v>
      </c>
    </row>
    <row r="1192">
      <c r="A1192" s="24">
        <v>29.0</v>
      </c>
      <c r="B1192" s="24">
        <v>0.0</v>
      </c>
      <c r="C1192" s="47">
        <v>0.0</v>
      </c>
      <c r="D1192" s="35">
        <v>44901.0</v>
      </c>
      <c r="E1192" s="47"/>
      <c r="F1192" s="47">
        <v>0.0</v>
      </c>
      <c r="G1192" s="48">
        <v>0.0</v>
      </c>
      <c r="H1192" s="24" t="s">
        <v>6766</v>
      </c>
      <c r="I1192" s="47"/>
      <c r="J1192" s="24">
        <v>0.0</v>
      </c>
    </row>
    <row r="1193">
      <c r="A1193" s="24">
        <v>38.0</v>
      </c>
      <c r="B1193" s="24">
        <v>1.0</v>
      </c>
      <c r="C1193" s="47">
        <v>2.85</v>
      </c>
      <c r="D1193" s="35">
        <v>44902.0</v>
      </c>
      <c r="E1193" s="47">
        <v>2.85</v>
      </c>
      <c r="F1193" s="47">
        <v>75.0</v>
      </c>
      <c r="G1193" s="48">
        <v>0.0263157894736842</v>
      </c>
      <c r="H1193" s="24" t="s">
        <v>6766</v>
      </c>
      <c r="I1193" s="47"/>
      <c r="J1193" s="24">
        <v>0.0</v>
      </c>
    </row>
    <row r="1194">
      <c r="A1194" s="24">
        <v>32.0</v>
      </c>
      <c r="B1194" s="24">
        <v>1.0</v>
      </c>
      <c r="C1194" s="47">
        <v>1.27</v>
      </c>
      <c r="D1194" s="35">
        <v>44903.0</v>
      </c>
      <c r="E1194" s="47">
        <v>1.27</v>
      </c>
      <c r="F1194" s="47">
        <v>39.6875</v>
      </c>
      <c r="G1194" s="48">
        <v>0.03125</v>
      </c>
      <c r="H1194" s="24" t="s">
        <v>6766</v>
      </c>
      <c r="I1194" s="47"/>
      <c r="J1194" s="24">
        <v>0.0</v>
      </c>
    </row>
    <row r="1195">
      <c r="A1195" s="24">
        <v>20.0</v>
      </c>
      <c r="B1195" s="24">
        <v>3.0</v>
      </c>
      <c r="C1195" s="47">
        <v>8.74</v>
      </c>
      <c r="D1195" s="35">
        <v>44904.0</v>
      </c>
      <c r="E1195" s="47">
        <v>2.91333333333333</v>
      </c>
      <c r="F1195" s="47">
        <v>437.0</v>
      </c>
      <c r="G1195" s="48">
        <v>0.15</v>
      </c>
      <c r="H1195" s="24" t="s">
        <v>6766</v>
      </c>
      <c r="I1195" s="47"/>
      <c r="J1195" s="24">
        <v>0.0</v>
      </c>
    </row>
    <row r="1196">
      <c r="A1196" s="24">
        <v>6.0</v>
      </c>
      <c r="B1196" s="24">
        <v>1.0</v>
      </c>
      <c r="C1196" s="47">
        <v>2.9</v>
      </c>
      <c r="D1196" s="35">
        <v>44905.0</v>
      </c>
      <c r="E1196" s="47">
        <v>2.9</v>
      </c>
      <c r="F1196" s="47">
        <v>483.333333333333</v>
      </c>
      <c r="G1196" s="48">
        <v>0.166666666666666</v>
      </c>
      <c r="H1196" s="24" t="s">
        <v>6766</v>
      </c>
      <c r="I1196" s="47"/>
      <c r="J1196" s="24">
        <v>0.0</v>
      </c>
    </row>
    <row r="1197">
      <c r="A1197" s="24">
        <v>8.0</v>
      </c>
      <c r="B1197" s="24">
        <v>3.0</v>
      </c>
      <c r="C1197" s="47">
        <v>6.64</v>
      </c>
      <c r="D1197" s="35">
        <v>44906.0</v>
      </c>
      <c r="E1197" s="47">
        <v>2.21333333333333</v>
      </c>
      <c r="F1197" s="47">
        <v>830.0</v>
      </c>
      <c r="G1197" s="48">
        <v>0.375</v>
      </c>
      <c r="H1197" s="24" t="s">
        <v>6766</v>
      </c>
      <c r="I1197" s="47"/>
      <c r="J1197" s="24">
        <v>0.0</v>
      </c>
    </row>
    <row r="1198">
      <c r="A1198" s="24">
        <v>38.0</v>
      </c>
      <c r="B1198" s="24">
        <v>2.0</v>
      </c>
      <c r="C1198" s="47">
        <v>5.69</v>
      </c>
      <c r="D1198" s="35">
        <v>44907.0</v>
      </c>
      <c r="E1198" s="47">
        <v>2.845</v>
      </c>
      <c r="F1198" s="47">
        <v>149.736842105263</v>
      </c>
      <c r="G1198" s="48">
        <v>0.0526315789473684</v>
      </c>
      <c r="H1198" s="24" t="s">
        <v>6766</v>
      </c>
      <c r="I1198" s="47"/>
      <c r="J1198" s="24">
        <v>0.0</v>
      </c>
    </row>
    <row r="1199">
      <c r="A1199" s="24">
        <v>27.0</v>
      </c>
      <c r="B1199" s="24">
        <v>1.0</v>
      </c>
      <c r="C1199" s="47">
        <v>2.78</v>
      </c>
      <c r="D1199" s="35">
        <v>44908.0</v>
      </c>
      <c r="E1199" s="47">
        <v>2.78</v>
      </c>
      <c r="F1199" s="47">
        <v>102.962962962962</v>
      </c>
      <c r="G1199" s="48">
        <v>0.037037037037037</v>
      </c>
      <c r="H1199" s="24" t="s">
        <v>6766</v>
      </c>
      <c r="I1199" s="47"/>
      <c r="J1199" s="24">
        <v>0.0</v>
      </c>
    </row>
    <row r="1200">
      <c r="A1200" s="24">
        <v>18.0</v>
      </c>
      <c r="B1200" s="24">
        <v>1.0</v>
      </c>
      <c r="C1200" s="47">
        <v>2.72</v>
      </c>
      <c r="D1200" s="35">
        <v>44909.0</v>
      </c>
      <c r="E1200" s="47">
        <v>2.72</v>
      </c>
      <c r="F1200" s="47">
        <v>151.111111111111</v>
      </c>
      <c r="G1200" s="48">
        <v>0.0555555555555555</v>
      </c>
      <c r="H1200" s="24" t="s">
        <v>6766</v>
      </c>
      <c r="I1200" s="47"/>
      <c r="J1200" s="24">
        <v>0.0</v>
      </c>
    </row>
    <row r="1201">
      <c r="A1201" s="24">
        <v>18.0</v>
      </c>
      <c r="B1201" s="24">
        <v>1.0</v>
      </c>
      <c r="C1201" s="47">
        <v>3.0</v>
      </c>
      <c r="D1201" s="35">
        <v>44910.0</v>
      </c>
      <c r="E1201" s="47">
        <v>3.0</v>
      </c>
      <c r="F1201" s="47">
        <v>166.666666666666</v>
      </c>
      <c r="G1201" s="48">
        <v>0.0555555555555555</v>
      </c>
      <c r="H1201" s="24" t="s">
        <v>6766</v>
      </c>
      <c r="I1201" s="47"/>
      <c r="J1201" s="24">
        <v>0.0</v>
      </c>
    </row>
    <row r="1202">
      <c r="A1202" s="24">
        <v>20.0</v>
      </c>
      <c r="B1202" s="24">
        <v>1.0</v>
      </c>
      <c r="C1202" s="47">
        <v>0.59</v>
      </c>
      <c r="D1202" s="35">
        <v>44911.0</v>
      </c>
      <c r="E1202" s="47">
        <v>0.59</v>
      </c>
      <c r="F1202" s="47">
        <v>29.5</v>
      </c>
      <c r="G1202" s="48">
        <v>0.05</v>
      </c>
      <c r="H1202" s="24" t="s">
        <v>6766</v>
      </c>
      <c r="I1202" s="47"/>
      <c r="J1202" s="24">
        <v>0.0</v>
      </c>
    </row>
    <row r="1203">
      <c r="A1203" s="24">
        <v>7.0</v>
      </c>
      <c r="B1203" s="24">
        <v>0.0</v>
      </c>
      <c r="C1203" s="47">
        <v>0.0</v>
      </c>
      <c r="D1203" s="35">
        <v>44912.0</v>
      </c>
      <c r="E1203" s="47"/>
      <c r="F1203" s="47">
        <v>0.0</v>
      </c>
      <c r="G1203" s="48">
        <v>0.0</v>
      </c>
      <c r="H1203" s="24" t="s">
        <v>6766</v>
      </c>
      <c r="I1203" s="47"/>
      <c r="J1203" s="24">
        <v>0.0</v>
      </c>
    </row>
    <row r="1204">
      <c r="A1204" s="24">
        <v>2.0</v>
      </c>
      <c r="B1204" s="24">
        <v>0.0</v>
      </c>
      <c r="C1204" s="47">
        <v>0.0</v>
      </c>
      <c r="D1204" s="35">
        <v>44913.0</v>
      </c>
      <c r="E1204" s="47"/>
      <c r="F1204" s="47">
        <v>0.0</v>
      </c>
      <c r="G1204" s="48">
        <v>0.0</v>
      </c>
      <c r="H1204" s="24" t="s">
        <v>6766</v>
      </c>
      <c r="I1204" s="47"/>
      <c r="J1204" s="24">
        <v>0.0</v>
      </c>
    </row>
    <row r="1205">
      <c r="A1205" s="24">
        <v>30.0</v>
      </c>
      <c r="B1205" s="24">
        <v>1.0</v>
      </c>
      <c r="C1205" s="47">
        <v>2.93</v>
      </c>
      <c r="D1205" s="35">
        <v>44914.0</v>
      </c>
      <c r="E1205" s="47">
        <v>2.93</v>
      </c>
      <c r="F1205" s="47">
        <v>97.6666666666666</v>
      </c>
      <c r="G1205" s="48">
        <v>0.0333333333333333</v>
      </c>
      <c r="H1205" s="24" t="s">
        <v>6766</v>
      </c>
      <c r="I1205" s="47"/>
      <c r="J1205" s="24">
        <v>0.0</v>
      </c>
    </row>
    <row r="1206">
      <c r="A1206" s="24">
        <v>27.0</v>
      </c>
      <c r="B1206" s="24">
        <v>4.0</v>
      </c>
      <c r="C1206" s="47">
        <v>11.5</v>
      </c>
      <c r="D1206" s="35">
        <v>44915.0</v>
      </c>
      <c r="E1206" s="47">
        <v>2.875</v>
      </c>
      <c r="F1206" s="47">
        <v>425.925925925925</v>
      </c>
      <c r="G1206" s="48">
        <v>0.148148148148148</v>
      </c>
      <c r="H1206" s="24" t="s">
        <v>6766</v>
      </c>
      <c r="I1206" s="47"/>
      <c r="J1206" s="24">
        <v>0.0</v>
      </c>
    </row>
    <row r="1207">
      <c r="A1207" s="24">
        <v>29.0</v>
      </c>
      <c r="B1207" s="24">
        <v>1.0</v>
      </c>
      <c r="C1207" s="47">
        <v>2.99</v>
      </c>
      <c r="D1207" s="35">
        <v>44916.0</v>
      </c>
      <c r="E1207" s="47">
        <v>2.99</v>
      </c>
      <c r="F1207" s="47">
        <v>103.103448275862</v>
      </c>
      <c r="G1207" s="48">
        <v>0.0344827586206896</v>
      </c>
      <c r="H1207" s="24" t="s">
        <v>6766</v>
      </c>
      <c r="I1207" s="47"/>
      <c r="J1207" s="24">
        <v>0.0</v>
      </c>
    </row>
    <row r="1208">
      <c r="A1208" s="24">
        <v>29.0</v>
      </c>
      <c r="B1208" s="24">
        <v>2.0</v>
      </c>
      <c r="C1208" s="47">
        <v>4.06</v>
      </c>
      <c r="D1208" s="35">
        <v>44917.0</v>
      </c>
      <c r="E1208" s="47">
        <v>2.03</v>
      </c>
      <c r="F1208" s="47">
        <v>140.0</v>
      </c>
      <c r="G1208" s="48">
        <v>0.0689655172413793</v>
      </c>
      <c r="H1208" s="24" t="s">
        <v>6766</v>
      </c>
      <c r="I1208" s="47"/>
      <c r="J1208" s="24">
        <v>0.0</v>
      </c>
    </row>
    <row r="1209">
      <c r="A1209" s="24">
        <v>14.0</v>
      </c>
      <c r="B1209" s="24">
        <v>1.0</v>
      </c>
      <c r="C1209" s="47">
        <v>2.87</v>
      </c>
      <c r="D1209" s="35">
        <v>44918.0</v>
      </c>
      <c r="E1209" s="47">
        <v>2.87</v>
      </c>
      <c r="F1209" s="47">
        <v>205.0</v>
      </c>
      <c r="G1209" s="48">
        <v>0.0714285714285714</v>
      </c>
      <c r="H1209" s="24" t="s">
        <v>6766</v>
      </c>
      <c r="I1209" s="47"/>
      <c r="J1209" s="24">
        <v>0.0</v>
      </c>
    </row>
    <row r="1210">
      <c r="A1210" s="24">
        <v>5.0</v>
      </c>
      <c r="B1210" s="24">
        <v>0.0</v>
      </c>
      <c r="C1210" s="47">
        <v>0.0</v>
      </c>
      <c r="D1210" s="35">
        <v>44919.0</v>
      </c>
      <c r="E1210" s="47"/>
      <c r="F1210" s="47">
        <v>0.0</v>
      </c>
      <c r="G1210" s="48">
        <v>0.0</v>
      </c>
      <c r="H1210" s="24" t="s">
        <v>6766</v>
      </c>
      <c r="I1210" s="47"/>
      <c r="J1210" s="24">
        <v>0.0</v>
      </c>
    </row>
    <row r="1211">
      <c r="A1211" s="24">
        <v>6.0</v>
      </c>
      <c r="B1211" s="24">
        <v>0.0</v>
      </c>
      <c r="C1211" s="47">
        <v>0.0</v>
      </c>
      <c r="D1211" s="35">
        <v>44920.0</v>
      </c>
      <c r="E1211" s="47"/>
      <c r="F1211" s="47">
        <v>0.0</v>
      </c>
      <c r="G1211" s="48">
        <v>0.0</v>
      </c>
      <c r="H1211" s="24" t="s">
        <v>6766</v>
      </c>
      <c r="I1211" s="47"/>
      <c r="J1211" s="24">
        <v>0.0</v>
      </c>
    </row>
    <row r="1212">
      <c r="A1212" s="24">
        <v>21.0</v>
      </c>
      <c r="B1212" s="24">
        <v>1.0</v>
      </c>
      <c r="C1212" s="47">
        <v>2.88</v>
      </c>
      <c r="D1212" s="35">
        <v>44921.0</v>
      </c>
      <c r="E1212" s="47">
        <v>2.88</v>
      </c>
      <c r="F1212" s="47">
        <v>137.142857142857</v>
      </c>
      <c r="G1212" s="48">
        <v>0.0476190476190476</v>
      </c>
      <c r="H1212" s="24" t="s">
        <v>6766</v>
      </c>
      <c r="I1212" s="47"/>
      <c r="J1212" s="24">
        <v>0.0</v>
      </c>
    </row>
    <row r="1213">
      <c r="A1213" s="24">
        <v>10.0</v>
      </c>
      <c r="B1213" s="24">
        <v>0.0</v>
      </c>
      <c r="C1213" s="47">
        <v>0.0</v>
      </c>
      <c r="D1213" s="35">
        <v>44922.0</v>
      </c>
      <c r="E1213" s="47"/>
      <c r="F1213" s="47">
        <v>0.0</v>
      </c>
      <c r="G1213" s="48">
        <v>0.0</v>
      </c>
      <c r="H1213" s="24" t="s">
        <v>6766</v>
      </c>
      <c r="I1213" s="47"/>
      <c r="J1213" s="24">
        <v>0.0</v>
      </c>
    </row>
    <row r="1214">
      <c r="A1214" s="24">
        <v>6.0</v>
      </c>
      <c r="B1214" s="24">
        <v>0.0</v>
      </c>
      <c r="C1214" s="47">
        <v>0.0</v>
      </c>
      <c r="D1214" s="35">
        <v>44923.0</v>
      </c>
      <c r="E1214" s="47"/>
      <c r="F1214" s="47">
        <v>0.0</v>
      </c>
      <c r="G1214" s="48">
        <v>0.0</v>
      </c>
      <c r="H1214" s="24" t="s">
        <v>6766</v>
      </c>
      <c r="I1214" s="47"/>
      <c r="J1214" s="24">
        <v>0.0</v>
      </c>
    </row>
    <row r="1215">
      <c r="A1215" s="24">
        <v>15.0</v>
      </c>
      <c r="B1215" s="24">
        <v>2.0</v>
      </c>
      <c r="C1215" s="47">
        <v>5.71</v>
      </c>
      <c r="D1215" s="35">
        <v>44924.0</v>
      </c>
      <c r="E1215" s="47">
        <v>2.855</v>
      </c>
      <c r="F1215" s="47">
        <v>380.666666666666</v>
      </c>
      <c r="G1215" s="48">
        <v>0.133333333333333</v>
      </c>
      <c r="H1215" s="24" t="s">
        <v>6766</v>
      </c>
      <c r="I1215" s="47"/>
      <c r="J1215" s="24">
        <v>0.0</v>
      </c>
    </row>
    <row r="1216">
      <c r="A1216" s="24">
        <v>19.0</v>
      </c>
      <c r="B1216" s="24">
        <v>0.0</v>
      </c>
      <c r="C1216" s="47">
        <v>0.0</v>
      </c>
      <c r="D1216" s="35">
        <v>44925.0</v>
      </c>
      <c r="E1216" s="47"/>
      <c r="F1216" s="47">
        <v>0.0</v>
      </c>
      <c r="G1216" s="48">
        <v>0.0</v>
      </c>
      <c r="H1216" s="24" t="s">
        <v>6766</v>
      </c>
      <c r="I1216" s="47"/>
      <c r="J1216" s="24">
        <v>0.0</v>
      </c>
    </row>
    <row r="1217">
      <c r="A1217" s="24">
        <v>6.0</v>
      </c>
      <c r="B1217" s="24">
        <v>1.0</v>
      </c>
      <c r="C1217" s="47">
        <v>2.94</v>
      </c>
      <c r="D1217" s="35">
        <v>44926.0</v>
      </c>
      <c r="E1217" s="47">
        <v>2.94</v>
      </c>
      <c r="F1217" s="47">
        <v>490.0</v>
      </c>
      <c r="G1217" s="48">
        <v>0.166666666666666</v>
      </c>
      <c r="H1217" s="24" t="s">
        <v>6766</v>
      </c>
      <c r="I1217" s="47"/>
      <c r="J1217" s="24">
        <v>0.0</v>
      </c>
    </row>
    <row r="1218">
      <c r="A1218" s="24">
        <v>9.0</v>
      </c>
      <c r="B1218" s="24">
        <v>0.0</v>
      </c>
      <c r="C1218" s="47">
        <v>0.0</v>
      </c>
      <c r="D1218" s="35">
        <v>44927.0</v>
      </c>
      <c r="E1218" s="47"/>
      <c r="F1218" s="47">
        <v>0.0</v>
      </c>
      <c r="G1218" s="48">
        <v>0.0</v>
      </c>
      <c r="H1218" s="24" t="s">
        <v>6766</v>
      </c>
      <c r="I1218" s="47"/>
      <c r="J1218" s="24">
        <v>0.0</v>
      </c>
    </row>
    <row r="1219">
      <c r="A1219" s="24">
        <v>20.0</v>
      </c>
      <c r="B1219" s="24">
        <v>1.0</v>
      </c>
      <c r="C1219" s="47">
        <v>0.82</v>
      </c>
      <c r="D1219" s="35">
        <v>44928.0</v>
      </c>
      <c r="E1219" s="47">
        <v>0.82</v>
      </c>
      <c r="F1219" s="47">
        <v>41.0</v>
      </c>
      <c r="G1219" s="48">
        <v>0.05</v>
      </c>
      <c r="H1219" s="24" t="s">
        <v>6766</v>
      </c>
      <c r="I1219" s="47"/>
      <c r="J1219" s="24">
        <v>0.0</v>
      </c>
    </row>
    <row r="1220">
      <c r="A1220" s="24">
        <v>41.0</v>
      </c>
      <c r="B1220" s="24">
        <v>0.0</v>
      </c>
      <c r="C1220" s="47">
        <v>0.0</v>
      </c>
      <c r="D1220" s="35">
        <v>44929.0</v>
      </c>
      <c r="E1220" s="47"/>
      <c r="F1220" s="47">
        <v>0.0</v>
      </c>
      <c r="G1220" s="48">
        <v>0.0</v>
      </c>
      <c r="H1220" s="24" t="s">
        <v>6766</v>
      </c>
      <c r="I1220" s="47"/>
      <c r="J1220" s="24">
        <v>0.0</v>
      </c>
    </row>
    <row r="1221">
      <c r="A1221" s="24">
        <v>55.0</v>
      </c>
      <c r="B1221" s="24">
        <v>3.0</v>
      </c>
      <c r="C1221" s="47">
        <v>7.44</v>
      </c>
      <c r="D1221" s="35">
        <v>44930.0</v>
      </c>
      <c r="E1221" s="47">
        <v>2.48</v>
      </c>
      <c r="F1221" s="47">
        <v>135.272727272727</v>
      </c>
      <c r="G1221" s="48">
        <v>0.0545454545454545</v>
      </c>
      <c r="H1221" s="24" t="s">
        <v>6766</v>
      </c>
      <c r="I1221" s="47"/>
      <c r="J1221" s="24">
        <v>0.0</v>
      </c>
    </row>
    <row r="1222">
      <c r="A1222" s="24">
        <v>38.0</v>
      </c>
      <c r="B1222" s="24">
        <v>2.0</v>
      </c>
      <c r="C1222" s="47">
        <v>5.88</v>
      </c>
      <c r="D1222" s="35">
        <v>44931.0</v>
      </c>
      <c r="E1222" s="47">
        <v>2.94</v>
      </c>
      <c r="F1222" s="47">
        <v>154.736842105263</v>
      </c>
      <c r="G1222" s="48">
        <v>0.0526315789473684</v>
      </c>
      <c r="H1222" s="24" t="s">
        <v>6766</v>
      </c>
      <c r="I1222" s="47"/>
      <c r="J1222" s="24">
        <v>0.0</v>
      </c>
    </row>
    <row r="1223">
      <c r="A1223" s="24">
        <v>27.0</v>
      </c>
      <c r="B1223" s="24">
        <v>1.0</v>
      </c>
      <c r="C1223" s="47">
        <v>2.97</v>
      </c>
      <c r="D1223" s="35">
        <v>44932.0</v>
      </c>
      <c r="E1223" s="47">
        <v>2.97</v>
      </c>
      <c r="F1223" s="47">
        <v>110.0</v>
      </c>
      <c r="G1223" s="48">
        <v>0.037037037037037</v>
      </c>
      <c r="H1223" s="24" t="s">
        <v>6766</v>
      </c>
      <c r="I1223" s="47"/>
      <c r="J1223" s="24">
        <v>0.0</v>
      </c>
    </row>
    <row r="1224">
      <c r="A1224" s="24">
        <v>7.0</v>
      </c>
      <c r="B1224" s="24">
        <v>0.0</v>
      </c>
      <c r="C1224" s="47">
        <v>0.0</v>
      </c>
      <c r="D1224" s="35">
        <v>44933.0</v>
      </c>
      <c r="E1224" s="47"/>
      <c r="F1224" s="47">
        <v>0.0</v>
      </c>
      <c r="G1224" s="48">
        <v>0.0</v>
      </c>
      <c r="H1224" s="24" t="s">
        <v>6766</v>
      </c>
      <c r="I1224" s="47"/>
      <c r="J1224" s="24">
        <v>0.0</v>
      </c>
    </row>
    <row r="1225">
      <c r="A1225" s="24">
        <v>12.0</v>
      </c>
      <c r="B1225" s="24">
        <v>0.0</v>
      </c>
      <c r="C1225" s="47">
        <v>0.0</v>
      </c>
      <c r="D1225" s="35">
        <v>44934.0</v>
      </c>
      <c r="E1225" s="47"/>
      <c r="F1225" s="47">
        <v>0.0</v>
      </c>
      <c r="G1225" s="48">
        <v>0.0</v>
      </c>
      <c r="H1225" s="24" t="s">
        <v>6766</v>
      </c>
      <c r="I1225" s="47"/>
      <c r="J1225" s="24">
        <v>0.0</v>
      </c>
    </row>
    <row r="1226">
      <c r="A1226" s="24">
        <v>42.0</v>
      </c>
      <c r="B1226" s="24">
        <v>3.0</v>
      </c>
      <c r="C1226" s="47">
        <v>8.74</v>
      </c>
      <c r="D1226" s="35">
        <v>44935.0</v>
      </c>
      <c r="E1226" s="47">
        <v>2.91333333333333</v>
      </c>
      <c r="F1226" s="47">
        <v>208.095238095238</v>
      </c>
      <c r="G1226" s="48">
        <v>0.0714285714285714</v>
      </c>
      <c r="H1226" s="24" t="s">
        <v>6766</v>
      </c>
      <c r="I1226" s="47"/>
      <c r="J1226" s="24">
        <v>0.0</v>
      </c>
    </row>
    <row r="1227">
      <c r="A1227" s="24">
        <v>52.0</v>
      </c>
      <c r="B1227" s="24">
        <v>3.0</v>
      </c>
      <c r="C1227" s="47">
        <v>6.92</v>
      </c>
      <c r="D1227" s="35">
        <v>44936.0</v>
      </c>
      <c r="E1227" s="47">
        <v>2.30666666666666</v>
      </c>
      <c r="F1227" s="47">
        <v>133.076923076923</v>
      </c>
      <c r="G1227" s="48">
        <v>0.0576923076923076</v>
      </c>
      <c r="H1227" s="24" t="s">
        <v>6766</v>
      </c>
      <c r="I1227" s="47"/>
      <c r="J1227" s="24">
        <v>0.0</v>
      </c>
    </row>
    <row r="1228">
      <c r="A1228" s="24">
        <v>47.0</v>
      </c>
      <c r="B1228" s="24">
        <v>2.0</v>
      </c>
      <c r="C1228" s="47">
        <v>3.67</v>
      </c>
      <c r="D1228" s="35">
        <v>44937.0</v>
      </c>
      <c r="E1228" s="47">
        <v>1.835</v>
      </c>
      <c r="F1228" s="47">
        <v>78.0851063829787</v>
      </c>
      <c r="G1228" s="48">
        <v>0.0425531914893617</v>
      </c>
      <c r="H1228" s="24" t="s">
        <v>6766</v>
      </c>
      <c r="I1228" s="47"/>
      <c r="J1228" s="24">
        <v>0.0</v>
      </c>
    </row>
    <row r="1229">
      <c r="A1229" s="24">
        <v>43.0</v>
      </c>
      <c r="B1229" s="24">
        <v>2.0</v>
      </c>
      <c r="C1229" s="47">
        <v>5.28</v>
      </c>
      <c r="D1229" s="35">
        <v>44938.0</v>
      </c>
      <c r="E1229" s="47">
        <v>2.64</v>
      </c>
      <c r="F1229" s="47">
        <v>122.790697674418</v>
      </c>
      <c r="G1229" s="48">
        <v>0.0465116279069767</v>
      </c>
      <c r="H1229" s="24" t="s">
        <v>6766</v>
      </c>
      <c r="I1229" s="47"/>
      <c r="J1229" s="24">
        <v>0.0</v>
      </c>
    </row>
    <row r="1230">
      <c r="A1230" s="24">
        <v>31.0</v>
      </c>
      <c r="B1230" s="24">
        <v>4.0</v>
      </c>
      <c r="C1230" s="47">
        <v>9.82</v>
      </c>
      <c r="D1230" s="35">
        <v>44939.0</v>
      </c>
      <c r="E1230" s="47">
        <v>2.455</v>
      </c>
      <c r="F1230" s="47">
        <v>316.774193548387</v>
      </c>
      <c r="G1230" s="48">
        <v>0.129032258064516</v>
      </c>
      <c r="H1230" s="24" t="s">
        <v>6766</v>
      </c>
      <c r="I1230" s="47"/>
      <c r="J1230" s="24">
        <v>0.0</v>
      </c>
    </row>
    <row r="1231">
      <c r="A1231" s="24">
        <v>6.0</v>
      </c>
      <c r="B1231" s="24">
        <v>0.0</v>
      </c>
      <c r="C1231" s="47">
        <v>0.0</v>
      </c>
      <c r="D1231" s="35">
        <v>44940.0</v>
      </c>
      <c r="E1231" s="47"/>
      <c r="F1231" s="47">
        <v>0.0</v>
      </c>
      <c r="G1231" s="48">
        <v>0.0</v>
      </c>
      <c r="H1231" s="24" t="s">
        <v>6766</v>
      </c>
      <c r="I1231" s="47"/>
      <c r="J1231" s="24">
        <v>0.0</v>
      </c>
    </row>
    <row r="1232">
      <c r="A1232" s="24">
        <v>14.0</v>
      </c>
      <c r="B1232" s="24">
        <v>2.0</v>
      </c>
      <c r="C1232" s="47">
        <v>5.72</v>
      </c>
      <c r="D1232" s="35">
        <v>44941.0</v>
      </c>
      <c r="E1232" s="47">
        <v>2.86</v>
      </c>
      <c r="F1232" s="47">
        <v>408.571428571428</v>
      </c>
      <c r="G1232" s="48">
        <v>0.142857142857142</v>
      </c>
      <c r="H1232" s="24" t="s">
        <v>6766</v>
      </c>
      <c r="I1232" s="47"/>
      <c r="J1232" s="24">
        <v>0.0</v>
      </c>
    </row>
    <row r="1233">
      <c r="A1233" s="24">
        <v>24.0</v>
      </c>
      <c r="B1233" s="24">
        <v>0.0</v>
      </c>
      <c r="C1233" s="47">
        <v>0.0</v>
      </c>
      <c r="D1233" s="35">
        <v>44942.0</v>
      </c>
      <c r="E1233" s="47"/>
      <c r="F1233" s="47">
        <v>0.0</v>
      </c>
      <c r="G1233" s="48">
        <v>0.0</v>
      </c>
      <c r="H1233" s="24" t="s">
        <v>6766</v>
      </c>
      <c r="I1233" s="47"/>
      <c r="J1233" s="24">
        <v>0.0</v>
      </c>
    </row>
    <row r="1234">
      <c r="A1234" s="24">
        <v>39.0</v>
      </c>
      <c r="B1234" s="24">
        <v>4.0</v>
      </c>
      <c r="C1234" s="47">
        <v>10.63</v>
      </c>
      <c r="D1234" s="35">
        <v>44943.0</v>
      </c>
      <c r="E1234" s="47">
        <v>2.6575</v>
      </c>
      <c r="F1234" s="47">
        <v>272.564102564102</v>
      </c>
      <c r="G1234" s="48">
        <v>0.102564102564102</v>
      </c>
      <c r="H1234" s="24" t="s">
        <v>6766</v>
      </c>
      <c r="I1234" s="47"/>
      <c r="J1234" s="24">
        <v>0.0</v>
      </c>
    </row>
    <row r="1235">
      <c r="A1235" s="24">
        <v>37.0</v>
      </c>
      <c r="B1235" s="24">
        <v>6.0</v>
      </c>
      <c r="C1235" s="47">
        <v>17.12</v>
      </c>
      <c r="D1235" s="35">
        <v>44944.0</v>
      </c>
      <c r="E1235" s="47">
        <v>2.85333333333333</v>
      </c>
      <c r="F1235" s="47">
        <v>462.702702702702</v>
      </c>
      <c r="G1235" s="48">
        <v>0.162162162162162</v>
      </c>
      <c r="H1235" s="24" t="s">
        <v>6766</v>
      </c>
      <c r="I1235" s="47"/>
      <c r="J1235" s="24">
        <v>0.0</v>
      </c>
    </row>
    <row r="1236">
      <c r="A1236" s="24">
        <v>44.0</v>
      </c>
      <c r="B1236" s="24">
        <v>6.0</v>
      </c>
      <c r="C1236" s="47">
        <v>16.33</v>
      </c>
      <c r="D1236" s="35">
        <v>44945.0</v>
      </c>
      <c r="E1236" s="47">
        <v>2.72166666666666</v>
      </c>
      <c r="F1236" s="47">
        <v>371.136363636363</v>
      </c>
      <c r="G1236" s="48">
        <v>0.136363636363636</v>
      </c>
      <c r="H1236" s="24" t="s">
        <v>6766</v>
      </c>
      <c r="I1236" s="47"/>
      <c r="J1236" s="24">
        <v>0.0</v>
      </c>
    </row>
    <row r="1237">
      <c r="A1237" s="24">
        <v>36.0</v>
      </c>
      <c r="B1237" s="24">
        <v>0.0</v>
      </c>
      <c r="C1237" s="47">
        <v>0.0</v>
      </c>
      <c r="D1237" s="35">
        <v>44946.0</v>
      </c>
      <c r="E1237" s="47"/>
      <c r="F1237" s="47">
        <v>0.0</v>
      </c>
      <c r="G1237" s="48">
        <v>0.0</v>
      </c>
      <c r="H1237" s="24" t="s">
        <v>6766</v>
      </c>
      <c r="I1237" s="47"/>
      <c r="J1237" s="24">
        <v>0.0</v>
      </c>
    </row>
    <row r="1238">
      <c r="A1238" s="24">
        <v>13.0</v>
      </c>
      <c r="B1238" s="24">
        <v>1.0</v>
      </c>
      <c r="C1238" s="47">
        <v>2.94</v>
      </c>
      <c r="D1238" s="35">
        <v>44947.0</v>
      </c>
      <c r="E1238" s="47">
        <v>2.94</v>
      </c>
      <c r="F1238" s="47">
        <v>226.153846153846</v>
      </c>
      <c r="G1238" s="48">
        <v>0.0769230769230769</v>
      </c>
      <c r="H1238" s="24" t="s">
        <v>6766</v>
      </c>
      <c r="I1238" s="47"/>
      <c r="J1238" s="24">
        <v>0.0</v>
      </c>
    </row>
    <row r="1239">
      <c r="A1239" s="24">
        <v>8.0</v>
      </c>
      <c r="B1239" s="24">
        <v>0.0</v>
      </c>
      <c r="C1239" s="47">
        <v>0.0</v>
      </c>
      <c r="D1239" s="35">
        <v>44948.0</v>
      </c>
      <c r="E1239" s="47"/>
      <c r="F1239" s="47">
        <v>0.0</v>
      </c>
      <c r="G1239" s="48">
        <v>0.0</v>
      </c>
      <c r="H1239" s="24" t="s">
        <v>6766</v>
      </c>
      <c r="I1239" s="47"/>
      <c r="J1239" s="24">
        <v>0.0</v>
      </c>
    </row>
    <row r="1240">
      <c r="A1240" s="24">
        <v>39.0</v>
      </c>
      <c r="B1240" s="24">
        <v>6.0</v>
      </c>
      <c r="C1240" s="47">
        <v>16.0</v>
      </c>
      <c r="D1240" s="35">
        <v>44949.0</v>
      </c>
      <c r="E1240" s="47">
        <v>2.66666666666666</v>
      </c>
      <c r="F1240" s="47">
        <v>410.25641025641</v>
      </c>
      <c r="G1240" s="48">
        <v>0.153846153846153</v>
      </c>
      <c r="H1240" s="24" t="s">
        <v>6766</v>
      </c>
      <c r="I1240" s="47"/>
      <c r="J1240" s="24">
        <v>0.0</v>
      </c>
    </row>
    <row r="1241">
      <c r="A1241" s="24">
        <v>38.0</v>
      </c>
      <c r="B1241" s="24">
        <v>4.0</v>
      </c>
      <c r="C1241" s="47">
        <v>10.35</v>
      </c>
      <c r="D1241" s="35">
        <v>44950.0</v>
      </c>
      <c r="E1241" s="47">
        <v>2.5875</v>
      </c>
      <c r="F1241" s="47">
        <v>272.368421052631</v>
      </c>
      <c r="G1241" s="48">
        <v>0.105263157894736</v>
      </c>
      <c r="H1241" s="24" t="s">
        <v>6766</v>
      </c>
      <c r="I1241" s="47"/>
      <c r="J1241" s="24">
        <v>0.0</v>
      </c>
    </row>
    <row r="1242">
      <c r="A1242" s="24">
        <v>42.0</v>
      </c>
      <c r="B1242" s="24">
        <v>6.0</v>
      </c>
      <c r="C1242" s="47">
        <v>16.0</v>
      </c>
      <c r="D1242" s="35">
        <v>44951.0</v>
      </c>
      <c r="E1242" s="47">
        <v>2.66666666666666</v>
      </c>
      <c r="F1242" s="47">
        <v>380.95238095238</v>
      </c>
      <c r="G1242" s="48">
        <v>0.142857142857142</v>
      </c>
      <c r="H1242" s="24" t="s">
        <v>6766</v>
      </c>
      <c r="I1242" s="47"/>
      <c r="J1242" s="24">
        <v>0.0</v>
      </c>
    </row>
    <row r="1243">
      <c r="A1243" s="24">
        <v>25.0</v>
      </c>
      <c r="B1243" s="24">
        <v>8.0</v>
      </c>
      <c r="C1243" s="47">
        <v>19.96</v>
      </c>
      <c r="D1243" s="35">
        <v>44952.0</v>
      </c>
      <c r="E1243" s="47">
        <v>2.495</v>
      </c>
      <c r="F1243" s="47">
        <v>798.4</v>
      </c>
      <c r="G1243" s="48">
        <v>0.32</v>
      </c>
      <c r="H1243" s="24" t="s">
        <v>6766</v>
      </c>
      <c r="I1243" s="47"/>
      <c r="J1243" s="24">
        <v>0.0</v>
      </c>
    </row>
    <row r="1244">
      <c r="A1244" s="24">
        <v>45.0</v>
      </c>
      <c r="B1244" s="24">
        <v>3.0</v>
      </c>
      <c r="C1244" s="47">
        <v>8.29</v>
      </c>
      <c r="D1244" s="35">
        <v>44953.0</v>
      </c>
      <c r="E1244" s="47">
        <v>2.76333333333333</v>
      </c>
      <c r="F1244" s="47">
        <v>184.222222222222</v>
      </c>
      <c r="G1244" s="48">
        <v>0.0666666666666666</v>
      </c>
      <c r="H1244" s="24" t="s">
        <v>6766</v>
      </c>
      <c r="I1244" s="47"/>
      <c r="J1244" s="24">
        <v>0.0</v>
      </c>
    </row>
    <row r="1245">
      <c r="A1245" s="24">
        <v>9.0</v>
      </c>
      <c r="B1245" s="24">
        <v>1.0</v>
      </c>
      <c r="C1245" s="47">
        <v>2.99</v>
      </c>
      <c r="D1245" s="35">
        <v>44954.0</v>
      </c>
      <c r="E1245" s="47">
        <v>2.99</v>
      </c>
      <c r="F1245" s="47">
        <v>332.222222222222</v>
      </c>
      <c r="G1245" s="48">
        <v>0.111111111111111</v>
      </c>
      <c r="H1245" s="24" t="s">
        <v>6766</v>
      </c>
      <c r="I1245" s="47"/>
      <c r="J1245" s="24">
        <v>0.0</v>
      </c>
    </row>
    <row r="1246">
      <c r="A1246" s="24">
        <v>8.0</v>
      </c>
      <c r="B1246" s="24">
        <v>0.0</v>
      </c>
      <c r="C1246" s="47">
        <v>0.0</v>
      </c>
      <c r="D1246" s="35">
        <v>44955.0</v>
      </c>
      <c r="E1246" s="47"/>
      <c r="F1246" s="47">
        <v>0.0</v>
      </c>
      <c r="G1246" s="48">
        <v>0.0</v>
      </c>
      <c r="H1246" s="24" t="s">
        <v>6766</v>
      </c>
      <c r="I1246" s="47"/>
      <c r="J1246" s="24">
        <v>0.0</v>
      </c>
    </row>
    <row r="1247">
      <c r="A1247" s="24">
        <v>28.0</v>
      </c>
      <c r="B1247" s="24">
        <v>2.0</v>
      </c>
      <c r="C1247" s="47">
        <v>5.78</v>
      </c>
      <c r="D1247" s="35">
        <v>44956.0</v>
      </c>
      <c r="E1247" s="47">
        <v>2.89</v>
      </c>
      <c r="F1247" s="47">
        <v>206.428571428571</v>
      </c>
      <c r="G1247" s="48">
        <v>0.0714285714285714</v>
      </c>
      <c r="H1247" s="24" t="s">
        <v>6766</v>
      </c>
      <c r="I1247" s="47"/>
      <c r="J1247" s="24">
        <v>0.0</v>
      </c>
    </row>
    <row r="1248">
      <c r="A1248" s="24">
        <v>34.0</v>
      </c>
      <c r="B1248" s="24">
        <v>2.0</v>
      </c>
      <c r="C1248" s="47">
        <v>3.51</v>
      </c>
      <c r="D1248" s="35">
        <v>44957.0</v>
      </c>
      <c r="E1248" s="47">
        <v>1.755</v>
      </c>
      <c r="F1248" s="47">
        <v>103.235294117647</v>
      </c>
      <c r="G1248" s="48">
        <v>0.0588235294117647</v>
      </c>
      <c r="H1248" s="24" t="s">
        <v>6766</v>
      </c>
      <c r="I1248" s="47"/>
      <c r="J1248" s="24">
        <v>0.0</v>
      </c>
    </row>
    <row r="1249">
      <c r="A1249" s="24">
        <v>26.0</v>
      </c>
      <c r="B1249" s="24">
        <v>1.0</v>
      </c>
      <c r="C1249" s="47">
        <v>2.87</v>
      </c>
      <c r="D1249" s="35">
        <v>44958.0</v>
      </c>
      <c r="E1249" s="47">
        <v>2.87</v>
      </c>
      <c r="F1249" s="47">
        <v>110.384615384615</v>
      </c>
      <c r="G1249" s="48">
        <v>0.0384615384615384</v>
      </c>
      <c r="H1249" s="24" t="s">
        <v>6766</v>
      </c>
      <c r="I1249" s="47"/>
      <c r="J1249" s="24">
        <v>0.0</v>
      </c>
    </row>
    <row r="1250">
      <c r="A1250" s="24">
        <v>42.0</v>
      </c>
      <c r="B1250" s="24">
        <v>7.0</v>
      </c>
      <c r="C1250" s="47">
        <v>12.14</v>
      </c>
      <c r="D1250" s="35">
        <v>44959.0</v>
      </c>
      <c r="E1250" s="47">
        <v>1.73428571428571</v>
      </c>
      <c r="F1250" s="47">
        <v>289.047619047619</v>
      </c>
      <c r="G1250" s="48">
        <v>0.166666666666666</v>
      </c>
      <c r="H1250" s="24" t="s">
        <v>6766</v>
      </c>
      <c r="I1250" s="47"/>
      <c r="J1250" s="24">
        <v>0.0</v>
      </c>
    </row>
    <row r="1251">
      <c r="A1251" s="24">
        <v>23.0</v>
      </c>
      <c r="B1251" s="24">
        <v>3.0</v>
      </c>
      <c r="C1251" s="47">
        <v>7.95</v>
      </c>
      <c r="D1251" s="35">
        <v>44960.0</v>
      </c>
      <c r="E1251" s="47">
        <v>2.65</v>
      </c>
      <c r="F1251" s="47">
        <v>345.652173913043</v>
      </c>
      <c r="G1251" s="48">
        <v>0.130434782608695</v>
      </c>
      <c r="H1251" s="24" t="s">
        <v>6766</v>
      </c>
      <c r="I1251" s="47"/>
      <c r="J1251" s="24">
        <v>0.0</v>
      </c>
    </row>
    <row r="1252">
      <c r="A1252" s="24">
        <v>3.0</v>
      </c>
      <c r="B1252" s="24">
        <v>1.0</v>
      </c>
      <c r="C1252" s="47">
        <v>0.8</v>
      </c>
      <c r="D1252" s="35">
        <v>44961.0</v>
      </c>
      <c r="E1252" s="47">
        <v>0.8</v>
      </c>
      <c r="F1252" s="47">
        <v>266.666666666666</v>
      </c>
      <c r="G1252" s="48">
        <v>0.333333333333333</v>
      </c>
      <c r="H1252" s="24" t="s">
        <v>6766</v>
      </c>
      <c r="I1252" s="47"/>
      <c r="J1252" s="24">
        <v>0.0</v>
      </c>
    </row>
    <row r="1253">
      <c r="A1253" s="24">
        <v>14.0</v>
      </c>
      <c r="B1253" s="24">
        <v>3.0</v>
      </c>
      <c r="C1253" s="47">
        <v>2.69</v>
      </c>
      <c r="D1253" s="35">
        <v>44962.0</v>
      </c>
      <c r="E1253" s="47">
        <v>0.896666666666666</v>
      </c>
      <c r="F1253" s="47">
        <v>192.142857142857</v>
      </c>
      <c r="G1253" s="48">
        <v>0.214285714285714</v>
      </c>
      <c r="H1253" s="24" t="s">
        <v>6766</v>
      </c>
      <c r="I1253" s="47"/>
      <c r="J1253" s="24">
        <v>0.0</v>
      </c>
    </row>
    <row r="1254">
      <c r="A1254" s="24">
        <v>37.0</v>
      </c>
      <c r="B1254" s="24">
        <v>6.0</v>
      </c>
      <c r="C1254" s="47">
        <v>15.03</v>
      </c>
      <c r="D1254" s="35">
        <v>44963.0</v>
      </c>
      <c r="E1254" s="47">
        <v>2.505</v>
      </c>
      <c r="F1254" s="47">
        <v>406.216216216216</v>
      </c>
      <c r="G1254" s="48">
        <v>0.162162162162162</v>
      </c>
      <c r="H1254" s="24" t="s">
        <v>6766</v>
      </c>
      <c r="I1254" s="47"/>
      <c r="J1254" s="24">
        <v>0.0</v>
      </c>
    </row>
    <row r="1255">
      <c r="A1255" s="24">
        <v>27.0</v>
      </c>
      <c r="B1255" s="24">
        <v>2.0</v>
      </c>
      <c r="C1255" s="47">
        <v>5.72</v>
      </c>
      <c r="D1255" s="35">
        <v>44964.0</v>
      </c>
      <c r="E1255" s="47">
        <v>2.86</v>
      </c>
      <c r="F1255" s="47">
        <v>211.851851851851</v>
      </c>
      <c r="G1255" s="48">
        <v>0.074074074074074</v>
      </c>
      <c r="H1255" s="24" t="s">
        <v>6766</v>
      </c>
      <c r="I1255" s="47"/>
      <c r="J1255" s="24">
        <v>0.0</v>
      </c>
    </row>
    <row r="1256">
      <c r="A1256" s="24">
        <v>72.0</v>
      </c>
      <c r="B1256" s="24">
        <v>2.0</v>
      </c>
      <c r="C1256" s="47">
        <v>5.25</v>
      </c>
      <c r="D1256" s="35">
        <v>44965.0</v>
      </c>
      <c r="E1256" s="47">
        <v>2.625</v>
      </c>
      <c r="F1256" s="47">
        <v>72.9166666666666</v>
      </c>
      <c r="G1256" s="48">
        <v>0.0277777777777777</v>
      </c>
      <c r="H1256" s="24" t="s">
        <v>6766</v>
      </c>
      <c r="I1256" s="47"/>
      <c r="J1256" s="24">
        <v>0.0</v>
      </c>
    </row>
    <row r="1257">
      <c r="A1257" s="24">
        <v>72.0</v>
      </c>
      <c r="B1257" s="24">
        <v>2.0</v>
      </c>
      <c r="C1257" s="47">
        <v>5.64</v>
      </c>
      <c r="D1257" s="35">
        <v>44966.0</v>
      </c>
      <c r="E1257" s="47">
        <v>2.82</v>
      </c>
      <c r="F1257" s="47">
        <v>78.3333333333333</v>
      </c>
      <c r="G1257" s="48">
        <v>0.0277777777777777</v>
      </c>
      <c r="H1257" s="24" t="s">
        <v>6766</v>
      </c>
      <c r="I1257" s="47"/>
      <c r="J1257" s="24">
        <v>0.0</v>
      </c>
    </row>
    <row r="1258">
      <c r="A1258" s="24">
        <v>41.0</v>
      </c>
      <c r="B1258" s="24">
        <v>5.0</v>
      </c>
      <c r="C1258" s="47">
        <v>14.45</v>
      </c>
      <c r="D1258" s="35">
        <v>44967.0</v>
      </c>
      <c r="E1258" s="47">
        <v>2.89</v>
      </c>
      <c r="F1258" s="47">
        <v>352.439024390243</v>
      </c>
      <c r="G1258" s="48">
        <v>0.121951219512195</v>
      </c>
      <c r="H1258" s="24" t="s">
        <v>6766</v>
      </c>
      <c r="I1258" s="47"/>
      <c r="J1258" s="24">
        <v>0.0</v>
      </c>
    </row>
    <row r="1259">
      <c r="A1259" s="24">
        <v>18.0</v>
      </c>
      <c r="B1259" s="24">
        <v>1.0</v>
      </c>
      <c r="C1259" s="47">
        <v>1.97</v>
      </c>
      <c r="D1259" s="35">
        <v>44968.0</v>
      </c>
      <c r="E1259" s="47">
        <v>1.97</v>
      </c>
      <c r="F1259" s="47">
        <v>109.444444444444</v>
      </c>
      <c r="G1259" s="48">
        <v>0.0555555555555555</v>
      </c>
      <c r="H1259" s="24" t="s">
        <v>6766</v>
      </c>
      <c r="I1259" s="47"/>
      <c r="J1259" s="24">
        <v>0.0</v>
      </c>
    </row>
    <row r="1260">
      <c r="A1260" s="24">
        <v>11.0</v>
      </c>
      <c r="B1260" s="24">
        <v>0.0</v>
      </c>
      <c r="C1260" s="47">
        <v>0.0</v>
      </c>
      <c r="D1260" s="35">
        <v>44969.0</v>
      </c>
      <c r="E1260" s="47"/>
      <c r="F1260" s="47">
        <v>0.0</v>
      </c>
      <c r="G1260" s="48">
        <v>0.0</v>
      </c>
      <c r="H1260" s="24" t="s">
        <v>6766</v>
      </c>
      <c r="I1260" s="47"/>
      <c r="J1260" s="24">
        <v>0.0</v>
      </c>
    </row>
    <row r="1261">
      <c r="A1261" s="24">
        <v>43.0</v>
      </c>
      <c r="B1261" s="24">
        <v>5.0</v>
      </c>
      <c r="C1261" s="47">
        <v>11.92</v>
      </c>
      <c r="D1261" s="35">
        <v>44970.0</v>
      </c>
      <c r="E1261" s="47">
        <v>2.384</v>
      </c>
      <c r="F1261" s="47">
        <v>277.209302325581</v>
      </c>
      <c r="G1261" s="48">
        <v>0.116279069767441</v>
      </c>
      <c r="H1261" s="24" t="s">
        <v>6766</v>
      </c>
      <c r="I1261" s="47"/>
      <c r="J1261" s="24">
        <v>0.0</v>
      </c>
    </row>
    <row r="1262">
      <c r="A1262" s="24">
        <v>47.0</v>
      </c>
      <c r="B1262" s="24">
        <v>2.0</v>
      </c>
      <c r="C1262" s="47">
        <v>5.77</v>
      </c>
      <c r="D1262" s="35">
        <v>44971.0</v>
      </c>
      <c r="E1262" s="47">
        <v>2.885</v>
      </c>
      <c r="F1262" s="47">
        <v>122.765957446808</v>
      </c>
      <c r="G1262" s="48">
        <v>0.0425531914893617</v>
      </c>
      <c r="H1262" s="24" t="s">
        <v>6766</v>
      </c>
      <c r="I1262" s="47"/>
      <c r="J1262" s="24">
        <v>0.0</v>
      </c>
    </row>
    <row r="1263">
      <c r="A1263" s="24">
        <v>55.0</v>
      </c>
      <c r="B1263" s="24">
        <v>2.0</v>
      </c>
      <c r="C1263" s="47">
        <v>5.74</v>
      </c>
      <c r="D1263" s="35">
        <v>44972.0</v>
      </c>
      <c r="E1263" s="47">
        <v>2.87</v>
      </c>
      <c r="F1263" s="47">
        <v>104.363636363636</v>
      </c>
      <c r="G1263" s="48">
        <v>0.0363636363636363</v>
      </c>
      <c r="H1263" s="24" t="s">
        <v>6766</v>
      </c>
      <c r="I1263" s="47"/>
      <c r="J1263" s="24">
        <v>0.0</v>
      </c>
    </row>
    <row r="1264">
      <c r="A1264" s="24">
        <v>37.0</v>
      </c>
      <c r="B1264" s="24">
        <v>1.0</v>
      </c>
      <c r="C1264" s="47">
        <v>2.9</v>
      </c>
      <c r="D1264" s="35">
        <v>44973.0</v>
      </c>
      <c r="E1264" s="47">
        <v>2.9</v>
      </c>
      <c r="F1264" s="47">
        <v>78.3783783783783</v>
      </c>
      <c r="G1264" s="48">
        <v>0.027027027027027</v>
      </c>
      <c r="H1264" s="24" t="s">
        <v>6766</v>
      </c>
      <c r="I1264" s="47"/>
      <c r="J1264" s="24">
        <v>0.0</v>
      </c>
    </row>
    <row r="1265">
      <c r="A1265" s="24">
        <v>42.0</v>
      </c>
      <c r="B1265" s="24">
        <v>2.0</v>
      </c>
      <c r="C1265" s="47">
        <v>5.57</v>
      </c>
      <c r="D1265" s="35">
        <v>44974.0</v>
      </c>
      <c r="E1265" s="47">
        <v>2.785</v>
      </c>
      <c r="F1265" s="47">
        <v>132.619047619047</v>
      </c>
      <c r="G1265" s="48">
        <v>0.0476190476190476</v>
      </c>
      <c r="H1265" s="24" t="s">
        <v>6766</v>
      </c>
      <c r="I1265" s="47"/>
      <c r="J1265" s="24">
        <v>0.0</v>
      </c>
    </row>
    <row r="1266">
      <c r="A1266" s="24">
        <v>9.0</v>
      </c>
      <c r="B1266" s="24">
        <v>2.0</v>
      </c>
      <c r="C1266" s="47">
        <v>3.08</v>
      </c>
      <c r="D1266" s="35">
        <v>44975.0</v>
      </c>
      <c r="E1266" s="47">
        <v>1.54</v>
      </c>
      <c r="F1266" s="47">
        <v>342.222222222222</v>
      </c>
      <c r="G1266" s="48">
        <v>0.222222222222222</v>
      </c>
      <c r="H1266" s="24" t="s">
        <v>6766</v>
      </c>
      <c r="I1266" s="47"/>
      <c r="J1266" s="24">
        <v>0.0</v>
      </c>
    </row>
    <row r="1267">
      <c r="A1267" s="24">
        <v>10.0</v>
      </c>
      <c r="B1267" s="24">
        <v>0.0</v>
      </c>
      <c r="C1267" s="47">
        <v>0.0</v>
      </c>
      <c r="D1267" s="35">
        <v>44976.0</v>
      </c>
      <c r="E1267" s="47"/>
      <c r="F1267" s="47">
        <v>0.0</v>
      </c>
      <c r="G1267" s="48">
        <v>0.0</v>
      </c>
      <c r="H1267" s="24" t="s">
        <v>6766</v>
      </c>
      <c r="I1267" s="47"/>
      <c r="J1267" s="24">
        <v>0.0</v>
      </c>
    </row>
    <row r="1268">
      <c r="A1268" s="24">
        <v>36.0</v>
      </c>
      <c r="B1268" s="24">
        <v>3.0</v>
      </c>
      <c r="C1268" s="47">
        <v>8.72</v>
      </c>
      <c r="D1268" s="35">
        <v>44977.0</v>
      </c>
      <c r="E1268" s="47">
        <v>2.90666666666666</v>
      </c>
      <c r="F1268" s="47">
        <v>242.222222222222</v>
      </c>
      <c r="G1268" s="48">
        <v>0.0833333333333333</v>
      </c>
      <c r="H1268" s="24" t="s">
        <v>6766</v>
      </c>
      <c r="I1268" s="47"/>
      <c r="J1268" s="24">
        <v>0.0</v>
      </c>
    </row>
    <row r="1269">
      <c r="A1269" s="24">
        <v>40.0</v>
      </c>
      <c r="B1269" s="24">
        <v>1.0</v>
      </c>
      <c r="C1269" s="47">
        <v>1.14</v>
      </c>
      <c r="D1269" s="35">
        <v>44978.0</v>
      </c>
      <c r="E1269" s="47">
        <v>1.14</v>
      </c>
      <c r="F1269" s="47">
        <v>28.5</v>
      </c>
      <c r="G1269" s="48">
        <v>0.025</v>
      </c>
      <c r="H1269" s="24" t="s">
        <v>6766</v>
      </c>
      <c r="I1269" s="47"/>
      <c r="J1269" s="24">
        <v>0.0</v>
      </c>
    </row>
    <row r="1270">
      <c r="A1270" s="24">
        <v>66.0</v>
      </c>
      <c r="B1270" s="24">
        <v>5.0</v>
      </c>
      <c r="C1270" s="47">
        <v>13.97</v>
      </c>
      <c r="D1270" s="35">
        <v>44979.0</v>
      </c>
      <c r="E1270" s="47">
        <v>2.794</v>
      </c>
      <c r="F1270" s="47">
        <v>211.666666666666</v>
      </c>
      <c r="G1270" s="48">
        <v>0.0757575757575757</v>
      </c>
      <c r="H1270" s="24" t="s">
        <v>6766</v>
      </c>
      <c r="I1270" s="47"/>
      <c r="J1270" s="24">
        <v>0.0</v>
      </c>
    </row>
    <row r="1271">
      <c r="A1271" s="24">
        <v>45.0</v>
      </c>
      <c r="B1271" s="24">
        <v>5.0</v>
      </c>
      <c r="C1271" s="47">
        <v>14.31</v>
      </c>
      <c r="D1271" s="35">
        <v>44980.0</v>
      </c>
      <c r="E1271" s="47">
        <v>2.862</v>
      </c>
      <c r="F1271" s="47">
        <v>318.0</v>
      </c>
      <c r="G1271" s="48">
        <v>0.111111111111111</v>
      </c>
      <c r="H1271" s="24" t="s">
        <v>6766</v>
      </c>
      <c r="I1271" s="47"/>
      <c r="J1271" s="24">
        <v>0.0</v>
      </c>
    </row>
    <row r="1272">
      <c r="A1272" s="24">
        <v>44.0</v>
      </c>
      <c r="B1272" s="24">
        <v>3.0</v>
      </c>
      <c r="C1272" s="47">
        <v>8.89</v>
      </c>
      <c r="D1272" s="35">
        <v>44981.0</v>
      </c>
      <c r="E1272" s="47">
        <v>2.96333333333333</v>
      </c>
      <c r="F1272" s="47">
        <v>202.045454545454</v>
      </c>
      <c r="G1272" s="48">
        <v>0.0681818181818181</v>
      </c>
      <c r="H1272" s="24" t="s">
        <v>6766</v>
      </c>
      <c r="I1272" s="47"/>
      <c r="J1272" s="24">
        <v>0.0</v>
      </c>
    </row>
    <row r="1273">
      <c r="A1273" s="24">
        <v>12.0</v>
      </c>
      <c r="B1273" s="24">
        <v>0.0</v>
      </c>
      <c r="C1273" s="47">
        <v>0.0</v>
      </c>
      <c r="D1273" s="35">
        <v>44982.0</v>
      </c>
      <c r="E1273" s="47"/>
      <c r="F1273" s="47">
        <v>0.0</v>
      </c>
      <c r="G1273" s="48">
        <v>0.0</v>
      </c>
      <c r="H1273" s="24" t="s">
        <v>6766</v>
      </c>
      <c r="I1273" s="47"/>
      <c r="J1273" s="24">
        <v>0.0</v>
      </c>
    </row>
    <row r="1274">
      <c r="A1274" s="24">
        <v>5.0</v>
      </c>
      <c r="B1274" s="24">
        <v>0.0</v>
      </c>
      <c r="C1274" s="47">
        <v>0.0</v>
      </c>
      <c r="D1274" s="35">
        <v>44983.0</v>
      </c>
      <c r="E1274" s="47"/>
      <c r="F1274" s="47">
        <v>0.0</v>
      </c>
      <c r="G1274" s="48">
        <v>0.0</v>
      </c>
      <c r="H1274" s="24" t="s">
        <v>6766</v>
      </c>
      <c r="I1274" s="47"/>
      <c r="J1274" s="24">
        <v>0.0</v>
      </c>
    </row>
    <row r="1275">
      <c r="A1275" s="24">
        <v>27.0</v>
      </c>
      <c r="B1275" s="24">
        <v>3.0</v>
      </c>
      <c r="C1275" s="47">
        <v>8.8</v>
      </c>
      <c r="D1275" s="35">
        <v>44984.0</v>
      </c>
      <c r="E1275" s="47">
        <v>2.93333333333333</v>
      </c>
      <c r="F1275" s="47">
        <v>325.925925925925</v>
      </c>
      <c r="G1275" s="48">
        <v>0.111111111111111</v>
      </c>
      <c r="H1275" s="24" t="s">
        <v>6766</v>
      </c>
      <c r="I1275" s="47"/>
      <c r="J1275" s="24">
        <v>0.0</v>
      </c>
    </row>
    <row r="1276">
      <c r="A1276" s="24">
        <v>37.0</v>
      </c>
      <c r="B1276" s="24">
        <v>2.0</v>
      </c>
      <c r="C1276" s="47">
        <v>5.88</v>
      </c>
      <c r="D1276" s="35">
        <v>44985.0</v>
      </c>
      <c r="E1276" s="47">
        <v>2.94</v>
      </c>
      <c r="F1276" s="47">
        <v>158.918918918918</v>
      </c>
      <c r="G1276" s="48">
        <v>0.054054054054054</v>
      </c>
      <c r="H1276" s="24" t="s">
        <v>6766</v>
      </c>
      <c r="I1276" s="47"/>
      <c r="J1276" s="24">
        <v>0.0</v>
      </c>
    </row>
    <row r="1277">
      <c r="A1277" s="24">
        <v>30.0</v>
      </c>
      <c r="B1277" s="24">
        <v>1.0</v>
      </c>
      <c r="C1277" s="47">
        <v>2.33</v>
      </c>
      <c r="D1277" s="35">
        <v>44986.0</v>
      </c>
      <c r="E1277" s="47">
        <v>2.33</v>
      </c>
      <c r="F1277" s="47">
        <v>77.6666666666666</v>
      </c>
      <c r="G1277" s="48">
        <v>0.0333333333333333</v>
      </c>
      <c r="H1277" s="24" t="s">
        <v>6766</v>
      </c>
      <c r="I1277" s="47"/>
      <c r="J1277" s="24">
        <v>0.0</v>
      </c>
    </row>
    <row r="1278">
      <c r="A1278" s="24">
        <v>29.0</v>
      </c>
      <c r="B1278" s="24">
        <v>0.0</v>
      </c>
      <c r="C1278" s="47">
        <v>0.0</v>
      </c>
      <c r="D1278" s="35">
        <v>44987.0</v>
      </c>
      <c r="E1278" s="47"/>
      <c r="F1278" s="47">
        <v>0.0</v>
      </c>
      <c r="G1278" s="48">
        <v>0.0</v>
      </c>
      <c r="H1278" s="24" t="s">
        <v>6766</v>
      </c>
      <c r="I1278" s="47"/>
      <c r="J1278" s="24">
        <v>0.0</v>
      </c>
    </row>
    <row r="1279">
      <c r="A1279" s="24">
        <v>13.0</v>
      </c>
      <c r="B1279" s="24">
        <v>4.0</v>
      </c>
      <c r="C1279" s="47">
        <v>11.61</v>
      </c>
      <c r="D1279" s="35">
        <v>44988.0</v>
      </c>
      <c r="E1279" s="47">
        <v>2.9025</v>
      </c>
      <c r="F1279" s="47">
        <v>893.076923076923</v>
      </c>
      <c r="G1279" s="48">
        <v>0.307692307692307</v>
      </c>
      <c r="H1279" s="24" t="s">
        <v>6766</v>
      </c>
      <c r="I1279" s="47"/>
      <c r="J1279" s="24">
        <v>0.0</v>
      </c>
    </row>
    <row r="1280">
      <c r="A1280" s="24">
        <v>7.0</v>
      </c>
      <c r="B1280" s="24">
        <v>1.0</v>
      </c>
      <c r="C1280" s="47">
        <v>2.84</v>
      </c>
      <c r="D1280" s="35">
        <v>44989.0</v>
      </c>
      <c r="E1280" s="47">
        <v>2.84</v>
      </c>
      <c r="F1280" s="47">
        <v>405.714285714285</v>
      </c>
      <c r="G1280" s="48">
        <v>0.142857142857142</v>
      </c>
      <c r="H1280" s="24" t="s">
        <v>6766</v>
      </c>
      <c r="I1280" s="47"/>
      <c r="J1280" s="24">
        <v>0.0</v>
      </c>
    </row>
    <row r="1281">
      <c r="A1281" s="24">
        <v>8.0</v>
      </c>
      <c r="B1281" s="24">
        <v>1.0</v>
      </c>
      <c r="C1281" s="47">
        <v>2.97</v>
      </c>
      <c r="D1281" s="35">
        <v>44990.0</v>
      </c>
      <c r="E1281" s="47">
        <v>2.97</v>
      </c>
      <c r="F1281" s="47">
        <v>371.25</v>
      </c>
      <c r="G1281" s="48">
        <v>0.125</v>
      </c>
      <c r="H1281" s="24" t="s">
        <v>6766</v>
      </c>
      <c r="I1281" s="47"/>
      <c r="J1281" s="24">
        <v>0.0</v>
      </c>
    </row>
    <row r="1282">
      <c r="A1282" s="24">
        <v>14.0</v>
      </c>
      <c r="B1282" s="24">
        <v>0.0</v>
      </c>
      <c r="C1282" s="47">
        <v>0.0</v>
      </c>
      <c r="D1282" s="35">
        <v>44991.0</v>
      </c>
      <c r="E1282" s="47"/>
      <c r="F1282" s="47">
        <v>0.0</v>
      </c>
      <c r="G1282" s="48">
        <v>0.0</v>
      </c>
      <c r="H1282" s="24" t="s">
        <v>6766</v>
      </c>
      <c r="I1282" s="47"/>
      <c r="J1282" s="24">
        <v>0.0</v>
      </c>
    </row>
    <row r="1283">
      <c r="A1283" s="24">
        <v>27.0</v>
      </c>
      <c r="B1283" s="24">
        <v>2.0</v>
      </c>
      <c r="C1283" s="47">
        <v>5.74</v>
      </c>
      <c r="D1283" s="35">
        <v>44992.0</v>
      </c>
      <c r="E1283" s="47">
        <v>2.87</v>
      </c>
      <c r="F1283" s="47">
        <v>212.592592592592</v>
      </c>
      <c r="G1283" s="48">
        <v>0.074074074074074</v>
      </c>
      <c r="H1283" s="24" t="s">
        <v>6766</v>
      </c>
      <c r="I1283" s="47"/>
      <c r="J1283" s="24">
        <v>0.0</v>
      </c>
    </row>
    <row r="1284">
      <c r="A1284" s="24">
        <v>29.0</v>
      </c>
      <c r="B1284" s="24">
        <v>3.0</v>
      </c>
      <c r="C1284" s="47">
        <v>6.78</v>
      </c>
      <c r="D1284" s="35">
        <v>44993.0</v>
      </c>
      <c r="E1284" s="47">
        <v>2.26</v>
      </c>
      <c r="F1284" s="47">
        <v>233.793103448275</v>
      </c>
      <c r="G1284" s="48">
        <v>0.103448275862068</v>
      </c>
      <c r="H1284" s="24" t="s">
        <v>6766</v>
      </c>
      <c r="I1284" s="47"/>
      <c r="J1284" s="24">
        <v>0.0</v>
      </c>
    </row>
    <row r="1285">
      <c r="A1285" s="24">
        <v>24.0</v>
      </c>
      <c r="B1285" s="24">
        <v>2.0</v>
      </c>
      <c r="C1285" s="47">
        <v>4.85</v>
      </c>
      <c r="D1285" s="35">
        <v>44994.0</v>
      </c>
      <c r="E1285" s="47">
        <v>2.425</v>
      </c>
      <c r="F1285" s="47">
        <v>202.083333333333</v>
      </c>
      <c r="G1285" s="48">
        <v>0.0833333333333333</v>
      </c>
      <c r="H1285" s="24" t="s">
        <v>6766</v>
      </c>
      <c r="I1285" s="47"/>
      <c r="J1285" s="24">
        <v>0.0</v>
      </c>
    </row>
    <row r="1286">
      <c r="A1286" s="24">
        <v>12.0</v>
      </c>
      <c r="B1286" s="24">
        <v>1.0</v>
      </c>
      <c r="C1286" s="47">
        <v>2.98</v>
      </c>
      <c r="D1286" s="35">
        <v>44995.0</v>
      </c>
      <c r="E1286" s="47">
        <v>2.98</v>
      </c>
      <c r="F1286" s="47">
        <v>248.333333333333</v>
      </c>
      <c r="G1286" s="48">
        <v>0.0833333333333333</v>
      </c>
      <c r="H1286" s="24" t="s">
        <v>6766</v>
      </c>
      <c r="I1286" s="47"/>
      <c r="J1286" s="24">
        <v>0.0</v>
      </c>
    </row>
    <row r="1287">
      <c r="A1287" s="24">
        <v>6.0</v>
      </c>
      <c r="B1287" s="24">
        <v>2.0</v>
      </c>
      <c r="C1287" s="47">
        <v>5.19</v>
      </c>
      <c r="D1287" s="35">
        <v>44996.0</v>
      </c>
      <c r="E1287" s="47">
        <v>2.595</v>
      </c>
      <c r="F1287" s="47">
        <v>865.0</v>
      </c>
      <c r="G1287" s="48">
        <v>0.333333333333333</v>
      </c>
      <c r="H1287" s="24" t="s">
        <v>6766</v>
      </c>
      <c r="I1287" s="47"/>
      <c r="J1287" s="24">
        <v>0.0</v>
      </c>
    </row>
    <row r="1288">
      <c r="A1288" s="24">
        <v>4.0</v>
      </c>
      <c r="B1288" s="24">
        <v>0.0</v>
      </c>
      <c r="C1288" s="47">
        <v>0.0</v>
      </c>
      <c r="D1288" s="35">
        <v>44997.0</v>
      </c>
      <c r="E1288" s="47"/>
      <c r="F1288" s="47">
        <v>0.0</v>
      </c>
      <c r="G1288" s="48">
        <v>0.0</v>
      </c>
      <c r="H1288" s="24" t="s">
        <v>6766</v>
      </c>
      <c r="I1288" s="47"/>
      <c r="J1288" s="24">
        <v>0.0</v>
      </c>
    </row>
    <row r="1289">
      <c r="A1289" s="24">
        <v>27.0</v>
      </c>
      <c r="B1289" s="24">
        <v>3.0</v>
      </c>
      <c r="C1289" s="47">
        <v>8.78</v>
      </c>
      <c r="D1289" s="35">
        <v>44998.0</v>
      </c>
      <c r="E1289" s="47">
        <v>2.92666666666666</v>
      </c>
      <c r="F1289" s="47">
        <v>325.185185185185</v>
      </c>
      <c r="G1289" s="48">
        <v>0.111111111111111</v>
      </c>
      <c r="H1289" s="24" t="s">
        <v>6766</v>
      </c>
      <c r="I1289" s="47"/>
      <c r="J1289" s="24">
        <v>0.0</v>
      </c>
    </row>
    <row r="1290">
      <c r="A1290" s="24">
        <v>25.0</v>
      </c>
      <c r="B1290" s="24">
        <v>0.0</v>
      </c>
      <c r="C1290" s="47">
        <v>0.0</v>
      </c>
      <c r="D1290" s="35">
        <v>44999.0</v>
      </c>
      <c r="E1290" s="47"/>
      <c r="F1290" s="47">
        <v>0.0</v>
      </c>
      <c r="G1290" s="48">
        <v>0.0</v>
      </c>
      <c r="H1290" s="24" t="s">
        <v>6766</v>
      </c>
      <c r="I1290" s="47"/>
      <c r="J1290" s="24">
        <v>0.0</v>
      </c>
    </row>
    <row r="1291">
      <c r="A1291" s="24">
        <v>34.0</v>
      </c>
      <c r="B1291" s="24">
        <v>5.0</v>
      </c>
      <c r="C1291" s="47">
        <v>14.52</v>
      </c>
      <c r="D1291" s="35">
        <v>45000.0</v>
      </c>
      <c r="E1291" s="47">
        <v>2.904</v>
      </c>
      <c r="F1291" s="47">
        <v>427.058823529411</v>
      </c>
      <c r="G1291" s="48">
        <v>0.147058823529411</v>
      </c>
      <c r="H1291" s="24" t="s">
        <v>6766</v>
      </c>
      <c r="I1291" s="47"/>
      <c r="J1291" s="24">
        <v>0.0</v>
      </c>
    </row>
    <row r="1292">
      <c r="A1292" s="24">
        <v>40.0</v>
      </c>
      <c r="B1292" s="24">
        <v>2.0</v>
      </c>
      <c r="C1292" s="47">
        <v>5.87</v>
      </c>
      <c r="D1292" s="35">
        <v>45001.0</v>
      </c>
      <c r="E1292" s="47">
        <v>2.935</v>
      </c>
      <c r="F1292" s="47">
        <v>146.75</v>
      </c>
      <c r="G1292" s="48">
        <v>0.05</v>
      </c>
      <c r="H1292" s="24" t="s">
        <v>6766</v>
      </c>
      <c r="I1292" s="47"/>
      <c r="J1292" s="24">
        <v>0.0</v>
      </c>
    </row>
    <row r="1293">
      <c r="A1293" s="24">
        <v>31.0</v>
      </c>
      <c r="B1293" s="24">
        <v>3.0</v>
      </c>
      <c r="C1293" s="47">
        <v>8.5</v>
      </c>
      <c r="D1293" s="35">
        <v>45002.0</v>
      </c>
      <c r="E1293" s="47">
        <v>2.83333333333333</v>
      </c>
      <c r="F1293" s="47">
        <v>274.193548387096</v>
      </c>
      <c r="G1293" s="48">
        <v>0.0967741935483871</v>
      </c>
      <c r="H1293" s="24" t="s">
        <v>6766</v>
      </c>
      <c r="I1293" s="47"/>
      <c r="J1293" s="24">
        <v>0.0</v>
      </c>
    </row>
    <row r="1294">
      <c r="A1294" s="24">
        <v>14.0</v>
      </c>
      <c r="B1294" s="24">
        <v>0.0</v>
      </c>
      <c r="C1294" s="47">
        <v>0.0</v>
      </c>
      <c r="D1294" s="35">
        <v>45003.0</v>
      </c>
      <c r="E1294" s="47"/>
      <c r="F1294" s="47">
        <v>0.0</v>
      </c>
      <c r="G1294" s="48">
        <v>0.0</v>
      </c>
      <c r="H1294" s="24" t="s">
        <v>6766</v>
      </c>
      <c r="I1294" s="47"/>
      <c r="J1294" s="24">
        <v>0.0</v>
      </c>
    </row>
    <row r="1295">
      <c r="A1295" s="24">
        <v>4.0</v>
      </c>
      <c r="B1295" s="24">
        <v>0.0</v>
      </c>
      <c r="C1295" s="47">
        <v>0.0</v>
      </c>
      <c r="D1295" s="35">
        <v>45004.0</v>
      </c>
      <c r="E1295" s="47"/>
      <c r="F1295" s="47">
        <v>0.0</v>
      </c>
      <c r="G1295" s="48">
        <v>0.0</v>
      </c>
      <c r="H1295" s="24" t="s">
        <v>6766</v>
      </c>
      <c r="I1295" s="47"/>
      <c r="J1295" s="24">
        <v>0.0</v>
      </c>
    </row>
    <row r="1296">
      <c r="A1296" s="24">
        <v>29.0</v>
      </c>
      <c r="B1296" s="24">
        <v>1.0</v>
      </c>
      <c r="C1296" s="47">
        <v>1.27</v>
      </c>
      <c r="D1296" s="35">
        <v>45005.0</v>
      </c>
      <c r="E1296" s="47">
        <v>1.27</v>
      </c>
      <c r="F1296" s="47">
        <v>43.7931034482758</v>
      </c>
      <c r="G1296" s="48">
        <v>0.0344827586206896</v>
      </c>
      <c r="H1296" s="24" t="s">
        <v>6766</v>
      </c>
      <c r="I1296" s="47"/>
      <c r="J1296" s="24">
        <v>0.0</v>
      </c>
    </row>
    <row r="1297">
      <c r="A1297" s="24">
        <v>20.0</v>
      </c>
      <c r="B1297" s="24">
        <v>4.0</v>
      </c>
      <c r="C1297" s="47">
        <v>10.8</v>
      </c>
      <c r="D1297" s="35">
        <v>45006.0</v>
      </c>
      <c r="E1297" s="47">
        <v>2.7</v>
      </c>
      <c r="F1297" s="47">
        <v>540.0</v>
      </c>
      <c r="G1297" s="48">
        <v>0.2</v>
      </c>
      <c r="H1297" s="24" t="s">
        <v>6766</v>
      </c>
      <c r="I1297" s="47"/>
      <c r="J1297" s="24">
        <v>0.0</v>
      </c>
    </row>
    <row r="1298">
      <c r="A1298" s="24">
        <v>20.0</v>
      </c>
      <c r="B1298" s="24">
        <v>4.0</v>
      </c>
      <c r="C1298" s="47">
        <v>9.54</v>
      </c>
      <c r="D1298" s="35">
        <v>45007.0</v>
      </c>
      <c r="E1298" s="47">
        <v>2.385</v>
      </c>
      <c r="F1298" s="47">
        <v>477.0</v>
      </c>
      <c r="G1298" s="48">
        <v>0.2</v>
      </c>
      <c r="H1298" s="24" t="s">
        <v>6766</v>
      </c>
      <c r="I1298" s="47"/>
      <c r="J1298" s="24">
        <v>0.0</v>
      </c>
    </row>
    <row r="1299">
      <c r="A1299" s="24">
        <v>30.0</v>
      </c>
      <c r="B1299" s="24">
        <v>4.0</v>
      </c>
      <c r="C1299" s="47">
        <v>7.99</v>
      </c>
      <c r="D1299" s="35">
        <v>45008.0</v>
      </c>
      <c r="E1299" s="47">
        <v>1.9975</v>
      </c>
      <c r="F1299" s="47">
        <v>266.333333333333</v>
      </c>
      <c r="G1299" s="48">
        <v>0.133333333333333</v>
      </c>
      <c r="H1299" s="24" t="s">
        <v>6766</v>
      </c>
      <c r="I1299" s="47"/>
      <c r="J1299" s="24">
        <v>0.0</v>
      </c>
    </row>
    <row r="1300">
      <c r="A1300" s="24">
        <v>32.0</v>
      </c>
      <c r="B1300" s="24">
        <v>3.0</v>
      </c>
      <c r="C1300" s="47">
        <v>6.73</v>
      </c>
      <c r="D1300" s="35">
        <v>45009.0</v>
      </c>
      <c r="E1300" s="47">
        <v>2.24333333333333</v>
      </c>
      <c r="F1300" s="47">
        <v>210.3125</v>
      </c>
      <c r="G1300" s="48">
        <v>0.09375</v>
      </c>
      <c r="H1300" s="24" t="s">
        <v>6766</v>
      </c>
      <c r="I1300" s="47"/>
      <c r="J1300" s="24">
        <v>0.0</v>
      </c>
    </row>
    <row r="1301">
      <c r="A1301" s="24">
        <v>27.0</v>
      </c>
      <c r="B1301" s="24">
        <v>0.0</v>
      </c>
      <c r="C1301" s="47">
        <v>0.0</v>
      </c>
      <c r="D1301" s="35">
        <v>45010.0</v>
      </c>
      <c r="E1301" s="47"/>
      <c r="F1301" s="47">
        <v>0.0</v>
      </c>
      <c r="G1301" s="48">
        <v>0.0</v>
      </c>
      <c r="H1301" s="24" t="s">
        <v>6766</v>
      </c>
      <c r="I1301" s="47"/>
      <c r="J1301" s="24">
        <v>0.0</v>
      </c>
    </row>
    <row r="1302">
      <c r="A1302" s="24">
        <v>31.0</v>
      </c>
      <c r="B1302" s="24">
        <v>2.0</v>
      </c>
      <c r="C1302" s="47">
        <v>4.16</v>
      </c>
      <c r="D1302" s="35">
        <v>45011.0</v>
      </c>
      <c r="E1302" s="47">
        <v>2.08</v>
      </c>
      <c r="F1302" s="47">
        <v>134.193548387096</v>
      </c>
      <c r="G1302" s="48">
        <v>0.064516129032258</v>
      </c>
      <c r="H1302" s="24" t="s">
        <v>6766</v>
      </c>
      <c r="I1302" s="47"/>
      <c r="J1302" s="24">
        <v>0.0</v>
      </c>
    </row>
    <row r="1303">
      <c r="A1303" s="24">
        <v>74.0</v>
      </c>
      <c r="B1303" s="24">
        <v>1.0</v>
      </c>
      <c r="C1303" s="47">
        <v>2.64</v>
      </c>
      <c r="D1303" s="35">
        <v>45012.0</v>
      </c>
      <c r="E1303" s="47">
        <v>2.64</v>
      </c>
      <c r="F1303" s="47">
        <v>35.6756756756756</v>
      </c>
      <c r="G1303" s="48">
        <v>0.0135135135135135</v>
      </c>
      <c r="H1303" s="24" t="s">
        <v>6766</v>
      </c>
      <c r="I1303" s="47"/>
      <c r="J1303" s="24">
        <v>0.0</v>
      </c>
    </row>
    <row r="1304">
      <c r="A1304" s="24">
        <v>80.0</v>
      </c>
      <c r="B1304" s="24">
        <v>2.0</v>
      </c>
      <c r="C1304" s="47">
        <v>5.72</v>
      </c>
      <c r="D1304" s="35">
        <v>45013.0</v>
      </c>
      <c r="E1304" s="47">
        <v>2.86</v>
      </c>
      <c r="F1304" s="47">
        <v>71.5</v>
      </c>
      <c r="G1304" s="48">
        <v>0.025</v>
      </c>
      <c r="H1304" s="24" t="s">
        <v>6766</v>
      </c>
      <c r="I1304" s="47"/>
      <c r="J1304" s="24">
        <v>0.0</v>
      </c>
    </row>
    <row r="1305">
      <c r="A1305" s="24">
        <v>77.0</v>
      </c>
      <c r="B1305" s="24">
        <v>3.0</v>
      </c>
      <c r="C1305" s="47">
        <v>6.38</v>
      </c>
      <c r="D1305" s="35">
        <v>45014.0</v>
      </c>
      <c r="E1305" s="47">
        <v>2.12666666666666</v>
      </c>
      <c r="F1305" s="47">
        <v>82.8571428571428</v>
      </c>
      <c r="G1305" s="48">
        <v>0.0389610389610389</v>
      </c>
      <c r="H1305" s="24" t="s">
        <v>6766</v>
      </c>
      <c r="I1305" s="47"/>
      <c r="J1305" s="24">
        <v>0.0</v>
      </c>
    </row>
    <row r="1306">
      <c r="A1306" s="24">
        <v>75.0</v>
      </c>
      <c r="B1306" s="24">
        <v>4.0</v>
      </c>
      <c r="C1306" s="47">
        <v>11.58</v>
      </c>
      <c r="D1306" s="35">
        <v>45015.0</v>
      </c>
      <c r="E1306" s="47">
        <v>2.895</v>
      </c>
      <c r="F1306" s="47">
        <v>154.4</v>
      </c>
      <c r="G1306" s="48">
        <v>0.0533333333333333</v>
      </c>
      <c r="H1306" s="24" t="s">
        <v>6766</v>
      </c>
      <c r="I1306" s="47"/>
      <c r="J1306" s="24">
        <v>0.0</v>
      </c>
    </row>
    <row r="1307">
      <c r="A1307" s="24">
        <v>96.0</v>
      </c>
      <c r="B1307" s="24">
        <v>10.0</v>
      </c>
      <c r="C1307" s="47">
        <v>22.4</v>
      </c>
      <c r="D1307" s="35">
        <v>45016.0</v>
      </c>
      <c r="E1307" s="47">
        <v>2.24</v>
      </c>
      <c r="F1307" s="47">
        <v>233.333333333333</v>
      </c>
      <c r="G1307" s="48">
        <v>0.104166666666666</v>
      </c>
      <c r="H1307" s="24" t="s">
        <v>6766</v>
      </c>
      <c r="I1307" s="47"/>
      <c r="J1307" s="24">
        <v>0.0</v>
      </c>
    </row>
    <row r="1308">
      <c r="A1308" s="24">
        <v>50.0</v>
      </c>
      <c r="B1308" s="24">
        <v>4.0</v>
      </c>
      <c r="C1308" s="47">
        <v>8.12</v>
      </c>
      <c r="D1308" s="35">
        <v>45017.0</v>
      </c>
      <c r="E1308" s="47">
        <v>2.03</v>
      </c>
      <c r="F1308" s="47">
        <v>162.4</v>
      </c>
      <c r="G1308" s="48">
        <v>0.08</v>
      </c>
      <c r="H1308" s="24" t="s">
        <v>6766</v>
      </c>
      <c r="I1308" s="47"/>
      <c r="J1308" s="24">
        <v>0.0</v>
      </c>
    </row>
    <row r="1309">
      <c r="A1309" s="24">
        <v>44.0</v>
      </c>
      <c r="B1309" s="24">
        <v>0.0</v>
      </c>
      <c r="C1309" s="47">
        <v>0.0</v>
      </c>
      <c r="D1309" s="35">
        <v>45018.0</v>
      </c>
      <c r="E1309" s="47"/>
      <c r="F1309" s="47">
        <v>0.0</v>
      </c>
      <c r="G1309" s="48">
        <v>0.0</v>
      </c>
      <c r="H1309" s="24" t="s">
        <v>6766</v>
      </c>
      <c r="I1309" s="47"/>
      <c r="J1309" s="24">
        <v>0.0</v>
      </c>
    </row>
    <row r="1310">
      <c r="A1310" s="24">
        <v>75.0</v>
      </c>
      <c r="B1310" s="24">
        <v>11.0</v>
      </c>
      <c r="C1310" s="47">
        <v>26.83</v>
      </c>
      <c r="D1310" s="35">
        <v>45019.0</v>
      </c>
      <c r="E1310" s="47">
        <v>2.4390909090909</v>
      </c>
      <c r="F1310" s="47">
        <v>357.733333333333</v>
      </c>
      <c r="G1310" s="48">
        <v>0.146666666666666</v>
      </c>
      <c r="H1310" s="24" t="s">
        <v>6766</v>
      </c>
      <c r="I1310" s="47"/>
      <c r="J1310" s="24">
        <v>0.0</v>
      </c>
    </row>
    <row r="1311">
      <c r="A1311" s="24">
        <v>50.0</v>
      </c>
      <c r="B1311" s="24">
        <v>1.0</v>
      </c>
      <c r="C1311" s="47">
        <v>2.98</v>
      </c>
      <c r="D1311" s="35">
        <v>45020.0</v>
      </c>
      <c r="E1311" s="47">
        <v>2.98</v>
      </c>
      <c r="F1311" s="47">
        <v>59.6</v>
      </c>
      <c r="G1311" s="48">
        <v>0.02</v>
      </c>
      <c r="H1311" s="24" t="s">
        <v>6766</v>
      </c>
      <c r="I1311" s="47"/>
      <c r="J1311" s="24">
        <v>0.0</v>
      </c>
    </row>
    <row r="1312">
      <c r="A1312" s="24">
        <v>85.0</v>
      </c>
      <c r="B1312" s="24">
        <v>8.0</v>
      </c>
      <c r="C1312" s="47">
        <v>21.31</v>
      </c>
      <c r="D1312" s="35">
        <v>45021.0</v>
      </c>
      <c r="E1312" s="47">
        <v>2.66375</v>
      </c>
      <c r="F1312" s="47">
        <v>250.705882352941</v>
      </c>
      <c r="G1312" s="48">
        <v>0.0941176470588235</v>
      </c>
      <c r="H1312" s="24" t="s">
        <v>6766</v>
      </c>
      <c r="I1312" s="47"/>
      <c r="J1312" s="24">
        <v>0.0</v>
      </c>
    </row>
    <row r="1313">
      <c r="A1313" s="24">
        <v>60.0</v>
      </c>
      <c r="B1313" s="24">
        <v>7.0</v>
      </c>
      <c r="C1313" s="47">
        <v>16.87</v>
      </c>
      <c r="D1313" s="35">
        <v>45022.0</v>
      </c>
      <c r="E1313" s="47">
        <v>2.41</v>
      </c>
      <c r="F1313" s="47">
        <v>281.166666666666</v>
      </c>
      <c r="G1313" s="48">
        <v>0.116666666666666</v>
      </c>
      <c r="H1313" s="24" t="s">
        <v>6766</v>
      </c>
      <c r="I1313" s="47"/>
      <c r="J1313" s="24">
        <v>0.0</v>
      </c>
    </row>
    <row r="1314">
      <c r="A1314" s="24">
        <v>43.0</v>
      </c>
      <c r="B1314" s="24">
        <v>3.0</v>
      </c>
      <c r="C1314" s="47">
        <v>8.68</v>
      </c>
      <c r="D1314" s="35">
        <v>45023.0</v>
      </c>
      <c r="E1314" s="47">
        <v>2.89333333333333</v>
      </c>
      <c r="F1314" s="47">
        <v>201.860465116279</v>
      </c>
      <c r="G1314" s="48">
        <v>0.0697674418604651</v>
      </c>
      <c r="H1314" s="24" t="s">
        <v>6766</v>
      </c>
      <c r="I1314" s="47"/>
      <c r="J1314" s="24">
        <v>0.0</v>
      </c>
    </row>
    <row r="1315">
      <c r="A1315" s="24">
        <v>22.0</v>
      </c>
      <c r="B1315" s="24">
        <v>0.0</v>
      </c>
      <c r="C1315" s="47">
        <v>0.0</v>
      </c>
      <c r="D1315" s="35">
        <v>45024.0</v>
      </c>
      <c r="E1315" s="47"/>
      <c r="F1315" s="47">
        <v>0.0</v>
      </c>
      <c r="G1315" s="48">
        <v>0.0</v>
      </c>
      <c r="H1315" s="24" t="s">
        <v>6766</v>
      </c>
      <c r="I1315" s="47"/>
      <c r="J1315" s="24">
        <v>0.0</v>
      </c>
    </row>
    <row r="1316">
      <c r="A1316" s="24">
        <v>16.0</v>
      </c>
      <c r="B1316" s="24">
        <v>2.0</v>
      </c>
      <c r="C1316" s="47">
        <v>2.97</v>
      </c>
      <c r="D1316" s="35">
        <v>45025.0</v>
      </c>
      <c r="E1316" s="47">
        <v>1.485</v>
      </c>
      <c r="F1316" s="47">
        <v>185.625</v>
      </c>
      <c r="G1316" s="48">
        <v>0.125</v>
      </c>
      <c r="H1316" s="24" t="s">
        <v>6766</v>
      </c>
      <c r="I1316" s="47"/>
      <c r="J1316" s="24">
        <v>0.0</v>
      </c>
    </row>
    <row r="1317">
      <c r="A1317" s="24">
        <v>50.0</v>
      </c>
      <c r="B1317" s="24">
        <v>3.0</v>
      </c>
      <c r="C1317" s="47">
        <v>5.78</v>
      </c>
      <c r="D1317" s="35">
        <v>45026.0</v>
      </c>
      <c r="E1317" s="47">
        <v>1.92666666666666</v>
      </c>
      <c r="F1317" s="47">
        <v>115.6</v>
      </c>
      <c r="G1317" s="48">
        <v>0.06</v>
      </c>
      <c r="H1317" s="24" t="s">
        <v>6766</v>
      </c>
      <c r="I1317" s="47"/>
      <c r="J1317" s="24">
        <v>0.0</v>
      </c>
    </row>
    <row r="1318">
      <c r="A1318" s="24">
        <v>56.0</v>
      </c>
      <c r="B1318" s="24">
        <v>10.0</v>
      </c>
      <c r="C1318" s="47">
        <v>22.9</v>
      </c>
      <c r="D1318" s="35">
        <v>45027.0</v>
      </c>
      <c r="E1318" s="47">
        <v>2.29</v>
      </c>
      <c r="F1318" s="47">
        <v>408.928571428571</v>
      </c>
      <c r="G1318" s="48">
        <v>0.178571428571428</v>
      </c>
      <c r="H1318" s="24" t="s">
        <v>6766</v>
      </c>
      <c r="I1318" s="47"/>
      <c r="J1318" s="24">
        <v>0.0</v>
      </c>
    </row>
    <row r="1319">
      <c r="A1319" s="24">
        <v>80.0</v>
      </c>
      <c r="B1319" s="24">
        <v>8.0</v>
      </c>
      <c r="C1319" s="47">
        <v>18.87</v>
      </c>
      <c r="D1319" s="35">
        <v>45028.0</v>
      </c>
      <c r="E1319" s="47">
        <v>2.35875</v>
      </c>
      <c r="F1319" s="47">
        <v>235.875</v>
      </c>
      <c r="G1319" s="48">
        <v>0.1</v>
      </c>
      <c r="H1319" s="24" t="s">
        <v>6766</v>
      </c>
      <c r="I1319" s="47"/>
      <c r="J1319" s="24">
        <v>0.0</v>
      </c>
    </row>
    <row r="1320">
      <c r="A1320" s="24">
        <v>67.0</v>
      </c>
      <c r="B1320" s="24">
        <v>4.0</v>
      </c>
      <c r="C1320" s="47">
        <v>8.67</v>
      </c>
      <c r="D1320" s="35">
        <v>45029.0</v>
      </c>
      <c r="E1320" s="47">
        <v>2.1675</v>
      </c>
      <c r="F1320" s="47">
        <v>129.402985074626</v>
      </c>
      <c r="G1320" s="48">
        <v>0.0597014925373134</v>
      </c>
      <c r="H1320" s="24" t="s">
        <v>6766</v>
      </c>
      <c r="I1320" s="47"/>
      <c r="J1320" s="24">
        <v>0.0</v>
      </c>
    </row>
    <row r="1321">
      <c r="A1321" s="24">
        <v>71.0</v>
      </c>
      <c r="B1321" s="24">
        <v>5.0</v>
      </c>
      <c r="C1321" s="47">
        <v>13.03</v>
      </c>
      <c r="D1321" s="35">
        <v>45030.0</v>
      </c>
      <c r="E1321" s="47">
        <v>2.606</v>
      </c>
      <c r="F1321" s="47">
        <v>183.521126760563</v>
      </c>
      <c r="G1321" s="48">
        <v>0.0704225352112676</v>
      </c>
      <c r="H1321" s="24" t="s">
        <v>6766</v>
      </c>
      <c r="I1321" s="47"/>
      <c r="J1321" s="24">
        <v>0.0</v>
      </c>
    </row>
    <row r="1322">
      <c r="A1322" s="24">
        <v>19.0</v>
      </c>
      <c r="B1322" s="24">
        <v>1.0</v>
      </c>
      <c r="C1322" s="47">
        <v>2.11</v>
      </c>
      <c r="D1322" s="35">
        <v>45031.0</v>
      </c>
      <c r="E1322" s="47">
        <v>2.11</v>
      </c>
      <c r="F1322" s="47">
        <v>111.052631578947</v>
      </c>
      <c r="G1322" s="48">
        <v>0.0526315789473684</v>
      </c>
      <c r="H1322" s="24" t="s">
        <v>6766</v>
      </c>
      <c r="I1322" s="47"/>
      <c r="J1322" s="24">
        <v>0.0</v>
      </c>
    </row>
    <row r="1323">
      <c r="A1323" s="24">
        <v>33.0</v>
      </c>
      <c r="B1323" s="24">
        <v>0.0</v>
      </c>
      <c r="C1323" s="47">
        <v>0.0</v>
      </c>
      <c r="D1323" s="35">
        <v>45032.0</v>
      </c>
      <c r="E1323" s="47"/>
      <c r="F1323" s="47">
        <v>0.0</v>
      </c>
      <c r="G1323" s="48">
        <v>0.0</v>
      </c>
      <c r="H1323" s="24" t="s">
        <v>6766</v>
      </c>
      <c r="I1323" s="47"/>
      <c r="J1323" s="24">
        <v>0.0</v>
      </c>
    </row>
    <row r="1324">
      <c r="A1324" s="24">
        <v>45.0</v>
      </c>
      <c r="B1324" s="24">
        <v>6.0</v>
      </c>
      <c r="C1324" s="47">
        <v>16.19</v>
      </c>
      <c r="D1324" s="35">
        <v>45033.0</v>
      </c>
      <c r="E1324" s="47">
        <v>2.69833333333333</v>
      </c>
      <c r="F1324" s="47">
        <v>359.777777777777</v>
      </c>
      <c r="G1324" s="48">
        <v>0.133333333333333</v>
      </c>
      <c r="H1324" s="24" t="s">
        <v>6766</v>
      </c>
      <c r="I1324" s="47"/>
      <c r="J1324" s="24">
        <v>0.0</v>
      </c>
    </row>
    <row r="1325">
      <c r="A1325" s="24">
        <v>72.0</v>
      </c>
      <c r="B1325" s="24">
        <v>0.0</v>
      </c>
      <c r="C1325" s="47">
        <v>0.0</v>
      </c>
      <c r="D1325" s="35">
        <v>45034.0</v>
      </c>
      <c r="E1325" s="47"/>
      <c r="F1325" s="47">
        <v>0.0</v>
      </c>
      <c r="G1325" s="48">
        <v>0.0</v>
      </c>
      <c r="H1325" s="24" t="s">
        <v>6766</v>
      </c>
      <c r="I1325" s="47"/>
      <c r="J1325" s="24">
        <v>0.0</v>
      </c>
    </row>
    <row r="1326">
      <c r="A1326" s="24">
        <v>53.0</v>
      </c>
      <c r="B1326" s="24">
        <v>5.0</v>
      </c>
      <c r="C1326" s="47">
        <v>14.17</v>
      </c>
      <c r="D1326" s="35">
        <v>45035.0</v>
      </c>
      <c r="E1326" s="47">
        <v>2.834</v>
      </c>
      <c r="F1326" s="47">
        <v>267.358490566037</v>
      </c>
      <c r="G1326" s="48">
        <v>0.0943396226415094</v>
      </c>
      <c r="H1326" s="24" t="s">
        <v>6766</v>
      </c>
      <c r="I1326" s="47"/>
      <c r="J1326" s="24">
        <v>0.0</v>
      </c>
    </row>
    <row r="1327">
      <c r="A1327" s="24">
        <v>59.0</v>
      </c>
      <c r="B1327" s="24">
        <v>2.0</v>
      </c>
      <c r="C1327" s="47">
        <v>5.28</v>
      </c>
      <c r="D1327" s="35">
        <v>45036.0</v>
      </c>
      <c r="E1327" s="47">
        <v>2.64</v>
      </c>
      <c r="F1327" s="47">
        <v>89.4915254237288</v>
      </c>
      <c r="G1327" s="48">
        <v>0.0338983050847457</v>
      </c>
      <c r="H1327" s="24" t="s">
        <v>6766</v>
      </c>
      <c r="I1327" s="47"/>
      <c r="J1327" s="24">
        <v>0.0</v>
      </c>
    </row>
    <row r="1328">
      <c r="A1328" s="24">
        <v>69.0</v>
      </c>
      <c r="B1328" s="24">
        <v>4.0</v>
      </c>
      <c r="C1328" s="47">
        <v>7.87</v>
      </c>
      <c r="D1328" s="35">
        <v>45037.0</v>
      </c>
      <c r="E1328" s="47">
        <v>1.9675</v>
      </c>
      <c r="F1328" s="47">
        <v>114.057971014492</v>
      </c>
      <c r="G1328" s="48">
        <v>0.0579710144927536</v>
      </c>
      <c r="H1328" s="24" t="s">
        <v>6766</v>
      </c>
      <c r="I1328" s="47"/>
      <c r="J1328" s="24">
        <v>0.0</v>
      </c>
    </row>
    <row r="1329">
      <c r="A1329" s="24">
        <v>20.0</v>
      </c>
      <c r="B1329" s="24">
        <v>0.0</v>
      </c>
      <c r="C1329" s="47">
        <v>0.0</v>
      </c>
      <c r="D1329" s="35">
        <v>45038.0</v>
      </c>
      <c r="E1329" s="47"/>
      <c r="F1329" s="47">
        <v>0.0</v>
      </c>
      <c r="G1329" s="48">
        <v>0.0</v>
      </c>
      <c r="H1329" s="24" t="s">
        <v>6766</v>
      </c>
      <c r="I1329" s="47"/>
      <c r="J1329" s="24">
        <v>0.0</v>
      </c>
    </row>
    <row r="1330">
      <c r="A1330" s="24">
        <v>14.0</v>
      </c>
      <c r="B1330" s="24">
        <v>0.0</v>
      </c>
      <c r="C1330" s="47">
        <v>0.0</v>
      </c>
      <c r="D1330" s="35">
        <v>45039.0</v>
      </c>
      <c r="E1330" s="47"/>
      <c r="F1330" s="47">
        <v>0.0</v>
      </c>
      <c r="G1330" s="48">
        <v>0.0</v>
      </c>
      <c r="H1330" s="24" t="s">
        <v>6766</v>
      </c>
      <c r="I1330" s="47"/>
      <c r="J1330" s="24">
        <v>0.0</v>
      </c>
    </row>
    <row r="1331">
      <c r="A1331" s="24">
        <v>39.0</v>
      </c>
      <c r="B1331" s="24">
        <v>0.0</v>
      </c>
      <c r="C1331" s="47">
        <v>0.0</v>
      </c>
      <c r="D1331" s="35">
        <v>45040.0</v>
      </c>
      <c r="E1331" s="47"/>
      <c r="F1331" s="47">
        <v>0.0</v>
      </c>
      <c r="G1331" s="48">
        <v>0.0</v>
      </c>
      <c r="H1331" s="24" t="s">
        <v>6766</v>
      </c>
      <c r="I1331" s="47"/>
      <c r="J1331" s="24">
        <v>0.0</v>
      </c>
    </row>
    <row r="1332">
      <c r="A1332" s="24">
        <v>48.0</v>
      </c>
      <c r="B1332" s="24">
        <v>6.0</v>
      </c>
      <c r="C1332" s="47">
        <v>16.74</v>
      </c>
      <c r="D1332" s="35">
        <v>45041.0</v>
      </c>
      <c r="E1332" s="47">
        <v>2.79</v>
      </c>
      <c r="F1332" s="47">
        <v>348.75</v>
      </c>
      <c r="G1332" s="48">
        <v>0.125</v>
      </c>
      <c r="H1332" s="24" t="s">
        <v>6766</v>
      </c>
      <c r="I1332" s="47"/>
      <c r="J1332" s="24">
        <v>0.0</v>
      </c>
    </row>
    <row r="1333">
      <c r="A1333" s="24">
        <v>35.0</v>
      </c>
      <c r="B1333" s="24">
        <v>1.0</v>
      </c>
      <c r="C1333" s="47">
        <v>2.75</v>
      </c>
      <c r="D1333" s="35">
        <v>45042.0</v>
      </c>
      <c r="E1333" s="47">
        <v>2.75</v>
      </c>
      <c r="F1333" s="47">
        <v>78.5714285714285</v>
      </c>
      <c r="G1333" s="48">
        <v>0.0285714285714285</v>
      </c>
      <c r="H1333" s="24" t="s">
        <v>6766</v>
      </c>
      <c r="I1333" s="47"/>
      <c r="J1333" s="24">
        <v>0.0</v>
      </c>
    </row>
    <row r="1334">
      <c r="A1334" s="24">
        <v>35.0</v>
      </c>
      <c r="B1334" s="24">
        <v>0.0</v>
      </c>
      <c r="C1334" s="47">
        <v>0.0</v>
      </c>
      <c r="D1334" s="35">
        <v>45043.0</v>
      </c>
      <c r="E1334" s="47"/>
      <c r="F1334" s="47">
        <v>0.0</v>
      </c>
      <c r="G1334" s="48">
        <v>0.0</v>
      </c>
      <c r="H1334" s="24" t="s">
        <v>6766</v>
      </c>
      <c r="I1334" s="47"/>
      <c r="J1334" s="24">
        <v>0.0</v>
      </c>
    </row>
    <row r="1335">
      <c r="A1335" s="24">
        <v>52.0</v>
      </c>
      <c r="B1335" s="24">
        <v>7.0</v>
      </c>
      <c r="C1335" s="47">
        <v>15.76</v>
      </c>
      <c r="D1335" s="35">
        <v>45044.0</v>
      </c>
      <c r="E1335" s="47">
        <v>2.25142857142857</v>
      </c>
      <c r="F1335" s="47">
        <v>303.076923076923</v>
      </c>
      <c r="G1335" s="48">
        <v>0.134615384615384</v>
      </c>
      <c r="H1335" s="24" t="s">
        <v>6766</v>
      </c>
      <c r="I1335" s="47"/>
      <c r="J1335" s="24">
        <v>0.0</v>
      </c>
    </row>
    <row r="1336">
      <c r="A1336" s="24">
        <v>17.0</v>
      </c>
      <c r="B1336" s="24">
        <v>2.0</v>
      </c>
      <c r="C1336" s="47">
        <v>5.08</v>
      </c>
      <c r="D1336" s="35">
        <v>45045.0</v>
      </c>
      <c r="E1336" s="47">
        <v>2.54</v>
      </c>
      <c r="F1336" s="47">
        <v>298.823529411764</v>
      </c>
      <c r="G1336" s="48">
        <v>0.117647058823529</v>
      </c>
      <c r="H1336" s="24" t="s">
        <v>6766</v>
      </c>
      <c r="I1336" s="47"/>
      <c r="J1336" s="24">
        <v>0.0</v>
      </c>
    </row>
    <row r="1337">
      <c r="A1337" s="24">
        <v>13.0</v>
      </c>
      <c r="B1337" s="24">
        <v>3.0</v>
      </c>
      <c r="C1337" s="47">
        <v>3.81</v>
      </c>
      <c r="D1337" s="35">
        <v>45046.0</v>
      </c>
      <c r="E1337" s="47">
        <v>1.27</v>
      </c>
      <c r="F1337" s="47">
        <v>293.076923076923</v>
      </c>
      <c r="G1337" s="48">
        <v>0.23076923076923</v>
      </c>
      <c r="H1337" s="24" t="s">
        <v>6766</v>
      </c>
      <c r="I1337" s="47"/>
      <c r="J1337" s="24">
        <v>0.0</v>
      </c>
    </row>
    <row r="1338">
      <c r="A1338" s="24">
        <v>25.0</v>
      </c>
      <c r="B1338" s="24">
        <v>2.0</v>
      </c>
      <c r="C1338" s="47">
        <v>1.2</v>
      </c>
      <c r="D1338" s="35">
        <v>45047.0</v>
      </c>
      <c r="E1338" s="47">
        <v>0.6</v>
      </c>
      <c r="F1338" s="47">
        <v>48.0</v>
      </c>
      <c r="G1338" s="48">
        <v>0.08</v>
      </c>
      <c r="H1338" s="24" t="s">
        <v>6766</v>
      </c>
      <c r="I1338" s="47"/>
      <c r="J1338" s="24">
        <v>0.0</v>
      </c>
    </row>
    <row r="1339">
      <c r="A1339" s="24">
        <v>60.0</v>
      </c>
      <c r="B1339" s="24">
        <v>7.0</v>
      </c>
      <c r="C1339" s="47">
        <v>14.85</v>
      </c>
      <c r="D1339" s="35">
        <v>45048.0</v>
      </c>
      <c r="E1339" s="47">
        <v>2.12142857142857</v>
      </c>
      <c r="F1339" s="47">
        <v>247.5</v>
      </c>
      <c r="G1339" s="48">
        <v>0.116666666666666</v>
      </c>
      <c r="H1339" s="24" t="s">
        <v>6766</v>
      </c>
      <c r="I1339" s="47"/>
      <c r="J1339" s="24">
        <v>0.0</v>
      </c>
    </row>
    <row r="1340">
      <c r="A1340" s="24">
        <v>56.0</v>
      </c>
      <c r="B1340" s="24">
        <v>3.0</v>
      </c>
      <c r="C1340" s="47">
        <v>4.01</v>
      </c>
      <c r="D1340" s="35">
        <v>45049.0</v>
      </c>
      <c r="E1340" s="47">
        <v>1.33666666666666</v>
      </c>
      <c r="F1340" s="47">
        <v>71.6071428571428</v>
      </c>
      <c r="G1340" s="48">
        <v>0.0535714285714285</v>
      </c>
      <c r="H1340" s="24" t="s">
        <v>6766</v>
      </c>
      <c r="I1340" s="47"/>
      <c r="J1340" s="24">
        <v>0.0</v>
      </c>
    </row>
    <row r="1341">
      <c r="A1341" s="24">
        <v>86.0</v>
      </c>
      <c r="B1341" s="24">
        <v>5.0</v>
      </c>
      <c r="C1341" s="47">
        <v>10.18</v>
      </c>
      <c r="D1341" s="35">
        <v>45050.0</v>
      </c>
      <c r="E1341" s="47">
        <v>2.036</v>
      </c>
      <c r="F1341" s="47">
        <v>118.372093023255</v>
      </c>
      <c r="G1341" s="48">
        <v>0.0581395348837209</v>
      </c>
      <c r="H1341" s="24" t="s">
        <v>6766</v>
      </c>
      <c r="I1341" s="47"/>
      <c r="J1341" s="24">
        <v>0.0</v>
      </c>
    </row>
    <row r="1342">
      <c r="A1342" s="24">
        <v>55.0</v>
      </c>
      <c r="B1342" s="24">
        <v>4.0</v>
      </c>
      <c r="C1342" s="47">
        <v>9.9</v>
      </c>
      <c r="D1342" s="35">
        <v>45051.0</v>
      </c>
      <c r="E1342" s="47">
        <v>2.475</v>
      </c>
      <c r="F1342" s="47">
        <v>180.0</v>
      </c>
      <c r="G1342" s="48">
        <v>0.0727272727272727</v>
      </c>
      <c r="H1342" s="24" t="s">
        <v>6766</v>
      </c>
      <c r="I1342" s="47"/>
      <c r="J1342" s="24">
        <v>0.0</v>
      </c>
    </row>
    <row r="1343">
      <c r="A1343" s="24">
        <v>16.0</v>
      </c>
      <c r="B1343" s="24">
        <v>1.0</v>
      </c>
      <c r="C1343" s="47">
        <v>2.7</v>
      </c>
      <c r="D1343" s="35">
        <v>45052.0</v>
      </c>
      <c r="E1343" s="47">
        <v>2.7</v>
      </c>
      <c r="F1343" s="47">
        <v>168.75</v>
      </c>
      <c r="G1343" s="48">
        <v>0.0625</v>
      </c>
      <c r="H1343" s="24" t="s">
        <v>6766</v>
      </c>
      <c r="I1343" s="47"/>
      <c r="J1343" s="24">
        <v>0.0</v>
      </c>
    </row>
    <row r="1344">
      <c r="A1344" s="24">
        <v>27.0</v>
      </c>
      <c r="B1344" s="24">
        <v>1.0</v>
      </c>
      <c r="C1344" s="47">
        <v>2.15</v>
      </c>
      <c r="D1344" s="35">
        <v>45053.0</v>
      </c>
      <c r="E1344" s="47">
        <v>2.15</v>
      </c>
      <c r="F1344" s="47">
        <v>79.6296296296296</v>
      </c>
      <c r="G1344" s="48">
        <v>0.037037037037037</v>
      </c>
      <c r="H1344" s="24" t="s">
        <v>6766</v>
      </c>
      <c r="I1344" s="47"/>
      <c r="J1344" s="24">
        <v>0.0</v>
      </c>
    </row>
    <row r="1345">
      <c r="A1345" s="24">
        <v>55.0</v>
      </c>
      <c r="B1345" s="24">
        <v>0.0</v>
      </c>
      <c r="C1345" s="47">
        <v>0.0</v>
      </c>
      <c r="D1345" s="35">
        <v>45054.0</v>
      </c>
      <c r="E1345" s="47"/>
      <c r="F1345" s="47">
        <v>0.0</v>
      </c>
      <c r="G1345" s="48">
        <v>0.0</v>
      </c>
      <c r="H1345" s="24" t="s">
        <v>6766</v>
      </c>
      <c r="I1345" s="47"/>
      <c r="J1345" s="24">
        <v>0.0</v>
      </c>
    </row>
    <row r="1346">
      <c r="A1346" s="24">
        <v>75.0</v>
      </c>
      <c r="B1346" s="24">
        <v>7.0</v>
      </c>
      <c r="C1346" s="47">
        <v>17.68</v>
      </c>
      <c r="D1346" s="35">
        <v>45055.0</v>
      </c>
      <c r="E1346" s="47">
        <v>2.52571428571428</v>
      </c>
      <c r="F1346" s="47">
        <v>235.733333333333</v>
      </c>
      <c r="G1346" s="48">
        <v>0.0933333333333333</v>
      </c>
      <c r="H1346" s="24" t="s">
        <v>6766</v>
      </c>
      <c r="I1346" s="47"/>
      <c r="J1346" s="24">
        <v>0.0</v>
      </c>
    </row>
    <row r="1347">
      <c r="A1347" s="24">
        <v>46.0</v>
      </c>
      <c r="B1347" s="24">
        <v>8.0</v>
      </c>
      <c r="C1347" s="47">
        <v>13.65</v>
      </c>
      <c r="D1347" s="35">
        <v>45056.0</v>
      </c>
      <c r="E1347" s="47">
        <v>1.70625</v>
      </c>
      <c r="F1347" s="47">
        <v>296.739130434782</v>
      </c>
      <c r="G1347" s="48">
        <v>0.17391304347826</v>
      </c>
      <c r="H1347" s="24" t="s">
        <v>6766</v>
      </c>
      <c r="I1347" s="47"/>
      <c r="J1347" s="24">
        <v>0.0</v>
      </c>
    </row>
    <row r="1348">
      <c r="A1348" s="24">
        <v>60.0</v>
      </c>
      <c r="B1348" s="24">
        <v>8.0</v>
      </c>
      <c r="C1348" s="47">
        <v>20.21</v>
      </c>
      <c r="D1348" s="35">
        <v>45057.0</v>
      </c>
      <c r="E1348" s="47">
        <v>2.52625</v>
      </c>
      <c r="F1348" s="47">
        <v>336.833333333333</v>
      </c>
      <c r="G1348" s="48">
        <v>0.133333333333333</v>
      </c>
      <c r="H1348" s="24" t="s">
        <v>6766</v>
      </c>
      <c r="I1348" s="47"/>
      <c r="J1348" s="24">
        <v>0.0</v>
      </c>
    </row>
    <row r="1349">
      <c r="A1349" s="24">
        <v>47.0</v>
      </c>
      <c r="B1349" s="24">
        <v>4.0</v>
      </c>
      <c r="C1349" s="47">
        <v>7.25</v>
      </c>
      <c r="D1349" s="35">
        <v>45058.0</v>
      </c>
      <c r="E1349" s="47">
        <v>1.8125</v>
      </c>
      <c r="F1349" s="47">
        <v>154.255319148936</v>
      </c>
      <c r="G1349" s="48">
        <v>0.0851063829787234</v>
      </c>
      <c r="H1349" s="24" t="s">
        <v>6766</v>
      </c>
      <c r="I1349" s="47"/>
      <c r="J1349" s="24">
        <v>0.0</v>
      </c>
    </row>
    <row r="1350">
      <c r="A1350" s="24">
        <v>12.0</v>
      </c>
      <c r="B1350" s="24">
        <v>1.0</v>
      </c>
      <c r="C1350" s="47">
        <v>2.99</v>
      </c>
      <c r="D1350" s="35">
        <v>45059.0</v>
      </c>
      <c r="E1350" s="47">
        <v>2.99</v>
      </c>
      <c r="F1350" s="47">
        <v>249.166666666666</v>
      </c>
      <c r="G1350" s="48">
        <v>0.0833333333333333</v>
      </c>
      <c r="H1350" s="24" t="s">
        <v>6766</v>
      </c>
      <c r="I1350" s="47"/>
      <c r="J1350" s="24">
        <v>0.0</v>
      </c>
    </row>
    <row r="1351">
      <c r="A1351" s="24">
        <v>24.0</v>
      </c>
      <c r="B1351" s="24">
        <v>2.0</v>
      </c>
      <c r="C1351" s="47">
        <v>5.71</v>
      </c>
      <c r="D1351" s="35">
        <v>45060.0</v>
      </c>
      <c r="E1351" s="47">
        <v>2.855</v>
      </c>
      <c r="F1351" s="47">
        <v>237.916666666666</v>
      </c>
      <c r="G1351" s="48">
        <v>0.0833333333333333</v>
      </c>
      <c r="H1351" s="24" t="s">
        <v>6766</v>
      </c>
      <c r="I1351" s="47"/>
      <c r="J1351" s="24">
        <v>0.0</v>
      </c>
    </row>
    <row r="1352">
      <c r="A1352" s="24">
        <v>77.0</v>
      </c>
      <c r="B1352" s="24">
        <v>3.0</v>
      </c>
      <c r="C1352" s="47">
        <v>6.16</v>
      </c>
      <c r="D1352" s="35">
        <v>45061.0</v>
      </c>
      <c r="E1352" s="47">
        <v>2.05333333333333</v>
      </c>
      <c r="F1352" s="47">
        <v>80.0</v>
      </c>
      <c r="G1352" s="48">
        <v>0.0389610389610389</v>
      </c>
      <c r="H1352" s="24" t="s">
        <v>6766</v>
      </c>
      <c r="I1352" s="47"/>
      <c r="J1352" s="24">
        <v>0.0</v>
      </c>
    </row>
    <row r="1353">
      <c r="A1353" s="24">
        <v>63.0</v>
      </c>
      <c r="B1353" s="24">
        <v>5.0</v>
      </c>
      <c r="C1353" s="47">
        <v>10.13</v>
      </c>
      <c r="D1353" s="35">
        <v>45062.0</v>
      </c>
      <c r="E1353" s="47">
        <v>2.026</v>
      </c>
      <c r="F1353" s="47">
        <v>160.79365079365</v>
      </c>
      <c r="G1353" s="48">
        <v>0.0793650793650793</v>
      </c>
      <c r="H1353" s="24" t="s">
        <v>6766</v>
      </c>
      <c r="I1353" s="47"/>
      <c r="J1353" s="24">
        <v>0.0</v>
      </c>
    </row>
    <row r="1354">
      <c r="A1354" s="24">
        <v>59.0</v>
      </c>
      <c r="B1354" s="24">
        <v>3.0</v>
      </c>
      <c r="C1354" s="47">
        <v>7.15</v>
      </c>
      <c r="D1354" s="35">
        <v>45063.0</v>
      </c>
      <c r="E1354" s="47">
        <v>2.38333333333333</v>
      </c>
      <c r="F1354" s="47">
        <v>121.186440677966</v>
      </c>
      <c r="G1354" s="48">
        <v>0.0508474576271186</v>
      </c>
      <c r="H1354" s="24" t="s">
        <v>6766</v>
      </c>
      <c r="I1354" s="47"/>
      <c r="J1354" s="24">
        <v>0.0</v>
      </c>
    </row>
    <row r="1355">
      <c r="A1355" s="24">
        <v>46.0</v>
      </c>
      <c r="B1355" s="24">
        <v>2.0</v>
      </c>
      <c r="C1355" s="47">
        <v>3.47</v>
      </c>
      <c r="D1355" s="35">
        <v>45064.0</v>
      </c>
      <c r="E1355" s="47">
        <v>1.735</v>
      </c>
      <c r="F1355" s="47">
        <v>75.4347826086956</v>
      </c>
      <c r="G1355" s="48">
        <v>0.0434782608695652</v>
      </c>
      <c r="H1355" s="24" t="s">
        <v>6766</v>
      </c>
      <c r="I1355" s="47"/>
      <c r="J1355" s="24">
        <v>0.0</v>
      </c>
    </row>
    <row r="1356">
      <c r="A1356" s="24">
        <v>49.0</v>
      </c>
      <c r="B1356" s="24">
        <v>3.0</v>
      </c>
      <c r="C1356" s="47">
        <v>8.7</v>
      </c>
      <c r="D1356" s="35">
        <v>45065.0</v>
      </c>
      <c r="E1356" s="47">
        <v>2.9</v>
      </c>
      <c r="F1356" s="47">
        <v>177.551020408163</v>
      </c>
      <c r="G1356" s="48">
        <v>0.0612244897959183</v>
      </c>
      <c r="H1356" s="24" t="s">
        <v>6766</v>
      </c>
      <c r="I1356" s="47"/>
      <c r="J1356" s="24">
        <v>0.0</v>
      </c>
    </row>
    <row r="1357">
      <c r="A1357" s="24">
        <v>14.0</v>
      </c>
      <c r="B1357" s="24">
        <v>2.0</v>
      </c>
      <c r="C1357" s="47">
        <v>1.92</v>
      </c>
      <c r="D1357" s="35">
        <v>45066.0</v>
      </c>
      <c r="E1357" s="47">
        <v>0.96</v>
      </c>
      <c r="F1357" s="47">
        <v>137.142857142857</v>
      </c>
      <c r="G1357" s="48">
        <v>0.142857142857142</v>
      </c>
      <c r="H1357" s="24" t="s">
        <v>6766</v>
      </c>
      <c r="I1357" s="47"/>
      <c r="J1357" s="24">
        <v>0.0</v>
      </c>
    </row>
    <row r="1358">
      <c r="A1358" s="24">
        <v>23.0</v>
      </c>
      <c r="B1358" s="24">
        <v>4.0</v>
      </c>
      <c r="C1358" s="47">
        <v>9.98</v>
      </c>
      <c r="D1358" s="35">
        <v>45067.0</v>
      </c>
      <c r="E1358" s="47">
        <v>2.495</v>
      </c>
      <c r="F1358" s="47">
        <v>433.91304347826</v>
      </c>
      <c r="G1358" s="48">
        <v>0.17391304347826</v>
      </c>
      <c r="H1358" s="24" t="s">
        <v>6766</v>
      </c>
      <c r="I1358" s="47"/>
      <c r="J1358" s="24">
        <v>0.0</v>
      </c>
    </row>
    <row r="1359">
      <c r="A1359" s="24">
        <v>64.0</v>
      </c>
      <c r="B1359" s="24">
        <v>3.0</v>
      </c>
      <c r="C1359" s="47">
        <v>7.46</v>
      </c>
      <c r="D1359" s="35">
        <v>45068.0</v>
      </c>
      <c r="E1359" s="47">
        <v>2.48666666666666</v>
      </c>
      <c r="F1359" s="47">
        <v>116.5625</v>
      </c>
      <c r="G1359" s="48">
        <v>0.046875</v>
      </c>
      <c r="H1359" s="24" t="s">
        <v>6766</v>
      </c>
      <c r="I1359" s="47"/>
      <c r="J1359" s="24">
        <v>0.0</v>
      </c>
    </row>
    <row r="1360">
      <c r="A1360" s="24">
        <v>60.0</v>
      </c>
      <c r="B1360" s="24">
        <v>6.0</v>
      </c>
      <c r="C1360" s="47">
        <v>7.14</v>
      </c>
      <c r="D1360" s="35">
        <v>45069.0</v>
      </c>
      <c r="E1360" s="47">
        <v>1.19</v>
      </c>
      <c r="F1360" s="47">
        <v>119.0</v>
      </c>
      <c r="G1360" s="48">
        <v>0.1</v>
      </c>
      <c r="H1360" s="24" t="s">
        <v>6766</v>
      </c>
      <c r="I1360" s="47"/>
      <c r="J1360" s="24">
        <v>0.0</v>
      </c>
    </row>
    <row r="1361">
      <c r="A1361" s="24">
        <v>50.0</v>
      </c>
      <c r="B1361" s="24">
        <v>5.0</v>
      </c>
      <c r="C1361" s="47">
        <v>10.84</v>
      </c>
      <c r="D1361" s="35">
        <v>45070.0</v>
      </c>
      <c r="E1361" s="47">
        <v>2.168</v>
      </c>
      <c r="F1361" s="47">
        <v>216.8</v>
      </c>
      <c r="G1361" s="48">
        <v>0.1</v>
      </c>
      <c r="H1361" s="24" t="s">
        <v>6766</v>
      </c>
      <c r="I1361" s="47"/>
      <c r="J1361" s="24">
        <v>0.0</v>
      </c>
    </row>
    <row r="1362">
      <c r="A1362" s="24">
        <v>53.0</v>
      </c>
      <c r="B1362" s="24">
        <v>6.0</v>
      </c>
      <c r="C1362" s="47">
        <v>16.49</v>
      </c>
      <c r="D1362" s="35">
        <v>45071.0</v>
      </c>
      <c r="E1362" s="47">
        <v>2.74833333333333</v>
      </c>
      <c r="F1362" s="47">
        <v>311.132075471698</v>
      </c>
      <c r="G1362" s="48">
        <v>0.113207547169811</v>
      </c>
      <c r="H1362" s="24" t="s">
        <v>6766</v>
      </c>
      <c r="I1362" s="47"/>
      <c r="J1362" s="24">
        <v>0.0</v>
      </c>
    </row>
    <row r="1363">
      <c r="A1363" s="24">
        <v>61.0</v>
      </c>
      <c r="B1363" s="24">
        <v>9.0</v>
      </c>
      <c r="C1363" s="47">
        <v>18.26</v>
      </c>
      <c r="D1363" s="35">
        <v>45072.0</v>
      </c>
      <c r="E1363" s="47">
        <v>2.02888888888888</v>
      </c>
      <c r="F1363" s="47">
        <v>299.344262295082</v>
      </c>
      <c r="G1363" s="48">
        <v>0.147540983606557</v>
      </c>
      <c r="H1363" s="24" t="s">
        <v>6766</v>
      </c>
      <c r="I1363" s="47"/>
      <c r="J1363" s="24">
        <v>0.0</v>
      </c>
    </row>
    <row r="1364">
      <c r="A1364" s="24">
        <v>61.0</v>
      </c>
      <c r="B1364" s="24">
        <v>0.0</v>
      </c>
      <c r="C1364" s="47">
        <v>0.0</v>
      </c>
      <c r="D1364" s="35">
        <v>45073.0</v>
      </c>
      <c r="E1364" s="47"/>
      <c r="F1364" s="47">
        <v>0.0</v>
      </c>
      <c r="G1364" s="48">
        <v>0.0</v>
      </c>
      <c r="H1364" s="24" t="s">
        <v>6766</v>
      </c>
      <c r="I1364" s="47"/>
      <c r="J1364" s="24">
        <v>0.0</v>
      </c>
    </row>
    <row r="1365">
      <c r="A1365" s="24">
        <v>47.0</v>
      </c>
      <c r="B1365" s="24">
        <v>5.0</v>
      </c>
      <c r="C1365" s="47">
        <v>4.92</v>
      </c>
      <c r="D1365" s="35">
        <v>45074.0</v>
      </c>
      <c r="E1365" s="47">
        <v>0.984</v>
      </c>
      <c r="F1365" s="47">
        <v>104.680851063829</v>
      </c>
      <c r="G1365" s="48">
        <v>0.106382978723404</v>
      </c>
      <c r="H1365" s="24" t="s">
        <v>6766</v>
      </c>
      <c r="I1365" s="47"/>
      <c r="J1365" s="24">
        <v>0.0</v>
      </c>
    </row>
    <row r="1366">
      <c r="A1366" s="24">
        <v>42.0</v>
      </c>
      <c r="B1366" s="24">
        <v>1.0</v>
      </c>
      <c r="C1366" s="47">
        <v>3.0</v>
      </c>
      <c r="D1366" s="35">
        <v>45075.0</v>
      </c>
      <c r="E1366" s="47">
        <v>3.0</v>
      </c>
      <c r="F1366" s="47">
        <v>71.4285714285714</v>
      </c>
      <c r="G1366" s="48">
        <v>0.0238095238095238</v>
      </c>
      <c r="H1366" s="24" t="s">
        <v>6766</v>
      </c>
      <c r="I1366" s="47"/>
      <c r="J1366" s="24">
        <v>0.0</v>
      </c>
    </row>
    <row r="1367">
      <c r="A1367" s="24">
        <v>61.0</v>
      </c>
      <c r="B1367" s="24">
        <v>8.0</v>
      </c>
      <c r="C1367" s="47">
        <v>16.1</v>
      </c>
      <c r="D1367" s="35">
        <v>45076.0</v>
      </c>
      <c r="E1367" s="47">
        <v>2.0125</v>
      </c>
      <c r="F1367" s="47">
        <v>263.934426229508</v>
      </c>
      <c r="G1367" s="48">
        <v>0.131147540983606</v>
      </c>
      <c r="H1367" s="24" t="s">
        <v>6766</v>
      </c>
      <c r="I1367" s="47"/>
      <c r="J1367" s="24">
        <v>0.0</v>
      </c>
    </row>
    <row r="1368">
      <c r="A1368" s="24">
        <v>62.0</v>
      </c>
      <c r="B1368" s="24">
        <v>4.0</v>
      </c>
      <c r="C1368" s="47">
        <v>11.0</v>
      </c>
      <c r="D1368" s="35">
        <v>45077.0</v>
      </c>
      <c r="E1368" s="47">
        <v>2.75</v>
      </c>
      <c r="F1368" s="47">
        <v>177.419354838709</v>
      </c>
      <c r="G1368" s="48">
        <v>0.064516129032258</v>
      </c>
      <c r="H1368" s="24" t="s">
        <v>6766</v>
      </c>
      <c r="I1368" s="47"/>
      <c r="J1368" s="24">
        <v>0.0</v>
      </c>
    </row>
    <row r="1369">
      <c r="A1369" s="24">
        <v>62.0</v>
      </c>
      <c r="B1369" s="24">
        <v>3.0</v>
      </c>
      <c r="C1369" s="47">
        <v>8.86</v>
      </c>
      <c r="D1369" s="35">
        <v>45078.0</v>
      </c>
      <c r="E1369" s="47">
        <v>2.95333333333333</v>
      </c>
      <c r="F1369" s="47">
        <v>142.903225806451</v>
      </c>
      <c r="G1369" s="48">
        <v>0.0483870967741935</v>
      </c>
      <c r="H1369" s="24" t="s">
        <v>6766</v>
      </c>
      <c r="I1369" s="47"/>
      <c r="J1369" s="24">
        <v>0.0</v>
      </c>
    </row>
    <row r="1370">
      <c r="A1370" s="24">
        <v>43.0</v>
      </c>
      <c r="B1370" s="24">
        <v>10.0</v>
      </c>
      <c r="C1370" s="47">
        <v>21.54</v>
      </c>
      <c r="D1370" s="35">
        <v>45079.0</v>
      </c>
      <c r="E1370" s="47">
        <v>2.154</v>
      </c>
      <c r="F1370" s="47">
        <v>500.930232558139</v>
      </c>
      <c r="G1370" s="48">
        <v>0.232558139534883</v>
      </c>
      <c r="H1370" s="24" t="s">
        <v>6766</v>
      </c>
      <c r="I1370" s="47"/>
      <c r="J1370" s="24">
        <v>0.0</v>
      </c>
    </row>
    <row r="1371">
      <c r="A1371" s="24">
        <v>11.0</v>
      </c>
      <c r="B1371" s="24">
        <v>0.0</v>
      </c>
      <c r="C1371" s="47">
        <v>0.0</v>
      </c>
      <c r="D1371" s="35">
        <v>45080.0</v>
      </c>
      <c r="E1371" s="47"/>
      <c r="F1371" s="47">
        <v>0.0</v>
      </c>
      <c r="G1371" s="48">
        <v>0.0</v>
      </c>
      <c r="H1371" s="24" t="s">
        <v>6766</v>
      </c>
      <c r="I1371" s="47"/>
      <c r="J1371" s="24">
        <v>0.0</v>
      </c>
    </row>
    <row r="1372">
      <c r="A1372" s="24">
        <v>18.0</v>
      </c>
      <c r="B1372" s="24">
        <v>1.0</v>
      </c>
      <c r="C1372" s="47">
        <v>2.87</v>
      </c>
      <c r="D1372" s="35">
        <v>45081.0</v>
      </c>
      <c r="E1372" s="47">
        <v>2.87</v>
      </c>
      <c r="F1372" s="47">
        <v>159.444444444444</v>
      </c>
      <c r="G1372" s="48">
        <v>0.0555555555555555</v>
      </c>
      <c r="H1372" s="24" t="s">
        <v>6766</v>
      </c>
      <c r="I1372" s="47"/>
      <c r="J1372" s="24">
        <v>0.0</v>
      </c>
    </row>
    <row r="1373">
      <c r="A1373" s="24">
        <v>69.0</v>
      </c>
      <c r="B1373" s="24">
        <v>6.0</v>
      </c>
      <c r="C1373" s="47">
        <v>12.07</v>
      </c>
      <c r="D1373" s="35">
        <v>45082.0</v>
      </c>
      <c r="E1373" s="47">
        <v>2.01166666666666</v>
      </c>
      <c r="F1373" s="47">
        <v>174.927536231884</v>
      </c>
      <c r="G1373" s="48">
        <v>0.0869565217391304</v>
      </c>
      <c r="H1373" s="24" t="s">
        <v>6766</v>
      </c>
      <c r="I1373" s="47"/>
      <c r="J1373" s="24">
        <v>0.0</v>
      </c>
    </row>
    <row r="1374">
      <c r="A1374" s="24">
        <v>62.0</v>
      </c>
      <c r="B1374" s="24">
        <v>11.0</v>
      </c>
      <c r="C1374" s="47">
        <v>21.88</v>
      </c>
      <c r="D1374" s="35">
        <v>45083.0</v>
      </c>
      <c r="E1374" s="47">
        <v>1.9890909090909</v>
      </c>
      <c r="F1374" s="47">
        <v>352.903225806451</v>
      </c>
      <c r="G1374" s="48">
        <v>0.177419354838709</v>
      </c>
      <c r="H1374" s="24" t="s">
        <v>6766</v>
      </c>
      <c r="I1374" s="47"/>
      <c r="J1374" s="24">
        <v>0.0</v>
      </c>
    </row>
    <row r="1375">
      <c r="A1375" s="24">
        <v>62.0</v>
      </c>
      <c r="B1375" s="24">
        <v>3.0</v>
      </c>
      <c r="C1375" s="47">
        <v>3.96</v>
      </c>
      <c r="D1375" s="35">
        <v>45084.0</v>
      </c>
      <c r="E1375" s="47">
        <v>1.32</v>
      </c>
      <c r="F1375" s="47">
        <v>63.8709677419354</v>
      </c>
      <c r="G1375" s="48">
        <v>0.0483870967741935</v>
      </c>
      <c r="H1375" s="24" t="s">
        <v>6766</v>
      </c>
      <c r="I1375" s="47"/>
      <c r="J1375" s="24">
        <v>0.0</v>
      </c>
    </row>
    <row r="1376">
      <c r="A1376" s="24">
        <v>61.0</v>
      </c>
      <c r="B1376" s="24">
        <v>6.0</v>
      </c>
      <c r="C1376" s="47">
        <v>11.94</v>
      </c>
      <c r="D1376" s="35">
        <v>45085.0</v>
      </c>
      <c r="E1376" s="47">
        <v>1.99</v>
      </c>
      <c r="F1376" s="47">
        <v>195.737704918032</v>
      </c>
      <c r="G1376" s="48">
        <v>0.0983606557377049</v>
      </c>
      <c r="H1376" s="24" t="s">
        <v>6766</v>
      </c>
      <c r="I1376" s="47"/>
      <c r="J1376" s="24">
        <v>0.0</v>
      </c>
    </row>
    <row r="1377">
      <c r="A1377" s="24">
        <v>47.0</v>
      </c>
      <c r="B1377" s="24">
        <v>4.0</v>
      </c>
      <c r="C1377" s="47">
        <v>11.72</v>
      </c>
      <c r="D1377" s="35">
        <v>45086.0</v>
      </c>
      <c r="E1377" s="47">
        <v>2.93</v>
      </c>
      <c r="F1377" s="47">
        <v>249.361702127659</v>
      </c>
      <c r="G1377" s="48">
        <v>0.0851063829787234</v>
      </c>
      <c r="H1377" s="24" t="s">
        <v>6766</v>
      </c>
      <c r="I1377" s="47"/>
      <c r="J1377" s="24">
        <v>0.0</v>
      </c>
    </row>
    <row r="1378">
      <c r="A1378" s="24">
        <v>23.0</v>
      </c>
      <c r="B1378" s="24">
        <v>2.0</v>
      </c>
      <c r="C1378" s="47">
        <v>5.98</v>
      </c>
      <c r="D1378" s="35">
        <v>45087.0</v>
      </c>
      <c r="E1378" s="47">
        <v>2.99</v>
      </c>
      <c r="F1378" s="47">
        <v>260.0</v>
      </c>
      <c r="G1378" s="48">
        <v>0.0869565217391304</v>
      </c>
      <c r="H1378" s="24" t="s">
        <v>6766</v>
      </c>
      <c r="I1378" s="47"/>
      <c r="J1378" s="24">
        <v>0.0</v>
      </c>
    </row>
    <row r="1379">
      <c r="A1379" s="24">
        <v>16.0</v>
      </c>
      <c r="B1379" s="24">
        <v>2.0</v>
      </c>
      <c r="C1379" s="47">
        <v>5.06</v>
      </c>
      <c r="D1379" s="35">
        <v>45088.0</v>
      </c>
      <c r="E1379" s="47">
        <v>2.53</v>
      </c>
      <c r="F1379" s="47">
        <v>316.25</v>
      </c>
      <c r="G1379" s="48">
        <v>0.125</v>
      </c>
      <c r="H1379" s="24" t="s">
        <v>6766</v>
      </c>
      <c r="I1379" s="47"/>
      <c r="J1379" s="24">
        <v>0.0</v>
      </c>
    </row>
    <row r="1380">
      <c r="A1380" s="24">
        <v>65.0</v>
      </c>
      <c r="B1380" s="24">
        <v>5.0</v>
      </c>
      <c r="C1380" s="47">
        <v>13.3</v>
      </c>
      <c r="D1380" s="35">
        <v>45089.0</v>
      </c>
      <c r="E1380" s="47">
        <v>2.66</v>
      </c>
      <c r="F1380" s="47">
        <v>204.615384615384</v>
      </c>
      <c r="G1380" s="48">
        <v>0.0769230769230769</v>
      </c>
      <c r="H1380" s="24" t="s">
        <v>6766</v>
      </c>
      <c r="I1380" s="47"/>
      <c r="J1380" s="24">
        <v>0.0</v>
      </c>
    </row>
    <row r="1381">
      <c r="A1381" s="24">
        <v>54.0</v>
      </c>
      <c r="B1381" s="24">
        <v>5.0</v>
      </c>
      <c r="C1381" s="47">
        <v>10.29</v>
      </c>
      <c r="D1381" s="35">
        <v>45090.0</v>
      </c>
      <c r="E1381" s="47">
        <v>2.058</v>
      </c>
      <c r="F1381" s="47">
        <v>190.555555555555</v>
      </c>
      <c r="G1381" s="48">
        <v>0.0925925925925925</v>
      </c>
      <c r="H1381" s="24" t="s">
        <v>6766</v>
      </c>
      <c r="I1381" s="47"/>
      <c r="J1381" s="24">
        <v>0.0</v>
      </c>
    </row>
    <row r="1382">
      <c r="A1382" s="24">
        <v>59.0</v>
      </c>
      <c r="B1382" s="24">
        <v>4.0</v>
      </c>
      <c r="C1382" s="47">
        <v>11.81</v>
      </c>
      <c r="D1382" s="35">
        <v>45091.0</v>
      </c>
      <c r="E1382" s="47">
        <v>2.9525</v>
      </c>
      <c r="F1382" s="47">
        <v>200.169491525423</v>
      </c>
      <c r="G1382" s="48">
        <v>0.0677966101694915</v>
      </c>
      <c r="H1382" s="24" t="s">
        <v>6766</v>
      </c>
      <c r="I1382" s="47"/>
      <c r="J1382" s="24">
        <v>0.0</v>
      </c>
    </row>
    <row r="1383">
      <c r="A1383" s="24">
        <v>49.0</v>
      </c>
      <c r="B1383" s="24">
        <v>5.0</v>
      </c>
      <c r="C1383" s="47">
        <v>8.04</v>
      </c>
      <c r="D1383" s="35">
        <v>45092.0</v>
      </c>
      <c r="E1383" s="47">
        <v>1.608</v>
      </c>
      <c r="F1383" s="47">
        <v>164.081632653061</v>
      </c>
      <c r="G1383" s="48">
        <v>0.10204081632653</v>
      </c>
      <c r="H1383" s="24" t="s">
        <v>6766</v>
      </c>
      <c r="I1383" s="47"/>
      <c r="J1383" s="24">
        <v>0.0</v>
      </c>
    </row>
    <row r="1384">
      <c r="A1384" s="24">
        <v>46.0</v>
      </c>
      <c r="B1384" s="24">
        <v>4.0</v>
      </c>
      <c r="C1384" s="47">
        <v>9.53</v>
      </c>
      <c r="D1384" s="35">
        <v>45093.0</v>
      </c>
      <c r="E1384" s="47">
        <v>2.3825</v>
      </c>
      <c r="F1384" s="47">
        <v>207.173913043478</v>
      </c>
      <c r="G1384" s="48">
        <v>0.0869565217391304</v>
      </c>
      <c r="H1384" s="24" t="s">
        <v>6766</v>
      </c>
      <c r="I1384" s="47"/>
      <c r="J1384" s="24">
        <v>0.0</v>
      </c>
    </row>
    <row r="1385">
      <c r="A1385" s="24">
        <v>26.0</v>
      </c>
      <c r="B1385" s="24">
        <v>3.0</v>
      </c>
      <c r="C1385" s="47">
        <v>6.1</v>
      </c>
      <c r="D1385" s="35">
        <v>45094.0</v>
      </c>
      <c r="E1385" s="47">
        <v>2.03333333333333</v>
      </c>
      <c r="F1385" s="47">
        <v>234.615384615384</v>
      </c>
      <c r="G1385" s="48">
        <v>0.115384615384615</v>
      </c>
      <c r="H1385" s="24" t="s">
        <v>6766</v>
      </c>
      <c r="I1385" s="47"/>
      <c r="J1385" s="24">
        <v>0.0</v>
      </c>
    </row>
    <row r="1386">
      <c r="A1386" s="24">
        <v>19.0</v>
      </c>
      <c r="B1386" s="24">
        <v>2.0</v>
      </c>
      <c r="C1386" s="47">
        <v>5.77</v>
      </c>
      <c r="D1386" s="35">
        <v>45095.0</v>
      </c>
      <c r="E1386" s="47">
        <v>2.885</v>
      </c>
      <c r="F1386" s="47">
        <v>303.684210526315</v>
      </c>
      <c r="G1386" s="48">
        <v>0.105263157894736</v>
      </c>
      <c r="H1386" s="24" t="s">
        <v>6766</v>
      </c>
      <c r="I1386" s="47"/>
      <c r="J1386" s="24">
        <v>0.0</v>
      </c>
    </row>
    <row r="1387">
      <c r="A1387" s="24">
        <v>36.0</v>
      </c>
      <c r="B1387" s="24">
        <v>2.0</v>
      </c>
      <c r="C1387" s="47">
        <v>5.63</v>
      </c>
      <c r="D1387" s="35">
        <v>45096.0</v>
      </c>
      <c r="E1387" s="47">
        <v>2.815</v>
      </c>
      <c r="F1387" s="47">
        <v>156.388888888888</v>
      </c>
      <c r="G1387" s="48">
        <v>0.0555555555555555</v>
      </c>
      <c r="H1387" s="24" t="s">
        <v>6766</v>
      </c>
      <c r="I1387" s="47"/>
      <c r="J1387" s="24">
        <v>0.0</v>
      </c>
    </row>
    <row r="1388">
      <c r="A1388" s="24">
        <v>69.0</v>
      </c>
      <c r="B1388" s="24">
        <v>5.0</v>
      </c>
      <c r="C1388" s="47">
        <v>13.19</v>
      </c>
      <c r="D1388" s="35">
        <v>45097.0</v>
      </c>
      <c r="E1388" s="47">
        <v>2.638</v>
      </c>
      <c r="F1388" s="47">
        <v>191.159420289855</v>
      </c>
      <c r="G1388" s="48">
        <v>0.072463768115942</v>
      </c>
      <c r="H1388" s="24" t="s">
        <v>6766</v>
      </c>
      <c r="I1388" s="47"/>
      <c r="J1388" s="24">
        <v>0.0</v>
      </c>
    </row>
    <row r="1389">
      <c r="A1389" s="24">
        <v>46.0</v>
      </c>
      <c r="B1389" s="24">
        <v>3.0</v>
      </c>
      <c r="C1389" s="47">
        <v>8.74</v>
      </c>
      <c r="D1389" s="35">
        <v>45098.0</v>
      </c>
      <c r="E1389" s="47">
        <v>2.91333333333333</v>
      </c>
      <c r="F1389" s="47">
        <v>190.0</v>
      </c>
      <c r="G1389" s="48">
        <v>0.0652173913043478</v>
      </c>
      <c r="H1389" s="24" t="s">
        <v>6766</v>
      </c>
      <c r="I1389" s="47"/>
      <c r="J1389" s="24">
        <v>0.0</v>
      </c>
    </row>
    <row r="1390">
      <c r="A1390" s="24">
        <v>38.0</v>
      </c>
      <c r="B1390" s="24">
        <v>4.0</v>
      </c>
      <c r="C1390" s="47">
        <v>10.81</v>
      </c>
      <c r="D1390" s="35">
        <v>45099.0</v>
      </c>
      <c r="E1390" s="47">
        <v>2.7025</v>
      </c>
      <c r="F1390" s="47">
        <v>284.473684210526</v>
      </c>
      <c r="G1390" s="48">
        <v>0.105263157894736</v>
      </c>
      <c r="H1390" s="24" t="s">
        <v>6766</v>
      </c>
      <c r="I1390" s="47"/>
      <c r="J1390" s="24">
        <v>0.0</v>
      </c>
    </row>
    <row r="1391">
      <c r="A1391" s="24">
        <v>49.0</v>
      </c>
      <c r="B1391" s="24">
        <v>0.0</v>
      </c>
      <c r="C1391" s="47">
        <v>0.0</v>
      </c>
      <c r="D1391" s="35">
        <v>45100.0</v>
      </c>
      <c r="E1391" s="47"/>
      <c r="F1391" s="47">
        <v>0.0</v>
      </c>
      <c r="G1391" s="48">
        <v>0.0</v>
      </c>
      <c r="H1391" s="24" t="s">
        <v>6766</v>
      </c>
      <c r="I1391" s="47"/>
      <c r="J1391" s="24">
        <v>0.0</v>
      </c>
    </row>
    <row r="1392">
      <c r="A1392" s="24">
        <v>10.0</v>
      </c>
      <c r="B1392" s="24">
        <v>0.0</v>
      </c>
      <c r="C1392" s="47">
        <v>0.0</v>
      </c>
      <c r="D1392" s="35">
        <v>45101.0</v>
      </c>
      <c r="E1392" s="47"/>
      <c r="F1392" s="47">
        <v>0.0</v>
      </c>
      <c r="G1392" s="48">
        <v>0.0</v>
      </c>
      <c r="H1392" s="24" t="s">
        <v>6766</v>
      </c>
      <c r="I1392" s="47"/>
      <c r="J1392" s="24">
        <v>0.0</v>
      </c>
    </row>
    <row r="1393">
      <c r="A1393" s="24">
        <v>26.0</v>
      </c>
      <c r="B1393" s="24">
        <v>2.0</v>
      </c>
      <c r="C1393" s="47">
        <v>3.28</v>
      </c>
      <c r="D1393" s="35">
        <v>45102.0</v>
      </c>
      <c r="E1393" s="47">
        <v>1.64</v>
      </c>
      <c r="F1393" s="47">
        <v>126.153846153846</v>
      </c>
      <c r="G1393" s="48">
        <v>0.0769230769230769</v>
      </c>
      <c r="H1393" s="24" t="s">
        <v>6766</v>
      </c>
      <c r="I1393" s="47"/>
      <c r="J1393" s="24">
        <v>0.0</v>
      </c>
    </row>
    <row r="1394">
      <c r="A1394" s="24">
        <v>39.0</v>
      </c>
      <c r="B1394" s="24">
        <v>1.0</v>
      </c>
      <c r="C1394" s="47">
        <v>1.32</v>
      </c>
      <c r="D1394" s="35">
        <v>45103.0</v>
      </c>
      <c r="E1394" s="47">
        <v>1.32</v>
      </c>
      <c r="F1394" s="47">
        <v>33.8461538461538</v>
      </c>
      <c r="G1394" s="48">
        <v>0.0256410256410256</v>
      </c>
      <c r="H1394" s="24" t="s">
        <v>6766</v>
      </c>
      <c r="I1394" s="47"/>
      <c r="J1394" s="24">
        <v>0.0</v>
      </c>
    </row>
    <row r="1395">
      <c r="A1395" s="24">
        <v>42.0</v>
      </c>
      <c r="B1395" s="24">
        <v>8.0</v>
      </c>
      <c r="C1395" s="47">
        <v>20.59</v>
      </c>
      <c r="D1395" s="35">
        <v>45104.0</v>
      </c>
      <c r="E1395" s="47">
        <v>2.57375</v>
      </c>
      <c r="F1395" s="47">
        <v>490.238095238095</v>
      </c>
      <c r="G1395" s="48">
        <v>0.19047619047619</v>
      </c>
      <c r="H1395" s="24" t="s">
        <v>6766</v>
      </c>
      <c r="I1395" s="47"/>
      <c r="J1395" s="24">
        <v>0.0</v>
      </c>
    </row>
    <row r="1396">
      <c r="A1396" s="24">
        <v>46.0</v>
      </c>
      <c r="B1396" s="24">
        <v>2.0</v>
      </c>
      <c r="C1396" s="47">
        <v>5.83</v>
      </c>
      <c r="D1396" s="35">
        <v>45105.0</v>
      </c>
      <c r="E1396" s="47">
        <v>2.915</v>
      </c>
      <c r="F1396" s="47">
        <v>126.739130434782</v>
      </c>
      <c r="G1396" s="48">
        <v>0.0434782608695652</v>
      </c>
      <c r="H1396" s="24" t="s">
        <v>6766</v>
      </c>
      <c r="I1396" s="47"/>
      <c r="J1396" s="24">
        <v>0.0</v>
      </c>
    </row>
    <row r="1397">
      <c r="A1397" s="24">
        <v>44.0</v>
      </c>
      <c r="B1397" s="24">
        <v>3.0</v>
      </c>
      <c r="C1397" s="47">
        <v>7.38</v>
      </c>
      <c r="D1397" s="35">
        <v>45106.0</v>
      </c>
      <c r="E1397" s="47">
        <v>2.46</v>
      </c>
      <c r="F1397" s="47">
        <v>167.727272727272</v>
      </c>
      <c r="G1397" s="48">
        <v>0.0681818181818181</v>
      </c>
      <c r="H1397" s="24" t="s">
        <v>6766</v>
      </c>
      <c r="I1397" s="47"/>
      <c r="J1397" s="24">
        <v>0.0</v>
      </c>
    </row>
    <row r="1398">
      <c r="A1398" s="24">
        <v>30.0</v>
      </c>
      <c r="B1398" s="24">
        <v>1.0</v>
      </c>
      <c r="C1398" s="47">
        <v>1.46</v>
      </c>
      <c r="D1398" s="35">
        <v>45107.0</v>
      </c>
      <c r="E1398" s="47">
        <v>1.46</v>
      </c>
      <c r="F1398" s="47">
        <v>48.6666666666666</v>
      </c>
      <c r="G1398" s="48">
        <v>0.0333333333333333</v>
      </c>
      <c r="H1398" s="24" t="s">
        <v>6766</v>
      </c>
      <c r="I1398" s="47"/>
      <c r="J1398" s="24">
        <v>0.0</v>
      </c>
    </row>
    <row r="1399">
      <c r="A1399" s="24">
        <v>7.0</v>
      </c>
      <c r="B1399" s="24">
        <v>2.0</v>
      </c>
      <c r="C1399" s="47">
        <v>5.7</v>
      </c>
      <c r="D1399" s="35">
        <v>45108.0</v>
      </c>
      <c r="E1399" s="47">
        <v>2.85</v>
      </c>
      <c r="F1399" s="47">
        <v>814.285714285714</v>
      </c>
      <c r="G1399" s="48">
        <v>0.285714285714285</v>
      </c>
      <c r="H1399" s="24" t="s">
        <v>6766</v>
      </c>
      <c r="I1399" s="47"/>
      <c r="J1399" s="24">
        <v>0.0</v>
      </c>
    </row>
    <row r="1400">
      <c r="A1400" s="24">
        <v>19.0</v>
      </c>
      <c r="B1400" s="24">
        <v>2.0</v>
      </c>
      <c r="C1400" s="47">
        <v>4.29</v>
      </c>
      <c r="D1400" s="35">
        <v>45109.0</v>
      </c>
      <c r="E1400" s="47">
        <v>2.145</v>
      </c>
      <c r="F1400" s="47">
        <v>225.78947368421</v>
      </c>
      <c r="G1400" s="48">
        <v>0.105263157894736</v>
      </c>
      <c r="H1400" s="24" t="s">
        <v>6766</v>
      </c>
      <c r="I1400" s="47"/>
      <c r="J1400" s="24">
        <v>0.0</v>
      </c>
    </row>
    <row r="1401">
      <c r="A1401" s="24">
        <v>37.0</v>
      </c>
      <c r="B1401" s="24">
        <v>6.0</v>
      </c>
      <c r="C1401" s="47">
        <v>12.99</v>
      </c>
      <c r="D1401" s="35">
        <v>45110.0</v>
      </c>
      <c r="E1401" s="47">
        <v>2.165</v>
      </c>
      <c r="F1401" s="47">
        <v>351.081081081081</v>
      </c>
      <c r="G1401" s="48">
        <v>0.162162162162162</v>
      </c>
      <c r="H1401" s="24" t="s">
        <v>6766</v>
      </c>
      <c r="I1401" s="47"/>
      <c r="J1401" s="24">
        <v>0.0</v>
      </c>
    </row>
    <row r="1402">
      <c r="A1402" s="24">
        <v>52.0</v>
      </c>
      <c r="B1402" s="24">
        <v>5.0</v>
      </c>
      <c r="C1402" s="47">
        <v>11.47</v>
      </c>
      <c r="D1402" s="35">
        <v>45111.0</v>
      </c>
      <c r="E1402" s="47">
        <v>2.294</v>
      </c>
      <c r="F1402" s="47">
        <v>220.576923076923</v>
      </c>
      <c r="G1402" s="48">
        <v>0.0961538461538461</v>
      </c>
      <c r="H1402" s="24" t="s">
        <v>6766</v>
      </c>
      <c r="I1402" s="47"/>
      <c r="J1402" s="24">
        <v>0.0</v>
      </c>
    </row>
    <row r="1403">
      <c r="A1403" s="24">
        <v>61.0</v>
      </c>
      <c r="B1403" s="24">
        <v>3.0</v>
      </c>
      <c r="C1403" s="47">
        <v>8.7</v>
      </c>
      <c r="D1403" s="35">
        <v>45112.0</v>
      </c>
      <c r="E1403" s="47">
        <v>2.9</v>
      </c>
      <c r="F1403" s="47">
        <v>142.622950819672</v>
      </c>
      <c r="G1403" s="48">
        <v>0.0491803278688524</v>
      </c>
      <c r="H1403" s="24" t="s">
        <v>6766</v>
      </c>
      <c r="I1403" s="47"/>
      <c r="J1403" s="24">
        <v>0.0</v>
      </c>
    </row>
    <row r="1404">
      <c r="A1404" s="24">
        <v>42.0</v>
      </c>
      <c r="B1404" s="24">
        <v>2.0</v>
      </c>
      <c r="C1404" s="47">
        <v>5.84</v>
      </c>
      <c r="D1404" s="35">
        <v>45113.0</v>
      </c>
      <c r="E1404" s="47">
        <v>2.92</v>
      </c>
      <c r="F1404" s="47">
        <v>139.047619047619</v>
      </c>
      <c r="G1404" s="48">
        <v>0.0476190476190476</v>
      </c>
      <c r="H1404" s="24" t="s">
        <v>6766</v>
      </c>
      <c r="I1404" s="47"/>
      <c r="J1404" s="24">
        <v>0.0</v>
      </c>
    </row>
    <row r="1405">
      <c r="A1405" s="24">
        <v>43.0</v>
      </c>
      <c r="B1405" s="24">
        <v>3.0</v>
      </c>
      <c r="C1405" s="47">
        <v>6.44</v>
      </c>
      <c r="D1405" s="35">
        <v>45114.0</v>
      </c>
      <c r="E1405" s="47">
        <v>2.14666666666666</v>
      </c>
      <c r="F1405" s="47">
        <v>149.767441860465</v>
      </c>
      <c r="G1405" s="48">
        <v>0.0697674418604651</v>
      </c>
      <c r="H1405" s="24" t="s">
        <v>6766</v>
      </c>
      <c r="I1405" s="47"/>
      <c r="J1405" s="24">
        <v>0.0</v>
      </c>
    </row>
    <row r="1406">
      <c r="A1406" s="24">
        <v>14.0</v>
      </c>
      <c r="B1406" s="24">
        <v>3.0</v>
      </c>
      <c r="C1406" s="47">
        <v>5.79</v>
      </c>
      <c r="D1406" s="35">
        <v>45115.0</v>
      </c>
      <c r="E1406" s="47">
        <v>1.93</v>
      </c>
      <c r="F1406" s="47">
        <v>413.571428571428</v>
      </c>
      <c r="G1406" s="48">
        <v>0.214285714285714</v>
      </c>
      <c r="H1406" s="24" t="s">
        <v>6766</v>
      </c>
      <c r="I1406" s="47"/>
      <c r="J1406" s="24">
        <v>0.0</v>
      </c>
    </row>
    <row r="1407">
      <c r="A1407" s="24">
        <v>14.0</v>
      </c>
      <c r="B1407" s="24">
        <v>0.0</v>
      </c>
      <c r="C1407" s="47">
        <v>0.0</v>
      </c>
      <c r="D1407" s="35">
        <v>45116.0</v>
      </c>
      <c r="E1407" s="47"/>
      <c r="F1407" s="47">
        <v>0.0</v>
      </c>
      <c r="G1407" s="48">
        <v>0.0</v>
      </c>
      <c r="H1407" s="24" t="s">
        <v>6766</v>
      </c>
      <c r="I1407" s="47"/>
      <c r="J1407" s="24">
        <v>0.0</v>
      </c>
    </row>
    <row r="1408">
      <c r="A1408" s="24">
        <v>53.0</v>
      </c>
      <c r="B1408" s="24">
        <v>5.0</v>
      </c>
      <c r="C1408" s="47">
        <v>13.32</v>
      </c>
      <c r="D1408" s="35">
        <v>45117.0</v>
      </c>
      <c r="E1408" s="47">
        <v>2.664</v>
      </c>
      <c r="F1408" s="47">
        <v>251.320754716981</v>
      </c>
      <c r="G1408" s="48">
        <v>0.0943396226415094</v>
      </c>
      <c r="H1408" s="24" t="s">
        <v>6766</v>
      </c>
      <c r="I1408" s="47"/>
      <c r="J1408" s="24">
        <v>0.0</v>
      </c>
    </row>
    <row r="1409">
      <c r="A1409" s="24">
        <v>52.0</v>
      </c>
      <c r="B1409" s="24">
        <v>3.0</v>
      </c>
      <c r="C1409" s="47">
        <v>8.72</v>
      </c>
      <c r="D1409" s="35">
        <v>45118.0</v>
      </c>
      <c r="E1409" s="47">
        <v>2.90666666666666</v>
      </c>
      <c r="F1409" s="47">
        <v>167.692307692307</v>
      </c>
      <c r="G1409" s="48">
        <v>0.0576923076923076</v>
      </c>
      <c r="H1409" s="24" t="s">
        <v>6766</v>
      </c>
      <c r="I1409" s="47"/>
      <c r="J1409" s="24">
        <v>0.0</v>
      </c>
    </row>
    <row r="1410">
      <c r="A1410" s="24">
        <v>61.0</v>
      </c>
      <c r="B1410" s="24">
        <v>4.0</v>
      </c>
      <c r="C1410" s="47">
        <v>11.58</v>
      </c>
      <c r="D1410" s="35">
        <v>45119.0</v>
      </c>
      <c r="E1410" s="47">
        <v>2.895</v>
      </c>
      <c r="F1410" s="47">
        <v>189.83606557377</v>
      </c>
      <c r="G1410" s="48">
        <v>0.0655737704918032</v>
      </c>
      <c r="H1410" s="24" t="s">
        <v>6766</v>
      </c>
      <c r="I1410" s="47"/>
      <c r="J1410" s="24">
        <v>0.0</v>
      </c>
    </row>
    <row r="1411">
      <c r="A1411" s="24">
        <v>60.0</v>
      </c>
      <c r="B1411" s="24">
        <v>6.0</v>
      </c>
      <c r="C1411" s="47">
        <v>15.28</v>
      </c>
      <c r="D1411" s="35">
        <v>45120.0</v>
      </c>
      <c r="E1411" s="47">
        <v>2.54666666666666</v>
      </c>
      <c r="F1411" s="47">
        <v>254.666666666666</v>
      </c>
      <c r="G1411" s="48">
        <v>0.1</v>
      </c>
      <c r="H1411" s="24" t="s">
        <v>6766</v>
      </c>
      <c r="I1411" s="47"/>
      <c r="J1411" s="24">
        <v>0.0</v>
      </c>
    </row>
    <row r="1412">
      <c r="A1412" s="24">
        <v>41.0</v>
      </c>
      <c r="B1412" s="24">
        <v>2.0</v>
      </c>
      <c r="C1412" s="47">
        <v>3.75</v>
      </c>
      <c r="D1412" s="35">
        <v>45121.0</v>
      </c>
      <c r="E1412" s="47">
        <v>1.875</v>
      </c>
      <c r="F1412" s="47">
        <v>91.4634146341463</v>
      </c>
      <c r="G1412" s="48">
        <v>0.048780487804878</v>
      </c>
      <c r="H1412" s="24" t="s">
        <v>6766</v>
      </c>
      <c r="I1412" s="47"/>
      <c r="J1412" s="24">
        <v>0.0</v>
      </c>
    </row>
    <row r="1413">
      <c r="A1413" s="24">
        <v>16.0</v>
      </c>
      <c r="B1413" s="24">
        <v>0.0</v>
      </c>
      <c r="C1413" s="47">
        <v>0.0</v>
      </c>
      <c r="D1413" s="35">
        <v>45122.0</v>
      </c>
      <c r="E1413" s="47"/>
      <c r="F1413" s="47">
        <v>0.0</v>
      </c>
      <c r="G1413" s="48">
        <v>0.0</v>
      </c>
      <c r="H1413" s="24" t="s">
        <v>6766</v>
      </c>
      <c r="I1413" s="47"/>
      <c r="J1413" s="24">
        <v>0.0</v>
      </c>
    </row>
    <row r="1414">
      <c r="A1414" s="24">
        <v>30.0</v>
      </c>
      <c r="B1414" s="24">
        <v>1.0</v>
      </c>
      <c r="C1414" s="47">
        <v>2.93</v>
      </c>
      <c r="D1414" s="35">
        <v>45123.0</v>
      </c>
      <c r="E1414" s="47">
        <v>2.93</v>
      </c>
      <c r="F1414" s="47">
        <v>97.6666666666666</v>
      </c>
      <c r="G1414" s="48">
        <v>0.0333333333333333</v>
      </c>
      <c r="H1414" s="24" t="s">
        <v>6766</v>
      </c>
      <c r="I1414" s="47"/>
      <c r="J1414" s="24">
        <v>0.0</v>
      </c>
    </row>
    <row r="1415">
      <c r="A1415" s="24">
        <v>59.0</v>
      </c>
      <c r="B1415" s="24">
        <v>7.0</v>
      </c>
      <c r="C1415" s="47">
        <v>12.93</v>
      </c>
      <c r="D1415" s="35">
        <v>45124.0</v>
      </c>
      <c r="E1415" s="47">
        <v>1.84714285714285</v>
      </c>
      <c r="F1415" s="47">
        <v>219.152542372881</v>
      </c>
      <c r="G1415" s="48">
        <v>0.11864406779661</v>
      </c>
      <c r="H1415" s="24" t="s">
        <v>6766</v>
      </c>
      <c r="I1415" s="47"/>
      <c r="J1415" s="24">
        <v>0.0</v>
      </c>
    </row>
    <row r="1416">
      <c r="A1416" s="24">
        <v>64.0</v>
      </c>
      <c r="B1416" s="24">
        <v>2.0</v>
      </c>
      <c r="C1416" s="47">
        <v>5.78</v>
      </c>
      <c r="D1416" s="35">
        <v>45125.0</v>
      </c>
      <c r="E1416" s="47">
        <v>2.89</v>
      </c>
      <c r="F1416" s="47">
        <v>90.3125</v>
      </c>
      <c r="G1416" s="48">
        <v>0.03125</v>
      </c>
      <c r="H1416" s="24" t="s">
        <v>6766</v>
      </c>
      <c r="I1416" s="47"/>
      <c r="J1416" s="24">
        <v>0.0</v>
      </c>
    </row>
    <row r="1417">
      <c r="A1417" s="24">
        <v>52.0</v>
      </c>
      <c r="B1417" s="24">
        <v>4.0</v>
      </c>
      <c r="C1417" s="47">
        <v>9.16</v>
      </c>
      <c r="D1417" s="35">
        <v>45126.0</v>
      </c>
      <c r="E1417" s="47">
        <v>2.29</v>
      </c>
      <c r="F1417" s="47">
        <v>176.153846153846</v>
      </c>
      <c r="G1417" s="48">
        <v>0.0769230769230769</v>
      </c>
      <c r="H1417" s="24" t="s">
        <v>6766</v>
      </c>
      <c r="I1417" s="47"/>
      <c r="J1417" s="24">
        <v>0.0</v>
      </c>
    </row>
    <row r="1418">
      <c r="A1418" s="24">
        <v>62.0</v>
      </c>
      <c r="B1418" s="24">
        <v>5.0</v>
      </c>
      <c r="C1418" s="47">
        <v>11.67</v>
      </c>
      <c r="D1418" s="35">
        <v>45127.0</v>
      </c>
      <c r="E1418" s="47">
        <v>2.334</v>
      </c>
      <c r="F1418" s="47">
        <v>188.225806451612</v>
      </c>
      <c r="G1418" s="48">
        <v>0.0806451612903225</v>
      </c>
      <c r="H1418" s="24" t="s">
        <v>6766</v>
      </c>
      <c r="I1418" s="47"/>
      <c r="J1418" s="24">
        <v>0.0</v>
      </c>
    </row>
    <row r="1419">
      <c r="A1419" s="24">
        <v>40.0</v>
      </c>
      <c r="B1419" s="24">
        <v>0.0</v>
      </c>
      <c r="C1419" s="47">
        <v>0.0</v>
      </c>
      <c r="D1419" s="35">
        <v>45128.0</v>
      </c>
      <c r="E1419" s="47"/>
      <c r="F1419" s="47">
        <v>0.0</v>
      </c>
      <c r="G1419" s="48">
        <v>0.0</v>
      </c>
      <c r="H1419" s="24" t="s">
        <v>6766</v>
      </c>
      <c r="I1419" s="47"/>
      <c r="J1419" s="24">
        <v>0.0</v>
      </c>
    </row>
    <row r="1420">
      <c r="A1420" s="24">
        <v>24.0</v>
      </c>
      <c r="B1420" s="24">
        <v>1.0</v>
      </c>
      <c r="C1420" s="47">
        <v>2.98</v>
      </c>
      <c r="D1420" s="35">
        <v>45129.0</v>
      </c>
      <c r="E1420" s="47">
        <v>2.98</v>
      </c>
      <c r="F1420" s="47">
        <v>124.166666666666</v>
      </c>
      <c r="G1420" s="48">
        <v>0.0416666666666666</v>
      </c>
      <c r="H1420" s="24" t="s">
        <v>6766</v>
      </c>
      <c r="I1420" s="47"/>
      <c r="J1420" s="24">
        <v>0.0</v>
      </c>
    </row>
    <row r="1421">
      <c r="A1421" s="24">
        <v>13.0</v>
      </c>
      <c r="B1421" s="24">
        <v>1.0</v>
      </c>
      <c r="C1421" s="47">
        <v>2.82</v>
      </c>
      <c r="D1421" s="35">
        <v>45130.0</v>
      </c>
      <c r="E1421" s="47">
        <v>2.82</v>
      </c>
      <c r="F1421" s="47">
        <v>216.923076923076</v>
      </c>
      <c r="G1421" s="48">
        <v>0.0769230769230769</v>
      </c>
      <c r="H1421" s="24" t="s">
        <v>6766</v>
      </c>
      <c r="I1421" s="47"/>
      <c r="J1421" s="24">
        <v>0.0</v>
      </c>
    </row>
    <row r="1422">
      <c r="A1422" s="24">
        <v>52.0</v>
      </c>
      <c r="B1422" s="24">
        <v>6.0</v>
      </c>
      <c r="C1422" s="47">
        <v>10.98</v>
      </c>
      <c r="D1422" s="35">
        <v>45131.0</v>
      </c>
      <c r="E1422" s="47">
        <v>1.83</v>
      </c>
      <c r="F1422" s="47">
        <v>211.153846153846</v>
      </c>
      <c r="G1422" s="48">
        <v>0.115384615384615</v>
      </c>
      <c r="H1422" s="24" t="s">
        <v>6766</v>
      </c>
      <c r="I1422" s="47">
        <v>5.49</v>
      </c>
      <c r="J1422" s="24">
        <v>2.0</v>
      </c>
    </row>
    <row r="1423">
      <c r="A1423" s="24">
        <v>54.0</v>
      </c>
      <c r="B1423" s="24">
        <v>10.0</v>
      </c>
      <c r="C1423" s="47">
        <v>26.71</v>
      </c>
      <c r="D1423" s="35">
        <v>45132.0</v>
      </c>
      <c r="E1423" s="47">
        <v>2.671</v>
      </c>
      <c r="F1423" s="47">
        <v>494.629629629629</v>
      </c>
      <c r="G1423" s="48">
        <v>0.185185185185185</v>
      </c>
      <c r="H1423" s="24" t="s">
        <v>6766</v>
      </c>
      <c r="I1423" s="47"/>
      <c r="J1423" s="24">
        <v>0.0</v>
      </c>
    </row>
    <row r="1424">
      <c r="A1424" s="24">
        <v>52.0</v>
      </c>
      <c r="B1424" s="24">
        <v>5.0</v>
      </c>
      <c r="C1424" s="47">
        <v>11.25</v>
      </c>
      <c r="D1424" s="35">
        <v>45133.0</v>
      </c>
      <c r="E1424" s="47">
        <v>2.25</v>
      </c>
      <c r="F1424" s="47">
        <v>216.346153846153</v>
      </c>
      <c r="G1424" s="48">
        <v>0.0961538461538461</v>
      </c>
      <c r="H1424" s="24" t="s">
        <v>6766</v>
      </c>
      <c r="I1424" s="47"/>
      <c r="J1424" s="24">
        <v>0.0</v>
      </c>
    </row>
    <row r="1425">
      <c r="A1425" s="24">
        <v>74.0</v>
      </c>
      <c r="B1425" s="24">
        <v>8.0</v>
      </c>
      <c r="C1425" s="47">
        <v>17.81</v>
      </c>
      <c r="D1425" s="35">
        <v>45134.0</v>
      </c>
      <c r="E1425" s="47">
        <v>2.22625</v>
      </c>
      <c r="F1425" s="47">
        <v>240.675675675675</v>
      </c>
      <c r="G1425" s="48">
        <v>0.108108108108108</v>
      </c>
      <c r="H1425" s="24" t="s">
        <v>6766</v>
      </c>
      <c r="I1425" s="47"/>
      <c r="J1425" s="24">
        <v>0.0</v>
      </c>
    </row>
    <row r="1426">
      <c r="A1426" s="24">
        <v>36.0</v>
      </c>
      <c r="B1426" s="24">
        <v>3.0</v>
      </c>
      <c r="C1426" s="47">
        <v>8.44</v>
      </c>
      <c r="D1426" s="35">
        <v>45135.0</v>
      </c>
      <c r="E1426" s="47">
        <v>2.81333333333333</v>
      </c>
      <c r="F1426" s="47">
        <v>234.444444444444</v>
      </c>
      <c r="G1426" s="48">
        <v>0.0833333333333333</v>
      </c>
      <c r="H1426" s="24" t="s">
        <v>6766</v>
      </c>
      <c r="I1426" s="47"/>
      <c r="J1426" s="24">
        <v>0.0</v>
      </c>
    </row>
    <row r="1427">
      <c r="A1427" s="24">
        <v>18.0</v>
      </c>
      <c r="B1427" s="24">
        <v>3.0</v>
      </c>
      <c r="C1427" s="47">
        <v>6.85</v>
      </c>
      <c r="D1427" s="35">
        <v>45136.0</v>
      </c>
      <c r="E1427" s="47">
        <v>2.28333333333333</v>
      </c>
      <c r="F1427" s="47">
        <v>380.555555555555</v>
      </c>
      <c r="G1427" s="48">
        <v>0.166666666666666</v>
      </c>
      <c r="H1427" s="24" t="s">
        <v>6766</v>
      </c>
      <c r="I1427" s="47"/>
      <c r="J1427" s="24">
        <v>0.0</v>
      </c>
    </row>
    <row r="1428">
      <c r="A1428" s="24">
        <v>18.0</v>
      </c>
      <c r="B1428" s="24">
        <v>2.0</v>
      </c>
      <c r="C1428" s="47">
        <v>5.69</v>
      </c>
      <c r="D1428" s="35">
        <v>45137.0</v>
      </c>
      <c r="E1428" s="47">
        <v>2.845</v>
      </c>
      <c r="F1428" s="47">
        <v>316.111111111111</v>
      </c>
      <c r="G1428" s="48">
        <v>0.111111111111111</v>
      </c>
      <c r="H1428" s="24" t="s">
        <v>6766</v>
      </c>
      <c r="I1428" s="47"/>
      <c r="J1428" s="24">
        <v>0.0</v>
      </c>
    </row>
    <row r="1429">
      <c r="A1429" s="24">
        <v>53.0</v>
      </c>
      <c r="B1429" s="24">
        <v>1.0</v>
      </c>
      <c r="C1429" s="47">
        <v>2.8</v>
      </c>
      <c r="D1429" s="35">
        <v>45138.0</v>
      </c>
      <c r="E1429" s="47">
        <v>2.8</v>
      </c>
      <c r="F1429" s="47">
        <v>52.8301886792452</v>
      </c>
      <c r="G1429" s="48">
        <v>0.0188679245283018</v>
      </c>
      <c r="H1429" s="24" t="s">
        <v>6766</v>
      </c>
      <c r="I1429" s="47"/>
      <c r="J1429" s="24">
        <v>0.0</v>
      </c>
    </row>
    <row r="1430">
      <c r="A1430" s="24">
        <v>48.0</v>
      </c>
      <c r="B1430" s="24">
        <v>8.0</v>
      </c>
      <c r="C1430" s="47">
        <v>18.32</v>
      </c>
      <c r="D1430" s="35">
        <v>45139.0</v>
      </c>
      <c r="E1430" s="47">
        <v>2.29</v>
      </c>
      <c r="F1430" s="47">
        <v>381.666666666666</v>
      </c>
      <c r="G1430" s="48">
        <v>0.166666666666666</v>
      </c>
      <c r="H1430" s="24" t="s">
        <v>6766</v>
      </c>
      <c r="I1430" s="47"/>
      <c r="J1430" s="24">
        <v>0.0</v>
      </c>
    </row>
    <row r="1431">
      <c r="A1431" s="24">
        <v>52.0</v>
      </c>
      <c r="B1431" s="24">
        <v>7.0</v>
      </c>
      <c r="C1431" s="47">
        <v>14.95</v>
      </c>
      <c r="D1431" s="35">
        <v>45140.0</v>
      </c>
      <c r="E1431" s="47">
        <v>2.13571428571428</v>
      </c>
      <c r="F1431" s="47">
        <v>287.5</v>
      </c>
      <c r="G1431" s="48">
        <v>0.134615384615384</v>
      </c>
      <c r="H1431" s="24" t="s">
        <v>6766</v>
      </c>
      <c r="I1431" s="47"/>
      <c r="J1431" s="24">
        <v>0.0</v>
      </c>
    </row>
    <row r="1432">
      <c r="A1432" s="24">
        <v>32.0</v>
      </c>
      <c r="B1432" s="24">
        <v>3.0</v>
      </c>
      <c r="C1432" s="47">
        <v>8.34</v>
      </c>
      <c r="D1432" s="35">
        <v>45141.0</v>
      </c>
      <c r="E1432" s="47">
        <v>2.78</v>
      </c>
      <c r="F1432" s="47">
        <v>260.625</v>
      </c>
      <c r="G1432" s="48">
        <v>0.09375</v>
      </c>
      <c r="H1432" s="24" t="s">
        <v>6766</v>
      </c>
      <c r="I1432" s="47"/>
      <c r="J1432" s="24">
        <v>0.0</v>
      </c>
    </row>
    <row r="1433">
      <c r="A1433" s="24">
        <v>15.0</v>
      </c>
      <c r="B1433" s="24">
        <v>1.0</v>
      </c>
      <c r="C1433" s="47">
        <v>2.79</v>
      </c>
      <c r="D1433" s="35">
        <v>45142.0</v>
      </c>
      <c r="E1433" s="47">
        <v>2.79</v>
      </c>
      <c r="F1433" s="47">
        <v>186.0</v>
      </c>
      <c r="G1433" s="48">
        <v>0.0666666666666666</v>
      </c>
      <c r="H1433" s="24" t="s">
        <v>6766</v>
      </c>
      <c r="I1433" s="47"/>
      <c r="J1433" s="24">
        <v>0.0</v>
      </c>
    </row>
    <row r="1434">
      <c r="A1434" s="24">
        <v>9.0</v>
      </c>
      <c r="B1434" s="24">
        <v>1.0</v>
      </c>
      <c r="C1434" s="47">
        <v>1.08</v>
      </c>
      <c r="D1434" s="35">
        <v>45143.0</v>
      </c>
      <c r="E1434" s="47">
        <v>1.08</v>
      </c>
      <c r="F1434" s="47">
        <v>120.0</v>
      </c>
      <c r="G1434" s="48">
        <v>0.111111111111111</v>
      </c>
      <c r="H1434" s="24" t="s">
        <v>6766</v>
      </c>
      <c r="I1434" s="47"/>
      <c r="J1434" s="24">
        <v>0.0</v>
      </c>
    </row>
    <row r="1435">
      <c r="A1435" s="24">
        <v>20.0</v>
      </c>
      <c r="B1435" s="24">
        <v>2.0</v>
      </c>
      <c r="C1435" s="47">
        <v>1.86</v>
      </c>
      <c r="D1435" s="35">
        <v>45144.0</v>
      </c>
      <c r="E1435" s="47">
        <v>0.93</v>
      </c>
      <c r="F1435" s="47">
        <v>93.0</v>
      </c>
      <c r="G1435" s="48">
        <v>0.1</v>
      </c>
      <c r="H1435" s="24" t="s">
        <v>6766</v>
      </c>
      <c r="I1435" s="47"/>
      <c r="J1435" s="24">
        <v>0.0</v>
      </c>
    </row>
    <row r="1436">
      <c r="A1436" s="24">
        <v>40.0</v>
      </c>
      <c r="B1436" s="24">
        <v>7.0</v>
      </c>
      <c r="C1436" s="47">
        <v>16.66</v>
      </c>
      <c r="D1436" s="35">
        <v>45145.0</v>
      </c>
      <c r="E1436" s="47">
        <v>2.38</v>
      </c>
      <c r="F1436" s="47">
        <v>416.5</v>
      </c>
      <c r="G1436" s="48">
        <v>0.175</v>
      </c>
      <c r="H1436" s="24" t="s">
        <v>6766</v>
      </c>
      <c r="I1436" s="47"/>
      <c r="J1436" s="24">
        <v>0.0</v>
      </c>
    </row>
    <row r="1437">
      <c r="A1437" s="24">
        <v>48.0</v>
      </c>
      <c r="B1437" s="24">
        <v>5.0</v>
      </c>
      <c r="C1437" s="47">
        <v>7.89</v>
      </c>
      <c r="D1437" s="35">
        <v>45146.0</v>
      </c>
      <c r="E1437" s="47">
        <v>1.578</v>
      </c>
      <c r="F1437" s="47">
        <v>164.375</v>
      </c>
      <c r="G1437" s="48">
        <v>0.104166666666666</v>
      </c>
      <c r="H1437" s="24" t="s">
        <v>6766</v>
      </c>
      <c r="I1437" s="47"/>
      <c r="J1437" s="24">
        <v>0.0</v>
      </c>
    </row>
    <row r="1438">
      <c r="A1438" s="24">
        <v>56.0</v>
      </c>
      <c r="B1438" s="24">
        <v>2.0</v>
      </c>
      <c r="C1438" s="47">
        <v>4.9</v>
      </c>
      <c r="D1438" s="35">
        <v>45147.0</v>
      </c>
      <c r="E1438" s="47">
        <v>2.45</v>
      </c>
      <c r="F1438" s="47">
        <v>87.5</v>
      </c>
      <c r="G1438" s="48">
        <v>0.0357142857142857</v>
      </c>
      <c r="H1438" s="24" t="s">
        <v>6766</v>
      </c>
      <c r="I1438" s="47"/>
      <c r="J1438" s="24">
        <v>0.0</v>
      </c>
    </row>
    <row r="1439">
      <c r="A1439" s="24">
        <v>33.0</v>
      </c>
      <c r="B1439" s="24">
        <v>0.0</v>
      </c>
      <c r="C1439" s="47">
        <v>0.0</v>
      </c>
      <c r="D1439" s="35">
        <v>45148.0</v>
      </c>
      <c r="E1439" s="47"/>
      <c r="F1439" s="47">
        <v>0.0</v>
      </c>
      <c r="G1439" s="48">
        <v>0.0</v>
      </c>
      <c r="H1439" s="24" t="s">
        <v>6766</v>
      </c>
      <c r="I1439" s="47"/>
      <c r="J1439" s="24">
        <v>0.0</v>
      </c>
    </row>
    <row r="1440">
      <c r="A1440" s="24">
        <v>28.0</v>
      </c>
      <c r="B1440" s="24">
        <v>3.0</v>
      </c>
      <c r="C1440" s="47">
        <v>6.13</v>
      </c>
      <c r="D1440" s="35">
        <v>45149.0</v>
      </c>
      <c r="E1440" s="47">
        <v>2.04333333333333</v>
      </c>
      <c r="F1440" s="47">
        <v>218.928571428571</v>
      </c>
      <c r="G1440" s="48">
        <v>0.107142857142857</v>
      </c>
      <c r="H1440" s="24" t="s">
        <v>6766</v>
      </c>
      <c r="I1440" s="47"/>
      <c r="J1440" s="24">
        <v>0.0</v>
      </c>
    </row>
    <row r="1441">
      <c r="A1441" s="24">
        <v>17.0</v>
      </c>
      <c r="B1441" s="24">
        <v>2.0</v>
      </c>
      <c r="C1441" s="47">
        <v>4.48</v>
      </c>
      <c r="D1441" s="35">
        <v>45150.0</v>
      </c>
      <c r="E1441" s="47">
        <v>2.24</v>
      </c>
      <c r="F1441" s="47">
        <v>263.529411764705</v>
      </c>
      <c r="G1441" s="48">
        <v>0.117647058823529</v>
      </c>
      <c r="H1441" s="24" t="s">
        <v>6766</v>
      </c>
      <c r="I1441" s="47"/>
      <c r="J1441" s="24">
        <v>0.0</v>
      </c>
    </row>
    <row r="1442">
      <c r="A1442" s="24">
        <v>8.0</v>
      </c>
      <c r="B1442" s="24">
        <v>0.0</v>
      </c>
      <c r="C1442" s="47">
        <v>0.0</v>
      </c>
      <c r="D1442" s="35">
        <v>45151.0</v>
      </c>
      <c r="E1442" s="47"/>
      <c r="F1442" s="47">
        <v>0.0</v>
      </c>
      <c r="G1442" s="48">
        <v>0.0</v>
      </c>
      <c r="H1442" s="24" t="s">
        <v>6766</v>
      </c>
      <c r="I1442" s="47"/>
      <c r="J1442" s="24">
        <v>0.0</v>
      </c>
    </row>
    <row r="1443">
      <c r="A1443" s="24">
        <v>55.0</v>
      </c>
      <c r="B1443" s="24">
        <v>8.0</v>
      </c>
      <c r="C1443" s="47">
        <v>19.63</v>
      </c>
      <c r="D1443" s="35">
        <v>45152.0</v>
      </c>
      <c r="E1443" s="47">
        <v>2.45375</v>
      </c>
      <c r="F1443" s="47">
        <v>356.90909090909</v>
      </c>
      <c r="G1443" s="48">
        <v>0.145454545454545</v>
      </c>
      <c r="H1443" s="24" t="s">
        <v>6766</v>
      </c>
      <c r="I1443" s="47"/>
      <c r="J1443" s="24">
        <v>0.0</v>
      </c>
    </row>
    <row r="1444">
      <c r="A1444" s="24">
        <v>23.0</v>
      </c>
      <c r="B1444" s="24">
        <v>2.0</v>
      </c>
      <c r="C1444" s="47">
        <v>4.5</v>
      </c>
      <c r="D1444" s="35">
        <v>45153.0</v>
      </c>
      <c r="E1444" s="47">
        <v>2.25</v>
      </c>
      <c r="F1444" s="47">
        <v>195.652173913043</v>
      </c>
      <c r="G1444" s="48">
        <v>0.0869565217391304</v>
      </c>
      <c r="H1444" s="24" t="s">
        <v>6766</v>
      </c>
      <c r="I1444" s="47"/>
      <c r="J1444" s="24">
        <v>0.0</v>
      </c>
    </row>
    <row r="1445">
      <c r="A1445" s="24">
        <v>62.0</v>
      </c>
      <c r="B1445" s="24">
        <v>4.0</v>
      </c>
      <c r="C1445" s="47">
        <v>10.91</v>
      </c>
      <c r="D1445" s="35">
        <v>45154.0</v>
      </c>
      <c r="E1445" s="47">
        <v>2.7275</v>
      </c>
      <c r="F1445" s="47">
        <v>175.967741935483</v>
      </c>
      <c r="G1445" s="48">
        <v>0.064516129032258</v>
      </c>
      <c r="H1445" s="24" t="s">
        <v>6766</v>
      </c>
      <c r="I1445" s="47"/>
      <c r="J1445" s="24">
        <v>0.0</v>
      </c>
    </row>
    <row r="1446">
      <c r="A1446" s="24">
        <v>43.0</v>
      </c>
      <c r="B1446" s="24">
        <v>1.0</v>
      </c>
      <c r="C1446" s="47">
        <v>2.71</v>
      </c>
      <c r="D1446" s="35">
        <v>45155.0</v>
      </c>
      <c r="E1446" s="47">
        <v>2.71</v>
      </c>
      <c r="F1446" s="47">
        <v>63.0232558139534</v>
      </c>
      <c r="G1446" s="48">
        <v>0.0232558139534883</v>
      </c>
      <c r="H1446" s="24" t="s">
        <v>6766</v>
      </c>
      <c r="I1446" s="47"/>
      <c r="J1446" s="24">
        <v>0.0</v>
      </c>
    </row>
    <row r="1447">
      <c r="A1447" s="24">
        <v>52.0</v>
      </c>
      <c r="B1447" s="24">
        <v>5.0</v>
      </c>
      <c r="C1447" s="47">
        <v>11.1</v>
      </c>
      <c r="D1447" s="35">
        <v>45156.0</v>
      </c>
      <c r="E1447" s="47">
        <v>2.22</v>
      </c>
      <c r="F1447" s="47">
        <v>213.461538461538</v>
      </c>
      <c r="G1447" s="48">
        <v>0.0961538461538461</v>
      </c>
      <c r="H1447" s="24" t="s">
        <v>6766</v>
      </c>
      <c r="I1447" s="47"/>
      <c r="J1447" s="24">
        <v>0.0</v>
      </c>
    </row>
    <row r="1448">
      <c r="A1448" s="24">
        <v>6.0</v>
      </c>
      <c r="B1448" s="24">
        <v>0.0</v>
      </c>
      <c r="C1448" s="47">
        <v>0.0</v>
      </c>
      <c r="D1448" s="35">
        <v>45157.0</v>
      </c>
      <c r="E1448" s="47"/>
      <c r="F1448" s="47">
        <v>0.0</v>
      </c>
      <c r="G1448" s="48">
        <v>0.0</v>
      </c>
      <c r="H1448" s="24" t="s">
        <v>6766</v>
      </c>
      <c r="I1448" s="47"/>
      <c r="J1448" s="24">
        <v>0.0</v>
      </c>
    </row>
    <row r="1449">
      <c r="A1449" s="24">
        <v>11.0</v>
      </c>
      <c r="B1449" s="24">
        <v>0.0</v>
      </c>
      <c r="C1449" s="47">
        <v>0.0</v>
      </c>
      <c r="D1449" s="35">
        <v>45158.0</v>
      </c>
      <c r="E1449" s="47"/>
      <c r="F1449" s="47">
        <v>0.0</v>
      </c>
      <c r="G1449" s="48">
        <v>0.0</v>
      </c>
      <c r="H1449" s="24" t="s">
        <v>6766</v>
      </c>
      <c r="I1449" s="47"/>
      <c r="J1449" s="24">
        <v>0.0</v>
      </c>
    </row>
    <row r="1450">
      <c r="A1450" s="24">
        <v>42.0</v>
      </c>
      <c r="B1450" s="24">
        <v>4.0</v>
      </c>
      <c r="C1450" s="47">
        <v>11.38</v>
      </c>
      <c r="D1450" s="35">
        <v>45159.0</v>
      </c>
      <c r="E1450" s="47">
        <v>2.845</v>
      </c>
      <c r="F1450" s="47">
        <v>270.95238095238</v>
      </c>
      <c r="G1450" s="48">
        <v>0.0952380952380952</v>
      </c>
      <c r="H1450" s="24" t="s">
        <v>6766</v>
      </c>
      <c r="I1450" s="47"/>
      <c r="J1450" s="24">
        <v>0.0</v>
      </c>
    </row>
    <row r="1451">
      <c r="A1451" s="24">
        <v>45.0</v>
      </c>
      <c r="B1451" s="24">
        <v>7.0</v>
      </c>
      <c r="C1451" s="47">
        <v>15.99</v>
      </c>
      <c r="D1451" s="35">
        <v>45160.0</v>
      </c>
      <c r="E1451" s="47">
        <v>2.28428571428571</v>
      </c>
      <c r="F1451" s="47">
        <v>355.333333333333</v>
      </c>
      <c r="G1451" s="48">
        <v>0.155555555555555</v>
      </c>
      <c r="H1451" s="24" t="s">
        <v>6766</v>
      </c>
      <c r="I1451" s="47"/>
      <c r="J1451" s="24">
        <v>0.0</v>
      </c>
    </row>
    <row r="1452">
      <c r="A1452" s="24">
        <v>56.0</v>
      </c>
      <c r="B1452" s="24">
        <v>5.0</v>
      </c>
      <c r="C1452" s="47">
        <v>14.43</v>
      </c>
      <c r="D1452" s="35">
        <v>45161.0</v>
      </c>
      <c r="E1452" s="47">
        <v>2.886</v>
      </c>
      <c r="F1452" s="47">
        <v>257.678571428571</v>
      </c>
      <c r="G1452" s="48">
        <v>0.0892857142857142</v>
      </c>
      <c r="H1452" s="24" t="s">
        <v>6766</v>
      </c>
      <c r="I1452" s="47"/>
      <c r="J1452" s="24">
        <v>0.0</v>
      </c>
    </row>
    <row r="1453">
      <c r="A1453" s="24">
        <v>47.0</v>
      </c>
      <c r="B1453" s="24">
        <v>2.0</v>
      </c>
      <c r="C1453" s="47">
        <v>3.29</v>
      </c>
      <c r="D1453" s="35">
        <v>45162.0</v>
      </c>
      <c r="E1453" s="47">
        <v>1.645</v>
      </c>
      <c r="F1453" s="47">
        <v>70.0</v>
      </c>
      <c r="G1453" s="48">
        <v>0.0425531914893617</v>
      </c>
      <c r="H1453" s="24" t="s">
        <v>6766</v>
      </c>
      <c r="I1453" s="47">
        <v>3.29</v>
      </c>
      <c r="J1453" s="24">
        <v>1.0</v>
      </c>
    </row>
    <row r="1454">
      <c r="A1454" s="24">
        <v>39.0</v>
      </c>
      <c r="B1454" s="24">
        <v>4.0</v>
      </c>
      <c r="C1454" s="47">
        <v>6.64</v>
      </c>
      <c r="D1454" s="35">
        <v>45163.0</v>
      </c>
      <c r="E1454" s="47">
        <v>1.66</v>
      </c>
      <c r="F1454" s="47">
        <v>170.25641025641</v>
      </c>
      <c r="G1454" s="48">
        <v>0.102564102564102</v>
      </c>
      <c r="H1454" s="24" t="s">
        <v>6766</v>
      </c>
      <c r="I1454" s="47"/>
      <c r="J1454" s="24">
        <v>0.0</v>
      </c>
    </row>
    <row r="1455">
      <c r="A1455" s="24">
        <v>18.0</v>
      </c>
      <c r="B1455" s="24">
        <v>2.0</v>
      </c>
      <c r="C1455" s="47">
        <v>1.82</v>
      </c>
      <c r="D1455" s="35">
        <v>45164.0</v>
      </c>
      <c r="E1455" s="47">
        <v>0.91</v>
      </c>
      <c r="F1455" s="47">
        <v>101.111111111111</v>
      </c>
      <c r="G1455" s="48">
        <v>0.111111111111111</v>
      </c>
      <c r="H1455" s="24" t="s">
        <v>6766</v>
      </c>
      <c r="I1455" s="47"/>
      <c r="J1455" s="24">
        <v>0.0</v>
      </c>
    </row>
    <row r="1456">
      <c r="A1456" s="24">
        <v>7.0</v>
      </c>
      <c r="B1456" s="24">
        <v>2.0</v>
      </c>
      <c r="C1456" s="47">
        <v>4.41</v>
      </c>
      <c r="D1456" s="35">
        <v>45165.0</v>
      </c>
      <c r="E1456" s="47">
        <v>2.205</v>
      </c>
      <c r="F1456" s="47">
        <v>630.0</v>
      </c>
      <c r="G1456" s="48">
        <v>0.285714285714285</v>
      </c>
      <c r="H1456" s="24" t="s">
        <v>6766</v>
      </c>
      <c r="I1456" s="47"/>
      <c r="J1456" s="24">
        <v>0.0</v>
      </c>
    </row>
    <row r="1457">
      <c r="A1457" s="24">
        <v>41.0</v>
      </c>
      <c r="B1457" s="24">
        <v>6.0</v>
      </c>
      <c r="C1457" s="47">
        <v>15.68</v>
      </c>
      <c r="D1457" s="35">
        <v>45166.0</v>
      </c>
      <c r="E1457" s="47">
        <v>2.61333333333333</v>
      </c>
      <c r="F1457" s="47">
        <v>382.439024390243</v>
      </c>
      <c r="G1457" s="48">
        <v>0.146341463414634</v>
      </c>
      <c r="H1457" s="24" t="s">
        <v>6766</v>
      </c>
      <c r="I1457" s="47"/>
      <c r="J1457" s="24">
        <v>0.0</v>
      </c>
    </row>
    <row r="1458">
      <c r="A1458" s="24">
        <v>51.0</v>
      </c>
      <c r="B1458" s="24">
        <v>4.0</v>
      </c>
      <c r="C1458" s="47">
        <v>11.13</v>
      </c>
      <c r="D1458" s="35">
        <v>45167.0</v>
      </c>
      <c r="E1458" s="47">
        <v>2.7825</v>
      </c>
      <c r="F1458" s="47">
        <v>218.235294117647</v>
      </c>
      <c r="G1458" s="48">
        <v>0.0784313725490196</v>
      </c>
      <c r="H1458" s="24" t="s">
        <v>6766</v>
      </c>
      <c r="I1458" s="47"/>
      <c r="J1458" s="24">
        <v>0.0</v>
      </c>
    </row>
    <row r="1459">
      <c r="A1459" s="24">
        <v>43.0</v>
      </c>
      <c r="B1459" s="24">
        <v>4.0</v>
      </c>
      <c r="C1459" s="47">
        <v>8.17</v>
      </c>
      <c r="D1459" s="35">
        <v>45168.0</v>
      </c>
      <c r="E1459" s="47">
        <v>2.0425</v>
      </c>
      <c r="F1459" s="47">
        <v>190.0</v>
      </c>
      <c r="G1459" s="48">
        <v>0.0930232558139534</v>
      </c>
      <c r="H1459" s="24" t="s">
        <v>6766</v>
      </c>
      <c r="I1459" s="47">
        <v>8.17</v>
      </c>
      <c r="J1459" s="24">
        <v>1.0</v>
      </c>
    </row>
    <row r="1460">
      <c r="A1460" s="24">
        <v>52.0</v>
      </c>
      <c r="B1460" s="24">
        <v>5.0</v>
      </c>
      <c r="C1460" s="47">
        <v>12.85</v>
      </c>
      <c r="D1460" s="35">
        <v>45169.0</v>
      </c>
      <c r="E1460" s="47">
        <v>2.57</v>
      </c>
      <c r="F1460" s="47">
        <v>247.115384615384</v>
      </c>
      <c r="G1460" s="48">
        <v>0.0961538461538461</v>
      </c>
      <c r="H1460" s="24" t="s">
        <v>6766</v>
      </c>
      <c r="I1460" s="47"/>
      <c r="J1460" s="24">
        <v>0.0</v>
      </c>
    </row>
    <row r="1461">
      <c r="A1461" s="24">
        <v>34.0</v>
      </c>
      <c r="B1461" s="24">
        <v>0.0</v>
      </c>
      <c r="C1461" s="47">
        <v>0.0</v>
      </c>
      <c r="D1461" s="35">
        <v>45170.0</v>
      </c>
      <c r="E1461" s="47"/>
      <c r="F1461" s="47">
        <v>0.0</v>
      </c>
      <c r="G1461" s="48">
        <v>0.0</v>
      </c>
      <c r="H1461" s="24" t="s">
        <v>6766</v>
      </c>
      <c r="I1461" s="47"/>
      <c r="J1461" s="24">
        <v>0.0</v>
      </c>
    </row>
    <row r="1462">
      <c r="A1462" s="24">
        <v>5.0</v>
      </c>
      <c r="B1462" s="24">
        <v>1.0</v>
      </c>
      <c r="C1462" s="47">
        <v>2.13</v>
      </c>
      <c r="D1462" s="35">
        <v>45171.0</v>
      </c>
      <c r="E1462" s="47">
        <v>2.13</v>
      </c>
      <c r="F1462" s="47">
        <v>426.0</v>
      </c>
      <c r="G1462" s="48">
        <v>0.2</v>
      </c>
      <c r="H1462" s="24" t="s">
        <v>6766</v>
      </c>
      <c r="I1462" s="47"/>
      <c r="J1462" s="24">
        <v>0.0</v>
      </c>
    </row>
    <row r="1463">
      <c r="A1463" s="24">
        <v>12.0</v>
      </c>
      <c r="B1463" s="24">
        <v>2.0</v>
      </c>
      <c r="C1463" s="47">
        <v>3.14</v>
      </c>
      <c r="D1463" s="35">
        <v>45172.0</v>
      </c>
      <c r="E1463" s="47">
        <v>1.57</v>
      </c>
      <c r="F1463" s="47">
        <v>261.666666666666</v>
      </c>
      <c r="G1463" s="48">
        <v>0.166666666666666</v>
      </c>
      <c r="H1463" s="24" t="s">
        <v>6766</v>
      </c>
      <c r="I1463" s="47"/>
      <c r="J1463" s="24">
        <v>0.0</v>
      </c>
    </row>
    <row r="1464">
      <c r="A1464" s="24">
        <v>46.0</v>
      </c>
      <c r="B1464" s="24">
        <v>2.0</v>
      </c>
      <c r="C1464" s="47">
        <v>5.67</v>
      </c>
      <c r="D1464" s="35">
        <v>45173.0</v>
      </c>
      <c r="E1464" s="47">
        <v>2.835</v>
      </c>
      <c r="F1464" s="47">
        <v>123.260869565217</v>
      </c>
      <c r="G1464" s="48">
        <v>0.0434782608695652</v>
      </c>
      <c r="H1464" s="24" t="s">
        <v>6766</v>
      </c>
      <c r="I1464" s="47"/>
      <c r="J1464" s="24">
        <v>0.0</v>
      </c>
    </row>
    <row r="1465">
      <c r="A1465" s="24">
        <v>27.0</v>
      </c>
      <c r="B1465" s="24">
        <v>1.0</v>
      </c>
      <c r="C1465" s="47">
        <v>2.95</v>
      </c>
      <c r="D1465" s="35">
        <v>45174.0</v>
      </c>
      <c r="E1465" s="47">
        <v>2.95</v>
      </c>
      <c r="F1465" s="47">
        <v>109.259259259259</v>
      </c>
      <c r="G1465" s="48">
        <v>0.037037037037037</v>
      </c>
      <c r="H1465" s="24" t="s">
        <v>6766</v>
      </c>
      <c r="I1465" s="47"/>
      <c r="J1465" s="24">
        <v>0.0</v>
      </c>
    </row>
    <row r="1466">
      <c r="A1466" s="24">
        <v>58.0</v>
      </c>
      <c r="B1466" s="24">
        <v>6.0</v>
      </c>
      <c r="C1466" s="47">
        <v>8.66</v>
      </c>
      <c r="D1466" s="35">
        <v>45175.0</v>
      </c>
      <c r="E1466" s="47">
        <v>1.44333333333333</v>
      </c>
      <c r="F1466" s="47">
        <v>149.310344827586</v>
      </c>
      <c r="G1466" s="48">
        <v>0.103448275862068</v>
      </c>
      <c r="H1466" s="24" t="s">
        <v>6766</v>
      </c>
      <c r="I1466" s="47"/>
      <c r="J1466" s="24">
        <v>0.0</v>
      </c>
    </row>
    <row r="1467">
      <c r="A1467" s="24">
        <v>51.0</v>
      </c>
      <c r="B1467" s="24">
        <v>3.0</v>
      </c>
      <c r="C1467" s="47">
        <v>8.76</v>
      </c>
      <c r="D1467" s="35">
        <v>45176.0</v>
      </c>
      <c r="E1467" s="47">
        <v>2.92</v>
      </c>
      <c r="F1467" s="47">
        <v>171.764705882352</v>
      </c>
      <c r="G1467" s="48">
        <v>0.0588235294117647</v>
      </c>
      <c r="H1467" s="24" t="s">
        <v>6766</v>
      </c>
      <c r="I1467" s="47"/>
      <c r="J1467" s="24">
        <v>0.0</v>
      </c>
    </row>
    <row r="1468">
      <c r="A1468" s="24">
        <v>48.0</v>
      </c>
      <c r="B1468" s="24">
        <v>2.0</v>
      </c>
      <c r="C1468" s="47">
        <v>3.97</v>
      </c>
      <c r="D1468" s="35">
        <v>45177.0</v>
      </c>
      <c r="E1468" s="47">
        <v>1.985</v>
      </c>
      <c r="F1468" s="47">
        <v>82.7083333333333</v>
      </c>
      <c r="G1468" s="48">
        <v>0.0416666666666666</v>
      </c>
      <c r="H1468" s="24" t="s">
        <v>6766</v>
      </c>
      <c r="I1468" s="47"/>
      <c r="J1468" s="24">
        <v>0.0</v>
      </c>
    </row>
    <row r="1469">
      <c r="A1469" s="24">
        <v>16.0</v>
      </c>
      <c r="B1469" s="24">
        <v>2.0</v>
      </c>
      <c r="C1469" s="47">
        <v>4.37</v>
      </c>
      <c r="D1469" s="35">
        <v>45178.0</v>
      </c>
      <c r="E1469" s="47">
        <v>2.185</v>
      </c>
      <c r="F1469" s="47">
        <v>273.125</v>
      </c>
      <c r="G1469" s="48">
        <v>0.125</v>
      </c>
      <c r="H1469" s="24" t="s">
        <v>6766</v>
      </c>
      <c r="I1469" s="47"/>
      <c r="J1469" s="24">
        <v>0.0</v>
      </c>
    </row>
    <row r="1470">
      <c r="A1470" s="24">
        <v>15.0</v>
      </c>
      <c r="B1470" s="24">
        <v>4.0</v>
      </c>
      <c r="C1470" s="47">
        <v>7.41</v>
      </c>
      <c r="D1470" s="35">
        <v>45179.0</v>
      </c>
      <c r="E1470" s="47">
        <v>1.8525</v>
      </c>
      <c r="F1470" s="47">
        <v>494.0</v>
      </c>
      <c r="G1470" s="48">
        <v>0.266666666666666</v>
      </c>
      <c r="H1470" s="24" t="s">
        <v>6766</v>
      </c>
      <c r="I1470" s="47"/>
      <c r="J1470" s="24">
        <v>0.0</v>
      </c>
    </row>
    <row r="1471">
      <c r="A1471" s="24">
        <v>43.0</v>
      </c>
      <c r="B1471" s="24">
        <v>3.0</v>
      </c>
      <c r="C1471" s="47">
        <v>7.08</v>
      </c>
      <c r="D1471" s="35">
        <v>45180.0</v>
      </c>
      <c r="E1471" s="47">
        <v>2.36</v>
      </c>
      <c r="F1471" s="47">
        <v>164.651162790697</v>
      </c>
      <c r="G1471" s="48">
        <v>0.0697674418604651</v>
      </c>
      <c r="H1471" s="24" t="s">
        <v>6766</v>
      </c>
      <c r="I1471" s="47"/>
      <c r="J1471" s="24">
        <v>0.0</v>
      </c>
    </row>
    <row r="1472">
      <c r="A1472" s="24">
        <v>49.0</v>
      </c>
      <c r="B1472" s="24">
        <v>5.0</v>
      </c>
      <c r="C1472" s="47">
        <v>10.13</v>
      </c>
      <c r="D1472" s="35">
        <v>45181.0</v>
      </c>
      <c r="E1472" s="47">
        <v>2.026</v>
      </c>
      <c r="F1472" s="47">
        <v>206.734693877551</v>
      </c>
      <c r="G1472" s="48">
        <v>0.10204081632653</v>
      </c>
      <c r="H1472" s="24" t="s">
        <v>6766</v>
      </c>
      <c r="I1472" s="47"/>
      <c r="J1472" s="24">
        <v>0.0</v>
      </c>
    </row>
    <row r="1473">
      <c r="A1473" s="24">
        <v>36.0</v>
      </c>
      <c r="B1473" s="24">
        <v>3.0</v>
      </c>
      <c r="C1473" s="47">
        <v>8.67</v>
      </c>
      <c r="D1473" s="35">
        <v>45182.0</v>
      </c>
      <c r="E1473" s="47">
        <v>2.89</v>
      </c>
      <c r="F1473" s="47">
        <v>240.833333333333</v>
      </c>
      <c r="G1473" s="48">
        <v>0.0833333333333333</v>
      </c>
      <c r="H1473" s="24" t="s">
        <v>6766</v>
      </c>
      <c r="I1473" s="47"/>
      <c r="J1473" s="24">
        <v>0.0</v>
      </c>
    </row>
    <row r="1474">
      <c r="A1474" s="24">
        <v>43.0</v>
      </c>
      <c r="B1474" s="24">
        <v>8.0</v>
      </c>
      <c r="C1474" s="47">
        <v>20.09</v>
      </c>
      <c r="D1474" s="35">
        <v>45183.0</v>
      </c>
      <c r="E1474" s="47">
        <v>2.51125</v>
      </c>
      <c r="F1474" s="47">
        <v>467.209302325581</v>
      </c>
      <c r="G1474" s="48">
        <v>0.186046511627906</v>
      </c>
      <c r="H1474" s="24" t="s">
        <v>6766</v>
      </c>
      <c r="I1474" s="47"/>
      <c r="J1474" s="24">
        <v>0.0</v>
      </c>
    </row>
    <row r="1475">
      <c r="A1475" s="24">
        <v>38.0</v>
      </c>
      <c r="B1475" s="24">
        <v>4.0</v>
      </c>
      <c r="C1475" s="47">
        <v>11.6</v>
      </c>
      <c r="D1475" s="35">
        <v>45184.0</v>
      </c>
      <c r="E1475" s="47">
        <v>2.9</v>
      </c>
      <c r="F1475" s="47">
        <v>305.263157894736</v>
      </c>
      <c r="G1475" s="48">
        <v>0.105263157894736</v>
      </c>
      <c r="H1475" s="24" t="s">
        <v>6766</v>
      </c>
      <c r="I1475" s="47"/>
      <c r="J1475" s="24">
        <v>0.0</v>
      </c>
    </row>
    <row r="1476">
      <c r="A1476" s="24">
        <v>4.0</v>
      </c>
      <c r="B1476" s="24">
        <v>1.0</v>
      </c>
      <c r="C1476" s="47">
        <v>2.91</v>
      </c>
      <c r="D1476" s="35">
        <v>45185.0</v>
      </c>
      <c r="E1476" s="47">
        <v>2.91</v>
      </c>
      <c r="F1476" s="47">
        <v>727.5</v>
      </c>
      <c r="G1476" s="48">
        <v>0.25</v>
      </c>
      <c r="H1476" s="24" t="s">
        <v>6766</v>
      </c>
      <c r="I1476" s="47"/>
      <c r="J1476" s="24">
        <v>0.0</v>
      </c>
    </row>
    <row r="1477">
      <c r="A1477" s="24">
        <v>15.0</v>
      </c>
      <c r="B1477" s="24">
        <v>2.0</v>
      </c>
      <c r="C1477" s="47">
        <v>5.58</v>
      </c>
      <c r="D1477" s="35">
        <v>45186.0</v>
      </c>
      <c r="E1477" s="47">
        <v>2.79</v>
      </c>
      <c r="F1477" s="47">
        <v>372.0</v>
      </c>
      <c r="G1477" s="48">
        <v>0.133333333333333</v>
      </c>
      <c r="H1477" s="24" t="s">
        <v>6766</v>
      </c>
      <c r="I1477" s="47"/>
      <c r="J1477" s="24">
        <v>0.0</v>
      </c>
    </row>
    <row r="1478">
      <c r="A1478" s="24">
        <v>32.0</v>
      </c>
      <c r="B1478" s="24">
        <v>2.0</v>
      </c>
      <c r="C1478" s="47">
        <v>3.2</v>
      </c>
      <c r="D1478" s="35">
        <v>45187.0</v>
      </c>
      <c r="E1478" s="47">
        <v>1.6</v>
      </c>
      <c r="F1478" s="47">
        <v>100.0</v>
      </c>
      <c r="G1478" s="48">
        <v>0.0625</v>
      </c>
      <c r="H1478" s="24" t="s">
        <v>6766</v>
      </c>
      <c r="I1478" s="47"/>
      <c r="J1478" s="24">
        <v>0.0</v>
      </c>
    </row>
    <row r="1479">
      <c r="A1479" s="24">
        <v>27.0</v>
      </c>
      <c r="B1479" s="24">
        <v>2.0</v>
      </c>
      <c r="C1479" s="47">
        <v>5.74</v>
      </c>
      <c r="D1479" s="35">
        <v>45188.0</v>
      </c>
      <c r="E1479" s="47">
        <v>2.87</v>
      </c>
      <c r="F1479" s="47">
        <v>212.592592592592</v>
      </c>
      <c r="G1479" s="48">
        <v>0.074074074074074</v>
      </c>
      <c r="H1479" s="24" t="s">
        <v>6766</v>
      </c>
      <c r="I1479" s="47"/>
      <c r="J1479" s="24">
        <v>0.0</v>
      </c>
    </row>
    <row r="1480">
      <c r="A1480" s="24">
        <v>50.0</v>
      </c>
      <c r="B1480" s="24">
        <v>3.0</v>
      </c>
      <c r="C1480" s="47">
        <v>8.52</v>
      </c>
      <c r="D1480" s="35">
        <v>45189.0</v>
      </c>
      <c r="E1480" s="47">
        <v>2.84</v>
      </c>
      <c r="F1480" s="47">
        <v>170.4</v>
      </c>
      <c r="G1480" s="48">
        <v>0.06</v>
      </c>
      <c r="H1480" s="24" t="s">
        <v>6766</v>
      </c>
      <c r="I1480" s="47"/>
      <c r="J1480" s="24">
        <v>0.0</v>
      </c>
    </row>
    <row r="1481">
      <c r="A1481" s="24">
        <v>25.0</v>
      </c>
      <c r="B1481" s="24">
        <v>2.0</v>
      </c>
      <c r="C1481" s="47">
        <v>5.31</v>
      </c>
      <c r="D1481" s="35">
        <v>45190.0</v>
      </c>
      <c r="E1481" s="47">
        <v>2.655</v>
      </c>
      <c r="F1481" s="47">
        <v>212.4</v>
      </c>
      <c r="G1481" s="48">
        <v>0.08</v>
      </c>
      <c r="H1481" s="24" t="s">
        <v>6766</v>
      </c>
      <c r="I1481" s="47"/>
      <c r="J1481" s="24">
        <v>0.0</v>
      </c>
    </row>
    <row r="1482">
      <c r="A1482" s="24">
        <v>15.0</v>
      </c>
      <c r="B1482" s="24">
        <v>2.0</v>
      </c>
      <c r="C1482" s="47">
        <v>3.68</v>
      </c>
      <c r="D1482" s="35">
        <v>45191.0</v>
      </c>
      <c r="E1482" s="47">
        <v>1.84</v>
      </c>
      <c r="F1482" s="47">
        <v>245.333333333333</v>
      </c>
      <c r="G1482" s="48">
        <v>0.133333333333333</v>
      </c>
      <c r="H1482" s="24" t="s">
        <v>6766</v>
      </c>
      <c r="I1482" s="47"/>
      <c r="J1482" s="24">
        <v>0.0</v>
      </c>
    </row>
    <row r="1483">
      <c r="A1483" s="24">
        <v>14.0</v>
      </c>
      <c r="B1483" s="24">
        <v>0.0</v>
      </c>
      <c r="C1483" s="47">
        <v>0.0</v>
      </c>
      <c r="D1483" s="35">
        <v>45192.0</v>
      </c>
      <c r="E1483" s="47"/>
      <c r="F1483" s="47">
        <v>0.0</v>
      </c>
      <c r="G1483" s="48">
        <v>0.0</v>
      </c>
      <c r="H1483" s="24" t="s">
        <v>6766</v>
      </c>
      <c r="I1483" s="47"/>
      <c r="J1483" s="24">
        <v>0.0</v>
      </c>
    </row>
    <row r="1484">
      <c r="A1484" s="24">
        <v>23.0</v>
      </c>
      <c r="B1484" s="24">
        <v>2.0</v>
      </c>
      <c r="C1484" s="47">
        <v>1.58</v>
      </c>
      <c r="D1484" s="35">
        <v>45193.0</v>
      </c>
      <c r="E1484" s="47">
        <v>0.79</v>
      </c>
      <c r="F1484" s="47">
        <v>68.695652173913</v>
      </c>
      <c r="G1484" s="48">
        <v>0.0869565217391304</v>
      </c>
      <c r="H1484" s="24" t="s">
        <v>6766</v>
      </c>
      <c r="I1484" s="47"/>
      <c r="J1484" s="24">
        <v>0.0</v>
      </c>
    </row>
    <row r="1485">
      <c r="A1485" s="24">
        <v>30.0</v>
      </c>
      <c r="B1485" s="24">
        <v>4.0</v>
      </c>
      <c r="C1485" s="47">
        <v>9.34</v>
      </c>
      <c r="D1485" s="35">
        <v>45194.0</v>
      </c>
      <c r="E1485" s="47">
        <v>2.335</v>
      </c>
      <c r="F1485" s="47">
        <v>311.333333333333</v>
      </c>
      <c r="G1485" s="48">
        <v>0.133333333333333</v>
      </c>
      <c r="H1485" s="24" t="s">
        <v>6766</v>
      </c>
      <c r="I1485" s="47"/>
      <c r="J1485" s="24">
        <v>0.0</v>
      </c>
    </row>
    <row r="1486">
      <c r="A1486" s="24">
        <v>31.0</v>
      </c>
      <c r="B1486" s="24">
        <v>5.0</v>
      </c>
      <c r="C1486" s="47">
        <v>10.67</v>
      </c>
      <c r="D1486" s="35">
        <v>45195.0</v>
      </c>
      <c r="E1486" s="47">
        <v>2.134</v>
      </c>
      <c r="F1486" s="47">
        <v>344.193548387096</v>
      </c>
      <c r="G1486" s="48">
        <v>0.161290322580645</v>
      </c>
      <c r="H1486" s="24" t="s">
        <v>6766</v>
      </c>
      <c r="I1486" s="47"/>
      <c r="J1486" s="24">
        <v>0.0</v>
      </c>
    </row>
    <row r="1487">
      <c r="A1487" s="24">
        <v>26.0</v>
      </c>
      <c r="B1487" s="24">
        <v>3.0</v>
      </c>
      <c r="C1487" s="47">
        <v>8.75</v>
      </c>
      <c r="D1487" s="35">
        <v>45196.0</v>
      </c>
      <c r="E1487" s="47">
        <v>2.91666666666666</v>
      </c>
      <c r="F1487" s="47">
        <v>336.538461538461</v>
      </c>
      <c r="G1487" s="48">
        <v>0.115384615384615</v>
      </c>
      <c r="H1487" s="24" t="s">
        <v>6766</v>
      </c>
      <c r="I1487" s="47"/>
      <c r="J1487" s="24">
        <v>0.0</v>
      </c>
    </row>
    <row r="1488">
      <c r="A1488" s="24">
        <v>21.0</v>
      </c>
      <c r="B1488" s="24">
        <v>1.0</v>
      </c>
      <c r="C1488" s="47">
        <v>2.95</v>
      </c>
      <c r="D1488" s="35">
        <v>45197.0</v>
      </c>
      <c r="E1488" s="47">
        <v>2.95</v>
      </c>
      <c r="F1488" s="47">
        <v>140.47619047619</v>
      </c>
      <c r="G1488" s="48">
        <v>0.0476190476190476</v>
      </c>
      <c r="H1488" s="24" t="s">
        <v>6766</v>
      </c>
      <c r="I1488" s="47"/>
      <c r="J1488" s="24">
        <v>0.0</v>
      </c>
    </row>
    <row r="1489">
      <c r="A1489" s="24">
        <v>25.0</v>
      </c>
      <c r="B1489" s="24">
        <v>1.0</v>
      </c>
      <c r="C1489" s="47">
        <v>0.72</v>
      </c>
      <c r="D1489" s="35">
        <v>45198.0</v>
      </c>
      <c r="E1489" s="47">
        <v>0.72</v>
      </c>
      <c r="F1489" s="47">
        <v>28.8</v>
      </c>
      <c r="G1489" s="48">
        <v>0.04</v>
      </c>
      <c r="H1489" s="24" t="s">
        <v>6766</v>
      </c>
      <c r="I1489" s="47"/>
      <c r="J1489" s="24">
        <v>0.0</v>
      </c>
    </row>
    <row r="1490">
      <c r="A1490" s="24">
        <v>4.0</v>
      </c>
      <c r="B1490" s="24">
        <v>0.0</v>
      </c>
      <c r="C1490" s="47">
        <v>0.0</v>
      </c>
      <c r="D1490" s="35">
        <v>45199.0</v>
      </c>
      <c r="E1490" s="47"/>
      <c r="F1490" s="47">
        <v>0.0</v>
      </c>
      <c r="G1490" s="48">
        <v>0.0</v>
      </c>
      <c r="H1490" s="24" t="s">
        <v>6766</v>
      </c>
      <c r="I1490" s="47"/>
      <c r="J1490" s="24">
        <v>0.0</v>
      </c>
    </row>
    <row r="1491">
      <c r="A1491" s="24">
        <v>13.0</v>
      </c>
      <c r="B1491" s="24">
        <v>2.0</v>
      </c>
      <c r="C1491" s="47">
        <v>5.96</v>
      </c>
      <c r="D1491" s="35">
        <v>45200.0</v>
      </c>
      <c r="E1491" s="47">
        <v>2.98</v>
      </c>
      <c r="F1491" s="47">
        <v>458.461538461538</v>
      </c>
      <c r="G1491" s="48">
        <v>0.153846153846153</v>
      </c>
      <c r="H1491" s="24" t="s">
        <v>6766</v>
      </c>
      <c r="I1491" s="47"/>
      <c r="J1491" s="24">
        <v>0.0</v>
      </c>
    </row>
    <row r="1492">
      <c r="A1492" s="24">
        <v>13.0</v>
      </c>
      <c r="B1492" s="24">
        <v>0.0</v>
      </c>
      <c r="C1492" s="47">
        <v>0.0</v>
      </c>
      <c r="D1492" s="35">
        <v>45201.0</v>
      </c>
      <c r="E1492" s="47"/>
      <c r="F1492" s="47">
        <v>0.0</v>
      </c>
      <c r="G1492" s="48">
        <v>0.0</v>
      </c>
      <c r="H1492" s="24" t="s">
        <v>6766</v>
      </c>
      <c r="I1492" s="47"/>
      <c r="J1492" s="24">
        <v>0.0</v>
      </c>
    </row>
    <row r="1493">
      <c r="A1493" s="24">
        <v>31.0</v>
      </c>
      <c r="B1493" s="24">
        <v>4.0</v>
      </c>
      <c r="C1493" s="47">
        <v>11.34</v>
      </c>
      <c r="D1493" s="35">
        <v>45202.0</v>
      </c>
      <c r="E1493" s="47">
        <v>2.835</v>
      </c>
      <c r="F1493" s="47">
        <v>365.806451612903</v>
      </c>
      <c r="G1493" s="48">
        <v>0.129032258064516</v>
      </c>
      <c r="H1493" s="24" t="s">
        <v>6766</v>
      </c>
      <c r="I1493" s="47"/>
      <c r="J1493" s="24">
        <v>0.0</v>
      </c>
    </row>
    <row r="1494">
      <c r="A1494" s="24">
        <v>36.0</v>
      </c>
      <c r="B1494" s="24">
        <v>2.0</v>
      </c>
      <c r="C1494" s="47">
        <v>5.77</v>
      </c>
      <c r="D1494" s="35">
        <v>45203.0</v>
      </c>
      <c r="E1494" s="47">
        <v>2.885</v>
      </c>
      <c r="F1494" s="47">
        <v>160.277777777777</v>
      </c>
      <c r="G1494" s="48">
        <v>0.0555555555555555</v>
      </c>
      <c r="H1494" s="24" t="s">
        <v>6766</v>
      </c>
      <c r="I1494" s="47"/>
      <c r="J1494" s="24">
        <v>0.0</v>
      </c>
    </row>
    <row r="1495">
      <c r="A1495" s="24">
        <v>25.0</v>
      </c>
      <c r="B1495" s="24">
        <v>2.0</v>
      </c>
      <c r="C1495" s="47">
        <v>4.49</v>
      </c>
      <c r="D1495" s="35">
        <v>45204.0</v>
      </c>
      <c r="E1495" s="47">
        <v>2.245</v>
      </c>
      <c r="F1495" s="47">
        <v>179.6</v>
      </c>
      <c r="G1495" s="48">
        <v>0.08</v>
      </c>
      <c r="H1495" s="24" t="s">
        <v>6766</v>
      </c>
      <c r="I1495" s="47"/>
      <c r="J1495" s="24">
        <v>0.0</v>
      </c>
    </row>
    <row r="1496">
      <c r="A1496" s="24">
        <v>28.0</v>
      </c>
      <c r="B1496" s="24">
        <v>3.0</v>
      </c>
      <c r="C1496" s="47">
        <v>8.84</v>
      </c>
      <c r="D1496" s="35">
        <v>45205.0</v>
      </c>
      <c r="E1496" s="47">
        <v>2.94666666666666</v>
      </c>
      <c r="F1496" s="47">
        <v>315.714285714285</v>
      </c>
      <c r="G1496" s="48">
        <v>0.107142857142857</v>
      </c>
      <c r="H1496" s="24" t="s">
        <v>6766</v>
      </c>
      <c r="I1496" s="47"/>
      <c r="J1496" s="24">
        <v>0.0</v>
      </c>
    </row>
    <row r="1497">
      <c r="A1497" s="24">
        <v>7.0</v>
      </c>
      <c r="B1497" s="24">
        <v>0.0</v>
      </c>
      <c r="C1497" s="47">
        <v>0.0</v>
      </c>
      <c r="D1497" s="35">
        <v>45206.0</v>
      </c>
      <c r="E1497" s="47"/>
      <c r="F1497" s="47">
        <v>0.0</v>
      </c>
      <c r="G1497" s="48">
        <v>0.0</v>
      </c>
      <c r="H1497" s="24" t="s">
        <v>6766</v>
      </c>
      <c r="I1497" s="47"/>
      <c r="J1497" s="24">
        <v>0.0</v>
      </c>
    </row>
    <row r="1498">
      <c r="A1498" s="24">
        <v>7.0</v>
      </c>
      <c r="B1498" s="24">
        <v>3.0</v>
      </c>
      <c r="C1498" s="47">
        <v>8.61</v>
      </c>
      <c r="D1498" s="35">
        <v>45207.0</v>
      </c>
      <c r="E1498" s="47">
        <v>2.87</v>
      </c>
      <c r="F1498" s="47">
        <v>1230.0</v>
      </c>
      <c r="G1498" s="48">
        <v>0.428571428571428</v>
      </c>
      <c r="H1498" s="24" t="s">
        <v>6766</v>
      </c>
      <c r="I1498" s="47"/>
      <c r="J1498" s="24">
        <v>0.0</v>
      </c>
    </row>
    <row r="1499">
      <c r="A1499" s="24">
        <v>23.0</v>
      </c>
      <c r="B1499" s="24">
        <v>2.0</v>
      </c>
      <c r="C1499" s="47">
        <v>5.8</v>
      </c>
      <c r="D1499" s="35">
        <v>45208.0</v>
      </c>
      <c r="E1499" s="47">
        <v>2.9</v>
      </c>
      <c r="F1499" s="47">
        <v>252.173913043478</v>
      </c>
      <c r="G1499" s="48">
        <v>0.0869565217391304</v>
      </c>
      <c r="H1499" s="24" t="s">
        <v>6766</v>
      </c>
      <c r="I1499" s="47"/>
      <c r="J1499" s="24">
        <v>0.0</v>
      </c>
    </row>
    <row r="1500">
      <c r="A1500" s="24">
        <v>25.0</v>
      </c>
      <c r="B1500" s="24">
        <v>2.0</v>
      </c>
      <c r="C1500" s="47">
        <v>5.21</v>
      </c>
      <c r="D1500" s="35">
        <v>45209.0</v>
      </c>
      <c r="E1500" s="47">
        <v>2.605</v>
      </c>
      <c r="F1500" s="47">
        <v>208.4</v>
      </c>
      <c r="G1500" s="48">
        <v>0.08</v>
      </c>
      <c r="H1500" s="24" t="s">
        <v>6766</v>
      </c>
      <c r="I1500" s="47"/>
      <c r="J1500" s="24">
        <v>0.0</v>
      </c>
    </row>
    <row r="1501">
      <c r="A1501" s="24">
        <v>26.0</v>
      </c>
      <c r="B1501" s="24">
        <v>2.0</v>
      </c>
      <c r="C1501" s="47">
        <v>5.49</v>
      </c>
      <c r="D1501" s="35">
        <v>45210.0</v>
      </c>
      <c r="E1501" s="47">
        <v>2.745</v>
      </c>
      <c r="F1501" s="47">
        <v>211.153846153846</v>
      </c>
      <c r="G1501" s="48">
        <v>0.0769230769230769</v>
      </c>
      <c r="H1501" s="24" t="s">
        <v>6766</v>
      </c>
      <c r="I1501" s="47"/>
      <c r="J1501" s="24">
        <v>0.0</v>
      </c>
    </row>
    <row r="1502">
      <c r="A1502" s="24">
        <v>26.0</v>
      </c>
      <c r="B1502" s="24">
        <v>2.0</v>
      </c>
      <c r="C1502" s="47">
        <v>5.77</v>
      </c>
      <c r="D1502" s="35">
        <v>45211.0</v>
      </c>
      <c r="E1502" s="47">
        <v>2.885</v>
      </c>
      <c r="F1502" s="47">
        <v>221.923076923076</v>
      </c>
      <c r="G1502" s="48">
        <v>0.0769230769230769</v>
      </c>
      <c r="H1502" s="24" t="s">
        <v>6766</v>
      </c>
      <c r="I1502" s="47"/>
      <c r="J1502" s="24">
        <v>0.0</v>
      </c>
    </row>
    <row r="1503">
      <c r="A1503" s="24">
        <v>27.0</v>
      </c>
      <c r="B1503" s="24">
        <v>1.0</v>
      </c>
      <c r="C1503" s="47">
        <v>2.86</v>
      </c>
      <c r="D1503" s="35">
        <v>45212.0</v>
      </c>
      <c r="E1503" s="47">
        <v>2.86</v>
      </c>
      <c r="F1503" s="47">
        <v>105.925925925925</v>
      </c>
      <c r="G1503" s="48">
        <v>0.037037037037037</v>
      </c>
      <c r="H1503" s="24" t="s">
        <v>6766</v>
      </c>
      <c r="I1503" s="47"/>
      <c r="J1503" s="24">
        <v>0.0</v>
      </c>
    </row>
    <row r="1504">
      <c r="A1504" s="24">
        <v>6.0</v>
      </c>
      <c r="B1504" s="24">
        <v>0.0</v>
      </c>
      <c r="C1504" s="47">
        <v>0.0</v>
      </c>
      <c r="D1504" s="35">
        <v>45213.0</v>
      </c>
      <c r="E1504" s="47"/>
      <c r="F1504" s="47">
        <v>0.0</v>
      </c>
      <c r="G1504" s="48">
        <v>0.0</v>
      </c>
      <c r="H1504" s="24" t="s">
        <v>6766</v>
      </c>
      <c r="I1504" s="47"/>
      <c r="J1504" s="24">
        <v>0.0</v>
      </c>
    </row>
    <row r="1505">
      <c r="A1505" s="24">
        <v>11.0</v>
      </c>
      <c r="B1505" s="24">
        <v>0.0</v>
      </c>
      <c r="C1505" s="47">
        <v>0.0</v>
      </c>
      <c r="D1505" s="35">
        <v>45214.0</v>
      </c>
      <c r="E1505" s="47"/>
      <c r="F1505" s="47">
        <v>0.0</v>
      </c>
      <c r="G1505" s="48">
        <v>0.0</v>
      </c>
      <c r="H1505" s="24" t="s">
        <v>6766</v>
      </c>
      <c r="I1505" s="47"/>
      <c r="J1505" s="24">
        <v>0.0</v>
      </c>
    </row>
    <row r="1506">
      <c r="A1506" s="24">
        <v>45.0</v>
      </c>
      <c r="B1506" s="24">
        <v>6.0</v>
      </c>
      <c r="C1506" s="47">
        <v>12.81</v>
      </c>
      <c r="D1506" s="35">
        <v>45215.0</v>
      </c>
      <c r="E1506" s="47">
        <v>2.135</v>
      </c>
      <c r="F1506" s="47">
        <v>284.666666666666</v>
      </c>
      <c r="G1506" s="48">
        <v>0.133333333333333</v>
      </c>
      <c r="H1506" s="24" t="s">
        <v>6766</v>
      </c>
      <c r="I1506" s="47"/>
      <c r="J1506" s="24">
        <v>0.0</v>
      </c>
    </row>
    <row r="1507">
      <c r="A1507" s="24">
        <v>20.0</v>
      </c>
      <c r="B1507" s="24">
        <v>3.0</v>
      </c>
      <c r="C1507" s="47">
        <v>8.44</v>
      </c>
      <c r="D1507" s="35">
        <v>45216.0</v>
      </c>
      <c r="E1507" s="47">
        <v>2.81333333333333</v>
      </c>
      <c r="F1507" s="47">
        <v>422.0</v>
      </c>
      <c r="G1507" s="48">
        <v>0.15</v>
      </c>
      <c r="H1507" s="24" t="s">
        <v>6766</v>
      </c>
      <c r="I1507" s="47"/>
      <c r="J1507" s="24">
        <v>0.0</v>
      </c>
    </row>
    <row r="1508">
      <c r="A1508" s="24">
        <v>19.0</v>
      </c>
      <c r="B1508" s="24">
        <v>3.0</v>
      </c>
      <c r="C1508" s="47">
        <v>5.03</v>
      </c>
      <c r="D1508" s="35">
        <v>45217.0</v>
      </c>
      <c r="E1508" s="47">
        <v>1.67666666666666</v>
      </c>
      <c r="F1508" s="47">
        <v>264.736842105263</v>
      </c>
      <c r="G1508" s="48">
        <v>0.157894736842105</v>
      </c>
      <c r="H1508" s="24" t="s">
        <v>6766</v>
      </c>
      <c r="I1508" s="47"/>
      <c r="J1508" s="24">
        <v>0.0</v>
      </c>
    </row>
    <row r="1509">
      <c r="A1509" s="24">
        <v>28.0</v>
      </c>
      <c r="B1509" s="24">
        <v>0.0</v>
      </c>
      <c r="C1509" s="47">
        <v>0.0</v>
      </c>
      <c r="D1509" s="35">
        <v>45218.0</v>
      </c>
      <c r="E1509" s="47"/>
      <c r="F1509" s="47">
        <v>0.0</v>
      </c>
      <c r="G1509" s="48">
        <v>0.0</v>
      </c>
      <c r="H1509" s="24" t="s">
        <v>6766</v>
      </c>
      <c r="I1509" s="47"/>
      <c r="J1509" s="24">
        <v>0.0</v>
      </c>
    </row>
    <row r="1510">
      <c r="A1510" s="24">
        <v>26.0</v>
      </c>
      <c r="B1510" s="24">
        <v>2.0</v>
      </c>
      <c r="C1510" s="47">
        <v>4.67</v>
      </c>
      <c r="D1510" s="35">
        <v>45219.0</v>
      </c>
      <c r="E1510" s="47">
        <v>2.335</v>
      </c>
      <c r="F1510" s="47">
        <v>179.615384615384</v>
      </c>
      <c r="G1510" s="48">
        <v>0.0769230769230769</v>
      </c>
      <c r="H1510" s="24" t="s">
        <v>6766</v>
      </c>
      <c r="I1510" s="47"/>
      <c r="J1510" s="24">
        <v>0.0</v>
      </c>
    </row>
    <row r="1511">
      <c r="A1511" s="24">
        <v>1.0</v>
      </c>
      <c r="B1511" s="24">
        <v>0.0</v>
      </c>
      <c r="C1511" s="47">
        <v>0.0</v>
      </c>
      <c r="D1511" s="35">
        <v>45220.0</v>
      </c>
      <c r="E1511" s="47"/>
      <c r="F1511" s="47">
        <v>0.0</v>
      </c>
      <c r="G1511" s="48">
        <v>0.0</v>
      </c>
      <c r="H1511" s="24" t="s">
        <v>6766</v>
      </c>
      <c r="I1511" s="47"/>
      <c r="J1511" s="24">
        <v>0.0</v>
      </c>
    </row>
    <row r="1512">
      <c r="A1512" s="24">
        <v>9.0</v>
      </c>
      <c r="B1512" s="24">
        <v>1.0</v>
      </c>
      <c r="C1512" s="47">
        <v>1.98</v>
      </c>
      <c r="D1512" s="35">
        <v>45221.0</v>
      </c>
      <c r="E1512" s="47">
        <v>1.98</v>
      </c>
      <c r="F1512" s="47">
        <v>220.0</v>
      </c>
      <c r="G1512" s="48">
        <v>0.111111111111111</v>
      </c>
      <c r="H1512" s="24" t="s">
        <v>6766</v>
      </c>
      <c r="I1512" s="47"/>
      <c r="J1512" s="24">
        <v>0.0</v>
      </c>
    </row>
    <row r="1513">
      <c r="A1513" s="24">
        <v>14.0</v>
      </c>
      <c r="B1513" s="24">
        <v>1.0</v>
      </c>
      <c r="C1513" s="47">
        <v>3.0</v>
      </c>
      <c r="D1513" s="35">
        <v>45222.0</v>
      </c>
      <c r="E1513" s="47">
        <v>3.0</v>
      </c>
      <c r="F1513" s="47">
        <v>214.285714285714</v>
      </c>
      <c r="G1513" s="48">
        <v>0.0714285714285714</v>
      </c>
      <c r="H1513" s="24" t="s">
        <v>6766</v>
      </c>
      <c r="I1513" s="47">
        <v>3.0</v>
      </c>
      <c r="J1513" s="24">
        <v>1.0</v>
      </c>
    </row>
    <row r="1514">
      <c r="A1514" s="24">
        <v>14.0</v>
      </c>
      <c r="B1514" s="24">
        <v>1.0</v>
      </c>
      <c r="C1514" s="47">
        <v>2.95</v>
      </c>
      <c r="D1514" s="35">
        <v>45223.0</v>
      </c>
      <c r="E1514" s="47">
        <v>2.95</v>
      </c>
      <c r="F1514" s="47">
        <v>210.714285714285</v>
      </c>
      <c r="G1514" s="48">
        <v>0.0714285714285714</v>
      </c>
      <c r="H1514" s="24" t="s">
        <v>6766</v>
      </c>
      <c r="I1514" s="47"/>
      <c r="J1514" s="24">
        <v>0.0</v>
      </c>
    </row>
    <row r="1515">
      <c r="A1515" s="24">
        <v>27.0</v>
      </c>
      <c r="B1515" s="24">
        <v>7.0</v>
      </c>
      <c r="C1515" s="47">
        <v>14.4</v>
      </c>
      <c r="D1515" s="35">
        <v>45224.0</v>
      </c>
      <c r="E1515" s="47">
        <v>2.05714285714285</v>
      </c>
      <c r="F1515" s="47">
        <v>533.333333333333</v>
      </c>
      <c r="G1515" s="48">
        <v>0.259259259259259</v>
      </c>
      <c r="H1515" s="24" t="s">
        <v>6766</v>
      </c>
      <c r="I1515" s="47"/>
      <c r="J1515" s="24">
        <v>0.0</v>
      </c>
    </row>
    <row r="1516">
      <c r="A1516" s="24">
        <v>6.0</v>
      </c>
      <c r="B1516" s="24">
        <v>1.0</v>
      </c>
      <c r="C1516" s="47">
        <v>0.6</v>
      </c>
      <c r="D1516" s="35">
        <v>45225.0</v>
      </c>
      <c r="E1516" s="47">
        <v>0.6</v>
      </c>
      <c r="F1516" s="47">
        <v>100.0</v>
      </c>
      <c r="G1516" s="48">
        <v>0.166666666666666</v>
      </c>
      <c r="H1516" s="24" t="s">
        <v>6766</v>
      </c>
      <c r="I1516" s="47"/>
      <c r="J1516" s="24">
        <v>0.0</v>
      </c>
    </row>
    <row r="1517">
      <c r="A1517" s="24">
        <v>13.0</v>
      </c>
      <c r="B1517" s="24">
        <v>0.0</v>
      </c>
      <c r="C1517" s="47">
        <v>0.0</v>
      </c>
      <c r="D1517" s="35">
        <v>45226.0</v>
      </c>
      <c r="E1517" s="47"/>
      <c r="F1517" s="47">
        <v>0.0</v>
      </c>
      <c r="G1517" s="48">
        <v>0.0</v>
      </c>
      <c r="H1517" s="24" t="s">
        <v>6766</v>
      </c>
      <c r="I1517" s="47"/>
      <c r="J1517" s="24">
        <v>0.0</v>
      </c>
    </row>
    <row r="1518">
      <c r="A1518" s="24">
        <v>3.0</v>
      </c>
      <c r="B1518" s="24">
        <v>0.0</v>
      </c>
      <c r="C1518" s="47">
        <v>0.0</v>
      </c>
      <c r="D1518" s="35">
        <v>45227.0</v>
      </c>
      <c r="E1518" s="47"/>
      <c r="F1518" s="47">
        <v>0.0</v>
      </c>
      <c r="G1518" s="48">
        <v>0.0</v>
      </c>
      <c r="H1518" s="24" t="s">
        <v>6766</v>
      </c>
      <c r="I1518" s="47"/>
      <c r="J1518" s="24">
        <v>0.0</v>
      </c>
    </row>
    <row r="1519">
      <c r="A1519" s="24">
        <v>12.0</v>
      </c>
      <c r="B1519" s="24">
        <v>2.0</v>
      </c>
      <c r="C1519" s="47">
        <v>4.71</v>
      </c>
      <c r="D1519" s="35">
        <v>45228.0</v>
      </c>
      <c r="E1519" s="47">
        <v>2.355</v>
      </c>
      <c r="F1519" s="47">
        <v>392.5</v>
      </c>
      <c r="G1519" s="48">
        <v>0.166666666666666</v>
      </c>
      <c r="H1519" s="24" t="s">
        <v>6766</v>
      </c>
      <c r="I1519" s="47"/>
      <c r="J1519" s="24">
        <v>0.0</v>
      </c>
    </row>
    <row r="1520">
      <c r="A1520" s="24">
        <v>29.0</v>
      </c>
      <c r="B1520" s="24">
        <v>3.0</v>
      </c>
      <c r="C1520" s="47">
        <v>7.83</v>
      </c>
      <c r="D1520" s="35">
        <v>45229.0</v>
      </c>
      <c r="E1520" s="47">
        <v>2.61</v>
      </c>
      <c r="F1520" s="47">
        <v>270.0</v>
      </c>
      <c r="G1520" s="48">
        <v>0.103448275862068</v>
      </c>
      <c r="H1520" s="24" t="s">
        <v>6766</v>
      </c>
      <c r="I1520" s="47"/>
      <c r="J1520" s="24">
        <v>0.0</v>
      </c>
    </row>
    <row r="1521">
      <c r="A1521" s="24">
        <v>20.0</v>
      </c>
      <c r="B1521" s="24">
        <v>1.0</v>
      </c>
      <c r="C1521" s="47">
        <v>2.96</v>
      </c>
      <c r="D1521" s="35">
        <v>45230.0</v>
      </c>
      <c r="E1521" s="47">
        <v>2.96</v>
      </c>
      <c r="F1521" s="47">
        <v>148.0</v>
      </c>
      <c r="G1521" s="48">
        <v>0.05</v>
      </c>
      <c r="H1521" s="24" t="s">
        <v>6766</v>
      </c>
      <c r="I1521" s="47"/>
      <c r="J1521" s="24">
        <v>0.0</v>
      </c>
    </row>
    <row r="1522">
      <c r="A1522" s="24">
        <v>35.0</v>
      </c>
      <c r="B1522" s="24">
        <v>2.0</v>
      </c>
      <c r="C1522" s="47">
        <v>3.49</v>
      </c>
      <c r="D1522" s="35">
        <v>45231.0</v>
      </c>
      <c r="E1522" s="47">
        <v>1.745</v>
      </c>
      <c r="F1522" s="47">
        <v>99.7142857142857</v>
      </c>
      <c r="G1522" s="48">
        <v>0.0571428571428571</v>
      </c>
      <c r="H1522" s="24" t="s">
        <v>6766</v>
      </c>
      <c r="I1522" s="47"/>
      <c r="J1522" s="24">
        <v>0.0</v>
      </c>
    </row>
    <row r="1523">
      <c r="A1523" s="24">
        <v>22.0</v>
      </c>
      <c r="B1523" s="24">
        <v>2.0</v>
      </c>
      <c r="C1523" s="47">
        <v>3.17</v>
      </c>
      <c r="D1523" s="35">
        <v>45232.0</v>
      </c>
      <c r="E1523" s="47">
        <v>1.585</v>
      </c>
      <c r="F1523" s="47">
        <v>144.090909090909</v>
      </c>
      <c r="G1523" s="48">
        <v>0.0909090909090909</v>
      </c>
      <c r="H1523" s="24" t="s">
        <v>6766</v>
      </c>
      <c r="I1523" s="47"/>
      <c r="J1523" s="24">
        <v>0.0</v>
      </c>
    </row>
    <row r="1524">
      <c r="A1524" s="24">
        <v>13.0</v>
      </c>
      <c r="B1524" s="24">
        <v>0.0</v>
      </c>
      <c r="C1524" s="47">
        <v>0.0</v>
      </c>
      <c r="D1524" s="35">
        <v>45233.0</v>
      </c>
      <c r="E1524" s="47"/>
      <c r="F1524" s="47">
        <v>0.0</v>
      </c>
      <c r="G1524" s="48">
        <v>0.0</v>
      </c>
      <c r="H1524" s="24" t="s">
        <v>6766</v>
      </c>
      <c r="I1524" s="47"/>
      <c r="J1524" s="24">
        <v>0.0</v>
      </c>
    </row>
    <row r="1525">
      <c r="A1525" s="24">
        <v>6.0</v>
      </c>
      <c r="B1525" s="24">
        <v>1.0</v>
      </c>
      <c r="C1525" s="47">
        <v>0.49</v>
      </c>
      <c r="D1525" s="35">
        <v>45234.0</v>
      </c>
      <c r="E1525" s="47">
        <v>0.49</v>
      </c>
      <c r="F1525" s="47">
        <v>81.6666666666666</v>
      </c>
      <c r="G1525" s="48">
        <v>0.166666666666666</v>
      </c>
      <c r="H1525" s="24" t="s">
        <v>6766</v>
      </c>
      <c r="I1525" s="47"/>
      <c r="J1525" s="24">
        <v>0.0</v>
      </c>
    </row>
    <row r="1526">
      <c r="A1526" s="24">
        <v>5.0</v>
      </c>
      <c r="B1526" s="24">
        <v>0.0</v>
      </c>
      <c r="C1526" s="47">
        <v>0.0</v>
      </c>
      <c r="D1526" s="35">
        <v>45235.0</v>
      </c>
      <c r="E1526" s="47"/>
      <c r="F1526" s="47">
        <v>0.0</v>
      </c>
      <c r="G1526" s="48">
        <v>0.0</v>
      </c>
      <c r="H1526" s="24" t="s">
        <v>6766</v>
      </c>
      <c r="I1526" s="47"/>
      <c r="J1526" s="24">
        <v>0.0</v>
      </c>
    </row>
    <row r="1527">
      <c r="A1527" s="24">
        <v>23.0</v>
      </c>
      <c r="B1527" s="24">
        <v>1.0</v>
      </c>
      <c r="C1527" s="47">
        <v>2.9</v>
      </c>
      <c r="D1527" s="35">
        <v>45236.0</v>
      </c>
      <c r="E1527" s="47">
        <v>2.9</v>
      </c>
      <c r="F1527" s="47">
        <v>126.086956521739</v>
      </c>
      <c r="G1527" s="48">
        <v>0.0434782608695652</v>
      </c>
      <c r="H1527" s="24" t="s">
        <v>6766</v>
      </c>
      <c r="I1527" s="47"/>
      <c r="J1527" s="24">
        <v>0.0</v>
      </c>
    </row>
    <row r="1528">
      <c r="A1528" s="24">
        <v>24.0</v>
      </c>
      <c r="B1528" s="24">
        <v>2.0</v>
      </c>
      <c r="C1528" s="47">
        <v>5.94</v>
      </c>
      <c r="D1528" s="35">
        <v>45237.0</v>
      </c>
      <c r="E1528" s="47">
        <v>2.97</v>
      </c>
      <c r="F1528" s="47">
        <v>247.5</v>
      </c>
      <c r="G1528" s="48">
        <v>0.0833333333333333</v>
      </c>
      <c r="H1528" s="24" t="s">
        <v>6766</v>
      </c>
      <c r="I1528" s="47"/>
      <c r="J1528" s="24">
        <v>0.0</v>
      </c>
    </row>
    <row r="1529">
      <c r="A1529" s="24">
        <v>32.0</v>
      </c>
      <c r="B1529" s="24">
        <v>4.0</v>
      </c>
      <c r="C1529" s="47">
        <v>11.48</v>
      </c>
      <c r="D1529" s="35">
        <v>45238.0</v>
      </c>
      <c r="E1529" s="47">
        <v>2.87</v>
      </c>
      <c r="F1529" s="47">
        <v>358.75</v>
      </c>
      <c r="G1529" s="48">
        <v>0.125</v>
      </c>
      <c r="H1529" s="24" t="s">
        <v>6766</v>
      </c>
      <c r="I1529" s="47">
        <v>11.48</v>
      </c>
      <c r="J1529" s="24">
        <v>1.0</v>
      </c>
    </row>
    <row r="1530">
      <c r="A1530" s="24">
        <v>19.0</v>
      </c>
      <c r="B1530" s="24">
        <v>0.0</v>
      </c>
      <c r="C1530" s="47">
        <v>0.0</v>
      </c>
      <c r="D1530" s="35">
        <v>45239.0</v>
      </c>
      <c r="E1530" s="47"/>
      <c r="F1530" s="47">
        <v>0.0</v>
      </c>
      <c r="G1530" s="48">
        <v>0.0</v>
      </c>
      <c r="H1530" s="24" t="s">
        <v>6766</v>
      </c>
      <c r="I1530" s="47"/>
      <c r="J1530" s="24">
        <v>0.0</v>
      </c>
    </row>
    <row r="1531">
      <c r="A1531" s="24">
        <v>21.0</v>
      </c>
      <c r="B1531" s="24">
        <v>1.0</v>
      </c>
      <c r="C1531" s="47">
        <v>2.83</v>
      </c>
      <c r="D1531" s="35">
        <v>45240.0</v>
      </c>
      <c r="E1531" s="47">
        <v>2.83</v>
      </c>
      <c r="F1531" s="47">
        <v>134.761904761904</v>
      </c>
      <c r="G1531" s="48">
        <v>0.0476190476190476</v>
      </c>
      <c r="H1531" s="24" t="s">
        <v>6766</v>
      </c>
      <c r="I1531" s="47"/>
      <c r="J1531" s="24">
        <v>0.0</v>
      </c>
    </row>
    <row r="1532">
      <c r="A1532" s="24">
        <v>4.0</v>
      </c>
      <c r="B1532" s="24">
        <v>1.0</v>
      </c>
      <c r="C1532" s="47">
        <v>2.95</v>
      </c>
      <c r="D1532" s="35">
        <v>45241.0</v>
      </c>
      <c r="E1532" s="47">
        <v>2.95</v>
      </c>
      <c r="F1532" s="47">
        <v>737.5</v>
      </c>
      <c r="G1532" s="48">
        <v>0.25</v>
      </c>
      <c r="H1532" s="24" t="s">
        <v>6766</v>
      </c>
      <c r="I1532" s="47"/>
      <c r="J1532" s="24">
        <v>0.0</v>
      </c>
    </row>
    <row r="1533">
      <c r="A1533" s="24">
        <v>5.0</v>
      </c>
      <c r="B1533" s="24">
        <v>2.0</v>
      </c>
      <c r="C1533" s="47">
        <v>0.06</v>
      </c>
      <c r="D1533" s="35">
        <v>45242.0</v>
      </c>
      <c r="E1533" s="47">
        <v>0.03</v>
      </c>
      <c r="F1533" s="47">
        <v>12.0</v>
      </c>
      <c r="G1533" s="48">
        <v>0.4</v>
      </c>
      <c r="H1533" s="24" t="s">
        <v>6766</v>
      </c>
      <c r="I1533" s="47"/>
      <c r="J1533" s="24">
        <v>0.0</v>
      </c>
    </row>
    <row r="1534">
      <c r="A1534" s="24">
        <v>19.0</v>
      </c>
      <c r="B1534" s="24">
        <v>2.0</v>
      </c>
      <c r="C1534" s="47">
        <v>3.87</v>
      </c>
      <c r="D1534" s="35">
        <v>45243.0</v>
      </c>
      <c r="E1534" s="47">
        <v>1.935</v>
      </c>
      <c r="F1534" s="47">
        <v>203.684210526315</v>
      </c>
      <c r="G1534" s="48">
        <v>0.105263157894736</v>
      </c>
      <c r="H1534" s="24" t="s">
        <v>6766</v>
      </c>
      <c r="I1534" s="47"/>
      <c r="J1534" s="24">
        <v>0.0</v>
      </c>
    </row>
    <row r="1535">
      <c r="A1535" s="24">
        <v>29.0</v>
      </c>
      <c r="B1535" s="24">
        <v>3.0</v>
      </c>
      <c r="C1535" s="47">
        <v>5.32</v>
      </c>
      <c r="D1535" s="35">
        <v>45244.0</v>
      </c>
      <c r="E1535" s="47">
        <v>1.77333333333333</v>
      </c>
      <c r="F1535" s="47">
        <v>183.448275862068</v>
      </c>
      <c r="G1535" s="48">
        <v>0.103448275862068</v>
      </c>
      <c r="H1535" s="24" t="s">
        <v>6766</v>
      </c>
      <c r="I1535" s="47"/>
      <c r="J1535" s="24">
        <v>0.0</v>
      </c>
    </row>
    <row r="1536">
      <c r="A1536" s="24">
        <v>21.0</v>
      </c>
      <c r="B1536" s="24">
        <v>6.0</v>
      </c>
      <c r="C1536" s="47">
        <v>17.26</v>
      </c>
      <c r="D1536" s="35">
        <v>45245.0</v>
      </c>
      <c r="E1536" s="47">
        <v>2.87666666666666</v>
      </c>
      <c r="F1536" s="47">
        <v>821.904761904761</v>
      </c>
      <c r="G1536" s="48">
        <v>0.285714285714285</v>
      </c>
      <c r="H1536" s="24" t="s">
        <v>6766</v>
      </c>
      <c r="I1536" s="47"/>
      <c r="J1536" s="24">
        <v>0.0</v>
      </c>
    </row>
    <row r="1537">
      <c r="A1537" s="24">
        <v>19.0</v>
      </c>
      <c r="B1537" s="24">
        <v>2.0</v>
      </c>
      <c r="C1537" s="47">
        <v>5.02</v>
      </c>
      <c r="D1537" s="35">
        <v>45246.0</v>
      </c>
      <c r="E1537" s="47">
        <v>2.51</v>
      </c>
      <c r="F1537" s="47">
        <v>264.210526315789</v>
      </c>
      <c r="G1537" s="48">
        <v>0.105263157894736</v>
      </c>
      <c r="H1537" s="24" t="s">
        <v>6766</v>
      </c>
      <c r="I1537" s="47"/>
      <c r="J1537" s="24">
        <v>0.0</v>
      </c>
    </row>
    <row r="1538">
      <c r="A1538" s="24">
        <v>16.0</v>
      </c>
      <c r="B1538" s="24">
        <v>2.0</v>
      </c>
      <c r="C1538" s="47">
        <v>3.49</v>
      </c>
      <c r="D1538" s="35">
        <v>45247.0</v>
      </c>
      <c r="E1538" s="47">
        <v>1.745</v>
      </c>
      <c r="F1538" s="47">
        <v>218.125</v>
      </c>
      <c r="G1538" s="48">
        <v>0.125</v>
      </c>
      <c r="H1538" s="24" t="s">
        <v>6766</v>
      </c>
      <c r="I1538" s="47">
        <v>3.49</v>
      </c>
      <c r="J1538" s="24">
        <v>1.0</v>
      </c>
    </row>
    <row r="1539">
      <c r="A1539" s="24">
        <v>5.0</v>
      </c>
      <c r="B1539" s="24">
        <v>0.0</v>
      </c>
      <c r="C1539" s="47">
        <v>0.0</v>
      </c>
      <c r="D1539" s="35">
        <v>45248.0</v>
      </c>
      <c r="E1539" s="47"/>
      <c r="F1539" s="47">
        <v>0.0</v>
      </c>
      <c r="G1539" s="48">
        <v>0.0</v>
      </c>
      <c r="H1539" s="24" t="s">
        <v>6766</v>
      </c>
      <c r="I1539" s="47"/>
      <c r="J1539" s="24">
        <v>0.0</v>
      </c>
    </row>
    <row r="1540">
      <c r="A1540" s="24">
        <v>3.0</v>
      </c>
      <c r="B1540" s="24">
        <v>0.0</v>
      </c>
      <c r="C1540" s="47">
        <v>0.0</v>
      </c>
      <c r="D1540" s="35">
        <v>45249.0</v>
      </c>
      <c r="E1540" s="47"/>
      <c r="F1540" s="47">
        <v>0.0</v>
      </c>
      <c r="G1540" s="48">
        <v>0.0</v>
      </c>
      <c r="H1540" s="24" t="s">
        <v>6766</v>
      </c>
      <c r="I1540" s="47"/>
      <c r="J1540" s="24">
        <v>0.0</v>
      </c>
    </row>
    <row r="1541">
      <c r="A1541" s="24">
        <v>20.0</v>
      </c>
      <c r="B1541" s="24">
        <v>1.0</v>
      </c>
      <c r="C1541" s="47">
        <v>2.71</v>
      </c>
      <c r="D1541" s="35">
        <v>45250.0</v>
      </c>
      <c r="E1541" s="47">
        <v>2.71</v>
      </c>
      <c r="F1541" s="47">
        <v>135.5</v>
      </c>
      <c r="G1541" s="48">
        <v>0.05</v>
      </c>
      <c r="H1541" s="24" t="s">
        <v>6766</v>
      </c>
      <c r="I1541" s="47"/>
      <c r="J1541" s="24">
        <v>0.0</v>
      </c>
    </row>
    <row r="1542">
      <c r="A1542" s="24">
        <v>33.0</v>
      </c>
      <c r="B1542" s="24">
        <v>2.0</v>
      </c>
      <c r="C1542" s="47">
        <v>5.79</v>
      </c>
      <c r="D1542" s="35">
        <v>45251.0</v>
      </c>
      <c r="E1542" s="47">
        <v>2.895</v>
      </c>
      <c r="F1542" s="47">
        <v>175.454545454545</v>
      </c>
      <c r="G1542" s="48">
        <v>0.0606060606060606</v>
      </c>
      <c r="H1542" s="24" t="s">
        <v>6766</v>
      </c>
      <c r="I1542" s="47"/>
      <c r="J1542" s="24">
        <v>0.0</v>
      </c>
    </row>
    <row r="1543">
      <c r="A1543" s="24">
        <v>18.0</v>
      </c>
      <c r="B1543" s="24">
        <v>3.0</v>
      </c>
      <c r="C1543" s="47">
        <v>8.83</v>
      </c>
      <c r="D1543" s="35">
        <v>45252.0</v>
      </c>
      <c r="E1543" s="47">
        <v>2.94333333333333</v>
      </c>
      <c r="F1543" s="47">
        <v>490.555555555555</v>
      </c>
      <c r="G1543" s="48">
        <v>0.166666666666666</v>
      </c>
      <c r="H1543" s="24" t="s">
        <v>6766</v>
      </c>
      <c r="I1543" s="47">
        <v>8.83</v>
      </c>
      <c r="J1543" s="24">
        <v>1.0</v>
      </c>
    </row>
    <row r="1544">
      <c r="A1544" s="24">
        <v>20.0</v>
      </c>
      <c r="B1544" s="24">
        <v>1.0</v>
      </c>
      <c r="C1544" s="47">
        <v>0.88</v>
      </c>
      <c r="D1544" s="35">
        <v>45253.0</v>
      </c>
      <c r="E1544" s="47">
        <v>0.88</v>
      </c>
      <c r="F1544" s="47">
        <v>44.0</v>
      </c>
      <c r="G1544" s="48">
        <v>0.05</v>
      </c>
      <c r="H1544" s="24" t="s">
        <v>6766</v>
      </c>
      <c r="I1544" s="47"/>
      <c r="J1544" s="24">
        <v>0.0</v>
      </c>
    </row>
    <row r="1545">
      <c r="A1545" s="24">
        <v>27.0</v>
      </c>
      <c r="B1545" s="24">
        <v>3.0</v>
      </c>
      <c r="C1545" s="47">
        <v>7.02</v>
      </c>
      <c r="D1545" s="35">
        <v>45254.0</v>
      </c>
      <c r="E1545" s="47">
        <v>2.34</v>
      </c>
      <c r="F1545" s="47">
        <v>260.0</v>
      </c>
      <c r="G1545" s="48">
        <v>0.111111111111111</v>
      </c>
      <c r="H1545" s="24" t="s">
        <v>6766</v>
      </c>
      <c r="I1545" s="47"/>
      <c r="J1545" s="24">
        <v>0.0</v>
      </c>
    </row>
    <row r="1546">
      <c r="A1546" s="24">
        <v>11.0</v>
      </c>
      <c r="B1546" s="24">
        <v>1.0</v>
      </c>
      <c r="C1546" s="47">
        <v>2.89</v>
      </c>
      <c r="D1546" s="35">
        <v>45255.0</v>
      </c>
      <c r="E1546" s="47">
        <v>2.89</v>
      </c>
      <c r="F1546" s="47">
        <v>262.727272727272</v>
      </c>
      <c r="G1546" s="48">
        <v>0.0909090909090909</v>
      </c>
      <c r="H1546" s="24" t="s">
        <v>6766</v>
      </c>
      <c r="I1546" s="47"/>
      <c r="J1546" s="24">
        <v>0.0</v>
      </c>
    </row>
    <row r="1547">
      <c r="A1547" s="24">
        <v>3.0</v>
      </c>
      <c r="B1547" s="24">
        <v>0.0</v>
      </c>
      <c r="C1547" s="47">
        <v>0.0</v>
      </c>
      <c r="D1547" s="35">
        <v>45256.0</v>
      </c>
      <c r="E1547" s="47"/>
      <c r="F1547" s="47">
        <v>0.0</v>
      </c>
      <c r="G1547" s="48">
        <v>0.0</v>
      </c>
      <c r="H1547" s="24" t="s">
        <v>6766</v>
      </c>
      <c r="I1547" s="47"/>
      <c r="J1547" s="24">
        <v>0.0</v>
      </c>
    </row>
    <row r="1548">
      <c r="A1548" s="24">
        <v>30.0</v>
      </c>
      <c r="B1548" s="24">
        <v>4.0</v>
      </c>
      <c r="C1548" s="47">
        <v>12.85</v>
      </c>
      <c r="D1548" s="35">
        <v>45257.0</v>
      </c>
      <c r="E1548" s="47">
        <v>3.2125</v>
      </c>
      <c r="F1548" s="47">
        <v>428.333333333333</v>
      </c>
      <c r="G1548" s="48">
        <v>0.133333333333333</v>
      </c>
      <c r="H1548" s="24" t="s">
        <v>6766</v>
      </c>
      <c r="I1548" s="47">
        <v>6.425</v>
      </c>
      <c r="J1548" s="24">
        <v>2.0</v>
      </c>
    </row>
    <row r="1549">
      <c r="A1549" s="24">
        <v>35.0</v>
      </c>
      <c r="B1549" s="24">
        <v>3.0</v>
      </c>
      <c r="C1549" s="47">
        <v>11.53</v>
      </c>
      <c r="D1549" s="35">
        <v>45258.0</v>
      </c>
      <c r="E1549" s="47">
        <v>3.84333333333333</v>
      </c>
      <c r="F1549" s="47">
        <v>329.428571428571</v>
      </c>
      <c r="G1549" s="48">
        <v>0.0857142857142857</v>
      </c>
      <c r="H1549" s="24" t="s">
        <v>6766</v>
      </c>
      <c r="I1549" s="47"/>
      <c r="J1549" s="24">
        <v>0.0</v>
      </c>
    </row>
    <row r="1550">
      <c r="A1550" s="24">
        <v>35.0</v>
      </c>
      <c r="B1550" s="24">
        <v>4.0</v>
      </c>
      <c r="C1550" s="47">
        <v>10.79</v>
      </c>
      <c r="D1550" s="35">
        <v>45259.0</v>
      </c>
      <c r="E1550" s="47">
        <v>2.6975</v>
      </c>
      <c r="F1550" s="47">
        <v>308.285714285714</v>
      </c>
      <c r="G1550" s="48">
        <v>0.114285714285714</v>
      </c>
      <c r="H1550" s="24" t="s">
        <v>6766</v>
      </c>
      <c r="I1550" s="47"/>
      <c r="J1550" s="24">
        <v>0.0</v>
      </c>
    </row>
    <row r="1551">
      <c r="A1551" s="24">
        <v>48.0</v>
      </c>
      <c r="B1551" s="24">
        <v>1.0</v>
      </c>
      <c r="C1551" s="47">
        <v>3.58</v>
      </c>
      <c r="D1551" s="35">
        <v>45260.0</v>
      </c>
      <c r="E1551" s="47">
        <v>3.58</v>
      </c>
      <c r="F1551" s="47">
        <v>74.5833333333333</v>
      </c>
      <c r="G1551" s="48">
        <v>0.0208333333333333</v>
      </c>
      <c r="H1551" s="24" t="s">
        <v>6766</v>
      </c>
      <c r="I1551" s="47"/>
      <c r="J1551" s="24">
        <v>0.0</v>
      </c>
    </row>
    <row r="1552">
      <c r="A1552" s="24">
        <v>20.0</v>
      </c>
      <c r="B1552" s="24">
        <v>3.0</v>
      </c>
      <c r="C1552" s="47">
        <v>2.81</v>
      </c>
      <c r="D1552" s="35">
        <v>45261.0</v>
      </c>
      <c r="E1552" s="47">
        <v>0.936666666666666</v>
      </c>
      <c r="F1552" s="47">
        <v>140.5</v>
      </c>
      <c r="G1552" s="48">
        <v>0.15</v>
      </c>
      <c r="H1552" s="24" t="s">
        <v>6766</v>
      </c>
      <c r="I1552" s="47"/>
      <c r="J1552" s="24">
        <v>0.0</v>
      </c>
    </row>
    <row r="1553">
      <c r="A1553" s="24">
        <v>9.0</v>
      </c>
      <c r="B1553" s="24">
        <v>1.0</v>
      </c>
      <c r="C1553" s="47">
        <v>4.59</v>
      </c>
      <c r="D1553" s="35">
        <v>45262.0</v>
      </c>
      <c r="E1553" s="47">
        <v>4.59</v>
      </c>
      <c r="F1553" s="47">
        <v>510.0</v>
      </c>
      <c r="G1553" s="48">
        <v>0.111111111111111</v>
      </c>
      <c r="H1553" s="24" t="s">
        <v>6766</v>
      </c>
      <c r="I1553" s="47"/>
      <c r="J1553" s="24">
        <v>0.0</v>
      </c>
    </row>
    <row r="1554">
      <c r="A1554" s="24">
        <v>7.0</v>
      </c>
      <c r="B1554" s="24">
        <v>1.0</v>
      </c>
      <c r="C1554" s="47">
        <v>2.62</v>
      </c>
      <c r="D1554" s="35">
        <v>45263.0</v>
      </c>
      <c r="E1554" s="47">
        <v>2.62</v>
      </c>
      <c r="F1554" s="47">
        <v>374.285714285714</v>
      </c>
      <c r="G1554" s="48">
        <v>0.142857142857142</v>
      </c>
      <c r="H1554" s="24" t="s">
        <v>6766</v>
      </c>
      <c r="I1554" s="47"/>
      <c r="J1554" s="24">
        <v>0.0</v>
      </c>
    </row>
    <row r="1555">
      <c r="A1555" s="24">
        <v>20.0</v>
      </c>
      <c r="B1555" s="24">
        <v>3.0</v>
      </c>
      <c r="C1555" s="47">
        <v>14.2</v>
      </c>
      <c r="D1555" s="35">
        <v>45264.0</v>
      </c>
      <c r="E1555" s="47">
        <v>4.73333333333333</v>
      </c>
      <c r="F1555" s="47">
        <v>710.0</v>
      </c>
      <c r="G1555" s="48">
        <v>0.15</v>
      </c>
      <c r="H1555" s="24" t="s">
        <v>6766</v>
      </c>
      <c r="I1555" s="47"/>
      <c r="J1555" s="24">
        <v>0.0</v>
      </c>
    </row>
    <row r="1556">
      <c r="A1556" s="24">
        <v>25.0</v>
      </c>
      <c r="B1556" s="24">
        <v>4.0</v>
      </c>
      <c r="C1556" s="47">
        <v>12.58</v>
      </c>
      <c r="D1556" s="35">
        <v>45265.0</v>
      </c>
      <c r="E1556" s="47">
        <v>3.145</v>
      </c>
      <c r="F1556" s="47">
        <v>503.2</v>
      </c>
      <c r="G1556" s="48">
        <v>0.16</v>
      </c>
      <c r="H1556" s="24" t="s">
        <v>6766</v>
      </c>
      <c r="I1556" s="47">
        <v>12.58</v>
      </c>
      <c r="J1556" s="24">
        <v>1.0</v>
      </c>
    </row>
    <row r="1557">
      <c r="A1557" s="24">
        <v>28.0</v>
      </c>
      <c r="B1557" s="24">
        <v>4.0</v>
      </c>
      <c r="C1557" s="47">
        <v>18.63</v>
      </c>
      <c r="D1557" s="35">
        <v>45266.0</v>
      </c>
      <c r="E1557" s="47">
        <v>4.6575</v>
      </c>
      <c r="F1557" s="47">
        <v>665.357142857142</v>
      </c>
      <c r="G1557" s="48">
        <v>0.142857142857142</v>
      </c>
      <c r="H1557" s="24" t="s">
        <v>6766</v>
      </c>
      <c r="I1557" s="47"/>
      <c r="J1557" s="24">
        <v>0.0</v>
      </c>
    </row>
    <row r="1558">
      <c r="A1558" s="24">
        <v>25.0</v>
      </c>
      <c r="B1558" s="24">
        <v>2.0</v>
      </c>
      <c r="C1558" s="47">
        <v>1.26</v>
      </c>
      <c r="D1558" s="35">
        <v>45267.0</v>
      </c>
      <c r="E1558" s="47">
        <v>0.63</v>
      </c>
      <c r="F1558" s="47">
        <v>50.4</v>
      </c>
      <c r="G1558" s="48">
        <v>0.08</v>
      </c>
      <c r="H1558" s="24" t="s">
        <v>6766</v>
      </c>
      <c r="I1558" s="47"/>
      <c r="J1558" s="24">
        <v>0.0</v>
      </c>
    </row>
    <row r="1559">
      <c r="A1559" s="24">
        <v>24.0</v>
      </c>
      <c r="B1559" s="24">
        <v>1.0</v>
      </c>
      <c r="C1559" s="47">
        <v>3.83</v>
      </c>
      <c r="D1559" s="35">
        <v>45268.0</v>
      </c>
      <c r="E1559" s="47">
        <v>3.83</v>
      </c>
      <c r="F1559" s="47">
        <v>159.583333333333</v>
      </c>
      <c r="G1559" s="48">
        <v>0.0416666666666666</v>
      </c>
      <c r="H1559" s="24" t="s">
        <v>6766</v>
      </c>
      <c r="I1559" s="47"/>
      <c r="J1559" s="24">
        <v>0.0</v>
      </c>
    </row>
    <row r="1560">
      <c r="A1560" s="24">
        <v>1.0</v>
      </c>
      <c r="B1560" s="24">
        <v>0.0</v>
      </c>
      <c r="C1560" s="47">
        <v>0.0</v>
      </c>
      <c r="D1560" s="35">
        <v>45269.0</v>
      </c>
      <c r="E1560" s="47"/>
      <c r="F1560" s="47">
        <v>0.0</v>
      </c>
      <c r="G1560" s="48">
        <v>0.0</v>
      </c>
      <c r="H1560" s="24" t="s">
        <v>6766</v>
      </c>
      <c r="I1560" s="47"/>
      <c r="J1560" s="24">
        <v>0.0</v>
      </c>
    </row>
    <row r="1561">
      <c r="A1561" s="24">
        <v>8.0</v>
      </c>
      <c r="B1561" s="24">
        <v>1.0</v>
      </c>
      <c r="C1561" s="47">
        <v>3.42</v>
      </c>
      <c r="D1561" s="35">
        <v>45270.0</v>
      </c>
      <c r="E1561" s="47">
        <v>3.42</v>
      </c>
      <c r="F1561" s="47">
        <v>427.5</v>
      </c>
      <c r="G1561" s="48">
        <v>0.125</v>
      </c>
      <c r="H1561" s="24" t="s">
        <v>6766</v>
      </c>
      <c r="I1561" s="47"/>
      <c r="J1561" s="24">
        <v>0.0</v>
      </c>
    </row>
    <row r="1562">
      <c r="A1562" s="24">
        <v>29.0</v>
      </c>
      <c r="B1562" s="24">
        <v>6.0</v>
      </c>
      <c r="C1562" s="47">
        <v>22.65</v>
      </c>
      <c r="D1562" s="35">
        <v>45271.0</v>
      </c>
      <c r="E1562" s="47">
        <v>3.775</v>
      </c>
      <c r="F1562" s="47">
        <v>781.03448275862</v>
      </c>
      <c r="G1562" s="48">
        <v>0.206896551724137</v>
      </c>
      <c r="H1562" s="24" t="s">
        <v>6766</v>
      </c>
      <c r="I1562" s="47"/>
      <c r="J1562" s="24">
        <v>0.0</v>
      </c>
    </row>
    <row r="1563">
      <c r="A1563" s="24">
        <v>30.0</v>
      </c>
      <c r="B1563" s="24">
        <v>2.0</v>
      </c>
      <c r="C1563" s="47">
        <v>8.81</v>
      </c>
      <c r="D1563" s="35">
        <v>45272.0</v>
      </c>
      <c r="E1563" s="47">
        <v>4.405</v>
      </c>
      <c r="F1563" s="47">
        <v>293.666666666666</v>
      </c>
      <c r="G1563" s="48">
        <v>0.0666666666666666</v>
      </c>
      <c r="H1563" s="24" t="s">
        <v>6766</v>
      </c>
      <c r="I1563" s="47"/>
      <c r="J1563" s="24">
        <v>0.0</v>
      </c>
    </row>
    <row r="1564">
      <c r="A1564" s="24">
        <v>23.0</v>
      </c>
      <c r="B1564" s="24">
        <v>3.0</v>
      </c>
      <c r="C1564" s="47">
        <v>8.95</v>
      </c>
      <c r="D1564" s="35">
        <v>45273.0</v>
      </c>
      <c r="E1564" s="47">
        <v>2.98333333333333</v>
      </c>
      <c r="F1564" s="47">
        <v>389.130434782608</v>
      </c>
      <c r="G1564" s="48">
        <v>0.130434782608695</v>
      </c>
      <c r="H1564" s="24" t="s">
        <v>6766</v>
      </c>
      <c r="I1564" s="47"/>
      <c r="J1564" s="24">
        <v>0.0</v>
      </c>
    </row>
    <row r="1565">
      <c r="A1565" s="24">
        <v>23.0</v>
      </c>
      <c r="B1565" s="24">
        <v>3.0</v>
      </c>
      <c r="C1565" s="47">
        <v>6.46</v>
      </c>
      <c r="D1565" s="35">
        <v>45274.0</v>
      </c>
      <c r="E1565" s="47">
        <v>2.15333333333333</v>
      </c>
      <c r="F1565" s="47">
        <v>280.869565217391</v>
      </c>
      <c r="G1565" s="48">
        <v>0.130434782608695</v>
      </c>
      <c r="H1565" s="24" t="s">
        <v>6766</v>
      </c>
      <c r="I1565" s="47"/>
      <c r="J1565" s="24">
        <v>0.0</v>
      </c>
    </row>
    <row r="1566">
      <c r="A1566" s="24">
        <v>27.0</v>
      </c>
      <c r="B1566" s="24">
        <v>3.0</v>
      </c>
      <c r="C1566" s="47">
        <v>7.31</v>
      </c>
      <c r="D1566" s="35">
        <v>45275.0</v>
      </c>
      <c r="E1566" s="47">
        <v>2.43666666666666</v>
      </c>
      <c r="F1566" s="47">
        <v>270.74074074074</v>
      </c>
      <c r="G1566" s="48">
        <v>0.111111111111111</v>
      </c>
      <c r="H1566" s="24" t="s">
        <v>6766</v>
      </c>
      <c r="I1566" s="47"/>
      <c r="J1566" s="24">
        <v>0.0</v>
      </c>
    </row>
    <row r="1567">
      <c r="A1567" s="24">
        <v>8.0</v>
      </c>
      <c r="B1567" s="24">
        <v>3.0</v>
      </c>
      <c r="C1567" s="47">
        <v>9.54</v>
      </c>
      <c r="D1567" s="35">
        <v>45276.0</v>
      </c>
      <c r="E1567" s="47">
        <v>3.18</v>
      </c>
      <c r="F1567" s="47">
        <v>1192.5</v>
      </c>
      <c r="G1567" s="48">
        <v>0.375</v>
      </c>
      <c r="H1567" s="24" t="s">
        <v>6766</v>
      </c>
      <c r="I1567" s="47"/>
      <c r="J1567" s="24">
        <v>0.0</v>
      </c>
    </row>
    <row r="1568">
      <c r="A1568" s="24">
        <v>19.0</v>
      </c>
      <c r="B1568" s="24">
        <v>4.0</v>
      </c>
      <c r="C1568" s="47">
        <v>16.43</v>
      </c>
      <c r="D1568" s="35">
        <v>45277.0</v>
      </c>
      <c r="E1568" s="47">
        <v>4.1075</v>
      </c>
      <c r="F1568" s="47">
        <v>864.736842105263</v>
      </c>
      <c r="G1568" s="48">
        <v>0.210526315789473</v>
      </c>
      <c r="H1568" s="24" t="s">
        <v>6766</v>
      </c>
      <c r="I1568" s="47"/>
      <c r="J1568" s="24">
        <v>0.0</v>
      </c>
    </row>
    <row r="1569">
      <c r="A1569" s="24">
        <v>22.0</v>
      </c>
      <c r="B1569" s="24">
        <v>3.0</v>
      </c>
      <c r="C1569" s="47">
        <v>6.48</v>
      </c>
      <c r="D1569" s="35">
        <v>45278.0</v>
      </c>
      <c r="E1569" s="47">
        <v>2.16</v>
      </c>
      <c r="F1569" s="47">
        <v>294.545454545454</v>
      </c>
      <c r="G1569" s="48">
        <v>0.136363636363636</v>
      </c>
      <c r="H1569" s="24" t="s">
        <v>6766</v>
      </c>
      <c r="I1569" s="47"/>
      <c r="J1569" s="24">
        <v>0.0</v>
      </c>
    </row>
    <row r="1570">
      <c r="A1570" s="24">
        <v>12.0</v>
      </c>
      <c r="B1570" s="24">
        <v>0.0</v>
      </c>
      <c r="C1570" s="47">
        <v>0.0</v>
      </c>
      <c r="D1570" s="35">
        <v>45279.0</v>
      </c>
      <c r="E1570" s="47"/>
      <c r="F1570" s="47">
        <v>0.0</v>
      </c>
      <c r="G1570" s="48">
        <v>0.0</v>
      </c>
      <c r="H1570" s="24" t="s">
        <v>6766</v>
      </c>
      <c r="I1570" s="47"/>
      <c r="J1570" s="24">
        <v>0.0</v>
      </c>
    </row>
    <row r="1571">
      <c r="A1571" s="24">
        <v>38.0</v>
      </c>
      <c r="B1571" s="24">
        <v>1.0</v>
      </c>
      <c r="C1571" s="47">
        <v>3.35</v>
      </c>
      <c r="D1571" s="35">
        <v>45280.0</v>
      </c>
      <c r="E1571" s="47">
        <v>3.35</v>
      </c>
      <c r="F1571" s="47">
        <v>88.1578947368421</v>
      </c>
      <c r="G1571" s="48">
        <v>0.0263157894736842</v>
      </c>
      <c r="H1571" s="24" t="s">
        <v>6766</v>
      </c>
      <c r="I1571" s="47"/>
      <c r="J1571" s="24">
        <v>0.0</v>
      </c>
    </row>
    <row r="1572">
      <c r="A1572" s="24">
        <v>12.0</v>
      </c>
      <c r="B1572" s="24">
        <v>3.0</v>
      </c>
      <c r="C1572" s="47">
        <v>11.32</v>
      </c>
      <c r="D1572" s="35">
        <v>45281.0</v>
      </c>
      <c r="E1572" s="47">
        <v>3.77333333333333</v>
      </c>
      <c r="F1572" s="47">
        <v>943.333333333333</v>
      </c>
      <c r="G1572" s="48">
        <v>0.25</v>
      </c>
      <c r="H1572" s="24" t="s">
        <v>6766</v>
      </c>
      <c r="I1572" s="47"/>
      <c r="J1572" s="24">
        <v>0.0</v>
      </c>
    </row>
    <row r="1573">
      <c r="A1573" s="24">
        <v>18.0</v>
      </c>
      <c r="B1573" s="24">
        <v>0.0</v>
      </c>
      <c r="C1573" s="47">
        <v>0.0</v>
      </c>
      <c r="D1573" s="35">
        <v>45282.0</v>
      </c>
      <c r="E1573" s="47"/>
      <c r="F1573" s="47">
        <v>0.0</v>
      </c>
      <c r="G1573" s="48">
        <v>0.0</v>
      </c>
      <c r="H1573" s="24" t="s">
        <v>6766</v>
      </c>
      <c r="I1573" s="47"/>
      <c r="J1573" s="24">
        <v>0.0</v>
      </c>
    </row>
    <row r="1574">
      <c r="A1574" s="24">
        <v>4.0</v>
      </c>
      <c r="B1574" s="24">
        <v>0.0</v>
      </c>
      <c r="C1574" s="47">
        <v>0.0</v>
      </c>
      <c r="D1574" s="35">
        <v>45283.0</v>
      </c>
      <c r="E1574" s="47"/>
      <c r="F1574" s="47">
        <v>0.0</v>
      </c>
      <c r="G1574" s="48">
        <v>0.0</v>
      </c>
      <c r="H1574" s="24" t="s">
        <v>6766</v>
      </c>
      <c r="I1574" s="47"/>
      <c r="J1574" s="24">
        <v>0.0</v>
      </c>
    </row>
    <row r="1575">
      <c r="A1575" s="24">
        <v>1.0</v>
      </c>
      <c r="B1575" s="24">
        <v>0.0</v>
      </c>
      <c r="C1575" s="47">
        <v>0.0</v>
      </c>
      <c r="D1575" s="35">
        <v>45284.0</v>
      </c>
      <c r="E1575" s="47"/>
      <c r="F1575" s="47">
        <v>0.0</v>
      </c>
      <c r="G1575" s="48">
        <v>0.0</v>
      </c>
      <c r="H1575" s="24" t="s">
        <v>6766</v>
      </c>
      <c r="I1575" s="47"/>
      <c r="J1575" s="24">
        <v>0.0</v>
      </c>
    </row>
    <row r="1576">
      <c r="A1576" s="24">
        <v>7.0</v>
      </c>
      <c r="B1576" s="24">
        <v>0.0</v>
      </c>
      <c r="C1576" s="47">
        <v>0.0</v>
      </c>
      <c r="D1576" s="35">
        <v>45285.0</v>
      </c>
      <c r="E1576" s="47"/>
      <c r="F1576" s="47">
        <v>0.0</v>
      </c>
      <c r="G1576" s="48">
        <v>0.0</v>
      </c>
      <c r="H1576" s="24" t="s">
        <v>6766</v>
      </c>
      <c r="I1576" s="47"/>
      <c r="J1576" s="24">
        <v>0.0</v>
      </c>
    </row>
    <row r="1577">
      <c r="A1577" s="24">
        <v>3.0</v>
      </c>
      <c r="B1577" s="24">
        <v>0.0</v>
      </c>
      <c r="C1577" s="47">
        <v>0.0</v>
      </c>
      <c r="D1577" s="35">
        <v>45286.0</v>
      </c>
      <c r="E1577" s="47"/>
      <c r="F1577" s="47">
        <v>0.0</v>
      </c>
      <c r="G1577" s="48">
        <v>0.0</v>
      </c>
      <c r="H1577" s="24" t="s">
        <v>6766</v>
      </c>
      <c r="I1577" s="47"/>
      <c r="J1577" s="24">
        <v>0.0</v>
      </c>
    </row>
    <row r="1578">
      <c r="A1578" s="24">
        <v>19.0</v>
      </c>
      <c r="B1578" s="24">
        <v>2.0</v>
      </c>
      <c r="C1578" s="47">
        <v>9.71</v>
      </c>
      <c r="D1578" s="35">
        <v>45287.0</v>
      </c>
      <c r="E1578" s="47">
        <v>4.855</v>
      </c>
      <c r="F1578" s="47">
        <v>511.052631578947</v>
      </c>
      <c r="G1578" s="48">
        <v>0.105263157894736</v>
      </c>
      <c r="H1578" s="24" t="s">
        <v>6766</v>
      </c>
      <c r="I1578" s="47"/>
      <c r="J1578" s="24">
        <v>0.0</v>
      </c>
    </row>
    <row r="1579">
      <c r="A1579" s="24">
        <v>5.0</v>
      </c>
      <c r="B1579" s="24">
        <v>0.0</v>
      </c>
      <c r="C1579" s="47">
        <v>0.0</v>
      </c>
      <c r="D1579" s="35">
        <v>45288.0</v>
      </c>
      <c r="E1579" s="47"/>
      <c r="F1579" s="47">
        <v>0.0</v>
      </c>
      <c r="G1579" s="48">
        <v>0.0</v>
      </c>
      <c r="H1579" s="24" t="s">
        <v>6766</v>
      </c>
      <c r="I1579" s="47"/>
      <c r="J1579" s="24">
        <v>0.0</v>
      </c>
    </row>
    <row r="1580">
      <c r="A1580" s="24">
        <v>4.0</v>
      </c>
      <c r="B1580" s="24">
        <v>1.0</v>
      </c>
      <c r="C1580" s="47">
        <v>4.15</v>
      </c>
      <c r="D1580" s="35">
        <v>45289.0</v>
      </c>
      <c r="E1580" s="47">
        <v>4.15</v>
      </c>
      <c r="F1580" s="47">
        <v>1037.5</v>
      </c>
      <c r="G1580" s="48">
        <v>0.25</v>
      </c>
      <c r="H1580" s="24" t="s">
        <v>6766</v>
      </c>
      <c r="I1580" s="47"/>
      <c r="J1580" s="24">
        <v>0.0</v>
      </c>
    </row>
    <row r="1581">
      <c r="A1581" s="24">
        <v>5.0</v>
      </c>
      <c r="B1581" s="24">
        <v>0.0</v>
      </c>
      <c r="C1581" s="47">
        <v>0.0</v>
      </c>
      <c r="D1581" s="35">
        <v>45290.0</v>
      </c>
      <c r="E1581" s="47"/>
      <c r="F1581" s="47">
        <v>0.0</v>
      </c>
      <c r="G1581" s="48">
        <v>0.0</v>
      </c>
      <c r="H1581" s="24" t="s">
        <v>6766</v>
      </c>
      <c r="I1581" s="47"/>
      <c r="J1581" s="24">
        <v>0.0</v>
      </c>
    </row>
    <row r="1582">
      <c r="A1582" s="24">
        <v>6.0</v>
      </c>
      <c r="B1582" s="24">
        <v>1.0</v>
      </c>
      <c r="C1582" s="47">
        <v>0.89</v>
      </c>
      <c r="D1582" s="35">
        <v>45291.0</v>
      </c>
      <c r="E1582" s="47">
        <v>0.89</v>
      </c>
      <c r="F1582" s="47">
        <v>148.333333333333</v>
      </c>
      <c r="G1582" s="48">
        <v>0.166666666666666</v>
      </c>
      <c r="H1582" s="24" t="s">
        <v>6766</v>
      </c>
      <c r="I1582" s="47"/>
      <c r="J1582" s="24">
        <v>0.0</v>
      </c>
    </row>
    <row r="1583">
      <c r="A1583" s="24">
        <v>7.0</v>
      </c>
      <c r="B1583" s="24">
        <v>1.0</v>
      </c>
      <c r="C1583" s="47">
        <v>4.74</v>
      </c>
      <c r="D1583" s="35">
        <v>45292.0</v>
      </c>
      <c r="E1583" s="47">
        <v>4.74</v>
      </c>
      <c r="F1583" s="47">
        <v>677.142857142857</v>
      </c>
      <c r="G1583" s="48">
        <v>0.142857142857142</v>
      </c>
      <c r="H1583" s="24" t="s">
        <v>6766</v>
      </c>
      <c r="I1583" s="47"/>
      <c r="J1583" s="24">
        <v>0.0</v>
      </c>
    </row>
    <row r="1584">
      <c r="A1584" s="24">
        <v>12.0</v>
      </c>
      <c r="B1584" s="24">
        <v>1.0</v>
      </c>
      <c r="C1584" s="47">
        <v>4.88</v>
      </c>
      <c r="D1584" s="35">
        <v>45293.0</v>
      </c>
      <c r="E1584" s="47">
        <v>4.88</v>
      </c>
      <c r="F1584" s="47">
        <v>406.666666666666</v>
      </c>
      <c r="G1584" s="48">
        <v>0.0833333333333333</v>
      </c>
      <c r="H1584" s="24" t="s">
        <v>6766</v>
      </c>
      <c r="I1584" s="47"/>
      <c r="J1584" s="24">
        <v>0.0</v>
      </c>
    </row>
    <row r="1585">
      <c r="A1585" s="24">
        <v>26.0</v>
      </c>
      <c r="B1585" s="24">
        <v>2.0</v>
      </c>
      <c r="C1585" s="47">
        <v>6.57</v>
      </c>
      <c r="D1585" s="35">
        <v>45294.0</v>
      </c>
      <c r="E1585" s="47">
        <v>3.285</v>
      </c>
      <c r="F1585" s="47">
        <v>252.692307692307</v>
      </c>
      <c r="G1585" s="48">
        <v>0.0769230769230769</v>
      </c>
      <c r="H1585" s="24" t="s">
        <v>6766</v>
      </c>
      <c r="I1585" s="47"/>
      <c r="J1585" s="24">
        <v>0.0</v>
      </c>
    </row>
    <row r="1586">
      <c r="A1586" s="24">
        <v>17.0</v>
      </c>
      <c r="B1586" s="24">
        <v>4.0</v>
      </c>
      <c r="C1586" s="47">
        <v>13.28</v>
      </c>
      <c r="D1586" s="35">
        <v>45295.0</v>
      </c>
      <c r="E1586" s="47">
        <v>3.32</v>
      </c>
      <c r="F1586" s="47">
        <v>781.176470588235</v>
      </c>
      <c r="G1586" s="48">
        <v>0.235294117647058</v>
      </c>
      <c r="H1586" s="24" t="s">
        <v>6766</v>
      </c>
      <c r="I1586" s="47"/>
      <c r="J1586" s="24">
        <v>0.0</v>
      </c>
    </row>
    <row r="1587">
      <c r="A1587" s="24">
        <v>21.0</v>
      </c>
      <c r="B1587" s="24">
        <v>3.0</v>
      </c>
      <c r="C1587" s="47">
        <v>7.52</v>
      </c>
      <c r="D1587" s="35">
        <v>45296.0</v>
      </c>
      <c r="E1587" s="47">
        <v>2.50666666666666</v>
      </c>
      <c r="F1587" s="47">
        <v>358.095238095238</v>
      </c>
      <c r="G1587" s="48">
        <v>0.142857142857142</v>
      </c>
      <c r="H1587" s="24" t="s">
        <v>6766</v>
      </c>
      <c r="I1587" s="47"/>
      <c r="J1587" s="24">
        <v>0.0</v>
      </c>
    </row>
    <row r="1588">
      <c r="A1588" s="24">
        <v>1.0</v>
      </c>
      <c r="B1588" s="24">
        <v>1.0</v>
      </c>
      <c r="C1588" s="47">
        <v>0.29</v>
      </c>
      <c r="D1588" s="35">
        <v>45297.0</v>
      </c>
      <c r="E1588" s="47">
        <v>0.29</v>
      </c>
      <c r="F1588" s="47">
        <v>290.0</v>
      </c>
      <c r="G1588" s="48">
        <v>1.0</v>
      </c>
      <c r="H1588" s="24" t="s">
        <v>6766</v>
      </c>
      <c r="I1588" s="47"/>
      <c r="J1588" s="24">
        <v>0.0</v>
      </c>
    </row>
    <row r="1589">
      <c r="A1589" s="24">
        <v>7.0</v>
      </c>
      <c r="B1589" s="24">
        <v>0.0</v>
      </c>
      <c r="C1589" s="47">
        <v>0.0</v>
      </c>
      <c r="D1589" s="35">
        <v>45298.0</v>
      </c>
      <c r="E1589" s="47"/>
      <c r="F1589" s="47">
        <v>0.0</v>
      </c>
      <c r="G1589" s="48">
        <v>0.0</v>
      </c>
      <c r="H1589" s="24" t="s">
        <v>6766</v>
      </c>
      <c r="I1589" s="47"/>
      <c r="J1589" s="24">
        <v>0.0</v>
      </c>
    </row>
    <row r="1590">
      <c r="A1590" s="24">
        <v>27.0</v>
      </c>
      <c r="B1590" s="24">
        <v>2.0</v>
      </c>
      <c r="C1590" s="47">
        <v>9.85</v>
      </c>
      <c r="D1590" s="35">
        <v>45299.0</v>
      </c>
      <c r="E1590" s="47">
        <v>4.925</v>
      </c>
      <c r="F1590" s="47">
        <v>364.814814814814</v>
      </c>
      <c r="G1590" s="48">
        <v>0.074074074074074</v>
      </c>
      <c r="H1590" s="24" t="s">
        <v>6766</v>
      </c>
      <c r="I1590" s="47"/>
      <c r="J1590" s="24">
        <v>0.0</v>
      </c>
    </row>
    <row r="1591">
      <c r="A1591" s="24">
        <v>26.0</v>
      </c>
      <c r="B1591" s="24">
        <v>2.0</v>
      </c>
      <c r="C1591" s="47">
        <v>9.71</v>
      </c>
      <c r="D1591" s="35">
        <v>45300.0</v>
      </c>
      <c r="E1591" s="47">
        <v>4.855</v>
      </c>
      <c r="F1591" s="47">
        <v>373.461538461538</v>
      </c>
      <c r="G1591" s="48">
        <v>0.0769230769230769</v>
      </c>
      <c r="H1591" s="24" t="s">
        <v>6766</v>
      </c>
      <c r="I1591" s="47"/>
      <c r="J1591" s="24">
        <v>0.0</v>
      </c>
    </row>
    <row r="1592">
      <c r="A1592" s="24">
        <v>29.0</v>
      </c>
      <c r="B1592" s="24">
        <v>3.0</v>
      </c>
      <c r="C1592" s="47">
        <v>13.68</v>
      </c>
      <c r="D1592" s="35">
        <v>45301.0</v>
      </c>
      <c r="E1592" s="47">
        <v>4.56</v>
      </c>
      <c r="F1592" s="47">
        <v>471.724137931034</v>
      </c>
      <c r="G1592" s="48">
        <v>0.103448275862068</v>
      </c>
      <c r="H1592" s="24" t="s">
        <v>6766</v>
      </c>
      <c r="I1592" s="47"/>
      <c r="J1592" s="24">
        <v>0.0</v>
      </c>
    </row>
    <row r="1593">
      <c r="A1593" s="24">
        <v>30.0</v>
      </c>
      <c r="B1593" s="24">
        <v>0.0</v>
      </c>
      <c r="C1593" s="47">
        <v>0.0</v>
      </c>
      <c r="D1593" s="35">
        <v>45302.0</v>
      </c>
      <c r="E1593" s="47"/>
      <c r="F1593" s="47">
        <v>0.0</v>
      </c>
      <c r="G1593" s="48">
        <v>0.0</v>
      </c>
      <c r="H1593" s="24" t="s">
        <v>6766</v>
      </c>
      <c r="I1593" s="47"/>
      <c r="J1593" s="24">
        <v>0.0</v>
      </c>
    </row>
    <row r="1594">
      <c r="A1594" s="24">
        <v>19.0</v>
      </c>
      <c r="B1594" s="24">
        <v>3.0</v>
      </c>
      <c r="C1594" s="47">
        <v>8.27</v>
      </c>
      <c r="D1594" s="35">
        <v>45303.0</v>
      </c>
      <c r="E1594" s="47">
        <v>2.75666666666666</v>
      </c>
      <c r="F1594" s="47">
        <v>435.263157894736</v>
      </c>
      <c r="G1594" s="48">
        <v>0.157894736842105</v>
      </c>
      <c r="H1594" s="24" t="s">
        <v>6766</v>
      </c>
      <c r="I1594" s="47"/>
      <c r="J1594" s="24">
        <v>0.0</v>
      </c>
    </row>
    <row r="1595">
      <c r="A1595" s="24">
        <v>11.0</v>
      </c>
      <c r="B1595" s="24">
        <v>1.0</v>
      </c>
      <c r="C1595" s="47">
        <v>4.85</v>
      </c>
      <c r="D1595" s="35">
        <v>45304.0</v>
      </c>
      <c r="E1595" s="47">
        <v>4.85</v>
      </c>
      <c r="F1595" s="47">
        <v>440.90909090909</v>
      </c>
      <c r="G1595" s="48">
        <v>0.0909090909090909</v>
      </c>
      <c r="H1595" s="24" t="s">
        <v>6766</v>
      </c>
      <c r="I1595" s="47"/>
      <c r="J1595" s="24">
        <v>0.0</v>
      </c>
    </row>
    <row r="1596">
      <c r="A1596" s="24">
        <v>23.0</v>
      </c>
      <c r="B1596" s="24">
        <v>4.0</v>
      </c>
      <c r="C1596" s="47">
        <v>11.1</v>
      </c>
      <c r="D1596" s="35">
        <v>45306.0</v>
      </c>
      <c r="E1596" s="47">
        <v>2.775</v>
      </c>
      <c r="F1596" s="47">
        <v>482.608695652173</v>
      </c>
      <c r="G1596" s="48">
        <v>0.17391304347826</v>
      </c>
      <c r="H1596" s="24" t="s">
        <v>6766</v>
      </c>
      <c r="I1596" s="47"/>
      <c r="J1596" s="24">
        <v>0.0</v>
      </c>
    </row>
    <row r="1597">
      <c r="A1597" s="24">
        <v>28.0</v>
      </c>
      <c r="B1597" s="24">
        <v>6.0</v>
      </c>
      <c r="C1597" s="47">
        <v>20.83</v>
      </c>
      <c r="D1597" s="35">
        <v>45307.0</v>
      </c>
      <c r="E1597" s="47">
        <v>3.47166666666666</v>
      </c>
      <c r="F1597" s="47">
        <v>743.928571428571</v>
      </c>
      <c r="G1597" s="48">
        <v>0.214285714285714</v>
      </c>
      <c r="H1597" s="24" t="s">
        <v>6766</v>
      </c>
      <c r="I1597" s="47">
        <v>20.83</v>
      </c>
      <c r="J1597" s="24">
        <v>1.0</v>
      </c>
    </row>
    <row r="1598">
      <c r="A1598" s="24">
        <v>29.0</v>
      </c>
      <c r="B1598" s="24">
        <v>1.0</v>
      </c>
      <c r="C1598" s="47">
        <v>4.86</v>
      </c>
      <c r="D1598" s="35">
        <v>45308.0</v>
      </c>
      <c r="E1598" s="47">
        <v>4.86</v>
      </c>
      <c r="F1598" s="47">
        <v>167.586206896551</v>
      </c>
      <c r="G1598" s="48">
        <v>0.0344827586206896</v>
      </c>
      <c r="H1598" s="24" t="s">
        <v>6766</v>
      </c>
      <c r="I1598" s="47"/>
      <c r="J1598" s="24">
        <v>0.0</v>
      </c>
    </row>
    <row r="1599">
      <c r="A1599" s="24">
        <v>39.0</v>
      </c>
      <c r="B1599" s="24">
        <v>4.0</v>
      </c>
      <c r="C1599" s="47">
        <v>16.98</v>
      </c>
      <c r="D1599" s="35">
        <v>45309.0</v>
      </c>
      <c r="E1599" s="47">
        <v>4.245</v>
      </c>
      <c r="F1599" s="47">
        <v>435.384615384615</v>
      </c>
      <c r="G1599" s="48">
        <v>0.102564102564102</v>
      </c>
      <c r="H1599" s="24" t="s">
        <v>6766</v>
      </c>
      <c r="I1599" s="47"/>
      <c r="J1599" s="24">
        <v>0.0</v>
      </c>
    </row>
    <row r="1600">
      <c r="A1600" s="24">
        <v>29.0</v>
      </c>
      <c r="B1600" s="24">
        <v>5.0</v>
      </c>
      <c r="C1600" s="47">
        <v>18.4</v>
      </c>
      <c r="D1600" s="35">
        <v>45310.0</v>
      </c>
      <c r="E1600" s="47">
        <v>3.68</v>
      </c>
      <c r="F1600" s="47">
        <v>634.482758620689</v>
      </c>
      <c r="G1600" s="48">
        <v>0.172413793103448</v>
      </c>
      <c r="H1600" s="24" t="s">
        <v>6766</v>
      </c>
      <c r="I1600" s="47"/>
      <c r="J1600" s="24">
        <v>0.0</v>
      </c>
    </row>
    <row r="1601">
      <c r="A1601" s="24">
        <v>5.0</v>
      </c>
      <c r="B1601" s="24">
        <v>2.0</v>
      </c>
      <c r="C1601" s="47">
        <v>6.06</v>
      </c>
      <c r="D1601" s="35">
        <v>45311.0</v>
      </c>
      <c r="E1601" s="47">
        <v>3.03</v>
      </c>
      <c r="F1601" s="47">
        <v>1212.0</v>
      </c>
      <c r="G1601" s="48">
        <v>0.4</v>
      </c>
      <c r="H1601" s="24" t="s">
        <v>6766</v>
      </c>
      <c r="I1601" s="47"/>
      <c r="J1601" s="24">
        <v>0.0</v>
      </c>
    </row>
    <row r="1602">
      <c r="A1602" s="24">
        <v>5.0</v>
      </c>
      <c r="B1602" s="24">
        <v>0.0</v>
      </c>
      <c r="C1602" s="47">
        <v>0.0</v>
      </c>
      <c r="D1602" s="35">
        <v>45312.0</v>
      </c>
      <c r="E1602" s="47"/>
      <c r="F1602" s="47">
        <v>0.0</v>
      </c>
      <c r="G1602" s="48">
        <v>0.0</v>
      </c>
      <c r="H1602" s="24" t="s">
        <v>6766</v>
      </c>
      <c r="I1602" s="47"/>
      <c r="J1602" s="24">
        <v>0.0</v>
      </c>
    </row>
    <row r="1603">
      <c r="A1603" s="24">
        <v>38.0</v>
      </c>
      <c r="B1603" s="24">
        <v>5.0</v>
      </c>
      <c r="C1603" s="47">
        <v>19.68</v>
      </c>
      <c r="D1603" s="35">
        <v>45313.0</v>
      </c>
      <c r="E1603" s="47">
        <v>3.936</v>
      </c>
      <c r="F1603" s="47">
        <v>517.894736842105</v>
      </c>
      <c r="G1603" s="48">
        <v>0.131578947368421</v>
      </c>
      <c r="H1603" s="24" t="s">
        <v>6766</v>
      </c>
      <c r="I1603" s="47"/>
      <c r="J1603" s="24">
        <v>0.0</v>
      </c>
    </row>
    <row r="1604">
      <c r="A1604" s="24">
        <v>19.0</v>
      </c>
      <c r="B1604" s="24">
        <v>0.0</v>
      </c>
      <c r="C1604" s="47">
        <v>0.0</v>
      </c>
      <c r="D1604" s="35">
        <v>45314.0</v>
      </c>
      <c r="E1604" s="47"/>
      <c r="F1604" s="47">
        <v>0.0</v>
      </c>
      <c r="G1604" s="48">
        <v>0.0</v>
      </c>
      <c r="H1604" s="24" t="s">
        <v>6766</v>
      </c>
      <c r="I1604" s="47"/>
      <c r="J1604" s="24">
        <v>0.0</v>
      </c>
    </row>
    <row r="1605">
      <c r="A1605" s="24">
        <v>23.0</v>
      </c>
      <c r="B1605" s="24">
        <v>4.0</v>
      </c>
      <c r="C1605" s="47">
        <v>8.38</v>
      </c>
      <c r="D1605" s="35">
        <v>45315.0</v>
      </c>
      <c r="E1605" s="47">
        <v>2.095</v>
      </c>
      <c r="F1605" s="47">
        <v>364.347826086956</v>
      </c>
      <c r="G1605" s="48">
        <v>0.17391304347826</v>
      </c>
      <c r="H1605" s="24" t="s">
        <v>6766</v>
      </c>
      <c r="I1605" s="47"/>
      <c r="J1605" s="24">
        <v>0.0</v>
      </c>
    </row>
    <row r="1606">
      <c r="A1606" s="24">
        <v>23.0</v>
      </c>
      <c r="B1606" s="24">
        <v>1.0</v>
      </c>
      <c r="C1606" s="47">
        <v>3.26</v>
      </c>
      <c r="D1606" s="35">
        <v>45316.0</v>
      </c>
      <c r="E1606" s="47">
        <v>3.26</v>
      </c>
      <c r="F1606" s="47">
        <v>141.739130434782</v>
      </c>
      <c r="G1606" s="48">
        <v>0.0434782608695652</v>
      </c>
      <c r="H1606" s="24" t="s">
        <v>6766</v>
      </c>
      <c r="I1606" s="47"/>
      <c r="J1606" s="24">
        <v>0.0</v>
      </c>
    </row>
    <row r="1607">
      <c r="A1607" s="24">
        <v>24.0</v>
      </c>
      <c r="B1607" s="24">
        <v>1.0</v>
      </c>
      <c r="C1607" s="47">
        <v>4.91</v>
      </c>
      <c r="D1607" s="35">
        <v>45317.0</v>
      </c>
      <c r="E1607" s="47">
        <v>4.91</v>
      </c>
      <c r="F1607" s="47">
        <v>204.583333333333</v>
      </c>
      <c r="G1607" s="48">
        <v>0.0416666666666666</v>
      </c>
      <c r="H1607" s="24" t="s">
        <v>6766</v>
      </c>
      <c r="I1607" s="47"/>
      <c r="J1607" s="24">
        <v>0.0</v>
      </c>
    </row>
    <row r="1608">
      <c r="A1608" s="24">
        <v>18.0</v>
      </c>
      <c r="B1608" s="24">
        <v>3.0</v>
      </c>
      <c r="C1608" s="47">
        <v>6.72</v>
      </c>
      <c r="D1608" s="35">
        <v>45318.0</v>
      </c>
      <c r="E1608" s="47">
        <v>2.24</v>
      </c>
      <c r="F1608" s="47">
        <v>373.333333333333</v>
      </c>
      <c r="G1608" s="48">
        <v>0.166666666666666</v>
      </c>
      <c r="H1608" s="24" t="s">
        <v>6766</v>
      </c>
      <c r="I1608" s="47"/>
      <c r="J1608" s="24">
        <v>0.0</v>
      </c>
    </row>
    <row r="1609">
      <c r="A1609" s="24">
        <v>7.0</v>
      </c>
      <c r="B1609" s="24">
        <v>1.0</v>
      </c>
      <c r="C1609" s="47">
        <v>4.74</v>
      </c>
      <c r="D1609" s="35">
        <v>45319.0</v>
      </c>
      <c r="E1609" s="47">
        <v>4.74</v>
      </c>
      <c r="F1609" s="47">
        <v>677.142857142857</v>
      </c>
      <c r="G1609" s="48">
        <v>0.142857142857142</v>
      </c>
      <c r="H1609" s="24" t="s">
        <v>6766</v>
      </c>
      <c r="I1609" s="47"/>
      <c r="J1609" s="24">
        <v>0.0</v>
      </c>
    </row>
    <row r="1610">
      <c r="A1610" s="24">
        <v>31.0</v>
      </c>
      <c r="B1610" s="24">
        <v>2.0</v>
      </c>
      <c r="C1610" s="47">
        <v>9.77</v>
      </c>
      <c r="D1610" s="35">
        <v>45320.0</v>
      </c>
      <c r="E1610" s="47">
        <v>4.885</v>
      </c>
      <c r="F1610" s="47">
        <v>315.16129032258</v>
      </c>
      <c r="G1610" s="48">
        <v>0.064516129032258</v>
      </c>
      <c r="H1610" s="24" t="s">
        <v>6766</v>
      </c>
      <c r="I1610" s="47"/>
      <c r="J1610" s="24">
        <v>0.0</v>
      </c>
    </row>
    <row r="1611">
      <c r="A1611" s="24">
        <v>38.0</v>
      </c>
      <c r="B1611" s="24">
        <v>4.0</v>
      </c>
      <c r="C1611" s="47">
        <v>14.82</v>
      </c>
      <c r="D1611" s="35">
        <v>45321.0</v>
      </c>
      <c r="E1611" s="47">
        <v>3.705</v>
      </c>
      <c r="F1611" s="47">
        <v>390.0</v>
      </c>
      <c r="G1611" s="48">
        <v>0.105263157894736</v>
      </c>
      <c r="H1611" s="24" t="s">
        <v>6766</v>
      </c>
      <c r="I1611" s="47"/>
      <c r="J1611" s="24">
        <v>0.0</v>
      </c>
    </row>
    <row r="1612">
      <c r="A1612" s="24">
        <v>17.0</v>
      </c>
      <c r="B1612" s="24">
        <v>1.0</v>
      </c>
      <c r="C1612" s="47">
        <v>4.35</v>
      </c>
      <c r="D1612" s="35">
        <v>45322.0</v>
      </c>
      <c r="E1612" s="47">
        <v>4.35</v>
      </c>
      <c r="F1612" s="47">
        <v>255.882352941176</v>
      </c>
      <c r="G1612" s="48">
        <v>0.0588235294117647</v>
      </c>
      <c r="H1612" s="24" t="s">
        <v>6766</v>
      </c>
      <c r="I1612" s="47"/>
      <c r="J1612" s="24">
        <v>0.0</v>
      </c>
    </row>
    <row r="1613">
      <c r="A1613" s="24">
        <v>32.0</v>
      </c>
      <c r="B1613" s="24">
        <v>5.0</v>
      </c>
      <c r="C1613" s="47">
        <v>19.75</v>
      </c>
      <c r="D1613" s="35">
        <v>45323.0</v>
      </c>
      <c r="E1613" s="47">
        <v>3.95</v>
      </c>
      <c r="F1613" s="47">
        <v>617.1875</v>
      </c>
      <c r="G1613" s="48">
        <v>0.15625</v>
      </c>
      <c r="H1613" s="24" t="s">
        <v>6766</v>
      </c>
      <c r="I1613" s="47"/>
      <c r="J1613" s="24">
        <v>0.0</v>
      </c>
    </row>
    <row r="1614">
      <c r="A1614" s="24">
        <v>22.0</v>
      </c>
      <c r="B1614" s="24">
        <v>3.0</v>
      </c>
      <c r="C1614" s="47">
        <v>8.72</v>
      </c>
      <c r="D1614" s="35">
        <v>45324.0</v>
      </c>
      <c r="E1614" s="47">
        <v>2.90666666666666</v>
      </c>
      <c r="F1614" s="47">
        <v>396.363636363636</v>
      </c>
      <c r="G1614" s="48">
        <v>0.136363636363636</v>
      </c>
      <c r="H1614" s="24" t="s">
        <v>6766</v>
      </c>
      <c r="I1614" s="47"/>
      <c r="J1614" s="24">
        <v>0.0</v>
      </c>
    </row>
    <row r="1615">
      <c r="A1615" s="24">
        <v>11.0</v>
      </c>
      <c r="B1615" s="24">
        <v>1.0</v>
      </c>
      <c r="C1615" s="47">
        <v>5.0</v>
      </c>
      <c r="D1615" s="35">
        <v>45325.0</v>
      </c>
      <c r="E1615" s="47">
        <v>5.0</v>
      </c>
      <c r="F1615" s="47">
        <v>454.545454545454</v>
      </c>
      <c r="G1615" s="48">
        <v>0.0909090909090909</v>
      </c>
      <c r="H1615" s="24" t="s">
        <v>6766</v>
      </c>
      <c r="I1615" s="47">
        <v>5.0</v>
      </c>
      <c r="J1615" s="24">
        <v>1.0</v>
      </c>
    </row>
    <row r="1616">
      <c r="A1616" s="24">
        <v>7.0</v>
      </c>
      <c r="B1616" s="24">
        <v>0.0</v>
      </c>
      <c r="C1616" s="47">
        <v>0.0</v>
      </c>
      <c r="D1616" s="35">
        <v>45326.0</v>
      </c>
      <c r="E1616" s="47"/>
      <c r="F1616" s="47">
        <v>0.0</v>
      </c>
      <c r="G1616" s="48">
        <v>0.0</v>
      </c>
      <c r="H1616" s="24" t="s">
        <v>6766</v>
      </c>
      <c r="I1616" s="47"/>
      <c r="J1616" s="24">
        <v>0.0</v>
      </c>
    </row>
    <row r="1617">
      <c r="A1617" s="24">
        <v>39.0</v>
      </c>
      <c r="B1617" s="24">
        <v>4.0</v>
      </c>
      <c r="C1617" s="47">
        <v>16.56</v>
      </c>
      <c r="D1617" s="35">
        <v>45327.0</v>
      </c>
      <c r="E1617" s="47">
        <v>4.14</v>
      </c>
      <c r="F1617" s="47">
        <v>424.615384615384</v>
      </c>
      <c r="G1617" s="48">
        <v>0.102564102564102</v>
      </c>
      <c r="H1617" s="24" t="s">
        <v>6766</v>
      </c>
      <c r="I1617" s="47"/>
      <c r="J1617" s="24">
        <v>0.0</v>
      </c>
    </row>
    <row r="1618">
      <c r="A1618" s="24">
        <v>25.0</v>
      </c>
      <c r="B1618" s="24">
        <v>2.0</v>
      </c>
      <c r="C1618" s="47">
        <v>9.32</v>
      </c>
      <c r="D1618" s="35">
        <v>45328.0</v>
      </c>
      <c r="E1618" s="47">
        <v>4.66</v>
      </c>
      <c r="F1618" s="47">
        <v>372.8</v>
      </c>
      <c r="G1618" s="48">
        <v>0.08</v>
      </c>
      <c r="H1618" s="24" t="s">
        <v>6766</v>
      </c>
      <c r="I1618" s="47"/>
      <c r="J1618" s="24">
        <v>0.0</v>
      </c>
    </row>
    <row r="1619">
      <c r="A1619" s="24">
        <v>29.0</v>
      </c>
      <c r="B1619" s="24">
        <v>1.0</v>
      </c>
      <c r="C1619" s="47">
        <v>3.73</v>
      </c>
      <c r="D1619" s="35">
        <v>45329.0</v>
      </c>
      <c r="E1619" s="47">
        <v>3.73</v>
      </c>
      <c r="F1619" s="47">
        <v>128.620689655172</v>
      </c>
      <c r="G1619" s="48">
        <v>0.0344827586206896</v>
      </c>
      <c r="H1619" s="24" t="s">
        <v>6766</v>
      </c>
      <c r="I1619" s="47"/>
      <c r="J1619" s="24">
        <v>0.0</v>
      </c>
    </row>
    <row r="1620">
      <c r="A1620" s="24">
        <v>36.0</v>
      </c>
      <c r="B1620" s="24">
        <v>2.0</v>
      </c>
      <c r="C1620" s="47">
        <v>7.16</v>
      </c>
      <c r="D1620" s="35">
        <v>45330.0</v>
      </c>
      <c r="E1620" s="47">
        <v>3.58</v>
      </c>
      <c r="F1620" s="47">
        <v>198.888888888888</v>
      </c>
      <c r="G1620" s="48">
        <v>0.0555555555555555</v>
      </c>
      <c r="H1620" s="24" t="s">
        <v>6766</v>
      </c>
      <c r="I1620" s="47"/>
      <c r="J1620" s="24">
        <v>0.0</v>
      </c>
    </row>
    <row r="1621">
      <c r="A1621" s="24">
        <v>31.0</v>
      </c>
      <c r="B1621" s="24">
        <v>3.0</v>
      </c>
      <c r="C1621" s="47">
        <v>6.74</v>
      </c>
      <c r="D1621" s="35">
        <v>45331.0</v>
      </c>
      <c r="E1621" s="47">
        <v>2.24666666666666</v>
      </c>
      <c r="F1621" s="47">
        <v>217.419354838709</v>
      </c>
      <c r="G1621" s="48">
        <v>0.0967741935483871</v>
      </c>
      <c r="H1621" s="24" t="s">
        <v>6766</v>
      </c>
      <c r="I1621" s="47"/>
      <c r="J1621" s="24">
        <v>0.0</v>
      </c>
    </row>
    <row r="1622">
      <c r="A1622" s="24">
        <v>9.0</v>
      </c>
      <c r="B1622" s="24">
        <v>1.0</v>
      </c>
      <c r="C1622" s="47">
        <v>1.83</v>
      </c>
      <c r="D1622" s="35">
        <v>45332.0</v>
      </c>
      <c r="E1622" s="47">
        <v>1.83</v>
      </c>
      <c r="F1622" s="47">
        <v>203.333333333333</v>
      </c>
      <c r="G1622" s="48">
        <v>0.111111111111111</v>
      </c>
      <c r="H1622" s="24" t="s">
        <v>6766</v>
      </c>
      <c r="I1622" s="47"/>
      <c r="J1622" s="24">
        <v>0.0</v>
      </c>
    </row>
    <row r="1623">
      <c r="A1623" s="24">
        <v>15.0</v>
      </c>
      <c r="B1623" s="24">
        <v>1.0</v>
      </c>
      <c r="C1623" s="47">
        <v>1.28</v>
      </c>
      <c r="D1623" s="35">
        <v>45333.0</v>
      </c>
      <c r="E1623" s="47">
        <v>1.28</v>
      </c>
      <c r="F1623" s="47">
        <v>85.3333333333333</v>
      </c>
      <c r="G1623" s="48">
        <v>0.0666666666666666</v>
      </c>
      <c r="H1623" s="24" t="s">
        <v>6766</v>
      </c>
      <c r="I1623" s="47"/>
      <c r="J1623" s="24">
        <v>0.0</v>
      </c>
    </row>
    <row r="1624">
      <c r="A1624" s="24">
        <v>26.0</v>
      </c>
      <c r="B1624" s="24">
        <v>4.0</v>
      </c>
      <c r="C1624" s="47">
        <v>18.62</v>
      </c>
      <c r="D1624" s="35">
        <v>45334.0</v>
      </c>
      <c r="E1624" s="47">
        <v>4.655</v>
      </c>
      <c r="F1624" s="47">
        <v>716.153846153846</v>
      </c>
      <c r="G1624" s="48">
        <v>0.153846153846153</v>
      </c>
      <c r="H1624" s="24" t="s">
        <v>6766</v>
      </c>
      <c r="I1624" s="47"/>
      <c r="J1624" s="24">
        <v>0.0</v>
      </c>
    </row>
    <row r="1625">
      <c r="A1625" s="24">
        <v>29.0</v>
      </c>
      <c r="B1625" s="24">
        <v>3.0</v>
      </c>
      <c r="C1625" s="47">
        <v>10.36</v>
      </c>
      <c r="D1625" s="35">
        <v>45335.0</v>
      </c>
      <c r="E1625" s="47">
        <v>3.45333333333333</v>
      </c>
      <c r="F1625" s="47">
        <v>357.241379310344</v>
      </c>
      <c r="G1625" s="48">
        <v>0.103448275862068</v>
      </c>
      <c r="H1625" s="24" t="s">
        <v>6766</v>
      </c>
      <c r="I1625" s="47"/>
      <c r="J1625" s="24">
        <v>0.0</v>
      </c>
    </row>
    <row r="1626">
      <c r="A1626" s="24">
        <v>37.0</v>
      </c>
      <c r="B1626" s="24">
        <v>2.0</v>
      </c>
      <c r="C1626" s="47">
        <v>6.18</v>
      </c>
      <c r="D1626" s="35">
        <v>45336.0</v>
      </c>
      <c r="E1626" s="47">
        <v>3.09</v>
      </c>
      <c r="F1626" s="47">
        <v>167.027027027027</v>
      </c>
      <c r="G1626" s="48">
        <v>0.054054054054054</v>
      </c>
      <c r="H1626" s="24" t="s">
        <v>6766</v>
      </c>
      <c r="I1626" s="47"/>
      <c r="J1626" s="24">
        <v>0.0</v>
      </c>
    </row>
    <row r="1627">
      <c r="A1627" s="24">
        <v>34.0</v>
      </c>
      <c r="B1627" s="24">
        <v>4.0</v>
      </c>
      <c r="C1627" s="47">
        <v>16.82</v>
      </c>
      <c r="D1627" s="35">
        <v>45337.0</v>
      </c>
      <c r="E1627" s="47">
        <v>4.205</v>
      </c>
      <c r="F1627" s="47">
        <v>494.705882352941</v>
      </c>
      <c r="G1627" s="48">
        <v>0.117647058823529</v>
      </c>
      <c r="H1627" s="24" t="s">
        <v>6766</v>
      </c>
      <c r="I1627" s="47"/>
      <c r="J1627" s="24">
        <v>0.0</v>
      </c>
    </row>
    <row r="1628">
      <c r="A1628" s="24">
        <v>13.0</v>
      </c>
      <c r="B1628" s="24">
        <v>2.0</v>
      </c>
      <c r="C1628" s="47">
        <v>5.75</v>
      </c>
      <c r="D1628" s="35">
        <v>45338.0</v>
      </c>
      <c r="E1628" s="47">
        <v>2.875</v>
      </c>
      <c r="F1628" s="47">
        <v>442.307692307692</v>
      </c>
      <c r="G1628" s="48">
        <v>0.153846153846153</v>
      </c>
      <c r="H1628" s="24" t="s">
        <v>6766</v>
      </c>
      <c r="I1628" s="47">
        <v>5.75</v>
      </c>
      <c r="J1628" s="24">
        <v>1.0</v>
      </c>
    </row>
    <row r="1629">
      <c r="A1629" s="24">
        <v>4.0</v>
      </c>
      <c r="B1629" s="24">
        <v>0.0</v>
      </c>
      <c r="C1629" s="47">
        <v>0.0</v>
      </c>
      <c r="D1629" s="35">
        <v>45339.0</v>
      </c>
      <c r="E1629" s="47"/>
      <c r="F1629" s="47">
        <v>0.0</v>
      </c>
      <c r="G1629" s="48">
        <v>0.0</v>
      </c>
      <c r="H1629" s="24" t="s">
        <v>6766</v>
      </c>
      <c r="I1629" s="47"/>
      <c r="J1629" s="24">
        <v>0.0</v>
      </c>
    </row>
    <row r="1630">
      <c r="A1630" s="24">
        <v>9.0</v>
      </c>
      <c r="B1630" s="24">
        <v>0.0</v>
      </c>
      <c r="C1630" s="47">
        <v>0.0</v>
      </c>
      <c r="D1630" s="35">
        <v>45340.0</v>
      </c>
      <c r="E1630" s="47"/>
      <c r="F1630" s="47">
        <v>0.0</v>
      </c>
      <c r="G1630" s="48">
        <v>0.0</v>
      </c>
      <c r="H1630" s="24" t="s">
        <v>6766</v>
      </c>
      <c r="I1630" s="47"/>
      <c r="J1630" s="24">
        <v>0.0</v>
      </c>
    </row>
    <row r="1631">
      <c r="A1631" s="24">
        <v>33.0</v>
      </c>
      <c r="B1631" s="24">
        <v>4.0</v>
      </c>
      <c r="C1631" s="47">
        <v>14.86</v>
      </c>
      <c r="D1631" s="35">
        <v>45341.0</v>
      </c>
      <c r="E1631" s="47">
        <v>3.715</v>
      </c>
      <c r="F1631" s="47">
        <v>450.30303030303</v>
      </c>
      <c r="G1631" s="48">
        <v>0.121212121212121</v>
      </c>
      <c r="H1631" s="24" t="s">
        <v>6766</v>
      </c>
      <c r="I1631" s="47"/>
      <c r="J1631" s="24">
        <v>0.0</v>
      </c>
    </row>
    <row r="1632">
      <c r="A1632" s="24">
        <v>25.0</v>
      </c>
      <c r="B1632" s="24">
        <v>2.0</v>
      </c>
      <c r="C1632" s="47">
        <v>9.73</v>
      </c>
      <c r="D1632" s="35">
        <v>45342.0</v>
      </c>
      <c r="E1632" s="47">
        <v>4.865</v>
      </c>
      <c r="F1632" s="47">
        <v>389.2</v>
      </c>
      <c r="G1632" s="48">
        <v>0.08</v>
      </c>
      <c r="H1632" s="24" t="s">
        <v>6766</v>
      </c>
      <c r="I1632" s="47"/>
      <c r="J1632" s="24">
        <v>0.0</v>
      </c>
    </row>
    <row r="1633">
      <c r="A1633" s="24">
        <v>27.0</v>
      </c>
      <c r="B1633" s="24">
        <v>1.0</v>
      </c>
      <c r="C1633" s="47">
        <v>3.66</v>
      </c>
      <c r="D1633" s="35">
        <v>45343.0</v>
      </c>
      <c r="E1633" s="47">
        <v>3.66</v>
      </c>
      <c r="F1633" s="47">
        <v>135.555555555555</v>
      </c>
      <c r="G1633" s="48">
        <v>0.037037037037037</v>
      </c>
      <c r="H1633" s="24" t="s">
        <v>6766</v>
      </c>
      <c r="I1633" s="47"/>
      <c r="J1633" s="24">
        <v>0.0</v>
      </c>
    </row>
    <row r="1634">
      <c r="A1634" s="24">
        <v>11.0</v>
      </c>
      <c r="B1634" s="24">
        <v>1.0</v>
      </c>
      <c r="C1634" s="47">
        <v>4.58</v>
      </c>
      <c r="D1634" s="35">
        <v>45344.0</v>
      </c>
      <c r="E1634" s="47">
        <v>4.58</v>
      </c>
      <c r="F1634" s="47">
        <v>416.363636363636</v>
      </c>
      <c r="G1634" s="48">
        <v>0.0909090909090909</v>
      </c>
      <c r="H1634" s="24" t="s">
        <v>6766</v>
      </c>
      <c r="I1634" s="47"/>
      <c r="J1634" s="24">
        <v>0.0</v>
      </c>
    </row>
    <row r="1635">
      <c r="A1635" s="24">
        <v>33.0</v>
      </c>
      <c r="B1635" s="24">
        <v>3.0</v>
      </c>
      <c r="C1635" s="47">
        <v>10.08</v>
      </c>
      <c r="D1635" s="35">
        <v>45345.0</v>
      </c>
      <c r="E1635" s="47">
        <v>3.36</v>
      </c>
      <c r="F1635" s="47">
        <v>305.454545454545</v>
      </c>
      <c r="G1635" s="48">
        <v>0.0909090909090909</v>
      </c>
      <c r="H1635" s="24" t="s">
        <v>6766</v>
      </c>
      <c r="I1635" s="47"/>
      <c r="J1635" s="24">
        <v>0.0</v>
      </c>
    </row>
    <row r="1636">
      <c r="A1636" s="24">
        <v>6.0</v>
      </c>
      <c r="B1636" s="24">
        <v>1.0</v>
      </c>
      <c r="C1636" s="47">
        <v>2.05</v>
      </c>
      <c r="D1636" s="35">
        <v>45346.0</v>
      </c>
      <c r="E1636" s="47">
        <v>2.05</v>
      </c>
      <c r="F1636" s="47">
        <v>341.666666666666</v>
      </c>
      <c r="G1636" s="48">
        <v>0.166666666666666</v>
      </c>
      <c r="H1636" s="24" t="s">
        <v>6766</v>
      </c>
      <c r="I1636" s="47"/>
      <c r="J1636" s="24">
        <v>0.0</v>
      </c>
    </row>
    <row r="1637">
      <c r="A1637" s="24">
        <v>5.0</v>
      </c>
      <c r="B1637" s="24">
        <v>1.0</v>
      </c>
      <c r="C1637" s="47">
        <v>2.43</v>
      </c>
      <c r="D1637" s="35">
        <v>45347.0</v>
      </c>
      <c r="E1637" s="47">
        <v>2.43</v>
      </c>
      <c r="F1637" s="47">
        <v>486.0</v>
      </c>
      <c r="G1637" s="48">
        <v>0.2</v>
      </c>
      <c r="H1637" s="24" t="s">
        <v>6766</v>
      </c>
      <c r="I1637" s="47"/>
      <c r="J1637" s="24">
        <v>0.0</v>
      </c>
    </row>
    <row r="1638">
      <c r="A1638" s="24">
        <v>30.0</v>
      </c>
      <c r="B1638" s="24">
        <v>1.0</v>
      </c>
      <c r="C1638" s="47">
        <v>4.79</v>
      </c>
      <c r="D1638" s="35">
        <v>45348.0</v>
      </c>
      <c r="E1638" s="47">
        <v>4.79</v>
      </c>
      <c r="F1638" s="47">
        <v>159.666666666666</v>
      </c>
      <c r="G1638" s="48">
        <v>0.0333333333333333</v>
      </c>
      <c r="H1638" s="24" t="s">
        <v>6766</v>
      </c>
      <c r="I1638" s="47"/>
      <c r="J1638" s="24">
        <v>0.0</v>
      </c>
    </row>
    <row r="1639">
      <c r="A1639" s="24">
        <v>24.0</v>
      </c>
      <c r="B1639" s="24">
        <v>7.0</v>
      </c>
      <c r="C1639" s="47">
        <v>21.55</v>
      </c>
      <c r="D1639" s="35">
        <v>45349.0</v>
      </c>
      <c r="E1639" s="47">
        <v>3.07857142857142</v>
      </c>
      <c r="F1639" s="47">
        <v>897.916666666666</v>
      </c>
      <c r="G1639" s="48">
        <v>0.291666666666666</v>
      </c>
      <c r="H1639" s="24" t="s">
        <v>6766</v>
      </c>
      <c r="I1639" s="47"/>
      <c r="J1639" s="24">
        <v>0.0</v>
      </c>
    </row>
    <row r="1640">
      <c r="A1640" s="24">
        <v>17.0</v>
      </c>
      <c r="B1640" s="24">
        <v>4.0</v>
      </c>
      <c r="C1640" s="47">
        <v>17.03</v>
      </c>
      <c r="D1640" s="35">
        <v>45350.0</v>
      </c>
      <c r="E1640" s="47">
        <v>4.2575</v>
      </c>
      <c r="F1640" s="47">
        <v>1001.76470588235</v>
      </c>
      <c r="G1640" s="48">
        <v>0.235294117647058</v>
      </c>
      <c r="H1640" s="24" t="s">
        <v>6766</v>
      </c>
      <c r="I1640" s="47"/>
      <c r="J1640" s="24">
        <v>0.0</v>
      </c>
    </row>
    <row r="1641">
      <c r="A1641" s="24">
        <v>40.0</v>
      </c>
      <c r="B1641" s="24">
        <v>8.0</v>
      </c>
      <c r="C1641" s="47">
        <v>27.39</v>
      </c>
      <c r="D1641" s="35">
        <v>45351.0</v>
      </c>
      <c r="E1641" s="47">
        <v>3.42375</v>
      </c>
      <c r="F1641" s="47">
        <v>684.75</v>
      </c>
      <c r="G1641" s="48">
        <v>0.2</v>
      </c>
      <c r="H1641" s="24" t="s">
        <v>6766</v>
      </c>
      <c r="I1641" s="47">
        <v>27.39</v>
      </c>
      <c r="J1641" s="24">
        <v>1.0</v>
      </c>
    </row>
    <row r="1642">
      <c r="A1642" s="24">
        <v>36.0</v>
      </c>
      <c r="B1642" s="24">
        <v>5.0</v>
      </c>
      <c r="C1642" s="47">
        <v>10.92</v>
      </c>
      <c r="D1642" s="35">
        <v>45352.0</v>
      </c>
      <c r="E1642" s="47">
        <v>2.184</v>
      </c>
      <c r="F1642" s="47">
        <v>303.333333333333</v>
      </c>
      <c r="G1642" s="48">
        <v>0.138888888888888</v>
      </c>
      <c r="H1642" s="24" t="s">
        <v>6766</v>
      </c>
      <c r="I1642" s="47"/>
      <c r="J1642" s="24">
        <v>0.0</v>
      </c>
    </row>
    <row r="1643">
      <c r="A1643" s="24">
        <v>3.0</v>
      </c>
      <c r="B1643" s="24">
        <v>0.0</v>
      </c>
      <c r="C1643" s="47">
        <v>0.0</v>
      </c>
      <c r="D1643" s="35">
        <v>45353.0</v>
      </c>
      <c r="E1643" s="47"/>
      <c r="F1643" s="47">
        <v>0.0</v>
      </c>
      <c r="G1643" s="48">
        <v>0.0</v>
      </c>
      <c r="H1643" s="24" t="s">
        <v>6766</v>
      </c>
      <c r="I1643" s="47"/>
      <c r="J1643" s="24">
        <v>0.0</v>
      </c>
    </row>
    <row r="1644">
      <c r="A1644" s="24">
        <v>9.0</v>
      </c>
      <c r="B1644" s="24">
        <v>1.0</v>
      </c>
      <c r="C1644" s="47">
        <v>4.93</v>
      </c>
      <c r="D1644" s="35">
        <v>45354.0</v>
      </c>
      <c r="E1644" s="47">
        <v>4.93</v>
      </c>
      <c r="F1644" s="47">
        <v>547.777777777777</v>
      </c>
      <c r="G1644" s="48">
        <v>0.111111111111111</v>
      </c>
      <c r="H1644" s="24" t="s">
        <v>6766</v>
      </c>
      <c r="I1644" s="47"/>
      <c r="J1644" s="24">
        <v>0.0</v>
      </c>
    </row>
    <row r="1645">
      <c r="A1645" s="24">
        <v>33.0</v>
      </c>
      <c r="B1645" s="24">
        <v>3.0</v>
      </c>
      <c r="C1645" s="47">
        <v>11.69</v>
      </c>
      <c r="D1645" s="35">
        <v>45355.0</v>
      </c>
      <c r="E1645" s="47">
        <v>3.89666666666666</v>
      </c>
      <c r="F1645" s="47">
        <v>354.242424242424</v>
      </c>
      <c r="G1645" s="48">
        <v>0.0909090909090909</v>
      </c>
      <c r="H1645" s="24" t="s">
        <v>6766</v>
      </c>
      <c r="I1645" s="47"/>
      <c r="J1645" s="24">
        <v>0.0</v>
      </c>
    </row>
    <row r="1646">
      <c r="A1646" s="24">
        <v>20.0</v>
      </c>
      <c r="B1646" s="24">
        <v>0.0</v>
      </c>
      <c r="C1646" s="47">
        <v>0.0</v>
      </c>
      <c r="D1646" s="35">
        <v>45356.0</v>
      </c>
      <c r="E1646" s="47"/>
      <c r="F1646" s="47">
        <v>0.0</v>
      </c>
      <c r="G1646" s="48">
        <v>0.0</v>
      </c>
      <c r="H1646" s="24" t="s">
        <v>6766</v>
      </c>
      <c r="I1646" s="47"/>
      <c r="J1646" s="24">
        <v>0.0</v>
      </c>
    </row>
    <row r="1647">
      <c r="A1647" s="24">
        <v>15.0</v>
      </c>
      <c r="B1647" s="24">
        <v>3.0</v>
      </c>
      <c r="C1647" s="47">
        <v>8.18</v>
      </c>
      <c r="D1647" s="35">
        <v>45357.0</v>
      </c>
      <c r="E1647" s="47">
        <v>2.72666666666666</v>
      </c>
      <c r="F1647" s="47">
        <v>545.333333333333</v>
      </c>
      <c r="G1647" s="48">
        <v>0.2</v>
      </c>
      <c r="H1647" s="24" t="s">
        <v>6766</v>
      </c>
      <c r="I1647" s="47"/>
      <c r="J1647" s="24">
        <v>0.0</v>
      </c>
    </row>
    <row r="1648">
      <c r="A1648" s="24">
        <v>1.0</v>
      </c>
      <c r="B1648" s="24">
        <v>0.0</v>
      </c>
      <c r="C1648" s="47">
        <v>0.0</v>
      </c>
      <c r="D1648" s="35">
        <v>45588.0</v>
      </c>
      <c r="E1648" s="47"/>
      <c r="F1648" s="47">
        <v>0.0</v>
      </c>
      <c r="G1648" s="48">
        <v>0.0</v>
      </c>
      <c r="H1648" s="24" t="s">
        <v>6767</v>
      </c>
      <c r="I1648" s="47"/>
      <c r="J1648" s="24">
        <v>0.0</v>
      </c>
    </row>
    <row r="1649">
      <c r="A1649" s="24">
        <v>4.0</v>
      </c>
      <c r="B1649" s="24">
        <v>0.0</v>
      </c>
      <c r="C1649" s="47">
        <v>0.0</v>
      </c>
      <c r="D1649" s="35">
        <v>45589.0</v>
      </c>
      <c r="E1649" s="47"/>
      <c r="F1649" s="47">
        <v>0.0</v>
      </c>
      <c r="G1649" s="48">
        <v>0.0</v>
      </c>
      <c r="H1649" s="24" t="s">
        <v>6767</v>
      </c>
      <c r="I1649" s="47"/>
      <c r="J1649" s="24">
        <v>0.0</v>
      </c>
    </row>
    <row r="1650">
      <c r="A1650" s="24">
        <v>1.0</v>
      </c>
      <c r="B1650" s="24">
        <v>0.0</v>
      </c>
      <c r="C1650" s="47">
        <v>0.0</v>
      </c>
      <c r="D1650" s="35">
        <v>45590.0</v>
      </c>
      <c r="E1650" s="47"/>
      <c r="F1650" s="47">
        <v>0.0</v>
      </c>
      <c r="G1650" s="48">
        <v>0.0</v>
      </c>
      <c r="H1650" s="24" t="s">
        <v>6767</v>
      </c>
      <c r="I1650" s="47"/>
      <c r="J1650" s="24">
        <v>0.0</v>
      </c>
    </row>
    <row r="1651">
      <c r="A1651" s="24">
        <v>1.0</v>
      </c>
      <c r="B1651" s="24">
        <v>1.0</v>
      </c>
      <c r="C1651" s="47">
        <v>14.87</v>
      </c>
      <c r="D1651" s="35">
        <v>45592.0</v>
      </c>
      <c r="E1651" s="47">
        <v>14.87</v>
      </c>
      <c r="F1651" s="47">
        <v>14870.0</v>
      </c>
      <c r="G1651" s="48">
        <v>1.0</v>
      </c>
      <c r="H1651" s="24" t="s">
        <v>6767</v>
      </c>
      <c r="I1651" s="47"/>
      <c r="J1651" s="24">
        <v>0.0</v>
      </c>
    </row>
    <row r="1652">
      <c r="A1652" s="24">
        <v>5.0</v>
      </c>
      <c r="B1652" s="24">
        <v>0.0</v>
      </c>
      <c r="C1652" s="47">
        <v>0.0</v>
      </c>
      <c r="D1652" s="35">
        <v>45593.0</v>
      </c>
      <c r="E1652" s="47"/>
      <c r="F1652" s="47">
        <v>0.0</v>
      </c>
      <c r="G1652" s="48">
        <v>0.0</v>
      </c>
      <c r="H1652" s="24" t="s">
        <v>6767</v>
      </c>
      <c r="I1652" s="47"/>
      <c r="J1652" s="24">
        <v>0.0</v>
      </c>
    </row>
    <row r="1653">
      <c r="A1653" s="24">
        <v>7.0</v>
      </c>
      <c r="B1653" s="24">
        <v>0.0</v>
      </c>
      <c r="C1653" s="47">
        <v>0.0</v>
      </c>
      <c r="D1653" s="35">
        <v>45594.0</v>
      </c>
      <c r="E1653" s="47"/>
      <c r="F1653" s="47">
        <v>0.0</v>
      </c>
      <c r="G1653" s="48">
        <v>0.0</v>
      </c>
      <c r="H1653" s="24" t="s">
        <v>6767</v>
      </c>
      <c r="I1653" s="47"/>
      <c r="J1653" s="24">
        <v>0.0</v>
      </c>
    </row>
    <row r="1654">
      <c r="A1654" s="24">
        <v>3.0</v>
      </c>
      <c r="B1654" s="24">
        <v>0.0</v>
      </c>
      <c r="C1654" s="47">
        <v>0.0</v>
      </c>
      <c r="D1654" s="35">
        <v>45595.0</v>
      </c>
      <c r="E1654" s="47"/>
      <c r="F1654" s="47">
        <v>0.0</v>
      </c>
      <c r="G1654" s="48">
        <v>0.0</v>
      </c>
      <c r="H1654" s="24" t="s">
        <v>6767</v>
      </c>
      <c r="I1654" s="47"/>
      <c r="J1654" s="24">
        <v>0.0</v>
      </c>
    </row>
    <row r="1655">
      <c r="A1655" s="24">
        <v>2.0</v>
      </c>
      <c r="B1655" s="24">
        <v>0.0</v>
      </c>
      <c r="C1655" s="47">
        <v>0.0</v>
      </c>
      <c r="D1655" s="35">
        <v>45596.0</v>
      </c>
      <c r="E1655" s="47"/>
      <c r="F1655" s="47">
        <v>0.0</v>
      </c>
      <c r="G1655" s="48">
        <v>0.0</v>
      </c>
      <c r="H1655" s="24" t="s">
        <v>6767</v>
      </c>
      <c r="I1655" s="47"/>
      <c r="J1655" s="24">
        <v>0.0</v>
      </c>
    </row>
    <row r="1656">
      <c r="A1656" s="24">
        <v>6.0</v>
      </c>
      <c r="B1656" s="24">
        <v>0.0</v>
      </c>
      <c r="C1656" s="47">
        <v>0.0</v>
      </c>
      <c r="D1656" s="35">
        <v>45597.0</v>
      </c>
      <c r="E1656" s="47"/>
      <c r="F1656" s="47">
        <v>0.0</v>
      </c>
      <c r="G1656" s="48">
        <v>0.0</v>
      </c>
      <c r="H1656" s="24" t="s">
        <v>6767</v>
      </c>
      <c r="I1656" s="47"/>
      <c r="J1656" s="24">
        <v>0.0</v>
      </c>
    </row>
    <row r="1657">
      <c r="A1657" s="24">
        <v>1.0</v>
      </c>
      <c r="B1657" s="24">
        <v>0.0</v>
      </c>
      <c r="C1657" s="47">
        <v>0.0</v>
      </c>
      <c r="D1657" s="35">
        <v>45599.0</v>
      </c>
      <c r="E1657" s="47"/>
      <c r="F1657" s="47">
        <v>0.0</v>
      </c>
      <c r="G1657" s="48">
        <v>0.0</v>
      </c>
      <c r="H1657" s="24" t="s">
        <v>6767</v>
      </c>
      <c r="I1657" s="47"/>
      <c r="J1657" s="24">
        <v>0.0</v>
      </c>
    </row>
    <row r="1658">
      <c r="A1658" s="24">
        <v>8.0</v>
      </c>
      <c r="B1658" s="24">
        <v>0.0</v>
      </c>
      <c r="C1658" s="47">
        <v>0.0</v>
      </c>
      <c r="D1658" s="35">
        <v>45600.0</v>
      </c>
      <c r="E1658" s="47"/>
      <c r="F1658" s="47">
        <v>0.0</v>
      </c>
      <c r="G1658" s="48">
        <v>0.0</v>
      </c>
      <c r="H1658" s="24" t="s">
        <v>6767</v>
      </c>
      <c r="I1658" s="47"/>
      <c r="J1658" s="24">
        <v>0.0</v>
      </c>
    </row>
    <row r="1659">
      <c r="A1659" s="24">
        <v>8.0</v>
      </c>
      <c r="B1659" s="24">
        <v>1.0</v>
      </c>
      <c r="C1659" s="47">
        <v>14.81</v>
      </c>
      <c r="D1659" s="35">
        <v>45601.0</v>
      </c>
      <c r="E1659" s="47">
        <v>14.81</v>
      </c>
      <c r="F1659" s="47">
        <v>1851.25</v>
      </c>
      <c r="G1659" s="48">
        <v>0.125</v>
      </c>
      <c r="H1659" s="24" t="s">
        <v>6767</v>
      </c>
      <c r="I1659" s="47"/>
      <c r="J1659" s="24">
        <v>0.0</v>
      </c>
    </row>
    <row r="1660">
      <c r="A1660" s="24">
        <v>19.0</v>
      </c>
      <c r="B1660" s="24">
        <v>1.0</v>
      </c>
      <c r="C1660" s="47">
        <v>14.55</v>
      </c>
      <c r="D1660" s="35">
        <v>45602.0</v>
      </c>
      <c r="E1660" s="47">
        <v>14.55</v>
      </c>
      <c r="F1660" s="47">
        <v>765.78947368421</v>
      </c>
      <c r="G1660" s="48">
        <v>0.0526315789473684</v>
      </c>
      <c r="H1660" s="24" t="s">
        <v>6767</v>
      </c>
      <c r="I1660" s="47"/>
      <c r="J1660" s="24">
        <v>0.0</v>
      </c>
    </row>
    <row r="1661">
      <c r="A1661" s="24">
        <v>15.0</v>
      </c>
      <c r="B1661" s="24">
        <v>2.0</v>
      </c>
      <c r="C1661" s="47">
        <v>29.75</v>
      </c>
      <c r="D1661" s="35">
        <v>45603.0</v>
      </c>
      <c r="E1661" s="47">
        <v>14.875</v>
      </c>
      <c r="F1661" s="47">
        <v>1983.33333333333</v>
      </c>
      <c r="G1661" s="48">
        <v>0.133333333333333</v>
      </c>
      <c r="H1661" s="24" t="s">
        <v>6767</v>
      </c>
      <c r="I1661" s="47"/>
      <c r="J1661" s="24">
        <v>0.0</v>
      </c>
    </row>
    <row r="1662">
      <c r="A1662" s="24">
        <v>9.0</v>
      </c>
      <c r="B1662" s="24">
        <v>0.0</v>
      </c>
      <c r="C1662" s="47">
        <v>0.0</v>
      </c>
      <c r="D1662" s="35">
        <v>45604.0</v>
      </c>
      <c r="E1662" s="47"/>
      <c r="F1662" s="47">
        <v>0.0</v>
      </c>
      <c r="G1662" s="48">
        <v>0.0</v>
      </c>
      <c r="H1662" s="24" t="s">
        <v>6767</v>
      </c>
      <c r="I1662" s="47"/>
      <c r="J1662" s="24">
        <v>0.0</v>
      </c>
    </row>
    <row r="1663">
      <c r="A1663" s="24">
        <v>4.0</v>
      </c>
      <c r="B1663" s="24">
        <v>0.0</v>
      </c>
      <c r="C1663" s="47">
        <v>0.0</v>
      </c>
      <c r="D1663" s="35">
        <v>45607.0</v>
      </c>
      <c r="E1663" s="47"/>
      <c r="F1663" s="47">
        <v>0.0</v>
      </c>
      <c r="G1663" s="48">
        <v>0.0</v>
      </c>
      <c r="H1663" s="24" t="s">
        <v>6767</v>
      </c>
      <c r="I1663" s="47"/>
      <c r="J1663" s="24">
        <v>0.0</v>
      </c>
    </row>
    <row r="1664">
      <c r="A1664" s="24">
        <v>1.0</v>
      </c>
      <c r="B1664" s="24">
        <v>0.0</v>
      </c>
      <c r="C1664" s="47">
        <v>0.0</v>
      </c>
      <c r="D1664" s="35">
        <v>45588.0</v>
      </c>
      <c r="E1664" s="47"/>
      <c r="F1664" s="47">
        <v>0.0</v>
      </c>
      <c r="G1664" s="48">
        <v>0.0</v>
      </c>
      <c r="H1664" s="24" t="s">
        <v>6768</v>
      </c>
      <c r="I1664" s="47"/>
      <c r="J1664" s="24">
        <v>0.0</v>
      </c>
    </row>
    <row r="1665">
      <c r="A1665" s="24">
        <v>6.0</v>
      </c>
      <c r="B1665" s="24">
        <v>1.0</v>
      </c>
      <c r="C1665" s="47">
        <v>1.88</v>
      </c>
      <c r="D1665" s="35">
        <v>45589.0</v>
      </c>
      <c r="E1665" s="47">
        <v>1.88</v>
      </c>
      <c r="F1665" s="47">
        <v>313.333333333333</v>
      </c>
      <c r="G1665" s="48">
        <v>0.166666666666666</v>
      </c>
      <c r="H1665" s="24" t="s">
        <v>6768</v>
      </c>
      <c r="I1665" s="47"/>
      <c r="J1665" s="24">
        <v>0.0</v>
      </c>
    </row>
    <row r="1666">
      <c r="A1666" s="24">
        <v>12.0</v>
      </c>
      <c r="B1666" s="24">
        <v>0.0</v>
      </c>
      <c r="C1666" s="47">
        <v>0.0</v>
      </c>
      <c r="D1666" s="35">
        <v>45590.0</v>
      </c>
      <c r="E1666" s="47"/>
      <c r="F1666" s="47">
        <v>0.0</v>
      </c>
      <c r="G1666" s="48">
        <v>0.0</v>
      </c>
      <c r="H1666" s="24" t="s">
        <v>6768</v>
      </c>
      <c r="I1666" s="47"/>
      <c r="J1666" s="24">
        <v>0.0</v>
      </c>
    </row>
    <row r="1667">
      <c r="A1667" s="24">
        <v>1.0</v>
      </c>
      <c r="B1667" s="24">
        <v>0.0</v>
      </c>
      <c r="C1667" s="47">
        <v>0.0</v>
      </c>
      <c r="D1667" s="35">
        <v>45591.0</v>
      </c>
      <c r="E1667" s="47"/>
      <c r="F1667" s="47">
        <v>0.0</v>
      </c>
      <c r="G1667" s="48">
        <v>0.0</v>
      </c>
      <c r="H1667" s="24" t="s">
        <v>6768</v>
      </c>
      <c r="I1667" s="47"/>
      <c r="J1667" s="24">
        <v>0.0</v>
      </c>
    </row>
    <row r="1668">
      <c r="A1668" s="24">
        <v>3.0</v>
      </c>
      <c r="B1668" s="24">
        <v>0.0</v>
      </c>
      <c r="C1668" s="47">
        <v>0.0</v>
      </c>
      <c r="D1668" s="35">
        <v>45592.0</v>
      </c>
      <c r="E1668" s="47"/>
      <c r="F1668" s="47">
        <v>0.0</v>
      </c>
      <c r="G1668" s="48">
        <v>0.0</v>
      </c>
      <c r="H1668" s="24" t="s">
        <v>6768</v>
      </c>
      <c r="I1668" s="47"/>
      <c r="J1668" s="24">
        <v>0.0</v>
      </c>
    </row>
    <row r="1669">
      <c r="A1669" s="24">
        <v>24.0</v>
      </c>
      <c r="B1669" s="24">
        <v>2.0</v>
      </c>
      <c r="C1669" s="47">
        <v>29.43</v>
      </c>
      <c r="D1669" s="35">
        <v>45593.0</v>
      </c>
      <c r="E1669" s="47">
        <v>14.715</v>
      </c>
      <c r="F1669" s="47">
        <v>1226.25</v>
      </c>
      <c r="G1669" s="48">
        <v>0.0833333333333333</v>
      </c>
      <c r="H1669" s="24" t="s">
        <v>6768</v>
      </c>
      <c r="I1669" s="47"/>
      <c r="J1669" s="24">
        <v>0.0</v>
      </c>
    </row>
    <row r="1670">
      <c r="A1670" s="24">
        <v>24.0</v>
      </c>
      <c r="B1670" s="24">
        <v>1.0</v>
      </c>
      <c r="C1670" s="47">
        <v>14.2</v>
      </c>
      <c r="D1670" s="35">
        <v>45594.0</v>
      </c>
      <c r="E1670" s="47">
        <v>14.2</v>
      </c>
      <c r="F1670" s="47">
        <v>591.666666666666</v>
      </c>
      <c r="G1670" s="48">
        <v>0.0416666666666666</v>
      </c>
      <c r="H1670" s="24" t="s">
        <v>6768</v>
      </c>
      <c r="I1670" s="47"/>
      <c r="J1670" s="24">
        <v>0.0</v>
      </c>
    </row>
    <row r="1671">
      <c r="A1671" s="24">
        <v>35.0</v>
      </c>
      <c r="B1671" s="24">
        <v>5.0</v>
      </c>
      <c r="C1671" s="47">
        <v>71.39</v>
      </c>
      <c r="D1671" s="35">
        <v>45595.0</v>
      </c>
      <c r="E1671" s="47">
        <v>14.278</v>
      </c>
      <c r="F1671" s="47">
        <v>2039.71428571428</v>
      </c>
      <c r="G1671" s="48">
        <v>0.142857142857142</v>
      </c>
      <c r="H1671" s="24" t="s">
        <v>6768</v>
      </c>
      <c r="I1671" s="47"/>
      <c r="J1671" s="24">
        <v>0.0</v>
      </c>
    </row>
    <row r="1672">
      <c r="A1672" s="24">
        <v>29.0</v>
      </c>
      <c r="B1672" s="24">
        <v>2.0</v>
      </c>
      <c r="C1672" s="47">
        <v>28.88</v>
      </c>
      <c r="D1672" s="35">
        <v>45596.0</v>
      </c>
      <c r="E1672" s="47">
        <v>14.44</v>
      </c>
      <c r="F1672" s="47">
        <v>995.862068965517</v>
      </c>
      <c r="G1672" s="48">
        <v>0.0689655172413793</v>
      </c>
      <c r="H1672" s="24" t="s">
        <v>6768</v>
      </c>
      <c r="I1672" s="47"/>
      <c r="J1672" s="24">
        <v>0.0</v>
      </c>
    </row>
    <row r="1673">
      <c r="A1673" s="24">
        <v>21.0</v>
      </c>
      <c r="B1673" s="24">
        <v>0.0</v>
      </c>
      <c r="C1673" s="47">
        <v>0.0</v>
      </c>
      <c r="D1673" s="35">
        <v>45597.0</v>
      </c>
      <c r="E1673" s="47"/>
      <c r="F1673" s="47">
        <v>0.0</v>
      </c>
      <c r="G1673" s="48">
        <v>0.0</v>
      </c>
      <c r="H1673" s="24" t="s">
        <v>6768</v>
      </c>
      <c r="I1673" s="47"/>
      <c r="J1673" s="24">
        <v>0.0</v>
      </c>
    </row>
    <row r="1674">
      <c r="A1674" s="24">
        <v>7.0</v>
      </c>
      <c r="B1674" s="24">
        <v>1.0</v>
      </c>
      <c r="C1674" s="47">
        <v>14.83</v>
      </c>
      <c r="D1674" s="35">
        <v>45598.0</v>
      </c>
      <c r="E1674" s="47">
        <v>14.83</v>
      </c>
      <c r="F1674" s="47">
        <v>2118.57142857142</v>
      </c>
      <c r="G1674" s="48">
        <v>0.142857142857142</v>
      </c>
      <c r="H1674" s="24" t="s">
        <v>6768</v>
      </c>
      <c r="I1674" s="47"/>
      <c r="J1674" s="24">
        <v>0.0</v>
      </c>
    </row>
    <row r="1675">
      <c r="A1675" s="24">
        <v>8.0</v>
      </c>
      <c r="B1675" s="24">
        <v>1.0</v>
      </c>
      <c r="C1675" s="47">
        <v>14.98</v>
      </c>
      <c r="D1675" s="35">
        <v>45599.0</v>
      </c>
      <c r="E1675" s="47">
        <v>14.98</v>
      </c>
      <c r="F1675" s="47">
        <v>1872.5</v>
      </c>
      <c r="G1675" s="48">
        <v>0.125</v>
      </c>
      <c r="H1675" s="24" t="s">
        <v>6768</v>
      </c>
      <c r="I1675" s="47"/>
      <c r="J1675" s="24">
        <v>0.0</v>
      </c>
    </row>
    <row r="1676">
      <c r="A1676" s="24">
        <v>38.0</v>
      </c>
      <c r="B1676" s="24">
        <v>2.0</v>
      </c>
      <c r="C1676" s="47">
        <v>29.39</v>
      </c>
      <c r="D1676" s="35">
        <v>45600.0</v>
      </c>
      <c r="E1676" s="47">
        <v>14.695</v>
      </c>
      <c r="F1676" s="47">
        <v>773.421052631579</v>
      </c>
      <c r="G1676" s="48">
        <v>0.0526315789473684</v>
      </c>
      <c r="H1676" s="24" t="s">
        <v>6768</v>
      </c>
      <c r="I1676" s="47"/>
      <c r="J1676" s="24">
        <v>0.0</v>
      </c>
    </row>
    <row r="1677">
      <c r="A1677" s="24">
        <v>38.0</v>
      </c>
      <c r="B1677" s="24">
        <v>3.0</v>
      </c>
      <c r="C1677" s="47">
        <v>43.76</v>
      </c>
      <c r="D1677" s="35">
        <v>45601.0</v>
      </c>
      <c r="E1677" s="47">
        <v>14.5866666666666</v>
      </c>
      <c r="F1677" s="47">
        <v>1151.57894736842</v>
      </c>
      <c r="G1677" s="48">
        <v>0.0789473684210526</v>
      </c>
      <c r="H1677" s="24" t="s">
        <v>6768</v>
      </c>
      <c r="I1677" s="47"/>
      <c r="J1677" s="24">
        <v>0.0</v>
      </c>
    </row>
    <row r="1678">
      <c r="A1678" s="24">
        <v>29.0</v>
      </c>
      <c r="B1678" s="24">
        <v>2.0</v>
      </c>
      <c r="C1678" s="47">
        <v>29.46</v>
      </c>
      <c r="D1678" s="35">
        <v>45602.0</v>
      </c>
      <c r="E1678" s="47">
        <v>14.73</v>
      </c>
      <c r="F1678" s="47">
        <v>1015.86206896551</v>
      </c>
      <c r="G1678" s="48">
        <v>0.0689655172413793</v>
      </c>
      <c r="H1678" s="24" t="s">
        <v>6768</v>
      </c>
      <c r="I1678" s="47"/>
      <c r="J1678" s="24">
        <v>0.0</v>
      </c>
    </row>
    <row r="1679">
      <c r="A1679" s="24">
        <v>27.0</v>
      </c>
      <c r="B1679" s="24">
        <v>2.0</v>
      </c>
      <c r="C1679" s="47">
        <v>29.03</v>
      </c>
      <c r="D1679" s="35">
        <v>45603.0</v>
      </c>
      <c r="E1679" s="47">
        <v>14.515</v>
      </c>
      <c r="F1679" s="47">
        <v>1075.18518518518</v>
      </c>
      <c r="G1679" s="48">
        <v>0.074074074074074</v>
      </c>
      <c r="H1679" s="24" t="s">
        <v>6768</v>
      </c>
      <c r="I1679" s="47"/>
      <c r="J1679" s="24">
        <v>0.0</v>
      </c>
    </row>
    <row r="1680">
      <c r="A1680" s="24">
        <v>46.0</v>
      </c>
      <c r="B1680" s="24">
        <v>2.0</v>
      </c>
      <c r="C1680" s="47">
        <v>29.0</v>
      </c>
      <c r="D1680" s="35">
        <v>45604.0</v>
      </c>
      <c r="E1680" s="47">
        <v>14.5</v>
      </c>
      <c r="F1680" s="47">
        <v>630.434782608695</v>
      </c>
      <c r="G1680" s="48">
        <v>0.0434782608695652</v>
      </c>
      <c r="H1680" s="24" t="s">
        <v>6768</v>
      </c>
      <c r="I1680" s="47"/>
      <c r="J1680" s="24">
        <v>0.0</v>
      </c>
    </row>
    <row r="1681">
      <c r="A1681" s="24">
        <v>3.0</v>
      </c>
      <c r="B1681" s="24">
        <v>0.0</v>
      </c>
      <c r="C1681" s="47">
        <v>0.0</v>
      </c>
      <c r="D1681" s="35">
        <v>45605.0</v>
      </c>
      <c r="E1681" s="47"/>
      <c r="F1681" s="47">
        <v>0.0</v>
      </c>
      <c r="G1681" s="48">
        <v>0.0</v>
      </c>
      <c r="H1681" s="24" t="s">
        <v>6768</v>
      </c>
      <c r="I1681" s="47"/>
      <c r="J1681" s="24">
        <v>0.0</v>
      </c>
    </row>
    <row r="1682">
      <c r="A1682" s="24">
        <v>8.0</v>
      </c>
      <c r="B1682" s="24">
        <v>1.0</v>
      </c>
      <c r="C1682" s="47">
        <v>13.86</v>
      </c>
      <c r="D1682" s="35">
        <v>45606.0</v>
      </c>
      <c r="E1682" s="47">
        <v>13.86</v>
      </c>
      <c r="F1682" s="47">
        <v>1732.5</v>
      </c>
      <c r="G1682" s="48">
        <v>0.125</v>
      </c>
      <c r="H1682" s="24" t="s">
        <v>6768</v>
      </c>
      <c r="I1682" s="47"/>
      <c r="J1682" s="24">
        <v>0.0</v>
      </c>
    </row>
    <row r="1683">
      <c r="A1683" s="24">
        <v>28.0</v>
      </c>
      <c r="B1683" s="24">
        <v>2.0</v>
      </c>
      <c r="C1683" s="47">
        <v>29.56</v>
      </c>
      <c r="D1683" s="35">
        <v>45607.0</v>
      </c>
      <c r="E1683" s="47">
        <v>14.78</v>
      </c>
      <c r="F1683" s="47">
        <v>1055.71428571428</v>
      </c>
      <c r="G1683" s="48">
        <v>0.0714285714285714</v>
      </c>
      <c r="H1683" s="24" t="s">
        <v>6768</v>
      </c>
      <c r="I1683" s="47"/>
      <c r="J1683" s="24">
        <v>0.0</v>
      </c>
    </row>
    <row r="1684">
      <c r="A1684" s="24">
        <v>5.0</v>
      </c>
      <c r="B1684" s="24">
        <v>0.0</v>
      </c>
      <c r="C1684" s="47">
        <v>0.0</v>
      </c>
      <c r="D1684" s="35">
        <v>45113.0</v>
      </c>
      <c r="E1684" s="47"/>
      <c r="F1684" s="47">
        <v>0.0</v>
      </c>
      <c r="G1684" s="48">
        <v>0.0</v>
      </c>
      <c r="H1684" s="24" t="s">
        <v>6769</v>
      </c>
      <c r="I1684" s="47"/>
      <c r="J1684" s="24">
        <v>0.0</v>
      </c>
    </row>
    <row r="1685">
      <c r="A1685" s="24">
        <v>5.0</v>
      </c>
      <c r="B1685" s="24">
        <v>0.0</v>
      </c>
      <c r="C1685" s="47">
        <v>0.0</v>
      </c>
      <c r="D1685" s="35">
        <v>45114.0</v>
      </c>
      <c r="E1685" s="47"/>
      <c r="F1685" s="47">
        <v>0.0</v>
      </c>
      <c r="G1685" s="48">
        <v>0.0</v>
      </c>
      <c r="H1685" s="24" t="s">
        <v>6769</v>
      </c>
      <c r="I1685" s="47"/>
      <c r="J1685" s="24">
        <v>0.0</v>
      </c>
    </row>
    <row r="1686">
      <c r="A1686" s="24">
        <v>5.0</v>
      </c>
      <c r="B1686" s="24">
        <v>0.0</v>
      </c>
      <c r="C1686" s="47">
        <v>0.0</v>
      </c>
      <c r="D1686" s="35">
        <v>45115.0</v>
      </c>
      <c r="E1686" s="47"/>
      <c r="F1686" s="47">
        <v>0.0</v>
      </c>
      <c r="G1686" s="48">
        <v>0.0</v>
      </c>
      <c r="H1686" s="24" t="s">
        <v>6769</v>
      </c>
      <c r="I1686" s="47"/>
      <c r="J1686" s="24">
        <v>0.0</v>
      </c>
    </row>
    <row r="1687">
      <c r="A1687" s="24">
        <v>8.0</v>
      </c>
      <c r="B1687" s="24">
        <v>1.0</v>
      </c>
      <c r="C1687" s="47">
        <v>14.74</v>
      </c>
      <c r="D1687" s="35">
        <v>45116.0</v>
      </c>
      <c r="E1687" s="47">
        <v>14.74</v>
      </c>
      <c r="F1687" s="47">
        <v>1842.5</v>
      </c>
      <c r="G1687" s="48">
        <v>0.125</v>
      </c>
      <c r="H1687" s="24" t="s">
        <v>6769</v>
      </c>
      <c r="I1687" s="47"/>
      <c r="J1687" s="24">
        <v>0.0</v>
      </c>
    </row>
    <row r="1688">
      <c r="A1688" s="24">
        <v>19.0</v>
      </c>
      <c r="B1688" s="24">
        <v>0.0</v>
      </c>
      <c r="C1688" s="47">
        <v>0.0</v>
      </c>
      <c r="D1688" s="35">
        <v>45117.0</v>
      </c>
      <c r="E1688" s="47"/>
      <c r="F1688" s="47">
        <v>0.0</v>
      </c>
      <c r="G1688" s="48">
        <v>0.0</v>
      </c>
      <c r="H1688" s="24" t="s">
        <v>6769</v>
      </c>
      <c r="I1688" s="47"/>
      <c r="J1688" s="24">
        <v>0.0</v>
      </c>
    </row>
    <row r="1689">
      <c r="A1689" s="24">
        <v>30.0</v>
      </c>
      <c r="B1689" s="24">
        <v>1.0</v>
      </c>
      <c r="C1689" s="47">
        <v>9.73</v>
      </c>
      <c r="D1689" s="35">
        <v>45118.0</v>
      </c>
      <c r="E1689" s="47">
        <v>9.73</v>
      </c>
      <c r="F1689" s="47">
        <v>324.333333333333</v>
      </c>
      <c r="G1689" s="48">
        <v>0.0333333333333333</v>
      </c>
      <c r="H1689" s="24" t="s">
        <v>6769</v>
      </c>
      <c r="I1689" s="47"/>
      <c r="J1689" s="24">
        <v>0.0</v>
      </c>
    </row>
    <row r="1690">
      <c r="A1690" s="24">
        <v>23.0</v>
      </c>
      <c r="B1690" s="24">
        <v>0.0</v>
      </c>
      <c r="C1690" s="47">
        <v>0.0</v>
      </c>
      <c r="D1690" s="35">
        <v>45119.0</v>
      </c>
      <c r="E1690" s="47"/>
      <c r="F1690" s="47">
        <v>0.0</v>
      </c>
      <c r="G1690" s="48">
        <v>0.0</v>
      </c>
      <c r="H1690" s="24" t="s">
        <v>6769</v>
      </c>
      <c r="I1690" s="47"/>
      <c r="J1690" s="24">
        <v>0.0</v>
      </c>
    </row>
    <row r="1691">
      <c r="A1691" s="24">
        <v>35.0</v>
      </c>
      <c r="B1691" s="24">
        <v>1.0</v>
      </c>
      <c r="C1691" s="47">
        <v>14.95</v>
      </c>
      <c r="D1691" s="35">
        <v>45120.0</v>
      </c>
      <c r="E1691" s="47">
        <v>14.95</v>
      </c>
      <c r="F1691" s="47">
        <v>427.142857142857</v>
      </c>
      <c r="G1691" s="48">
        <v>0.0285714285714285</v>
      </c>
      <c r="H1691" s="24" t="s">
        <v>6769</v>
      </c>
      <c r="I1691" s="47"/>
      <c r="J1691" s="24">
        <v>0.0</v>
      </c>
    </row>
    <row r="1692">
      <c r="A1692" s="24">
        <v>26.0</v>
      </c>
      <c r="B1692" s="24">
        <v>1.0</v>
      </c>
      <c r="C1692" s="47">
        <v>14.46</v>
      </c>
      <c r="D1692" s="35">
        <v>45121.0</v>
      </c>
      <c r="E1692" s="47">
        <v>14.46</v>
      </c>
      <c r="F1692" s="47">
        <v>556.153846153846</v>
      </c>
      <c r="G1692" s="48">
        <v>0.0384615384615384</v>
      </c>
      <c r="H1692" s="24" t="s">
        <v>6769</v>
      </c>
      <c r="I1692" s="47"/>
      <c r="J1692" s="24">
        <v>0.0</v>
      </c>
    </row>
    <row r="1693">
      <c r="A1693" s="24">
        <v>7.0</v>
      </c>
      <c r="B1693" s="24">
        <v>1.0</v>
      </c>
      <c r="C1693" s="47">
        <v>8.35</v>
      </c>
      <c r="D1693" s="35">
        <v>45122.0</v>
      </c>
      <c r="E1693" s="47">
        <v>8.35</v>
      </c>
      <c r="F1693" s="47">
        <v>1192.85714285714</v>
      </c>
      <c r="G1693" s="48">
        <v>0.142857142857142</v>
      </c>
      <c r="H1693" s="24" t="s">
        <v>6769</v>
      </c>
      <c r="I1693" s="47"/>
      <c r="J1693" s="24">
        <v>0.0</v>
      </c>
    </row>
    <row r="1694">
      <c r="A1694" s="24">
        <v>4.0</v>
      </c>
      <c r="B1694" s="24">
        <v>0.0</v>
      </c>
      <c r="C1694" s="47">
        <v>0.0</v>
      </c>
      <c r="D1694" s="35">
        <v>45123.0</v>
      </c>
      <c r="E1694" s="47"/>
      <c r="F1694" s="47">
        <v>0.0</v>
      </c>
      <c r="G1694" s="48">
        <v>0.0</v>
      </c>
      <c r="H1694" s="24" t="s">
        <v>6769</v>
      </c>
      <c r="I1694" s="47"/>
      <c r="J1694" s="24">
        <v>0.0</v>
      </c>
    </row>
    <row r="1695">
      <c r="A1695" s="24">
        <v>34.0</v>
      </c>
      <c r="B1695" s="24">
        <v>0.0</v>
      </c>
      <c r="C1695" s="47">
        <v>0.0</v>
      </c>
      <c r="D1695" s="35">
        <v>45124.0</v>
      </c>
      <c r="E1695" s="47"/>
      <c r="F1695" s="47">
        <v>0.0</v>
      </c>
      <c r="G1695" s="48">
        <v>0.0</v>
      </c>
      <c r="H1695" s="24" t="s">
        <v>6769</v>
      </c>
      <c r="I1695" s="47"/>
      <c r="J1695" s="24">
        <v>0.0</v>
      </c>
    </row>
    <row r="1696">
      <c r="A1696" s="24">
        <v>39.0</v>
      </c>
      <c r="B1696" s="24">
        <v>5.0</v>
      </c>
      <c r="C1696" s="47">
        <v>59.96</v>
      </c>
      <c r="D1696" s="35">
        <v>45125.0</v>
      </c>
      <c r="E1696" s="47">
        <v>11.992</v>
      </c>
      <c r="F1696" s="47">
        <v>1537.43589743589</v>
      </c>
      <c r="G1696" s="48">
        <v>0.128205128205128</v>
      </c>
      <c r="H1696" s="24" t="s">
        <v>6769</v>
      </c>
      <c r="I1696" s="47"/>
      <c r="J1696" s="24">
        <v>0.0</v>
      </c>
    </row>
    <row r="1697">
      <c r="A1697" s="24">
        <v>32.0</v>
      </c>
      <c r="B1697" s="24">
        <v>2.0</v>
      </c>
      <c r="C1697" s="47">
        <v>27.8</v>
      </c>
      <c r="D1697" s="35">
        <v>45126.0</v>
      </c>
      <c r="E1697" s="47">
        <v>13.9</v>
      </c>
      <c r="F1697" s="47">
        <v>868.75</v>
      </c>
      <c r="G1697" s="48">
        <v>0.0625</v>
      </c>
      <c r="H1697" s="24" t="s">
        <v>6769</v>
      </c>
      <c r="I1697" s="47"/>
      <c r="J1697" s="24">
        <v>0.0</v>
      </c>
    </row>
    <row r="1698">
      <c r="A1698" s="24">
        <v>28.0</v>
      </c>
      <c r="B1698" s="24">
        <v>3.0</v>
      </c>
      <c r="C1698" s="47">
        <v>44.02</v>
      </c>
      <c r="D1698" s="35">
        <v>45127.0</v>
      </c>
      <c r="E1698" s="47">
        <v>14.6733333333333</v>
      </c>
      <c r="F1698" s="47">
        <v>1572.14285714285</v>
      </c>
      <c r="G1698" s="48">
        <v>0.107142857142857</v>
      </c>
      <c r="H1698" s="24" t="s">
        <v>6769</v>
      </c>
      <c r="I1698" s="47"/>
      <c r="J1698" s="24">
        <v>0.0</v>
      </c>
    </row>
    <row r="1699">
      <c r="A1699" s="24">
        <v>33.0</v>
      </c>
      <c r="B1699" s="24">
        <v>1.0</v>
      </c>
      <c r="C1699" s="47">
        <v>14.61</v>
      </c>
      <c r="D1699" s="35">
        <v>45128.0</v>
      </c>
      <c r="E1699" s="47">
        <v>14.61</v>
      </c>
      <c r="F1699" s="47">
        <v>442.727272727272</v>
      </c>
      <c r="G1699" s="48">
        <v>0.0303030303030303</v>
      </c>
      <c r="H1699" s="24" t="s">
        <v>6769</v>
      </c>
      <c r="I1699" s="47"/>
      <c r="J1699" s="24">
        <v>0.0</v>
      </c>
    </row>
    <row r="1700">
      <c r="A1700" s="24">
        <v>8.0</v>
      </c>
      <c r="B1700" s="24">
        <v>0.0</v>
      </c>
      <c r="C1700" s="47">
        <v>0.0</v>
      </c>
      <c r="D1700" s="35">
        <v>45129.0</v>
      </c>
      <c r="E1700" s="47"/>
      <c r="F1700" s="47">
        <v>0.0</v>
      </c>
      <c r="G1700" s="48">
        <v>0.0</v>
      </c>
      <c r="H1700" s="24" t="s">
        <v>6769</v>
      </c>
      <c r="I1700" s="47"/>
      <c r="J1700" s="24">
        <v>0.0</v>
      </c>
    </row>
    <row r="1701">
      <c r="A1701" s="24">
        <v>19.0</v>
      </c>
      <c r="B1701" s="24">
        <v>0.0</v>
      </c>
      <c r="C1701" s="47">
        <v>0.0</v>
      </c>
      <c r="D1701" s="35">
        <v>45130.0</v>
      </c>
      <c r="E1701" s="47"/>
      <c r="F1701" s="47">
        <v>0.0</v>
      </c>
      <c r="G1701" s="48">
        <v>0.0</v>
      </c>
      <c r="H1701" s="24" t="s">
        <v>6769</v>
      </c>
      <c r="I1701" s="47"/>
      <c r="J1701" s="24">
        <v>0.0</v>
      </c>
    </row>
    <row r="1702">
      <c r="A1702" s="24">
        <v>29.0</v>
      </c>
      <c r="B1702" s="24">
        <v>0.0</v>
      </c>
      <c r="C1702" s="47">
        <v>0.0</v>
      </c>
      <c r="D1702" s="35">
        <v>45131.0</v>
      </c>
      <c r="E1702" s="47"/>
      <c r="F1702" s="47">
        <v>0.0</v>
      </c>
      <c r="G1702" s="48">
        <v>0.0</v>
      </c>
      <c r="H1702" s="24" t="s">
        <v>6769</v>
      </c>
      <c r="I1702" s="47"/>
      <c r="J1702" s="24">
        <v>0.0</v>
      </c>
    </row>
    <row r="1703">
      <c r="A1703" s="24">
        <v>42.0</v>
      </c>
      <c r="B1703" s="24">
        <v>4.0</v>
      </c>
      <c r="C1703" s="47">
        <v>47.21</v>
      </c>
      <c r="D1703" s="35">
        <v>45132.0</v>
      </c>
      <c r="E1703" s="47">
        <v>11.8025</v>
      </c>
      <c r="F1703" s="47">
        <v>1124.04761904761</v>
      </c>
      <c r="G1703" s="48">
        <v>0.0952380952380952</v>
      </c>
      <c r="H1703" s="24" t="s">
        <v>6769</v>
      </c>
      <c r="I1703" s="47"/>
      <c r="J1703" s="24">
        <v>0.0</v>
      </c>
    </row>
    <row r="1704">
      <c r="A1704" s="24">
        <v>58.0</v>
      </c>
      <c r="B1704" s="24">
        <v>4.0</v>
      </c>
      <c r="C1704" s="47">
        <v>49.53</v>
      </c>
      <c r="D1704" s="35">
        <v>45133.0</v>
      </c>
      <c r="E1704" s="47">
        <v>12.3825</v>
      </c>
      <c r="F1704" s="47">
        <v>853.965517241379</v>
      </c>
      <c r="G1704" s="48">
        <v>0.0689655172413793</v>
      </c>
      <c r="H1704" s="24" t="s">
        <v>6769</v>
      </c>
      <c r="I1704" s="47"/>
      <c r="J1704" s="24">
        <v>0.0</v>
      </c>
    </row>
    <row r="1705">
      <c r="A1705" s="24">
        <v>54.0</v>
      </c>
      <c r="B1705" s="24">
        <v>3.0</v>
      </c>
      <c r="C1705" s="47">
        <v>43.41</v>
      </c>
      <c r="D1705" s="35">
        <v>45134.0</v>
      </c>
      <c r="E1705" s="47">
        <v>14.47</v>
      </c>
      <c r="F1705" s="47">
        <v>803.888888888888</v>
      </c>
      <c r="G1705" s="48">
        <v>0.0555555555555555</v>
      </c>
      <c r="H1705" s="24" t="s">
        <v>6769</v>
      </c>
      <c r="I1705" s="47"/>
      <c r="J1705" s="24">
        <v>0.0</v>
      </c>
    </row>
    <row r="1706">
      <c r="A1706" s="24">
        <v>32.0</v>
      </c>
      <c r="B1706" s="24">
        <v>1.0</v>
      </c>
      <c r="C1706" s="47">
        <v>14.32</v>
      </c>
      <c r="D1706" s="35">
        <v>45135.0</v>
      </c>
      <c r="E1706" s="47">
        <v>14.32</v>
      </c>
      <c r="F1706" s="47">
        <v>447.5</v>
      </c>
      <c r="G1706" s="48">
        <v>0.03125</v>
      </c>
      <c r="H1706" s="24" t="s">
        <v>6769</v>
      </c>
      <c r="I1706" s="47"/>
      <c r="J1706" s="24">
        <v>0.0</v>
      </c>
    </row>
    <row r="1707">
      <c r="A1707" s="24">
        <v>5.0</v>
      </c>
      <c r="B1707" s="24">
        <v>2.0</v>
      </c>
      <c r="C1707" s="47">
        <v>29.39</v>
      </c>
      <c r="D1707" s="35">
        <v>45136.0</v>
      </c>
      <c r="E1707" s="47">
        <v>14.695</v>
      </c>
      <c r="F1707" s="47">
        <v>5878.0</v>
      </c>
      <c r="G1707" s="48">
        <v>0.4</v>
      </c>
      <c r="H1707" s="24" t="s">
        <v>6769</v>
      </c>
      <c r="I1707" s="47"/>
      <c r="J1707" s="24">
        <v>0.0</v>
      </c>
    </row>
    <row r="1708">
      <c r="A1708" s="24">
        <v>4.0</v>
      </c>
      <c r="B1708" s="24">
        <v>0.0</v>
      </c>
      <c r="C1708" s="47">
        <v>0.0</v>
      </c>
      <c r="D1708" s="35">
        <v>45137.0</v>
      </c>
      <c r="E1708" s="47"/>
      <c r="F1708" s="47">
        <v>0.0</v>
      </c>
      <c r="G1708" s="48">
        <v>0.0</v>
      </c>
      <c r="H1708" s="24" t="s">
        <v>6769</v>
      </c>
      <c r="I1708" s="47"/>
      <c r="J1708" s="24">
        <v>0.0</v>
      </c>
    </row>
    <row r="1709">
      <c r="A1709" s="24">
        <v>44.0</v>
      </c>
      <c r="B1709" s="24">
        <v>3.0</v>
      </c>
      <c r="C1709" s="47">
        <v>44.03</v>
      </c>
      <c r="D1709" s="35">
        <v>45138.0</v>
      </c>
      <c r="E1709" s="47">
        <v>14.6766666666666</v>
      </c>
      <c r="F1709" s="47">
        <v>1000.68181818181</v>
      </c>
      <c r="G1709" s="48">
        <v>0.0681818181818181</v>
      </c>
      <c r="H1709" s="24" t="s">
        <v>6769</v>
      </c>
      <c r="I1709" s="47"/>
      <c r="J1709" s="24">
        <v>0.0</v>
      </c>
    </row>
    <row r="1710">
      <c r="A1710" s="24">
        <v>57.0</v>
      </c>
      <c r="B1710" s="24">
        <v>1.0</v>
      </c>
      <c r="C1710" s="47">
        <v>14.95</v>
      </c>
      <c r="D1710" s="35">
        <v>45139.0</v>
      </c>
      <c r="E1710" s="47">
        <v>14.95</v>
      </c>
      <c r="F1710" s="47">
        <v>262.280701754386</v>
      </c>
      <c r="G1710" s="48">
        <v>0.0175438596491228</v>
      </c>
      <c r="H1710" s="24" t="s">
        <v>6769</v>
      </c>
      <c r="I1710" s="47"/>
      <c r="J1710" s="24">
        <v>0.0</v>
      </c>
    </row>
    <row r="1711">
      <c r="A1711" s="24">
        <v>46.0</v>
      </c>
      <c r="B1711" s="24">
        <v>4.0</v>
      </c>
      <c r="C1711" s="47">
        <v>56.25</v>
      </c>
      <c r="D1711" s="35">
        <v>45140.0</v>
      </c>
      <c r="E1711" s="47">
        <v>14.0625</v>
      </c>
      <c r="F1711" s="47">
        <v>1222.82608695652</v>
      </c>
      <c r="G1711" s="48">
        <v>0.0869565217391304</v>
      </c>
      <c r="H1711" s="24" t="s">
        <v>6769</v>
      </c>
      <c r="I1711" s="47">
        <v>56.25</v>
      </c>
      <c r="J1711" s="24">
        <v>1.0</v>
      </c>
    </row>
    <row r="1712">
      <c r="A1712" s="24">
        <v>53.0</v>
      </c>
      <c r="B1712" s="24">
        <v>3.0</v>
      </c>
      <c r="C1712" s="47">
        <v>43.35</v>
      </c>
      <c r="D1712" s="35">
        <v>45141.0</v>
      </c>
      <c r="E1712" s="47">
        <v>14.45</v>
      </c>
      <c r="F1712" s="47">
        <v>817.924528301886</v>
      </c>
      <c r="G1712" s="48">
        <v>0.0566037735849056</v>
      </c>
      <c r="H1712" s="24" t="s">
        <v>6769</v>
      </c>
      <c r="I1712" s="47"/>
      <c r="J1712" s="24">
        <v>0.0</v>
      </c>
    </row>
    <row r="1713">
      <c r="A1713" s="24">
        <v>37.0</v>
      </c>
      <c r="B1713" s="24">
        <v>4.0</v>
      </c>
      <c r="C1713" s="47">
        <v>57.14</v>
      </c>
      <c r="D1713" s="35">
        <v>45142.0</v>
      </c>
      <c r="E1713" s="47">
        <v>14.285</v>
      </c>
      <c r="F1713" s="47">
        <v>1544.32432432432</v>
      </c>
      <c r="G1713" s="48">
        <v>0.108108108108108</v>
      </c>
      <c r="H1713" s="24" t="s">
        <v>6769</v>
      </c>
      <c r="I1713" s="47"/>
      <c r="J1713" s="24">
        <v>0.0</v>
      </c>
    </row>
    <row r="1714">
      <c r="A1714" s="24">
        <v>9.0</v>
      </c>
      <c r="B1714" s="24">
        <v>1.0</v>
      </c>
      <c r="C1714" s="47">
        <v>14.58</v>
      </c>
      <c r="D1714" s="35">
        <v>45143.0</v>
      </c>
      <c r="E1714" s="47">
        <v>14.58</v>
      </c>
      <c r="F1714" s="47">
        <v>1620.0</v>
      </c>
      <c r="G1714" s="48">
        <v>0.111111111111111</v>
      </c>
      <c r="H1714" s="24" t="s">
        <v>6769</v>
      </c>
      <c r="I1714" s="47"/>
      <c r="J1714" s="24">
        <v>0.0</v>
      </c>
    </row>
    <row r="1715">
      <c r="A1715" s="24">
        <v>12.0</v>
      </c>
      <c r="B1715" s="24">
        <v>1.0</v>
      </c>
      <c r="C1715" s="47">
        <v>14.6</v>
      </c>
      <c r="D1715" s="35">
        <v>45144.0</v>
      </c>
      <c r="E1715" s="47">
        <v>14.6</v>
      </c>
      <c r="F1715" s="47">
        <v>1216.66666666666</v>
      </c>
      <c r="G1715" s="48">
        <v>0.0833333333333333</v>
      </c>
      <c r="H1715" s="24" t="s">
        <v>6769</v>
      </c>
      <c r="I1715" s="47"/>
      <c r="J1715" s="24">
        <v>0.0</v>
      </c>
    </row>
    <row r="1716">
      <c r="A1716" s="24">
        <v>35.0</v>
      </c>
      <c r="B1716" s="24">
        <v>0.0</v>
      </c>
      <c r="C1716" s="47">
        <v>0.0</v>
      </c>
      <c r="D1716" s="35">
        <v>45145.0</v>
      </c>
      <c r="E1716" s="47"/>
      <c r="F1716" s="47">
        <v>0.0</v>
      </c>
      <c r="G1716" s="48">
        <v>0.0</v>
      </c>
      <c r="H1716" s="24" t="s">
        <v>6769</v>
      </c>
      <c r="I1716" s="47"/>
      <c r="J1716" s="24">
        <v>0.0</v>
      </c>
    </row>
    <row r="1717">
      <c r="A1717" s="24">
        <v>57.0</v>
      </c>
      <c r="B1717" s="24">
        <v>2.0</v>
      </c>
      <c r="C1717" s="47">
        <v>24.44</v>
      </c>
      <c r="D1717" s="35">
        <v>45146.0</v>
      </c>
      <c r="E1717" s="47">
        <v>12.22</v>
      </c>
      <c r="F1717" s="47">
        <v>428.771929824561</v>
      </c>
      <c r="G1717" s="48">
        <v>0.0350877192982456</v>
      </c>
      <c r="H1717" s="24" t="s">
        <v>6769</v>
      </c>
      <c r="I1717" s="47"/>
      <c r="J1717" s="24">
        <v>0.0</v>
      </c>
    </row>
    <row r="1718">
      <c r="A1718" s="24">
        <v>42.0</v>
      </c>
      <c r="B1718" s="24">
        <v>1.0</v>
      </c>
      <c r="C1718" s="47">
        <v>11.57</v>
      </c>
      <c r="D1718" s="35">
        <v>45147.0</v>
      </c>
      <c r="E1718" s="47">
        <v>11.57</v>
      </c>
      <c r="F1718" s="47">
        <v>275.47619047619</v>
      </c>
      <c r="G1718" s="48">
        <v>0.0238095238095238</v>
      </c>
      <c r="H1718" s="24" t="s">
        <v>6769</v>
      </c>
      <c r="I1718" s="47"/>
      <c r="J1718" s="24">
        <v>0.0</v>
      </c>
    </row>
    <row r="1719">
      <c r="A1719" s="24">
        <v>42.0</v>
      </c>
      <c r="B1719" s="24">
        <v>3.0</v>
      </c>
      <c r="C1719" s="47">
        <v>43.05</v>
      </c>
      <c r="D1719" s="35">
        <v>45148.0</v>
      </c>
      <c r="E1719" s="47">
        <v>14.35</v>
      </c>
      <c r="F1719" s="47">
        <v>1025.0</v>
      </c>
      <c r="G1719" s="48">
        <v>0.0714285714285714</v>
      </c>
      <c r="H1719" s="24" t="s">
        <v>6769</v>
      </c>
      <c r="I1719" s="47"/>
      <c r="J1719" s="24">
        <v>0.0</v>
      </c>
    </row>
    <row r="1720">
      <c r="A1720" s="24">
        <v>17.0</v>
      </c>
      <c r="B1720" s="24">
        <v>1.0</v>
      </c>
      <c r="C1720" s="47">
        <v>14.34</v>
      </c>
      <c r="D1720" s="35">
        <v>45149.0</v>
      </c>
      <c r="E1720" s="47">
        <v>14.34</v>
      </c>
      <c r="F1720" s="47">
        <v>843.529411764705</v>
      </c>
      <c r="G1720" s="48">
        <v>0.0588235294117647</v>
      </c>
      <c r="H1720" s="24" t="s">
        <v>6769</v>
      </c>
      <c r="I1720" s="47"/>
      <c r="J1720" s="24">
        <v>0.0</v>
      </c>
    </row>
    <row r="1721">
      <c r="A1721" s="24">
        <v>3.0</v>
      </c>
      <c r="B1721" s="24">
        <v>1.0</v>
      </c>
      <c r="C1721" s="47">
        <v>13.99</v>
      </c>
      <c r="D1721" s="35">
        <v>45150.0</v>
      </c>
      <c r="E1721" s="47">
        <v>13.99</v>
      </c>
      <c r="F1721" s="47">
        <v>4663.33333333333</v>
      </c>
      <c r="G1721" s="48">
        <v>0.333333333333333</v>
      </c>
      <c r="H1721" s="24" t="s">
        <v>6769</v>
      </c>
      <c r="I1721" s="47"/>
      <c r="J1721" s="24">
        <v>0.0</v>
      </c>
    </row>
    <row r="1722">
      <c r="A1722" s="24">
        <v>11.0</v>
      </c>
      <c r="B1722" s="24">
        <v>0.0</v>
      </c>
      <c r="C1722" s="47">
        <v>0.0</v>
      </c>
      <c r="D1722" s="35">
        <v>45151.0</v>
      </c>
      <c r="E1722" s="47"/>
      <c r="F1722" s="47">
        <v>0.0</v>
      </c>
      <c r="G1722" s="48">
        <v>0.0</v>
      </c>
      <c r="H1722" s="24" t="s">
        <v>6769</v>
      </c>
      <c r="I1722" s="47"/>
      <c r="J1722" s="24">
        <v>0.0</v>
      </c>
    </row>
    <row r="1723">
      <c r="A1723" s="24">
        <v>34.0</v>
      </c>
      <c r="B1723" s="24">
        <v>2.0</v>
      </c>
      <c r="C1723" s="47">
        <v>28.5</v>
      </c>
      <c r="D1723" s="35">
        <v>45152.0</v>
      </c>
      <c r="E1723" s="47">
        <v>14.25</v>
      </c>
      <c r="F1723" s="47">
        <v>838.235294117647</v>
      </c>
      <c r="G1723" s="48">
        <v>0.0588235294117647</v>
      </c>
      <c r="H1723" s="24" t="s">
        <v>6769</v>
      </c>
      <c r="I1723" s="47"/>
      <c r="J1723" s="24">
        <v>0.0</v>
      </c>
    </row>
    <row r="1724">
      <c r="A1724" s="24">
        <v>34.0</v>
      </c>
      <c r="B1724" s="24">
        <v>1.0</v>
      </c>
      <c r="C1724" s="47">
        <v>14.29</v>
      </c>
      <c r="D1724" s="35">
        <v>45153.0</v>
      </c>
      <c r="E1724" s="47">
        <v>14.29</v>
      </c>
      <c r="F1724" s="47">
        <v>420.294117647058</v>
      </c>
      <c r="G1724" s="48">
        <v>0.0294117647058823</v>
      </c>
      <c r="H1724" s="24" t="s">
        <v>6769</v>
      </c>
      <c r="I1724" s="47"/>
      <c r="J1724" s="24">
        <v>0.0</v>
      </c>
    </row>
    <row r="1725">
      <c r="A1725" s="24">
        <v>48.0</v>
      </c>
      <c r="B1725" s="24">
        <v>3.0</v>
      </c>
      <c r="C1725" s="47">
        <v>43.9</v>
      </c>
      <c r="D1725" s="35">
        <v>45154.0</v>
      </c>
      <c r="E1725" s="47">
        <v>14.6333333333333</v>
      </c>
      <c r="F1725" s="47">
        <v>914.583333333333</v>
      </c>
      <c r="G1725" s="48">
        <v>0.0625</v>
      </c>
      <c r="H1725" s="24" t="s">
        <v>6769</v>
      </c>
      <c r="I1725" s="47"/>
      <c r="J1725" s="24">
        <v>0.0</v>
      </c>
    </row>
    <row r="1726">
      <c r="A1726" s="24">
        <v>29.0</v>
      </c>
      <c r="B1726" s="24">
        <v>1.0</v>
      </c>
      <c r="C1726" s="47">
        <v>15.0</v>
      </c>
      <c r="D1726" s="35">
        <v>45155.0</v>
      </c>
      <c r="E1726" s="47">
        <v>15.0</v>
      </c>
      <c r="F1726" s="47">
        <v>517.241379310344</v>
      </c>
      <c r="G1726" s="48">
        <v>0.0344827586206896</v>
      </c>
      <c r="H1726" s="24" t="s">
        <v>6769</v>
      </c>
      <c r="I1726" s="47"/>
      <c r="J1726" s="24">
        <v>0.0</v>
      </c>
    </row>
    <row r="1727">
      <c r="A1727" s="24">
        <v>31.0</v>
      </c>
      <c r="B1727" s="24">
        <v>1.0</v>
      </c>
      <c r="C1727" s="47">
        <v>14.3</v>
      </c>
      <c r="D1727" s="35">
        <v>45156.0</v>
      </c>
      <c r="E1727" s="47">
        <v>14.3</v>
      </c>
      <c r="F1727" s="47">
        <v>461.290322580645</v>
      </c>
      <c r="G1727" s="48">
        <v>0.032258064516129</v>
      </c>
      <c r="H1727" s="24" t="s">
        <v>6769</v>
      </c>
      <c r="I1727" s="47"/>
      <c r="J1727" s="24">
        <v>0.0</v>
      </c>
    </row>
    <row r="1728">
      <c r="A1728" s="24">
        <v>2.0</v>
      </c>
      <c r="B1728" s="24">
        <v>0.0</v>
      </c>
      <c r="C1728" s="47">
        <v>0.0</v>
      </c>
      <c r="D1728" s="35">
        <v>45157.0</v>
      </c>
      <c r="E1728" s="47"/>
      <c r="F1728" s="47">
        <v>0.0</v>
      </c>
      <c r="G1728" s="48">
        <v>0.0</v>
      </c>
      <c r="H1728" s="24" t="s">
        <v>6769</v>
      </c>
      <c r="I1728" s="47"/>
      <c r="J1728" s="24">
        <v>0.0</v>
      </c>
    </row>
    <row r="1729">
      <c r="A1729" s="24">
        <v>6.0</v>
      </c>
      <c r="B1729" s="24">
        <v>0.0</v>
      </c>
      <c r="C1729" s="47">
        <v>0.0</v>
      </c>
      <c r="D1729" s="35">
        <v>45158.0</v>
      </c>
      <c r="E1729" s="47"/>
      <c r="F1729" s="47">
        <v>0.0</v>
      </c>
      <c r="G1729" s="48">
        <v>0.0</v>
      </c>
      <c r="H1729" s="24" t="s">
        <v>6769</v>
      </c>
      <c r="I1729" s="47"/>
      <c r="J1729" s="24">
        <v>0.0</v>
      </c>
    </row>
    <row r="1730">
      <c r="A1730" s="24">
        <v>21.0</v>
      </c>
      <c r="B1730" s="24">
        <v>1.0</v>
      </c>
      <c r="C1730" s="47">
        <v>12.86</v>
      </c>
      <c r="D1730" s="35">
        <v>45159.0</v>
      </c>
      <c r="E1730" s="47">
        <v>12.86</v>
      </c>
      <c r="F1730" s="47">
        <v>612.380952380952</v>
      </c>
      <c r="G1730" s="48">
        <v>0.0476190476190476</v>
      </c>
      <c r="H1730" s="24" t="s">
        <v>6769</v>
      </c>
      <c r="I1730" s="47"/>
      <c r="J1730" s="24">
        <v>0.0</v>
      </c>
    </row>
    <row r="1731">
      <c r="A1731" s="24">
        <v>60.0</v>
      </c>
      <c r="B1731" s="24">
        <v>3.0</v>
      </c>
      <c r="C1731" s="47">
        <v>43.13</v>
      </c>
      <c r="D1731" s="35">
        <v>45160.0</v>
      </c>
      <c r="E1731" s="47">
        <v>14.3766666666666</v>
      </c>
      <c r="F1731" s="47">
        <v>718.833333333333</v>
      </c>
      <c r="G1731" s="48">
        <v>0.05</v>
      </c>
      <c r="H1731" s="24" t="s">
        <v>6769</v>
      </c>
      <c r="I1731" s="47"/>
      <c r="J1731" s="24">
        <v>0.0</v>
      </c>
    </row>
    <row r="1732">
      <c r="A1732" s="24">
        <v>35.0</v>
      </c>
      <c r="B1732" s="24">
        <v>0.0</v>
      </c>
      <c r="C1732" s="47">
        <v>0.0</v>
      </c>
      <c r="D1732" s="35">
        <v>45161.0</v>
      </c>
      <c r="E1732" s="47"/>
      <c r="F1732" s="47">
        <v>0.0</v>
      </c>
      <c r="G1732" s="48">
        <v>0.0</v>
      </c>
      <c r="H1732" s="24" t="s">
        <v>6769</v>
      </c>
      <c r="I1732" s="47"/>
      <c r="J1732" s="24">
        <v>0.0</v>
      </c>
    </row>
    <row r="1733">
      <c r="A1733" s="24">
        <v>43.0</v>
      </c>
      <c r="B1733" s="24">
        <v>0.0</v>
      </c>
      <c r="C1733" s="47">
        <v>0.0</v>
      </c>
      <c r="D1733" s="35">
        <v>45162.0</v>
      </c>
      <c r="E1733" s="47"/>
      <c r="F1733" s="47">
        <v>0.0</v>
      </c>
      <c r="G1733" s="48">
        <v>0.0</v>
      </c>
      <c r="H1733" s="24" t="s">
        <v>6769</v>
      </c>
      <c r="I1733" s="47"/>
      <c r="J1733" s="24">
        <v>0.0</v>
      </c>
    </row>
    <row r="1734">
      <c r="A1734" s="24">
        <v>30.0</v>
      </c>
      <c r="B1734" s="24">
        <v>0.0</v>
      </c>
      <c r="C1734" s="47">
        <v>0.0</v>
      </c>
      <c r="D1734" s="35">
        <v>45163.0</v>
      </c>
      <c r="E1734" s="47"/>
      <c r="F1734" s="47">
        <v>0.0</v>
      </c>
      <c r="G1734" s="48">
        <v>0.0</v>
      </c>
      <c r="H1734" s="24" t="s">
        <v>6769</v>
      </c>
      <c r="I1734" s="47"/>
      <c r="J1734" s="24">
        <v>0.0</v>
      </c>
    </row>
    <row r="1735">
      <c r="A1735" s="24">
        <v>6.0</v>
      </c>
      <c r="B1735" s="24">
        <v>1.0</v>
      </c>
      <c r="C1735" s="47">
        <v>13.74</v>
      </c>
      <c r="D1735" s="35">
        <v>45164.0</v>
      </c>
      <c r="E1735" s="47">
        <v>13.74</v>
      </c>
      <c r="F1735" s="47">
        <v>2290.0</v>
      </c>
      <c r="G1735" s="48">
        <v>0.166666666666666</v>
      </c>
      <c r="H1735" s="24" t="s">
        <v>6769</v>
      </c>
      <c r="I1735" s="47"/>
      <c r="J1735" s="24">
        <v>0.0</v>
      </c>
    </row>
    <row r="1736">
      <c r="A1736" s="24">
        <v>5.0</v>
      </c>
      <c r="B1736" s="24">
        <v>0.0</v>
      </c>
      <c r="C1736" s="47">
        <v>0.0</v>
      </c>
      <c r="D1736" s="35">
        <v>45165.0</v>
      </c>
      <c r="E1736" s="47"/>
      <c r="F1736" s="47">
        <v>0.0</v>
      </c>
      <c r="G1736" s="48">
        <v>0.0</v>
      </c>
      <c r="H1736" s="24" t="s">
        <v>6769</v>
      </c>
      <c r="I1736" s="47"/>
      <c r="J1736" s="24">
        <v>0.0</v>
      </c>
    </row>
    <row r="1737">
      <c r="A1737" s="24">
        <v>59.0</v>
      </c>
      <c r="B1737" s="24">
        <v>2.0</v>
      </c>
      <c r="C1737" s="47">
        <v>37.56</v>
      </c>
      <c r="D1737" s="35">
        <v>45166.0</v>
      </c>
      <c r="E1737" s="47">
        <v>18.78</v>
      </c>
      <c r="F1737" s="47">
        <v>636.610169491525</v>
      </c>
      <c r="G1737" s="48">
        <v>0.0338983050847457</v>
      </c>
      <c r="H1737" s="24" t="s">
        <v>6769</v>
      </c>
      <c r="I1737" s="47"/>
      <c r="J1737" s="24">
        <v>0.0</v>
      </c>
    </row>
    <row r="1738">
      <c r="A1738" s="24">
        <v>55.0</v>
      </c>
      <c r="B1738" s="24">
        <v>4.0</v>
      </c>
      <c r="C1738" s="47">
        <v>73.13</v>
      </c>
      <c r="D1738" s="35">
        <v>45167.0</v>
      </c>
      <c r="E1738" s="47">
        <v>18.2825</v>
      </c>
      <c r="F1738" s="47">
        <v>1329.63636363636</v>
      </c>
      <c r="G1738" s="48">
        <v>0.0727272727272727</v>
      </c>
      <c r="H1738" s="24" t="s">
        <v>6769</v>
      </c>
      <c r="I1738" s="47"/>
      <c r="J1738" s="24">
        <v>0.0</v>
      </c>
    </row>
    <row r="1739">
      <c r="A1739" s="24">
        <v>39.0</v>
      </c>
      <c r="B1739" s="24">
        <v>4.0</v>
      </c>
      <c r="C1739" s="47">
        <v>64.3</v>
      </c>
      <c r="D1739" s="35">
        <v>45168.0</v>
      </c>
      <c r="E1739" s="47">
        <v>16.075</v>
      </c>
      <c r="F1739" s="47">
        <v>1648.71794871794</v>
      </c>
      <c r="G1739" s="48">
        <v>0.102564102564102</v>
      </c>
      <c r="H1739" s="24" t="s">
        <v>6769</v>
      </c>
      <c r="I1739" s="47"/>
      <c r="J1739" s="24">
        <v>0.0</v>
      </c>
    </row>
    <row r="1740">
      <c r="A1740" s="24">
        <v>40.0</v>
      </c>
      <c r="B1740" s="24">
        <v>1.0</v>
      </c>
      <c r="C1740" s="47">
        <v>8.15</v>
      </c>
      <c r="D1740" s="35">
        <v>45169.0</v>
      </c>
      <c r="E1740" s="47">
        <v>8.15</v>
      </c>
      <c r="F1740" s="47">
        <v>203.75</v>
      </c>
      <c r="G1740" s="48">
        <v>0.025</v>
      </c>
      <c r="H1740" s="24" t="s">
        <v>6769</v>
      </c>
      <c r="I1740" s="47"/>
      <c r="J1740" s="24">
        <v>0.0</v>
      </c>
    </row>
    <row r="1741">
      <c r="A1741" s="24">
        <v>32.0</v>
      </c>
      <c r="B1741" s="24">
        <v>1.0</v>
      </c>
      <c r="C1741" s="47">
        <v>14.33</v>
      </c>
      <c r="D1741" s="35">
        <v>45170.0</v>
      </c>
      <c r="E1741" s="47">
        <v>14.33</v>
      </c>
      <c r="F1741" s="47">
        <v>447.8125</v>
      </c>
      <c r="G1741" s="48">
        <v>0.03125</v>
      </c>
      <c r="H1741" s="24" t="s">
        <v>6769</v>
      </c>
      <c r="I1741" s="47"/>
      <c r="J1741" s="24">
        <v>0.0</v>
      </c>
    </row>
    <row r="1742">
      <c r="A1742" s="24">
        <v>6.0</v>
      </c>
      <c r="B1742" s="24">
        <v>0.0</v>
      </c>
      <c r="C1742" s="47">
        <v>0.0</v>
      </c>
      <c r="D1742" s="35">
        <v>45171.0</v>
      </c>
      <c r="E1742" s="47"/>
      <c r="F1742" s="47">
        <v>0.0</v>
      </c>
      <c r="G1742" s="48">
        <v>0.0</v>
      </c>
      <c r="H1742" s="24" t="s">
        <v>6769</v>
      </c>
      <c r="I1742" s="47"/>
      <c r="J1742" s="24">
        <v>0.0</v>
      </c>
    </row>
    <row r="1743">
      <c r="A1743" s="24">
        <v>6.0</v>
      </c>
      <c r="B1743" s="24">
        <v>0.0</v>
      </c>
      <c r="C1743" s="47">
        <v>0.0</v>
      </c>
      <c r="D1743" s="35">
        <v>45172.0</v>
      </c>
      <c r="E1743" s="47"/>
      <c r="F1743" s="47">
        <v>0.0</v>
      </c>
      <c r="G1743" s="48">
        <v>0.0</v>
      </c>
      <c r="H1743" s="24" t="s">
        <v>6769</v>
      </c>
      <c r="I1743" s="47"/>
      <c r="J1743" s="24">
        <v>0.0</v>
      </c>
    </row>
    <row r="1744">
      <c r="A1744" s="24">
        <v>8.0</v>
      </c>
      <c r="B1744" s="24">
        <v>3.0</v>
      </c>
      <c r="C1744" s="47">
        <v>54.66</v>
      </c>
      <c r="D1744" s="35">
        <v>45173.0</v>
      </c>
      <c r="E1744" s="47">
        <v>18.22</v>
      </c>
      <c r="F1744" s="47">
        <v>6832.5</v>
      </c>
      <c r="G1744" s="48">
        <v>0.375</v>
      </c>
      <c r="H1744" s="24" t="s">
        <v>6769</v>
      </c>
      <c r="I1744" s="47"/>
      <c r="J1744" s="24">
        <v>0.0</v>
      </c>
    </row>
    <row r="1745">
      <c r="A1745" s="24">
        <v>27.0</v>
      </c>
      <c r="B1745" s="24">
        <v>1.0</v>
      </c>
      <c r="C1745" s="47">
        <v>19.21</v>
      </c>
      <c r="D1745" s="35">
        <v>45174.0</v>
      </c>
      <c r="E1745" s="47">
        <v>19.21</v>
      </c>
      <c r="F1745" s="47">
        <v>711.481481481481</v>
      </c>
      <c r="G1745" s="48">
        <v>0.037037037037037</v>
      </c>
      <c r="H1745" s="24" t="s">
        <v>6769</v>
      </c>
      <c r="I1745" s="47"/>
      <c r="J1745" s="24">
        <v>0.0</v>
      </c>
    </row>
    <row r="1746">
      <c r="A1746" s="24">
        <v>49.0</v>
      </c>
      <c r="B1746" s="24">
        <v>3.0</v>
      </c>
      <c r="C1746" s="47">
        <v>58.0</v>
      </c>
      <c r="D1746" s="35">
        <v>45175.0</v>
      </c>
      <c r="E1746" s="47">
        <v>19.3333333333333</v>
      </c>
      <c r="F1746" s="47">
        <v>1183.67346938775</v>
      </c>
      <c r="G1746" s="48">
        <v>0.0612244897959183</v>
      </c>
      <c r="H1746" s="24" t="s">
        <v>6769</v>
      </c>
      <c r="I1746" s="47"/>
      <c r="J1746" s="24">
        <v>0.0</v>
      </c>
    </row>
    <row r="1747">
      <c r="A1747" s="24">
        <v>48.0</v>
      </c>
      <c r="B1747" s="24">
        <v>4.0</v>
      </c>
      <c r="C1747" s="47">
        <v>67.99</v>
      </c>
      <c r="D1747" s="35">
        <v>45176.0</v>
      </c>
      <c r="E1747" s="47">
        <v>16.9975</v>
      </c>
      <c r="F1747" s="47">
        <v>1416.45833333333</v>
      </c>
      <c r="G1747" s="48">
        <v>0.0833333333333333</v>
      </c>
      <c r="H1747" s="24" t="s">
        <v>6769</v>
      </c>
      <c r="I1747" s="47"/>
      <c r="J1747" s="24">
        <v>0.0</v>
      </c>
    </row>
    <row r="1748">
      <c r="A1748" s="24">
        <v>29.0</v>
      </c>
      <c r="B1748" s="24">
        <v>0.0</v>
      </c>
      <c r="C1748" s="47">
        <v>0.0</v>
      </c>
      <c r="D1748" s="35">
        <v>45177.0</v>
      </c>
      <c r="E1748" s="47"/>
      <c r="F1748" s="47">
        <v>0.0</v>
      </c>
      <c r="G1748" s="48">
        <v>0.0</v>
      </c>
      <c r="H1748" s="24" t="s">
        <v>6769</v>
      </c>
      <c r="I1748" s="47"/>
      <c r="J1748" s="24">
        <v>0.0</v>
      </c>
    </row>
    <row r="1749">
      <c r="A1749" s="24">
        <v>3.0</v>
      </c>
      <c r="B1749" s="24">
        <v>0.0</v>
      </c>
      <c r="C1749" s="47">
        <v>0.0</v>
      </c>
      <c r="D1749" s="35">
        <v>45178.0</v>
      </c>
      <c r="E1749" s="47"/>
      <c r="F1749" s="47">
        <v>0.0</v>
      </c>
      <c r="G1749" s="48">
        <v>0.0</v>
      </c>
      <c r="H1749" s="24" t="s">
        <v>6769</v>
      </c>
      <c r="I1749" s="47"/>
      <c r="J1749" s="24">
        <v>0.0</v>
      </c>
    </row>
    <row r="1750">
      <c r="A1750" s="24">
        <v>6.0</v>
      </c>
      <c r="B1750" s="24">
        <v>0.0</v>
      </c>
      <c r="C1750" s="47">
        <v>0.0</v>
      </c>
      <c r="D1750" s="35">
        <v>45179.0</v>
      </c>
      <c r="E1750" s="47"/>
      <c r="F1750" s="47">
        <v>0.0</v>
      </c>
      <c r="G1750" s="48">
        <v>0.0</v>
      </c>
      <c r="H1750" s="24" t="s">
        <v>6769</v>
      </c>
      <c r="I1750" s="47"/>
      <c r="J1750" s="24">
        <v>0.0</v>
      </c>
    </row>
    <row r="1751">
      <c r="A1751" s="24">
        <v>44.0</v>
      </c>
      <c r="B1751" s="24">
        <v>1.0</v>
      </c>
      <c r="C1751" s="47">
        <v>19.49</v>
      </c>
      <c r="D1751" s="35">
        <v>45180.0</v>
      </c>
      <c r="E1751" s="47">
        <v>19.49</v>
      </c>
      <c r="F1751" s="47">
        <v>442.954545454545</v>
      </c>
      <c r="G1751" s="48">
        <v>0.0227272727272727</v>
      </c>
      <c r="H1751" s="24" t="s">
        <v>6769</v>
      </c>
      <c r="I1751" s="47"/>
      <c r="J1751" s="24">
        <v>0.0</v>
      </c>
    </row>
    <row r="1752">
      <c r="A1752" s="24">
        <v>42.0</v>
      </c>
      <c r="B1752" s="24">
        <v>2.0</v>
      </c>
      <c r="C1752" s="47">
        <v>38.61</v>
      </c>
      <c r="D1752" s="35">
        <v>45181.0</v>
      </c>
      <c r="E1752" s="47">
        <v>19.305</v>
      </c>
      <c r="F1752" s="47">
        <v>919.285714285714</v>
      </c>
      <c r="G1752" s="48">
        <v>0.0476190476190476</v>
      </c>
      <c r="H1752" s="24" t="s">
        <v>6769</v>
      </c>
      <c r="I1752" s="47"/>
      <c r="J1752" s="24">
        <v>0.0</v>
      </c>
    </row>
    <row r="1753">
      <c r="A1753" s="24">
        <v>54.0</v>
      </c>
      <c r="B1753" s="24">
        <v>4.0</v>
      </c>
      <c r="C1753" s="47">
        <v>58.95</v>
      </c>
      <c r="D1753" s="35">
        <v>45182.0</v>
      </c>
      <c r="E1753" s="47">
        <v>14.7375</v>
      </c>
      <c r="F1753" s="47">
        <v>1091.66666666666</v>
      </c>
      <c r="G1753" s="48">
        <v>0.074074074074074</v>
      </c>
      <c r="H1753" s="24" t="s">
        <v>6769</v>
      </c>
      <c r="I1753" s="47"/>
      <c r="J1753" s="24">
        <v>0.0</v>
      </c>
    </row>
    <row r="1754">
      <c r="A1754" s="24">
        <v>46.0</v>
      </c>
      <c r="B1754" s="24">
        <v>1.0</v>
      </c>
      <c r="C1754" s="47">
        <v>12.67</v>
      </c>
      <c r="D1754" s="35">
        <v>45183.0</v>
      </c>
      <c r="E1754" s="47">
        <v>12.67</v>
      </c>
      <c r="F1754" s="47">
        <v>275.434782608695</v>
      </c>
      <c r="G1754" s="48">
        <v>0.0217391304347826</v>
      </c>
      <c r="H1754" s="24" t="s">
        <v>6769</v>
      </c>
      <c r="I1754" s="47"/>
      <c r="J1754" s="24">
        <v>0.0</v>
      </c>
    </row>
    <row r="1755">
      <c r="A1755" s="24">
        <v>35.0</v>
      </c>
      <c r="B1755" s="24">
        <v>2.0</v>
      </c>
      <c r="C1755" s="47">
        <v>38.7</v>
      </c>
      <c r="D1755" s="35">
        <v>45184.0</v>
      </c>
      <c r="E1755" s="47">
        <v>19.35</v>
      </c>
      <c r="F1755" s="47">
        <v>1105.71428571428</v>
      </c>
      <c r="G1755" s="48">
        <v>0.0571428571428571</v>
      </c>
      <c r="H1755" s="24" t="s">
        <v>6769</v>
      </c>
      <c r="I1755" s="47"/>
      <c r="J1755" s="24">
        <v>0.0</v>
      </c>
    </row>
    <row r="1756">
      <c r="A1756" s="24">
        <v>11.0</v>
      </c>
      <c r="B1756" s="24">
        <v>2.0</v>
      </c>
      <c r="C1756" s="47">
        <v>34.93</v>
      </c>
      <c r="D1756" s="35">
        <v>45185.0</v>
      </c>
      <c r="E1756" s="47">
        <v>17.465</v>
      </c>
      <c r="F1756" s="47">
        <v>3175.45454545454</v>
      </c>
      <c r="G1756" s="48">
        <v>0.181818181818181</v>
      </c>
      <c r="H1756" s="24" t="s">
        <v>6769</v>
      </c>
      <c r="I1756" s="47"/>
      <c r="J1756" s="24">
        <v>0.0</v>
      </c>
    </row>
    <row r="1757">
      <c r="A1757" s="24">
        <v>4.0</v>
      </c>
      <c r="B1757" s="24">
        <v>1.0</v>
      </c>
      <c r="C1757" s="47">
        <v>19.14</v>
      </c>
      <c r="D1757" s="35">
        <v>45186.0</v>
      </c>
      <c r="E1757" s="47">
        <v>19.14</v>
      </c>
      <c r="F1757" s="47">
        <v>4785.0</v>
      </c>
      <c r="G1757" s="48">
        <v>0.25</v>
      </c>
      <c r="H1757" s="24" t="s">
        <v>6769</v>
      </c>
      <c r="I1757" s="47"/>
      <c r="J1757" s="24">
        <v>0.0</v>
      </c>
    </row>
    <row r="1758">
      <c r="A1758" s="24">
        <v>30.0</v>
      </c>
      <c r="B1758" s="24">
        <v>1.0</v>
      </c>
      <c r="C1758" s="47">
        <v>19.26</v>
      </c>
      <c r="D1758" s="35">
        <v>45187.0</v>
      </c>
      <c r="E1758" s="47">
        <v>19.26</v>
      </c>
      <c r="F1758" s="47">
        <v>642.0</v>
      </c>
      <c r="G1758" s="48">
        <v>0.0333333333333333</v>
      </c>
      <c r="H1758" s="24" t="s">
        <v>6769</v>
      </c>
      <c r="I1758" s="47"/>
      <c r="J1758" s="24">
        <v>0.0</v>
      </c>
    </row>
    <row r="1759">
      <c r="A1759" s="24">
        <v>76.0</v>
      </c>
      <c r="B1759" s="24">
        <v>4.0</v>
      </c>
      <c r="C1759" s="47">
        <v>77.44</v>
      </c>
      <c r="D1759" s="35">
        <v>45188.0</v>
      </c>
      <c r="E1759" s="47">
        <v>19.36</v>
      </c>
      <c r="F1759" s="47">
        <v>1018.94736842105</v>
      </c>
      <c r="G1759" s="48">
        <v>0.0526315789473684</v>
      </c>
      <c r="H1759" s="24" t="s">
        <v>6769</v>
      </c>
      <c r="I1759" s="47"/>
      <c r="J1759" s="24">
        <v>0.0</v>
      </c>
    </row>
    <row r="1760">
      <c r="A1760" s="24">
        <v>39.0</v>
      </c>
      <c r="B1760" s="24">
        <v>2.0</v>
      </c>
      <c r="C1760" s="47">
        <v>23.58</v>
      </c>
      <c r="D1760" s="35">
        <v>45189.0</v>
      </c>
      <c r="E1760" s="47">
        <v>11.79</v>
      </c>
      <c r="F1760" s="47">
        <v>604.615384615384</v>
      </c>
      <c r="G1760" s="48">
        <v>0.0512820512820512</v>
      </c>
      <c r="H1760" s="24" t="s">
        <v>6769</v>
      </c>
      <c r="I1760" s="47"/>
      <c r="J1760" s="24">
        <v>0.0</v>
      </c>
    </row>
    <row r="1761">
      <c r="A1761" s="24">
        <v>42.0</v>
      </c>
      <c r="B1761" s="24">
        <v>3.0</v>
      </c>
      <c r="C1761" s="47">
        <v>58.42</v>
      </c>
      <c r="D1761" s="35">
        <v>45190.0</v>
      </c>
      <c r="E1761" s="47">
        <v>19.4733333333333</v>
      </c>
      <c r="F1761" s="47">
        <v>1390.95238095238</v>
      </c>
      <c r="G1761" s="48">
        <v>0.0714285714285714</v>
      </c>
      <c r="H1761" s="24" t="s">
        <v>6769</v>
      </c>
      <c r="I1761" s="47"/>
      <c r="J1761" s="24">
        <v>0.0</v>
      </c>
    </row>
    <row r="1762">
      <c r="A1762" s="24">
        <v>34.0</v>
      </c>
      <c r="B1762" s="24">
        <v>2.0</v>
      </c>
      <c r="C1762" s="47">
        <v>32.71</v>
      </c>
      <c r="D1762" s="35">
        <v>45191.0</v>
      </c>
      <c r="E1762" s="47">
        <v>16.355</v>
      </c>
      <c r="F1762" s="47">
        <v>962.058823529411</v>
      </c>
      <c r="G1762" s="48">
        <v>0.0588235294117647</v>
      </c>
      <c r="H1762" s="24" t="s">
        <v>6769</v>
      </c>
      <c r="I1762" s="47"/>
      <c r="J1762" s="24">
        <v>0.0</v>
      </c>
    </row>
    <row r="1763">
      <c r="A1763" s="24">
        <v>6.0</v>
      </c>
      <c r="B1763" s="24">
        <v>1.0</v>
      </c>
      <c r="C1763" s="47">
        <v>19.07</v>
      </c>
      <c r="D1763" s="35">
        <v>45192.0</v>
      </c>
      <c r="E1763" s="47">
        <v>19.07</v>
      </c>
      <c r="F1763" s="47">
        <v>3178.33333333333</v>
      </c>
      <c r="G1763" s="48">
        <v>0.166666666666666</v>
      </c>
      <c r="H1763" s="24" t="s">
        <v>6769</v>
      </c>
      <c r="I1763" s="47"/>
      <c r="J1763" s="24">
        <v>0.0</v>
      </c>
    </row>
    <row r="1764">
      <c r="A1764" s="24">
        <v>1.0</v>
      </c>
      <c r="B1764" s="24">
        <v>0.0</v>
      </c>
      <c r="C1764" s="47">
        <v>0.0</v>
      </c>
      <c r="D1764" s="35">
        <v>45193.0</v>
      </c>
      <c r="E1764" s="47"/>
      <c r="F1764" s="47">
        <v>0.0</v>
      </c>
      <c r="G1764" s="48">
        <v>0.0</v>
      </c>
      <c r="H1764" s="24" t="s">
        <v>6769</v>
      </c>
      <c r="I1764" s="47"/>
      <c r="J1764" s="24">
        <v>0.0</v>
      </c>
    </row>
    <row r="1765">
      <c r="A1765" s="24">
        <v>64.0</v>
      </c>
      <c r="B1765" s="24">
        <v>3.0</v>
      </c>
      <c r="C1765" s="47">
        <v>57.75</v>
      </c>
      <c r="D1765" s="35">
        <v>45194.0</v>
      </c>
      <c r="E1765" s="47">
        <v>19.25</v>
      </c>
      <c r="F1765" s="47">
        <v>902.34375</v>
      </c>
      <c r="G1765" s="48">
        <v>0.046875</v>
      </c>
      <c r="H1765" s="24" t="s">
        <v>6769</v>
      </c>
      <c r="I1765" s="47"/>
      <c r="J1765" s="24">
        <v>0.0</v>
      </c>
    </row>
    <row r="1766">
      <c r="A1766" s="24">
        <v>52.0</v>
      </c>
      <c r="B1766" s="24">
        <v>4.0</v>
      </c>
      <c r="C1766" s="47">
        <v>77.54</v>
      </c>
      <c r="D1766" s="35">
        <v>45195.0</v>
      </c>
      <c r="E1766" s="47">
        <v>19.385</v>
      </c>
      <c r="F1766" s="47">
        <v>1491.15384615384</v>
      </c>
      <c r="G1766" s="48">
        <v>0.0769230769230769</v>
      </c>
      <c r="H1766" s="24" t="s">
        <v>6769</v>
      </c>
      <c r="I1766" s="47"/>
      <c r="J1766" s="24">
        <v>0.0</v>
      </c>
    </row>
    <row r="1767">
      <c r="A1767" s="24">
        <v>53.0</v>
      </c>
      <c r="B1767" s="24">
        <v>2.0</v>
      </c>
      <c r="C1767" s="47">
        <v>39.91</v>
      </c>
      <c r="D1767" s="35">
        <v>45196.0</v>
      </c>
      <c r="E1767" s="47">
        <v>19.955</v>
      </c>
      <c r="F1767" s="47">
        <v>753.018867924528</v>
      </c>
      <c r="G1767" s="48">
        <v>0.0377358490566037</v>
      </c>
      <c r="H1767" s="24" t="s">
        <v>6769</v>
      </c>
      <c r="I1767" s="47"/>
      <c r="J1767" s="24">
        <v>0.0</v>
      </c>
    </row>
    <row r="1768">
      <c r="A1768" s="24">
        <v>56.0</v>
      </c>
      <c r="B1768" s="24">
        <v>1.0</v>
      </c>
      <c r="C1768" s="47">
        <v>18.79</v>
      </c>
      <c r="D1768" s="35">
        <v>45197.0</v>
      </c>
      <c r="E1768" s="47">
        <v>18.79</v>
      </c>
      <c r="F1768" s="47">
        <v>335.535714285714</v>
      </c>
      <c r="G1768" s="48">
        <v>0.0178571428571428</v>
      </c>
      <c r="H1768" s="24" t="s">
        <v>6769</v>
      </c>
      <c r="I1768" s="47"/>
      <c r="J1768" s="24">
        <v>0.0</v>
      </c>
    </row>
    <row r="1769">
      <c r="A1769" s="24">
        <v>34.0</v>
      </c>
      <c r="B1769" s="24">
        <v>0.0</v>
      </c>
      <c r="C1769" s="47">
        <v>0.0</v>
      </c>
      <c r="D1769" s="35">
        <v>45198.0</v>
      </c>
      <c r="E1769" s="47"/>
      <c r="F1769" s="47">
        <v>0.0</v>
      </c>
      <c r="G1769" s="48">
        <v>0.0</v>
      </c>
      <c r="H1769" s="24" t="s">
        <v>6769</v>
      </c>
      <c r="I1769" s="47"/>
      <c r="J1769" s="24">
        <v>0.0</v>
      </c>
    </row>
    <row r="1770">
      <c r="A1770" s="24">
        <v>17.0</v>
      </c>
      <c r="B1770" s="24">
        <v>0.0</v>
      </c>
      <c r="C1770" s="47">
        <v>0.0</v>
      </c>
      <c r="D1770" s="35">
        <v>45199.0</v>
      </c>
      <c r="E1770" s="47"/>
      <c r="F1770" s="47">
        <v>0.0</v>
      </c>
      <c r="G1770" s="48">
        <v>0.0</v>
      </c>
      <c r="H1770" s="24" t="s">
        <v>6769</v>
      </c>
      <c r="I1770" s="47"/>
      <c r="J1770" s="24">
        <v>0.0</v>
      </c>
    </row>
    <row r="1771">
      <c r="A1771" s="24">
        <v>11.0</v>
      </c>
      <c r="B1771" s="24">
        <v>2.0</v>
      </c>
      <c r="C1771" s="47">
        <v>37.86</v>
      </c>
      <c r="D1771" s="35">
        <v>45200.0</v>
      </c>
      <c r="E1771" s="47">
        <v>18.93</v>
      </c>
      <c r="F1771" s="47">
        <v>3441.81818181818</v>
      </c>
      <c r="G1771" s="48">
        <v>0.181818181818181</v>
      </c>
      <c r="H1771" s="24" t="s">
        <v>6769</v>
      </c>
      <c r="I1771" s="47"/>
      <c r="J1771" s="24">
        <v>0.0</v>
      </c>
    </row>
    <row r="1772">
      <c r="A1772" s="24">
        <v>47.0</v>
      </c>
      <c r="B1772" s="24">
        <v>6.0</v>
      </c>
      <c r="C1772" s="47">
        <v>114.21</v>
      </c>
      <c r="D1772" s="35">
        <v>45201.0</v>
      </c>
      <c r="E1772" s="47">
        <v>19.035</v>
      </c>
      <c r="F1772" s="47">
        <v>2430.0</v>
      </c>
      <c r="G1772" s="48">
        <v>0.127659574468085</v>
      </c>
      <c r="H1772" s="24" t="s">
        <v>6769</v>
      </c>
      <c r="I1772" s="47"/>
      <c r="J1772" s="24">
        <v>0.0</v>
      </c>
    </row>
    <row r="1773">
      <c r="A1773" s="24">
        <v>42.0</v>
      </c>
      <c r="B1773" s="24">
        <v>3.0</v>
      </c>
      <c r="C1773" s="47">
        <v>57.55</v>
      </c>
      <c r="D1773" s="35">
        <v>45202.0</v>
      </c>
      <c r="E1773" s="47">
        <v>19.1833333333333</v>
      </c>
      <c r="F1773" s="47">
        <v>1370.23809523809</v>
      </c>
      <c r="G1773" s="48">
        <v>0.0714285714285714</v>
      </c>
      <c r="H1773" s="24" t="s">
        <v>6769</v>
      </c>
      <c r="I1773" s="47"/>
      <c r="J1773" s="24">
        <v>0.0</v>
      </c>
    </row>
    <row r="1774">
      <c r="A1774" s="24">
        <v>55.0</v>
      </c>
      <c r="B1774" s="24">
        <v>2.0</v>
      </c>
      <c r="C1774" s="47">
        <v>39.19</v>
      </c>
      <c r="D1774" s="35">
        <v>45203.0</v>
      </c>
      <c r="E1774" s="47">
        <v>19.595</v>
      </c>
      <c r="F1774" s="47">
        <v>712.545454545454</v>
      </c>
      <c r="G1774" s="48">
        <v>0.0363636363636363</v>
      </c>
      <c r="H1774" s="24" t="s">
        <v>6769</v>
      </c>
      <c r="I1774" s="47"/>
      <c r="J1774" s="24">
        <v>0.0</v>
      </c>
    </row>
    <row r="1775">
      <c r="A1775" s="24">
        <v>64.0</v>
      </c>
      <c r="B1775" s="24">
        <v>1.0</v>
      </c>
      <c r="C1775" s="47">
        <v>18.94</v>
      </c>
      <c r="D1775" s="35">
        <v>45204.0</v>
      </c>
      <c r="E1775" s="47">
        <v>18.94</v>
      </c>
      <c r="F1775" s="47">
        <v>295.9375</v>
      </c>
      <c r="G1775" s="48">
        <v>0.015625</v>
      </c>
      <c r="H1775" s="24" t="s">
        <v>6769</v>
      </c>
      <c r="I1775" s="47"/>
      <c r="J1775" s="24">
        <v>0.0</v>
      </c>
    </row>
    <row r="1776">
      <c r="A1776" s="24">
        <v>49.0</v>
      </c>
      <c r="B1776" s="24">
        <v>1.0</v>
      </c>
      <c r="C1776" s="47">
        <v>18.78</v>
      </c>
      <c r="D1776" s="35">
        <v>45205.0</v>
      </c>
      <c r="E1776" s="47">
        <v>18.78</v>
      </c>
      <c r="F1776" s="47">
        <v>383.265306122449</v>
      </c>
      <c r="G1776" s="48">
        <v>0.0204081632653061</v>
      </c>
      <c r="H1776" s="24" t="s">
        <v>6769</v>
      </c>
      <c r="I1776" s="47"/>
      <c r="J1776" s="24">
        <v>0.0</v>
      </c>
    </row>
    <row r="1777">
      <c r="A1777" s="24">
        <v>7.0</v>
      </c>
      <c r="B1777" s="24">
        <v>0.0</v>
      </c>
      <c r="C1777" s="47">
        <v>0.0</v>
      </c>
      <c r="D1777" s="35">
        <v>45206.0</v>
      </c>
      <c r="E1777" s="47"/>
      <c r="F1777" s="47">
        <v>0.0</v>
      </c>
      <c r="G1777" s="48">
        <v>0.0</v>
      </c>
      <c r="H1777" s="24" t="s">
        <v>6769</v>
      </c>
      <c r="I1777" s="47"/>
      <c r="J1777" s="24">
        <v>0.0</v>
      </c>
    </row>
    <row r="1778">
      <c r="A1778" s="24">
        <v>8.0</v>
      </c>
      <c r="B1778" s="24">
        <v>0.0</v>
      </c>
      <c r="C1778" s="47">
        <v>0.0</v>
      </c>
      <c r="D1778" s="35">
        <v>45207.0</v>
      </c>
      <c r="E1778" s="47"/>
      <c r="F1778" s="47">
        <v>0.0</v>
      </c>
      <c r="G1778" s="48">
        <v>0.0</v>
      </c>
      <c r="H1778" s="24" t="s">
        <v>6769</v>
      </c>
      <c r="I1778" s="47"/>
      <c r="J1778" s="24">
        <v>0.0</v>
      </c>
    </row>
    <row r="1779">
      <c r="A1779" s="24">
        <v>25.0</v>
      </c>
      <c r="B1779" s="24">
        <v>1.0</v>
      </c>
      <c r="C1779" s="47">
        <v>18.94</v>
      </c>
      <c r="D1779" s="35">
        <v>45208.0</v>
      </c>
      <c r="E1779" s="47">
        <v>18.94</v>
      </c>
      <c r="F1779" s="47">
        <v>757.6</v>
      </c>
      <c r="G1779" s="48">
        <v>0.04</v>
      </c>
      <c r="H1779" s="24" t="s">
        <v>6769</v>
      </c>
      <c r="I1779" s="47"/>
      <c r="J1779" s="24">
        <v>0.0</v>
      </c>
    </row>
    <row r="1780">
      <c r="A1780" s="24">
        <v>43.0</v>
      </c>
      <c r="B1780" s="24">
        <v>2.0</v>
      </c>
      <c r="C1780" s="47">
        <v>38.1</v>
      </c>
      <c r="D1780" s="35">
        <v>45209.0</v>
      </c>
      <c r="E1780" s="47">
        <v>19.05</v>
      </c>
      <c r="F1780" s="47">
        <v>886.046511627907</v>
      </c>
      <c r="G1780" s="48">
        <v>0.0465116279069767</v>
      </c>
      <c r="H1780" s="24" t="s">
        <v>6769</v>
      </c>
      <c r="I1780" s="47"/>
      <c r="J1780" s="24">
        <v>0.0</v>
      </c>
    </row>
    <row r="1781">
      <c r="A1781" s="24">
        <v>68.0</v>
      </c>
      <c r="B1781" s="24">
        <v>1.0</v>
      </c>
      <c r="C1781" s="47">
        <v>19.19</v>
      </c>
      <c r="D1781" s="35">
        <v>45210.0</v>
      </c>
      <c r="E1781" s="47">
        <v>19.19</v>
      </c>
      <c r="F1781" s="47">
        <v>282.205882352941</v>
      </c>
      <c r="G1781" s="48">
        <v>0.0147058823529411</v>
      </c>
      <c r="H1781" s="24" t="s">
        <v>6769</v>
      </c>
      <c r="I1781" s="47"/>
      <c r="J1781" s="24">
        <v>0.0</v>
      </c>
    </row>
    <row r="1782">
      <c r="A1782" s="24">
        <v>42.0</v>
      </c>
      <c r="B1782" s="24">
        <v>1.0</v>
      </c>
      <c r="C1782" s="47">
        <v>18.64</v>
      </c>
      <c r="D1782" s="35">
        <v>45211.0</v>
      </c>
      <c r="E1782" s="47">
        <v>18.64</v>
      </c>
      <c r="F1782" s="47">
        <v>443.809523809523</v>
      </c>
      <c r="G1782" s="48">
        <v>0.0238095238095238</v>
      </c>
      <c r="H1782" s="24" t="s">
        <v>6769</v>
      </c>
      <c r="I1782" s="47"/>
      <c r="J1782" s="24">
        <v>0.0</v>
      </c>
    </row>
    <row r="1783">
      <c r="A1783" s="24">
        <v>36.0</v>
      </c>
      <c r="B1783" s="24">
        <v>4.0</v>
      </c>
      <c r="C1783" s="47">
        <v>78.06</v>
      </c>
      <c r="D1783" s="35">
        <v>45212.0</v>
      </c>
      <c r="E1783" s="47">
        <v>19.515</v>
      </c>
      <c r="F1783" s="47">
        <v>2168.33333333333</v>
      </c>
      <c r="G1783" s="48">
        <v>0.111111111111111</v>
      </c>
      <c r="H1783" s="24" t="s">
        <v>6769</v>
      </c>
      <c r="I1783" s="47">
        <v>78.06</v>
      </c>
      <c r="J1783" s="24">
        <v>1.0</v>
      </c>
    </row>
    <row r="1784">
      <c r="A1784" s="24">
        <v>5.0</v>
      </c>
      <c r="B1784" s="24">
        <v>1.0</v>
      </c>
      <c r="C1784" s="47">
        <v>9.1</v>
      </c>
      <c r="D1784" s="35">
        <v>45213.0</v>
      </c>
      <c r="E1784" s="47">
        <v>9.1</v>
      </c>
      <c r="F1784" s="47">
        <v>1820.0</v>
      </c>
      <c r="G1784" s="48">
        <v>0.2</v>
      </c>
      <c r="H1784" s="24" t="s">
        <v>6769</v>
      </c>
      <c r="I1784" s="47"/>
      <c r="J1784" s="24">
        <v>0.0</v>
      </c>
    </row>
    <row r="1785">
      <c r="A1785" s="24">
        <v>2.0</v>
      </c>
      <c r="B1785" s="24">
        <v>0.0</v>
      </c>
      <c r="C1785" s="47">
        <v>0.0</v>
      </c>
      <c r="D1785" s="35">
        <v>45214.0</v>
      </c>
      <c r="E1785" s="47"/>
      <c r="F1785" s="47">
        <v>0.0</v>
      </c>
      <c r="G1785" s="48">
        <v>0.0</v>
      </c>
      <c r="H1785" s="24" t="s">
        <v>6769</v>
      </c>
      <c r="I1785" s="47"/>
      <c r="J1785" s="24">
        <v>0.0</v>
      </c>
    </row>
    <row r="1786">
      <c r="A1786" s="24">
        <v>44.0</v>
      </c>
      <c r="B1786" s="24">
        <v>2.0</v>
      </c>
      <c r="C1786" s="47">
        <v>39.04</v>
      </c>
      <c r="D1786" s="35">
        <v>45215.0</v>
      </c>
      <c r="E1786" s="47">
        <v>19.52</v>
      </c>
      <c r="F1786" s="47">
        <v>887.272727272727</v>
      </c>
      <c r="G1786" s="48">
        <v>0.0454545454545454</v>
      </c>
      <c r="H1786" s="24" t="s">
        <v>6769</v>
      </c>
      <c r="I1786" s="47"/>
      <c r="J1786" s="24">
        <v>0.0</v>
      </c>
    </row>
    <row r="1787">
      <c r="A1787" s="24">
        <v>67.0</v>
      </c>
      <c r="B1787" s="24">
        <v>5.0</v>
      </c>
      <c r="C1787" s="47">
        <v>96.02</v>
      </c>
      <c r="D1787" s="35">
        <v>45216.0</v>
      </c>
      <c r="E1787" s="47">
        <v>19.204</v>
      </c>
      <c r="F1787" s="47">
        <v>1433.1343283582</v>
      </c>
      <c r="G1787" s="48">
        <v>0.0746268656716417</v>
      </c>
      <c r="H1787" s="24" t="s">
        <v>6769</v>
      </c>
      <c r="I1787" s="47"/>
      <c r="J1787" s="24">
        <v>0.0</v>
      </c>
    </row>
    <row r="1788">
      <c r="A1788" s="24">
        <v>58.0</v>
      </c>
      <c r="B1788" s="24">
        <v>4.0</v>
      </c>
      <c r="C1788" s="47">
        <v>62.83</v>
      </c>
      <c r="D1788" s="35">
        <v>45217.0</v>
      </c>
      <c r="E1788" s="47">
        <v>15.7075</v>
      </c>
      <c r="F1788" s="47">
        <v>1083.27586206896</v>
      </c>
      <c r="G1788" s="48">
        <v>0.0689655172413793</v>
      </c>
      <c r="H1788" s="24" t="s">
        <v>6769</v>
      </c>
      <c r="I1788" s="47"/>
      <c r="J1788" s="24">
        <v>0.0</v>
      </c>
    </row>
    <row r="1789">
      <c r="A1789" s="24">
        <v>51.0</v>
      </c>
      <c r="B1789" s="24">
        <v>2.0</v>
      </c>
      <c r="C1789" s="47">
        <v>33.84</v>
      </c>
      <c r="D1789" s="35">
        <v>45218.0</v>
      </c>
      <c r="E1789" s="47">
        <v>16.92</v>
      </c>
      <c r="F1789" s="47">
        <v>663.529411764705</v>
      </c>
      <c r="G1789" s="48">
        <v>0.0392156862745098</v>
      </c>
      <c r="H1789" s="24" t="s">
        <v>6769</v>
      </c>
      <c r="I1789" s="47"/>
      <c r="J1789" s="24">
        <v>0.0</v>
      </c>
    </row>
    <row r="1790">
      <c r="A1790" s="24">
        <v>35.0</v>
      </c>
      <c r="B1790" s="24">
        <v>1.0</v>
      </c>
      <c r="C1790" s="47">
        <v>19.53</v>
      </c>
      <c r="D1790" s="35">
        <v>45219.0</v>
      </c>
      <c r="E1790" s="47">
        <v>19.53</v>
      </c>
      <c r="F1790" s="47">
        <v>558.0</v>
      </c>
      <c r="G1790" s="48">
        <v>0.0285714285714285</v>
      </c>
      <c r="H1790" s="24" t="s">
        <v>6769</v>
      </c>
      <c r="I1790" s="47"/>
      <c r="J1790" s="24">
        <v>0.0</v>
      </c>
    </row>
    <row r="1791">
      <c r="A1791" s="24">
        <v>10.0</v>
      </c>
      <c r="B1791" s="24">
        <v>1.0</v>
      </c>
      <c r="C1791" s="47">
        <v>2.68</v>
      </c>
      <c r="D1791" s="35">
        <v>45220.0</v>
      </c>
      <c r="E1791" s="47">
        <v>2.68</v>
      </c>
      <c r="F1791" s="47">
        <v>268.0</v>
      </c>
      <c r="G1791" s="48">
        <v>0.1</v>
      </c>
      <c r="H1791" s="24" t="s">
        <v>6769</v>
      </c>
      <c r="I1791" s="47"/>
      <c r="J1791" s="24">
        <v>0.0</v>
      </c>
    </row>
    <row r="1792">
      <c r="A1792" s="24">
        <v>7.0</v>
      </c>
      <c r="B1792" s="24">
        <v>0.0</v>
      </c>
      <c r="C1792" s="47">
        <v>0.0</v>
      </c>
      <c r="D1792" s="35">
        <v>45221.0</v>
      </c>
      <c r="E1792" s="47"/>
      <c r="F1792" s="47">
        <v>0.0</v>
      </c>
      <c r="G1792" s="48">
        <v>0.0</v>
      </c>
      <c r="H1792" s="24" t="s">
        <v>6769</v>
      </c>
      <c r="I1792" s="47"/>
      <c r="J1792" s="24">
        <v>0.0</v>
      </c>
    </row>
    <row r="1793">
      <c r="A1793" s="24">
        <v>34.0</v>
      </c>
      <c r="B1793" s="24">
        <v>1.0</v>
      </c>
      <c r="C1793" s="47">
        <v>18.76</v>
      </c>
      <c r="D1793" s="35">
        <v>45222.0</v>
      </c>
      <c r="E1793" s="47">
        <v>18.76</v>
      </c>
      <c r="F1793" s="47">
        <v>551.764705882352</v>
      </c>
      <c r="G1793" s="48">
        <v>0.0294117647058823</v>
      </c>
      <c r="H1793" s="24" t="s">
        <v>6769</v>
      </c>
      <c r="I1793" s="47"/>
      <c r="J1793" s="24">
        <v>0.0</v>
      </c>
    </row>
    <row r="1794">
      <c r="A1794" s="24">
        <v>42.0</v>
      </c>
      <c r="B1794" s="24">
        <v>1.0</v>
      </c>
      <c r="C1794" s="47">
        <v>19.2</v>
      </c>
      <c r="D1794" s="35">
        <v>45223.0</v>
      </c>
      <c r="E1794" s="47">
        <v>19.2</v>
      </c>
      <c r="F1794" s="47">
        <v>457.142857142857</v>
      </c>
      <c r="G1794" s="48">
        <v>0.0238095238095238</v>
      </c>
      <c r="H1794" s="24" t="s">
        <v>6769</v>
      </c>
      <c r="I1794" s="47"/>
      <c r="J1794" s="24">
        <v>0.0</v>
      </c>
    </row>
    <row r="1795">
      <c r="A1795" s="24">
        <v>60.0</v>
      </c>
      <c r="B1795" s="24">
        <v>8.0</v>
      </c>
      <c r="C1795" s="47">
        <v>148.82</v>
      </c>
      <c r="D1795" s="35">
        <v>45224.0</v>
      </c>
      <c r="E1795" s="47">
        <v>18.6025</v>
      </c>
      <c r="F1795" s="47">
        <v>2480.33333333333</v>
      </c>
      <c r="G1795" s="48">
        <v>0.133333333333333</v>
      </c>
      <c r="H1795" s="24" t="s">
        <v>6769</v>
      </c>
      <c r="I1795" s="47">
        <v>148.82</v>
      </c>
      <c r="J1795" s="24">
        <v>1.0</v>
      </c>
    </row>
    <row r="1796">
      <c r="A1796" s="24">
        <v>56.0</v>
      </c>
      <c r="B1796" s="24">
        <v>1.0</v>
      </c>
      <c r="C1796" s="47">
        <v>18.81</v>
      </c>
      <c r="D1796" s="35">
        <v>45225.0</v>
      </c>
      <c r="E1796" s="47">
        <v>18.81</v>
      </c>
      <c r="F1796" s="47">
        <v>335.892857142857</v>
      </c>
      <c r="G1796" s="48">
        <v>0.0178571428571428</v>
      </c>
      <c r="H1796" s="24" t="s">
        <v>6769</v>
      </c>
      <c r="I1796" s="47"/>
      <c r="J1796" s="24">
        <v>0.0</v>
      </c>
    </row>
    <row r="1797">
      <c r="A1797" s="24">
        <v>39.0</v>
      </c>
      <c r="B1797" s="24">
        <v>1.0</v>
      </c>
      <c r="C1797" s="47">
        <v>20.0</v>
      </c>
      <c r="D1797" s="35">
        <v>45226.0</v>
      </c>
      <c r="E1797" s="47">
        <v>20.0</v>
      </c>
      <c r="F1797" s="47">
        <v>512.820512820512</v>
      </c>
      <c r="G1797" s="48">
        <v>0.0256410256410256</v>
      </c>
      <c r="H1797" s="24" t="s">
        <v>6769</v>
      </c>
      <c r="I1797" s="47"/>
      <c r="J1797" s="24">
        <v>0.0</v>
      </c>
    </row>
    <row r="1798">
      <c r="A1798" s="24">
        <v>5.0</v>
      </c>
      <c r="B1798" s="24">
        <v>0.0</v>
      </c>
      <c r="C1798" s="47">
        <v>0.0</v>
      </c>
      <c r="D1798" s="35">
        <v>45227.0</v>
      </c>
      <c r="E1798" s="47"/>
      <c r="F1798" s="47">
        <v>0.0</v>
      </c>
      <c r="G1798" s="48">
        <v>0.0</v>
      </c>
      <c r="H1798" s="24" t="s">
        <v>6769</v>
      </c>
      <c r="I1798" s="47"/>
      <c r="J1798" s="24">
        <v>0.0</v>
      </c>
    </row>
    <row r="1799">
      <c r="A1799" s="24">
        <v>6.0</v>
      </c>
      <c r="B1799" s="24">
        <v>0.0</v>
      </c>
      <c r="C1799" s="47">
        <v>0.0</v>
      </c>
      <c r="D1799" s="35">
        <v>45228.0</v>
      </c>
      <c r="E1799" s="47"/>
      <c r="F1799" s="47">
        <v>0.0</v>
      </c>
      <c r="G1799" s="48">
        <v>0.0</v>
      </c>
      <c r="H1799" s="24" t="s">
        <v>6769</v>
      </c>
      <c r="I1799" s="47"/>
      <c r="J1799" s="24">
        <v>0.0</v>
      </c>
    </row>
    <row r="1800">
      <c r="A1800" s="24">
        <v>72.0</v>
      </c>
      <c r="B1800" s="24">
        <v>4.0</v>
      </c>
      <c r="C1800" s="47">
        <v>66.32</v>
      </c>
      <c r="D1800" s="35">
        <v>45229.0</v>
      </c>
      <c r="E1800" s="47">
        <v>16.58</v>
      </c>
      <c r="F1800" s="47">
        <v>921.111111111111</v>
      </c>
      <c r="G1800" s="48">
        <v>0.0555555555555555</v>
      </c>
      <c r="H1800" s="24" t="s">
        <v>6769</v>
      </c>
      <c r="I1800" s="47">
        <v>66.32</v>
      </c>
      <c r="J1800" s="24">
        <v>1.0</v>
      </c>
    </row>
    <row r="1801">
      <c r="A1801" s="24">
        <v>70.0</v>
      </c>
      <c r="B1801" s="24">
        <v>2.0</v>
      </c>
      <c r="C1801" s="47">
        <v>37.54</v>
      </c>
      <c r="D1801" s="35">
        <v>45230.0</v>
      </c>
      <c r="E1801" s="47">
        <v>18.77</v>
      </c>
      <c r="F1801" s="47">
        <v>536.285714285714</v>
      </c>
      <c r="G1801" s="48">
        <v>0.0285714285714285</v>
      </c>
      <c r="H1801" s="24" t="s">
        <v>6769</v>
      </c>
      <c r="I1801" s="47"/>
      <c r="J1801" s="24">
        <v>0.0</v>
      </c>
    </row>
    <row r="1802">
      <c r="A1802" s="24">
        <v>70.0</v>
      </c>
      <c r="B1802" s="24">
        <v>0.0</v>
      </c>
      <c r="C1802" s="47">
        <v>0.0</v>
      </c>
      <c r="D1802" s="35">
        <v>45231.0</v>
      </c>
      <c r="E1802" s="47"/>
      <c r="F1802" s="47">
        <v>0.0</v>
      </c>
      <c r="G1802" s="48">
        <v>0.0</v>
      </c>
      <c r="H1802" s="24" t="s">
        <v>6769</v>
      </c>
      <c r="I1802" s="47"/>
      <c r="J1802" s="24">
        <v>0.0</v>
      </c>
    </row>
    <row r="1803">
      <c r="A1803" s="24">
        <v>47.0</v>
      </c>
      <c r="B1803" s="24">
        <v>1.0</v>
      </c>
      <c r="C1803" s="47">
        <v>19.97</v>
      </c>
      <c r="D1803" s="35">
        <v>45232.0</v>
      </c>
      <c r="E1803" s="47">
        <v>19.97</v>
      </c>
      <c r="F1803" s="47">
        <v>424.893617021276</v>
      </c>
      <c r="G1803" s="48">
        <v>0.0212765957446808</v>
      </c>
      <c r="H1803" s="24" t="s">
        <v>6769</v>
      </c>
      <c r="I1803" s="47"/>
      <c r="J1803" s="24">
        <v>0.0</v>
      </c>
    </row>
    <row r="1804">
      <c r="A1804" s="24">
        <v>53.0</v>
      </c>
      <c r="B1804" s="24">
        <v>0.0</v>
      </c>
      <c r="C1804" s="47">
        <v>0.0</v>
      </c>
      <c r="D1804" s="35">
        <v>45233.0</v>
      </c>
      <c r="E1804" s="47"/>
      <c r="F1804" s="47">
        <v>0.0</v>
      </c>
      <c r="G1804" s="48">
        <v>0.0</v>
      </c>
      <c r="H1804" s="24" t="s">
        <v>6769</v>
      </c>
      <c r="I1804" s="47"/>
      <c r="J1804" s="24">
        <v>0.0</v>
      </c>
    </row>
    <row r="1805">
      <c r="A1805" s="24">
        <v>7.0</v>
      </c>
      <c r="B1805" s="24">
        <v>0.0</v>
      </c>
      <c r="C1805" s="47">
        <v>0.0</v>
      </c>
      <c r="D1805" s="35">
        <v>45234.0</v>
      </c>
      <c r="E1805" s="47"/>
      <c r="F1805" s="47">
        <v>0.0</v>
      </c>
      <c r="G1805" s="48">
        <v>0.0</v>
      </c>
      <c r="H1805" s="24" t="s">
        <v>6769</v>
      </c>
      <c r="I1805" s="47"/>
      <c r="J1805" s="24">
        <v>0.0</v>
      </c>
    </row>
    <row r="1806">
      <c r="A1806" s="24">
        <v>8.0</v>
      </c>
      <c r="B1806" s="24">
        <v>1.0</v>
      </c>
      <c r="C1806" s="47">
        <v>19.92</v>
      </c>
      <c r="D1806" s="35">
        <v>45235.0</v>
      </c>
      <c r="E1806" s="47">
        <v>19.92</v>
      </c>
      <c r="F1806" s="47">
        <v>2490.0</v>
      </c>
      <c r="G1806" s="48">
        <v>0.125</v>
      </c>
      <c r="H1806" s="24" t="s">
        <v>6769</v>
      </c>
      <c r="I1806" s="47"/>
      <c r="J1806" s="24">
        <v>0.0</v>
      </c>
    </row>
    <row r="1807">
      <c r="A1807" s="24">
        <v>54.0</v>
      </c>
      <c r="B1807" s="24">
        <v>4.0</v>
      </c>
      <c r="C1807" s="47">
        <v>62.34</v>
      </c>
      <c r="D1807" s="35">
        <v>45236.0</v>
      </c>
      <c r="E1807" s="47">
        <v>15.585</v>
      </c>
      <c r="F1807" s="47">
        <v>1154.44444444444</v>
      </c>
      <c r="G1807" s="48">
        <v>0.074074074074074</v>
      </c>
      <c r="H1807" s="24" t="s">
        <v>6769</v>
      </c>
      <c r="I1807" s="47"/>
      <c r="J1807" s="24">
        <v>0.0</v>
      </c>
    </row>
    <row r="1808">
      <c r="A1808" s="24">
        <v>61.0</v>
      </c>
      <c r="B1808" s="24">
        <v>5.0</v>
      </c>
      <c r="C1808" s="47">
        <v>87.62</v>
      </c>
      <c r="D1808" s="35">
        <v>45237.0</v>
      </c>
      <c r="E1808" s="47">
        <v>17.524</v>
      </c>
      <c r="F1808" s="47">
        <v>1436.39344262295</v>
      </c>
      <c r="G1808" s="48">
        <v>0.081967213114754</v>
      </c>
      <c r="H1808" s="24" t="s">
        <v>6769</v>
      </c>
      <c r="I1808" s="47"/>
      <c r="J1808" s="24">
        <v>0.0</v>
      </c>
    </row>
    <row r="1809">
      <c r="A1809" s="24">
        <v>64.0</v>
      </c>
      <c r="B1809" s="24">
        <v>2.0</v>
      </c>
      <c r="C1809" s="47">
        <v>38.6</v>
      </c>
      <c r="D1809" s="35">
        <v>45238.0</v>
      </c>
      <c r="E1809" s="47">
        <v>19.3</v>
      </c>
      <c r="F1809" s="47">
        <v>603.125</v>
      </c>
      <c r="G1809" s="48">
        <v>0.03125</v>
      </c>
      <c r="H1809" s="24" t="s">
        <v>6769</v>
      </c>
      <c r="I1809" s="47"/>
      <c r="J1809" s="24">
        <v>0.0</v>
      </c>
    </row>
    <row r="1810">
      <c r="A1810" s="24">
        <v>47.0</v>
      </c>
      <c r="B1810" s="24">
        <v>2.0</v>
      </c>
      <c r="C1810" s="47">
        <v>39.06</v>
      </c>
      <c r="D1810" s="35">
        <v>45239.0</v>
      </c>
      <c r="E1810" s="47">
        <v>19.53</v>
      </c>
      <c r="F1810" s="47">
        <v>831.063829787234</v>
      </c>
      <c r="G1810" s="48">
        <v>0.0425531914893617</v>
      </c>
      <c r="H1810" s="24" t="s">
        <v>6769</v>
      </c>
      <c r="I1810" s="47"/>
      <c r="J1810" s="24">
        <v>0.0</v>
      </c>
    </row>
    <row r="1811">
      <c r="A1811" s="24">
        <v>36.0</v>
      </c>
      <c r="B1811" s="24">
        <v>1.0</v>
      </c>
      <c r="C1811" s="47">
        <v>19.96</v>
      </c>
      <c r="D1811" s="35">
        <v>45240.0</v>
      </c>
      <c r="E1811" s="47">
        <v>19.96</v>
      </c>
      <c r="F1811" s="47">
        <v>554.444444444444</v>
      </c>
      <c r="G1811" s="48">
        <v>0.0277777777777777</v>
      </c>
      <c r="H1811" s="24" t="s">
        <v>6769</v>
      </c>
      <c r="I1811" s="47"/>
      <c r="J1811" s="24">
        <v>0.0</v>
      </c>
    </row>
    <row r="1812">
      <c r="A1812" s="24">
        <v>4.0</v>
      </c>
      <c r="B1812" s="24">
        <v>0.0</v>
      </c>
      <c r="C1812" s="47">
        <v>0.0</v>
      </c>
      <c r="D1812" s="35">
        <v>45241.0</v>
      </c>
      <c r="E1812" s="47"/>
      <c r="F1812" s="47">
        <v>0.0</v>
      </c>
      <c r="G1812" s="48">
        <v>0.0</v>
      </c>
      <c r="H1812" s="24" t="s">
        <v>6769</v>
      </c>
      <c r="I1812" s="47"/>
      <c r="J1812" s="24">
        <v>0.0</v>
      </c>
    </row>
    <row r="1813">
      <c r="A1813" s="24">
        <v>3.0</v>
      </c>
      <c r="B1813" s="24">
        <v>0.0</v>
      </c>
      <c r="C1813" s="47">
        <v>0.0</v>
      </c>
      <c r="D1813" s="35">
        <v>45242.0</v>
      </c>
      <c r="E1813" s="47"/>
      <c r="F1813" s="47">
        <v>0.0</v>
      </c>
      <c r="G1813" s="48">
        <v>0.0</v>
      </c>
      <c r="H1813" s="24" t="s">
        <v>6769</v>
      </c>
      <c r="I1813" s="47"/>
      <c r="J1813" s="24">
        <v>0.0</v>
      </c>
    </row>
    <row r="1814">
      <c r="A1814" s="24">
        <v>44.0</v>
      </c>
      <c r="B1814" s="24">
        <v>0.0</v>
      </c>
      <c r="C1814" s="47">
        <v>0.0</v>
      </c>
      <c r="D1814" s="35">
        <v>45243.0</v>
      </c>
      <c r="E1814" s="47"/>
      <c r="F1814" s="47">
        <v>0.0</v>
      </c>
      <c r="G1814" s="48">
        <v>0.0</v>
      </c>
      <c r="H1814" s="24" t="s">
        <v>6769</v>
      </c>
      <c r="I1814" s="47"/>
      <c r="J1814" s="24">
        <v>0.0</v>
      </c>
    </row>
    <row r="1815">
      <c r="A1815" s="24">
        <v>56.0</v>
      </c>
      <c r="B1815" s="24">
        <v>1.0</v>
      </c>
      <c r="C1815" s="47">
        <v>18.58</v>
      </c>
      <c r="D1815" s="35">
        <v>45244.0</v>
      </c>
      <c r="E1815" s="47">
        <v>18.58</v>
      </c>
      <c r="F1815" s="47">
        <v>331.785714285714</v>
      </c>
      <c r="G1815" s="48">
        <v>0.0178571428571428</v>
      </c>
      <c r="H1815" s="24" t="s">
        <v>6769</v>
      </c>
      <c r="I1815" s="47"/>
      <c r="J1815" s="24">
        <v>0.0</v>
      </c>
    </row>
    <row r="1816">
      <c r="A1816" s="24">
        <v>45.0</v>
      </c>
      <c r="B1816" s="24">
        <v>2.0</v>
      </c>
      <c r="C1816" s="47">
        <v>38.58</v>
      </c>
      <c r="D1816" s="35">
        <v>45245.0</v>
      </c>
      <c r="E1816" s="47">
        <v>19.29</v>
      </c>
      <c r="F1816" s="47">
        <v>857.333333333333</v>
      </c>
      <c r="G1816" s="48">
        <v>0.0444444444444444</v>
      </c>
      <c r="H1816" s="24" t="s">
        <v>6769</v>
      </c>
      <c r="I1816" s="47"/>
      <c r="J1816" s="24">
        <v>0.0</v>
      </c>
    </row>
    <row r="1817">
      <c r="A1817" s="24">
        <v>56.0</v>
      </c>
      <c r="B1817" s="24">
        <v>3.0</v>
      </c>
      <c r="C1817" s="47">
        <v>54.78</v>
      </c>
      <c r="D1817" s="35">
        <v>45246.0</v>
      </c>
      <c r="E1817" s="47">
        <v>18.26</v>
      </c>
      <c r="F1817" s="47">
        <v>978.214285714285</v>
      </c>
      <c r="G1817" s="48">
        <v>0.0535714285714285</v>
      </c>
      <c r="H1817" s="24" t="s">
        <v>6769</v>
      </c>
      <c r="I1817" s="47"/>
      <c r="J1817" s="24">
        <v>0.0</v>
      </c>
    </row>
    <row r="1818">
      <c r="A1818" s="24">
        <v>36.0</v>
      </c>
      <c r="B1818" s="24">
        <v>1.0</v>
      </c>
      <c r="C1818" s="47">
        <v>19.56</v>
      </c>
      <c r="D1818" s="35">
        <v>45247.0</v>
      </c>
      <c r="E1818" s="47">
        <v>19.56</v>
      </c>
      <c r="F1818" s="47">
        <v>543.333333333333</v>
      </c>
      <c r="G1818" s="48">
        <v>0.0277777777777777</v>
      </c>
      <c r="H1818" s="24" t="s">
        <v>6769</v>
      </c>
      <c r="I1818" s="47"/>
      <c r="J1818" s="24">
        <v>0.0</v>
      </c>
    </row>
    <row r="1819">
      <c r="A1819" s="24">
        <v>4.0</v>
      </c>
      <c r="B1819" s="24">
        <v>0.0</v>
      </c>
      <c r="C1819" s="47">
        <v>0.0</v>
      </c>
      <c r="D1819" s="35">
        <v>45248.0</v>
      </c>
      <c r="E1819" s="47"/>
      <c r="F1819" s="47">
        <v>0.0</v>
      </c>
      <c r="G1819" s="48">
        <v>0.0</v>
      </c>
      <c r="H1819" s="24" t="s">
        <v>6769</v>
      </c>
      <c r="I1819" s="47"/>
      <c r="J1819" s="24">
        <v>0.0</v>
      </c>
    </row>
    <row r="1820">
      <c r="A1820" s="24">
        <v>12.0</v>
      </c>
      <c r="B1820" s="24">
        <v>0.0</v>
      </c>
      <c r="C1820" s="47">
        <v>0.0</v>
      </c>
      <c r="D1820" s="35">
        <v>45249.0</v>
      </c>
      <c r="E1820" s="47"/>
      <c r="F1820" s="47">
        <v>0.0</v>
      </c>
      <c r="G1820" s="48">
        <v>0.0</v>
      </c>
      <c r="H1820" s="24" t="s">
        <v>6769</v>
      </c>
      <c r="I1820" s="47"/>
      <c r="J1820" s="24">
        <v>0.0</v>
      </c>
    </row>
    <row r="1821">
      <c r="A1821" s="24">
        <v>57.0</v>
      </c>
      <c r="B1821" s="24">
        <v>2.0</v>
      </c>
      <c r="C1821" s="47">
        <v>36.95</v>
      </c>
      <c r="D1821" s="35">
        <v>45250.0</v>
      </c>
      <c r="E1821" s="47">
        <v>18.475</v>
      </c>
      <c r="F1821" s="47">
        <v>648.245614035087</v>
      </c>
      <c r="G1821" s="48">
        <v>0.0350877192982456</v>
      </c>
      <c r="H1821" s="24" t="s">
        <v>6769</v>
      </c>
      <c r="I1821" s="47"/>
      <c r="J1821" s="24">
        <v>0.0</v>
      </c>
    </row>
    <row r="1822">
      <c r="A1822" s="24">
        <v>52.0</v>
      </c>
      <c r="B1822" s="24">
        <v>1.0</v>
      </c>
      <c r="C1822" s="47">
        <v>19.3</v>
      </c>
      <c r="D1822" s="35">
        <v>45251.0</v>
      </c>
      <c r="E1822" s="47">
        <v>19.3</v>
      </c>
      <c r="F1822" s="47">
        <v>371.153846153846</v>
      </c>
      <c r="G1822" s="48">
        <v>0.0192307692307692</v>
      </c>
      <c r="H1822" s="24" t="s">
        <v>6769</v>
      </c>
      <c r="I1822" s="47"/>
      <c r="J1822" s="24">
        <v>0.0</v>
      </c>
    </row>
    <row r="1823">
      <c r="A1823" s="24">
        <v>20.0</v>
      </c>
      <c r="B1823" s="24">
        <v>0.0</v>
      </c>
      <c r="C1823" s="47">
        <v>0.0</v>
      </c>
      <c r="D1823" s="35">
        <v>45252.0</v>
      </c>
      <c r="E1823" s="47"/>
      <c r="F1823" s="47">
        <v>0.0</v>
      </c>
      <c r="G1823" s="48">
        <v>0.0</v>
      </c>
      <c r="H1823" s="24" t="s">
        <v>6769</v>
      </c>
      <c r="I1823" s="47"/>
      <c r="J1823" s="24">
        <v>0.0</v>
      </c>
    </row>
    <row r="1824">
      <c r="A1824" s="24">
        <v>8.0</v>
      </c>
      <c r="B1824" s="24">
        <v>0.0</v>
      </c>
      <c r="C1824" s="47">
        <v>0.0</v>
      </c>
      <c r="D1824" s="35">
        <v>45253.0</v>
      </c>
      <c r="E1824" s="47"/>
      <c r="F1824" s="47">
        <v>0.0</v>
      </c>
      <c r="G1824" s="48">
        <v>0.0</v>
      </c>
      <c r="H1824" s="24" t="s">
        <v>6769</v>
      </c>
      <c r="I1824" s="47"/>
      <c r="J1824" s="24">
        <v>0.0</v>
      </c>
    </row>
    <row r="1825">
      <c r="A1825" s="24">
        <v>3.0</v>
      </c>
      <c r="B1825" s="24">
        <v>1.0</v>
      </c>
      <c r="C1825" s="47">
        <v>19.81</v>
      </c>
      <c r="D1825" s="35">
        <v>45255.0</v>
      </c>
      <c r="E1825" s="47">
        <v>19.81</v>
      </c>
      <c r="F1825" s="47">
        <v>6603.33333333333</v>
      </c>
      <c r="G1825" s="48">
        <v>0.333333333333333</v>
      </c>
      <c r="H1825" s="24" t="s">
        <v>6769</v>
      </c>
      <c r="I1825" s="47"/>
      <c r="J1825" s="24">
        <v>0.0</v>
      </c>
    </row>
    <row r="1826">
      <c r="A1826" s="24">
        <v>10.0</v>
      </c>
      <c r="B1826" s="24">
        <v>1.0</v>
      </c>
      <c r="C1826" s="47">
        <v>14.35</v>
      </c>
      <c r="D1826" s="35">
        <v>45256.0</v>
      </c>
      <c r="E1826" s="47">
        <v>14.35</v>
      </c>
      <c r="F1826" s="47">
        <v>1435.0</v>
      </c>
      <c r="G1826" s="48">
        <v>0.1</v>
      </c>
      <c r="H1826" s="24" t="s">
        <v>6769</v>
      </c>
      <c r="I1826" s="47"/>
      <c r="J1826" s="24">
        <v>0.0</v>
      </c>
    </row>
    <row r="1827">
      <c r="A1827" s="24">
        <v>53.0</v>
      </c>
      <c r="B1827" s="24">
        <v>0.0</v>
      </c>
      <c r="C1827" s="47">
        <v>0.0</v>
      </c>
      <c r="D1827" s="35">
        <v>45257.0</v>
      </c>
      <c r="E1827" s="47"/>
      <c r="F1827" s="47">
        <v>0.0</v>
      </c>
      <c r="G1827" s="48">
        <v>0.0</v>
      </c>
      <c r="H1827" s="24" t="s">
        <v>6769</v>
      </c>
      <c r="I1827" s="47"/>
      <c r="J1827" s="24">
        <v>0.0</v>
      </c>
    </row>
    <row r="1828">
      <c r="A1828" s="24">
        <v>43.0</v>
      </c>
      <c r="B1828" s="24">
        <v>1.0</v>
      </c>
      <c r="C1828" s="47">
        <v>18.4</v>
      </c>
      <c r="D1828" s="35">
        <v>45258.0</v>
      </c>
      <c r="E1828" s="47">
        <v>18.4</v>
      </c>
      <c r="F1828" s="47">
        <v>427.906976744186</v>
      </c>
      <c r="G1828" s="48">
        <v>0.0232558139534883</v>
      </c>
      <c r="H1828" s="24" t="s">
        <v>6769</v>
      </c>
      <c r="I1828" s="47"/>
      <c r="J1828" s="24">
        <v>0.0</v>
      </c>
    </row>
    <row r="1829">
      <c r="A1829" s="24">
        <v>64.0</v>
      </c>
      <c r="B1829" s="24">
        <v>1.0</v>
      </c>
      <c r="C1829" s="47">
        <v>19.02</v>
      </c>
      <c r="D1829" s="35">
        <v>45259.0</v>
      </c>
      <c r="E1829" s="47">
        <v>19.02</v>
      </c>
      <c r="F1829" s="47">
        <v>297.1875</v>
      </c>
      <c r="G1829" s="48">
        <v>0.015625</v>
      </c>
      <c r="H1829" s="24" t="s">
        <v>6769</v>
      </c>
      <c r="I1829" s="47"/>
      <c r="J1829" s="24">
        <v>0.0</v>
      </c>
    </row>
    <row r="1830">
      <c r="A1830" s="24">
        <v>47.0</v>
      </c>
      <c r="B1830" s="24">
        <v>0.0</v>
      </c>
      <c r="C1830" s="47">
        <v>0.0</v>
      </c>
      <c r="D1830" s="35">
        <v>45260.0</v>
      </c>
      <c r="E1830" s="47"/>
      <c r="F1830" s="47">
        <v>0.0</v>
      </c>
      <c r="G1830" s="48">
        <v>0.0</v>
      </c>
      <c r="H1830" s="24" t="s">
        <v>6769</v>
      </c>
      <c r="I1830" s="47"/>
      <c r="J1830" s="24">
        <v>0.0</v>
      </c>
    </row>
    <row r="1831">
      <c r="A1831" s="24">
        <v>50.0</v>
      </c>
      <c r="B1831" s="24">
        <v>1.0</v>
      </c>
      <c r="C1831" s="47">
        <v>19.7</v>
      </c>
      <c r="D1831" s="35">
        <v>45261.0</v>
      </c>
      <c r="E1831" s="47">
        <v>19.7</v>
      </c>
      <c r="F1831" s="47">
        <v>394.0</v>
      </c>
      <c r="G1831" s="48">
        <v>0.02</v>
      </c>
      <c r="H1831" s="24" t="s">
        <v>6769</v>
      </c>
      <c r="I1831" s="47"/>
      <c r="J1831" s="24">
        <v>0.0</v>
      </c>
    </row>
    <row r="1832">
      <c r="A1832" s="24">
        <v>7.0</v>
      </c>
      <c r="B1832" s="24">
        <v>0.0</v>
      </c>
      <c r="C1832" s="47">
        <v>0.0</v>
      </c>
      <c r="D1832" s="35">
        <v>45262.0</v>
      </c>
      <c r="E1832" s="47"/>
      <c r="F1832" s="47">
        <v>0.0</v>
      </c>
      <c r="G1832" s="48">
        <v>0.0</v>
      </c>
      <c r="H1832" s="24" t="s">
        <v>6769</v>
      </c>
      <c r="I1832" s="47"/>
      <c r="J1832" s="24">
        <v>0.0</v>
      </c>
    </row>
    <row r="1833">
      <c r="A1833" s="24">
        <v>8.0</v>
      </c>
      <c r="B1833" s="24">
        <v>0.0</v>
      </c>
      <c r="C1833" s="47">
        <v>0.0</v>
      </c>
      <c r="D1833" s="35">
        <v>45263.0</v>
      </c>
      <c r="E1833" s="47"/>
      <c r="F1833" s="47">
        <v>0.0</v>
      </c>
      <c r="G1833" s="48">
        <v>0.0</v>
      </c>
      <c r="H1833" s="24" t="s">
        <v>6769</v>
      </c>
      <c r="I1833" s="47"/>
      <c r="J1833" s="24">
        <v>0.0</v>
      </c>
    </row>
    <row r="1834">
      <c r="A1834" s="24">
        <v>44.0</v>
      </c>
      <c r="B1834" s="24">
        <v>4.0</v>
      </c>
      <c r="C1834" s="47">
        <v>75.61</v>
      </c>
      <c r="D1834" s="35">
        <v>45264.0</v>
      </c>
      <c r="E1834" s="47">
        <v>18.9025</v>
      </c>
      <c r="F1834" s="47">
        <v>1718.40909090909</v>
      </c>
      <c r="G1834" s="48">
        <v>0.0909090909090909</v>
      </c>
      <c r="H1834" s="24" t="s">
        <v>6769</v>
      </c>
      <c r="I1834" s="47"/>
      <c r="J1834" s="24">
        <v>0.0</v>
      </c>
    </row>
    <row r="1835">
      <c r="A1835" s="24">
        <v>55.0</v>
      </c>
      <c r="B1835" s="24">
        <v>4.0</v>
      </c>
      <c r="C1835" s="47">
        <v>76.63</v>
      </c>
      <c r="D1835" s="35">
        <v>45265.0</v>
      </c>
      <c r="E1835" s="47">
        <v>19.1575</v>
      </c>
      <c r="F1835" s="47">
        <v>1393.27272727272</v>
      </c>
      <c r="G1835" s="48">
        <v>0.0727272727272727</v>
      </c>
      <c r="H1835" s="24" t="s">
        <v>6769</v>
      </c>
      <c r="I1835" s="47"/>
      <c r="J1835" s="24">
        <v>0.0</v>
      </c>
    </row>
    <row r="1836">
      <c r="A1836" s="24">
        <v>61.0</v>
      </c>
      <c r="B1836" s="24">
        <v>6.0</v>
      </c>
      <c r="C1836" s="47">
        <v>117.52</v>
      </c>
      <c r="D1836" s="35">
        <v>45266.0</v>
      </c>
      <c r="E1836" s="47">
        <v>19.5866666666666</v>
      </c>
      <c r="F1836" s="47">
        <v>1926.55737704918</v>
      </c>
      <c r="G1836" s="48">
        <v>0.0983606557377049</v>
      </c>
      <c r="H1836" s="24" t="s">
        <v>6769</v>
      </c>
      <c r="I1836" s="47"/>
      <c r="J1836" s="24">
        <v>0.0</v>
      </c>
    </row>
    <row r="1837">
      <c r="A1837" s="24">
        <v>45.0</v>
      </c>
      <c r="B1837" s="24">
        <v>2.0</v>
      </c>
      <c r="C1837" s="47">
        <v>36.01</v>
      </c>
      <c r="D1837" s="35">
        <v>45267.0</v>
      </c>
      <c r="E1837" s="47">
        <v>18.005</v>
      </c>
      <c r="F1837" s="47">
        <v>800.222222222222</v>
      </c>
      <c r="G1837" s="48">
        <v>0.0444444444444444</v>
      </c>
      <c r="H1837" s="24" t="s">
        <v>6769</v>
      </c>
      <c r="I1837" s="47"/>
      <c r="J1837" s="24">
        <v>0.0</v>
      </c>
    </row>
    <row r="1838">
      <c r="A1838" s="24">
        <v>31.0</v>
      </c>
      <c r="B1838" s="24">
        <v>2.0</v>
      </c>
      <c r="C1838" s="47">
        <v>37.93</v>
      </c>
      <c r="D1838" s="35">
        <v>45268.0</v>
      </c>
      <c r="E1838" s="47">
        <v>18.965</v>
      </c>
      <c r="F1838" s="47">
        <v>1223.54838709677</v>
      </c>
      <c r="G1838" s="48">
        <v>0.064516129032258</v>
      </c>
      <c r="H1838" s="24" t="s">
        <v>6769</v>
      </c>
      <c r="I1838" s="47"/>
      <c r="J1838" s="24">
        <v>0.0</v>
      </c>
    </row>
    <row r="1839">
      <c r="A1839" s="24">
        <v>5.0</v>
      </c>
      <c r="B1839" s="24">
        <v>0.0</v>
      </c>
      <c r="C1839" s="47">
        <v>0.0</v>
      </c>
      <c r="D1839" s="35">
        <v>45269.0</v>
      </c>
      <c r="E1839" s="47"/>
      <c r="F1839" s="47">
        <v>0.0</v>
      </c>
      <c r="G1839" s="48">
        <v>0.0</v>
      </c>
      <c r="H1839" s="24" t="s">
        <v>6769</v>
      </c>
      <c r="I1839" s="47"/>
      <c r="J1839" s="24">
        <v>0.0</v>
      </c>
    </row>
    <row r="1840">
      <c r="A1840" s="24">
        <v>5.0</v>
      </c>
      <c r="B1840" s="24">
        <v>1.0</v>
      </c>
      <c r="C1840" s="47">
        <v>19.57</v>
      </c>
      <c r="D1840" s="35">
        <v>45270.0</v>
      </c>
      <c r="E1840" s="47">
        <v>19.57</v>
      </c>
      <c r="F1840" s="47">
        <v>3914.0</v>
      </c>
      <c r="G1840" s="48">
        <v>0.2</v>
      </c>
      <c r="H1840" s="24" t="s">
        <v>6769</v>
      </c>
      <c r="I1840" s="47"/>
      <c r="J1840" s="24">
        <v>0.0</v>
      </c>
    </row>
    <row r="1841">
      <c r="A1841" s="24">
        <v>46.0</v>
      </c>
      <c r="B1841" s="24">
        <v>4.0</v>
      </c>
      <c r="C1841" s="47">
        <v>75.28</v>
      </c>
      <c r="D1841" s="35">
        <v>45271.0</v>
      </c>
      <c r="E1841" s="47">
        <v>18.82</v>
      </c>
      <c r="F1841" s="47">
        <v>1636.52173913043</v>
      </c>
      <c r="G1841" s="48">
        <v>0.0869565217391304</v>
      </c>
      <c r="H1841" s="24" t="s">
        <v>6769</v>
      </c>
      <c r="I1841" s="47"/>
      <c r="J1841" s="24">
        <v>0.0</v>
      </c>
    </row>
    <row r="1842">
      <c r="A1842" s="24">
        <v>52.0</v>
      </c>
      <c r="B1842" s="24">
        <v>2.0</v>
      </c>
      <c r="C1842" s="47">
        <v>33.23</v>
      </c>
      <c r="D1842" s="35">
        <v>45272.0</v>
      </c>
      <c r="E1842" s="47">
        <v>16.615</v>
      </c>
      <c r="F1842" s="47">
        <v>639.038461538461</v>
      </c>
      <c r="G1842" s="48">
        <v>0.0384615384615384</v>
      </c>
      <c r="H1842" s="24" t="s">
        <v>6769</v>
      </c>
      <c r="I1842" s="47"/>
      <c r="J1842" s="24">
        <v>0.0</v>
      </c>
    </row>
    <row r="1843">
      <c r="A1843" s="24">
        <v>50.0</v>
      </c>
      <c r="B1843" s="24">
        <v>0.0</v>
      </c>
      <c r="C1843" s="47">
        <v>0.0</v>
      </c>
      <c r="D1843" s="35">
        <v>45273.0</v>
      </c>
      <c r="E1843" s="47"/>
      <c r="F1843" s="47">
        <v>0.0</v>
      </c>
      <c r="G1843" s="48">
        <v>0.0</v>
      </c>
      <c r="H1843" s="24" t="s">
        <v>6769</v>
      </c>
      <c r="I1843" s="47"/>
      <c r="J1843" s="24">
        <v>0.0</v>
      </c>
    </row>
    <row r="1844">
      <c r="A1844" s="24">
        <v>44.0</v>
      </c>
      <c r="B1844" s="24">
        <v>1.0</v>
      </c>
      <c r="C1844" s="47">
        <v>12.08</v>
      </c>
      <c r="D1844" s="35">
        <v>45274.0</v>
      </c>
      <c r="E1844" s="47">
        <v>12.08</v>
      </c>
      <c r="F1844" s="47">
        <v>274.545454545454</v>
      </c>
      <c r="G1844" s="48">
        <v>0.0227272727272727</v>
      </c>
      <c r="H1844" s="24" t="s">
        <v>6769</v>
      </c>
      <c r="I1844" s="47"/>
      <c r="J1844" s="24">
        <v>0.0</v>
      </c>
    </row>
    <row r="1845">
      <c r="A1845" s="24">
        <v>38.0</v>
      </c>
      <c r="B1845" s="24">
        <v>4.0</v>
      </c>
      <c r="C1845" s="47">
        <v>73.57</v>
      </c>
      <c r="D1845" s="35">
        <v>45275.0</v>
      </c>
      <c r="E1845" s="47">
        <v>18.3925</v>
      </c>
      <c r="F1845" s="47">
        <v>1936.05263157894</v>
      </c>
      <c r="G1845" s="48">
        <v>0.105263157894736</v>
      </c>
      <c r="H1845" s="24" t="s">
        <v>6769</v>
      </c>
      <c r="I1845" s="47"/>
      <c r="J1845" s="24">
        <v>0.0</v>
      </c>
    </row>
    <row r="1846">
      <c r="A1846" s="24">
        <v>3.0</v>
      </c>
      <c r="B1846" s="24">
        <v>0.0</v>
      </c>
      <c r="C1846" s="47">
        <v>0.0</v>
      </c>
      <c r="D1846" s="35">
        <v>45276.0</v>
      </c>
      <c r="E1846" s="47"/>
      <c r="F1846" s="47">
        <v>0.0</v>
      </c>
      <c r="G1846" s="48">
        <v>0.0</v>
      </c>
      <c r="H1846" s="24" t="s">
        <v>6769</v>
      </c>
      <c r="I1846" s="47"/>
      <c r="J1846" s="24">
        <v>0.0</v>
      </c>
    </row>
    <row r="1847">
      <c r="A1847" s="24">
        <v>9.0</v>
      </c>
      <c r="B1847" s="24">
        <v>0.0</v>
      </c>
      <c r="C1847" s="47">
        <v>0.0</v>
      </c>
      <c r="D1847" s="35">
        <v>45277.0</v>
      </c>
      <c r="E1847" s="47"/>
      <c r="F1847" s="47">
        <v>0.0</v>
      </c>
      <c r="G1847" s="48">
        <v>0.0</v>
      </c>
      <c r="H1847" s="24" t="s">
        <v>6769</v>
      </c>
      <c r="I1847" s="47"/>
      <c r="J1847" s="24">
        <v>0.0</v>
      </c>
    </row>
    <row r="1848">
      <c r="A1848" s="24">
        <v>49.0</v>
      </c>
      <c r="B1848" s="24">
        <v>3.0</v>
      </c>
      <c r="C1848" s="47">
        <v>50.28</v>
      </c>
      <c r="D1848" s="35">
        <v>45278.0</v>
      </c>
      <c r="E1848" s="47">
        <v>16.76</v>
      </c>
      <c r="F1848" s="47">
        <v>1026.12244897959</v>
      </c>
      <c r="G1848" s="48">
        <v>0.0612244897959183</v>
      </c>
      <c r="H1848" s="24" t="s">
        <v>6769</v>
      </c>
      <c r="I1848" s="47"/>
      <c r="J1848" s="24">
        <v>0.0</v>
      </c>
    </row>
    <row r="1849">
      <c r="A1849" s="24">
        <v>50.0</v>
      </c>
      <c r="B1849" s="24">
        <v>1.0</v>
      </c>
      <c r="C1849" s="47">
        <v>19.8</v>
      </c>
      <c r="D1849" s="35">
        <v>45279.0</v>
      </c>
      <c r="E1849" s="47">
        <v>19.8</v>
      </c>
      <c r="F1849" s="47">
        <v>396.0</v>
      </c>
      <c r="G1849" s="48">
        <v>0.02</v>
      </c>
      <c r="H1849" s="24" t="s">
        <v>6769</v>
      </c>
      <c r="I1849" s="47"/>
      <c r="J1849" s="24">
        <v>0.0</v>
      </c>
    </row>
    <row r="1850">
      <c r="A1850" s="24">
        <v>37.0</v>
      </c>
      <c r="B1850" s="24">
        <v>3.0</v>
      </c>
      <c r="C1850" s="47">
        <v>46.99</v>
      </c>
      <c r="D1850" s="35">
        <v>45280.0</v>
      </c>
      <c r="E1850" s="47">
        <v>15.6633333333333</v>
      </c>
      <c r="F1850" s="47">
        <v>1270.0</v>
      </c>
      <c r="G1850" s="48">
        <v>0.081081081081081</v>
      </c>
      <c r="H1850" s="24" t="s">
        <v>6769</v>
      </c>
      <c r="I1850" s="47"/>
      <c r="J1850" s="24">
        <v>0.0</v>
      </c>
    </row>
    <row r="1851">
      <c r="A1851" s="24">
        <v>42.0</v>
      </c>
      <c r="B1851" s="24">
        <v>1.0</v>
      </c>
      <c r="C1851" s="47">
        <v>19.58</v>
      </c>
      <c r="D1851" s="35">
        <v>45281.0</v>
      </c>
      <c r="E1851" s="47">
        <v>19.58</v>
      </c>
      <c r="F1851" s="47">
        <v>466.190476190476</v>
      </c>
      <c r="G1851" s="48">
        <v>0.0238095238095238</v>
      </c>
      <c r="H1851" s="24" t="s">
        <v>6769</v>
      </c>
      <c r="I1851" s="47"/>
      <c r="J1851" s="24">
        <v>0.0</v>
      </c>
    </row>
    <row r="1852">
      <c r="A1852" s="24">
        <v>20.0</v>
      </c>
      <c r="B1852" s="24">
        <v>1.0</v>
      </c>
      <c r="C1852" s="47">
        <v>18.58</v>
      </c>
      <c r="D1852" s="35">
        <v>45282.0</v>
      </c>
      <c r="E1852" s="47">
        <v>18.58</v>
      </c>
      <c r="F1852" s="47">
        <v>929.0</v>
      </c>
      <c r="G1852" s="48">
        <v>0.05</v>
      </c>
      <c r="H1852" s="24" t="s">
        <v>6769</v>
      </c>
      <c r="I1852" s="47"/>
      <c r="J1852" s="24">
        <v>0.0</v>
      </c>
    </row>
    <row r="1853">
      <c r="A1853" s="24">
        <v>12.0</v>
      </c>
      <c r="B1853" s="24">
        <v>0.0</v>
      </c>
      <c r="C1853" s="47">
        <v>0.0</v>
      </c>
      <c r="D1853" s="35">
        <v>45283.0</v>
      </c>
      <c r="E1853" s="47"/>
      <c r="F1853" s="47">
        <v>0.0</v>
      </c>
      <c r="G1853" s="48">
        <v>0.0</v>
      </c>
      <c r="H1853" s="24" t="s">
        <v>6769</v>
      </c>
      <c r="I1853" s="47"/>
      <c r="J1853" s="24">
        <v>0.0</v>
      </c>
    </row>
    <row r="1854">
      <c r="A1854" s="24">
        <v>6.0</v>
      </c>
      <c r="B1854" s="24">
        <v>0.0</v>
      </c>
      <c r="C1854" s="47">
        <v>0.0</v>
      </c>
      <c r="D1854" s="35">
        <v>45284.0</v>
      </c>
      <c r="E1854" s="47"/>
      <c r="F1854" s="47">
        <v>0.0</v>
      </c>
      <c r="G1854" s="48">
        <v>0.0</v>
      </c>
      <c r="H1854" s="24" t="s">
        <v>6769</v>
      </c>
      <c r="I1854" s="47"/>
      <c r="J1854" s="24">
        <v>0.0</v>
      </c>
    </row>
    <row r="1855">
      <c r="A1855" s="24">
        <v>8.0</v>
      </c>
      <c r="B1855" s="24">
        <v>0.0</v>
      </c>
      <c r="C1855" s="47">
        <v>0.0</v>
      </c>
      <c r="D1855" s="35">
        <v>45285.0</v>
      </c>
      <c r="E1855" s="47"/>
      <c r="F1855" s="47">
        <v>0.0</v>
      </c>
      <c r="G1855" s="48">
        <v>0.0</v>
      </c>
      <c r="H1855" s="24" t="s">
        <v>6769</v>
      </c>
      <c r="I1855" s="47"/>
      <c r="J1855" s="24">
        <v>0.0</v>
      </c>
    </row>
    <row r="1856">
      <c r="A1856" s="24">
        <v>29.0</v>
      </c>
      <c r="B1856" s="24">
        <v>0.0</v>
      </c>
      <c r="C1856" s="47">
        <v>0.0</v>
      </c>
      <c r="D1856" s="35">
        <v>45286.0</v>
      </c>
      <c r="E1856" s="47"/>
      <c r="F1856" s="47">
        <v>0.0</v>
      </c>
      <c r="G1856" s="48">
        <v>0.0</v>
      </c>
      <c r="H1856" s="24" t="s">
        <v>6769</v>
      </c>
      <c r="I1856" s="47"/>
      <c r="J1856" s="24">
        <v>0.0</v>
      </c>
    </row>
    <row r="1857">
      <c r="A1857" s="24">
        <v>28.0</v>
      </c>
      <c r="B1857" s="24">
        <v>0.0</v>
      </c>
      <c r="C1857" s="47">
        <v>0.0</v>
      </c>
      <c r="D1857" s="35">
        <v>45287.0</v>
      </c>
      <c r="E1857" s="47"/>
      <c r="F1857" s="47">
        <v>0.0</v>
      </c>
      <c r="G1857" s="48">
        <v>0.0</v>
      </c>
      <c r="H1857" s="24" t="s">
        <v>6769</v>
      </c>
      <c r="I1857" s="47"/>
      <c r="J1857" s="24">
        <v>0.0</v>
      </c>
    </row>
    <row r="1858">
      <c r="A1858" s="24">
        <v>15.0</v>
      </c>
      <c r="B1858" s="24">
        <v>1.0</v>
      </c>
      <c r="C1858" s="47">
        <v>19.31</v>
      </c>
      <c r="D1858" s="35">
        <v>45288.0</v>
      </c>
      <c r="E1858" s="47">
        <v>19.31</v>
      </c>
      <c r="F1858" s="47">
        <v>1287.33333333333</v>
      </c>
      <c r="G1858" s="48">
        <v>0.0666666666666666</v>
      </c>
      <c r="H1858" s="24" t="s">
        <v>6769</v>
      </c>
      <c r="I1858" s="47"/>
      <c r="J1858" s="24">
        <v>0.0</v>
      </c>
    </row>
    <row r="1859">
      <c r="A1859" s="24">
        <v>5.0</v>
      </c>
      <c r="B1859" s="24">
        <v>0.0</v>
      </c>
      <c r="C1859" s="47">
        <v>0.0</v>
      </c>
      <c r="D1859" s="35">
        <v>45289.0</v>
      </c>
      <c r="E1859" s="47"/>
      <c r="F1859" s="47">
        <v>0.0</v>
      </c>
      <c r="G1859" s="48">
        <v>0.0</v>
      </c>
      <c r="H1859" s="24" t="s">
        <v>6769</v>
      </c>
      <c r="I1859" s="47"/>
      <c r="J1859" s="24">
        <v>0.0</v>
      </c>
    </row>
    <row r="1860">
      <c r="A1860" s="24">
        <v>1.0</v>
      </c>
      <c r="B1860" s="24">
        <v>0.0</v>
      </c>
      <c r="C1860" s="47">
        <v>0.0</v>
      </c>
      <c r="D1860" s="35">
        <v>45290.0</v>
      </c>
      <c r="E1860" s="47"/>
      <c r="F1860" s="47">
        <v>0.0</v>
      </c>
      <c r="G1860" s="48">
        <v>0.0</v>
      </c>
      <c r="H1860" s="24" t="s">
        <v>6769</v>
      </c>
      <c r="I1860" s="47"/>
      <c r="J1860" s="24">
        <v>0.0</v>
      </c>
    </row>
    <row r="1861">
      <c r="A1861" s="24">
        <v>3.0</v>
      </c>
      <c r="B1861" s="24">
        <v>0.0</v>
      </c>
      <c r="C1861" s="47">
        <v>0.0</v>
      </c>
      <c r="D1861" s="35">
        <v>45291.0</v>
      </c>
      <c r="E1861" s="47"/>
      <c r="F1861" s="47">
        <v>0.0</v>
      </c>
      <c r="G1861" s="48">
        <v>0.0</v>
      </c>
      <c r="H1861" s="24" t="s">
        <v>6769</v>
      </c>
      <c r="I1861" s="47"/>
      <c r="J1861" s="24">
        <v>0.0</v>
      </c>
    </row>
    <row r="1862">
      <c r="A1862" s="24">
        <v>11.0</v>
      </c>
      <c r="B1862" s="24">
        <v>0.0</v>
      </c>
      <c r="C1862" s="47">
        <v>0.0</v>
      </c>
      <c r="D1862" s="35">
        <v>45292.0</v>
      </c>
      <c r="E1862" s="47"/>
      <c r="F1862" s="47">
        <v>0.0</v>
      </c>
      <c r="G1862" s="48">
        <v>0.0</v>
      </c>
      <c r="H1862" s="24" t="s">
        <v>6769</v>
      </c>
      <c r="I1862" s="47"/>
      <c r="J1862" s="24">
        <v>0.0</v>
      </c>
    </row>
    <row r="1863">
      <c r="A1863" s="24">
        <v>32.0</v>
      </c>
      <c r="B1863" s="24">
        <v>2.0</v>
      </c>
      <c r="C1863" s="47">
        <v>9.26</v>
      </c>
      <c r="D1863" s="35">
        <v>45293.0</v>
      </c>
      <c r="E1863" s="47">
        <v>4.63</v>
      </c>
      <c r="F1863" s="47">
        <v>289.375</v>
      </c>
      <c r="G1863" s="48">
        <v>0.0625</v>
      </c>
      <c r="H1863" s="24" t="s">
        <v>6769</v>
      </c>
      <c r="I1863" s="47"/>
      <c r="J1863" s="24">
        <v>0.0</v>
      </c>
    </row>
    <row r="1864">
      <c r="A1864" s="24">
        <v>42.0</v>
      </c>
      <c r="B1864" s="24">
        <v>2.0</v>
      </c>
      <c r="C1864" s="47">
        <v>38.13</v>
      </c>
      <c r="D1864" s="35">
        <v>45294.0</v>
      </c>
      <c r="E1864" s="47">
        <v>19.065</v>
      </c>
      <c r="F1864" s="47">
        <v>907.857142857142</v>
      </c>
      <c r="G1864" s="48">
        <v>0.0476190476190476</v>
      </c>
      <c r="H1864" s="24" t="s">
        <v>6769</v>
      </c>
      <c r="I1864" s="47"/>
      <c r="J1864" s="24">
        <v>0.0</v>
      </c>
    </row>
    <row r="1865">
      <c r="A1865" s="24">
        <v>48.0</v>
      </c>
      <c r="B1865" s="24">
        <v>2.0</v>
      </c>
      <c r="C1865" s="47">
        <v>36.23</v>
      </c>
      <c r="D1865" s="35">
        <v>45295.0</v>
      </c>
      <c r="E1865" s="47">
        <v>18.115</v>
      </c>
      <c r="F1865" s="47">
        <v>754.791666666666</v>
      </c>
      <c r="G1865" s="48">
        <v>0.0416666666666666</v>
      </c>
      <c r="H1865" s="24" t="s">
        <v>6769</v>
      </c>
      <c r="I1865" s="47"/>
      <c r="J1865" s="24">
        <v>0.0</v>
      </c>
    </row>
    <row r="1866">
      <c r="A1866" s="24">
        <v>61.0</v>
      </c>
      <c r="B1866" s="24">
        <v>1.0</v>
      </c>
      <c r="C1866" s="47">
        <v>19.9</v>
      </c>
      <c r="D1866" s="35">
        <v>45296.0</v>
      </c>
      <c r="E1866" s="47">
        <v>19.9</v>
      </c>
      <c r="F1866" s="47">
        <v>326.229508196721</v>
      </c>
      <c r="G1866" s="48">
        <v>0.0163934426229508</v>
      </c>
      <c r="H1866" s="24" t="s">
        <v>6769</v>
      </c>
      <c r="I1866" s="47"/>
      <c r="J1866" s="24">
        <v>0.0</v>
      </c>
    </row>
    <row r="1867">
      <c r="A1867" s="24">
        <v>3.0</v>
      </c>
      <c r="B1867" s="24">
        <v>0.0</v>
      </c>
      <c r="C1867" s="47">
        <v>0.0</v>
      </c>
      <c r="D1867" s="35">
        <v>45297.0</v>
      </c>
      <c r="E1867" s="47"/>
      <c r="F1867" s="47">
        <v>0.0</v>
      </c>
      <c r="G1867" s="48">
        <v>0.0</v>
      </c>
      <c r="H1867" s="24" t="s">
        <v>6769</v>
      </c>
      <c r="I1867" s="47"/>
      <c r="J1867" s="24">
        <v>0.0</v>
      </c>
    </row>
    <row r="1868">
      <c r="A1868" s="24">
        <v>8.0</v>
      </c>
      <c r="B1868" s="24">
        <v>1.0</v>
      </c>
      <c r="C1868" s="47">
        <v>19.87</v>
      </c>
      <c r="D1868" s="35">
        <v>45298.0</v>
      </c>
      <c r="E1868" s="47">
        <v>19.87</v>
      </c>
      <c r="F1868" s="47">
        <v>2483.75</v>
      </c>
      <c r="G1868" s="48">
        <v>0.125</v>
      </c>
      <c r="H1868" s="24" t="s">
        <v>6769</v>
      </c>
      <c r="I1868" s="47"/>
      <c r="J1868" s="24">
        <v>0.0</v>
      </c>
    </row>
    <row r="1869">
      <c r="A1869" s="24">
        <v>47.0</v>
      </c>
      <c r="B1869" s="24">
        <v>1.0</v>
      </c>
      <c r="C1869" s="47">
        <v>18.7</v>
      </c>
      <c r="D1869" s="35">
        <v>45299.0</v>
      </c>
      <c r="E1869" s="47">
        <v>18.7</v>
      </c>
      <c r="F1869" s="47">
        <v>397.872340425531</v>
      </c>
      <c r="G1869" s="48">
        <v>0.0212765957446808</v>
      </c>
      <c r="H1869" s="24" t="s">
        <v>6769</v>
      </c>
      <c r="I1869" s="47"/>
      <c r="J1869" s="24">
        <v>0.0</v>
      </c>
    </row>
    <row r="1870">
      <c r="A1870" s="24">
        <v>66.0</v>
      </c>
      <c r="B1870" s="24">
        <v>0.0</v>
      </c>
      <c r="C1870" s="47">
        <v>0.0</v>
      </c>
      <c r="D1870" s="35">
        <v>45300.0</v>
      </c>
      <c r="E1870" s="47"/>
      <c r="F1870" s="47">
        <v>0.0</v>
      </c>
      <c r="G1870" s="48">
        <v>0.0</v>
      </c>
      <c r="H1870" s="24" t="s">
        <v>6769</v>
      </c>
      <c r="I1870" s="47"/>
      <c r="J1870" s="24">
        <v>0.0</v>
      </c>
    </row>
    <row r="1871">
      <c r="A1871" s="24">
        <v>59.0</v>
      </c>
      <c r="B1871" s="24">
        <v>0.0</v>
      </c>
      <c r="C1871" s="47">
        <v>0.0</v>
      </c>
      <c r="D1871" s="35">
        <v>45301.0</v>
      </c>
      <c r="E1871" s="47"/>
      <c r="F1871" s="47">
        <v>0.0</v>
      </c>
      <c r="G1871" s="48">
        <v>0.0</v>
      </c>
      <c r="H1871" s="24" t="s">
        <v>6769</v>
      </c>
      <c r="I1871" s="47"/>
      <c r="J1871" s="24">
        <v>0.0</v>
      </c>
    </row>
    <row r="1872">
      <c r="A1872" s="24">
        <v>58.0</v>
      </c>
      <c r="B1872" s="24">
        <v>1.0</v>
      </c>
      <c r="C1872" s="47">
        <v>11.26</v>
      </c>
      <c r="D1872" s="35">
        <v>45302.0</v>
      </c>
      <c r="E1872" s="47">
        <v>11.26</v>
      </c>
      <c r="F1872" s="47">
        <v>194.137931034482</v>
      </c>
      <c r="G1872" s="48">
        <v>0.0172413793103448</v>
      </c>
      <c r="H1872" s="24" t="s">
        <v>6769</v>
      </c>
      <c r="I1872" s="47"/>
      <c r="J1872" s="24">
        <v>0.0</v>
      </c>
    </row>
    <row r="1873">
      <c r="A1873" s="24">
        <v>58.0</v>
      </c>
      <c r="B1873" s="24">
        <v>2.0</v>
      </c>
      <c r="C1873" s="47">
        <v>39.39</v>
      </c>
      <c r="D1873" s="35">
        <v>45303.0</v>
      </c>
      <c r="E1873" s="47">
        <v>19.695</v>
      </c>
      <c r="F1873" s="47">
        <v>679.137931034482</v>
      </c>
      <c r="G1873" s="48">
        <v>0.0344827586206896</v>
      </c>
      <c r="H1873" s="24" t="s">
        <v>6769</v>
      </c>
      <c r="I1873" s="47"/>
      <c r="J1873" s="24">
        <v>0.0</v>
      </c>
    </row>
    <row r="1874">
      <c r="A1874" s="24">
        <v>10.0</v>
      </c>
      <c r="B1874" s="24">
        <v>0.0</v>
      </c>
      <c r="C1874" s="47">
        <v>0.0</v>
      </c>
      <c r="D1874" s="35">
        <v>45304.0</v>
      </c>
      <c r="E1874" s="47"/>
      <c r="F1874" s="47">
        <v>0.0</v>
      </c>
      <c r="G1874" s="48">
        <v>0.0</v>
      </c>
      <c r="H1874" s="24" t="s">
        <v>6769</v>
      </c>
      <c r="I1874" s="47"/>
      <c r="J1874" s="24">
        <v>0.0</v>
      </c>
    </row>
    <row r="1875">
      <c r="A1875" s="24">
        <v>6.0</v>
      </c>
      <c r="B1875" s="24">
        <v>0.0</v>
      </c>
      <c r="C1875" s="47">
        <v>0.0</v>
      </c>
      <c r="D1875" s="35">
        <v>45305.0</v>
      </c>
      <c r="E1875" s="47"/>
      <c r="F1875" s="47">
        <v>0.0</v>
      </c>
      <c r="G1875" s="48">
        <v>0.0</v>
      </c>
      <c r="H1875" s="24" t="s">
        <v>6769</v>
      </c>
      <c r="I1875" s="47"/>
      <c r="J1875" s="24">
        <v>0.0</v>
      </c>
    </row>
    <row r="1876">
      <c r="A1876" s="24">
        <v>36.0</v>
      </c>
      <c r="B1876" s="24">
        <v>0.0</v>
      </c>
      <c r="C1876" s="47">
        <v>0.0</v>
      </c>
      <c r="D1876" s="35">
        <v>45306.0</v>
      </c>
      <c r="E1876" s="47"/>
      <c r="F1876" s="47">
        <v>0.0</v>
      </c>
      <c r="G1876" s="48">
        <v>0.0</v>
      </c>
      <c r="H1876" s="24" t="s">
        <v>6769</v>
      </c>
      <c r="I1876" s="47"/>
      <c r="J1876" s="24">
        <v>0.0</v>
      </c>
    </row>
    <row r="1877">
      <c r="A1877" s="24">
        <v>39.0</v>
      </c>
      <c r="B1877" s="24">
        <v>2.0</v>
      </c>
      <c r="C1877" s="47">
        <v>37.59</v>
      </c>
      <c r="D1877" s="35">
        <v>45307.0</v>
      </c>
      <c r="E1877" s="47">
        <v>18.795</v>
      </c>
      <c r="F1877" s="47">
        <v>963.846153846153</v>
      </c>
      <c r="G1877" s="48">
        <v>0.0512820512820512</v>
      </c>
      <c r="H1877" s="24" t="s">
        <v>6769</v>
      </c>
      <c r="I1877" s="47"/>
      <c r="J1877" s="24">
        <v>0.0</v>
      </c>
    </row>
    <row r="1878">
      <c r="A1878" s="24">
        <v>60.0</v>
      </c>
      <c r="B1878" s="24">
        <v>5.0</v>
      </c>
      <c r="C1878" s="47">
        <v>96.28</v>
      </c>
      <c r="D1878" s="35">
        <v>45308.0</v>
      </c>
      <c r="E1878" s="47">
        <v>19.256</v>
      </c>
      <c r="F1878" s="47">
        <v>1604.66666666666</v>
      </c>
      <c r="G1878" s="48">
        <v>0.0833333333333333</v>
      </c>
      <c r="H1878" s="24" t="s">
        <v>6769</v>
      </c>
      <c r="I1878" s="47"/>
      <c r="J1878" s="24">
        <v>0.0</v>
      </c>
    </row>
    <row r="1879">
      <c r="A1879" s="24">
        <v>45.0</v>
      </c>
      <c r="B1879" s="24">
        <v>3.0</v>
      </c>
      <c r="C1879" s="47">
        <v>57.54</v>
      </c>
      <c r="D1879" s="35">
        <v>45309.0</v>
      </c>
      <c r="E1879" s="47">
        <v>19.18</v>
      </c>
      <c r="F1879" s="47">
        <v>1278.66666666666</v>
      </c>
      <c r="G1879" s="48">
        <v>0.0666666666666666</v>
      </c>
      <c r="H1879" s="24" t="s">
        <v>6769</v>
      </c>
      <c r="I1879" s="47"/>
      <c r="J1879" s="24">
        <v>0.0</v>
      </c>
    </row>
    <row r="1880">
      <c r="A1880" s="24">
        <v>41.0</v>
      </c>
      <c r="B1880" s="24">
        <v>2.0</v>
      </c>
      <c r="C1880" s="47">
        <v>38.52</v>
      </c>
      <c r="D1880" s="35">
        <v>45310.0</v>
      </c>
      <c r="E1880" s="47">
        <v>19.26</v>
      </c>
      <c r="F1880" s="47">
        <v>939.512195121951</v>
      </c>
      <c r="G1880" s="48">
        <v>0.048780487804878</v>
      </c>
      <c r="H1880" s="24" t="s">
        <v>6769</v>
      </c>
      <c r="I1880" s="47"/>
      <c r="J1880" s="24">
        <v>0.0</v>
      </c>
    </row>
    <row r="1881">
      <c r="A1881" s="24">
        <v>7.0</v>
      </c>
      <c r="B1881" s="24">
        <v>0.0</v>
      </c>
      <c r="C1881" s="47">
        <v>0.0</v>
      </c>
      <c r="D1881" s="35">
        <v>45311.0</v>
      </c>
      <c r="E1881" s="47"/>
      <c r="F1881" s="47">
        <v>0.0</v>
      </c>
      <c r="G1881" s="48">
        <v>0.0</v>
      </c>
      <c r="H1881" s="24" t="s">
        <v>6769</v>
      </c>
      <c r="I1881" s="47"/>
      <c r="J1881" s="24">
        <v>0.0</v>
      </c>
    </row>
    <row r="1882">
      <c r="A1882" s="24">
        <v>8.0</v>
      </c>
      <c r="B1882" s="24">
        <v>0.0</v>
      </c>
      <c r="C1882" s="47">
        <v>0.0</v>
      </c>
      <c r="D1882" s="35">
        <v>45312.0</v>
      </c>
      <c r="E1882" s="47"/>
      <c r="F1882" s="47">
        <v>0.0</v>
      </c>
      <c r="G1882" s="48">
        <v>0.0</v>
      </c>
      <c r="H1882" s="24" t="s">
        <v>6769</v>
      </c>
      <c r="I1882" s="47"/>
      <c r="J1882" s="24">
        <v>0.0</v>
      </c>
    </row>
    <row r="1883">
      <c r="A1883" s="24">
        <v>76.0</v>
      </c>
      <c r="B1883" s="24">
        <v>2.0</v>
      </c>
      <c r="C1883" s="47">
        <v>37.09</v>
      </c>
      <c r="D1883" s="35">
        <v>45313.0</v>
      </c>
      <c r="E1883" s="47">
        <v>18.545</v>
      </c>
      <c r="F1883" s="47">
        <v>488.026315789473</v>
      </c>
      <c r="G1883" s="48">
        <v>0.0263157894736842</v>
      </c>
      <c r="H1883" s="24" t="s">
        <v>6769</v>
      </c>
      <c r="I1883" s="47"/>
      <c r="J1883" s="24">
        <v>0.0</v>
      </c>
    </row>
    <row r="1884">
      <c r="A1884" s="24">
        <v>64.0</v>
      </c>
      <c r="B1884" s="24">
        <v>2.0</v>
      </c>
      <c r="C1884" s="47">
        <v>39.26</v>
      </c>
      <c r="D1884" s="35">
        <v>45314.0</v>
      </c>
      <c r="E1884" s="47">
        <v>19.63</v>
      </c>
      <c r="F1884" s="47">
        <v>613.4375</v>
      </c>
      <c r="G1884" s="48">
        <v>0.03125</v>
      </c>
      <c r="H1884" s="24" t="s">
        <v>6769</v>
      </c>
      <c r="I1884" s="47"/>
      <c r="J1884" s="24">
        <v>0.0</v>
      </c>
    </row>
    <row r="1885">
      <c r="A1885" s="24">
        <v>63.0</v>
      </c>
      <c r="B1885" s="24">
        <v>3.0</v>
      </c>
      <c r="C1885" s="47">
        <v>50.02</v>
      </c>
      <c r="D1885" s="35">
        <v>45315.0</v>
      </c>
      <c r="E1885" s="47">
        <v>16.6733333333333</v>
      </c>
      <c r="F1885" s="47">
        <v>793.968253968254</v>
      </c>
      <c r="G1885" s="48">
        <v>0.0476190476190476</v>
      </c>
      <c r="H1885" s="24" t="s">
        <v>6769</v>
      </c>
      <c r="I1885" s="47"/>
      <c r="J1885" s="24">
        <v>0.0</v>
      </c>
    </row>
    <row r="1886">
      <c r="A1886" s="24">
        <v>60.0</v>
      </c>
      <c r="B1886" s="24">
        <v>1.0</v>
      </c>
      <c r="C1886" s="47">
        <v>17.82</v>
      </c>
      <c r="D1886" s="35">
        <v>45316.0</v>
      </c>
      <c r="E1886" s="47">
        <v>17.82</v>
      </c>
      <c r="F1886" s="47">
        <v>297.0</v>
      </c>
      <c r="G1886" s="48">
        <v>0.0166666666666666</v>
      </c>
      <c r="H1886" s="24" t="s">
        <v>6769</v>
      </c>
      <c r="I1886" s="47"/>
      <c r="J1886" s="24">
        <v>0.0</v>
      </c>
    </row>
    <row r="1887">
      <c r="A1887" s="24">
        <v>38.0</v>
      </c>
      <c r="B1887" s="24">
        <v>0.0</v>
      </c>
      <c r="C1887" s="47">
        <v>0.0</v>
      </c>
      <c r="D1887" s="35">
        <v>45317.0</v>
      </c>
      <c r="E1887" s="47"/>
      <c r="F1887" s="47">
        <v>0.0</v>
      </c>
      <c r="G1887" s="48">
        <v>0.0</v>
      </c>
      <c r="H1887" s="24" t="s">
        <v>6769</v>
      </c>
      <c r="I1887" s="47"/>
      <c r="J1887" s="24">
        <v>0.0</v>
      </c>
    </row>
    <row r="1888">
      <c r="A1888" s="24">
        <v>4.0</v>
      </c>
      <c r="B1888" s="24">
        <v>0.0</v>
      </c>
      <c r="C1888" s="47">
        <v>0.0</v>
      </c>
      <c r="D1888" s="35">
        <v>45318.0</v>
      </c>
      <c r="E1888" s="47"/>
      <c r="F1888" s="47">
        <v>0.0</v>
      </c>
      <c r="G1888" s="48">
        <v>0.0</v>
      </c>
      <c r="H1888" s="24" t="s">
        <v>6769</v>
      </c>
      <c r="I1888" s="47"/>
      <c r="J1888" s="24">
        <v>0.0</v>
      </c>
    </row>
    <row r="1889">
      <c r="A1889" s="24">
        <v>9.0</v>
      </c>
      <c r="B1889" s="24">
        <v>0.0</v>
      </c>
      <c r="C1889" s="47">
        <v>0.0</v>
      </c>
      <c r="D1889" s="35">
        <v>45319.0</v>
      </c>
      <c r="E1889" s="47"/>
      <c r="F1889" s="47">
        <v>0.0</v>
      </c>
      <c r="G1889" s="48">
        <v>0.0</v>
      </c>
      <c r="H1889" s="24" t="s">
        <v>6769</v>
      </c>
      <c r="I1889" s="47"/>
      <c r="J1889" s="24">
        <v>0.0</v>
      </c>
    </row>
    <row r="1890">
      <c r="A1890" s="24">
        <v>38.0</v>
      </c>
      <c r="B1890" s="24">
        <v>0.0</v>
      </c>
      <c r="C1890" s="47">
        <v>0.0</v>
      </c>
      <c r="D1890" s="35">
        <v>45320.0</v>
      </c>
      <c r="E1890" s="47"/>
      <c r="F1890" s="47">
        <v>0.0</v>
      </c>
      <c r="G1890" s="48">
        <v>0.0</v>
      </c>
      <c r="H1890" s="24" t="s">
        <v>6769</v>
      </c>
      <c r="I1890" s="47"/>
      <c r="J1890" s="24">
        <v>0.0</v>
      </c>
    </row>
    <row r="1891">
      <c r="A1891" s="24">
        <v>38.0</v>
      </c>
      <c r="B1891" s="24">
        <v>2.0</v>
      </c>
      <c r="C1891" s="47">
        <v>36.2</v>
      </c>
      <c r="D1891" s="35">
        <v>45321.0</v>
      </c>
      <c r="E1891" s="47">
        <v>18.1</v>
      </c>
      <c r="F1891" s="47">
        <v>952.631578947368</v>
      </c>
      <c r="G1891" s="48">
        <v>0.0526315789473684</v>
      </c>
      <c r="H1891" s="24" t="s">
        <v>6769</v>
      </c>
      <c r="I1891" s="47"/>
      <c r="J1891" s="24">
        <v>0.0</v>
      </c>
    </row>
    <row r="1892">
      <c r="A1892" s="24">
        <v>35.0</v>
      </c>
      <c r="B1892" s="24">
        <v>0.0</v>
      </c>
      <c r="C1892" s="47">
        <v>0.0</v>
      </c>
      <c r="D1892" s="35">
        <v>45322.0</v>
      </c>
      <c r="E1892" s="47"/>
      <c r="F1892" s="47">
        <v>0.0</v>
      </c>
      <c r="G1892" s="48">
        <v>0.0</v>
      </c>
      <c r="H1892" s="24" t="s">
        <v>6769</v>
      </c>
      <c r="I1892" s="47"/>
      <c r="J1892" s="24">
        <v>0.0</v>
      </c>
    </row>
    <row r="1893">
      <c r="A1893" s="24">
        <v>46.0</v>
      </c>
      <c r="B1893" s="24">
        <v>2.0</v>
      </c>
      <c r="C1893" s="47">
        <v>38.52</v>
      </c>
      <c r="D1893" s="35">
        <v>45323.0</v>
      </c>
      <c r="E1893" s="47">
        <v>19.26</v>
      </c>
      <c r="F1893" s="47">
        <v>837.391304347826</v>
      </c>
      <c r="G1893" s="48">
        <v>0.0434782608695652</v>
      </c>
      <c r="H1893" s="24" t="s">
        <v>6769</v>
      </c>
      <c r="I1893" s="47"/>
      <c r="J1893" s="24">
        <v>0.0</v>
      </c>
    </row>
    <row r="1894">
      <c r="A1894" s="24">
        <v>39.0</v>
      </c>
      <c r="B1894" s="24">
        <v>1.0</v>
      </c>
      <c r="C1894" s="47">
        <v>8.4</v>
      </c>
      <c r="D1894" s="35">
        <v>45324.0</v>
      </c>
      <c r="E1894" s="47">
        <v>8.4</v>
      </c>
      <c r="F1894" s="47">
        <v>215.384615384615</v>
      </c>
      <c r="G1894" s="48">
        <v>0.0256410256410256</v>
      </c>
      <c r="H1894" s="24" t="s">
        <v>6769</v>
      </c>
      <c r="I1894" s="47"/>
      <c r="J1894" s="24">
        <v>0.0</v>
      </c>
    </row>
    <row r="1895">
      <c r="A1895" s="24">
        <v>12.0</v>
      </c>
      <c r="B1895" s="24">
        <v>0.0</v>
      </c>
      <c r="C1895" s="47">
        <v>0.0</v>
      </c>
      <c r="D1895" s="35">
        <v>45325.0</v>
      </c>
      <c r="E1895" s="47"/>
      <c r="F1895" s="47">
        <v>0.0</v>
      </c>
      <c r="G1895" s="48">
        <v>0.0</v>
      </c>
      <c r="H1895" s="24" t="s">
        <v>6769</v>
      </c>
      <c r="I1895" s="47"/>
      <c r="J1895" s="24">
        <v>0.0</v>
      </c>
    </row>
    <row r="1896">
      <c r="A1896" s="24">
        <v>11.0</v>
      </c>
      <c r="B1896" s="24">
        <v>0.0</v>
      </c>
      <c r="C1896" s="47">
        <v>0.0</v>
      </c>
      <c r="D1896" s="35">
        <v>45326.0</v>
      </c>
      <c r="E1896" s="47"/>
      <c r="F1896" s="47">
        <v>0.0</v>
      </c>
      <c r="G1896" s="48">
        <v>0.0</v>
      </c>
      <c r="H1896" s="24" t="s">
        <v>6769</v>
      </c>
      <c r="I1896" s="47"/>
      <c r="J1896" s="24">
        <v>0.0</v>
      </c>
    </row>
    <row r="1897">
      <c r="A1897" s="24">
        <v>48.0</v>
      </c>
      <c r="B1897" s="24">
        <v>1.0</v>
      </c>
      <c r="C1897" s="47">
        <v>18.4</v>
      </c>
      <c r="D1897" s="35">
        <v>45327.0</v>
      </c>
      <c r="E1897" s="47">
        <v>18.4</v>
      </c>
      <c r="F1897" s="47">
        <v>383.333333333333</v>
      </c>
      <c r="G1897" s="48">
        <v>0.0208333333333333</v>
      </c>
      <c r="H1897" s="24" t="s">
        <v>6769</v>
      </c>
      <c r="I1897" s="47"/>
      <c r="J1897" s="24">
        <v>0.0</v>
      </c>
    </row>
    <row r="1898">
      <c r="A1898" s="24">
        <v>70.0</v>
      </c>
      <c r="B1898" s="24">
        <v>3.0</v>
      </c>
      <c r="C1898" s="47">
        <v>53.85</v>
      </c>
      <c r="D1898" s="35">
        <v>45328.0</v>
      </c>
      <c r="E1898" s="47">
        <v>17.95</v>
      </c>
      <c r="F1898" s="47">
        <v>769.285714285714</v>
      </c>
      <c r="G1898" s="48">
        <v>0.0428571428571428</v>
      </c>
      <c r="H1898" s="24" t="s">
        <v>6769</v>
      </c>
      <c r="I1898" s="47"/>
      <c r="J1898" s="24">
        <v>0.0</v>
      </c>
    </row>
    <row r="1899">
      <c r="A1899" s="24">
        <v>68.0</v>
      </c>
      <c r="B1899" s="24">
        <v>0.0</v>
      </c>
      <c r="C1899" s="47">
        <v>0.0</v>
      </c>
      <c r="D1899" s="35">
        <v>45329.0</v>
      </c>
      <c r="E1899" s="47"/>
      <c r="F1899" s="47">
        <v>0.0</v>
      </c>
      <c r="G1899" s="48">
        <v>0.0</v>
      </c>
      <c r="H1899" s="24" t="s">
        <v>6769</v>
      </c>
      <c r="I1899" s="47"/>
      <c r="J1899" s="24">
        <v>0.0</v>
      </c>
    </row>
    <row r="1900">
      <c r="A1900" s="24">
        <v>57.0</v>
      </c>
      <c r="B1900" s="24">
        <v>7.0</v>
      </c>
      <c r="C1900" s="47">
        <v>121.4</v>
      </c>
      <c r="D1900" s="35">
        <v>45330.0</v>
      </c>
      <c r="E1900" s="47">
        <v>17.3428571428571</v>
      </c>
      <c r="F1900" s="47">
        <v>2129.8245614035</v>
      </c>
      <c r="G1900" s="48">
        <v>0.122807017543859</v>
      </c>
      <c r="H1900" s="24" t="s">
        <v>6769</v>
      </c>
      <c r="I1900" s="47"/>
      <c r="J1900" s="24">
        <v>0.0</v>
      </c>
    </row>
    <row r="1901">
      <c r="A1901" s="24">
        <v>46.0</v>
      </c>
      <c r="B1901" s="24">
        <v>2.0</v>
      </c>
      <c r="C1901" s="47">
        <v>31.25</v>
      </c>
      <c r="D1901" s="35">
        <v>45331.0</v>
      </c>
      <c r="E1901" s="47">
        <v>15.625</v>
      </c>
      <c r="F1901" s="47">
        <v>679.347826086956</v>
      </c>
      <c r="G1901" s="48">
        <v>0.0434782608695652</v>
      </c>
      <c r="H1901" s="24" t="s">
        <v>6769</v>
      </c>
      <c r="I1901" s="47"/>
      <c r="J1901" s="24">
        <v>0.0</v>
      </c>
    </row>
    <row r="1902">
      <c r="A1902" s="24">
        <v>9.0</v>
      </c>
      <c r="B1902" s="24">
        <v>0.0</v>
      </c>
      <c r="C1902" s="47">
        <v>0.0</v>
      </c>
      <c r="D1902" s="35">
        <v>45332.0</v>
      </c>
      <c r="E1902" s="47"/>
      <c r="F1902" s="47">
        <v>0.0</v>
      </c>
      <c r="G1902" s="48">
        <v>0.0</v>
      </c>
      <c r="H1902" s="24" t="s">
        <v>6769</v>
      </c>
      <c r="I1902" s="47"/>
      <c r="J1902" s="24">
        <v>0.0</v>
      </c>
    </row>
    <row r="1903">
      <c r="A1903" s="24">
        <v>14.0</v>
      </c>
      <c r="B1903" s="24">
        <v>0.0</v>
      </c>
      <c r="C1903" s="47">
        <v>0.0</v>
      </c>
      <c r="D1903" s="35">
        <v>45333.0</v>
      </c>
      <c r="E1903" s="47"/>
      <c r="F1903" s="47">
        <v>0.0</v>
      </c>
      <c r="G1903" s="48">
        <v>0.0</v>
      </c>
      <c r="H1903" s="24" t="s">
        <v>6769</v>
      </c>
      <c r="I1903" s="47"/>
      <c r="J1903" s="24">
        <v>0.0</v>
      </c>
    </row>
    <row r="1904">
      <c r="A1904" s="24">
        <v>40.0</v>
      </c>
      <c r="B1904" s="24">
        <v>0.0</v>
      </c>
      <c r="C1904" s="47">
        <v>0.0</v>
      </c>
      <c r="D1904" s="35">
        <v>45334.0</v>
      </c>
      <c r="E1904" s="47"/>
      <c r="F1904" s="47">
        <v>0.0</v>
      </c>
      <c r="G1904" s="48">
        <v>0.0</v>
      </c>
      <c r="H1904" s="24" t="s">
        <v>6769</v>
      </c>
      <c r="I1904" s="47"/>
      <c r="J1904" s="24">
        <v>0.0</v>
      </c>
    </row>
    <row r="1905">
      <c r="A1905" s="24">
        <v>62.0</v>
      </c>
      <c r="B1905" s="24">
        <v>3.0</v>
      </c>
      <c r="C1905" s="47">
        <v>58.84</v>
      </c>
      <c r="D1905" s="35">
        <v>45335.0</v>
      </c>
      <c r="E1905" s="47">
        <v>19.6133333333333</v>
      </c>
      <c r="F1905" s="47">
        <v>949.032258064516</v>
      </c>
      <c r="G1905" s="48">
        <v>0.0483870967741935</v>
      </c>
      <c r="H1905" s="24" t="s">
        <v>6769</v>
      </c>
      <c r="I1905" s="47"/>
      <c r="J1905" s="24">
        <v>0.0</v>
      </c>
    </row>
    <row r="1906">
      <c r="A1906" s="24">
        <v>48.0</v>
      </c>
      <c r="B1906" s="24">
        <v>3.0</v>
      </c>
      <c r="C1906" s="47">
        <v>42.79</v>
      </c>
      <c r="D1906" s="35">
        <v>45336.0</v>
      </c>
      <c r="E1906" s="47">
        <v>14.2633333333333</v>
      </c>
      <c r="F1906" s="47">
        <v>891.458333333333</v>
      </c>
      <c r="G1906" s="48">
        <v>0.0625</v>
      </c>
      <c r="H1906" s="24" t="s">
        <v>6769</v>
      </c>
      <c r="I1906" s="47"/>
      <c r="J1906" s="24">
        <v>0.0</v>
      </c>
    </row>
    <row r="1907">
      <c r="A1907" s="24">
        <v>43.0</v>
      </c>
      <c r="B1907" s="24">
        <v>0.0</v>
      </c>
      <c r="C1907" s="47">
        <v>0.0</v>
      </c>
      <c r="D1907" s="35">
        <v>45337.0</v>
      </c>
      <c r="E1907" s="47"/>
      <c r="F1907" s="47">
        <v>0.0</v>
      </c>
      <c r="G1907" s="48">
        <v>0.0</v>
      </c>
      <c r="H1907" s="24" t="s">
        <v>6769</v>
      </c>
      <c r="I1907" s="47"/>
      <c r="J1907" s="24">
        <v>0.0</v>
      </c>
    </row>
    <row r="1908">
      <c r="A1908" s="24">
        <v>50.0</v>
      </c>
      <c r="B1908" s="24">
        <v>1.0</v>
      </c>
      <c r="C1908" s="47">
        <v>18.69</v>
      </c>
      <c r="D1908" s="35">
        <v>45338.0</v>
      </c>
      <c r="E1908" s="47">
        <v>18.69</v>
      </c>
      <c r="F1908" s="47">
        <v>373.8</v>
      </c>
      <c r="G1908" s="48">
        <v>0.02</v>
      </c>
      <c r="H1908" s="24" t="s">
        <v>6769</v>
      </c>
      <c r="I1908" s="47"/>
      <c r="J1908" s="24">
        <v>0.0</v>
      </c>
    </row>
    <row r="1909">
      <c r="A1909" s="24">
        <v>6.0</v>
      </c>
      <c r="B1909" s="24">
        <v>1.0</v>
      </c>
      <c r="C1909" s="47">
        <v>10.4</v>
      </c>
      <c r="D1909" s="35">
        <v>45339.0</v>
      </c>
      <c r="E1909" s="47">
        <v>10.4</v>
      </c>
      <c r="F1909" s="47">
        <v>1733.33333333333</v>
      </c>
      <c r="G1909" s="48">
        <v>0.166666666666666</v>
      </c>
      <c r="H1909" s="24" t="s">
        <v>6769</v>
      </c>
      <c r="I1909" s="47"/>
      <c r="J1909" s="24">
        <v>0.0</v>
      </c>
    </row>
    <row r="1910">
      <c r="A1910" s="24">
        <v>12.0</v>
      </c>
      <c r="B1910" s="24">
        <v>1.0</v>
      </c>
      <c r="C1910" s="47">
        <v>19.54</v>
      </c>
      <c r="D1910" s="35">
        <v>45340.0</v>
      </c>
      <c r="E1910" s="47">
        <v>19.54</v>
      </c>
      <c r="F1910" s="47">
        <v>1628.33333333333</v>
      </c>
      <c r="G1910" s="48">
        <v>0.0833333333333333</v>
      </c>
      <c r="H1910" s="24" t="s">
        <v>6769</v>
      </c>
      <c r="I1910" s="47"/>
      <c r="J1910" s="24">
        <v>0.0</v>
      </c>
    </row>
    <row r="1911">
      <c r="A1911" s="24">
        <v>23.0</v>
      </c>
      <c r="B1911" s="24">
        <v>2.0</v>
      </c>
      <c r="C1911" s="47">
        <v>38.51</v>
      </c>
      <c r="D1911" s="35">
        <v>45341.0</v>
      </c>
      <c r="E1911" s="47">
        <v>19.255</v>
      </c>
      <c r="F1911" s="47">
        <v>1674.34782608695</v>
      </c>
      <c r="G1911" s="48">
        <v>0.0869565217391304</v>
      </c>
      <c r="H1911" s="24" t="s">
        <v>6769</v>
      </c>
      <c r="I1911" s="47"/>
      <c r="J1911" s="24">
        <v>0.0</v>
      </c>
    </row>
    <row r="1912">
      <c r="A1912" s="24">
        <v>52.0</v>
      </c>
      <c r="B1912" s="24">
        <v>4.0</v>
      </c>
      <c r="C1912" s="47">
        <v>65.73</v>
      </c>
      <c r="D1912" s="35">
        <v>45342.0</v>
      </c>
      <c r="E1912" s="47">
        <v>16.4325</v>
      </c>
      <c r="F1912" s="47">
        <v>1264.03846153846</v>
      </c>
      <c r="G1912" s="48">
        <v>0.0769230769230769</v>
      </c>
      <c r="H1912" s="24" t="s">
        <v>6769</v>
      </c>
      <c r="I1912" s="47"/>
      <c r="J1912" s="24">
        <v>0.0</v>
      </c>
    </row>
    <row r="1913">
      <c r="A1913" s="24">
        <v>52.0</v>
      </c>
      <c r="B1913" s="24">
        <v>1.0</v>
      </c>
      <c r="C1913" s="47">
        <v>19.94</v>
      </c>
      <c r="D1913" s="35">
        <v>45343.0</v>
      </c>
      <c r="E1913" s="47">
        <v>19.94</v>
      </c>
      <c r="F1913" s="47">
        <v>383.461538461538</v>
      </c>
      <c r="G1913" s="48">
        <v>0.0192307692307692</v>
      </c>
      <c r="H1913" s="24" t="s">
        <v>6769</v>
      </c>
      <c r="I1913" s="47"/>
      <c r="J1913" s="24">
        <v>0.0</v>
      </c>
    </row>
    <row r="1914">
      <c r="A1914" s="24">
        <v>40.0</v>
      </c>
      <c r="B1914" s="24">
        <v>0.0</v>
      </c>
      <c r="C1914" s="47">
        <v>0.0</v>
      </c>
      <c r="D1914" s="35">
        <v>45344.0</v>
      </c>
      <c r="E1914" s="47"/>
      <c r="F1914" s="47">
        <v>0.0</v>
      </c>
      <c r="G1914" s="48">
        <v>0.0</v>
      </c>
      <c r="H1914" s="24" t="s">
        <v>6769</v>
      </c>
      <c r="I1914" s="47"/>
      <c r="J1914" s="24">
        <v>0.0</v>
      </c>
    </row>
    <row r="1915">
      <c r="A1915" s="24">
        <v>35.0</v>
      </c>
      <c r="B1915" s="24">
        <v>1.0</v>
      </c>
      <c r="C1915" s="47">
        <v>19.72</v>
      </c>
      <c r="D1915" s="35">
        <v>45345.0</v>
      </c>
      <c r="E1915" s="47">
        <v>19.72</v>
      </c>
      <c r="F1915" s="47">
        <v>563.428571428571</v>
      </c>
      <c r="G1915" s="48">
        <v>0.0285714285714285</v>
      </c>
      <c r="H1915" s="24" t="s">
        <v>6769</v>
      </c>
      <c r="I1915" s="47"/>
      <c r="J1915" s="24">
        <v>0.0</v>
      </c>
    </row>
    <row r="1916">
      <c r="A1916" s="24">
        <v>3.0</v>
      </c>
      <c r="B1916" s="24">
        <v>0.0</v>
      </c>
      <c r="C1916" s="47">
        <v>0.0</v>
      </c>
      <c r="D1916" s="35">
        <v>45346.0</v>
      </c>
      <c r="E1916" s="47"/>
      <c r="F1916" s="47">
        <v>0.0</v>
      </c>
      <c r="G1916" s="48">
        <v>0.0</v>
      </c>
      <c r="H1916" s="24" t="s">
        <v>6769</v>
      </c>
      <c r="I1916" s="47"/>
      <c r="J1916" s="24">
        <v>0.0</v>
      </c>
    </row>
    <row r="1917">
      <c r="A1917" s="24">
        <v>10.0</v>
      </c>
      <c r="B1917" s="24">
        <v>0.0</v>
      </c>
      <c r="C1917" s="47">
        <v>0.0</v>
      </c>
      <c r="D1917" s="35">
        <v>45347.0</v>
      </c>
      <c r="E1917" s="47"/>
      <c r="F1917" s="47">
        <v>0.0</v>
      </c>
      <c r="G1917" s="48">
        <v>0.0</v>
      </c>
      <c r="H1917" s="24" t="s">
        <v>6769</v>
      </c>
      <c r="I1917" s="47"/>
      <c r="J1917" s="24">
        <v>0.0</v>
      </c>
    </row>
    <row r="1918">
      <c r="A1918" s="24">
        <v>47.0</v>
      </c>
      <c r="B1918" s="24">
        <v>0.0</v>
      </c>
      <c r="C1918" s="47">
        <v>0.0</v>
      </c>
      <c r="D1918" s="35">
        <v>45348.0</v>
      </c>
      <c r="E1918" s="47"/>
      <c r="F1918" s="47">
        <v>0.0</v>
      </c>
      <c r="G1918" s="48">
        <v>0.0</v>
      </c>
      <c r="H1918" s="24" t="s">
        <v>6769</v>
      </c>
      <c r="I1918" s="47"/>
      <c r="J1918" s="24">
        <v>0.0</v>
      </c>
    </row>
    <row r="1919">
      <c r="A1919" s="24">
        <v>47.0</v>
      </c>
      <c r="B1919" s="24">
        <v>1.0</v>
      </c>
      <c r="C1919" s="47">
        <v>13.81</v>
      </c>
      <c r="D1919" s="35">
        <v>45349.0</v>
      </c>
      <c r="E1919" s="47">
        <v>13.81</v>
      </c>
      <c r="F1919" s="47">
        <v>293.829787234042</v>
      </c>
      <c r="G1919" s="48">
        <v>0.0212765957446808</v>
      </c>
      <c r="H1919" s="24" t="s">
        <v>6769</v>
      </c>
      <c r="I1919" s="47"/>
      <c r="J1919" s="24">
        <v>0.0</v>
      </c>
    </row>
    <row r="1920">
      <c r="A1920" s="24">
        <v>57.0</v>
      </c>
      <c r="B1920" s="24">
        <v>3.0</v>
      </c>
      <c r="C1920" s="47">
        <v>56.85</v>
      </c>
      <c r="D1920" s="35">
        <v>45350.0</v>
      </c>
      <c r="E1920" s="47">
        <v>18.95</v>
      </c>
      <c r="F1920" s="47">
        <v>997.368421052631</v>
      </c>
      <c r="G1920" s="48">
        <v>0.0526315789473684</v>
      </c>
      <c r="H1920" s="24" t="s">
        <v>6769</v>
      </c>
      <c r="I1920" s="47"/>
      <c r="J1920" s="24">
        <v>0.0</v>
      </c>
    </row>
    <row r="1921">
      <c r="A1921" s="24">
        <v>45.0</v>
      </c>
      <c r="B1921" s="24">
        <v>1.0</v>
      </c>
      <c r="C1921" s="47">
        <v>19.13</v>
      </c>
      <c r="D1921" s="35">
        <v>45351.0</v>
      </c>
      <c r="E1921" s="47">
        <v>19.13</v>
      </c>
      <c r="F1921" s="47">
        <v>425.111111111111</v>
      </c>
      <c r="G1921" s="48">
        <v>0.0222222222222222</v>
      </c>
      <c r="H1921" s="24" t="s">
        <v>6769</v>
      </c>
      <c r="I1921" s="47"/>
      <c r="J1921" s="24">
        <v>0.0</v>
      </c>
    </row>
    <row r="1922">
      <c r="A1922" s="24">
        <v>43.0</v>
      </c>
      <c r="B1922" s="24">
        <v>1.0</v>
      </c>
      <c r="C1922" s="47">
        <v>18.81</v>
      </c>
      <c r="D1922" s="35">
        <v>45352.0</v>
      </c>
      <c r="E1922" s="47">
        <v>18.81</v>
      </c>
      <c r="F1922" s="47">
        <v>437.441860465116</v>
      </c>
      <c r="G1922" s="48">
        <v>0.0232558139534883</v>
      </c>
      <c r="H1922" s="24" t="s">
        <v>6769</v>
      </c>
      <c r="I1922" s="47"/>
      <c r="J1922" s="24">
        <v>0.0</v>
      </c>
    </row>
    <row r="1923">
      <c r="A1923" s="24">
        <v>7.0</v>
      </c>
      <c r="B1923" s="24">
        <v>0.0</v>
      </c>
      <c r="C1923" s="47">
        <v>0.0</v>
      </c>
      <c r="D1923" s="35">
        <v>45353.0</v>
      </c>
      <c r="E1923" s="47"/>
      <c r="F1923" s="47">
        <v>0.0</v>
      </c>
      <c r="G1923" s="48">
        <v>0.0</v>
      </c>
      <c r="H1923" s="24" t="s">
        <v>6769</v>
      </c>
      <c r="I1923" s="47"/>
      <c r="J1923" s="24">
        <v>0.0</v>
      </c>
    </row>
    <row r="1924">
      <c r="A1924" s="24">
        <v>14.0</v>
      </c>
      <c r="B1924" s="24">
        <v>0.0</v>
      </c>
      <c r="C1924" s="47">
        <v>0.0</v>
      </c>
      <c r="D1924" s="35">
        <v>45354.0</v>
      </c>
      <c r="E1924" s="47"/>
      <c r="F1924" s="47">
        <v>0.0</v>
      </c>
      <c r="G1924" s="48">
        <v>0.0</v>
      </c>
      <c r="H1924" s="24" t="s">
        <v>6769</v>
      </c>
      <c r="I1924" s="47"/>
      <c r="J1924" s="24">
        <v>0.0</v>
      </c>
    </row>
    <row r="1925">
      <c r="A1925" s="24">
        <v>36.0</v>
      </c>
      <c r="B1925" s="24">
        <v>3.0</v>
      </c>
      <c r="C1925" s="47">
        <v>59.13</v>
      </c>
      <c r="D1925" s="35">
        <v>45355.0</v>
      </c>
      <c r="E1925" s="47">
        <v>19.71</v>
      </c>
      <c r="F1925" s="47">
        <v>1642.5</v>
      </c>
      <c r="G1925" s="48">
        <v>0.0833333333333333</v>
      </c>
      <c r="H1925" s="24" t="s">
        <v>6769</v>
      </c>
      <c r="I1925" s="47"/>
      <c r="J1925" s="24">
        <v>0.0</v>
      </c>
    </row>
    <row r="1926">
      <c r="A1926" s="24">
        <v>35.0</v>
      </c>
      <c r="B1926" s="24">
        <v>1.0</v>
      </c>
      <c r="C1926" s="47">
        <v>19.41</v>
      </c>
      <c r="D1926" s="35">
        <v>45356.0</v>
      </c>
      <c r="E1926" s="47">
        <v>19.41</v>
      </c>
      <c r="F1926" s="47">
        <v>554.571428571428</v>
      </c>
      <c r="G1926" s="48">
        <v>0.0285714285714285</v>
      </c>
      <c r="H1926" s="24" t="s">
        <v>6769</v>
      </c>
      <c r="I1926" s="47"/>
      <c r="J1926" s="24">
        <v>0.0</v>
      </c>
    </row>
    <row r="1927">
      <c r="A1927" s="24">
        <v>1.0</v>
      </c>
      <c r="B1927" s="24">
        <v>0.0</v>
      </c>
      <c r="C1927" s="47">
        <v>0.0</v>
      </c>
      <c r="D1927" s="35">
        <v>45357.0</v>
      </c>
      <c r="E1927" s="47"/>
      <c r="F1927" s="47">
        <v>0.0</v>
      </c>
      <c r="G1927" s="48">
        <v>0.0</v>
      </c>
      <c r="H1927" s="24" t="s">
        <v>6769</v>
      </c>
      <c r="I1927" s="47"/>
      <c r="J1927" s="24">
        <v>0.0</v>
      </c>
    </row>
    <row r="1928">
      <c r="A1928" s="24">
        <v>7.0</v>
      </c>
      <c r="B1928" s="24">
        <v>0.0</v>
      </c>
      <c r="C1928" s="47">
        <v>0.0</v>
      </c>
      <c r="D1928" s="35">
        <v>45579.0</v>
      </c>
      <c r="E1928" s="47"/>
      <c r="F1928" s="47">
        <v>0.0</v>
      </c>
      <c r="G1928" s="48">
        <v>0.0</v>
      </c>
      <c r="H1928" s="24" t="s">
        <v>6769</v>
      </c>
      <c r="I1928" s="47"/>
      <c r="J1928" s="24">
        <v>0.0</v>
      </c>
    </row>
    <row r="1929">
      <c r="A1929" s="24">
        <v>20.0</v>
      </c>
      <c r="B1929" s="24">
        <v>0.0</v>
      </c>
      <c r="C1929" s="47">
        <v>0.0</v>
      </c>
      <c r="D1929" s="35">
        <v>45580.0</v>
      </c>
      <c r="E1929" s="47"/>
      <c r="F1929" s="47">
        <v>0.0</v>
      </c>
      <c r="G1929" s="48">
        <v>0.0</v>
      </c>
      <c r="H1929" s="24" t="s">
        <v>6769</v>
      </c>
      <c r="I1929" s="47"/>
      <c r="J1929" s="24">
        <v>0.0</v>
      </c>
    </row>
    <row r="1930">
      <c r="A1930" s="24">
        <v>27.0</v>
      </c>
      <c r="B1930" s="24">
        <v>2.0</v>
      </c>
      <c r="C1930" s="47">
        <v>19.34</v>
      </c>
      <c r="D1930" s="35">
        <v>45581.0</v>
      </c>
      <c r="E1930" s="47">
        <v>9.67</v>
      </c>
      <c r="F1930" s="47">
        <v>716.296296296296</v>
      </c>
      <c r="G1930" s="48">
        <v>0.074074074074074</v>
      </c>
      <c r="H1930" s="24" t="s">
        <v>6769</v>
      </c>
      <c r="I1930" s="47"/>
      <c r="J1930" s="24">
        <v>0.0</v>
      </c>
    </row>
    <row r="1931">
      <c r="A1931" s="24">
        <v>6.0</v>
      </c>
      <c r="B1931" s="24">
        <v>0.0</v>
      </c>
      <c r="C1931" s="47">
        <v>0.0</v>
      </c>
      <c r="D1931" s="35">
        <v>45589.0</v>
      </c>
      <c r="E1931" s="47"/>
      <c r="F1931" s="47">
        <v>0.0</v>
      </c>
      <c r="G1931" s="48">
        <v>0.0</v>
      </c>
      <c r="H1931" s="24" t="s">
        <v>6769</v>
      </c>
      <c r="I1931" s="47"/>
      <c r="J1931" s="24">
        <v>0.0</v>
      </c>
    </row>
    <row r="1932">
      <c r="A1932" s="24">
        <v>10.0</v>
      </c>
      <c r="B1932" s="24">
        <v>0.0</v>
      </c>
      <c r="C1932" s="47">
        <v>0.0</v>
      </c>
      <c r="D1932" s="35">
        <v>45590.0</v>
      </c>
      <c r="E1932" s="47"/>
      <c r="F1932" s="47">
        <v>0.0</v>
      </c>
      <c r="G1932" s="48">
        <v>0.0</v>
      </c>
      <c r="H1932" s="24" t="s">
        <v>6769</v>
      </c>
      <c r="I1932" s="47"/>
      <c r="J1932" s="24">
        <v>0.0</v>
      </c>
    </row>
    <row r="1933">
      <c r="A1933" s="24">
        <v>5.0</v>
      </c>
      <c r="B1933" s="24">
        <v>0.0</v>
      </c>
      <c r="C1933" s="47">
        <v>0.0</v>
      </c>
      <c r="D1933" s="35">
        <v>45591.0</v>
      </c>
      <c r="E1933" s="47"/>
      <c r="F1933" s="47">
        <v>0.0</v>
      </c>
      <c r="G1933" s="48">
        <v>0.0</v>
      </c>
      <c r="H1933" s="24" t="s">
        <v>6769</v>
      </c>
      <c r="I1933" s="47"/>
      <c r="J1933" s="24">
        <v>0.0</v>
      </c>
    </row>
    <row r="1934">
      <c r="A1934" s="24">
        <v>2.0</v>
      </c>
      <c r="B1934" s="24">
        <v>0.0</v>
      </c>
      <c r="C1934" s="47">
        <v>0.0</v>
      </c>
      <c r="D1934" s="35">
        <v>45592.0</v>
      </c>
      <c r="E1934" s="47"/>
      <c r="F1934" s="47">
        <v>0.0</v>
      </c>
      <c r="G1934" s="48">
        <v>0.0</v>
      </c>
      <c r="H1934" s="24" t="s">
        <v>6769</v>
      </c>
      <c r="I1934" s="47"/>
      <c r="J1934" s="24">
        <v>0.0</v>
      </c>
    </row>
    <row r="1935">
      <c r="A1935" s="24">
        <v>32.0</v>
      </c>
      <c r="B1935" s="24">
        <v>3.0</v>
      </c>
      <c r="C1935" s="47">
        <v>42.55</v>
      </c>
      <c r="D1935" s="35">
        <v>45593.0</v>
      </c>
      <c r="E1935" s="47">
        <v>14.1833333333333</v>
      </c>
      <c r="F1935" s="47">
        <v>1329.6875</v>
      </c>
      <c r="G1935" s="48">
        <v>0.09375</v>
      </c>
      <c r="H1935" s="24" t="s">
        <v>6769</v>
      </c>
      <c r="I1935" s="47"/>
      <c r="J1935" s="24">
        <v>0.0</v>
      </c>
    </row>
    <row r="1936">
      <c r="A1936" s="24">
        <v>34.0</v>
      </c>
      <c r="B1936" s="24">
        <v>0.0</v>
      </c>
      <c r="C1936" s="47">
        <v>0.0</v>
      </c>
      <c r="D1936" s="35">
        <v>45594.0</v>
      </c>
      <c r="E1936" s="47"/>
      <c r="F1936" s="47">
        <v>0.0</v>
      </c>
      <c r="G1936" s="48">
        <v>0.0</v>
      </c>
      <c r="H1936" s="24" t="s">
        <v>6769</v>
      </c>
      <c r="I1936" s="47"/>
      <c r="J1936" s="24">
        <v>0.0</v>
      </c>
    </row>
    <row r="1937">
      <c r="A1937" s="24">
        <v>24.0</v>
      </c>
      <c r="B1937" s="24">
        <v>0.0</v>
      </c>
      <c r="C1937" s="47">
        <v>0.0</v>
      </c>
      <c r="D1937" s="35">
        <v>45595.0</v>
      </c>
      <c r="E1937" s="47"/>
      <c r="F1937" s="47">
        <v>0.0</v>
      </c>
      <c r="G1937" s="48">
        <v>0.0</v>
      </c>
      <c r="H1937" s="24" t="s">
        <v>6769</v>
      </c>
      <c r="I1937" s="47"/>
      <c r="J1937" s="24">
        <v>0.0</v>
      </c>
    </row>
    <row r="1938">
      <c r="A1938" s="24">
        <v>25.0</v>
      </c>
      <c r="B1938" s="24">
        <v>0.0</v>
      </c>
      <c r="C1938" s="47">
        <v>0.0</v>
      </c>
      <c r="D1938" s="35">
        <v>45596.0</v>
      </c>
      <c r="E1938" s="47"/>
      <c r="F1938" s="47">
        <v>0.0</v>
      </c>
      <c r="G1938" s="48">
        <v>0.0</v>
      </c>
      <c r="H1938" s="24" t="s">
        <v>6769</v>
      </c>
      <c r="I1938" s="47"/>
      <c r="J1938" s="24">
        <v>0.0</v>
      </c>
    </row>
    <row r="1939">
      <c r="A1939" s="24">
        <v>20.0</v>
      </c>
      <c r="B1939" s="24">
        <v>1.0</v>
      </c>
      <c r="C1939" s="47">
        <v>14.35</v>
      </c>
      <c r="D1939" s="35">
        <v>45597.0</v>
      </c>
      <c r="E1939" s="47">
        <v>14.35</v>
      </c>
      <c r="F1939" s="47">
        <v>717.5</v>
      </c>
      <c r="G1939" s="48">
        <v>0.05</v>
      </c>
      <c r="H1939" s="24" t="s">
        <v>6769</v>
      </c>
      <c r="I1939" s="47"/>
      <c r="J1939" s="24">
        <v>0.0</v>
      </c>
    </row>
    <row r="1940">
      <c r="A1940" s="24">
        <v>5.0</v>
      </c>
      <c r="B1940" s="24">
        <v>1.0</v>
      </c>
      <c r="C1940" s="47">
        <v>14.22</v>
      </c>
      <c r="D1940" s="35">
        <v>45598.0</v>
      </c>
      <c r="E1940" s="47">
        <v>14.22</v>
      </c>
      <c r="F1940" s="47">
        <v>2844.0</v>
      </c>
      <c r="G1940" s="48">
        <v>0.2</v>
      </c>
      <c r="H1940" s="24" t="s">
        <v>6769</v>
      </c>
      <c r="I1940" s="47"/>
      <c r="J1940" s="24">
        <v>0.0</v>
      </c>
    </row>
    <row r="1941">
      <c r="A1941" s="24">
        <v>2.0</v>
      </c>
      <c r="B1941" s="24">
        <v>0.0</v>
      </c>
      <c r="C1941" s="47">
        <v>0.0</v>
      </c>
      <c r="D1941" s="35">
        <v>45599.0</v>
      </c>
      <c r="E1941" s="47"/>
      <c r="F1941" s="47">
        <v>0.0</v>
      </c>
      <c r="G1941" s="48">
        <v>0.0</v>
      </c>
      <c r="H1941" s="24" t="s">
        <v>6769</v>
      </c>
      <c r="I1941" s="47"/>
      <c r="J1941" s="24">
        <v>0.0</v>
      </c>
    </row>
    <row r="1942">
      <c r="A1942" s="24">
        <v>43.0</v>
      </c>
      <c r="B1942" s="24">
        <v>0.0</v>
      </c>
      <c r="C1942" s="47">
        <v>0.0</v>
      </c>
      <c r="D1942" s="35">
        <v>45600.0</v>
      </c>
      <c r="E1942" s="47"/>
      <c r="F1942" s="47">
        <v>0.0</v>
      </c>
      <c r="G1942" s="48">
        <v>0.0</v>
      </c>
      <c r="H1942" s="24" t="s">
        <v>6769</v>
      </c>
      <c r="I1942" s="47"/>
      <c r="J1942" s="24">
        <v>0.0</v>
      </c>
    </row>
    <row r="1943">
      <c r="A1943" s="24">
        <v>48.0</v>
      </c>
      <c r="B1943" s="24">
        <v>4.0</v>
      </c>
      <c r="C1943" s="47">
        <v>58.89</v>
      </c>
      <c r="D1943" s="35">
        <v>45601.0</v>
      </c>
      <c r="E1943" s="47">
        <v>14.7225</v>
      </c>
      <c r="F1943" s="47">
        <v>1226.875</v>
      </c>
      <c r="G1943" s="48">
        <v>0.0833333333333333</v>
      </c>
      <c r="H1943" s="24" t="s">
        <v>6769</v>
      </c>
      <c r="I1943" s="47"/>
      <c r="J1943" s="24">
        <v>0.0</v>
      </c>
    </row>
    <row r="1944">
      <c r="A1944" s="24">
        <v>29.0</v>
      </c>
      <c r="B1944" s="24">
        <v>2.0</v>
      </c>
      <c r="C1944" s="47">
        <v>28.41</v>
      </c>
      <c r="D1944" s="35">
        <v>45602.0</v>
      </c>
      <c r="E1944" s="47">
        <v>14.205</v>
      </c>
      <c r="F1944" s="47">
        <v>979.655172413793</v>
      </c>
      <c r="G1944" s="48">
        <v>0.0689655172413793</v>
      </c>
      <c r="H1944" s="24" t="s">
        <v>6769</v>
      </c>
      <c r="I1944" s="47"/>
      <c r="J1944" s="24">
        <v>0.0</v>
      </c>
    </row>
    <row r="1945">
      <c r="A1945" s="24">
        <v>31.0</v>
      </c>
      <c r="B1945" s="24">
        <v>1.0</v>
      </c>
      <c r="C1945" s="47">
        <v>14.48</v>
      </c>
      <c r="D1945" s="35">
        <v>45603.0</v>
      </c>
      <c r="E1945" s="47">
        <v>14.48</v>
      </c>
      <c r="F1945" s="47">
        <v>467.096774193548</v>
      </c>
      <c r="G1945" s="48">
        <v>0.032258064516129</v>
      </c>
      <c r="H1945" s="24" t="s">
        <v>6769</v>
      </c>
      <c r="I1945" s="47"/>
      <c r="J1945" s="24">
        <v>0.0</v>
      </c>
    </row>
    <row r="1946">
      <c r="A1946" s="24">
        <v>32.0</v>
      </c>
      <c r="B1946" s="24">
        <v>2.0</v>
      </c>
      <c r="C1946" s="47">
        <v>28.82</v>
      </c>
      <c r="D1946" s="35">
        <v>45604.0</v>
      </c>
      <c r="E1946" s="47">
        <v>14.41</v>
      </c>
      <c r="F1946" s="47">
        <v>900.625</v>
      </c>
      <c r="G1946" s="48">
        <v>0.0625</v>
      </c>
      <c r="H1946" s="24" t="s">
        <v>6769</v>
      </c>
      <c r="I1946" s="47"/>
      <c r="J1946" s="24">
        <v>0.0</v>
      </c>
    </row>
    <row r="1947">
      <c r="A1947" s="24">
        <v>3.0</v>
      </c>
      <c r="B1947" s="24">
        <v>1.0</v>
      </c>
      <c r="C1947" s="47">
        <v>14.28</v>
      </c>
      <c r="D1947" s="35">
        <v>45605.0</v>
      </c>
      <c r="E1947" s="47">
        <v>14.28</v>
      </c>
      <c r="F1947" s="47">
        <v>4760.0</v>
      </c>
      <c r="G1947" s="48">
        <v>0.333333333333333</v>
      </c>
      <c r="H1947" s="24" t="s">
        <v>6769</v>
      </c>
      <c r="I1947" s="47"/>
      <c r="J1947" s="24">
        <v>0.0</v>
      </c>
    </row>
    <row r="1948">
      <c r="A1948" s="24">
        <v>3.0</v>
      </c>
      <c r="B1948" s="24">
        <v>1.0</v>
      </c>
      <c r="C1948" s="47">
        <v>14.98</v>
      </c>
      <c r="D1948" s="35">
        <v>45606.0</v>
      </c>
      <c r="E1948" s="47">
        <v>14.98</v>
      </c>
      <c r="F1948" s="47">
        <v>4993.33333333333</v>
      </c>
      <c r="G1948" s="48">
        <v>0.333333333333333</v>
      </c>
      <c r="H1948" s="24" t="s">
        <v>6769</v>
      </c>
      <c r="I1948" s="47"/>
      <c r="J1948" s="24">
        <v>0.0</v>
      </c>
    </row>
    <row r="1949">
      <c r="A1949" s="24">
        <v>23.0</v>
      </c>
      <c r="B1949" s="24">
        <v>3.0</v>
      </c>
      <c r="C1949" s="47">
        <v>43.24</v>
      </c>
      <c r="D1949" s="35">
        <v>45607.0</v>
      </c>
      <c r="E1949" s="47">
        <v>14.4133333333333</v>
      </c>
      <c r="F1949" s="47">
        <v>1880.0</v>
      </c>
      <c r="G1949" s="48">
        <v>0.130434782608695</v>
      </c>
      <c r="H1949" s="24" t="s">
        <v>6769</v>
      </c>
      <c r="I1949" s="47"/>
      <c r="J1949" s="24">
        <v>0.0</v>
      </c>
    </row>
    <row r="1950">
      <c r="A1950" s="24">
        <v>1.0</v>
      </c>
      <c r="B1950" s="24">
        <v>1.0</v>
      </c>
      <c r="C1950" s="47">
        <v>0.97</v>
      </c>
      <c r="D1950" s="35">
        <v>45188.0</v>
      </c>
      <c r="E1950" s="47">
        <v>0.97</v>
      </c>
      <c r="F1950" s="47">
        <v>970.0</v>
      </c>
      <c r="G1950" s="48">
        <v>1.0</v>
      </c>
      <c r="H1950" s="24" t="s">
        <v>6770</v>
      </c>
      <c r="I1950" s="47"/>
      <c r="J1950" s="24">
        <v>0.0</v>
      </c>
    </row>
    <row r="1951">
      <c r="A1951" s="24">
        <v>5.0</v>
      </c>
      <c r="B1951" s="24">
        <v>0.0</v>
      </c>
      <c r="C1951" s="47">
        <v>0.0</v>
      </c>
      <c r="D1951" s="35">
        <v>45189.0</v>
      </c>
      <c r="E1951" s="47"/>
      <c r="F1951" s="47">
        <v>0.0</v>
      </c>
      <c r="G1951" s="48">
        <v>0.0</v>
      </c>
      <c r="H1951" s="24" t="s">
        <v>6770</v>
      </c>
      <c r="I1951" s="47"/>
      <c r="J1951" s="24">
        <v>0.0</v>
      </c>
    </row>
    <row r="1952">
      <c r="A1952" s="24">
        <v>6.0</v>
      </c>
      <c r="B1952" s="24">
        <v>1.0</v>
      </c>
      <c r="C1952" s="47">
        <v>0.99</v>
      </c>
      <c r="D1952" s="35">
        <v>45190.0</v>
      </c>
      <c r="E1952" s="47">
        <v>0.99</v>
      </c>
      <c r="F1952" s="47">
        <v>165.0</v>
      </c>
      <c r="G1952" s="48">
        <v>0.166666666666666</v>
      </c>
      <c r="H1952" s="24" t="s">
        <v>6770</v>
      </c>
      <c r="I1952" s="47"/>
      <c r="J1952" s="24">
        <v>0.0</v>
      </c>
    </row>
    <row r="1953">
      <c r="A1953" s="24">
        <v>5.0</v>
      </c>
      <c r="B1953" s="24">
        <v>1.0</v>
      </c>
      <c r="C1953" s="47">
        <v>1.0</v>
      </c>
      <c r="D1953" s="35">
        <v>45191.0</v>
      </c>
      <c r="E1953" s="47">
        <v>1.0</v>
      </c>
      <c r="F1953" s="47">
        <v>200.0</v>
      </c>
      <c r="G1953" s="48">
        <v>0.2</v>
      </c>
      <c r="H1953" s="24" t="s">
        <v>6770</v>
      </c>
      <c r="I1953" s="47"/>
      <c r="J1953" s="24">
        <v>0.0</v>
      </c>
    </row>
    <row r="1954">
      <c r="A1954" s="24">
        <v>3.0</v>
      </c>
      <c r="B1954" s="24">
        <v>0.0</v>
      </c>
      <c r="C1954" s="47">
        <v>0.0</v>
      </c>
      <c r="D1954" s="35">
        <v>45192.0</v>
      </c>
      <c r="E1954" s="47"/>
      <c r="F1954" s="47">
        <v>0.0</v>
      </c>
      <c r="G1954" s="48">
        <v>0.0</v>
      </c>
      <c r="H1954" s="24" t="s">
        <v>6770</v>
      </c>
      <c r="I1954" s="47"/>
      <c r="J1954" s="24">
        <v>0.0</v>
      </c>
    </row>
    <row r="1955">
      <c r="A1955" s="24">
        <v>3.0</v>
      </c>
      <c r="B1955" s="24">
        <v>2.0</v>
      </c>
      <c r="C1955" s="47">
        <v>1.08</v>
      </c>
      <c r="D1955" s="35">
        <v>45193.0</v>
      </c>
      <c r="E1955" s="47">
        <v>0.54</v>
      </c>
      <c r="F1955" s="47">
        <v>360.0</v>
      </c>
      <c r="G1955" s="48">
        <v>0.666666666666666</v>
      </c>
      <c r="H1955" s="24" t="s">
        <v>6770</v>
      </c>
      <c r="I1955" s="47"/>
      <c r="J1955" s="24">
        <v>0.0</v>
      </c>
    </row>
    <row r="1956">
      <c r="A1956" s="24">
        <v>10.0</v>
      </c>
      <c r="B1956" s="24">
        <v>1.0</v>
      </c>
      <c r="C1956" s="47">
        <v>1.46</v>
      </c>
      <c r="D1956" s="35">
        <v>45194.0</v>
      </c>
      <c r="E1956" s="47">
        <v>1.46</v>
      </c>
      <c r="F1956" s="47">
        <v>146.0</v>
      </c>
      <c r="G1956" s="48">
        <v>0.1</v>
      </c>
      <c r="H1956" s="24" t="s">
        <v>6770</v>
      </c>
      <c r="I1956" s="47"/>
      <c r="J1956" s="24">
        <v>0.0</v>
      </c>
    </row>
    <row r="1957">
      <c r="A1957" s="24">
        <v>8.0</v>
      </c>
      <c r="B1957" s="24">
        <v>0.0</v>
      </c>
      <c r="C1957" s="47">
        <v>0.0</v>
      </c>
      <c r="D1957" s="35">
        <v>45195.0</v>
      </c>
      <c r="E1957" s="47"/>
      <c r="F1957" s="47">
        <v>0.0</v>
      </c>
      <c r="G1957" s="48">
        <v>0.0</v>
      </c>
      <c r="H1957" s="24" t="s">
        <v>6770</v>
      </c>
      <c r="I1957" s="47"/>
      <c r="J1957" s="24">
        <v>0.0</v>
      </c>
    </row>
    <row r="1958">
      <c r="A1958" s="24">
        <v>8.0</v>
      </c>
      <c r="B1958" s="24">
        <v>1.0</v>
      </c>
      <c r="C1958" s="47">
        <v>1.44</v>
      </c>
      <c r="D1958" s="35">
        <v>45196.0</v>
      </c>
      <c r="E1958" s="47">
        <v>1.44</v>
      </c>
      <c r="F1958" s="47">
        <v>180.0</v>
      </c>
      <c r="G1958" s="48">
        <v>0.125</v>
      </c>
      <c r="H1958" s="24" t="s">
        <v>6770</v>
      </c>
      <c r="I1958" s="47"/>
      <c r="J1958" s="24">
        <v>0.0</v>
      </c>
    </row>
    <row r="1959">
      <c r="A1959" s="24">
        <v>8.0</v>
      </c>
      <c r="B1959" s="24">
        <v>1.0</v>
      </c>
      <c r="C1959" s="47">
        <v>1.5</v>
      </c>
      <c r="D1959" s="35">
        <v>45197.0</v>
      </c>
      <c r="E1959" s="47">
        <v>1.5</v>
      </c>
      <c r="F1959" s="47">
        <v>187.5</v>
      </c>
      <c r="G1959" s="48">
        <v>0.125</v>
      </c>
      <c r="H1959" s="24" t="s">
        <v>6770</v>
      </c>
      <c r="I1959" s="47"/>
      <c r="J1959" s="24">
        <v>0.0</v>
      </c>
    </row>
    <row r="1960">
      <c r="A1960" s="24">
        <v>6.0</v>
      </c>
      <c r="B1960" s="24">
        <v>1.0</v>
      </c>
      <c r="C1960" s="47">
        <v>1.4</v>
      </c>
      <c r="D1960" s="35">
        <v>45198.0</v>
      </c>
      <c r="E1960" s="47">
        <v>1.4</v>
      </c>
      <c r="F1960" s="47">
        <v>233.333333333333</v>
      </c>
      <c r="G1960" s="48">
        <v>0.166666666666666</v>
      </c>
      <c r="H1960" s="24" t="s">
        <v>6770</v>
      </c>
      <c r="I1960" s="47"/>
      <c r="J1960" s="24">
        <v>0.0</v>
      </c>
    </row>
    <row r="1961">
      <c r="A1961" s="24">
        <v>2.0</v>
      </c>
      <c r="B1961" s="24">
        <v>0.0</v>
      </c>
      <c r="C1961" s="47">
        <v>0.0</v>
      </c>
      <c r="D1961" s="35">
        <v>45200.0</v>
      </c>
      <c r="E1961" s="47"/>
      <c r="F1961" s="47">
        <v>0.0</v>
      </c>
      <c r="G1961" s="48">
        <v>0.0</v>
      </c>
      <c r="H1961" s="24" t="s">
        <v>6770</v>
      </c>
      <c r="I1961" s="47"/>
      <c r="J1961" s="24">
        <v>0.0</v>
      </c>
    </row>
    <row r="1962">
      <c r="A1962" s="24">
        <v>4.0</v>
      </c>
      <c r="B1962" s="24">
        <v>1.0</v>
      </c>
      <c r="C1962" s="47">
        <v>0.64</v>
      </c>
      <c r="D1962" s="35">
        <v>45201.0</v>
      </c>
      <c r="E1962" s="47">
        <v>0.64</v>
      </c>
      <c r="F1962" s="47">
        <v>160.0</v>
      </c>
      <c r="G1962" s="48">
        <v>0.25</v>
      </c>
      <c r="H1962" s="24" t="s">
        <v>6770</v>
      </c>
      <c r="I1962" s="47"/>
      <c r="J1962" s="24">
        <v>0.0</v>
      </c>
    </row>
    <row r="1963">
      <c r="A1963" s="24">
        <v>6.0</v>
      </c>
      <c r="B1963" s="24">
        <v>0.0</v>
      </c>
      <c r="C1963" s="47">
        <v>0.0</v>
      </c>
      <c r="D1963" s="35">
        <v>45202.0</v>
      </c>
      <c r="E1963" s="47"/>
      <c r="F1963" s="47">
        <v>0.0</v>
      </c>
      <c r="G1963" s="48">
        <v>0.0</v>
      </c>
      <c r="H1963" s="24" t="s">
        <v>6770</v>
      </c>
      <c r="I1963" s="47"/>
      <c r="J1963" s="24">
        <v>0.0</v>
      </c>
    </row>
    <row r="1964">
      <c r="A1964" s="24">
        <v>14.0</v>
      </c>
      <c r="B1964" s="24">
        <v>0.0</v>
      </c>
      <c r="C1964" s="47">
        <v>0.0</v>
      </c>
      <c r="D1964" s="35">
        <v>45203.0</v>
      </c>
      <c r="E1964" s="47"/>
      <c r="F1964" s="47">
        <v>0.0</v>
      </c>
      <c r="G1964" s="48">
        <v>0.0</v>
      </c>
      <c r="H1964" s="24" t="s">
        <v>6770</v>
      </c>
      <c r="I1964" s="47"/>
      <c r="J1964" s="24">
        <v>0.0</v>
      </c>
    </row>
    <row r="1965">
      <c r="A1965" s="24">
        <v>5.0</v>
      </c>
      <c r="B1965" s="24">
        <v>0.0</v>
      </c>
      <c r="C1965" s="47">
        <v>0.0</v>
      </c>
      <c r="D1965" s="35">
        <v>45204.0</v>
      </c>
      <c r="E1965" s="47"/>
      <c r="F1965" s="47">
        <v>0.0</v>
      </c>
      <c r="G1965" s="48">
        <v>0.0</v>
      </c>
      <c r="H1965" s="24" t="s">
        <v>6770</v>
      </c>
      <c r="I1965" s="47"/>
      <c r="J1965" s="24">
        <v>0.0</v>
      </c>
    </row>
    <row r="1966">
      <c r="A1966" s="24">
        <v>10.0</v>
      </c>
      <c r="B1966" s="24">
        <v>2.0</v>
      </c>
      <c r="C1966" s="47">
        <v>1.2</v>
      </c>
      <c r="D1966" s="35">
        <v>45205.0</v>
      </c>
      <c r="E1966" s="47">
        <v>0.6</v>
      </c>
      <c r="F1966" s="47">
        <v>120.0</v>
      </c>
      <c r="G1966" s="48">
        <v>0.2</v>
      </c>
      <c r="H1966" s="24" t="s">
        <v>6770</v>
      </c>
      <c r="I1966" s="47"/>
      <c r="J1966" s="24">
        <v>0.0</v>
      </c>
    </row>
    <row r="1967">
      <c r="A1967" s="24">
        <v>1.0</v>
      </c>
      <c r="B1967" s="24">
        <v>0.0</v>
      </c>
      <c r="C1967" s="47">
        <v>0.0</v>
      </c>
      <c r="D1967" s="35">
        <v>45207.0</v>
      </c>
      <c r="E1967" s="47"/>
      <c r="F1967" s="47">
        <v>0.0</v>
      </c>
      <c r="G1967" s="48">
        <v>0.0</v>
      </c>
      <c r="H1967" s="24" t="s">
        <v>6770</v>
      </c>
      <c r="I1967" s="47"/>
      <c r="J1967" s="24">
        <v>0.0</v>
      </c>
    </row>
    <row r="1968">
      <c r="A1968" s="24">
        <v>4.0</v>
      </c>
      <c r="B1968" s="24">
        <v>0.0</v>
      </c>
      <c r="C1968" s="47">
        <v>0.0</v>
      </c>
      <c r="D1968" s="35">
        <v>45208.0</v>
      </c>
      <c r="E1968" s="47"/>
      <c r="F1968" s="47">
        <v>0.0</v>
      </c>
      <c r="G1968" s="48">
        <v>0.0</v>
      </c>
      <c r="H1968" s="24" t="s">
        <v>6770</v>
      </c>
      <c r="I1968" s="47"/>
      <c r="J1968" s="24">
        <v>0.0</v>
      </c>
    </row>
    <row r="1969">
      <c r="A1969" s="24">
        <v>10.0</v>
      </c>
      <c r="B1969" s="24">
        <v>0.0</v>
      </c>
      <c r="C1969" s="47">
        <v>0.0</v>
      </c>
      <c r="D1969" s="35">
        <v>45209.0</v>
      </c>
      <c r="E1969" s="47"/>
      <c r="F1969" s="47">
        <v>0.0</v>
      </c>
      <c r="G1969" s="48">
        <v>0.0</v>
      </c>
      <c r="H1969" s="24" t="s">
        <v>6770</v>
      </c>
      <c r="I1969" s="47"/>
      <c r="J1969" s="24">
        <v>0.0</v>
      </c>
    </row>
    <row r="1970">
      <c r="A1970" s="24">
        <v>5.0</v>
      </c>
      <c r="B1970" s="24">
        <v>0.0</v>
      </c>
      <c r="C1970" s="47">
        <v>0.0</v>
      </c>
      <c r="D1970" s="35">
        <v>45210.0</v>
      </c>
      <c r="E1970" s="47"/>
      <c r="F1970" s="47">
        <v>0.0</v>
      </c>
      <c r="G1970" s="48">
        <v>0.0</v>
      </c>
      <c r="H1970" s="24" t="s">
        <v>6770</v>
      </c>
      <c r="I1970" s="47"/>
      <c r="J1970" s="24">
        <v>0.0</v>
      </c>
    </row>
    <row r="1971">
      <c r="A1971" s="24">
        <v>13.0</v>
      </c>
      <c r="B1971" s="24">
        <v>0.0</v>
      </c>
      <c r="C1971" s="47">
        <v>0.0</v>
      </c>
      <c r="D1971" s="35">
        <v>45211.0</v>
      </c>
      <c r="E1971" s="47"/>
      <c r="F1971" s="47">
        <v>0.0</v>
      </c>
      <c r="G1971" s="48">
        <v>0.0</v>
      </c>
      <c r="H1971" s="24" t="s">
        <v>6770</v>
      </c>
      <c r="I1971" s="47"/>
      <c r="J1971" s="24">
        <v>0.0</v>
      </c>
    </row>
    <row r="1972">
      <c r="A1972" s="24">
        <v>6.0</v>
      </c>
      <c r="B1972" s="24">
        <v>0.0</v>
      </c>
      <c r="C1972" s="47">
        <v>0.0</v>
      </c>
      <c r="D1972" s="35">
        <v>45212.0</v>
      </c>
      <c r="E1972" s="47"/>
      <c r="F1972" s="47">
        <v>0.0</v>
      </c>
      <c r="G1972" s="48">
        <v>0.0</v>
      </c>
      <c r="H1972" s="24" t="s">
        <v>6770</v>
      </c>
      <c r="I1972" s="47"/>
      <c r="J1972" s="24">
        <v>0.0</v>
      </c>
    </row>
    <row r="1973">
      <c r="A1973" s="24">
        <v>8.0</v>
      </c>
      <c r="B1973" s="24">
        <v>1.0</v>
      </c>
      <c r="C1973" s="47">
        <v>1.61</v>
      </c>
      <c r="D1973" s="35">
        <v>45215.0</v>
      </c>
      <c r="E1973" s="47">
        <v>1.61</v>
      </c>
      <c r="F1973" s="47">
        <v>201.25</v>
      </c>
      <c r="G1973" s="48">
        <v>0.125</v>
      </c>
      <c r="H1973" s="24" t="s">
        <v>6770</v>
      </c>
      <c r="I1973" s="47"/>
      <c r="J1973" s="24">
        <v>0.0</v>
      </c>
    </row>
    <row r="1974">
      <c r="A1974" s="24">
        <v>7.0</v>
      </c>
      <c r="B1974" s="24">
        <v>2.0</v>
      </c>
      <c r="C1974" s="47">
        <v>1.99</v>
      </c>
      <c r="D1974" s="35">
        <v>45216.0</v>
      </c>
      <c r="E1974" s="47">
        <v>0.995</v>
      </c>
      <c r="F1974" s="47">
        <v>284.285714285714</v>
      </c>
      <c r="G1974" s="48">
        <v>0.285714285714285</v>
      </c>
      <c r="H1974" s="24" t="s">
        <v>6770</v>
      </c>
      <c r="I1974" s="47"/>
      <c r="J1974" s="24">
        <v>0.0</v>
      </c>
    </row>
    <row r="1975">
      <c r="A1975" s="24">
        <v>9.0</v>
      </c>
      <c r="B1975" s="24">
        <v>3.0</v>
      </c>
      <c r="C1975" s="47">
        <v>3.68</v>
      </c>
      <c r="D1975" s="35">
        <v>45217.0</v>
      </c>
      <c r="E1975" s="47">
        <v>1.22666666666666</v>
      </c>
      <c r="F1975" s="47">
        <v>408.888888888888</v>
      </c>
      <c r="G1975" s="48">
        <v>0.333333333333333</v>
      </c>
      <c r="H1975" s="24" t="s">
        <v>6770</v>
      </c>
      <c r="I1975" s="47"/>
      <c r="J1975" s="24">
        <v>0.0</v>
      </c>
    </row>
    <row r="1976">
      <c r="A1976" s="24">
        <v>4.0</v>
      </c>
      <c r="B1976" s="24">
        <v>0.0</v>
      </c>
      <c r="C1976" s="47">
        <v>0.0</v>
      </c>
      <c r="D1976" s="35">
        <v>45218.0</v>
      </c>
      <c r="E1976" s="47"/>
      <c r="F1976" s="47">
        <v>0.0</v>
      </c>
      <c r="G1976" s="48">
        <v>0.0</v>
      </c>
      <c r="H1976" s="24" t="s">
        <v>6770</v>
      </c>
      <c r="I1976" s="47"/>
      <c r="J1976" s="24">
        <v>0.0</v>
      </c>
    </row>
    <row r="1977">
      <c r="A1977" s="24">
        <v>8.0</v>
      </c>
      <c r="B1977" s="24">
        <v>0.0</v>
      </c>
      <c r="C1977" s="47">
        <v>0.0</v>
      </c>
      <c r="D1977" s="35">
        <v>45219.0</v>
      </c>
      <c r="E1977" s="47"/>
      <c r="F1977" s="47">
        <v>0.0</v>
      </c>
      <c r="G1977" s="48">
        <v>0.0</v>
      </c>
      <c r="H1977" s="24" t="s">
        <v>6770</v>
      </c>
      <c r="I1977" s="47"/>
      <c r="J1977" s="24">
        <v>0.0</v>
      </c>
    </row>
    <row r="1978">
      <c r="A1978" s="24">
        <v>5.0</v>
      </c>
      <c r="B1978" s="24">
        <v>0.0</v>
      </c>
      <c r="C1978" s="47">
        <v>0.0</v>
      </c>
      <c r="D1978" s="35">
        <v>45220.0</v>
      </c>
      <c r="E1978" s="47"/>
      <c r="F1978" s="47">
        <v>0.0</v>
      </c>
      <c r="G1978" s="48">
        <v>0.0</v>
      </c>
      <c r="H1978" s="24" t="s">
        <v>6770</v>
      </c>
      <c r="I1978" s="47"/>
      <c r="J1978" s="24">
        <v>0.0</v>
      </c>
    </row>
    <row r="1979">
      <c r="A1979" s="24">
        <v>13.0</v>
      </c>
      <c r="B1979" s="24">
        <v>0.0</v>
      </c>
      <c r="C1979" s="47">
        <v>0.0</v>
      </c>
      <c r="D1979" s="35">
        <v>45222.0</v>
      </c>
      <c r="E1979" s="47"/>
      <c r="F1979" s="47">
        <v>0.0</v>
      </c>
      <c r="G1979" s="48">
        <v>0.0</v>
      </c>
      <c r="H1979" s="24" t="s">
        <v>6770</v>
      </c>
      <c r="I1979" s="47"/>
      <c r="J1979" s="24">
        <v>0.0</v>
      </c>
    </row>
    <row r="1980">
      <c r="A1980" s="24">
        <v>4.0</v>
      </c>
      <c r="B1980" s="24">
        <v>1.0</v>
      </c>
      <c r="C1980" s="47">
        <v>1.13</v>
      </c>
      <c r="D1980" s="35">
        <v>45223.0</v>
      </c>
      <c r="E1980" s="47">
        <v>1.13</v>
      </c>
      <c r="F1980" s="47">
        <v>282.5</v>
      </c>
      <c r="G1980" s="48">
        <v>0.25</v>
      </c>
      <c r="H1980" s="24" t="s">
        <v>6770</v>
      </c>
      <c r="I1980" s="47"/>
      <c r="J1980" s="24">
        <v>0.0</v>
      </c>
    </row>
    <row r="1981">
      <c r="A1981" s="24">
        <v>10.0</v>
      </c>
      <c r="B1981" s="24">
        <v>0.0</v>
      </c>
      <c r="C1981" s="47">
        <v>0.0</v>
      </c>
      <c r="D1981" s="35">
        <v>45224.0</v>
      </c>
      <c r="E1981" s="47"/>
      <c r="F1981" s="47">
        <v>0.0</v>
      </c>
      <c r="G1981" s="48">
        <v>0.0</v>
      </c>
      <c r="H1981" s="24" t="s">
        <v>6770</v>
      </c>
      <c r="I1981" s="47"/>
      <c r="J1981" s="24">
        <v>0.0</v>
      </c>
    </row>
    <row r="1982">
      <c r="A1982" s="24">
        <v>11.0</v>
      </c>
      <c r="B1982" s="24">
        <v>0.0</v>
      </c>
      <c r="C1982" s="47">
        <v>0.0</v>
      </c>
      <c r="D1982" s="35">
        <v>45225.0</v>
      </c>
      <c r="E1982" s="47"/>
      <c r="F1982" s="47">
        <v>0.0</v>
      </c>
      <c r="G1982" s="48">
        <v>0.0</v>
      </c>
      <c r="H1982" s="24" t="s">
        <v>6770</v>
      </c>
      <c r="I1982" s="47"/>
      <c r="J1982" s="24">
        <v>0.0</v>
      </c>
    </row>
    <row r="1983">
      <c r="A1983" s="24">
        <v>4.0</v>
      </c>
      <c r="B1983" s="24">
        <v>0.0</v>
      </c>
      <c r="C1983" s="47">
        <v>0.0</v>
      </c>
      <c r="D1983" s="35">
        <v>45226.0</v>
      </c>
      <c r="E1983" s="47"/>
      <c r="F1983" s="47">
        <v>0.0</v>
      </c>
      <c r="G1983" s="48">
        <v>0.0</v>
      </c>
      <c r="H1983" s="24" t="s">
        <v>6770</v>
      </c>
      <c r="I1983" s="47"/>
      <c r="J1983" s="24">
        <v>0.0</v>
      </c>
    </row>
    <row r="1984">
      <c r="A1984" s="24">
        <v>2.0</v>
      </c>
      <c r="B1984" s="24">
        <v>0.0</v>
      </c>
      <c r="C1984" s="47">
        <v>0.0</v>
      </c>
      <c r="D1984" s="35">
        <v>45227.0</v>
      </c>
      <c r="E1984" s="47"/>
      <c r="F1984" s="47">
        <v>0.0</v>
      </c>
      <c r="G1984" s="48">
        <v>0.0</v>
      </c>
      <c r="H1984" s="24" t="s">
        <v>6770</v>
      </c>
      <c r="I1984" s="47"/>
      <c r="J1984" s="24">
        <v>0.0</v>
      </c>
    </row>
    <row r="1985">
      <c r="A1985" s="24">
        <v>6.0</v>
      </c>
      <c r="B1985" s="24">
        <v>0.0</v>
      </c>
      <c r="C1985" s="47">
        <v>0.0</v>
      </c>
      <c r="D1985" s="35">
        <v>45228.0</v>
      </c>
      <c r="E1985" s="47"/>
      <c r="F1985" s="47">
        <v>0.0</v>
      </c>
      <c r="G1985" s="48">
        <v>0.0</v>
      </c>
      <c r="H1985" s="24" t="s">
        <v>6770</v>
      </c>
      <c r="I1985" s="47"/>
      <c r="J1985" s="24">
        <v>0.0</v>
      </c>
    </row>
    <row r="1986">
      <c r="A1986" s="24">
        <v>14.0</v>
      </c>
      <c r="B1986" s="24">
        <v>1.0</v>
      </c>
      <c r="C1986" s="47">
        <v>4.71</v>
      </c>
      <c r="D1986" s="35">
        <v>45229.0</v>
      </c>
      <c r="E1986" s="47">
        <v>4.71</v>
      </c>
      <c r="F1986" s="47">
        <v>336.428571428571</v>
      </c>
      <c r="G1986" s="48">
        <v>0.0714285714285714</v>
      </c>
      <c r="H1986" s="24" t="s">
        <v>6770</v>
      </c>
      <c r="I1986" s="47"/>
      <c r="J1986" s="24">
        <v>0.0</v>
      </c>
    </row>
    <row r="1987">
      <c r="A1987" s="24">
        <v>14.0</v>
      </c>
      <c r="B1987" s="24">
        <v>1.0</v>
      </c>
      <c r="C1987" s="47">
        <v>0.83</v>
      </c>
      <c r="D1987" s="35">
        <v>45230.0</v>
      </c>
      <c r="E1987" s="47">
        <v>0.83</v>
      </c>
      <c r="F1987" s="47">
        <v>59.2857142857142</v>
      </c>
      <c r="G1987" s="48">
        <v>0.0714285714285714</v>
      </c>
      <c r="H1987" s="24" t="s">
        <v>6770</v>
      </c>
      <c r="I1987" s="47"/>
      <c r="J1987" s="24">
        <v>0.0</v>
      </c>
    </row>
    <row r="1988">
      <c r="A1988" s="24">
        <v>12.0</v>
      </c>
      <c r="B1988" s="24">
        <v>1.0</v>
      </c>
      <c r="C1988" s="47">
        <v>11.13</v>
      </c>
      <c r="D1988" s="35">
        <v>45231.0</v>
      </c>
      <c r="E1988" s="47">
        <v>11.13</v>
      </c>
      <c r="F1988" s="47">
        <v>927.5</v>
      </c>
      <c r="G1988" s="48">
        <v>0.0833333333333333</v>
      </c>
      <c r="H1988" s="24" t="s">
        <v>6770</v>
      </c>
      <c r="I1988" s="47"/>
      <c r="J1988" s="24">
        <v>0.0</v>
      </c>
    </row>
    <row r="1989">
      <c r="A1989" s="24">
        <v>21.0</v>
      </c>
      <c r="B1989" s="24">
        <v>2.0</v>
      </c>
      <c r="C1989" s="47">
        <v>18.89</v>
      </c>
      <c r="D1989" s="35">
        <v>45232.0</v>
      </c>
      <c r="E1989" s="47">
        <v>9.445</v>
      </c>
      <c r="F1989" s="47">
        <v>899.523809523809</v>
      </c>
      <c r="G1989" s="48">
        <v>0.0952380952380952</v>
      </c>
      <c r="H1989" s="24" t="s">
        <v>6770</v>
      </c>
      <c r="I1989" s="47"/>
      <c r="J1989" s="24">
        <v>0.0</v>
      </c>
    </row>
    <row r="1990">
      <c r="A1990" s="24">
        <v>15.0</v>
      </c>
      <c r="B1990" s="24">
        <v>1.0</v>
      </c>
      <c r="C1990" s="47">
        <v>11.12</v>
      </c>
      <c r="D1990" s="35">
        <v>45233.0</v>
      </c>
      <c r="E1990" s="47">
        <v>11.12</v>
      </c>
      <c r="F1990" s="47">
        <v>741.333333333333</v>
      </c>
      <c r="G1990" s="48">
        <v>0.0666666666666666</v>
      </c>
      <c r="H1990" s="24" t="s">
        <v>6770</v>
      </c>
      <c r="I1990" s="47"/>
      <c r="J1990" s="24">
        <v>0.0</v>
      </c>
    </row>
    <row r="1991">
      <c r="A1991" s="24">
        <v>6.0</v>
      </c>
      <c r="B1991" s="24">
        <v>1.0</v>
      </c>
      <c r="C1991" s="47">
        <v>6.11</v>
      </c>
      <c r="D1991" s="35">
        <v>45234.0</v>
      </c>
      <c r="E1991" s="47">
        <v>6.11</v>
      </c>
      <c r="F1991" s="47">
        <v>1018.33333333333</v>
      </c>
      <c r="G1991" s="48">
        <v>0.166666666666666</v>
      </c>
      <c r="H1991" s="24" t="s">
        <v>6770</v>
      </c>
      <c r="I1991" s="47"/>
      <c r="J1991" s="24">
        <v>0.0</v>
      </c>
    </row>
    <row r="1992">
      <c r="A1992" s="24">
        <v>3.0</v>
      </c>
      <c r="B1992" s="24">
        <v>0.0</v>
      </c>
      <c r="C1992" s="47">
        <v>0.0</v>
      </c>
      <c r="D1992" s="35">
        <v>45235.0</v>
      </c>
      <c r="E1992" s="47"/>
      <c r="F1992" s="47">
        <v>0.0</v>
      </c>
      <c r="G1992" s="48">
        <v>0.0</v>
      </c>
      <c r="H1992" s="24" t="s">
        <v>6770</v>
      </c>
      <c r="I1992" s="47"/>
      <c r="J1992" s="24">
        <v>0.0</v>
      </c>
    </row>
    <row r="1993">
      <c r="A1993" s="24">
        <v>26.0</v>
      </c>
      <c r="B1993" s="24">
        <v>1.0</v>
      </c>
      <c r="C1993" s="47">
        <v>4.3</v>
      </c>
      <c r="D1993" s="35">
        <v>45236.0</v>
      </c>
      <c r="E1993" s="47">
        <v>4.3</v>
      </c>
      <c r="F1993" s="47">
        <v>165.384615384615</v>
      </c>
      <c r="G1993" s="48">
        <v>0.0384615384615384</v>
      </c>
      <c r="H1993" s="24" t="s">
        <v>6770</v>
      </c>
      <c r="I1993" s="47"/>
      <c r="J1993" s="24">
        <v>0.0</v>
      </c>
    </row>
    <row r="1994">
      <c r="A1994" s="24">
        <v>20.0</v>
      </c>
      <c r="B1994" s="24">
        <v>4.0</v>
      </c>
      <c r="C1994" s="47">
        <v>29.16</v>
      </c>
      <c r="D1994" s="35">
        <v>45237.0</v>
      </c>
      <c r="E1994" s="47">
        <v>7.29</v>
      </c>
      <c r="F1994" s="47">
        <v>1458.0</v>
      </c>
      <c r="G1994" s="48">
        <v>0.2</v>
      </c>
      <c r="H1994" s="24" t="s">
        <v>6770</v>
      </c>
      <c r="I1994" s="47"/>
      <c r="J1994" s="24">
        <v>0.0</v>
      </c>
    </row>
    <row r="1995">
      <c r="A1995" s="24">
        <v>28.0</v>
      </c>
      <c r="B1995" s="24">
        <v>3.0</v>
      </c>
      <c r="C1995" s="47">
        <v>14.94</v>
      </c>
      <c r="D1995" s="35">
        <v>45238.0</v>
      </c>
      <c r="E1995" s="47">
        <v>4.98</v>
      </c>
      <c r="F1995" s="47">
        <v>533.571428571428</v>
      </c>
      <c r="G1995" s="48">
        <v>0.107142857142857</v>
      </c>
      <c r="H1995" s="24" t="s">
        <v>6770</v>
      </c>
      <c r="I1995" s="47"/>
      <c r="J1995" s="24">
        <v>0.0</v>
      </c>
    </row>
    <row r="1996">
      <c r="A1996" s="24">
        <v>22.0</v>
      </c>
      <c r="B1996" s="24">
        <v>2.0</v>
      </c>
      <c r="C1996" s="47">
        <v>7.04</v>
      </c>
      <c r="D1996" s="35">
        <v>45239.0</v>
      </c>
      <c r="E1996" s="47">
        <v>3.52</v>
      </c>
      <c r="F1996" s="47">
        <v>320.0</v>
      </c>
      <c r="G1996" s="48">
        <v>0.0909090909090909</v>
      </c>
      <c r="H1996" s="24" t="s">
        <v>6770</v>
      </c>
      <c r="I1996" s="47"/>
      <c r="J1996" s="24">
        <v>0.0</v>
      </c>
    </row>
    <row r="1997">
      <c r="A1997" s="24">
        <v>14.0</v>
      </c>
      <c r="B1997" s="24">
        <v>2.0</v>
      </c>
      <c r="C1997" s="47">
        <v>3.51</v>
      </c>
      <c r="D1997" s="35">
        <v>45240.0</v>
      </c>
      <c r="E1997" s="47">
        <v>1.755</v>
      </c>
      <c r="F1997" s="47">
        <v>250.714285714285</v>
      </c>
      <c r="G1997" s="48">
        <v>0.142857142857142</v>
      </c>
      <c r="H1997" s="24" t="s">
        <v>6770</v>
      </c>
      <c r="I1997" s="47">
        <v>3.51</v>
      </c>
      <c r="J1997" s="24">
        <v>1.0</v>
      </c>
    </row>
    <row r="1998">
      <c r="A1998" s="24">
        <v>6.0</v>
      </c>
      <c r="B1998" s="24">
        <v>0.0</v>
      </c>
      <c r="C1998" s="47">
        <v>0.0</v>
      </c>
      <c r="D1998" s="35">
        <v>45241.0</v>
      </c>
      <c r="E1998" s="47"/>
      <c r="F1998" s="47">
        <v>0.0</v>
      </c>
      <c r="G1998" s="48">
        <v>0.0</v>
      </c>
      <c r="H1998" s="24" t="s">
        <v>6770</v>
      </c>
      <c r="I1998" s="47"/>
      <c r="J1998" s="24">
        <v>0.0</v>
      </c>
    </row>
    <row r="1999">
      <c r="A1999" s="24">
        <v>6.0</v>
      </c>
      <c r="B1999" s="24">
        <v>1.0</v>
      </c>
      <c r="C1999" s="47">
        <v>3.7</v>
      </c>
      <c r="D1999" s="35">
        <v>45242.0</v>
      </c>
      <c r="E1999" s="47">
        <v>3.7</v>
      </c>
      <c r="F1999" s="47">
        <v>616.666666666666</v>
      </c>
      <c r="G1999" s="48">
        <v>0.166666666666666</v>
      </c>
      <c r="H1999" s="24" t="s">
        <v>6770</v>
      </c>
      <c r="I1999" s="47"/>
      <c r="J1999" s="24">
        <v>0.0</v>
      </c>
    </row>
    <row r="2000">
      <c r="A2000" s="24">
        <v>8.0</v>
      </c>
      <c r="B2000" s="24">
        <v>2.0</v>
      </c>
      <c r="C2000" s="47">
        <v>9.73</v>
      </c>
      <c r="D2000" s="35">
        <v>45243.0</v>
      </c>
      <c r="E2000" s="47">
        <v>4.865</v>
      </c>
      <c r="F2000" s="47">
        <v>1216.25</v>
      </c>
      <c r="G2000" s="48">
        <v>0.25</v>
      </c>
      <c r="H2000" s="24" t="s">
        <v>6770</v>
      </c>
      <c r="I2000" s="47"/>
      <c r="J2000" s="24">
        <v>0.0</v>
      </c>
    </row>
    <row r="2001">
      <c r="A2001" s="24">
        <v>40.0</v>
      </c>
      <c r="B2001" s="24">
        <v>2.0</v>
      </c>
      <c r="C2001" s="47">
        <v>17.9</v>
      </c>
      <c r="D2001" s="35">
        <v>45244.0</v>
      </c>
      <c r="E2001" s="47">
        <v>8.95</v>
      </c>
      <c r="F2001" s="47">
        <v>447.5</v>
      </c>
      <c r="G2001" s="48">
        <v>0.05</v>
      </c>
      <c r="H2001" s="24" t="s">
        <v>6770</v>
      </c>
      <c r="I2001" s="47"/>
      <c r="J2001" s="24">
        <v>0.0</v>
      </c>
    </row>
    <row r="2002">
      <c r="A2002" s="24">
        <v>17.0</v>
      </c>
      <c r="B2002" s="24">
        <v>1.0</v>
      </c>
      <c r="C2002" s="47">
        <v>3.76</v>
      </c>
      <c r="D2002" s="35">
        <v>45245.0</v>
      </c>
      <c r="E2002" s="47">
        <v>3.76</v>
      </c>
      <c r="F2002" s="47">
        <v>221.176470588235</v>
      </c>
      <c r="G2002" s="48">
        <v>0.0588235294117647</v>
      </c>
      <c r="H2002" s="24" t="s">
        <v>6770</v>
      </c>
      <c r="I2002" s="47"/>
      <c r="J2002" s="24">
        <v>0.0</v>
      </c>
    </row>
    <row r="2003">
      <c r="A2003" s="24">
        <v>23.0</v>
      </c>
      <c r="B2003" s="24">
        <v>1.0</v>
      </c>
      <c r="C2003" s="47">
        <v>0.87</v>
      </c>
      <c r="D2003" s="35">
        <v>45246.0</v>
      </c>
      <c r="E2003" s="47">
        <v>0.87</v>
      </c>
      <c r="F2003" s="47">
        <v>37.8260869565217</v>
      </c>
      <c r="G2003" s="48">
        <v>0.0434782608695652</v>
      </c>
      <c r="H2003" s="24" t="s">
        <v>6770</v>
      </c>
      <c r="I2003" s="47"/>
      <c r="J2003" s="24">
        <v>0.0</v>
      </c>
    </row>
    <row r="2004">
      <c r="A2004" s="24">
        <v>16.0</v>
      </c>
      <c r="B2004" s="24">
        <v>2.0</v>
      </c>
      <c r="C2004" s="47">
        <v>2.56</v>
      </c>
      <c r="D2004" s="35">
        <v>45247.0</v>
      </c>
      <c r="E2004" s="47">
        <v>1.28</v>
      </c>
      <c r="F2004" s="47">
        <v>160.0</v>
      </c>
      <c r="G2004" s="48">
        <v>0.125</v>
      </c>
      <c r="H2004" s="24" t="s">
        <v>6770</v>
      </c>
      <c r="I2004" s="47"/>
      <c r="J2004" s="24">
        <v>0.0</v>
      </c>
    </row>
    <row r="2005">
      <c r="A2005" s="24">
        <v>5.0</v>
      </c>
      <c r="B2005" s="24">
        <v>2.0</v>
      </c>
      <c r="C2005" s="47">
        <v>4.24</v>
      </c>
      <c r="D2005" s="35">
        <v>45248.0</v>
      </c>
      <c r="E2005" s="47">
        <v>2.12</v>
      </c>
      <c r="F2005" s="47">
        <v>848.0</v>
      </c>
      <c r="G2005" s="48">
        <v>0.4</v>
      </c>
      <c r="H2005" s="24" t="s">
        <v>6770</v>
      </c>
      <c r="I2005" s="47"/>
      <c r="J2005" s="24">
        <v>0.0</v>
      </c>
    </row>
    <row r="2006">
      <c r="A2006" s="24">
        <v>7.0</v>
      </c>
      <c r="B2006" s="24">
        <v>1.0</v>
      </c>
      <c r="C2006" s="47">
        <v>7.7</v>
      </c>
      <c r="D2006" s="35">
        <v>45249.0</v>
      </c>
      <c r="E2006" s="47">
        <v>7.7</v>
      </c>
      <c r="F2006" s="47">
        <v>1100.0</v>
      </c>
      <c r="G2006" s="48">
        <v>0.142857142857142</v>
      </c>
      <c r="H2006" s="24" t="s">
        <v>6770</v>
      </c>
      <c r="I2006" s="47"/>
      <c r="J2006" s="24">
        <v>0.0</v>
      </c>
    </row>
    <row r="2007">
      <c r="A2007" s="24">
        <v>32.0</v>
      </c>
      <c r="B2007" s="24">
        <v>3.0</v>
      </c>
      <c r="C2007" s="47">
        <v>14.2</v>
      </c>
      <c r="D2007" s="35">
        <v>45250.0</v>
      </c>
      <c r="E2007" s="47">
        <v>4.73333333333333</v>
      </c>
      <c r="F2007" s="47">
        <v>443.75</v>
      </c>
      <c r="G2007" s="48">
        <v>0.09375</v>
      </c>
      <c r="H2007" s="24" t="s">
        <v>6770</v>
      </c>
      <c r="I2007" s="47"/>
      <c r="J2007" s="24">
        <v>0.0</v>
      </c>
    </row>
    <row r="2008">
      <c r="A2008" s="24">
        <v>20.0</v>
      </c>
      <c r="B2008" s="24">
        <v>1.0</v>
      </c>
      <c r="C2008" s="47">
        <v>1.3</v>
      </c>
      <c r="D2008" s="35">
        <v>45251.0</v>
      </c>
      <c r="E2008" s="47">
        <v>1.3</v>
      </c>
      <c r="F2008" s="47">
        <v>65.0</v>
      </c>
      <c r="G2008" s="48">
        <v>0.05</v>
      </c>
      <c r="H2008" s="24" t="s">
        <v>6770</v>
      </c>
      <c r="I2008" s="47"/>
      <c r="J2008" s="24">
        <v>0.0</v>
      </c>
    </row>
    <row r="2009">
      <c r="A2009" s="24">
        <v>12.0</v>
      </c>
      <c r="B2009" s="24">
        <v>0.0</v>
      </c>
      <c r="C2009" s="47">
        <v>0.0</v>
      </c>
      <c r="D2009" s="35">
        <v>45252.0</v>
      </c>
      <c r="E2009" s="47"/>
      <c r="F2009" s="47">
        <v>0.0</v>
      </c>
      <c r="G2009" s="48">
        <v>0.0</v>
      </c>
      <c r="H2009" s="24" t="s">
        <v>6770</v>
      </c>
      <c r="I2009" s="47"/>
      <c r="J2009" s="24">
        <v>0.0</v>
      </c>
    </row>
    <row r="2010">
      <c r="A2010" s="24">
        <v>22.0</v>
      </c>
      <c r="B2010" s="24">
        <v>2.0</v>
      </c>
      <c r="C2010" s="47">
        <v>2.92</v>
      </c>
      <c r="D2010" s="35">
        <v>45253.0</v>
      </c>
      <c r="E2010" s="47">
        <v>1.46</v>
      </c>
      <c r="F2010" s="47">
        <v>132.727272727272</v>
      </c>
      <c r="G2010" s="48">
        <v>0.0909090909090909</v>
      </c>
      <c r="H2010" s="24" t="s">
        <v>6770</v>
      </c>
      <c r="I2010" s="47"/>
      <c r="J2010" s="24">
        <v>0.0</v>
      </c>
    </row>
    <row r="2011">
      <c r="A2011" s="24">
        <v>13.0</v>
      </c>
      <c r="B2011" s="24">
        <v>1.0</v>
      </c>
      <c r="C2011" s="47">
        <v>10.52</v>
      </c>
      <c r="D2011" s="35">
        <v>45254.0</v>
      </c>
      <c r="E2011" s="47">
        <v>10.52</v>
      </c>
      <c r="F2011" s="47">
        <v>809.230769230769</v>
      </c>
      <c r="G2011" s="48">
        <v>0.0769230769230769</v>
      </c>
      <c r="H2011" s="24" t="s">
        <v>6770</v>
      </c>
      <c r="I2011" s="47"/>
      <c r="J2011" s="24">
        <v>0.0</v>
      </c>
    </row>
    <row r="2012">
      <c r="A2012" s="24">
        <v>3.0</v>
      </c>
      <c r="B2012" s="24">
        <v>1.0</v>
      </c>
      <c r="C2012" s="47">
        <v>2.23</v>
      </c>
      <c r="D2012" s="35">
        <v>45255.0</v>
      </c>
      <c r="E2012" s="47">
        <v>2.23</v>
      </c>
      <c r="F2012" s="47">
        <v>743.333333333333</v>
      </c>
      <c r="G2012" s="48">
        <v>0.333333333333333</v>
      </c>
      <c r="H2012" s="24" t="s">
        <v>6770</v>
      </c>
      <c r="I2012" s="47"/>
      <c r="J2012" s="24">
        <v>0.0</v>
      </c>
    </row>
    <row r="2013">
      <c r="A2013" s="24">
        <v>5.0</v>
      </c>
      <c r="B2013" s="24">
        <v>1.0</v>
      </c>
      <c r="C2013" s="47">
        <v>0.79</v>
      </c>
      <c r="D2013" s="35">
        <v>45256.0</v>
      </c>
      <c r="E2013" s="47">
        <v>0.79</v>
      </c>
      <c r="F2013" s="47">
        <v>158.0</v>
      </c>
      <c r="G2013" s="48">
        <v>0.2</v>
      </c>
      <c r="H2013" s="24" t="s">
        <v>6770</v>
      </c>
      <c r="I2013" s="47"/>
      <c r="J2013" s="24">
        <v>0.0</v>
      </c>
    </row>
    <row r="2014">
      <c r="A2014" s="24">
        <v>10.0</v>
      </c>
      <c r="B2014" s="24">
        <v>2.0</v>
      </c>
      <c r="C2014" s="47">
        <v>3.94</v>
      </c>
      <c r="D2014" s="35">
        <v>45257.0</v>
      </c>
      <c r="E2014" s="47">
        <v>1.97</v>
      </c>
      <c r="F2014" s="47">
        <v>394.0</v>
      </c>
      <c r="G2014" s="48">
        <v>0.2</v>
      </c>
      <c r="H2014" s="24" t="s">
        <v>6770</v>
      </c>
      <c r="I2014" s="47"/>
      <c r="J2014" s="24">
        <v>0.0</v>
      </c>
    </row>
    <row r="2015">
      <c r="A2015" s="24">
        <v>20.0</v>
      </c>
      <c r="B2015" s="24">
        <v>1.0</v>
      </c>
      <c r="C2015" s="47">
        <v>6.1</v>
      </c>
      <c r="D2015" s="35">
        <v>45258.0</v>
      </c>
      <c r="E2015" s="47">
        <v>6.1</v>
      </c>
      <c r="F2015" s="47">
        <v>305.0</v>
      </c>
      <c r="G2015" s="48">
        <v>0.05</v>
      </c>
      <c r="H2015" s="24" t="s">
        <v>6770</v>
      </c>
      <c r="I2015" s="47"/>
      <c r="J2015" s="24">
        <v>0.0</v>
      </c>
    </row>
    <row r="2016">
      <c r="A2016" s="24">
        <v>29.0</v>
      </c>
      <c r="B2016" s="24">
        <v>2.0</v>
      </c>
      <c r="C2016" s="47">
        <v>5.45</v>
      </c>
      <c r="D2016" s="35">
        <v>45259.0</v>
      </c>
      <c r="E2016" s="47">
        <v>2.725</v>
      </c>
      <c r="F2016" s="47">
        <v>187.931034482758</v>
      </c>
      <c r="G2016" s="48">
        <v>0.0689655172413793</v>
      </c>
      <c r="H2016" s="24" t="s">
        <v>6770</v>
      </c>
      <c r="I2016" s="47"/>
      <c r="J2016" s="24">
        <v>0.0</v>
      </c>
    </row>
    <row r="2017">
      <c r="A2017" s="24">
        <v>14.0</v>
      </c>
      <c r="B2017" s="24">
        <v>1.0</v>
      </c>
      <c r="C2017" s="47">
        <v>4.44</v>
      </c>
      <c r="D2017" s="35">
        <v>45260.0</v>
      </c>
      <c r="E2017" s="47">
        <v>4.44</v>
      </c>
      <c r="F2017" s="47">
        <v>317.142857142857</v>
      </c>
      <c r="G2017" s="48">
        <v>0.0714285714285714</v>
      </c>
      <c r="H2017" s="24" t="s">
        <v>6770</v>
      </c>
      <c r="I2017" s="47"/>
      <c r="J2017" s="24">
        <v>0.0</v>
      </c>
    </row>
    <row r="2018">
      <c r="A2018" s="24">
        <v>17.0</v>
      </c>
      <c r="B2018" s="24">
        <v>2.0</v>
      </c>
      <c r="C2018" s="47">
        <v>7.86</v>
      </c>
      <c r="D2018" s="35">
        <v>45261.0</v>
      </c>
      <c r="E2018" s="47">
        <v>3.93</v>
      </c>
      <c r="F2018" s="47">
        <v>462.35294117647</v>
      </c>
      <c r="G2018" s="48">
        <v>0.117647058823529</v>
      </c>
      <c r="H2018" s="24" t="s">
        <v>6770</v>
      </c>
      <c r="I2018" s="47"/>
      <c r="J2018" s="24">
        <v>0.0</v>
      </c>
    </row>
    <row r="2019">
      <c r="A2019" s="24">
        <v>5.0</v>
      </c>
      <c r="B2019" s="24">
        <v>0.0</v>
      </c>
      <c r="C2019" s="47">
        <v>0.0</v>
      </c>
      <c r="D2019" s="35">
        <v>45262.0</v>
      </c>
      <c r="E2019" s="47"/>
      <c r="F2019" s="47">
        <v>0.0</v>
      </c>
      <c r="G2019" s="48">
        <v>0.0</v>
      </c>
      <c r="H2019" s="24" t="s">
        <v>6770</v>
      </c>
      <c r="I2019" s="47"/>
      <c r="J2019" s="24">
        <v>0.0</v>
      </c>
    </row>
    <row r="2020">
      <c r="A2020" s="24">
        <v>7.0</v>
      </c>
      <c r="B2020" s="24">
        <v>1.0</v>
      </c>
      <c r="C2020" s="47">
        <v>4.44</v>
      </c>
      <c r="D2020" s="35">
        <v>45263.0</v>
      </c>
      <c r="E2020" s="47">
        <v>4.44</v>
      </c>
      <c r="F2020" s="47">
        <v>634.285714285714</v>
      </c>
      <c r="G2020" s="48">
        <v>0.142857142857142</v>
      </c>
      <c r="H2020" s="24" t="s">
        <v>6770</v>
      </c>
      <c r="I2020" s="47"/>
      <c r="J2020" s="24">
        <v>0.0</v>
      </c>
    </row>
    <row r="2021">
      <c r="A2021" s="24">
        <v>15.0</v>
      </c>
      <c r="B2021" s="24">
        <v>0.0</v>
      </c>
      <c r="C2021" s="47">
        <v>0.0</v>
      </c>
      <c r="D2021" s="35">
        <v>45264.0</v>
      </c>
      <c r="E2021" s="47"/>
      <c r="F2021" s="47">
        <v>0.0</v>
      </c>
      <c r="G2021" s="48">
        <v>0.0</v>
      </c>
      <c r="H2021" s="24" t="s">
        <v>6770</v>
      </c>
      <c r="I2021" s="47"/>
      <c r="J2021" s="24">
        <v>0.0</v>
      </c>
    </row>
    <row r="2022">
      <c r="A2022" s="24">
        <v>11.0</v>
      </c>
      <c r="B2022" s="24">
        <v>1.0</v>
      </c>
      <c r="C2022" s="47">
        <v>4.44</v>
      </c>
      <c r="D2022" s="35">
        <v>45265.0</v>
      </c>
      <c r="E2022" s="47">
        <v>4.44</v>
      </c>
      <c r="F2022" s="47">
        <v>403.636363636363</v>
      </c>
      <c r="G2022" s="48">
        <v>0.0909090909090909</v>
      </c>
      <c r="H2022" s="24" t="s">
        <v>6770</v>
      </c>
      <c r="I2022" s="47"/>
      <c r="J2022" s="24">
        <v>0.0</v>
      </c>
    </row>
    <row r="2023">
      <c r="A2023" s="24">
        <v>27.0</v>
      </c>
      <c r="B2023" s="24">
        <v>2.0</v>
      </c>
      <c r="C2023" s="47">
        <v>11.08</v>
      </c>
      <c r="D2023" s="35">
        <v>45266.0</v>
      </c>
      <c r="E2023" s="47">
        <v>5.54</v>
      </c>
      <c r="F2023" s="47">
        <v>410.37037037037</v>
      </c>
      <c r="G2023" s="48">
        <v>0.074074074074074</v>
      </c>
      <c r="H2023" s="24" t="s">
        <v>6770</v>
      </c>
      <c r="I2023" s="47"/>
      <c r="J2023" s="24">
        <v>0.0</v>
      </c>
    </row>
    <row r="2024">
      <c r="A2024" s="24">
        <v>10.0</v>
      </c>
      <c r="B2024" s="24">
        <v>1.0</v>
      </c>
      <c r="C2024" s="47">
        <v>1.28</v>
      </c>
      <c r="D2024" s="35">
        <v>45267.0</v>
      </c>
      <c r="E2024" s="47">
        <v>1.28</v>
      </c>
      <c r="F2024" s="47">
        <v>128.0</v>
      </c>
      <c r="G2024" s="48">
        <v>0.1</v>
      </c>
      <c r="H2024" s="24" t="s">
        <v>6770</v>
      </c>
      <c r="I2024" s="47"/>
      <c r="J2024" s="24">
        <v>0.0</v>
      </c>
    </row>
    <row r="2025">
      <c r="A2025" s="24">
        <v>3.0</v>
      </c>
      <c r="B2025" s="24">
        <v>0.0</v>
      </c>
      <c r="C2025" s="47">
        <v>0.0</v>
      </c>
      <c r="D2025" s="35">
        <v>45268.0</v>
      </c>
      <c r="E2025" s="47"/>
      <c r="F2025" s="47">
        <v>0.0</v>
      </c>
      <c r="G2025" s="48">
        <v>0.0</v>
      </c>
      <c r="H2025" s="24" t="s">
        <v>6770</v>
      </c>
      <c r="I2025" s="47"/>
      <c r="J2025" s="24">
        <v>0.0</v>
      </c>
    </row>
    <row r="2026">
      <c r="A2026" s="24">
        <v>4.0</v>
      </c>
      <c r="B2026" s="24">
        <v>1.0</v>
      </c>
      <c r="C2026" s="47">
        <v>6.01</v>
      </c>
      <c r="D2026" s="35">
        <v>45269.0</v>
      </c>
      <c r="E2026" s="47">
        <v>6.01</v>
      </c>
      <c r="F2026" s="47">
        <v>1502.5</v>
      </c>
      <c r="G2026" s="48">
        <v>0.25</v>
      </c>
      <c r="H2026" s="24" t="s">
        <v>6770</v>
      </c>
      <c r="I2026" s="47"/>
      <c r="J2026" s="24">
        <v>0.0</v>
      </c>
    </row>
    <row r="2027">
      <c r="A2027" s="24">
        <v>9.0</v>
      </c>
      <c r="B2027" s="24">
        <v>0.0</v>
      </c>
      <c r="C2027" s="47">
        <v>0.0</v>
      </c>
      <c r="D2027" s="35">
        <v>45270.0</v>
      </c>
      <c r="E2027" s="47"/>
      <c r="F2027" s="47">
        <v>0.0</v>
      </c>
      <c r="G2027" s="48">
        <v>0.0</v>
      </c>
      <c r="H2027" s="24" t="s">
        <v>6770</v>
      </c>
      <c r="I2027" s="47"/>
      <c r="J2027" s="24">
        <v>0.0</v>
      </c>
    </row>
    <row r="2028">
      <c r="A2028" s="24">
        <v>14.0</v>
      </c>
      <c r="B2028" s="24">
        <v>1.0</v>
      </c>
      <c r="C2028" s="47">
        <v>1.14</v>
      </c>
      <c r="D2028" s="35">
        <v>45271.0</v>
      </c>
      <c r="E2028" s="47">
        <v>1.14</v>
      </c>
      <c r="F2028" s="47">
        <v>81.4285714285714</v>
      </c>
      <c r="G2028" s="48">
        <v>0.0714285714285714</v>
      </c>
      <c r="H2028" s="24" t="s">
        <v>6770</v>
      </c>
      <c r="I2028" s="47"/>
      <c r="J2028" s="24">
        <v>0.0</v>
      </c>
    </row>
    <row r="2029">
      <c r="A2029" s="24">
        <v>20.0</v>
      </c>
      <c r="B2029" s="24">
        <v>0.0</v>
      </c>
      <c r="C2029" s="47">
        <v>0.0</v>
      </c>
      <c r="D2029" s="35">
        <v>45272.0</v>
      </c>
      <c r="E2029" s="47"/>
      <c r="F2029" s="47">
        <v>0.0</v>
      </c>
      <c r="G2029" s="48">
        <v>0.0</v>
      </c>
      <c r="H2029" s="24" t="s">
        <v>6770</v>
      </c>
      <c r="I2029" s="47"/>
      <c r="J2029" s="24">
        <v>0.0</v>
      </c>
    </row>
    <row r="2030">
      <c r="A2030" s="24">
        <v>18.0</v>
      </c>
      <c r="B2030" s="24">
        <v>0.0</v>
      </c>
      <c r="C2030" s="47">
        <v>0.0</v>
      </c>
      <c r="D2030" s="35">
        <v>45273.0</v>
      </c>
      <c r="E2030" s="47"/>
      <c r="F2030" s="47">
        <v>0.0</v>
      </c>
      <c r="G2030" s="48">
        <v>0.0</v>
      </c>
      <c r="H2030" s="24" t="s">
        <v>6770</v>
      </c>
      <c r="I2030" s="47"/>
      <c r="J2030" s="24">
        <v>0.0</v>
      </c>
    </row>
    <row r="2031">
      <c r="A2031" s="24">
        <v>24.0</v>
      </c>
      <c r="B2031" s="24">
        <v>2.0</v>
      </c>
      <c r="C2031" s="47">
        <v>9.93</v>
      </c>
      <c r="D2031" s="35">
        <v>45274.0</v>
      </c>
      <c r="E2031" s="47">
        <v>4.965</v>
      </c>
      <c r="F2031" s="47">
        <v>413.75</v>
      </c>
      <c r="G2031" s="48">
        <v>0.0833333333333333</v>
      </c>
      <c r="H2031" s="24" t="s">
        <v>6770</v>
      </c>
      <c r="I2031" s="47"/>
      <c r="J2031" s="24">
        <v>0.0</v>
      </c>
    </row>
    <row r="2032">
      <c r="A2032" s="24">
        <v>12.0</v>
      </c>
      <c r="B2032" s="24">
        <v>1.0</v>
      </c>
      <c r="C2032" s="47">
        <v>4.44</v>
      </c>
      <c r="D2032" s="35">
        <v>45275.0</v>
      </c>
      <c r="E2032" s="47">
        <v>4.44</v>
      </c>
      <c r="F2032" s="47">
        <v>370.0</v>
      </c>
      <c r="G2032" s="48">
        <v>0.0833333333333333</v>
      </c>
      <c r="H2032" s="24" t="s">
        <v>6770</v>
      </c>
      <c r="I2032" s="47"/>
      <c r="J2032" s="24">
        <v>0.0</v>
      </c>
    </row>
    <row r="2033">
      <c r="A2033" s="24">
        <v>2.0</v>
      </c>
      <c r="B2033" s="24">
        <v>0.0</v>
      </c>
      <c r="C2033" s="47">
        <v>0.0</v>
      </c>
      <c r="D2033" s="35">
        <v>45276.0</v>
      </c>
      <c r="E2033" s="47"/>
      <c r="F2033" s="47">
        <v>0.0</v>
      </c>
      <c r="G2033" s="48">
        <v>0.0</v>
      </c>
      <c r="H2033" s="24" t="s">
        <v>6770</v>
      </c>
      <c r="I2033" s="47"/>
      <c r="J2033" s="24">
        <v>0.0</v>
      </c>
    </row>
    <row r="2034">
      <c r="A2034" s="24">
        <v>2.0</v>
      </c>
      <c r="B2034" s="24">
        <v>0.0</v>
      </c>
      <c r="C2034" s="47">
        <v>0.0</v>
      </c>
      <c r="D2034" s="35">
        <v>45277.0</v>
      </c>
      <c r="E2034" s="47"/>
      <c r="F2034" s="47">
        <v>0.0</v>
      </c>
      <c r="G2034" s="48">
        <v>0.0</v>
      </c>
      <c r="H2034" s="24" t="s">
        <v>6770</v>
      </c>
      <c r="I2034" s="47"/>
      <c r="J2034" s="24">
        <v>0.0</v>
      </c>
    </row>
    <row r="2035">
      <c r="A2035" s="24">
        <v>18.0</v>
      </c>
      <c r="B2035" s="24">
        <v>2.0</v>
      </c>
      <c r="C2035" s="47">
        <v>6.22</v>
      </c>
      <c r="D2035" s="35">
        <v>45278.0</v>
      </c>
      <c r="E2035" s="47">
        <v>3.11</v>
      </c>
      <c r="F2035" s="47">
        <v>345.555555555555</v>
      </c>
      <c r="G2035" s="48">
        <v>0.111111111111111</v>
      </c>
      <c r="H2035" s="24" t="s">
        <v>6770</v>
      </c>
      <c r="I2035" s="47"/>
      <c r="J2035" s="24">
        <v>0.0</v>
      </c>
    </row>
    <row r="2036">
      <c r="A2036" s="24">
        <v>15.0</v>
      </c>
      <c r="B2036" s="24">
        <v>2.0</v>
      </c>
      <c r="C2036" s="47">
        <v>7.21</v>
      </c>
      <c r="D2036" s="35">
        <v>45279.0</v>
      </c>
      <c r="E2036" s="47">
        <v>3.605</v>
      </c>
      <c r="F2036" s="47">
        <v>480.666666666666</v>
      </c>
      <c r="G2036" s="48">
        <v>0.133333333333333</v>
      </c>
      <c r="H2036" s="24" t="s">
        <v>6770</v>
      </c>
      <c r="I2036" s="47"/>
      <c r="J2036" s="24">
        <v>0.0</v>
      </c>
    </row>
    <row r="2037">
      <c r="A2037" s="24">
        <v>16.0</v>
      </c>
      <c r="B2037" s="24">
        <v>1.0</v>
      </c>
      <c r="C2037" s="47">
        <v>2.27</v>
      </c>
      <c r="D2037" s="35">
        <v>45280.0</v>
      </c>
      <c r="E2037" s="47">
        <v>2.27</v>
      </c>
      <c r="F2037" s="47">
        <v>141.875</v>
      </c>
      <c r="G2037" s="48">
        <v>0.0625</v>
      </c>
      <c r="H2037" s="24" t="s">
        <v>6770</v>
      </c>
      <c r="I2037" s="47"/>
      <c r="J2037" s="24">
        <v>0.0</v>
      </c>
    </row>
    <row r="2038">
      <c r="A2038" s="24">
        <v>10.0</v>
      </c>
      <c r="B2038" s="24">
        <v>0.0</v>
      </c>
      <c r="C2038" s="47">
        <v>0.0</v>
      </c>
      <c r="D2038" s="35">
        <v>45281.0</v>
      </c>
      <c r="E2038" s="47"/>
      <c r="F2038" s="47">
        <v>0.0</v>
      </c>
      <c r="G2038" s="48">
        <v>0.0</v>
      </c>
      <c r="H2038" s="24" t="s">
        <v>6770</v>
      </c>
      <c r="I2038" s="47"/>
      <c r="J2038" s="24">
        <v>0.0</v>
      </c>
    </row>
    <row r="2039">
      <c r="A2039" s="24">
        <v>9.0</v>
      </c>
      <c r="B2039" s="24">
        <v>0.0</v>
      </c>
      <c r="C2039" s="47">
        <v>0.0</v>
      </c>
      <c r="D2039" s="35">
        <v>45282.0</v>
      </c>
      <c r="E2039" s="47"/>
      <c r="F2039" s="47">
        <v>0.0</v>
      </c>
      <c r="G2039" s="48">
        <v>0.0</v>
      </c>
      <c r="H2039" s="24" t="s">
        <v>6770</v>
      </c>
      <c r="I2039" s="47"/>
      <c r="J2039" s="24">
        <v>0.0</v>
      </c>
    </row>
    <row r="2040">
      <c r="A2040" s="24">
        <v>1.0</v>
      </c>
      <c r="B2040" s="24">
        <v>0.0</v>
      </c>
      <c r="C2040" s="47">
        <v>0.0</v>
      </c>
      <c r="D2040" s="35">
        <v>45283.0</v>
      </c>
      <c r="E2040" s="47"/>
      <c r="F2040" s="47">
        <v>0.0</v>
      </c>
      <c r="G2040" s="48">
        <v>0.0</v>
      </c>
      <c r="H2040" s="24" t="s">
        <v>6770</v>
      </c>
      <c r="I2040" s="47"/>
      <c r="J2040" s="24">
        <v>0.0</v>
      </c>
    </row>
    <row r="2041">
      <c r="A2041" s="24">
        <v>1.0</v>
      </c>
      <c r="B2041" s="24">
        <v>0.0</v>
      </c>
      <c r="C2041" s="47">
        <v>0.0</v>
      </c>
      <c r="D2041" s="35">
        <v>45285.0</v>
      </c>
      <c r="E2041" s="47"/>
      <c r="F2041" s="47">
        <v>0.0</v>
      </c>
      <c r="G2041" s="48">
        <v>0.0</v>
      </c>
      <c r="H2041" s="24" t="s">
        <v>6770</v>
      </c>
      <c r="I2041" s="47"/>
      <c r="J2041" s="24">
        <v>0.0</v>
      </c>
    </row>
    <row r="2042">
      <c r="A2042" s="24">
        <v>8.0</v>
      </c>
      <c r="B2042" s="24">
        <v>2.0</v>
      </c>
      <c r="C2042" s="47">
        <v>3.96</v>
      </c>
      <c r="D2042" s="35">
        <v>45287.0</v>
      </c>
      <c r="E2042" s="47">
        <v>1.98</v>
      </c>
      <c r="F2042" s="47">
        <v>495.0</v>
      </c>
      <c r="G2042" s="48">
        <v>0.25</v>
      </c>
      <c r="H2042" s="24" t="s">
        <v>6770</v>
      </c>
      <c r="I2042" s="47"/>
      <c r="J2042" s="24">
        <v>0.0</v>
      </c>
    </row>
    <row r="2043">
      <c r="A2043" s="24">
        <v>9.0</v>
      </c>
      <c r="B2043" s="24">
        <v>0.0</v>
      </c>
      <c r="C2043" s="47">
        <v>0.0</v>
      </c>
      <c r="D2043" s="35">
        <v>45288.0</v>
      </c>
      <c r="E2043" s="47"/>
      <c r="F2043" s="47">
        <v>0.0</v>
      </c>
      <c r="G2043" s="48">
        <v>0.0</v>
      </c>
      <c r="H2043" s="24" t="s">
        <v>6770</v>
      </c>
      <c r="I2043" s="47"/>
      <c r="J2043" s="24">
        <v>0.0</v>
      </c>
    </row>
    <row r="2044">
      <c r="A2044" s="24">
        <v>6.0</v>
      </c>
      <c r="B2044" s="24">
        <v>0.0</v>
      </c>
      <c r="C2044" s="47">
        <v>0.0</v>
      </c>
      <c r="D2044" s="35">
        <v>45289.0</v>
      </c>
      <c r="E2044" s="47"/>
      <c r="F2044" s="47">
        <v>0.0</v>
      </c>
      <c r="G2044" s="48">
        <v>0.0</v>
      </c>
      <c r="H2044" s="24" t="s">
        <v>6770</v>
      </c>
      <c r="I2044" s="47"/>
      <c r="J2044" s="24">
        <v>0.0</v>
      </c>
    </row>
    <row r="2045">
      <c r="A2045" s="24">
        <v>3.0</v>
      </c>
      <c r="B2045" s="24">
        <v>0.0</v>
      </c>
      <c r="C2045" s="47">
        <v>0.0</v>
      </c>
      <c r="D2045" s="35">
        <v>45290.0</v>
      </c>
      <c r="E2045" s="47"/>
      <c r="F2045" s="47">
        <v>0.0</v>
      </c>
      <c r="G2045" s="48">
        <v>0.0</v>
      </c>
      <c r="H2045" s="24" t="s">
        <v>6770</v>
      </c>
      <c r="I2045" s="47"/>
      <c r="J2045" s="24">
        <v>0.0</v>
      </c>
    </row>
    <row r="2046">
      <c r="A2046" s="24">
        <v>3.0</v>
      </c>
      <c r="B2046" s="24">
        <v>0.0</v>
      </c>
      <c r="C2046" s="47">
        <v>0.0</v>
      </c>
      <c r="D2046" s="35">
        <v>45291.0</v>
      </c>
      <c r="E2046" s="47"/>
      <c r="F2046" s="47">
        <v>0.0</v>
      </c>
      <c r="G2046" s="48">
        <v>0.0</v>
      </c>
      <c r="H2046" s="24" t="s">
        <v>6770</v>
      </c>
      <c r="I2046" s="47"/>
      <c r="J2046" s="24">
        <v>0.0</v>
      </c>
    </row>
    <row r="2047">
      <c r="A2047" s="24">
        <v>2.0</v>
      </c>
      <c r="B2047" s="24">
        <v>0.0</v>
      </c>
      <c r="C2047" s="47">
        <v>0.0</v>
      </c>
      <c r="D2047" s="35">
        <v>45292.0</v>
      </c>
      <c r="E2047" s="47"/>
      <c r="F2047" s="47">
        <v>0.0</v>
      </c>
      <c r="G2047" s="48">
        <v>0.0</v>
      </c>
      <c r="H2047" s="24" t="s">
        <v>6770</v>
      </c>
      <c r="I2047" s="47"/>
      <c r="J2047" s="24">
        <v>0.0</v>
      </c>
    </row>
    <row r="2048">
      <c r="A2048" s="24">
        <v>9.0</v>
      </c>
      <c r="B2048" s="24">
        <v>0.0</v>
      </c>
      <c r="C2048" s="47">
        <v>0.0</v>
      </c>
      <c r="D2048" s="35">
        <v>45293.0</v>
      </c>
      <c r="E2048" s="47"/>
      <c r="F2048" s="47">
        <v>0.0</v>
      </c>
      <c r="G2048" s="48">
        <v>0.0</v>
      </c>
      <c r="H2048" s="24" t="s">
        <v>6770</v>
      </c>
      <c r="I2048" s="47"/>
      <c r="J2048" s="24">
        <v>0.0</v>
      </c>
    </row>
    <row r="2049">
      <c r="A2049" s="24">
        <v>14.0</v>
      </c>
      <c r="B2049" s="24">
        <v>3.0</v>
      </c>
      <c r="C2049" s="47">
        <v>10.72</v>
      </c>
      <c r="D2049" s="35">
        <v>45294.0</v>
      </c>
      <c r="E2049" s="47">
        <v>3.57333333333333</v>
      </c>
      <c r="F2049" s="47">
        <v>765.714285714285</v>
      </c>
      <c r="G2049" s="48">
        <v>0.214285714285714</v>
      </c>
      <c r="H2049" s="24" t="s">
        <v>6770</v>
      </c>
      <c r="I2049" s="47"/>
      <c r="J2049" s="24">
        <v>0.0</v>
      </c>
    </row>
    <row r="2050">
      <c r="A2050" s="24">
        <v>12.0</v>
      </c>
      <c r="B2050" s="24">
        <v>1.0</v>
      </c>
      <c r="C2050" s="47">
        <v>1.03</v>
      </c>
      <c r="D2050" s="35">
        <v>45295.0</v>
      </c>
      <c r="E2050" s="47">
        <v>1.03</v>
      </c>
      <c r="F2050" s="47">
        <v>85.8333333333333</v>
      </c>
      <c r="G2050" s="48">
        <v>0.0833333333333333</v>
      </c>
      <c r="H2050" s="24" t="s">
        <v>6770</v>
      </c>
      <c r="I2050" s="47"/>
      <c r="J2050" s="24">
        <v>0.0</v>
      </c>
    </row>
    <row r="2051">
      <c r="A2051" s="24">
        <v>14.0</v>
      </c>
      <c r="B2051" s="24">
        <v>0.0</v>
      </c>
      <c r="C2051" s="47">
        <v>0.0</v>
      </c>
      <c r="D2051" s="35">
        <v>45296.0</v>
      </c>
      <c r="E2051" s="47"/>
      <c r="F2051" s="47">
        <v>0.0</v>
      </c>
      <c r="G2051" s="48">
        <v>0.0</v>
      </c>
      <c r="H2051" s="24" t="s">
        <v>6770</v>
      </c>
      <c r="I2051" s="47"/>
      <c r="J2051" s="24">
        <v>0.0</v>
      </c>
    </row>
    <row r="2052">
      <c r="A2052" s="24">
        <v>16.0</v>
      </c>
      <c r="B2052" s="24">
        <v>2.0</v>
      </c>
      <c r="C2052" s="47">
        <v>2.78</v>
      </c>
      <c r="D2052" s="35">
        <v>45299.0</v>
      </c>
      <c r="E2052" s="47">
        <v>1.39</v>
      </c>
      <c r="F2052" s="47">
        <v>173.75</v>
      </c>
      <c r="G2052" s="48">
        <v>0.125</v>
      </c>
      <c r="H2052" s="24" t="s">
        <v>6770</v>
      </c>
      <c r="I2052" s="47"/>
      <c r="J2052" s="24">
        <v>0.0</v>
      </c>
    </row>
    <row r="2053">
      <c r="A2053" s="24">
        <v>24.0</v>
      </c>
      <c r="B2053" s="24">
        <v>1.0</v>
      </c>
      <c r="C2053" s="47">
        <v>0.57</v>
      </c>
      <c r="D2053" s="35">
        <v>45300.0</v>
      </c>
      <c r="E2053" s="47">
        <v>0.57</v>
      </c>
      <c r="F2053" s="47">
        <v>23.75</v>
      </c>
      <c r="G2053" s="48">
        <v>0.0416666666666666</v>
      </c>
      <c r="H2053" s="24" t="s">
        <v>6770</v>
      </c>
      <c r="I2053" s="47"/>
      <c r="J2053" s="24">
        <v>0.0</v>
      </c>
    </row>
    <row r="2054">
      <c r="A2054" s="24">
        <v>22.0</v>
      </c>
      <c r="B2054" s="24">
        <v>2.0</v>
      </c>
      <c r="C2054" s="47">
        <v>4.15</v>
      </c>
      <c r="D2054" s="35">
        <v>45301.0</v>
      </c>
      <c r="E2054" s="47">
        <v>2.075</v>
      </c>
      <c r="F2054" s="47">
        <v>188.636363636363</v>
      </c>
      <c r="G2054" s="48">
        <v>0.0909090909090909</v>
      </c>
      <c r="H2054" s="24" t="s">
        <v>6770</v>
      </c>
      <c r="I2054" s="47"/>
      <c r="J2054" s="24">
        <v>0.0</v>
      </c>
    </row>
    <row r="2055">
      <c r="A2055" s="24">
        <v>14.0</v>
      </c>
      <c r="B2055" s="24">
        <v>1.0</v>
      </c>
      <c r="C2055" s="47">
        <v>3.89</v>
      </c>
      <c r="D2055" s="35">
        <v>45302.0</v>
      </c>
      <c r="E2055" s="47">
        <v>3.89</v>
      </c>
      <c r="F2055" s="47">
        <v>277.857142857142</v>
      </c>
      <c r="G2055" s="48">
        <v>0.0714285714285714</v>
      </c>
      <c r="H2055" s="24" t="s">
        <v>6770</v>
      </c>
      <c r="I2055" s="47"/>
      <c r="J2055" s="24">
        <v>0.0</v>
      </c>
    </row>
    <row r="2056">
      <c r="A2056" s="24">
        <v>11.0</v>
      </c>
      <c r="B2056" s="24">
        <v>3.0</v>
      </c>
      <c r="C2056" s="47">
        <v>8.39</v>
      </c>
      <c r="D2056" s="35">
        <v>45303.0</v>
      </c>
      <c r="E2056" s="47">
        <v>2.79666666666666</v>
      </c>
      <c r="F2056" s="47">
        <v>762.727272727272</v>
      </c>
      <c r="G2056" s="48">
        <v>0.272727272727272</v>
      </c>
      <c r="H2056" s="24" t="s">
        <v>6770</v>
      </c>
      <c r="I2056" s="47"/>
      <c r="J2056" s="24">
        <v>0.0</v>
      </c>
    </row>
    <row r="2057">
      <c r="A2057" s="24">
        <v>1.0</v>
      </c>
      <c r="B2057" s="24">
        <v>0.0</v>
      </c>
      <c r="C2057" s="47">
        <v>0.0</v>
      </c>
      <c r="D2057" s="35">
        <v>45304.0</v>
      </c>
      <c r="E2057" s="47"/>
      <c r="F2057" s="47">
        <v>0.0</v>
      </c>
      <c r="G2057" s="48">
        <v>0.0</v>
      </c>
      <c r="H2057" s="24" t="s">
        <v>6770</v>
      </c>
      <c r="I2057" s="47"/>
      <c r="J2057" s="24">
        <v>0.0</v>
      </c>
    </row>
    <row r="2058">
      <c r="A2058" s="24">
        <v>2.0</v>
      </c>
      <c r="B2058" s="24">
        <v>0.0</v>
      </c>
      <c r="C2058" s="47">
        <v>0.0</v>
      </c>
      <c r="D2058" s="35">
        <v>45305.0</v>
      </c>
      <c r="E2058" s="47"/>
      <c r="F2058" s="47">
        <v>0.0</v>
      </c>
      <c r="G2058" s="48">
        <v>0.0</v>
      </c>
      <c r="H2058" s="24" t="s">
        <v>6770</v>
      </c>
      <c r="I2058" s="47"/>
      <c r="J2058" s="24">
        <v>0.0</v>
      </c>
    </row>
    <row r="2059">
      <c r="A2059" s="24">
        <v>11.0</v>
      </c>
      <c r="B2059" s="24">
        <v>1.0</v>
      </c>
      <c r="C2059" s="47">
        <v>0.76</v>
      </c>
      <c r="D2059" s="35">
        <v>45306.0</v>
      </c>
      <c r="E2059" s="47">
        <v>0.76</v>
      </c>
      <c r="F2059" s="47">
        <v>69.0909090909091</v>
      </c>
      <c r="G2059" s="48">
        <v>0.0909090909090909</v>
      </c>
      <c r="H2059" s="24" t="s">
        <v>6770</v>
      </c>
      <c r="I2059" s="47"/>
      <c r="J2059" s="24">
        <v>0.0</v>
      </c>
    </row>
    <row r="2060">
      <c r="A2060" s="24">
        <v>13.0</v>
      </c>
      <c r="B2060" s="24">
        <v>0.0</v>
      </c>
      <c r="C2060" s="47">
        <v>0.0</v>
      </c>
      <c r="D2060" s="35">
        <v>45307.0</v>
      </c>
      <c r="E2060" s="47"/>
      <c r="F2060" s="47">
        <v>0.0</v>
      </c>
      <c r="G2060" s="48">
        <v>0.0</v>
      </c>
      <c r="H2060" s="24" t="s">
        <v>6770</v>
      </c>
      <c r="I2060" s="47"/>
      <c r="J2060" s="24">
        <v>0.0</v>
      </c>
    </row>
    <row r="2061">
      <c r="A2061" s="24">
        <v>13.0</v>
      </c>
      <c r="B2061" s="24">
        <v>0.0</v>
      </c>
      <c r="C2061" s="47">
        <v>0.0</v>
      </c>
      <c r="D2061" s="35">
        <v>45308.0</v>
      </c>
      <c r="E2061" s="47"/>
      <c r="F2061" s="47">
        <v>0.0</v>
      </c>
      <c r="G2061" s="48">
        <v>0.0</v>
      </c>
      <c r="H2061" s="24" t="s">
        <v>6770</v>
      </c>
      <c r="I2061" s="47"/>
      <c r="J2061" s="24">
        <v>0.0</v>
      </c>
    </row>
    <row r="2062">
      <c r="A2062" s="24">
        <v>24.0</v>
      </c>
      <c r="B2062" s="24">
        <v>2.0</v>
      </c>
      <c r="C2062" s="47">
        <v>8.65</v>
      </c>
      <c r="D2062" s="35">
        <v>45309.0</v>
      </c>
      <c r="E2062" s="47">
        <v>4.325</v>
      </c>
      <c r="F2062" s="47">
        <v>360.416666666666</v>
      </c>
      <c r="G2062" s="48">
        <v>0.0833333333333333</v>
      </c>
      <c r="H2062" s="24" t="s">
        <v>6770</v>
      </c>
      <c r="I2062" s="47"/>
      <c r="J2062" s="24">
        <v>0.0</v>
      </c>
    </row>
    <row r="2063">
      <c r="A2063" s="24">
        <v>22.0</v>
      </c>
      <c r="B2063" s="24">
        <v>0.0</v>
      </c>
      <c r="C2063" s="47">
        <v>0.0</v>
      </c>
      <c r="D2063" s="35">
        <v>45310.0</v>
      </c>
      <c r="E2063" s="47"/>
      <c r="F2063" s="47">
        <v>0.0</v>
      </c>
      <c r="G2063" s="48">
        <v>0.0</v>
      </c>
      <c r="H2063" s="24" t="s">
        <v>6770</v>
      </c>
      <c r="I2063" s="47"/>
      <c r="J2063" s="24">
        <v>0.0</v>
      </c>
    </row>
    <row r="2064">
      <c r="A2064" s="24">
        <v>4.0</v>
      </c>
      <c r="B2064" s="24">
        <v>1.0</v>
      </c>
      <c r="C2064" s="47">
        <v>1.36</v>
      </c>
      <c r="D2064" s="35">
        <v>45311.0</v>
      </c>
      <c r="E2064" s="47">
        <v>1.36</v>
      </c>
      <c r="F2064" s="47">
        <v>340.0</v>
      </c>
      <c r="G2064" s="48">
        <v>0.25</v>
      </c>
      <c r="H2064" s="24" t="s">
        <v>6770</v>
      </c>
      <c r="I2064" s="47"/>
      <c r="J2064" s="24">
        <v>0.0</v>
      </c>
    </row>
    <row r="2065">
      <c r="A2065" s="24">
        <v>8.0</v>
      </c>
      <c r="B2065" s="24">
        <v>1.0</v>
      </c>
      <c r="C2065" s="47">
        <v>4.4</v>
      </c>
      <c r="D2065" s="35">
        <v>45312.0</v>
      </c>
      <c r="E2065" s="47">
        <v>4.4</v>
      </c>
      <c r="F2065" s="47">
        <v>550.0</v>
      </c>
      <c r="G2065" s="48">
        <v>0.125</v>
      </c>
      <c r="H2065" s="24" t="s">
        <v>6770</v>
      </c>
      <c r="I2065" s="47"/>
      <c r="J2065" s="24">
        <v>0.0</v>
      </c>
    </row>
    <row r="2066">
      <c r="A2066" s="24">
        <v>34.0</v>
      </c>
      <c r="B2066" s="24">
        <v>3.0</v>
      </c>
      <c r="C2066" s="47">
        <v>12.25</v>
      </c>
      <c r="D2066" s="35">
        <v>45313.0</v>
      </c>
      <c r="E2066" s="47">
        <v>4.08333333333333</v>
      </c>
      <c r="F2066" s="47">
        <v>360.294117647058</v>
      </c>
      <c r="G2066" s="48">
        <v>0.088235294117647</v>
      </c>
      <c r="H2066" s="24" t="s">
        <v>6770</v>
      </c>
      <c r="I2066" s="47"/>
      <c r="J2066" s="24">
        <v>0.0</v>
      </c>
    </row>
    <row r="2067">
      <c r="A2067" s="24">
        <v>10.0</v>
      </c>
      <c r="B2067" s="24">
        <v>0.0</v>
      </c>
      <c r="C2067" s="47">
        <v>0.0</v>
      </c>
      <c r="D2067" s="35">
        <v>45314.0</v>
      </c>
      <c r="E2067" s="47"/>
      <c r="F2067" s="47">
        <v>0.0</v>
      </c>
      <c r="G2067" s="48">
        <v>0.0</v>
      </c>
      <c r="H2067" s="24" t="s">
        <v>6770</v>
      </c>
      <c r="I2067" s="47"/>
      <c r="J2067" s="24">
        <v>0.0</v>
      </c>
    </row>
    <row r="2068">
      <c r="A2068" s="24">
        <v>11.0</v>
      </c>
      <c r="B2068" s="24">
        <v>0.0</v>
      </c>
      <c r="C2068" s="47">
        <v>0.0</v>
      </c>
      <c r="D2068" s="35">
        <v>45315.0</v>
      </c>
      <c r="E2068" s="47"/>
      <c r="F2068" s="47">
        <v>0.0</v>
      </c>
      <c r="G2068" s="48">
        <v>0.0</v>
      </c>
      <c r="H2068" s="24" t="s">
        <v>6770</v>
      </c>
      <c r="I2068" s="47"/>
      <c r="J2068" s="24">
        <v>0.0</v>
      </c>
    </row>
    <row r="2069">
      <c r="A2069" s="24">
        <v>23.0</v>
      </c>
      <c r="B2069" s="24">
        <v>3.0</v>
      </c>
      <c r="C2069" s="47">
        <v>8.81</v>
      </c>
      <c r="D2069" s="35">
        <v>45316.0</v>
      </c>
      <c r="E2069" s="47">
        <v>2.93666666666666</v>
      </c>
      <c r="F2069" s="47">
        <v>383.043478260869</v>
      </c>
      <c r="G2069" s="48">
        <v>0.130434782608695</v>
      </c>
      <c r="H2069" s="24" t="s">
        <v>6770</v>
      </c>
      <c r="I2069" s="47"/>
      <c r="J2069" s="24">
        <v>0.0</v>
      </c>
    </row>
    <row r="2070">
      <c r="A2070" s="24">
        <v>11.0</v>
      </c>
      <c r="B2070" s="24">
        <v>0.0</v>
      </c>
      <c r="C2070" s="47">
        <v>0.0</v>
      </c>
      <c r="D2070" s="35">
        <v>45317.0</v>
      </c>
      <c r="E2070" s="47"/>
      <c r="F2070" s="47">
        <v>0.0</v>
      </c>
      <c r="G2070" s="48">
        <v>0.0</v>
      </c>
      <c r="H2070" s="24" t="s">
        <v>6770</v>
      </c>
      <c r="I2070" s="47"/>
      <c r="J2070" s="24">
        <v>0.0</v>
      </c>
    </row>
    <row r="2071">
      <c r="A2071" s="24">
        <v>3.0</v>
      </c>
      <c r="B2071" s="24">
        <v>0.0</v>
      </c>
      <c r="C2071" s="47">
        <v>0.0</v>
      </c>
      <c r="D2071" s="35">
        <v>45318.0</v>
      </c>
      <c r="E2071" s="47"/>
      <c r="F2071" s="47">
        <v>0.0</v>
      </c>
      <c r="G2071" s="48">
        <v>0.0</v>
      </c>
      <c r="H2071" s="24" t="s">
        <v>6770</v>
      </c>
      <c r="I2071" s="47"/>
      <c r="J2071" s="24">
        <v>0.0</v>
      </c>
    </row>
    <row r="2072">
      <c r="A2072" s="24">
        <v>3.0</v>
      </c>
      <c r="B2072" s="24">
        <v>1.0</v>
      </c>
      <c r="C2072" s="47">
        <v>3.25</v>
      </c>
      <c r="D2072" s="35">
        <v>45319.0</v>
      </c>
      <c r="E2072" s="47">
        <v>3.25</v>
      </c>
      <c r="F2072" s="47">
        <v>1083.33333333333</v>
      </c>
      <c r="G2072" s="48">
        <v>0.333333333333333</v>
      </c>
      <c r="H2072" s="24" t="s">
        <v>6770</v>
      </c>
      <c r="I2072" s="47"/>
      <c r="J2072" s="24">
        <v>0.0</v>
      </c>
    </row>
    <row r="2073">
      <c r="A2073" s="24">
        <v>11.0</v>
      </c>
      <c r="B2073" s="24">
        <v>0.0</v>
      </c>
      <c r="C2073" s="47">
        <v>0.0</v>
      </c>
      <c r="D2073" s="35">
        <v>45320.0</v>
      </c>
      <c r="E2073" s="47"/>
      <c r="F2073" s="47">
        <v>0.0</v>
      </c>
      <c r="G2073" s="48">
        <v>0.0</v>
      </c>
      <c r="H2073" s="24" t="s">
        <v>6770</v>
      </c>
      <c r="I2073" s="47"/>
      <c r="J2073" s="24">
        <v>0.0</v>
      </c>
    </row>
    <row r="2074">
      <c r="A2074" s="24">
        <v>17.0</v>
      </c>
      <c r="B2074" s="24">
        <v>0.0</v>
      </c>
      <c r="C2074" s="47">
        <v>0.0</v>
      </c>
      <c r="D2074" s="35">
        <v>45321.0</v>
      </c>
      <c r="E2074" s="47"/>
      <c r="F2074" s="47">
        <v>0.0</v>
      </c>
      <c r="G2074" s="48">
        <v>0.0</v>
      </c>
      <c r="H2074" s="24" t="s">
        <v>6770</v>
      </c>
      <c r="I2074" s="47"/>
      <c r="J2074" s="24">
        <v>0.0</v>
      </c>
    </row>
    <row r="2075">
      <c r="A2075" s="24">
        <v>25.0</v>
      </c>
      <c r="B2075" s="24">
        <v>1.0</v>
      </c>
      <c r="C2075" s="47">
        <v>3.55</v>
      </c>
      <c r="D2075" s="35">
        <v>45322.0</v>
      </c>
      <c r="E2075" s="47">
        <v>3.55</v>
      </c>
      <c r="F2075" s="47">
        <v>142.0</v>
      </c>
      <c r="G2075" s="48">
        <v>0.04</v>
      </c>
      <c r="H2075" s="24" t="s">
        <v>6770</v>
      </c>
      <c r="I2075" s="47"/>
      <c r="J2075" s="24">
        <v>0.0</v>
      </c>
    </row>
    <row r="2076">
      <c r="A2076" s="24">
        <v>9.0</v>
      </c>
      <c r="B2076" s="24">
        <v>0.0</v>
      </c>
      <c r="C2076" s="47">
        <v>0.0</v>
      </c>
      <c r="D2076" s="35">
        <v>45323.0</v>
      </c>
      <c r="E2076" s="47"/>
      <c r="F2076" s="47">
        <v>0.0</v>
      </c>
      <c r="G2076" s="48">
        <v>0.0</v>
      </c>
      <c r="H2076" s="24" t="s">
        <v>6770</v>
      </c>
      <c r="I2076" s="47"/>
      <c r="J2076" s="24">
        <v>0.0</v>
      </c>
    </row>
    <row r="2077">
      <c r="A2077" s="24">
        <v>14.0</v>
      </c>
      <c r="B2077" s="24">
        <v>0.0</v>
      </c>
      <c r="C2077" s="47">
        <v>0.0</v>
      </c>
      <c r="D2077" s="35">
        <v>45324.0</v>
      </c>
      <c r="E2077" s="47"/>
      <c r="F2077" s="47">
        <v>0.0</v>
      </c>
      <c r="G2077" s="48">
        <v>0.0</v>
      </c>
      <c r="H2077" s="24" t="s">
        <v>6770</v>
      </c>
      <c r="I2077" s="47"/>
      <c r="J2077" s="24">
        <v>0.0</v>
      </c>
    </row>
    <row r="2078">
      <c r="A2078" s="24">
        <v>8.0</v>
      </c>
      <c r="B2078" s="24">
        <v>0.0</v>
      </c>
      <c r="C2078" s="47">
        <v>0.0</v>
      </c>
      <c r="D2078" s="35">
        <v>45326.0</v>
      </c>
      <c r="E2078" s="47"/>
      <c r="F2078" s="47">
        <v>0.0</v>
      </c>
      <c r="G2078" s="48">
        <v>0.0</v>
      </c>
      <c r="H2078" s="24" t="s">
        <v>6770</v>
      </c>
      <c r="I2078" s="47"/>
      <c r="J2078" s="24">
        <v>0.0</v>
      </c>
    </row>
    <row r="2079">
      <c r="A2079" s="24">
        <v>21.0</v>
      </c>
      <c r="B2079" s="24">
        <v>4.0</v>
      </c>
      <c r="C2079" s="47">
        <v>16.95</v>
      </c>
      <c r="D2079" s="35">
        <v>45327.0</v>
      </c>
      <c r="E2079" s="47">
        <v>4.2375</v>
      </c>
      <c r="F2079" s="47">
        <v>807.142857142857</v>
      </c>
      <c r="G2079" s="48">
        <v>0.19047619047619</v>
      </c>
      <c r="H2079" s="24" t="s">
        <v>6770</v>
      </c>
      <c r="I2079" s="47"/>
      <c r="J2079" s="24">
        <v>0.0</v>
      </c>
    </row>
    <row r="2080">
      <c r="A2080" s="24">
        <v>13.0</v>
      </c>
      <c r="B2080" s="24">
        <v>1.0</v>
      </c>
      <c r="C2080" s="47">
        <v>2.45</v>
      </c>
      <c r="D2080" s="35">
        <v>45328.0</v>
      </c>
      <c r="E2080" s="47">
        <v>2.45</v>
      </c>
      <c r="F2080" s="47">
        <v>188.461538461538</v>
      </c>
      <c r="G2080" s="48">
        <v>0.0769230769230769</v>
      </c>
      <c r="H2080" s="24" t="s">
        <v>6770</v>
      </c>
      <c r="I2080" s="47"/>
      <c r="J2080" s="24">
        <v>0.0</v>
      </c>
    </row>
    <row r="2081">
      <c r="A2081" s="24">
        <v>16.0</v>
      </c>
      <c r="B2081" s="24">
        <v>0.0</v>
      </c>
      <c r="C2081" s="47">
        <v>0.0</v>
      </c>
      <c r="D2081" s="35">
        <v>45329.0</v>
      </c>
      <c r="E2081" s="47"/>
      <c r="F2081" s="47">
        <v>0.0</v>
      </c>
      <c r="G2081" s="48">
        <v>0.0</v>
      </c>
      <c r="H2081" s="24" t="s">
        <v>6770</v>
      </c>
      <c r="I2081" s="47"/>
      <c r="J2081" s="24">
        <v>0.0</v>
      </c>
    </row>
    <row r="2082">
      <c r="A2082" s="24">
        <v>9.0</v>
      </c>
      <c r="B2082" s="24">
        <v>1.0</v>
      </c>
      <c r="C2082" s="47">
        <v>2.03</v>
      </c>
      <c r="D2082" s="35">
        <v>45330.0</v>
      </c>
      <c r="E2082" s="47">
        <v>2.03</v>
      </c>
      <c r="F2082" s="47">
        <v>225.555555555555</v>
      </c>
      <c r="G2082" s="48">
        <v>0.111111111111111</v>
      </c>
      <c r="H2082" s="24" t="s">
        <v>6770</v>
      </c>
      <c r="I2082" s="47"/>
      <c r="J2082" s="24">
        <v>0.0</v>
      </c>
    </row>
    <row r="2083">
      <c r="A2083" s="24">
        <v>9.0</v>
      </c>
      <c r="B2083" s="24">
        <v>2.0</v>
      </c>
      <c r="C2083" s="47">
        <v>9.31</v>
      </c>
      <c r="D2083" s="35">
        <v>45331.0</v>
      </c>
      <c r="E2083" s="47">
        <v>4.655</v>
      </c>
      <c r="F2083" s="47">
        <v>1034.44444444444</v>
      </c>
      <c r="G2083" s="48">
        <v>0.222222222222222</v>
      </c>
      <c r="H2083" s="24" t="s">
        <v>6770</v>
      </c>
      <c r="I2083" s="47"/>
      <c r="J2083" s="24">
        <v>0.0</v>
      </c>
    </row>
    <row r="2084">
      <c r="A2084" s="24">
        <v>2.0</v>
      </c>
      <c r="B2084" s="24">
        <v>0.0</v>
      </c>
      <c r="C2084" s="47">
        <v>0.0</v>
      </c>
      <c r="D2084" s="35">
        <v>45332.0</v>
      </c>
      <c r="E2084" s="47"/>
      <c r="F2084" s="47">
        <v>0.0</v>
      </c>
      <c r="G2084" s="48">
        <v>0.0</v>
      </c>
      <c r="H2084" s="24" t="s">
        <v>6770</v>
      </c>
      <c r="I2084" s="47"/>
      <c r="J2084" s="24">
        <v>0.0</v>
      </c>
    </row>
    <row r="2085">
      <c r="A2085" s="24">
        <v>2.0</v>
      </c>
      <c r="B2085" s="24">
        <v>0.0</v>
      </c>
      <c r="C2085" s="47">
        <v>0.0</v>
      </c>
      <c r="D2085" s="35">
        <v>45333.0</v>
      </c>
      <c r="E2085" s="47"/>
      <c r="F2085" s="47">
        <v>0.0</v>
      </c>
      <c r="G2085" s="48">
        <v>0.0</v>
      </c>
      <c r="H2085" s="24" t="s">
        <v>6770</v>
      </c>
      <c r="I2085" s="47"/>
      <c r="J2085" s="24">
        <v>0.0</v>
      </c>
    </row>
    <row r="2086">
      <c r="A2086" s="24">
        <v>16.0</v>
      </c>
      <c r="B2086" s="24">
        <v>3.0</v>
      </c>
      <c r="C2086" s="47">
        <v>14.59</v>
      </c>
      <c r="D2086" s="35">
        <v>45334.0</v>
      </c>
      <c r="E2086" s="47">
        <v>4.86333333333333</v>
      </c>
      <c r="F2086" s="47">
        <v>911.875</v>
      </c>
      <c r="G2086" s="48">
        <v>0.1875</v>
      </c>
      <c r="H2086" s="24" t="s">
        <v>6770</v>
      </c>
      <c r="I2086" s="47"/>
      <c r="J2086" s="24">
        <v>0.0</v>
      </c>
    </row>
    <row r="2087">
      <c r="A2087" s="24">
        <v>15.0</v>
      </c>
      <c r="B2087" s="24">
        <v>1.0</v>
      </c>
      <c r="C2087" s="47">
        <v>6.1</v>
      </c>
      <c r="D2087" s="35">
        <v>45335.0</v>
      </c>
      <c r="E2087" s="47">
        <v>6.1</v>
      </c>
      <c r="F2087" s="47">
        <v>406.666666666666</v>
      </c>
      <c r="G2087" s="48">
        <v>0.0666666666666666</v>
      </c>
      <c r="H2087" s="24" t="s">
        <v>6770</v>
      </c>
      <c r="I2087" s="47"/>
      <c r="J2087" s="24">
        <v>0.0</v>
      </c>
    </row>
    <row r="2088">
      <c r="A2088" s="24">
        <v>14.0</v>
      </c>
      <c r="B2088" s="24">
        <v>2.0</v>
      </c>
      <c r="C2088" s="47">
        <v>10.22</v>
      </c>
      <c r="D2088" s="35">
        <v>45336.0</v>
      </c>
      <c r="E2088" s="47">
        <v>5.11</v>
      </c>
      <c r="F2088" s="47">
        <v>730.0</v>
      </c>
      <c r="G2088" s="48">
        <v>0.142857142857142</v>
      </c>
      <c r="H2088" s="24" t="s">
        <v>6770</v>
      </c>
      <c r="I2088" s="47"/>
      <c r="J2088" s="24">
        <v>0.0</v>
      </c>
    </row>
    <row r="2089">
      <c r="A2089" s="24">
        <v>17.0</v>
      </c>
      <c r="B2089" s="24">
        <v>2.0</v>
      </c>
      <c r="C2089" s="47">
        <v>6.54</v>
      </c>
      <c r="D2089" s="35">
        <v>45337.0</v>
      </c>
      <c r="E2089" s="47">
        <v>3.27</v>
      </c>
      <c r="F2089" s="47">
        <v>384.705882352941</v>
      </c>
      <c r="G2089" s="48">
        <v>0.117647058823529</v>
      </c>
      <c r="H2089" s="24" t="s">
        <v>6770</v>
      </c>
      <c r="I2089" s="47"/>
      <c r="J2089" s="24">
        <v>0.0</v>
      </c>
    </row>
    <row r="2090">
      <c r="A2090" s="24">
        <v>8.0</v>
      </c>
      <c r="B2090" s="24">
        <v>0.0</v>
      </c>
      <c r="C2090" s="47">
        <v>0.0</v>
      </c>
      <c r="D2090" s="35">
        <v>45338.0</v>
      </c>
      <c r="E2090" s="47"/>
      <c r="F2090" s="47">
        <v>0.0</v>
      </c>
      <c r="G2090" s="48">
        <v>0.0</v>
      </c>
      <c r="H2090" s="24" t="s">
        <v>6770</v>
      </c>
      <c r="I2090" s="47"/>
      <c r="J2090" s="24">
        <v>0.0</v>
      </c>
    </row>
    <row r="2091">
      <c r="A2091" s="24">
        <v>4.0</v>
      </c>
      <c r="B2091" s="24">
        <v>0.0</v>
      </c>
      <c r="C2091" s="47">
        <v>0.0</v>
      </c>
      <c r="D2091" s="35">
        <v>45339.0</v>
      </c>
      <c r="E2091" s="47"/>
      <c r="F2091" s="47">
        <v>0.0</v>
      </c>
      <c r="G2091" s="48">
        <v>0.0</v>
      </c>
      <c r="H2091" s="24" t="s">
        <v>6770</v>
      </c>
      <c r="I2091" s="47"/>
      <c r="J2091" s="24">
        <v>0.0</v>
      </c>
    </row>
    <row r="2092">
      <c r="A2092" s="24">
        <v>2.0</v>
      </c>
      <c r="B2092" s="24">
        <v>0.0</v>
      </c>
      <c r="C2092" s="47">
        <v>0.0</v>
      </c>
      <c r="D2092" s="35">
        <v>45340.0</v>
      </c>
      <c r="E2092" s="47"/>
      <c r="F2092" s="47">
        <v>0.0</v>
      </c>
      <c r="G2092" s="48">
        <v>0.0</v>
      </c>
      <c r="H2092" s="24" t="s">
        <v>6770</v>
      </c>
      <c r="I2092" s="47"/>
      <c r="J2092" s="24">
        <v>0.0</v>
      </c>
    </row>
    <row r="2093">
      <c r="A2093" s="24">
        <v>20.0</v>
      </c>
      <c r="B2093" s="24">
        <v>0.0</v>
      </c>
      <c r="C2093" s="47">
        <v>0.0</v>
      </c>
      <c r="D2093" s="35">
        <v>45341.0</v>
      </c>
      <c r="E2093" s="47"/>
      <c r="F2093" s="47">
        <v>0.0</v>
      </c>
      <c r="G2093" s="48">
        <v>0.0</v>
      </c>
      <c r="H2093" s="24" t="s">
        <v>6770</v>
      </c>
      <c r="I2093" s="47"/>
      <c r="J2093" s="24">
        <v>0.0</v>
      </c>
    </row>
    <row r="2094">
      <c r="A2094" s="24">
        <v>6.0</v>
      </c>
      <c r="B2094" s="24">
        <v>0.0</v>
      </c>
      <c r="C2094" s="47">
        <v>0.0</v>
      </c>
      <c r="D2094" s="35">
        <v>45342.0</v>
      </c>
      <c r="E2094" s="47"/>
      <c r="F2094" s="47">
        <v>0.0</v>
      </c>
      <c r="G2094" s="48">
        <v>0.0</v>
      </c>
      <c r="H2094" s="24" t="s">
        <v>6770</v>
      </c>
      <c r="I2094" s="47"/>
      <c r="J2094" s="24">
        <v>0.0</v>
      </c>
    </row>
    <row r="2095">
      <c r="A2095" s="24">
        <v>14.0</v>
      </c>
      <c r="B2095" s="24">
        <v>0.0</v>
      </c>
      <c r="C2095" s="47">
        <v>0.0</v>
      </c>
      <c r="D2095" s="35">
        <v>45343.0</v>
      </c>
      <c r="E2095" s="47"/>
      <c r="F2095" s="47">
        <v>0.0</v>
      </c>
      <c r="G2095" s="48">
        <v>0.0</v>
      </c>
      <c r="H2095" s="24" t="s">
        <v>6770</v>
      </c>
      <c r="I2095" s="47"/>
      <c r="J2095" s="24">
        <v>0.0</v>
      </c>
    </row>
    <row r="2096">
      <c r="A2096" s="24">
        <v>17.0</v>
      </c>
      <c r="B2096" s="24">
        <v>1.0</v>
      </c>
      <c r="C2096" s="47">
        <v>2.8</v>
      </c>
      <c r="D2096" s="35">
        <v>45344.0</v>
      </c>
      <c r="E2096" s="47">
        <v>2.8</v>
      </c>
      <c r="F2096" s="47">
        <v>164.705882352941</v>
      </c>
      <c r="G2096" s="48">
        <v>0.0588235294117647</v>
      </c>
      <c r="H2096" s="24" t="s">
        <v>6770</v>
      </c>
      <c r="I2096" s="47"/>
      <c r="J2096" s="24">
        <v>0.0</v>
      </c>
    </row>
    <row r="2097">
      <c r="A2097" s="24">
        <v>11.0</v>
      </c>
      <c r="B2097" s="24">
        <v>0.0</v>
      </c>
      <c r="C2097" s="47">
        <v>0.0</v>
      </c>
      <c r="D2097" s="35">
        <v>45345.0</v>
      </c>
      <c r="E2097" s="47"/>
      <c r="F2097" s="47">
        <v>0.0</v>
      </c>
      <c r="G2097" s="48">
        <v>0.0</v>
      </c>
      <c r="H2097" s="24" t="s">
        <v>6770</v>
      </c>
      <c r="I2097" s="47"/>
      <c r="J2097" s="24">
        <v>0.0</v>
      </c>
    </row>
    <row r="2098">
      <c r="A2098" s="24">
        <v>3.0</v>
      </c>
      <c r="B2098" s="24">
        <v>0.0</v>
      </c>
      <c r="C2098" s="47">
        <v>0.0</v>
      </c>
      <c r="D2098" s="35">
        <v>45346.0</v>
      </c>
      <c r="E2098" s="47"/>
      <c r="F2098" s="47">
        <v>0.0</v>
      </c>
      <c r="G2098" s="48">
        <v>0.0</v>
      </c>
      <c r="H2098" s="24" t="s">
        <v>6770</v>
      </c>
      <c r="I2098" s="47"/>
      <c r="J2098" s="24">
        <v>0.0</v>
      </c>
    </row>
    <row r="2099">
      <c r="A2099" s="24">
        <v>2.0</v>
      </c>
      <c r="B2099" s="24">
        <v>0.0</v>
      </c>
      <c r="C2099" s="47">
        <v>0.0</v>
      </c>
      <c r="D2099" s="35">
        <v>45347.0</v>
      </c>
      <c r="E2099" s="47"/>
      <c r="F2099" s="47">
        <v>0.0</v>
      </c>
      <c r="G2099" s="48">
        <v>0.0</v>
      </c>
      <c r="H2099" s="24" t="s">
        <v>6770</v>
      </c>
      <c r="I2099" s="47"/>
      <c r="J2099" s="24">
        <v>0.0</v>
      </c>
    </row>
    <row r="2100">
      <c r="A2100" s="24">
        <v>7.0</v>
      </c>
      <c r="B2100" s="24">
        <v>0.0</v>
      </c>
      <c r="C2100" s="47">
        <v>0.0</v>
      </c>
      <c r="D2100" s="35">
        <v>45348.0</v>
      </c>
      <c r="E2100" s="47"/>
      <c r="F2100" s="47">
        <v>0.0</v>
      </c>
      <c r="G2100" s="48">
        <v>0.0</v>
      </c>
      <c r="H2100" s="24" t="s">
        <v>6770</v>
      </c>
      <c r="I2100" s="47"/>
      <c r="J2100" s="24">
        <v>0.0</v>
      </c>
    </row>
    <row r="2101">
      <c r="A2101" s="24">
        <v>15.0</v>
      </c>
      <c r="B2101" s="24">
        <v>2.0</v>
      </c>
      <c r="C2101" s="47">
        <v>8.57</v>
      </c>
      <c r="D2101" s="35">
        <v>45349.0</v>
      </c>
      <c r="E2101" s="47">
        <v>4.285</v>
      </c>
      <c r="F2101" s="47">
        <v>571.333333333333</v>
      </c>
      <c r="G2101" s="48">
        <v>0.133333333333333</v>
      </c>
      <c r="H2101" s="24" t="s">
        <v>6770</v>
      </c>
      <c r="I2101" s="47"/>
      <c r="J2101" s="24">
        <v>0.0</v>
      </c>
    </row>
    <row r="2102">
      <c r="A2102" s="24">
        <v>14.0</v>
      </c>
      <c r="B2102" s="24">
        <v>2.0</v>
      </c>
      <c r="C2102" s="47">
        <v>8.68</v>
      </c>
      <c r="D2102" s="35">
        <v>45350.0</v>
      </c>
      <c r="E2102" s="47">
        <v>4.34</v>
      </c>
      <c r="F2102" s="47">
        <v>620.0</v>
      </c>
      <c r="G2102" s="48">
        <v>0.142857142857142</v>
      </c>
      <c r="H2102" s="24" t="s">
        <v>6770</v>
      </c>
      <c r="I2102" s="47"/>
      <c r="J2102" s="24">
        <v>0.0</v>
      </c>
    </row>
    <row r="2103">
      <c r="A2103" s="24">
        <v>13.0</v>
      </c>
      <c r="B2103" s="24">
        <v>0.0</v>
      </c>
      <c r="C2103" s="47">
        <v>0.0</v>
      </c>
      <c r="D2103" s="35">
        <v>45351.0</v>
      </c>
      <c r="E2103" s="47"/>
      <c r="F2103" s="47">
        <v>0.0</v>
      </c>
      <c r="G2103" s="48">
        <v>0.0</v>
      </c>
      <c r="H2103" s="24" t="s">
        <v>6770</v>
      </c>
      <c r="I2103" s="47"/>
      <c r="J2103" s="24">
        <v>0.0</v>
      </c>
    </row>
    <row r="2104">
      <c r="A2104" s="24">
        <v>8.0</v>
      </c>
      <c r="B2104" s="24">
        <v>0.0</v>
      </c>
      <c r="C2104" s="47">
        <v>0.0</v>
      </c>
      <c r="D2104" s="35">
        <v>45352.0</v>
      </c>
      <c r="E2104" s="47"/>
      <c r="F2104" s="47">
        <v>0.0</v>
      </c>
      <c r="G2104" s="48">
        <v>0.0</v>
      </c>
      <c r="H2104" s="24" t="s">
        <v>6770</v>
      </c>
      <c r="I2104" s="47"/>
      <c r="J2104" s="24">
        <v>0.0</v>
      </c>
    </row>
    <row r="2105">
      <c r="A2105" s="24">
        <v>8.0</v>
      </c>
      <c r="B2105" s="24">
        <v>0.0</v>
      </c>
      <c r="C2105" s="47">
        <v>0.0</v>
      </c>
      <c r="D2105" s="35">
        <v>45354.0</v>
      </c>
      <c r="E2105" s="47"/>
      <c r="F2105" s="47">
        <v>0.0</v>
      </c>
      <c r="G2105" s="48">
        <v>0.0</v>
      </c>
      <c r="H2105" s="24" t="s">
        <v>6770</v>
      </c>
      <c r="I2105" s="47"/>
      <c r="J2105" s="24">
        <v>0.0</v>
      </c>
    </row>
    <row r="2106">
      <c r="A2106" s="24">
        <v>8.0</v>
      </c>
      <c r="B2106" s="24">
        <v>1.0</v>
      </c>
      <c r="C2106" s="47">
        <v>5.6</v>
      </c>
      <c r="D2106" s="35">
        <v>45355.0</v>
      </c>
      <c r="E2106" s="47">
        <v>5.6</v>
      </c>
      <c r="F2106" s="47">
        <v>700.0</v>
      </c>
      <c r="G2106" s="48">
        <v>0.125</v>
      </c>
      <c r="H2106" s="24" t="s">
        <v>6770</v>
      </c>
      <c r="I2106" s="47"/>
      <c r="J2106" s="24">
        <v>0.0</v>
      </c>
    </row>
    <row r="2107">
      <c r="A2107" s="24">
        <v>13.0</v>
      </c>
      <c r="B2107" s="24">
        <v>0.0</v>
      </c>
      <c r="C2107" s="47">
        <v>0.0</v>
      </c>
      <c r="D2107" s="35">
        <v>45356.0</v>
      </c>
      <c r="E2107" s="47"/>
      <c r="F2107" s="47">
        <v>0.0</v>
      </c>
      <c r="G2107" s="48">
        <v>0.0</v>
      </c>
      <c r="H2107" s="24" t="s">
        <v>6770</v>
      </c>
      <c r="I2107" s="47"/>
      <c r="J2107" s="24">
        <v>0.0</v>
      </c>
    </row>
    <row r="2108">
      <c r="A2108" s="24">
        <v>2.0</v>
      </c>
      <c r="B2108" s="24">
        <v>1.0</v>
      </c>
      <c r="C2108" s="47">
        <v>4.32</v>
      </c>
      <c r="D2108" s="35">
        <v>45357.0</v>
      </c>
      <c r="E2108" s="47">
        <v>4.32</v>
      </c>
      <c r="F2108" s="47">
        <v>2160.0</v>
      </c>
      <c r="G2108" s="48">
        <v>0.5</v>
      </c>
      <c r="H2108" s="24" t="s">
        <v>6770</v>
      </c>
      <c r="I2108" s="47"/>
      <c r="J2108" s="24">
        <v>0.0</v>
      </c>
    </row>
    <row r="2109">
      <c r="A2109" s="24">
        <v>1.0</v>
      </c>
      <c r="B2109" s="24">
        <v>0.0</v>
      </c>
      <c r="C2109" s="47">
        <v>0.0</v>
      </c>
      <c r="D2109" s="35">
        <v>45864.0</v>
      </c>
      <c r="E2109" s="47"/>
      <c r="F2109" s="47">
        <v>0.0</v>
      </c>
      <c r="G2109" s="48">
        <v>0.0</v>
      </c>
      <c r="H2109" s="24" t="s">
        <v>3548</v>
      </c>
      <c r="I2109" s="47"/>
      <c r="J2109" s="24">
        <v>0.0</v>
      </c>
    </row>
    <row r="2110">
      <c r="A2110" s="24">
        <v>5.0</v>
      </c>
      <c r="B2110" s="24">
        <v>0.0</v>
      </c>
      <c r="C2110" s="47">
        <v>0.0</v>
      </c>
      <c r="D2110" s="35">
        <v>45865.0</v>
      </c>
      <c r="E2110" s="47"/>
      <c r="F2110" s="47">
        <v>0.0</v>
      </c>
      <c r="G2110" s="48">
        <v>0.0</v>
      </c>
      <c r="H2110" s="24" t="s">
        <v>3548</v>
      </c>
      <c r="I2110" s="47"/>
      <c r="J2110" s="24">
        <v>0.0</v>
      </c>
    </row>
    <row r="2111">
      <c r="A2111" s="24">
        <v>17.0</v>
      </c>
      <c r="B2111" s="24">
        <v>0.0</v>
      </c>
      <c r="C2111" s="47">
        <v>0.0</v>
      </c>
      <c r="D2111" s="35">
        <v>45866.0</v>
      </c>
      <c r="E2111" s="47"/>
      <c r="F2111" s="47">
        <v>0.0</v>
      </c>
      <c r="G2111" s="48">
        <v>0.0</v>
      </c>
      <c r="H2111" s="24" t="s">
        <v>3548</v>
      </c>
      <c r="I2111" s="47"/>
      <c r="J2111" s="24">
        <v>0.0</v>
      </c>
    </row>
    <row r="2112">
      <c r="A2112" s="24">
        <v>9.0</v>
      </c>
      <c r="B2112" s="24">
        <v>0.0</v>
      </c>
      <c r="C2112" s="47">
        <v>0.0</v>
      </c>
      <c r="D2112" s="35">
        <v>45867.0</v>
      </c>
      <c r="E2112" s="47"/>
      <c r="F2112" s="47">
        <v>0.0</v>
      </c>
      <c r="G2112" s="48">
        <v>0.0</v>
      </c>
      <c r="H2112" s="24" t="s">
        <v>3548</v>
      </c>
      <c r="I2112" s="47"/>
      <c r="J2112" s="24">
        <v>0.0</v>
      </c>
    </row>
    <row r="2113">
      <c r="A2113" s="24">
        <v>15.0</v>
      </c>
      <c r="B2113" s="24">
        <v>0.0</v>
      </c>
      <c r="C2113" s="47">
        <v>0.0</v>
      </c>
      <c r="D2113" s="35">
        <v>45868.0</v>
      </c>
      <c r="E2113" s="47"/>
      <c r="F2113" s="47">
        <v>0.0</v>
      </c>
      <c r="G2113" s="48">
        <v>0.0</v>
      </c>
      <c r="H2113" s="24" t="s">
        <v>3548</v>
      </c>
      <c r="I2113" s="47"/>
      <c r="J2113" s="24">
        <v>0.0</v>
      </c>
    </row>
    <row r="2114">
      <c r="A2114" s="24">
        <v>20.0</v>
      </c>
      <c r="B2114" s="24">
        <v>1.0</v>
      </c>
      <c r="C2114" s="47">
        <v>11.452765</v>
      </c>
      <c r="D2114" s="35">
        <v>45869.0</v>
      </c>
      <c r="E2114" s="47">
        <v>11.452765</v>
      </c>
      <c r="F2114" s="47">
        <v>572.63825</v>
      </c>
      <c r="G2114" s="48">
        <v>0.05</v>
      </c>
      <c r="H2114" s="24" t="s">
        <v>3548</v>
      </c>
      <c r="I2114" s="47"/>
      <c r="J2114" s="24">
        <v>0.0</v>
      </c>
    </row>
    <row r="2115">
      <c r="A2115" s="24">
        <v>3.0</v>
      </c>
      <c r="B2115" s="24">
        <v>0.0</v>
      </c>
      <c r="C2115" s="47">
        <v>0.0</v>
      </c>
      <c r="D2115" s="35">
        <v>45870.0</v>
      </c>
      <c r="E2115" s="47"/>
      <c r="F2115" s="47">
        <v>0.0</v>
      </c>
      <c r="G2115" s="48">
        <v>0.0</v>
      </c>
      <c r="H2115" s="24" t="s">
        <v>3548</v>
      </c>
      <c r="I2115" s="47"/>
      <c r="J2115" s="24">
        <v>0.0</v>
      </c>
    </row>
    <row r="2116">
      <c r="A2116" s="24">
        <v>6.0</v>
      </c>
      <c r="B2116" s="24">
        <v>2.0</v>
      </c>
      <c r="C2116" s="47">
        <v>29.25</v>
      </c>
      <c r="D2116" s="35">
        <v>45871.0</v>
      </c>
      <c r="E2116" s="47">
        <v>14.625</v>
      </c>
      <c r="F2116" s="47">
        <v>4875.0</v>
      </c>
      <c r="G2116" s="48">
        <v>0.333333333333333</v>
      </c>
      <c r="H2116" s="24" t="s">
        <v>3548</v>
      </c>
      <c r="I2116" s="47"/>
      <c r="J2116" s="24">
        <v>0.0</v>
      </c>
    </row>
    <row r="2117">
      <c r="A2117" s="24">
        <v>15.0</v>
      </c>
      <c r="B2117" s="24">
        <v>0.0</v>
      </c>
      <c r="C2117" s="47">
        <v>0.0</v>
      </c>
      <c r="D2117" s="35">
        <v>45872.0</v>
      </c>
      <c r="E2117" s="47"/>
      <c r="F2117" s="47">
        <v>0.0</v>
      </c>
      <c r="G2117" s="48">
        <v>0.0</v>
      </c>
      <c r="H2117" s="24" t="s">
        <v>3548</v>
      </c>
      <c r="I2117" s="47"/>
      <c r="J2117" s="24">
        <v>0.0</v>
      </c>
    </row>
    <row r="2118">
      <c r="A2118" s="24">
        <v>17.0</v>
      </c>
      <c r="B2118" s="24">
        <v>0.0</v>
      </c>
      <c r="C2118" s="47">
        <v>0.0</v>
      </c>
      <c r="D2118" s="35">
        <v>45873.0</v>
      </c>
      <c r="E2118" s="47"/>
      <c r="F2118" s="47">
        <v>0.0</v>
      </c>
      <c r="G2118" s="48">
        <v>0.0</v>
      </c>
      <c r="H2118" s="24" t="s">
        <v>3548</v>
      </c>
      <c r="I2118" s="47"/>
      <c r="J2118" s="24">
        <v>0.0</v>
      </c>
    </row>
    <row r="2119">
      <c r="A2119" s="24">
        <v>20.0</v>
      </c>
      <c r="B2119" s="24">
        <v>0.0</v>
      </c>
      <c r="C2119" s="47">
        <v>0.0</v>
      </c>
      <c r="D2119" s="35">
        <v>45874.0</v>
      </c>
      <c r="E2119" s="47"/>
      <c r="F2119" s="47">
        <v>0.0</v>
      </c>
      <c r="G2119" s="48">
        <v>0.0</v>
      </c>
      <c r="H2119" s="24" t="s">
        <v>3548</v>
      </c>
      <c r="I2119" s="47"/>
      <c r="J2119" s="24">
        <v>0.0</v>
      </c>
    </row>
    <row r="2120">
      <c r="A2120" s="24">
        <v>32.0</v>
      </c>
      <c r="B2120" s="24">
        <v>0.0</v>
      </c>
      <c r="C2120" s="47">
        <v>0.0</v>
      </c>
      <c r="D2120" s="35">
        <v>45875.0</v>
      </c>
      <c r="E2120" s="47"/>
      <c r="F2120" s="47">
        <v>0.0</v>
      </c>
      <c r="G2120" s="48">
        <v>0.0</v>
      </c>
      <c r="H2120" s="24" t="s">
        <v>3548</v>
      </c>
      <c r="I2120" s="47"/>
      <c r="J2120" s="24">
        <v>0.0</v>
      </c>
    </row>
    <row r="2121">
      <c r="A2121" s="24">
        <v>86.0</v>
      </c>
      <c r="B2121" s="24">
        <v>2.0</v>
      </c>
      <c r="C2121" s="47">
        <v>29.59</v>
      </c>
      <c r="D2121" s="35">
        <v>45876.0</v>
      </c>
      <c r="E2121" s="47">
        <v>14.795</v>
      </c>
      <c r="F2121" s="47">
        <v>344.06976744186</v>
      </c>
      <c r="G2121" s="48">
        <v>0.0232558139534883</v>
      </c>
      <c r="H2121" s="24" t="s">
        <v>3548</v>
      </c>
      <c r="I2121" s="47"/>
      <c r="J2121" s="24">
        <v>0.0</v>
      </c>
    </row>
    <row r="2122">
      <c r="A2122" s="24">
        <v>138.0</v>
      </c>
      <c r="B2122" s="24">
        <v>2.0</v>
      </c>
      <c r="C2122" s="47">
        <v>29.19</v>
      </c>
      <c r="D2122" s="35">
        <v>45877.0</v>
      </c>
      <c r="E2122" s="47">
        <v>14.595</v>
      </c>
      <c r="F2122" s="47">
        <v>211.521739130434</v>
      </c>
      <c r="G2122" s="48">
        <v>0.0144927536231884</v>
      </c>
      <c r="H2122" s="24" t="s">
        <v>3548</v>
      </c>
      <c r="I2122" s="47"/>
      <c r="J2122" s="24">
        <v>0.0</v>
      </c>
    </row>
    <row r="2123">
      <c r="A2123" s="24">
        <v>29.0</v>
      </c>
      <c r="B2123" s="24">
        <v>0.0</v>
      </c>
      <c r="C2123" s="47">
        <v>0.0</v>
      </c>
      <c r="D2123" s="35">
        <v>45878.0</v>
      </c>
      <c r="E2123" s="47"/>
      <c r="F2123" s="47">
        <v>0.0</v>
      </c>
      <c r="G2123" s="48">
        <v>0.0</v>
      </c>
      <c r="H2123" s="24" t="s">
        <v>3548</v>
      </c>
      <c r="I2123" s="47"/>
      <c r="J2123" s="24">
        <v>0.0</v>
      </c>
    </row>
    <row r="2124">
      <c r="A2124" s="24">
        <v>25.0</v>
      </c>
      <c r="B2124" s="24">
        <v>0.0</v>
      </c>
      <c r="C2124" s="47">
        <v>0.0</v>
      </c>
      <c r="D2124" s="35">
        <v>45879.0</v>
      </c>
      <c r="E2124" s="47"/>
      <c r="F2124" s="47">
        <v>0.0</v>
      </c>
      <c r="G2124" s="48">
        <v>0.0</v>
      </c>
      <c r="H2124" s="24" t="s">
        <v>3548</v>
      </c>
      <c r="I2124" s="47"/>
      <c r="J2124" s="24">
        <v>0.0</v>
      </c>
    </row>
    <row r="2125">
      <c r="A2125" s="24">
        <v>129.0</v>
      </c>
      <c r="B2125" s="24">
        <v>5.0</v>
      </c>
      <c r="C2125" s="47">
        <v>73.732049</v>
      </c>
      <c r="D2125" s="35">
        <v>45880.0</v>
      </c>
      <c r="E2125" s="47">
        <v>14.7464098</v>
      </c>
      <c r="F2125" s="47">
        <v>571.566271317829</v>
      </c>
      <c r="G2125" s="48">
        <v>0.0387596899224806</v>
      </c>
      <c r="H2125" s="24" t="s">
        <v>3548</v>
      </c>
      <c r="I2125" s="47"/>
      <c r="J2125" s="24">
        <v>0.0</v>
      </c>
    </row>
    <row r="2126">
      <c r="A2126" s="24">
        <v>171.0</v>
      </c>
      <c r="B2126" s="24">
        <v>3.0</v>
      </c>
      <c r="C2126" s="47">
        <v>33.243562</v>
      </c>
      <c r="D2126" s="35">
        <v>45881.0</v>
      </c>
      <c r="E2126" s="47">
        <v>11.0811873333333</v>
      </c>
      <c r="F2126" s="47">
        <v>194.406795321637</v>
      </c>
      <c r="G2126" s="48">
        <v>0.0175438596491228</v>
      </c>
      <c r="H2126" s="24" t="s">
        <v>3548</v>
      </c>
      <c r="I2126" s="47"/>
      <c r="J2126" s="24">
        <v>0.0</v>
      </c>
    </row>
    <row r="2127">
      <c r="A2127" s="24">
        <v>112.0</v>
      </c>
      <c r="B2127" s="24">
        <v>0.0</v>
      </c>
      <c r="C2127" s="47">
        <v>0.0</v>
      </c>
      <c r="D2127" s="35">
        <v>45882.0</v>
      </c>
      <c r="E2127" s="47"/>
      <c r="F2127" s="47">
        <v>0.0</v>
      </c>
      <c r="G2127" s="48">
        <v>0.0</v>
      </c>
      <c r="H2127" s="24" t="s">
        <v>3548</v>
      </c>
      <c r="I2127" s="47"/>
      <c r="J2127" s="24">
        <v>0.0</v>
      </c>
    </row>
    <row r="2128">
      <c r="A2128" s="24">
        <v>137.0</v>
      </c>
      <c r="B2128" s="24">
        <v>3.0</v>
      </c>
      <c r="C2128" s="47">
        <v>43.99</v>
      </c>
      <c r="D2128" s="35">
        <v>45883.0</v>
      </c>
      <c r="E2128" s="47">
        <v>14.6633333333333</v>
      </c>
      <c r="F2128" s="47">
        <v>321.094890510948</v>
      </c>
      <c r="G2128" s="48">
        <v>0.0218978102189781</v>
      </c>
      <c r="H2128" s="24" t="s">
        <v>3548</v>
      </c>
      <c r="I2128" s="47"/>
      <c r="J2128" s="24">
        <v>0.0</v>
      </c>
    </row>
    <row r="2129">
      <c r="A2129" s="24">
        <v>108.0</v>
      </c>
      <c r="B2129" s="24">
        <v>2.0</v>
      </c>
      <c r="C2129" s="47">
        <v>29.748975</v>
      </c>
      <c r="D2129" s="35">
        <v>45884.0</v>
      </c>
      <c r="E2129" s="47">
        <v>14.8744875</v>
      </c>
      <c r="F2129" s="47">
        <v>275.453472222222</v>
      </c>
      <c r="G2129" s="48">
        <v>0.0185185185185185</v>
      </c>
      <c r="H2129" s="24" t="s">
        <v>3548</v>
      </c>
      <c r="I2129" s="47"/>
      <c r="J2129" s="24">
        <v>0.0</v>
      </c>
    </row>
    <row r="2130">
      <c r="A2130" s="24">
        <v>41.0</v>
      </c>
      <c r="B2130" s="24">
        <v>0.0</v>
      </c>
      <c r="C2130" s="47">
        <v>0.0</v>
      </c>
      <c r="D2130" s="35">
        <v>45885.0</v>
      </c>
      <c r="E2130" s="47"/>
      <c r="F2130" s="47">
        <v>0.0</v>
      </c>
      <c r="G2130" s="48">
        <v>0.0</v>
      </c>
      <c r="H2130" s="24" t="s">
        <v>3548</v>
      </c>
      <c r="I2130" s="47"/>
      <c r="J2130" s="24">
        <v>0.0</v>
      </c>
    </row>
    <row r="2131">
      <c r="A2131" s="24">
        <v>49.0</v>
      </c>
      <c r="B2131" s="24">
        <v>2.0</v>
      </c>
      <c r="C2131" s="47">
        <v>15.657644</v>
      </c>
      <c r="D2131" s="35">
        <v>45886.0</v>
      </c>
      <c r="E2131" s="47">
        <v>7.828822</v>
      </c>
      <c r="F2131" s="47">
        <v>319.54375510204</v>
      </c>
      <c r="G2131" s="48">
        <v>0.0408163265306122</v>
      </c>
      <c r="H2131" s="24" t="s">
        <v>3548</v>
      </c>
      <c r="I2131" s="47"/>
      <c r="J2131" s="24">
        <v>0.0</v>
      </c>
    </row>
    <row r="2132">
      <c r="A2132" s="24">
        <v>163.0</v>
      </c>
      <c r="B2132" s="24">
        <v>5.0</v>
      </c>
      <c r="C2132" s="47">
        <v>72.25501</v>
      </c>
      <c r="D2132" s="35">
        <v>45887.0</v>
      </c>
      <c r="E2132" s="47">
        <v>14.451002</v>
      </c>
      <c r="F2132" s="47">
        <v>443.28226993865</v>
      </c>
      <c r="G2132" s="48">
        <v>0.0306748466257668</v>
      </c>
      <c r="H2132" s="24" t="s">
        <v>3548</v>
      </c>
      <c r="I2132" s="47"/>
      <c r="J2132" s="24">
        <v>0.0</v>
      </c>
    </row>
    <row r="2133">
      <c r="A2133" s="24">
        <v>228.0</v>
      </c>
      <c r="B2133" s="24">
        <v>9.0</v>
      </c>
      <c r="C2133" s="47">
        <v>150.724106</v>
      </c>
      <c r="D2133" s="35">
        <v>45888.0</v>
      </c>
      <c r="E2133" s="47">
        <v>16.7471228888888</v>
      </c>
      <c r="F2133" s="47">
        <v>661.070640350877</v>
      </c>
      <c r="G2133" s="48">
        <v>0.0394736842105263</v>
      </c>
      <c r="H2133" s="24" t="s">
        <v>3548</v>
      </c>
      <c r="I2133" s="47"/>
      <c r="J2133" s="24">
        <v>0.0</v>
      </c>
    </row>
    <row r="2134">
      <c r="A2134" s="24">
        <v>174.0</v>
      </c>
      <c r="B2134" s="24">
        <v>8.0</v>
      </c>
      <c r="C2134" s="47">
        <v>136.580949</v>
      </c>
      <c r="D2134" s="35">
        <v>45889.0</v>
      </c>
      <c r="E2134" s="47">
        <v>17.072618625</v>
      </c>
      <c r="F2134" s="47">
        <v>784.94798275862</v>
      </c>
      <c r="G2134" s="48">
        <v>0.0459770114942528</v>
      </c>
      <c r="H2134" s="24" t="s">
        <v>3548</v>
      </c>
      <c r="I2134" s="47"/>
      <c r="J2134" s="24">
        <v>0.0</v>
      </c>
    </row>
    <row r="2135">
      <c r="A2135" s="24">
        <v>136.0</v>
      </c>
      <c r="B2135" s="24">
        <v>2.0</v>
      </c>
      <c r="C2135" s="47">
        <v>34.07</v>
      </c>
      <c r="D2135" s="35">
        <v>45890.0</v>
      </c>
      <c r="E2135" s="47">
        <v>17.035</v>
      </c>
      <c r="F2135" s="47">
        <v>250.514705882352</v>
      </c>
      <c r="G2135" s="48">
        <v>0.0147058823529411</v>
      </c>
      <c r="H2135" s="24" t="s">
        <v>3548</v>
      </c>
      <c r="I2135" s="47"/>
      <c r="J2135" s="24">
        <v>0.0</v>
      </c>
    </row>
    <row r="2136">
      <c r="A2136" s="24">
        <v>116.0</v>
      </c>
      <c r="B2136" s="24">
        <v>0.0</v>
      </c>
      <c r="C2136" s="47">
        <v>0.0</v>
      </c>
      <c r="D2136" s="35">
        <v>45891.0</v>
      </c>
      <c r="E2136" s="47"/>
      <c r="F2136" s="47">
        <v>0.0</v>
      </c>
      <c r="G2136" s="48">
        <v>0.0</v>
      </c>
      <c r="H2136" s="24" t="s">
        <v>3548</v>
      </c>
      <c r="I2136" s="47"/>
      <c r="J2136" s="24">
        <v>0.0</v>
      </c>
    </row>
    <row r="2137">
      <c r="A2137" s="24">
        <v>18.0</v>
      </c>
      <c r="B2137" s="24">
        <v>1.0</v>
      </c>
      <c r="C2137" s="47">
        <v>17.23</v>
      </c>
      <c r="D2137" s="35">
        <v>45892.0</v>
      </c>
      <c r="E2137" s="47">
        <v>17.23</v>
      </c>
      <c r="F2137" s="47">
        <v>957.222222222222</v>
      </c>
      <c r="G2137" s="48">
        <v>0.0555555555555555</v>
      </c>
      <c r="H2137" s="24" t="s">
        <v>3548</v>
      </c>
      <c r="I2137" s="47"/>
      <c r="J2137" s="24">
        <v>0.0</v>
      </c>
    </row>
    <row r="2138">
      <c r="A2138" s="24">
        <v>23.0</v>
      </c>
      <c r="B2138" s="24">
        <v>0.0</v>
      </c>
      <c r="C2138" s="47">
        <v>0.0</v>
      </c>
      <c r="D2138" s="35">
        <v>45893.0</v>
      </c>
      <c r="E2138" s="47"/>
      <c r="F2138" s="47">
        <v>0.0</v>
      </c>
      <c r="G2138" s="48">
        <v>0.0</v>
      </c>
      <c r="H2138" s="24" t="s">
        <v>3548</v>
      </c>
      <c r="I2138" s="47"/>
      <c r="J2138" s="24">
        <v>0.0</v>
      </c>
    </row>
    <row r="2139">
      <c r="A2139" s="24">
        <v>139.0</v>
      </c>
      <c r="B2139" s="24">
        <v>1.0</v>
      </c>
      <c r="C2139" s="47">
        <v>17.24</v>
      </c>
      <c r="D2139" s="35">
        <v>45894.0</v>
      </c>
      <c r="E2139" s="47">
        <v>17.24</v>
      </c>
      <c r="F2139" s="47">
        <v>124.028776978417</v>
      </c>
      <c r="G2139" s="48">
        <v>0.00719424460431654</v>
      </c>
      <c r="H2139" s="24" t="s">
        <v>3548</v>
      </c>
      <c r="I2139" s="47"/>
      <c r="J2139" s="24">
        <v>0.0</v>
      </c>
    </row>
    <row r="2140">
      <c r="A2140" s="24">
        <v>141.0</v>
      </c>
      <c r="B2140" s="24">
        <v>2.0</v>
      </c>
      <c r="C2140" s="47">
        <v>32.41</v>
      </c>
      <c r="D2140" s="35">
        <v>45895.0</v>
      </c>
      <c r="E2140" s="47">
        <v>16.205</v>
      </c>
      <c r="F2140" s="47">
        <v>229.858156028368</v>
      </c>
      <c r="G2140" s="48">
        <v>0.0141843971631205</v>
      </c>
      <c r="H2140" s="24" t="s">
        <v>3548</v>
      </c>
      <c r="I2140" s="47"/>
      <c r="J2140" s="24">
        <v>0.0</v>
      </c>
    </row>
    <row r="2141">
      <c r="A2141" s="24">
        <v>155.0</v>
      </c>
      <c r="B2141" s="24">
        <v>0.0</v>
      </c>
      <c r="C2141" s="47">
        <v>0.0</v>
      </c>
      <c r="D2141" s="35">
        <v>45896.0</v>
      </c>
      <c r="E2141" s="47"/>
      <c r="F2141" s="47">
        <v>0.0</v>
      </c>
      <c r="G2141" s="48">
        <v>0.0</v>
      </c>
      <c r="H2141" s="24" t="s">
        <v>3548</v>
      </c>
      <c r="I2141" s="47"/>
      <c r="J2141" s="24">
        <v>0.0</v>
      </c>
    </row>
    <row r="2142">
      <c r="A2142" s="24">
        <v>145.0</v>
      </c>
      <c r="B2142" s="24">
        <v>2.0</v>
      </c>
      <c r="C2142" s="47">
        <v>33.87</v>
      </c>
      <c r="D2142" s="35">
        <v>45897.0</v>
      </c>
      <c r="E2142" s="47">
        <v>16.935</v>
      </c>
      <c r="F2142" s="47">
        <v>233.586206896551</v>
      </c>
      <c r="G2142" s="48">
        <v>0.0137931034482758</v>
      </c>
      <c r="H2142" s="24" t="s">
        <v>3548</v>
      </c>
      <c r="I2142" s="47"/>
      <c r="J2142" s="24">
        <v>0.0</v>
      </c>
    </row>
    <row r="2143">
      <c r="A2143" s="24">
        <v>96.0</v>
      </c>
      <c r="B2143" s="24">
        <v>1.0</v>
      </c>
      <c r="C2143" s="47">
        <v>16.84</v>
      </c>
      <c r="D2143" s="35">
        <v>45898.0</v>
      </c>
      <c r="E2143" s="47">
        <v>16.84</v>
      </c>
      <c r="F2143" s="47">
        <v>175.416666666666</v>
      </c>
      <c r="G2143" s="48">
        <v>0.0104166666666666</v>
      </c>
      <c r="H2143" s="24" t="s">
        <v>3548</v>
      </c>
      <c r="I2143" s="47"/>
      <c r="J2143" s="24">
        <v>0.0</v>
      </c>
    </row>
    <row r="2144">
      <c r="A2144" s="24">
        <v>14.0</v>
      </c>
      <c r="B2144" s="24">
        <v>1.0</v>
      </c>
      <c r="C2144" s="47">
        <v>15.95</v>
      </c>
      <c r="D2144" s="35">
        <v>45899.0</v>
      </c>
      <c r="E2144" s="47">
        <v>15.95</v>
      </c>
      <c r="F2144" s="47">
        <v>1139.28571428571</v>
      </c>
      <c r="G2144" s="48">
        <v>0.0714285714285714</v>
      </c>
      <c r="H2144" s="24" t="s">
        <v>3548</v>
      </c>
      <c r="I2144" s="47"/>
      <c r="J2144" s="24">
        <v>0.0</v>
      </c>
    </row>
    <row r="2145">
      <c r="A2145" s="24">
        <v>17.0</v>
      </c>
      <c r="B2145" s="24">
        <v>1.0</v>
      </c>
      <c r="C2145" s="47">
        <v>17.22</v>
      </c>
      <c r="D2145" s="35">
        <v>45900.0</v>
      </c>
      <c r="E2145" s="47">
        <v>17.22</v>
      </c>
      <c r="F2145" s="47">
        <v>1012.94117647058</v>
      </c>
      <c r="G2145" s="48">
        <v>0.0588235294117647</v>
      </c>
      <c r="H2145" s="24" t="s">
        <v>3548</v>
      </c>
      <c r="I2145" s="47"/>
      <c r="J2145" s="24">
        <v>0.0</v>
      </c>
    </row>
    <row r="2146">
      <c r="A2146" s="24">
        <v>13.0</v>
      </c>
      <c r="B2146" s="24">
        <v>0.0</v>
      </c>
      <c r="C2146" s="47">
        <v>0.0</v>
      </c>
      <c r="D2146" s="35">
        <v>45901.0</v>
      </c>
      <c r="E2146" s="47"/>
      <c r="F2146" s="47">
        <v>0.0</v>
      </c>
      <c r="G2146" s="48">
        <v>0.0</v>
      </c>
      <c r="H2146" s="24" t="s">
        <v>3548</v>
      </c>
      <c r="I2146" s="47"/>
      <c r="J2146" s="24">
        <v>0.0</v>
      </c>
    </row>
    <row r="2147">
      <c r="A2147" s="24">
        <v>98.0</v>
      </c>
      <c r="B2147" s="24">
        <v>0.0</v>
      </c>
      <c r="C2147" s="47">
        <v>0.0</v>
      </c>
      <c r="D2147" s="35">
        <v>45902.0</v>
      </c>
      <c r="E2147" s="47"/>
      <c r="F2147" s="47">
        <v>0.0</v>
      </c>
      <c r="G2147" s="48">
        <v>0.0</v>
      </c>
      <c r="H2147" s="24" t="s">
        <v>3548</v>
      </c>
      <c r="I2147" s="47"/>
      <c r="J2147" s="24">
        <v>0.0</v>
      </c>
    </row>
    <row r="2148">
      <c r="A2148" s="24">
        <v>140.0</v>
      </c>
      <c r="B2148" s="24">
        <v>3.0</v>
      </c>
      <c r="C2148" s="47">
        <v>43.43</v>
      </c>
      <c r="D2148" s="35">
        <v>45903.0</v>
      </c>
      <c r="E2148" s="47">
        <v>14.4766666666666</v>
      </c>
      <c r="F2148" s="47">
        <v>310.214285714285</v>
      </c>
      <c r="G2148" s="48">
        <v>0.0214285714285714</v>
      </c>
      <c r="H2148" s="24" t="s">
        <v>3548</v>
      </c>
      <c r="I2148" s="47"/>
      <c r="J2148" s="24">
        <v>0.0</v>
      </c>
    </row>
    <row r="2149">
      <c r="A2149" s="24">
        <v>119.0</v>
      </c>
      <c r="B2149" s="24">
        <v>2.0</v>
      </c>
      <c r="C2149" s="47">
        <v>37.989794</v>
      </c>
      <c r="D2149" s="35">
        <v>45904.0</v>
      </c>
      <c r="E2149" s="47">
        <v>18.994897</v>
      </c>
      <c r="F2149" s="47">
        <v>319.241966386554</v>
      </c>
      <c r="G2149" s="48">
        <v>0.0168067226890756</v>
      </c>
      <c r="H2149" s="24" t="s">
        <v>3548</v>
      </c>
      <c r="I2149" s="47"/>
      <c r="J2149" s="24">
        <v>0.0</v>
      </c>
    </row>
    <row r="2150">
      <c r="A2150" s="24">
        <v>227.0</v>
      </c>
      <c r="B2150" s="24">
        <v>0.0</v>
      </c>
      <c r="C2150" s="47">
        <v>0.0</v>
      </c>
      <c r="D2150" s="35">
        <v>45905.0</v>
      </c>
      <c r="E2150" s="47"/>
      <c r="F2150" s="47">
        <v>0.0</v>
      </c>
      <c r="G2150" s="48">
        <v>0.0</v>
      </c>
      <c r="H2150" s="24" t="s">
        <v>3548</v>
      </c>
      <c r="I2150" s="47"/>
      <c r="J2150" s="24">
        <v>0.0</v>
      </c>
    </row>
    <row r="2151">
      <c r="A2151" s="24">
        <v>55.0</v>
      </c>
      <c r="B2151" s="24">
        <v>0.0</v>
      </c>
      <c r="C2151" s="47">
        <v>0.0</v>
      </c>
      <c r="D2151" s="35">
        <v>45906.0</v>
      </c>
      <c r="E2151" s="47"/>
      <c r="F2151" s="47">
        <v>0.0</v>
      </c>
      <c r="G2151" s="48">
        <v>0.0</v>
      </c>
      <c r="H2151" s="24" t="s">
        <v>3548</v>
      </c>
      <c r="I2151" s="47"/>
      <c r="J2151" s="24">
        <v>0.0</v>
      </c>
    </row>
    <row r="2152">
      <c r="A2152" s="24">
        <v>113.0</v>
      </c>
      <c r="B2152" s="24">
        <v>2.0</v>
      </c>
      <c r="C2152" s="47">
        <v>38.634857</v>
      </c>
      <c r="D2152" s="35">
        <v>45907.0</v>
      </c>
      <c r="E2152" s="47">
        <v>19.3174285</v>
      </c>
      <c r="F2152" s="47">
        <v>341.90138938053</v>
      </c>
      <c r="G2152" s="48">
        <v>0.0176991150442477</v>
      </c>
      <c r="H2152" s="24" t="s">
        <v>3548</v>
      </c>
      <c r="I2152" s="47"/>
      <c r="J2152" s="24">
        <v>0.0</v>
      </c>
    </row>
    <row r="2153">
      <c r="A2153" s="24">
        <v>525.0</v>
      </c>
      <c r="B2153" s="24">
        <v>3.0</v>
      </c>
      <c r="C2153" s="47">
        <v>58.79</v>
      </c>
      <c r="D2153" s="35">
        <v>45908.0</v>
      </c>
      <c r="E2153" s="47">
        <v>19.5966666666666</v>
      </c>
      <c r="F2153" s="47">
        <v>111.980952380952</v>
      </c>
      <c r="G2153" s="48">
        <v>0.00571428571428571</v>
      </c>
      <c r="H2153" s="24" t="s">
        <v>3548</v>
      </c>
      <c r="I2153" s="47"/>
      <c r="J2153" s="24">
        <v>0.0</v>
      </c>
    </row>
    <row r="2154">
      <c r="A2154" s="24">
        <v>562.0</v>
      </c>
      <c r="B2154" s="24">
        <v>5.0</v>
      </c>
      <c r="C2154" s="47">
        <v>91.75</v>
      </c>
      <c r="D2154" s="35">
        <v>45909.0</v>
      </c>
      <c r="E2154" s="47">
        <v>18.35</v>
      </c>
      <c r="F2154" s="47">
        <v>163.256227758007</v>
      </c>
      <c r="G2154" s="48">
        <v>0.00889679715302491</v>
      </c>
      <c r="H2154" s="24" t="s">
        <v>3548</v>
      </c>
      <c r="I2154" s="47"/>
      <c r="J2154" s="24">
        <v>0.0</v>
      </c>
    </row>
    <row r="2155">
      <c r="A2155" s="24">
        <v>584.0</v>
      </c>
      <c r="B2155" s="24">
        <v>0.0</v>
      </c>
      <c r="C2155" s="47">
        <v>0.0</v>
      </c>
      <c r="D2155" s="35">
        <v>45910.0</v>
      </c>
      <c r="E2155" s="47"/>
      <c r="F2155" s="47">
        <v>0.0</v>
      </c>
      <c r="G2155" s="48">
        <v>0.0</v>
      </c>
      <c r="H2155" s="24" t="s">
        <v>3548</v>
      </c>
      <c r="I2155" s="47"/>
      <c r="J2155" s="24">
        <v>0.0</v>
      </c>
    </row>
    <row r="2156">
      <c r="A2156" s="24">
        <v>689.0</v>
      </c>
      <c r="B2156" s="24">
        <v>3.0</v>
      </c>
      <c r="C2156" s="47">
        <v>44.34</v>
      </c>
      <c r="D2156" s="35">
        <v>45911.0</v>
      </c>
      <c r="E2156" s="47">
        <v>14.78</v>
      </c>
      <c r="F2156" s="47">
        <v>64.3541364296081</v>
      </c>
      <c r="G2156" s="48">
        <v>0.00435413642960812</v>
      </c>
      <c r="H2156" s="24" t="s">
        <v>3548</v>
      </c>
      <c r="I2156" s="47"/>
      <c r="J2156" s="24">
        <v>0.0</v>
      </c>
    </row>
    <row r="2157">
      <c r="A2157" s="24">
        <v>535.0</v>
      </c>
      <c r="B2157" s="24">
        <v>1.0</v>
      </c>
      <c r="C2157" s="47">
        <v>11.91</v>
      </c>
      <c r="D2157" s="35">
        <v>45912.0</v>
      </c>
      <c r="E2157" s="47">
        <v>11.91</v>
      </c>
      <c r="F2157" s="47">
        <v>22.2616822429906</v>
      </c>
      <c r="G2157" s="48">
        <v>0.00186915887850467</v>
      </c>
      <c r="H2157" s="24" t="s">
        <v>3548</v>
      </c>
      <c r="I2157" s="47"/>
      <c r="J2157" s="24">
        <v>0.0</v>
      </c>
    </row>
    <row r="2158">
      <c r="A2158" s="24">
        <v>79.0</v>
      </c>
      <c r="B2158" s="24">
        <v>0.0</v>
      </c>
      <c r="C2158" s="47">
        <v>0.0</v>
      </c>
      <c r="D2158" s="35">
        <v>45913.0</v>
      </c>
      <c r="E2158" s="47"/>
      <c r="F2158" s="47">
        <v>0.0</v>
      </c>
      <c r="G2158" s="48">
        <v>0.0</v>
      </c>
      <c r="H2158" s="24" t="s">
        <v>3548</v>
      </c>
      <c r="I2158" s="47"/>
      <c r="J2158" s="24">
        <v>0.0</v>
      </c>
    </row>
    <row r="2159">
      <c r="A2159" s="24">
        <v>127.0</v>
      </c>
      <c r="B2159" s="24">
        <v>4.0</v>
      </c>
      <c r="C2159" s="47">
        <v>77.566612</v>
      </c>
      <c r="D2159" s="35">
        <v>45914.0</v>
      </c>
      <c r="E2159" s="47">
        <v>19.391653</v>
      </c>
      <c r="F2159" s="47">
        <v>610.760724409448</v>
      </c>
      <c r="G2159" s="48">
        <v>0.0314960629921259</v>
      </c>
      <c r="H2159" s="24" t="s">
        <v>3548</v>
      </c>
      <c r="I2159" s="47"/>
      <c r="J2159" s="24">
        <v>0.0</v>
      </c>
    </row>
    <row r="2160">
      <c r="A2160" s="24">
        <v>633.0</v>
      </c>
      <c r="B2160" s="24">
        <v>2.0</v>
      </c>
      <c r="C2160" s="47">
        <v>37.16</v>
      </c>
      <c r="D2160" s="35">
        <v>45915.0</v>
      </c>
      <c r="E2160" s="47">
        <v>18.58</v>
      </c>
      <c r="F2160" s="47">
        <v>58.7045813586097</v>
      </c>
      <c r="G2160" s="48">
        <v>0.00315955766192733</v>
      </c>
      <c r="H2160" s="24" t="s">
        <v>3548</v>
      </c>
      <c r="I2160" s="47"/>
      <c r="J2160" s="24">
        <v>0.0</v>
      </c>
    </row>
    <row r="2161">
      <c r="A2161" s="24">
        <v>727.0</v>
      </c>
      <c r="B2161" s="24">
        <v>2.0</v>
      </c>
      <c r="C2161" s="47">
        <v>37.94</v>
      </c>
      <c r="D2161" s="35">
        <v>45916.0</v>
      </c>
      <c r="E2161" s="47">
        <v>18.97</v>
      </c>
      <c r="F2161" s="47">
        <v>52.1870701513067</v>
      </c>
      <c r="G2161" s="48">
        <v>0.00275103163686382</v>
      </c>
      <c r="H2161" s="24" t="s">
        <v>3548</v>
      </c>
      <c r="I2161" s="47"/>
      <c r="J2161" s="24">
        <v>0.0</v>
      </c>
    </row>
    <row r="2162">
      <c r="A2162" s="24">
        <v>10.0</v>
      </c>
      <c r="B2162" s="24">
        <v>0.0</v>
      </c>
      <c r="C2162" s="47">
        <v>0.0</v>
      </c>
      <c r="D2162" s="35">
        <v>45917.0</v>
      </c>
      <c r="E2162" s="47"/>
      <c r="F2162" s="47">
        <v>0.0</v>
      </c>
      <c r="G2162" s="48">
        <v>0.0</v>
      </c>
      <c r="H2162" s="24" t="s">
        <v>3548</v>
      </c>
      <c r="I2162" s="47"/>
      <c r="J2162" s="24">
        <v>0.0</v>
      </c>
    </row>
    <row r="2163">
      <c r="A2163" s="24">
        <v>1.0</v>
      </c>
      <c r="B2163" s="24">
        <v>0.0</v>
      </c>
      <c r="C2163" s="47">
        <v>0.0</v>
      </c>
      <c r="D2163" s="35">
        <v>45863.0</v>
      </c>
      <c r="E2163" s="47"/>
      <c r="F2163" s="47">
        <v>0.0</v>
      </c>
      <c r="G2163" s="48">
        <v>0.0</v>
      </c>
      <c r="H2163" s="24" t="s">
        <v>3605</v>
      </c>
      <c r="I2163" s="47"/>
      <c r="J2163" s="24">
        <v>0.0</v>
      </c>
    </row>
    <row r="2164">
      <c r="A2164" s="24">
        <v>15.0</v>
      </c>
      <c r="B2164" s="24">
        <v>0.0</v>
      </c>
      <c r="C2164" s="47">
        <v>0.0</v>
      </c>
      <c r="D2164" s="35">
        <v>45864.0</v>
      </c>
      <c r="E2164" s="47"/>
      <c r="F2164" s="47">
        <v>0.0</v>
      </c>
      <c r="G2164" s="48">
        <v>0.0</v>
      </c>
      <c r="H2164" s="24" t="s">
        <v>3605</v>
      </c>
      <c r="I2164" s="47"/>
      <c r="J2164" s="24">
        <v>0.0</v>
      </c>
    </row>
    <row r="2165">
      <c r="A2165" s="24">
        <v>20.0</v>
      </c>
      <c r="B2165" s="24">
        <v>0.0</v>
      </c>
      <c r="C2165" s="47">
        <v>0.0</v>
      </c>
      <c r="D2165" s="35">
        <v>45865.0</v>
      </c>
      <c r="E2165" s="47"/>
      <c r="F2165" s="47">
        <v>0.0</v>
      </c>
      <c r="G2165" s="48">
        <v>0.0</v>
      </c>
      <c r="H2165" s="24" t="s">
        <v>3605</v>
      </c>
      <c r="I2165" s="47"/>
      <c r="J2165" s="24">
        <v>0.0</v>
      </c>
    </row>
    <row r="2166">
      <c r="A2166" s="24">
        <v>39.0</v>
      </c>
      <c r="B2166" s="24">
        <v>0.0</v>
      </c>
      <c r="C2166" s="47">
        <v>0.0</v>
      </c>
      <c r="D2166" s="35">
        <v>45866.0</v>
      </c>
      <c r="E2166" s="47"/>
      <c r="F2166" s="47">
        <v>0.0</v>
      </c>
      <c r="G2166" s="48">
        <v>0.0</v>
      </c>
      <c r="H2166" s="24" t="s">
        <v>3605</v>
      </c>
      <c r="I2166" s="47"/>
      <c r="J2166" s="24">
        <v>0.0</v>
      </c>
    </row>
    <row r="2167">
      <c r="A2167" s="24">
        <v>75.0</v>
      </c>
      <c r="B2167" s="24">
        <v>1.0</v>
      </c>
      <c r="C2167" s="47">
        <v>9.61</v>
      </c>
      <c r="D2167" s="35">
        <v>45867.0</v>
      </c>
      <c r="E2167" s="47">
        <v>9.61</v>
      </c>
      <c r="F2167" s="47">
        <v>128.133333333333</v>
      </c>
      <c r="G2167" s="48">
        <v>0.0133333333333333</v>
      </c>
      <c r="H2167" s="24" t="s">
        <v>3605</v>
      </c>
      <c r="I2167" s="47"/>
      <c r="J2167" s="24">
        <v>0.0</v>
      </c>
    </row>
    <row r="2168">
      <c r="A2168" s="24">
        <v>122.0</v>
      </c>
      <c r="B2168" s="24">
        <v>0.0</v>
      </c>
      <c r="C2168" s="47">
        <v>0.0</v>
      </c>
      <c r="D2168" s="35">
        <v>45868.0</v>
      </c>
      <c r="E2168" s="47"/>
      <c r="F2168" s="47">
        <v>0.0</v>
      </c>
      <c r="G2168" s="48">
        <v>0.0</v>
      </c>
      <c r="H2168" s="24" t="s">
        <v>3605</v>
      </c>
      <c r="I2168" s="47"/>
      <c r="J2168" s="24">
        <v>0.0</v>
      </c>
    </row>
    <row r="2169">
      <c r="A2169" s="24">
        <v>198.0</v>
      </c>
      <c r="B2169" s="24">
        <v>1.0</v>
      </c>
      <c r="C2169" s="47">
        <v>14.5</v>
      </c>
      <c r="D2169" s="35">
        <v>45869.0</v>
      </c>
      <c r="E2169" s="47">
        <v>14.5</v>
      </c>
      <c r="F2169" s="47">
        <v>73.2323232323232</v>
      </c>
      <c r="G2169" s="48">
        <v>0.00505050505050505</v>
      </c>
      <c r="H2169" s="24" t="s">
        <v>3605</v>
      </c>
      <c r="I2169" s="47"/>
      <c r="J2169" s="24">
        <v>0.0</v>
      </c>
    </row>
    <row r="2170">
      <c r="A2170" s="24">
        <v>77.0</v>
      </c>
      <c r="B2170" s="24">
        <v>1.0</v>
      </c>
      <c r="C2170" s="47">
        <v>14.542065</v>
      </c>
      <c r="D2170" s="35">
        <v>45870.0</v>
      </c>
      <c r="E2170" s="47">
        <v>14.542065</v>
      </c>
      <c r="F2170" s="47">
        <v>188.857987012987</v>
      </c>
      <c r="G2170" s="48">
        <v>0.0129870129870129</v>
      </c>
      <c r="H2170" s="24" t="s">
        <v>3605</v>
      </c>
      <c r="I2170" s="47"/>
      <c r="J2170" s="24">
        <v>0.0</v>
      </c>
    </row>
    <row r="2171">
      <c r="A2171" s="24">
        <v>19.0</v>
      </c>
      <c r="B2171" s="24">
        <v>1.0</v>
      </c>
      <c r="C2171" s="47">
        <v>13.79</v>
      </c>
      <c r="D2171" s="35">
        <v>45871.0</v>
      </c>
      <c r="E2171" s="47">
        <v>13.79</v>
      </c>
      <c r="F2171" s="47">
        <v>725.78947368421</v>
      </c>
      <c r="G2171" s="48">
        <v>0.0526315789473684</v>
      </c>
      <c r="H2171" s="24" t="s">
        <v>3605</v>
      </c>
      <c r="I2171" s="47"/>
      <c r="J2171" s="24">
        <v>0.0</v>
      </c>
    </row>
    <row r="2172">
      <c r="A2172" s="24">
        <v>23.0</v>
      </c>
      <c r="B2172" s="24">
        <v>1.0</v>
      </c>
      <c r="C2172" s="47">
        <v>15.0</v>
      </c>
      <c r="D2172" s="35">
        <v>45872.0</v>
      </c>
      <c r="E2172" s="47">
        <v>15.0</v>
      </c>
      <c r="F2172" s="47">
        <v>652.173913043478</v>
      </c>
      <c r="G2172" s="48">
        <v>0.0434782608695652</v>
      </c>
      <c r="H2172" s="24" t="s">
        <v>3605</v>
      </c>
      <c r="I2172" s="47"/>
      <c r="J2172" s="24">
        <v>0.0</v>
      </c>
    </row>
    <row r="2173">
      <c r="A2173" s="24">
        <v>114.0</v>
      </c>
      <c r="B2173" s="24">
        <v>0.0</v>
      </c>
      <c r="C2173" s="47">
        <v>0.0</v>
      </c>
      <c r="D2173" s="35">
        <v>45873.0</v>
      </c>
      <c r="E2173" s="47"/>
      <c r="F2173" s="47">
        <v>0.0</v>
      </c>
      <c r="G2173" s="48">
        <v>0.0</v>
      </c>
      <c r="H2173" s="24" t="s">
        <v>3605</v>
      </c>
      <c r="I2173" s="47"/>
      <c r="J2173" s="24">
        <v>0.0</v>
      </c>
    </row>
    <row r="2174">
      <c r="A2174" s="24">
        <v>210.0</v>
      </c>
      <c r="B2174" s="24">
        <v>0.0</v>
      </c>
      <c r="C2174" s="47">
        <v>0.0</v>
      </c>
      <c r="D2174" s="35">
        <v>45874.0</v>
      </c>
      <c r="E2174" s="47"/>
      <c r="F2174" s="47">
        <v>0.0</v>
      </c>
      <c r="G2174" s="48">
        <v>0.0</v>
      </c>
      <c r="H2174" s="24" t="s">
        <v>3605</v>
      </c>
      <c r="I2174" s="47"/>
      <c r="J2174" s="24">
        <v>0.0</v>
      </c>
    </row>
    <row r="2175">
      <c r="A2175" s="24">
        <v>582.0</v>
      </c>
      <c r="B2175" s="24">
        <v>1.0</v>
      </c>
      <c r="C2175" s="47">
        <v>11.1572</v>
      </c>
      <c r="D2175" s="35">
        <v>45875.0</v>
      </c>
      <c r="E2175" s="47">
        <v>11.1572</v>
      </c>
      <c r="F2175" s="47">
        <v>19.1704467353951</v>
      </c>
      <c r="G2175" s="48">
        <v>0.00171821305841924</v>
      </c>
      <c r="H2175" s="24" t="s">
        <v>3605</v>
      </c>
      <c r="I2175" s="47"/>
      <c r="J2175" s="24">
        <v>0.0</v>
      </c>
    </row>
    <row r="2176">
      <c r="A2176" s="24">
        <v>50.0</v>
      </c>
      <c r="B2176" s="24">
        <v>3.0</v>
      </c>
      <c r="C2176" s="47">
        <v>43.623722</v>
      </c>
      <c r="D2176" s="35">
        <v>45876.0</v>
      </c>
      <c r="E2176" s="47">
        <v>14.5412406666666</v>
      </c>
      <c r="F2176" s="47">
        <v>872.47444</v>
      </c>
      <c r="G2176" s="48">
        <v>0.06</v>
      </c>
      <c r="H2176" s="24" t="s">
        <v>3605</v>
      </c>
      <c r="I2176" s="47"/>
      <c r="J2176" s="24">
        <v>0.0</v>
      </c>
    </row>
    <row r="2177">
      <c r="A2177" s="24">
        <v>94.0</v>
      </c>
      <c r="B2177" s="24">
        <v>2.0</v>
      </c>
      <c r="C2177" s="47">
        <v>29.407759</v>
      </c>
      <c r="D2177" s="35">
        <v>45877.0</v>
      </c>
      <c r="E2177" s="47">
        <v>14.7038795</v>
      </c>
      <c r="F2177" s="47">
        <v>312.8485</v>
      </c>
      <c r="G2177" s="48">
        <v>0.0212765957446808</v>
      </c>
      <c r="H2177" s="24" t="s">
        <v>3605</v>
      </c>
      <c r="I2177" s="47">
        <v>29.407759</v>
      </c>
      <c r="J2177" s="24">
        <v>1.0</v>
      </c>
    </row>
    <row r="2178">
      <c r="A2178" s="24">
        <v>5.0</v>
      </c>
      <c r="B2178" s="24">
        <v>0.0</v>
      </c>
      <c r="C2178" s="47">
        <v>0.0</v>
      </c>
      <c r="D2178" s="35">
        <v>45878.0</v>
      </c>
      <c r="E2178" s="47"/>
      <c r="F2178" s="47">
        <v>0.0</v>
      </c>
      <c r="G2178" s="48">
        <v>0.0</v>
      </c>
      <c r="H2178" s="24" t="s">
        <v>3605</v>
      </c>
      <c r="I2178" s="47"/>
      <c r="J2178" s="24">
        <v>0.0</v>
      </c>
    </row>
    <row r="2179">
      <c r="A2179" s="24">
        <v>10.0</v>
      </c>
      <c r="B2179" s="24">
        <v>0.0</v>
      </c>
      <c r="C2179" s="47">
        <v>0.0</v>
      </c>
      <c r="D2179" s="35">
        <v>45879.0</v>
      </c>
      <c r="E2179" s="47"/>
      <c r="F2179" s="47">
        <v>0.0</v>
      </c>
      <c r="G2179" s="48">
        <v>0.0</v>
      </c>
      <c r="H2179" s="24" t="s">
        <v>3605</v>
      </c>
      <c r="I2179" s="47"/>
      <c r="J2179" s="24">
        <v>0.0</v>
      </c>
    </row>
    <row r="2180">
      <c r="A2180" s="24">
        <v>87.0</v>
      </c>
      <c r="B2180" s="24">
        <v>2.0</v>
      </c>
      <c r="C2180" s="47">
        <v>26.79</v>
      </c>
      <c r="D2180" s="35">
        <v>45880.0</v>
      </c>
      <c r="E2180" s="47">
        <v>13.395</v>
      </c>
      <c r="F2180" s="47">
        <v>307.931034482758</v>
      </c>
      <c r="G2180" s="48">
        <v>0.0229885057471264</v>
      </c>
      <c r="H2180" s="24" t="s">
        <v>3605</v>
      </c>
      <c r="I2180" s="47"/>
      <c r="J2180" s="24">
        <v>0.0</v>
      </c>
    </row>
    <row r="2181">
      <c r="A2181" s="24">
        <v>85.0</v>
      </c>
      <c r="B2181" s="24">
        <v>2.0</v>
      </c>
      <c r="C2181" s="47">
        <v>28.852055</v>
      </c>
      <c r="D2181" s="35">
        <v>45881.0</v>
      </c>
      <c r="E2181" s="47">
        <v>14.4260275</v>
      </c>
      <c r="F2181" s="47">
        <v>339.43594117647</v>
      </c>
      <c r="G2181" s="48">
        <v>0.0235294117647058</v>
      </c>
      <c r="H2181" s="24" t="s">
        <v>3605</v>
      </c>
      <c r="I2181" s="47"/>
      <c r="J2181" s="24">
        <v>0.0</v>
      </c>
    </row>
    <row r="2182">
      <c r="A2182" s="24">
        <v>92.0</v>
      </c>
      <c r="B2182" s="24">
        <v>2.0</v>
      </c>
      <c r="C2182" s="47">
        <v>29.2701</v>
      </c>
      <c r="D2182" s="35">
        <v>45882.0</v>
      </c>
      <c r="E2182" s="47">
        <v>14.63505</v>
      </c>
      <c r="F2182" s="47">
        <v>318.153260869565</v>
      </c>
      <c r="G2182" s="48">
        <v>0.0217391304347826</v>
      </c>
      <c r="H2182" s="24" t="s">
        <v>3605</v>
      </c>
      <c r="I2182" s="47"/>
      <c r="J2182" s="24">
        <v>0.0</v>
      </c>
    </row>
    <row r="2183">
      <c r="A2183" s="24">
        <v>82.0</v>
      </c>
      <c r="B2183" s="24">
        <v>2.0</v>
      </c>
      <c r="C2183" s="47">
        <v>25.29</v>
      </c>
      <c r="D2183" s="35">
        <v>45883.0</v>
      </c>
      <c r="E2183" s="47">
        <v>12.645</v>
      </c>
      <c r="F2183" s="47">
        <v>308.414634146341</v>
      </c>
      <c r="G2183" s="48">
        <v>0.024390243902439</v>
      </c>
      <c r="H2183" s="24" t="s">
        <v>3605</v>
      </c>
      <c r="I2183" s="47"/>
      <c r="J2183" s="24">
        <v>0.0</v>
      </c>
    </row>
    <row r="2184">
      <c r="A2184" s="24">
        <v>57.0</v>
      </c>
      <c r="B2184" s="24">
        <v>1.0</v>
      </c>
      <c r="C2184" s="47">
        <v>14.78</v>
      </c>
      <c r="D2184" s="35">
        <v>45884.0</v>
      </c>
      <c r="E2184" s="47">
        <v>14.78</v>
      </c>
      <c r="F2184" s="47">
        <v>259.298245614035</v>
      </c>
      <c r="G2184" s="48">
        <v>0.0175438596491228</v>
      </c>
      <c r="H2184" s="24" t="s">
        <v>3605</v>
      </c>
      <c r="I2184" s="47"/>
      <c r="J2184" s="24">
        <v>0.0</v>
      </c>
    </row>
    <row r="2185">
      <c r="A2185" s="24">
        <v>14.0</v>
      </c>
      <c r="B2185" s="24">
        <v>0.0</v>
      </c>
      <c r="C2185" s="47">
        <v>0.0</v>
      </c>
      <c r="D2185" s="35">
        <v>45885.0</v>
      </c>
      <c r="E2185" s="47"/>
      <c r="F2185" s="47">
        <v>0.0</v>
      </c>
      <c r="G2185" s="48">
        <v>0.0</v>
      </c>
      <c r="H2185" s="24" t="s">
        <v>3605</v>
      </c>
      <c r="I2185" s="47"/>
      <c r="J2185" s="24">
        <v>0.0</v>
      </c>
    </row>
    <row r="2186">
      <c r="A2186" s="24">
        <v>9.0</v>
      </c>
      <c r="B2186" s="24">
        <v>0.0</v>
      </c>
      <c r="C2186" s="47">
        <v>0.0</v>
      </c>
      <c r="D2186" s="35">
        <v>45886.0</v>
      </c>
      <c r="E2186" s="47"/>
      <c r="F2186" s="47">
        <v>0.0</v>
      </c>
      <c r="G2186" s="48">
        <v>0.0</v>
      </c>
      <c r="H2186" s="24" t="s">
        <v>3605</v>
      </c>
      <c r="I2186" s="47"/>
      <c r="J2186" s="24">
        <v>0.0</v>
      </c>
    </row>
    <row r="2187">
      <c r="A2187" s="24">
        <v>78.0</v>
      </c>
      <c r="B2187" s="24">
        <v>0.0</v>
      </c>
      <c r="C2187" s="47">
        <v>0.0</v>
      </c>
      <c r="D2187" s="35">
        <v>45887.0</v>
      </c>
      <c r="E2187" s="47"/>
      <c r="F2187" s="47">
        <v>0.0</v>
      </c>
      <c r="G2187" s="48">
        <v>0.0</v>
      </c>
      <c r="H2187" s="24" t="s">
        <v>3605</v>
      </c>
      <c r="I2187" s="47"/>
      <c r="J2187" s="24">
        <v>0.0</v>
      </c>
    </row>
    <row r="2188">
      <c r="A2188" s="24">
        <v>104.0</v>
      </c>
      <c r="B2188" s="24">
        <v>2.0</v>
      </c>
      <c r="C2188" s="47">
        <v>34.55</v>
      </c>
      <c r="D2188" s="35">
        <v>45888.0</v>
      </c>
      <c r="E2188" s="47">
        <v>17.275</v>
      </c>
      <c r="F2188" s="47">
        <v>332.211538461538</v>
      </c>
      <c r="G2188" s="48">
        <v>0.0192307692307692</v>
      </c>
      <c r="H2188" s="24" t="s">
        <v>3605</v>
      </c>
      <c r="I2188" s="47"/>
      <c r="J2188" s="24">
        <v>0.0</v>
      </c>
    </row>
    <row r="2189">
      <c r="A2189" s="24">
        <v>99.0</v>
      </c>
      <c r="B2189" s="24">
        <v>4.0</v>
      </c>
      <c r="C2189" s="47">
        <v>66.708766</v>
      </c>
      <c r="D2189" s="35">
        <v>45889.0</v>
      </c>
      <c r="E2189" s="47">
        <v>16.6771915</v>
      </c>
      <c r="F2189" s="47">
        <v>673.825919191919</v>
      </c>
      <c r="G2189" s="48">
        <v>0.0404040404040404</v>
      </c>
      <c r="H2189" s="24" t="s">
        <v>3605</v>
      </c>
      <c r="I2189" s="47"/>
      <c r="J2189" s="24">
        <v>0.0</v>
      </c>
    </row>
    <row r="2190">
      <c r="A2190" s="24">
        <v>94.0</v>
      </c>
      <c r="B2190" s="24">
        <v>0.0</v>
      </c>
      <c r="C2190" s="47">
        <v>0.0</v>
      </c>
      <c r="D2190" s="35">
        <v>45890.0</v>
      </c>
      <c r="E2190" s="47"/>
      <c r="F2190" s="47">
        <v>0.0</v>
      </c>
      <c r="G2190" s="48">
        <v>0.0</v>
      </c>
      <c r="H2190" s="24" t="s">
        <v>3605</v>
      </c>
      <c r="I2190" s="47"/>
      <c r="J2190" s="24">
        <v>0.0</v>
      </c>
    </row>
    <row r="2191">
      <c r="A2191" s="24">
        <v>79.0</v>
      </c>
      <c r="B2191" s="24">
        <v>0.0</v>
      </c>
      <c r="C2191" s="47">
        <v>0.0</v>
      </c>
      <c r="D2191" s="35">
        <v>45891.0</v>
      </c>
      <c r="E2191" s="47"/>
      <c r="F2191" s="47">
        <v>0.0</v>
      </c>
      <c r="G2191" s="48">
        <v>0.0</v>
      </c>
      <c r="H2191" s="24" t="s">
        <v>3605</v>
      </c>
      <c r="I2191" s="47"/>
      <c r="J2191" s="24">
        <v>0.0</v>
      </c>
    </row>
    <row r="2192">
      <c r="A2192" s="24">
        <v>18.0</v>
      </c>
      <c r="B2192" s="24">
        <v>1.0</v>
      </c>
      <c r="C2192" s="47">
        <v>17.039681</v>
      </c>
      <c r="D2192" s="35">
        <v>45892.0</v>
      </c>
      <c r="E2192" s="47">
        <v>17.039681</v>
      </c>
      <c r="F2192" s="47">
        <v>946.648944444444</v>
      </c>
      <c r="G2192" s="48">
        <v>0.0555555555555555</v>
      </c>
      <c r="H2192" s="24" t="s">
        <v>3605</v>
      </c>
      <c r="I2192" s="47"/>
      <c r="J2192" s="24">
        <v>0.0</v>
      </c>
    </row>
    <row r="2193">
      <c r="A2193" s="24">
        <v>21.0</v>
      </c>
      <c r="B2193" s="24">
        <v>0.0</v>
      </c>
      <c r="C2193" s="47">
        <v>0.0</v>
      </c>
      <c r="D2193" s="35">
        <v>45893.0</v>
      </c>
      <c r="E2193" s="47"/>
      <c r="F2193" s="47">
        <v>0.0</v>
      </c>
      <c r="G2193" s="48">
        <v>0.0</v>
      </c>
      <c r="H2193" s="24" t="s">
        <v>3605</v>
      </c>
      <c r="I2193" s="47"/>
      <c r="J2193" s="24">
        <v>0.0</v>
      </c>
    </row>
    <row r="2194">
      <c r="A2194" s="24">
        <v>103.0</v>
      </c>
      <c r="B2194" s="24">
        <v>1.0</v>
      </c>
      <c r="C2194" s="47">
        <v>17.45</v>
      </c>
      <c r="D2194" s="35">
        <v>45894.0</v>
      </c>
      <c r="E2194" s="47">
        <v>17.45</v>
      </c>
      <c r="F2194" s="47">
        <v>169.417475728155</v>
      </c>
      <c r="G2194" s="48">
        <v>0.00970873786407766</v>
      </c>
      <c r="H2194" s="24" t="s">
        <v>3605</v>
      </c>
      <c r="I2194" s="47"/>
      <c r="J2194" s="24">
        <v>0.0</v>
      </c>
    </row>
    <row r="2195">
      <c r="A2195" s="24">
        <v>91.0</v>
      </c>
      <c r="B2195" s="24">
        <v>0.0</v>
      </c>
      <c r="C2195" s="47">
        <v>0.0</v>
      </c>
      <c r="D2195" s="35">
        <v>45895.0</v>
      </c>
      <c r="E2195" s="47"/>
      <c r="F2195" s="47">
        <v>0.0</v>
      </c>
      <c r="G2195" s="48">
        <v>0.0</v>
      </c>
      <c r="H2195" s="24" t="s">
        <v>3605</v>
      </c>
      <c r="I2195" s="47"/>
      <c r="J2195" s="24">
        <v>0.0</v>
      </c>
    </row>
    <row r="2196">
      <c r="A2196" s="24">
        <v>108.0</v>
      </c>
      <c r="B2196" s="24">
        <v>2.0</v>
      </c>
      <c r="C2196" s="47">
        <v>33.89</v>
      </c>
      <c r="D2196" s="35">
        <v>45896.0</v>
      </c>
      <c r="E2196" s="47">
        <v>16.945</v>
      </c>
      <c r="F2196" s="47">
        <v>313.796296296296</v>
      </c>
      <c r="G2196" s="48">
        <v>0.0185185185185185</v>
      </c>
      <c r="H2196" s="24" t="s">
        <v>3605</v>
      </c>
      <c r="I2196" s="47"/>
      <c r="J2196" s="24">
        <v>0.0</v>
      </c>
    </row>
    <row r="2197">
      <c r="A2197" s="24">
        <v>130.0</v>
      </c>
      <c r="B2197" s="24">
        <v>3.0</v>
      </c>
      <c r="C2197" s="47">
        <v>52.21</v>
      </c>
      <c r="D2197" s="35">
        <v>45897.0</v>
      </c>
      <c r="E2197" s="47">
        <v>17.4033333333333</v>
      </c>
      <c r="F2197" s="47">
        <v>401.615384615384</v>
      </c>
      <c r="G2197" s="48">
        <v>0.023076923076923</v>
      </c>
      <c r="H2197" s="24" t="s">
        <v>3605</v>
      </c>
      <c r="I2197" s="47"/>
      <c r="J2197" s="24">
        <v>0.0</v>
      </c>
    </row>
    <row r="2198">
      <c r="A2198" s="24">
        <v>96.0</v>
      </c>
      <c r="B2198" s="24">
        <v>1.0</v>
      </c>
      <c r="C2198" s="47">
        <v>16.970144</v>
      </c>
      <c r="D2198" s="35">
        <v>45898.0</v>
      </c>
      <c r="E2198" s="47">
        <v>16.970144</v>
      </c>
      <c r="F2198" s="47">
        <v>176.772333333333</v>
      </c>
      <c r="G2198" s="48">
        <v>0.0104166666666666</v>
      </c>
      <c r="H2198" s="24" t="s">
        <v>3605</v>
      </c>
      <c r="I2198" s="47"/>
      <c r="J2198" s="24">
        <v>0.0</v>
      </c>
    </row>
    <row r="2199">
      <c r="A2199" s="24">
        <v>44.0</v>
      </c>
      <c r="B2199" s="24">
        <v>2.0</v>
      </c>
      <c r="C2199" s="47">
        <v>30.05</v>
      </c>
      <c r="D2199" s="35">
        <v>45899.0</v>
      </c>
      <c r="E2199" s="47">
        <v>15.025</v>
      </c>
      <c r="F2199" s="47">
        <v>682.954545454545</v>
      </c>
      <c r="G2199" s="48">
        <v>0.0454545454545454</v>
      </c>
      <c r="H2199" s="24" t="s">
        <v>3605</v>
      </c>
      <c r="I2199" s="47"/>
      <c r="J2199" s="24">
        <v>0.0</v>
      </c>
    </row>
    <row r="2200">
      <c r="A2200" s="24">
        <v>16.0</v>
      </c>
      <c r="B2200" s="24">
        <v>1.0</v>
      </c>
      <c r="C2200" s="47">
        <v>16.13</v>
      </c>
      <c r="D2200" s="35">
        <v>45900.0</v>
      </c>
      <c r="E2200" s="47">
        <v>16.13</v>
      </c>
      <c r="F2200" s="47">
        <v>1008.125</v>
      </c>
      <c r="G2200" s="48">
        <v>0.0625</v>
      </c>
      <c r="H2200" s="24" t="s">
        <v>3605</v>
      </c>
      <c r="I2200" s="47"/>
      <c r="J2200" s="24">
        <v>0.0</v>
      </c>
    </row>
    <row r="2201">
      <c r="A2201" s="24">
        <v>30.0</v>
      </c>
      <c r="B2201" s="24">
        <v>2.0</v>
      </c>
      <c r="C2201" s="47">
        <v>34.58</v>
      </c>
      <c r="D2201" s="35">
        <v>45901.0</v>
      </c>
      <c r="E2201" s="47">
        <v>17.29</v>
      </c>
      <c r="F2201" s="47">
        <v>1152.66666666666</v>
      </c>
      <c r="G2201" s="48">
        <v>0.0666666666666666</v>
      </c>
      <c r="H2201" s="24" t="s">
        <v>3605</v>
      </c>
      <c r="I2201" s="47"/>
      <c r="J2201" s="24">
        <v>0.0</v>
      </c>
    </row>
    <row r="2202">
      <c r="A2202" s="24">
        <v>184.0</v>
      </c>
      <c r="B2202" s="24">
        <v>3.0</v>
      </c>
      <c r="C2202" s="47">
        <v>49.51</v>
      </c>
      <c r="D2202" s="35">
        <v>45902.0</v>
      </c>
      <c r="E2202" s="47">
        <v>16.5033333333333</v>
      </c>
      <c r="F2202" s="47">
        <v>269.076086956521</v>
      </c>
      <c r="G2202" s="48">
        <v>0.0163043478260869</v>
      </c>
      <c r="H2202" s="24" t="s">
        <v>3605</v>
      </c>
      <c r="I2202" s="47"/>
      <c r="J2202" s="24">
        <v>0.0</v>
      </c>
    </row>
    <row r="2203">
      <c r="A2203" s="24">
        <v>609.0</v>
      </c>
      <c r="B2203" s="24">
        <v>2.0</v>
      </c>
      <c r="C2203" s="47">
        <v>29.58</v>
      </c>
      <c r="D2203" s="35">
        <v>45903.0</v>
      </c>
      <c r="E2203" s="47">
        <v>14.79</v>
      </c>
      <c r="F2203" s="47">
        <v>48.5714285714285</v>
      </c>
      <c r="G2203" s="48">
        <v>0.00328407224958949</v>
      </c>
      <c r="H2203" s="24" t="s">
        <v>3605</v>
      </c>
      <c r="I2203" s="47"/>
      <c r="J2203" s="24">
        <v>0.0</v>
      </c>
    </row>
    <row r="2204">
      <c r="A2204" s="24">
        <v>592.0</v>
      </c>
      <c r="B2204" s="24">
        <v>3.0</v>
      </c>
      <c r="C2204" s="47">
        <v>58.56</v>
      </c>
      <c r="D2204" s="35">
        <v>45904.0</v>
      </c>
      <c r="E2204" s="47">
        <v>19.52</v>
      </c>
      <c r="F2204" s="47">
        <v>98.9189189189189</v>
      </c>
      <c r="G2204" s="48">
        <v>0.00506756756756756</v>
      </c>
      <c r="H2204" s="24" t="s">
        <v>3605</v>
      </c>
      <c r="I2204" s="47"/>
      <c r="J2204" s="24">
        <v>0.0</v>
      </c>
    </row>
    <row r="2205">
      <c r="A2205" s="24">
        <v>541.0</v>
      </c>
      <c r="B2205" s="24">
        <v>1.0</v>
      </c>
      <c r="C2205" s="47">
        <v>19.26</v>
      </c>
      <c r="D2205" s="35">
        <v>45905.0</v>
      </c>
      <c r="E2205" s="47">
        <v>19.26</v>
      </c>
      <c r="F2205" s="47">
        <v>35.6007393715341</v>
      </c>
      <c r="G2205" s="48">
        <v>0.00184842883548983</v>
      </c>
      <c r="H2205" s="24" t="s">
        <v>3605</v>
      </c>
      <c r="I2205" s="47"/>
      <c r="J2205" s="24">
        <v>0.0</v>
      </c>
    </row>
    <row r="2206">
      <c r="A2206" s="24">
        <v>15.0</v>
      </c>
      <c r="B2206" s="24">
        <v>0.0</v>
      </c>
      <c r="C2206" s="47">
        <v>0.0</v>
      </c>
      <c r="D2206" s="35">
        <v>45906.0</v>
      </c>
      <c r="E2206" s="47"/>
      <c r="F2206" s="47">
        <v>0.0</v>
      </c>
      <c r="G2206" s="48">
        <v>0.0</v>
      </c>
      <c r="H2206" s="24" t="s">
        <v>3605</v>
      </c>
      <c r="I2206" s="47"/>
      <c r="J2206" s="24">
        <v>0.0</v>
      </c>
    </row>
    <row r="2207">
      <c r="A2207" s="24">
        <v>27.0</v>
      </c>
      <c r="B2207" s="24">
        <v>0.0</v>
      </c>
      <c r="C2207" s="47">
        <v>0.0</v>
      </c>
      <c r="D2207" s="35">
        <v>45907.0</v>
      </c>
      <c r="E2207" s="47"/>
      <c r="F2207" s="47">
        <v>0.0</v>
      </c>
      <c r="G2207" s="48">
        <v>0.0</v>
      </c>
      <c r="H2207" s="24" t="s">
        <v>3605</v>
      </c>
      <c r="I2207" s="47"/>
      <c r="J2207" s="24">
        <v>0.0</v>
      </c>
    </row>
    <row r="2208">
      <c r="A2208" s="24">
        <v>638.0</v>
      </c>
      <c r="B2208" s="24">
        <v>2.0</v>
      </c>
      <c r="C2208" s="47">
        <v>39.369603</v>
      </c>
      <c r="D2208" s="35">
        <v>45908.0</v>
      </c>
      <c r="E2208" s="47">
        <v>19.6848015</v>
      </c>
      <c r="F2208" s="47">
        <v>61.7078416927899</v>
      </c>
      <c r="G2208" s="48">
        <v>0.00313479623824451</v>
      </c>
      <c r="H2208" s="24" t="s">
        <v>3605</v>
      </c>
      <c r="I2208" s="47"/>
      <c r="J2208" s="24">
        <v>0.0</v>
      </c>
    </row>
    <row r="2209">
      <c r="A2209" s="24">
        <v>220.0</v>
      </c>
      <c r="B2209" s="24">
        <v>4.0</v>
      </c>
      <c r="C2209" s="47">
        <v>76.085021</v>
      </c>
      <c r="D2209" s="35">
        <v>45909.0</v>
      </c>
      <c r="E2209" s="47">
        <v>19.02125525</v>
      </c>
      <c r="F2209" s="47">
        <v>345.841004545454</v>
      </c>
      <c r="G2209" s="48">
        <v>0.0181818181818181</v>
      </c>
      <c r="H2209" s="24" t="s">
        <v>3605</v>
      </c>
      <c r="I2209" s="47"/>
      <c r="J2209" s="24">
        <v>0.0</v>
      </c>
    </row>
    <row r="2210">
      <c r="A2210" s="24">
        <v>322.0</v>
      </c>
      <c r="B2210" s="24">
        <v>5.0</v>
      </c>
      <c r="C2210" s="47">
        <v>84.52</v>
      </c>
      <c r="D2210" s="35">
        <v>45910.0</v>
      </c>
      <c r="E2210" s="47">
        <v>16.904</v>
      </c>
      <c r="F2210" s="47">
        <v>262.484472049689</v>
      </c>
      <c r="G2210" s="48">
        <v>0.015527950310559</v>
      </c>
      <c r="H2210" s="24" t="s">
        <v>3605</v>
      </c>
      <c r="I2210" s="47"/>
      <c r="J2210" s="24">
        <v>0.0</v>
      </c>
    </row>
    <row r="2211">
      <c r="A2211" s="24">
        <v>377.0</v>
      </c>
      <c r="B2211" s="24">
        <v>3.0</v>
      </c>
      <c r="C2211" s="47">
        <v>59.13</v>
      </c>
      <c r="D2211" s="35">
        <v>45911.0</v>
      </c>
      <c r="E2211" s="47">
        <v>19.71</v>
      </c>
      <c r="F2211" s="47">
        <v>156.843501326259</v>
      </c>
      <c r="G2211" s="48">
        <v>0.00795755968169761</v>
      </c>
      <c r="H2211" s="24" t="s">
        <v>3605</v>
      </c>
      <c r="I2211" s="47"/>
      <c r="J2211" s="24">
        <v>0.0</v>
      </c>
    </row>
    <row r="2212">
      <c r="A2212" s="24">
        <v>383.0</v>
      </c>
      <c r="B2212" s="24">
        <v>1.0</v>
      </c>
      <c r="C2212" s="47">
        <v>19.73</v>
      </c>
      <c r="D2212" s="35">
        <v>45912.0</v>
      </c>
      <c r="E2212" s="47">
        <v>19.73</v>
      </c>
      <c r="F2212" s="47">
        <v>51.5143603133159</v>
      </c>
      <c r="G2212" s="48">
        <v>0.00261096605744125</v>
      </c>
      <c r="H2212" s="24" t="s">
        <v>3605</v>
      </c>
      <c r="I2212" s="47"/>
      <c r="J2212" s="24">
        <v>0.0</v>
      </c>
    </row>
    <row r="2213">
      <c r="A2213" s="24">
        <v>65.0</v>
      </c>
      <c r="B2213" s="24">
        <v>2.0</v>
      </c>
      <c r="C2213" s="47">
        <v>39.2</v>
      </c>
      <c r="D2213" s="35">
        <v>45913.0</v>
      </c>
      <c r="E2213" s="47">
        <v>19.6</v>
      </c>
      <c r="F2213" s="47">
        <v>603.076923076923</v>
      </c>
      <c r="G2213" s="48">
        <v>0.0307692307692307</v>
      </c>
      <c r="H2213" s="24" t="s">
        <v>3605</v>
      </c>
      <c r="I2213" s="47"/>
      <c r="J2213" s="24">
        <v>0.0</v>
      </c>
    </row>
    <row r="2214">
      <c r="A2214" s="24">
        <v>76.0</v>
      </c>
      <c r="B2214" s="24">
        <v>0.0</v>
      </c>
      <c r="C2214" s="47">
        <v>0.0</v>
      </c>
      <c r="D2214" s="35">
        <v>45914.0</v>
      </c>
      <c r="E2214" s="47"/>
      <c r="F2214" s="47">
        <v>0.0</v>
      </c>
      <c r="G2214" s="48">
        <v>0.0</v>
      </c>
      <c r="H2214" s="24" t="s">
        <v>3605</v>
      </c>
      <c r="I2214" s="47"/>
      <c r="J2214" s="24">
        <v>0.0</v>
      </c>
    </row>
    <row r="2215">
      <c r="A2215" s="24">
        <v>343.0</v>
      </c>
      <c r="B2215" s="24">
        <v>1.0</v>
      </c>
      <c r="C2215" s="47">
        <v>19.42</v>
      </c>
      <c r="D2215" s="35">
        <v>45915.0</v>
      </c>
      <c r="E2215" s="47">
        <v>19.42</v>
      </c>
      <c r="F2215" s="47">
        <v>56.6180758017492</v>
      </c>
      <c r="G2215" s="48">
        <v>0.00291545189504373</v>
      </c>
      <c r="H2215" s="24" t="s">
        <v>3605</v>
      </c>
      <c r="I2215" s="47"/>
      <c r="J2215" s="24">
        <v>0.0</v>
      </c>
    </row>
    <row r="2216">
      <c r="A2216" s="24">
        <v>1257.0</v>
      </c>
      <c r="B2216" s="24">
        <v>4.0</v>
      </c>
      <c r="C2216" s="47">
        <v>71.76</v>
      </c>
      <c r="D2216" s="35">
        <v>45916.0</v>
      </c>
      <c r="E2216" s="47">
        <v>17.94</v>
      </c>
      <c r="F2216" s="47">
        <v>57.0883054892601</v>
      </c>
      <c r="G2216" s="48">
        <v>0.00318217979315831</v>
      </c>
      <c r="H2216" s="24" t="s">
        <v>3605</v>
      </c>
      <c r="I2216" s="47"/>
      <c r="J2216" s="24">
        <v>0.0</v>
      </c>
    </row>
    <row r="2217">
      <c r="A2217" s="24">
        <v>384.0</v>
      </c>
      <c r="B2217" s="24">
        <v>4.0</v>
      </c>
      <c r="C2217" s="47">
        <v>76.870036</v>
      </c>
      <c r="D2217" s="35">
        <v>45917.0</v>
      </c>
      <c r="E2217" s="47">
        <v>19.217509</v>
      </c>
      <c r="F2217" s="47">
        <v>200.182385416666</v>
      </c>
      <c r="G2217" s="48">
        <v>0.0104166666666666</v>
      </c>
      <c r="H2217" s="24" t="s">
        <v>3605</v>
      </c>
      <c r="I2217" s="47"/>
      <c r="J2217" s="24">
        <v>0.0</v>
      </c>
    </row>
    <row r="2218">
      <c r="A2218" s="24">
        <v>199.0</v>
      </c>
      <c r="B2218" s="24">
        <v>1.0</v>
      </c>
      <c r="C2218" s="47">
        <v>19.31</v>
      </c>
      <c r="D2218" s="35">
        <v>45918.0</v>
      </c>
      <c r="E2218" s="47">
        <v>19.31</v>
      </c>
      <c r="F2218" s="47">
        <v>97.0351758793969</v>
      </c>
      <c r="G2218" s="48">
        <v>0.0050251256281407</v>
      </c>
      <c r="H2218" s="24" t="s">
        <v>3605</v>
      </c>
      <c r="I2218" s="47"/>
      <c r="J2218" s="24">
        <v>0.0</v>
      </c>
    </row>
    <row r="2219">
      <c r="A2219" s="24">
        <v>68.0</v>
      </c>
      <c r="B2219" s="24">
        <v>0.0</v>
      </c>
      <c r="C2219" s="47">
        <v>0.0</v>
      </c>
      <c r="D2219" s="35">
        <v>45919.0</v>
      </c>
      <c r="E2219" s="47"/>
      <c r="F2219" s="47">
        <v>0.0</v>
      </c>
      <c r="G2219" s="48">
        <v>0.0</v>
      </c>
      <c r="H2219" s="24" t="s">
        <v>3605</v>
      </c>
      <c r="I2219" s="47"/>
      <c r="J2219" s="24">
        <v>0.0</v>
      </c>
    </row>
    <row r="2220">
      <c r="A2220" s="24">
        <v>11.0</v>
      </c>
      <c r="B2220" s="24">
        <v>0.0</v>
      </c>
      <c r="C2220" s="47">
        <v>0.0</v>
      </c>
      <c r="D2220" s="35">
        <v>45920.0</v>
      </c>
      <c r="E2220" s="47"/>
      <c r="F2220" s="47">
        <v>0.0</v>
      </c>
      <c r="G2220" s="48">
        <v>0.0</v>
      </c>
      <c r="H2220" s="24" t="s">
        <v>3605</v>
      </c>
      <c r="I2220" s="47"/>
      <c r="J2220" s="24">
        <v>0.0</v>
      </c>
    </row>
    <row r="2221">
      <c r="A2221" s="24">
        <v>8.0</v>
      </c>
      <c r="B2221" s="24">
        <v>0.0</v>
      </c>
      <c r="C2221" s="47">
        <v>0.0</v>
      </c>
      <c r="D2221" s="35">
        <v>45921.0</v>
      </c>
      <c r="E2221" s="47"/>
      <c r="F2221" s="47">
        <v>0.0</v>
      </c>
      <c r="G2221" s="48">
        <v>0.0</v>
      </c>
      <c r="H2221" s="24" t="s">
        <v>3605</v>
      </c>
      <c r="I2221" s="47"/>
      <c r="J2221" s="24">
        <v>0.0</v>
      </c>
    </row>
    <row r="2222">
      <c r="A2222" s="24">
        <v>43.0</v>
      </c>
      <c r="B2222" s="24">
        <v>1.0</v>
      </c>
      <c r="C2222" s="47">
        <v>18.28</v>
      </c>
      <c r="D2222" s="35">
        <v>45922.0</v>
      </c>
      <c r="E2222" s="47">
        <v>18.28</v>
      </c>
      <c r="F2222" s="47">
        <v>425.116279069767</v>
      </c>
      <c r="G2222" s="48">
        <v>0.0232558139534883</v>
      </c>
      <c r="H2222" s="24" t="s">
        <v>3605</v>
      </c>
      <c r="I2222" s="47"/>
      <c r="J2222" s="24">
        <v>0.0</v>
      </c>
    </row>
    <row r="2223">
      <c r="A2223" s="24">
        <v>73.0</v>
      </c>
      <c r="B2223" s="24">
        <v>1.0</v>
      </c>
      <c r="C2223" s="47">
        <v>19.89</v>
      </c>
      <c r="D2223" s="35">
        <v>45923.0</v>
      </c>
      <c r="E2223" s="47">
        <v>19.89</v>
      </c>
      <c r="F2223" s="47">
        <v>272.465753424657</v>
      </c>
      <c r="G2223" s="48">
        <v>0.0136986301369863</v>
      </c>
      <c r="H2223" s="24" t="s">
        <v>3605</v>
      </c>
      <c r="I2223" s="47"/>
      <c r="J2223" s="24">
        <v>0.0</v>
      </c>
    </row>
    <row r="2224">
      <c r="A2224" s="24">
        <v>68.0</v>
      </c>
      <c r="B2224" s="24">
        <v>1.0</v>
      </c>
      <c r="C2224" s="47">
        <v>19.37</v>
      </c>
      <c r="D2224" s="35">
        <v>45924.0</v>
      </c>
      <c r="E2224" s="47">
        <v>19.37</v>
      </c>
      <c r="F2224" s="47">
        <v>284.85294117647</v>
      </c>
      <c r="G2224" s="48">
        <v>0.0147058823529411</v>
      </c>
      <c r="H2224" s="24" t="s">
        <v>3605</v>
      </c>
      <c r="I2224" s="47"/>
      <c r="J2224" s="24">
        <v>0.0</v>
      </c>
    </row>
    <row r="2225">
      <c r="A2225" s="24">
        <v>39.0</v>
      </c>
      <c r="B2225" s="24">
        <v>1.0</v>
      </c>
      <c r="C2225" s="47">
        <v>18.97</v>
      </c>
      <c r="D2225" s="35">
        <v>45925.0</v>
      </c>
      <c r="E2225" s="47">
        <v>18.97</v>
      </c>
      <c r="F2225" s="47">
        <v>486.410256410256</v>
      </c>
      <c r="G2225" s="48">
        <v>0.0256410256410256</v>
      </c>
      <c r="H2225" s="24" t="s">
        <v>3605</v>
      </c>
      <c r="I2225" s="47"/>
      <c r="J2225" s="24">
        <v>0.0</v>
      </c>
    </row>
    <row r="2226">
      <c r="A2226" s="24">
        <v>39.0</v>
      </c>
      <c r="B2226" s="24">
        <v>0.0</v>
      </c>
      <c r="C2226" s="47">
        <v>0.0</v>
      </c>
      <c r="D2226" s="35">
        <v>45926.0</v>
      </c>
      <c r="E2226" s="47"/>
      <c r="F2226" s="47">
        <v>0.0</v>
      </c>
      <c r="G2226" s="48">
        <v>0.0</v>
      </c>
      <c r="H2226" s="24" t="s">
        <v>3605</v>
      </c>
      <c r="I2226" s="47"/>
      <c r="J2226" s="24">
        <v>0.0</v>
      </c>
    </row>
    <row r="2227">
      <c r="A2227" s="24">
        <v>12.0</v>
      </c>
      <c r="B2227" s="24">
        <v>0.0</v>
      </c>
      <c r="C2227" s="47">
        <v>0.0</v>
      </c>
      <c r="D2227" s="35">
        <v>45927.0</v>
      </c>
      <c r="E2227" s="47"/>
      <c r="F2227" s="47">
        <v>0.0</v>
      </c>
      <c r="G2227" s="48">
        <v>0.0</v>
      </c>
      <c r="H2227" s="24" t="s">
        <v>3605</v>
      </c>
      <c r="I2227" s="47"/>
      <c r="J2227" s="24">
        <v>0.0</v>
      </c>
    </row>
    <row r="2228">
      <c r="A2228" s="24">
        <v>10.0</v>
      </c>
      <c r="B2228" s="24">
        <v>0.0</v>
      </c>
      <c r="C2228" s="47">
        <v>0.0</v>
      </c>
      <c r="D2228" s="35">
        <v>45928.0</v>
      </c>
      <c r="E2228" s="47"/>
      <c r="F2228" s="47">
        <v>0.0</v>
      </c>
      <c r="G2228" s="48">
        <v>0.0</v>
      </c>
      <c r="H2228" s="24" t="s">
        <v>3605</v>
      </c>
      <c r="I2228" s="47"/>
      <c r="J2228" s="24">
        <v>0.0</v>
      </c>
    </row>
    <row r="2229">
      <c r="A2229" s="24">
        <v>49.0</v>
      </c>
      <c r="B2229" s="24">
        <v>0.0</v>
      </c>
      <c r="C2229" s="47">
        <v>0.0</v>
      </c>
      <c r="D2229" s="35">
        <v>45929.0</v>
      </c>
      <c r="E2229" s="47"/>
      <c r="F2229" s="47">
        <v>0.0</v>
      </c>
      <c r="G2229" s="48">
        <v>0.0</v>
      </c>
      <c r="H2229" s="24" t="s">
        <v>3605</v>
      </c>
      <c r="I2229" s="47"/>
      <c r="J2229" s="24">
        <v>0.0</v>
      </c>
    </row>
    <row r="2230">
      <c r="A2230" s="24">
        <v>58.0</v>
      </c>
      <c r="B2230" s="24">
        <v>1.0</v>
      </c>
      <c r="C2230" s="47">
        <v>19.87</v>
      </c>
      <c r="D2230" s="35">
        <v>45930.0</v>
      </c>
      <c r="E2230" s="47">
        <v>19.87</v>
      </c>
      <c r="F2230" s="47">
        <v>342.586206896551</v>
      </c>
      <c r="G2230" s="48">
        <v>0.0172413793103448</v>
      </c>
      <c r="H2230" s="24" t="s">
        <v>3605</v>
      </c>
      <c r="I2230" s="47"/>
      <c r="J2230" s="24">
        <v>0.0</v>
      </c>
    </row>
    <row r="2231">
      <c r="A2231" s="24">
        <v>57.0</v>
      </c>
      <c r="B2231" s="24">
        <v>1.0</v>
      </c>
      <c r="C2231" s="47">
        <v>19.73</v>
      </c>
      <c r="D2231" s="35">
        <v>45931.0</v>
      </c>
      <c r="E2231" s="47">
        <v>19.73</v>
      </c>
      <c r="F2231" s="47">
        <v>346.140350877193</v>
      </c>
      <c r="G2231" s="48">
        <v>0.0175438596491228</v>
      </c>
      <c r="H2231" s="24" t="s">
        <v>3605</v>
      </c>
      <c r="I2231" s="47"/>
      <c r="J2231" s="24">
        <v>0.0</v>
      </c>
    </row>
    <row r="2232">
      <c r="A2232" s="24">
        <v>55.0</v>
      </c>
      <c r="B2232" s="24">
        <v>2.0</v>
      </c>
      <c r="C2232" s="47">
        <v>38.53</v>
      </c>
      <c r="D2232" s="35">
        <v>45932.0</v>
      </c>
      <c r="E2232" s="47">
        <v>19.265</v>
      </c>
      <c r="F2232" s="47">
        <v>700.545454545454</v>
      </c>
      <c r="G2232" s="48">
        <v>0.0363636363636363</v>
      </c>
      <c r="H2232" s="24" t="s">
        <v>3605</v>
      </c>
      <c r="I2232" s="47"/>
      <c r="J2232" s="24">
        <v>0.0</v>
      </c>
    </row>
    <row r="2233">
      <c r="A2233" s="24">
        <v>39.0</v>
      </c>
      <c r="B2233" s="24">
        <v>1.0</v>
      </c>
      <c r="C2233" s="47">
        <v>17.88</v>
      </c>
      <c r="D2233" s="35">
        <v>45933.0</v>
      </c>
      <c r="E2233" s="47">
        <v>17.88</v>
      </c>
      <c r="F2233" s="47">
        <v>458.461538461538</v>
      </c>
      <c r="G2233" s="48">
        <v>0.0256410256410256</v>
      </c>
      <c r="H2233" s="24" t="s">
        <v>3605</v>
      </c>
      <c r="I2233" s="47"/>
      <c r="J2233" s="24">
        <v>0.0</v>
      </c>
    </row>
    <row r="2234">
      <c r="A2234" s="24">
        <v>6.0</v>
      </c>
      <c r="B2234" s="24">
        <v>0.0</v>
      </c>
      <c r="C2234" s="47">
        <v>0.0</v>
      </c>
      <c r="D2234" s="35">
        <v>45934.0</v>
      </c>
      <c r="E2234" s="47"/>
      <c r="F2234" s="47">
        <v>0.0</v>
      </c>
      <c r="G2234" s="48">
        <v>0.0</v>
      </c>
      <c r="H2234" s="24" t="s">
        <v>3605</v>
      </c>
      <c r="I2234" s="47"/>
      <c r="J2234" s="24">
        <v>0.0</v>
      </c>
    </row>
    <row r="2235">
      <c r="A2235" s="24">
        <v>7.0</v>
      </c>
      <c r="B2235" s="24">
        <v>0.0</v>
      </c>
      <c r="C2235" s="47">
        <v>0.0</v>
      </c>
      <c r="D2235" s="35">
        <v>45935.0</v>
      </c>
      <c r="E2235" s="47"/>
      <c r="F2235" s="47">
        <v>0.0</v>
      </c>
      <c r="G2235" s="48">
        <v>0.0</v>
      </c>
      <c r="H2235" s="24" t="s">
        <v>3605</v>
      </c>
      <c r="I2235" s="47"/>
      <c r="J2235" s="24">
        <v>0.0</v>
      </c>
    </row>
    <row r="2236">
      <c r="A2236" s="24">
        <v>49.0</v>
      </c>
      <c r="B2236" s="24">
        <v>0.0</v>
      </c>
      <c r="C2236" s="47">
        <v>0.0</v>
      </c>
      <c r="D2236" s="35">
        <v>45936.0</v>
      </c>
      <c r="E2236" s="47"/>
      <c r="F2236" s="47">
        <v>0.0</v>
      </c>
      <c r="G2236" s="48">
        <v>0.0</v>
      </c>
      <c r="H2236" s="24" t="s">
        <v>3605</v>
      </c>
      <c r="I2236" s="47"/>
      <c r="J2236" s="24">
        <v>0.0</v>
      </c>
    </row>
    <row r="2237">
      <c r="A2237" s="24">
        <v>81.0</v>
      </c>
      <c r="B2237" s="24">
        <v>2.0</v>
      </c>
      <c r="C2237" s="47">
        <v>37.95</v>
      </c>
      <c r="D2237" s="35">
        <v>45937.0</v>
      </c>
      <c r="E2237" s="47">
        <v>18.975</v>
      </c>
      <c r="F2237" s="47">
        <v>468.518518518518</v>
      </c>
      <c r="G2237" s="48">
        <v>0.0246913580246913</v>
      </c>
      <c r="H2237" s="24" t="s">
        <v>3605</v>
      </c>
      <c r="I2237" s="47"/>
      <c r="J2237" s="24">
        <v>0.0</v>
      </c>
    </row>
    <row r="2238">
      <c r="A2238" s="24">
        <v>61.0</v>
      </c>
      <c r="B2238" s="24">
        <v>1.0</v>
      </c>
      <c r="C2238" s="47">
        <v>19.9</v>
      </c>
      <c r="D2238" s="35">
        <v>45938.0</v>
      </c>
      <c r="E2238" s="47">
        <v>19.9</v>
      </c>
      <c r="F2238" s="47">
        <v>326.229508196721</v>
      </c>
      <c r="G2238" s="48">
        <v>0.0163934426229508</v>
      </c>
      <c r="H2238" s="24" t="s">
        <v>3605</v>
      </c>
      <c r="I2238" s="47"/>
      <c r="J2238" s="24">
        <v>0.0</v>
      </c>
    </row>
    <row r="2239">
      <c r="A2239" s="24">
        <v>84.0</v>
      </c>
      <c r="B2239" s="24">
        <v>3.0</v>
      </c>
      <c r="C2239" s="47">
        <v>58.041896</v>
      </c>
      <c r="D2239" s="35">
        <v>45939.0</v>
      </c>
      <c r="E2239" s="47">
        <v>19.3472986666666</v>
      </c>
      <c r="F2239" s="47">
        <v>690.974952380952</v>
      </c>
      <c r="G2239" s="48">
        <v>0.0357142857142857</v>
      </c>
      <c r="H2239" s="24" t="s">
        <v>3605</v>
      </c>
      <c r="I2239" s="47"/>
      <c r="J2239" s="24">
        <v>0.0</v>
      </c>
    </row>
    <row r="2240">
      <c r="A2240" s="24">
        <v>46.0</v>
      </c>
      <c r="B2240" s="24">
        <v>4.0</v>
      </c>
      <c r="C2240" s="47">
        <v>100.605631</v>
      </c>
      <c r="D2240" s="35">
        <v>45940.0</v>
      </c>
      <c r="E2240" s="47">
        <v>25.15140775</v>
      </c>
      <c r="F2240" s="47">
        <v>2187.0789347826</v>
      </c>
      <c r="G2240" s="48">
        <v>0.0869565217391304</v>
      </c>
      <c r="H2240" s="24" t="s">
        <v>3605</v>
      </c>
      <c r="I2240" s="47"/>
      <c r="J2240" s="24">
        <v>0.0</v>
      </c>
    </row>
    <row r="2241">
      <c r="A2241" s="24">
        <v>15.0</v>
      </c>
      <c r="B2241" s="24">
        <v>0.0</v>
      </c>
      <c r="C2241" s="47">
        <v>0.0</v>
      </c>
      <c r="D2241" s="35">
        <v>45941.0</v>
      </c>
      <c r="E2241" s="47"/>
      <c r="F2241" s="47">
        <v>0.0</v>
      </c>
      <c r="G2241" s="48">
        <v>0.0</v>
      </c>
      <c r="H2241" s="24" t="s">
        <v>3605</v>
      </c>
      <c r="I2241" s="47"/>
      <c r="J2241" s="24">
        <v>0.0</v>
      </c>
    </row>
    <row r="2242">
      <c r="A2242" s="24">
        <v>34.0</v>
      </c>
      <c r="B2242" s="24">
        <v>0.0</v>
      </c>
      <c r="C2242" s="47">
        <v>0.0</v>
      </c>
      <c r="D2242" s="35">
        <v>45942.0</v>
      </c>
      <c r="E2242" s="47"/>
      <c r="F2242" s="47">
        <v>0.0</v>
      </c>
      <c r="G2242" s="48">
        <v>0.0</v>
      </c>
      <c r="H2242" s="24" t="s">
        <v>3605</v>
      </c>
      <c r="I2242" s="47"/>
      <c r="J2242" s="24">
        <v>0.0</v>
      </c>
    </row>
    <row r="2243">
      <c r="A2243" s="24">
        <v>86.0</v>
      </c>
      <c r="B2243" s="24">
        <v>1.0</v>
      </c>
      <c r="C2243" s="47">
        <v>192.297738</v>
      </c>
      <c r="D2243" s="35">
        <v>45943.0</v>
      </c>
      <c r="E2243" s="47">
        <v>192.297738</v>
      </c>
      <c r="F2243" s="47">
        <v>2236.02020930232</v>
      </c>
      <c r="G2243" s="48">
        <v>0.0116279069767441</v>
      </c>
      <c r="H2243" s="24" t="s">
        <v>3605</v>
      </c>
      <c r="I2243" s="47"/>
      <c r="J2243" s="24">
        <v>0.0</v>
      </c>
    </row>
    <row r="2244">
      <c r="A2244" s="24">
        <v>85.0</v>
      </c>
      <c r="B2244" s="24">
        <v>1.0</v>
      </c>
      <c r="C2244" s="47">
        <v>196.12</v>
      </c>
      <c r="D2244" s="35">
        <v>45944.0</v>
      </c>
      <c r="E2244" s="47">
        <v>196.12</v>
      </c>
      <c r="F2244" s="47">
        <v>2307.29411764705</v>
      </c>
      <c r="G2244" s="48">
        <v>0.0117647058823529</v>
      </c>
      <c r="H2244" s="24" t="s">
        <v>3605</v>
      </c>
      <c r="I2244" s="47"/>
      <c r="J2244" s="24">
        <v>0.0</v>
      </c>
    </row>
    <row r="2245">
      <c r="A2245" s="24">
        <v>194.0</v>
      </c>
      <c r="B2245" s="24">
        <v>1.0</v>
      </c>
      <c r="C2245" s="47">
        <v>92.24</v>
      </c>
      <c r="D2245" s="35">
        <v>45945.0</v>
      </c>
      <c r="E2245" s="47">
        <v>92.24</v>
      </c>
      <c r="F2245" s="47">
        <v>475.463917525773</v>
      </c>
      <c r="G2245" s="48">
        <v>0.00515463917525773</v>
      </c>
      <c r="H2245" s="24" t="s">
        <v>3605</v>
      </c>
      <c r="I2245" s="47"/>
      <c r="J2245" s="24">
        <v>0.0</v>
      </c>
    </row>
    <row r="2246">
      <c r="A2246" s="24">
        <v>66.0</v>
      </c>
      <c r="B2246" s="24">
        <v>1.0</v>
      </c>
      <c r="C2246" s="47">
        <v>195.22</v>
      </c>
      <c r="D2246" s="35">
        <v>45946.0</v>
      </c>
      <c r="E2246" s="47">
        <v>195.22</v>
      </c>
      <c r="F2246" s="47">
        <v>2957.87878787878</v>
      </c>
      <c r="G2246" s="48">
        <v>0.0151515151515151</v>
      </c>
      <c r="H2246" s="24" t="s">
        <v>3605</v>
      </c>
      <c r="I2246" s="47"/>
      <c r="J2246" s="24">
        <v>0.0</v>
      </c>
    </row>
    <row r="2247">
      <c r="A2247" s="24">
        <v>19.0</v>
      </c>
      <c r="B2247" s="24">
        <v>0.0</v>
      </c>
      <c r="C2247" s="47">
        <v>0.0</v>
      </c>
      <c r="D2247" s="35">
        <v>45947.0</v>
      </c>
      <c r="E2247" s="47"/>
      <c r="F2247" s="47">
        <v>0.0</v>
      </c>
      <c r="G2247" s="48">
        <v>0.0</v>
      </c>
      <c r="H2247" s="24" t="s">
        <v>3605</v>
      </c>
      <c r="I2247" s="47"/>
      <c r="J2247" s="24">
        <v>0.0</v>
      </c>
    </row>
    <row r="2248">
      <c r="A2248" s="24">
        <v>5.0</v>
      </c>
      <c r="B2248" s="24">
        <v>0.0</v>
      </c>
      <c r="C2248" s="47">
        <v>0.0</v>
      </c>
      <c r="D2248" s="35">
        <v>45948.0</v>
      </c>
      <c r="E2248" s="47"/>
      <c r="F2248" s="47">
        <v>0.0</v>
      </c>
      <c r="G2248" s="48">
        <v>0.0</v>
      </c>
      <c r="H2248" s="24" t="s">
        <v>3605</v>
      </c>
      <c r="I2248" s="47"/>
      <c r="J2248" s="24">
        <v>0.0</v>
      </c>
    </row>
    <row r="2249">
      <c r="A2249" s="24">
        <v>4.0</v>
      </c>
      <c r="B2249" s="24">
        <v>0.0</v>
      </c>
      <c r="C2249" s="47">
        <v>0.0</v>
      </c>
      <c r="D2249" s="35">
        <v>45949.0</v>
      </c>
      <c r="E2249" s="47"/>
      <c r="F2249" s="47">
        <v>0.0</v>
      </c>
      <c r="G2249" s="48">
        <v>0.0</v>
      </c>
      <c r="H2249" s="24" t="s">
        <v>3605</v>
      </c>
      <c r="I2249" s="47"/>
      <c r="J2249" s="24">
        <v>0.0</v>
      </c>
    </row>
    <row r="2250">
      <c r="A2250" s="24">
        <v>21.0</v>
      </c>
      <c r="B2250" s="24">
        <v>2.0</v>
      </c>
      <c r="C2250" s="47">
        <v>17.57</v>
      </c>
      <c r="D2250" s="35">
        <v>45950.0</v>
      </c>
      <c r="E2250" s="47">
        <v>8.785</v>
      </c>
      <c r="F2250" s="47">
        <v>836.666666666666</v>
      </c>
      <c r="G2250" s="48">
        <v>0.0952380952380952</v>
      </c>
      <c r="H2250" s="24" t="s">
        <v>3605</v>
      </c>
      <c r="I2250" s="47"/>
      <c r="J2250" s="24">
        <v>0.0</v>
      </c>
    </row>
    <row r="2251">
      <c r="A2251" s="24">
        <v>33.0</v>
      </c>
      <c r="B2251" s="24">
        <v>0.0</v>
      </c>
      <c r="C2251" s="47">
        <v>0.0</v>
      </c>
      <c r="D2251" s="35">
        <v>45951.0</v>
      </c>
      <c r="E2251" s="47"/>
      <c r="F2251" s="47">
        <v>0.0</v>
      </c>
      <c r="G2251" s="48">
        <v>0.0</v>
      </c>
      <c r="H2251" s="24" t="s">
        <v>3605</v>
      </c>
      <c r="I2251" s="47"/>
      <c r="J2251" s="24">
        <v>0.0</v>
      </c>
    </row>
    <row r="2252">
      <c r="A2252" s="24">
        <v>23.0</v>
      </c>
      <c r="B2252" s="24">
        <v>0.0</v>
      </c>
      <c r="C2252" s="47">
        <v>0.0</v>
      </c>
      <c r="D2252" s="35">
        <v>45952.0</v>
      </c>
      <c r="E2252" s="47"/>
      <c r="F2252" s="47">
        <v>0.0</v>
      </c>
      <c r="G2252" s="48">
        <v>0.0</v>
      </c>
      <c r="H2252" s="24" t="s">
        <v>3605</v>
      </c>
      <c r="I2252" s="47"/>
      <c r="J2252" s="24">
        <v>0.0</v>
      </c>
    </row>
    <row r="2253">
      <c r="A2253" s="24">
        <v>32.0</v>
      </c>
      <c r="B2253" s="24">
        <v>1.0</v>
      </c>
      <c r="C2253" s="47">
        <v>18.11</v>
      </c>
      <c r="D2253" s="35">
        <v>45953.0</v>
      </c>
      <c r="E2253" s="47">
        <v>18.11</v>
      </c>
      <c r="F2253" s="47">
        <v>565.9375</v>
      </c>
      <c r="G2253" s="48">
        <v>0.03125</v>
      </c>
      <c r="H2253" s="24" t="s">
        <v>3605</v>
      </c>
      <c r="I2253" s="47"/>
      <c r="J2253" s="24">
        <v>0.0</v>
      </c>
    </row>
    <row r="2254">
      <c r="A2254" s="24">
        <v>23.0</v>
      </c>
      <c r="B2254" s="24">
        <v>0.0</v>
      </c>
      <c r="C2254" s="47">
        <v>0.0</v>
      </c>
      <c r="D2254" s="35">
        <v>45954.0</v>
      </c>
      <c r="E2254" s="47"/>
      <c r="F2254" s="47">
        <v>0.0</v>
      </c>
      <c r="G2254" s="48">
        <v>0.0</v>
      </c>
      <c r="H2254" s="24" t="s">
        <v>3605</v>
      </c>
      <c r="I2254" s="47"/>
      <c r="J2254" s="24">
        <v>0.0</v>
      </c>
    </row>
    <row r="2255">
      <c r="A2255" s="24">
        <v>3.0</v>
      </c>
      <c r="B2255" s="24">
        <v>0.0</v>
      </c>
      <c r="C2255" s="47">
        <v>0.0</v>
      </c>
      <c r="D2255" s="35">
        <v>45955.0</v>
      </c>
      <c r="E2255" s="47"/>
      <c r="F2255" s="47">
        <v>0.0</v>
      </c>
      <c r="G2255" s="48">
        <v>0.0</v>
      </c>
      <c r="H2255" s="24" t="s">
        <v>3605</v>
      </c>
      <c r="I2255" s="47"/>
      <c r="J2255" s="24">
        <v>0.0</v>
      </c>
    </row>
    <row r="2256">
      <c r="A2256" s="24">
        <v>2.0</v>
      </c>
      <c r="B2256" s="24">
        <v>0.0</v>
      </c>
      <c r="C2256" s="47">
        <v>0.0</v>
      </c>
      <c r="D2256" s="35">
        <v>45956.0</v>
      </c>
      <c r="E2256" s="47"/>
      <c r="F2256" s="47">
        <v>0.0</v>
      </c>
      <c r="G2256" s="48">
        <v>0.0</v>
      </c>
      <c r="H2256" s="24" t="s">
        <v>3605</v>
      </c>
      <c r="I2256" s="47"/>
      <c r="J2256" s="24">
        <v>0.0</v>
      </c>
    </row>
    <row r="2257">
      <c r="A2257" s="24">
        <v>28.0</v>
      </c>
      <c r="B2257" s="24">
        <v>0.0</v>
      </c>
      <c r="C2257" s="47">
        <v>0.0</v>
      </c>
      <c r="D2257" s="35">
        <v>45957.0</v>
      </c>
      <c r="E2257" s="47"/>
      <c r="F2257" s="47">
        <v>0.0</v>
      </c>
      <c r="G2257" s="48">
        <v>0.0</v>
      </c>
      <c r="H2257" s="24" t="s">
        <v>3605</v>
      </c>
      <c r="I2257" s="47"/>
      <c r="J2257" s="24">
        <v>0.0</v>
      </c>
    </row>
    <row r="2258">
      <c r="A2258" s="24">
        <v>14.0</v>
      </c>
      <c r="B2258" s="24">
        <v>1.0</v>
      </c>
      <c r="C2258" s="47">
        <v>4.08</v>
      </c>
      <c r="D2258" s="35">
        <v>45958.0</v>
      </c>
      <c r="E2258" s="47">
        <v>4.08</v>
      </c>
      <c r="F2258" s="47">
        <v>291.428571428571</v>
      </c>
      <c r="G2258" s="48">
        <v>0.0714285714285714</v>
      </c>
      <c r="H2258" s="24" t="s">
        <v>3605</v>
      </c>
      <c r="I2258" s="47"/>
      <c r="J2258" s="24">
        <v>0.0</v>
      </c>
    </row>
    <row r="2259">
      <c r="A2259" s="24">
        <v>21.0</v>
      </c>
      <c r="B2259" s="24">
        <v>0.0</v>
      </c>
      <c r="C2259" s="47">
        <v>0.0</v>
      </c>
      <c r="D2259" s="35">
        <v>45959.0</v>
      </c>
      <c r="E2259" s="47"/>
      <c r="F2259" s="47">
        <v>0.0</v>
      </c>
      <c r="G2259" s="48">
        <v>0.0</v>
      </c>
      <c r="H2259" s="24" t="s">
        <v>3605</v>
      </c>
      <c r="I2259" s="47"/>
      <c r="J2259" s="24">
        <v>0.0</v>
      </c>
    </row>
    <row r="2260">
      <c r="A2260" s="24">
        <v>8.0</v>
      </c>
      <c r="B2260" s="24">
        <v>0.0</v>
      </c>
      <c r="C2260" s="47">
        <v>0.0</v>
      </c>
      <c r="D2260" s="35">
        <v>45960.0</v>
      </c>
      <c r="E2260" s="47"/>
      <c r="F2260" s="47">
        <v>0.0</v>
      </c>
      <c r="G2260" s="48">
        <v>0.0</v>
      </c>
      <c r="H2260" s="24" t="s">
        <v>3605</v>
      </c>
      <c r="I2260" s="47"/>
      <c r="J2260" s="24">
        <v>0.0</v>
      </c>
    </row>
    <row r="2261">
      <c r="A2261" s="24">
        <v>1.0</v>
      </c>
      <c r="B2261" s="24">
        <v>0.0</v>
      </c>
      <c r="C2261" s="47">
        <v>0.0</v>
      </c>
      <c r="D2261" s="35">
        <v>46007.0</v>
      </c>
      <c r="E2261" s="47"/>
      <c r="F2261" s="47">
        <v>0.0</v>
      </c>
      <c r="G2261" s="48">
        <v>0.0</v>
      </c>
      <c r="H2261" s="24" t="s">
        <v>3605</v>
      </c>
      <c r="I2261" s="47"/>
      <c r="J2261" s="24">
        <v>0.0</v>
      </c>
    </row>
    <row r="2262">
      <c r="A2262" s="24">
        <v>13.0</v>
      </c>
      <c r="B2262" s="24">
        <v>0.0</v>
      </c>
      <c r="C2262" s="47">
        <v>0.0</v>
      </c>
      <c r="D2262" s="35">
        <v>46008.0</v>
      </c>
      <c r="E2262" s="47"/>
      <c r="F2262" s="47">
        <v>0.0</v>
      </c>
      <c r="G2262" s="48">
        <v>0.0</v>
      </c>
      <c r="H2262" s="24" t="s">
        <v>3605</v>
      </c>
      <c r="I2262" s="47"/>
      <c r="J2262" s="24">
        <v>0.0</v>
      </c>
    </row>
    <row r="2263">
      <c r="A2263" s="24">
        <v>22.0</v>
      </c>
      <c r="B2263" s="24">
        <v>0.0</v>
      </c>
      <c r="C2263" s="47">
        <v>0.0</v>
      </c>
      <c r="D2263" s="35">
        <v>46009.0</v>
      </c>
      <c r="E2263" s="47"/>
      <c r="F2263" s="47">
        <v>0.0</v>
      </c>
      <c r="G2263" s="48">
        <v>0.0</v>
      </c>
      <c r="H2263" s="24" t="s">
        <v>3605</v>
      </c>
      <c r="I2263" s="47"/>
      <c r="J2263" s="24">
        <v>0.0</v>
      </c>
    </row>
    <row r="2264">
      <c r="A2264" s="24">
        <v>10.0</v>
      </c>
      <c r="B2264" s="24">
        <v>0.0</v>
      </c>
      <c r="C2264" s="47">
        <v>0.0</v>
      </c>
      <c r="D2264" s="35">
        <v>46010.0</v>
      </c>
      <c r="E2264" s="47"/>
      <c r="F2264" s="47">
        <v>0.0</v>
      </c>
      <c r="G2264" s="48">
        <v>0.0</v>
      </c>
      <c r="H2264" s="24" t="s">
        <v>3605</v>
      </c>
      <c r="I2264" s="47"/>
      <c r="J2264" s="24">
        <v>0.0</v>
      </c>
    </row>
    <row r="2265">
      <c r="A2265" s="24">
        <v>3.0</v>
      </c>
      <c r="B2265" s="24">
        <v>0.0</v>
      </c>
      <c r="C2265" s="47">
        <v>0.0</v>
      </c>
      <c r="D2265" s="35">
        <v>46011.0</v>
      </c>
      <c r="E2265" s="47"/>
      <c r="F2265" s="47">
        <v>0.0</v>
      </c>
      <c r="G2265" s="48">
        <v>0.0</v>
      </c>
      <c r="H2265" s="24" t="s">
        <v>3605</v>
      </c>
      <c r="I2265" s="47"/>
      <c r="J2265" s="24">
        <v>0.0</v>
      </c>
    </row>
    <row r="2266">
      <c r="A2266" s="24">
        <v>3.0</v>
      </c>
      <c r="B2266" s="24">
        <v>1.0</v>
      </c>
      <c r="C2266" s="47">
        <v>18.8</v>
      </c>
      <c r="D2266" s="35">
        <v>46013.0</v>
      </c>
      <c r="E2266" s="47">
        <v>18.8</v>
      </c>
      <c r="F2266" s="47">
        <v>6266.66666666666</v>
      </c>
      <c r="G2266" s="48">
        <v>0.333333333333333</v>
      </c>
      <c r="H2266" s="24" t="s">
        <v>3605</v>
      </c>
      <c r="I2266" s="47"/>
      <c r="J2266" s="24">
        <v>0.0</v>
      </c>
    </row>
    <row r="2267">
      <c r="A2267" s="24">
        <v>1.0</v>
      </c>
      <c r="B2267" s="24">
        <v>0.0</v>
      </c>
      <c r="C2267" s="47">
        <v>0.0</v>
      </c>
      <c r="D2267" s="35">
        <v>46014.0</v>
      </c>
      <c r="E2267" s="47"/>
      <c r="F2267" s="47">
        <v>0.0</v>
      </c>
      <c r="G2267" s="48">
        <v>0.0</v>
      </c>
      <c r="H2267" s="24" t="s">
        <v>3605</v>
      </c>
      <c r="I2267" s="47"/>
      <c r="J2267" s="24">
        <v>0.0</v>
      </c>
    </row>
    <row r="2268">
      <c r="A2268" s="24">
        <v>3.0</v>
      </c>
      <c r="B2268" s="24">
        <v>0.0</v>
      </c>
      <c r="C2268" s="47">
        <v>0.0</v>
      </c>
      <c r="D2268" s="35">
        <v>46015.0</v>
      </c>
      <c r="E2268" s="47"/>
      <c r="F2268" s="47">
        <v>0.0</v>
      </c>
      <c r="G2268" s="48">
        <v>0.0</v>
      </c>
      <c r="H2268" s="24" t="s">
        <v>3605</v>
      </c>
      <c r="I2268" s="47"/>
      <c r="J2268" s="24">
        <v>0.0</v>
      </c>
    </row>
    <row r="2269">
      <c r="A2269" s="24">
        <v>1.0</v>
      </c>
      <c r="B2269" s="24">
        <v>0.0</v>
      </c>
      <c r="C2269" s="47">
        <v>0.0</v>
      </c>
      <c r="D2269" s="35">
        <v>46016.0</v>
      </c>
      <c r="E2269" s="47"/>
      <c r="F2269" s="47">
        <v>0.0</v>
      </c>
      <c r="G2269" s="48">
        <v>0.0</v>
      </c>
      <c r="H2269" s="24" t="s">
        <v>3605</v>
      </c>
      <c r="I2269" s="47"/>
      <c r="J2269" s="24">
        <v>0.0</v>
      </c>
    </row>
    <row r="2270">
      <c r="A2270" s="24">
        <v>3.0</v>
      </c>
      <c r="B2270" s="24">
        <v>0.0</v>
      </c>
      <c r="C2270" s="47">
        <v>0.0</v>
      </c>
      <c r="D2270" s="35">
        <v>46017.0</v>
      </c>
      <c r="E2270" s="47"/>
      <c r="F2270" s="47">
        <v>0.0</v>
      </c>
      <c r="G2270" s="48">
        <v>0.0</v>
      </c>
      <c r="H2270" s="24" t="s">
        <v>3605</v>
      </c>
      <c r="I2270" s="47"/>
      <c r="J2270" s="24">
        <v>0.0</v>
      </c>
    </row>
    <row r="2271">
      <c r="A2271" s="24">
        <v>1.0</v>
      </c>
      <c r="B2271" s="24">
        <v>0.0</v>
      </c>
      <c r="C2271" s="47">
        <v>0.0</v>
      </c>
      <c r="D2271" s="35">
        <v>46018.0</v>
      </c>
      <c r="E2271" s="47"/>
      <c r="F2271" s="47">
        <v>0.0</v>
      </c>
      <c r="G2271" s="48">
        <v>0.0</v>
      </c>
      <c r="H2271" s="24" t="s">
        <v>3605</v>
      </c>
      <c r="I2271" s="47"/>
      <c r="J2271" s="24">
        <v>0.0</v>
      </c>
    </row>
    <row r="2272">
      <c r="A2272" s="24">
        <v>4.0</v>
      </c>
      <c r="B2272" s="24">
        <v>0.0</v>
      </c>
      <c r="C2272" s="47">
        <v>0.0</v>
      </c>
      <c r="D2272" s="35">
        <v>46027.0</v>
      </c>
      <c r="E2272" s="47"/>
      <c r="F2272" s="47">
        <v>0.0</v>
      </c>
      <c r="G2272" s="48">
        <v>0.0</v>
      </c>
      <c r="H2272" s="24" t="s">
        <v>3605</v>
      </c>
      <c r="I2272" s="47"/>
      <c r="J2272" s="24">
        <v>0.0</v>
      </c>
    </row>
    <row r="2273">
      <c r="A2273" s="24">
        <v>10.0</v>
      </c>
      <c r="B2273" s="24">
        <v>0.0</v>
      </c>
      <c r="C2273" s="47">
        <v>0.0</v>
      </c>
      <c r="D2273" s="35">
        <v>46028.0</v>
      </c>
      <c r="E2273" s="47"/>
      <c r="F2273" s="47">
        <v>0.0</v>
      </c>
      <c r="G2273" s="48">
        <v>0.0</v>
      </c>
      <c r="H2273" s="24" t="s">
        <v>3605</v>
      </c>
      <c r="I2273" s="47"/>
      <c r="J2273" s="24">
        <v>0.0</v>
      </c>
    </row>
    <row r="2274">
      <c r="A2274" s="24">
        <v>20.0</v>
      </c>
      <c r="B2274" s="24">
        <v>1.0</v>
      </c>
      <c r="C2274" s="47">
        <v>4.17</v>
      </c>
      <c r="D2274" s="35">
        <v>46029.0</v>
      </c>
      <c r="E2274" s="47">
        <v>4.17</v>
      </c>
      <c r="F2274" s="47">
        <v>208.5</v>
      </c>
      <c r="G2274" s="48">
        <v>0.05</v>
      </c>
      <c r="H2274" s="24" t="s">
        <v>3605</v>
      </c>
      <c r="I2274" s="47"/>
      <c r="J2274" s="24">
        <v>0.0</v>
      </c>
    </row>
    <row r="2275">
      <c r="A2275" s="24">
        <v>7.0</v>
      </c>
      <c r="B2275" s="24">
        <v>0.0</v>
      </c>
      <c r="C2275" s="47">
        <v>0.0</v>
      </c>
      <c r="D2275" s="35">
        <v>46030.0</v>
      </c>
      <c r="E2275" s="47"/>
      <c r="F2275" s="47">
        <v>0.0</v>
      </c>
      <c r="G2275" s="48">
        <v>0.0</v>
      </c>
      <c r="H2275" s="24" t="s">
        <v>3605</v>
      </c>
      <c r="I2275" s="47"/>
      <c r="J2275" s="24">
        <v>0.0</v>
      </c>
    </row>
    <row r="2276">
      <c r="A2276" s="24">
        <v>9.0</v>
      </c>
      <c r="B2276" s="24">
        <v>0.0</v>
      </c>
      <c r="C2276" s="47">
        <v>0.0</v>
      </c>
      <c r="D2276" s="35">
        <v>46031.0</v>
      </c>
      <c r="E2276" s="47"/>
      <c r="F2276" s="47">
        <v>0.0</v>
      </c>
      <c r="G2276" s="48">
        <v>0.0</v>
      </c>
      <c r="H2276" s="24" t="s">
        <v>3605</v>
      </c>
      <c r="I2276" s="47"/>
      <c r="J2276" s="24">
        <v>0.0</v>
      </c>
    </row>
    <row r="2277">
      <c r="A2277" s="24">
        <v>1.0</v>
      </c>
      <c r="B2277" s="24">
        <v>0.0</v>
      </c>
      <c r="C2277" s="47">
        <v>0.0</v>
      </c>
      <c r="D2277" s="35">
        <v>46032.0</v>
      </c>
      <c r="E2277" s="47"/>
      <c r="F2277" s="47">
        <v>0.0</v>
      </c>
      <c r="G2277" s="48">
        <v>0.0</v>
      </c>
      <c r="H2277" s="24" t="s">
        <v>3605</v>
      </c>
      <c r="I2277" s="47"/>
      <c r="J2277" s="24">
        <v>0.0</v>
      </c>
    </row>
    <row r="2278">
      <c r="A2278" s="24">
        <v>4.0</v>
      </c>
      <c r="B2278" s="24">
        <v>0.0</v>
      </c>
      <c r="C2278" s="47">
        <v>0.0</v>
      </c>
      <c r="D2278" s="35">
        <v>46033.0</v>
      </c>
      <c r="E2278" s="47"/>
      <c r="F2278" s="47">
        <v>0.0</v>
      </c>
      <c r="G2278" s="48">
        <v>0.0</v>
      </c>
      <c r="H2278" s="24" t="s">
        <v>3605</v>
      </c>
      <c r="I2278" s="47"/>
      <c r="J2278" s="24">
        <v>0.0</v>
      </c>
    </row>
    <row r="2279">
      <c r="A2279" s="24">
        <v>8.0</v>
      </c>
      <c r="B2279" s="24">
        <v>1.0</v>
      </c>
      <c r="C2279" s="47">
        <v>19.86</v>
      </c>
      <c r="D2279" s="35">
        <v>46034.0</v>
      </c>
      <c r="E2279" s="47">
        <v>19.86</v>
      </c>
      <c r="F2279" s="47">
        <v>2482.5</v>
      </c>
      <c r="G2279" s="48">
        <v>0.125</v>
      </c>
      <c r="H2279" s="24" t="s">
        <v>3605</v>
      </c>
      <c r="I2279" s="47"/>
      <c r="J2279" s="24">
        <v>0.0</v>
      </c>
    </row>
    <row r="2280">
      <c r="A2280" s="24">
        <v>9.0</v>
      </c>
      <c r="B2280" s="24">
        <v>0.0</v>
      </c>
      <c r="C2280" s="47">
        <v>0.0</v>
      </c>
      <c r="D2280" s="35">
        <v>46035.0</v>
      </c>
      <c r="E2280" s="47"/>
      <c r="F2280" s="47">
        <v>0.0</v>
      </c>
      <c r="G2280" s="48">
        <v>0.0</v>
      </c>
      <c r="H2280" s="24" t="s">
        <v>3605</v>
      </c>
      <c r="I2280" s="47"/>
      <c r="J2280" s="24">
        <v>0.0</v>
      </c>
    </row>
    <row r="2281">
      <c r="A2281" s="24">
        <v>11.0</v>
      </c>
      <c r="B2281" s="24">
        <v>0.0</v>
      </c>
      <c r="C2281" s="47">
        <v>0.0</v>
      </c>
      <c r="D2281" s="35">
        <v>46036.0</v>
      </c>
      <c r="E2281" s="47"/>
      <c r="F2281" s="47">
        <v>0.0</v>
      </c>
      <c r="G2281" s="48">
        <v>0.0</v>
      </c>
      <c r="H2281" s="24" t="s">
        <v>3605</v>
      </c>
      <c r="I2281" s="47"/>
      <c r="J2281" s="24">
        <v>0.0</v>
      </c>
    </row>
    <row r="2282">
      <c r="A2282" s="24">
        <v>11.0</v>
      </c>
      <c r="B2282" s="24">
        <v>0.0</v>
      </c>
      <c r="C2282" s="47">
        <v>0.0</v>
      </c>
      <c r="D2282" s="35">
        <v>46037.0</v>
      </c>
      <c r="E2282" s="47"/>
      <c r="F2282" s="47">
        <v>0.0</v>
      </c>
      <c r="G2282" s="48">
        <v>0.0</v>
      </c>
      <c r="H2282" s="24" t="s">
        <v>3605</v>
      </c>
      <c r="I2282" s="47"/>
      <c r="J2282" s="24">
        <v>0.0</v>
      </c>
    </row>
    <row r="2283">
      <c r="A2283" s="24">
        <v>5.0</v>
      </c>
      <c r="B2283" s="24">
        <v>0.0</v>
      </c>
      <c r="C2283" s="47">
        <v>0.0</v>
      </c>
      <c r="D2283" s="35">
        <v>46038.0</v>
      </c>
      <c r="E2283" s="47"/>
      <c r="F2283" s="47">
        <v>0.0</v>
      </c>
      <c r="G2283" s="48">
        <v>0.0</v>
      </c>
      <c r="H2283" s="24" t="s">
        <v>3605</v>
      </c>
      <c r="I2283" s="47"/>
      <c r="J2283" s="24">
        <v>0.0</v>
      </c>
    </row>
    <row r="2284">
      <c r="A2284" s="24">
        <v>1.0</v>
      </c>
      <c r="B2284" s="24">
        <v>0.0</v>
      </c>
      <c r="C2284" s="47">
        <v>0.0</v>
      </c>
      <c r="D2284" s="35">
        <v>46039.0</v>
      </c>
      <c r="E2284" s="47"/>
      <c r="F2284" s="47">
        <v>0.0</v>
      </c>
      <c r="G2284" s="48">
        <v>0.0</v>
      </c>
      <c r="H2284" s="24" t="s">
        <v>3605</v>
      </c>
      <c r="I2284" s="47"/>
      <c r="J2284" s="24">
        <v>0.0</v>
      </c>
    </row>
    <row r="2285">
      <c r="A2285" s="24">
        <v>2.0</v>
      </c>
      <c r="B2285" s="24">
        <v>0.0</v>
      </c>
      <c r="C2285" s="47">
        <v>0.0</v>
      </c>
      <c r="D2285" s="35">
        <v>46040.0</v>
      </c>
      <c r="E2285" s="47"/>
      <c r="F2285" s="47">
        <v>0.0</v>
      </c>
      <c r="G2285" s="48">
        <v>0.0</v>
      </c>
      <c r="H2285" s="24" t="s">
        <v>3605</v>
      </c>
      <c r="I2285" s="47"/>
      <c r="J2285" s="24">
        <v>0.0</v>
      </c>
    </row>
    <row r="2286">
      <c r="A2286" s="24">
        <v>6.0</v>
      </c>
      <c r="B2286" s="24">
        <v>0.0</v>
      </c>
      <c r="C2286" s="47">
        <v>0.0</v>
      </c>
      <c r="D2286" s="35">
        <v>46041.0</v>
      </c>
      <c r="E2286" s="47"/>
      <c r="F2286" s="47">
        <v>0.0</v>
      </c>
      <c r="G2286" s="48">
        <v>0.0</v>
      </c>
      <c r="H2286" s="24" t="s">
        <v>3605</v>
      </c>
      <c r="I2286" s="47"/>
      <c r="J2286" s="24">
        <v>0.0</v>
      </c>
    </row>
    <row r="2287">
      <c r="A2287" s="24">
        <v>21.0</v>
      </c>
      <c r="B2287" s="24">
        <v>1.0</v>
      </c>
      <c r="C2287" s="47">
        <v>52.52</v>
      </c>
      <c r="D2287" s="35">
        <v>46042.0</v>
      </c>
      <c r="E2287" s="47">
        <v>52.52</v>
      </c>
      <c r="F2287" s="47">
        <v>2500.95238095238</v>
      </c>
      <c r="G2287" s="48">
        <v>0.0476190476190476</v>
      </c>
      <c r="H2287" s="24" t="s">
        <v>3605</v>
      </c>
      <c r="I2287" s="47"/>
      <c r="J2287" s="24">
        <v>0.0</v>
      </c>
    </row>
    <row r="2288">
      <c r="A2288" s="24">
        <v>19.0</v>
      </c>
      <c r="B2288" s="24">
        <v>2.0</v>
      </c>
      <c r="C2288" s="47">
        <v>116.59</v>
      </c>
      <c r="D2288" s="35">
        <v>46043.0</v>
      </c>
      <c r="E2288" s="47">
        <v>58.295</v>
      </c>
      <c r="F2288" s="47">
        <v>6136.31578947368</v>
      </c>
      <c r="G2288" s="48">
        <v>0.105263157894736</v>
      </c>
      <c r="H2288" s="24" t="s">
        <v>3605</v>
      </c>
      <c r="I2288" s="47"/>
      <c r="J2288" s="24">
        <v>0.0</v>
      </c>
    </row>
    <row r="2289">
      <c r="A2289" s="24">
        <v>13.0</v>
      </c>
      <c r="B2289" s="24">
        <v>1.0</v>
      </c>
      <c r="C2289" s="47">
        <v>104.36</v>
      </c>
      <c r="D2289" s="35">
        <v>46044.0</v>
      </c>
      <c r="E2289" s="47">
        <v>104.36</v>
      </c>
      <c r="F2289" s="47">
        <v>8027.6923076923</v>
      </c>
      <c r="G2289" s="48">
        <v>0.0769230769230769</v>
      </c>
      <c r="H2289" s="24" t="s">
        <v>3605</v>
      </c>
      <c r="I2289" s="47"/>
      <c r="J2289" s="24">
        <v>0.0</v>
      </c>
    </row>
    <row r="2290">
      <c r="A2290" s="24">
        <v>16.0</v>
      </c>
      <c r="B2290" s="24">
        <v>0.0</v>
      </c>
      <c r="C2290" s="47">
        <v>0.0</v>
      </c>
      <c r="D2290" s="35">
        <v>46045.0</v>
      </c>
      <c r="E2290" s="47"/>
      <c r="F2290" s="47">
        <v>0.0</v>
      </c>
      <c r="G2290" s="48">
        <v>0.0</v>
      </c>
      <c r="H2290" s="24" t="s">
        <v>3605</v>
      </c>
      <c r="I2290" s="47"/>
      <c r="J2290" s="24">
        <v>0.0</v>
      </c>
    </row>
    <row r="2291">
      <c r="A2291" s="24">
        <v>2.0</v>
      </c>
      <c r="B2291" s="24">
        <v>0.0</v>
      </c>
      <c r="C2291" s="47">
        <v>0.0</v>
      </c>
      <c r="D2291" s="35">
        <v>46046.0</v>
      </c>
      <c r="E2291" s="47"/>
      <c r="F2291" s="47">
        <v>0.0</v>
      </c>
      <c r="G2291" s="48">
        <v>0.0</v>
      </c>
      <c r="H2291" s="24" t="s">
        <v>3605</v>
      </c>
      <c r="I2291" s="47"/>
      <c r="J2291" s="24">
        <v>0.0</v>
      </c>
    </row>
    <row r="2292">
      <c r="A2292" s="24">
        <v>1.0</v>
      </c>
      <c r="B2292" s="24">
        <v>0.0</v>
      </c>
      <c r="C2292" s="47">
        <v>0.0</v>
      </c>
      <c r="D2292" s="35">
        <v>46047.0</v>
      </c>
      <c r="E2292" s="47"/>
      <c r="F2292" s="47">
        <v>0.0</v>
      </c>
      <c r="G2292" s="48">
        <v>0.0</v>
      </c>
      <c r="H2292" s="24" t="s">
        <v>3605</v>
      </c>
      <c r="I2292" s="47"/>
      <c r="J2292" s="24">
        <v>0.0</v>
      </c>
    </row>
    <row r="2293">
      <c r="A2293" s="24">
        <v>8.0</v>
      </c>
      <c r="B2293" s="24">
        <v>1.0</v>
      </c>
      <c r="C2293" s="47">
        <v>217.54</v>
      </c>
      <c r="D2293" s="35">
        <v>46048.0</v>
      </c>
      <c r="E2293" s="47">
        <v>217.54</v>
      </c>
      <c r="F2293" s="47">
        <v>27192.5</v>
      </c>
      <c r="G2293" s="48">
        <v>0.125</v>
      </c>
      <c r="H2293" s="24" t="s">
        <v>3605</v>
      </c>
      <c r="I2293" s="47"/>
      <c r="J2293" s="24">
        <v>0.0</v>
      </c>
    </row>
    <row r="2294">
      <c r="A2294" s="24">
        <v>13.0</v>
      </c>
      <c r="B2294" s="24">
        <v>0.0</v>
      </c>
      <c r="C2294" s="47">
        <v>0.0</v>
      </c>
      <c r="D2294" s="35">
        <v>46049.0</v>
      </c>
      <c r="E2294" s="47"/>
      <c r="F2294" s="47">
        <v>0.0</v>
      </c>
      <c r="G2294" s="48">
        <v>0.0</v>
      </c>
      <c r="H2294" s="24" t="s">
        <v>3605</v>
      </c>
      <c r="I2294" s="47"/>
      <c r="J2294" s="24">
        <v>0.0</v>
      </c>
    </row>
    <row r="2295">
      <c r="A2295" s="24">
        <v>23.0</v>
      </c>
      <c r="B2295" s="24">
        <v>0.0</v>
      </c>
      <c r="C2295" s="47">
        <v>0.0</v>
      </c>
      <c r="D2295" s="35">
        <v>46050.0</v>
      </c>
      <c r="E2295" s="47"/>
      <c r="F2295" s="47">
        <v>0.0</v>
      </c>
      <c r="G2295" s="48">
        <v>0.0</v>
      </c>
      <c r="H2295" s="24" t="s">
        <v>3605</v>
      </c>
      <c r="I2295" s="47"/>
      <c r="J2295" s="24">
        <v>0.0</v>
      </c>
    </row>
    <row r="2296">
      <c r="A2296" s="24">
        <v>38.0</v>
      </c>
      <c r="B2296" s="24">
        <v>1.0</v>
      </c>
      <c r="C2296" s="47">
        <v>267.960742</v>
      </c>
      <c r="D2296" s="35">
        <v>46051.0</v>
      </c>
      <c r="E2296" s="47">
        <v>267.960742</v>
      </c>
      <c r="F2296" s="47">
        <v>7051.59847368421</v>
      </c>
      <c r="G2296" s="48">
        <v>0.0263157894736842</v>
      </c>
      <c r="H2296" s="24" t="s">
        <v>3605</v>
      </c>
      <c r="I2296" s="47"/>
      <c r="J2296" s="24">
        <v>0.0</v>
      </c>
    </row>
    <row r="2297">
      <c r="A2297" s="24">
        <v>1.0</v>
      </c>
      <c r="B2297" s="24">
        <v>1.0</v>
      </c>
      <c r="C2297" s="47">
        <v>125.35</v>
      </c>
      <c r="D2297" s="35">
        <v>46052.0</v>
      </c>
      <c r="E2297" s="47">
        <v>125.35</v>
      </c>
      <c r="F2297" s="47">
        <v>125350.0</v>
      </c>
      <c r="G2297" s="48">
        <v>1.0</v>
      </c>
      <c r="H2297" s="24" t="s">
        <v>3605</v>
      </c>
      <c r="I2297" s="47"/>
      <c r="J2297" s="24">
        <v>0.0</v>
      </c>
    </row>
    <row r="2298">
      <c r="A2298" s="24">
        <v>7.0</v>
      </c>
      <c r="B2298" s="24">
        <v>1.0</v>
      </c>
      <c r="C2298" s="47">
        <v>2.0</v>
      </c>
      <c r="D2298" s="35">
        <v>45866.0</v>
      </c>
      <c r="E2298" s="47">
        <v>2.0</v>
      </c>
      <c r="F2298" s="47">
        <v>285.714285714285</v>
      </c>
      <c r="G2298" s="48">
        <v>0.142857142857142</v>
      </c>
      <c r="H2298" s="24" t="s">
        <v>3249</v>
      </c>
      <c r="I2298" s="47"/>
      <c r="J2298" s="24">
        <v>0.0</v>
      </c>
    </row>
    <row r="2299">
      <c r="A2299" s="24">
        <v>24.0</v>
      </c>
      <c r="B2299" s="24">
        <v>3.0</v>
      </c>
      <c r="C2299" s="47">
        <v>5.87</v>
      </c>
      <c r="D2299" s="35">
        <v>45867.0</v>
      </c>
      <c r="E2299" s="47">
        <v>1.95666666666666</v>
      </c>
      <c r="F2299" s="47">
        <v>244.583333333333</v>
      </c>
      <c r="G2299" s="48">
        <v>0.125</v>
      </c>
      <c r="H2299" s="24" t="s">
        <v>3249</v>
      </c>
      <c r="I2299" s="47"/>
      <c r="J2299" s="24">
        <v>0.0</v>
      </c>
    </row>
    <row r="2300">
      <c r="A2300" s="24">
        <v>60.0</v>
      </c>
      <c r="B2300" s="24">
        <v>6.0</v>
      </c>
      <c r="C2300" s="47">
        <v>11.207733</v>
      </c>
      <c r="D2300" s="35">
        <v>45868.0</v>
      </c>
      <c r="E2300" s="47">
        <v>1.8679555</v>
      </c>
      <c r="F2300" s="47">
        <v>186.79555</v>
      </c>
      <c r="G2300" s="48">
        <v>0.1</v>
      </c>
      <c r="H2300" s="24" t="s">
        <v>3249</v>
      </c>
      <c r="I2300" s="47"/>
      <c r="J2300" s="24">
        <v>0.0</v>
      </c>
    </row>
    <row r="2301">
      <c r="A2301" s="24">
        <v>41.0</v>
      </c>
      <c r="B2301" s="24">
        <v>8.0</v>
      </c>
      <c r="C2301" s="47">
        <v>15.396906</v>
      </c>
      <c r="D2301" s="35">
        <v>45869.0</v>
      </c>
      <c r="E2301" s="47">
        <v>1.92461325</v>
      </c>
      <c r="F2301" s="47">
        <v>375.534292682926</v>
      </c>
      <c r="G2301" s="48">
        <v>0.195121951219512</v>
      </c>
      <c r="H2301" s="24" t="s">
        <v>3249</v>
      </c>
      <c r="I2301" s="47"/>
      <c r="J2301" s="24">
        <v>0.0</v>
      </c>
    </row>
    <row r="2302">
      <c r="A2302" s="24">
        <v>15.0</v>
      </c>
      <c r="B2302" s="24">
        <v>6.0</v>
      </c>
      <c r="C2302" s="47">
        <v>10.307541</v>
      </c>
      <c r="D2302" s="35">
        <v>45870.0</v>
      </c>
      <c r="E2302" s="47">
        <v>1.7179235</v>
      </c>
      <c r="F2302" s="47">
        <v>687.1694</v>
      </c>
      <c r="G2302" s="48">
        <v>0.4</v>
      </c>
      <c r="H2302" s="24" t="s">
        <v>3249</v>
      </c>
      <c r="I2302" s="47"/>
      <c r="J2302" s="24">
        <v>0.0</v>
      </c>
    </row>
    <row r="2303">
      <c r="A2303" s="24">
        <v>2.0</v>
      </c>
      <c r="B2303" s="24">
        <v>2.0</v>
      </c>
      <c r="C2303" s="47">
        <v>3.4</v>
      </c>
      <c r="D2303" s="35">
        <v>45871.0</v>
      </c>
      <c r="E2303" s="47">
        <v>1.7</v>
      </c>
      <c r="F2303" s="47">
        <v>1700.0</v>
      </c>
      <c r="G2303" s="48">
        <v>1.0</v>
      </c>
      <c r="H2303" s="24" t="s">
        <v>3249</v>
      </c>
      <c r="I2303" s="47"/>
      <c r="J2303" s="24">
        <v>0.0</v>
      </c>
    </row>
    <row r="2304">
      <c r="A2304" s="24">
        <v>19.0</v>
      </c>
      <c r="B2304" s="24">
        <v>3.0</v>
      </c>
      <c r="C2304" s="47">
        <v>3.92</v>
      </c>
      <c r="D2304" s="35">
        <v>45873.0</v>
      </c>
      <c r="E2304" s="47">
        <v>1.30666666666666</v>
      </c>
      <c r="F2304" s="47">
        <v>206.315789473684</v>
      </c>
      <c r="G2304" s="48">
        <v>0.157894736842105</v>
      </c>
      <c r="H2304" s="24" t="s">
        <v>3249</v>
      </c>
      <c r="I2304" s="47"/>
      <c r="J2304" s="24">
        <v>0.0</v>
      </c>
    </row>
    <row r="2305">
      <c r="A2305" s="24">
        <v>33.0</v>
      </c>
      <c r="B2305" s="24">
        <v>12.0</v>
      </c>
      <c r="C2305" s="47">
        <v>21.114685</v>
      </c>
      <c r="D2305" s="35">
        <v>45874.0</v>
      </c>
      <c r="E2305" s="47">
        <v>1.75955708333333</v>
      </c>
      <c r="F2305" s="47">
        <v>639.838939393939</v>
      </c>
      <c r="G2305" s="48">
        <v>0.363636363636363</v>
      </c>
      <c r="H2305" s="24" t="s">
        <v>3249</v>
      </c>
      <c r="I2305" s="47"/>
      <c r="J2305" s="24">
        <v>0.0</v>
      </c>
    </row>
    <row r="2306">
      <c r="A2306" s="24">
        <v>39.0</v>
      </c>
      <c r="B2306" s="24">
        <v>12.0</v>
      </c>
      <c r="C2306" s="47">
        <v>25.131276</v>
      </c>
      <c r="D2306" s="35">
        <v>45875.0</v>
      </c>
      <c r="E2306" s="47">
        <v>2.094273</v>
      </c>
      <c r="F2306" s="47">
        <v>644.391692307692</v>
      </c>
      <c r="G2306" s="48">
        <v>0.307692307692307</v>
      </c>
      <c r="H2306" s="24" t="s">
        <v>3249</v>
      </c>
      <c r="I2306" s="47"/>
      <c r="J2306" s="24">
        <v>0.0</v>
      </c>
    </row>
    <row r="2307">
      <c r="A2307" s="24">
        <v>34.0</v>
      </c>
      <c r="B2307" s="24">
        <v>12.0</v>
      </c>
      <c r="C2307" s="47">
        <v>28.95817</v>
      </c>
      <c r="D2307" s="35">
        <v>45876.0</v>
      </c>
      <c r="E2307" s="47">
        <v>2.41318083333333</v>
      </c>
      <c r="F2307" s="47">
        <v>851.710882352941</v>
      </c>
      <c r="G2307" s="48">
        <v>0.352941176470588</v>
      </c>
      <c r="H2307" s="24" t="s">
        <v>3249</v>
      </c>
      <c r="I2307" s="47"/>
      <c r="J2307" s="24">
        <v>0.0</v>
      </c>
    </row>
    <row r="2308">
      <c r="A2308" s="24">
        <v>34.0</v>
      </c>
      <c r="B2308" s="24">
        <v>7.0</v>
      </c>
      <c r="C2308" s="47">
        <v>10.520366</v>
      </c>
      <c r="D2308" s="35">
        <v>45877.0</v>
      </c>
      <c r="E2308" s="47">
        <v>1.50290942857142</v>
      </c>
      <c r="F2308" s="47">
        <v>309.422529411764</v>
      </c>
      <c r="G2308" s="48">
        <v>0.205882352941176</v>
      </c>
      <c r="H2308" s="24" t="s">
        <v>3249</v>
      </c>
      <c r="I2308" s="47"/>
      <c r="J2308" s="24">
        <v>0.0</v>
      </c>
    </row>
    <row r="2309">
      <c r="A2309" s="24">
        <v>3.0</v>
      </c>
      <c r="B2309" s="24">
        <v>1.0</v>
      </c>
      <c r="C2309" s="47">
        <v>0.160657</v>
      </c>
      <c r="D2309" s="35">
        <v>45878.0</v>
      </c>
      <c r="E2309" s="47">
        <v>0.160657</v>
      </c>
      <c r="F2309" s="47">
        <v>53.5523333333333</v>
      </c>
      <c r="G2309" s="48">
        <v>0.333333333333333</v>
      </c>
      <c r="H2309" s="24" t="s">
        <v>3249</v>
      </c>
      <c r="I2309" s="47"/>
      <c r="J2309" s="24">
        <v>0.0</v>
      </c>
    </row>
    <row r="2310">
      <c r="A2310" s="24">
        <v>7.0</v>
      </c>
      <c r="B2310" s="24">
        <v>1.0</v>
      </c>
      <c r="C2310" s="47">
        <v>2.818407</v>
      </c>
      <c r="D2310" s="35">
        <v>45879.0</v>
      </c>
      <c r="E2310" s="47">
        <v>2.818407</v>
      </c>
      <c r="F2310" s="47">
        <v>402.629571428571</v>
      </c>
      <c r="G2310" s="48">
        <v>0.142857142857142</v>
      </c>
      <c r="H2310" s="24" t="s">
        <v>3249</v>
      </c>
      <c r="I2310" s="47"/>
      <c r="J2310" s="24">
        <v>0.0</v>
      </c>
    </row>
    <row r="2311">
      <c r="A2311" s="24">
        <v>47.0</v>
      </c>
      <c r="B2311" s="24">
        <v>5.0</v>
      </c>
      <c r="C2311" s="47">
        <v>13.904815</v>
      </c>
      <c r="D2311" s="35">
        <v>45880.0</v>
      </c>
      <c r="E2311" s="47">
        <v>2.780963</v>
      </c>
      <c r="F2311" s="47">
        <v>295.847127659574</v>
      </c>
      <c r="G2311" s="48">
        <v>0.106382978723404</v>
      </c>
      <c r="H2311" s="24" t="s">
        <v>3249</v>
      </c>
      <c r="I2311" s="47"/>
      <c r="J2311" s="24">
        <v>0.0</v>
      </c>
    </row>
    <row r="2312">
      <c r="A2312" s="24">
        <v>50.0</v>
      </c>
      <c r="B2312" s="24">
        <v>8.0</v>
      </c>
      <c r="C2312" s="47">
        <v>17.14</v>
      </c>
      <c r="D2312" s="35">
        <v>45881.0</v>
      </c>
      <c r="E2312" s="47">
        <v>2.1425</v>
      </c>
      <c r="F2312" s="47">
        <v>342.8</v>
      </c>
      <c r="G2312" s="48">
        <v>0.16</v>
      </c>
      <c r="H2312" s="24" t="s">
        <v>3249</v>
      </c>
      <c r="I2312" s="47"/>
      <c r="J2312" s="24">
        <v>0.0</v>
      </c>
    </row>
    <row r="2313">
      <c r="A2313" s="24">
        <v>35.0</v>
      </c>
      <c r="B2313" s="24">
        <v>8.0</v>
      </c>
      <c r="C2313" s="47">
        <v>19.211828</v>
      </c>
      <c r="D2313" s="35">
        <v>45882.0</v>
      </c>
      <c r="E2313" s="47">
        <v>2.4014785</v>
      </c>
      <c r="F2313" s="47">
        <v>548.909371428571</v>
      </c>
      <c r="G2313" s="48">
        <v>0.228571428571428</v>
      </c>
      <c r="H2313" s="24" t="s">
        <v>3249</v>
      </c>
      <c r="I2313" s="47"/>
      <c r="J2313" s="24">
        <v>0.0</v>
      </c>
    </row>
    <row r="2314">
      <c r="A2314" s="24">
        <v>30.0</v>
      </c>
      <c r="B2314" s="24">
        <v>7.0</v>
      </c>
      <c r="C2314" s="47">
        <v>19.475661</v>
      </c>
      <c r="D2314" s="35">
        <v>45883.0</v>
      </c>
      <c r="E2314" s="47">
        <v>2.78223728571428</v>
      </c>
      <c r="F2314" s="47">
        <v>649.1887</v>
      </c>
      <c r="G2314" s="48">
        <v>0.233333333333333</v>
      </c>
      <c r="H2314" s="24" t="s">
        <v>3249</v>
      </c>
      <c r="I2314" s="47"/>
      <c r="J2314" s="24">
        <v>0.0</v>
      </c>
    </row>
    <row r="2315">
      <c r="A2315" s="24">
        <v>31.0</v>
      </c>
      <c r="B2315" s="24">
        <v>9.0</v>
      </c>
      <c r="C2315" s="47">
        <v>21.61756</v>
      </c>
      <c r="D2315" s="35">
        <v>45884.0</v>
      </c>
      <c r="E2315" s="47">
        <v>2.40195111111111</v>
      </c>
      <c r="F2315" s="47">
        <v>697.34064516129</v>
      </c>
      <c r="G2315" s="48">
        <v>0.290322580645161</v>
      </c>
      <c r="H2315" s="24" t="s">
        <v>3249</v>
      </c>
      <c r="I2315" s="47"/>
      <c r="J2315" s="24">
        <v>0.0</v>
      </c>
    </row>
    <row r="2316">
      <c r="A2316" s="24">
        <v>1.0</v>
      </c>
      <c r="B2316" s="24">
        <v>0.0</v>
      </c>
      <c r="C2316" s="47">
        <v>0.0</v>
      </c>
      <c r="D2316" s="35">
        <v>45885.0</v>
      </c>
      <c r="E2316" s="47"/>
      <c r="F2316" s="47">
        <v>0.0</v>
      </c>
      <c r="G2316" s="48">
        <v>0.0</v>
      </c>
      <c r="H2316" s="24" t="s">
        <v>3249</v>
      </c>
      <c r="I2316" s="47"/>
      <c r="J2316" s="24">
        <v>0.0</v>
      </c>
    </row>
    <row r="2317">
      <c r="A2317" s="24">
        <v>6.0</v>
      </c>
      <c r="B2317" s="24">
        <v>2.0</v>
      </c>
      <c r="C2317" s="47">
        <v>2.43</v>
      </c>
      <c r="D2317" s="35">
        <v>45886.0</v>
      </c>
      <c r="E2317" s="47">
        <v>1.215</v>
      </c>
      <c r="F2317" s="47">
        <v>405.0</v>
      </c>
      <c r="G2317" s="48">
        <v>0.333333333333333</v>
      </c>
      <c r="H2317" s="24" t="s">
        <v>3249</v>
      </c>
      <c r="I2317" s="47"/>
      <c r="J2317" s="24">
        <v>0.0</v>
      </c>
    </row>
    <row r="2318">
      <c r="A2318" s="24">
        <v>49.0</v>
      </c>
      <c r="B2318" s="24">
        <v>7.0</v>
      </c>
      <c r="C2318" s="47">
        <v>14.019438</v>
      </c>
      <c r="D2318" s="35">
        <v>45887.0</v>
      </c>
      <c r="E2318" s="47">
        <v>2.00277685714285</v>
      </c>
      <c r="F2318" s="47">
        <v>286.110979591836</v>
      </c>
      <c r="G2318" s="48">
        <v>0.142857142857142</v>
      </c>
      <c r="H2318" s="24" t="s">
        <v>3249</v>
      </c>
      <c r="I2318" s="47"/>
      <c r="J2318" s="24">
        <v>0.0</v>
      </c>
    </row>
    <row r="2319">
      <c r="A2319" s="24">
        <v>39.0</v>
      </c>
      <c r="B2319" s="24">
        <v>4.0</v>
      </c>
      <c r="C2319" s="47">
        <v>11.388219</v>
      </c>
      <c r="D2319" s="35">
        <v>45888.0</v>
      </c>
      <c r="E2319" s="47">
        <v>2.84705475</v>
      </c>
      <c r="F2319" s="47">
        <v>292.005615384615</v>
      </c>
      <c r="G2319" s="48">
        <v>0.102564102564102</v>
      </c>
      <c r="H2319" s="24" t="s">
        <v>3249</v>
      </c>
      <c r="I2319" s="47"/>
      <c r="J2319" s="24">
        <v>0.0</v>
      </c>
    </row>
    <row r="2320">
      <c r="A2320" s="24">
        <v>57.0</v>
      </c>
      <c r="B2320" s="24">
        <v>19.0</v>
      </c>
      <c r="C2320" s="47">
        <v>36.905303</v>
      </c>
      <c r="D2320" s="35">
        <v>45889.0</v>
      </c>
      <c r="E2320" s="47">
        <v>1.94238436842105</v>
      </c>
      <c r="F2320" s="47">
        <v>647.461456140351</v>
      </c>
      <c r="G2320" s="48">
        <v>0.333333333333333</v>
      </c>
      <c r="H2320" s="24" t="s">
        <v>3249</v>
      </c>
      <c r="I2320" s="47"/>
      <c r="J2320" s="24">
        <v>0.0</v>
      </c>
    </row>
    <row r="2321">
      <c r="A2321" s="24">
        <v>67.0</v>
      </c>
      <c r="B2321" s="24">
        <v>12.0</v>
      </c>
      <c r="C2321" s="47">
        <v>23.703893</v>
      </c>
      <c r="D2321" s="35">
        <v>45890.0</v>
      </c>
      <c r="E2321" s="47">
        <v>1.97532441666666</v>
      </c>
      <c r="F2321" s="47">
        <v>353.789447761194</v>
      </c>
      <c r="G2321" s="48">
        <v>0.17910447761194</v>
      </c>
      <c r="H2321" s="24" t="s">
        <v>3249</v>
      </c>
      <c r="I2321" s="47">
        <v>23.703893</v>
      </c>
      <c r="J2321" s="24">
        <v>1.0</v>
      </c>
    </row>
    <row r="2322">
      <c r="A2322" s="24">
        <v>29.0</v>
      </c>
      <c r="B2322" s="24">
        <v>9.0</v>
      </c>
      <c r="C2322" s="47">
        <v>21.766992</v>
      </c>
      <c r="D2322" s="35">
        <v>45891.0</v>
      </c>
      <c r="E2322" s="47">
        <v>2.41855466666666</v>
      </c>
      <c r="F2322" s="47">
        <v>750.585931034482</v>
      </c>
      <c r="G2322" s="48">
        <v>0.310344827586206</v>
      </c>
      <c r="H2322" s="24" t="s">
        <v>3249</v>
      </c>
      <c r="I2322" s="47"/>
      <c r="J2322" s="24">
        <v>0.0</v>
      </c>
    </row>
    <row r="2323">
      <c r="A2323" s="24">
        <v>5.0</v>
      </c>
      <c r="B2323" s="24">
        <v>0.0</v>
      </c>
      <c r="C2323" s="47">
        <v>0.0</v>
      </c>
      <c r="D2323" s="35">
        <v>45892.0</v>
      </c>
      <c r="E2323" s="47"/>
      <c r="F2323" s="47">
        <v>0.0</v>
      </c>
      <c r="G2323" s="48">
        <v>0.0</v>
      </c>
      <c r="H2323" s="24" t="s">
        <v>3249</v>
      </c>
      <c r="I2323" s="47"/>
      <c r="J2323" s="24">
        <v>0.0</v>
      </c>
    </row>
    <row r="2324">
      <c r="A2324" s="24">
        <v>3.0</v>
      </c>
      <c r="B2324" s="24">
        <v>0.0</v>
      </c>
      <c r="C2324" s="47">
        <v>0.0</v>
      </c>
      <c r="D2324" s="35">
        <v>45893.0</v>
      </c>
      <c r="E2324" s="47"/>
      <c r="F2324" s="47">
        <v>0.0</v>
      </c>
      <c r="G2324" s="48">
        <v>0.0</v>
      </c>
      <c r="H2324" s="24" t="s">
        <v>3249</v>
      </c>
      <c r="I2324" s="47"/>
      <c r="J2324" s="24">
        <v>0.0</v>
      </c>
    </row>
    <row r="2325">
      <c r="A2325" s="24">
        <v>34.0</v>
      </c>
      <c r="B2325" s="24">
        <v>8.0</v>
      </c>
      <c r="C2325" s="47">
        <v>17.068707</v>
      </c>
      <c r="D2325" s="35">
        <v>45894.0</v>
      </c>
      <c r="E2325" s="47">
        <v>2.133588375</v>
      </c>
      <c r="F2325" s="47">
        <v>502.020794117647</v>
      </c>
      <c r="G2325" s="48">
        <v>0.235294117647058</v>
      </c>
      <c r="H2325" s="24" t="s">
        <v>3249</v>
      </c>
      <c r="I2325" s="47"/>
      <c r="J2325" s="24">
        <v>0.0</v>
      </c>
    </row>
    <row r="2326">
      <c r="A2326" s="24">
        <v>32.0</v>
      </c>
      <c r="B2326" s="24">
        <v>11.0</v>
      </c>
      <c r="C2326" s="47">
        <v>22.56771</v>
      </c>
      <c r="D2326" s="35">
        <v>45895.0</v>
      </c>
      <c r="E2326" s="47">
        <v>2.05161</v>
      </c>
      <c r="F2326" s="47">
        <v>705.2409375</v>
      </c>
      <c r="G2326" s="48">
        <v>0.34375</v>
      </c>
      <c r="H2326" s="24" t="s">
        <v>3249</v>
      </c>
      <c r="I2326" s="47"/>
      <c r="J2326" s="24">
        <v>0.0</v>
      </c>
    </row>
    <row r="2327">
      <c r="A2327" s="24">
        <v>31.0</v>
      </c>
      <c r="B2327" s="24">
        <v>10.0</v>
      </c>
      <c r="C2327" s="47">
        <v>24.513784</v>
      </c>
      <c r="D2327" s="35">
        <v>45896.0</v>
      </c>
      <c r="E2327" s="47">
        <v>2.4513784</v>
      </c>
      <c r="F2327" s="47">
        <v>790.767225806451</v>
      </c>
      <c r="G2327" s="48">
        <v>0.32258064516129</v>
      </c>
      <c r="H2327" s="24" t="s">
        <v>3249</v>
      </c>
      <c r="I2327" s="47"/>
      <c r="J2327" s="24">
        <v>0.0</v>
      </c>
    </row>
    <row r="2328">
      <c r="A2328" s="24">
        <v>41.0</v>
      </c>
      <c r="B2328" s="24">
        <v>6.0</v>
      </c>
      <c r="C2328" s="47">
        <v>12.721141</v>
      </c>
      <c r="D2328" s="35">
        <v>45897.0</v>
      </c>
      <c r="E2328" s="47">
        <v>2.12019016666666</v>
      </c>
      <c r="F2328" s="47">
        <v>310.271731707317</v>
      </c>
      <c r="G2328" s="48">
        <v>0.146341463414634</v>
      </c>
      <c r="H2328" s="24" t="s">
        <v>3249</v>
      </c>
      <c r="I2328" s="47"/>
      <c r="J2328" s="24">
        <v>0.0</v>
      </c>
    </row>
    <row r="2329">
      <c r="A2329" s="24">
        <v>31.0</v>
      </c>
      <c r="B2329" s="24">
        <v>6.0</v>
      </c>
      <c r="C2329" s="47">
        <v>12.720726</v>
      </c>
      <c r="D2329" s="35">
        <v>45898.0</v>
      </c>
      <c r="E2329" s="47">
        <v>2.120121</v>
      </c>
      <c r="F2329" s="47">
        <v>410.346</v>
      </c>
      <c r="G2329" s="48">
        <v>0.193548387096774</v>
      </c>
      <c r="H2329" s="24" t="s">
        <v>3249</v>
      </c>
      <c r="I2329" s="47"/>
      <c r="J2329" s="24">
        <v>0.0</v>
      </c>
    </row>
    <row r="2330">
      <c r="A2330" s="24">
        <v>3.0</v>
      </c>
      <c r="B2330" s="24">
        <v>0.0</v>
      </c>
      <c r="C2330" s="47">
        <v>0.0</v>
      </c>
      <c r="D2330" s="35">
        <v>45899.0</v>
      </c>
      <c r="E2330" s="47"/>
      <c r="F2330" s="47">
        <v>0.0</v>
      </c>
      <c r="G2330" s="48">
        <v>0.0</v>
      </c>
      <c r="H2330" s="24" t="s">
        <v>3249</v>
      </c>
      <c r="I2330" s="47"/>
      <c r="J2330" s="24">
        <v>0.0</v>
      </c>
    </row>
    <row r="2331">
      <c r="A2331" s="24">
        <v>1.0</v>
      </c>
      <c r="B2331" s="24">
        <v>1.0</v>
      </c>
      <c r="C2331" s="47">
        <v>2.23</v>
      </c>
      <c r="D2331" s="35">
        <v>45900.0</v>
      </c>
      <c r="E2331" s="47">
        <v>2.23</v>
      </c>
      <c r="F2331" s="47">
        <v>2230.0</v>
      </c>
      <c r="G2331" s="48">
        <v>1.0</v>
      </c>
      <c r="H2331" s="24" t="s">
        <v>3249</v>
      </c>
      <c r="I2331" s="47"/>
      <c r="J2331" s="24">
        <v>0.0</v>
      </c>
    </row>
    <row r="2332">
      <c r="A2332" s="24">
        <v>7.0</v>
      </c>
      <c r="B2332" s="24">
        <v>1.0</v>
      </c>
      <c r="C2332" s="47">
        <v>2.85</v>
      </c>
      <c r="D2332" s="35">
        <v>45901.0</v>
      </c>
      <c r="E2332" s="47">
        <v>2.85</v>
      </c>
      <c r="F2332" s="47">
        <v>407.142857142857</v>
      </c>
      <c r="G2332" s="48">
        <v>0.142857142857142</v>
      </c>
      <c r="H2332" s="24" t="s">
        <v>3249</v>
      </c>
      <c r="I2332" s="47"/>
      <c r="J2332" s="24">
        <v>0.0</v>
      </c>
    </row>
    <row r="2333">
      <c r="A2333" s="24">
        <v>28.0</v>
      </c>
      <c r="B2333" s="24">
        <v>10.0</v>
      </c>
      <c r="C2333" s="47">
        <v>21.100776</v>
      </c>
      <c r="D2333" s="35">
        <v>45902.0</v>
      </c>
      <c r="E2333" s="47">
        <v>2.1100776</v>
      </c>
      <c r="F2333" s="47">
        <v>753.599142857142</v>
      </c>
      <c r="G2333" s="48">
        <v>0.357142857142857</v>
      </c>
      <c r="H2333" s="24" t="s">
        <v>3249</v>
      </c>
      <c r="I2333" s="47">
        <v>21.100776</v>
      </c>
      <c r="J2333" s="24">
        <v>1.0</v>
      </c>
    </row>
    <row r="2334">
      <c r="A2334" s="24">
        <v>29.0</v>
      </c>
      <c r="B2334" s="24">
        <v>6.0</v>
      </c>
      <c r="C2334" s="47">
        <v>9.493974</v>
      </c>
      <c r="D2334" s="35">
        <v>45903.0</v>
      </c>
      <c r="E2334" s="47">
        <v>1.582329</v>
      </c>
      <c r="F2334" s="47">
        <v>327.378413793103</v>
      </c>
      <c r="G2334" s="48">
        <v>0.206896551724137</v>
      </c>
      <c r="H2334" s="24" t="s">
        <v>3249</v>
      </c>
      <c r="I2334" s="47"/>
      <c r="J2334" s="24">
        <v>0.0</v>
      </c>
    </row>
    <row r="2335">
      <c r="A2335" s="24">
        <v>31.0</v>
      </c>
      <c r="B2335" s="24">
        <v>11.0</v>
      </c>
      <c r="C2335" s="47">
        <v>23.542867</v>
      </c>
      <c r="D2335" s="35">
        <v>45904.0</v>
      </c>
      <c r="E2335" s="47">
        <v>2.14026063636363</v>
      </c>
      <c r="F2335" s="47">
        <v>759.447322580645</v>
      </c>
      <c r="G2335" s="48">
        <v>0.354838709677419</v>
      </c>
      <c r="H2335" s="24" t="s">
        <v>3249</v>
      </c>
      <c r="I2335" s="47"/>
      <c r="J2335" s="24">
        <v>0.0</v>
      </c>
    </row>
    <row r="2336">
      <c r="A2336" s="24">
        <v>16.0</v>
      </c>
      <c r="B2336" s="24">
        <v>8.0</v>
      </c>
      <c r="C2336" s="47">
        <v>17.38143</v>
      </c>
      <c r="D2336" s="35">
        <v>45905.0</v>
      </c>
      <c r="E2336" s="47">
        <v>2.17267875</v>
      </c>
      <c r="F2336" s="47">
        <v>1086.339375</v>
      </c>
      <c r="G2336" s="48">
        <v>0.5</v>
      </c>
      <c r="H2336" s="24" t="s">
        <v>3249</v>
      </c>
      <c r="I2336" s="47"/>
      <c r="J2336" s="24">
        <v>0.0</v>
      </c>
    </row>
    <row r="2337">
      <c r="A2337" s="24">
        <v>1.0</v>
      </c>
      <c r="B2337" s="24">
        <v>0.0</v>
      </c>
      <c r="C2337" s="47">
        <v>0.0</v>
      </c>
      <c r="D2337" s="35">
        <v>45906.0</v>
      </c>
      <c r="E2337" s="47"/>
      <c r="F2337" s="47">
        <v>0.0</v>
      </c>
      <c r="G2337" s="48">
        <v>0.0</v>
      </c>
      <c r="H2337" s="24" t="s">
        <v>3249</v>
      </c>
      <c r="I2337" s="47"/>
      <c r="J2337" s="24">
        <v>0.0</v>
      </c>
    </row>
    <row r="2338">
      <c r="A2338" s="24">
        <v>8.0</v>
      </c>
      <c r="B2338" s="24">
        <v>2.0</v>
      </c>
      <c r="C2338" s="47">
        <v>3.14558</v>
      </c>
      <c r="D2338" s="35">
        <v>45907.0</v>
      </c>
      <c r="E2338" s="47">
        <v>1.57279</v>
      </c>
      <c r="F2338" s="47">
        <v>393.1975</v>
      </c>
      <c r="G2338" s="48">
        <v>0.25</v>
      </c>
      <c r="H2338" s="24" t="s">
        <v>3249</v>
      </c>
      <c r="I2338" s="47"/>
      <c r="J2338" s="24">
        <v>0.0</v>
      </c>
    </row>
    <row r="2339">
      <c r="A2339" s="24">
        <v>34.0</v>
      </c>
      <c r="B2339" s="24">
        <v>12.0</v>
      </c>
      <c r="C2339" s="47">
        <v>27.235696</v>
      </c>
      <c r="D2339" s="35">
        <v>45908.0</v>
      </c>
      <c r="E2339" s="47">
        <v>2.26964133333333</v>
      </c>
      <c r="F2339" s="47">
        <v>801.049882352941</v>
      </c>
      <c r="G2339" s="48">
        <v>0.352941176470588</v>
      </c>
      <c r="H2339" s="24" t="s">
        <v>3249</v>
      </c>
      <c r="I2339" s="47"/>
      <c r="J2339" s="24">
        <v>0.0</v>
      </c>
    </row>
    <row r="2340">
      <c r="A2340" s="24">
        <v>38.0</v>
      </c>
      <c r="B2340" s="24">
        <v>10.0</v>
      </c>
      <c r="C2340" s="47">
        <v>18.8</v>
      </c>
      <c r="D2340" s="35">
        <v>45909.0</v>
      </c>
      <c r="E2340" s="47">
        <v>1.88</v>
      </c>
      <c r="F2340" s="47">
        <v>494.736842105263</v>
      </c>
      <c r="G2340" s="48">
        <v>0.263157894736842</v>
      </c>
      <c r="H2340" s="24" t="s">
        <v>3249</v>
      </c>
      <c r="I2340" s="47">
        <v>18.8</v>
      </c>
      <c r="J2340" s="24">
        <v>1.0</v>
      </c>
    </row>
    <row r="2341">
      <c r="A2341" s="24">
        <v>26.0</v>
      </c>
      <c r="B2341" s="24">
        <v>5.0</v>
      </c>
      <c r="C2341" s="47">
        <v>11.45</v>
      </c>
      <c r="D2341" s="35">
        <v>45910.0</v>
      </c>
      <c r="E2341" s="47">
        <v>2.29</v>
      </c>
      <c r="F2341" s="47">
        <v>440.384615384615</v>
      </c>
      <c r="G2341" s="48">
        <v>0.192307692307692</v>
      </c>
      <c r="H2341" s="24" t="s">
        <v>3249</v>
      </c>
      <c r="I2341" s="47"/>
      <c r="J2341" s="24">
        <v>0.0</v>
      </c>
    </row>
    <row r="2342">
      <c r="A2342" s="24">
        <v>37.0</v>
      </c>
      <c r="B2342" s="24">
        <v>9.0</v>
      </c>
      <c r="C2342" s="47">
        <v>22.663861</v>
      </c>
      <c r="D2342" s="35">
        <v>45911.0</v>
      </c>
      <c r="E2342" s="47">
        <v>2.51820677777777</v>
      </c>
      <c r="F2342" s="47">
        <v>612.536783783783</v>
      </c>
      <c r="G2342" s="48">
        <v>0.243243243243243</v>
      </c>
      <c r="H2342" s="24" t="s">
        <v>3249</v>
      </c>
      <c r="I2342" s="47"/>
      <c r="J2342" s="24">
        <v>0.0</v>
      </c>
    </row>
    <row r="2343">
      <c r="A2343" s="24">
        <v>29.0</v>
      </c>
      <c r="B2343" s="24">
        <v>6.0</v>
      </c>
      <c r="C2343" s="47">
        <v>13.56</v>
      </c>
      <c r="D2343" s="35">
        <v>45912.0</v>
      </c>
      <c r="E2343" s="47">
        <v>2.26</v>
      </c>
      <c r="F2343" s="47">
        <v>467.586206896551</v>
      </c>
      <c r="G2343" s="48">
        <v>0.206896551724137</v>
      </c>
      <c r="H2343" s="24" t="s">
        <v>3249</v>
      </c>
      <c r="I2343" s="47"/>
      <c r="J2343" s="24">
        <v>0.0</v>
      </c>
    </row>
    <row r="2344">
      <c r="A2344" s="24">
        <v>7.0</v>
      </c>
      <c r="B2344" s="24">
        <v>2.0</v>
      </c>
      <c r="C2344" s="47">
        <v>5.8</v>
      </c>
      <c r="D2344" s="35">
        <v>45913.0</v>
      </c>
      <c r="E2344" s="47">
        <v>2.9</v>
      </c>
      <c r="F2344" s="47">
        <v>828.571428571428</v>
      </c>
      <c r="G2344" s="48">
        <v>0.285714285714285</v>
      </c>
      <c r="H2344" s="24" t="s">
        <v>3249</v>
      </c>
      <c r="I2344" s="47"/>
      <c r="J2344" s="24">
        <v>0.0</v>
      </c>
    </row>
    <row r="2345">
      <c r="A2345" s="24">
        <v>4.0</v>
      </c>
      <c r="B2345" s="24">
        <v>2.0</v>
      </c>
      <c r="C2345" s="47">
        <v>5.94</v>
      </c>
      <c r="D2345" s="35">
        <v>45914.0</v>
      </c>
      <c r="E2345" s="47">
        <v>2.97</v>
      </c>
      <c r="F2345" s="47">
        <v>1485.0</v>
      </c>
      <c r="G2345" s="48">
        <v>0.5</v>
      </c>
      <c r="H2345" s="24" t="s">
        <v>3249</v>
      </c>
      <c r="I2345" s="47"/>
      <c r="J2345" s="24">
        <v>0.0</v>
      </c>
    </row>
    <row r="2346">
      <c r="A2346" s="24">
        <v>37.0</v>
      </c>
      <c r="B2346" s="24">
        <v>13.0</v>
      </c>
      <c r="C2346" s="47">
        <v>23.52</v>
      </c>
      <c r="D2346" s="35">
        <v>45915.0</v>
      </c>
      <c r="E2346" s="47">
        <v>1.80923076923076</v>
      </c>
      <c r="F2346" s="47">
        <v>635.675675675675</v>
      </c>
      <c r="G2346" s="48">
        <v>0.351351351351351</v>
      </c>
      <c r="H2346" s="24" t="s">
        <v>3249</v>
      </c>
      <c r="I2346" s="47"/>
      <c r="J2346" s="24">
        <v>0.0</v>
      </c>
    </row>
    <row r="2347">
      <c r="A2347" s="24">
        <v>42.0</v>
      </c>
      <c r="B2347" s="24">
        <v>12.0</v>
      </c>
      <c r="C2347" s="47">
        <v>25.433348</v>
      </c>
      <c r="D2347" s="35">
        <v>45916.0</v>
      </c>
      <c r="E2347" s="47">
        <v>2.11944566666666</v>
      </c>
      <c r="F2347" s="47">
        <v>605.555904761904</v>
      </c>
      <c r="G2347" s="48">
        <v>0.285714285714285</v>
      </c>
      <c r="H2347" s="24" t="s">
        <v>3249</v>
      </c>
      <c r="I2347" s="47"/>
      <c r="J2347" s="24">
        <v>0.0</v>
      </c>
    </row>
    <row r="2348">
      <c r="A2348" s="24">
        <v>37.0</v>
      </c>
      <c r="B2348" s="24">
        <v>11.0</v>
      </c>
      <c r="C2348" s="47">
        <v>19.741544</v>
      </c>
      <c r="D2348" s="35">
        <v>45917.0</v>
      </c>
      <c r="E2348" s="47">
        <v>1.79468581818181</v>
      </c>
      <c r="F2348" s="47">
        <v>533.555243243243</v>
      </c>
      <c r="G2348" s="48">
        <v>0.297297297297297</v>
      </c>
      <c r="H2348" s="24" t="s">
        <v>3249</v>
      </c>
      <c r="I2348" s="47"/>
      <c r="J2348" s="24">
        <v>0.0</v>
      </c>
    </row>
    <row r="2349">
      <c r="A2349" s="24">
        <v>58.0</v>
      </c>
      <c r="B2349" s="24">
        <v>12.0</v>
      </c>
      <c r="C2349" s="47">
        <v>21.175815</v>
      </c>
      <c r="D2349" s="35">
        <v>45918.0</v>
      </c>
      <c r="E2349" s="47">
        <v>1.76465125</v>
      </c>
      <c r="F2349" s="47">
        <v>365.100258620689</v>
      </c>
      <c r="G2349" s="48">
        <v>0.206896551724137</v>
      </c>
      <c r="H2349" s="24" t="s">
        <v>3249</v>
      </c>
      <c r="I2349" s="47"/>
      <c r="J2349" s="24">
        <v>0.0</v>
      </c>
    </row>
    <row r="2350">
      <c r="A2350" s="24">
        <v>84.0</v>
      </c>
      <c r="B2350" s="24">
        <v>16.0</v>
      </c>
      <c r="C2350" s="47">
        <v>31.992844</v>
      </c>
      <c r="D2350" s="35">
        <v>45919.0</v>
      </c>
      <c r="E2350" s="47">
        <v>1.99955275</v>
      </c>
      <c r="F2350" s="47">
        <v>380.86719047619</v>
      </c>
      <c r="G2350" s="48">
        <v>0.19047619047619</v>
      </c>
      <c r="H2350" s="24" t="s">
        <v>3249</v>
      </c>
      <c r="I2350" s="47"/>
      <c r="J2350" s="24">
        <v>0.0</v>
      </c>
    </row>
    <row r="2351">
      <c r="A2351" s="24">
        <v>4.0</v>
      </c>
      <c r="B2351" s="24">
        <v>1.0</v>
      </c>
      <c r="C2351" s="47">
        <v>2.861593</v>
      </c>
      <c r="D2351" s="35">
        <v>45920.0</v>
      </c>
      <c r="E2351" s="47">
        <v>2.861593</v>
      </c>
      <c r="F2351" s="47">
        <v>715.39825</v>
      </c>
      <c r="G2351" s="48">
        <v>0.25</v>
      </c>
      <c r="H2351" s="24" t="s">
        <v>3249</v>
      </c>
      <c r="I2351" s="47"/>
      <c r="J2351" s="24">
        <v>0.0</v>
      </c>
    </row>
    <row r="2352">
      <c r="A2352" s="24">
        <v>13.0</v>
      </c>
      <c r="B2352" s="24">
        <v>2.0</v>
      </c>
      <c r="C2352" s="47">
        <v>3.48</v>
      </c>
      <c r="D2352" s="35">
        <v>45921.0</v>
      </c>
      <c r="E2352" s="47">
        <v>1.74</v>
      </c>
      <c r="F2352" s="47">
        <v>267.692307692307</v>
      </c>
      <c r="G2352" s="48">
        <v>0.153846153846153</v>
      </c>
      <c r="H2352" s="24" t="s">
        <v>3249</v>
      </c>
      <c r="I2352" s="47"/>
      <c r="J2352" s="24">
        <v>0.0</v>
      </c>
    </row>
    <row r="2353">
      <c r="A2353" s="24">
        <v>70.0</v>
      </c>
      <c r="B2353" s="24">
        <v>14.0</v>
      </c>
      <c r="C2353" s="47">
        <v>30.025952</v>
      </c>
      <c r="D2353" s="35">
        <v>45922.0</v>
      </c>
      <c r="E2353" s="47">
        <v>2.14471085714285</v>
      </c>
      <c r="F2353" s="47">
        <v>428.942171428571</v>
      </c>
      <c r="G2353" s="48">
        <v>0.2</v>
      </c>
      <c r="H2353" s="24" t="s">
        <v>3249</v>
      </c>
      <c r="I2353" s="47"/>
      <c r="J2353" s="24">
        <v>0.0</v>
      </c>
    </row>
    <row r="2354">
      <c r="A2354" s="24">
        <v>43.0</v>
      </c>
      <c r="B2354" s="24">
        <v>11.0</v>
      </c>
      <c r="C2354" s="47">
        <v>26.994897</v>
      </c>
      <c r="D2354" s="35">
        <v>45923.0</v>
      </c>
      <c r="E2354" s="47">
        <v>2.45408154545454</v>
      </c>
      <c r="F2354" s="47">
        <v>627.788302325581</v>
      </c>
      <c r="G2354" s="48">
        <v>0.255813953488372</v>
      </c>
      <c r="H2354" s="24" t="s">
        <v>3249</v>
      </c>
      <c r="I2354" s="47"/>
      <c r="J2354" s="24">
        <v>0.0</v>
      </c>
    </row>
    <row r="2355">
      <c r="A2355" s="24">
        <v>66.0</v>
      </c>
      <c r="B2355" s="24">
        <v>10.0</v>
      </c>
      <c r="C2355" s="47">
        <v>14.58</v>
      </c>
      <c r="D2355" s="35">
        <v>45924.0</v>
      </c>
      <c r="E2355" s="47">
        <v>1.458</v>
      </c>
      <c r="F2355" s="47">
        <v>220.90909090909</v>
      </c>
      <c r="G2355" s="48">
        <v>0.151515151515151</v>
      </c>
      <c r="H2355" s="24" t="s">
        <v>3249</v>
      </c>
      <c r="I2355" s="47"/>
      <c r="J2355" s="24">
        <v>0.0</v>
      </c>
    </row>
    <row r="2356">
      <c r="A2356" s="24">
        <v>62.0</v>
      </c>
      <c r="B2356" s="24">
        <v>11.0</v>
      </c>
      <c r="C2356" s="47">
        <v>15.65</v>
      </c>
      <c r="D2356" s="35">
        <v>45925.0</v>
      </c>
      <c r="E2356" s="47">
        <v>1.42272727272727</v>
      </c>
      <c r="F2356" s="47">
        <v>252.419354838709</v>
      </c>
      <c r="G2356" s="48">
        <v>0.177419354838709</v>
      </c>
      <c r="H2356" s="24" t="s">
        <v>3249</v>
      </c>
      <c r="I2356" s="47"/>
      <c r="J2356" s="24">
        <v>0.0</v>
      </c>
    </row>
    <row r="2357">
      <c r="A2357" s="24">
        <v>34.0</v>
      </c>
      <c r="B2357" s="24">
        <v>8.0</v>
      </c>
      <c r="C2357" s="47">
        <v>17.71</v>
      </c>
      <c r="D2357" s="35">
        <v>45926.0</v>
      </c>
      <c r="E2357" s="47">
        <v>2.21375</v>
      </c>
      <c r="F2357" s="47">
        <v>520.882352941176</v>
      </c>
      <c r="G2357" s="48">
        <v>0.235294117647058</v>
      </c>
      <c r="H2357" s="24" t="s">
        <v>3249</v>
      </c>
      <c r="I2357" s="47"/>
      <c r="J2357" s="24">
        <v>0.0</v>
      </c>
    </row>
    <row r="2358">
      <c r="A2358" s="24">
        <v>3.0</v>
      </c>
      <c r="B2358" s="24">
        <v>0.0</v>
      </c>
      <c r="C2358" s="47">
        <v>0.0</v>
      </c>
      <c r="D2358" s="35">
        <v>45927.0</v>
      </c>
      <c r="E2358" s="47"/>
      <c r="F2358" s="47">
        <v>0.0</v>
      </c>
      <c r="G2358" s="48">
        <v>0.0</v>
      </c>
      <c r="H2358" s="24" t="s">
        <v>3249</v>
      </c>
      <c r="I2358" s="47"/>
      <c r="J2358" s="24">
        <v>0.0</v>
      </c>
    </row>
    <row r="2359">
      <c r="A2359" s="24">
        <v>10.0</v>
      </c>
      <c r="B2359" s="24">
        <v>2.0</v>
      </c>
      <c r="C2359" s="47">
        <v>5.571107</v>
      </c>
      <c r="D2359" s="35">
        <v>45928.0</v>
      </c>
      <c r="E2359" s="47">
        <v>2.7855535</v>
      </c>
      <c r="F2359" s="47">
        <v>557.1107</v>
      </c>
      <c r="G2359" s="48">
        <v>0.2</v>
      </c>
      <c r="H2359" s="24" t="s">
        <v>3249</v>
      </c>
      <c r="I2359" s="47"/>
      <c r="J2359" s="24">
        <v>0.0</v>
      </c>
    </row>
    <row r="2360">
      <c r="A2360" s="24">
        <v>43.0</v>
      </c>
      <c r="B2360" s="24">
        <v>4.0</v>
      </c>
      <c r="C2360" s="47">
        <v>2.23</v>
      </c>
      <c r="D2360" s="35">
        <v>45929.0</v>
      </c>
      <c r="E2360" s="47">
        <v>0.5575</v>
      </c>
      <c r="F2360" s="47">
        <v>51.860465116279</v>
      </c>
      <c r="G2360" s="48">
        <v>0.0930232558139534</v>
      </c>
      <c r="H2360" s="24" t="s">
        <v>3249</v>
      </c>
      <c r="I2360" s="47"/>
      <c r="J2360" s="24">
        <v>0.0</v>
      </c>
    </row>
    <row r="2361">
      <c r="A2361" s="24">
        <v>70.0</v>
      </c>
      <c r="B2361" s="24">
        <v>12.0</v>
      </c>
      <c r="C2361" s="47">
        <v>24.93</v>
      </c>
      <c r="D2361" s="35">
        <v>45930.0</v>
      </c>
      <c r="E2361" s="47">
        <v>2.0775</v>
      </c>
      <c r="F2361" s="47">
        <v>356.142857142857</v>
      </c>
      <c r="G2361" s="48">
        <v>0.171428571428571</v>
      </c>
      <c r="H2361" s="24" t="s">
        <v>3249</v>
      </c>
      <c r="I2361" s="47">
        <v>8.31</v>
      </c>
      <c r="J2361" s="24">
        <v>3.0</v>
      </c>
    </row>
    <row r="2362">
      <c r="A2362" s="24">
        <v>53.0</v>
      </c>
      <c r="B2362" s="24">
        <v>8.0</v>
      </c>
      <c r="C2362" s="47">
        <v>8.74564</v>
      </c>
      <c r="D2362" s="35">
        <v>45931.0</v>
      </c>
      <c r="E2362" s="47">
        <v>1.093205</v>
      </c>
      <c r="F2362" s="47">
        <v>165.012075471698</v>
      </c>
      <c r="G2362" s="48">
        <v>0.150943396226415</v>
      </c>
      <c r="H2362" s="24" t="s">
        <v>3249</v>
      </c>
      <c r="I2362" s="47"/>
      <c r="J2362" s="24">
        <v>0.0</v>
      </c>
    </row>
    <row r="2363">
      <c r="A2363" s="24">
        <v>62.0</v>
      </c>
      <c r="B2363" s="24">
        <v>13.0</v>
      </c>
      <c r="C2363" s="47">
        <v>26.89</v>
      </c>
      <c r="D2363" s="35">
        <v>45932.0</v>
      </c>
      <c r="E2363" s="47">
        <v>2.06846153846153</v>
      </c>
      <c r="F2363" s="47">
        <v>433.709677419354</v>
      </c>
      <c r="G2363" s="48">
        <v>0.209677419354838</v>
      </c>
      <c r="H2363" s="24" t="s">
        <v>3249</v>
      </c>
      <c r="I2363" s="47">
        <v>26.89</v>
      </c>
      <c r="J2363" s="24">
        <v>1.0</v>
      </c>
    </row>
    <row r="2364">
      <c r="A2364" s="24">
        <v>46.0</v>
      </c>
      <c r="B2364" s="24">
        <v>9.0</v>
      </c>
      <c r="C2364" s="47">
        <v>20.143948</v>
      </c>
      <c r="D2364" s="35">
        <v>45933.0</v>
      </c>
      <c r="E2364" s="47">
        <v>2.23821644444444</v>
      </c>
      <c r="F2364" s="47">
        <v>437.911913043478</v>
      </c>
      <c r="G2364" s="48">
        <v>0.195652173913043</v>
      </c>
      <c r="H2364" s="24" t="s">
        <v>3249</v>
      </c>
      <c r="I2364" s="47"/>
      <c r="J2364" s="24">
        <v>0.0</v>
      </c>
    </row>
    <row r="2365">
      <c r="A2365" s="24">
        <v>8.0</v>
      </c>
      <c r="B2365" s="24">
        <v>1.0</v>
      </c>
      <c r="C2365" s="47">
        <v>2.01</v>
      </c>
      <c r="D2365" s="35">
        <v>45934.0</v>
      </c>
      <c r="E2365" s="47">
        <v>2.01</v>
      </c>
      <c r="F2365" s="47">
        <v>251.25</v>
      </c>
      <c r="G2365" s="48">
        <v>0.125</v>
      </c>
      <c r="H2365" s="24" t="s">
        <v>3249</v>
      </c>
      <c r="I2365" s="47"/>
      <c r="J2365" s="24">
        <v>0.0</v>
      </c>
    </row>
    <row r="2366">
      <c r="A2366" s="24">
        <v>10.0</v>
      </c>
      <c r="B2366" s="24">
        <v>3.0</v>
      </c>
      <c r="C2366" s="47">
        <v>3.16415</v>
      </c>
      <c r="D2366" s="35">
        <v>45935.0</v>
      </c>
      <c r="E2366" s="47">
        <v>1.05471666666666</v>
      </c>
      <c r="F2366" s="47">
        <v>316.415</v>
      </c>
      <c r="G2366" s="48">
        <v>0.3</v>
      </c>
      <c r="H2366" s="24" t="s">
        <v>3249</v>
      </c>
      <c r="I2366" s="47"/>
      <c r="J2366" s="24">
        <v>0.0</v>
      </c>
    </row>
    <row r="2367">
      <c r="A2367" s="24">
        <v>46.0</v>
      </c>
      <c r="B2367" s="24">
        <v>10.0</v>
      </c>
      <c r="C2367" s="47">
        <v>21.64</v>
      </c>
      <c r="D2367" s="35">
        <v>45936.0</v>
      </c>
      <c r="E2367" s="47">
        <v>2.164</v>
      </c>
      <c r="F2367" s="47">
        <v>470.434782608695</v>
      </c>
      <c r="G2367" s="48">
        <v>0.217391304347826</v>
      </c>
      <c r="H2367" s="24" t="s">
        <v>3249</v>
      </c>
      <c r="I2367" s="47"/>
      <c r="J2367" s="24">
        <v>0.0</v>
      </c>
    </row>
    <row r="2368">
      <c r="A2368" s="24">
        <v>78.0</v>
      </c>
      <c r="B2368" s="24">
        <v>12.0</v>
      </c>
      <c r="C2368" s="47">
        <v>30.047404</v>
      </c>
      <c r="D2368" s="35">
        <v>45937.0</v>
      </c>
      <c r="E2368" s="47">
        <v>2.50395033333333</v>
      </c>
      <c r="F2368" s="47">
        <v>385.223128205128</v>
      </c>
      <c r="G2368" s="48">
        <v>0.153846153846153</v>
      </c>
      <c r="H2368" s="24" t="s">
        <v>3249</v>
      </c>
      <c r="I2368" s="47"/>
      <c r="J2368" s="24">
        <v>0.0</v>
      </c>
    </row>
    <row r="2369">
      <c r="A2369" s="24">
        <v>107.0</v>
      </c>
      <c r="B2369" s="24">
        <v>21.0</v>
      </c>
      <c r="C2369" s="47">
        <v>47.176913</v>
      </c>
      <c r="D2369" s="35">
        <v>45938.0</v>
      </c>
      <c r="E2369" s="47">
        <v>2.24651966666666</v>
      </c>
      <c r="F2369" s="47">
        <v>440.905728971962</v>
      </c>
      <c r="G2369" s="48">
        <v>0.19626168224299</v>
      </c>
      <c r="H2369" s="24" t="s">
        <v>3249</v>
      </c>
      <c r="I2369" s="47"/>
      <c r="J2369" s="24">
        <v>0.0</v>
      </c>
    </row>
    <row r="2370">
      <c r="A2370" s="24">
        <v>52.0</v>
      </c>
      <c r="B2370" s="24">
        <v>10.0</v>
      </c>
      <c r="C2370" s="47">
        <v>21.084666</v>
      </c>
      <c r="D2370" s="35">
        <v>45939.0</v>
      </c>
      <c r="E2370" s="47">
        <v>2.1084666</v>
      </c>
      <c r="F2370" s="47">
        <v>405.474346153846</v>
      </c>
      <c r="G2370" s="48">
        <v>0.192307692307692</v>
      </c>
      <c r="H2370" s="24" t="s">
        <v>3249</v>
      </c>
      <c r="I2370" s="47"/>
      <c r="J2370" s="24">
        <v>0.0</v>
      </c>
    </row>
    <row r="2371">
      <c r="A2371" s="24">
        <v>51.0</v>
      </c>
      <c r="B2371" s="24">
        <v>12.0</v>
      </c>
      <c r="C2371" s="47">
        <v>31.200689</v>
      </c>
      <c r="D2371" s="35">
        <v>45940.0</v>
      </c>
      <c r="E2371" s="47">
        <v>2.60005741666666</v>
      </c>
      <c r="F2371" s="47">
        <v>611.778215686274</v>
      </c>
      <c r="G2371" s="48">
        <v>0.235294117647058</v>
      </c>
      <c r="H2371" s="24" t="s">
        <v>3249</v>
      </c>
      <c r="I2371" s="47"/>
      <c r="J2371" s="24">
        <v>0.0</v>
      </c>
    </row>
    <row r="2372">
      <c r="A2372" s="24">
        <v>7.0</v>
      </c>
      <c r="B2372" s="24">
        <v>2.0</v>
      </c>
      <c r="C2372" s="47">
        <v>5.5</v>
      </c>
      <c r="D2372" s="35">
        <v>45941.0</v>
      </c>
      <c r="E2372" s="47">
        <v>2.75</v>
      </c>
      <c r="F2372" s="47">
        <v>785.714285714285</v>
      </c>
      <c r="G2372" s="48">
        <v>0.285714285714285</v>
      </c>
      <c r="H2372" s="24" t="s">
        <v>3249</v>
      </c>
      <c r="I2372" s="47"/>
      <c r="J2372" s="24">
        <v>0.0</v>
      </c>
    </row>
    <row r="2373">
      <c r="A2373" s="24">
        <v>5.0</v>
      </c>
      <c r="B2373" s="24">
        <v>1.0</v>
      </c>
      <c r="C2373" s="47">
        <v>1.43</v>
      </c>
      <c r="D2373" s="35">
        <v>45942.0</v>
      </c>
      <c r="E2373" s="47">
        <v>1.43</v>
      </c>
      <c r="F2373" s="47">
        <v>286.0</v>
      </c>
      <c r="G2373" s="48">
        <v>0.2</v>
      </c>
      <c r="H2373" s="24" t="s">
        <v>3249</v>
      </c>
      <c r="I2373" s="47"/>
      <c r="J2373" s="24">
        <v>0.0</v>
      </c>
    </row>
    <row r="2374">
      <c r="A2374" s="24">
        <v>23.0</v>
      </c>
      <c r="B2374" s="24">
        <v>5.0</v>
      </c>
      <c r="C2374" s="47">
        <v>12.86838</v>
      </c>
      <c r="D2374" s="35">
        <v>45943.0</v>
      </c>
      <c r="E2374" s="47">
        <v>2.573676</v>
      </c>
      <c r="F2374" s="47">
        <v>559.494782608695</v>
      </c>
      <c r="G2374" s="48">
        <v>0.217391304347826</v>
      </c>
      <c r="H2374" s="24" t="s">
        <v>3249</v>
      </c>
      <c r="I2374" s="47"/>
      <c r="J2374" s="24">
        <v>0.0</v>
      </c>
    </row>
    <row r="2375">
      <c r="A2375" s="24">
        <v>57.0</v>
      </c>
      <c r="B2375" s="24">
        <v>12.0</v>
      </c>
      <c r="C2375" s="47">
        <v>45.169892</v>
      </c>
      <c r="D2375" s="35">
        <v>45944.0</v>
      </c>
      <c r="E2375" s="47">
        <v>3.76415766666666</v>
      </c>
      <c r="F2375" s="47">
        <v>792.454245614035</v>
      </c>
      <c r="G2375" s="48">
        <v>0.210526315789473</v>
      </c>
      <c r="H2375" s="24" t="s">
        <v>3249</v>
      </c>
      <c r="I2375" s="47"/>
      <c r="J2375" s="24">
        <v>0.0</v>
      </c>
    </row>
    <row r="2376">
      <c r="A2376" s="24">
        <v>61.0</v>
      </c>
      <c r="B2376" s="24">
        <v>9.0</v>
      </c>
      <c r="C2376" s="47">
        <v>30.711282</v>
      </c>
      <c r="D2376" s="35">
        <v>45945.0</v>
      </c>
      <c r="E2376" s="47">
        <v>3.41236466666666</v>
      </c>
      <c r="F2376" s="47">
        <v>503.463639344262</v>
      </c>
      <c r="G2376" s="48">
        <v>0.147540983606557</v>
      </c>
      <c r="H2376" s="24" t="s">
        <v>3249</v>
      </c>
      <c r="I2376" s="47"/>
      <c r="J2376" s="24">
        <v>0.0</v>
      </c>
    </row>
    <row r="2377">
      <c r="A2377" s="24">
        <v>58.0</v>
      </c>
      <c r="B2377" s="24">
        <v>6.0</v>
      </c>
      <c r="C2377" s="47">
        <v>23.68</v>
      </c>
      <c r="D2377" s="35">
        <v>45946.0</v>
      </c>
      <c r="E2377" s="47">
        <v>3.94666666666666</v>
      </c>
      <c r="F2377" s="47">
        <v>408.275862068965</v>
      </c>
      <c r="G2377" s="48">
        <v>0.103448275862068</v>
      </c>
      <c r="H2377" s="24" t="s">
        <v>3249</v>
      </c>
      <c r="I2377" s="47"/>
      <c r="J2377" s="24">
        <v>0.0</v>
      </c>
    </row>
    <row r="2378">
      <c r="A2378" s="24">
        <v>67.0</v>
      </c>
      <c r="B2378" s="24">
        <v>18.0</v>
      </c>
      <c r="C2378" s="47">
        <v>61.949802</v>
      </c>
      <c r="D2378" s="35">
        <v>45947.0</v>
      </c>
      <c r="E2378" s="47">
        <v>3.44165566666666</v>
      </c>
      <c r="F2378" s="47">
        <v>924.623910447761</v>
      </c>
      <c r="G2378" s="48">
        <v>0.26865671641791</v>
      </c>
      <c r="H2378" s="24" t="s">
        <v>3249</v>
      </c>
      <c r="I2378" s="47"/>
      <c r="J2378" s="24">
        <v>0.0</v>
      </c>
    </row>
    <row r="2379">
      <c r="A2379" s="24">
        <v>9.0</v>
      </c>
      <c r="B2379" s="24">
        <v>4.0</v>
      </c>
      <c r="C2379" s="47">
        <v>10.26</v>
      </c>
      <c r="D2379" s="35">
        <v>45948.0</v>
      </c>
      <c r="E2379" s="47">
        <v>2.565</v>
      </c>
      <c r="F2379" s="47">
        <v>1140.0</v>
      </c>
      <c r="G2379" s="48">
        <v>0.444444444444444</v>
      </c>
      <c r="H2379" s="24" t="s">
        <v>3249</v>
      </c>
      <c r="I2379" s="47"/>
      <c r="J2379" s="24">
        <v>0.0</v>
      </c>
    </row>
    <row r="2380">
      <c r="A2380" s="24">
        <v>9.0</v>
      </c>
      <c r="B2380" s="24">
        <v>0.0</v>
      </c>
      <c r="C2380" s="47">
        <v>0.0</v>
      </c>
      <c r="D2380" s="35">
        <v>45949.0</v>
      </c>
      <c r="E2380" s="47"/>
      <c r="F2380" s="47">
        <v>0.0</v>
      </c>
      <c r="G2380" s="48">
        <v>0.0</v>
      </c>
      <c r="H2380" s="24" t="s">
        <v>3249</v>
      </c>
      <c r="I2380" s="47"/>
      <c r="J2380" s="24">
        <v>0.0</v>
      </c>
    </row>
    <row r="2381">
      <c r="A2381" s="24">
        <v>126.0</v>
      </c>
      <c r="B2381" s="24">
        <v>35.0</v>
      </c>
      <c r="C2381" s="47">
        <v>99.800475</v>
      </c>
      <c r="D2381" s="35">
        <v>45950.0</v>
      </c>
      <c r="E2381" s="47">
        <v>2.85144214285714</v>
      </c>
      <c r="F2381" s="47">
        <v>792.067261904762</v>
      </c>
      <c r="G2381" s="48">
        <v>0.277777777777777</v>
      </c>
      <c r="H2381" s="24" t="s">
        <v>3249</v>
      </c>
      <c r="I2381" s="47"/>
      <c r="J2381" s="24">
        <v>0.0</v>
      </c>
    </row>
    <row r="2382">
      <c r="A2382" s="24">
        <v>67.0</v>
      </c>
      <c r="B2382" s="24">
        <v>19.0</v>
      </c>
      <c r="C2382" s="47">
        <v>45.437883</v>
      </c>
      <c r="D2382" s="35">
        <v>45951.0</v>
      </c>
      <c r="E2382" s="47">
        <v>2.39146752631578</v>
      </c>
      <c r="F2382" s="47">
        <v>678.177358208955</v>
      </c>
      <c r="G2382" s="48">
        <v>0.283582089552238</v>
      </c>
      <c r="H2382" s="24" t="s">
        <v>3249</v>
      </c>
      <c r="I2382" s="47">
        <v>45.437883</v>
      </c>
      <c r="J2382" s="24">
        <v>1.0</v>
      </c>
    </row>
    <row r="2383">
      <c r="A2383" s="24">
        <v>59.0</v>
      </c>
      <c r="B2383" s="24">
        <v>14.0</v>
      </c>
      <c r="C2383" s="47">
        <v>25.446441</v>
      </c>
      <c r="D2383" s="35">
        <v>45952.0</v>
      </c>
      <c r="E2383" s="47">
        <v>1.81760292857142</v>
      </c>
      <c r="F2383" s="47">
        <v>431.295610169491</v>
      </c>
      <c r="G2383" s="48">
        <v>0.23728813559322</v>
      </c>
      <c r="H2383" s="24" t="s">
        <v>3249</v>
      </c>
      <c r="I2383" s="47"/>
      <c r="J2383" s="24">
        <v>0.0</v>
      </c>
    </row>
    <row r="2384">
      <c r="A2384" s="24">
        <v>73.0</v>
      </c>
      <c r="B2384" s="24">
        <v>18.0</v>
      </c>
      <c r="C2384" s="47">
        <v>56.354108</v>
      </c>
      <c r="D2384" s="35">
        <v>45953.0</v>
      </c>
      <c r="E2384" s="47">
        <v>3.13078377777777</v>
      </c>
      <c r="F2384" s="47">
        <v>771.97408219178</v>
      </c>
      <c r="G2384" s="48">
        <v>0.246575342465753</v>
      </c>
      <c r="H2384" s="24" t="s">
        <v>3249</v>
      </c>
      <c r="I2384" s="47"/>
      <c r="J2384" s="24">
        <v>0.0</v>
      </c>
    </row>
    <row r="2385">
      <c r="A2385" s="24">
        <v>45.0</v>
      </c>
      <c r="B2385" s="24">
        <v>11.0</v>
      </c>
      <c r="C2385" s="47">
        <v>48.28</v>
      </c>
      <c r="D2385" s="35">
        <v>45954.0</v>
      </c>
      <c r="E2385" s="47">
        <v>4.38909090909091</v>
      </c>
      <c r="F2385" s="47">
        <v>1072.88888888888</v>
      </c>
      <c r="G2385" s="48">
        <v>0.244444444444444</v>
      </c>
      <c r="H2385" s="24" t="s">
        <v>3249</v>
      </c>
      <c r="I2385" s="47"/>
      <c r="J2385" s="24">
        <v>0.0</v>
      </c>
    </row>
    <row r="2386">
      <c r="A2386" s="24">
        <v>7.0</v>
      </c>
      <c r="B2386" s="24">
        <v>3.0</v>
      </c>
      <c r="C2386" s="47">
        <v>14.53</v>
      </c>
      <c r="D2386" s="35">
        <v>45955.0</v>
      </c>
      <c r="E2386" s="47">
        <v>4.84333333333333</v>
      </c>
      <c r="F2386" s="47">
        <v>2075.71428571428</v>
      </c>
      <c r="G2386" s="48">
        <v>0.428571428571428</v>
      </c>
      <c r="H2386" s="24" t="s">
        <v>3249</v>
      </c>
      <c r="I2386" s="47"/>
      <c r="J2386" s="24">
        <v>0.0</v>
      </c>
    </row>
    <row r="2387">
      <c r="A2387" s="24">
        <v>1.0</v>
      </c>
      <c r="B2387" s="24">
        <v>0.0</v>
      </c>
      <c r="C2387" s="47">
        <v>0.0</v>
      </c>
      <c r="D2387" s="35">
        <v>45956.0</v>
      </c>
      <c r="E2387" s="47"/>
      <c r="F2387" s="47">
        <v>0.0</v>
      </c>
      <c r="G2387" s="48">
        <v>0.0</v>
      </c>
      <c r="H2387" s="24" t="s">
        <v>3249</v>
      </c>
      <c r="I2387" s="47"/>
      <c r="J2387" s="24">
        <v>0.0</v>
      </c>
    </row>
    <row r="2388">
      <c r="A2388" s="24">
        <v>45.0</v>
      </c>
      <c r="B2388" s="24">
        <v>16.0</v>
      </c>
      <c r="C2388" s="47">
        <v>43.687778</v>
      </c>
      <c r="D2388" s="35">
        <v>45957.0</v>
      </c>
      <c r="E2388" s="47">
        <v>2.730486125</v>
      </c>
      <c r="F2388" s="47">
        <v>970.839511111111</v>
      </c>
      <c r="G2388" s="48">
        <v>0.355555555555555</v>
      </c>
      <c r="H2388" s="24" t="s">
        <v>3249</v>
      </c>
      <c r="I2388" s="47"/>
      <c r="J2388" s="24">
        <v>0.0</v>
      </c>
    </row>
    <row r="2389">
      <c r="A2389" s="24">
        <v>53.0</v>
      </c>
      <c r="B2389" s="24">
        <v>14.0</v>
      </c>
      <c r="C2389" s="47">
        <v>29.47</v>
      </c>
      <c r="D2389" s="35">
        <v>45958.0</v>
      </c>
      <c r="E2389" s="47">
        <v>2.105</v>
      </c>
      <c r="F2389" s="47">
        <v>556.037735849056</v>
      </c>
      <c r="G2389" s="48">
        <v>0.264150943396226</v>
      </c>
      <c r="H2389" s="24" t="s">
        <v>3249</v>
      </c>
      <c r="I2389" s="47"/>
      <c r="J2389" s="24">
        <v>0.0</v>
      </c>
    </row>
    <row r="2390">
      <c r="A2390" s="24">
        <v>67.0</v>
      </c>
      <c r="B2390" s="24">
        <v>23.0</v>
      </c>
      <c r="C2390" s="47">
        <v>56.859741</v>
      </c>
      <c r="D2390" s="35">
        <v>45959.0</v>
      </c>
      <c r="E2390" s="47">
        <v>2.47216265217391</v>
      </c>
      <c r="F2390" s="47">
        <v>848.652850746268</v>
      </c>
      <c r="G2390" s="48">
        <v>0.343283582089552</v>
      </c>
      <c r="H2390" s="24" t="s">
        <v>3249</v>
      </c>
      <c r="I2390" s="47"/>
      <c r="J2390" s="24">
        <v>0.0</v>
      </c>
    </row>
    <row r="2391">
      <c r="A2391" s="24">
        <v>45.0</v>
      </c>
      <c r="B2391" s="24">
        <v>19.0</v>
      </c>
      <c r="C2391" s="47">
        <v>33.000211</v>
      </c>
      <c r="D2391" s="35">
        <v>45960.0</v>
      </c>
      <c r="E2391" s="47">
        <v>1.73685321052631</v>
      </c>
      <c r="F2391" s="47">
        <v>733.338022222222</v>
      </c>
      <c r="G2391" s="48">
        <v>0.422222222222222</v>
      </c>
      <c r="H2391" s="24" t="s">
        <v>3249</v>
      </c>
      <c r="I2391" s="47"/>
      <c r="J2391" s="24">
        <v>0.0</v>
      </c>
    </row>
    <row r="2392">
      <c r="A2392" s="24">
        <v>60.0</v>
      </c>
      <c r="B2392" s="24">
        <v>15.0</v>
      </c>
      <c r="C2392" s="47">
        <v>33.072294</v>
      </c>
      <c r="D2392" s="35">
        <v>45961.0</v>
      </c>
      <c r="E2392" s="47">
        <v>2.2048196</v>
      </c>
      <c r="F2392" s="47">
        <v>551.2049</v>
      </c>
      <c r="G2392" s="48">
        <v>0.25</v>
      </c>
      <c r="H2392" s="24" t="s">
        <v>3249</v>
      </c>
      <c r="I2392" s="47">
        <v>33.072294</v>
      </c>
      <c r="J2392" s="24">
        <v>1.0</v>
      </c>
    </row>
    <row r="2393">
      <c r="A2393" s="24">
        <v>1.0</v>
      </c>
      <c r="B2393" s="24">
        <v>0.0</v>
      </c>
      <c r="C2393" s="47">
        <v>0.0</v>
      </c>
      <c r="D2393" s="35">
        <v>45962.0</v>
      </c>
      <c r="E2393" s="47"/>
      <c r="F2393" s="47">
        <v>0.0</v>
      </c>
      <c r="G2393" s="48">
        <v>0.0</v>
      </c>
      <c r="H2393" s="24" t="s">
        <v>3249</v>
      </c>
      <c r="I2393" s="47"/>
      <c r="J2393" s="24">
        <v>0.0</v>
      </c>
    </row>
    <row r="2394">
      <c r="A2394" s="24">
        <v>11.0</v>
      </c>
      <c r="B2394" s="24">
        <v>4.0</v>
      </c>
      <c r="C2394" s="47">
        <v>9.86</v>
      </c>
      <c r="D2394" s="35">
        <v>45963.0</v>
      </c>
      <c r="E2394" s="47">
        <v>2.465</v>
      </c>
      <c r="F2394" s="47">
        <v>896.363636363636</v>
      </c>
      <c r="G2394" s="48">
        <v>0.363636363636363</v>
      </c>
      <c r="H2394" s="24" t="s">
        <v>3249</v>
      </c>
      <c r="I2394" s="47">
        <v>9.86</v>
      </c>
      <c r="J2394" s="24">
        <v>1.0</v>
      </c>
    </row>
    <row r="2395">
      <c r="A2395" s="24">
        <v>55.0</v>
      </c>
      <c r="B2395" s="24">
        <v>15.0</v>
      </c>
      <c r="C2395" s="47">
        <v>40.529689</v>
      </c>
      <c r="D2395" s="35">
        <v>45964.0</v>
      </c>
      <c r="E2395" s="47">
        <v>2.70197926666666</v>
      </c>
      <c r="F2395" s="47">
        <v>736.903436363636</v>
      </c>
      <c r="G2395" s="48">
        <v>0.272727272727272</v>
      </c>
      <c r="H2395" s="24" t="s">
        <v>3249</v>
      </c>
      <c r="I2395" s="47">
        <v>40.529689</v>
      </c>
      <c r="J2395" s="24">
        <v>1.0</v>
      </c>
    </row>
    <row r="2396">
      <c r="A2396" s="24">
        <v>61.0</v>
      </c>
      <c r="B2396" s="24">
        <v>12.0</v>
      </c>
      <c r="C2396" s="47">
        <v>26.71</v>
      </c>
      <c r="D2396" s="35">
        <v>45965.0</v>
      </c>
      <c r="E2396" s="47">
        <v>2.22583333333333</v>
      </c>
      <c r="F2396" s="47">
        <v>437.868852459016</v>
      </c>
      <c r="G2396" s="48">
        <v>0.196721311475409</v>
      </c>
      <c r="H2396" s="24" t="s">
        <v>3249</v>
      </c>
      <c r="I2396" s="47"/>
      <c r="J2396" s="24">
        <v>0.0</v>
      </c>
    </row>
    <row r="2397">
      <c r="A2397" s="24">
        <v>73.0</v>
      </c>
      <c r="B2397" s="24">
        <v>22.0</v>
      </c>
      <c r="C2397" s="47">
        <v>48.358821</v>
      </c>
      <c r="D2397" s="35">
        <v>45966.0</v>
      </c>
      <c r="E2397" s="47">
        <v>2.19812822727272</v>
      </c>
      <c r="F2397" s="47">
        <v>662.449602739726</v>
      </c>
      <c r="G2397" s="48">
        <v>0.301369863013698</v>
      </c>
      <c r="H2397" s="24" t="s">
        <v>3249</v>
      </c>
      <c r="I2397" s="47">
        <v>48.358821</v>
      </c>
      <c r="J2397" s="24">
        <v>1.0</v>
      </c>
    </row>
    <row r="2398">
      <c r="A2398" s="24">
        <v>150.0</v>
      </c>
      <c r="B2398" s="24">
        <v>21.0</v>
      </c>
      <c r="C2398" s="47">
        <v>49.951482</v>
      </c>
      <c r="D2398" s="35">
        <v>45967.0</v>
      </c>
      <c r="E2398" s="47">
        <v>2.378642</v>
      </c>
      <c r="F2398" s="47">
        <v>333.00988</v>
      </c>
      <c r="G2398" s="48">
        <v>0.14</v>
      </c>
      <c r="H2398" s="24" t="s">
        <v>3249</v>
      </c>
      <c r="I2398" s="47"/>
      <c r="J2398" s="24">
        <v>0.0</v>
      </c>
    </row>
    <row r="2399">
      <c r="A2399" s="24">
        <v>49.0</v>
      </c>
      <c r="B2399" s="24">
        <v>13.0</v>
      </c>
      <c r="C2399" s="47">
        <v>33.346479</v>
      </c>
      <c r="D2399" s="35">
        <v>45968.0</v>
      </c>
      <c r="E2399" s="47">
        <v>2.56511376923076</v>
      </c>
      <c r="F2399" s="47">
        <v>680.540387755102</v>
      </c>
      <c r="G2399" s="48">
        <v>0.265306122448979</v>
      </c>
      <c r="H2399" s="24" t="s">
        <v>3249</v>
      </c>
      <c r="I2399" s="47"/>
      <c r="J2399" s="24">
        <v>0.0</v>
      </c>
    </row>
    <row r="2400">
      <c r="A2400" s="24">
        <v>13.0</v>
      </c>
      <c r="B2400" s="24">
        <v>2.0</v>
      </c>
      <c r="C2400" s="47">
        <v>5.63</v>
      </c>
      <c r="D2400" s="35">
        <v>45969.0</v>
      </c>
      <c r="E2400" s="47">
        <v>2.815</v>
      </c>
      <c r="F2400" s="47">
        <v>433.076923076923</v>
      </c>
      <c r="G2400" s="48">
        <v>0.153846153846153</v>
      </c>
      <c r="H2400" s="24" t="s">
        <v>3249</v>
      </c>
      <c r="I2400" s="47"/>
      <c r="J2400" s="24">
        <v>0.0</v>
      </c>
    </row>
    <row r="2401">
      <c r="A2401" s="24">
        <v>7.0</v>
      </c>
      <c r="B2401" s="24">
        <v>1.0</v>
      </c>
      <c r="C2401" s="47">
        <v>0.79</v>
      </c>
      <c r="D2401" s="35">
        <v>45970.0</v>
      </c>
      <c r="E2401" s="47">
        <v>0.79</v>
      </c>
      <c r="F2401" s="47">
        <v>112.857142857142</v>
      </c>
      <c r="G2401" s="48">
        <v>0.142857142857142</v>
      </c>
      <c r="H2401" s="24" t="s">
        <v>3249</v>
      </c>
      <c r="I2401" s="47"/>
      <c r="J2401" s="24">
        <v>0.0</v>
      </c>
    </row>
    <row r="2402">
      <c r="A2402" s="24">
        <v>64.0</v>
      </c>
      <c r="B2402" s="24">
        <v>11.0</v>
      </c>
      <c r="C2402" s="47">
        <v>28.63</v>
      </c>
      <c r="D2402" s="35">
        <v>45971.0</v>
      </c>
      <c r="E2402" s="47">
        <v>2.60272727272727</v>
      </c>
      <c r="F2402" s="47">
        <v>447.34375</v>
      </c>
      <c r="G2402" s="48">
        <v>0.171875</v>
      </c>
      <c r="H2402" s="24" t="s">
        <v>3249</v>
      </c>
      <c r="I2402" s="47"/>
      <c r="J2402" s="24">
        <v>0.0</v>
      </c>
    </row>
    <row r="2403">
      <c r="A2403" s="24">
        <v>50.0</v>
      </c>
      <c r="B2403" s="24">
        <v>16.0</v>
      </c>
      <c r="C2403" s="47">
        <v>32.58</v>
      </c>
      <c r="D2403" s="35">
        <v>45972.0</v>
      </c>
      <c r="E2403" s="47">
        <v>2.03625</v>
      </c>
      <c r="F2403" s="47">
        <v>651.6</v>
      </c>
      <c r="G2403" s="48">
        <v>0.32</v>
      </c>
      <c r="H2403" s="24" t="s">
        <v>3249</v>
      </c>
      <c r="I2403" s="47"/>
      <c r="J2403" s="24">
        <v>0.0</v>
      </c>
    </row>
    <row r="2404">
      <c r="A2404" s="24">
        <v>48.0</v>
      </c>
      <c r="B2404" s="24">
        <v>21.0</v>
      </c>
      <c r="C2404" s="47">
        <v>53.43</v>
      </c>
      <c r="D2404" s="35">
        <v>45973.0</v>
      </c>
      <c r="E2404" s="47">
        <v>2.54428571428571</v>
      </c>
      <c r="F2404" s="47">
        <v>1113.125</v>
      </c>
      <c r="G2404" s="48">
        <v>0.4375</v>
      </c>
      <c r="H2404" s="24" t="s">
        <v>3249</v>
      </c>
      <c r="I2404" s="47"/>
      <c r="J2404" s="24">
        <v>0.0</v>
      </c>
    </row>
    <row r="2405">
      <c r="A2405" s="24">
        <v>68.0</v>
      </c>
      <c r="B2405" s="24">
        <v>18.0</v>
      </c>
      <c r="C2405" s="47">
        <v>48.040656</v>
      </c>
      <c r="D2405" s="35">
        <v>45974.0</v>
      </c>
      <c r="E2405" s="47">
        <v>2.66892533333333</v>
      </c>
      <c r="F2405" s="47">
        <v>706.480235294117</v>
      </c>
      <c r="G2405" s="48">
        <v>0.264705882352941</v>
      </c>
      <c r="H2405" s="24" t="s">
        <v>3249</v>
      </c>
      <c r="I2405" s="47"/>
      <c r="J2405" s="24">
        <v>0.0</v>
      </c>
    </row>
    <row r="2406">
      <c r="A2406" s="24">
        <v>43.0</v>
      </c>
      <c r="B2406" s="24">
        <v>8.0</v>
      </c>
      <c r="C2406" s="47">
        <v>23.344771</v>
      </c>
      <c r="D2406" s="35">
        <v>45975.0</v>
      </c>
      <c r="E2406" s="47">
        <v>2.918096375</v>
      </c>
      <c r="F2406" s="47">
        <v>542.90165116279</v>
      </c>
      <c r="G2406" s="48">
        <v>0.186046511627906</v>
      </c>
      <c r="H2406" s="24" t="s">
        <v>3249</v>
      </c>
      <c r="I2406" s="47"/>
      <c r="J2406" s="24">
        <v>0.0</v>
      </c>
    </row>
    <row r="2407">
      <c r="A2407" s="24">
        <v>4.0</v>
      </c>
      <c r="B2407" s="24">
        <v>1.0</v>
      </c>
      <c r="C2407" s="47">
        <v>0.01</v>
      </c>
      <c r="D2407" s="35">
        <v>45976.0</v>
      </c>
      <c r="E2407" s="47">
        <v>0.01</v>
      </c>
      <c r="F2407" s="47">
        <v>2.5</v>
      </c>
      <c r="G2407" s="48">
        <v>0.25</v>
      </c>
      <c r="H2407" s="24" t="s">
        <v>3249</v>
      </c>
      <c r="I2407" s="47"/>
      <c r="J2407" s="24">
        <v>0.0</v>
      </c>
    </row>
    <row r="2408">
      <c r="A2408" s="24">
        <v>10.0</v>
      </c>
      <c r="B2408" s="24">
        <v>5.0</v>
      </c>
      <c r="C2408" s="47">
        <v>7.91622</v>
      </c>
      <c r="D2408" s="35">
        <v>45977.0</v>
      </c>
      <c r="E2408" s="47">
        <v>1.583244</v>
      </c>
      <c r="F2408" s="47">
        <v>791.622</v>
      </c>
      <c r="G2408" s="48">
        <v>0.5</v>
      </c>
      <c r="H2408" s="24" t="s">
        <v>3249</v>
      </c>
      <c r="I2408" s="47"/>
      <c r="J2408" s="24">
        <v>0.0</v>
      </c>
    </row>
    <row r="2409">
      <c r="A2409" s="24">
        <v>74.0</v>
      </c>
      <c r="B2409" s="24">
        <v>23.0</v>
      </c>
      <c r="C2409" s="47">
        <v>56.811202</v>
      </c>
      <c r="D2409" s="35">
        <v>45978.0</v>
      </c>
      <c r="E2409" s="47">
        <v>2.47005226086956</v>
      </c>
      <c r="F2409" s="47">
        <v>767.718945945945</v>
      </c>
      <c r="G2409" s="48">
        <v>0.31081081081081</v>
      </c>
      <c r="H2409" s="24" t="s">
        <v>3249</v>
      </c>
      <c r="I2409" s="47">
        <v>56.811202</v>
      </c>
      <c r="J2409" s="24">
        <v>1.0</v>
      </c>
    </row>
    <row r="2410">
      <c r="A2410" s="24">
        <v>65.0</v>
      </c>
      <c r="B2410" s="24">
        <v>23.0</v>
      </c>
      <c r="C2410" s="47">
        <v>53.924486</v>
      </c>
      <c r="D2410" s="35">
        <v>45979.0</v>
      </c>
      <c r="E2410" s="47">
        <v>2.34454286956521</v>
      </c>
      <c r="F2410" s="47">
        <v>829.607476923076</v>
      </c>
      <c r="G2410" s="48">
        <v>0.353846153846153</v>
      </c>
      <c r="H2410" s="24" t="s">
        <v>3249</v>
      </c>
      <c r="I2410" s="47">
        <v>53.924486</v>
      </c>
      <c r="J2410" s="24">
        <v>1.0</v>
      </c>
    </row>
    <row r="2411">
      <c r="A2411" s="24">
        <v>67.0</v>
      </c>
      <c r="B2411" s="24">
        <v>11.0</v>
      </c>
      <c r="C2411" s="47">
        <v>23.095556</v>
      </c>
      <c r="D2411" s="35">
        <v>45980.0</v>
      </c>
      <c r="E2411" s="47">
        <v>2.099596</v>
      </c>
      <c r="F2411" s="47">
        <v>344.709791044776</v>
      </c>
      <c r="G2411" s="48">
        <v>0.164179104477611</v>
      </c>
      <c r="H2411" s="24" t="s">
        <v>3249</v>
      </c>
      <c r="I2411" s="47">
        <v>23.095556</v>
      </c>
      <c r="J2411" s="24">
        <v>1.0</v>
      </c>
    </row>
    <row r="2412">
      <c r="A2412" s="24">
        <v>68.0</v>
      </c>
      <c r="B2412" s="24">
        <v>18.0</v>
      </c>
      <c r="C2412" s="47">
        <v>44.83</v>
      </c>
      <c r="D2412" s="35">
        <v>45981.0</v>
      </c>
      <c r="E2412" s="47">
        <v>2.49055555555555</v>
      </c>
      <c r="F2412" s="47">
        <v>659.264705882352</v>
      </c>
      <c r="G2412" s="48">
        <v>0.264705882352941</v>
      </c>
      <c r="H2412" s="24" t="s">
        <v>3249</v>
      </c>
      <c r="I2412" s="47">
        <v>44.83</v>
      </c>
      <c r="J2412" s="24">
        <v>1.0</v>
      </c>
    </row>
    <row r="2413">
      <c r="A2413" s="24">
        <v>50.0</v>
      </c>
      <c r="B2413" s="24">
        <v>11.0</v>
      </c>
      <c r="C2413" s="47">
        <v>26.12</v>
      </c>
      <c r="D2413" s="35">
        <v>45982.0</v>
      </c>
      <c r="E2413" s="47">
        <v>2.37454545454545</v>
      </c>
      <c r="F2413" s="47">
        <v>522.4</v>
      </c>
      <c r="G2413" s="48">
        <v>0.22</v>
      </c>
      <c r="H2413" s="24" t="s">
        <v>3249</v>
      </c>
      <c r="I2413" s="47"/>
      <c r="J2413" s="24">
        <v>0.0</v>
      </c>
    </row>
    <row r="2414">
      <c r="A2414" s="24">
        <v>5.0</v>
      </c>
      <c r="B2414" s="24">
        <v>3.0</v>
      </c>
      <c r="C2414" s="47">
        <v>6.11</v>
      </c>
      <c r="D2414" s="35">
        <v>45983.0</v>
      </c>
      <c r="E2414" s="47">
        <v>2.03666666666666</v>
      </c>
      <c r="F2414" s="47">
        <v>1222.0</v>
      </c>
      <c r="G2414" s="48">
        <v>0.6</v>
      </c>
      <c r="H2414" s="24" t="s">
        <v>3249</v>
      </c>
      <c r="I2414" s="47"/>
      <c r="J2414" s="24">
        <v>0.0</v>
      </c>
    </row>
    <row r="2415">
      <c r="A2415" s="24">
        <v>11.0</v>
      </c>
      <c r="B2415" s="24">
        <v>0.0</v>
      </c>
      <c r="C2415" s="47">
        <v>0.0</v>
      </c>
      <c r="D2415" s="35">
        <v>45984.0</v>
      </c>
      <c r="E2415" s="47"/>
      <c r="F2415" s="47">
        <v>0.0</v>
      </c>
      <c r="G2415" s="48">
        <v>0.0</v>
      </c>
      <c r="H2415" s="24" t="s">
        <v>3249</v>
      </c>
      <c r="I2415" s="47"/>
      <c r="J2415" s="24">
        <v>0.0</v>
      </c>
    </row>
    <row r="2416">
      <c r="A2416" s="24">
        <v>50.0</v>
      </c>
      <c r="B2416" s="24">
        <v>12.0</v>
      </c>
      <c r="C2416" s="47">
        <v>32.452964</v>
      </c>
      <c r="D2416" s="35">
        <v>45985.0</v>
      </c>
      <c r="E2416" s="47">
        <v>2.70441366666666</v>
      </c>
      <c r="F2416" s="47">
        <v>649.05928</v>
      </c>
      <c r="G2416" s="48">
        <v>0.24</v>
      </c>
      <c r="H2416" s="24" t="s">
        <v>3249</v>
      </c>
      <c r="I2416" s="47"/>
      <c r="J2416" s="24">
        <v>0.0</v>
      </c>
    </row>
    <row r="2417">
      <c r="A2417" s="24">
        <v>59.0</v>
      </c>
      <c r="B2417" s="24">
        <v>15.0</v>
      </c>
      <c r="C2417" s="47">
        <v>40.07655</v>
      </c>
      <c r="D2417" s="35">
        <v>45986.0</v>
      </c>
      <c r="E2417" s="47">
        <v>2.67177</v>
      </c>
      <c r="F2417" s="47">
        <v>679.263559322033</v>
      </c>
      <c r="G2417" s="48">
        <v>0.254237288135593</v>
      </c>
      <c r="H2417" s="24" t="s">
        <v>3249</v>
      </c>
      <c r="I2417" s="47"/>
      <c r="J2417" s="24">
        <v>0.0</v>
      </c>
    </row>
    <row r="2418">
      <c r="A2418" s="24">
        <v>26.0</v>
      </c>
      <c r="B2418" s="24">
        <v>11.0</v>
      </c>
      <c r="C2418" s="47">
        <v>26.940428</v>
      </c>
      <c r="D2418" s="35">
        <v>45987.0</v>
      </c>
      <c r="E2418" s="47">
        <v>2.44912981818181</v>
      </c>
      <c r="F2418" s="47">
        <v>1036.1703076923</v>
      </c>
      <c r="G2418" s="48">
        <v>0.423076923076923</v>
      </c>
      <c r="H2418" s="24" t="s">
        <v>3249</v>
      </c>
      <c r="I2418" s="47"/>
      <c r="J2418" s="24">
        <v>0.0</v>
      </c>
    </row>
    <row r="2419">
      <c r="A2419" s="24">
        <v>3.0</v>
      </c>
      <c r="B2419" s="24">
        <v>1.0</v>
      </c>
      <c r="C2419" s="47">
        <v>2.75</v>
      </c>
      <c r="D2419" s="35">
        <v>45988.0</v>
      </c>
      <c r="E2419" s="47">
        <v>2.75</v>
      </c>
      <c r="F2419" s="47">
        <v>916.666666666666</v>
      </c>
      <c r="G2419" s="48">
        <v>0.333333333333333</v>
      </c>
      <c r="H2419" s="24" t="s">
        <v>3249</v>
      </c>
      <c r="I2419" s="47"/>
      <c r="J2419" s="24">
        <v>0.0</v>
      </c>
    </row>
    <row r="2420">
      <c r="A2420" s="24">
        <v>9.0</v>
      </c>
      <c r="B2420" s="24">
        <v>0.0</v>
      </c>
      <c r="C2420" s="47">
        <v>0.0</v>
      </c>
      <c r="D2420" s="35">
        <v>45989.0</v>
      </c>
      <c r="E2420" s="47"/>
      <c r="F2420" s="47">
        <v>0.0</v>
      </c>
      <c r="G2420" s="48">
        <v>0.0</v>
      </c>
      <c r="H2420" s="24" t="s">
        <v>3249</v>
      </c>
      <c r="I2420" s="47"/>
      <c r="J2420" s="24">
        <v>0.0</v>
      </c>
    </row>
    <row r="2421">
      <c r="A2421" s="24">
        <v>1.0</v>
      </c>
      <c r="B2421" s="24">
        <v>0.0</v>
      </c>
      <c r="C2421" s="47">
        <v>0.0</v>
      </c>
      <c r="D2421" s="35">
        <v>45990.0</v>
      </c>
      <c r="E2421" s="47"/>
      <c r="F2421" s="47">
        <v>0.0</v>
      </c>
      <c r="G2421" s="48">
        <v>0.0</v>
      </c>
      <c r="H2421" s="24" t="s">
        <v>3249</v>
      </c>
      <c r="I2421" s="47"/>
      <c r="J2421" s="24">
        <v>0.0</v>
      </c>
    </row>
    <row r="2422">
      <c r="A2422" s="24">
        <v>4.0</v>
      </c>
      <c r="B2422" s="24">
        <v>0.0</v>
      </c>
      <c r="C2422" s="47">
        <v>0.0</v>
      </c>
      <c r="D2422" s="35">
        <v>45991.0</v>
      </c>
      <c r="E2422" s="47"/>
      <c r="F2422" s="47">
        <v>0.0</v>
      </c>
      <c r="G2422" s="48">
        <v>0.0</v>
      </c>
      <c r="H2422" s="24" t="s">
        <v>3249</v>
      </c>
      <c r="I2422" s="47"/>
      <c r="J2422" s="24">
        <v>0.0</v>
      </c>
    </row>
    <row r="2423">
      <c r="A2423" s="24">
        <v>97.0</v>
      </c>
      <c r="B2423" s="24">
        <v>22.0</v>
      </c>
      <c r="C2423" s="47">
        <v>49.863093</v>
      </c>
      <c r="D2423" s="35">
        <v>45992.0</v>
      </c>
      <c r="E2423" s="47">
        <v>2.26650422727272</v>
      </c>
      <c r="F2423" s="47">
        <v>514.052505154639</v>
      </c>
      <c r="G2423" s="48">
        <v>0.22680412371134</v>
      </c>
      <c r="H2423" s="24" t="s">
        <v>3249</v>
      </c>
      <c r="I2423" s="47"/>
      <c r="J2423" s="24">
        <v>0.0</v>
      </c>
    </row>
    <row r="2424">
      <c r="A2424" s="24">
        <v>50.0</v>
      </c>
      <c r="B2424" s="24">
        <v>13.0</v>
      </c>
      <c r="C2424" s="47">
        <v>31.59</v>
      </c>
      <c r="D2424" s="35">
        <v>45993.0</v>
      </c>
      <c r="E2424" s="47">
        <v>2.43</v>
      </c>
      <c r="F2424" s="47">
        <v>631.8</v>
      </c>
      <c r="G2424" s="48">
        <v>0.26</v>
      </c>
      <c r="H2424" s="24" t="s">
        <v>3249</v>
      </c>
      <c r="I2424" s="47"/>
      <c r="J2424" s="24">
        <v>0.0</v>
      </c>
    </row>
    <row r="2425">
      <c r="A2425" s="24">
        <v>60.0</v>
      </c>
      <c r="B2425" s="24">
        <v>21.0</v>
      </c>
      <c r="C2425" s="47">
        <v>51.53945</v>
      </c>
      <c r="D2425" s="35">
        <v>45994.0</v>
      </c>
      <c r="E2425" s="47">
        <v>2.45425952380952</v>
      </c>
      <c r="F2425" s="47">
        <v>858.990833333333</v>
      </c>
      <c r="G2425" s="48">
        <v>0.35</v>
      </c>
      <c r="H2425" s="24" t="s">
        <v>3249</v>
      </c>
      <c r="I2425" s="47"/>
      <c r="J2425" s="24">
        <v>0.0</v>
      </c>
    </row>
    <row r="2426">
      <c r="A2426" s="24">
        <v>44.0</v>
      </c>
      <c r="B2426" s="24">
        <v>20.0</v>
      </c>
      <c r="C2426" s="47">
        <v>46.711311</v>
      </c>
      <c r="D2426" s="35">
        <v>45995.0</v>
      </c>
      <c r="E2426" s="47">
        <v>2.33556554999999</v>
      </c>
      <c r="F2426" s="47">
        <v>1061.62070454545</v>
      </c>
      <c r="G2426" s="48">
        <v>0.454545454545454</v>
      </c>
      <c r="H2426" s="24" t="s">
        <v>3249</v>
      </c>
      <c r="I2426" s="47"/>
      <c r="J2426" s="24">
        <v>0.0</v>
      </c>
    </row>
    <row r="2427">
      <c r="A2427" s="24">
        <v>32.0</v>
      </c>
      <c r="B2427" s="24">
        <v>11.0</v>
      </c>
      <c r="C2427" s="47">
        <v>28.19</v>
      </c>
      <c r="D2427" s="35">
        <v>45996.0</v>
      </c>
      <c r="E2427" s="47">
        <v>2.56272727272727</v>
      </c>
      <c r="F2427" s="47">
        <v>880.9375</v>
      </c>
      <c r="G2427" s="48">
        <v>0.34375</v>
      </c>
      <c r="H2427" s="24" t="s">
        <v>3249</v>
      </c>
      <c r="I2427" s="47"/>
      <c r="J2427" s="24">
        <v>0.0</v>
      </c>
    </row>
    <row r="2428">
      <c r="A2428" s="24">
        <v>3.0</v>
      </c>
      <c r="B2428" s="24">
        <v>3.0</v>
      </c>
      <c r="C2428" s="47">
        <v>7.44</v>
      </c>
      <c r="D2428" s="35">
        <v>45997.0</v>
      </c>
      <c r="E2428" s="47">
        <v>2.48</v>
      </c>
      <c r="F2428" s="47">
        <v>2480.0</v>
      </c>
      <c r="G2428" s="48">
        <v>1.0</v>
      </c>
      <c r="H2428" s="24" t="s">
        <v>3249</v>
      </c>
      <c r="I2428" s="47"/>
      <c r="J2428" s="24">
        <v>0.0</v>
      </c>
    </row>
    <row r="2429">
      <c r="A2429" s="24">
        <v>3.0</v>
      </c>
      <c r="B2429" s="24">
        <v>0.0</v>
      </c>
      <c r="C2429" s="47">
        <v>0.0</v>
      </c>
      <c r="D2429" s="35">
        <v>45998.0</v>
      </c>
      <c r="E2429" s="47"/>
      <c r="F2429" s="47">
        <v>0.0</v>
      </c>
      <c r="G2429" s="48">
        <v>0.0</v>
      </c>
      <c r="H2429" s="24" t="s">
        <v>3249</v>
      </c>
      <c r="I2429" s="47"/>
      <c r="J2429" s="24">
        <v>0.0</v>
      </c>
    </row>
    <row r="2430">
      <c r="A2430" s="24">
        <v>38.0</v>
      </c>
      <c r="B2430" s="24">
        <v>15.0</v>
      </c>
      <c r="C2430" s="47">
        <v>35.38</v>
      </c>
      <c r="D2430" s="35">
        <v>45999.0</v>
      </c>
      <c r="E2430" s="47">
        <v>2.35866666666666</v>
      </c>
      <c r="F2430" s="47">
        <v>931.052631578947</v>
      </c>
      <c r="G2430" s="48">
        <v>0.394736842105263</v>
      </c>
      <c r="H2430" s="24" t="s">
        <v>3249</v>
      </c>
      <c r="I2430" s="47"/>
      <c r="J2430" s="24">
        <v>0.0</v>
      </c>
    </row>
    <row r="2431">
      <c r="A2431" s="24">
        <v>74.0</v>
      </c>
      <c r="B2431" s="24">
        <v>25.0</v>
      </c>
      <c r="C2431" s="47">
        <v>65.92</v>
      </c>
      <c r="D2431" s="35">
        <v>46000.0</v>
      </c>
      <c r="E2431" s="47">
        <v>2.6368</v>
      </c>
      <c r="F2431" s="47">
        <v>890.81081081081</v>
      </c>
      <c r="G2431" s="48">
        <v>0.337837837837837</v>
      </c>
      <c r="H2431" s="24" t="s">
        <v>3249</v>
      </c>
      <c r="I2431" s="47">
        <v>65.92</v>
      </c>
      <c r="J2431" s="24">
        <v>1.0</v>
      </c>
    </row>
    <row r="2432">
      <c r="A2432" s="24">
        <v>75.0</v>
      </c>
      <c r="B2432" s="24">
        <v>23.0</v>
      </c>
      <c r="C2432" s="47">
        <v>55.16404</v>
      </c>
      <c r="D2432" s="35">
        <v>46001.0</v>
      </c>
      <c r="E2432" s="47">
        <v>2.39843652173913</v>
      </c>
      <c r="F2432" s="47">
        <v>735.520533333333</v>
      </c>
      <c r="G2432" s="48">
        <v>0.306666666666666</v>
      </c>
      <c r="H2432" s="24" t="s">
        <v>3249</v>
      </c>
      <c r="I2432" s="47">
        <v>55.16404</v>
      </c>
      <c r="J2432" s="24">
        <v>1.0</v>
      </c>
    </row>
    <row r="2433">
      <c r="A2433" s="24">
        <v>38.0</v>
      </c>
      <c r="B2433" s="24">
        <v>10.0</v>
      </c>
      <c r="C2433" s="47">
        <v>22.310049</v>
      </c>
      <c r="D2433" s="35">
        <v>46002.0</v>
      </c>
      <c r="E2433" s="47">
        <v>2.2310049</v>
      </c>
      <c r="F2433" s="47">
        <v>587.106552631579</v>
      </c>
      <c r="G2433" s="48">
        <v>0.263157894736842</v>
      </c>
      <c r="H2433" s="24" t="s">
        <v>3249</v>
      </c>
      <c r="I2433" s="47"/>
      <c r="J2433" s="24">
        <v>0.0</v>
      </c>
    </row>
    <row r="2434">
      <c r="A2434" s="24">
        <v>47.0</v>
      </c>
      <c r="B2434" s="24">
        <v>15.0</v>
      </c>
      <c r="C2434" s="47">
        <v>41.716908</v>
      </c>
      <c r="D2434" s="35">
        <v>46003.0</v>
      </c>
      <c r="E2434" s="47">
        <v>2.7811272</v>
      </c>
      <c r="F2434" s="47">
        <v>887.593787234042</v>
      </c>
      <c r="G2434" s="48">
        <v>0.319148936170212</v>
      </c>
      <c r="H2434" s="24" t="s">
        <v>3249</v>
      </c>
      <c r="I2434" s="47">
        <v>41.716908</v>
      </c>
      <c r="J2434" s="24">
        <v>1.0</v>
      </c>
    </row>
    <row r="2435">
      <c r="A2435" s="24">
        <v>3.0</v>
      </c>
      <c r="B2435" s="24">
        <v>1.0</v>
      </c>
      <c r="C2435" s="47">
        <v>2.97</v>
      </c>
      <c r="D2435" s="35">
        <v>46004.0</v>
      </c>
      <c r="E2435" s="47">
        <v>2.97</v>
      </c>
      <c r="F2435" s="47">
        <v>990.0</v>
      </c>
      <c r="G2435" s="48">
        <v>0.333333333333333</v>
      </c>
      <c r="H2435" s="24" t="s">
        <v>3249</v>
      </c>
      <c r="I2435" s="47"/>
      <c r="J2435" s="24">
        <v>0.0</v>
      </c>
    </row>
    <row r="2436">
      <c r="A2436" s="24">
        <v>1.0</v>
      </c>
      <c r="B2436" s="24">
        <v>1.0</v>
      </c>
      <c r="C2436" s="47">
        <v>2.96</v>
      </c>
      <c r="D2436" s="35">
        <v>46005.0</v>
      </c>
      <c r="E2436" s="47">
        <v>2.96</v>
      </c>
      <c r="F2436" s="47">
        <v>2960.0</v>
      </c>
      <c r="G2436" s="48">
        <v>1.0</v>
      </c>
      <c r="H2436" s="24" t="s">
        <v>3249</v>
      </c>
      <c r="I2436" s="47"/>
      <c r="J2436" s="24">
        <v>0.0</v>
      </c>
    </row>
    <row r="2437">
      <c r="A2437" s="24">
        <v>34.0</v>
      </c>
      <c r="B2437" s="24">
        <v>9.0</v>
      </c>
      <c r="C2437" s="47">
        <v>20.161452</v>
      </c>
      <c r="D2437" s="35">
        <v>46006.0</v>
      </c>
      <c r="E2437" s="47">
        <v>2.24016133333333</v>
      </c>
      <c r="F2437" s="47">
        <v>592.983882352941</v>
      </c>
      <c r="G2437" s="48">
        <v>0.264705882352941</v>
      </c>
      <c r="H2437" s="24" t="s">
        <v>3249</v>
      </c>
      <c r="I2437" s="47"/>
      <c r="J2437" s="24">
        <v>0.0</v>
      </c>
    </row>
    <row r="2438">
      <c r="A2438" s="24">
        <v>59.0</v>
      </c>
      <c r="B2438" s="24">
        <v>18.0</v>
      </c>
      <c r="C2438" s="47">
        <v>42.535406</v>
      </c>
      <c r="D2438" s="35">
        <v>46007.0</v>
      </c>
      <c r="E2438" s="47">
        <v>2.36307811111111</v>
      </c>
      <c r="F2438" s="47">
        <v>720.939084745762</v>
      </c>
      <c r="G2438" s="48">
        <v>0.305084745762711</v>
      </c>
      <c r="H2438" s="24" t="s">
        <v>3249</v>
      </c>
      <c r="I2438" s="47"/>
      <c r="J2438" s="24">
        <v>0.0</v>
      </c>
    </row>
    <row r="2439">
      <c r="A2439" s="24">
        <v>28.0</v>
      </c>
      <c r="B2439" s="24">
        <v>12.0</v>
      </c>
      <c r="C2439" s="47">
        <v>32.222784</v>
      </c>
      <c r="D2439" s="35">
        <v>46008.0</v>
      </c>
      <c r="E2439" s="47">
        <v>2.685232</v>
      </c>
      <c r="F2439" s="47">
        <v>1150.81371428571</v>
      </c>
      <c r="G2439" s="48">
        <v>0.428571428571428</v>
      </c>
      <c r="H2439" s="24" t="s">
        <v>3249</v>
      </c>
      <c r="I2439" s="47"/>
      <c r="J2439" s="24">
        <v>0.0</v>
      </c>
    </row>
    <row r="2440">
      <c r="A2440" s="24">
        <v>37.0</v>
      </c>
      <c r="B2440" s="24">
        <v>12.0</v>
      </c>
      <c r="C2440" s="47">
        <v>25.797347</v>
      </c>
      <c r="D2440" s="35">
        <v>46009.0</v>
      </c>
      <c r="E2440" s="47">
        <v>2.14977891666666</v>
      </c>
      <c r="F2440" s="47">
        <v>697.225594594594</v>
      </c>
      <c r="G2440" s="48">
        <v>0.324324324324324</v>
      </c>
      <c r="H2440" s="24" t="s">
        <v>3249</v>
      </c>
      <c r="I2440" s="47"/>
      <c r="J2440" s="24">
        <v>0.0</v>
      </c>
    </row>
    <row r="2441">
      <c r="A2441" s="24">
        <v>34.0</v>
      </c>
      <c r="B2441" s="24">
        <v>17.0</v>
      </c>
      <c r="C2441" s="47">
        <v>36.847635</v>
      </c>
      <c r="D2441" s="35">
        <v>46010.0</v>
      </c>
      <c r="E2441" s="47">
        <v>2.16750794117647</v>
      </c>
      <c r="F2441" s="47">
        <v>1083.75397058823</v>
      </c>
      <c r="G2441" s="48">
        <v>0.5</v>
      </c>
      <c r="H2441" s="24" t="s">
        <v>3249</v>
      </c>
      <c r="I2441" s="47">
        <v>36.847635</v>
      </c>
      <c r="J2441" s="24">
        <v>1.0</v>
      </c>
    </row>
    <row r="2442">
      <c r="A2442" s="24">
        <v>2.0</v>
      </c>
      <c r="B2442" s="24">
        <v>0.0</v>
      </c>
      <c r="C2442" s="47">
        <v>0.0</v>
      </c>
      <c r="D2442" s="35">
        <v>46011.0</v>
      </c>
      <c r="E2442" s="47"/>
      <c r="F2442" s="47">
        <v>0.0</v>
      </c>
      <c r="G2442" s="48">
        <v>0.0</v>
      </c>
      <c r="H2442" s="24" t="s">
        <v>3249</v>
      </c>
      <c r="I2442" s="47"/>
      <c r="J2442" s="24">
        <v>0.0</v>
      </c>
    </row>
    <row r="2443">
      <c r="A2443" s="24">
        <v>1.0</v>
      </c>
      <c r="B2443" s="24">
        <v>0.0</v>
      </c>
      <c r="C2443" s="47">
        <v>0.0</v>
      </c>
      <c r="D2443" s="35">
        <v>46012.0</v>
      </c>
      <c r="E2443" s="47"/>
      <c r="F2443" s="47">
        <v>0.0</v>
      </c>
      <c r="G2443" s="48">
        <v>0.0</v>
      </c>
      <c r="H2443" s="24" t="s">
        <v>3249</v>
      </c>
      <c r="I2443" s="47"/>
      <c r="J2443" s="24">
        <v>0.0</v>
      </c>
    </row>
    <row r="2444">
      <c r="A2444" s="24">
        <v>16.0</v>
      </c>
      <c r="B2444" s="24">
        <v>11.0</v>
      </c>
      <c r="C2444" s="47">
        <v>30.49</v>
      </c>
      <c r="D2444" s="35">
        <v>46013.0</v>
      </c>
      <c r="E2444" s="47">
        <v>2.77181818181818</v>
      </c>
      <c r="F2444" s="47">
        <v>1905.625</v>
      </c>
      <c r="G2444" s="48">
        <v>0.6875</v>
      </c>
      <c r="H2444" s="24" t="s">
        <v>3249</v>
      </c>
      <c r="I2444" s="47"/>
      <c r="J2444" s="24">
        <v>0.0</v>
      </c>
    </row>
    <row r="2445">
      <c r="A2445" s="24">
        <v>19.0</v>
      </c>
      <c r="B2445" s="24">
        <v>7.0</v>
      </c>
      <c r="C2445" s="47">
        <v>19.65</v>
      </c>
      <c r="D2445" s="35">
        <v>46014.0</v>
      </c>
      <c r="E2445" s="47">
        <v>2.80714285714285</v>
      </c>
      <c r="F2445" s="47">
        <v>1034.21052631578</v>
      </c>
      <c r="G2445" s="48">
        <v>0.368421052631578</v>
      </c>
      <c r="H2445" s="24" t="s">
        <v>3249</v>
      </c>
      <c r="I2445" s="47"/>
      <c r="J2445" s="24">
        <v>0.0</v>
      </c>
    </row>
    <row r="2446">
      <c r="A2446" s="24">
        <v>2.0</v>
      </c>
      <c r="B2446" s="24">
        <v>1.0</v>
      </c>
      <c r="C2446" s="47">
        <v>1.5</v>
      </c>
      <c r="D2446" s="35">
        <v>46015.0</v>
      </c>
      <c r="E2446" s="47">
        <v>1.5</v>
      </c>
      <c r="F2446" s="47">
        <v>750.0</v>
      </c>
      <c r="G2446" s="48">
        <v>0.5</v>
      </c>
      <c r="H2446" s="24" t="s">
        <v>3249</v>
      </c>
      <c r="I2446" s="47"/>
      <c r="J2446" s="24">
        <v>0.0</v>
      </c>
    </row>
    <row r="2447">
      <c r="A2447" s="24">
        <v>1.0</v>
      </c>
      <c r="B2447" s="24">
        <v>0.0</v>
      </c>
      <c r="C2447" s="47">
        <v>0.0</v>
      </c>
      <c r="D2447" s="35">
        <v>46017.0</v>
      </c>
      <c r="E2447" s="47"/>
      <c r="F2447" s="47">
        <v>0.0</v>
      </c>
      <c r="G2447" s="48">
        <v>0.0</v>
      </c>
      <c r="H2447" s="24" t="s">
        <v>3249</v>
      </c>
      <c r="I2447" s="47"/>
      <c r="J2447" s="24">
        <v>0.0</v>
      </c>
    </row>
    <row r="2448">
      <c r="A2448" s="24">
        <v>1.0</v>
      </c>
      <c r="B2448" s="24">
        <v>0.0</v>
      </c>
      <c r="C2448" s="47">
        <v>0.0</v>
      </c>
      <c r="D2448" s="35">
        <v>46018.0</v>
      </c>
      <c r="E2448" s="47"/>
      <c r="F2448" s="47">
        <v>0.0</v>
      </c>
      <c r="G2448" s="48">
        <v>0.0</v>
      </c>
      <c r="H2448" s="24" t="s">
        <v>3249</v>
      </c>
      <c r="I2448" s="47"/>
      <c r="J2448" s="24">
        <v>0.0</v>
      </c>
    </row>
    <row r="2449">
      <c r="A2449" s="24">
        <v>2.0</v>
      </c>
      <c r="B2449" s="24">
        <v>1.0</v>
      </c>
      <c r="C2449" s="47">
        <v>2.88</v>
      </c>
      <c r="D2449" s="35">
        <v>46019.0</v>
      </c>
      <c r="E2449" s="47">
        <v>2.88</v>
      </c>
      <c r="F2449" s="47">
        <v>1440.0</v>
      </c>
      <c r="G2449" s="48">
        <v>0.5</v>
      </c>
      <c r="H2449" s="24" t="s">
        <v>3249</v>
      </c>
      <c r="I2449" s="47"/>
      <c r="J2449" s="24">
        <v>0.0</v>
      </c>
    </row>
    <row r="2450">
      <c r="A2450" s="24">
        <v>10.0</v>
      </c>
      <c r="B2450" s="24">
        <v>5.0</v>
      </c>
      <c r="C2450" s="47">
        <v>14.32</v>
      </c>
      <c r="D2450" s="35">
        <v>46020.0</v>
      </c>
      <c r="E2450" s="47">
        <v>2.864</v>
      </c>
      <c r="F2450" s="47">
        <v>1432.0</v>
      </c>
      <c r="G2450" s="48">
        <v>0.5</v>
      </c>
      <c r="H2450" s="24" t="s">
        <v>3249</v>
      </c>
      <c r="I2450" s="47"/>
      <c r="J2450" s="24">
        <v>0.0</v>
      </c>
    </row>
    <row r="2451">
      <c r="A2451" s="24">
        <v>19.0</v>
      </c>
      <c r="B2451" s="24">
        <v>13.0</v>
      </c>
      <c r="C2451" s="47">
        <v>28.175193</v>
      </c>
      <c r="D2451" s="35">
        <v>46021.0</v>
      </c>
      <c r="E2451" s="47">
        <v>2.16732253846153</v>
      </c>
      <c r="F2451" s="47">
        <v>1482.90489473684</v>
      </c>
      <c r="G2451" s="48">
        <v>0.684210526315789</v>
      </c>
      <c r="H2451" s="24" t="s">
        <v>3249</v>
      </c>
      <c r="I2451" s="47"/>
      <c r="J2451" s="24">
        <v>0.0</v>
      </c>
    </row>
    <row r="2452">
      <c r="A2452" s="24">
        <v>7.0</v>
      </c>
      <c r="B2452" s="24">
        <v>4.0</v>
      </c>
      <c r="C2452" s="47">
        <v>10.07</v>
      </c>
      <c r="D2452" s="35">
        <v>46022.0</v>
      </c>
      <c r="E2452" s="47">
        <v>2.5175</v>
      </c>
      <c r="F2452" s="47">
        <v>1438.57142857142</v>
      </c>
      <c r="G2452" s="48">
        <v>0.571428571428571</v>
      </c>
      <c r="H2452" s="24" t="s">
        <v>3249</v>
      </c>
      <c r="I2452" s="47"/>
      <c r="J2452" s="24">
        <v>0.0</v>
      </c>
    </row>
    <row r="2453">
      <c r="A2453" s="24">
        <v>2.0</v>
      </c>
      <c r="B2453" s="24">
        <v>0.0</v>
      </c>
      <c r="C2453" s="47">
        <v>0.0</v>
      </c>
      <c r="D2453" s="35">
        <v>46023.0</v>
      </c>
      <c r="E2453" s="47"/>
      <c r="F2453" s="47">
        <v>0.0</v>
      </c>
      <c r="G2453" s="48">
        <v>0.0</v>
      </c>
      <c r="H2453" s="24" t="s">
        <v>3249</v>
      </c>
      <c r="I2453" s="47"/>
      <c r="J2453" s="24">
        <v>0.0</v>
      </c>
    </row>
    <row r="2454">
      <c r="A2454" s="24">
        <v>4.0</v>
      </c>
      <c r="B2454" s="24">
        <v>3.0</v>
      </c>
      <c r="C2454" s="47">
        <v>8.73</v>
      </c>
      <c r="D2454" s="35">
        <v>46024.0</v>
      </c>
      <c r="E2454" s="47">
        <v>2.91</v>
      </c>
      <c r="F2454" s="47">
        <v>2182.5</v>
      </c>
      <c r="G2454" s="48">
        <v>0.75</v>
      </c>
      <c r="H2454" s="24" t="s">
        <v>3249</v>
      </c>
      <c r="I2454" s="47"/>
      <c r="J2454" s="24">
        <v>0.0</v>
      </c>
    </row>
    <row r="2455">
      <c r="A2455" s="24">
        <v>4.0</v>
      </c>
      <c r="B2455" s="24">
        <v>3.0</v>
      </c>
      <c r="C2455" s="47">
        <v>7.63</v>
      </c>
      <c r="D2455" s="35">
        <v>46025.0</v>
      </c>
      <c r="E2455" s="47">
        <v>2.54333333333333</v>
      </c>
      <c r="F2455" s="47">
        <v>1907.5</v>
      </c>
      <c r="G2455" s="48">
        <v>0.75</v>
      </c>
      <c r="H2455" s="24" t="s">
        <v>3249</v>
      </c>
      <c r="I2455" s="47"/>
      <c r="J2455" s="24">
        <v>0.0</v>
      </c>
    </row>
    <row r="2456">
      <c r="A2456" s="24">
        <v>3.0</v>
      </c>
      <c r="B2456" s="24">
        <v>0.0</v>
      </c>
      <c r="C2456" s="47">
        <v>0.0</v>
      </c>
      <c r="D2456" s="35">
        <v>46026.0</v>
      </c>
      <c r="E2456" s="47"/>
      <c r="F2456" s="47">
        <v>0.0</v>
      </c>
      <c r="G2456" s="48">
        <v>0.0</v>
      </c>
      <c r="H2456" s="24" t="s">
        <v>3249</v>
      </c>
      <c r="I2456" s="47"/>
      <c r="J2456" s="24">
        <v>0.0</v>
      </c>
    </row>
    <row r="2457">
      <c r="A2457" s="24">
        <v>22.0</v>
      </c>
      <c r="B2457" s="24">
        <v>14.0</v>
      </c>
      <c r="C2457" s="47">
        <v>32.985888</v>
      </c>
      <c r="D2457" s="35">
        <v>46027.0</v>
      </c>
      <c r="E2457" s="47">
        <v>2.35613485714285</v>
      </c>
      <c r="F2457" s="47">
        <v>1499.35854545454</v>
      </c>
      <c r="G2457" s="48">
        <v>0.636363636363636</v>
      </c>
      <c r="H2457" s="24" t="s">
        <v>3249</v>
      </c>
      <c r="I2457" s="47"/>
      <c r="J2457" s="24">
        <v>0.0</v>
      </c>
    </row>
    <row r="2458">
      <c r="A2458" s="24">
        <v>28.0</v>
      </c>
      <c r="B2458" s="24">
        <v>8.0</v>
      </c>
      <c r="C2458" s="47">
        <v>20.218546</v>
      </c>
      <c r="D2458" s="35">
        <v>46028.0</v>
      </c>
      <c r="E2458" s="47">
        <v>2.52731825</v>
      </c>
      <c r="F2458" s="47">
        <v>722.090928571428</v>
      </c>
      <c r="G2458" s="48">
        <v>0.285714285714285</v>
      </c>
      <c r="H2458" s="24" t="s">
        <v>3249</v>
      </c>
      <c r="I2458" s="47"/>
      <c r="J2458" s="24">
        <v>0.0</v>
      </c>
    </row>
    <row r="2459">
      <c r="A2459" s="24">
        <v>24.0</v>
      </c>
      <c r="B2459" s="24">
        <v>11.0</v>
      </c>
      <c r="C2459" s="47">
        <v>28.337498</v>
      </c>
      <c r="D2459" s="35">
        <v>46029.0</v>
      </c>
      <c r="E2459" s="47">
        <v>2.57613618181818</v>
      </c>
      <c r="F2459" s="47">
        <v>1180.72908333333</v>
      </c>
      <c r="G2459" s="48">
        <v>0.458333333333333</v>
      </c>
      <c r="H2459" s="24" t="s">
        <v>3249</v>
      </c>
      <c r="I2459" s="47"/>
      <c r="J2459" s="24">
        <v>0.0</v>
      </c>
    </row>
    <row r="2460">
      <c r="A2460" s="24">
        <v>35.0</v>
      </c>
      <c r="B2460" s="24">
        <v>18.0</v>
      </c>
      <c r="C2460" s="47">
        <v>41.09063</v>
      </c>
      <c r="D2460" s="35">
        <v>46030.0</v>
      </c>
      <c r="E2460" s="47">
        <v>2.28281277777777</v>
      </c>
      <c r="F2460" s="47">
        <v>1174.018</v>
      </c>
      <c r="G2460" s="48">
        <v>0.514285714285714</v>
      </c>
      <c r="H2460" s="24" t="s">
        <v>3249</v>
      </c>
      <c r="I2460" s="47">
        <v>41.09063</v>
      </c>
      <c r="J2460" s="24">
        <v>1.0</v>
      </c>
    </row>
    <row r="2461">
      <c r="A2461" s="24">
        <v>29.0</v>
      </c>
      <c r="B2461" s="24">
        <v>8.0</v>
      </c>
      <c r="C2461" s="47">
        <v>14.991434</v>
      </c>
      <c r="D2461" s="35">
        <v>46031.0</v>
      </c>
      <c r="E2461" s="47">
        <v>1.87392925</v>
      </c>
      <c r="F2461" s="47">
        <v>516.946</v>
      </c>
      <c r="G2461" s="48">
        <v>0.275862068965517</v>
      </c>
      <c r="H2461" s="24" t="s">
        <v>3249</v>
      </c>
      <c r="I2461" s="47"/>
      <c r="J2461" s="24">
        <v>0.0</v>
      </c>
    </row>
    <row r="2462">
      <c r="A2462" s="24">
        <v>1.0</v>
      </c>
      <c r="B2462" s="24">
        <v>1.0</v>
      </c>
      <c r="C2462" s="47">
        <v>3.0</v>
      </c>
      <c r="D2462" s="35">
        <v>46032.0</v>
      </c>
      <c r="E2462" s="47">
        <v>3.0</v>
      </c>
      <c r="F2462" s="47">
        <v>3000.0</v>
      </c>
      <c r="G2462" s="48">
        <v>1.0</v>
      </c>
      <c r="H2462" s="24" t="s">
        <v>3249</v>
      </c>
      <c r="I2462" s="47"/>
      <c r="J2462" s="24">
        <v>0.0</v>
      </c>
    </row>
    <row r="2463">
      <c r="A2463" s="24">
        <v>6.0</v>
      </c>
      <c r="B2463" s="24">
        <v>4.0</v>
      </c>
      <c r="C2463" s="47">
        <v>7.67</v>
      </c>
      <c r="D2463" s="35">
        <v>46033.0</v>
      </c>
      <c r="E2463" s="47">
        <v>1.9175</v>
      </c>
      <c r="F2463" s="47">
        <v>1278.33333333333</v>
      </c>
      <c r="G2463" s="48">
        <v>0.666666666666666</v>
      </c>
      <c r="H2463" s="24" t="s">
        <v>3249</v>
      </c>
      <c r="I2463" s="47"/>
      <c r="J2463" s="24">
        <v>0.0</v>
      </c>
    </row>
    <row r="2464">
      <c r="A2464" s="24">
        <v>28.0</v>
      </c>
      <c r="B2464" s="24">
        <v>13.0</v>
      </c>
      <c r="C2464" s="47">
        <v>30.2</v>
      </c>
      <c r="D2464" s="35">
        <v>46034.0</v>
      </c>
      <c r="E2464" s="47">
        <v>2.32307692307692</v>
      </c>
      <c r="F2464" s="47">
        <v>1078.57142857142</v>
      </c>
      <c r="G2464" s="48">
        <v>0.464285714285714</v>
      </c>
      <c r="H2464" s="24" t="s">
        <v>3249</v>
      </c>
      <c r="I2464" s="47"/>
      <c r="J2464" s="24">
        <v>0.0</v>
      </c>
    </row>
    <row r="2465">
      <c r="A2465" s="24">
        <v>40.0</v>
      </c>
      <c r="B2465" s="24">
        <v>21.0</v>
      </c>
      <c r="C2465" s="47">
        <v>43.16</v>
      </c>
      <c r="D2465" s="35">
        <v>46035.0</v>
      </c>
      <c r="E2465" s="47">
        <v>2.05523809523809</v>
      </c>
      <c r="F2465" s="47">
        <v>1079.0</v>
      </c>
      <c r="G2465" s="48">
        <v>0.525</v>
      </c>
      <c r="H2465" s="24" t="s">
        <v>3249</v>
      </c>
      <c r="I2465" s="47">
        <v>43.16</v>
      </c>
      <c r="J2465" s="24">
        <v>1.0</v>
      </c>
    </row>
    <row r="2466">
      <c r="A2466" s="24">
        <v>48.0</v>
      </c>
      <c r="B2466" s="24">
        <v>23.0</v>
      </c>
      <c r="C2466" s="47">
        <v>54.180393</v>
      </c>
      <c r="D2466" s="35">
        <v>46036.0</v>
      </c>
      <c r="E2466" s="47">
        <v>2.35566926086956</v>
      </c>
      <c r="F2466" s="47">
        <v>1128.7581875</v>
      </c>
      <c r="G2466" s="48">
        <v>0.479166666666666</v>
      </c>
      <c r="H2466" s="24" t="s">
        <v>3249</v>
      </c>
      <c r="I2466" s="47">
        <v>54.180393</v>
      </c>
      <c r="J2466" s="24">
        <v>1.0</v>
      </c>
    </row>
    <row r="2467">
      <c r="A2467" s="24">
        <v>47.0</v>
      </c>
      <c r="B2467" s="24">
        <v>25.0</v>
      </c>
      <c r="C2467" s="47">
        <v>62.253336</v>
      </c>
      <c r="D2467" s="35">
        <v>46037.0</v>
      </c>
      <c r="E2467" s="47">
        <v>2.49013344</v>
      </c>
      <c r="F2467" s="47">
        <v>1324.53906382978</v>
      </c>
      <c r="G2467" s="48">
        <v>0.531914893617021</v>
      </c>
      <c r="H2467" s="24" t="s">
        <v>3249</v>
      </c>
      <c r="I2467" s="47"/>
      <c r="J2467" s="24">
        <v>0.0</v>
      </c>
    </row>
    <row r="2468">
      <c r="A2468" s="24">
        <v>29.0</v>
      </c>
      <c r="B2468" s="24">
        <v>10.0</v>
      </c>
      <c r="C2468" s="47">
        <v>21.22399</v>
      </c>
      <c r="D2468" s="35">
        <v>46038.0</v>
      </c>
      <c r="E2468" s="47">
        <v>2.122399</v>
      </c>
      <c r="F2468" s="47">
        <v>731.861724137931</v>
      </c>
      <c r="G2468" s="48">
        <v>0.344827586206896</v>
      </c>
      <c r="H2468" s="24" t="s">
        <v>3249</v>
      </c>
      <c r="I2468" s="47"/>
      <c r="J2468" s="24">
        <v>0.0</v>
      </c>
    </row>
    <row r="2469">
      <c r="A2469" s="24">
        <v>4.0</v>
      </c>
      <c r="B2469" s="24">
        <v>2.0</v>
      </c>
      <c r="C2469" s="47">
        <v>4.851125</v>
      </c>
      <c r="D2469" s="35">
        <v>46040.0</v>
      </c>
      <c r="E2469" s="47">
        <v>2.4255625</v>
      </c>
      <c r="F2469" s="47">
        <v>1212.78125</v>
      </c>
      <c r="G2469" s="48">
        <v>0.5</v>
      </c>
      <c r="H2469" s="24" t="s">
        <v>3249</v>
      </c>
      <c r="I2469" s="47"/>
      <c r="J2469" s="24">
        <v>0.0</v>
      </c>
    </row>
    <row r="2470">
      <c r="A2470" s="24">
        <v>14.0</v>
      </c>
      <c r="B2470" s="24">
        <v>8.0</v>
      </c>
      <c r="C2470" s="47">
        <v>16.19</v>
      </c>
      <c r="D2470" s="35">
        <v>46041.0</v>
      </c>
      <c r="E2470" s="47">
        <v>2.02375</v>
      </c>
      <c r="F2470" s="47">
        <v>1156.42857142857</v>
      </c>
      <c r="G2470" s="48">
        <v>0.571428571428571</v>
      </c>
      <c r="H2470" s="24" t="s">
        <v>3249</v>
      </c>
      <c r="I2470" s="47"/>
      <c r="J2470" s="24">
        <v>0.0</v>
      </c>
    </row>
    <row r="2471">
      <c r="A2471" s="24">
        <v>56.0</v>
      </c>
      <c r="B2471" s="24">
        <v>19.0</v>
      </c>
      <c r="C2471" s="47">
        <v>49.615399</v>
      </c>
      <c r="D2471" s="35">
        <v>46042.0</v>
      </c>
      <c r="E2471" s="47">
        <v>2.61133678947368</v>
      </c>
      <c r="F2471" s="47">
        <v>885.989267857142</v>
      </c>
      <c r="G2471" s="48">
        <v>0.339285714285714</v>
      </c>
      <c r="H2471" s="24" t="s">
        <v>3249</v>
      </c>
      <c r="I2471" s="47"/>
      <c r="J2471" s="24">
        <v>0.0</v>
      </c>
    </row>
    <row r="2472">
      <c r="A2472" s="24">
        <v>57.0</v>
      </c>
      <c r="B2472" s="24">
        <v>21.0</v>
      </c>
      <c r="C2472" s="47">
        <v>49.235096</v>
      </c>
      <c r="D2472" s="35">
        <v>46043.0</v>
      </c>
      <c r="E2472" s="47">
        <v>2.34452838095238</v>
      </c>
      <c r="F2472" s="47">
        <v>863.773614035087</v>
      </c>
      <c r="G2472" s="48">
        <v>0.368421052631578</v>
      </c>
      <c r="H2472" s="24" t="s">
        <v>3249</v>
      </c>
      <c r="I2472" s="47"/>
      <c r="J2472" s="24">
        <v>0.0</v>
      </c>
    </row>
    <row r="2473">
      <c r="A2473" s="24">
        <v>41.0</v>
      </c>
      <c r="B2473" s="24">
        <v>14.0</v>
      </c>
      <c r="C2473" s="47">
        <v>28.416861</v>
      </c>
      <c r="D2473" s="35">
        <v>46044.0</v>
      </c>
      <c r="E2473" s="47">
        <v>2.02977578571428</v>
      </c>
      <c r="F2473" s="47">
        <v>693.094170731707</v>
      </c>
      <c r="G2473" s="48">
        <v>0.341463414634146</v>
      </c>
      <c r="H2473" s="24" t="s">
        <v>3249</v>
      </c>
      <c r="I2473" s="47">
        <v>28.416861</v>
      </c>
      <c r="J2473" s="24">
        <v>1.0</v>
      </c>
    </row>
    <row r="2474">
      <c r="A2474" s="24">
        <v>56.0</v>
      </c>
      <c r="B2474" s="24">
        <v>20.0</v>
      </c>
      <c r="C2474" s="47">
        <v>48.28</v>
      </c>
      <c r="D2474" s="35">
        <v>46045.0</v>
      </c>
      <c r="E2474" s="47">
        <v>2.414</v>
      </c>
      <c r="F2474" s="47">
        <v>862.142857142857</v>
      </c>
      <c r="G2474" s="48">
        <v>0.357142857142857</v>
      </c>
      <c r="H2474" s="24" t="s">
        <v>3249</v>
      </c>
      <c r="I2474" s="47"/>
      <c r="J2474" s="24">
        <v>0.0</v>
      </c>
    </row>
    <row r="2475">
      <c r="A2475" s="24">
        <v>2.0</v>
      </c>
      <c r="B2475" s="24">
        <v>0.0</v>
      </c>
      <c r="C2475" s="47">
        <v>0.0</v>
      </c>
      <c r="D2475" s="35">
        <v>46046.0</v>
      </c>
      <c r="E2475" s="47"/>
      <c r="F2475" s="47">
        <v>0.0</v>
      </c>
      <c r="G2475" s="48">
        <v>0.0</v>
      </c>
      <c r="H2475" s="24" t="s">
        <v>3249</v>
      </c>
      <c r="I2475" s="47"/>
      <c r="J2475" s="24">
        <v>0.0</v>
      </c>
    </row>
    <row r="2476">
      <c r="A2476" s="24">
        <v>7.0</v>
      </c>
      <c r="B2476" s="24">
        <v>7.0</v>
      </c>
      <c r="C2476" s="47">
        <v>13.314484</v>
      </c>
      <c r="D2476" s="35">
        <v>46047.0</v>
      </c>
      <c r="E2476" s="47">
        <v>1.90206914285714</v>
      </c>
      <c r="F2476" s="47">
        <v>1902.06914285714</v>
      </c>
      <c r="G2476" s="48">
        <v>1.0</v>
      </c>
      <c r="H2476" s="24" t="s">
        <v>3249</v>
      </c>
      <c r="I2476" s="47"/>
      <c r="J2476" s="24">
        <v>0.0</v>
      </c>
    </row>
    <row r="2477">
      <c r="A2477" s="24">
        <v>34.0</v>
      </c>
      <c r="B2477" s="24">
        <v>16.0</v>
      </c>
      <c r="C2477" s="47">
        <v>35.107894</v>
      </c>
      <c r="D2477" s="35">
        <v>46048.0</v>
      </c>
      <c r="E2477" s="47">
        <v>2.194243375</v>
      </c>
      <c r="F2477" s="47">
        <v>1032.58511764705</v>
      </c>
      <c r="G2477" s="48">
        <v>0.470588235294117</v>
      </c>
      <c r="H2477" s="24" t="s">
        <v>3249</v>
      </c>
      <c r="I2477" s="47"/>
      <c r="J2477" s="24">
        <v>0.0</v>
      </c>
    </row>
    <row r="2478">
      <c r="A2478" s="24">
        <v>41.0</v>
      </c>
      <c r="B2478" s="24">
        <v>18.0</v>
      </c>
      <c r="C2478" s="47">
        <v>36.201164</v>
      </c>
      <c r="D2478" s="35">
        <v>46049.0</v>
      </c>
      <c r="E2478" s="47">
        <v>2.01117577777777</v>
      </c>
      <c r="F2478" s="47">
        <v>882.955219512195</v>
      </c>
      <c r="G2478" s="48">
        <v>0.439024390243902</v>
      </c>
      <c r="H2478" s="24" t="s">
        <v>3249</v>
      </c>
      <c r="I2478" s="47"/>
      <c r="J2478" s="24">
        <v>0.0</v>
      </c>
    </row>
    <row r="2479">
      <c r="A2479" s="24">
        <v>75.0</v>
      </c>
      <c r="B2479" s="24">
        <v>28.0</v>
      </c>
      <c r="C2479" s="47">
        <v>67.189687</v>
      </c>
      <c r="D2479" s="35">
        <v>46050.0</v>
      </c>
      <c r="E2479" s="47">
        <v>2.39963167857142</v>
      </c>
      <c r="F2479" s="47">
        <v>895.862493333333</v>
      </c>
      <c r="G2479" s="48">
        <v>0.373333333333333</v>
      </c>
      <c r="H2479" s="24" t="s">
        <v>3249</v>
      </c>
      <c r="I2479" s="47">
        <v>67.189687</v>
      </c>
      <c r="J2479" s="24">
        <v>1.0</v>
      </c>
    </row>
    <row r="2480">
      <c r="A2480" s="24">
        <v>37.0</v>
      </c>
      <c r="B2480" s="24">
        <v>11.0</v>
      </c>
      <c r="C2480" s="47">
        <v>19.510951</v>
      </c>
      <c r="D2480" s="35">
        <v>46051.0</v>
      </c>
      <c r="E2480" s="47">
        <v>1.77372281818181</v>
      </c>
      <c r="F2480" s="47">
        <v>527.323</v>
      </c>
      <c r="G2480" s="48">
        <v>0.297297297297297</v>
      </c>
      <c r="H2480" s="24" t="s">
        <v>3249</v>
      </c>
      <c r="I2480" s="47"/>
      <c r="J2480" s="24">
        <v>0.0</v>
      </c>
    </row>
    <row r="2481">
      <c r="A2481" s="24">
        <v>28.0</v>
      </c>
      <c r="B2481" s="24">
        <v>13.0</v>
      </c>
      <c r="C2481" s="47">
        <v>30.28</v>
      </c>
      <c r="D2481" s="35">
        <v>46052.0</v>
      </c>
      <c r="E2481" s="47">
        <v>2.32923076923076</v>
      </c>
      <c r="F2481" s="47">
        <v>1081.42857142857</v>
      </c>
      <c r="G2481" s="48">
        <v>0.464285714285714</v>
      </c>
      <c r="H2481" s="24" t="s">
        <v>3249</v>
      </c>
      <c r="I2481" s="47"/>
      <c r="J2481" s="24">
        <v>0.0</v>
      </c>
    </row>
    <row r="2482">
      <c r="A2482" s="24">
        <v>2.0</v>
      </c>
      <c r="B2482" s="24">
        <v>0.0</v>
      </c>
      <c r="C2482" s="47">
        <v>0.0</v>
      </c>
      <c r="D2482" s="35">
        <v>46053.0</v>
      </c>
      <c r="E2482" s="47"/>
      <c r="F2482" s="47">
        <v>0.0</v>
      </c>
      <c r="G2482" s="48">
        <v>0.0</v>
      </c>
      <c r="H2482" s="24" t="s">
        <v>3249</v>
      </c>
      <c r="I2482" s="47"/>
      <c r="J2482" s="24">
        <v>0.0</v>
      </c>
    </row>
    <row r="2483">
      <c r="A2483" s="24">
        <v>9.0</v>
      </c>
      <c r="B2483" s="24">
        <v>4.0</v>
      </c>
      <c r="C2483" s="47">
        <v>10.63</v>
      </c>
      <c r="D2483" s="35">
        <v>46054.0</v>
      </c>
      <c r="E2483" s="47">
        <v>2.6575</v>
      </c>
      <c r="F2483" s="47">
        <v>1181.11111111111</v>
      </c>
      <c r="G2483" s="48">
        <v>0.444444444444444</v>
      </c>
      <c r="H2483" s="24" t="s">
        <v>3249</v>
      </c>
      <c r="I2483" s="47"/>
      <c r="J2483" s="24">
        <v>0.0</v>
      </c>
    </row>
    <row r="2484">
      <c r="A2484" s="24">
        <v>46.0</v>
      </c>
      <c r="B2484" s="24">
        <v>12.0</v>
      </c>
      <c r="C2484" s="47">
        <v>31.43</v>
      </c>
      <c r="D2484" s="35">
        <v>46055.0</v>
      </c>
      <c r="E2484" s="47">
        <v>2.61916666666666</v>
      </c>
      <c r="F2484" s="47">
        <v>683.260869565217</v>
      </c>
      <c r="G2484" s="48">
        <v>0.260869565217391</v>
      </c>
      <c r="H2484" s="24" t="s">
        <v>3249</v>
      </c>
      <c r="I2484" s="47"/>
      <c r="J2484" s="24">
        <v>0.0</v>
      </c>
    </row>
    <row r="2485">
      <c r="A2485" s="24">
        <v>64.0</v>
      </c>
      <c r="B2485" s="24">
        <v>23.0</v>
      </c>
      <c r="C2485" s="47">
        <v>56.24</v>
      </c>
      <c r="D2485" s="35">
        <v>46056.0</v>
      </c>
      <c r="E2485" s="47">
        <v>2.44521739130434</v>
      </c>
      <c r="F2485" s="47">
        <v>878.75</v>
      </c>
      <c r="G2485" s="48">
        <v>0.359375</v>
      </c>
      <c r="H2485" s="24" t="s">
        <v>3249</v>
      </c>
      <c r="I2485" s="47"/>
      <c r="J2485" s="24">
        <v>0.0</v>
      </c>
    </row>
    <row r="2486">
      <c r="A2486" s="24">
        <v>64.0</v>
      </c>
      <c r="B2486" s="24">
        <v>22.0</v>
      </c>
      <c r="C2486" s="47">
        <v>50.200868</v>
      </c>
      <c r="D2486" s="35">
        <v>46057.0</v>
      </c>
      <c r="E2486" s="47">
        <v>2.28185763636363</v>
      </c>
      <c r="F2486" s="47">
        <v>784.3885625</v>
      </c>
      <c r="G2486" s="48">
        <v>0.34375</v>
      </c>
      <c r="H2486" s="24" t="s">
        <v>3249</v>
      </c>
      <c r="I2486" s="47"/>
      <c r="J2486" s="24">
        <v>0.0</v>
      </c>
    </row>
    <row r="2487">
      <c r="A2487" s="24">
        <v>49.0</v>
      </c>
      <c r="B2487" s="24">
        <v>18.0</v>
      </c>
      <c r="C2487" s="47">
        <v>45.5</v>
      </c>
      <c r="D2487" s="35">
        <v>46058.0</v>
      </c>
      <c r="E2487" s="47">
        <v>2.52777777777777</v>
      </c>
      <c r="F2487" s="47">
        <v>928.571428571428</v>
      </c>
      <c r="G2487" s="48">
        <v>0.36734693877551</v>
      </c>
      <c r="H2487" s="24" t="s">
        <v>3249</v>
      </c>
      <c r="I2487" s="47"/>
      <c r="J2487" s="24">
        <v>0.0</v>
      </c>
    </row>
    <row r="2488">
      <c r="A2488" s="24">
        <v>38.0</v>
      </c>
      <c r="B2488" s="24">
        <v>9.0</v>
      </c>
      <c r="C2488" s="47">
        <v>16.31</v>
      </c>
      <c r="D2488" s="35">
        <v>46059.0</v>
      </c>
      <c r="E2488" s="47">
        <v>1.81222222222222</v>
      </c>
      <c r="F2488" s="47">
        <v>429.210526315789</v>
      </c>
      <c r="G2488" s="48">
        <v>0.236842105263157</v>
      </c>
      <c r="H2488" s="24" t="s">
        <v>3249</v>
      </c>
      <c r="I2488" s="47"/>
      <c r="J2488" s="24">
        <v>0.0</v>
      </c>
    </row>
    <row r="2489">
      <c r="A2489" s="24">
        <v>4.0</v>
      </c>
      <c r="B2489" s="24">
        <v>0.0</v>
      </c>
      <c r="C2489" s="47">
        <v>0.0</v>
      </c>
      <c r="D2489" s="35">
        <v>46060.0</v>
      </c>
      <c r="E2489" s="47"/>
      <c r="F2489" s="47">
        <v>0.0</v>
      </c>
      <c r="G2489" s="48">
        <v>0.0</v>
      </c>
      <c r="H2489" s="24" t="s">
        <v>3249</v>
      </c>
      <c r="I2489" s="47"/>
      <c r="J2489" s="24">
        <v>0.0</v>
      </c>
    </row>
    <row r="2490">
      <c r="A2490" s="24">
        <v>3.0</v>
      </c>
      <c r="B2490" s="24">
        <v>1.0</v>
      </c>
      <c r="C2490" s="47">
        <v>2.97</v>
      </c>
      <c r="D2490" s="35">
        <v>46061.0</v>
      </c>
      <c r="E2490" s="47">
        <v>2.97</v>
      </c>
      <c r="F2490" s="47">
        <v>990.0</v>
      </c>
      <c r="G2490" s="48">
        <v>0.333333333333333</v>
      </c>
      <c r="H2490" s="24" t="s">
        <v>3249</v>
      </c>
      <c r="I2490" s="47"/>
      <c r="J2490" s="24">
        <v>0.0</v>
      </c>
    </row>
    <row r="2491">
      <c r="A2491" s="24">
        <v>36.0</v>
      </c>
      <c r="B2491" s="24">
        <v>9.0</v>
      </c>
      <c r="C2491" s="47">
        <v>23.57</v>
      </c>
      <c r="D2491" s="35">
        <v>46062.0</v>
      </c>
      <c r="E2491" s="47">
        <v>2.61888888888888</v>
      </c>
      <c r="F2491" s="47">
        <v>654.722222222222</v>
      </c>
      <c r="G2491" s="48">
        <v>0.25</v>
      </c>
      <c r="H2491" s="24" t="s">
        <v>3249</v>
      </c>
      <c r="I2491" s="47"/>
      <c r="J2491" s="24">
        <v>0.0</v>
      </c>
    </row>
    <row r="2492">
      <c r="A2492" s="24">
        <v>33.0</v>
      </c>
      <c r="B2492" s="24">
        <v>5.0</v>
      </c>
      <c r="C2492" s="47">
        <v>8.271802</v>
      </c>
      <c r="D2492" s="35">
        <v>46063.0</v>
      </c>
      <c r="E2492" s="47">
        <v>1.65436039999999</v>
      </c>
      <c r="F2492" s="47">
        <v>250.660666666666</v>
      </c>
      <c r="G2492" s="48">
        <v>0.151515151515151</v>
      </c>
      <c r="H2492" s="24" t="s">
        <v>3249</v>
      </c>
      <c r="I2492" s="47"/>
      <c r="J2492" s="24">
        <v>0.0</v>
      </c>
    </row>
    <row r="2493">
      <c r="A2493" s="24">
        <v>46.0</v>
      </c>
      <c r="B2493" s="24">
        <v>11.0</v>
      </c>
      <c r="C2493" s="47">
        <v>17.967323</v>
      </c>
      <c r="D2493" s="35">
        <v>46064.0</v>
      </c>
      <c r="E2493" s="47">
        <v>1.633393</v>
      </c>
      <c r="F2493" s="47">
        <v>390.593978260869</v>
      </c>
      <c r="G2493" s="48">
        <v>0.239130434782608</v>
      </c>
      <c r="H2493" s="24" t="s">
        <v>3249</v>
      </c>
      <c r="I2493" s="47"/>
      <c r="J2493" s="24">
        <v>0.0</v>
      </c>
    </row>
    <row r="2494">
      <c r="A2494" s="24">
        <v>43.0</v>
      </c>
      <c r="B2494" s="24">
        <v>11.0</v>
      </c>
      <c r="C2494" s="47">
        <v>19.23</v>
      </c>
      <c r="D2494" s="35">
        <v>46065.0</v>
      </c>
      <c r="E2494" s="47">
        <v>1.74818181818181</v>
      </c>
      <c r="F2494" s="47">
        <v>447.209302325581</v>
      </c>
      <c r="G2494" s="48">
        <v>0.255813953488372</v>
      </c>
      <c r="H2494" s="24" t="s">
        <v>3249</v>
      </c>
      <c r="I2494" s="47"/>
      <c r="J2494" s="24">
        <v>0.0</v>
      </c>
    </row>
    <row r="2495">
      <c r="A2495" s="24">
        <v>29.0</v>
      </c>
      <c r="B2495" s="24">
        <v>13.0</v>
      </c>
      <c r="C2495" s="47">
        <v>24.62</v>
      </c>
      <c r="D2495" s="35">
        <v>46066.0</v>
      </c>
      <c r="E2495" s="47">
        <v>1.89384615384615</v>
      </c>
      <c r="F2495" s="47">
        <v>848.965517241379</v>
      </c>
      <c r="G2495" s="48">
        <v>0.448275862068965</v>
      </c>
      <c r="H2495" s="24" t="s">
        <v>3249</v>
      </c>
      <c r="I2495" s="47"/>
      <c r="J2495" s="24">
        <v>0.0</v>
      </c>
    </row>
    <row r="2496">
      <c r="A2496" s="24">
        <v>5.0</v>
      </c>
      <c r="B2496" s="24">
        <v>3.0</v>
      </c>
      <c r="C2496" s="47">
        <v>7.404274</v>
      </c>
      <c r="D2496" s="35">
        <v>46067.0</v>
      </c>
      <c r="E2496" s="47">
        <v>2.46809133333333</v>
      </c>
      <c r="F2496" s="47">
        <v>1480.8548</v>
      </c>
      <c r="G2496" s="48">
        <v>0.6</v>
      </c>
      <c r="H2496" s="24" t="s">
        <v>3249</v>
      </c>
      <c r="I2496" s="47"/>
      <c r="J2496" s="24">
        <v>0.0</v>
      </c>
    </row>
    <row r="2497">
      <c r="A2497" s="24">
        <v>4.0</v>
      </c>
      <c r="B2497" s="24">
        <v>3.0</v>
      </c>
      <c r="C2497" s="47">
        <v>8.71</v>
      </c>
      <c r="D2497" s="35">
        <v>46068.0</v>
      </c>
      <c r="E2497" s="47">
        <v>2.90333333333333</v>
      </c>
      <c r="F2497" s="47">
        <v>2177.5</v>
      </c>
      <c r="G2497" s="48">
        <v>0.75</v>
      </c>
      <c r="H2497" s="24" t="s">
        <v>3249</v>
      </c>
      <c r="I2497" s="47"/>
      <c r="J2497" s="24">
        <v>0.0</v>
      </c>
    </row>
    <row r="2498">
      <c r="A2498" s="24">
        <v>17.0</v>
      </c>
      <c r="B2498" s="24">
        <v>4.0</v>
      </c>
      <c r="C2498" s="47">
        <v>6.472557</v>
      </c>
      <c r="D2498" s="35">
        <v>46069.0</v>
      </c>
      <c r="E2498" s="47">
        <v>1.61813925</v>
      </c>
      <c r="F2498" s="47">
        <v>380.738647058823</v>
      </c>
      <c r="G2498" s="48">
        <v>0.235294117647058</v>
      </c>
      <c r="H2498" s="24" t="s">
        <v>3249</v>
      </c>
      <c r="I2498" s="47"/>
      <c r="J2498" s="24">
        <v>0.0</v>
      </c>
    </row>
    <row r="2499">
      <c r="A2499" s="24">
        <v>17.0</v>
      </c>
      <c r="B2499" s="24">
        <v>3.0</v>
      </c>
      <c r="C2499" s="47">
        <v>6.0</v>
      </c>
      <c r="D2499" s="35">
        <v>46070.0</v>
      </c>
      <c r="E2499" s="47">
        <v>2.0</v>
      </c>
      <c r="F2499" s="47">
        <v>352.941176470588</v>
      </c>
      <c r="G2499" s="48">
        <v>0.176470588235294</v>
      </c>
      <c r="H2499" s="24" t="s">
        <v>3249</v>
      </c>
      <c r="I2499" s="47"/>
      <c r="J2499" s="24">
        <v>0.0</v>
      </c>
    </row>
    <row r="2500">
      <c r="A2500" s="24">
        <v>34.0</v>
      </c>
      <c r="B2500" s="24">
        <v>10.0</v>
      </c>
      <c r="C2500" s="47">
        <v>17.85</v>
      </c>
      <c r="D2500" s="35">
        <v>46071.0</v>
      </c>
      <c r="E2500" s="47">
        <v>1.785</v>
      </c>
      <c r="F2500" s="47">
        <v>525.0</v>
      </c>
      <c r="G2500" s="48">
        <v>0.294117647058823</v>
      </c>
      <c r="H2500" s="24" t="s">
        <v>3249</v>
      </c>
      <c r="I2500" s="47"/>
      <c r="J2500" s="24">
        <v>0.0</v>
      </c>
    </row>
    <row r="2501">
      <c r="A2501" s="24">
        <v>56.0</v>
      </c>
      <c r="B2501" s="24">
        <v>15.0</v>
      </c>
      <c r="C2501" s="47">
        <v>32.713499</v>
      </c>
      <c r="D2501" s="35">
        <v>46072.0</v>
      </c>
      <c r="E2501" s="47">
        <v>2.18089993333333</v>
      </c>
      <c r="F2501" s="47">
        <v>584.169625</v>
      </c>
      <c r="G2501" s="48">
        <v>0.267857142857142</v>
      </c>
      <c r="H2501" s="24" t="s">
        <v>3249</v>
      </c>
      <c r="I2501" s="47"/>
      <c r="J2501" s="24">
        <v>0.0</v>
      </c>
    </row>
    <row r="2502">
      <c r="A2502" s="24">
        <v>46.0</v>
      </c>
      <c r="B2502" s="24">
        <v>10.0</v>
      </c>
      <c r="C2502" s="47">
        <v>15.698846</v>
      </c>
      <c r="D2502" s="35">
        <v>46073.0</v>
      </c>
      <c r="E2502" s="47">
        <v>1.5698846</v>
      </c>
      <c r="F2502" s="47">
        <v>341.279260869565</v>
      </c>
      <c r="G2502" s="48">
        <v>0.217391304347826</v>
      </c>
      <c r="H2502" s="24" t="s">
        <v>3249</v>
      </c>
      <c r="I2502" s="47"/>
      <c r="J2502" s="24">
        <v>0.0</v>
      </c>
    </row>
    <row r="2503">
      <c r="A2503" s="24">
        <v>8.0</v>
      </c>
      <c r="B2503" s="24">
        <v>2.0</v>
      </c>
      <c r="C2503" s="47">
        <v>3.76</v>
      </c>
      <c r="D2503" s="35">
        <v>46074.0</v>
      </c>
      <c r="E2503" s="47">
        <v>1.88</v>
      </c>
      <c r="F2503" s="47">
        <v>470.0</v>
      </c>
      <c r="G2503" s="48">
        <v>0.25</v>
      </c>
      <c r="H2503" s="24" t="s">
        <v>3249</v>
      </c>
      <c r="I2503" s="47"/>
      <c r="J2503" s="24">
        <v>0.0</v>
      </c>
    </row>
    <row r="2504">
      <c r="A2504" s="24">
        <v>2.0</v>
      </c>
      <c r="B2504" s="24">
        <v>0.0</v>
      </c>
      <c r="C2504" s="47">
        <v>0.0</v>
      </c>
      <c r="D2504" s="35">
        <v>46075.0</v>
      </c>
      <c r="E2504" s="47"/>
      <c r="F2504" s="47">
        <v>0.0</v>
      </c>
      <c r="G2504" s="48">
        <v>0.0</v>
      </c>
      <c r="H2504" s="24" t="s">
        <v>3249</v>
      </c>
      <c r="I2504" s="47"/>
      <c r="J2504" s="24">
        <v>0.0</v>
      </c>
    </row>
    <row r="2505">
      <c r="A2505" s="24">
        <v>51.0</v>
      </c>
      <c r="B2505" s="24">
        <v>15.0</v>
      </c>
      <c r="C2505" s="47">
        <v>24.007904</v>
      </c>
      <c r="D2505" s="35">
        <v>46076.0</v>
      </c>
      <c r="E2505" s="47">
        <v>1.60052693333333</v>
      </c>
      <c r="F2505" s="47">
        <v>470.743215686274</v>
      </c>
      <c r="G2505" s="48">
        <v>0.294117647058823</v>
      </c>
      <c r="H2505" s="24" t="s">
        <v>3249</v>
      </c>
      <c r="I2505" s="47"/>
      <c r="J2505" s="24">
        <v>0.0</v>
      </c>
    </row>
    <row r="2506">
      <c r="A2506" s="24">
        <v>55.0</v>
      </c>
      <c r="B2506" s="24">
        <v>11.0</v>
      </c>
      <c r="C2506" s="47">
        <v>16.399136</v>
      </c>
      <c r="D2506" s="35">
        <v>46077.0</v>
      </c>
      <c r="E2506" s="47">
        <v>1.49083054545454</v>
      </c>
      <c r="F2506" s="47">
        <v>298.166109090909</v>
      </c>
      <c r="G2506" s="48">
        <v>0.2</v>
      </c>
      <c r="H2506" s="24" t="s">
        <v>3249</v>
      </c>
      <c r="I2506" s="47"/>
      <c r="J2506" s="24">
        <v>0.0</v>
      </c>
    </row>
    <row r="2507">
      <c r="A2507" s="24">
        <v>48.0</v>
      </c>
      <c r="B2507" s="24">
        <v>12.0</v>
      </c>
      <c r="C2507" s="47">
        <v>23.359428</v>
      </c>
      <c r="D2507" s="35">
        <v>46078.0</v>
      </c>
      <c r="E2507" s="47">
        <v>1.946619</v>
      </c>
      <c r="F2507" s="47">
        <v>486.65475</v>
      </c>
      <c r="G2507" s="48">
        <v>0.25</v>
      </c>
      <c r="H2507" s="24" t="s">
        <v>3249</v>
      </c>
      <c r="I2507" s="47">
        <v>23.359428</v>
      </c>
      <c r="J2507" s="24">
        <v>1.0</v>
      </c>
    </row>
    <row r="2508">
      <c r="A2508" s="24">
        <v>57.0</v>
      </c>
      <c r="B2508" s="24">
        <v>11.0</v>
      </c>
      <c r="C2508" s="47">
        <v>20.464627</v>
      </c>
      <c r="D2508" s="35">
        <v>46079.0</v>
      </c>
      <c r="E2508" s="47">
        <v>1.86042063636363</v>
      </c>
      <c r="F2508" s="47">
        <v>359.028543859649</v>
      </c>
      <c r="G2508" s="48">
        <v>0.19298245614035</v>
      </c>
      <c r="H2508" s="24" t="s">
        <v>3249</v>
      </c>
      <c r="I2508" s="47"/>
      <c r="J2508" s="24">
        <v>0.0</v>
      </c>
    </row>
    <row r="2509">
      <c r="A2509" s="24">
        <v>58.0</v>
      </c>
      <c r="B2509" s="24">
        <v>16.0</v>
      </c>
      <c r="C2509" s="47">
        <v>26.884201</v>
      </c>
      <c r="D2509" s="35">
        <v>46080.0</v>
      </c>
      <c r="E2509" s="47">
        <v>1.6802625625</v>
      </c>
      <c r="F2509" s="47">
        <v>463.520706896551</v>
      </c>
      <c r="G2509" s="48">
        <v>0.275862068965517</v>
      </c>
      <c r="H2509" s="24" t="s">
        <v>3249</v>
      </c>
      <c r="I2509" s="47"/>
      <c r="J2509" s="24">
        <v>0.0</v>
      </c>
    </row>
    <row r="2510">
      <c r="A2510" s="24">
        <v>7.0</v>
      </c>
      <c r="B2510" s="24">
        <v>3.0</v>
      </c>
      <c r="C2510" s="47">
        <v>7.96</v>
      </c>
      <c r="D2510" s="35">
        <v>46081.0</v>
      </c>
      <c r="E2510" s="47">
        <v>2.65333333333333</v>
      </c>
      <c r="F2510" s="47">
        <v>1137.14285714285</v>
      </c>
      <c r="G2510" s="48">
        <v>0.428571428571428</v>
      </c>
      <c r="H2510" s="24" t="s">
        <v>3249</v>
      </c>
      <c r="I2510" s="47"/>
      <c r="J2510" s="24">
        <v>0.0</v>
      </c>
    </row>
    <row r="2511">
      <c r="A2511" s="24">
        <v>45.0</v>
      </c>
      <c r="B2511" s="24">
        <v>18.0</v>
      </c>
      <c r="C2511" s="47">
        <v>36.738305</v>
      </c>
      <c r="D2511" s="35">
        <v>46083.0</v>
      </c>
      <c r="E2511" s="47">
        <v>2.04101694444444</v>
      </c>
      <c r="F2511" s="47">
        <v>816.406777777777</v>
      </c>
      <c r="G2511" s="48">
        <v>0.4</v>
      </c>
      <c r="H2511" s="24" t="s">
        <v>3249</v>
      </c>
      <c r="I2511" s="47"/>
      <c r="J2511" s="24">
        <v>0.0</v>
      </c>
    </row>
    <row r="2512">
      <c r="A2512" s="24">
        <v>25.0</v>
      </c>
      <c r="B2512" s="24">
        <v>13.0</v>
      </c>
      <c r="C2512" s="47">
        <v>23.343436</v>
      </c>
      <c r="D2512" s="35">
        <v>46084.0</v>
      </c>
      <c r="E2512" s="47">
        <v>1.79564892307692</v>
      </c>
      <c r="F2512" s="47">
        <v>933.73744</v>
      </c>
      <c r="G2512" s="48">
        <v>0.52</v>
      </c>
      <c r="H2512" s="24" t="s">
        <v>3249</v>
      </c>
      <c r="I2512" s="47"/>
      <c r="J2512" s="24">
        <v>0.0</v>
      </c>
    </row>
    <row r="2513">
      <c r="A2513" s="24">
        <v>24.0</v>
      </c>
      <c r="B2513" s="24">
        <v>7.0</v>
      </c>
      <c r="C2513" s="47">
        <v>16.23</v>
      </c>
      <c r="D2513" s="35">
        <v>46085.0</v>
      </c>
      <c r="E2513" s="47">
        <v>2.31857142857142</v>
      </c>
      <c r="F2513" s="47">
        <v>676.25</v>
      </c>
      <c r="G2513" s="48">
        <v>0.291666666666666</v>
      </c>
      <c r="H2513" s="24" t="s">
        <v>3249</v>
      </c>
      <c r="I2513" s="47"/>
      <c r="J2513" s="24">
        <v>0.0</v>
      </c>
    </row>
    <row r="2514">
      <c r="A2514" s="24">
        <v>29.0</v>
      </c>
      <c r="B2514" s="24">
        <v>10.0</v>
      </c>
      <c r="C2514" s="47">
        <v>22.21599</v>
      </c>
      <c r="D2514" s="35">
        <v>46086.0</v>
      </c>
      <c r="E2514" s="47">
        <v>2.221599</v>
      </c>
      <c r="F2514" s="47">
        <v>766.068620689655</v>
      </c>
      <c r="G2514" s="48">
        <v>0.344827586206896</v>
      </c>
      <c r="H2514" s="24" t="s">
        <v>3249</v>
      </c>
      <c r="I2514" s="47"/>
      <c r="J2514" s="24">
        <v>0.0</v>
      </c>
    </row>
    <row r="2515">
      <c r="A2515" s="24">
        <v>33.0</v>
      </c>
      <c r="B2515" s="24">
        <v>12.0</v>
      </c>
      <c r="C2515" s="47">
        <v>22.9</v>
      </c>
      <c r="D2515" s="35">
        <v>46087.0</v>
      </c>
      <c r="E2515" s="47">
        <v>1.90833333333333</v>
      </c>
      <c r="F2515" s="47">
        <v>693.939393939393</v>
      </c>
      <c r="G2515" s="48">
        <v>0.363636363636363</v>
      </c>
      <c r="H2515" s="24" t="s">
        <v>3249</v>
      </c>
      <c r="I2515" s="47"/>
      <c r="J2515" s="24">
        <v>0.0</v>
      </c>
    </row>
    <row r="2516">
      <c r="A2516" s="24">
        <v>2.0</v>
      </c>
      <c r="B2516" s="24">
        <v>0.0</v>
      </c>
      <c r="C2516" s="47">
        <v>0.0</v>
      </c>
      <c r="D2516" s="35">
        <v>46088.0</v>
      </c>
      <c r="E2516" s="47"/>
      <c r="F2516" s="47">
        <v>0.0</v>
      </c>
      <c r="G2516" s="48">
        <v>0.0</v>
      </c>
      <c r="H2516" s="24" t="s">
        <v>3249</v>
      </c>
      <c r="I2516" s="47"/>
      <c r="J2516" s="24">
        <v>0.0</v>
      </c>
    </row>
    <row r="2517">
      <c r="A2517" s="24">
        <v>2.0</v>
      </c>
      <c r="B2517" s="24">
        <v>1.0</v>
      </c>
      <c r="C2517" s="47">
        <v>0.16</v>
      </c>
      <c r="D2517" s="35">
        <v>46089.0</v>
      </c>
      <c r="E2517" s="47">
        <v>0.16</v>
      </c>
      <c r="F2517" s="47">
        <v>80.0</v>
      </c>
      <c r="G2517" s="48">
        <v>0.5</v>
      </c>
      <c r="H2517" s="24" t="s">
        <v>3249</v>
      </c>
      <c r="I2517" s="47"/>
      <c r="J2517" s="24">
        <v>0.0</v>
      </c>
    </row>
    <row r="2518">
      <c r="A2518" s="24">
        <v>21.0</v>
      </c>
      <c r="B2518" s="24">
        <v>9.0</v>
      </c>
      <c r="C2518" s="47">
        <v>13.882448</v>
      </c>
      <c r="D2518" s="35">
        <v>46090.0</v>
      </c>
      <c r="E2518" s="47">
        <v>1.54249422222222</v>
      </c>
      <c r="F2518" s="47">
        <v>661.068952380952</v>
      </c>
      <c r="G2518" s="48">
        <v>0.428571428571428</v>
      </c>
      <c r="H2518" s="24" t="s">
        <v>3249</v>
      </c>
      <c r="I2518" s="47"/>
      <c r="J2518" s="24">
        <v>0.0</v>
      </c>
    </row>
    <row r="2519">
      <c r="A2519" s="24">
        <v>21.0</v>
      </c>
      <c r="B2519" s="24">
        <v>7.0</v>
      </c>
      <c r="C2519" s="47">
        <v>10.15787</v>
      </c>
      <c r="D2519" s="35">
        <v>46091.0</v>
      </c>
      <c r="E2519" s="47">
        <v>1.45112428571428</v>
      </c>
      <c r="F2519" s="47">
        <v>483.708095238095</v>
      </c>
      <c r="G2519" s="48">
        <v>0.333333333333333</v>
      </c>
      <c r="H2519" s="24" t="s">
        <v>3249</v>
      </c>
      <c r="I2519" s="47"/>
      <c r="J2519" s="24">
        <v>0.0</v>
      </c>
    </row>
    <row r="2520">
      <c r="A2520" s="24">
        <v>42.0</v>
      </c>
      <c r="B2520" s="24">
        <v>14.0</v>
      </c>
      <c r="C2520" s="47">
        <v>22.766404</v>
      </c>
      <c r="D2520" s="35">
        <v>46092.0</v>
      </c>
      <c r="E2520" s="47">
        <v>1.62617171428571</v>
      </c>
      <c r="F2520" s="47">
        <v>542.057238095238</v>
      </c>
      <c r="G2520" s="48">
        <v>0.333333333333333</v>
      </c>
      <c r="H2520" s="24" t="s">
        <v>3249</v>
      </c>
      <c r="I2520" s="47"/>
      <c r="J2520" s="24">
        <v>0.0</v>
      </c>
    </row>
    <row r="2521">
      <c r="A2521" s="24">
        <v>19.0</v>
      </c>
      <c r="B2521" s="24">
        <v>5.0</v>
      </c>
      <c r="C2521" s="47">
        <v>10.71</v>
      </c>
      <c r="D2521" s="35">
        <v>46093.0</v>
      </c>
      <c r="E2521" s="47">
        <v>2.142</v>
      </c>
      <c r="F2521" s="47">
        <v>563.684210526315</v>
      </c>
      <c r="G2521" s="48">
        <v>0.263157894736842</v>
      </c>
      <c r="H2521" s="24" t="s">
        <v>3249</v>
      </c>
      <c r="I2521" s="47"/>
      <c r="J2521" s="24">
        <v>0.0</v>
      </c>
    </row>
    <row r="2522">
      <c r="A2522" s="24">
        <v>29.0</v>
      </c>
      <c r="B2522" s="24">
        <v>12.0</v>
      </c>
      <c r="C2522" s="47">
        <v>29.698228</v>
      </c>
      <c r="D2522" s="35">
        <v>46094.0</v>
      </c>
      <c r="E2522" s="47">
        <v>2.47485233333333</v>
      </c>
      <c r="F2522" s="47">
        <v>1024.0768275862</v>
      </c>
      <c r="G2522" s="48">
        <v>0.413793103448275</v>
      </c>
      <c r="H2522" s="24" t="s">
        <v>3249</v>
      </c>
      <c r="I2522" s="47">
        <v>29.698228</v>
      </c>
      <c r="J2522" s="24">
        <v>1.0</v>
      </c>
    </row>
    <row r="2523">
      <c r="A2523" s="24">
        <v>2.0</v>
      </c>
      <c r="B2523" s="24">
        <v>1.0</v>
      </c>
      <c r="C2523" s="47">
        <v>3.0</v>
      </c>
      <c r="D2523" s="35">
        <v>46095.0</v>
      </c>
      <c r="E2523" s="47">
        <v>3.0</v>
      </c>
      <c r="F2523" s="47">
        <v>1500.0</v>
      </c>
      <c r="G2523" s="48">
        <v>0.5</v>
      </c>
      <c r="H2523" s="24" t="s">
        <v>3249</v>
      </c>
      <c r="I2523" s="47"/>
      <c r="J2523" s="24">
        <v>0.0</v>
      </c>
    </row>
    <row r="2524">
      <c r="A2524" s="24">
        <v>8.0</v>
      </c>
      <c r="B2524" s="24">
        <v>4.0</v>
      </c>
      <c r="C2524" s="47">
        <v>9.03</v>
      </c>
      <c r="D2524" s="35">
        <v>46096.0</v>
      </c>
      <c r="E2524" s="47">
        <v>2.2575</v>
      </c>
      <c r="F2524" s="47">
        <v>1128.75</v>
      </c>
      <c r="G2524" s="48">
        <v>0.5</v>
      </c>
      <c r="H2524" s="24" t="s">
        <v>3249</v>
      </c>
      <c r="I2524" s="47"/>
      <c r="J2524" s="24">
        <v>0.0</v>
      </c>
    </row>
    <row r="2525">
      <c r="A2525" s="24">
        <v>45.0</v>
      </c>
      <c r="B2525" s="24">
        <v>15.0</v>
      </c>
      <c r="C2525" s="47">
        <v>30.8</v>
      </c>
      <c r="D2525" s="35">
        <v>46097.0</v>
      </c>
      <c r="E2525" s="47">
        <v>2.05333333333333</v>
      </c>
      <c r="F2525" s="47">
        <v>684.444444444444</v>
      </c>
      <c r="G2525" s="48">
        <v>0.333333333333333</v>
      </c>
      <c r="H2525" s="24" t="s">
        <v>3249</v>
      </c>
      <c r="I2525" s="47"/>
      <c r="J2525" s="24">
        <v>0.0</v>
      </c>
    </row>
    <row r="2526">
      <c r="A2526" s="24">
        <v>32.0</v>
      </c>
      <c r="B2526" s="24">
        <v>16.0</v>
      </c>
      <c r="C2526" s="47">
        <v>26.66096</v>
      </c>
      <c r="D2526" s="35">
        <v>46098.0</v>
      </c>
      <c r="E2526" s="47">
        <v>1.66631</v>
      </c>
      <c r="F2526" s="47">
        <v>833.155</v>
      </c>
      <c r="G2526" s="48">
        <v>0.5</v>
      </c>
      <c r="H2526" s="24" t="s">
        <v>3249</v>
      </c>
      <c r="I2526" s="47"/>
      <c r="J2526" s="24">
        <v>0.0</v>
      </c>
    </row>
    <row r="2527">
      <c r="A2527" s="24">
        <v>31.0</v>
      </c>
      <c r="B2527" s="24">
        <v>11.0</v>
      </c>
      <c r="C2527" s="47">
        <v>26.310721</v>
      </c>
      <c r="D2527" s="35">
        <v>46099.0</v>
      </c>
      <c r="E2527" s="47">
        <v>2.39188372727272</v>
      </c>
      <c r="F2527" s="47">
        <v>848.73293548387</v>
      </c>
      <c r="G2527" s="48">
        <v>0.354838709677419</v>
      </c>
      <c r="H2527" s="24" t="s">
        <v>3249</v>
      </c>
      <c r="I2527" s="47"/>
      <c r="J2527" s="24">
        <v>0.0</v>
      </c>
    </row>
    <row r="2528">
      <c r="A2528" s="24">
        <v>37.0</v>
      </c>
      <c r="B2528" s="24">
        <v>11.0</v>
      </c>
      <c r="C2528" s="47">
        <v>21.534928</v>
      </c>
      <c r="D2528" s="35">
        <v>46100.0</v>
      </c>
      <c r="E2528" s="47">
        <v>1.95772072727272</v>
      </c>
      <c r="F2528" s="47">
        <v>582.025081081081</v>
      </c>
      <c r="G2528" s="48">
        <v>0.297297297297297</v>
      </c>
      <c r="H2528" s="24" t="s">
        <v>3249</v>
      </c>
      <c r="I2528" s="47"/>
      <c r="J2528" s="24">
        <v>0.0</v>
      </c>
    </row>
    <row r="2529">
      <c r="A2529" s="24">
        <v>23.0</v>
      </c>
      <c r="B2529" s="24">
        <v>8.0</v>
      </c>
      <c r="C2529" s="47">
        <v>11.95</v>
      </c>
      <c r="D2529" s="35">
        <v>46101.0</v>
      </c>
      <c r="E2529" s="47">
        <v>1.49375</v>
      </c>
      <c r="F2529" s="47">
        <v>519.565217391304</v>
      </c>
      <c r="G2529" s="48">
        <v>0.347826086956521</v>
      </c>
      <c r="H2529" s="24" t="s">
        <v>3249</v>
      </c>
      <c r="I2529" s="47">
        <v>11.95</v>
      </c>
      <c r="J2529" s="24">
        <v>1.0</v>
      </c>
    </row>
    <row r="2530">
      <c r="A2530" s="24">
        <v>1.0</v>
      </c>
      <c r="B2530" s="24">
        <v>1.0</v>
      </c>
      <c r="C2530" s="47">
        <v>0.232608</v>
      </c>
      <c r="D2530" s="35">
        <v>46102.0</v>
      </c>
      <c r="E2530" s="47">
        <v>0.232608</v>
      </c>
      <c r="F2530" s="47">
        <v>232.608</v>
      </c>
      <c r="G2530" s="48">
        <v>1.0</v>
      </c>
      <c r="H2530" s="24" t="s">
        <v>3249</v>
      </c>
      <c r="I2530" s="47"/>
      <c r="J2530" s="24">
        <v>0.0</v>
      </c>
    </row>
    <row r="2531">
      <c r="A2531" s="24">
        <v>2.0</v>
      </c>
      <c r="B2531" s="24">
        <v>2.0</v>
      </c>
      <c r="C2531" s="47">
        <v>5.38</v>
      </c>
      <c r="D2531" s="35">
        <v>46103.0</v>
      </c>
      <c r="E2531" s="47">
        <v>2.69</v>
      </c>
      <c r="F2531" s="47">
        <v>2690.0</v>
      </c>
      <c r="G2531" s="48">
        <v>1.0</v>
      </c>
      <c r="H2531" s="24" t="s">
        <v>3249</v>
      </c>
      <c r="I2531" s="47"/>
      <c r="J2531" s="24">
        <v>0.0</v>
      </c>
    </row>
    <row r="2532">
      <c r="A2532" s="24">
        <v>25.0</v>
      </c>
      <c r="B2532" s="24">
        <v>12.0</v>
      </c>
      <c r="C2532" s="47">
        <v>26.648078</v>
      </c>
      <c r="D2532" s="35">
        <v>46104.0</v>
      </c>
      <c r="E2532" s="47">
        <v>2.22067316666666</v>
      </c>
      <c r="F2532" s="47">
        <v>1065.92312</v>
      </c>
      <c r="G2532" s="48">
        <v>0.48</v>
      </c>
      <c r="H2532" s="24" t="s">
        <v>3249</v>
      </c>
      <c r="I2532" s="47"/>
      <c r="J2532" s="24">
        <v>0.0</v>
      </c>
    </row>
    <row r="2533">
      <c r="A2533" s="24">
        <v>34.0</v>
      </c>
      <c r="B2533" s="24">
        <v>16.0</v>
      </c>
      <c r="C2533" s="47">
        <v>37.04353</v>
      </c>
      <c r="D2533" s="35">
        <v>46105.0</v>
      </c>
      <c r="E2533" s="47">
        <v>2.315220625</v>
      </c>
      <c r="F2533" s="47">
        <v>1089.51558823529</v>
      </c>
      <c r="G2533" s="48">
        <v>0.470588235294117</v>
      </c>
      <c r="H2533" s="24" t="s">
        <v>3249</v>
      </c>
      <c r="I2533" s="47"/>
      <c r="J2533" s="24">
        <v>0.0</v>
      </c>
    </row>
    <row r="2534">
      <c r="A2534" s="24">
        <v>36.0</v>
      </c>
      <c r="B2534" s="24">
        <v>18.0</v>
      </c>
      <c r="C2534" s="47">
        <v>30.412712</v>
      </c>
      <c r="D2534" s="35">
        <v>46106.0</v>
      </c>
      <c r="E2534" s="47">
        <v>1.68959511111111</v>
      </c>
      <c r="F2534" s="47">
        <v>844.797555555555</v>
      </c>
      <c r="G2534" s="48">
        <v>0.5</v>
      </c>
      <c r="H2534" s="24" t="s">
        <v>3249</v>
      </c>
      <c r="I2534" s="47"/>
      <c r="J2534" s="24">
        <v>0.0</v>
      </c>
    </row>
    <row r="2535">
      <c r="A2535" s="24">
        <v>22.0</v>
      </c>
      <c r="B2535" s="24">
        <v>15.0</v>
      </c>
      <c r="C2535" s="47">
        <v>30.63</v>
      </c>
      <c r="D2535" s="35">
        <v>46107.0</v>
      </c>
      <c r="E2535" s="47">
        <v>2.042</v>
      </c>
      <c r="F2535" s="47">
        <v>1392.27272727272</v>
      </c>
      <c r="G2535" s="48">
        <v>0.681818181818181</v>
      </c>
      <c r="H2535" s="24" t="s">
        <v>3249</v>
      </c>
      <c r="I2535" s="47"/>
      <c r="J2535" s="24">
        <v>0.0</v>
      </c>
    </row>
    <row r="2536">
      <c r="A2536" s="24">
        <v>27.0</v>
      </c>
      <c r="B2536" s="24">
        <v>13.0</v>
      </c>
      <c r="C2536" s="47">
        <v>33.63</v>
      </c>
      <c r="D2536" s="35">
        <v>46108.0</v>
      </c>
      <c r="E2536" s="47">
        <v>2.58692307692307</v>
      </c>
      <c r="F2536" s="47">
        <v>1245.55555555555</v>
      </c>
      <c r="G2536" s="48">
        <v>0.481481481481481</v>
      </c>
      <c r="H2536" s="24" t="s">
        <v>3249</v>
      </c>
      <c r="I2536" s="47"/>
      <c r="J2536" s="24">
        <v>0.0</v>
      </c>
    </row>
    <row r="2537">
      <c r="A2537" s="24">
        <v>2.0</v>
      </c>
      <c r="B2537" s="24">
        <v>2.0</v>
      </c>
      <c r="C2537" s="47">
        <v>5.49</v>
      </c>
      <c r="D2537" s="35">
        <v>46109.0</v>
      </c>
      <c r="E2537" s="47">
        <v>2.745</v>
      </c>
      <c r="F2537" s="47">
        <v>2745.0</v>
      </c>
      <c r="G2537" s="48">
        <v>1.0</v>
      </c>
      <c r="H2537" s="24" t="s">
        <v>3249</v>
      </c>
      <c r="I2537" s="47"/>
      <c r="J2537" s="24">
        <v>0.0</v>
      </c>
    </row>
    <row r="2538">
      <c r="A2538" s="24">
        <v>4.0</v>
      </c>
      <c r="B2538" s="24">
        <v>3.0</v>
      </c>
      <c r="C2538" s="47">
        <v>7.3</v>
      </c>
      <c r="D2538" s="35">
        <v>46110.0</v>
      </c>
      <c r="E2538" s="47">
        <v>2.43333333333333</v>
      </c>
      <c r="F2538" s="47">
        <v>1825.0</v>
      </c>
      <c r="G2538" s="48">
        <v>0.75</v>
      </c>
      <c r="H2538" s="24" t="s">
        <v>3249</v>
      </c>
      <c r="I2538" s="47"/>
      <c r="J2538" s="24">
        <v>0.0</v>
      </c>
    </row>
    <row r="2539">
      <c r="A2539" s="24">
        <v>25.0</v>
      </c>
      <c r="B2539" s="24">
        <v>14.0</v>
      </c>
      <c r="C2539" s="47">
        <v>29.21</v>
      </c>
      <c r="D2539" s="35">
        <v>46111.0</v>
      </c>
      <c r="E2539" s="47">
        <v>2.08642857142857</v>
      </c>
      <c r="F2539" s="47">
        <v>1168.4</v>
      </c>
      <c r="G2539" s="48">
        <v>0.56</v>
      </c>
      <c r="H2539" s="24" t="s">
        <v>3249</v>
      </c>
      <c r="I2539" s="47"/>
      <c r="J2539" s="24">
        <v>0.0</v>
      </c>
    </row>
    <row r="2540">
      <c r="A2540" s="24">
        <v>24.0</v>
      </c>
      <c r="B2540" s="24">
        <v>6.0</v>
      </c>
      <c r="C2540" s="47">
        <v>12.48</v>
      </c>
      <c r="D2540" s="35">
        <v>46112.0</v>
      </c>
      <c r="E2540" s="47">
        <v>2.08</v>
      </c>
      <c r="F2540" s="47">
        <v>520.0</v>
      </c>
      <c r="G2540" s="48">
        <v>0.25</v>
      </c>
      <c r="H2540" s="24" t="s">
        <v>3249</v>
      </c>
      <c r="I2540" s="47"/>
      <c r="J2540" s="24">
        <v>0.0</v>
      </c>
    </row>
    <row r="2541">
      <c r="A2541" s="24">
        <v>26.0</v>
      </c>
      <c r="B2541" s="24">
        <v>12.0</v>
      </c>
      <c r="C2541" s="47">
        <v>18.939816</v>
      </c>
      <c r="D2541" s="35">
        <v>46113.0</v>
      </c>
      <c r="E2541" s="47">
        <v>1.578318</v>
      </c>
      <c r="F2541" s="47">
        <v>728.454461538461</v>
      </c>
      <c r="G2541" s="48">
        <v>0.461538461538461</v>
      </c>
      <c r="H2541" s="24" t="s">
        <v>3249</v>
      </c>
      <c r="I2541" s="47"/>
      <c r="J2541" s="24">
        <v>0.0</v>
      </c>
    </row>
    <row r="2542">
      <c r="A2542" s="24">
        <v>37.0</v>
      </c>
      <c r="B2542" s="24">
        <v>16.0</v>
      </c>
      <c r="C2542" s="47">
        <v>22.124472</v>
      </c>
      <c r="D2542" s="35">
        <v>46114.0</v>
      </c>
      <c r="E2542" s="47">
        <v>1.3827795</v>
      </c>
      <c r="F2542" s="47">
        <v>597.958702702702</v>
      </c>
      <c r="G2542" s="48">
        <v>0.432432432432432</v>
      </c>
      <c r="H2542" s="24" t="s">
        <v>3249</v>
      </c>
      <c r="I2542" s="47"/>
      <c r="J2542" s="24">
        <v>0.0</v>
      </c>
    </row>
    <row r="2543">
      <c r="A2543" s="24">
        <v>20.0</v>
      </c>
      <c r="B2543" s="24">
        <v>7.0</v>
      </c>
      <c r="C2543" s="47">
        <v>12.45</v>
      </c>
      <c r="D2543" s="35">
        <v>46115.0</v>
      </c>
      <c r="E2543" s="47">
        <v>1.77857142857142</v>
      </c>
      <c r="F2543" s="47">
        <v>622.5</v>
      </c>
      <c r="G2543" s="48">
        <v>0.35</v>
      </c>
      <c r="H2543" s="24" t="s">
        <v>3249</v>
      </c>
      <c r="I2543" s="47"/>
      <c r="J2543" s="24">
        <v>0.0</v>
      </c>
    </row>
    <row r="2544">
      <c r="A2544" s="24">
        <v>1.0</v>
      </c>
      <c r="B2544" s="24">
        <v>1.0</v>
      </c>
      <c r="C2544" s="47">
        <v>2.96</v>
      </c>
      <c r="D2544" s="35">
        <v>46116.0</v>
      </c>
      <c r="E2544" s="47">
        <v>2.96</v>
      </c>
      <c r="F2544" s="47">
        <v>2960.0</v>
      </c>
      <c r="G2544" s="48">
        <v>1.0</v>
      </c>
      <c r="H2544" s="24" t="s">
        <v>3249</v>
      </c>
      <c r="I2544" s="47"/>
      <c r="J2544" s="24">
        <v>0.0</v>
      </c>
    </row>
    <row r="2545">
      <c r="A2545" s="24">
        <v>6.0</v>
      </c>
      <c r="B2545" s="24">
        <v>4.0</v>
      </c>
      <c r="C2545" s="47">
        <v>11.642635</v>
      </c>
      <c r="D2545" s="35">
        <v>46117.0</v>
      </c>
      <c r="E2545" s="47">
        <v>2.91065875</v>
      </c>
      <c r="F2545" s="47">
        <v>1940.43916666666</v>
      </c>
      <c r="G2545" s="48">
        <v>0.666666666666666</v>
      </c>
      <c r="H2545" s="24" t="s">
        <v>3249</v>
      </c>
      <c r="I2545" s="47"/>
      <c r="J2545" s="24">
        <v>0.0</v>
      </c>
    </row>
    <row r="2546">
      <c r="A2546" s="24">
        <v>31.0</v>
      </c>
      <c r="B2546" s="24">
        <v>7.0</v>
      </c>
      <c r="C2546" s="47">
        <v>17.44</v>
      </c>
      <c r="D2546" s="35">
        <v>46118.0</v>
      </c>
      <c r="E2546" s="47">
        <v>2.49142857142857</v>
      </c>
      <c r="F2546" s="47">
        <v>562.58064516129</v>
      </c>
      <c r="G2546" s="48">
        <v>0.225806451612903</v>
      </c>
      <c r="H2546" s="24" t="s">
        <v>3249</v>
      </c>
      <c r="I2546" s="47"/>
      <c r="J2546" s="24">
        <v>0.0</v>
      </c>
    </row>
    <row r="2547">
      <c r="A2547" s="24">
        <v>22.0</v>
      </c>
      <c r="B2547" s="24">
        <v>12.0</v>
      </c>
      <c r="C2547" s="47">
        <v>26.18</v>
      </c>
      <c r="D2547" s="35">
        <v>46119.0</v>
      </c>
      <c r="E2547" s="47">
        <v>2.18166666666666</v>
      </c>
      <c r="F2547" s="47">
        <v>1190.0</v>
      </c>
      <c r="G2547" s="48">
        <v>0.545454545454545</v>
      </c>
      <c r="H2547" s="24" t="s">
        <v>3249</v>
      </c>
      <c r="I2547" s="47"/>
      <c r="J2547" s="24">
        <v>0.0</v>
      </c>
    </row>
    <row r="2548">
      <c r="A2548" s="24">
        <v>6.0</v>
      </c>
      <c r="B2548" s="24">
        <v>2.0</v>
      </c>
      <c r="C2548" s="47">
        <v>5.74</v>
      </c>
      <c r="D2548" s="35">
        <v>46120.0</v>
      </c>
      <c r="E2548" s="47">
        <v>2.87</v>
      </c>
      <c r="F2548" s="47">
        <v>956.666666666666</v>
      </c>
      <c r="G2548" s="48">
        <v>0.333333333333333</v>
      </c>
      <c r="H2548" s="24" t="s">
        <v>3249</v>
      </c>
      <c r="I2548" s="47"/>
      <c r="J2548" s="24">
        <v>0.0</v>
      </c>
    </row>
    <row r="2549">
      <c r="A2549" s="24">
        <v>76.0</v>
      </c>
      <c r="B2549" s="24">
        <v>0.0</v>
      </c>
      <c r="C2549" s="47">
        <v>0.0</v>
      </c>
      <c r="D2549" s="35">
        <v>45870.0</v>
      </c>
      <c r="E2549" s="47"/>
      <c r="F2549" s="47">
        <v>0.0</v>
      </c>
      <c r="G2549" s="48">
        <v>0.0</v>
      </c>
      <c r="H2549" s="24" t="s">
        <v>3553</v>
      </c>
      <c r="I2549" s="47"/>
      <c r="J2549" s="24">
        <v>0.0</v>
      </c>
    </row>
    <row r="2550">
      <c r="A2550" s="24">
        <v>18.0</v>
      </c>
      <c r="B2550" s="24">
        <v>0.0</v>
      </c>
      <c r="C2550" s="47">
        <v>0.0</v>
      </c>
      <c r="D2550" s="35">
        <v>45871.0</v>
      </c>
      <c r="E2550" s="47"/>
      <c r="F2550" s="47">
        <v>0.0</v>
      </c>
      <c r="G2550" s="48">
        <v>0.0</v>
      </c>
      <c r="H2550" s="24" t="s">
        <v>3553</v>
      </c>
      <c r="I2550" s="47"/>
      <c r="J2550" s="24">
        <v>0.0</v>
      </c>
    </row>
    <row r="2551">
      <c r="A2551" s="24">
        <v>11.0</v>
      </c>
      <c r="B2551" s="24">
        <v>0.0</v>
      </c>
      <c r="C2551" s="47">
        <v>0.0</v>
      </c>
      <c r="D2551" s="35">
        <v>45872.0</v>
      </c>
      <c r="E2551" s="47"/>
      <c r="F2551" s="47">
        <v>0.0</v>
      </c>
      <c r="G2551" s="48">
        <v>0.0</v>
      </c>
      <c r="H2551" s="24" t="s">
        <v>3553</v>
      </c>
      <c r="I2551" s="47"/>
      <c r="J2551" s="24">
        <v>0.0</v>
      </c>
    </row>
    <row r="2552">
      <c r="A2552" s="24">
        <v>89.0</v>
      </c>
      <c r="B2552" s="24">
        <v>0.0</v>
      </c>
      <c r="C2552" s="47">
        <v>0.0</v>
      </c>
      <c r="D2552" s="35">
        <v>45873.0</v>
      </c>
      <c r="E2552" s="47"/>
      <c r="F2552" s="47">
        <v>0.0</v>
      </c>
      <c r="G2552" s="48">
        <v>0.0</v>
      </c>
      <c r="H2552" s="24" t="s">
        <v>3553</v>
      </c>
      <c r="I2552" s="47"/>
      <c r="J2552" s="24">
        <v>0.0</v>
      </c>
    </row>
    <row r="2553">
      <c r="A2553" s="24">
        <v>138.0</v>
      </c>
      <c r="B2553" s="24">
        <v>0.0</v>
      </c>
      <c r="C2553" s="47">
        <v>0.0</v>
      </c>
      <c r="D2553" s="35">
        <v>45874.0</v>
      </c>
      <c r="E2553" s="47"/>
      <c r="F2553" s="47">
        <v>0.0</v>
      </c>
      <c r="G2553" s="48">
        <v>0.0</v>
      </c>
      <c r="H2553" s="24" t="s">
        <v>3553</v>
      </c>
      <c r="I2553" s="47"/>
      <c r="J2553" s="24">
        <v>0.0</v>
      </c>
    </row>
    <row r="2554">
      <c r="A2554" s="24">
        <v>131.0</v>
      </c>
      <c r="B2554" s="24">
        <v>1.0</v>
      </c>
      <c r="C2554" s="47">
        <v>14.17</v>
      </c>
      <c r="D2554" s="35">
        <v>45875.0</v>
      </c>
      <c r="E2554" s="47">
        <v>14.17</v>
      </c>
      <c r="F2554" s="47">
        <v>108.167938931297</v>
      </c>
      <c r="G2554" s="48">
        <v>0.00763358778625954</v>
      </c>
      <c r="H2554" s="24" t="s">
        <v>3553</v>
      </c>
      <c r="I2554" s="47"/>
      <c r="J2554" s="24">
        <v>0.0</v>
      </c>
    </row>
    <row r="2555">
      <c r="A2555" s="24">
        <v>84.0</v>
      </c>
      <c r="B2555" s="24">
        <v>0.0</v>
      </c>
      <c r="C2555" s="47">
        <v>0.0</v>
      </c>
      <c r="D2555" s="35">
        <v>45876.0</v>
      </c>
      <c r="E2555" s="47"/>
      <c r="F2555" s="47">
        <v>0.0</v>
      </c>
      <c r="G2555" s="48">
        <v>0.0</v>
      </c>
      <c r="H2555" s="24" t="s">
        <v>3553</v>
      </c>
      <c r="I2555" s="47"/>
      <c r="J2555" s="24">
        <v>0.0</v>
      </c>
    </row>
    <row r="2556">
      <c r="A2556" s="24">
        <v>59.0</v>
      </c>
      <c r="B2556" s="24">
        <v>0.0</v>
      </c>
      <c r="C2556" s="47">
        <v>0.0</v>
      </c>
      <c r="D2556" s="35">
        <v>45877.0</v>
      </c>
      <c r="E2556" s="47"/>
      <c r="F2556" s="47">
        <v>0.0</v>
      </c>
      <c r="G2556" s="48">
        <v>0.0</v>
      </c>
      <c r="H2556" s="24" t="s">
        <v>3553</v>
      </c>
      <c r="I2556" s="47"/>
      <c r="J2556" s="24">
        <v>0.0</v>
      </c>
    </row>
    <row r="2557">
      <c r="A2557" s="24">
        <v>9.0</v>
      </c>
      <c r="B2557" s="24">
        <v>0.0</v>
      </c>
      <c r="C2557" s="47">
        <v>0.0</v>
      </c>
      <c r="D2557" s="35">
        <v>45878.0</v>
      </c>
      <c r="E2557" s="47"/>
      <c r="F2557" s="47">
        <v>0.0</v>
      </c>
      <c r="G2557" s="48">
        <v>0.0</v>
      </c>
      <c r="H2557" s="24" t="s">
        <v>3553</v>
      </c>
      <c r="I2557" s="47"/>
      <c r="J2557" s="24">
        <v>0.0</v>
      </c>
    </row>
    <row r="2558">
      <c r="A2558" s="24">
        <v>13.0</v>
      </c>
      <c r="B2558" s="24">
        <v>0.0</v>
      </c>
      <c r="C2558" s="47">
        <v>0.0</v>
      </c>
      <c r="D2558" s="35">
        <v>45879.0</v>
      </c>
      <c r="E2558" s="47"/>
      <c r="F2558" s="47">
        <v>0.0</v>
      </c>
      <c r="G2558" s="48">
        <v>0.0</v>
      </c>
      <c r="H2558" s="24" t="s">
        <v>3553</v>
      </c>
      <c r="I2558" s="47"/>
      <c r="J2558" s="24">
        <v>0.0</v>
      </c>
    </row>
    <row r="2559">
      <c r="A2559" s="24">
        <v>90.0</v>
      </c>
      <c r="B2559" s="24">
        <v>0.0</v>
      </c>
      <c r="C2559" s="47">
        <v>0.0</v>
      </c>
      <c r="D2559" s="35">
        <v>45880.0</v>
      </c>
      <c r="E2559" s="47"/>
      <c r="F2559" s="47">
        <v>0.0</v>
      </c>
      <c r="G2559" s="48">
        <v>0.0</v>
      </c>
      <c r="H2559" s="24" t="s">
        <v>3553</v>
      </c>
      <c r="I2559" s="47"/>
      <c r="J2559" s="24">
        <v>0.0</v>
      </c>
    </row>
    <row r="2560">
      <c r="A2560" s="24">
        <v>128.0</v>
      </c>
      <c r="B2560" s="24">
        <v>0.0</v>
      </c>
      <c r="C2560" s="47">
        <v>0.0</v>
      </c>
      <c r="D2560" s="35">
        <v>45881.0</v>
      </c>
      <c r="E2560" s="47"/>
      <c r="F2560" s="47">
        <v>0.0</v>
      </c>
      <c r="G2560" s="48">
        <v>0.0</v>
      </c>
      <c r="H2560" s="24" t="s">
        <v>3553</v>
      </c>
      <c r="I2560" s="47"/>
      <c r="J2560" s="24">
        <v>0.0</v>
      </c>
    </row>
    <row r="2561">
      <c r="A2561" s="24">
        <v>154.0</v>
      </c>
      <c r="B2561" s="24">
        <v>0.0</v>
      </c>
      <c r="C2561" s="47">
        <v>0.0</v>
      </c>
      <c r="D2561" s="35">
        <v>45882.0</v>
      </c>
      <c r="E2561" s="47"/>
      <c r="F2561" s="47">
        <v>0.0</v>
      </c>
      <c r="G2561" s="48">
        <v>0.0</v>
      </c>
      <c r="H2561" s="24" t="s">
        <v>3553</v>
      </c>
      <c r="I2561" s="47"/>
      <c r="J2561" s="24">
        <v>0.0</v>
      </c>
    </row>
    <row r="2562">
      <c r="A2562" s="24">
        <v>132.0</v>
      </c>
      <c r="B2562" s="24">
        <v>0.0</v>
      </c>
      <c r="C2562" s="47">
        <v>0.0</v>
      </c>
      <c r="D2562" s="35">
        <v>45883.0</v>
      </c>
      <c r="E2562" s="47"/>
      <c r="F2562" s="47">
        <v>0.0</v>
      </c>
      <c r="G2562" s="48">
        <v>0.0</v>
      </c>
      <c r="H2562" s="24" t="s">
        <v>3553</v>
      </c>
      <c r="I2562" s="47"/>
      <c r="J2562" s="24">
        <v>0.0</v>
      </c>
    </row>
    <row r="2563">
      <c r="A2563" s="24">
        <v>102.0</v>
      </c>
      <c r="B2563" s="24">
        <v>0.0</v>
      </c>
      <c r="C2563" s="47">
        <v>0.0</v>
      </c>
      <c r="D2563" s="35">
        <v>45884.0</v>
      </c>
      <c r="E2563" s="47"/>
      <c r="F2563" s="47">
        <v>0.0</v>
      </c>
      <c r="G2563" s="48">
        <v>0.0</v>
      </c>
      <c r="H2563" s="24" t="s">
        <v>3553</v>
      </c>
      <c r="I2563" s="47"/>
      <c r="J2563" s="24">
        <v>0.0</v>
      </c>
    </row>
    <row r="2564">
      <c r="A2564" s="24">
        <v>11.0</v>
      </c>
      <c r="B2564" s="24">
        <v>0.0</v>
      </c>
      <c r="C2564" s="47">
        <v>0.0</v>
      </c>
      <c r="D2564" s="35">
        <v>45885.0</v>
      </c>
      <c r="E2564" s="47"/>
      <c r="F2564" s="47">
        <v>0.0</v>
      </c>
      <c r="G2564" s="48">
        <v>0.0</v>
      </c>
      <c r="H2564" s="24" t="s">
        <v>3553</v>
      </c>
      <c r="I2564" s="47"/>
      <c r="J2564" s="24">
        <v>0.0</v>
      </c>
    </row>
    <row r="2565">
      <c r="A2565" s="24">
        <v>17.0</v>
      </c>
      <c r="B2565" s="24">
        <v>0.0</v>
      </c>
      <c r="C2565" s="47">
        <v>0.0</v>
      </c>
      <c r="D2565" s="35">
        <v>45886.0</v>
      </c>
      <c r="E2565" s="47"/>
      <c r="F2565" s="47">
        <v>0.0</v>
      </c>
      <c r="G2565" s="48">
        <v>0.0</v>
      </c>
      <c r="H2565" s="24" t="s">
        <v>3553</v>
      </c>
      <c r="I2565" s="47"/>
      <c r="J2565" s="24">
        <v>0.0</v>
      </c>
    </row>
    <row r="2566">
      <c r="A2566" s="24">
        <v>112.0</v>
      </c>
      <c r="B2566" s="24">
        <v>1.0</v>
      </c>
      <c r="C2566" s="47">
        <v>9.07</v>
      </c>
      <c r="D2566" s="35">
        <v>45887.0</v>
      </c>
      <c r="E2566" s="47">
        <v>9.07</v>
      </c>
      <c r="F2566" s="47">
        <v>80.9821428571428</v>
      </c>
      <c r="G2566" s="48">
        <v>0.00892857142857142</v>
      </c>
      <c r="H2566" s="24" t="s">
        <v>3553</v>
      </c>
      <c r="I2566" s="47"/>
      <c r="J2566" s="24">
        <v>0.0</v>
      </c>
    </row>
    <row r="2567">
      <c r="A2567" s="24">
        <v>188.0</v>
      </c>
      <c r="B2567" s="24">
        <v>1.0</v>
      </c>
      <c r="C2567" s="47">
        <v>16.87</v>
      </c>
      <c r="D2567" s="35">
        <v>45888.0</v>
      </c>
      <c r="E2567" s="47">
        <v>16.87</v>
      </c>
      <c r="F2567" s="47">
        <v>89.7340425531915</v>
      </c>
      <c r="G2567" s="48">
        <v>0.00531914893617021</v>
      </c>
      <c r="H2567" s="24" t="s">
        <v>3553</v>
      </c>
      <c r="I2567" s="47"/>
      <c r="J2567" s="24">
        <v>0.0</v>
      </c>
    </row>
    <row r="2568">
      <c r="A2568" s="24">
        <v>147.0</v>
      </c>
      <c r="B2568" s="24">
        <v>0.0</v>
      </c>
      <c r="C2568" s="47">
        <v>0.0</v>
      </c>
      <c r="D2568" s="35">
        <v>45889.0</v>
      </c>
      <c r="E2568" s="47"/>
      <c r="F2568" s="47">
        <v>0.0</v>
      </c>
      <c r="G2568" s="48">
        <v>0.0</v>
      </c>
      <c r="H2568" s="24" t="s">
        <v>3553</v>
      </c>
      <c r="I2568" s="47"/>
      <c r="J2568" s="24">
        <v>0.0</v>
      </c>
    </row>
    <row r="2569">
      <c r="A2569" s="24">
        <v>103.0</v>
      </c>
      <c r="B2569" s="24">
        <v>1.0</v>
      </c>
      <c r="C2569" s="47">
        <v>16.521166</v>
      </c>
      <c r="D2569" s="35">
        <v>45890.0</v>
      </c>
      <c r="E2569" s="47">
        <v>16.521166</v>
      </c>
      <c r="F2569" s="47">
        <v>160.399669902912</v>
      </c>
      <c r="G2569" s="48">
        <v>0.00970873786407766</v>
      </c>
      <c r="H2569" s="24" t="s">
        <v>3553</v>
      </c>
      <c r="I2569" s="47"/>
      <c r="J2569" s="24">
        <v>0.0</v>
      </c>
    </row>
    <row r="2570">
      <c r="A2570" s="24">
        <v>78.0</v>
      </c>
      <c r="B2570" s="24">
        <v>0.0</v>
      </c>
      <c r="C2570" s="47">
        <v>0.0</v>
      </c>
      <c r="D2570" s="35">
        <v>45891.0</v>
      </c>
      <c r="E2570" s="47"/>
      <c r="F2570" s="47">
        <v>0.0</v>
      </c>
      <c r="G2570" s="48">
        <v>0.0</v>
      </c>
      <c r="H2570" s="24" t="s">
        <v>3553</v>
      </c>
      <c r="I2570" s="47"/>
      <c r="J2570" s="24">
        <v>0.0</v>
      </c>
    </row>
    <row r="2571">
      <c r="A2571" s="24">
        <v>19.0</v>
      </c>
      <c r="B2571" s="24">
        <v>0.0</v>
      </c>
      <c r="C2571" s="47">
        <v>0.0</v>
      </c>
      <c r="D2571" s="35">
        <v>45892.0</v>
      </c>
      <c r="E2571" s="47"/>
      <c r="F2571" s="47">
        <v>0.0</v>
      </c>
      <c r="G2571" s="48">
        <v>0.0</v>
      </c>
      <c r="H2571" s="24" t="s">
        <v>3553</v>
      </c>
      <c r="I2571" s="47"/>
      <c r="J2571" s="24">
        <v>0.0</v>
      </c>
    </row>
    <row r="2572">
      <c r="A2572" s="24">
        <v>16.0</v>
      </c>
      <c r="B2572" s="24">
        <v>0.0</v>
      </c>
      <c r="C2572" s="47">
        <v>0.0</v>
      </c>
      <c r="D2572" s="35">
        <v>45893.0</v>
      </c>
      <c r="E2572" s="47"/>
      <c r="F2572" s="47">
        <v>0.0</v>
      </c>
      <c r="G2572" s="48">
        <v>0.0</v>
      </c>
      <c r="H2572" s="24" t="s">
        <v>3553</v>
      </c>
      <c r="I2572" s="47"/>
      <c r="J2572" s="24">
        <v>0.0</v>
      </c>
    </row>
    <row r="2573">
      <c r="A2573" s="24">
        <v>127.0</v>
      </c>
      <c r="B2573" s="24">
        <v>0.0</v>
      </c>
      <c r="C2573" s="47">
        <v>0.0</v>
      </c>
      <c r="D2573" s="35">
        <v>45894.0</v>
      </c>
      <c r="E2573" s="47"/>
      <c r="F2573" s="47">
        <v>0.0</v>
      </c>
      <c r="G2573" s="48">
        <v>0.0</v>
      </c>
      <c r="H2573" s="24" t="s">
        <v>3553</v>
      </c>
      <c r="I2573" s="47"/>
      <c r="J2573" s="24">
        <v>0.0</v>
      </c>
    </row>
    <row r="2574">
      <c r="A2574" s="24">
        <v>602.0</v>
      </c>
      <c r="B2574" s="24">
        <v>0.0</v>
      </c>
      <c r="C2574" s="47">
        <v>0.0</v>
      </c>
      <c r="D2574" s="35">
        <v>45895.0</v>
      </c>
      <c r="E2574" s="47"/>
      <c r="F2574" s="47">
        <v>0.0</v>
      </c>
      <c r="G2574" s="48">
        <v>0.0</v>
      </c>
      <c r="H2574" s="24" t="s">
        <v>3553</v>
      </c>
      <c r="I2574" s="47"/>
      <c r="J2574" s="24">
        <v>0.0</v>
      </c>
    </row>
    <row r="2575">
      <c r="A2575" s="24">
        <v>633.0</v>
      </c>
      <c r="B2575" s="24">
        <v>2.0</v>
      </c>
      <c r="C2575" s="47">
        <v>27.85</v>
      </c>
      <c r="D2575" s="35">
        <v>45896.0</v>
      </c>
      <c r="E2575" s="47">
        <v>13.925</v>
      </c>
      <c r="F2575" s="47">
        <v>43.996840442338</v>
      </c>
      <c r="G2575" s="48">
        <v>0.00315955766192733</v>
      </c>
      <c r="H2575" s="24" t="s">
        <v>3553</v>
      </c>
      <c r="I2575" s="47"/>
      <c r="J2575" s="24">
        <v>0.0</v>
      </c>
    </row>
    <row r="2576">
      <c r="A2576" s="24">
        <v>201.0</v>
      </c>
      <c r="B2576" s="24">
        <v>0.0</v>
      </c>
      <c r="C2576" s="47">
        <v>0.0</v>
      </c>
      <c r="D2576" s="35">
        <v>45897.0</v>
      </c>
      <c r="E2576" s="47"/>
      <c r="F2576" s="47">
        <v>0.0</v>
      </c>
      <c r="G2576" s="48">
        <v>0.0</v>
      </c>
      <c r="H2576" s="24" t="s">
        <v>3553</v>
      </c>
      <c r="I2576" s="47"/>
      <c r="J2576" s="24">
        <v>0.0</v>
      </c>
    </row>
    <row r="2577">
      <c r="A2577" s="24">
        <v>130.0</v>
      </c>
      <c r="B2577" s="24">
        <v>0.0</v>
      </c>
      <c r="C2577" s="47">
        <v>0.0</v>
      </c>
      <c r="D2577" s="35">
        <v>45898.0</v>
      </c>
      <c r="E2577" s="47"/>
      <c r="F2577" s="47">
        <v>0.0</v>
      </c>
      <c r="G2577" s="48">
        <v>0.0</v>
      </c>
      <c r="H2577" s="24" t="s">
        <v>3553</v>
      </c>
      <c r="I2577" s="47"/>
      <c r="J2577" s="24">
        <v>0.0</v>
      </c>
    </row>
    <row r="2578">
      <c r="A2578" s="24">
        <v>25.0</v>
      </c>
      <c r="B2578" s="24">
        <v>0.0</v>
      </c>
      <c r="C2578" s="47">
        <v>0.0</v>
      </c>
      <c r="D2578" s="35">
        <v>45899.0</v>
      </c>
      <c r="E2578" s="47"/>
      <c r="F2578" s="47">
        <v>0.0</v>
      </c>
      <c r="G2578" s="48">
        <v>0.0</v>
      </c>
      <c r="H2578" s="24" t="s">
        <v>3553</v>
      </c>
      <c r="I2578" s="47"/>
      <c r="J2578" s="24">
        <v>0.0</v>
      </c>
    </row>
    <row r="2579">
      <c r="A2579" s="24">
        <v>23.0</v>
      </c>
      <c r="B2579" s="24">
        <v>0.0</v>
      </c>
      <c r="C2579" s="47">
        <v>0.0</v>
      </c>
      <c r="D2579" s="35">
        <v>45900.0</v>
      </c>
      <c r="E2579" s="47"/>
      <c r="F2579" s="47">
        <v>0.0</v>
      </c>
      <c r="G2579" s="48">
        <v>0.0</v>
      </c>
      <c r="H2579" s="24" t="s">
        <v>3553</v>
      </c>
      <c r="I2579" s="47"/>
      <c r="J2579" s="24">
        <v>0.0</v>
      </c>
    </row>
    <row r="2580">
      <c r="A2580" s="24">
        <v>37.0</v>
      </c>
      <c r="B2580" s="24">
        <v>0.0</v>
      </c>
      <c r="C2580" s="47">
        <v>0.0</v>
      </c>
      <c r="D2580" s="35">
        <v>45901.0</v>
      </c>
      <c r="E2580" s="47"/>
      <c r="F2580" s="47">
        <v>0.0</v>
      </c>
      <c r="G2580" s="48">
        <v>0.0</v>
      </c>
      <c r="H2580" s="24" t="s">
        <v>3553</v>
      </c>
      <c r="I2580" s="47"/>
      <c r="J2580" s="24">
        <v>0.0</v>
      </c>
    </row>
    <row r="2581">
      <c r="A2581" s="24">
        <v>136.0</v>
      </c>
      <c r="B2581" s="24">
        <v>0.0</v>
      </c>
      <c r="C2581" s="47">
        <v>0.0</v>
      </c>
      <c r="D2581" s="35">
        <v>45902.0</v>
      </c>
      <c r="E2581" s="47"/>
      <c r="F2581" s="47">
        <v>0.0</v>
      </c>
      <c r="G2581" s="48">
        <v>0.0</v>
      </c>
      <c r="H2581" s="24" t="s">
        <v>3553</v>
      </c>
      <c r="I2581" s="47"/>
      <c r="J2581" s="24">
        <v>0.0</v>
      </c>
    </row>
    <row r="2582">
      <c r="A2582" s="24">
        <v>167.0</v>
      </c>
      <c r="B2582" s="24">
        <v>0.0</v>
      </c>
      <c r="C2582" s="47">
        <v>0.0</v>
      </c>
      <c r="D2582" s="35">
        <v>45903.0</v>
      </c>
      <c r="E2582" s="47"/>
      <c r="F2582" s="47">
        <v>0.0</v>
      </c>
      <c r="G2582" s="48">
        <v>0.0</v>
      </c>
      <c r="H2582" s="24" t="s">
        <v>3553</v>
      </c>
      <c r="I2582" s="47"/>
      <c r="J2582" s="24">
        <v>0.0</v>
      </c>
    </row>
    <row r="2583">
      <c r="A2583" s="24">
        <v>166.0</v>
      </c>
      <c r="B2583" s="24">
        <v>0.0</v>
      </c>
      <c r="C2583" s="47">
        <v>0.0</v>
      </c>
      <c r="D2583" s="35">
        <v>45904.0</v>
      </c>
      <c r="E2583" s="47"/>
      <c r="F2583" s="47">
        <v>0.0</v>
      </c>
      <c r="G2583" s="48">
        <v>0.0</v>
      </c>
      <c r="H2583" s="24" t="s">
        <v>3553</v>
      </c>
      <c r="I2583" s="47"/>
      <c r="J2583" s="24">
        <v>0.0</v>
      </c>
    </row>
    <row r="2584">
      <c r="A2584" s="24">
        <v>143.0</v>
      </c>
      <c r="B2584" s="24">
        <v>0.0</v>
      </c>
      <c r="C2584" s="47">
        <v>0.0</v>
      </c>
      <c r="D2584" s="35">
        <v>45905.0</v>
      </c>
      <c r="E2584" s="47"/>
      <c r="F2584" s="47">
        <v>0.0</v>
      </c>
      <c r="G2584" s="48">
        <v>0.0</v>
      </c>
      <c r="H2584" s="24" t="s">
        <v>3553</v>
      </c>
      <c r="I2584" s="47"/>
      <c r="J2584" s="24">
        <v>0.0</v>
      </c>
    </row>
    <row r="2585">
      <c r="A2585" s="24">
        <v>24.0</v>
      </c>
      <c r="B2585" s="24">
        <v>0.0</v>
      </c>
      <c r="C2585" s="47">
        <v>0.0</v>
      </c>
      <c r="D2585" s="35">
        <v>45906.0</v>
      </c>
      <c r="E2585" s="47"/>
      <c r="F2585" s="47">
        <v>0.0</v>
      </c>
      <c r="G2585" s="48">
        <v>0.0</v>
      </c>
      <c r="H2585" s="24" t="s">
        <v>3553</v>
      </c>
      <c r="I2585" s="47"/>
      <c r="J2585" s="24">
        <v>0.0</v>
      </c>
    </row>
    <row r="2586">
      <c r="A2586" s="24">
        <v>18.0</v>
      </c>
      <c r="B2586" s="24">
        <v>0.0</v>
      </c>
      <c r="C2586" s="47">
        <v>0.0</v>
      </c>
      <c r="D2586" s="35">
        <v>45907.0</v>
      </c>
      <c r="E2586" s="47"/>
      <c r="F2586" s="47">
        <v>0.0</v>
      </c>
      <c r="G2586" s="48">
        <v>0.0</v>
      </c>
      <c r="H2586" s="24" t="s">
        <v>3553</v>
      </c>
      <c r="I2586" s="47"/>
      <c r="J2586" s="24">
        <v>0.0</v>
      </c>
    </row>
    <row r="2587">
      <c r="A2587" s="24">
        <v>164.0</v>
      </c>
      <c r="B2587" s="24">
        <v>3.0</v>
      </c>
      <c r="C2587" s="47">
        <v>50.401282</v>
      </c>
      <c r="D2587" s="35">
        <v>45908.0</v>
      </c>
      <c r="E2587" s="47">
        <v>16.8004273333333</v>
      </c>
      <c r="F2587" s="47">
        <v>307.324890243902</v>
      </c>
      <c r="G2587" s="48">
        <v>0.0182926829268292</v>
      </c>
      <c r="H2587" s="24" t="s">
        <v>3553</v>
      </c>
      <c r="I2587" s="47">
        <v>50.401282</v>
      </c>
      <c r="J2587" s="24">
        <v>1.0</v>
      </c>
    </row>
    <row r="2588">
      <c r="A2588" s="24">
        <v>155.0</v>
      </c>
      <c r="B2588" s="24">
        <v>1.0</v>
      </c>
      <c r="C2588" s="47">
        <v>9.56</v>
      </c>
      <c r="D2588" s="35">
        <v>45909.0</v>
      </c>
      <c r="E2588" s="47">
        <v>9.56</v>
      </c>
      <c r="F2588" s="47">
        <v>61.6774193548387</v>
      </c>
      <c r="G2588" s="48">
        <v>0.0064516129032258</v>
      </c>
      <c r="H2588" s="24" t="s">
        <v>3553</v>
      </c>
      <c r="I2588" s="47"/>
      <c r="J2588" s="24">
        <v>0.0</v>
      </c>
    </row>
    <row r="2589">
      <c r="A2589" s="24">
        <v>173.0</v>
      </c>
      <c r="B2589" s="24">
        <v>0.0</v>
      </c>
      <c r="C2589" s="47">
        <v>0.0</v>
      </c>
      <c r="D2589" s="35">
        <v>45910.0</v>
      </c>
      <c r="E2589" s="47"/>
      <c r="F2589" s="47">
        <v>0.0</v>
      </c>
      <c r="G2589" s="48">
        <v>0.0</v>
      </c>
      <c r="H2589" s="24" t="s">
        <v>3553</v>
      </c>
      <c r="I2589" s="47"/>
      <c r="J2589" s="24">
        <v>0.0</v>
      </c>
    </row>
    <row r="2590">
      <c r="A2590" s="24">
        <v>175.0</v>
      </c>
      <c r="B2590" s="24">
        <v>2.0</v>
      </c>
      <c r="C2590" s="47">
        <v>38.49</v>
      </c>
      <c r="D2590" s="35">
        <v>45911.0</v>
      </c>
      <c r="E2590" s="47">
        <v>19.245</v>
      </c>
      <c r="F2590" s="47">
        <v>219.942857142857</v>
      </c>
      <c r="G2590" s="48">
        <v>0.0114285714285714</v>
      </c>
      <c r="H2590" s="24" t="s">
        <v>3553</v>
      </c>
      <c r="I2590" s="47"/>
      <c r="J2590" s="24">
        <v>0.0</v>
      </c>
    </row>
    <row r="2591">
      <c r="A2591" s="24">
        <v>87.0</v>
      </c>
      <c r="B2591" s="24">
        <v>2.0</v>
      </c>
      <c r="C2591" s="47">
        <v>34.09</v>
      </c>
      <c r="D2591" s="35">
        <v>45912.0</v>
      </c>
      <c r="E2591" s="47">
        <v>17.045</v>
      </c>
      <c r="F2591" s="47">
        <v>391.83908045977</v>
      </c>
      <c r="G2591" s="48">
        <v>0.0229885057471264</v>
      </c>
      <c r="H2591" s="24" t="s">
        <v>3553</v>
      </c>
      <c r="I2591" s="47"/>
      <c r="J2591" s="24">
        <v>0.0</v>
      </c>
    </row>
    <row r="2592">
      <c r="A2592" s="24">
        <v>23.0</v>
      </c>
      <c r="B2592" s="24">
        <v>0.0</v>
      </c>
      <c r="C2592" s="47">
        <v>0.0</v>
      </c>
      <c r="D2592" s="35">
        <v>45913.0</v>
      </c>
      <c r="E2592" s="47"/>
      <c r="F2592" s="47">
        <v>0.0</v>
      </c>
      <c r="G2592" s="48">
        <v>0.0</v>
      </c>
      <c r="H2592" s="24" t="s">
        <v>3553</v>
      </c>
      <c r="I2592" s="47"/>
      <c r="J2592" s="24">
        <v>0.0</v>
      </c>
    </row>
    <row r="2593">
      <c r="A2593" s="24">
        <v>38.0</v>
      </c>
      <c r="B2593" s="24">
        <v>0.0</v>
      </c>
      <c r="C2593" s="47">
        <v>0.0</v>
      </c>
      <c r="D2593" s="35">
        <v>45914.0</v>
      </c>
      <c r="E2593" s="47"/>
      <c r="F2593" s="47">
        <v>0.0</v>
      </c>
      <c r="G2593" s="48">
        <v>0.0</v>
      </c>
      <c r="H2593" s="24" t="s">
        <v>3553</v>
      </c>
      <c r="I2593" s="47"/>
      <c r="J2593" s="24">
        <v>0.0</v>
      </c>
    </row>
    <row r="2594">
      <c r="A2594" s="24">
        <v>216.0</v>
      </c>
      <c r="B2594" s="24">
        <v>0.0</v>
      </c>
      <c r="C2594" s="47">
        <v>0.0</v>
      </c>
      <c r="D2594" s="35">
        <v>45915.0</v>
      </c>
      <c r="E2594" s="47"/>
      <c r="F2594" s="47">
        <v>0.0</v>
      </c>
      <c r="G2594" s="48">
        <v>0.0</v>
      </c>
      <c r="H2594" s="24" t="s">
        <v>3553</v>
      </c>
      <c r="I2594" s="47"/>
      <c r="J2594" s="24">
        <v>0.0</v>
      </c>
    </row>
    <row r="2595">
      <c r="A2595" s="24">
        <v>255.0</v>
      </c>
      <c r="B2595" s="24">
        <v>0.0</v>
      </c>
      <c r="C2595" s="47">
        <v>0.0</v>
      </c>
      <c r="D2595" s="35">
        <v>45916.0</v>
      </c>
      <c r="E2595" s="47"/>
      <c r="F2595" s="47">
        <v>0.0</v>
      </c>
      <c r="G2595" s="48">
        <v>0.0</v>
      </c>
      <c r="H2595" s="24" t="s">
        <v>3553</v>
      </c>
      <c r="I2595" s="47"/>
      <c r="J2595" s="24">
        <v>0.0</v>
      </c>
    </row>
    <row r="2596">
      <c r="A2596" s="24">
        <v>300.0</v>
      </c>
      <c r="B2596" s="24">
        <v>1.0</v>
      </c>
      <c r="C2596" s="47">
        <v>19.64</v>
      </c>
      <c r="D2596" s="35">
        <v>45917.0</v>
      </c>
      <c r="E2596" s="47">
        <v>19.64</v>
      </c>
      <c r="F2596" s="47">
        <v>65.4666666666666</v>
      </c>
      <c r="G2596" s="48">
        <v>0.00333333333333333</v>
      </c>
      <c r="H2596" s="24" t="s">
        <v>3553</v>
      </c>
      <c r="I2596" s="47"/>
      <c r="J2596" s="24">
        <v>0.0</v>
      </c>
    </row>
    <row r="2597">
      <c r="A2597" s="24">
        <v>241.0</v>
      </c>
      <c r="B2597" s="24">
        <v>0.0</v>
      </c>
      <c r="C2597" s="47">
        <v>0.0</v>
      </c>
      <c r="D2597" s="35">
        <v>45918.0</v>
      </c>
      <c r="E2597" s="47"/>
      <c r="F2597" s="47">
        <v>0.0</v>
      </c>
      <c r="G2597" s="48">
        <v>0.0</v>
      </c>
      <c r="H2597" s="24" t="s">
        <v>3553</v>
      </c>
      <c r="I2597" s="47"/>
      <c r="J2597" s="24">
        <v>0.0</v>
      </c>
    </row>
    <row r="2598">
      <c r="A2598" s="24">
        <v>185.0</v>
      </c>
      <c r="B2598" s="24">
        <v>0.0</v>
      </c>
      <c r="C2598" s="47">
        <v>0.0</v>
      </c>
      <c r="D2598" s="35">
        <v>45919.0</v>
      </c>
      <c r="E2598" s="47"/>
      <c r="F2598" s="47">
        <v>0.0</v>
      </c>
      <c r="G2598" s="48">
        <v>0.0</v>
      </c>
      <c r="H2598" s="24" t="s">
        <v>3553</v>
      </c>
      <c r="I2598" s="47"/>
      <c r="J2598" s="24">
        <v>0.0</v>
      </c>
    </row>
    <row r="2599">
      <c r="A2599" s="24">
        <v>32.0</v>
      </c>
      <c r="B2599" s="24">
        <v>1.0</v>
      </c>
      <c r="C2599" s="47">
        <v>19.94</v>
      </c>
      <c r="D2599" s="35">
        <v>45920.0</v>
      </c>
      <c r="E2599" s="47">
        <v>19.94</v>
      </c>
      <c r="F2599" s="47">
        <v>623.125</v>
      </c>
      <c r="G2599" s="48">
        <v>0.03125</v>
      </c>
      <c r="H2599" s="24" t="s">
        <v>3553</v>
      </c>
      <c r="I2599" s="47"/>
      <c r="J2599" s="24">
        <v>0.0</v>
      </c>
    </row>
    <row r="2600">
      <c r="A2600" s="24">
        <v>30.0</v>
      </c>
      <c r="B2600" s="24">
        <v>0.0</v>
      </c>
      <c r="C2600" s="47">
        <v>0.0</v>
      </c>
      <c r="D2600" s="35">
        <v>45921.0</v>
      </c>
      <c r="E2600" s="47"/>
      <c r="F2600" s="47">
        <v>0.0</v>
      </c>
      <c r="G2600" s="48">
        <v>0.0</v>
      </c>
      <c r="H2600" s="24" t="s">
        <v>3553</v>
      </c>
      <c r="I2600" s="47"/>
      <c r="J2600" s="24">
        <v>0.0</v>
      </c>
    </row>
    <row r="2601">
      <c r="A2601" s="24">
        <v>223.0</v>
      </c>
      <c r="B2601" s="24">
        <v>1.0</v>
      </c>
      <c r="C2601" s="47">
        <v>18.3</v>
      </c>
      <c r="D2601" s="35">
        <v>45922.0</v>
      </c>
      <c r="E2601" s="47">
        <v>18.3</v>
      </c>
      <c r="F2601" s="47">
        <v>82.0627802690583</v>
      </c>
      <c r="G2601" s="48">
        <v>0.00448430493273542</v>
      </c>
      <c r="H2601" s="24" t="s">
        <v>3553</v>
      </c>
      <c r="I2601" s="47"/>
      <c r="J2601" s="24">
        <v>0.0</v>
      </c>
    </row>
    <row r="2602">
      <c r="A2602" s="24">
        <v>263.0</v>
      </c>
      <c r="B2602" s="24">
        <v>0.0</v>
      </c>
      <c r="C2602" s="47">
        <v>0.0</v>
      </c>
      <c r="D2602" s="35">
        <v>45923.0</v>
      </c>
      <c r="E2602" s="47"/>
      <c r="F2602" s="47">
        <v>0.0</v>
      </c>
      <c r="G2602" s="48">
        <v>0.0</v>
      </c>
      <c r="H2602" s="24" t="s">
        <v>3553</v>
      </c>
      <c r="I2602" s="47"/>
      <c r="J2602" s="24">
        <v>0.0</v>
      </c>
    </row>
    <row r="2603">
      <c r="A2603" s="24">
        <v>172.0</v>
      </c>
      <c r="B2603" s="24">
        <v>0.0</v>
      </c>
      <c r="C2603" s="47">
        <v>0.0</v>
      </c>
      <c r="D2603" s="35">
        <v>45924.0</v>
      </c>
      <c r="E2603" s="47"/>
      <c r="F2603" s="47">
        <v>0.0</v>
      </c>
      <c r="G2603" s="48">
        <v>0.0</v>
      </c>
      <c r="H2603" s="24" t="s">
        <v>3553</v>
      </c>
      <c r="I2603" s="47"/>
      <c r="J2603" s="24">
        <v>0.0</v>
      </c>
    </row>
    <row r="2604">
      <c r="A2604" s="24">
        <v>141.0</v>
      </c>
      <c r="B2604" s="24">
        <v>0.0</v>
      </c>
      <c r="C2604" s="47">
        <v>0.0</v>
      </c>
      <c r="D2604" s="35">
        <v>45925.0</v>
      </c>
      <c r="E2604" s="47"/>
      <c r="F2604" s="47">
        <v>0.0</v>
      </c>
      <c r="G2604" s="48">
        <v>0.0</v>
      </c>
      <c r="H2604" s="24" t="s">
        <v>3553</v>
      </c>
      <c r="I2604" s="47"/>
      <c r="J2604" s="24">
        <v>0.0</v>
      </c>
    </row>
    <row r="2605">
      <c r="A2605" s="24">
        <v>97.0</v>
      </c>
      <c r="B2605" s="24">
        <v>0.0</v>
      </c>
      <c r="C2605" s="47">
        <v>0.0</v>
      </c>
      <c r="D2605" s="35">
        <v>45926.0</v>
      </c>
      <c r="E2605" s="47"/>
      <c r="F2605" s="47">
        <v>0.0</v>
      </c>
      <c r="G2605" s="48">
        <v>0.0</v>
      </c>
      <c r="H2605" s="24" t="s">
        <v>3553</v>
      </c>
      <c r="I2605" s="47"/>
      <c r="J2605" s="24">
        <v>0.0</v>
      </c>
    </row>
    <row r="2606">
      <c r="A2606" s="24">
        <v>15.0</v>
      </c>
      <c r="B2606" s="24">
        <v>0.0</v>
      </c>
      <c r="C2606" s="47">
        <v>0.0</v>
      </c>
      <c r="D2606" s="35">
        <v>45927.0</v>
      </c>
      <c r="E2606" s="47"/>
      <c r="F2606" s="47">
        <v>0.0</v>
      </c>
      <c r="G2606" s="48">
        <v>0.0</v>
      </c>
      <c r="H2606" s="24" t="s">
        <v>3553</v>
      </c>
      <c r="I2606" s="47"/>
      <c r="J2606" s="24">
        <v>0.0</v>
      </c>
    </row>
    <row r="2607">
      <c r="A2607" s="24">
        <v>23.0</v>
      </c>
      <c r="B2607" s="24">
        <v>0.0</v>
      </c>
      <c r="C2607" s="47">
        <v>0.0</v>
      </c>
      <c r="D2607" s="35">
        <v>45928.0</v>
      </c>
      <c r="E2607" s="47"/>
      <c r="F2607" s="47">
        <v>0.0</v>
      </c>
      <c r="G2607" s="48">
        <v>0.0</v>
      </c>
      <c r="H2607" s="24" t="s">
        <v>3553</v>
      </c>
      <c r="I2607" s="47"/>
      <c r="J2607" s="24">
        <v>0.0</v>
      </c>
    </row>
    <row r="2608">
      <c r="A2608" s="24">
        <v>157.0</v>
      </c>
      <c r="B2608" s="24">
        <v>1.0</v>
      </c>
      <c r="C2608" s="47">
        <v>10.78</v>
      </c>
      <c r="D2608" s="35">
        <v>45929.0</v>
      </c>
      <c r="E2608" s="47">
        <v>10.78</v>
      </c>
      <c r="F2608" s="47">
        <v>68.6624203821656</v>
      </c>
      <c r="G2608" s="48">
        <v>0.00636942675159235</v>
      </c>
      <c r="H2608" s="24" t="s">
        <v>3553</v>
      </c>
      <c r="I2608" s="47"/>
      <c r="J2608" s="24">
        <v>0.0</v>
      </c>
    </row>
    <row r="2609">
      <c r="A2609" s="24">
        <v>144.0</v>
      </c>
      <c r="B2609" s="24">
        <v>0.0</v>
      </c>
      <c r="C2609" s="47">
        <v>0.0</v>
      </c>
      <c r="D2609" s="35">
        <v>45930.0</v>
      </c>
      <c r="E2609" s="47"/>
      <c r="F2609" s="47">
        <v>0.0</v>
      </c>
      <c r="G2609" s="48">
        <v>0.0</v>
      </c>
      <c r="H2609" s="24" t="s">
        <v>3553</v>
      </c>
      <c r="I2609" s="47"/>
      <c r="J2609" s="24">
        <v>0.0</v>
      </c>
    </row>
    <row r="2610">
      <c r="A2610" s="24">
        <v>140.0</v>
      </c>
      <c r="B2610" s="24">
        <v>1.0</v>
      </c>
      <c r="C2610" s="47">
        <v>19.79</v>
      </c>
      <c r="D2610" s="35">
        <v>45931.0</v>
      </c>
      <c r="E2610" s="47">
        <v>19.79</v>
      </c>
      <c r="F2610" s="47">
        <v>141.357142857142</v>
      </c>
      <c r="G2610" s="48">
        <v>0.00714285714285714</v>
      </c>
      <c r="H2610" s="24" t="s">
        <v>3553</v>
      </c>
      <c r="I2610" s="47"/>
      <c r="J2610" s="24">
        <v>0.0</v>
      </c>
    </row>
    <row r="2611">
      <c r="A2611" s="24">
        <v>180.0</v>
      </c>
      <c r="B2611" s="24">
        <v>0.0</v>
      </c>
      <c r="C2611" s="47">
        <v>0.0</v>
      </c>
      <c r="D2611" s="35">
        <v>45932.0</v>
      </c>
      <c r="E2611" s="47"/>
      <c r="F2611" s="47">
        <v>0.0</v>
      </c>
      <c r="G2611" s="48">
        <v>0.0</v>
      </c>
      <c r="H2611" s="24" t="s">
        <v>3553</v>
      </c>
      <c r="I2611" s="47"/>
      <c r="J2611" s="24">
        <v>0.0</v>
      </c>
    </row>
    <row r="2612">
      <c r="A2612" s="24">
        <v>138.0</v>
      </c>
      <c r="B2612" s="24">
        <v>1.0</v>
      </c>
      <c r="C2612" s="47">
        <v>18.15</v>
      </c>
      <c r="D2612" s="35">
        <v>45933.0</v>
      </c>
      <c r="E2612" s="47">
        <v>18.15</v>
      </c>
      <c r="F2612" s="47">
        <v>131.521739130434</v>
      </c>
      <c r="G2612" s="48">
        <v>0.0072463768115942</v>
      </c>
      <c r="H2612" s="24" t="s">
        <v>3553</v>
      </c>
      <c r="I2612" s="47"/>
      <c r="J2612" s="24">
        <v>0.0</v>
      </c>
    </row>
    <row r="2613">
      <c r="A2613" s="24">
        <v>17.0</v>
      </c>
      <c r="B2613" s="24">
        <v>1.0</v>
      </c>
      <c r="C2613" s="47">
        <v>9.91</v>
      </c>
      <c r="D2613" s="35">
        <v>45934.0</v>
      </c>
      <c r="E2613" s="47">
        <v>9.91</v>
      </c>
      <c r="F2613" s="47">
        <v>582.941176470588</v>
      </c>
      <c r="G2613" s="48">
        <v>0.0588235294117647</v>
      </c>
      <c r="H2613" s="24" t="s">
        <v>3553</v>
      </c>
      <c r="I2613" s="47"/>
      <c r="J2613" s="24">
        <v>0.0</v>
      </c>
    </row>
    <row r="2614">
      <c r="A2614" s="24">
        <v>21.0</v>
      </c>
      <c r="B2614" s="24">
        <v>0.0</v>
      </c>
      <c r="C2614" s="47">
        <v>0.0</v>
      </c>
      <c r="D2614" s="35">
        <v>45935.0</v>
      </c>
      <c r="E2614" s="47"/>
      <c r="F2614" s="47">
        <v>0.0</v>
      </c>
      <c r="G2614" s="48">
        <v>0.0</v>
      </c>
      <c r="H2614" s="24" t="s">
        <v>3553</v>
      </c>
      <c r="I2614" s="47"/>
      <c r="J2614" s="24">
        <v>0.0</v>
      </c>
    </row>
    <row r="2615">
      <c r="A2615" s="24">
        <v>138.0</v>
      </c>
      <c r="B2615" s="24">
        <v>0.0</v>
      </c>
      <c r="C2615" s="47">
        <v>0.0</v>
      </c>
      <c r="D2615" s="35">
        <v>45936.0</v>
      </c>
      <c r="E2615" s="47"/>
      <c r="F2615" s="47">
        <v>0.0</v>
      </c>
      <c r="G2615" s="48">
        <v>0.0</v>
      </c>
      <c r="H2615" s="24" t="s">
        <v>3553</v>
      </c>
      <c r="I2615" s="47"/>
      <c r="J2615" s="24">
        <v>0.0</v>
      </c>
    </row>
    <row r="2616">
      <c r="A2616" s="24">
        <v>160.0</v>
      </c>
      <c r="B2616" s="24">
        <v>1.0</v>
      </c>
      <c r="C2616" s="47">
        <v>4.92</v>
      </c>
      <c r="D2616" s="35">
        <v>45937.0</v>
      </c>
      <c r="E2616" s="47">
        <v>4.92</v>
      </c>
      <c r="F2616" s="47">
        <v>30.75</v>
      </c>
      <c r="G2616" s="48">
        <v>0.00625</v>
      </c>
      <c r="H2616" s="24" t="s">
        <v>3553</v>
      </c>
      <c r="I2616" s="47"/>
      <c r="J2616" s="24">
        <v>0.0</v>
      </c>
    </row>
    <row r="2617">
      <c r="A2617" s="24">
        <v>157.0</v>
      </c>
      <c r="B2617" s="24">
        <v>0.0</v>
      </c>
      <c r="C2617" s="47">
        <v>0.0</v>
      </c>
      <c r="D2617" s="35">
        <v>45938.0</v>
      </c>
      <c r="E2617" s="47"/>
      <c r="F2617" s="47">
        <v>0.0</v>
      </c>
      <c r="G2617" s="48">
        <v>0.0</v>
      </c>
      <c r="H2617" s="24" t="s">
        <v>3553</v>
      </c>
      <c r="I2617" s="47"/>
      <c r="J2617" s="24">
        <v>0.0</v>
      </c>
    </row>
    <row r="2618">
      <c r="A2618" s="24">
        <v>158.0</v>
      </c>
      <c r="B2618" s="24">
        <v>1.0</v>
      </c>
      <c r="C2618" s="47">
        <v>19.63</v>
      </c>
      <c r="D2618" s="35">
        <v>45939.0</v>
      </c>
      <c r="E2618" s="47">
        <v>19.63</v>
      </c>
      <c r="F2618" s="47">
        <v>124.240506329113</v>
      </c>
      <c r="G2618" s="48">
        <v>0.00632911392405063</v>
      </c>
      <c r="H2618" s="24" t="s">
        <v>3553</v>
      </c>
      <c r="I2618" s="47"/>
      <c r="J2618" s="24">
        <v>0.0</v>
      </c>
    </row>
    <row r="2619">
      <c r="A2619" s="24">
        <v>122.0</v>
      </c>
      <c r="B2619" s="24">
        <v>0.0</v>
      </c>
      <c r="C2619" s="47">
        <v>0.0</v>
      </c>
      <c r="D2619" s="35">
        <v>45940.0</v>
      </c>
      <c r="E2619" s="47"/>
      <c r="F2619" s="47">
        <v>0.0</v>
      </c>
      <c r="G2619" s="48">
        <v>0.0</v>
      </c>
      <c r="H2619" s="24" t="s">
        <v>3553</v>
      </c>
      <c r="I2619" s="47"/>
      <c r="J2619" s="24">
        <v>0.0</v>
      </c>
    </row>
    <row r="2620">
      <c r="A2620" s="24">
        <v>20.0</v>
      </c>
      <c r="B2620" s="24">
        <v>0.0</v>
      </c>
      <c r="C2620" s="47">
        <v>0.0</v>
      </c>
      <c r="D2620" s="35">
        <v>45941.0</v>
      </c>
      <c r="E2620" s="47"/>
      <c r="F2620" s="47">
        <v>0.0</v>
      </c>
      <c r="G2620" s="48">
        <v>0.0</v>
      </c>
      <c r="H2620" s="24" t="s">
        <v>3553</v>
      </c>
      <c r="I2620" s="47"/>
      <c r="J2620" s="24">
        <v>0.0</v>
      </c>
    </row>
    <row r="2621">
      <c r="A2621" s="24">
        <v>30.0</v>
      </c>
      <c r="B2621" s="24">
        <v>1.0</v>
      </c>
      <c r="C2621" s="47">
        <v>19.82</v>
      </c>
      <c r="D2621" s="35">
        <v>45942.0</v>
      </c>
      <c r="E2621" s="47">
        <v>19.82</v>
      </c>
      <c r="F2621" s="47">
        <v>660.666666666666</v>
      </c>
      <c r="G2621" s="48">
        <v>0.0333333333333333</v>
      </c>
      <c r="H2621" s="24" t="s">
        <v>3553</v>
      </c>
      <c r="I2621" s="47"/>
      <c r="J2621" s="24">
        <v>0.0</v>
      </c>
    </row>
    <row r="2622">
      <c r="A2622" s="24">
        <v>117.0</v>
      </c>
      <c r="B2622" s="24">
        <v>0.0</v>
      </c>
      <c r="C2622" s="47">
        <v>0.0</v>
      </c>
      <c r="D2622" s="35">
        <v>45943.0</v>
      </c>
      <c r="E2622" s="47"/>
      <c r="F2622" s="47">
        <v>0.0</v>
      </c>
      <c r="G2622" s="48">
        <v>0.0</v>
      </c>
      <c r="H2622" s="24" t="s">
        <v>3553</v>
      </c>
      <c r="I2622" s="47"/>
      <c r="J2622" s="24">
        <v>0.0</v>
      </c>
    </row>
    <row r="2623">
      <c r="A2623" s="24">
        <v>267.0</v>
      </c>
      <c r="B2623" s="24">
        <v>1.0</v>
      </c>
      <c r="C2623" s="47">
        <v>19.52</v>
      </c>
      <c r="D2623" s="35">
        <v>45944.0</v>
      </c>
      <c r="E2623" s="47">
        <v>19.52</v>
      </c>
      <c r="F2623" s="47">
        <v>73.1086142322097</v>
      </c>
      <c r="G2623" s="48">
        <v>0.00374531835205992</v>
      </c>
      <c r="H2623" s="24" t="s">
        <v>3553</v>
      </c>
      <c r="I2623" s="47"/>
      <c r="J2623" s="24">
        <v>0.0</v>
      </c>
    </row>
    <row r="2624">
      <c r="A2624" s="24">
        <v>249.0</v>
      </c>
      <c r="B2624" s="24">
        <v>0.0</v>
      </c>
      <c r="C2624" s="47">
        <v>0.0</v>
      </c>
      <c r="D2624" s="35">
        <v>45945.0</v>
      </c>
      <c r="E2624" s="47"/>
      <c r="F2624" s="47">
        <v>0.0</v>
      </c>
      <c r="G2624" s="48">
        <v>0.0</v>
      </c>
      <c r="H2624" s="24" t="s">
        <v>3553</v>
      </c>
      <c r="I2624" s="47"/>
      <c r="J2624" s="24">
        <v>0.0</v>
      </c>
    </row>
    <row r="2625">
      <c r="A2625" s="24">
        <v>133.0</v>
      </c>
      <c r="B2625" s="24">
        <v>1.0</v>
      </c>
      <c r="C2625" s="47">
        <v>19.58</v>
      </c>
      <c r="D2625" s="35">
        <v>45946.0</v>
      </c>
      <c r="E2625" s="47">
        <v>19.58</v>
      </c>
      <c r="F2625" s="47">
        <v>147.218045112781</v>
      </c>
      <c r="G2625" s="48">
        <v>0.0075187969924812</v>
      </c>
      <c r="H2625" s="24" t="s">
        <v>3553</v>
      </c>
      <c r="I2625" s="47"/>
      <c r="J2625" s="24">
        <v>0.0</v>
      </c>
    </row>
    <row r="2626">
      <c r="A2626" s="24">
        <v>134.0</v>
      </c>
      <c r="B2626" s="24">
        <v>0.0</v>
      </c>
      <c r="C2626" s="47">
        <v>0.0</v>
      </c>
      <c r="D2626" s="35">
        <v>45947.0</v>
      </c>
      <c r="E2626" s="47"/>
      <c r="F2626" s="47">
        <v>0.0</v>
      </c>
      <c r="G2626" s="48">
        <v>0.0</v>
      </c>
      <c r="H2626" s="24" t="s">
        <v>3553</v>
      </c>
      <c r="I2626" s="47"/>
      <c r="J2626" s="24">
        <v>0.0</v>
      </c>
    </row>
    <row r="2627">
      <c r="A2627" s="24">
        <v>23.0</v>
      </c>
      <c r="B2627" s="24">
        <v>0.0</v>
      </c>
      <c r="C2627" s="47">
        <v>0.0</v>
      </c>
      <c r="D2627" s="35">
        <v>45948.0</v>
      </c>
      <c r="E2627" s="47"/>
      <c r="F2627" s="47">
        <v>0.0</v>
      </c>
      <c r="G2627" s="48">
        <v>0.0</v>
      </c>
      <c r="H2627" s="24" t="s">
        <v>3553</v>
      </c>
      <c r="I2627" s="47"/>
      <c r="J2627" s="24">
        <v>0.0</v>
      </c>
    </row>
    <row r="2628">
      <c r="A2628" s="24">
        <v>13.0</v>
      </c>
      <c r="B2628" s="24">
        <v>0.0</v>
      </c>
      <c r="C2628" s="47">
        <v>0.0</v>
      </c>
      <c r="D2628" s="35">
        <v>45949.0</v>
      </c>
      <c r="E2628" s="47"/>
      <c r="F2628" s="47">
        <v>0.0</v>
      </c>
      <c r="G2628" s="48">
        <v>0.0</v>
      </c>
      <c r="H2628" s="24" t="s">
        <v>3553</v>
      </c>
      <c r="I2628" s="47"/>
      <c r="J2628" s="24">
        <v>0.0</v>
      </c>
    </row>
    <row r="2629">
      <c r="A2629" s="24">
        <v>204.0</v>
      </c>
      <c r="B2629" s="24">
        <v>0.0</v>
      </c>
      <c r="C2629" s="47">
        <v>0.0</v>
      </c>
      <c r="D2629" s="35">
        <v>45950.0</v>
      </c>
      <c r="E2629" s="47"/>
      <c r="F2629" s="47">
        <v>0.0</v>
      </c>
      <c r="G2629" s="48">
        <v>0.0</v>
      </c>
      <c r="H2629" s="24" t="s">
        <v>3553</v>
      </c>
      <c r="I2629" s="47"/>
      <c r="J2629" s="24">
        <v>0.0</v>
      </c>
    </row>
    <row r="2630">
      <c r="A2630" s="24">
        <v>194.0</v>
      </c>
      <c r="B2630" s="24">
        <v>1.0</v>
      </c>
      <c r="C2630" s="47">
        <v>23.24</v>
      </c>
      <c r="D2630" s="35">
        <v>45951.0</v>
      </c>
      <c r="E2630" s="47">
        <v>23.24</v>
      </c>
      <c r="F2630" s="47">
        <v>119.793814432989</v>
      </c>
      <c r="G2630" s="48">
        <v>0.00515463917525773</v>
      </c>
      <c r="H2630" s="24" t="s">
        <v>3553</v>
      </c>
      <c r="I2630" s="47"/>
      <c r="J2630" s="24">
        <v>0.0</v>
      </c>
    </row>
    <row r="2631">
      <c r="A2631" s="24">
        <v>270.0</v>
      </c>
      <c r="B2631" s="24">
        <v>1.0</v>
      </c>
      <c r="C2631" s="47">
        <v>24.9</v>
      </c>
      <c r="D2631" s="35">
        <v>45952.0</v>
      </c>
      <c r="E2631" s="47">
        <v>24.9</v>
      </c>
      <c r="F2631" s="47">
        <v>92.2222222222222</v>
      </c>
      <c r="G2631" s="48">
        <v>0.0037037037037037</v>
      </c>
      <c r="H2631" s="24" t="s">
        <v>3553</v>
      </c>
      <c r="I2631" s="47"/>
      <c r="J2631" s="24">
        <v>0.0</v>
      </c>
    </row>
    <row r="2632">
      <c r="A2632" s="24">
        <v>192.0</v>
      </c>
      <c r="B2632" s="24">
        <v>0.0</v>
      </c>
      <c r="C2632" s="47">
        <v>0.0</v>
      </c>
      <c r="D2632" s="35">
        <v>45953.0</v>
      </c>
      <c r="E2632" s="47"/>
      <c r="F2632" s="47">
        <v>0.0</v>
      </c>
      <c r="G2632" s="48">
        <v>0.0</v>
      </c>
      <c r="H2632" s="24" t="s">
        <v>3553</v>
      </c>
      <c r="I2632" s="47"/>
      <c r="J2632" s="24">
        <v>0.0</v>
      </c>
    </row>
    <row r="2633">
      <c r="A2633" s="24">
        <v>181.0</v>
      </c>
      <c r="B2633" s="24">
        <v>2.0</v>
      </c>
      <c r="C2633" s="47">
        <v>49.83</v>
      </c>
      <c r="D2633" s="35">
        <v>45954.0</v>
      </c>
      <c r="E2633" s="47">
        <v>24.915</v>
      </c>
      <c r="F2633" s="47">
        <v>275.303867403314</v>
      </c>
      <c r="G2633" s="48">
        <v>0.011049723756906</v>
      </c>
      <c r="H2633" s="24" t="s">
        <v>3553</v>
      </c>
      <c r="I2633" s="47"/>
      <c r="J2633" s="24">
        <v>0.0</v>
      </c>
    </row>
    <row r="2634">
      <c r="A2634" s="24">
        <v>56.0</v>
      </c>
      <c r="B2634" s="24">
        <v>1.0</v>
      </c>
      <c r="C2634" s="47">
        <v>19.79</v>
      </c>
      <c r="D2634" s="35">
        <v>45955.0</v>
      </c>
      <c r="E2634" s="47">
        <v>19.79</v>
      </c>
      <c r="F2634" s="47">
        <v>353.392857142857</v>
      </c>
      <c r="G2634" s="48">
        <v>0.0178571428571428</v>
      </c>
      <c r="H2634" s="24" t="s">
        <v>3553</v>
      </c>
      <c r="I2634" s="47"/>
      <c r="J2634" s="24">
        <v>0.0</v>
      </c>
    </row>
    <row r="2635">
      <c r="A2635" s="24">
        <v>42.0</v>
      </c>
      <c r="B2635" s="24">
        <v>0.0</v>
      </c>
      <c r="C2635" s="47">
        <v>0.0</v>
      </c>
      <c r="D2635" s="35">
        <v>45956.0</v>
      </c>
      <c r="E2635" s="47"/>
      <c r="F2635" s="47">
        <v>0.0</v>
      </c>
      <c r="G2635" s="48">
        <v>0.0</v>
      </c>
      <c r="H2635" s="24" t="s">
        <v>3553</v>
      </c>
      <c r="I2635" s="47"/>
      <c r="J2635" s="24">
        <v>0.0</v>
      </c>
    </row>
    <row r="2636">
      <c r="A2636" s="24">
        <v>12.0</v>
      </c>
      <c r="B2636" s="24">
        <v>1.0</v>
      </c>
      <c r="C2636" s="47">
        <v>9.84</v>
      </c>
      <c r="D2636" s="35">
        <v>45957.0</v>
      </c>
      <c r="E2636" s="47">
        <v>9.84</v>
      </c>
      <c r="F2636" s="47">
        <v>820.0</v>
      </c>
      <c r="G2636" s="48">
        <v>0.0833333333333333</v>
      </c>
      <c r="H2636" s="24" t="s">
        <v>3553</v>
      </c>
      <c r="I2636" s="47"/>
      <c r="J2636" s="24">
        <v>0.0</v>
      </c>
    </row>
    <row r="2637">
      <c r="A2637" s="24">
        <v>26.0</v>
      </c>
      <c r="B2637" s="24">
        <v>2.0</v>
      </c>
      <c r="C2637" s="47">
        <v>48.24</v>
      </c>
      <c r="D2637" s="35">
        <v>45958.0</v>
      </c>
      <c r="E2637" s="47">
        <v>24.12</v>
      </c>
      <c r="F2637" s="47">
        <v>1855.38461538461</v>
      </c>
      <c r="G2637" s="48">
        <v>0.0769230769230769</v>
      </c>
      <c r="H2637" s="24" t="s">
        <v>3553</v>
      </c>
      <c r="I2637" s="47"/>
      <c r="J2637" s="24">
        <v>0.0</v>
      </c>
    </row>
    <row r="2638">
      <c r="A2638" s="24">
        <v>24.0</v>
      </c>
      <c r="B2638" s="24">
        <v>0.0</v>
      </c>
      <c r="C2638" s="47">
        <v>0.0</v>
      </c>
      <c r="D2638" s="35">
        <v>45959.0</v>
      </c>
      <c r="E2638" s="47"/>
      <c r="F2638" s="47">
        <v>0.0</v>
      </c>
      <c r="G2638" s="48">
        <v>0.0</v>
      </c>
      <c r="H2638" s="24" t="s">
        <v>3553</v>
      </c>
      <c r="I2638" s="47"/>
      <c r="J2638" s="24">
        <v>0.0</v>
      </c>
    </row>
    <row r="2639">
      <c r="A2639" s="24">
        <v>40.0</v>
      </c>
      <c r="B2639" s="24">
        <v>0.0</v>
      </c>
      <c r="C2639" s="47">
        <v>0.0</v>
      </c>
      <c r="D2639" s="35">
        <v>45960.0</v>
      </c>
      <c r="E2639" s="47"/>
      <c r="F2639" s="47">
        <v>0.0</v>
      </c>
      <c r="G2639" s="48">
        <v>0.0</v>
      </c>
      <c r="H2639" s="24" t="s">
        <v>3553</v>
      </c>
      <c r="I2639" s="47"/>
      <c r="J2639" s="24">
        <v>0.0</v>
      </c>
    </row>
    <row r="2640">
      <c r="A2640" s="24">
        <v>23.0</v>
      </c>
      <c r="B2640" s="24">
        <v>1.0</v>
      </c>
      <c r="C2640" s="47">
        <v>24.23</v>
      </c>
      <c r="D2640" s="35">
        <v>45961.0</v>
      </c>
      <c r="E2640" s="47">
        <v>24.23</v>
      </c>
      <c r="F2640" s="47">
        <v>1053.47826086956</v>
      </c>
      <c r="G2640" s="48">
        <v>0.0434782608695652</v>
      </c>
      <c r="H2640" s="24" t="s">
        <v>3553</v>
      </c>
      <c r="I2640" s="47"/>
      <c r="J2640" s="24">
        <v>0.0</v>
      </c>
    </row>
    <row r="2641">
      <c r="A2641" s="24">
        <v>1.0</v>
      </c>
      <c r="B2641" s="24">
        <v>0.0</v>
      </c>
      <c r="C2641" s="47">
        <v>0.0</v>
      </c>
      <c r="D2641" s="35">
        <v>45962.0</v>
      </c>
      <c r="E2641" s="47"/>
      <c r="F2641" s="47">
        <v>0.0</v>
      </c>
      <c r="G2641" s="48">
        <v>0.0</v>
      </c>
      <c r="H2641" s="24" t="s">
        <v>3553</v>
      </c>
      <c r="I2641" s="47"/>
      <c r="J2641" s="24">
        <v>0.0</v>
      </c>
    </row>
    <row r="2642">
      <c r="A2642" s="24">
        <v>11.0</v>
      </c>
      <c r="B2642" s="24">
        <v>1.0</v>
      </c>
      <c r="C2642" s="47">
        <v>24.17</v>
      </c>
      <c r="D2642" s="35">
        <v>45963.0</v>
      </c>
      <c r="E2642" s="47">
        <v>24.17</v>
      </c>
      <c r="F2642" s="47">
        <v>2197.27272727272</v>
      </c>
      <c r="G2642" s="48">
        <v>0.0909090909090909</v>
      </c>
      <c r="H2642" s="24" t="s">
        <v>3553</v>
      </c>
      <c r="I2642" s="47"/>
      <c r="J2642" s="24">
        <v>0.0</v>
      </c>
    </row>
    <row r="2643">
      <c r="A2643" s="24">
        <v>17.0</v>
      </c>
      <c r="B2643" s="24">
        <v>0.0</v>
      </c>
      <c r="C2643" s="47">
        <v>0.0</v>
      </c>
      <c r="D2643" s="35">
        <v>45964.0</v>
      </c>
      <c r="E2643" s="47"/>
      <c r="F2643" s="47">
        <v>0.0</v>
      </c>
      <c r="G2643" s="48">
        <v>0.0</v>
      </c>
      <c r="H2643" s="24" t="s">
        <v>3553</v>
      </c>
      <c r="I2643" s="47"/>
      <c r="J2643" s="24">
        <v>0.0</v>
      </c>
    </row>
    <row r="2644">
      <c r="A2644" s="24">
        <v>32.0</v>
      </c>
      <c r="B2644" s="24">
        <v>1.0</v>
      </c>
      <c r="C2644" s="47">
        <v>23.9</v>
      </c>
      <c r="D2644" s="35">
        <v>45965.0</v>
      </c>
      <c r="E2644" s="47">
        <v>23.9</v>
      </c>
      <c r="F2644" s="47">
        <v>746.875</v>
      </c>
      <c r="G2644" s="48">
        <v>0.03125</v>
      </c>
      <c r="H2644" s="24" t="s">
        <v>3553</v>
      </c>
      <c r="I2644" s="47"/>
      <c r="J2644" s="24">
        <v>0.0</v>
      </c>
    </row>
    <row r="2645">
      <c r="A2645" s="24">
        <v>22.0</v>
      </c>
      <c r="B2645" s="24">
        <v>1.0</v>
      </c>
      <c r="C2645" s="47">
        <v>24.63</v>
      </c>
      <c r="D2645" s="35">
        <v>45966.0</v>
      </c>
      <c r="E2645" s="47">
        <v>24.63</v>
      </c>
      <c r="F2645" s="47">
        <v>1119.54545454545</v>
      </c>
      <c r="G2645" s="48">
        <v>0.0454545454545454</v>
      </c>
      <c r="H2645" s="24" t="s">
        <v>3553</v>
      </c>
      <c r="I2645" s="47"/>
      <c r="J2645" s="24">
        <v>0.0</v>
      </c>
    </row>
    <row r="2646">
      <c r="A2646" s="24">
        <v>22.0</v>
      </c>
      <c r="B2646" s="24">
        <v>0.0</v>
      </c>
      <c r="C2646" s="47">
        <v>0.0</v>
      </c>
      <c r="D2646" s="35">
        <v>45967.0</v>
      </c>
      <c r="E2646" s="47"/>
      <c r="F2646" s="47">
        <v>0.0</v>
      </c>
      <c r="G2646" s="48">
        <v>0.0</v>
      </c>
      <c r="H2646" s="24" t="s">
        <v>3553</v>
      </c>
      <c r="I2646" s="47"/>
      <c r="J2646" s="24">
        <v>0.0</v>
      </c>
    </row>
    <row r="2647">
      <c r="A2647" s="24">
        <v>14.0</v>
      </c>
      <c r="B2647" s="24">
        <v>0.0</v>
      </c>
      <c r="C2647" s="47">
        <v>0.0</v>
      </c>
      <c r="D2647" s="35">
        <v>45968.0</v>
      </c>
      <c r="E2647" s="47"/>
      <c r="F2647" s="47">
        <v>0.0</v>
      </c>
      <c r="G2647" s="48">
        <v>0.0</v>
      </c>
      <c r="H2647" s="24" t="s">
        <v>3553</v>
      </c>
      <c r="I2647" s="47"/>
      <c r="J2647" s="24">
        <v>0.0</v>
      </c>
    </row>
    <row r="2648">
      <c r="A2648" s="24">
        <v>3.0</v>
      </c>
      <c r="B2648" s="24">
        <v>0.0</v>
      </c>
      <c r="C2648" s="47">
        <v>0.0</v>
      </c>
      <c r="D2648" s="35">
        <v>45969.0</v>
      </c>
      <c r="E2648" s="47"/>
      <c r="F2648" s="47">
        <v>0.0</v>
      </c>
      <c r="G2648" s="48">
        <v>0.0</v>
      </c>
      <c r="H2648" s="24" t="s">
        <v>3553</v>
      </c>
      <c r="I2648" s="47"/>
      <c r="J2648" s="24">
        <v>0.0</v>
      </c>
    </row>
    <row r="2649">
      <c r="A2649" s="24">
        <v>3.0</v>
      </c>
      <c r="B2649" s="24">
        <v>0.0</v>
      </c>
      <c r="C2649" s="47">
        <v>0.0</v>
      </c>
      <c r="D2649" s="35">
        <v>45970.0</v>
      </c>
      <c r="E2649" s="47"/>
      <c r="F2649" s="47">
        <v>0.0</v>
      </c>
      <c r="G2649" s="48">
        <v>0.0</v>
      </c>
      <c r="H2649" s="24" t="s">
        <v>3553</v>
      </c>
      <c r="I2649" s="47"/>
      <c r="J2649" s="24">
        <v>0.0</v>
      </c>
    </row>
    <row r="2650">
      <c r="A2650" s="24">
        <v>11.0</v>
      </c>
      <c r="B2650" s="24">
        <v>0.0</v>
      </c>
      <c r="C2650" s="47">
        <v>0.0</v>
      </c>
      <c r="D2650" s="35">
        <v>45971.0</v>
      </c>
      <c r="E2650" s="47"/>
      <c r="F2650" s="47">
        <v>0.0</v>
      </c>
      <c r="G2650" s="48">
        <v>0.0</v>
      </c>
      <c r="H2650" s="24" t="s">
        <v>3553</v>
      </c>
      <c r="I2650" s="47"/>
      <c r="J2650" s="24">
        <v>0.0</v>
      </c>
    </row>
    <row r="2651">
      <c r="A2651" s="24">
        <v>17.0</v>
      </c>
      <c r="B2651" s="24">
        <v>0.0</v>
      </c>
      <c r="C2651" s="47">
        <v>0.0</v>
      </c>
      <c r="D2651" s="35">
        <v>45972.0</v>
      </c>
      <c r="E2651" s="47"/>
      <c r="F2651" s="47">
        <v>0.0</v>
      </c>
      <c r="G2651" s="48">
        <v>0.0</v>
      </c>
      <c r="H2651" s="24" t="s">
        <v>3553</v>
      </c>
      <c r="I2651" s="47"/>
      <c r="J2651" s="24">
        <v>0.0</v>
      </c>
    </row>
    <row r="2652">
      <c r="A2652" s="24">
        <v>15.0</v>
      </c>
      <c r="B2652" s="24">
        <v>0.0</v>
      </c>
      <c r="C2652" s="47">
        <v>0.0</v>
      </c>
      <c r="D2652" s="35">
        <v>45973.0</v>
      </c>
      <c r="E2652" s="47"/>
      <c r="F2652" s="47">
        <v>0.0</v>
      </c>
      <c r="G2652" s="48">
        <v>0.0</v>
      </c>
      <c r="H2652" s="24" t="s">
        <v>3553</v>
      </c>
      <c r="I2652" s="47"/>
      <c r="J2652" s="24">
        <v>0.0</v>
      </c>
    </row>
    <row r="2653">
      <c r="A2653" s="24">
        <v>18.0</v>
      </c>
      <c r="B2653" s="24">
        <v>1.0</v>
      </c>
      <c r="C2653" s="47">
        <v>24.8</v>
      </c>
      <c r="D2653" s="35">
        <v>45974.0</v>
      </c>
      <c r="E2653" s="47">
        <v>24.8</v>
      </c>
      <c r="F2653" s="47">
        <v>1377.77777777777</v>
      </c>
      <c r="G2653" s="48">
        <v>0.0555555555555555</v>
      </c>
      <c r="H2653" s="24" t="s">
        <v>3553</v>
      </c>
      <c r="I2653" s="47"/>
      <c r="J2653" s="24">
        <v>0.0</v>
      </c>
    </row>
    <row r="2654">
      <c r="A2654" s="24">
        <v>19.0</v>
      </c>
      <c r="B2654" s="24">
        <v>1.0</v>
      </c>
      <c r="C2654" s="47">
        <v>24.08</v>
      </c>
      <c r="D2654" s="35">
        <v>45975.0</v>
      </c>
      <c r="E2654" s="47">
        <v>24.08</v>
      </c>
      <c r="F2654" s="47">
        <v>1267.36842105263</v>
      </c>
      <c r="G2654" s="48">
        <v>0.0526315789473684</v>
      </c>
      <c r="H2654" s="24" t="s">
        <v>3553</v>
      </c>
      <c r="I2654" s="47"/>
      <c r="J2654" s="24">
        <v>0.0</v>
      </c>
    </row>
    <row r="2655">
      <c r="A2655" s="24">
        <v>4.0</v>
      </c>
      <c r="B2655" s="24">
        <v>0.0</v>
      </c>
      <c r="C2655" s="47">
        <v>0.0</v>
      </c>
      <c r="D2655" s="35">
        <v>45976.0</v>
      </c>
      <c r="E2655" s="47"/>
      <c r="F2655" s="47">
        <v>0.0</v>
      </c>
      <c r="G2655" s="48">
        <v>0.0</v>
      </c>
      <c r="H2655" s="24" t="s">
        <v>3553</v>
      </c>
      <c r="I2655" s="47"/>
      <c r="J2655" s="24">
        <v>0.0</v>
      </c>
    </row>
    <row r="2656">
      <c r="A2656" s="24">
        <v>2.0</v>
      </c>
      <c r="B2656" s="24">
        <v>0.0</v>
      </c>
      <c r="C2656" s="47">
        <v>0.0</v>
      </c>
      <c r="D2656" s="35">
        <v>45977.0</v>
      </c>
      <c r="E2656" s="47"/>
      <c r="F2656" s="47">
        <v>0.0</v>
      </c>
      <c r="G2656" s="48">
        <v>0.0</v>
      </c>
      <c r="H2656" s="24" t="s">
        <v>3553</v>
      </c>
      <c r="I2656" s="47"/>
      <c r="J2656" s="24">
        <v>0.0</v>
      </c>
    </row>
    <row r="2657">
      <c r="A2657" s="24">
        <v>12.0</v>
      </c>
      <c r="B2657" s="24">
        <v>0.0</v>
      </c>
      <c r="C2657" s="47">
        <v>0.0</v>
      </c>
      <c r="D2657" s="35">
        <v>45978.0</v>
      </c>
      <c r="E2657" s="47"/>
      <c r="F2657" s="47">
        <v>0.0</v>
      </c>
      <c r="G2657" s="48">
        <v>0.0</v>
      </c>
      <c r="H2657" s="24" t="s">
        <v>3553</v>
      </c>
      <c r="I2657" s="47"/>
      <c r="J2657" s="24">
        <v>0.0</v>
      </c>
    </row>
    <row r="2658">
      <c r="A2658" s="24">
        <v>20.0</v>
      </c>
      <c r="B2658" s="24">
        <v>1.0</v>
      </c>
      <c r="C2658" s="47">
        <v>23.67</v>
      </c>
      <c r="D2658" s="35">
        <v>45979.0</v>
      </c>
      <c r="E2658" s="47">
        <v>23.67</v>
      </c>
      <c r="F2658" s="47">
        <v>1183.5</v>
      </c>
      <c r="G2658" s="48">
        <v>0.05</v>
      </c>
      <c r="H2658" s="24" t="s">
        <v>3553</v>
      </c>
      <c r="I2658" s="47"/>
      <c r="J2658" s="24">
        <v>0.0</v>
      </c>
    </row>
    <row r="2659">
      <c r="A2659" s="24">
        <v>26.0</v>
      </c>
      <c r="B2659" s="24">
        <v>1.0</v>
      </c>
      <c r="C2659" s="47">
        <v>24.76</v>
      </c>
      <c r="D2659" s="35">
        <v>45980.0</v>
      </c>
      <c r="E2659" s="47">
        <v>24.76</v>
      </c>
      <c r="F2659" s="47">
        <v>952.307692307692</v>
      </c>
      <c r="G2659" s="48">
        <v>0.0384615384615384</v>
      </c>
      <c r="H2659" s="24" t="s">
        <v>3553</v>
      </c>
      <c r="I2659" s="47"/>
      <c r="J2659" s="24">
        <v>0.0</v>
      </c>
    </row>
    <row r="2660">
      <c r="A2660" s="24">
        <v>30.0</v>
      </c>
      <c r="B2660" s="24">
        <v>0.0</v>
      </c>
      <c r="C2660" s="47">
        <v>0.0</v>
      </c>
      <c r="D2660" s="35">
        <v>45981.0</v>
      </c>
      <c r="E2660" s="47"/>
      <c r="F2660" s="47">
        <v>0.0</v>
      </c>
      <c r="G2660" s="48">
        <v>0.0</v>
      </c>
      <c r="H2660" s="24" t="s">
        <v>3553</v>
      </c>
      <c r="I2660" s="47"/>
      <c r="J2660" s="24">
        <v>0.0</v>
      </c>
    </row>
    <row r="2661">
      <c r="A2661" s="24">
        <v>15.0</v>
      </c>
      <c r="B2661" s="24">
        <v>0.0</v>
      </c>
      <c r="C2661" s="47">
        <v>0.0</v>
      </c>
      <c r="D2661" s="35">
        <v>45982.0</v>
      </c>
      <c r="E2661" s="47"/>
      <c r="F2661" s="47">
        <v>0.0</v>
      </c>
      <c r="G2661" s="48">
        <v>0.0</v>
      </c>
      <c r="H2661" s="24" t="s">
        <v>3553</v>
      </c>
      <c r="I2661" s="47"/>
      <c r="J2661" s="24">
        <v>0.0</v>
      </c>
    </row>
    <row r="2662">
      <c r="A2662" s="24">
        <v>6.0</v>
      </c>
      <c r="B2662" s="24">
        <v>0.0</v>
      </c>
      <c r="C2662" s="47">
        <v>0.0</v>
      </c>
      <c r="D2662" s="35">
        <v>45983.0</v>
      </c>
      <c r="E2662" s="47"/>
      <c r="F2662" s="47">
        <v>0.0</v>
      </c>
      <c r="G2662" s="48">
        <v>0.0</v>
      </c>
      <c r="H2662" s="24" t="s">
        <v>3553</v>
      </c>
      <c r="I2662" s="47"/>
      <c r="J2662" s="24">
        <v>0.0</v>
      </c>
    </row>
    <row r="2663">
      <c r="A2663" s="24">
        <v>9.0</v>
      </c>
      <c r="B2663" s="24">
        <v>0.0</v>
      </c>
      <c r="C2663" s="47">
        <v>0.0</v>
      </c>
      <c r="D2663" s="35">
        <v>45984.0</v>
      </c>
      <c r="E2663" s="47"/>
      <c r="F2663" s="47">
        <v>0.0</v>
      </c>
      <c r="G2663" s="48">
        <v>0.0</v>
      </c>
      <c r="H2663" s="24" t="s">
        <v>3553</v>
      </c>
      <c r="I2663" s="47"/>
      <c r="J2663" s="24">
        <v>0.0</v>
      </c>
    </row>
    <row r="2664">
      <c r="A2664" s="24">
        <v>22.0</v>
      </c>
      <c r="B2664" s="24">
        <v>0.0</v>
      </c>
      <c r="C2664" s="47">
        <v>0.0</v>
      </c>
      <c r="D2664" s="35">
        <v>45985.0</v>
      </c>
      <c r="E2664" s="47"/>
      <c r="F2664" s="47">
        <v>0.0</v>
      </c>
      <c r="G2664" s="48">
        <v>0.0</v>
      </c>
      <c r="H2664" s="24" t="s">
        <v>3553</v>
      </c>
      <c r="I2664" s="47"/>
      <c r="J2664" s="24">
        <v>0.0</v>
      </c>
    </row>
    <row r="2665">
      <c r="A2665" s="24">
        <v>16.0</v>
      </c>
      <c r="B2665" s="24">
        <v>0.0</v>
      </c>
      <c r="C2665" s="47">
        <v>0.0</v>
      </c>
      <c r="D2665" s="35">
        <v>45986.0</v>
      </c>
      <c r="E2665" s="47"/>
      <c r="F2665" s="47">
        <v>0.0</v>
      </c>
      <c r="G2665" s="48">
        <v>0.0</v>
      </c>
      <c r="H2665" s="24" t="s">
        <v>3553</v>
      </c>
      <c r="I2665" s="47"/>
      <c r="J2665" s="24">
        <v>0.0</v>
      </c>
    </row>
    <row r="2666">
      <c r="A2666" s="24">
        <v>12.0</v>
      </c>
      <c r="B2666" s="24">
        <v>0.0</v>
      </c>
      <c r="C2666" s="47">
        <v>0.0</v>
      </c>
      <c r="D2666" s="35">
        <v>45987.0</v>
      </c>
      <c r="E2666" s="47"/>
      <c r="F2666" s="47">
        <v>0.0</v>
      </c>
      <c r="G2666" s="48">
        <v>0.0</v>
      </c>
      <c r="H2666" s="24" t="s">
        <v>3553</v>
      </c>
      <c r="I2666" s="47"/>
      <c r="J2666" s="24">
        <v>0.0</v>
      </c>
    </row>
    <row r="2667">
      <c r="A2667" s="24">
        <v>4.0</v>
      </c>
      <c r="B2667" s="24">
        <v>0.0</v>
      </c>
      <c r="C2667" s="47">
        <v>0.0</v>
      </c>
      <c r="D2667" s="35">
        <v>45988.0</v>
      </c>
      <c r="E2667" s="47"/>
      <c r="F2667" s="47">
        <v>0.0</v>
      </c>
      <c r="G2667" s="48">
        <v>0.0</v>
      </c>
      <c r="H2667" s="24" t="s">
        <v>3553</v>
      </c>
      <c r="I2667" s="47"/>
      <c r="J2667" s="24">
        <v>0.0</v>
      </c>
    </row>
    <row r="2668">
      <c r="A2668" s="24">
        <v>16.0</v>
      </c>
      <c r="B2668" s="24">
        <v>0.0</v>
      </c>
      <c r="C2668" s="47">
        <v>0.0</v>
      </c>
      <c r="D2668" s="35">
        <v>45989.0</v>
      </c>
      <c r="E2668" s="47"/>
      <c r="F2668" s="47">
        <v>0.0</v>
      </c>
      <c r="G2668" s="48">
        <v>0.0</v>
      </c>
      <c r="H2668" s="24" t="s">
        <v>3553</v>
      </c>
      <c r="I2668" s="47"/>
      <c r="J2668" s="24">
        <v>0.0</v>
      </c>
    </row>
    <row r="2669">
      <c r="A2669" s="24">
        <v>10.0</v>
      </c>
      <c r="B2669" s="24">
        <v>0.0</v>
      </c>
      <c r="C2669" s="47">
        <v>0.0</v>
      </c>
      <c r="D2669" s="35">
        <v>45990.0</v>
      </c>
      <c r="E2669" s="47"/>
      <c r="F2669" s="47">
        <v>0.0</v>
      </c>
      <c r="G2669" s="48">
        <v>0.0</v>
      </c>
      <c r="H2669" s="24" t="s">
        <v>3553</v>
      </c>
      <c r="I2669" s="47"/>
      <c r="J2669" s="24">
        <v>0.0</v>
      </c>
    </row>
    <row r="2670">
      <c r="A2670" s="24">
        <v>8.0</v>
      </c>
      <c r="B2670" s="24">
        <v>1.0</v>
      </c>
      <c r="C2670" s="47">
        <v>24.09</v>
      </c>
      <c r="D2670" s="35">
        <v>45991.0</v>
      </c>
      <c r="E2670" s="47">
        <v>24.09</v>
      </c>
      <c r="F2670" s="47">
        <v>3011.25</v>
      </c>
      <c r="G2670" s="48">
        <v>0.125</v>
      </c>
      <c r="H2670" s="24" t="s">
        <v>3553</v>
      </c>
      <c r="I2670" s="47"/>
      <c r="J2670" s="24">
        <v>0.0</v>
      </c>
    </row>
    <row r="2671">
      <c r="A2671" s="24">
        <v>13.0</v>
      </c>
      <c r="B2671" s="24">
        <v>0.0</v>
      </c>
      <c r="C2671" s="47">
        <v>0.0</v>
      </c>
      <c r="D2671" s="35">
        <v>45992.0</v>
      </c>
      <c r="E2671" s="47"/>
      <c r="F2671" s="47">
        <v>0.0</v>
      </c>
      <c r="G2671" s="48">
        <v>0.0</v>
      </c>
      <c r="H2671" s="24" t="s">
        <v>3553</v>
      </c>
      <c r="I2671" s="47"/>
      <c r="J2671" s="24">
        <v>0.0</v>
      </c>
    </row>
    <row r="2672">
      <c r="A2672" s="24">
        <v>20.0</v>
      </c>
      <c r="B2672" s="24">
        <v>0.0</v>
      </c>
      <c r="C2672" s="47">
        <v>0.0</v>
      </c>
      <c r="D2672" s="35">
        <v>45993.0</v>
      </c>
      <c r="E2672" s="47"/>
      <c r="F2672" s="47">
        <v>0.0</v>
      </c>
      <c r="G2672" s="48">
        <v>0.0</v>
      </c>
      <c r="H2672" s="24" t="s">
        <v>3553</v>
      </c>
      <c r="I2672" s="47"/>
      <c r="J2672" s="24">
        <v>0.0</v>
      </c>
    </row>
    <row r="2673">
      <c r="A2673" s="24">
        <v>17.0</v>
      </c>
      <c r="B2673" s="24">
        <v>0.0</v>
      </c>
      <c r="C2673" s="47">
        <v>0.0</v>
      </c>
      <c r="D2673" s="35">
        <v>45994.0</v>
      </c>
      <c r="E2673" s="47"/>
      <c r="F2673" s="47">
        <v>0.0</v>
      </c>
      <c r="G2673" s="48">
        <v>0.0</v>
      </c>
      <c r="H2673" s="24" t="s">
        <v>3553</v>
      </c>
      <c r="I2673" s="47"/>
      <c r="J2673" s="24">
        <v>0.0</v>
      </c>
    </row>
    <row r="2674">
      <c r="A2674" s="24">
        <v>17.0</v>
      </c>
      <c r="B2674" s="24">
        <v>0.0</v>
      </c>
      <c r="C2674" s="47">
        <v>0.0</v>
      </c>
      <c r="D2674" s="35">
        <v>45995.0</v>
      </c>
      <c r="E2674" s="47"/>
      <c r="F2674" s="47">
        <v>0.0</v>
      </c>
      <c r="G2674" s="48">
        <v>0.0</v>
      </c>
      <c r="H2674" s="24" t="s">
        <v>3553</v>
      </c>
      <c r="I2674" s="47"/>
      <c r="J2674" s="24">
        <v>0.0</v>
      </c>
    </row>
    <row r="2675">
      <c r="A2675" s="24">
        <v>15.0</v>
      </c>
      <c r="B2675" s="24">
        <v>1.0</v>
      </c>
      <c r="C2675" s="47">
        <v>24.36</v>
      </c>
      <c r="D2675" s="35">
        <v>45996.0</v>
      </c>
      <c r="E2675" s="47">
        <v>24.36</v>
      </c>
      <c r="F2675" s="47">
        <v>1624.0</v>
      </c>
      <c r="G2675" s="48">
        <v>0.0666666666666666</v>
      </c>
      <c r="H2675" s="24" t="s">
        <v>3553</v>
      </c>
      <c r="I2675" s="47"/>
      <c r="J2675" s="24">
        <v>0.0</v>
      </c>
    </row>
    <row r="2676">
      <c r="A2676" s="24">
        <v>3.0</v>
      </c>
      <c r="B2676" s="24">
        <v>0.0</v>
      </c>
      <c r="C2676" s="47">
        <v>0.0</v>
      </c>
      <c r="D2676" s="35">
        <v>45998.0</v>
      </c>
      <c r="E2676" s="47"/>
      <c r="F2676" s="47">
        <v>0.0</v>
      </c>
      <c r="G2676" s="48">
        <v>0.0</v>
      </c>
      <c r="H2676" s="24" t="s">
        <v>3553</v>
      </c>
      <c r="I2676" s="47"/>
      <c r="J2676" s="24">
        <v>0.0</v>
      </c>
    </row>
    <row r="2677">
      <c r="A2677" s="24">
        <v>24.0</v>
      </c>
      <c r="B2677" s="24">
        <v>0.0</v>
      </c>
      <c r="C2677" s="47">
        <v>0.0</v>
      </c>
      <c r="D2677" s="35">
        <v>45999.0</v>
      </c>
      <c r="E2677" s="47"/>
      <c r="F2677" s="47">
        <v>0.0</v>
      </c>
      <c r="G2677" s="48">
        <v>0.0</v>
      </c>
      <c r="H2677" s="24" t="s">
        <v>3553</v>
      </c>
      <c r="I2677" s="47"/>
      <c r="J2677" s="24">
        <v>0.0</v>
      </c>
    </row>
    <row r="2678">
      <c r="A2678" s="24">
        <v>27.0</v>
      </c>
      <c r="B2678" s="24">
        <v>1.0</v>
      </c>
      <c r="C2678" s="47">
        <v>24.56</v>
      </c>
      <c r="D2678" s="35">
        <v>46000.0</v>
      </c>
      <c r="E2678" s="47">
        <v>24.56</v>
      </c>
      <c r="F2678" s="47">
        <v>909.629629629629</v>
      </c>
      <c r="G2678" s="48">
        <v>0.037037037037037</v>
      </c>
      <c r="H2678" s="24" t="s">
        <v>3553</v>
      </c>
      <c r="I2678" s="47"/>
      <c r="J2678" s="24">
        <v>0.0</v>
      </c>
    </row>
    <row r="2679">
      <c r="A2679" s="24">
        <v>12.0</v>
      </c>
      <c r="B2679" s="24">
        <v>0.0</v>
      </c>
      <c r="C2679" s="47">
        <v>0.0</v>
      </c>
      <c r="D2679" s="35">
        <v>46001.0</v>
      </c>
      <c r="E2679" s="47"/>
      <c r="F2679" s="47">
        <v>0.0</v>
      </c>
      <c r="G2679" s="48">
        <v>0.0</v>
      </c>
      <c r="H2679" s="24" t="s">
        <v>3553</v>
      </c>
      <c r="I2679" s="47"/>
      <c r="J2679" s="24">
        <v>0.0</v>
      </c>
    </row>
    <row r="2680">
      <c r="A2680" s="24">
        <v>15.0</v>
      </c>
      <c r="B2680" s="24">
        <v>0.0</v>
      </c>
      <c r="C2680" s="47">
        <v>0.0</v>
      </c>
      <c r="D2680" s="35">
        <v>46002.0</v>
      </c>
      <c r="E2680" s="47"/>
      <c r="F2680" s="47">
        <v>0.0</v>
      </c>
      <c r="G2680" s="48">
        <v>0.0</v>
      </c>
      <c r="H2680" s="24" t="s">
        <v>3553</v>
      </c>
      <c r="I2680" s="47"/>
      <c r="J2680" s="24">
        <v>0.0</v>
      </c>
    </row>
    <row r="2681">
      <c r="A2681" s="24">
        <v>12.0</v>
      </c>
      <c r="B2681" s="24">
        <v>1.0</v>
      </c>
      <c r="C2681" s="47">
        <v>22.84</v>
      </c>
      <c r="D2681" s="35">
        <v>46003.0</v>
      </c>
      <c r="E2681" s="47">
        <v>22.84</v>
      </c>
      <c r="F2681" s="47">
        <v>1903.33333333333</v>
      </c>
      <c r="G2681" s="48">
        <v>0.0833333333333333</v>
      </c>
      <c r="H2681" s="24" t="s">
        <v>3553</v>
      </c>
      <c r="I2681" s="47"/>
      <c r="J2681" s="24">
        <v>0.0</v>
      </c>
    </row>
    <row r="2682">
      <c r="A2682" s="24">
        <v>2.0</v>
      </c>
      <c r="B2682" s="24">
        <v>0.0</v>
      </c>
      <c r="C2682" s="47">
        <v>0.0</v>
      </c>
      <c r="D2682" s="35">
        <v>46004.0</v>
      </c>
      <c r="E2682" s="47"/>
      <c r="F2682" s="47">
        <v>0.0</v>
      </c>
      <c r="G2682" s="48">
        <v>0.0</v>
      </c>
      <c r="H2682" s="24" t="s">
        <v>3553</v>
      </c>
      <c r="I2682" s="47"/>
      <c r="J2682" s="24">
        <v>0.0</v>
      </c>
    </row>
    <row r="2683">
      <c r="A2683" s="24">
        <v>4.0</v>
      </c>
      <c r="B2683" s="24">
        <v>0.0</v>
      </c>
      <c r="C2683" s="47">
        <v>0.0</v>
      </c>
      <c r="D2683" s="35">
        <v>46005.0</v>
      </c>
      <c r="E2683" s="47"/>
      <c r="F2683" s="47">
        <v>0.0</v>
      </c>
      <c r="G2683" s="48">
        <v>0.0</v>
      </c>
      <c r="H2683" s="24" t="s">
        <v>3553</v>
      </c>
      <c r="I2683" s="47"/>
      <c r="J2683" s="24">
        <v>0.0</v>
      </c>
    </row>
    <row r="2684">
      <c r="A2684" s="24">
        <v>17.0</v>
      </c>
      <c r="B2684" s="24">
        <v>0.0</v>
      </c>
      <c r="C2684" s="47">
        <v>0.0</v>
      </c>
      <c r="D2684" s="35">
        <v>46006.0</v>
      </c>
      <c r="E2684" s="47"/>
      <c r="F2684" s="47">
        <v>0.0</v>
      </c>
      <c r="G2684" s="48">
        <v>0.0</v>
      </c>
      <c r="H2684" s="24" t="s">
        <v>3553</v>
      </c>
      <c r="I2684" s="47"/>
      <c r="J2684" s="24">
        <v>0.0</v>
      </c>
    </row>
    <row r="2685">
      <c r="A2685" s="24">
        <v>27.0</v>
      </c>
      <c r="B2685" s="24">
        <v>1.0</v>
      </c>
      <c r="C2685" s="47">
        <v>14.61</v>
      </c>
      <c r="D2685" s="35">
        <v>46007.0</v>
      </c>
      <c r="E2685" s="47">
        <v>14.61</v>
      </c>
      <c r="F2685" s="47">
        <v>541.111111111111</v>
      </c>
      <c r="G2685" s="48">
        <v>0.037037037037037</v>
      </c>
      <c r="H2685" s="24" t="s">
        <v>3553</v>
      </c>
      <c r="I2685" s="47"/>
      <c r="J2685" s="24">
        <v>0.0</v>
      </c>
    </row>
    <row r="2686">
      <c r="A2686" s="24">
        <v>8.0</v>
      </c>
      <c r="B2686" s="24">
        <v>0.0</v>
      </c>
      <c r="C2686" s="47">
        <v>0.0</v>
      </c>
      <c r="D2686" s="35">
        <v>46008.0</v>
      </c>
      <c r="E2686" s="47"/>
      <c r="F2686" s="47">
        <v>0.0</v>
      </c>
      <c r="G2686" s="48">
        <v>0.0</v>
      </c>
      <c r="H2686" s="24" t="s">
        <v>3553</v>
      </c>
      <c r="I2686" s="47"/>
      <c r="J2686" s="24">
        <v>0.0</v>
      </c>
    </row>
    <row r="2687">
      <c r="A2687" s="24">
        <v>10.0</v>
      </c>
      <c r="B2687" s="24">
        <v>0.0</v>
      </c>
      <c r="C2687" s="47">
        <v>0.0</v>
      </c>
      <c r="D2687" s="35">
        <v>46009.0</v>
      </c>
      <c r="E2687" s="47"/>
      <c r="F2687" s="47">
        <v>0.0</v>
      </c>
      <c r="G2687" s="48">
        <v>0.0</v>
      </c>
      <c r="H2687" s="24" t="s">
        <v>3553</v>
      </c>
      <c r="I2687" s="47"/>
      <c r="J2687" s="24">
        <v>0.0</v>
      </c>
    </row>
    <row r="2688">
      <c r="A2688" s="24">
        <v>4.0</v>
      </c>
      <c r="B2688" s="24">
        <v>0.0</v>
      </c>
      <c r="C2688" s="47">
        <v>0.0</v>
      </c>
      <c r="D2688" s="35">
        <v>46010.0</v>
      </c>
      <c r="E2688" s="47"/>
      <c r="F2688" s="47">
        <v>0.0</v>
      </c>
      <c r="G2688" s="48">
        <v>0.0</v>
      </c>
      <c r="H2688" s="24" t="s">
        <v>3553</v>
      </c>
      <c r="I2688" s="47"/>
      <c r="J2688" s="24">
        <v>0.0</v>
      </c>
    </row>
    <row r="2689">
      <c r="A2689" s="24">
        <v>2.0</v>
      </c>
      <c r="B2689" s="24">
        <v>0.0</v>
      </c>
      <c r="C2689" s="47">
        <v>0.0</v>
      </c>
      <c r="D2689" s="35">
        <v>46012.0</v>
      </c>
      <c r="E2689" s="47"/>
      <c r="F2689" s="47">
        <v>0.0</v>
      </c>
      <c r="G2689" s="48">
        <v>0.0</v>
      </c>
      <c r="H2689" s="24" t="s">
        <v>3553</v>
      </c>
      <c r="I2689" s="47"/>
      <c r="J2689" s="24">
        <v>0.0</v>
      </c>
    </row>
    <row r="2690">
      <c r="A2690" s="24">
        <v>2.0</v>
      </c>
      <c r="B2690" s="24">
        <v>0.0</v>
      </c>
      <c r="C2690" s="47">
        <v>0.0</v>
      </c>
      <c r="D2690" s="35">
        <v>46013.0</v>
      </c>
      <c r="E2690" s="47"/>
      <c r="F2690" s="47">
        <v>0.0</v>
      </c>
      <c r="G2690" s="48">
        <v>0.0</v>
      </c>
      <c r="H2690" s="24" t="s">
        <v>3553</v>
      </c>
      <c r="I2690" s="47"/>
      <c r="J2690" s="24">
        <v>0.0</v>
      </c>
    </row>
    <row r="2691">
      <c r="A2691" s="24">
        <v>7.0</v>
      </c>
      <c r="B2691" s="24">
        <v>0.0</v>
      </c>
      <c r="C2691" s="47">
        <v>0.0</v>
      </c>
      <c r="D2691" s="35">
        <v>46014.0</v>
      </c>
      <c r="E2691" s="47"/>
      <c r="F2691" s="47">
        <v>0.0</v>
      </c>
      <c r="G2691" s="48">
        <v>0.0</v>
      </c>
      <c r="H2691" s="24" t="s">
        <v>3553</v>
      </c>
      <c r="I2691" s="47"/>
      <c r="J2691" s="24">
        <v>0.0</v>
      </c>
    </row>
    <row r="2692">
      <c r="A2692" s="24">
        <v>1.0</v>
      </c>
      <c r="B2692" s="24">
        <v>1.0</v>
      </c>
      <c r="C2692" s="47">
        <v>24.84</v>
      </c>
      <c r="D2692" s="35">
        <v>46015.0</v>
      </c>
      <c r="E2692" s="47">
        <v>24.84</v>
      </c>
      <c r="F2692" s="47">
        <v>24840.0</v>
      </c>
      <c r="G2692" s="48">
        <v>1.0</v>
      </c>
      <c r="H2692" s="24" t="s">
        <v>3553</v>
      </c>
      <c r="I2692" s="47"/>
      <c r="J2692" s="24">
        <v>0.0</v>
      </c>
    </row>
    <row r="2693">
      <c r="A2693" s="24">
        <v>1.0</v>
      </c>
      <c r="B2693" s="24">
        <v>0.0</v>
      </c>
      <c r="C2693" s="47">
        <v>0.0</v>
      </c>
      <c r="D2693" s="35">
        <v>46016.0</v>
      </c>
      <c r="E2693" s="47"/>
      <c r="F2693" s="47">
        <v>0.0</v>
      </c>
      <c r="G2693" s="48">
        <v>0.0</v>
      </c>
      <c r="H2693" s="24" t="s">
        <v>3553</v>
      </c>
      <c r="I2693" s="47"/>
      <c r="J2693" s="24">
        <v>0.0</v>
      </c>
    </row>
    <row r="2694">
      <c r="A2694" s="24">
        <v>1.0</v>
      </c>
      <c r="B2694" s="24">
        <v>0.0</v>
      </c>
      <c r="C2694" s="47">
        <v>0.0</v>
      </c>
      <c r="D2694" s="35">
        <v>46017.0</v>
      </c>
      <c r="E2694" s="47"/>
      <c r="F2694" s="47">
        <v>0.0</v>
      </c>
      <c r="G2694" s="48">
        <v>0.0</v>
      </c>
      <c r="H2694" s="24" t="s">
        <v>3553</v>
      </c>
      <c r="I2694" s="47"/>
      <c r="J2694" s="24">
        <v>0.0</v>
      </c>
    </row>
    <row r="2695">
      <c r="A2695" s="24">
        <v>3.0</v>
      </c>
      <c r="B2695" s="24">
        <v>0.0</v>
      </c>
      <c r="C2695" s="47">
        <v>0.0</v>
      </c>
      <c r="D2695" s="35">
        <v>46018.0</v>
      </c>
      <c r="E2695" s="47"/>
      <c r="F2695" s="47">
        <v>0.0</v>
      </c>
      <c r="G2695" s="48">
        <v>0.0</v>
      </c>
      <c r="H2695" s="24" t="s">
        <v>3553</v>
      </c>
      <c r="I2695" s="47"/>
      <c r="J2695" s="24">
        <v>0.0</v>
      </c>
    </row>
    <row r="2696">
      <c r="A2696" s="24">
        <v>7.0</v>
      </c>
      <c r="B2696" s="24">
        <v>0.0</v>
      </c>
      <c r="C2696" s="47">
        <v>0.0</v>
      </c>
      <c r="D2696" s="35">
        <v>46027.0</v>
      </c>
      <c r="E2696" s="47"/>
      <c r="F2696" s="47">
        <v>0.0</v>
      </c>
      <c r="G2696" s="48">
        <v>0.0</v>
      </c>
      <c r="H2696" s="24" t="s">
        <v>3553</v>
      </c>
      <c r="I2696" s="47"/>
      <c r="J2696" s="24">
        <v>0.0</v>
      </c>
    </row>
    <row r="2697">
      <c r="A2697" s="24">
        <v>6.0</v>
      </c>
      <c r="B2697" s="24">
        <v>1.0</v>
      </c>
      <c r="C2697" s="47">
        <v>24.56</v>
      </c>
      <c r="D2697" s="35">
        <v>46028.0</v>
      </c>
      <c r="E2697" s="47">
        <v>24.56</v>
      </c>
      <c r="F2697" s="47">
        <v>4093.33333333333</v>
      </c>
      <c r="G2697" s="48">
        <v>0.166666666666666</v>
      </c>
      <c r="H2697" s="24" t="s">
        <v>3553</v>
      </c>
      <c r="I2697" s="47"/>
      <c r="J2697" s="24">
        <v>0.0</v>
      </c>
    </row>
    <row r="2698">
      <c r="A2698" s="24">
        <v>5.0</v>
      </c>
      <c r="B2698" s="24">
        <v>0.0</v>
      </c>
      <c r="C2698" s="47">
        <v>0.0</v>
      </c>
      <c r="D2698" s="35">
        <v>46029.0</v>
      </c>
      <c r="E2698" s="47"/>
      <c r="F2698" s="47">
        <v>0.0</v>
      </c>
      <c r="G2698" s="48">
        <v>0.0</v>
      </c>
      <c r="H2698" s="24" t="s">
        <v>3553</v>
      </c>
      <c r="I2698" s="47"/>
      <c r="J2698" s="24">
        <v>0.0</v>
      </c>
    </row>
    <row r="2699">
      <c r="A2699" s="24">
        <v>9.0</v>
      </c>
      <c r="B2699" s="24">
        <v>1.0</v>
      </c>
      <c r="C2699" s="47">
        <v>24.14</v>
      </c>
      <c r="D2699" s="35">
        <v>46030.0</v>
      </c>
      <c r="E2699" s="47">
        <v>24.14</v>
      </c>
      <c r="F2699" s="47">
        <v>2682.22222222222</v>
      </c>
      <c r="G2699" s="48">
        <v>0.111111111111111</v>
      </c>
      <c r="H2699" s="24" t="s">
        <v>3553</v>
      </c>
      <c r="I2699" s="47"/>
      <c r="J2699" s="24">
        <v>0.0</v>
      </c>
    </row>
    <row r="2700">
      <c r="A2700" s="24">
        <v>4.0</v>
      </c>
      <c r="B2700" s="24">
        <v>0.0</v>
      </c>
      <c r="C2700" s="47">
        <v>0.0</v>
      </c>
      <c r="D2700" s="35">
        <v>46031.0</v>
      </c>
      <c r="E2700" s="47"/>
      <c r="F2700" s="47">
        <v>0.0</v>
      </c>
      <c r="G2700" s="48">
        <v>0.0</v>
      </c>
      <c r="H2700" s="24" t="s">
        <v>3553</v>
      </c>
      <c r="I2700" s="47"/>
      <c r="J2700" s="24">
        <v>0.0</v>
      </c>
    </row>
    <row r="2701">
      <c r="A2701" s="24">
        <v>4.0</v>
      </c>
      <c r="B2701" s="24">
        <v>0.0</v>
      </c>
      <c r="C2701" s="47">
        <v>0.0</v>
      </c>
      <c r="D2701" s="35">
        <v>46032.0</v>
      </c>
      <c r="E2701" s="47"/>
      <c r="F2701" s="47">
        <v>0.0</v>
      </c>
      <c r="G2701" s="48">
        <v>0.0</v>
      </c>
      <c r="H2701" s="24" t="s">
        <v>3553</v>
      </c>
      <c r="I2701" s="47"/>
      <c r="J2701" s="24">
        <v>0.0</v>
      </c>
    </row>
    <row r="2702">
      <c r="A2702" s="24">
        <v>2.0</v>
      </c>
      <c r="B2702" s="24">
        <v>0.0</v>
      </c>
      <c r="C2702" s="47">
        <v>0.0</v>
      </c>
      <c r="D2702" s="35">
        <v>46033.0</v>
      </c>
      <c r="E2702" s="47"/>
      <c r="F2702" s="47">
        <v>0.0</v>
      </c>
      <c r="G2702" s="48">
        <v>0.0</v>
      </c>
      <c r="H2702" s="24" t="s">
        <v>3553</v>
      </c>
      <c r="I2702" s="47"/>
      <c r="J2702" s="24">
        <v>0.0</v>
      </c>
    </row>
    <row r="2703">
      <c r="A2703" s="24">
        <v>4.0</v>
      </c>
      <c r="B2703" s="24">
        <v>0.0</v>
      </c>
      <c r="C2703" s="47">
        <v>0.0</v>
      </c>
      <c r="D2703" s="35">
        <v>46034.0</v>
      </c>
      <c r="E2703" s="47"/>
      <c r="F2703" s="47">
        <v>0.0</v>
      </c>
      <c r="G2703" s="48">
        <v>0.0</v>
      </c>
      <c r="H2703" s="24" t="s">
        <v>3553</v>
      </c>
      <c r="I2703" s="47"/>
      <c r="J2703" s="24">
        <v>0.0</v>
      </c>
    </row>
    <row r="2704">
      <c r="A2704" s="24">
        <v>19.0</v>
      </c>
      <c r="B2704" s="24">
        <v>0.0</v>
      </c>
      <c r="C2704" s="47">
        <v>0.0</v>
      </c>
      <c r="D2704" s="35">
        <v>46035.0</v>
      </c>
      <c r="E2704" s="47"/>
      <c r="F2704" s="47">
        <v>0.0</v>
      </c>
      <c r="G2704" s="48">
        <v>0.0</v>
      </c>
      <c r="H2704" s="24" t="s">
        <v>3553</v>
      </c>
      <c r="I2704" s="47"/>
      <c r="J2704" s="24">
        <v>0.0</v>
      </c>
    </row>
    <row r="2705">
      <c r="A2705" s="24">
        <v>14.0</v>
      </c>
      <c r="B2705" s="24">
        <v>2.0</v>
      </c>
      <c r="C2705" s="47">
        <v>48.74</v>
      </c>
      <c r="D2705" s="35">
        <v>46036.0</v>
      </c>
      <c r="E2705" s="47">
        <v>24.37</v>
      </c>
      <c r="F2705" s="47">
        <v>3481.42857142857</v>
      </c>
      <c r="G2705" s="48">
        <v>0.142857142857142</v>
      </c>
      <c r="H2705" s="24" t="s">
        <v>3553</v>
      </c>
      <c r="I2705" s="47"/>
      <c r="J2705" s="24">
        <v>0.0</v>
      </c>
    </row>
    <row r="2706">
      <c r="A2706" s="24">
        <v>5.0</v>
      </c>
      <c r="B2706" s="24">
        <v>0.0</v>
      </c>
      <c r="C2706" s="47">
        <v>0.0</v>
      </c>
      <c r="D2706" s="35">
        <v>46037.0</v>
      </c>
      <c r="E2706" s="47"/>
      <c r="F2706" s="47">
        <v>0.0</v>
      </c>
      <c r="G2706" s="48">
        <v>0.0</v>
      </c>
      <c r="H2706" s="24" t="s">
        <v>3553</v>
      </c>
      <c r="I2706" s="47"/>
      <c r="J2706" s="24">
        <v>0.0</v>
      </c>
    </row>
    <row r="2707">
      <c r="A2707" s="24">
        <v>5.0</v>
      </c>
      <c r="B2707" s="24">
        <v>0.0</v>
      </c>
      <c r="C2707" s="47">
        <v>0.0</v>
      </c>
      <c r="D2707" s="35">
        <v>46038.0</v>
      </c>
      <c r="E2707" s="47"/>
      <c r="F2707" s="47">
        <v>0.0</v>
      </c>
      <c r="G2707" s="48">
        <v>0.0</v>
      </c>
      <c r="H2707" s="24" t="s">
        <v>3553</v>
      </c>
      <c r="I2707" s="47"/>
      <c r="J2707" s="24">
        <v>0.0</v>
      </c>
    </row>
    <row r="2708">
      <c r="A2708" s="24">
        <v>2.0</v>
      </c>
      <c r="B2708" s="24">
        <v>0.0</v>
      </c>
      <c r="C2708" s="47">
        <v>0.0</v>
      </c>
      <c r="D2708" s="35">
        <v>46039.0</v>
      </c>
      <c r="E2708" s="47"/>
      <c r="F2708" s="47">
        <v>0.0</v>
      </c>
      <c r="G2708" s="48">
        <v>0.0</v>
      </c>
      <c r="H2708" s="24" t="s">
        <v>3553</v>
      </c>
      <c r="I2708" s="47"/>
      <c r="J2708" s="24">
        <v>0.0</v>
      </c>
    </row>
    <row r="2709">
      <c r="A2709" s="24">
        <v>4.0</v>
      </c>
      <c r="B2709" s="24">
        <v>0.0</v>
      </c>
      <c r="C2709" s="47">
        <v>0.0</v>
      </c>
      <c r="D2709" s="35">
        <v>46040.0</v>
      </c>
      <c r="E2709" s="47"/>
      <c r="F2709" s="47">
        <v>0.0</v>
      </c>
      <c r="G2709" s="48">
        <v>0.0</v>
      </c>
      <c r="H2709" s="24" t="s">
        <v>3553</v>
      </c>
      <c r="I2709" s="47"/>
      <c r="J2709" s="24">
        <v>0.0</v>
      </c>
    </row>
    <row r="2710">
      <c r="A2710" s="24">
        <v>7.0</v>
      </c>
      <c r="B2710" s="24">
        <v>1.0</v>
      </c>
      <c r="C2710" s="47">
        <v>24.46</v>
      </c>
      <c r="D2710" s="35">
        <v>46041.0</v>
      </c>
      <c r="E2710" s="47">
        <v>24.46</v>
      </c>
      <c r="F2710" s="47">
        <v>3494.28571428571</v>
      </c>
      <c r="G2710" s="48">
        <v>0.142857142857142</v>
      </c>
      <c r="H2710" s="24" t="s">
        <v>3553</v>
      </c>
      <c r="I2710" s="47"/>
      <c r="J2710" s="24">
        <v>0.0</v>
      </c>
    </row>
    <row r="2711">
      <c r="A2711" s="24">
        <v>8.0</v>
      </c>
      <c r="B2711" s="24">
        <v>0.0</v>
      </c>
      <c r="C2711" s="47">
        <v>0.0</v>
      </c>
      <c r="D2711" s="35">
        <v>46042.0</v>
      </c>
      <c r="E2711" s="47"/>
      <c r="F2711" s="47">
        <v>0.0</v>
      </c>
      <c r="G2711" s="48">
        <v>0.0</v>
      </c>
      <c r="H2711" s="24" t="s">
        <v>3553</v>
      </c>
      <c r="I2711" s="47"/>
      <c r="J2711" s="24">
        <v>0.0</v>
      </c>
    </row>
    <row r="2712">
      <c r="A2712" s="24">
        <v>9.0</v>
      </c>
      <c r="B2712" s="24">
        <v>1.0</v>
      </c>
      <c r="C2712" s="47">
        <v>23.37</v>
      </c>
      <c r="D2712" s="35">
        <v>46043.0</v>
      </c>
      <c r="E2712" s="47">
        <v>23.37</v>
      </c>
      <c r="F2712" s="47">
        <v>2596.66666666666</v>
      </c>
      <c r="G2712" s="48">
        <v>0.111111111111111</v>
      </c>
      <c r="H2712" s="24" t="s">
        <v>3553</v>
      </c>
      <c r="I2712" s="47"/>
      <c r="J2712" s="24">
        <v>0.0</v>
      </c>
    </row>
    <row r="2713">
      <c r="A2713" s="24">
        <v>10.0</v>
      </c>
      <c r="B2713" s="24">
        <v>0.0</v>
      </c>
      <c r="C2713" s="47">
        <v>0.0</v>
      </c>
      <c r="D2713" s="35">
        <v>46044.0</v>
      </c>
      <c r="E2713" s="47"/>
      <c r="F2713" s="47">
        <v>0.0</v>
      </c>
      <c r="G2713" s="48">
        <v>0.0</v>
      </c>
      <c r="H2713" s="24" t="s">
        <v>3553</v>
      </c>
      <c r="I2713" s="47"/>
      <c r="J2713" s="24">
        <v>0.0</v>
      </c>
    </row>
    <row r="2714">
      <c r="A2714" s="24">
        <v>12.0</v>
      </c>
      <c r="B2714" s="24">
        <v>0.0</v>
      </c>
      <c r="C2714" s="47">
        <v>0.0</v>
      </c>
      <c r="D2714" s="35">
        <v>46045.0</v>
      </c>
      <c r="E2714" s="47"/>
      <c r="F2714" s="47">
        <v>0.0</v>
      </c>
      <c r="G2714" s="48">
        <v>0.0</v>
      </c>
      <c r="H2714" s="24" t="s">
        <v>3553</v>
      </c>
      <c r="I2714" s="47"/>
      <c r="J2714" s="24">
        <v>0.0</v>
      </c>
    </row>
    <row r="2715">
      <c r="A2715" s="24">
        <v>8.0</v>
      </c>
      <c r="B2715" s="24">
        <v>1.0</v>
      </c>
      <c r="C2715" s="47">
        <v>24.28</v>
      </c>
      <c r="D2715" s="35">
        <v>46046.0</v>
      </c>
      <c r="E2715" s="47">
        <v>24.28</v>
      </c>
      <c r="F2715" s="47">
        <v>3035.0</v>
      </c>
      <c r="G2715" s="48">
        <v>0.125</v>
      </c>
      <c r="H2715" s="24" t="s">
        <v>3553</v>
      </c>
      <c r="I2715" s="47"/>
      <c r="J2715" s="24">
        <v>0.0</v>
      </c>
    </row>
    <row r="2716">
      <c r="A2716" s="24">
        <v>5.0</v>
      </c>
      <c r="B2716" s="24">
        <v>0.0</v>
      </c>
      <c r="C2716" s="47">
        <v>0.0</v>
      </c>
      <c r="D2716" s="35">
        <v>46047.0</v>
      </c>
      <c r="E2716" s="47"/>
      <c r="F2716" s="47">
        <v>0.0</v>
      </c>
      <c r="G2716" s="48">
        <v>0.0</v>
      </c>
      <c r="H2716" s="24" t="s">
        <v>3553</v>
      </c>
      <c r="I2716" s="47"/>
      <c r="J2716" s="24">
        <v>0.0</v>
      </c>
    </row>
    <row r="2717">
      <c r="A2717" s="24">
        <v>5.0</v>
      </c>
      <c r="B2717" s="24">
        <v>0.0</v>
      </c>
      <c r="C2717" s="47">
        <v>0.0</v>
      </c>
      <c r="D2717" s="35">
        <v>46048.0</v>
      </c>
      <c r="E2717" s="47"/>
      <c r="F2717" s="47">
        <v>0.0</v>
      </c>
      <c r="G2717" s="48">
        <v>0.0</v>
      </c>
      <c r="H2717" s="24" t="s">
        <v>3553</v>
      </c>
      <c r="I2717" s="47"/>
      <c r="J2717" s="24">
        <v>0.0</v>
      </c>
    </row>
    <row r="2718">
      <c r="A2718" s="24">
        <v>8.0</v>
      </c>
      <c r="B2718" s="24">
        <v>0.0</v>
      </c>
      <c r="C2718" s="47">
        <v>0.0</v>
      </c>
      <c r="D2718" s="35">
        <v>46049.0</v>
      </c>
      <c r="E2718" s="47"/>
      <c r="F2718" s="47">
        <v>0.0</v>
      </c>
      <c r="G2718" s="48">
        <v>0.0</v>
      </c>
      <c r="H2718" s="24" t="s">
        <v>3553</v>
      </c>
      <c r="I2718" s="47"/>
      <c r="J2718" s="24">
        <v>0.0</v>
      </c>
    </row>
    <row r="2719">
      <c r="A2719" s="24">
        <v>21.0</v>
      </c>
      <c r="B2719" s="24">
        <v>1.0</v>
      </c>
      <c r="C2719" s="47">
        <v>24.96</v>
      </c>
      <c r="D2719" s="35">
        <v>46050.0</v>
      </c>
      <c r="E2719" s="47">
        <v>24.96</v>
      </c>
      <c r="F2719" s="47">
        <v>1188.57142857142</v>
      </c>
      <c r="G2719" s="48">
        <v>0.0476190476190476</v>
      </c>
      <c r="H2719" s="24" t="s">
        <v>3553</v>
      </c>
      <c r="I2719" s="47"/>
      <c r="J2719" s="24">
        <v>0.0</v>
      </c>
    </row>
    <row r="2720">
      <c r="A2720" s="24">
        <v>10.0</v>
      </c>
      <c r="B2720" s="24">
        <v>0.0</v>
      </c>
      <c r="C2720" s="47">
        <v>0.0</v>
      </c>
      <c r="D2720" s="35">
        <v>46051.0</v>
      </c>
      <c r="E2720" s="47"/>
      <c r="F2720" s="47">
        <v>0.0</v>
      </c>
      <c r="G2720" s="48">
        <v>0.0</v>
      </c>
      <c r="H2720" s="24" t="s">
        <v>3553</v>
      </c>
      <c r="I2720" s="47"/>
      <c r="J2720" s="24">
        <v>0.0</v>
      </c>
    </row>
    <row r="2721">
      <c r="A2721" s="24">
        <v>9.0</v>
      </c>
      <c r="B2721" s="24">
        <v>1.0</v>
      </c>
      <c r="C2721" s="47">
        <v>28.76</v>
      </c>
      <c r="D2721" s="35">
        <v>46052.0</v>
      </c>
      <c r="E2721" s="47">
        <v>28.76</v>
      </c>
      <c r="F2721" s="47">
        <v>3195.55555555555</v>
      </c>
      <c r="G2721" s="48">
        <v>0.111111111111111</v>
      </c>
      <c r="H2721" s="24" t="s">
        <v>3553</v>
      </c>
      <c r="I2721" s="47"/>
      <c r="J2721" s="24">
        <v>0.0</v>
      </c>
    </row>
    <row r="2722">
      <c r="A2722" s="24">
        <v>4.0</v>
      </c>
      <c r="B2722" s="24">
        <v>0.0</v>
      </c>
      <c r="C2722" s="47">
        <v>0.0</v>
      </c>
      <c r="D2722" s="35">
        <v>46053.0</v>
      </c>
      <c r="E2722" s="47"/>
      <c r="F2722" s="47">
        <v>0.0</v>
      </c>
      <c r="G2722" s="48">
        <v>0.0</v>
      </c>
      <c r="H2722" s="24" t="s">
        <v>3553</v>
      </c>
      <c r="I2722" s="47"/>
      <c r="J2722" s="24">
        <v>0.0</v>
      </c>
    </row>
    <row r="2723">
      <c r="A2723" s="24">
        <v>2.0</v>
      </c>
      <c r="B2723" s="24">
        <v>0.0</v>
      </c>
      <c r="C2723" s="47">
        <v>0.0</v>
      </c>
      <c r="D2723" s="35">
        <v>46054.0</v>
      </c>
      <c r="E2723" s="47"/>
      <c r="F2723" s="47">
        <v>0.0</v>
      </c>
      <c r="G2723" s="48">
        <v>0.0</v>
      </c>
      <c r="H2723" s="24" t="s">
        <v>3553</v>
      </c>
      <c r="I2723" s="47"/>
      <c r="J2723" s="24">
        <v>0.0</v>
      </c>
    </row>
    <row r="2724">
      <c r="A2724" s="24">
        <v>11.0</v>
      </c>
      <c r="B2724" s="24">
        <v>0.0</v>
      </c>
      <c r="C2724" s="47">
        <v>0.0</v>
      </c>
      <c r="D2724" s="35">
        <v>46055.0</v>
      </c>
      <c r="E2724" s="47"/>
      <c r="F2724" s="47">
        <v>0.0</v>
      </c>
      <c r="G2724" s="48">
        <v>0.0</v>
      </c>
      <c r="H2724" s="24" t="s">
        <v>3553</v>
      </c>
      <c r="I2724" s="47"/>
      <c r="J2724" s="24">
        <v>0.0</v>
      </c>
    </row>
    <row r="2725">
      <c r="A2725" s="24">
        <v>10.0</v>
      </c>
      <c r="B2725" s="24">
        <v>0.0</v>
      </c>
      <c r="C2725" s="47">
        <v>0.0</v>
      </c>
      <c r="D2725" s="35">
        <v>46056.0</v>
      </c>
      <c r="E2725" s="47"/>
      <c r="F2725" s="47">
        <v>0.0</v>
      </c>
      <c r="G2725" s="48">
        <v>0.0</v>
      </c>
      <c r="H2725" s="24" t="s">
        <v>3553</v>
      </c>
      <c r="I2725" s="47"/>
      <c r="J2725" s="24">
        <v>0.0</v>
      </c>
    </row>
    <row r="2726">
      <c r="A2726" s="24">
        <v>27.0</v>
      </c>
      <c r="B2726" s="24">
        <v>0.0</v>
      </c>
      <c r="C2726" s="47">
        <v>0.0</v>
      </c>
      <c r="D2726" s="35">
        <v>46057.0</v>
      </c>
      <c r="E2726" s="47"/>
      <c r="F2726" s="47">
        <v>0.0</v>
      </c>
      <c r="G2726" s="48">
        <v>0.0</v>
      </c>
      <c r="H2726" s="24" t="s">
        <v>3553</v>
      </c>
      <c r="I2726" s="47"/>
      <c r="J2726" s="24">
        <v>0.0</v>
      </c>
    </row>
    <row r="2727">
      <c r="A2727" s="24">
        <v>12.0</v>
      </c>
      <c r="B2727" s="24">
        <v>1.0</v>
      </c>
      <c r="C2727" s="47">
        <v>49.91</v>
      </c>
      <c r="D2727" s="35">
        <v>46058.0</v>
      </c>
      <c r="E2727" s="47">
        <v>49.91</v>
      </c>
      <c r="F2727" s="47">
        <v>4159.16666666666</v>
      </c>
      <c r="G2727" s="48">
        <v>0.0833333333333333</v>
      </c>
      <c r="H2727" s="24" t="s">
        <v>3553</v>
      </c>
      <c r="I2727" s="47"/>
      <c r="J2727" s="24">
        <v>0.0</v>
      </c>
    </row>
    <row r="2728">
      <c r="A2728" s="24">
        <v>8.0</v>
      </c>
      <c r="B2728" s="24">
        <v>0.0</v>
      </c>
      <c r="C2728" s="47">
        <v>0.0</v>
      </c>
      <c r="D2728" s="35">
        <v>46059.0</v>
      </c>
      <c r="E2728" s="47"/>
      <c r="F2728" s="47">
        <v>0.0</v>
      </c>
      <c r="G2728" s="48">
        <v>0.0</v>
      </c>
      <c r="H2728" s="24" t="s">
        <v>3553</v>
      </c>
      <c r="I2728" s="47"/>
      <c r="J2728" s="24">
        <v>0.0</v>
      </c>
    </row>
    <row r="2729">
      <c r="A2729" s="24">
        <v>3.0</v>
      </c>
      <c r="B2729" s="24">
        <v>0.0</v>
      </c>
      <c r="C2729" s="47">
        <v>0.0</v>
      </c>
      <c r="D2729" s="35">
        <v>46061.0</v>
      </c>
      <c r="E2729" s="47"/>
      <c r="F2729" s="47">
        <v>0.0</v>
      </c>
      <c r="G2729" s="48">
        <v>0.0</v>
      </c>
      <c r="H2729" s="24" t="s">
        <v>3553</v>
      </c>
      <c r="I2729" s="47"/>
      <c r="J2729" s="24">
        <v>0.0</v>
      </c>
    </row>
    <row r="2730">
      <c r="A2730" s="24">
        <v>4.0</v>
      </c>
      <c r="B2730" s="24">
        <v>0.0</v>
      </c>
      <c r="C2730" s="47">
        <v>0.0</v>
      </c>
      <c r="D2730" s="35">
        <v>46062.0</v>
      </c>
      <c r="E2730" s="47"/>
      <c r="F2730" s="47">
        <v>0.0</v>
      </c>
      <c r="G2730" s="48">
        <v>0.0</v>
      </c>
      <c r="H2730" s="24" t="s">
        <v>3553</v>
      </c>
      <c r="I2730" s="47"/>
      <c r="J2730" s="24">
        <v>0.0</v>
      </c>
    </row>
    <row r="2731">
      <c r="A2731" s="24">
        <v>18.0</v>
      </c>
      <c r="B2731" s="24">
        <v>0.0</v>
      </c>
      <c r="C2731" s="47">
        <v>0.0</v>
      </c>
      <c r="D2731" s="35">
        <v>46063.0</v>
      </c>
      <c r="E2731" s="47"/>
      <c r="F2731" s="47">
        <v>0.0</v>
      </c>
      <c r="G2731" s="48">
        <v>0.0</v>
      </c>
      <c r="H2731" s="24" t="s">
        <v>3553</v>
      </c>
      <c r="I2731" s="47"/>
      <c r="J2731" s="24">
        <v>0.0</v>
      </c>
    </row>
    <row r="2732">
      <c r="A2732" s="24">
        <v>13.0</v>
      </c>
      <c r="B2732" s="24">
        <v>1.0</v>
      </c>
      <c r="C2732" s="47">
        <v>48.73</v>
      </c>
      <c r="D2732" s="35">
        <v>46064.0</v>
      </c>
      <c r="E2732" s="47">
        <v>48.73</v>
      </c>
      <c r="F2732" s="47">
        <v>3748.46153846153</v>
      </c>
      <c r="G2732" s="48">
        <v>0.0769230769230769</v>
      </c>
      <c r="H2732" s="24" t="s">
        <v>3553</v>
      </c>
      <c r="I2732" s="47"/>
      <c r="J2732" s="24">
        <v>0.0</v>
      </c>
    </row>
    <row r="2733">
      <c r="A2733" s="24">
        <v>19.0</v>
      </c>
      <c r="B2733" s="24">
        <v>0.0</v>
      </c>
      <c r="C2733" s="47">
        <v>0.0</v>
      </c>
      <c r="D2733" s="35">
        <v>46065.0</v>
      </c>
      <c r="E2733" s="47"/>
      <c r="F2733" s="47">
        <v>0.0</v>
      </c>
      <c r="G2733" s="48">
        <v>0.0</v>
      </c>
      <c r="H2733" s="24" t="s">
        <v>3553</v>
      </c>
      <c r="I2733" s="47"/>
      <c r="J2733" s="24">
        <v>0.0</v>
      </c>
    </row>
    <row r="2734">
      <c r="A2734" s="24">
        <v>11.0</v>
      </c>
      <c r="B2734" s="24">
        <v>1.0</v>
      </c>
      <c r="C2734" s="47">
        <v>48.59</v>
      </c>
      <c r="D2734" s="35">
        <v>46066.0</v>
      </c>
      <c r="E2734" s="47">
        <v>48.59</v>
      </c>
      <c r="F2734" s="47">
        <v>4417.27272727272</v>
      </c>
      <c r="G2734" s="48">
        <v>0.0909090909090909</v>
      </c>
      <c r="H2734" s="24" t="s">
        <v>3553</v>
      </c>
      <c r="I2734" s="47"/>
      <c r="J2734" s="24">
        <v>0.0</v>
      </c>
    </row>
    <row r="2735">
      <c r="A2735" s="24">
        <v>1.0</v>
      </c>
      <c r="B2735" s="24">
        <v>0.0</v>
      </c>
      <c r="C2735" s="47">
        <v>0.0</v>
      </c>
      <c r="D2735" s="35">
        <v>46067.0</v>
      </c>
      <c r="E2735" s="47"/>
      <c r="F2735" s="47">
        <v>0.0</v>
      </c>
      <c r="G2735" s="48">
        <v>0.0</v>
      </c>
      <c r="H2735" s="24" t="s">
        <v>3553</v>
      </c>
      <c r="I2735" s="47"/>
      <c r="J2735" s="24">
        <v>0.0</v>
      </c>
    </row>
    <row r="2736">
      <c r="A2736" s="24">
        <v>4.0</v>
      </c>
      <c r="B2736" s="24">
        <v>0.0</v>
      </c>
      <c r="C2736" s="47">
        <v>0.0</v>
      </c>
      <c r="D2736" s="35">
        <v>46069.0</v>
      </c>
      <c r="E2736" s="47"/>
      <c r="F2736" s="47">
        <v>0.0</v>
      </c>
      <c r="G2736" s="48">
        <v>0.0</v>
      </c>
      <c r="H2736" s="24" t="s">
        <v>3553</v>
      </c>
      <c r="I2736" s="47"/>
      <c r="J2736" s="24">
        <v>0.0</v>
      </c>
    </row>
    <row r="2737">
      <c r="A2737" s="24">
        <v>6.0</v>
      </c>
      <c r="B2737" s="24">
        <v>0.0</v>
      </c>
      <c r="C2737" s="47">
        <v>0.0</v>
      </c>
      <c r="D2737" s="35">
        <v>46070.0</v>
      </c>
      <c r="E2737" s="47"/>
      <c r="F2737" s="47">
        <v>0.0</v>
      </c>
      <c r="G2737" s="48">
        <v>0.0</v>
      </c>
      <c r="H2737" s="24" t="s">
        <v>3553</v>
      </c>
      <c r="I2737" s="47"/>
      <c r="J2737" s="24">
        <v>0.0</v>
      </c>
    </row>
    <row r="2738">
      <c r="A2738" s="24">
        <v>14.0</v>
      </c>
      <c r="B2738" s="24">
        <v>1.0</v>
      </c>
      <c r="C2738" s="47">
        <v>14.88</v>
      </c>
      <c r="D2738" s="35">
        <v>46071.0</v>
      </c>
      <c r="E2738" s="47">
        <v>14.88</v>
      </c>
      <c r="F2738" s="47">
        <v>1062.85714285714</v>
      </c>
      <c r="G2738" s="48">
        <v>0.0714285714285714</v>
      </c>
      <c r="H2738" s="24" t="s">
        <v>3553</v>
      </c>
      <c r="I2738" s="47"/>
      <c r="J2738" s="24">
        <v>0.0</v>
      </c>
    </row>
    <row r="2739">
      <c r="A2739" s="24">
        <v>25.0</v>
      </c>
      <c r="B2739" s="24">
        <v>1.0</v>
      </c>
      <c r="C2739" s="47">
        <v>49.63</v>
      </c>
      <c r="D2739" s="35">
        <v>46072.0</v>
      </c>
      <c r="E2739" s="47">
        <v>49.63</v>
      </c>
      <c r="F2739" s="47">
        <v>1985.2</v>
      </c>
      <c r="G2739" s="48">
        <v>0.04</v>
      </c>
      <c r="H2739" s="24" t="s">
        <v>3553</v>
      </c>
      <c r="I2739" s="47"/>
      <c r="J2739" s="24">
        <v>0.0</v>
      </c>
    </row>
    <row r="2740">
      <c r="A2740" s="24">
        <v>12.0</v>
      </c>
      <c r="B2740" s="24">
        <v>1.0</v>
      </c>
      <c r="C2740" s="47">
        <v>49.807727</v>
      </c>
      <c r="D2740" s="35">
        <v>46073.0</v>
      </c>
      <c r="E2740" s="47">
        <v>49.807727</v>
      </c>
      <c r="F2740" s="47">
        <v>4150.64391666666</v>
      </c>
      <c r="G2740" s="48">
        <v>0.0833333333333333</v>
      </c>
      <c r="H2740" s="24" t="s">
        <v>3553</v>
      </c>
      <c r="I2740" s="47"/>
      <c r="J2740" s="24">
        <v>0.0</v>
      </c>
    </row>
    <row r="2741">
      <c r="A2741" s="24">
        <v>2.0</v>
      </c>
      <c r="B2741" s="24">
        <v>1.0</v>
      </c>
      <c r="C2741" s="47">
        <v>43.74</v>
      </c>
      <c r="D2741" s="35">
        <v>46074.0</v>
      </c>
      <c r="E2741" s="47">
        <v>43.74</v>
      </c>
      <c r="F2741" s="47">
        <v>21870.0</v>
      </c>
      <c r="G2741" s="48">
        <v>0.5</v>
      </c>
      <c r="H2741" s="24" t="s">
        <v>3553</v>
      </c>
      <c r="I2741" s="47"/>
      <c r="J2741" s="24">
        <v>0.0</v>
      </c>
    </row>
    <row r="2742">
      <c r="A2742" s="24">
        <v>2.0</v>
      </c>
      <c r="B2742" s="24">
        <v>0.0</v>
      </c>
      <c r="C2742" s="47">
        <v>0.0</v>
      </c>
      <c r="D2742" s="35">
        <v>46075.0</v>
      </c>
      <c r="E2742" s="47"/>
      <c r="F2742" s="47">
        <v>0.0</v>
      </c>
      <c r="G2742" s="48">
        <v>0.0</v>
      </c>
      <c r="H2742" s="24" t="s">
        <v>3553</v>
      </c>
      <c r="I2742" s="47"/>
      <c r="J2742" s="24">
        <v>0.0</v>
      </c>
    </row>
    <row r="2743">
      <c r="A2743" s="24">
        <v>1.0</v>
      </c>
      <c r="B2743" s="24">
        <v>0.0</v>
      </c>
      <c r="C2743" s="47">
        <v>0.0</v>
      </c>
      <c r="D2743" s="35">
        <v>46076.0</v>
      </c>
      <c r="E2743" s="47"/>
      <c r="F2743" s="47">
        <v>0.0</v>
      </c>
      <c r="G2743" s="48">
        <v>0.0</v>
      </c>
      <c r="H2743" s="24" t="s">
        <v>3553</v>
      </c>
      <c r="I2743" s="47"/>
      <c r="J2743" s="24">
        <v>0.0</v>
      </c>
    </row>
    <row r="2744">
      <c r="A2744" s="24">
        <v>18.0</v>
      </c>
      <c r="B2744" s="24">
        <v>0.0</v>
      </c>
      <c r="C2744" s="47">
        <v>0.0</v>
      </c>
      <c r="D2744" s="35">
        <v>46077.0</v>
      </c>
      <c r="E2744" s="47"/>
      <c r="F2744" s="47">
        <v>0.0</v>
      </c>
      <c r="G2744" s="48">
        <v>0.0</v>
      </c>
      <c r="H2744" s="24" t="s">
        <v>3553</v>
      </c>
      <c r="I2744" s="47"/>
      <c r="J2744" s="24">
        <v>0.0</v>
      </c>
    </row>
    <row r="2745">
      <c r="A2745" s="24">
        <v>14.0</v>
      </c>
      <c r="B2745" s="24">
        <v>1.0</v>
      </c>
      <c r="C2745" s="47">
        <v>49.72</v>
      </c>
      <c r="D2745" s="35">
        <v>46078.0</v>
      </c>
      <c r="E2745" s="47">
        <v>49.72</v>
      </c>
      <c r="F2745" s="47">
        <v>3551.42857142857</v>
      </c>
      <c r="G2745" s="48">
        <v>0.0714285714285714</v>
      </c>
      <c r="H2745" s="24" t="s">
        <v>3553</v>
      </c>
      <c r="I2745" s="47"/>
      <c r="J2745" s="24">
        <v>0.0</v>
      </c>
    </row>
    <row r="2746">
      <c r="A2746" s="24">
        <v>13.0</v>
      </c>
      <c r="B2746" s="24">
        <v>0.0</v>
      </c>
      <c r="C2746" s="47">
        <v>0.0</v>
      </c>
      <c r="D2746" s="35">
        <v>46079.0</v>
      </c>
      <c r="E2746" s="47"/>
      <c r="F2746" s="47">
        <v>0.0</v>
      </c>
      <c r="G2746" s="48">
        <v>0.0</v>
      </c>
      <c r="H2746" s="24" t="s">
        <v>3553</v>
      </c>
      <c r="I2746" s="47"/>
      <c r="J2746" s="24">
        <v>0.0</v>
      </c>
    </row>
    <row r="2747">
      <c r="A2747" s="24">
        <v>11.0</v>
      </c>
      <c r="B2747" s="24">
        <v>0.0</v>
      </c>
      <c r="C2747" s="47">
        <v>0.0</v>
      </c>
      <c r="D2747" s="35">
        <v>46080.0</v>
      </c>
      <c r="E2747" s="47"/>
      <c r="F2747" s="47">
        <v>0.0</v>
      </c>
      <c r="G2747" s="48">
        <v>0.0</v>
      </c>
      <c r="H2747" s="24" t="s">
        <v>3553</v>
      </c>
      <c r="I2747" s="47"/>
      <c r="J2747" s="24">
        <v>0.0</v>
      </c>
    </row>
    <row r="2748">
      <c r="A2748" s="24">
        <v>1.0</v>
      </c>
      <c r="B2748" s="24">
        <v>0.0</v>
      </c>
      <c r="C2748" s="47">
        <v>0.0</v>
      </c>
      <c r="D2748" s="35">
        <v>46081.0</v>
      </c>
      <c r="E2748" s="47"/>
      <c r="F2748" s="47">
        <v>0.0</v>
      </c>
      <c r="G2748" s="48">
        <v>0.0</v>
      </c>
      <c r="H2748" s="24" t="s">
        <v>3553</v>
      </c>
      <c r="I2748" s="47"/>
      <c r="J2748" s="24">
        <v>0.0</v>
      </c>
    </row>
    <row r="2749">
      <c r="A2749" s="24">
        <v>25.0</v>
      </c>
      <c r="B2749" s="24">
        <v>1.0</v>
      </c>
      <c r="C2749" s="47">
        <v>24.28</v>
      </c>
      <c r="D2749" s="35">
        <v>46083.0</v>
      </c>
      <c r="E2749" s="47">
        <v>24.28</v>
      </c>
      <c r="F2749" s="47">
        <v>971.2</v>
      </c>
      <c r="G2749" s="48">
        <v>0.04</v>
      </c>
      <c r="H2749" s="24" t="s">
        <v>3553</v>
      </c>
      <c r="I2749" s="47"/>
      <c r="J2749" s="24">
        <v>0.0</v>
      </c>
    </row>
    <row r="2750">
      <c r="A2750" s="24">
        <v>9.0</v>
      </c>
      <c r="B2750" s="24">
        <v>0.0</v>
      </c>
      <c r="C2750" s="47">
        <v>0.0</v>
      </c>
      <c r="D2750" s="35">
        <v>46084.0</v>
      </c>
      <c r="E2750" s="47"/>
      <c r="F2750" s="47">
        <v>0.0</v>
      </c>
      <c r="G2750" s="48">
        <v>0.0</v>
      </c>
      <c r="H2750" s="24" t="s">
        <v>3553</v>
      </c>
      <c r="I2750" s="47"/>
      <c r="J2750" s="24">
        <v>0.0</v>
      </c>
    </row>
    <row r="2751">
      <c r="A2751" s="24">
        <v>28.0</v>
      </c>
      <c r="B2751" s="24">
        <v>0.0</v>
      </c>
      <c r="C2751" s="47">
        <v>0.0</v>
      </c>
      <c r="D2751" s="35">
        <v>46085.0</v>
      </c>
      <c r="E2751" s="47"/>
      <c r="F2751" s="47">
        <v>0.0</v>
      </c>
      <c r="G2751" s="48">
        <v>0.0</v>
      </c>
      <c r="H2751" s="24" t="s">
        <v>3553</v>
      </c>
      <c r="I2751" s="47"/>
      <c r="J2751" s="24">
        <v>0.0</v>
      </c>
    </row>
    <row r="2752">
      <c r="A2752" s="24">
        <v>9.0</v>
      </c>
      <c r="B2752" s="24">
        <v>0.0</v>
      </c>
      <c r="C2752" s="47">
        <v>0.0</v>
      </c>
      <c r="D2752" s="35">
        <v>46086.0</v>
      </c>
      <c r="E2752" s="47"/>
      <c r="F2752" s="47">
        <v>0.0</v>
      </c>
      <c r="G2752" s="48">
        <v>0.0</v>
      </c>
      <c r="H2752" s="24" t="s">
        <v>3553</v>
      </c>
      <c r="I2752" s="47"/>
      <c r="J2752" s="24">
        <v>0.0</v>
      </c>
    </row>
    <row r="2753">
      <c r="A2753" s="24">
        <v>9.0</v>
      </c>
      <c r="B2753" s="24">
        <v>0.0</v>
      </c>
      <c r="C2753" s="47">
        <v>0.0</v>
      </c>
      <c r="D2753" s="35">
        <v>46087.0</v>
      </c>
      <c r="E2753" s="47"/>
      <c r="F2753" s="47">
        <v>0.0</v>
      </c>
      <c r="G2753" s="48">
        <v>0.0</v>
      </c>
      <c r="H2753" s="24" t="s">
        <v>3553</v>
      </c>
      <c r="I2753" s="47"/>
      <c r="J2753" s="24">
        <v>0.0</v>
      </c>
    </row>
    <row r="2754">
      <c r="A2754" s="24">
        <v>2.0</v>
      </c>
      <c r="B2754" s="24">
        <v>0.0</v>
      </c>
      <c r="C2754" s="47">
        <v>0.0</v>
      </c>
      <c r="D2754" s="35">
        <v>46089.0</v>
      </c>
      <c r="E2754" s="47"/>
      <c r="F2754" s="47">
        <v>0.0</v>
      </c>
      <c r="G2754" s="48">
        <v>0.0</v>
      </c>
      <c r="H2754" s="24" t="s">
        <v>3553</v>
      </c>
      <c r="I2754" s="47"/>
      <c r="J2754" s="24">
        <v>0.0</v>
      </c>
    </row>
    <row r="2755">
      <c r="A2755" s="24">
        <v>9.0</v>
      </c>
      <c r="B2755" s="24">
        <v>0.0</v>
      </c>
      <c r="C2755" s="47">
        <v>0.0</v>
      </c>
      <c r="D2755" s="35">
        <v>46090.0</v>
      </c>
      <c r="E2755" s="47"/>
      <c r="F2755" s="47">
        <v>0.0</v>
      </c>
      <c r="G2755" s="48">
        <v>0.0</v>
      </c>
      <c r="H2755" s="24" t="s">
        <v>3553</v>
      </c>
      <c r="I2755" s="47"/>
      <c r="J2755" s="24">
        <v>0.0</v>
      </c>
    </row>
    <row r="2756">
      <c r="A2756" s="24">
        <v>17.0</v>
      </c>
      <c r="B2756" s="24">
        <v>3.0</v>
      </c>
      <c r="C2756" s="47">
        <v>114.55</v>
      </c>
      <c r="D2756" s="35">
        <v>46091.0</v>
      </c>
      <c r="E2756" s="47">
        <v>38.1833333333333</v>
      </c>
      <c r="F2756" s="47">
        <v>6738.23529411764</v>
      </c>
      <c r="G2756" s="48">
        <v>0.176470588235294</v>
      </c>
      <c r="H2756" s="24" t="s">
        <v>3553</v>
      </c>
      <c r="I2756" s="47"/>
      <c r="J2756" s="24">
        <v>0.0</v>
      </c>
    </row>
    <row r="2757">
      <c r="A2757" s="24">
        <v>8.0</v>
      </c>
      <c r="B2757" s="24">
        <v>1.0</v>
      </c>
      <c r="C2757" s="47">
        <v>48.11</v>
      </c>
      <c r="D2757" s="35">
        <v>46092.0</v>
      </c>
      <c r="E2757" s="47">
        <v>48.11</v>
      </c>
      <c r="F2757" s="47">
        <v>6013.75</v>
      </c>
      <c r="G2757" s="48">
        <v>0.125</v>
      </c>
      <c r="H2757" s="24" t="s">
        <v>3553</v>
      </c>
      <c r="I2757" s="47"/>
      <c r="J2757" s="24">
        <v>0.0</v>
      </c>
    </row>
    <row r="2758">
      <c r="A2758" s="24">
        <v>7.0</v>
      </c>
      <c r="B2758" s="24">
        <v>0.0</v>
      </c>
      <c r="C2758" s="47">
        <v>0.0</v>
      </c>
      <c r="D2758" s="35">
        <v>46093.0</v>
      </c>
      <c r="E2758" s="47"/>
      <c r="F2758" s="47">
        <v>0.0</v>
      </c>
      <c r="G2758" s="48">
        <v>0.0</v>
      </c>
      <c r="H2758" s="24" t="s">
        <v>3553</v>
      </c>
      <c r="I2758" s="47"/>
      <c r="J2758" s="24">
        <v>0.0</v>
      </c>
    </row>
    <row r="2759">
      <c r="A2759" s="24">
        <v>6.0</v>
      </c>
      <c r="B2759" s="24">
        <v>0.0</v>
      </c>
      <c r="C2759" s="47">
        <v>0.0</v>
      </c>
      <c r="D2759" s="35">
        <v>46094.0</v>
      </c>
      <c r="E2759" s="47"/>
      <c r="F2759" s="47">
        <v>0.0</v>
      </c>
      <c r="G2759" s="48">
        <v>0.0</v>
      </c>
      <c r="H2759" s="24" t="s">
        <v>3553</v>
      </c>
      <c r="I2759" s="47"/>
      <c r="J2759" s="24">
        <v>0.0</v>
      </c>
    </row>
    <row r="2760">
      <c r="A2760" s="24">
        <v>1.0</v>
      </c>
      <c r="B2760" s="24">
        <v>0.0</v>
      </c>
      <c r="C2760" s="47">
        <v>0.0</v>
      </c>
      <c r="D2760" s="35">
        <v>46095.0</v>
      </c>
      <c r="E2760" s="47"/>
      <c r="F2760" s="47">
        <v>0.0</v>
      </c>
      <c r="G2760" s="48">
        <v>0.0</v>
      </c>
      <c r="H2760" s="24" t="s">
        <v>3553</v>
      </c>
      <c r="I2760" s="47"/>
      <c r="J2760" s="24">
        <v>0.0</v>
      </c>
    </row>
    <row r="2761">
      <c r="A2761" s="24">
        <v>6.0</v>
      </c>
      <c r="B2761" s="24">
        <v>1.0</v>
      </c>
      <c r="C2761" s="47">
        <v>48.88</v>
      </c>
      <c r="D2761" s="35">
        <v>46097.0</v>
      </c>
      <c r="E2761" s="47">
        <v>48.88</v>
      </c>
      <c r="F2761" s="47">
        <v>8146.66666666666</v>
      </c>
      <c r="G2761" s="48">
        <v>0.166666666666666</v>
      </c>
      <c r="H2761" s="24" t="s">
        <v>3553</v>
      </c>
      <c r="I2761" s="47"/>
      <c r="J2761" s="24">
        <v>0.0</v>
      </c>
    </row>
    <row r="2762">
      <c r="A2762" s="24">
        <v>16.0</v>
      </c>
      <c r="B2762" s="24">
        <v>0.0</v>
      </c>
      <c r="C2762" s="47">
        <v>0.0</v>
      </c>
      <c r="D2762" s="35">
        <v>46098.0</v>
      </c>
      <c r="E2762" s="47"/>
      <c r="F2762" s="47">
        <v>0.0</v>
      </c>
      <c r="G2762" s="48">
        <v>0.0</v>
      </c>
      <c r="H2762" s="24" t="s">
        <v>3553</v>
      </c>
      <c r="I2762" s="47"/>
      <c r="J2762" s="24">
        <v>0.0</v>
      </c>
    </row>
    <row r="2763">
      <c r="A2763" s="24">
        <v>19.0</v>
      </c>
      <c r="B2763" s="24">
        <v>0.0</v>
      </c>
      <c r="C2763" s="47">
        <v>0.0</v>
      </c>
      <c r="D2763" s="35">
        <v>46099.0</v>
      </c>
      <c r="E2763" s="47"/>
      <c r="F2763" s="47">
        <v>0.0</v>
      </c>
      <c r="G2763" s="48">
        <v>0.0</v>
      </c>
      <c r="H2763" s="24" t="s">
        <v>3553</v>
      </c>
      <c r="I2763" s="47"/>
      <c r="J2763" s="24">
        <v>0.0</v>
      </c>
    </row>
    <row r="2764">
      <c r="A2764" s="24">
        <v>10.0</v>
      </c>
      <c r="B2764" s="24">
        <v>0.0</v>
      </c>
      <c r="C2764" s="47">
        <v>0.0</v>
      </c>
      <c r="D2764" s="35">
        <v>46100.0</v>
      </c>
      <c r="E2764" s="47"/>
      <c r="F2764" s="47">
        <v>0.0</v>
      </c>
      <c r="G2764" s="48">
        <v>0.0</v>
      </c>
      <c r="H2764" s="24" t="s">
        <v>3553</v>
      </c>
      <c r="I2764" s="47"/>
      <c r="J2764" s="24">
        <v>0.0</v>
      </c>
    </row>
    <row r="2765">
      <c r="A2765" s="24">
        <v>12.0</v>
      </c>
      <c r="B2765" s="24">
        <v>0.0</v>
      </c>
      <c r="C2765" s="47">
        <v>0.0</v>
      </c>
      <c r="D2765" s="35">
        <v>46101.0</v>
      </c>
      <c r="E2765" s="47"/>
      <c r="F2765" s="47">
        <v>0.0</v>
      </c>
      <c r="G2765" s="48">
        <v>0.0</v>
      </c>
      <c r="H2765" s="24" t="s">
        <v>3553</v>
      </c>
      <c r="I2765" s="47"/>
      <c r="J2765" s="24">
        <v>0.0</v>
      </c>
    </row>
    <row r="2766">
      <c r="A2766" s="24">
        <v>2.0</v>
      </c>
      <c r="B2766" s="24">
        <v>0.0</v>
      </c>
      <c r="C2766" s="47">
        <v>0.0</v>
      </c>
      <c r="D2766" s="35">
        <v>46102.0</v>
      </c>
      <c r="E2766" s="47"/>
      <c r="F2766" s="47">
        <v>0.0</v>
      </c>
      <c r="G2766" s="48">
        <v>0.0</v>
      </c>
      <c r="H2766" s="24" t="s">
        <v>3553</v>
      </c>
      <c r="I2766" s="47"/>
      <c r="J2766" s="24">
        <v>0.0</v>
      </c>
    </row>
    <row r="2767">
      <c r="A2767" s="24">
        <v>1.0</v>
      </c>
      <c r="B2767" s="24">
        <v>0.0</v>
      </c>
      <c r="C2767" s="47">
        <v>0.0</v>
      </c>
      <c r="D2767" s="35">
        <v>46103.0</v>
      </c>
      <c r="E2767" s="47"/>
      <c r="F2767" s="47">
        <v>0.0</v>
      </c>
      <c r="G2767" s="48">
        <v>0.0</v>
      </c>
      <c r="H2767" s="24" t="s">
        <v>3553</v>
      </c>
      <c r="I2767" s="47"/>
      <c r="J2767" s="24">
        <v>0.0</v>
      </c>
    </row>
    <row r="2768">
      <c r="A2768" s="24">
        <v>21.0</v>
      </c>
      <c r="B2768" s="24">
        <v>0.0</v>
      </c>
      <c r="C2768" s="47">
        <v>0.0</v>
      </c>
      <c r="D2768" s="35">
        <v>46104.0</v>
      </c>
      <c r="E2768" s="47"/>
      <c r="F2768" s="47">
        <v>0.0</v>
      </c>
      <c r="G2768" s="48">
        <v>0.0</v>
      </c>
      <c r="H2768" s="24" t="s">
        <v>3553</v>
      </c>
      <c r="I2768" s="47"/>
      <c r="J2768" s="24">
        <v>0.0</v>
      </c>
    </row>
    <row r="2769">
      <c r="A2769" s="24">
        <v>7.0</v>
      </c>
      <c r="B2769" s="24">
        <v>1.0</v>
      </c>
      <c r="C2769" s="47">
        <v>49.78</v>
      </c>
      <c r="D2769" s="35">
        <v>46105.0</v>
      </c>
      <c r="E2769" s="47">
        <v>49.78</v>
      </c>
      <c r="F2769" s="47">
        <v>7111.42857142857</v>
      </c>
      <c r="G2769" s="48">
        <v>0.142857142857142</v>
      </c>
      <c r="H2769" s="24" t="s">
        <v>3553</v>
      </c>
      <c r="I2769" s="47"/>
      <c r="J2769" s="24">
        <v>0.0</v>
      </c>
    </row>
    <row r="2770">
      <c r="A2770" s="24">
        <v>8.0</v>
      </c>
      <c r="B2770" s="24">
        <v>0.0</v>
      </c>
      <c r="C2770" s="47">
        <v>0.0</v>
      </c>
      <c r="D2770" s="35">
        <v>46106.0</v>
      </c>
      <c r="E2770" s="47"/>
      <c r="F2770" s="47">
        <v>0.0</v>
      </c>
      <c r="G2770" s="48">
        <v>0.0</v>
      </c>
      <c r="H2770" s="24" t="s">
        <v>3553</v>
      </c>
      <c r="I2770" s="47"/>
      <c r="J2770" s="24">
        <v>0.0</v>
      </c>
    </row>
    <row r="2771">
      <c r="A2771" s="24">
        <v>25.0</v>
      </c>
      <c r="B2771" s="24">
        <v>0.0</v>
      </c>
      <c r="C2771" s="47">
        <v>0.0</v>
      </c>
      <c r="D2771" s="35">
        <v>46107.0</v>
      </c>
      <c r="E2771" s="47"/>
      <c r="F2771" s="47">
        <v>0.0</v>
      </c>
      <c r="G2771" s="48">
        <v>0.0</v>
      </c>
      <c r="H2771" s="24" t="s">
        <v>3553</v>
      </c>
      <c r="I2771" s="47"/>
      <c r="J2771" s="24">
        <v>0.0</v>
      </c>
    </row>
    <row r="2772">
      <c r="A2772" s="24">
        <v>8.0</v>
      </c>
      <c r="B2772" s="24">
        <v>1.0</v>
      </c>
      <c r="C2772" s="47">
        <v>48.82568</v>
      </c>
      <c r="D2772" s="35">
        <v>46108.0</v>
      </c>
      <c r="E2772" s="47">
        <v>48.82568</v>
      </c>
      <c r="F2772" s="47">
        <v>6103.21</v>
      </c>
      <c r="G2772" s="48">
        <v>0.125</v>
      </c>
      <c r="H2772" s="24" t="s">
        <v>3553</v>
      </c>
      <c r="I2772" s="47"/>
      <c r="J2772" s="24">
        <v>0.0</v>
      </c>
    </row>
    <row r="2773">
      <c r="A2773" s="24">
        <v>2.0</v>
      </c>
      <c r="B2773" s="24">
        <v>0.0</v>
      </c>
      <c r="C2773" s="47">
        <v>0.0</v>
      </c>
      <c r="D2773" s="35">
        <v>46109.0</v>
      </c>
      <c r="E2773" s="47"/>
      <c r="F2773" s="47">
        <v>0.0</v>
      </c>
      <c r="G2773" s="48">
        <v>0.0</v>
      </c>
      <c r="H2773" s="24" t="s">
        <v>3553</v>
      </c>
      <c r="I2773" s="47"/>
      <c r="J2773" s="24">
        <v>0.0</v>
      </c>
    </row>
    <row r="2774">
      <c r="A2774" s="24">
        <v>2.0</v>
      </c>
      <c r="B2774" s="24">
        <v>0.0</v>
      </c>
      <c r="C2774" s="47">
        <v>0.0</v>
      </c>
      <c r="D2774" s="35">
        <v>46110.0</v>
      </c>
      <c r="E2774" s="47"/>
      <c r="F2774" s="47">
        <v>0.0</v>
      </c>
      <c r="G2774" s="48">
        <v>0.0</v>
      </c>
      <c r="H2774" s="24" t="s">
        <v>3553</v>
      </c>
      <c r="I2774" s="47"/>
      <c r="J2774" s="24">
        <v>0.0</v>
      </c>
    </row>
    <row r="2775">
      <c r="A2775" s="24">
        <v>9.0</v>
      </c>
      <c r="B2775" s="24">
        <v>0.0</v>
      </c>
      <c r="C2775" s="47">
        <v>0.0</v>
      </c>
      <c r="D2775" s="35">
        <v>46111.0</v>
      </c>
      <c r="E2775" s="47"/>
      <c r="F2775" s="47">
        <v>0.0</v>
      </c>
      <c r="G2775" s="48">
        <v>0.0</v>
      </c>
      <c r="H2775" s="24" t="s">
        <v>3553</v>
      </c>
      <c r="I2775" s="47"/>
      <c r="J2775" s="24">
        <v>0.0</v>
      </c>
    </row>
    <row r="2776">
      <c r="A2776" s="24">
        <v>26.0</v>
      </c>
      <c r="B2776" s="24">
        <v>1.0</v>
      </c>
      <c r="C2776" s="47">
        <v>49.62</v>
      </c>
      <c r="D2776" s="35">
        <v>46112.0</v>
      </c>
      <c r="E2776" s="47">
        <v>49.62</v>
      </c>
      <c r="F2776" s="47">
        <v>1908.46153846153</v>
      </c>
      <c r="G2776" s="48">
        <v>0.0384615384615384</v>
      </c>
      <c r="H2776" s="24" t="s">
        <v>3553</v>
      </c>
      <c r="I2776" s="47"/>
      <c r="J2776" s="24">
        <v>0.0</v>
      </c>
    </row>
    <row r="2777">
      <c r="A2777" s="24">
        <v>9.0</v>
      </c>
      <c r="B2777" s="24">
        <v>1.0</v>
      </c>
      <c r="C2777" s="47">
        <v>48.43</v>
      </c>
      <c r="D2777" s="35">
        <v>46113.0</v>
      </c>
      <c r="E2777" s="47">
        <v>48.43</v>
      </c>
      <c r="F2777" s="47">
        <v>5381.11111111111</v>
      </c>
      <c r="G2777" s="48">
        <v>0.111111111111111</v>
      </c>
      <c r="H2777" s="24" t="s">
        <v>3553</v>
      </c>
      <c r="I2777" s="47"/>
      <c r="J2777" s="24">
        <v>0.0</v>
      </c>
    </row>
    <row r="2778">
      <c r="A2778" s="24">
        <v>7.0</v>
      </c>
      <c r="B2778" s="24">
        <v>2.0</v>
      </c>
      <c r="C2778" s="47">
        <v>95.94</v>
      </c>
      <c r="D2778" s="35">
        <v>46114.0</v>
      </c>
      <c r="E2778" s="47">
        <v>47.97</v>
      </c>
      <c r="F2778" s="47">
        <v>13705.7142857142</v>
      </c>
      <c r="G2778" s="48">
        <v>0.285714285714285</v>
      </c>
      <c r="H2778" s="24" t="s">
        <v>3553</v>
      </c>
      <c r="I2778" s="47"/>
      <c r="J2778" s="24">
        <v>0.0</v>
      </c>
    </row>
    <row r="2779">
      <c r="A2779" s="24">
        <v>9.0</v>
      </c>
      <c r="B2779" s="24">
        <v>0.0</v>
      </c>
      <c r="C2779" s="47">
        <v>0.0</v>
      </c>
      <c r="D2779" s="35">
        <v>46115.0</v>
      </c>
      <c r="E2779" s="47"/>
      <c r="F2779" s="47">
        <v>0.0</v>
      </c>
      <c r="G2779" s="48">
        <v>0.0</v>
      </c>
      <c r="H2779" s="24" t="s">
        <v>3553</v>
      </c>
      <c r="I2779" s="47"/>
      <c r="J2779" s="24">
        <v>0.0</v>
      </c>
    </row>
    <row r="2780">
      <c r="A2780" s="24">
        <v>1.0</v>
      </c>
      <c r="B2780" s="24">
        <v>0.0</v>
      </c>
      <c r="C2780" s="47">
        <v>0.0</v>
      </c>
      <c r="D2780" s="35">
        <v>46116.0</v>
      </c>
      <c r="E2780" s="47"/>
      <c r="F2780" s="47">
        <v>0.0</v>
      </c>
      <c r="G2780" s="48">
        <v>0.0</v>
      </c>
      <c r="H2780" s="24" t="s">
        <v>3553</v>
      </c>
      <c r="I2780" s="47"/>
      <c r="J2780" s="24">
        <v>0.0</v>
      </c>
    </row>
    <row r="2781">
      <c r="A2781" s="24">
        <v>2.0</v>
      </c>
      <c r="B2781" s="24">
        <v>0.0</v>
      </c>
      <c r="C2781" s="47">
        <v>0.0</v>
      </c>
      <c r="D2781" s="35">
        <v>46117.0</v>
      </c>
      <c r="E2781" s="47"/>
      <c r="F2781" s="47">
        <v>0.0</v>
      </c>
      <c r="G2781" s="48">
        <v>0.0</v>
      </c>
      <c r="H2781" s="24" t="s">
        <v>3553</v>
      </c>
      <c r="I2781" s="47"/>
      <c r="J2781" s="24">
        <v>0.0</v>
      </c>
    </row>
    <row r="2782">
      <c r="A2782" s="24">
        <v>10.0</v>
      </c>
      <c r="B2782" s="24">
        <v>0.0</v>
      </c>
      <c r="C2782" s="47">
        <v>0.0</v>
      </c>
      <c r="D2782" s="35">
        <v>46118.0</v>
      </c>
      <c r="E2782" s="47"/>
      <c r="F2782" s="47">
        <v>0.0</v>
      </c>
      <c r="G2782" s="48">
        <v>0.0</v>
      </c>
      <c r="H2782" s="24" t="s">
        <v>3553</v>
      </c>
      <c r="I2782" s="47"/>
      <c r="J2782" s="24">
        <v>0.0</v>
      </c>
    </row>
    <row r="2783">
      <c r="A2783" s="24">
        <v>11.0</v>
      </c>
      <c r="B2783" s="24">
        <v>0.0</v>
      </c>
      <c r="C2783" s="47">
        <v>0.0</v>
      </c>
      <c r="D2783" s="35">
        <v>46119.0</v>
      </c>
      <c r="E2783" s="47"/>
      <c r="F2783" s="47">
        <v>0.0</v>
      </c>
      <c r="G2783" s="48">
        <v>0.0</v>
      </c>
      <c r="H2783" s="24" t="s">
        <v>3553</v>
      </c>
      <c r="I2783" s="47"/>
      <c r="J2783" s="24">
        <v>0.0</v>
      </c>
    </row>
    <row r="2784">
      <c r="A2784" s="24">
        <v>2.0</v>
      </c>
      <c r="B2784" s="24">
        <v>0.0</v>
      </c>
      <c r="C2784" s="47">
        <v>0.0</v>
      </c>
      <c r="D2784" s="35">
        <v>45919.0</v>
      </c>
      <c r="E2784" s="47"/>
      <c r="F2784" s="47">
        <v>0.0</v>
      </c>
      <c r="G2784" s="48">
        <v>0.0</v>
      </c>
      <c r="H2784" s="24" t="s">
        <v>3374</v>
      </c>
      <c r="I2784" s="47"/>
      <c r="J2784" s="24">
        <v>0.0</v>
      </c>
    </row>
    <row r="2785">
      <c r="A2785" s="24">
        <v>5.0</v>
      </c>
      <c r="B2785" s="24">
        <v>0.0</v>
      </c>
      <c r="C2785" s="47">
        <v>0.0</v>
      </c>
      <c r="D2785" s="35">
        <v>45920.0</v>
      </c>
      <c r="E2785" s="47"/>
      <c r="F2785" s="47">
        <v>0.0</v>
      </c>
      <c r="G2785" s="48">
        <v>0.0</v>
      </c>
      <c r="H2785" s="24" t="s">
        <v>3374</v>
      </c>
      <c r="I2785" s="47"/>
      <c r="J2785" s="24">
        <v>0.0</v>
      </c>
    </row>
    <row r="2786">
      <c r="A2786" s="24">
        <v>6.0</v>
      </c>
      <c r="B2786" s="24">
        <v>1.0</v>
      </c>
      <c r="C2786" s="47">
        <v>4.99</v>
      </c>
      <c r="D2786" s="35">
        <v>45921.0</v>
      </c>
      <c r="E2786" s="47">
        <v>4.99</v>
      </c>
      <c r="F2786" s="47">
        <v>831.666666666666</v>
      </c>
      <c r="G2786" s="48">
        <v>0.166666666666666</v>
      </c>
      <c r="H2786" s="24" t="s">
        <v>3374</v>
      </c>
      <c r="I2786" s="47"/>
      <c r="J2786" s="24">
        <v>0.0</v>
      </c>
    </row>
    <row r="2787">
      <c r="A2787" s="24">
        <v>12.0</v>
      </c>
      <c r="B2787" s="24">
        <v>0.0</v>
      </c>
      <c r="C2787" s="47">
        <v>0.0</v>
      </c>
      <c r="D2787" s="35">
        <v>45922.0</v>
      </c>
      <c r="E2787" s="47"/>
      <c r="F2787" s="47">
        <v>0.0</v>
      </c>
      <c r="G2787" s="48">
        <v>0.0</v>
      </c>
      <c r="H2787" s="24" t="s">
        <v>3374</v>
      </c>
      <c r="I2787" s="47"/>
      <c r="J2787" s="24">
        <v>0.0</v>
      </c>
    </row>
    <row r="2788">
      <c r="A2788" s="24">
        <v>8.0</v>
      </c>
      <c r="B2788" s="24">
        <v>0.0</v>
      </c>
      <c r="C2788" s="47">
        <v>0.0</v>
      </c>
      <c r="D2788" s="35">
        <v>45923.0</v>
      </c>
      <c r="E2788" s="47"/>
      <c r="F2788" s="47">
        <v>0.0</v>
      </c>
      <c r="G2788" s="48">
        <v>0.0</v>
      </c>
      <c r="H2788" s="24" t="s">
        <v>3374</v>
      </c>
      <c r="I2788" s="47"/>
      <c r="J2788" s="24">
        <v>0.0</v>
      </c>
    </row>
    <row r="2789">
      <c r="A2789" s="24">
        <v>38.0</v>
      </c>
      <c r="B2789" s="24">
        <v>0.0</v>
      </c>
      <c r="C2789" s="47">
        <v>0.0</v>
      </c>
      <c r="D2789" s="35">
        <v>45924.0</v>
      </c>
      <c r="E2789" s="47"/>
      <c r="F2789" s="47">
        <v>0.0</v>
      </c>
      <c r="G2789" s="48">
        <v>0.0</v>
      </c>
      <c r="H2789" s="24" t="s">
        <v>3374</v>
      </c>
      <c r="I2789" s="47"/>
      <c r="J2789" s="24">
        <v>0.0</v>
      </c>
    </row>
    <row r="2790">
      <c r="A2790" s="24">
        <v>51.0</v>
      </c>
      <c r="B2790" s="24">
        <v>1.0</v>
      </c>
      <c r="C2790" s="47">
        <v>21.52</v>
      </c>
      <c r="D2790" s="35">
        <v>45925.0</v>
      </c>
      <c r="E2790" s="47">
        <v>21.52</v>
      </c>
      <c r="F2790" s="47">
        <v>421.960784313725</v>
      </c>
      <c r="G2790" s="48">
        <v>0.0196078431372549</v>
      </c>
      <c r="H2790" s="24" t="s">
        <v>3374</v>
      </c>
      <c r="I2790" s="47"/>
      <c r="J2790" s="24">
        <v>0.0</v>
      </c>
    </row>
    <row r="2791">
      <c r="A2791" s="24">
        <v>64.0</v>
      </c>
      <c r="B2791" s="24">
        <v>2.0</v>
      </c>
      <c r="C2791" s="47">
        <v>65.64</v>
      </c>
      <c r="D2791" s="35">
        <v>45926.0</v>
      </c>
      <c r="E2791" s="47">
        <v>32.82</v>
      </c>
      <c r="F2791" s="47">
        <v>1025.625</v>
      </c>
      <c r="G2791" s="48">
        <v>0.03125</v>
      </c>
      <c r="H2791" s="24" t="s">
        <v>3374</v>
      </c>
      <c r="I2791" s="47"/>
      <c r="J2791" s="24">
        <v>0.0</v>
      </c>
    </row>
    <row r="2792">
      <c r="A2792" s="24">
        <v>8.0</v>
      </c>
      <c r="B2792" s="24">
        <v>1.0</v>
      </c>
      <c r="C2792" s="47">
        <v>15.06</v>
      </c>
      <c r="D2792" s="35">
        <v>45927.0</v>
      </c>
      <c r="E2792" s="47">
        <v>15.06</v>
      </c>
      <c r="F2792" s="47">
        <v>1882.5</v>
      </c>
      <c r="G2792" s="48">
        <v>0.125</v>
      </c>
      <c r="H2792" s="24" t="s">
        <v>3374</v>
      </c>
      <c r="I2792" s="47"/>
      <c r="J2792" s="24">
        <v>0.0</v>
      </c>
    </row>
    <row r="2793">
      <c r="A2793" s="24">
        <v>9.0</v>
      </c>
      <c r="B2793" s="24">
        <v>1.0</v>
      </c>
      <c r="C2793" s="47">
        <v>25.75</v>
      </c>
      <c r="D2793" s="35">
        <v>45928.0</v>
      </c>
      <c r="E2793" s="47">
        <v>25.75</v>
      </c>
      <c r="F2793" s="47">
        <v>2861.11111111111</v>
      </c>
      <c r="G2793" s="48">
        <v>0.111111111111111</v>
      </c>
      <c r="H2793" s="24" t="s">
        <v>3374</v>
      </c>
      <c r="I2793" s="47"/>
      <c r="J2793" s="24">
        <v>0.0</v>
      </c>
    </row>
    <row r="2794">
      <c r="A2794" s="24">
        <v>8.0</v>
      </c>
      <c r="B2794" s="24">
        <v>1.0</v>
      </c>
      <c r="C2794" s="47">
        <v>99.83</v>
      </c>
      <c r="D2794" s="35">
        <v>45929.0</v>
      </c>
      <c r="E2794" s="47">
        <v>99.83</v>
      </c>
      <c r="F2794" s="47">
        <v>12478.75</v>
      </c>
      <c r="G2794" s="48">
        <v>0.125</v>
      </c>
      <c r="H2794" s="24" t="s">
        <v>3374</v>
      </c>
      <c r="I2794" s="47"/>
      <c r="J2794" s="24">
        <v>0.0</v>
      </c>
    </row>
    <row r="2795">
      <c r="A2795" s="24">
        <v>108.0</v>
      </c>
      <c r="B2795" s="24">
        <v>2.0</v>
      </c>
      <c r="C2795" s="47">
        <v>99.33</v>
      </c>
      <c r="D2795" s="35">
        <v>45930.0</v>
      </c>
      <c r="E2795" s="47">
        <v>49.665</v>
      </c>
      <c r="F2795" s="47">
        <v>919.722222222222</v>
      </c>
      <c r="G2795" s="48">
        <v>0.0185185185185185</v>
      </c>
      <c r="H2795" s="24" t="s">
        <v>3374</v>
      </c>
      <c r="I2795" s="47"/>
      <c r="J2795" s="24">
        <v>0.0</v>
      </c>
    </row>
    <row r="2796">
      <c r="A2796" s="24">
        <v>142.0</v>
      </c>
      <c r="B2796" s="24">
        <v>1.0</v>
      </c>
      <c r="C2796" s="47">
        <v>70.11</v>
      </c>
      <c r="D2796" s="35">
        <v>45931.0</v>
      </c>
      <c r="E2796" s="47">
        <v>70.11</v>
      </c>
      <c r="F2796" s="47">
        <v>493.732394366197</v>
      </c>
      <c r="G2796" s="48">
        <v>0.00704225352112676</v>
      </c>
      <c r="H2796" s="24" t="s">
        <v>3374</v>
      </c>
      <c r="I2796" s="47"/>
      <c r="J2796" s="24">
        <v>0.0</v>
      </c>
    </row>
    <row r="2797">
      <c r="A2797" s="24">
        <v>78.0</v>
      </c>
      <c r="B2797" s="24">
        <v>1.0</v>
      </c>
      <c r="C2797" s="47">
        <v>19.958794</v>
      </c>
      <c r="D2797" s="35">
        <v>45932.0</v>
      </c>
      <c r="E2797" s="47">
        <v>19.958794</v>
      </c>
      <c r="F2797" s="47">
        <v>255.881974358974</v>
      </c>
      <c r="G2797" s="48">
        <v>0.0128205128205128</v>
      </c>
      <c r="H2797" s="24" t="s">
        <v>3374</v>
      </c>
      <c r="I2797" s="47"/>
      <c r="J2797" s="24">
        <v>0.0</v>
      </c>
    </row>
    <row r="2798">
      <c r="A2798" s="24">
        <v>64.0</v>
      </c>
      <c r="B2798" s="24">
        <v>0.0</v>
      </c>
      <c r="C2798" s="47">
        <v>0.0</v>
      </c>
      <c r="D2798" s="35">
        <v>45933.0</v>
      </c>
      <c r="E2798" s="47"/>
      <c r="F2798" s="47">
        <v>0.0</v>
      </c>
      <c r="G2798" s="48">
        <v>0.0</v>
      </c>
      <c r="H2798" s="24" t="s">
        <v>3374</v>
      </c>
      <c r="I2798" s="47"/>
      <c r="J2798" s="24">
        <v>0.0</v>
      </c>
    </row>
    <row r="2799">
      <c r="A2799" s="24">
        <v>12.0</v>
      </c>
      <c r="B2799" s="24">
        <v>1.0</v>
      </c>
      <c r="C2799" s="47">
        <v>19.33</v>
      </c>
      <c r="D2799" s="35">
        <v>45934.0</v>
      </c>
      <c r="E2799" s="47">
        <v>19.33</v>
      </c>
      <c r="F2799" s="47">
        <v>1610.83333333333</v>
      </c>
      <c r="G2799" s="48">
        <v>0.0833333333333333</v>
      </c>
      <c r="H2799" s="24" t="s">
        <v>3374</v>
      </c>
      <c r="I2799" s="47"/>
      <c r="J2799" s="24">
        <v>0.0</v>
      </c>
    </row>
    <row r="2800">
      <c r="A2800" s="24">
        <v>9.0</v>
      </c>
      <c r="B2800" s="24">
        <v>0.0</v>
      </c>
      <c r="C2800" s="47">
        <v>0.0</v>
      </c>
      <c r="D2800" s="35">
        <v>45935.0</v>
      </c>
      <c r="E2800" s="47"/>
      <c r="F2800" s="47">
        <v>0.0</v>
      </c>
      <c r="G2800" s="48">
        <v>0.0</v>
      </c>
      <c r="H2800" s="24" t="s">
        <v>3374</v>
      </c>
      <c r="I2800" s="47"/>
      <c r="J2800" s="24">
        <v>0.0</v>
      </c>
    </row>
    <row r="2801">
      <c r="A2801" s="24">
        <v>57.0</v>
      </c>
      <c r="B2801" s="24">
        <v>0.0</v>
      </c>
      <c r="C2801" s="47">
        <v>0.0</v>
      </c>
      <c r="D2801" s="35">
        <v>45936.0</v>
      </c>
      <c r="E2801" s="47"/>
      <c r="F2801" s="47">
        <v>0.0</v>
      </c>
      <c r="G2801" s="48">
        <v>0.0</v>
      </c>
      <c r="H2801" s="24" t="s">
        <v>3374</v>
      </c>
      <c r="I2801" s="47"/>
      <c r="J2801" s="24">
        <v>0.0</v>
      </c>
    </row>
    <row r="2802">
      <c r="A2802" s="24">
        <v>76.0</v>
      </c>
      <c r="B2802" s="24">
        <v>1.0</v>
      </c>
      <c r="C2802" s="47">
        <v>19.64</v>
      </c>
      <c r="D2802" s="35">
        <v>45937.0</v>
      </c>
      <c r="E2802" s="47">
        <v>19.64</v>
      </c>
      <c r="F2802" s="47">
        <v>258.421052631578</v>
      </c>
      <c r="G2802" s="48">
        <v>0.0131578947368421</v>
      </c>
      <c r="H2802" s="24" t="s">
        <v>3374</v>
      </c>
      <c r="I2802" s="47"/>
      <c r="J2802" s="24">
        <v>0.0</v>
      </c>
    </row>
    <row r="2803">
      <c r="A2803" s="24">
        <v>63.0</v>
      </c>
      <c r="B2803" s="24">
        <v>1.0</v>
      </c>
      <c r="C2803" s="47">
        <v>19.11</v>
      </c>
      <c r="D2803" s="35">
        <v>45938.0</v>
      </c>
      <c r="E2803" s="47">
        <v>19.11</v>
      </c>
      <c r="F2803" s="47">
        <v>303.333333333333</v>
      </c>
      <c r="G2803" s="48">
        <v>0.0158730158730158</v>
      </c>
      <c r="H2803" s="24" t="s">
        <v>3374</v>
      </c>
      <c r="I2803" s="47"/>
      <c r="J2803" s="24">
        <v>0.0</v>
      </c>
    </row>
    <row r="2804">
      <c r="A2804" s="24">
        <v>108.0</v>
      </c>
      <c r="B2804" s="24">
        <v>1.0</v>
      </c>
      <c r="C2804" s="47">
        <v>13.72</v>
      </c>
      <c r="D2804" s="35">
        <v>45939.0</v>
      </c>
      <c r="E2804" s="47">
        <v>13.72</v>
      </c>
      <c r="F2804" s="47">
        <v>127.037037037037</v>
      </c>
      <c r="G2804" s="48">
        <v>0.00925925925925925</v>
      </c>
      <c r="H2804" s="24" t="s">
        <v>3374</v>
      </c>
      <c r="I2804" s="47"/>
      <c r="J2804" s="24">
        <v>0.0</v>
      </c>
    </row>
    <row r="2805">
      <c r="A2805" s="24">
        <v>39.0</v>
      </c>
      <c r="B2805" s="24">
        <v>2.0</v>
      </c>
      <c r="C2805" s="47">
        <v>39.26</v>
      </c>
      <c r="D2805" s="35">
        <v>45940.0</v>
      </c>
      <c r="E2805" s="47">
        <v>19.63</v>
      </c>
      <c r="F2805" s="47">
        <v>1006.66666666666</v>
      </c>
      <c r="G2805" s="48">
        <v>0.0512820512820512</v>
      </c>
      <c r="H2805" s="24" t="s">
        <v>3374</v>
      </c>
      <c r="I2805" s="47"/>
      <c r="J2805" s="24">
        <v>0.0</v>
      </c>
    </row>
    <row r="2806">
      <c r="A2806" s="24">
        <v>12.0</v>
      </c>
      <c r="B2806" s="24">
        <v>1.0</v>
      </c>
      <c r="C2806" s="47">
        <v>18.73</v>
      </c>
      <c r="D2806" s="35">
        <v>45941.0</v>
      </c>
      <c r="E2806" s="47">
        <v>18.73</v>
      </c>
      <c r="F2806" s="47">
        <v>1560.83333333333</v>
      </c>
      <c r="G2806" s="48">
        <v>0.0833333333333333</v>
      </c>
      <c r="H2806" s="24" t="s">
        <v>3374</v>
      </c>
      <c r="I2806" s="47"/>
      <c r="J2806" s="24">
        <v>0.0</v>
      </c>
    </row>
    <row r="2807">
      <c r="A2807" s="24">
        <v>13.0</v>
      </c>
      <c r="B2807" s="24">
        <v>0.0</v>
      </c>
      <c r="C2807" s="47">
        <v>0.0</v>
      </c>
      <c r="D2807" s="35">
        <v>45942.0</v>
      </c>
      <c r="E2807" s="47"/>
      <c r="F2807" s="47">
        <v>0.0</v>
      </c>
      <c r="G2807" s="48">
        <v>0.0</v>
      </c>
      <c r="H2807" s="24" t="s">
        <v>3374</v>
      </c>
      <c r="I2807" s="47"/>
      <c r="J2807" s="24">
        <v>0.0</v>
      </c>
    </row>
    <row r="2808">
      <c r="A2808" s="24">
        <v>48.0</v>
      </c>
      <c r="B2808" s="24">
        <v>0.0</v>
      </c>
      <c r="C2808" s="47">
        <v>0.0</v>
      </c>
      <c r="D2808" s="35">
        <v>45943.0</v>
      </c>
      <c r="E2808" s="47"/>
      <c r="F2808" s="47">
        <v>0.0</v>
      </c>
      <c r="G2808" s="48">
        <v>0.0</v>
      </c>
      <c r="H2808" s="24" t="s">
        <v>3374</v>
      </c>
      <c r="I2808" s="47"/>
      <c r="J2808" s="24">
        <v>0.0</v>
      </c>
    </row>
    <row r="2809">
      <c r="A2809" s="24">
        <v>73.0</v>
      </c>
      <c r="B2809" s="24">
        <v>1.0</v>
      </c>
      <c r="C2809" s="47">
        <v>19.2</v>
      </c>
      <c r="D2809" s="35">
        <v>45944.0</v>
      </c>
      <c r="E2809" s="47">
        <v>19.2</v>
      </c>
      <c r="F2809" s="47">
        <v>263.013698630136</v>
      </c>
      <c r="G2809" s="48">
        <v>0.0136986301369863</v>
      </c>
      <c r="H2809" s="24" t="s">
        <v>3374</v>
      </c>
      <c r="I2809" s="47"/>
      <c r="J2809" s="24">
        <v>0.0</v>
      </c>
    </row>
    <row r="2810">
      <c r="A2810" s="24">
        <v>85.0</v>
      </c>
      <c r="B2810" s="24">
        <v>0.0</v>
      </c>
      <c r="C2810" s="47">
        <v>0.0</v>
      </c>
      <c r="D2810" s="35">
        <v>45945.0</v>
      </c>
      <c r="E2810" s="47"/>
      <c r="F2810" s="47">
        <v>0.0</v>
      </c>
      <c r="G2810" s="48">
        <v>0.0</v>
      </c>
      <c r="H2810" s="24" t="s">
        <v>3374</v>
      </c>
      <c r="I2810" s="47"/>
      <c r="J2810" s="24">
        <v>0.0</v>
      </c>
    </row>
    <row r="2811">
      <c r="A2811" s="24">
        <v>59.0</v>
      </c>
      <c r="B2811" s="24">
        <v>1.0</v>
      </c>
      <c r="C2811" s="47">
        <v>19.37001</v>
      </c>
      <c r="D2811" s="35">
        <v>45946.0</v>
      </c>
      <c r="E2811" s="47">
        <v>19.37001</v>
      </c>
      <c r="F2811" s="47">
        <v>328.305254237288</v>
      </c>
      <c r="G2811" s="48">
        <v>0.0169491525423728</v>
      </c>
      <c r="H2811" s="24" t="s">
        <v>3374</v>
      </c>
      <c r="I2811" s="47"/>
      <c r="J2811" s="24">
        <v>0.0</v>
      </c>
    </row>
    <row r="2812">
      <c r="A2812" s="24">
        <v>78.0</v>
      </c>
      <c r="B2812" s="24">
        <v>1.0</v>
      </c>
      <c r="C2812" s="47">
        <v>19.83</v>
      </c>
      <c r="D2812" s="35">
        <v>45947.0</v>
      </c>
      <c r="E2812" s="47">
        <v>19.83</v>
      </c>
      <c r="F2812" s="47">
        <v>254.230769230769</v>
      </c>
      <c r="G2812" s="48">
        <v>0.0128205128205128</v>
      </c>
      <c r="H2812" s="24" t="s">
        <v>3374</v>
      </c>
      <c r="I2812" s="47"/>
      <c r="J2812" s="24">
        <v>0.0</v>
      </c>
    </row>
    <row r="2813">
      <c r="A2813" s="24">
        <v>5.0</v>
      </c>
      <c r="B2813" s="24">
        <v>0.0</v>
      </c>
      <c r="C2813" s="47">
        <v>0.0</v>
      </c>
      <c r="D2813" s="35">
        <v>45948.0</v>
      </c>
      <c r="E2813" s="47"/>
      <c r="F2813" s="47">
        <v>0.0</v>
      </c>
      <c r="G2813" s="48">
        <v>0.0</v>
      </c>
      <c r="H2813" s="24" t="s">
        <v>3374</v>
      </c>
      <c r="I2813" s="47"/>
      <c r="J2813" s="24">
        <v>0.0</v>
      </c>
    </row>
    <row r="2814">
      <c r="A2814" s="24">
        <v>8.0</v>
      </c>
      <c r="B2814" s="24">
        <v>0.0</v>
      </c>
      <c r="C2814" s="47">
        <v>0.0</v>
      </c>
      <c r="D2814" s="35">
        <v>45949.0</v>
      </c>
      <c r="E2814" s="47"/>
      <c r="F2814" s="47">
        <v>0.0</v>
      </c>
      <c r="G2814" s="48">
        <v>0.0</v>
      </c>
      <c r="H2814" s="24" t="s">
        <v>3374</v>
      </c>
      <c r="I2814" s="47"/>
      <c r="J2814" s="24">
        <v>0.0</v>
      </c>
    </row>
    <row r="2815">
      <c r="A2815" s="24">
        <v>55.0</v>
      </c>
      <c r="B2815" s="24">
        <v>0.0</v>
      </c>
      <c r="C2815" s="47">
        <v>0.0</v>
      </c>
      <c r="D2815" s="35">
        <v>45950.0</v>
      </c>
      <c r="E2815" s="47"/>
      <c r="F2815" s="47">
        <v>0.0</v>
      </c>
      <c r="G2815" s="48">
        <v>0.0</v>
      </c>
      <c r="H2815" s="24" t="s">
        <v>3374</v>
      </c>
      <c r="I2815" s="47"/>
      <c r="J2815" s="24">
        <v>0.0</v>
      </c>
    </row>
    <row r="2816">
      <c r="A2816" s="24">
        <v>45.0</v>
      </c>
      <c r="B2816" s="24">
        <v>1.0</v>
      </c>
      <c r="C2816" s="47">
        <v>19.63</v>
      </c>
      <c r="D2816" s="35">
        <v>45951.0</v>
      </c>
      <c r="E2816" s="47">
        <v>19.63</v>
      </c>
      <c r="F2816" s="47">
        <v>436.222222222222</v>
      </c>
      <c r="G2816" s="48">
        <v>0.0222222222222222</v>
      </c>
      <c r="H2816" s="24" t="s">
        <v>3374</v>
      </c>
      <c r="I2816" s="47"/>
      <c r="J2816" s="24">
        <v>0.0</v>
      </c>
    </row>
    <row r="2817">
      <c r="A2817" s="24">
        <v>54.0</v>
      </c>
      <c r="B2817" s="24">
        <v>0.0</v>
      </c>
      <c r="C2817" s="47">
        <v>0.0</v>
      </c>
      <c r="D2817" s="35">
        <v>45952.0</v>
      </c>
      <c r="E2817" s="47"/>
      <c r="F2817" s="47">
        <v>0.0</v>
      </c>
      <c r="G2817" s="48">
        <v>0.0</v>
      </c>
      <c r="H2817" s="24" t="s">
        <v>3374</v>
      </c>
      <c r="I2817" s="47"/>
      <c r="J2817" s="24">
        <v>0.0</v>
      </c>
    </row>
    <row r="2818">
      <c r="A2818" s="24">
        <v>42.0</v>
      </c>
      <c r="B2818" s="24">
        <v>1.0</v>
      </c>
      <c r="C2818" s="47">
        <v>18.89</v>
      </c>
      <c r="D2818" s="35">
        <v>45953.0</v>
      </c>
      <c r="E2818" s="47">
        <v>18.89</v>
      </c>
      <c r="F2818" s="47">
        <v>449.761904761904</v>
      </c>
      <c r="G2818" s="48">
        <v>0.0238095238095238</v>
      </c>
      <c r="H2818" s="24" t="s">
        <v>3374</v>
      </c>
      <c r="I2818" s="47"/>
      <c r="J2818" s="24">
        <v>0.0</v>
      </c>
    </row>
    <row r="2819">
      <c r="A2819" s="24">
        <v>36.0</v>
      </c>
      <c r="B2819" s="24">
        <v>2.0</v>
      </c>
      <c r="C2819" s="47">
        <v>38.87</v>
      </c>
      <c r="D2819" s="35">
        <v>45954.0</v>
      </c>
      <c r="E2819" s="47">
        <v>19.435</v>
      </c>
      <c r="F2819" s="47">
        <v>1079.72222222222</v>
      </c>
      <c r="G2819" s="48">
        <v>0.0555555555555555</v>
      </c>
      <c r="H2819" s="24" t="s">
        <v>3374</v>
      </c>
      <c r="I2819" s="47"/>
      <c r="J2819" s="24">
        <v>0.0</v>
      </c>
    </row>
    <row r="2820">
      <c r="A2820" s="24">
        <v>12.0</v>
      </c>
      <c r="B2820" s="24">
        <v>0.0</v>
      </c>
      <c r="C2820" s="47">
        <v>0.0</v>
      </c>
      <c r="D2820" s="35">
        <v>45955.0</v>
      </c>
      <c r="E2820" s="47"/>
      <c r="F2820" s="47">
        <v>0.0</v>
      </c>
      <c r="G2820" s="48">
        <v>0.0</v>
      </c>
      <c r="H2820" s="24" t="s">
        <v>3374</v>
      </c>
      <c r="I2820" s="47"/>
      <c r="J2820" s="24">
        <v>0.0</v>
      </c>
    </row>
    <row r="2821">
      <c r="A2821" s="24">
        <v>13.0</v>
      </c>
      <c r="B2821" s="24">
        <v>0.0</v>
      </c>
      <c r="C2821" s="47">
        <v>0.0</v>
      </c>
      <c r="D2821" s="35">
        <v>45956.0</v>
      </c>
      <c r="E2821" s="47"/>
      <c r="F2821" s="47">
        <v>0.0</v>
      </c>
      <c r="G2821" s="48">
        <v>0.0</v>
      </c>
      <c r="H2821" s="24" t="s">
        <v>3374</v>
      </c>
      <c r="I2821" s="47"/>
      <c r="J2821" s="24">
        <v>0.0</v>
      </c>
    </row>
    <row r="2822">
      <c r="A2822" s="24">
        <v>45.0</v>
      </c>
      <c r="B2822" s="24">
        <v>0.0</v>
      </c>
      <c r="C2822" s="47">
        <v>0.0</v>
      </c>
      <c r="D2822" s="35">
        <v>45957.0</v>
      </c>
      <c r="E2822" s="47"/>
      <c r="F2822" s="47">
        <v>0.0</v>
      </c>
      <c r="G2822" s="48">
        <v>0.0</v>
      </c>
      <c r="H2822" s="24" t="s">
        <v>3374</v>
      </c>
      <c r="I2822" s="47"/>
      <c r="J2822" s="24">
        <v>0.0</v>
      </c>
    </row>
    <row r="2823">
      <c r="A2823" s="24">
        <v>66.0</v>
      </c>
      <c r="B2823" s="24">
        <v>0.0</v>
      </c>
      <c r="C2823" s="47">
        <v>0.0</v>
      </c>
      <c r="D2823" s="35">
        <v>45958.0</v>
      </c>
      <c r="E2823" s="47"/>
      <c r="F2823" s="47">
        <v>0.0</v>
      </c>
      <c r="G2823" s="48">
        <v>0.0</v>
      </c>
      <c r="H2823" s="24" t="s">
        <v>3374</v>
      </c>
      <c r="I2823" s="47"/>
      <c r="J2823" s="24">
        <v>0.0</v>
      </c>
    </row>
    <row r="2824">
      <c r="A2824" s="24">
        <v>118.0</v>
      </c>
      <c r="B2824" s="24">
        <v>3.0</v>
      </c>
      <c r="C2824" s="47">
        <v>50.68</v>
      </c>
      <c r="D2824" s="35">
        <v>45959.0</v>
      </c>
      <c r="E2824" s="47">
        <v>16.8933333333333</v>
      </c>
      <c r="F2824" s="47">
        <v>429.491525423728</v>
      </c>
      <c r="G2824" s="48">
        <v>0.0254237288135593</v>
      </c>
      <c r="H2824" s="24" t="s">
        <v>3374</v>
      </c>
      <c r="I2824" s="47"/>
      <c r="J2824" s="24">
        <v>0.0</v>
      </c>
    </row>
    <row r="2825">
      <c r="A2825" s="24">
        <v>103.0</v>
      </c>
      <c r="B2825" s="24">
        <v>2.0</v>
      </c>
      <c r="C2825" s="47">
        <v>27.53</v>
      </c>
      <c r="D2825" s="35">
        <v>45960.0</v>
      </c>
      <c r="E2825" s="47">
        <v>13.765</v>
      </c>
      <c r="F2825" s="47">
        <v>267.281553398058</v>
      </c>
      <c r="G2825" s="48">
        <v>0.0194174757281553</v>
      </c>
      <c r="H2825" s="24" t="s">
        <v>3374</v>
      </c>
      <c r="I2825" s="47"/>
      <c r="J2825" s="24">
        <v>0.0</v>
      </c>
    </row>
    <row r="2826">
      <c r="A2826" s="24">
        <v>56.0</v>
      </c>
      <c r="B2826" s="24">
        <v>1.0</v>
      </c>
      <c r="C2826" s="47">
        <v>19.95</v>
      </c>
      <c r="D2826" s="35">
        <v>45961.0</v>
      </c>
      <c r="E2826" s="47">
        <v>19.95</v>
      </c>
      <c r="F2826" s="47">
        <v>356.25</v>
      </c>
      <c r="G2826" s="48">
        <v>0.0178571428571428</v>
      </c>
      <c r="H2826" s="24" t="s">
        <v>3374</v>
      </c>
      <c r="I2826" s="47"/>
      <c r="J2826" s="24">
        <v>0.0</v>
      </c>
    </row>
    <row r="2827">
      <c r="A2827" s="24">
        <v>11.0</v>
      </c>
      <c r="B2827" s="24">
        <v>0.0</v>
      </c>
      <c r="C2827" s="47">
        <v>0.0</v>
      </c>
      <c r="D2827" s="35">
        <v>45963.0</v>
      </c>
      <c r="E2827" s="47"/>
      <c r="F2827" s="47">
        <v>0.0</v>
      </c>
      <c r="G2827" s="48">
        <v>0.0</v>
      </c>
      <c r="H2827" s="24" t="s">
        <v>3374</v>
      </c>
      <c r="I2827" s="47"/>
      <c r="J2827" s="24">
        <v>0.0</v>
      </c>
    </row>
    <row r="2828">
      <c r="A2828" s="24">
        <v>75.0</v>
      </c>
      <c r="B2828" s="24">
        <v>3.0</v>
      </c>
      <c r="C2828" s="47">
        <v>56.957556</v>
      </c>
      <c r="D2828" s="35">
        <v>45964.0</v>
      </c>
      <c r="E2828" s="47">
        <v>18.985852</v>
      </c>
      <c r="F2828" s="47">
        <v>759.43408</v>
      </c>
      <c r="G2828" s="48">
        <v>0.04</v>
      </c>
      <c r="H2828" s="24" t="s">
        <v>3374</v>
      </c>
      <c r="I2828" s="47"/>
      <c r="J2828" s="24">
        <v>0.0</v>
      </c>
    </row>
    <row r="2829">
      <c r="A2829" s="24">
        <v>146.0</v>
      </c>
      <c r="B2829" s="24">
        <v>4.0</v>
      </c>
      <c r="C2829" s="47">
        <v>70.22</v>
      </c>
      <c r="D2829" s="35">
        <v>45965.0</v>
      </c>
      <c r="E2829" s="47">
        <v>17.555</v>
      </c>
      <c r="F2829" s="47">
        <v>480.958904109589</v>
      </c>
      <c r="G2829" s="48">
        <v>0.0273972602739726</v>
      </c>
      <c r="H2829" s="24" t="s">
        <v>3374</v>
      </c>
      <c r="I2829" s="47"/>
      <c r="J2829" s="24">
        <v>0.0</v>
      </c>
    </row>
    <row r="2830">
      <c r="A2830" s="24">
        <v>18.0</v>
      </c>
      <c r="B2830" s="24">
        <v>0.0</v>
      </c>
      <c r="C2830" s="47">
        <v>0.0</v>
      </c>
      <c r="D2830" s="35">
        <v>45974.0</v>
      </c>
      <c r="E2830" s="47"/>
      <c r="F2830" s="47">
        <v>0.0</v>
      </c>
      <c r="G2830" s="48">
        <v>0.0</v>
      </c>
      <c r="H2830" s="24" t="s">
        <v>3374</v>
      </c>
      <c r="I2830" s="47"/>
      <c r="J2830" s="24">
        <v>0.0</v>
      </c>
    </row>
    <row r="2831">
      <c r="A2831" s="24">
        <v>19.0</v>
      </c>
      <c r="B2831" s="24">
        <v>1.0</v>
      </c>
      <c r="C2831" s="47">
        <v>19.93</v>
      </c>
      <c r="D2831" s="35">
        <v>45975.0</v>
      </c>
      <c r="E2831" s="47">
        <v>19.93</v>
      </c>
      <c r="F2831" s="47">
        <v>1048.94736842105</v>
      </c>
      <c r="G2831" s="48">
        <v>0.0526315789473684</v>
      </c>
      <c r="H2831" s="24" t="s">
        <v>3374</v>
      </c>
      <c r="I2831" s="47"/>
      <c r="J2831" s="24">
        <v>0.0</v>
      </c>
    </row>
    <row r="2832">
      <c r="A2832" s="24">
        <v>6.0</v>
      </c>
      <c r="B2832" s="24">
        <v>0.0</v>
      </c>
      <c r="C2832" s="47">
        <v>0.0</v>
      </c>
      <c r="D2832" s="35">
        <v>45976.0</v>
      </c>
      <c r="E2832" s="47"/>
      <c r="F2832" s="47">
        <v>0.0</v>
      </c>
      <c r="G2832" s="48">
        <v>0.0</v>
      </c>
      <c r="H2832" s="24" t="s">
        <v>3374</v>
      </c>
      <c r="I2832" s="47"/>
      <c r="J2832" s="24">
        <v>0.0</v>
      </c>
    </row>
    <row r="2833">
      <c r="A2833" s="24">
        <v>1.0</v>
      </c>
      <c r="B2833" s="24">
        <v>0.0</v>
      </c>
      <c r="C2833" s="47">
        <v>0.0</v>
      </c>
      <c r="D2833" s="35">
        <v>45977.0</v>
      </c>
      <c r="E2833" s="47"/>
      <c r="F2833" s="47">
        <v>0.0</v>
      </c>
      <c r="G2833" s="48">
        <v>0.0</v>
      </c>
      <c r="H2833" s="24" t="s">
        <v>3374</v>
      </c>
      <c r="I2833" s="47"/>
      <c r="J2833" s="24">
        <v>0.0</v>
      </c>
    </row>
    <row r="2834">
      <c r="A2834" s="24">
        <v>15.0</v>
      </c>
      <c r="B2834" s="24">
        <v>1.0</v>
      </c>
      <c r="C2834" s="47">
        <v>19.59</v>
      </c>
      <c r="D2834" s="35">
        <v>45978.0</v>
      </c>
      <c r="E2834" s="47">
        <v>19.59</v>
      </c>
      <c r="F2834" s="47">
        <v>1306.0</v>
      </c>
      <c r="G2834" s="48">
        <v>0.0666666666666666</v>
      </c>
      <c r="H2834" s="24" t="s">
        <v>3374</v>
      </c>
      <c r="I2834" s="47"/>
      <c r="J2834" s="24">
        <v>0.0</v>
      </c>
    </row>
    <row r="2835">
      <c r="A2835" s="24">
        <v>24.0</v>
      </c>
      <c r="B2835" s="24">
        <v>0.0</v>
      </c>
      <c r="C2835" s="47">
        <v>0.0</v>
      </c>
      <c r="D2835" s="35">
        <v>45979.0</v>
      </c>
      <c r="E2835" s="47"/>
      <c r="F2835" s="47">
        <v>0.0</v>
      </c>
      <c r="G2835" s="48">
        <v>0.0</v>
      </c>
      <c r="H2835" s="24" t="s">
        <v>3374</v>
      </c>
      <c r="I2835" s="47"/>
      <c r="J2835" s="24">
        <v>0.0</v>
      </c>
    </row>
    <row r="2836">
      <c r="A2836" s="24">
        <v>41.0</v>
      </c>
      <c r="B2836" s="24">
        <v>1.0</v>
      </c>
      <c r="C2836" s="47">
        <v>19.49</v>
      </c>
      <c r="D2836" s="35">
        <v>45980.0</v>
      </c>
      <c r="E2836" s="47">
        <v>19.49</v>
      </c>
      <c r="F2836" s="47">
        <v>475.365853658536</v>
      </c>
      <c r="G2836" s="48">
        <v>0.024390243902439</v>
      </c>
      <c r="H2836" s="24" t="s">
        <v>3374</v>
      </c>
      <c r="I2836" s="47"/>
      <c r="J2836" s="24">
        <v>0.0</v>
      </c>
    </row>
    <row r="2837">
      <c r="A2837" s="24">
        <v>35.0</v>
      </c>
      <c r="B2837" s="24">
        <v>1.0</v>
      </c>
      <c r="C2837" s="47">
        <v>19.59</v>
      </c>
      <c r="D2837" s="35">
        <v>45981.0</v>
      </c>
      <c r="E2837" s="47">
        <v>19.59</v>
      </c>
      <c r="F2837" s="47">
        <v>559.714285714285</v>
      </c>
      <c r="G2837" s="48">
        <v>0.0285714285714285</v>
      </c>
      <c r="H2837" s="24" t="s">
        <v>3374</v>
      </c>
      <c r="I2837" s="47"/>
      <c r="J2837" s="24">
        <v>0.0</v>
      </c>
    </row>
    <row r="2838">
      <c r="A2838" s="24">
        <v>20.0</v>
      </c>
      <c r="B2838" s="24">
        <v>0.0</v>
      </c>
      <c r="C2838" s="47">
        <v>0.0</v>
      </c>
      <c r="D2838" s="35">
        <v>45982.0</v>
      </c>
      <c r="E2838" s="47"/>
      <c r="F2838" s="47">
        <v>0.0</v>
      </c>
      <c r="G2838" s="48">
        <v>0.0</v>
      </c>
      <c r="H2838" s="24" t="s">
        <v>3374</v>
      </c>
      <c r="I2838" s="47"/>
      <c r="J2838" s="24">
        <v>0.0</v>
      </c>
    </row>
    <row r="2839">
      <c r="A2839" s="24">
        <v>4.0</v>
      </c>
      <c r="B2839" s="24">
        <v>0.0</v>
      </c>
      <c r="C2839" s="47">
        <v>0.0</v>
      </c>
      <c r="D2839" s="35">
        <v>45983.0</v>
      </c>
      <c r="E2839" s="47"/>
      <c r="F2839" s="47">
        <v>0.0</v>
      </c>
      <c r="G2839" s="48">
        <v>0.0</v>
      </c>
      <c r="H2839" s="24" t="s">
        <v>3374</v>
      </c>
      <c r="I2839" s="47"/>
      <c r="J2839" s="24">
        <v>0.0</v>
      </c>
    </row>
    <row r="2840">
      <c r="A2840" s="24">
        <v>8.0</v>
      </c>
      <c r="B2840" s="24">
        <v>0.0</v>
      </c>
      <c r="C2840" s="47">
        <v>0.0</v>
      </c>
      <c r="D2840" s="35">
        <v>45984.0</v>
      </c>
      <c r="E2840" s="47"/>
      <c r="F2840" s="47">
        <v>0.0</v>
      </c>
      <c r="G2840" s="48">
        <v>0.0</v>
      </c>
      <c r="H2840" s="24" t="s">
        <v>3374</v>
      </c>
      <c r="I2840" s="47"/>
      <c r="J2840" s="24">
        <v>0.0</v>
      </c>
    </row>
    <row r="2841">
      <c r="A2841" s="24">
        <v>17.0</v>
      </c>
      <c r="B2841" s="24">
        <v>0.0</v>
      </c>
      <c r="C2841" s="47">
        <v>0.0</v>
      </c>
      <c r="D2841" s="35">
        <v>45985.0</v>
      </c>
      <c r="E2841" s="47"/>
      <c r="F2841" s="47">
        <v>0.0</v>
      </c>
      <c r="G2841" s="48">
        <v>0.0</v>
      </c>
      <c r="H2841" s="24" t="s">
        <v>3374</v>
      </c>
      <c r="I2841" s="47"/>
      <c r="J2841" s="24">
        <v>0.0</v>
      </c>
    </row>
    <row r="2842">
      <c r="A2842" s="24">
        <v>27.0</v>
      </c>
      <c r="B2842" s="24">
        <v>3.0</v>
      </c>
      <c r="C2842" s="47">
        <v>43.34</v>
      </c>
      <c r="D2842" s="35">
        <v>45986.0</v>
      </c>
      <c r="E2842" s="47">
        <v>14.4466666666666</v>
      </c>
      <c r="F2842" s="47">
        <v>1605.18518518518</v>
      </c>
      <c r="G2842" s="48">
        <v>0.111111111111111</v>
      </c>
      <c r="H2842" s="24" t="s">
        <v>3374</v>
      </c>
      <c r="I2842" s="47">
        <v>86.68</v>
      </c>
      <c r="J2842" s="24">
        <v>0.5</v>
      </c>
    </row>
    <row r="2843">
      <c r="A2843" s="24">
        <v>10.0</v>
      </c>
      <c r="B2843" s="24">
        <v>0.0</v>
      </c>
      <c r="C2843" s="47">
        <v>0.0</v>
      </c>
      <c r="D2843" s="35">
        <v>45987.0</v>
      </c>
      <c r="E2843" s="47"/>
      <c r="F2843" s="47">
        <v>0.0</v>
      </c>
      <c r="G2843" s="48">
        <v>0.0</v>
      </c>
      <c r="H2843" s="24" t="s">
        <v>3374</v>
      </c>
      <c r="I2843" s="47"/>
      <c r="J2843" s="24">
        <v>0.0</v>
      </c>
    </row>
    <row r="2844">
      <c r="A2844" s="24">
        <v>1.0</v>
      </c>
      <c r="B2844" s="24">
        <v>0.0</v>
      </c>
      <c r="C2844" s="47">
        <v>0.0</v>
      </c>
      <c r="D2844" s="35">
        <v>45988.0</v>
      </c>
      <c r="E2844" s="47"/>
      <c r="F2844" s="47">
        <v>0.0</v>
      </c>
      <c r="G2844" s="48">
        <v>0.0</v>
      </c>
      <c r="H2844" s="24" t="s">
        <v>3374</v>
      </c>
      <c r="I2844" s="47"/>
      <c r="J2844" s="24">
        <v>0.0</v>
      </c>
    </row>
    <row r="2845">
      <c r="A2845" s="24">
        <v>8.0</v>
      </c>
      <c r="B2845" s="24">
        <v>0.0</v>
      </c>
      <c r="C2845" s="47">
        <v>0.0</v>
      </c>
      <c r="D2845" s="35">
        <v>45989.0</v>
      </c>
      <c r="E2845" s="47"/>
      <c r="F2845" s="47">
        <v>0.0</v>
      </c>
      <c r="G2845" s="48">
        <v>0.0</v>
      </c>
      <c r="H2845" s="24" t="s">
        <v>3374</v>
      </c>
      <c r="I2845" s="47"/>
      <c r="J2845" s="24">
        <v>0.0</v>
      </c>
    </row>
    <row r="2846">
      <c r="A2846" s="24">
        <v>4.0</v>
      </c>
      <c r="B2846" s="24">
        <v>0.0</v>
      </c>
      <c r="C2846" s="47">
        <v>0.0</v>
      </c>
      <c r="D2846" s="35">
        <v>45990.0</v>
      </c>
      <c r="E2846" s="47"/>
      <c r="F2846" s="47">
        <v>0.0</v>
      </c>
      <c r="G2846" s="48">
        <v>0.0</v>
      </c>
      <c r="H2846" s="24" t="s">
        <v>3374</v>
      </c>
      <c r="I2846" s="47"/>
      <c r="J2846" s="24">
        <v>0.0</v>
      </c>
    </row>
    <row r="2847">
      <c r="A2847" s="24">
        <v>1.0</v>
      </c>
      <c r="B2847" s="24">
        <v>0.0</v>
      </c>
      <c r="C2847" s="47">
        <v>0.0</v>
      </c>
      <c r="D2847" s="35">
        <v>45991.0</v>
      </c>
      <c r="E2847" s="47"/>
      <c r="F2847" s="47">
        <v>0.0</v>
      </c>
      <c r="G2847" s="48">
        <v>0.0</v>
      </c>
      <c r="H2847" s="24" t="s">
        <v>3374</v>
      </c>
      <c r="I2847" s="47"/>
      <c r="J2847" s="24">
        <v>0.0</v>
      </c>
    </row>
    <row r="2848">
      <c r="A2848" s="24">
        <v>31.0</v>
      </c>
      <c r="B2848" s="24">
        <v>2.0</v>
      </c>
      <c r="C2848" s="47">
        <v>31.52</v>
      </c>
      <c r="D2848" s="35">
        <v>45992.0</v>
      </c>
      <c r="E2848" s="47">
        <v>15.76</v>
      </c>
      <c r="F2848" s="47">
        <v>1016.77419354838</v>
      </c>
      <c r="G2848" s="48">
        <v>0.064516129032258</v>
      </c>
      <c r="H2848" s="24" t="s">
        <v>3374</v>
      </c>
      <c r="I2848" s="47">
        <v>63.04</v>
      </c>
      <c r="J2848" s="24">
        <v>0.5</v>
      </c>
    </row>
    <row r="2849">
      <c r="A2849" s="24">
        <v>20.0</v>
      </c>
      <c r="B2849" s="24">
        <v>0.0</v>
      </c>
      <c r="C2849" s="47">
        <v>0.0</v>
      </c>
      <c r="D2849" s="35">
        <v>45993.0</v>
      </c>
      <c r="E2849" s="47"/>
      <c r="F2849" s="47">
        <v>0.0</v>
      </c>
      <c r="G2849" s="48">
        <v>0.0</v>
      </c>
      <c r="H2849" s="24" t="s">
        <v>3374</v>
      </c>
      <c r="I2849" s="47"/>
      <c r="J2849" s="24">
        <v>0.0</v>
      </c>
    </row>
    <row r="2850">
      <c r="A2850" s="24">
        <v>43.0</v>
      </c>
      <c r="B2850" s="24">
        <v>2.0</v>
      </c>
      <c r="C2850" s="47">
        <v>38.66</v>
      </c>
      <c r="D2850" s="35">
        <v>45994.0</v>
      </c>
      <c r="E2850" s="47">
        <v>19.33</v>
      </c>
      <c r="F2850" s="47">
        <v>899.06976744186</v>
      </c>
      <c r="G2850" s="48">
        <v>0.0465116279069767</v>
      </c>
      <c r="H2850" s="24" t="s">
        <v>3374</v>
      </c>
      <c r="I2850" s="47"/>
      <c r="J2850" s="24">
        <v>0.0</v>
      </c>
    </row>
    <row r="2851">
      <c r="A2851" s="24">
        <v>31.0</v>
      </c>
      <c r="B2851" s="24">
        <v>2.0</v>
      </c>
      <c r="C2851" s="47">
        <v>26.966047</v>
      </c>
      <c r="D2851" s="35">
        <v>45995.0</v>
      </c>
      <c r="E2851" s="47">
        <v>13.4830235</v>
      </c>
      <c r="F2851" s="47">
        <v>869.872483870967</v>
      </c>
      <c r="G2851" s="48">
        <v>0.064516129032258</v>
      </c>
      <c r="H2851" s="24" t="s">
        <v>3374</v>
      </c>
      <c r="I2851" s="47"/>
      <c r="J2851" s="24">
        <v>0.0</v>
      </c>
    </row>
    <row r="2852">
      <c r="A2852" s="24">
        <v>38.0</v>
      </c>
      <c r="B2852" s="24">
        <v>0.0</v>
      </c>
      <c r="C2852" s="47">
        <v>0.0</v>
      </c>
      <c r="D2852" s="35">
        <v>45996.0</v>
      </c>
      <c r="E2852" s="47"/>
      <c r="F2852" s="47">
        <v>0.0</v>
      </c>
      <c r="G2852" s="48">
        <v>0.0</v>
      </c>
      <c r="H2852" s="24" t="s">
        <v>3374</v>
      </c>
      <c r="I2852" s="47"/>
      <c r="J2852" s="24">
        <v>0.0</v>
      </c>
    </row>
    <row r="2853">
      <c r="A2853" s="24">
        <v>13.0</v>
      </c>
      <c r="B2853" s="24">
        <v>1.0</v>
      </c>
      <c r="C2853" s="47">
        <v>19.27</v>
      </c>
      <c r="D2853" s="35">
        <v>45997.0</v>
      </c>
      <c r="E2853" s="47">
        <v>19.27</v>
      </c>
      <c r="F2853" s="47">
        <v>1482.30769230769</v>
      </c>
      <c r="G2853" s="48">
        <v>0.0769230769230769</v>
      </c>
      <c r="H2853" s="24" t="s">
        <v>3374</v>
      </c>
      <c r="I2853" s="47"/>
      <c r="J2853" s="24">
        <v>0.0</v>
      </c>
    </row>
    <row r="2854">
      <c r="A2854" s="24">
        <v>5.0</v>
      </c>
      <c r="B2854" s="24">
        <v>0.0</v>
      </c>
      <c r="C2854" s="47">
        <v>0.0</v>
      </c>
      <c r="D2854" s="35">
        <v>45998.0</v>
      </c>
      <c r="E2854" s="47"/>
      <c r="F2854" s="47">
        <v>0.0</v>
      </c>
      <c r="G2854" s="48">
        <v>0.0</v>
      </c>
      <c r="H2854" s="24" t="s">
        <v>3374</v>
      </c>
      <c r="I2854" s="47"/>
      <c r="J2854" s="24">
        <v>0.0</v>
      </c>
    </row>
    <row r="2855">
      <c r="A2855" s="24">
        <v>51.0</v>
      </c>
      <c r="B2855" s="24">
        <v>1.0</v>
      </c>
      <c r="C2855" s="47">
        <v>12.06</v>
      </c>
      <c r="D2855" s="35">
        <v>45999.0</v>
      </c>
      <c r="E2855" s="47">
        <v>12.06</v>
      </c>
      <c r="F2855" s="47">
        <v>236.470588235294</v>
      </c>
      <c r="G2855" s="48">
        <v>0.0196078431372549</v>
      </c>
      <c r="H2855" s="24" t="s">
        <v>3374</v>
      </c>
      <c r="I2855" s="47"/>
      <c r="J2855" s="24">
        <v>0.0</v>
      </c>
    </row>
    <row r="2856">
      <c r="A2856" s="24">
        <v>41.0</v>
      </c>
      <c r="B2856" s="24">
        <v>2.0</v>
      </c>
      <c r="C2856" s="47">
        <v>38.33</v>
      </c>
      <c r="D2856" s="35">
        <v>46000.0</v>
      </c>
      <c r="E2856" s="47">
        <v>19.165</v>
      </c>
      <c r="F2856" s="47">
        <v>934.878048780487</v>
      </c>
      <c r="G2856" s="48">
        <v>0.048780487804878</v>
      </c>
      <c r="H2856" s="24" t="s">
        <v>3374</v>
      </c>
      <c r="I2856" s="47"/>
      <c r="J2856" s="24">
        <v>0.0</v>
      </c>
    </row>
    <row r="2857">
      <c r="A2857" s="24">
        <v>50.0</v>
      </c>
      <c r="B2857" s="24">
        <v>1.0</v>
      </c>
      <c r="C2857" s="47">
        <v>19.86</v>
      </c>
      <c r="D2857" s="35">
        <v>46001.0</v>
      </c>
      <c r="E2857" s="47">
        <v>19.86</v>
      </c>
      <c r="F2857" s="47">
        <v>397.2</v>
      </c>
      <c r="G2857" s="48">
        <v>0.02</v>
      </c>
      <c r="H2857" s="24" t="s">
        <v>3374</v>
      </c>
      <c r="I2857" s="47"/>
      <c r="J2857" s="24">
        <v>0.0</v>
      </c>
    </row>
    <row r="2858">
      <c r="A2858" s="24">
        <v>38.0</v>
      </c>
      <c r="B2858" s="24">
        <v>0.0</v>
      </c>
      <c r="C2858" s="47">
        <v>0.0</v>
      </c>
      <c r="D2858" s="35">
        <v>46002.0</v>
      </c>
      <c r="E2858" s="47"/>
      <c r="F2858" s="47">
        <v>0.0</v>
      </c>
      <c r="G2858" s="48">
        <v>0.0</v>
      </c>
      <c r="H2858" s="24" t="s">
        <v>3374</v>
      </c>
      <c r="I2858" s="47"/>
      <c r="J2858" s="24">
        <v>0.0</v>
      </c>
    </row>
    <row r="2859">
      <c r="A2859" s="24">
        <v>51.0</v>
      </c>
      <c r="B2859" s="24">
        <v>1.0</v>
      </c>
      <c r="C2859" s="47">
        <v>20.0</v>
      </c>
      <c r="D2859" s="35">
        <v>46003.0</v>
      </c>
      <c r="E2859" s="47">
        <v>20.0</v>
      </c>
      <c r="F2859" s="47">
        <v>392.156862745098</v>
      </c>
      <c r="G2859" s="48">
        <v>0.0196078431372549</v>
      </c>
      <c r="H2859" s="24" t="s">
        <v>3374</v>
      </c>
      <c r="I2859" s="47"/>
      <c r="J2859" s="24">
        <v>0.0</v>
      </c>
    </row>
    <row r="2860">
      <c r="A2860" s="24">
        <v>1.0</v>
      </c>
      <c r="B2860" s="24">
        <v>0.0</v>
      </c>
      <c r="C2860" s="47">
        <v>0.0</v>
      </c>
      <c r="D2860" s="35">
        <v>46004.0</v>
      </c>
      <c r="E2860" s="47"/>
      <c r="F2860" s="47">
        <v>0.0</v>
      </c>
      <c r="G2860" s="48">
        <v>0.0</v>
      </c>
      <c r="H2860" s="24" t="s">
        <v>3374</v>
      </c>
      <c r="I2860" s="47"/>
      <c r="J2860" s="24">
        <v>0.0</v>
      </c>
    </row>
    <row r="2861">
      <c r="A2861" s="24">
        <v>4.0</v>
      </c>
      <c r="B2861" s="24">
        <v>0.0</v>
      </c>
      <c r="C2861" s="47">
        <v>0.0</v>
      </c>
      <c r="D2861" s="35">
        <v>46005.0</v>
      </c>
      <c r="E2861" s="47"/>
      <c r="F2861" s="47">
        <v>0.0</v>
      </c>
      <c r="G2861" s="48">
        <v>0.0</v>
      </c>
      <c r="H2861" s="24" t="s">
        <v>3374</v>
      </c>
      <c r="I2861" s="47"/>
      <c r="J2861" s="24">
        <v>0.0</v>
      </c>
    </row>
    <row r="2862">
      <c r="A2862" s="24">
        <v>47.0</v>
      </c>
      <c r="B2862" s="24">
        <v>1.0</v>
      </c>
      <c r="C2862" s="47">
        <v>17.21</v>
      </c>
      <c r="D2862" s="35">
        <v>46006.0</v>
      </c>
      <c r="E2862" s="47">
        <v>17.21</v>
      </c>
      <c r="F2862" s="47">
        <v>366.170212765957</v>
      </c>
      <c r="G2862" s="48">
        <v>0.0212765957446808</v>
      </c>
      <c r="H2862" s="24" t="s">
        <v>3374</v>
      </c>
      <c r="I2862" s="47"/>
      <c r="J2862" s="24">
        <v>0.0</v>
      </c>
    </row>
    <row r="2863">
      <c r="A2863" s="24">
        <v>29.0</v>
      </c>
      <c r="B2863" s="24">
        <v>1.0</v>
      </c>
      <c r="C2863" s="47">
        <v>9.58</v>
      </c>
      <c r="D2863" s="35">
        <v>46007.0</v>
      </c>
      <c r="E2863" s="47">
        <v>9.58</v>
      </c>
      <c r="F2863" s="47">
        <v>330.344827586206</v>
      </c>
      <c r="G2863" s="48">
        <v>0.0344827586206896</v>
      </c>
      <c r="H2863" s="24" t="s">
        <v>3374</v>
      </c>
      <c r="I2863" s="47"/>
      <c r="J2863" s="24">
        <v>0.0</v>
      </c>
    </row>
    <row r="2864">
      <c r="A2864" s="24">
        <v>40.0</v>
      </c>
      <c r="B2864" s="24">
        <v>1.0</v>
      </c>
      <c r="C2864" s="47">
        <v>19.55</v>
      </c>
      <c r="D2864" s="35">
        <v>46008.0</v>
      </c>
      <c r="E2864" s="47">
        <v>19.55</v>
      </c>
      <c r="F2864" s="47">
        <v>488.75</v>
      </c>
      <c r="G2864" s="48">
        <v>0.025</v>
      </c>
      <c r="H2864" s="24" t="s">
        <v>3374</v>
      </c>
      <c r="I2864" s="47"/>
      <c r="J2864" s="24">
        <v>0.0</v>
      </c>
    </row>
    <row r="2865">
      <c r="A2865" s="24">
        <v>55.0</v>
      </c>
      <c r="B2865" s="24">
        <v>2.0</v>
      </c>
      <c r="C2865" s="47">
        <v>39.120034</v>
      </c>
      <c r="D2865" s="35">
        <v>46009.0</v>
      </c>
      <c r="E2865" s="47">
        <v>19.560017</v>
      </c>
      <c r="F2865" s="47">
        <v>711.273345454545</v>
      </c>
      <c r="G2865" s="48">
        <v>0.0363636363636363</v>
      </c>
      <c r="H2865" s="24" t="s">
        <v>3374</v>
      </c>
      <c r="I2865" s="47"/>
      <c r="J2865" s="24">
        <v>0.0</v>
      </c>
    </row>
    <row r="2866">
      <c r="A2866" s="24">
        <v>65.0</v>
      </c>
      <c r="B2866" s="24">
        <v>1.0</v>
      </c>
      <c r="C2866" s="47">
        <v>19.54</v>
      </c>
      <c r="D2866" s="35">
        <v>46010.0</v>
      </c>
      <c r="E2866" s="47">
        <v>19.54</v>
      </c>
      <c r="F2866" s="47">
        <v>300.615384615384</v>
      </c>
      <c r="G2866" s="48">
        <v>0.0153846153846153</v>
      </c>
      <c r="H2866" s="24" t="s">
        <v>3374</v>
      </c>
      <c r="I2866" s="47"/>
      <c r="J2866" s="24">
        <v>0.0</v>
      </c>
    </row>
    <row r="2867">
      <c r="A2867" s="24">
        <v>10.0</v>
      </c>
      <c r="B2867" s="24">
        <v>1.0</v>
      </c>
      <c r="C2867" s="47">
        <v>19.18</v>
      </c>
      <c r="D2867" s="35">
        <v>46011.0</v>
      </c>
      <c r="E2867" s="47">
        <v>19.18</v>
      </c>
      <c r="F2867" s="47">
        <v>1918.0</v>
      </c>
      <c r="G2867" s="48">
        <v>0.1</v>
      </c>
      <c r="H2867" s="24" t="s">
        <v>3374</v>
      </c>
      <c r="I2867" s="47">
        <v>19.18</v>
      </c>
      <c r="J2867" s="24">
        <v>1.0</v>
      </c>
    </row>
    <row r="2868">
      <c r="A2868" s="24">
        <v>10.0</v>
      </c>
      <c r="B2868" s="24">
        <v>1.0</v>
      </c>
      <c r="C2868" s="47">
        <v>19.98</v>
      </c>
      <c r="D2868" s="35">
        <v>46012.0</v>
      </c>
      <c r="E2868" s="47">
        <v>19.98</v>
      </c>
      <c r="F2868" s="47">
        <v>1998.0</v>
      </c>
      <c r="G2868" s="48">
        <v>0.1</v>
      </c>
      <c r="H2868" s="24" t="s">
        <v>3374</v>
      </c>
      <c r="I2868" s="47"/>
      <c r="J2868" s="24">
        <v>0.0</v>
      </c>
    </row>
    <row r="2869">
      <c r="A2869" s="24">
        <v>53.0</v>
      </c>
      <c r="B2869" s="24">
        <v>4.0</v>
      </c>
      <c r="C2869" s="47">
        <v>66.266962</v>
      </c>
      <c r="D2869" s="35">
        <v>46013.0</v>
      </c>
      <c r="E2869" s="47">
        <v>16.5667405</v>
      </c>
      <c r="F2869" s="47">
        <v>1250.32003773584</v>
      </c>
      <c r="G2869" s="48">
        <v>0.0754716981132075</v>
      </c>
      <c r="H2869" s="24" t="s">
        <v>3374</v>
      </c>
      <c r="I2869" s="47"/>
      <c r="J2869" s="24">
        <v>0.0</v>
      </c>
    </row>
    <row r="2870">
      <c r="A2870" s="24">
        <v>34.0</v>
      </c>
      <c r="B2870" s="24">
        <v>0.0</v>
      </c>
      <c r="C2870" s="47">
        <v>0.0</v>
      </c>
      <c r="D2870" s="35">
        <v>46014.0</v>
      </c>
      <c r="E2870" s="47"/>
      <c r="F2870" s="47">
        <v>0.0</v>
      </c>
      <c r="G2870" s="48">
        <v>0.0</v>
      </c>
      <c r="H2870" s="24" t="s">
        <v>3374</v>
      </c>
      <c r="I2870" s="47"/>
      <c r="J2870" s="24">
        <v>0.0</v>
      </c>
    </row>
    <row r="2871">
      <c r="A2871" s="24">
        <v>9.0</v>
      </c>
      <c r="B2871" s="24">
        <v>0.0</v>
      </c>
      <c r="C2871" s="47">
        <v>0.0</v>
      </c>
      <c r="D2871" s="35">
        <v>46015.0</v>
      </c>
      <c r="E2871" s="47"/>
      <c r="F2871" s="47">
        <v>0.0</v>
      </c>
      <c r="G2871" s="48">
        <v>0.0</v>
      </c>
      <c r="H2871" s="24" t="s">
        <v>3374</v>
      </c>
      <c r="I2871" s="47"/>
      <c r="J2871" s="24">
        <v>0.0</v>
      </c>
    </row>
    <row r="2872">
      <c r="A2872" s="24">
        <v>5.0</v>
      </c>
      <c r="B2872" s="24">
        <v>0.0</v>
      </c>
      <c r="C2872" s="47">
        <v>0.0</v>
      </c>
      <c r="D2872" s="35">
        <v>46017.0</v>
      </c>
      <c r="E2872" s="47"/>
      <c r="F2872" s="47">
        <v>0.0</v>
      </c>
      <c r="G2872" s="48">
        <v>0.0</v>
      </c>
      <c r="H2872" s="24" t="s">
        <v>3374</v>
      </c>
      <c r="I2872" s="47"/>
      <c r="J2872" s="24">
        <v>0.0</v>
      </c>
    </row>
    <row r="2873">
      <c r="A2873" s="24">
        <v>8.0</v>
      </c>
      <c r="B2873" s="24">
        <v>0.0</v>
      </c>
      <c r="C2873" s="47">
        <v>0.0</v>
      </c>
      <c r="D2873" s="35">
        <v>46019.0</v>
      </c>
      <c r="E2873" s="47"/>
      <c r="F2873" s="47">
        <v>0.0</v>
      </c>
      <c r="G2873" s="48">
        <v>0.0</v>
      </c>
      <c r="H2873" s="24" t="s">
        <v>3374</v>
      </c>
      <c r="I2873" s="47"/>
      <c r="J2873" s="24">
        <v>0.0</v>
      </c>
    </row>
    <row r="2874">
      <c r="A2874" s="24">
        <v>43.0</v>
      </c>
      <c r="B2874" s="24">
        <v>2.0</v>
      </c>
      <c r="C2874" s="47">
        <v>38.64</v>
      </c>
      <c r="D2874" s="35">
        <v>46027.0</v>
      </c>
      <c r="E2874" s="47">
        <v>19.32</v>
      </c>
      <c r="F2874" s="47">
        <v>898.60465116279</v>
      </c>
      <c r="G2874" s="48">
        <v>0.0465116279069767</v>
      </c>
      <c r="H2874" s="24" t="s">
        <v>3374</v>
      </c>
      <c r="I2874" s="47"/>
      <c r="J2874" s="24">
        <v>0.0</v>
      </c>
    </row>
    <row r="2875">
      <c r="A2875" s="24">
        <v>64.0</v>
      </c>
      <c r="B2875" s="24">
        <v>0.0</v>
      </c>
      <c r="C2875" s="47">
        <v>0.0</v>
      </c>
      <c r="D2875" s="35">
        <v>46028.0</v>
      </c>
      <c r="E2875" s="47"/>
      <c r="F2875" s="47">
        <v>0.0</v>
      </c>
      <c r="G2875" s="48">
        <v>0.0</v>
      </c>
      <c r="H2875" s="24" t="s">
        <v>3374</v>
      </c>
      <c r="I2875" s="47"/>
      <c r="J2875" s="24">
        <v>0.0</v>
      </c>
    </row>
    <row r="2876">
      <c r="A2876" s="24">
        <v>71.0</v>
      </c>
      <c r="B2876" s="24">
        <v>4.0</v>
      </c>
      <c r="C2876" s="47">
        <v>78.66</v>
      </c>
      <c r="D2876" s="35">
        <v>46029.0</v>
      </c>
      <c r="E2876" s="47">
        <v>19.665</v>
      </c>
      <c r="F2876" s="47">
        <v>1107.88732394366</v>
      </c>
      <c r="G2876" s="48">
        <v>0.056338028169014</v>
      </c>
      <c r="H2876" s="24" t="s">
        <v>3374</v>
      </c>
      <c r="I2876" s="47"/>
      <c r="J2876" s="24">
        <v>0.0</v>
      </c>
    </row>
    <row r="2877">
      <c r="A2877" s="24">
        <v>69.0</v>
      </c>
      <c r="B2877" s="24">
        <v>3.0</v>
      </c>
      <c r="C2877" s="47">
        <v>58.31</v>
      </c>
      <c r="D2877" s="35">
        <v>46030.0</v>
      </c>
      <c r="E2877" s="47">
        <v>19.4366666666666</v>
      </c>
      <c r="F2877" s="47">
        <v>845.072463768116</v>
      </c>
      <c r="G2877" s="48">
        <v>0.0434782608695652</v>
      </c>
      <c r="H2877" s="24" t="s">
        <v>3374</v>
      </c>
      <c r="I2877" s="47"/>
      <c r="J2877" s="24">
        <v>0.0</v>
      </c>
    </row>
    <row r="2878">
      <c r="A2878" s="24">
        <v>56.0</v>
      </c>
      <c r="B2878" s="24">
        <v>2.0</v>
      </c>
      <c r="C2878" s="47">
        <v>39.71</v>
      </c>
      <c r="D2878" s="35">
        <v>46031.0</v>
      </c>
      <c r="E2878" s="47">
        <v>19.855</v>
      </c>
      <c r="F2878" s="47">
        <v>709.107142857142</v>
      </c>
      <c r="G2878" s="48">
        <v>0.0357142857142857</v>
      </c>
      <c r="H2878" s="24" t="s">
        <v>3374</v>
      </c>
      <c r="I2878" s="47"/>
      <c r="J2878" s="24">
        <v>0.0</v>
      </c>
    </row>
    <row r="2879">
      <c r="A2879" s="24">
        <v>12.0</v>
      </c>
      <c r="B2879" s="24">
        <v>1.0</v>
      </c>
      <c r="C2879" s="47">
        <v>19.05</v>
      </c>
      <c r="D2879" s="35">
        <v>46032.0</v>
      </c>
      <c r="E2879" s="47">
        <v>19.05</v>
      </c>
      <c r="F2879" s="47">
        <v>1587.5</v>
      </c>
      <c r="G2879" s="48">
        <v>0.0833333333333333</v>
      </c>
      <c r="H2879" s="24" t="s">
        <v>3374</v>
      </c>
      <c r="I2879" s="47"/>
      <c r="J2879" s="24">
        <v>0.0</v>
      </c>
    </row>
    <row r="2880">
      <c r="A2880" s="24">
        <v>8.0</v>
      </c>
      <c r="B2880" s="24">
        <v>0.0</v>
      </c>
      <c r="C2880" s="47">
        <v>0.0</v>
      </c>
      <c r="D2880" s="35">
        <v>46033.0</v>
      </c>
      <c r="E2880" s="47"/>
      <c r="F2880" s="47">
        <v>0.0</v>
      </c>
      <c r="G2880" s="48">
        <v>0.0</v>
      </c>
      <c r="H2880" s="24" t="s">
        <v>3374</v>
      </c>
      <c r="I2880" s="47"/>
      <c r="J2880" s="24">
        <v>0.0</v>
      </c>
    </row>
    <row r="2881">
      <c r="A2881" s="24">
        <v>63.0</v>
      </c>
      <c r="B2881" s="24">
        <v>2.0</v>
      </c>
      <c r="C2881" s="47">
        <v>36.91</v>
      </c>
      <c r="D2881" s="35">
        <v>46034.0</v>
      </c>
      <c r="E2881" s="47">
        <v>18.455</v>
      </c>
      <c r="F2881" s="47">
        <v>585.873015873015</v>
      </c>
      <c r="G2881" s="48">
        <v>0.0317460317460317</v>
      </c>
      <c r="H2881" s="24" t="s">
        <v>3374</v>
      </c>
      <c r="I2881" s="47"/>
      <c r="J2881" s="24">
        <v>0.0</v>
      </c>
    </row>
    <row r="2882">
      <c r="A2882" s="24">
        <v>99.0</v>
      </c>
      <c r="B2882" s="24">
        <v>3.0</v>
      </c>
      <c r="C2882" s="47">
        <v>58.993469</v>
      </c>
      <c r="D2882" s="35">
        <v>46035.0</v>
      </c>
      <c r="E2882" s="47">
        <v>19.6644896666666</v>
      </c>
      <c r="F2882" s="47">
        <v>595.893626262626</v>
      </c>
      <c r="G2882" s="48">
        <v>0.0303030303030303</v>
      </c>
      <c r="H2882" s="24" t="s">
        <v>3374</v>
      </c>
      <c r="I2882" s="47"/>
      <c r="J2882" s="24">
        <v>0.0</v>
      </c>
    </row>
    <row r="2883">
      <c r="A2883" s="24">
        <v>83.0</v>
      </c>
      <c r="B2883" s="24">
        <v>1.0</v>
      </c>
      <c r="C2883" s="47">
        <v>19.86</v>
      </c>
      <c r="D2883" s="35">
        <v>46036.0</v>
      </c>
      <c r="E2883" s="47">
        <v>19.86</v>
      </c>
      <c r="F2883" s="47">
        <v>239.277108433734</v>
      </c>
      <c r="G2883" s="48">
        <v>0.0120481927710843</v>
      </c>
      <c r="H2883" s="24" t="s">
        <v>3374</v>
      </c>
      <c r="I2883" s="47"/>
      <c r="J2883" s="24">
        <v>0.0</v>
      </c>
    </row>
    <row r="2884">
      <c r="A2884" s="24">
        <v>54.0</v>
      </c>
      <c r="B2884" s="24">
        <v>1.0</v>
      </c>
      <c r="C2884" s="47">
        <v>5.61</v>
      </c>
      <c r="D2884" s="35">
        <v>46037.0</v>
      </c>
      <c r="E2884" s="47">
        <v>5.61</v>
      </c>
      <c r="F2884" s="47">
        <v>103.888888888888</v>
      </c>
      <c r="G2884" s="48">
        <v>0.0185185185185185</v>
      </c>
      <c r="H2884" s="24" t="s">
        <v>3374</v>
      </c>
      <c r="I2884" s="47"/>
      <c r="J2884" s="24">
        <v>0.0</v>
      </c>
    </row>
    <row r="2885">
      <c r="A2885" s="24">
        <v>46.0</v>
      </c>
      <c r="B2885" s="24">
        <v>1.0</v>
      </c>
      <c r="C2885" s="47">
        <v>19.44</v>
      </c>
      <c r="D2885" s="35">
        <v>46038.0</v>
      </c>
      <c r="E2885" s="47">
        <v>19.44</v>
      </c>
      <c r="F2885" s="47">
        <v>422.608695652173</v>
      </c>
      <c r="G2885" s="48">
        <v>0.0217391304347826</v>
      </c>
      <c r="H2885" s="24" t="s">
        <v>3374</v>
      </c>
      <c r="I2885" s="47"/>
      <c r="J2885" s="24">
        <v>0.0</v>
      </c>
    </row>
    <row r="2886">
      <c r="A2886" s="24">
        <v>4.0</v>
      </c>
      <c r="B2886" s="24">
        <v>1.0</v>
      </c>
      <c r="C2886" s="47">
        <v>19.06</v>
      </c>
      <c r="D2886" s="35">
        <v>46039.0</v>
      </c>
      <c r="E2886" s="47">
        <v>19.06</v>
      </c>
      <c r="F2886" s="47">
        <v>4765.0</v>
      </c>
      <c r="G2886" s="48">
        <v>0.25</v>
      </c>
      <c r="H2886" s="24" t="s">
        <v>3374</v>
      </c>
      <c r="I2886" s="47"/>
      <c r="J2886" s="24">
        <v>0.0</v>
      </c>
    </row>
    <row r="2887">
      <c r="A2887" s="24">
        <v>16.0</v>
      </c>
      <c r="B2887" s="24">
        <v>1.0</v>
      </c>
      <c r="C2887" s="47">
        <v>19.075097</v>
      </c>
      <c r="D2887" s="35">
        <v>46040.0</v>
      </c>
      <c r="E2887" s="47">
        <v>19.075097</v>
      </c>
      <c r="F2887" s="47">
        <v>1192.1935625</v>
      </c>
      <c r="G2887" s="48">
        <v>0.0625</v>
      </c>
      <c r="H2887" s="24" t="s">
        <v>3374</v>
      </c>
      <c r="I2887" s="47"/>
      <c r="J2887" s="24">
        <v>0.0</v>
      </c>
    </row>
    <row r="2888">
      <c r="A2888" s="24">
        <v>26.0</v>
      </c>
      <c r="B2888" s="24">
        <v>1.0</v>
      </c>
      <c r="C2888" s="47">
        <v>18.75</v>
      </c>
      <c r="D2888" s="35">
        <v>46041.0</v>
      </c>
      <c r="E2888" s="47">
        <v>18.75</v>
      </c>
      <c r="F2888" s="47">
        <v>721.153846153846</v>
      </c>
      <c r="G2888" s="48">
        <v>0.0384615384615384</v>
      </c>
      <c r="H2888" s="24" t="s">
        <v>3374</v>
      </c>
      <c r="I2888" s="47"/>
      <c r="J2888" s="24">
        <v>0.0</v>
      </c>
    </row>
    <row r="2889">
      <c r="A2889" s="24">
        <v>131.0</v>
      </c>
      <c r="B2889" s="24">
        <v>3.0</v>
      </c>
      <c r="C2889" s="47">
        <v>59.55</v>
      </c>
      <c r="D2889" s="35">
        <v>46042.0</v>
      </c>
      <c r="E2889" s="47">
        <v>19.85</v>
      </c>
      <c r="F2889" s="47">
        <v>454.580152671755</v>
      </c>
      <c r="G2889" s="48">
        <v>0.0229007633587786</v>
      </c>
      <c r="H2889" s="24" t="s">
        <v>3374</v>
      </c>
      <c r="I2889" s="47"/>
      <c r="J2889" s="24">
        <v>0.0</v>
      </c>
    </row>
    <row r="2890">
      <c r="A2890" s="24">
        <v>107.0</v>
      </c>
      <c r="B2890" s="24">
        <v>2.0</v>
      </c>
      <c r="C2890" s="47">
        <v>38.09</v>
      </c>
      <c r="D2890" s="35">
        <v>46043.0</v>
      </c>
      <c r="E2890" s="47">
        <v>19.045</v>
      </c>
      <c r="F2890" s="47">
        <v>355.981308411214</v>
      </c>
      <c r="G2890" s="48">
        <v>0.0186915887850467</v>
      </c>
      <c r="H2890" s="24" t="s">
        <v>3374</v>
      </c>
      <c r="I2890" s="47"/>
      <c r="J2890" s="24">
        <v>0.0</v>
      </c>
    </row>
    <row r="2891">
      <c r="A2891" s="24">
        <v>133.0</v>
      </c>
      <c r="B2891" s="24">
        <v>3.0</v>
      </c>
      <c r="C2891" s="47">
        <v>58.645179</v>
      </c>
      <c r="D2891" s="35">
        <v>46044.0</v>
      </c>
      <c r="E2891" s="47">
        <v>19.548393</v>
      </c>
      <c r="F2891" s="47">
        <v>440.941195488721</v>
      </c>
      <c r="G2891" s="48">
        <v>0.0225563909774436</v>
      </c>
      <c r="H2891" s="24" t="s">
        <v>3374</v>
      </c>
      <c r="I2891" s="47"/>
      <c r="J2891" s="24">
        <v>0.0</v>
      </c>
    </row>
    <row r="2892">
      <c r="A2892" s="24">
        <v>78.0</v>
      </c>
      <c r="B2892" s="24">
        <v>2.0</v>
      </c>
      <c r="C2892" s="47">
        <v>38.56</v>
      </c>
      <c r="D2892" s="35">
        <v>46045.0</v>
      </c>
      <c r="E2892" s="47">
        <v>19.28</v>
      </c>
      <c r="F2892" s="47">
        <v>494.358974358974</v>
      </c>
      <c r="G2892" s="48">
        <v>0.0256410256410256</v>
      </c>
      <c r="H2892" s="24" t="s">
        <v>3374</v>
      </c>
      <c r="I2892" s="47"/>
      <c r="J2892" s="24">
        <v>0.0</v>
      </c>
    </row>
    <row r="2893">
      <c r="A2893" s="24">
        <v>12.0</v>
      </c>
      <c r="B2893" s="24">
        <v>1.0</v>
      </c>
      <c r="C2893" s="47">
        <v>19.41</v>
      </c>
      <c r="D2893" s="35">
        <v>46046.0</v>
      </c>
      <c r="E2893" s="47">
        <v>19.41</v>
      </c>
      <c r="F2893" s="47">
        <v>1617.5</v>
      </c>
      <c r="G2893" s="48">
        <v>0.0833333333333333</v>
      </c>
      <c r="H2893" s="24" t="s">
        <v>3374</v>
      </c>
      <c r="I2893" s="47"/>
      <c r="J2893" s="24">
        <v>0.0</v>
      </c>
    </row>
    <row r="2894">
      <c r="A2894" s="24">
        <v>6.0</v>
      </c>
      <c r="B2894" s="24">
        <v>0.0</v>
      </c>
      <c r="C2894" s="47">
        <v>0.0</v>
      </c>
      <c r="D2894" s="35">
        <v>46047.0</v>
      </c>
      <c r="E2894" s="47"/>
      <c r="F2894" s="47">
        <v>0.0</v>
      </c>
      <c r="G2894" s="48">
        <v>0.0</v>
      </c>
      <c r="H2894" s="24" t="s">
        <v>3374</v>
      </c>
      <c r="I2894" s="47"/>
      <c r="J2894" s="24">
        <v>0.0</v>
      </c>
    </row>
    <row r="2895">
      <c r="A2895" s="24">
        <v>78.0</v>
      </c>
      <c r="B2895" s="24">
        <v>5.0</v>
      </c>
      <c r="C2895" s="47">
        <v>97.26288</v>
      </c>
      <c r="D2895" s="35">
        <v>46048.0</v>
      </c>
      <c r="E2895" s="47">
        <v>19.452576</v>
      </c>
      <c r="F2895" s="47">
        <v>1246.96</v>
      </c>
      <c r="G2895" s="48">
        <v>0.0641025641025641</v>
      </c>
      <c r="H2895" s="24" t="s">
        <v>3374</v>
      </c>
      <c r="I2895" s="47"/>
      <c r="J2895" s="24">
        <v>0.0</v>
      </c>
    </row>
    <row r="2896">
      <c r="A2896" s="24">
        <v>58.0</v>
      </c>
      <c r="B2896" s="24">
        <v>1.0</v>
      </c>
      <c r="C2896" s="47">
        <v>19.84</v>
      </c>
      <c r="D2896" s="35">
        <v>46049.0</v>
      </c>
      <c r="E2896" s="47">
        <v>19.84</v>
      </c>
      <c r="F2896" s="47">
        <v>342.068965517241</v>
      </c>
      <c r="G2896" s="48">
        <v>0.0172413793103448</v>
      </c>
      <c r="H2896" s="24" t="s">
        <v>3374</v>
      </c>
      <c r="I2896" s="47"/>
      <c r="J2896" s="24">
        <v>0.0</v>
      </c>
    </row>
    <row r="2897">
      <c r="A2897" s="24">
        <v>4.0</v>
      </c>
      <c r="B2897" s="24">
        <v>0.0</v>
      </c>
      <c r="C2897" s="47">
        <v>0.0</v>
      </c>
      <c r="D2897" s="35">
        <v>45919.0</v>
      </c>
      <c r="E2897" s="47"/>
      <c r="F2897" s="47">
        <v>0.0</v>
      </c>
      <c r="G2897" s="48">
        <v>0.0</v>
      </c>
      <c r="H2897" s="24" t="s">
        <v>3376</v>
      </c>
      <c r="I2897" s="47"/>
      <c r="J2897" s="24">
        <v>0.0</v>
      </c>
    </row>
    <row r="2898">
      <c r="A2898" s="24">
        <v>16.0</v>
      </c>
      <c r="B2898" s="24">
        <v>1.0</v>
      </c>
      <c r="C2898" s="47">
        <v>2.86</v>
      </c>
      <c r="D2898" s="35">
        <v>45920.0</v>
      </c>
      <c r="E2898" s="47">
        <v>2.86</v>
      </c>
      <c r="F2898" s="47">
        <v>178.75</v>
      </c>
      <c r="G2898" s="48">
        <v>0.0625</v>
      </c>
      <c r="H2898" s="24" t="s">
        <v>3376</v>
      </c>
      <c r="I2898" s="47"/>
      <c r="J2898" s="24">
        <v>0.0</v>
      </c>
    </row>
    <row r="2899">
      <c r="A2899" s="24">
        <v>8.0</v>
      </c>
      <c r="B2899" s="24">
        <v>0.0</v>
      </c>
      <c r="C2899" s="47">
        <v>0.0</v>
      </c>
      <c r="D2899" s="35">
        <v>45921.0</v>
      </c>
      <c r="E2899" s="47"/>
      <c r="F2899" s="47">
        <v>0.0</v>
      </c>
      <c r="G2899" s="48">
        <v>0.0</v>
      </c>
      <c r="H2899" s="24" t="s">
        <v>3376</v>
      </c>
      <c r="I2899" s="47"/>
      <c r="J2899" s="24">
        <v>0.0</v>
      </c>
    </row>
    <row r="2900">
      <c r="A2900" s="24">
        <v>16.0</v>
      </c>
      <c r="B2900" s="24">
        <v>0.0</v>
      </c>
      <c r="C2900" s="47">
        <v>0.0</v>
      </c>
      <c r="D2900" s="35">
        <v>45922.0</v>
      </c>
      <c r="E2900" s="47"/>
      <c r="F2900" s="47">
        <v>0.0</v>
      </c>
      <c r="G2900" s="48">
        <v>0.0</v>
      </c>
      <c r="H2900" s="24" t="s">
        <v>3376</v>
      </c>
      <c r="I2900" s="47"/>
      <c r="J2900" s="24">
        <v>0.0</v>
      </c>
    </row>
    <row r="2901">
      <c r="A2901" s="24">
        <v>69.0</v>
      </c>
      <c r="B2901" s="24">
        <v>3.0</v>
      </c>
      <c r="C2901" s="47">
        <v>44.92</v>
      </c>
      <c r="D2901" s="35">
        <v>45923.0</v>
      </c>
      <c r="E2901" s="47">
        <v>14.9733333333333</v>
      </c>
      <c r="F2901" s="47">
        <v>651.014492753623</v>
      </c>
      <c r="G2901" s="48">
        <v>0.0434782608695652</v>
      </c>
      <c r="H2901" s="24" t="s">
        <v>3376</v>
      </c>
      <c r="I2901" s="47"/>
      <c r="J2901" s="24">
        <v>0.0</v>
      </c>
    </row>
    <row r="2902">
      <c r="A2902" s="24">
        <v>86.0</v>
      </c>
      <c r="B2902" s="24">
        <v>3.0</v>
      </c>
      <c r="C2902" s="47">
        <v>62.100032</v>
      </c>
      <c r="D2902" s="35">
        <v>45924.0</v>
      </c>
      <c r="E2902" s="47">
        <v>20.7000106666666</v>
      </c>
      <c r="F2902" s="47">
        <v>722.093395348837</v>
      </c>
      <c r="G2902" s="48">
        <v>0.0348837209302325</v>
      </c>
      <c r="H2902" s="24" t="s">
        <v>3376</v>
      </c>
      <c r="I2902" s="47"/>
      <c r="J2902" s="24">
        <v>0.0</v>
      </c>
    </row>
    <row r="2903">
      <c r="A2903" s="24">
        <v>79.0</v>
      </c>
      <c r="B2903" s="24">
        <v>4.0</v>
      </c>
      <c r="C2903" s="47">
        <v>97.64</v>
      </c>
      <c r="D2903" s="35">
        <v>45925.0</v>
      </c>
      <c r="E2903" s="47">
        <v>24.41</v>
      </c>
      <c r="F2903" s="47">
        <v>1235.9493670886</v>
      </c>
      <c r="G2903" s="48">
        <v>0.050632911392405</v>
      </c>
      <c r="H2903" s="24" t="s">
        <v>3376</v>
      </c>
      <c r="I2903" s="47"/>
      <c r="J2903" s="24">
        <v>0.0</v>
      </c>
    </row>
    <row r="2904">
      <c r="A2904" s="24">
        <v>8.0</v>
      </c>
      <c r="B2904" s="24">
        <v>3.0</v>
      </c>
      <c r="C2904" s="47">
        <v>57.65</v>
      </c>
      <c r="D2904" s="35">
        <v>45926.0</v>
      </c>
      <c r="E2904" s="47">
        <v>19.2166666666666</v>
      </c>
      <c r="F2904" s="47">
        <v>7206.25</v>
      </c>
      <c r="G2904" s="48">
        <v>0.375</v>
      </c>
      <c r="H2904" s="24" t="s">
        <v>3376</v>
      </c>
      <c r="I2904" s="47"/>
      <c r="J2904" s="24">
        <v>0.0</v>
      </c>
    </row>
    <row r="2905">
      <c r="A2905" s="24">
        <v>10.0</v>
      </c>
      <c r="B2905" s="24">
        <v>2.0</v>
      </c>
      <c r="C2905" s="47">
        <v>46.72</v>
      </c>
      <c r="D2905" s="35">
        <v>45927.0</v>
      </c>
      <c r="E2905" s="47">
        <v>23.36</v>
      </c>
      <c r="F2905" s="47">
        <v>4672.0</v>
      </c>
      <c r="G2905" s="48">
        <v>0.2</v>
      </c>
      <c r="H2905" s="24" t="s">
        <v>3376</v>
      </c>
      <c r="I2905" s="47"/>
      <c r="J2905" s="24">
        <v>0.0</v>
      </c>
    </row>
    <row r="2906">
      <c r="A2906" s="24">
        <v>33.0</v>
      </c>
      <c r="B2906" s="24">
        <v>3.0</v>
      </c>
      <c r="C2906" s="47">
        <v>52.17</v>
      </c>
      <c r="D2906" s="35">
        <v>45928.0</v>
      </c>
      <c r="E2906" s="47">
        <v>17.39</v>
      </c>
      <c r="F2906" s="47">
        <v>1580.90909090909</v>
      </c>
      <c r="G2906" s="48">
        <v>0.0909090909090909</v>
      </c>
      <c r="H2906" s="24" t="s">
        <v>3376</v>
      </c>
      <c r="I2906" s="47"/>
      <c r="J2906" s="24">
        <v>0.0</v>
      </c>
    </row>
    <row r="2907">
      <c r="A2907" s="24">
        <v>50.0</v>
      </c>
      <c r="B2907" s="24">
        <v>3.0</v>
      </c>
      <c r="C2907" s="47">
        <v>53.51</v>
      </c>
      <c r="D2907" s="35">
        <v>45929.0</v>
      </c>
      <c r="E2907" s="47">
        <v>17.8366666666666</v>
      </c>
      <c r="F2907" s="47">
        <v>1070.2</v>
      </c>
      <c r="G2907" s="48">
        <v>0.06</v>
      </c>
      <c r="H2907" s="24" t="s">
        <v>3376</v>
      </c>
      <c r="I2907" s="47"/>
      <c r="J2907" s="24">
        <v>0.0</v>
      </c>
    </row>
    <row r="2908">
      <c r="A2908" s="24">
        <v>130.0</v>
      </c>
      <c r="B2908" s="24">
        <v>3.0</v>
      </c>
      <c r="C2908" s="47">
        <v>34.85</v>
      </c>
      <c r="D2908" s="35">
        <v>45930.0</v>
      </c>
      <c r="E2908" s="47">
        <v>11.6166666666666</v>
      </c>
      <c r="F2908" s="47">
        <v>268.076923076923</v>
      </c>
      <c r="G2908" s="48">
        <v>0.023076923076923</v>
      </c>
      <c r="H2908" s="24" t="s">
        <v>3376</v>
      </c>
      <c r="I2908" s="47"/>
      <c r="J2908" s="24">
        <v>0.0</v>
      </c>
    </row>
    <row r="2909">
      <c r="A2909" s="24">
        <v>85.0</v>
      </c>
      <c r="B2909" s="24">
        <v>0.0</v>
      </c>
      <c r="C2909" s="47">
        <v>0.0</v>
      </c>
      <c r="D2909" s="35">
        <v>45931.0</v>
      </c>
      <c r="E2909" s="47"/>
      <c r="F2909" s="47">
        <v>0.0</v>
      </c>
      <c r="G2909" s="48">
        <v>0.0</v>
      </c>
      <c r="H2909" s="24" t="s">
        <v>3376</v>
      </c>
      <c r="I2909" s="47"/>
      <c r="J2909" s="24">
        <v>0.0</v>
      </c>
    </row>
    <row r="2910">
      <c r="A2910" s="24">
        <v>86.0</v>
      </c>
      <c r="B2910" s="24">
        <v>3.0</v>
      </c>
      <c r="C2910" s="47">
        <v>21.592935</v>
      </c>
      <c r="D2910" s="35">
        <v>45932.0</v>
      </c>
      <c r="E2910" s="47">
        <v>7.197645</v>
      </c>
      <c r="F2910" s="47">
        <v>251.080639534883</v>
      </c>
      <c r="G2910" s="48">
        <v>0.0348837209302325</v>
      </c>
      <c r="H2910" s="24" t="s">
        <v>3376</v>
      </c>
      <c r="I2910" s="47"/>
      <c r="J2910" s="24">
        <v>0.0</v>
      </c>
    </row>
    <row r="2911">
      <c r="A2911" s="24">
        <v>140.0</v>
      </c>
      <c r="B2911" s="24">
        <v>3.0</v>
      </c>
      <c r="C2911" s="47">
        <v>60.471797</v>
      </c>
      <c r="D2911" s="35">
        <v>45933.0</v>
      </c>
      <c r="E2911" s="47">
        <v>20.1572656666666</v>
      </c>
      <c r="F2911" s="47">
        <v>431.941407142857</v>
      </c>
      <c r="G2911" s="48">
        <v>0.0214285714285714</v>
      </c>
      <c r="H2911" s="24" t="s">
        <v>3376</v>
      </c>
      <c r="I2911" s="47"/>
      <c r="J2911" s="24">
        <v>0.0</v>
      </c>
    </row>
    <row r="2912">
      <c r="A2912" s="24">
        <v>34.0</v>
      </c>
      <c r="B2912" s="24">
        <v>3.0</v>
      </c>
      <c r="C2912" s="47">
        <v>57.98</v>
      </c>
      <c r="D2912" s="35">
        <v>45934.0</v>
      </c>
      <c r="E2912" s="47">
        <v>19.3266666666666</v>
      </c>
      <c r="F2912" s="47">
        <v>1705.29411764705</v>
      </c>
      <c r="G2912" s="48">
        <v>0.088235294117647</v>
      </c>
      <c r="H2912" s="24" t="s">
        <v>3376</v>
      </c>
      <c r="I2912" s="47"/>
      <c r="J2912" s="24">
        <v>0.0</v>
      </c>
    </row>
    <row r="2913">
      <c r="A2913" s="24">
        <v>30.0</v>
      </c>
      <c r="B2913" s="24">
        <v>1.0</v>
      </c>
      <c r="C2913" s="47">
        <v>13.94</v>
      </c>
      <c r="D2913" s="35">
        <v>45935.0</v>
      </c>
      <c r="E2913" s="47">
        <v>13.94</v>
      </c>
      <c r="F2913" s="47">
        <v>464.666666666666</v>
      </c>
      <c r="G2913" s="48">
        <v>0.0333333333333333</v>
      </c>
      <c r="H2913" s="24" t="s">
        <v>3376</v>
      </c>
      <c r="I2913" s="47"/>
      <c r="J2913" s="24">
        <v>0.0</v>
      </c>
    </row>
    <row r="2914">
      <c r="A2914" s="24">
        <v>68.0</v>
      </c>
      <c r="B2914" s="24">
        <v>1.0</v>
      </c>
      <c r="C2914" s="47">
        <v>9.09</v>
      </c>
      <c r="D2914" s="35">
        <v>45936.0</v>
      </c>
      <c r="E2914" s="47">
        <v>9.09</v>
      </c>
      <c r="F2914" s="47">
        <v>133.676470588235</v>
      </c>
      <c r="G2914" s="48">
        <v>0.0147058823529411</v>
      </c>
      <c r="H2914" s="24" t="s">
        <v>3376</v>
      </c>
      <c r="I2914" s="47"/>
      <c r="J2914" s="24">
        <v>0.0</v>
      </c>
    </row>
    <row r="2915">
      <c r="A2915" s="24">
        <v>89.0</v>
      </c>
      <c r="B2915" s="24">
        <v>5.0</v>
      </c>
      <c r="C2915" s="47">
        <v>42.8</v>
      </c>
      <c r="D2915" s="35">
        <v>45937.0</v>
      </c>
      <c r="E2915" s="47">
        <v>8.56</v>
      </c>
      <c r="F2915" s="47">
        <v>480.898876404494</v>
      </c>
      <c r="G2915" s="48">
        <v>0.0561797752808988</v>
      </c>
      <c r="H2915" s="24" t="s">
        <v>3376</v>
      </c>
      <c r="I2915" s="47"/>
      <c r="J2915" s="24">
        <v>0.0</v>
      </c>
    </row>
    <row r="2916">
      <c r="A2916" s="24">
        <v>64.0</v>
      </c>
      <c r="B2916" s="24">
        <v>5.0</v>
      </c>
      <c r="C2916" s="47">
        <v>99.67</v>
      </c>
      <c r="D2916" s="35">
        <v>45938.0</v>
      </c>
      <c r="E2916" s="47">
        <v>19.934</v>
      </c>
      <c r="F2916" s="47">
        <v>1557.34375</v>
      </c>
      <c r="G2916" s="48">
        <v>0.078125</v>
      </c>
      <c r="H2916" s="24" t="s">
        <v>3376</v>
      </c>
      <c r="I2916" s="47">
        <v>49.835</v>
      </c>
      <c r="J2916" s="24">
        <v>2.0</v>
      </c>
    </row>
    <row r="2917">
      <c r="A2917" s="24">
        <v>82.0</v>
      </c>
      <c r="B2917" s="24">
        <v>1.0</v>
      </c>
      <c r="C2917" s="47">
        <v>27.92</v>
      </c>
      <c r="D2917" s="35">
        <v>45939.0</v>
      </c>
      <c r="E2917" s="47">
        <v>27.92</v>
      </c>
      <c r="F2917" s="47">
        <v>340.487804878048</v>
      </c>
      <c r="G2917" s="48">
        <v>0.0121951219512195</v>
      </c>
      <c r="H2917" s="24" t="s">
        <v>3376</v>
      </c>
      <c r="I2917" s="47"/>
      <c r="J2917" s="24">
        <v>0.0</v>
      </c>
    </row>
    <row r="2918">
      <c r="A2918" s="24">
        <v>59.0</v>
      </c>
      <c r="B2918" s="24">
        <v>1.0</v>
      </c>
      <c r="C2918" s="47">
        <v>27.02</v>
      </c>
      <c r="D2918" s="35">
        <v>45940.0</v>
      </c>
      <c r="E2918" s="47">
        <v>27.02</v>
      </c>
      <c r="F2918" s="47">
        <v>457.966101694915</v>
      </c>
      <c r="G2918" s="48">
        <v>0.0169491525423728</v>
      </c>
      <c r="H2918" s="24" t="s">
        <v>3376</v>
      </c>
      <c r="I2918" s="47"/>
      <c r="J2918" s="24">
        <v>0.0</v>
      </c>
    </row>
    <row r="2919">
      <c r="A2919" s="24">
        <v>38.0</v>
      </c>
      <c r="B2919" s="24">
        <v>3.0</v>
      </c>
      <c r="C2919" s="47">
        <v>75.18</v>
      </c>
      <c r="D2919" s="35">
        <v>45941.0</v>
      </c>
      <c r="E2919" s="47">
        <v>25.06</v>
      </c>
      <c r="F2919" s="47">
        <v>1978.42105263157</v>
      </c>
      <c r="G2919" s="48">
        <v>0.0789473684210526</v>
      </c>
      <c r="H2919" s="24" t="s">
        <v>3376</v>
      </c>
      <c r="I2919" s="47">
        <v>75.18</v>
      </c>
      <c r="J2919" s="24">
        <v>1.0</v>
      </c>
    </row>
    <row r="2920">
      <c r="A2920" s="24">
        <v>51.0</v>
      </c>
      <c r="B2920" s="24">
        <v>2.0</v>
      </c>
      <c r="C2920" s="47">
        <v>79.66</v>
      </c>
      <c r="D2920" s="35">
        <v>45942.0</v>
      </c>
      <c r="E2920" s="47">
        <v>39.83</v>
      </c>
      <c r="F2920" s="47">
        <v>1561.96078431372</v>
      </c>
      <c r="G2920" s="48">
        <v>0.0392156862745098</v>
      </c>
      <c r="H2920" s="24" t="s">
        <v>3376</v>
      </c>
      <c r="I2920" s="47"/>
      <c r="J2920" s="24">
        <v>0.0</v>
      </c>
    </row>
    <row r="2921">
      <c r="A2921" s="24">
        <v>72.0</v>
      </c>
      <c r="B2921" s="24">
        <v>2.0</v>
      </c>
      <c r="C2921" s="47">
        <v>98.31</v>
      </c>
      <c r="D2921" s="35">
        <v>45943.0</v>
      </c>
      <c r="E2921" s="47">
        <v>49.155</v>
      </c>
      <c r="F2921" s="47">
        <v>1365.41666666666</v>
      </c>
      <c r="G2921" s="48">
        <v>0.0277777777777777</v>
      </c>
      <c r="H2921" s="24" t="s">
        <v>3376</v>
      </c>
      <c r="I2921" s="47"/>
      <c r="J2921" s="24">
        <v>0.0</v>
      </c>
    </row>
    <row r="2922">
      <c r="A2922" s="24">
        <v>15.0</v>
      </c>
      <c r="B2922" s="24">
        <v>2.0</v>
      </c>
      <c r="C2922" s="47">
        <v>96.929872</v>
      </c>
      <c r="D2922" s="35">
        <v>45944.0</v>
      </c>
      <c r="E2922" s="47">
        <v>48.464936</v>
      </c>
      <c r="F2922" s="47">
        <v>6461.99146666666</v>
      </c>
      <c r="G2922" s="48">
        <v>0.133333333333333</v>
      </c>
      <c r="H2922" s="24" t="s">
        <v>3376</v>
      </c>
      <c r="I2922" s="47"/>
      <c r="J2922" s="24">
        <v>0.0</v>
      </c>
    </row>
    <row r="2923">
      <c r="A2923" s="24">
        <v>84.0</v>
      </c>
      <c r="B2923" s="24">
        <v>3.0</v>
      </c>
      <c r="C2923" s="47">
        <v>74.982997</v>
      </c>
      <c r="D2923" s="35">
        <v>45945.0</v>
      </c>
      <c r="E2923" s="47">
        <v>24.9943323333333</v>
      </c>
      <c r="F2923" s="47">
        <v>892.654726190476</v>
      </c>
      <c r="G2923" s="48">
        <v>0.0357142857142857</v>
      </c>
      <c r="H2923" s="24" t="s">
        <v>3376</v>
      </c>
      <c r="I2923" s="47"/>
      <c r="J2923" s="24">
        <v>0.0</v>
      </c>
    </row>
    <row r="2924">
      <c r="A2924" s="24">
        <v>23.0</v>
      </c>
      <c r="B2924" s="24">
        <v>2.0</v>
      </c>
      <c r="C2924" s="47">
        <v>56.81</v>
      </c>
      <c r="D2924" s="35">
        <v>45946.0</v>
      </c>
      <c r="E2924" s="47">
        <v>28.405</v>
      </c>
      <c r="F2924" s="47">
        <v>2470.0</v>
      </c>
      <c r="G2924" s="48">
        <v>0.0869565217391304</v>
      </c>
      <c r="H2924" s="24" t="s">
        <v>3376</v>
      </c>
      <c r="I2924" s="47"/>
      <c r="J2924" s="24">
        <v>0.0</v>
      </c>
    </row>
    <row r="2925">
      <c r="A2925" s="24">
        <v>31.0</v>
      </c>
      <c r="B2925" s="24">
        <v>1.0</v>
      </c>
      <c r="C2925" s="47">
        <v>47.25</v>
      </c>
      <c r="D2925" s="35">
        <v>45947.0</v>
      </c>
      <c r="E2925" s="47">
        <v>47.25</v>
      </c>
      <c r="F2925" s="47">
        <v>1524.19354838709</v>
      </c>
      <c r="G2925" s="48">
        <v>0.032258064516129</v>
      </c>
      <c r="H2925" s="24" t="s">
        <v>3376</v>
      </c>
      <c r="I2925" s="47"/>
      <c r="J2925" s="24">
        <v>0.0</v>
      </c>
    </row>
    <row r="2926">
      <c r="A2926" s="24">
        <v>4.0</v>
      </c>
      <c r="B2926" s="24">
        <v>1.0</v>
      </c>
      <c r="C2926" s="47">
        <v>119.8</v>
      </c>
      <c r="D2926" s="35">
        <v>45948.0</v>
      </c>
      <c r="E2926" s="47">
        <v>119.8</v>
      </c>
      <c r="F2926" s="47">
        <v>29950.0</v>
      </c>
      <c r="G2926" s="48">
        <v>0.25</v>
      </c>
      <c r="H2926" s="24" t="s">
        <v>3376</v>
      </c>
      <c r="I2926" s="47"/>
      <c r="J2926" s="24">
        <v>0.0</v>
      </c>
    </row>
    <row r="2927">
      <c r="A2927" s="24">
        <v>14.0</v>
      </c>
      <c r="B2927" s="24">
        <v>2.0</v>
      </c>
      <c r="C2927" s="47">
        <v>88.55</v>
      </c>
      <c r="D2927" s="35">
        <v>45949.0</v>
      </c>
      <c r="E2927" s="47">
        <v>44.275</v>
      </c>
      <c r="F2927" s="47">
        <v>6325.0</v>
      </c>
      <c r="G2927" s="48">
        <v>0.142857142857142</v>
      </c>
      <c r="H2927" s="24" t="s">
        <v>3376</v>
      </c>
      <c r="I2927" s="47"/>
      <c r="J2927" s="24">
        <v>0.0</v>
      </c>
    </row>
    <row r="2928">
      <c r="A2928" s="24">
        <v>71.0</v>
      </c>
      <c r="B2928" s="24">
        <v>4.0</v>
      </c>
      <c r="C2928" s="47">
        <v>93.66</v>
      </c>
      <c r="D2928" s="35">
        <v>45950.0</v>
      </c>
      <c r="E2928" s="47">
        <v>23.415</v>
      </c>
      <c r="F2928" s="47">
        <v>1319.15492957746</v>
      </c>
      <c r="G2928" s="48">
        <v>0.056338028169014</v>
      </c>
      <c r="H2928" s="24" t="s">
        <v>3376</v>
      </c>
      <c r="I2928" s="47"/>
      <c r="J2928" s="24">
        <v>0.0</v>
      </c>
    </row>
    <row r="2929">
      <c r="A2929" s="24">
        <v>9.0</v>
      </c>
      <c r="B2929" s="24">
        <v>1.0</v>
      </c>
      <c r="C2929" s="47">
        <v>84.55</v>
      </c>
      <c r="D2929" s="35">
        <v>45951.0</v>
      </c>
      <c r="E2929" s="47">
        <v>84.55</v>
      </c>
      <c r="F2929" s="47">
        <v>9394.44444444444</v>
      </c>
      <c r="G2929" s="48">
        <v>0.111111111111111</v>
      </c>
      <c r="H2929" s="24" t="s">
        <v>3376</v>
      </c>
      <c r="I2929" s="47"/>
      <c r="J2929" s="24">
        <v>0.0</v>
      </c>
    </row>
    <row r="2930">
      <c r="A2930" s="24">
        <v>8.0</v>
      </c>
      <c r="B2930" s="24">
        <v>3.0</v>
      </c>
      <c r="C2930" s="47">
        <v>92.83</v>
      </c>
      <c r="D2930" s="35">
        <v>45952.0</v>
      </c>
      <c r="E2930" s="47">
        <v>30.9433333333333</v>
      </c>
      <c r="F2930" s="47">
        <v>11603.75</v>
      </c>
      <c r="G2930" s="48">
        <v>0.375</v>
      </c>
      <c r="H2930" s="24" t="s">
        <v>3376</v>
      </c>
      <c r="I2930" s="47"/>
      <c r="J2930" s="24">
        <v>0.0</v>
      </c>
    </row>
    <row r="2931">
      <c r="A2931" s="24">
        <v>127.0</v>
      </c>
      <c r="B2931" s="24">
        <v>4.0</v>
      </c>
      <c r="C2931" s="47">
        <v>80.88</v>
      </c>
      <c r="D2931" s="35">
        <v>45953.0</v>
      </c>
      <c r="E2931" s="47">
        <v>20.22</v>
      </c>
      <c r="F2931" s="47">
        <v>636.850393700787</v>
      </c>
      <c r="G2931" s="48">
        <v>0.0314960629921259</v>
      </c>
      <c r="H2931" s="24" t="s">
        <v>3376</v>
      </c>
      <c r="I2931" s="47"/>
      <c r="J2931" s="24">
        <v>0.0</v>
      </c>
    </row>
    <row r="2932">
      <c r="A2932" s="24">
        <v>84.0</v>
      </c>
      <c r="B2932" s="24">
        <v>3.0</v>
      </c>
      <c r="C2932" s="47">
        <v>65.020217</v>
      </c>
      <c r="D2932" s="35">
        <v>45954.0</v>
      </c>
      <c r="E2932" s="47">
        <v>21.6734056666666</v>
      </c>
      <c r="F2932" s="47">
        <v>774.050202380952</v>
      </c>
      <c r="G2932" s="48">
        <v>0.0357142857142857</v>
      </c>
      <c r="H2932" s="24" t="s">
        <v>3376</v>
      </c>
      <c r="I2932" s="47"/>
      <c r="J2932" s="24">
        <v>0.0</v>
      </c>
    </row>
    <row r="2933">
      <c r="A2933" s="24">
        <v>21.0</v>
      </c>
      <c r="B2933" s="24">
        <v>0.0</v>
      </c>
      <c r="C2933" s="47">
        <v>0.0</v>
      </c>
      <c r="D2933" s="35">
        <v>45955.0</v>
      </c>
      <c r="E2933" s="47"/>
      <c r="F2933" s="47">
        <v>0.0</v>
      </c>
      <c r="G2933" s="48">
        <v>0.0</v>
      </c>
      <c r="H2933" s="24" t="s">
        <v>3376</v>
      </c>
      <c r="I2933" s="47"/>
      <c r="J2933" s="24">
        <v>0.0</v>
      </c>
    </row>
    <row r="2934">
      <c r="A2934" s="24">
        <v>5.0</v>
      </c>
      <c r="B2934" s="24">
        <v>2.0</v>
      </c>
      <c r="C2934" s="47">
        <v>85.65</v>
      </c>
      <c r="D2934" s="35">
        <v>45956.0</v>
      </c>
      <c r="E2934" s="47">
        <v>42.825</v>
      </c>
      <c r="F2934" s="47">
        <v>17130.0</v>
      </c>
      <c r="G2934" s="48">
        <v>0.4</v>
      </c>
      <c r="H2934" s="24" t="s">
        <v>3376</v>
      </c>
      <c r="I2934" s="47"/>
      <c r="J2934" s="24">
        <v>0.0</v>
      </c>
    </row>
    <row r="2935">
      <c r="A2935" s="24">
        <v>1.0</v>
      </c>
      <c r="B2935" s="24">
        <v>0.0</v>
      </c>
      <c r="C2935" s="47">
        <v>0.0</v>
      </c>
      <c r="D2935" s="35">
        <v>45957.0</v>
      </c>
      <c r="E2935" s="47"/>
      <c r="F2935" s="47">
        <v>0.0</v>
      </c>
      <c r="G2935" s="48">
        <v>0.0</v>
      </c>
      <c r="H2935" s="24" t="s">
        <v>3376</v>
      </c>
      <c r="I2935" s="47"/>
      <c r="J2935" s="24">
        <v>0.0</v>
      </c>
    </row>
    <row r="2936">
      <c r="A2936" s="24">
        <v>4.0</v>
      </c>
      <c r="B2936" s="24">
        <v>0.0</v>
      </c>
      <c r="C2936" s="47">
        <v>0.0</v>
      </c>
      <c r="D2936" s="35">
        <v>45974.0</v>
      </c>
      <c r="E2936" s="47"/>
      <c r="F2936" s="47">
        <v>0.0</v>
      </c>
      <c r="G2936" s="48">
        <v>0.0</v>
      </c>
      <c r="H2936" s="24" t="s">
        <v>3376</v>
      </c>
      <c r="I2936" s="47"/>
      <c r="J2936" s="24">
        <v>0.0</v>
      </c>
    </row>
    <row r="2937">
      <c r="A2937" s="24">
        <v>124.0</v>
      </c>
      <c r="B2937" s="24">
        <v>3.0</v>
      </c>
      <c r="C2937" s="47">
        <v>26.62</v>
      </c>
      <c r="D2937" s="35">
        <v>45975.0</v>
      </c>
      <c r="E2937" s="47">
        <v>8.87333333333333</v>
      </c>
      <c r="F2937" s="47">
        <v>214.677419354838</v>
      </c>
      <c r="G2937" s="48">
        <v>0.0241935483870967</v>
      </c>
      <c r="H2937" s="24" t="s">
        <v>3376</v>
      </c>
      <c r="I2937" s="47"/>
      <c r="J2937" s="24">
        <v>0.0</v>
      </c>
    </row>
    <row r="2938">
      <c r="A2938" s="24">
        <v>38.0</v>
      </c>
      <c r="B2938" s="24">
        <v>3.0</v>
      </c>
      <c r="C2938" s="47">
        <v>43.612353</v>
      </c>
      <c r="D2938" s="35">
        <v>45976.0</v>
      </c>
      <c r="E2938" s="47">
        <v>14.537451</v>
      </c>
      <c r="F2938" s="47">
        <v>1147.6935</v>
      </c>
      <c r="G2938" s="48">
        <v>0.0789473684210526</v>
      </c>
      <c r="H2938" s="24" t="s">
        <v>3376</v>
      </c>
      <c r="I2938" s="47"/>
      <c r="J2938" s="24">
        <v>0.0</v>
      </c>
    </row>
    <row r="2939">
      <c r="A2939" s="24">
        <v>56.0</v>
      </c>
      <c r="B2939" s="24">
        <v>3.0</v>
      </c>
      <c r="C2939" s="47">
        <v>57.73</v>
      </c>
      <c r="D2939" s="35">
        <v>45977.0</v>
      </c>
      <c r="E2939" s="47">
        <v>19.2433333333333</v>
      </c>
      <c r="F2939" s="47">
        <v>1030.89285714285</v>
      </c>
      <c r="G2939" s="48">
        <v>0.0535714285714285</v>
      </c>
      <c r="H2939" s="24" t="s">
        <v>3376</v>
      </c>
      <c r="I2939" s="47"/>
      <c r="J2939" s="24">
        <v>0.0</v>
      </c>
    </row>
    <row r="2940">
      <c r="A2940" s="24">
        <v>219.0</v>
      </c>
      <c r="B2940" s="24">
        <v>4.0</v>
      </c>
      <c r="C2940" s="47">
        <v>77.56</v>
      </c>
      <c r="D2940" s="35">
        <v>45978.0</v>
      </c>
      <c r="E2940" s="47">
        <v>19.39</v>
      </c>
      <c r="F2940" s="47">
        <v>354.155251141552</v>
      </c>
      <c r="G2940" s="48">
        <v>0.0182648401826484</v>
      </c>
      <c r="H2940" s="24" t="s">
        <v>3376</v>
      </c>
      <c r="I2940" s="47"/>
      <c r="J2940" s="24">
        <v>0.0</v>
      </c>
    </row>
    <row r="2941">
      <c r="A2941" s="24">
        <v>234.0</v>
      </c>
      <c r="B2941" s="24">
        <v>2.0</v>
      </c>
      <c r="C2941" s="47">
        <v>37.89</v>
      </c>
      <c r="D2941" s="35">
        <v>45979.0</v>
      </c>
      <c r="E2941" s="47">
        <v>18.945</v>
      </c>
      <c r="F2941" s="47">
        <v>161.923076923076</v>
      </c>
      <c r="G2941" s="48">
        <v>0.00854700854700854</v>
      </c>
      <c r="H2941" s="24" t="s">
        <v>3376</v>
      </c>
      <c r="I2941" s="47"/>
      <c r="J2941" s="24">
        <v>0.0</v>
      </c>
    </row>
    <row r="2942">
      <c r="A2942" s="24">
        <v>203.0</v>
      </c>
      <c r="B2942" s="24">
        <v>2.0</v>
      </c>
      <c r="C2942" s="47">
        <v>38.215547</v>
      </c>
      <c r="D2942" s="35">
        <v>45980.0</v>
      </c>
      <c r="E2942" s="47">
        <v>19.1077735</v>
      </c>
      <c r="F2942" s="47">
        <v>188.253926108374</v>
      </c>
      <c r="G2942" s="48">
        <v>0.00985221674876847</v>
      </c>
      <c r="H2942" s="24" t="s">
        <v>3376</v>
      </c>
      <c r="I2942" s="47"/>
      <c r="J2942" s="24">
        <v>0.0</v>
      </c>
    </row>
    <row r="2943">
      <c r="A2943" s="24">
        <v>236.0</v>
      </c>
      <c r="B2943" s="24">
        <v>2.0</v>
      </c>
      <c r="C2943" s="47">
        <v>39.14</v>
      </c>
      <c r="D2943" s="35">
        <v>45981.0</v>
      </c>
      <c r="E2943" s="47">
        <v>19.57</v>
      </c>
      <c r="F2943" s="47">
        <v>165.847457627118</v>
      </c>
      <c r="G2943" s="48">
        <v>0.00847457627118644</v>
      </c>
      <c r="H2943" s="24" t="s">
        <v>3376</v>
      </c>
      <c r="I2943" s="47"/>
      <c r="J2943" s="24">
        <v>0.0</v>
      </c>
    </row>
    <row r="2944">
      <c r="A2944" s="24">
        <v>205.0</v>
      </c>
      <c r="B2944" s="24">
        <v>9.0</v>
      </c>
      <c r="C2944" s="47">
        <v>163.55</v>
      </c>
      <c r="D2944" s="35">
        <v>45982.0</v>
      </c>
      <c r="E2944" s="47">
        <v>18.1722222222222</v>
      </c>
      <c r="F2944" s="47">
        <v>797.80487804878</v>
      </c>
      <c r="G2944" s="48">
        <v>0.0439024390243902</v>
      </c>
      <c r="H2944" s="24" t="s">
        <v>3376</v>
      </c>
      <c r="I2944" s="47"/>
      <c r="J2944" s="24">
        <v>0.0</v>
      </c>
    </row>
    <row r="2945">
      <c r="A2945" s="24">
        <v>35.0</v>
      </c>
      <c r="B2945" s="24">
        <v>2.0</v>
      </c>
      <c r="C2945" s="47">
        <v>26.843706</v>
      </c>
      <c r="D2945" s="35">
        <v>45983.0</v>
      </c>
      <c r="E2945" s="47">
        <v>13.421853</v>
      </c>
      <c r="F2945" s="47">
        <v>766.963028571428</v>
      </c>
      <c r="G2945" s="48">
        <v>0.0571428571428571</v>
      </c>
      <c r="H2945" s="24" t="s">
        <v>3376</v>
      </c>
      <c r="I2945" s="47"/>
      <c r="J2945" s="24">
        <v>0.0</v>
      </c>
    </row>
    <row r="2946">
      <c r="A2946" s="24">
        <v>62.0</v>
      </c>
      <c r="B2946" s="24">
        <v>1.0</v>
      </c>
      <c r="C2946" s="47">
        <v>19.8</v>
      </c>
      <c r="D2946" s="35">
        <v>45984.0</v>
      </c>
      <c r="E2946" s="47">
        <v>19.8</v>
      </c>
      <c r="F2946" s="47">
        <v>319.354838709677</v>
      </c>
      <c r="G2946" s="48">
        <v>0.0161290322580645</v>
      </c>
      <c r="H2946" s="24" t="s">
        <v>3376</v>
      </c>
      <c r="I2946" s="47"/>
      <c r="J2946" s="24">
        <v>0.0</v>
      </c>
    </row>
    <row r="2947">
      <c r="A2947" s="24">
        <v>203.0</v>
      </c>
      <c r="B2947" s="24">
        <v>4.0</v>
      </c>
      <c r="C2947" s="47">
        <v>78.29</v>
      </c>
      <c r="D2947" s="35">
        <v>45985.0</v>
      </c>
      <c r="E2947" s="47">
        <v>19.5725</v>
      </c>
      <c r="F2947" s="47">
        <v>385.665024630541</v>
      </c>
      <c r="G2947" s="48">
        <v>0.0197044334975369</v>
      </c>
      <c r="H2947" s="24" t="s">
        <v>3376</v>
      </c>
      <c r="I2947" s="47"/>
      <c r="J2947" s="24">
        <v>0.0</v>
      </c>
    </row>
    <row r="2948">
      <c r="A2948" s="24">
        <v>142.0</v>
      </c>
      <c r="B2948" s="24">
        <v>8.0</v>
      </c>
      <c r="C2948" s="47">
        <v>149.84</v>
      </c>
      <c r="D2948" s="35">
        <v>45986.0</v>
      </c>
      <c r="E2948" s="47">
        <v>18.73</v>
      </c>
      <c r="F2948" s="47">
        <v>1055.21126760563</v>
      </c>
      <c r="G2948" s="48">
        <v>0.056338028169014</v>
      </c>
      <c r="H2948" s="24" t="s">
        <v>3376</v>
      </c>
      <c r="I2948" s="47">
        <v>149.84</v>
      </c>
      <c r="J2948" s="24">
        <v>1.0</v>
      </c>
    </row>
    <row r="2949">
      <c r="A2949" s="24">
        <v>101.0</v>
      </c>
      <c r="B2949" s="24">
        <v>1.0</v>
      </c>
      <c r="C2949" s="47">
        <v>19.69</v>
      </c>
      <c r="D2949" s="35">
        <v>45987.0</v>
      </c>
      <c r="E2949" s="47">
        <v>19.69</v>
      </c>
      <c r="F2949" s="47">
        <v>194.950495049504</v>
      </c>
      <c r="G2949" s="48">
        <v>0.0099009900990099</v>
      </c>
      <c r="H2949" s="24" t="s">
        <v>3376</v>
      </c>
      <c r="I2949" s="47"/>
      <c r="J2949" s="24">
        <v>0.0</v>
      </c>
    </row>
    <row r="2950">
      <c r="A2950" s="24">
        <v>29.0</v>
      </c>
      <c r="B2950" s="24">
        <v>1.0</v>
      </c>
      <c r="C2950" s="47">
        <v>19.49</v>
      </c>
      <c r="D2950" s="35">
        <v>45988.0</v>
      </c>
      <c r="E2950" s="47">
        <v>19.49</v>
      </c>
      <c r="F2950" s="47">
        <v>672.068965517241</v>
      </c>
      <c r="G2950" s="48">
        <v>0.0344827586206896</v>
      </c>
      <c r="H2950" s="24" t="s">
        <v>3376</v>
      </c>
      <c r="I2950" s="47"/>
      <c r="J2950" s="24">
        <v>0.0</v>
      </c>
    </row>
    <row r="2951">
      <c r="A2951" s="24">
        <v>43.0</v>
      </c>
      <c r="B2951" s="24">
        <v>2.0</v>
      </c>
      <c r="C2951" s="47">
        <v>38.126099</v>
      </c>
      <c r="D2951" s="35">
        <v>45989.0</v>
      </c>
      <c r="E2951" s="47">
        <v>19.0630495</v>
      </c>
      <c r="F2951" s="47">
        <v>886.653465116279</v>
      </c>
      <c r="G2951" s="48">
        <v>0.0465116279069767</v>
      </c>
      <c r="H2951" s="24" t="s">
        <v>3376</v>
      </c>
      <c r="I2951" s="47"/>
      <c r="J2951" s="24">
        <v>0.0</v>
      </c>
    </row>
    <row r="2952">
      <c r="A2952" s="24">
        <v>41.0</v>
      </c>
      <c r="B2952" s="24">
        <v>1.0</v>
      </c>
      <c r="C2952" s="47">
        <v>19.62</v>
      </c>
      <c r="D2952" s="35">
        <v>45990.0</v>
      </c>
      <c r="E2952" s="47">
        <v>19.62</v>
      </c>
      <c r="F2952" s="47">
        <v>478.536585365853</v>
      </c>
      <c r="G2952" s="48">
        <v>0.024390243902439</v>
      </c>
      <c r="H2952" s="24" t="s">
        <v>3376</v>
      </c>
      <c r="I2952" s="47"/>
      <c r="J2952" s="24">
        <v>0.0</v>
      </c>
    </row>
    <row r="2953">
      <c r="A2953" s="24">
        <v>55.0</v>
      </c>
      <c r="B2953" s="24">
        <v>0.0</v>
      </c>
      <c r="C2953" s="47">
        <v>0.0</v>
      </c>
      <c r="D2953" s="35">
        <v>45991.0</v>
      </c>
      <c r="E2953" s="47"/>
      <c r="F2953" s="47">
        <v>0.0</v>
      </c>
      <c r="G2953" s="48">
        <v>0.0</v>
      </c>
      <c r="H2953" s="24" t="s">
        <v>3376</v>
      </c>
      <c r="I2953" s="47"/>
      <c r="J2953" s="24">
        <v>0.0</v>
      </c>
    </row>
    <row r="2954">
      <c r="A2954" s="24">
        <v>156.0</v>
      </c>
      <c r="B2954" s="24">
        <v>4.0</v>
      </c>
      <c r="C2954" s="47">
        <v>77.97</v>
      </c>
      <c r="D2954" s="35">
        <v>45992.0</v>
      </c>
      <c r="E2954" s="47">
        <v>19.4925</v>
      </c>
      <c r="F2954" s="47">
        <v>499.807692307692</v>
      </c>
      <c r="G2954" s="48">
        <v>0.0256410256410256</v>
      </c>
      <c r="H2954" s="24" t="s">
        <v>3376</v>
      </c>
      <c r="I2954" s="47">
        <v>77.97</v>
      </c>
      <c r="J2954" s="24">
        <v>1.0</v>
      </c>
    </row>
    <row r="2955">
      <c r="A2955" s="24">
        <v>218.0</v>
      </c>
      <c r="B2955" s="24">
        <v>5.0</v>
      </c>
      <c r="C2955" s="47">
        <v>73.24</v>
      </c>
      <c r="D2955" s="35">
        <v>45993.0</v>
      </c>
      <c r="E2955" s="47">
        <v>14.648</v>
      </c>
      <c r="F2955" s="47">
        <v>335.963302752293</v>
      </c>
      <c r="G2955" s="48">
        <v>0.0229357798165137</v>
      </c>
      <c r="H2955" s="24" t="s">
        <v>3376</v>
      </c>
      <c r="I2955" s="47"/>
      <c r="J2955" s="24">
        <v>0.0</v>
      </c>
    </row>
    <row r="2956">
      <c r="A2956" s="24">
        <v>116.0</v>
      </c>
      <c r="B2956" s="24">
        <v>5.0</v>
      </c>
      <c r="C2956" s="47">
        <v>82.940114</v>
      </c>
      <c r="D2956" s="35">
        <v>45994.0</v>
      </c>
      <c r="E2956" s="47">
        <v>16.5880228</v>
      </c>
      <c r="F2956" s="47">
        <v>715.00098275862</v>
      </c>
      <c r="G2956" s="48">
        <v>0.043103448275862</v>
      </c>
      <c r="H2956" s="24" t="s">
        <v>3376</v>
      </c>
      <c r="I2956" s="47"/>
      <c r="J2956" s="24">
        <v>0.0</v>
      </c>
    </row>
    <row r="2957">
      <c r="A2957" s="24">
        <v>207.0</v>
      </c>
      <c r="B2957" s="24">
        <v>1.0</v>
      </c>
      <c r="C2957" s="47">
        <v>13.35</v>
      </c>
      <c r="D2957" s="35">
        <v>45995.0</v>
      </c>
      <c r="E2957" s="47">
        <v>13.35</v>
      </c>
      <c r="F2957" s="47">
        <v>64.4927536231884</v>
      </c>
      <c r="G2957" s="48">
        <v>0.00483091787439613</v>
      </c>
      <c r="H2957" s="24" t="s">
        <v>3376</v>
      </c>
      <c r="I2957" s="47"/>
      <c r="J2957" s="24">
        <v>0.0</v>
      </c>
    </row>
    <row r="2958">
      <c r="A2958" s="24">
        <v>218.0</v>
      </c>
      <c r="B2958" s="24">
        <v>3.0</v>
      </c>
      <c r="C2958" s="47">
        <v>45.9</v>
      </c>
      <c r="D2958" s="35">
        <v>45996.0</v>
      </c>
      <c r="E2958" s="47">
        <v>15.3</v>
      </c>
      <c r="F2958" s="47">
        <v>210.550458715596</v>
      </c>
      <c r="G2958" s="48">
        <v>0.0137614678899082</v>
      </c>
      <c r="H2958" s="24" t="s">
        <v>3376</v>
      </c>
      <c r="I2958" s="47"/>
      <c r="J2958" s="24">
        <v>0.0</v>
      </c>
    </row>
    <row r="2959">
      <c r="A2959" s="24">
        <v>72.0</v>
      </c>
      <c r="B2959" s="24">
        <v>2.0</v>
      </c>
      <c r="C2959" s="47">
        <v>39.071321</v>
      </c>
      <c r="D2959" s="35">
        <v>45997.0</v>
      </c>
      <c r="E2959" s="47">
        <v>19.5356605</v>
      </c>
      <c r="F2959" s="47">
        <v>542.657236111111</v>
      </c>
      <c r="G2959" s="48">
        <v>0.0277777777777777</v>
      </c>
      <c r="H2959" s="24" t="s">
        <v>3376</v>
      </c>
      <c r="I2959" s="47"/>
      <c r="J2959" s="24">
        <v>0.0</v>
      </c>
    </row>
    <row r="2960">
      <c r="A2960" s="24">
        <v>53.0</v>
      </c>
      <c r="B2960" s="24">
        <v>0.0</v>
      </c>
      <c r="C2960" s="47">
        <v>0.0</v>
      </c>
      <c r="D2960" s="35">
        <v>45998.0</v>
      </c>
      <c r="E2960" s="47"/>
      <c r="F2960" s="47">
        <v>0.0</v>
      </c>
      <c r="G2960" s="48">
        <v>0.0</v>
      </c>
      <c r="H2960" s="24" t="s">
        <v>3376</v>
      </c>
      <c r="I2960" s="47"/>
      <c r="J2960" s="24">
        <v>0.0</v>
      </c>
    </row>
    <row r="2961">
      <c r="A2961" s="24">
        <v>267.0</v>
      </c>
      <c r="B2961" s="24">
        <v>5.0</v>
      </c>
      <c r="C2961" s="47">
        <v>77.823777</v>
      </c>
      <c r="D2961" s="35">
        <v>45999.0</v>
      </c>
      <c r="E2961" s="47">
        <v>15.5647554</v>
      </c>
      <c r="F2961" s="47">
        <v>291.474820224719</v>
      </c>
      <c r="G2961" s="48">
        <v>0.0187265917602996</v>
      </c>
      <c r="H2961" s="24" t="s">
        <v>3376</v>
      </c>
      <c r="I2961" s="47"/>
      <c r="J2961" s="24">
        <v>0.0</v>
      </c>
    </row>
    <row r="2962">
      <c r="A2962" s="24">
        <v>270.0</v>
      </c>
      <c r="B2962" s="24">
        <v>3.0</v>
      </c>
      <c r="C2962" s="47">
        <v>47.5</v>
      </c>
      <c r="D2962" s="35">
        <v>46000.0</v>
      </c>
      <c r="E2962" s="47">
        <v>15.8333333333333</v>
      </c>
      <c r="F2962" s="47">
        <v>175.925925925925</v>
      </c>
      <c r="G2962" s="48">
        <v>0.0111111111111111</v>
      </c>
      <c r="H2962" s="24" t="s">
        <v>3376</v>
      </c>
      <c r="I2962" s="47"/>
      <c r="J2962" s="24">
        <v>0.0</v>
      </c>
    </row>
    <row r="2963">
      <c r="A2963" s="24">
        <v>227.0</v>
      </c>
      <c r="B2963" s="24">
        <v>4.0</v>
      </c>
      <c r="C2963" s="47">
        <v>78.041863</v>
      </c>
      <c r="D2963" s="35">
        <v>46001.0</v>
      </c>
      <c r="E2963" s="47">
        <v>19.51046575</v>
      </c>
      <c r="F2963" s="47">
        <v>343.796753303964</v>
      </c>
      <c r="G2963" s="48">
        <v>0.0176211453744493</v>
      </c>
      <c r="H2963" s="24" t="s">
        <v>3376</v>
      </c>
      <c r="I2963" s="47"/>
      <c r="J2963" s="24">
        <v>0.0</v>
      </c>
    </row>
    <row r="2964">
      <c r="A2964" s="24">
        <v>191.0</v>
      </c>
      <c r="B2964" s="24">
        <v>4.0</v>
      </c>
      <c r="C2964" s="47">
        <v>76.544122</v>
      </c>
      <c r="D2964" s="35">
        <v>46002.0</v>
      </c>
      <c r="E2964" s="47">
        <v>19.1360305</v>
      </c>
      <c r="F2964" s="47">
        <v>400.754565445026</v>
      </c>
      <c r="G2964" s="48">
        <v>0.0209424083769633</v>
      </c>
      <c r="H2964" s="24" t="s">
        <v>3376</v>
      </c>
      <c r="I2964" s="47"/>
      <c r="J2964" s="24">
        <v>0.0</v>
      </c>
    </row>
    <row r="2965">
      <c r="A2965" s="24">
        <v>177.0</v>
      </c>
      <c r="B2965" s="24">
        <v>7.0</v>
      </c>
      <c r="C2965" s="47">
        <v>136.220629</v>
      </c>
      <c r="D2965" s="35">
        <v>46003.0</v>
      </c>
      <c r="E2965" s="47">
        <v>19.4600898571428</v>
      </c>
      <c r="F2965" s="47">
        <v>769.608073446327</v>
      </c>
      <c r="G2965" s="48">
        <v>0.03954802259887</v>
      </c>
      <c r="H2965" s="24" t="s">
        <v>3376</v>
      </c>
      <c r="I2965" s="47"/>
      <c r="J2965" s="24">
        <v>0.0</v>
      </c>
    </row>
    <row r="2966">
      <c r="A2966" s="24">
        <v>47.0</v>
      </c>
      <c r="B2966" s="24">
        <v>3.0</v>
      </c>
      <c r="C2966" s="47">
        <v>58.013401</v>
      </c>
      <c r="D2966" s="35">
        <v>46004.0</v>
      </c>
      <c r="E2966" s="47">
        <v>19.3378003333333</v>
      </c>
      <c r="F2966" s="47">
        <v>1234.32768085106</v>
      </c>
      <c r="G2966" s="48">
        <v>0.0638297872340425</v>
      </c>
      <c r="H2966" s="24" t="s">
        <v>3376</v>
      </c>
      <c r="I2966" s="47"/>
      <c r="J2966" s="24">
        <v>0.0</v>
      </c>
    </row>
    <row r="2967">
      <c r="A2967" s="24">
        <v>66.0</v>
      </c>
      <c r="B2967" s="24">
        <v>0.0</v>
      </c>
      <c r="C2967" s="47">
        <v>0.0</v>
      </c>
      <c r="D2967" s="35">
        <v>46005.0</v>
      </c>
      <c r="E2967" s="47"/>
      <c r="F2967" s="47">
        <v>0.0</v>
      </c>
      <c r="G2967" s="48">
        <v>0.0</v>
      </c>
      <c r="H2967" s="24" t="s">
        <v>3376</v>
      </c>
      <c r="I2967" s="47"/>
      <c r="J2967" s="24">
        <v>0.0</v>
      </c>
    </row>
    <row r="2968">
      <c r="A2968" s="24">
        <v>271.0</v>
      </c>
      <c r="B2968" s="24">
        <v>4.0</v>
      </c>
      <c r="C2968" s="47">
        <v>58.75</v>
      </c>
      <c r="D2968" s="35">
        <v>46006.0</v>
      </c>
      <c r="E2968" s="47">
        <v>14.6875</v>
      </c>
      <c r="F2968" s="47">
        <v>216.789667896678</v>
      </c>
      <c r="G2968" s="48">
        <v>0.014760147601476</v>
      </c>
      <c r="H2968" s="24" t="s">
        <v>3376</v>
      </c>
      <c r="I2968" s="47"/>
      <c r="J2968" s="24">
        <v>0.0</v>
      </c>
    </row>
    <row r="2969">
      <c r="A2969" s="24">
        <v>375.0</v>
      </c>
      <c r="B2969" s="24">
        <v>7.0</v>
      </c>
      <c r="C2969" s="47">
        <v>135.73</v>
      </c>
      <c r="D2969" s="35">
        <v>46007.0</v>
      </c>
      <c r="E2969" s="47">
        <v>19.39</v>
      </c>
      <c r="F2969" s="47">
        <v>361.946666666666</v>
      </c>
      <c r="G2969" s="48">
        <v>0.0186666666666666</v>
      </c>
      <c r="H2969" s="24" t="s">
        <v>3376</v>
      </c>
      <c r="I2969" s="47"/>
      <c r="J2969" s="24">
        <v>0.0</v>
      </c>
    </row>
    <row r="2970">
      <c r="A2970" s="24">
        <v>378.0</v>
      </c>
      <c r="B2970" s="24">
        <v>2.0</v>
      </c>
      <c r="C2970" s="47">
        <v>39.46</v>
      </c>
      <c r="D2970" s="35">
        <v>46008.0</v>
      </c>
      <c r="E2970" s="47">
        <v>19.73</v>
      </c>
      <c r="F2970" s="47">
        <v>104.391534391534</v>
      </c>
      <c r="G2970" s="48">
        <v>0.00529100529100529</v>
      </c>
      <c r="H2970" s="24" t="s">
        <v>3376</v>
      </c>
      <c r="I2970" s="47"/>
      <c r="J2970" s="24">
        <v>0.0</v>
      </c>
    </row>
    <row r="2971">
      <c r="A2971" s="24">
        <v>260.0</v>
      </c>
      <c r="B2971" s="24">
        <v>6.0</v>
      </c>
      <c r="C2971" s="47">
        <v>102.47</v>
      </c>
      <c r="D2971" s="35">
        <v>46009.0</v>
      </c>
      <c r="E2971" s="47">
        <v>17.0783333333333</v>
      </c>
      <c r="F2971" s="47">
        <v>394.115384615384</v>
      </c>
      <c r="G2971" s="48">
        <v>0.023076923076923</v>
      </c>
      <c r="H2971" s="24" t="s">
        <v>3376</v>
      </c>
      <c r="I2971" s="47"/>
      <c r="J2971" s="24">
        <v>0.0</v>
      </c>
    </row>
    <row r="2972">
      <c r="A2972" s="24">
        <v>195.0</v>
      </c>
      <c r="B2972" s="24">
        <v>1.0</v>
      </c>
      <c r="C2972" s="47">
        <v>19.263748</v>
      </c>
      <c r="D2972" s="35">
        <v>46010.0</v>
      </c>
      <c r="E2972" s="47">
        <v>19.263748</v>
      </c>
      <c r="F2972" s="47">
        <v>98.7884512820512</v>
      </c>
      <c r="G2972" s="48">
        <v>0.00512820512820512</v>
      </c>
      <c r="H2972" s="24" t="s">
        <v>3376</v>
      </c>
      <c r="I2972" s="47"/>
      <c r="J2972" s="24">
        <v>0.0</v>
      </c>
    </row>
    <row r="2973">
      <c r="A2973" s="24">
        <v>58.0</v>
      </c>
      <c r="B2973" s="24">
        <v>1.0</v>
      </c>
      <c r="C2973" s="47">
        <v>19.3</v>
      </c>
      <c r="D2973" s="35">
        <v>46011.0</v>
      </c>
      <c r="E2973" s="47">
        <v>19.3</v>
      </c>
      <c r="F2973" s="47">
        <v>332.758620689655</v>
      </c>
      <c r="G2973" s="48">
        <v>0.0172413793103448</v>
      </c>
      <c r="H2973" s="24" t="s">
        <v>3376</v>
      </c>
      <c r="I2973" s="47"/>
      <c r="J2973" s="24">
        <v>0.0</v>
      </c>
    </row>
    <row r="2974">
      <c r="A2974" s="24">
        <v>53.0</v>
      </c>
      <c r="B2974" s="24">
        <v>1.0</v>
      </c>
      <c r="C2974" s="47">
        <v>19.87</v>
      </c>
      <c r="D2974" s="35">
        <v>46012.0</v>
      </c>
      <c r="E2974" s="47">
        <v>19.87</v>
      </c>
      <c r="F2974" s="47">
        <v>374.905660377358</v>
      </c>
      <c r="G2974" s="48">
        <v>0.0188679245283018</v>
      </c>
      <c r="H2974" s="24" t="s">
        <v>3376</v>
      </c>
      <c r="I2974" s="47"/>
      <c r="J2974" s="24">
        <v>0.0</v>
      </c>
    </row>
    <row r="2975">
      <c r="A2975" s="24">
        <v>159.0</v>
      </c>
      <c r="B2975" s="24">
        <v>0.0</v>
      </c>
      <c r="C2975" s="47">
        <v>0.0</v>
      </c>
      <c r="D2975" s="35">
        <v>46013.0</v>
      </c>
      <c r="E2975" s="47"/>
      <c r="F2975" s="47">
        <v>0.0</v>
      </c>
      <c r="G2975" s="48">
        <v>0.0</v>
      </c>
      <c r="H2975" s="24" t="s">
        <v>3376</v>
      </c>
      <c r="I2975" s="47"/>
      <c r="J2975" s="24">
        <v>0.0</v>
      </c>
    </row>
    <row r="2976">
      <c r="A2976" s="24">
        <v>147.0</v>
      </c>
      <c r="B2976" s="24">
        <v>2.0</v>
      </c>
      <c r="C2976" s="47">
        <v>38.79</v>
      </c>
      <c r="D2976" s="35">
        <v>46014.0</v>
      </c>
      <c r="E2976" s="47">
        <v>19.395</v>
      </c>
      <c r="F2976" s="47">
        <v>263.877551020408</v>
      </c>
      <c r="G2976" s="48">
        <v>0.0136054421768707</v>
      </c>
      <c r="H2976" s="24" t="s">
        <v>3376</v>
      </c>
      <c r="I2976" s="47"/>
      <c r="J2976" s="24">
        <v>0.0</v>
      </c>
    </row>
    <row r="2977">
      <c r="A2977" s="24">
        <v>47.0</v>
      </c>
      <c r="B2977" s="24">
        <v>2.0</v>
      </c>
      <c r="C2977" s="47">
        <v>33.88</v>
      </c>
      <c r="D2977" s="35">
        <v>46015.0</v>
      </c>
      <c r="E2977" s="47">
        <v>16.94</v>
      </c>
      <c r="F2977" s="47">
        <v>720.851063829787</v>
      </c>
      <c r="G2977" s="48">
        <v>0.0425531914893617</v>
      </c>
      <c r="H2977" s="24" t="s">
        <v>3376</v>
      </c>
      <c r="I2977" s="47"/>
      <c r="J2977" s="24">
        <v>0.0</v>
      </c>
    </row>
    <row r="2978">
      <c r="A2978" s="24">
        <v>24.0</v>
      </c>
      <c r="B2978" s="24">
        <v>1.0</v>
      </c>
      <c r="C2978" s="47">
        <v>19.46</v>
      </c>
      <c r="D2978" s="35">
        <v>46016.0</v>
      </c>
      <c r="E2978" s="47">
        <v>19.46</v>
      </c>
      <c r="F2978" s="47">
        <v>810.833333333333</v>
      </c>
      <c r="G2978" s="48">
        <v>0.0416666666666666</v>
      </c>
      <c r="H2978" s="24" t="s">
        <v>3376</v>
      </c>
      <c r="I2978" s="47"/>
      <c r="J2978" s="24">
        <v>0.0</v>
      </c>
    </row>
    <row r="2979">
      <c r="A2979" s="24">
        <v>60.0</v>
      </c>
      <c r="B2979" s="24">
        <v>0.0</v>
      </c>
      <c r="C2979" s="47">
        <v>0.0</v>
      </c>
      <c r="D2979" s="35">
        <v>46017.0</v>
      </c>
      <c r="E2979" s="47"/>
      <c r="F2979" s="47">
        <v>0.0</v>
      </c>
      <c r="G2979" s="48">
        <v>0.0</v>
      </c>
      <c r="H2979" s="24" t="s">
        <v>3376</v>
      </c>
      <c r="I2979" s="47"/>
      <c r="J2979" s="24">
        <v>0.0</v>
      </c>
    </row>
    <row r="2980">
      <c r="A2980" s="24">
        <v>28.0</v>
      </c>
      <c r="B2980" s="24">
        <v>0.0</v>
      </c>
      <c r="C2980" s="47">
        <v>0.0</v>
      </c>
      <c r="D2980" s="35">
        <v>46018.0</v>
      </c>
      <c r="E2980" s="47"/>
      <c r="F2980" s="47">
        <v>0.0</v>
      </c>
      <c r="G2980" s="48">
        <v>0.0</v>
      </c>
      <c r="H2980" s="24" t="s">
        <v>3376</v>
      </c>
      <c r="I2980" s="47"/>
      <c r="J2980" s="24">
        <v>0.0</v>
      </c>
    </row>
    <row r="2981">
      <c r="A2981" s="24">
        <v>59.0</v>
      </c>
      <c r="B2981" s="24">
        <v>1.0</v>
      </c>
      <c r="C2981" s="47">
        <v>19.81</v>
      </c>
      <c r="D2981" s="35">
        <v>46019.0</v>
      </c>
      <c r="E2981" s="47">
        <v>19.81</v>
      </c>
      <c r="F2981" s="47">
        <v>335.762711864406</v>
      </c>
      <c r="G2981" s="48">
        <v>0.0169491525423728</v>
      </c>
      <c r="H2981" s="24" t="s">
        <v>3376</v>
      </c>
      <c r="I2981" s="47"/>
      <c r="J2981" s="24">
        <v>0.0</v>
      </c>
    </row>
    <row r="2982">
      <c r="A2982" s="24">
        <v>3.0</v>
      </c>
      <c r="B2982" s="24">
        <v>0.0</v>
      </c>
      <c r="C2982" s="47">
        <v>0.0</v>
      </c>
      <c r="D2982" s="35">
        <v>46020.0</v>
      </c>
      <c r="E2982" s="47"/>
      <c r="F2982" s="47">
        <v>0.0</v>
      </c>
      <c r="G2982" s="48">
        <v>0.0</v>
      </c>
      <c r="H2982" s="24" t="s">
        <v>3376</v>
      </c>
      <c r="I2982" s="47"/>
      <c r="J2982" s="24">
        <v>0.0</v>
      </c>
    </row>
    <row r="2983">
      <c r="A2983" s="24">
        <v>29.0</v>
      </c>
      <c r="B2983" s="24">
        <v>2.0</v>
      </c>
      <c r="C2983" s="47">
        <v>38.99</v>
      </c>
      <c r="D2983" s="35">
        <v>46030.0</v>
      </c>
      <c r="E2983" s="47">
        <v>19.495</v>
      </c>
      <c r="F2983" s="47">
        <v>1344.48275862068</v>
      </c>
      <c r="G2983" s="48">
        <v>0.0689655172413793</v>
      </c>
      <c r="H2983" s="24" t="s">
        <v>3376</v>
      </c>
      <c r="I2983" s="47"/>
      <c r="J2983" s="24">
        <v>0.0</v>
      </c>
    </row>
    <row r="2984">
      <c r="A2984" s="24">
        <v>43.0</v>
      </c>
      <c r="B2984" s="24">
        <v>1.0</v>
      </c>
      <c r="C2984" s="47">
        <v>19.9</v>
      </c>
      <c r="D2984" s="35">
        <v>46031.0</v>
      </c>
      <c r="E2984" s="47">
        <v>19.9</v>
      </c>
      <c r="F2984" s="47">
        <v>462.790697674418</v>
      </c>
      <c r="G2984" s="48">
        <v>0.0232558139534883</v>
      </c>
      <c r="H2984" s="24" t="s">
        <v>3376</v>
      </c>
      <c r="I2984" s="47"/>
      <c r="J2984" s="24">
        <v>0.0</v>
      </c>
    </row>
    <row r="2985">
      <c r="A2985" s="24">
        <v>19.0</v>
      </c>
      <c r="B2985" s="24">
        <v>2.0</v>
      </c>
      <c r="C2985" s="47">
        <v>25.91</v>
      </c>
      <c r="D2985" s="35">
        <v>46032.0</v>
      </c>
      <c r="E2985" s="47">
        <v>12.955</v>
      </c>
      <c r="F2985" s="47">
        <v>1363.68421052631</v>
      </c>
      <c r="G2985" s="48">
        <v>0.105263157894736</v>
      </c>
      <c r="H2985" s="24" t="s">
        <v>3376</v>
      </c>
      <c r="I2985" s="47"/>
      <c r="J2985" s="24">
        <v>0.0</v>
      </c>
    </row>
    <row r="2986">
      <c r="A2986" s="24">
        <v>13.0</v>
      </c>
      <c r="B2986" s="24">
        <v>0.0</v>
      </c>
      <c r="C2986" s="47">
        <v>0.0</v>
      </c>
      <c r="D2986" s="35">
        <v>46033.0</v>
      </c>
      <c r="E2986" s="47"/>
      <c r="F2986" s="47">
        <v>0.0</v>
      </c>
      <c r="G2986" s="48">
        <v>0.0</v>
      </c>
      <c r="H2986" s="24" t="s">
        <v>3376</v>
      </c>
      <c r="I2986" s="47"/>
      <c r="J2986" s="24">
        <v>0.0</v>
      </c>
    </row>
    <row r="2987">
      <c r="A2987" s="24">
        <v>31.0</v>
      </c>
      <c r="B2987" s="24">
        <v>2.0</v>
      </c>
      <c r="C2987" s="47">
        <v>39.72</v>
      </c>
      <c r="D2987" s="35">
        <v>46034.0</v>
      </c>
      <c r="E2987" s="47">
        <v>19.86</v>
      </c>
      <c r="F2987" s="47">
        <v>1281.29032258064</v>
      </c>
      <c r="G2987" s="48">
        <v>0.064516129032258</v>
      </c>
      <c r="H2987" s="24" t="s">
        <v>3376</v>
      </c>
      <c r="I2987" s="47"/>
      <c r="J2987" s="24">
        <v>0.0</v>
      </c>
    </row>
    <row r="2988">
      <c r="A2988" s="24">
        <v>39.0</v>
      </c>
      <c r="B2988" s="24">
        <v>1.0</v>
      </c>
      <c r="C2988" s="47">
        <v>19.37</v>
      </c>
      <c r="D2988" s="35">
        <v>46035.0</v>
      </c>
      <c r="E2988" s="47">
        <v>19.37</v>
      </c>
      <c r="F2988" s="47">
        <v>496.666666666666</v>
      </c>
      <c r="G2988" s="48">
        <v>0.0256410256410256</v>
      </c>
      <c r="H2988" s="24" t="s">
        <v>3376</v>
      </c>
      <c r="I2988" s="47"/>
      <c r="J2988" s="24">
        <v>0.0</v>
      </c>
    </row>
    <row r="2989">
      <c r="A2989" s="24">
        <v>37.0</v>
      </c>
      <c r="B2989" s="24">
        <v>3.0</v>
      </c>
      <c r="C2989" s="47">
        <v>58.68</v>
      </c>
      <c r="D2989" s="35">
        <v>46036.0</v>
      </c>
      <c r="E2989" s="47">
        <v>19.56</v>
      </c>
      <c r="F2989" s="47">
        <v>1585.94594594594</v>
      </c>
      <c r="G2989" s="48">
        <v>0.081081081081081</v>
      </c>
      <c r="H2989" s="24" t="s">
        <v>3376</v>
      </c>
      <c r="I2989" s="47"/>
      <c r="J2989" s="24">
        <v>0.0</v>
      </c>
    </row>
    <row r="2990">
      <c r="A2990" s="24">
        <v>33.0</v>
      </c>
      <c r="B2990" s="24">
        <v>2.0</v>
      </c>
      <c r="C2990" s="47">
        <v>38.64</v>
      </c>
      <c r="D2990" s="35">
        <v>46037.0</v>
      </c>
      <c r="E2990" s="47">
        <v>19.32</v>
      </c>
      <c r="F2990" s="47">
        <v>1170.90909090909</v>
      </c>
      <c r="G2990" s="48">
        <v>0.0606060606060606</v>
      </c>
      <c r="H2990" s="24" t="s">
        <v>3376</v>
      </c>
      <c r="I2990" s="47"/>
      <c r="J2990" s="24">
        <v>0.0</v>
      </c>
    </row>
    <row r="2991">
      <c r="A2991" s="24">
        <v>27.0</v>
      </c>
      <c r="B2991" s="24">
        <v>0.0</v>
      </c>
      <c r="C2991" s="47">
        <v>0.0</v>
      </c>
      <c r="D2991" s="35">
        <v>46038.0</v>
      </c>
      <c r="E2991" s="47"/>
      <c r="F2991" s="47">
        <v>0.0</v>
      </c>
      <c r="G2991" s="48">
        <v>0.0</v>
      </c>
      <c r="H2991" s="24" t="s">
        <v>3376</v>
      </c>
      <c r="I2991" s="47"/>
      <c r="J2991" s="24">
        <v>0.0</v>
      </c>
    </row>
    <row r="2992">
      <c r="A2992" s="24">
        <v>17.0</v>
      </c>
      <c r="B2992" s="24">
        <v>1.0</v>
      </c>
      <c r="C2992" s="47">
        <v>19.68</v>
      </c>
      <c r="D2992" s="35">
        <v>46039.0</v>
      </c>
      <c r="E2992" s="47">
        <v>19.68</v>
      </c>
      <c r="F2992" s="47">
        <v>1157.64705882352</v>
      </c>
      <c r="G2992" s="48">
        <v>0.0588235294117647</v>
      </c>
      <c r="H2992" s="24" t="s">
        <v>3376</v>
      </c>
      <c r="I2992" s="47"/>
      <c r="J2992" s="24">
        <v>0.0</v>
      </c>
    </row>
    <row r="2993">
      <c r="A2993" s="24">
        <v>15.0</v>
      </c>
      <c r="B2993" s="24">
        <v>1.0</v>
      </c>
      <c r="C2993" s="47">
        <v>19.9</v>
      </c>
      <c r="D2993" s="35">
        <v>46040.0</v>
      </c>
      <c r="E2993" s="47">
        <v>19.9</v>
      </c>
      <c r="F2993" s="47">
        <v>1326.66666666666</v>
      </c>
      <c r="G2993" s="48">
        <v>0.0666666666666666</v>
      </c>
      <c r="H2993" s="24" t="s">
        <v>3376</v>
      </c>
      <c r="I2993" s="47"/>
      <c r="J2993" s="24">
        <v>0.0</v>
      </c>
    </row>
    <row r="2994">
      <c r="A2994" s="24">
        <v>28.0</v>
      </c>
      <c r="B2994" s="24">
        <v>2.0</v>
      </c>
      <c r="C2994" s="47">
        <v>34.77</v>
      </c>
      <c r="D2994" s="35">
        <v>46041.0</v>
      </c>
      <c r="E2994" s="47">
        <v>17.385</v>
      </c>
      <c r="F2994" s="47">
        <v>1241.78571428571</v>
      </c>
      <c r="G2994" s="48">
        <v>0.0714285714285714</v>
      </c>
      <c r="H2994" s="24" t="s">
        <v>3376</v>
      </c>
      <c r="I2994" s="47"/>
      <c r="J2994" s="24">
        <v>0.0</v>
      </c>
    </row>
    <row r="2995">
      <c r="A2995" s="24">
        <v>2.0</v>
      </c>
      <c r="B2995" s="24">
        <v>0.0</v>
      </c>
      <c r="C2995" s="47">
        <v>0.0</v>
      </c>
      <c r="D2995" s="35">
        <v>46042.0</v>
      </c>
      <c r="E2995" s="47"/>
      <c r="F2995" s="47">
        <v>0.0</v>
      </c>
      <c r="G2995" s="48">
        <v>0.0</v>
      </c>
      <c r="H2995" s="24" t="s">
        <v>3376</v>
      </c>
      <c r="I2995" s="47"/>
      <c r="J2995" s="24">
        <v>0.0</v>
      </c>
    </row>
    <row r="2996">
      <c r="A2996" s="24">
        <v>2.0</v>
      </c>
      <c r="B2996" s="24">
        <v>0.0</v>
      </c>
      <c r="C2996" s="47">
        <v>0.0</v>
      </c>
      <c r="D2996" s="35">
        <v>46045.0</v>
      </c>
      <c r="E2996" s="47"/>
      <c r="F2996" s="47">
        <v>0.0</v>
      </c>
      <c r="G2996" s="48">
        <v>0.0</v>
      </c>
      <c r="H2996" s="24" t="s">
        <v>3376</v>
      </c>
      <c r="I2996" s="47"/>
      <c r="J2996" s="24">
        <v>0.0</v>
      </c>
    </row>
    <row r="2997">
      <c r="A2997" s="24">
        <v>6.0</v>
      </c>
      <c r="B2997" s="24">
        <v>0.0</v>
      </c>
      <c r="C2997" s="47">
        <v>0.0</v>
      </c>
      <c r="D2997" s="35">
        <v>46046.0</v>
      </c>
      <c r="E2997" s="47"/>
      <c r="F2997" s="47">
        <v>0.0</v>
      </c>
      <c r="G2997" s="48">
        <v>0.0</v>
      </c>
      <c r="H2997" s="24" t="s">
        <v>3376</v>
      </c>
      <c r="I2997" s="47"/>
      <c r="J2997" s="24">
        <v>0.0</v>
      </c>
    </row>
    <row r="2998">
      <c r="A2998" s="24">
        <v>5.0</v>
      </c>
      <c r="B2998" s="24">
        <v>1.0</v>
      </c>
      <c r="C2998" s="47">
        <v>19.69</v>
      </c>
      <c r="D2998" s="35">
        <v>46047.0</v>
      </c>
      <c r="E2998" s="47">
        <v>19.69</v>
      </c>
      <c r="F2998" s="47">
        <v>3938.0</v>
      </c>
      <c r="G2998" s="48">
        <v>0.2</v>
      </c>
      <c r="H2998" s="24" t="s">
        <v>3376</v>
      </c>
      <c r="I2998" s="47"/>
      <c r="J2998" s="24">
        <v>0.0</v>
      </c>
    </row>
    <row r="2999">
      <c r="A2999" s="24">
        <v>31.0</v>
      </c>
      <c r="B2999" s="24">
        <v>2.0</v>
      </c>
      <c r="C2999" s="47">
        <v>39.36</v>
      </c>
      <c r="D2999" s="35">
        <v>46048.0</v>
      </c>
      <c r="E2999" s="47">
        <v>19.68</v>
      </c>
      <c r="F2999" s="47">
        <v>1269.67741935483</v>
      </c>
      <c r="G2999" s="48">
        <v>0.064516129032258</v>
      </c>
      <c r="H2999" s="24" t="s">
        <v>3376</v>
      </c>
      <c r="I2999" s="47"/>
      <c r="J2999" s="24">
        <v>0.0</v>
      </c>
    </row>
    <row r="3000">
      <c r="A3000" s="24">
        <v>42.0</v>
      </c>
      <c r="B3000" s="24">
        <v>4.0</v>
      </c>
      <c r="C3000" s="47">
        <v>76.72</v>
      </c>
      <c r="D3000" s="35">
        <v>46049.0</v>
      </c>
      <c r="E3000" s="47">
        <v>19.18</v>
      </c>
      <c r="F3000" s="47">
        <v>1826.66666666666</v>
      </c>
      <c r="G3000" s="48">
        <v>0.0952380952380952</v>
      </c>
      <c r="H3000" s="24" t="s">
        <v>3376</v>
      </c>
      <c r="I3000" s="47"/>
      <c r="J3000" s="24">
        <v>0.0</v>
      </c>
    </row>
    <row r="3001">
      <c r="A3001" s="24">
        <v>1.0</v>
      </c>
      <c r="B3001" s="24">
        <v>1.0</v>
      </c>
      <c r="C3001" s="47">
        <v>1.99</v>
      </c>
      <c r="D3001" s="35">
        <v>45921.0</v>
      </c>
      <c r="E3001" s="47">
        <v>1.99</v>
      </c>
      <c r="F3001" s="47">
        <v>1990.0</v>
      </c>
      <c r="G3001" s="48">
        <v>1.0</v>
      </c>
      <c r="H3001" s="24" t="s">
        <v>6771</v>
      </c>
      <c r="I3001" s="47"/>
      <c r="J3001" s="24">
        <v>0.0</v>
      </c>
    </row>
    <row r="3002">
      <c r="A3002" s="24">
        <v>2.0</v>
      </c>
      <c r="B3002" s="24">
        <v>0.0</v>
      </c>
      <c r="C3002" s="47">
        <v>0.0</v>
      </c>
      <c r="D3002" s="35">
        <v>45923.0</v>
      </c>
      <c r="E3002" s="47"/>
      <c r="F3002" s="47">
        <v>0.0</v>
      </c>
      <c r="G3002" s="48">
        <v>0.0</v>
      </c>
      <c r="H3002" s="24" t="s">
        <v>6771</v>
      </c>
      <c r="I3002" s="47"/>
      <c r="J3002" s="24">
        <v>0.0</v>
      </c>
    </row>
    <row r="3003">
      <c r="A3003" s="24">
        <v>5.0</v>
      </c>
      <c r="B3003" s="24">
        <v>0.0</v>
      </c>
      <c r="C3003" s="47">
        <v>0.0</v>
      </c>
      <c r="D3003" s="35">
        <v>45924.0</v>
      </c>
      <c r="E3003" s="47"/>
      <c r="F3003" s="47">
        <v>0.0</v>
      </c>
      <c r="G3003" s="48">
        <v>0.0</v>
      </c>
      <c r="H3003" s="24" t="s">
        <v>6771</v>
      </c>
      <c r="I3003" s="47"/>
      <c r="J3003" s="24">
        <v>0.0</v>
      </c>
    </row>
    <row r="3004">
      <c r="A3004" s="24">
        <v>22.0</v>
      </c>
      <c r="B3004" s="24">
        <v>1.0</v>
      </c>
      <c r="C3004" s="47">
        <v>11.92</v>
      </c>
      <c r="D3004" s="35">
        <v>45925.0</v>
      </c>
      <c r="E3004" s="47">
        <v>11.92</v>
      </c>
      <c r="F3004" s="47">
        <v>541.818181818181</v>
      </c>
      <c r="G3004" s="48">
        <v>0.0454545454545454</v>
      </c>
      <c r="H3004" s="24" t="s">
        <v>6771</v>
      </c>
      <c r="I3004" s="47"/>
      <c r="J3004" s="24">
        <v>0.0</v>
      </c>
    </row>
    <row r="3005">
      <c r="A3005" s="24">
        <v>12.0</v>
      </c>
      <c r="B3005" s="24">
        <v>1.0</v>
      </c>
      <c r="C3005" s="47">
        <v>13.2</v>
      </c>
      <c r="D3005" s="35">
        <v>45926.0</v>
      </c>
      <c r="E3005" s="47">
        <v>13.2</v>
      </c>
      <c r="F3005" s="47">
        <v>1100.0</v>
      </c>
      <c r="G3005" s="48">
        <v>0.0833333333333333</v>
      </c>
      <c r="H3005" s="24" t="s">
        <v>6771</v>
      </c>
      <c r="I3005" s="47"/>
      <c r="J3005" s="24">
        <v>0.0</v>
      </c>
    </row>
    <row r="3006">
      <c r="A3006" s="24">
        <v>8.0</v>
      </c>
      <c r="B3006" s="24">
        <v>0.0</v>
      </c>
      <c r="C3006" s="47">
        <v>0.0</v>
      </c>
      <c r="D3006" s="35">
        <v>45927.0</v>
      </c>
      <c r="E3006" s="47"/>
      <c r="F3006" s="47">
        <v>0.0</v>
      </c>
      <c r="G3006" s="48">
        <v>0.0</v>
      </c>
      <c r="H3006" s="24" t="s">
        <v>6771</v>
      </c>
      <c r="I3006" s="47"/>
      <c r="J3006" s="24">
        <v>0.0</v>
      </c>
    </row>
    <row r="3007">
      <c r="A3007" s="24">
        <v>13.0</v>
      </c>
      <c r="B3007" s="24">
        <v>0.0</v>
      </c>
      <c r="C3007" s="47">
        <v>0.0</v>
      </c>
      <c r="D3007" s="35">
        <v>45928.0</v>
      </c>
      <c r="E3007" s="47"/>
      <c r="F3007" s="47">
        <v>0.0</v>
      </c>
      <c r="G3007" s="48">
        <v>0.0</v>
      </c>
      <c r="H3007" s="24" t="s">
        <v>6771</v>
      </c>
      <c r="I3007" s="47"/>
      <c r="J3007" s="24">
        <v>0.0</v>
      </c>
    </row>
    <row r="3008">
      <c r="A3008" s="24">
        <v>41.0</v>
      </c>
      <c r="B3008" s="24">
        <v>0.0</v>
      </c>
      <c r="C3008" s="47">
        <v>0.0</v>
      </c>
      <c r="D3008" s="35">
        <v>45929.0</v>
      </c>
      <c r="E3008" s="47"/>
      <c r="F3008" s="47">
        <v>0.0</v>
      </c>
      <c r="G3008" s="48">
        <v>0.0</v>
      </c>
      <c r="H3008" s="24" t="s">
        <v>6771</v>
      </c>
      <c r="I3008" s="47"/>
      <c r="J3008" s="24">
        <v>0.0</v>
      </c>
    </row>
    <row r="3009">
      <c r="A3009" s="24">
        <v>41.0</v>
      </c>
      <c r="B3009" s="24">
        <v>0.0</v>
      </c>
      <c r="C3009" s="47">
        <v>0.0</v>
      </c>
      <c r="D3009" s="35">
        <v>45930.0</v>
      </c>
      <c r="E3009" s="47"/>
      <c r="F3009" s="47">
        <v>0.0</v>
      </c>
      <c r="G3009" s="48">
        <v>0.0</v>
      </c>
      <c r="H3009" s="24" t="s">
        <v>6771</v>
      </c>
      <c r="I3009" s="47"/>
      <c r="J3009" s="24">
        <v>0.0</v>
      </c>
    </row>
    <row r="3010">
      <c r="A3010" s="24">
        <v>46.0</v>
      </c>
      <c r="B3010" s="24">
        <v>0.0</v>
      </c>
      <c r="C3010" s="47">
        <v>0.0</v>
      </c>
      <c r="D3010" s="35">
        <v>45931.0</v>
      </c>
      <c r="E3010" s="47"/>
      <c r="F3010" s="47">
        <v>0.0</v>
      </c>
      <c r="G3010" s="48">
        <v>0.0</v>
      </c>
      <c r="H3010" s="24" t="s">
        <v>6771</v>
      </c>
      <c r="I3010" s="47"/>
      <c r="J3010" s="24">
        <v>0.0</v>
      </c>
    </row>
    <row r="3011">
      <c r="A3011" s="24">
        <v>27.0</v>
      </c>
      <c r="B3011" s="24">
        <v>1.0</v>
      </c>
      <c r="C3011" s="47">
        <v>58.78</v>
      </c>
      <c r="D3011" s="35">
        <v>45932.0</v>
      </c>
      <c r="E3011" s="47">
        <v>58.78</v>
      </c>
      <c r="F3011" s="47">
        <v>2177.03703703703</v>
      </c>
      <c r="G3011" s="48">
        <v>0.037037037037037</v>
      </c>
      <c r="H3011" s="24" t="s">
        <v>6771</v>
      </c>
      <c r="I3011" s="47"/>
      <c r="J3011" s="24">
        <v>0.0</v>
      </c>
    </row>
    <row r="3012">
      <c r="A3012" s="24">
        <v>25.0</v>
      </c>
      <c r="B3012" s="24">
        <v>0.0</v>
      </c>
      <c r="C3012" s="47">
        <v>0.0</v>
      </c>
      <c r="D3012" s="35">
        <v>45933.0</v>
      </c>
      <c r="E3012" s="47"/>
      <c r="F3012" s="47">
        <v>0.0</v>
      </c>
      <c r="G3012" s="48">
        <v>0.0</v>
      </c>
      <c r="H3012" s="24" t="s">
        <v>6771</v>
      </c>
      <c r="I3012" s="47"/>
      <c r="J3012" s="24">
        <v>0.0</v>
      </c>
    </row>
    <row r="3013">
      <c r="A3013" s="24">
        <v>23.0</v>
      </c>
      <c r="B3013" s="24">
        <v>0.0</v>
      </c>
      <c r="C3013" s="47">
        <v>0.0</v>
      </c>
      <c r="D3013" s="35">
        <v>45934.0</v>
      </c>
      <c r="E3013" s="47"/>
      <c r="F3013" s="47">
        <v>0.0</v>
      </c>
      <c r="G3013" s="48">
        <v>0.0</v>
      </c>
      <c r="H3013" s="24" t="s">
        <v>6771</v>
      </c>
      <c r="I3013" s="47"/>
      <c r="J3013" s="24">
        <v>0.0</v>
      </c>
    </row>
    <row r="3014">
      <c r="A3014" s="24">
        <v>27.0</v>
      </c>
      <c r="B3014" s="24">
        <v>0.0</v>
      </c>
      <c r="C3014" s="47">
        <v>0.0</v>
      </c>
      <c r="D3014" s="35">
        <v>45935.0</v>
      </c>
      <c r="E3014" s="47"/>
      <c r="F3014" s="47">
        <v>0.0</v>
      </c>
      <c r="G3014" s="48">
        <v>0.0</v>
      </c>
      <c r="H3014" s="24" t="s">
        <v>6771</v>
      </c>
      <c r="I3014" s="47"/>
      <c r="J3014" s="24">
        <v>0.0</v>
      </c>
    </row>
    <row r="3015">
      <c r="A3015" s="24">
        <v>15.0</v>
      </c>
      <c r="B3015" s="24">
        <v>1.0</v>
      </c>
      <c r="C3015" s="47">
        <v>59.14</v>
      </c>
      <c r="D3015" s="35">
        <v>45936.0</v>
      </c>
      <c r="E3015" s="47">
        <v>59.14</v>
      </c>
      <c r="F3015" s="47">
        <v>3942.66666666666</v>
      </c>
      <c r="G3015" s="48">
        <v>0.0666666666666666</v>
      </c>
      <c r="H3015" s="24" t="s">
        <v>6771</v>
      </c>
      <c r="I3015" s="47"/>
      <c r="J3015" s="24">
        <v>0.0</v>
      </c>
    </row>
    <row r="3016">
      <c r="A3016" s="24">
        <v>4.0</v>
      </c>
      <c r="B3016" s="24">
        <v>1.0</v>
      </c>
      <c r="C3016" s="47">
        <v>58.58</v>
      </c>
      <c r="D3016" s="35">
        <v>45937.0</v>
      </c>
      <c r="E3016" s="47">
        <v>58.58</v>
      </c>
      <c r="F3016" s="47">
        <v>14645.0</v>
      </c>
      <c r="G3016" s="48">
        <v>0.25</v>
      </c>
      <c r="H3016" s="24" t="s">
        <v>6771</v>
      </c>
      <c r="I3016" s="47"/>
      <c r="J3016" s="24">
        <v>0.0</v>
      </c>
    </row>
    <row r="3017">
      <c r="A3017" s="24">
        <v>63.0</v>
      </c>
      <c r="B3017" s="24">
        <v>1.0</v>
      </c>
      <c r="C3017" s="47">
        <v>46.35</v>
      </c>
      <c r="D3017" s="35">
        <v>45938.0</v>
      </c>
      <c r="E3017" s="47">
        <v>46.35</v>
      </c>
      <c r="F3017" s="47">
        <v>735.714285714285</v>
      </c>
      <c r="G3017" s="48">
        <v>0.0158730158730158</v>
      </c>
      <c r="H3017" s="24" t="s">
        <v>6771</v>
      </c>
      <c r="I3017" s="47"/>
      <c r="J3017" s="24">
        <v>0.0</v>
      </c>
    </row>
    <row r="3018">
      <c r="A3018" s="24">
        <v>78.0</v>
      </c>
      <c r="B3018" s="24">
        <v>0.0</v>
      </c>
      <c r="C3018" s="47">
        <v>0.0</v>
      </c>
      <c r="D3018" s="35">
        <v>45939.0</v>
      </c>
      <c r="E3018" s="47"/>
      <c r="F3018" s="47">
        <v>0.0</v>
      </c>
      <c r="G3018" s="48">
        <v>0.0</v>
      </c>
      <c r="H3018" s="24" t="s">
        <v>6771</v>
      </c>
      <c r="I3018" s="47"/>
      <c r="J3018" s="24">
        <v>0.0</v>
      </c>
    </row>
    <row r="3019">
      <c r="A3019" s="24">
        <v>97.0</v>
      </c>
      <c r="B3019" s="24">
        <v>0.0</v>
      </c>
      <c r="C3019" s="47">
        <v>0.0</v>
      </c>
      <c r="D3019" s="35">
        <v>45940.0</v>
      </c>
      <c r="E3019" s="47"/>
      <c r="F3019" s="47">
        <v>0.0</v>
      </c>
      <c r="G3019" s="48">
        <v>0.0</v>
      </c>
      <c r="H3019" s="24" t="s">
        <v>6771</v>
      </c>
      <c r="I3019" s="47"/>
      <c r="J3019" s="24">
        <v>0.0</v>
      </c>
    </row>
    <row r="3020">
      <c r="A3020" s="24">
        <v>55.0</v>
      </c>
      <c r="B3020" s="24">
        <v>0.0</v>
      </c>
      <c r="C3020" s="47">
        <v>0.0</v>
      </c>
      <c r="D3020" s="35">
        <v>45941.0</v>
      </c>
      <c r="E3020" s="47"/>
      <c r="F3020" s="47">
        <v>0.0</v>
      </c>
      <c r="G3020" s="48">
        <v>0.0</v>
      </c>
      <c r="H3020" s="24" t="s">
        <v>6771</v>
      </c>
      <c r="I3020" s="47"/>
      <c r="J3020" s="24">
        <v>0.0</v>
      </c>
    </row>
    <row r="3021">
      <c r="A3021" s="24">
        <v>14.0</v>
      </c>
      <c r="B3021" s="24">
        <v>1.0</v>
      </c>
      <c r="C3021" s="47">
        <v>13.49</v>
      </c>
      <c r="D3021" s="35">
        <v>45942.0</v>
      </c>
      <c r="E3021" s="47">
        <v>13.49</v>
      </c>
      <c r="F3021" s="47">
        <v>963.571428571428</v>
      </c>
      <c r="G3021" s="48">
        <v>0.0714285714285714</v>
      </c>
      <c r="H3021" s="24" t="s">
        <v>6771</v>
      </c>
      <c r="I3021" s="47"/>
      <c r="J3021" s="24">
        <v>0.0</v>
      </c>
    </row>
    <row r="3022">
      <c r="A3022" s="24">
        <v>14.0</v>
      </c>
      <c r="B3022" s="24">
        <v>2.0</v>
      </c>
      <c r="C3022" s="47">
        <v>55.4</v>
      </c>
      <c r="D3022" s="35">
        <v>45943.0</v>
      </c>
      <c r="E3022" s="47">
        <v>27.7</v>
      </c>
      <c r="F3022" s="47">
        <v>3957.14285714285</v>
      </c>
      <c r="G3022" s="48">
        <v>0.142857142857142</v>
      </c>
      <c r="H3022" s="24" t="s">
        <v>6771</v>
      </c>
      <c r="I3022" s="47"/>
      <c r="J3022" s="24">
        <v>0.0</v>
      </c>
    </row>
    <row r="3023">
      <c r="A3023" s="24">
        <v>60.0</v>
      </c>
      <c r="B3023" s="24">
        <v>0.0</v>
      </c>
      <c r="C3023" s="47">
        <v>0.0</v>
      </c>
      <c r="D3023" s="35">
        <v>45944.0</v>
      </c>
      <c r="E3023" s="47"/>
      <c r="F3023" s="47">
        <v>0.0</v>
      </c>
      <c r="G3023" s="48">
        <v>0.0</v>
      </c>
      <c r="H3023" s="24" t="s">
        <v>6771</v>
      </c>
      <c r="I3023" s="47"/>
      <c r="J3023" s="24">
        <v>0.0</v>
      </c>
    </row>
    <row r="3024">
      <c r="A3024" s="24">
        <v>68.0</v>
      </c>
      <c r="B3024" s="24">
        <v>0.0</v>
      </c>
      <c r="C3024" s="47">
        <v>0.0</v>
      </c>
      <c r="D3024" s="35">
        <v>45945.0</v>
      </c>
      <c r="E3024" s="47"/>
      <c r="F3024" s="47">
        <v>0.0</v>
      </c>
      <c r="G3024" s="48">
        <v>0.0</v>
      </c>
      <c r="H3024" s="24" t="s">
        <v>6771</v>
      </c>
      <c r="I3024" s="47"/>
      <c r="J3024" s="24">
        <v>0.0</v>
      </c>
    </row>
    <row r="3025">
      <c r="A3025" s="24">
        <v>4.0</v>
      </c>
      <c r="B3025" s="24">
        <v>1.0</v>
      </c>
      <c r="C3025" s="47">
        <v>59.982417</v>
      </c>
      <c r="D3025" s="35">
        <v>45946.0</v>
      </c>
      <c r="E3025" s="47">
        <v>59.982417</v>
      </c>
      <c r="F3025" s="47">
        <v>14995.60425</v>
      </c>
      <c r="G3025" s="48">
        <v>0.25</v>
      </c>
      <c r="H3025" s="24" t="s">
        <v>6771</v>
      </c>
      <c r="I3025" s="47"/>
      <c r="J3025" s="24">
        <v>0.0</v>
      </c>
    </row>
    <row r="3026">
      <c r="A3026" s="24">
        <v>10.0</v>
      </c>
      <c r="B3026" s="24">
        <v>1.0</v>
      </c>
      <c r="C3026" s="47">
        <v>60.0</v>
      </c>
      <c r="D3026" s="35">
        <v>45947.0</v>
      </c>
      <c r="E3026" s="47">
        <v>60.0</v>
      </c>
      <c r="F3026" s="47">
        <v>6000.0</v>
      </c>
      <c r="G3026" s="48">
        <v>0.1</v>
      </c>
      <c r="H3026" s="24" t="s">
        <v>6771</v>
      </c>
      <c r="I3026" s="47"/>
      <c r="J3026" s="24">
        <v>0.0</v>
      </c>
    </row>
    <row r="3027">
      <c r="A3027" s="24">
        <v>11.0</v>
      </c>
      <c r="B3027" s="24">
        <v>0.0</v>
      </c>
      <c r="C3027" s="47">
        <v>0.0</v>
      </c>
      <c r="D3027" s="35">
        <v>45948.0</v>
      </c>
      <c r="E3027" s="47"/>
      <c r="F3027" s="47">
        <v>0.0</v>
      </c>
      <c r="G3027" s="48">
        <v>0.0</v>
      </c>
      <c r="H3027" s="24" t="s">
        <v>6771</v>
      </c>
      <c r="I3027" s="47"/>
      <c r="J3027" s="24">
        <v>0.0</v>
      </c>
    </row>
    <row r="3028">
      <c r="A3028" s="24">
        <v>19.0</v>
      </c>
      <c r="B3028" s="24">
        <v>0.0</v>
      </c>
      <c r="C3028" s="47">
        <v>0.0</v>
      </c>
      <c r="D3028" s="35">
        <v>45949.0</v>
      </c>
      <c r="E3028" s="47"/>
      <c r="F3028" s="47">
        <v>0.0</v>
      </c>
      <c r="G3028" s="48">
        <v>0.0</v>
      </c>
      <c r="H3028" s="24" t="s">
        <v>6771</v>
      </c>
      <c r="I3028" s="47"/>
      <c r="J3028" s="24">
        <v>0.0</v>
      </c>
    </row>
    <row r="3029">
      <c r="A3029" s="24">
        <v>37.0</v>
      </c>
      <c r="B3029" s="24">
        <v>1.0</v>
      </c>
      <c r="C3029" s="47">
        <v>56.79</v>
      </c>
      <c r="D3029" s="35">
        <v>45950.0</v>
      </c>
      <c r="E3029" s="47">
        <v>56.79</v>
      </c>
      <c r="F3029" s="47">
        <v>1534.86486486486</v>
      </c>
      <c r="G3029" s="48">
        <v>0.027027027027027</v>
      </c>
      <c r="H3029" s="24" t="s">
        <v>6771</v>
      </c>
      <c r="I3029" s="47"/>
      <c r="J3029" s="24">
        <v>0.0</v>
      </c>
    </row>
    <row r="3030">
      <c r="A3030" s="24">
        <v>33.0</v>
      </c>
      <c r="B3030" s="24">
        <v>1.0</v>
      </c>
      <c r="C3030" s="47">
        <v>57.21</v>
      </c>
      <c r="D3030" s="35">
        <v>45951.0</v>
      </c>
      <c r="E3030" s="47">
        <v>57.21</v>
      </c>
      <c r="F3030" s="47">
        <v>1733.63636363636</v>
      </c>
      <c r="G3030" s="48">
        <v>0.0303030303030303</v>
      </c>
      <c r="H3030" s="24" t="s">
        <v>6771</v>
      </c>
      <c r="I3030" s="47"/>
      <c r="J3030" s="24">
        <v>0.0</v>
      </c>
    </row>
    <row r="3031">
      <c r="A3031" s="24">
        <v>15.0</v>
      </c>
      <c r="B3031" s="24">
        <v>1.0</v>
      </c>
      <c r="C3031" s="47">
        <v>59.67</v>
      </c>
      <c r="D3031" s="35">
        <v>45952.0</v>
      </c>
      <c r="E3031" s="47">
        <v>59.67</v>
      </c>
      <c r="F3031" s="47">
        <v>3978.0</v>
      </c>
      <c r="G3031" s="48">
        <v>0.0666666666666666</v>
      </c>
      <c r="H3031" s="24" t="s">
        <v>6771</v>
      </c>
      <c r="I3031" s="47"/>
      <c r="J3031" s="24">
        <v>0.0</v>
      </c>
    </row>
    <row r="3032">
      <c r="A3032" s="24">
        <v>1.0</v>
      </c>
      <c r="B3032" s="24">
        <v>1.0</v>
      </c>
      <c r="C3032" s="47">
        <v>56.69</v>
      </c>
      <c r="D3032" s="35">
        <v>45953.0</v>
      </c>
      <c r="E3032" s="47">
        <v>56.69</v>
      </c>
      <c r="F3032" s="47">
        <v>56690.0</v>
      </c>
      <c r="G3032" s="48">
        <v>1.0</v>
      </c>
      <c r="H3032" s="24" t="s">
        <v>6771</v>
      </c>
      <c r="I3032" s="47"/>
      <c r="J3032" s="24">
        <v>0.0</v>
      </c>
    </row>
    <row r="3033">
      <c r="A3033" s="24">
        <v>38.0</v>
      </c>
      <c r="B3033" s="24">
        <v>0.0</v>
      </c>
      <c r="C3033" s="47">
        <v>0.0</v>
      </c>
      <c r="D3033" s="35">
        <v>45954.0</v>
      </c>
      <c r="E3033" s="47"/>
      <c r="F3033" s="47">
        <v>0.0</v>
      </c>
      <c r="G3033" s="48">
        <v>0.0</v>
      </c>
      <c r="H3033" s="24" t="s">
        <v>6771</v>
      </c>
      <c r="I3033" s="47"/>
      <c r="J3033" s="24">
        <v>0.0</v>
      </c>
    </row>
    <row r="3034">
      <c r="A3034" s="24">
        <v>14.0</v>
      </c>
      <c r="B3034" s="24">
        <v>0.0</v>
      </c>
      <c r="C3034" s="47">
        <v>0.0</v>
      </c>
      <c r="D3034" s="35">
        <v>45955.0</v>
      </c>
      <c r="E3034" s="47"/>
      <c r="F3034" s="47">
        <v>0.0</v>
      </c>
      <c r="G3034" s="48">
        <v>0.0</v>
      </c>
      <c r="H3034" s="24" t="s">
        <v>6771</v>
      </c>
      <c r="I3034" s="47"/>
      <c r="J3034" s="24">
        <v>0.0</v>
      </c>
    </row>
    <row r="3035">
      <c r="A3035" s="24">
        <v>19.0</v>
      </c>
      <c r="B3035" s="24">
        <v>0.0</v>
      </c>
      <c r="C3035" s="47">
        <v>0.0</v>
      </c>
      <c r="D3035" s="35">
        <v>45956.0</v>
      </c>
      <c r="E3035" s="47"/>
      <c r="F3035" s="47">
        <v>0.0</v>
      </c>
      <c r="G3035" s="48">
        <v>0.0</v>
      </c>
      <c r="H3035" s="24" t="s">
        <v>6771</v>
      </c>
      <c r="I3035" s="47"/>
      <c r="J3035" s="24">
        <v>0.0</v>
      </c>
    </row>
    <row r="3036">
      <c r="A3036" s="24">
        <v>46.0</v>
      </c>
      <c r="B3036" s="24">
        <v>0.0</v>
      </c>
      <c r="C3036" s="47">
        <v>0.0</v>
      </c>
      <c r="D3036" s="35">
        <v>45957.0</v>
      </c>
      <c r="E3036" s="47"/>
      <c r="F3036" s="47">
        <v>0.0</v>
      </c>
      <c r="G3036" s="48">
        <v>0.0</v>
      </c>
      <c r="H3036" s="24" t="s">
        <v>6771</v>
      </c>
      <c r="I3036" s="47"/>
      <c r="J3036" s="24">
        <v>0.0</v>
      </c>
    </row>
    <row r="3037">
      <c r="A3037" s="24">
        <v>7.0</v>
      </c>
      <c r="B3037" s="24">
        <v>1.0</v>
      </c>
      <c r="C3037" s="47">
        <v>57.65</v>
      </c>
      <c r="D3037" s="35">
        <v>45958.0</v>
      </c>
      <c r="E3037" s="47">
        <v>57.65</v>
      </c>
      <c r="F3037" s="47">
        <v>8235.71428571428</v>
      </c>
      <c r="G3037" s="48">
        <v>0.142857142857142</v>
      </c>
      <c r="H3037" s="24" t="s">
        <v>6771</v>
      </c>
      <c r="I3037" s="47"/>
      <c r="J3037" s="24">
        <v>0.0</v>
      </c>
    </row>
    <row r="3038">
      <c r="A3038" s="24">
        <v>36.0</v>
      </c>
      <c r="B3038" s="24">
        <v>0.0</v>
      </c>
      <c r="C3038" s="47">
        <v>0.0</v>
      </c>
      <c r="D3038" s="35">
        <v>45959.0</v>
      </c>
      <c r="E3038" s="47"/>
      <c r="F3038" s="47">
        <v>0.0</v>
      </c>
      <c r="G3038" s="48">
        <v>0.0</v>
      </c>
      <c r="H3038" s="24" t="s">
        <v>6771</v>
      </c>
      <c r="I3038" s="47"/>
      <c r="J3038" s="24">
        <v>0.0</v>
      </c>
    </row>
    <row r="3039">
      <c r="A3039" s="24">
        <v>19.0</v>
      </c>
      <c r="B3039" s="24">
        <v>0.0</v>
      </c>
      <c r="C3039" s="47">
        <v>0.0</v>
      </c>
      <c r="D3039" s="35">
        <v>45960.0</v>
      </c>
      <c r="E3039" s="47"/>
      <c r="F3039" s="47">
        <v>0.0</v>
      </c>
      <c r="G3039" s="48">
        <v>0.0</v>
      </c>
      <c r="H3039" s="24" t="s">
        <v>6771</v>
      </c>
      <c r="I3039" s="47"/>
      <c r="J3039" s="24">
        <v>0.0</v>
      </c>
    </row>
    <row r="3040">
      <c r="A3040" s="24">
        <v>1.0</v>
      </c>
      <c r="B3040" s="24">
        <v>0.0</v>
      </c>
      <c r="C3040" s="47">
        <v>0.0</v>
      </c>
      <c r="D3040" s="35">
        <v>45919.0</v>
      </c>
      <c r="E3040" s="47"/>
      <c r="F3040" s="47">
        <v>0.0</v>
      </c>
      <c r="G3040" s="48">
        <v>0.0</v>
      </c>
      <c r="H3040" s="24" t="s">
        <v>3337</v>
      </c>
      <c r="I3040" s="47"/>
      <c r="J3040" s="24">
        <v>0.0</v>
      </c>
    </row>
    <row r="3041">
      <c r="A3041" s="24">
        <v>2.0</v>
      </c>
      <c r="B3041" s="24">
        <v>0.0</v>
      </c>
      <c r="C3041" s="47">
        <v>0.0</v>
      </c>
      <c r="D3041" s="35">
        <v>45921.0</v>
      </c>
      <c r="E3041" s="47"/>
      <c r="F3041" s="47">
        <v>0.0</v>
      </c>
      <c r="G3041" s="48">
        <v>0.0</v>
      </c>
      <c r="H3041" s="24" t="s">
        <v>3337</v>
      </c>
      <c r="I3041" s="47"/>
      <c r="J3041" s="24">
        <v>0.0</v>
      </c>
    </row>
    <row r="3042">
      <c r="A3042" s="24">
        <v>15.0</v>
      </c>
      <c r="B3042" s="24">
        <v>0.0</v>
      </c>
      <c r="C3042" s="47">
        <v>0.0</v>
      </c>
      <c r="D3042" s="35">
        <v>45925.0</v>
      </c>
      <c r="E3042" s="47"/>
      <c r="F3042" s="47">
        <v>0.0</v>
      </c>
      <c r="G3042" s="48">
        <v>0.0</v>
      </c>
      <c r="H3042" s="24" t="s">
        <v>3337</v>
      </c>
      <c r="I3042" s="47"/>
      <c r="J3042" s="24">
        <v>0.0</v>
      </c>
    </row>
    <row r="3043">
      <c r="A3043" s="24">
        <v>67.0</v>
      </c>
      <c r="B3043" s="24">
        <v>3.0</v>
      </c>
      <c r="C3043" s="47">
        <v>66.15</v>
      </c>
      <c r="D3043" s="35">
        <v>45926.0</v>
      </c>
      <c r="E3043" s="47">
        <v>22.05</v>
      </c>
      <c r="F3043" s="47">
        <v>987.31343283582</v>
      </c>
      <c r="G3043" s="48">
        <v>0.044776119402985</v>
      </c>
      <c r="H3043" s="24" t="s">
        <v>3337</v>
      </c>
      <c r="I3043" s="47"/>
      <c r="J3043" s="24">
        <v>0.0</v>
      </c>
    </row>
    <row r="3044">
      <c r="A3044" s="24">
        <v>34.0</v>
      </c>
      <c r="B3044" s="24">
        <v>3.0</v>
      </c>
      <c r="C3044" s="47">
        <v>70.15</v>
      </c>
      <c r="D3044" s="35">
        <v>45927.0</v>
      </c>
      <c r="E3044" s="47">
        <v>23.3833333333333</v>
      </c>
      <c r="F3044" s="47">
        <v>2063.23529411764</v>
      </c>
      <c r="G3044" s="48">
        <v>0.088235294117647</v>
      </c>
      <c r="H3044" s="24" t="s">
        <v>3337</v>
      </c>
      <c r="I3044" s="47"/>
      <c r="J3044" s="24">
        <v>0.0</v>
      </c>
    </row>
    <row r="3045">
      <c r="A3045" s="24">
        <v>22.0</v>
      </c>
      <c r="B3045" s="24">
        <v>1.0</v>
      </c>
      <c r="C3045" s="47">
        <v>23.71</v>
      </c>
      <c r="D3045" s="35">
        <v>45928.0</v>
      </c>
      <c r="E3045" s="47">
        <v>23.71</v>
      </c>
      <c r="F3045" s="47">
        <v>1077.72727272727</v>
      </c>
      <c r="G3045" s="48">
        <v>0.0454545454545454</v>
      </c>
      <c r="H3045" s="24" t="s">
        <v>3337</v>
      </c>
      <c r="I3045" s="47"/>
      <c r="J3045" s="24">
        <v>0.0</v>
      </c>
    </row>
    <row r="3046">
      <c r="A3046" s="24">
        <v>134.0</v>
      </c>
      <c r="B3046" s="24">
        <v>3.0</v>
      </c>
      <c r="C3046" s="47">
        <v>99.94</v>
      </c>
      <c r="D3046" s="35">
        <v>45929.0</v>
      </c>
      <c r="E3046" s="47">
        <v>33.3133333333333</v>
      </c>
      <c r="F3046" s="47">
        <v>745.820895522388</v>
      </c>
      <c r="G3046" s="48">
        <v>0.0223880597014925</v>
      </c>
      <c r="H3046" s="24" t="s">
        <v>3337</v>
      </c>
      <c r="I3046" s="47"/>
      <c r="J3046" s="24">
        <v>0.0</v>
      </c>
    </row>
    <row r="3047">
      <c r="A3047" s="24">
        <v>109.0</v>
      </c>
      <c r="B3047" s="24">
        <v>3.0</v>
      </c>
      <c r="C3047" s="47">
        <v>85.657261</v>
      </c>
      <c r="D3047" s="35">
        <v>45930.0</v>
      </c>
      <c r="E3047" s="47">
        <v>28.5524203333333</v>
      </c>
      <c r="F3047" s="47">
        <v>785.84643119266</v>
      </c>
      <c r="G3047" s="48">
        <v>0.0275229357798165</v>
      </c>
      <c r="H3047" s="24" t="s">
        <v>3337</v>
      </c>
      <c r="I3047" s="47"/>
      <c r="J3047" s="24">
        <v>0.0</v>
      </c>
    </row>
    <row r="3048">
      <c r="A3048" s="24">
        <v>33.0</v>
      </c>
      <c r="B3048" s="24">
        <v>3.0</v>
      </c>
      <c r="C3048" s="47">
        <v>58.82</v>
      </c>
      <c r="D3048" s="35">
        <v>45931.0</v>
      </c>
      <c r="E3048" s="47">
        <v>19.6066666666666</v>
      </c>
      <c r="F3048" s="47">
        <v>1782.42424242424</v>
      </c>
      <c r="G3048" s="48">
        <v>0.0909090909090909</v>
      </c>
      <c r="H3048" s="24" t="s">
        <v>3337</v>
      </c>
      <c r="I3048" s="47"/>
      <c r="J3048" s="24">
        <v>0.0</v>
      </c>
    </row>
    <row r="3049">
      <c r="A3049" s="24">
        <v>70.0</v>
      </c>
      <c r="B3049" s="24">
        <v>3.0</v>
      </c>
      <c r="C3049" s="47">
        <v>58.38</v>
      </c>
      <c r="D3049" s="35">
        <v>45932.0</v>
      </c>
      <c r="E3049" s="47">
        <v>19.46</v>
      </c>
      <c r="F3049" s="47">
        <v>834.0</v>
      </c>
      <c r="G3049" s="48">
        <v>0.0428571428571428</v>
      </c>
      <c r="H3049" s="24" t="s">
        <v>3337</v>
      </c>
      <c r="I3049" s="47"/>
      <c r="J3049" s="24">
        <v>0.0</v>
      </c>
    </row>
    <row r="3050">
      <c r="A3050" s="24">
        <v>92.0</v>
      </c>
      <c r="B3050" s="24">
        <v>1.0</v>
      </c>
      <c r="C3050" s="47">
        <v>19.9</v>
      </c>
      <c r="D3050" s="35">
        <v>45933.0</v>
      </c>
      <c r="E3050" s="47">
        <v>19.9</v>
      </c>
      <c r="F3050" s="47">
        <v>216.304347826086</v>
      </c>
      <c r="G3050" s="48">
        <v>0.0108695652173913</v>
      </c>
      <c r="H3050" s="24" t="s">
        <v>3337</v>
      </c>
      <c r="I3050" s="47"/>
      <c r="J3050" s="24">
        <v>0.0</v>
      </c>
    </row>
    <row r="3051">
      <c r="A3051" s="24">
        <v>32.0</v>
      </c>
      <c r="B3051" s="24">
        <v>1.0</v>
      </c>
      <c r="C3051" s="47">
        <v>21.77</v>
      </c>
      <c r="D3051" s="35">
        <v>45934.0</v>
      </c>
      <c r="E3051" s="47">
        <v>21.77</v>
      </c>
      <c r="F3051" s="47">
        <v>680.3125</v>
      </c>
      <c r="G3051" s="48">
        <v>0.03125</v>
      </c>
      <c r="H3051" s="24" t="s">
        <v>3337</v>
      </c>
      <c r="I3051" s="47"/>
      <c r="J3051" s="24">
        <v>0.0</v>
      </c>
    </row>
    <row r="3052">
      <c r="A3052" s="24">
        <v>77.0</v>
      </c>
      <c r="B3052" s="24">
        <v>1.0</v>
      </c>
      <c r="C3052" s="47">
        <v>45.56</v>
      </c>
      <c r="D3052" s="35">
        <v>45935.0</v>
      </c>
      <c r="E3052" s="47">
        <v>45.56</v>
      </c>
      <c r="F3052" s="47">
        <v>591.688311688311</v>
      </c>
      <c r="G3052" s="48">
        <v>0.0129870129870129</v>
      </c>
      <c r="H3052" s="24" t="s">
        <v>3337</v>
      </c>
      <c r="I3052" s="47"/>
      <c r="J3052" s="24">
        <v>0.0</v>
      </c>
    </row>
    <row r="3053">
      <c r="A3053" s="24">
        <v>48.0</v>
      </c>
      <c r="B3053" s="24">
        <v>3.0</v>
      </c>
      <c r="C3053" s="47">
        <v>99.865392</v>
      </c>
      <c r="D3053" s="35">
        <v>45936.0</v>
      </c>
      <c r="E3053" s="47">
        <v>33.288464</v>
      </c>
      <c r="F3053" s="47">
        <v>2080.529</v>
      </c>
      <c r="G3053" s="48">
        <v>0.0625</v>
      </c>
      <c r="H3053" s="24" t="s">
        <v>3337</v>
      </c>
      <c r="I3053" s="47"/>
      <c r="J3053" s="24">
        <v>0.0</v>
      </c>
    </row>
    <row r="3054">
      <c r="A3054" s="24">
        <v>62.0</v>
      </c>
      <c r="B3054" s="24">
        <v>2.0</v>
      </c>
      <c r="C3054" s="47">
        <v>147.06</v>
      </c>
      <c r="D3054" s="35">
        <v>45937.0</v>
      </c>
      <c r="E3054" s="47">
        <v>73.53</v>
      </c>
      <c r="F3054" s="47">
        <v>2371.93548387096</v>
      </c>
      <c r="G3054" s="48">
        <v>0.032258064516129</v>
      </c>
      <c r="H3054" s="24" t="s">
        <v>3337</v>
      </c>
      <c r="I3054" s="47"/>
      <c r="J3054" s="24">
        <v>0.0</v>
      </c>
    </row>
    <row r="3055">
      <c r="A3055" s="24">
        <v>39.0</v>
      </c>
      <c r="B3055" s="24">
        <v>1.0</v>
      </c>
      <c r="C3055" s="47">
        <v>42.91</v>
      </c>
      <c r="D3055" s="35">
        <v>45938.0</v>
      </c>
      <c r="E3055" s="47">
        <v>42.91</v>
      </c>
      <c r="F3055" s="47">
        <v>1100.25641025641</v>
      </c>
      <c r="G3055" s="48">
        <v>0.0256410256410256</v>
      </c>
      <c r="H3055" s="24" t="s">
        <v>3337</v>
      </c>
      <c r="I3055" s="47"/>
      <c r="J3055" s="24">
        <v>0.0</v>
      </c>
    </row>
    <row r="3056">
      <c r="A3056" s="24">
        <v>55.0</v>
      </c>
      <c r="B3056" s="24">
        <v>1.0</v>
      </c>
      <c r="C3056" s="47">
        <v>48.94</v>
      </c>
      <c r="D3056" s="35">
        <v>45939.0</v>
      </c>
      <c r="E3056" s="47">
        <v>48.94</v>
      </c>
      <c r="F3056" s="47">
        <v>889.818181818181</v>
      </c>
      <c r="G3056" s="48">
        <v>0.0181818181818181</v>
      </c>
      <c r="H3056" s="24" t="s">
        <v>3337</v>
      </c>
      <c r="I3056" s="47"/>
      <c r="J3056" s="24">
        <v>0.0</v>
      </c>
    </row>
    <row r="3057">
      <c r="A3057" s="24">
        <v>19.0</v>
      </c>
      <c r="B3057" s="24">
        <v>2.0</v>
      </c>
      <c r="C3057" s="47">
        <v>51.61</v>
      </c>
      <c r="D3057" s="35">
        <v>45940.0</v>
      </c>
      <c r="E3057" s="47">
        <v>25.805</v>
      </c>
      <c r="F3057" s="47">
        <v>2716.31578947368</v>
      </c>
      <c r="G3057" s="48">
        <v>0.105263157894736</v>
      </c>
      <c r="H3057" s="24" t="s">
        <v>3337</v>
      </c>
      <c r="I3057" s="47"/>
      <c r="J3057" s="24">
        <v>0.0</v>
      </c>
    </row>
    <row r="3058">
      <c r="A3058" s="24">
        <v>4.0</v>
      </c>
      <c r="B3058" s="24">
        <v>2.0</v>
      </c>
      <c r="C3058" s="47">
        <v>43.81</v>
      </c>
      <c r="D3058" s="35">
        <v>45941.0</v>
      </c>
      <c r="E3058" s="47">
        <v>21.905</v>
      </c>
      <c r="F3058" s="47">
        <v>10952.5</v>
      </c>
      <c r="G3058" s="48">
        <v>0.5</v>
      </c>
      <c r="H3058" s="24" t="s">
        <v>3337</v>
      </c>
      <c r="I3058" s="47"/>
      <c r="J3058" s="24">
        <v>0.0</v>
      </c>
    </row>
    <row r="3059">
      <c r="A3059" s="24">
        <v>37.0</v>
      </c>
      <c r="B3059" s="24">
        <v>2.0</v>
      </c>
      <c r="C3059" s="47">
        <v>52.66</v>
      </c>
      <c r="D3059" s="35">
        <v>45942.0</v>
      </c>
      <c r="E3059" s="47">
        <v>26.33</v>
      </c>
      <c r="F3059" s="47">
        <v>1423.24324324324</v>
      </c>
      <c r="G3059" s="48">
        <v>0.054054054054054</v>
      </c>
      <c r="H3059" s="24" t="s">
        <v>3337</v>
      </c>
      <c r="I3059" s="47"/>
      <c r="J3059" s="24">
        <v>0.0</v>
      </c>
    </row>
    <row r="3060">
      <c r="A3060" s="24">
        <v>63.0</v>
      </c>
      <c r="B3060" s="24">
        <v>0.0</v>
      </c>
      <c r="C3060" s="47">
        <v>0.0</v>
      </c>
      <c r="D3060" s="35">
        <v>45943.0</v>
      </c>
      <c r="E3060" s="47"/>
      <c r="F3060" s="47">
        <v>0.0</v>
      </c>
      <c r="G3060" s="48">
        <v>0.0</v>
      </c>
      <c r="H3060" s="24" t="s">
        <v>3337</v>
      </c>
      <c r="I3060" s="47"/>
      <c r="J3060" s="24">
        <v>0.0</v>
      </c>
    </row>
    <row r="3061">
      <c r="A3061" s="24">
        <v>67.0</v>
      </c>
      <c r="B3061" s="24">
        <v>2.0</v>
      </c>
      <c r="C3061" s="47">
        <v>74.65</v>
      </c>
      <c r="D3061" s="35">
        <v>45944.0</v>
      </c>
      <c r="E3061" s="47">
        <v>37.325</v>
      </c>
      <c r="F3061" s="47">
        <v>1114.17910447761</v>
      </c>
      <c r="G3061" s="48">
        <v>0.0298507462686567</v>
      </c>
      <c r="H3061" s="24" t="s">
        <v>3337</v>
      </c>
      <c r="I3061" s="47">
        <v>74.65</v>
      </c>
      <c r="J3061" s="24">
        <v>1.0</v>
      </c>
    </row>
    <row r="3062">
      <c r="A3062" s="24">
        <v>121.0</v>
      </c>
      <c r="B3062" s="24">
        <v>1.0</v>
      </c>
      <c r="C3062" s="47">
        <v>26.05</v>
      </c>
      <c r="D3062" s="35">
        <v>45945.0</v>
      </c>
      <c r="E3062" s="47">
        <v>26.05</v>
      </c>
      <c r="F3062" s="47">
        <v>215.289256198347</v>
      </c>
      <c r="G3062" s="48">
        <v>0.00826446280991735</v>
      </c>
      <c r="H3062" s="24" t="s">
        <v>3337</v>
      </c>
      <c r="I3062" s="47"/>
      <c r="J3062" s="24">
        <v>0.0</v>
      </c>
    </row>
    <row r="3063">
      <c r="A3063" s="24">
        <v>53.0</v>
      </c>
      <c r="B3063" s="24">
        <v>2.0</v>
      </c>
      <c r="C3063" s="47">
        <v>85.06</v>
      </c>
      <c r="D3063" s="35">
        <v>45946.0</v>
      </c>
      <c r="E3063" s="47">
        <v>42.53</v>
      </c>
      <c r="F3063" s="47">
        <v>1604.90566037735</v>
      </c>
      <c r="G3063" s="48">
        <v>0.0377358490566037</v>
      </c>
      <c r="H3063" s="24" t="s">
        <v>3337</v>
      </c>
      <c r="I3063" s="47"/>
      <c r="J3063" s="24">
        <v>0.0</v>
      </c>
    </row>
    <row r="3064">
      <c r="A3064" s="24">
        <v>6.0</v>
      </c>
      <c r="B3064" s="24">
        <v>1.0</v>
      </c>
      <c r="C3064" s="47">
        <v>38.33</v>
      </c>
      <c r="D3064" s="35">
        <v>45947.0</v>
      </c>
      <c r="E3064" s="47">
        <v>38.33</v>
      </c>
      <c r="F3064" s="47">
        <v>6388.33333333333</v>
      </c>
      <c r="G3064" s="48">
        <v>0.166666666666666</v>
      </c>
      <c r="H3064" s="24" t="s">
        <v>3337</v>
      </c>
      <c r="I3064" s="47"/>
      <c r="J3064" s="24">
        <v>0.0</v>
      </c>
    </row>
    <row r="3065">
      <c r="A3065" s="24">
        <v>45.0</v>
      </c>
      <c r="B3065" s="24">
        <v>1.0</v>
      </c>
      <c r="C3065" s="47">
        <v>25.829428</v>
      </c>
      <c r="D3065" s="35">
        <v>45948.0</v>
      </c>
      <c r="E3065" s="47">
        <v>25.829428</v>
      </c>
      <c r="F3065" s="47">
        <v>573.987288888889</v>
      </c>
      <c r="G3065" s="48">
        <v>0.0222222222222222</v>
      </c>
      <c r="H3065" s="24" t="s">
        <v>3337</v>
      </c>
      <c r="I3065" s="47"/>
      <c r="J3065" s="24">
        <v>0.0</v>
      </c>
    </row>
    <row r="3066">
      <c r="A3066" s="24">
        <v>18.0</v>
      </c>
      <c r="B3066" s="24">
        <v>1.0</v>
      </c>
      <c r="C3066" s="47">
        <v>30.509754</v>
      </c>
      <c r="D3066" s="35">
        <v>45949.0</v>
      </c>
      <c r="E3066" s="47">
        <v>30.509754</v>
      </c>
      <c r="F3066" s="47">
        <v>1694.98633333333</v>
      </c>
      <c r="G3066" s="48">
        <v>0.0555555555555555</v>
      </c>
      <c r="H3066" s="24" t="s">
        <v>3337</v>
      </c>
      <c r="I3066" s="47"/>
      <c r="J3066" s="24">
        <v>0.0</v>
      </c>
    </row>
    <row r="3067">
      <c r="A3067" s="24">
        <v>24.0</v>
      </c>
      <c r="B3067" s="24">
        <v>2.0</v>
      </c>
      <c r="C3067" s="47">
        <v>96.06</v>
      </c>
      <c r="D3067" s="35">
        <v>45950.0</v>
      </c>
      <c r="E3067" s="47">
        <v>48.03</v>
      </c>
      <c r="F3067" s="47">
        <v>4002.5</v>
      </c>
      <c r="G3067" s="48">
        <v>0.0833333333333333</v>
      </c>
      <c r="H3067" s="24" t="s">
        <v>3337</v>
      </c>
      <c r="I3067" s="47"/>
      <c r="J3067" s="24">
        <v>0.0</v>
      </c>
    </row>
    <row r="3068">
      <c r="A3068" s="24">
        <v>89.0</v>
      </c>
      <c r="B3068" s="24">
        <v>4.0</v>
      </c>
      <c r="C3068" s="47">
        <v>86.1</v>
      </c>
      <c r="D3068" s="35">
        <v>45951.0</v>
      </c>
      <c r="E3068" s="47">
        <v>21.525</v>
      </c>
      <c r="F3068" s="47">
        <v>967.415730337078</v>
      </c>
      <c r="G3068" s="48">
        <v>0.0449438202247191</v>
      </c>
      <c r="H3068" s="24" t="s">
        <v>3337</v>
      </c>
      <c r="I3068" s="47"/>
      <c r="J3068" s="24">
        <v>0.0</v>
      </c>
    </row>
    <row r="3069">
      <c r="A3069" s="24">
        <v>52.0</v>
      </c>
      <c r="B3069" s="24">
        <v>1.0</v>
      </c>
      <c r="C3069" s="47">
        <v>25.0</v>
      </c>
      <c r="D3069" s="35">
        <v>45952.0</v>
      </c>
      <c r="E3069" s="47">
        <v>25.0</v>
      </c>
      <c r="F3069" s="47">
        <v>480.76923076923</v>
      </c>
      <c r="G3069" s="48">
        <v>0.0192307692307692</v>
      </c>
      <c r="H3069" s="24" t="s">
        <v>3337</v>
      </c>
      <c r="I3069" s="47">
        <v>25.0</v>
      </c>
      <c r="J3069" s="24">
        <v>1.0</v>
      </c>
    </row>
    <row r="3070">
      <c r="A3070" s="24">
        <v>33.0</v>
      </c>
      <c r="B3070" s="24">
        <v>1.0</v>
      </c>
      <c r="C3070" s="47">
        <v>30.16</v>
      </c>
      <c r="D3070" s="35">
        <v>45953.0</v>
      </c>
      <c r="E3070" s="47">
        <v>30.16</v>
      </c>
      <c r="F3070" s="47">
        <v>913.939393939393</v>
      </c>
      <c r="G3070" s="48">
        <v>0.0303030303030303</v>
      </c>
      <c r="H3070" s="24" t="s">
        <v>3337</v>
      </c>
      <c r="I3070" s="47"/>
      <c r="J3070" s="24">
        <v>0.0</v>
      </c>
    </row>
    <row r="3071">
      <c r="A3071" s="24">
        <v>91.0</v>
      </c>
      <c r="B3071" s="24">
        <v>0.0</v>
      </c>
      <c r="C3071" s="47">
        <v>0.0</v>
      </c>
      <c r="D3071" s="35">
        <v>45954.0</v>
      </c>
      <c r="E3071" s="47"/>
      <c r="F3071" s="47">
        <v>0.0</v>
      </c>
      <c r="G3071" s="48">
        <v>0.0</v>
      </c>
      <c r="H3071" s="24" t="s">
        <v>3337</v>
      </c>
      <c r="I3071" s="47"/>
      <c r="J3071" s="24">
        <v>0.0</v>
      </c>
    </row>
    <row r="3072">
      <c r="A3072" s="24">
        <v>11.0</v>
      </c>
      <c r="B3072" s="24">
        <v>3.0</v>
      </c>
      <c r="C3072" s="47">
        <v>82.11</v>
      </c>
      <c r="D3072" s="35">
        <v>45955.0</v>
      </c>
      <c r="E3072" s="47">
        <v>27.37</v>
      </c>
      <c r="F3072" s="47">
        <v>7464.54545454545</v>
      </c>
      <c r="G3072" s="48">
        <v>0.272727272727272</v>
      </c>
      <c r="H3072" s="24" t="s">
        <v>3337</v>
      </c>
      <c r="I3072" s="47"/>
      <c r="J3072" s="24">
        <v>0.0</v>
      </c>
    </row>
    <row r="3073">
      <c r="A3073" s="24">
        <v>66.0</v>
      </c>
      <c r="B3073" s="24">
        <v>1.0</v>
      </c>
      <c r="C3073" s="47">
        <v>40.9</v>
      </c>
      <c r="D3073" s="35">
        <v>45956.0</v>
      </c>
      <c r="E3073" s="47">
        <v>40.9</v>
      </c>
      <c r="F3073" s="47">
        <v>619.696969696969</v>
      </c>
      <c r="G3073" s="48">
        <v>0.0151515151515151</v>
      </c>
      <c r="H3073" s="24" t="s">
        <v>3337</v>
      </c>
      <c r="I3073" s="47"/>
      <c r="J3073" s="24">
        <v>0.0</v>
      </c>
    </row>
    <row r="3074">
      <c r="A3074" s="24">
        <v>30.0</v>
      </c>
      <c r="B3074" s="24">
        <v>1.0</v>
      </c>
      <c r="C3074" s="47">
        <v>19.15</v>
      </c>
      <c r="D3074" s="35">
        <v>45974.0</v>
      </c>
      <c r="E3074" s="47">
        <v>19.15</v>
      </c>
      <c r="F3074" s="47">
        <v>638.333333333333</v>
      </c>
      <c r="G3074" s="48">
        <v>0.0333333333333333</v>
      </c>
      <c r="H3074" s="24" t="s">
        <v>3337</v>
      </c>
      <c r="I3074" s="47"/>
      <c r="J3074" s="24">
        <v>0.0</v>
      </c>
    </row>
    <row r="3075">
      <c r="A3075" s="24">
        <v>29.0</v>
      </c>
      <c r="B3075" s="24">
        <v>1.0</v>
      </c>
      <c r="C3075" s="47">
        <v>19.26</v>
      </c>
      <c r="D3075" s="35">
        <v>45975.0</v>
      </c>
      <c r="E3075" s="47">
        <v>19.26</v>
      </c>
      <c r="F3075" s="47">
        <v>664.137931034482</v>
      </c>
      <c r="G3075" s="48">
        <v>0.0344827586206896</v>
      </c>
      <c r="H3075" s="24" t="s">
        <v>3337</v>
      </c>
      <c r="I3075" s="47"/>
      <c r="J3075" s="24">
        <v>0.0</v>
      </c>
    </row>
    <row r="3076">
      <c r="A3076" s="24">
        <v>12.0</v>
      </c>
      <c r="B3076" s="24">
        <v>1.0</v>
      </c>
      <c r="C3076" s="47">
        <v>19.57</v>
      </c>
      <c r="D3076" s="35">
        <v>45976.0</v>
      </c>
      <c r="E3076" s="47">
        <v>19.57</v>
      </c>
      <c r="F3076" s="47">
        <v>1630.83333333333</v>
      </c>
      <c r="G3076" s="48">
        <v>0.0833333333333333</v>
      </c>
      <c r="H3076" s="24" t="s">
        <v>3337</v>
      </c>
      <c r="I3076" s="47"/>
      <c r="J3076" s="24">
        <v>0.0</v>
      </c>
    </row>
    <row r="3077">
      <c r="A3077" s="24">
        <v>3.0</v>
      </c>
      <c r="B3077" s="24">
        <v>0.0</v>
      </c>
      <c r="C3077" s="47">
        <v>0.0</v>
      </c>
      <c r="D3077" s="35">
        <v>45977.0</v>
      </c>
      <c r="E3077" s="47"/>
      <c r="F3077" s="47">
        <v>0.0</v>
      </c>
      <c r="G3077" s="48">
        <v>0.0</v>
      </c>
      <c r="H3077" s="24" t="s">
        <v>3337</v>
      </c>
      <c r="I3077" s="47"/>
      <c r="J3077" s="24">
        <v>0.0</v>
      </c>
    </row>
    <row r="3078">
      <c r="A3078" s="24">
        <v>16.0</v>
      </c>
      <c r="B3078" s="24">
        <v>0.0</v>
      </c>
      <c r="C3078" s="47">
        <v>0.0</v>
      </c>
      <c r="D3078" s="35">
        <v>45978.0</v>
      </c>
      <c r="E3078" s="47"/>
      <c r="F3078" s="47">
        <v>0.0</v>
      </c>
      <c r="G3078" s="48">
        <v>0.0</v>
      </c>
      <c r="H3078" s="24" t="s">
        <v>3337</v>
      </c>
      <c r="I3078" s="47"/>
      <c r="J3078" s="24">
        <v>0.0</v>
      </c>
    </row>
    <row r="3079">
      <c r="A3079" s="24">
        <v>24.0</v>
      </c>
      <c r="B3079" s="24">
        <v>2.0</v>
      </c>
      <c r="C3079" s="47">
        <v>38.286909</v>
      </c>
      <c r="D3079" s="35">
        <v>45979.0</v>
      </c>
      <c r="E3079" s="47">
        <v>19.1434545</v>
      </c>
      <c r="F3079" s="47">
        <v>1595.287875</v>
      </c>
      <c r="G3079" s="48">
        <v>0.0833333333333333</v>
      </c>
      <c r="H3079" s="24" t="s">
        <v>3337</v>
      </c>
      <c r="I3079" s="47"/>
      <c r="J3079" s="24">
        <v>0.0</v>
      </c>
    </row>
    <row r="3080">
      <c r="A3080" s="24">
        <v>18.0</v>
      </c>
      <c r="B3080" s="24">
        <v>1.0</v>
      </c>
      <c r="C3080" s="47">
        <v>19.18</v>
      </c>
      <c r="D3080" s="35">
        <v>45980.0</v>
      </c>
      <c r="E3080" s="47">
        <v>19.18</v>
      </c>
      <c r="F3080" s="47">
        <v>1065.55555555555</v>
      </c>
      <c r="G3080" s="48">
        <v>0.0555555555555555</v>
      </c>
      <c r="H3080" s="24" t="s">
        <v>3337</v>
      </c>
      <c r="I3080" s="47"/>
      <c r="J3080" s="24">
        <v>0.0</v>
      </c>
    </row>
    <row r="3081">
      <c r="A3081" s="24">
        <v>27.0</v>
      </c>
      <c r="B3081" s="24">
        <v>3.0</v>
      </c>
      <c r="C3081" s="47">
        <v>58.98</v>
      </c>
      <c r="D3081" s="35">
        <v>45981.0</v>
      </c>
      <c r="E3081" s="47">
        <v>19.66</v>
      </c>
      <c r="F3081" s="47">
        <v>2184.44444444444</v>
      </c>
      <c r="G3081" s="48">
        <v>0.111111111111111</v>
      </c>
      <c r="H3081" s="24" t="s">
        <v>3337</v>
      </c>
      <c r="I3081" s="47"/>
      <c r="J3081" s="24">
        <v>0.0</v>
      </c>
    </row>
    <row r="3082">
      <c r="A3082" s="24">
        <v>16.0</v>
      </c>
      <c r="B3082" s="24">
        <v>0.0</v>
      </c>
      <c r="C3082" s="47">
        <v>0.0</v>
      </c>
      <c r="D3082" s="35">
        <v>45982.0</v>
      </c>
      <c r="E3082" s="47"/>
      <c r="F3082" s="47">
        <v>0.0</v>
      </c>
      <c r="G3082" s="48">
        <v>0.0</v>
      </c>
      <c r="H3082" s="24" t="s">
        <v>3337</v>
      </c>
      <c r="I3082" s="47"/>
      <c r="J3082" s="24">
        <v>0.0</v>
      </c>
    </row>
    <row r="3083">
      <c r="A3083" s="24">
        <v>7.0</v>
      </c>
      <c r="B3083" s="24">
        <v>0.0</v>
      </c>
      <c r="C3083" s="47">
        <v>0.0</v>
      </c>
      <c r="D3083" s="35">
        <v>45983.0</v>
      </c>
      <c r="E3083" s="47"/>
      <c r="F3083" s="47">
        <v>0.0</v>
      </c>
      <c r="G3083" s="48">
        <v>0.0</v>
      </c>
      <c r="H3083" s="24" t="s">
        <v>3337</v>
      </c>
      <c r="I3083" s="47"/>
      <c r="J3083" s="24">
        <v>0.0</v>
      </c>
    </row>
    <row r="3084">
      <c r="A3084" s="24">
        <v>10.0</v>
      </c>
      <c r="B3084" s="24">
        <v>1.0</v>
      </c>
      <c r="C3084" s="47">
        <v>19.22</v>
      </c>
      <c r="D3084" s="35">
        <v>45984.0</v>
      </c>
      <c r="E3084" s="47">
        <v>19.22</v>
      </c>
      <c r="F3084" s="47">
        <v>1922.0</v>
      </c>
      <c r="G3084" s="48">
        <v>0.1</v>
      </c>
      <c r="H3084" s="24" t="s">
        <v>3337</v>
      </c>
      <c r="I3084" s="47"/>
      <c r="J3084" s="24">
        <v>0.0</v>
      </c>
    </row>
    <row r="3085">
      <c r="A3085" s="24">
        <v>25.0</v>
      </c>
      <c r="B3085" s="24">
        <v>1.0</v>
      </c>
      <c r="C3085" s="47">
        <v>19.27</v>
      </c>
      <c r="D3085" s="35">
        <v>45985.0</v>
      </c>
      <c r="E3085" s="47">
        <v>19.27</v>
      </c>
      <c r="F3085" s="47">
        <v>770.8</v>
      </c>
      <c r="G3085" s="48">
        <v>0.04</v>
      </c>
      <c r="H3085" s="24" t="s">
        <v>3337</v>
      </c>
      <c r="I3085" s="47"/>
      <c r="J3085" s="24">
        <v>0.0</v>
      </c>
    </row>
    <row r="3086">
      <c r="A3086" s="24">
        <v>21.0</v>
      </c>
      <c r="B3086" s="24">
        <v>0.0</v>
      </c>
      <c r="C3086" s="47">
        <v>0.0</v>
      </c>
      <c r="D3086" s="35">
        <v>45986.0</v>
      </c>
      <c r="E3086" s="47"/>
      <c r="F3086" s="47">
        <v>0.0</v>
      </c>
      <c r="G3086" s="48">
        <v>0.0</v>
      </c>
      <c r="H3086" s="24" t="s">
        <v>3337</v>
      </c>
      <c r="I3086" s="47"/>
      <c r="J3086" s="24">
        <v>0.0</v>
      </c>
    </row>
    <row r="3087">
      <c r="A3087" s="24">
        <v>10.0</v>
      </c>
      <c r="B3087" s="24">
        <v>1.0</v>
      </c>
      <c r="C3087" s="47">
        <v>19.38</v>
      </c>
      <c r="D3087" s="35">
        <v>45987.0</v>
      </c>
      <c r="E3087" s="47">
        <v>19.38</v>
      </c>
      <c r="F3087" s="47">
        <v>1938.0</v>
      </c>
      <c r="G3087" s="48">
        <v>0.1</v>
      </c>
      <c r="H3087" s="24" t="s">
        <v>3337</v>
      </c>
      <c r="I3087" s="47"/>
      <c r="J3087" s="24">
        <v>0.0</v>
      </c>
    </row>
    <row r="3088">
      <c r="A3088" s="24">
        <v>7.0</v>
      </c>
      <c r="B3088" s="24">
        <v>1.0</v>
      </c>
      <c r="C3088" s="47">
        <v>19.64</v>
      </c>
      <c r="D3088" s="35">
        <v>45988.0</v>
      </c>
      <c r="E3088" s="47">
        <v>19.64</v>
      </c>
      <c r="F3088" s="47">
        <v>2805.71428571428</v>
      </c>
      <c r="G3088" s="48">
        <v>0.142857142857142</v>
      </c>
      <c r="H3088" s="24" t="s">
        <v>3337</v>
      </c>
      <c r="I3088" s="47"/>
      <c r="J3088" s="24">
        <v>0.0</v>
      </c>
    </row>
    <row r="3089">
      <c r="A3089" s="24">
        <v>3.0</v>
      </c>
      <c r="B3089" s="24">
        <v>0.0</v>
      </c>
      <c r="C3089" s="47">
        <v>0.0</v>
      </c>
      <c r="D3089" s="35">
        <v>45989.0</v>
      </c>
      <c r="E3089" s="47"/>
      <c r="F3089" s="47">
        <v>0.0</v>
      </c>
      <c r="G3089" s="48">
        <v>0.0</v>
      </c>
      <c r="H3089" s="24" t="s">
        <v>3337</v>
      </c>
      <c r="I3089" s="47"/>
      <c r="J3089" s="24">
        <v>0.0</v>
      </c>
    </row>
    <row r="3090">
      <c r="A3090" s="24">
        <v>7.0</v>
      </c>
      <c r="B3090" s="24">
        <v>0.0</v>
      </c>
      <c r="C3090" s="47">
        <v>0.0</v>
      </c>
      <c r="D3090" s="35">
        <v>45990.0</v>
      </c>
      <c r="E3090" s="47"/>
      <c r="F3090" s="47">
        <v>0.0</v>
      </c>
      <c r="G3090" s="48">
        <v>0.0</v>
      </c>
      <c r="H3090" s="24" t="s">
        <v>3337</v>
      </c>
      <c r="I3090" s="47"/>
      <c r="J3090" s="24">
        <v>0.0</v>
      </c>
    </row>
    <row r="3091">
      <c r="A3091" s="24">
        <v>11.0</v>
      </c>
      <c r="B3091" s="24">
        <v>1.0</v>
      </c>
      <c r="C3091" s="47">
        <v>19.53</v>
      </c>
      <c r="D3091" s="35">
        <v>45991.0</v>
      </c>
      <c r="E3091" s="47">
        <v>19.53</v>
      </c>
      <c r="F3091" s="47">
        <v>1775.45454545454</v>
      </c>
      <c r="G3091" s="48">
        <v>0.0909090909090909</v>
      </c>
      <c r="H3091" s="24" t="s">
        <v>3337</v>
      </c>
      <c r="I3091" s="47"/>
      <c r="J3091" s="24">
        <v>0.0</v>
      </c>
    </row>
    <row r="3092">
      <c r="A3092" s="24">
        <v>36.0</v>
      </c>
      <c r="B3092" s="24">
        <v>1.0</v>
      </c>
      <c r="C3092" s="47">
        <v>19.04</v>
      </c>
      <c r="D3092" s="35">
        <v>45992.0</v>
      </c>
      <c r="E3092" s="47">
        <v>19.04</v>
      </c>
      <c r="F3092" s="47">
        <v>528.888888888888</v>
      </c>
      <c r="G3092" s="48">
        <v>0.0277777777777777</v>
      </c>
      <c r="H3092" s="24" t="s">
        <v>3337</v>
      </c>
      <c r="I3092" s="47"/>
      <c r="J3092" s="24">
        <v>0.0</v>
      </c>
    </row>
    <row r="3093">
      <c r="A3093" s="24">
        <v>27.0</v>
      </c>
      <c r="B3093" s="24">
        <v>0.0</v>
      </c>
      <c r="C3093" s="47">
        <v>0.0</v>
      </c>
      <c r="D3093" s="35">
        <v>45993.0</v>
      </c>
      <c r="E3093" s="47"/>
      <c r="F3093" s="47">
        <v>0.0</v>
      </c>
      <c r="G3093" s="48">
        <v>0.0</v>
      </c>
      <c r="H3093" s="24" t="s">
        <v>3337</v>
      </c>
      <c r="I3093" s="47"/>
      <c r="J3093" s="24">
        <v>0.0</v>
      </c>
    </row>
    <row r="3094">
      <c r="A3094" s="24">
        <v>33.0</v>
      </c>
      <c r="B3094" s="24">
        <v>0.0</v>
      </c>
      <c r="C3094" s="47">
        <v>0.0</v>
      </c>
      <c r="D3094" s="35">
        <v>45994.0</v>
      </c>
      <c r="E3094" s="47"/>
      <c r="F3094" s="47">
        <v>0.0</v>
      </c>
      <c r="G3094" s="48">
        <v>0.0</v>
      </c>
      <c r="H3094" s="24" t="s">
        <v>3337</v>
      </c>
      <c r="I3094" s="47"/>
      <c r="J3094" s="24">
        <v>0.0</v>
      </c>
    </row>
    <row r="3095">
      <c r="A3095" s="24">
        <v>52.0</v>
      </c>
      <c r="B3095" s="24">
        <v>4.0</v>
      </c>
      <c r="C3095" s="47">
        <v>77.413677</v>
      </c>
      <c r="D3095" s="35">
        <v>45995.0</v>
      </c>
      <c r="E3095" s="47">
        <v>19.35341925</v>
      </c>
      <c r="F3095" s="47">
        <v>1488.7245576923</v>
      </c>
      <c r="G3095" s="48">
        <v>0.0769230769230769</v>
      </c>
      <c r="H3095" s="24" t="s">
        <v>3337</v>
      </c>
      <c r="I3095" s="47"/>
      <c r="J3095" s="24">
        <v>0.0</v>
      </c>
    </row>
    <row r="3096">
      <c r="A3096" s="24">
        <v>31.0</v>
      </c>
      <c r="B3096" s="24">
        <v>1.0</v>
      </c>
      <c r="C3096" s="47">
        <v>19.62</v>
      </c>
      <c r="D3096" s="35">
        <v>45996.0</v>
      </c>
      <c r="E3096" s="47">
        <v>19.62</v>
      </c>
      <c r="F3096" s="47">
        <v>632.903225806451</v>
      </c>
      <c r="G3096" s="48">
        <v>0.032258064516129</v>
      </c>
      <c r="H3096" s="24" t="s">
        <v>3337</v>
      </c>
      <c r="I3096" s="47"/>
      <c r="J3096" s="24">
        <v>0.0</v>
      </c>
    </row>
    <row r="3097">
      <c r="A3097" s="24">
        <v>8.0</v>
      </c>
      <c r="B3097" s="24">
        <v>0.0</v>
      </c>
      <c r="C3097" s="47">
        <v>0.0</v>
      </c>
      <c r="D3097" s="35">
        <v>45997.0</v>
      </c>
      <c r="E3097" s="47"/>
      <c r="F3097" s="47">
        <v>0.0</v>
      </c>
      <c r="G3097" s="48">
        <v>0.0</v>
      </c>
      <c r="H3097" s="24" t="s">
        <v>3337</v>
      </c>
      <c r="I3097" s="47"/>
      <c r="J3097" s="24">
        <v>0.0</v>
      </c>
    </row>
    <row r="3098">
      <c r="A3098" s="24">
        <v>10.0</v>
      </c>
      <c r="B3098" s="24">
        <v>0.0</v>
      </c>
      <c r="C3098" s="47">
        <v>0.0</v>
      </c>
      <c r="D3098" s="35">
        <v>45998.0</v>
      </c>
      <c r="E3098" s="47"/>
      <c r="F3098" s="47">
        <v>0.0</v>
      </c>
      <c r="G3098" s="48">
        <v>0.0</v>
      </c>
      <c r="H3098" s="24" t="s">
        <v>3337</v>
      </c>
      <c r="I3098" s="47"/>
      <c r="J3098" s="24">
        <v>0.0</v>
      </c>
    </row>
    <row r="3099">
      <c r="A3099" s="24">
        <v>22.0</v>
      </c>
      <c r="B3099" s="24">
        <v>0.0</v>
      </c>
      <c r="C3099" s="47">
        <v>0.0</v>
      </c>
      <c r="D3099" s="35">
        <v>45999.0</v>
      </c>
      <c r="E3099" s="47"/>
      <c r="F3099" s="47">
        <v>0.0</v>
      </c>
      <c r="G3099" s="48">
        <v>0.0</v>
      </c>
      <c r="H3099" s="24" t="s">
        <v>3337</v>
      </c>
      <c r="I3099" s="47"/>
      <c r="J3099" s="24">
        <v>0.0</v>
      </c>
    </row>
    <row r="3100">
      <c r="A3100" s="24">
        <v>29.0</v>
      </c>
      <c r="B3100" s="24">
        <v>1.0</v>
      </c>
      <c r="C3100" s="47">
        <v>19.79</v>
      </c>
      <c r="D3100" s="35">
        <v>46000.0</v>
      </c>
      <c r="E3100" s="47">
        <v>19.79</v>
      </c>
      <c r="F3100" s="47">
        <v>682.413793103448</v>
      </c>
      <c r="G3100" s="48">
        <v>0.0344827586206896</v>
      </c>
      <c r="H3100" s="24" t="s">
        <v>3337</v>
      </c>
      <c r="I3100" s="47"/>
      <c r="J3100" s="24">
        <v>0.0</v>
      </c>
    </row>
    <row r="3101">
      <c r="A3101" s="24">
        <v>28.0</v>
      </c>
      <c r="B3101" s="24">
        <v>1.0</v>
      </c>
      <c r="C3101" s="47">
        <v>19.43</v>
      </c>
      <c r="D3101" s="35">
        <v>46001.0</v>
      </c>
      <c r="E3101" s="47">
        <v>19.43</v>
      </c>
      <c r="F3101" s="47">
        <v>693.928571428571</v>
      </c>
      <c r="G3101" s="48">
        <v>0.0357142857142857</v>
      </c>
      <c r="H3101" s="24" t="s">
        <v>3337</v>
      </c>
      <c r="I3101" s="47"/>
      <c r="J3101" s="24">
        <v>0.0</v>
      </c>
    </row>
    <row r="3102">
      <c r="A3102" s="24">
        <v>20.0</v>
      </c>
      <c r="B3102" s="24">
        <v>0.0</v>
      </c>
      <c r="C3102" s="47">
        <v>0.0</v>
      </c>
      <c r="D3102" s="35">
        <v>46002.0</v>
      </c>
      <c r="E3102" s="47"/>
      <c r="F3102" s="47">
        <v>0.0</v>
      </c>
      <c r="G3102" s="48">
        <v>0.0</v>
      </c>
      <c r="H3102" s="24" t="s">
        <v>3337</v>
      </c>
      <c r="I3102" s="47"/>
      <c r="J3102" s="24">
        <v>0.0</v>
      </c>
    </row>
    <row r="3103">
      <c r="A3103" s="24">
        <v>14.0</v>
      </c>
      <c r="B3103" s="24">
        <v>3.0</v>
      </c>
      <c r="C3103" s="47">
        <v>58.49</v>
      </c>
      <c r="D3103" s="35">
        <v>46003.0</v>
      </c>
      <c r="E3103" s="47">
        <v>19.4966666666666</v>
      </c>
      <c r="F3103" s="47">
        <v>4177.85714285714</v>
      </c>
      <c r="G3103" s="48">
        <v>0.214285714285714</v>
      </c>
      <c r="H3103" s="24" t="s">
        <v>3337</v>
      </c>
      <c r="I3103" s="47"/>
      <c r="J3103" s="24">
        <v>0.0</v>
      </c>
    </row>
    <row r="3104">
      <c r="A3104" s="24">
        <v>8.0</v>
      </c>
      <c r="B3104" s="24">
        <v>0.0</v>
      </c>
      <c r="C3104" s="47">
        <v>0.0</v>
      </c>
      <c r="D3104" s="35">
        <v>46004.0</v>
      </c>
      <c r="E3104" s="47"/>
      <c r="F3104" s="47">
        <v>0.0</v>
      </c>
      <c r="G3104" s="48">
        <v>0.0</v>
      </c>
      <c r="H3104" s="24" t="s">
        <v>3337</v>
      </c>
      <c r="I3104" s="47"/>
      <c r="J3104" s="24">
        <v>0.0</v>
      </c>
    </row>
    <row r="3105">
      <c r="A3105" s="24">
        <v>5.0</v>
      </c>
      <c r="B3105" s="24">
        <v>1.0</v>
      </c>
      <c r="C3105" s="47">
        <v>18.25</v>
      </c>
      <c r="D3105" s="35">
        <v>46005.0</v>
      </c>
      <c r="E3105" s="47">
        <v>18.25</v>
      </c>
      <c r="F3105" s="47">
        <v>3650.0</v>
      </c>
      <c r="G3105" s="48">
        <v>0.2</v>
      </c>
      <c r="H3105" s="24" t="s">
        <v>3337</v>
      </c>
      <c r="I3105" s="47"/>
      <c r="J3105" s="24">
        <v>0.0</v>
      </c>
    </row>
    <row r="3106">
      <c r="A3106" s="24">
        <v>14.0</v>
      </c>
      <c r="B3106" s="24">
        <v>0.0</v>
      </c>
      <c r="C3106" s="47">
        <v>0.0</v>
      </c>
      <c r="D3106" s="35">
        <v>46006.0</v>
      </c>
      <c r="E3106" s="47"/>
      <c r="F3106" s="47">
        <v>0.0</v>
      </c>
      <c r="G3106" s="48">
        <v>0.0</v>
      </c>
      <c r="H3106" s="24" t="s">
        <v>3337</v>
      </c>
      <c r="I3106" s="47"/>
      <c r="J3106" s="24">
        <v>0.0</v>
      </c>
    </row>
    <row r="3107">
      <c r="A3107" s="24">
        <v>26.0</v>
      </c>
      <c r="B3107" s="24">
        <v>3.0</v>
      </c>
      <c r="C3107" s="47">
        <v>57.86</v>
      </c>
      <c r="D3107" s="35">
        <v>46007.0</v>
      </c>
      <c r="E3107" s="47">
        <v>19.2866666666666</v>
      </c>
      <c r="F3107" s="47">
        <v>2225.38461538461</v>
      </c>
      <c r="G3107" s="48">
        <v>0.115384615384615</v>
      </c>
      <c r="H3107" s="24" t="s">
        <v>3337</v>
      </c>
      <c r="I3107" s="47"/>
      <c r="J3107" s="24">
        <v>0.0</v>
      </c>
    </row>
    <row r="3108">
      <c r="A3108" s="24">
        <v>40.0</v>
      </c>
      <c r="B3108" s="24">
        <v>0.0</v>
      </c>
      <c r="C3108" s="47">
        <v>0.0</v>
      </c>
      <c r="D3108" s="35">
        <v>46008.0</v>
      </c>
      <c r="E3108" s="47"/>
      <c r="F3108" s="47">
        <v>0.0</v>
      </c>
      <c r="G3108" s="48">
        <v>0.0</v>
      </c>
      <c r="H3108" s="24" t="s">
        <v>3337</v>
      </c>
      <c r="I3108" s="47"/>
      <c r="J3108" s="24">
        <v>0.0</v>
      </c>
    </row>
    <row r="3109">
      <c r="A3109" s="24">
        <v>39.0</v>
      </c>
      <c r="B3109" s="24">
        <v>3.0</v>
      </c>
      <c r="C3109" s="47">
        <v>54.29</v>
      </c>
      <c r="D3109" s="35">
        <v>46009.0</v>
      </c>
      <c r="E3109" s="47">
        <v>18.0966666666666</v>
      </c>
      <c r="F3109" s="47">
        <v>1392.05128205128</v>
      </c>
      <c r="G3109" s="48">
        <v>0.0769230769230769</v>
      </c>
      <c r="H3109" s="24" t="s">
        <v>3337</v>
      </c>
      <c r="I3109" s="47"/>
      <c r="J3109" s="24">
        <v>0.0</v>
      </c>
    </row>
    <row r="3110">
      <c r="A3110" s="24">
        <v>21.0</v>
      </c>
      <c r="B3110" s="24">
        <v>1.0</v>
      </c>
      <c r="C3110" s="47">
        <v>19.99</v>
      </c>
      <c r="D3110" s="35">
        <v>46010.0</v>
      </c>
      <c r="E3110" s="47">
        <v>19.99</v>
      </c>
      <c r="F3110" s="47">
        <v>951.904761904761</v>
      </c>
      <c r="G3110" s="48">
        <v>0.0476190476190476</v>
      </c>
      <c r="H3110" s="24" t="s">
        <v>3337</v>
      </c>
      <c r="I3110" s="47"/>
      <c r="J3110" s="24">
        <v>0.0</v>
      </c>
    </row>
    <row r="3111">
      <c r="A3111" s="24">
        <v>1.0</v>
      </c>
      <c r="B3111" s="24">
        <v>0.0</v>
      </c>
      <c r="C3111" s="47">
        <v>0.0</v>
      </c>
      <c r="D3111" s="35">
        <v>46011.0</v>
      </c>
      <c r="E3111" s="47"/>
      <c r="F3111" s="47">
        <v>0.0</v>
      </c>
      <c r="G3111" s="48">
        <v>0.0</v>
      </c>
      <c r="H3111" s="24" t="s">
        <v>3337</v>
      </c>
      <c r="I3111" s="47"/>
      <c r="J3111" s="24">
        <v>0.0</v>
      </c>
    </row>
    <row r="3112">
      <c r="A3112" s="24">
        <v>6.0</v>
      </c>
      <c r="B3112" s="24">
        <v>1.0</v>
      </c>
      <c r="C3112" s="47">
        <v>19.537632</v>
      </c>
      <c r="D3112" s="35">
        <v>46012.0</v>
      </c>
      <c r="E3112" s="47">
        <v>19.537632</v>
      </c>
      <c r="F3112" s="47">
        <v>3256.272</v>
      </c>
      <c r="G3112" s="48">
        <v>0.166666666666666</v>
      </c>
      <c r="H3112" s="24" t="s">
        <v>3337</v>
      </c>
      <c r="I3112" s="47"/>
      <c r="J3112" s="24">
        <v>0.0</v>
      </c>
    </row>
    <row r="3113">
      <c r="A3113" s="24">
        <v>22.0</v>
      </c>
      <c r="B3113" s="24">
        <v>0.0</v>
      </c>
      <c r="C3113" s="47">
        <v>0.0</v>
      </c>
      <c r="D3113" s="35">
        <v>46013.0</v>
      </c>
      <c r="E3113" s="47"/>
      <c r="F3113" s="47">
        <v>0.0</v>
      </c>
      <c r="G3113" s="48">
        <v>0.0</v>
      </c>
      <c r="H3113" s="24" t="s">
        <v>3337</v>
      </c>
      <c r="I3113" s="47"/>
      <c r="J3113" s="24">
        <v>0.0</v>
      </c>
    </row>
    <row r="3114">
      <c r="A3114" s="24">
        <v>11.0</v>
      </c>
      <c r="B3114" s="24">
        <v>1.0</v>
      </c>
      <c r="C3114" s="47">
        <v>18.78</v>
      </c>
      <c r="D3114" s="35">
        <v>46014.0</v>
      </c>
      <c r="E3114" s="47">
        <v>18.78</v>
      </c>
      <c r="F3114" s="47">
        <v>1707.27272727272</v>
      </c>
      <c r="G3114" s="48">
        <v>0.0909090909090909</v>
      </c>
      <c r="H3114" s="24" t="s">
        <v>3337</v>
      </c>
      <c r="I3114" s="47"/>
      <c r="J3114" s="24">
        <v>0.0</v>
      </c>
    </row>
    <row r="3115">
      <c r="A3115" s="24">
        <v>7.0</v>
      </c>
      <c r="B3115" s="24">
        <v>1.0</v>
      </c>
      <c r="C3115" s="47">
        <v>19.02</v>
      </c>
      <c r="D3115" s="35">
        <v>46015.0</v>
      </c>
      <c r="E3115" s="47">
        <v>19.02</v>
      </c>
      <c r="F3115" s="47">
        <v>2717.14285714285</v>
      </c>
      <c r="G3115" s="48">
        <v>0.142857142857142</v>
      </c>
      <c r="H3115" s="24" t="s">
        <v>3337</v>
      </c>
      <c r="I3115" s="47"/>
      <c r="J3115" s="24">
        <v>0.0</v>
      </c>
    </row>
    <row r="3116">
      <c r="A3116" s="24">
        <v>2.0</v>
      </c>
      <c r="B3116" s="24">
        <v>0.0</v>
      </c>
      <c r="C3116" s="47">
        <v>0.0</v>
      </c>
      <c r="D3116" s="35">
        <v>46016.0</v>
      </c>
      <c r="E3116" s="47"/>
      <c r="F3116" s="47">
        <v>0.0</v>
      </c>
      <c r="G3116" s="48">
        <v>0.0</v>
      </c>
      <c r="H3116" s="24" t="s">
        <v>3337</v>
      </c>
      <c r="I3116" s="47"/>
      <c r="J3116" s="24">
        <v>0.0</v>
      </c>
    </row>
    <row r="3117">
      <c r="A3117" s="24">
        <v>9.0</v>
      </c>
      <c r="B3117" s="24">
        <v>0.0</v>
      </c>
      <c r="C3117" s="47">
        <v>0.0</v>
      </c>
      <c r="D3117" s="35">
        <v>46017.0</v>
      </c>
      <c r="E3117" s="47"/>
      <c r="F3117" s="47">
        <v>0.0</v>
      </c>
      <c r="G3117" s="48">
        <v>0.0</v>
      </c>
      <c r="H3117" s="24" t="s">
        <v>3337</v>
      </c>
      <c r="I3117" s="47"/>
      <c r="J3117" s="24">
        <v>0.0</v>
      </c>
    </row>
    <row r="3118">
      <c r="A3118" s="24">
        <v>3.0</v>
      </c>
      <c r="B3118" s="24">
        <v>0.0</v>
      </c>
      <c r="C3118" s="47">
        <v>0.0</v>
      </c>
      <c r="D3118" s="35">
        <v>46018.0</v>
      </c>
      <c r="E3118" s="47"/>
      <c r="F3118" s="47">
        <v>0.0</v>
      </c>
      <c r="G3118" s="48">
        <v>0.0</v>
      </c>
      <c r="H3118" s="24" t="s">
        <v>3337</v>
      </c>
      <c r="I3118" s="47"/>
      <c r="J3118" s="24">
        <v>0.0</v>
      </c>
    </row>
    <row r="3119">
      <c r="A3119" s="24">
        <v>2.0</v>
      </c>
      <c r="B3119" s="24">
        <v>0.0</v>
      </c>
      <c r="C3119" s="47">
        <v>0.0</v>
      </c>
      <c r="D3119" s="35">
        <v>46019.0</v>
      </c>
      <c r="E3119" s="47"/>
      <c r="F3119" s="47">
        <v>0.0</v>
      </c>
      <c r="G3119" s="48">
        <v>0.0</v>
      </c>
      <c r="H3119" s="24" t="s">
        <v>3337</v>
      </c>
      <c r="I3119" s="47"/>
      <c r="J3119" s="24">
        <v>0.0</v>
      </c>
    </row>
    <row r="3120">
      <c r="A3120" s="24">
        <v>15.0</v>
      </c>
      <c r="B3120" s="24">
        <v>0.0</v>
      </c>
      <c r="C3120" s="47">
        <v>0.0</v>
      </c>
      <c r="D3120" s="35">
        <v>46027.0</v>
      </c>
      <c r="E3120" s="47"/>
      <c r="F3120" s="47">
        <v>0.0</v>
      </c>
      <c r="G3120" s="48">
        <v>0.0</v>
      </c>
      <c r="H3120" s="24" t="s">
        <v>3337</v>
      </c>
      <c r="I3120" s="47"/>
      <c r="J3120" s="24">
        <v>0.0</v>
      </c>
    </row>
    <row r="3121">
      <c r="A3121" s="24">
        <v>28.0</v>
      </c>
      <c r="B3121" s="24">
        <v>1.0</v>
      </c>
      <c r="C3121" s="47">
        <v>19.45</v>
      </c>
      <c r="D3121" s="35">
        <v>46028.0</v>
      </c>
      <c r="E3121" s="47">
        <v>19.45</v>
      </c>
      <c r="F3121" s="47">
        <v>694.642857142857</v>
      </c>
      <c r="G3121" s="48">
        <v>0.0357142857142857</v>
      </c>
      <c r="H3121" s="24" t="s">
        <v>3337</v>
      </c>
      <c r="I3121" s="47"/>
      <c r="J3121" s="24">
        <v>0.0</v>
      </c>
    </row>
    <row r="3122">
      <c r="A3122" s="24">
        <v>31.0</v>
      </c>
      <c r="B3122" s="24">
        <v>2.0</v>
      </c>
      <c r="C3122" s="47">
        <v>39.8</v>
      </c>
      <c r="D3122" s="35">
        <v>46029.0</v>
      </c>
      <c r="E3122" s="47">
        <v>19.9</v>
      </c>
      <c r="F3122" s="47">
        <v>1283.87096774193</v>
      </c>
      <c r="G3122" s="48">
        <v>0.064516129032258</v>
      </c>
      <c r="H3122" s="24" t="s">
        <v>3337</v>
      </c>
      <c r="I3122" s="47"/>
      <c r="J3122" s="24">
        <v>0.0</v>
      </c>
    </row>
    <row r="3123">
      <c r="A3123" s="24">
        <v>20.0</v>
      </c>
      <c r="B3123" s="24">
        <v>1.0</v>
      </c>
      <c r="C3123" s="47">
        <v>19.45</v>
      </c>
      <c r="D3123" s="35">
        <v>46030.0</v>
      </c>
      <c r="E3123" s="47">
        <v>19.45</v>
      </c>
      <c r="F3123" s="47">
        <v>972.5</v>
      </c>
      <c r="G3123" s="48">
        <v>0.05</v>
      </c>
      <c r="H3123" s="24" t="s">
        <v>3337</v>
      </c>
      <c r="I3123" s="47"/>
      <c r="J3123" s="24">
        <v>0.0</v>
      </c>
    </row>
    <row r="3124">
      <c r="A3124" s="24">
        <v>17.0</v>
      </c>
      <c r="B3124" s="24">
        <v>2.0</v>
      </c>
      <c r="C3124" s="47">
        <v>38.25</v>
      </c>
      <c r="D3124" s="35">
        <v>46031.0</v>
      </c>
      <c r="E3124" s="47">
        <v>19.125</v>
      </c>
      <c r="F3124" s="47">
        <v>2250.0</v>
      </c>
      <c r="G3124" s="48">
        <v>0.117647058823529</v>
      </c>
      <c r="H3124" s="24" t="s">
        <v>3337</v>
      </c>
      <c r="I3124" s="47"/>
      <c r="J3124" s="24">
        <v>0.0</v>
      </c>
    </row>
    <row r="3125">
      <c r="A3125" s="24">
        <v>7.0</v>
      </c>
      <c r="B3125" s="24">
        <v>0.0</v>
      </c>
      <c r="C3125" s="47">
        <v>0.0</v>
      </c>
      <c r="D3125" s="35">
        <v>46032.0</v>
      </c>
      <c r="E3125" s="47"/>
      <c r="F3125" s="47">
        <v>0.0</v>
      </c>
      <c r="G3125" s="48">
        <v>0.0</v>
      </c>
      <c r="H3125" s="24" t="s">
        <v>3337</v>
      </c>
      <c r="I3125" s="47"/>
      <c r="J3125" s="24">
        <v>0.0</v>
      </c>
    </row>
    <row r="3126">
      <c r="A3126" s="24">
        <v>5.0</v>
      </c>
      <c r="B3126" s="24">
        <v>0.0</v>
      </c>
      <c r="C3126" s="47">
        <v>0.0</v>
      </c>
      <c r="D3126" s="35">
        <v>46033.0</v>
      </c>
      <c r="E3126" s="47"/>
      <c r="F3126" s="47">
        <v>0.0</v>
      </c>
      <c r="G3126" s="48">
        <v>0.0</v>
      </c>
      <c r="H3126" s="24" t="s">
        <v>3337</v>
      </c>
      <c r="I3126" s="47"/>
      <c r="J3126" s="24">
        <v>0.0</v>
      </c>
    </row>
    <row r="3127">
      <c r="A3127" s="24">
        <v>16.0</v>
      </c>
      <c r="B3127" s="24">
        <v>1.0</v>
      </c>
      <c r="C3127" s="47">
        <v>19.35</v>
      </c>
      <c r="D3127" s="35">
        <v>46034.0</v>
      </c>
      <c r="E3127" s="47">
        <v>19.35</v>
      </c>
      <c r="F3127" s="47">
        <v>1209.375</v>
      </c>
      <c r="G3127" s="48">
        <v>0.0625</v>
      </c>
      <c r="H3127" s="24" t="s">
        <v>3337</v>
      </c>
      <c r="I3127" s="47"/>
      <c r="J3127" s="24">
        <v>0.0</v>
      </c>
    </row>
    <row r="3128">
      <c r="A3128" s="24">
        <v>25.0</v>
      </c>
      <c r="B3128" s="24">
        <v>1.0</v>
      </c>
      <c r="C3128" s="47">
        <v>19.72</v>
      </c>
      <c r="D3128" s="35">
        <v>46035.0</v>
      </c>
      <c r="E3128" s="47">
        <v>19.72</v>
      </c>
      <c r="F3128" s="47">
        <v>788.8</v>
      </c>
      <c r="G3128" s="48">
        <v>0.04</v>
      </c>
      <c r="H3128" s="24" t="s">
        <v>3337</v>
      </c>
      <c r="I3128" s="47">
        <v>19.72</v>
      </c>
      <c r="J3128" s="24">
        <v>1.0</v>
      </c>
    </row>
    <row r="3129">
      <c r="A3129" s="24">
        <v>27.0</v>
      </c>
      <c r="B3129" s="24">
        <v>0.0</v>
      </c>
      <c r="C3129" s="47">
        <v>0.0</v>
      </c>
      <c r="D3129" s="35">
        <v>46036.0</v>
      </c>
      <c r="E3129" s="47"/>
      <c r="F3129" s="47">
        <v>0.0</v>
      </c>
      <c r="G3129" s="48">
        <v>0.0</v>
      </c>
      <c r="H3129" s="24" t="s">
        <v>3337</v>
      </c>
      <c r="I3129" s="47"/>
      <c r="J3129" s="24">
        <v>0.0</v>
      </c>
    </row>
    <row r="3130">
      <c r="A3130" s="24">
        <v>30.0</v>
      </c>
      <c r="B3130" s="24">
        <v>1.0</v>
      </c>
      <c r="C3130" s="47">
        <v>19.4</v>
      </c>
      <c r="D3130" s="35">
        <v>46037.0</v>
      </c>
      <c r="E3130" s="47">
        <v>19.4</v>
      </c>
      <c r="F3130" s="47">
        <v>646.666666666666</v>
      </c>
      <c r="G3130" s="48">
        <v>0.0333333333333333</v>
      </c>
      <c r="H3130" s="24" t="s">
        <v>3337</v>
      </c>
      <c r="I3130" s="47"/>
      <c r="J3130" s="24">
        <v>0.0</v>
      </c>
    </row>
    <row r="3131">
      <c r="A3131" s="24">
        <v>14.0</v>
      </c>
      <c r="B3131" s="24">
        <v>1.0</v>
      </c>
      <c r="C3131" s="47">
        <v>18.91</v>
      </c>
      <c r="D3131" s="35">
        <v>46038.0</v>
      </c>
      <c r="E3131" s="47">
        <v>18.91</v>
      </c>
      <c r="F3131" s="47">
        <v>1350.71428571428</v>
      </c>
      <c r="G3131" s="48">
        <v>0.0714285714285714</v>
      </c>
      <c r="H3131" s="24" t="s">
        <v>3337</v>
      </c>
      <c r="I3131" s="47"/>
      <c r="J3131" s="24">
        <v>0.0</v>
      </c>
    </row>
    <row r="3132">
      <c r="A3132" s="24">
        <v>14.0</v>
      </c>
      <c r="B3132" s="24">
        <v>0.0</v>
      </c>
      <c r="C3132" s="47">
        <v>0.0</v>
      </c>
      <c r="D3132" s="35">
        <v>46039.0</v>
      </c>
      <c r="E3132" s="47"/>
      <c r="F3132" s="47">
        <v>0.0</v>
      </c>
      <c r="G3132" s="48">
        <v>0.0</v>
      </c>
      <c r="H3132" s="24" t="s">
        <v>3337</v>
      </c>
      <c r="I3132" s="47"/>
      <c r="J3132" s="24">
        <v>0.0</v>
      </c>
    </row>
    <row r="3133">
      <c r="A3133" s="24">
        <v>15.0</v>
      </c>
      <c r="B3133" s="24">
        <v>0.0</v>
      </c>
      <c r="C3133" s="47">
        <v>0.0</v>
      </c>
      <c r="D3133" s="35">
        <v>46040.0</v>
      </c>
      <c r="E3133" s="47"/>
      <c r="F3133" s="47">
        <v>0.0</v>
      </c>
      <c r="G3133" s="48">
        <v>0.0</v>
      </c>
      <c r="H3133" s="24" t="s">
        <v>3337</v>
      </c>
      <c r="I3133" s="47"/>
      <c r="J3133" s="24">
        <v>0.0</v>
      </c>
    </row>
    <row r="3134">
      <c r="A3134" s="24">
        <v>19.0</v>
      </c>
      <c r="B3134" s="24">
        <v>2.0</v>
      </c>
      <c r="C3134" s="47">
        <v>38.49</v>
      </c>
      <c r="D3134" s="35">
        <v>46041.0</v>
      </c>
      <c r="E3134" s="47">
        <v>19.245</v>
      </c>
      <c r="F3134" s="47">
        <v>2025.78947368421</v>
      </c>
      <c r="G3134" s="48">
        <v>0.105263157894736</v>
      </c>
      <c r="H3134" s="24" t="s">
        <v>3337</v>
      </c>
      <c r="I3134" s="47"/>
      <c r="J3134" s="24">
        <v>0.0</v>
      </c>
    </row>
    <row r="3135">
      <c r="A3135" s="24">
        <v>22.0</v>
      </c>
      <c r="B3135" s="24">
        <v>0.0</v>
      </c>
      <c r="C3135" s="47">
        <v>0.0</v>
      </c>
      <c r="D3135" s="35">
        <v>46042.0</v>
      </c>
      <c r="E3135" s="47"/>
      <c r="F3135" s="47">
        <v>0.0</v>
      </c>
      <c r="G3135" s="48">
        <v>0.0</v>
      </c>
      <c r="H3135" s="24" t="s">
        <v>3337</v>
      </c>
      <c r="I3135" s="47"/>
      <c r="J3135" s="24">
        <v>0.0</v>
      </c>
    </row>
    <row r="3136">
      <c r="A3136" s="24">
        <v>33.0</v>
      </c>
      <c r="B3136" s="24">
        <v>1.0</v>
      </c>
      <c r="C3136" s="47">
        <v>19.44</v>
      </c>
      <c r="D3136" s="35">
        <v>46043.0</v>
      </c>
      <c r="E3136" s="47">
        <v>19.44</v>
      </c>
      <c r="F3136" s="47">
        <v>589.090909090909</v>
      </c>
      <c r="G3136" s="48">
        <v>0.0303030303030303</v>
      </c>
      <c r="H3136" s="24" t="s">
        <v>3337</v>
      </c>
      <c r="I3136" s="47"/>
      <c r="J3136" s="24">
        <v>0.0</v>
      </c>
    </row>
    <row r="3137">
      <c r="A3137" s="24">
        <v>30.0</v>
      </c>
      <c r="B3137" s="24">
        <v>2.0</v>
      </c>
      <c r="C3137" s="47">
        <v>39.17</v>
      </c>
      <c r="D3137" s="35">
        <v>46044.0</v>
      </c>
      <c r="E3137" s="47">
        <v>19.585</v>
      </c>
      <c r="F3137" s="47">
        <v>1305.66666666666</v>
      </c>
      <c r="G3137" s="48">
        <v>0.0666666666666666</v>
      </c>
      <c r="H3137" s="24" t="s">
        <v>3337</v>
      </c>
      <c r="I3137" s="47"/>
      <c r="J3137" s="24">
        <v>0.0</v>
      </c>
    </row>
    <row r="3138">
      <c r="A3138" s="24">
        <v>15.0</v>
      </c>
      <c r="B3138" s="24">
        <v>0.0</v>
      </c>
      <c r="C3138" s="47">
        <v>0.0</v>
      </c>
      <c r="D3138" s="35">
        <v>46045.0</v>
      </c>
      <c r="E3138" s="47"/>
      <c r="F3138" s="47">
        <v>0.0</v>
      </c>
      <c r="G3138" s="48">
        <v>0.0</v>
      </c>
      <c r="H3138" s="24" t="s">
        <v>3337</v>
      </c>
      <c r="I3138" s="47"/>
      <c r="J3138" s="24">
        <v>0.0</v>
      </c>
    </row>
    <row r="3139">
      <c r="A3139" s="24">
        <v>4.0</v>
      </c>
      <c r="B3139" s="24">
        <v>0.0</v>
      </c>
      <c r="C3139" s="47">
        <v>0.0</v>
      </c>
      <c r="D3139" s="35">
        <v>46046.0</v>
      </c>
      <c r="E3139" s="47"/>
      <c r="F3139" s="47">
        <v>0.0</v>
      </c>
      <c r="G3139" s="48">
        <v>0.0</v>
      </c>
      <c r="H3139" s="24" t="s">
        <v>3337</v>
      </c>
      <c r="I3139" s="47"/>
      <c r="J3139" s="24">
        <v>0.0</v>
      </c>
    </row>
    <row r="3140">
      <c r="A3140" s="24">
        <v>10.0</v>
      </c>
      <c r="B3140" s="24">
        <v>0.0</v>
      </c>
      <c r="C3140" s="47">
        <v>0.0</v>
      </c>
      <c r="D3140" s="35">
        <v>46047.0</v>
      </c>
      <c r="E3140" s="47"/>
      <c r="F3140" s="47">
        <v>0.0</v>
      </c>
      <c r="G3140" s="48">
        <v>0.0</v>
      </c>
      <c r="H3140" s="24" t="s">
        <v>3337</v>
      </c>
      <c r="I3140" s="47"/>
      <c r="J3140" s="24">
        <v>0.0</v>
      </c>
    </row>
    <row r="3141">
      <c r="A3141" s="24">
        <v>23.0</v>
      </c>
      <c r="B3141" s="24">
        <v>0.0</v>
      </c>
      <c r="C3141" s="47">
        <v>0.0</v>
      </c>
      <c r="D3141" s="35">
        <v>46048.0</v>
      </c>
      <c r="E3141" s="47"/>
      <c r="F3141" s="47">
        <v>0.0</v>
      </c>
      <c r="G3141" s="48">
        <v>0.0</v>
      </c>
      <c r="H3141" s="24" t="s">
        <v>3337</v>
      </c>
      <c r="I3141" s="47"/>
      <c r="J3141" s="24">
        <v>0.0</v>
      </c>
    </row>
    <row r="3142">
      <c r="A3142" s="24">
        <v>36.0</v>
      </c>
      <c r="B3142" s="24">
        <v>2.0</v>
      </c>
      <c r="C3142" s="47">
        <v>39.06</v>
      </c>
      <c r="D3142" s="35">
        <v>46049.0</v>
      </c>
      <c r="E3142" s="47">
        <v>19.53</v>
      </c>
      <c r="F3142" s="47">
        <v>1085.0</v>
      </c>
      <c r="G3142" s="48">
        <v>0.0555555555555555</v>
      </c>
      <c r="H3142" s="24" t="s">
        <v>3337</v>
      </c>
      <c r="I3142" s="47"/>
      <c r="J3142" s="24">
        <v>0.0</v>
      </c>
    </row>
    <row r="3143">
      <c r="A3143" s="24">
        <v>2.0</v>
      </c>
      <c r="B3143" s="24">
        <v>0.0</v>
      </c>
      <c r="C3143" s="47">
        <v>0.0</v>
      </c>
      <c r="D3143" s="35">
        <v>45924.0</v>
      </c>
      <c r="E3143" s="47"/>
      <c r="F3143" s="47">
        <v>0.0</v>
      </c>
      <c r="G3143" s="48">
        <v>0.0</v>
      </c>
      <c r="H3143" s="24" t="s">
        <v>6772</v>
      </c>
      <c r="I3143" s="47"/>
      <c r="J3143" s="24">
        <v>0.0</v>
      </c>
    </row>
    <row r="3144">
      <c r="A3144" s="24">
        <v>5.0</v>
      </c>
      <c r="B3144" s="24">
        <v>0.0</v>
      </c>
      <c r="C3144" s="47">
        <v>0.0</v>
      </c>
      <c r="D3144" s="35">
        <v>45925.0</v>
      </c>
      <c r="E3144" s="47"/>
      <c r="F3144" s="47">
        <v>0.0</v>
      </c>
      <c r="G3144" s="48">
        <v>0.0</v>
      </c>
      <c r="H3144" s="24" t="s">
        <v>6772</v>
      </c>
      <c r="I3144" s="47"/>
      <c r="J3144" s="24">
        <v>0.0</v>
      </c>
    </row>
    <row r="3145">
      <c r="A3145" s="24">
        <v>598.0</v>
      </c>
      <c r="B3145" s="24">
        <v>4.0</v>
      </c>
      <c r="C3145" s="47">
        <v>99.802021</v>
      </c>
      <c r="D3145" s="35">
        <v>45926.0</v>
      </c>
      <c r="E3145" s="47">
        <v>24.95050525</v>
      </c>
      <c r="F3145" s="47">
        <v>166.893011705685</v>
      </c>
      <c r="G3145" s="48">
        <v>0.00668896321070234</v>
      </c>
      <c r="H3145" s="24" t="s">
        <v>6772</v>
      </c>
      <c r="I3145" s="47"/>
      <c r="J3145" s="24">
        <v>0.0</v>
      </c>
    </row>
    <row r="3146">
      <c r="A3146" s="24">
        <v>522.0</v>
      </c>
      <c r="B3146" s="24">
        <v>5.0</v>
      </c>
      <c r="C3146" s="47">
        <v>99.66</v>
      </c>
      <c r="D3146" s="35">
        <v>45927.0</v>
      </c>
      <c r="E3146" s="47">
        <v>19.932</v>
      </c>
      <c r="F3146" s="47">
        <v>190.919540229885</v>
      </c>
      <c r="G3146" s="48">
        <v>0.00957854406130268</v>
      </c>
      <c r="H3146" s="24" t="s">
        <v>6772</v>
      </c>
      <c r="I3146" s="47"/>
      <c r="J3146" s="24">
        <v>0.0</v>
      </c>
    </row>
    <row r="3147">
      <c r="A3147" s="24">
        <v>428.0</v>
      </c>
      <c r="B3147" s="24">
        <v>4.0</v>
      </c>
      <c r="C3147" s="47">
        <v>58.21</v>
      </c>
      <c r="D3147" s="35">
        <v>45928.0</v>
      </c>
      <c r="E3147" s="47">
        <v>14.5525</v>
      </c>
      <c r="F3147" s="47">
        <v>136.004672897196</v>
      </c>
      <c r="G3147" s="48">
        <v>0.00934579439252336</v>
      </c>
      <c r="H3147" s="24" t="s">
        <v>6772</v>
      </c>
      <c r="I3147" s="47"/>
      <c r="J3147" s="24">
        <v>0.0</v>
      </c>
    </row>
    <row r="3148">
      <c r="A3148" s="24">
        <v>332.0</v>
      </c>
      <c r="B3148" s="24">
        <v>3.0</v>
      </c>
      <c r="C3148" s="47">
        <v>50.91</v>
      </c>
      <c r="D3148" s="35">
        <v>45929.0</v>
      </c>
      <c r="E3148" s="47">
        <v>16.97</v>
      </c>
      <c r="F3148" s="47">
        <v>153.343373493975</v>
      </c>
      <c r="G3148" s="48">
        <v>0.00903614457831325</v>
      </c>
      <c r="H3148" s="24" t="s">
        <v>6772</v>
      </c>
      <c r="I3148" s="47"/>
      <c r="J3148" s="24">
        <v>0.0</v>
      </c>
    </row>
    <row r="3149">
      <c r="A3149" s="24">
        <v>403.0</v>
      </c>
      <c r="B3149" s="24">
        <v>4.0</v>
      </c>
      <c r="C3149" s="47">
        <v>33.97</v>
      </c>
      <c r="D3149" s="35">
        <v>45930.0</v>
      </c>
      <c r="E3149" s="47">
        <v>8.4925</v>
      </c>
      <c r="F3149" s="47">
        <v>84.2928039702233</v>
      </c>
      <c r="G3149" s="48">
        <v>0.00992555831265508</v>
      </c>
      <c r="H3149" s="24" t="s">
        <v>6772</v>
      </c>
      <c r="I3149" s="47"/>
      <c r="J3149" s="24">
        <v>0.0</v>
      </c>
    </row>
    <row r="3150">
      <c r="A3150" s="24">
        <v>403.0</v>
      </c>
      <c r="B3150" s="24">
        <v>7.0</v>
      </c>
      <c r="C3150" s="47">
        <v>64.47</v>
      </c>
      <c r="D3150" s="35">
        <v>45931.0</v>
      </c>
      <c r="E3150" s="47">
        <v>9.21</v>
      </c>
      <c r="F3150" s="47">
        <v>159.975186104218</v>
      </c>
      <c r="G3150" s="48">
        <v>0.0173697270471464</v>
      </c>
      <c r="H3150" s="24" t="s">
        <v>6772</v>
      </c>
      <c r="I3150" s="47"/>
      <c r="J3150" s="24">
        <v>0.0</v>
      </c>
    </row>
    <row r="3151">
      <c r="A3151" s="24">
        <v>215.0</v>
      </c>
      <c r="B3151" s="24">
        <v>7.0</v>
      </c>
      <c r="C3151" s="47">
        <v>63.387689</v>
      </c>
      <c r="D3151" s="35">
        <v>45932.0</v>
      </c>
      <c r="E3151" s="47">
        <v>9.05538414285714</v>
      </c>
      <c r="F3151" s="47">
        <v>294.826460465116</v>
      </c>
      <c r="G3151" s="48">
        <v>0.0325581395348837</v>
      </c>
      <c r="H3151" s="24" t="s">
        <v>6772</v>
      </c>
      <c r="I3151" s="47"/>
      <c r="J3151" s="24">
        <v>0.0</v>
      </c>
    </row>
    <row r="3152">
      <c r="A3152" s="24">
        <v>685.0</v>
      </c>
      <c r="B3152" s="24">
        <v>3.0</v>
      </c>
      <c r="C3152" s="47">
        <v>24.99</v>
      </c>
      <c r="D3152" s="35">
        <v>45933.0</v>
      </c>
      <c r="E3152" s="47">
        <v>8.33</v>
      </c>
      <c r="F3152" s="47">
        <v>36.4817518248175</v>
      </c>
      <c r="G3152" s="48">
        <v>0.00437956204379562</v>
      </c>
      <c r="H3152" s="24" t="s">
        <v>6772</v>
      </c>
      <c r="I3152" s="47"/>
      <c r="J3152" s="24">
        <v>0.0</v>
      </c>
    </row>
    <row r="3153">
      <c r="A3153" s="24">
        <v>433.0</v>
      </c>
      <c r="B3153" s="24">
        <v>5.0</v>
      </c>
      <c r="C3153" s="47">
        <v>42.84</v>
      </c>
      <c r="D3153" s="35">
        <v>45934.0</v>
      </c>
      <c r="E3153" s="47">
        <v>8.568</v>
      </c>
      <c r="F3153" s="47">
        <v>98.9376443418013</v>
      </c>
      <c r="G3153" s="48">
        <v>0.0115473441108545</v>
      </c>
      <c r="H3153" s="24" t="s">
        <v>6772</v>
      </c>
      <c r="I3153" s="47"/>
      <c r="J3153" s="24">
        <v>0.0</v>
      </c>
    </row>
    <row r="3154">
      <c r="A3154" s="24">
        <v>441.0</v>
      </c>
      <c r="B3154" s="24">
        <v>7.0</v>
      </c>
      <c r="C3154" s="47">
        <v>58.31116</v>
      </c>
      <c r="D3154" s="35">
        <v>45935.0</v>
      </c>
      <c r="E3154" s="47">
        <v>8.33016571428571</v>
      </c>
      <c r="F3154" s="47">
        <v>132.224852607709</v>
      </c>
      <c r="G3154" s="48">
        <v>0.0158730158730158</v>
      </c>
      <c r="H3154" s="24" t="s">
        <v>6772</v>
      </c>
      <c r="I3154" s="47"/>
      <c r="J3154" s="24">
        <v>0.0</v>
      </c>
    </row>
    <row r="3155">
      <c r="A3155" s="24">
        <v>55.0</v>
      </c>
      <c r="B3155" s="24">
        <v>1.0</v>
      </c>
      <c r="C3155" s="47">
        <v>8.44</v>
      </c>
      <c r="D3155" s="35">
        <v>45936.0</v>
      </c>
      <c r="E3155" s="47">
        <v>8.44</v>
      </c>
      <c r="F3155" s="47">
        <v>153.454545454545</v>
      </c>
      <c r="G3155" s="48">
        <v>0.0181818181818181</v>
      </c>
      <c r="H3155" s="24" t="s">
        <v>6772</v>
      </c>
      <c r="I3155" s="47"/>
      <c r="J3155" s="24">
        <v>0.0</v>
      </c>
    </row>
    <row r="3156">
      <c r="A3156" s="24">
        <v>24.0</v>
      </c>
      <c r="B3156" s="24">
        <v>1.0</v>
      </c>
      <c r="C3156" s="47">
        <v>12.33</v>
      </c>
      <c r="D3156" s="35">
        <v>45938.0</v>
      </c>
      <c r="E3156" s="47">
        <v>12.33</v>
      </c>
      <c r="F3156" s="47">
        <v>513.75</v>
      </c>
      <c r="G3156" s="48">
        <v>0.0416666666666666</v>
      </c>
      <c r="H3156" s="24" t="s">
        <v>6772</v>
      </c>
      <c r="I3156" s="47"/>
      <c r="J3156" s="24">
        <v>0.0</v>
      </c>
    </row>
    <row r="3157">
      <c r="A3157" s="24">
        <v>123.0</v>
      </c>
      <c r="B3157" s="24">
        <v>0.0</v>
      </c>
      <c r="C3157" s="47">
        <v>0.0</v>
      </c>
      <c r="D3157" s="35">
        <v>45939.0</v>
      </c>
      <c r="E3157" s="47"/>
      <c r="F3157" s="47">
        <v>0.0</v>
      </c>
      <c r="G3157" s="48">
        <v>0.0</v>
      </c>
      <c r="H3157" s="24" t="s">
        <v>6772</v>
      </c>
      <c r="I3157" s="47"/>
      <c r="J3157" s="24">
        <v>0.0</v>
      </c>
    </row>
    <row r="3158">
      <c r="A3158" s="24">
        <v>102.0</v>
      </c>
      <c r="B3158" s="24">
        <v>2.0</v>
      </c>
      <c r="C3158" s="47">
        <v>73.14</v>
      </c>
      <c r="D3158" s="35">
        <v>45940.0</v>
      </c>
      <c r="E3158" s="47">
        <v>36.57</v>
      </c>
      <c r="F3158" s="47">
        <v>717.058823529411</v>
      </c>
      <c r="G3158" s="48">
        <v>0.0196078431372549</v>
      </c>
      <c r="H3158" s="24" t="s">
        <v>6772</v>
      </c>
      <c r="I3158" s="47"/>
      <c r="J3158" s="24">
        <v>0.0</v>
      </c>
    </row>
    <row r="3159">
      <c r="A3159" s="24">
        <v>78.0</v>
      </c>
      <c r="B3159" s="24">
        <v>2.0</v>
      </c>
      <c r="C3159" s="47">
        <v>68.72</v>
      </c>
      <c r="D3159" s="35">
        <v>45941.0</v>
      </c>
      <c r="E3159" s="47">
        <v>34.36</v>
      </c>
      <c r="F3159" s="47">
        <v>881.025641025641</v>
      </c>
      <c r="G3159" s="48">
        <v>0.0256410256410256</v>
      </c>
      <c r="H3159" s="24" t="s">
        <v>6772</v>
      </c>
      <c r="I3159" s="47"/>
      <c r="J3159" s="24">
        <v>0.0</v>
      </c>
    </row>
    <row r="3160">
      <c r="A3160" s="24">
        <v>111.0</v>
      </c>
      <c r="B3160" s="24">
        <v>0.0</v>
      </c>
      <c r="C3160" s="47">
        <v>0.0</v>
      </c>
      <c r="D3160" s="35">
        <v>45942.0</v>
      </c>
      <c r="E3160" s="47"/>
      <c r="F3160" s="47">
        <v>0.0</v>
      </c>
      <c r="G3160" s="48">
        <v>0.0</v>
      </c>
      <c r="H3160" s="24" t="s">
        <v>6772</v>
      </c>
      <c r="I3160" s="47"/>
      <c r="J3160" s="24">
        <v>0.0</v>
      </c>
    </row>
    <row r="3161">
      <c r="A3161" s="24">
        <v>68.0</v>
      </c>
      <c r="B3161" s="24">
        <v>1.0</v>
      </c>
      <c r="C3161" s="47">
        <v>98.65</v>
      </c>
      <c r="D3161" s="35">
        <v>45943.0</v>
      </c>
      <c r="E3161" s="47">
        <v>98.65</v>
      </c>
      <c r="F3161" s="47">
        <v>1450.73529411764</v>
      </c>
      <c r="G3161" s="48">
        <v>0.0147058823529411</v>
      </c>
      <c r="H3161" s="24" t="s">
        <v>6772</v>
      </c>
      <c r="I3161" s="47"/>
      <c r="J3161" s="24">
        <v>0.0</v>
      </c>
    </row>
    <row r="3162">
      <c r="A3162" s="24">
        <v>6.0</v>
      </c>
      <c r="B3162" s="24">
        <v>1.0</v>
      </c>
      <c r="C3162" s="47">
        <v>96.68</v>
      </c>
      <c r="D3162" s="35">
        <v>45944.0</v>
      </c>
      <c r="E3162" s="47">
        <v>96.68</v>
      </c>
      <c r="F3162" s="47">
        <v>16113.3333333333</v>
      </c>
      <c r="G3162" s="48">
        <v>0.166666666666666</v>
      </c>
      <c r="H3162" s="24" t="s">
        <v>6772</v>
      </c>
      <c r="I3162" s="47"/>
      <c r="J3162" s="24">
        <v>0.0</v>
      </c>
    </row>
    <row r="3163">
      <c r="A3163" s="24">
        <v>216.0</v>
      </c>
      <c r="B3163" s="24">
        <v>2.0</v>
      </c>
      <c r="C3163" s="47">
        <v>97.93</v>
      </c>
      <c r="D3163" s="35">
        <v>45945.0</v>
      </c>
      <c r="E3163" s="47">
        <v>48.965</v>
      </c>
      <c r="F3163" s="47">
        <v>453.379629629629</v>
      </c>
      <c r="G3163" s="48">
        <v>0.00925925925925925</v>
      </c>
      <c r="H3163" s="24" t="s">
        <v>6772</v>
      </c>
      <c r="I3163" s="47"/>
      <c r="J3163" s="24">
        <v>0.0</v>
      </c>
    </row>
    <row r="3164">
      <c r="A3164" s="24">
        <v>20.0</v>
      </c>
      <c r="B3164" s="24">
        <v>3.0</v>
      </c>
      <c r="C3164" s="47">
        <v>72.615266</v>
      </c>
      <c r="D3164" s="35">
        <v>45946.0</v>
      </c>
      <c r="E3164" s="47">
        <v>24.2050886666666</v>
      </c>
      <c r="F3164" s="47">
        <v>3630.7633</v>
      </c>
      <c r="G3164" s="48">
        <v>0.15</v>
      </c>
      <c r="H3164" s="24" t="s">
        <v>6772</v>
      </c>
      <c r="I3164" s="47"/>
      <c r="J3164" s="24">
        <v>0.0</v>
      </c>
    </row>
    <row r="3165">
      <c r="A3165" s="24">
        <v>77.0</v>
      </c>
      <c r="B3165" s="24">
        <v>2.0</v>
      </c>
      <c r="C3165" s="47">
        <v>72.9</v>
      </c>
      <c r="D3165" s="35">
        <v>45947.0</v>
      </c>
      <c r="E3165" s="47">
        <v>36.45</v>
      </c>
      <c r="F3165" s="47">
        <v>946.753246753246</v>
      </c>
      <c r="G3165" s="48">
        <v>0.0259740259740259</v>
      </c>
      <c r="H3165" s="24" t="s">
        <v>6772</v>
      </c>
      <c r="I3165" s="47"/>
      <c r="J3165" s="24">
        <v>0.0</v>
      </c>
    </row>
    <row r="3166">
      <c r="A3166" s="24">
        <v>47.0</v>
      </c>
      <c r="B3166" s="24">
        <v>1.0</v>
      </c>
      <c r="C3166" s="47">
        <v>43.82</v>
      </c>
      <c r="D3166" s="35">
        <v>45948.0</v>
      </c>
      <c r="E3166" s="47">
        <v>43.82</v>
      </c>
      <c r="F3166" s="47">
        <v>932.340425531915</v>
      </c>
      <c r="G3166" s="48">
        <v>0.0212765957446808</v>
      </c>
      <c r="H3166" s="24" t="s">
        <v>6772</v>
      </c>
      <c r="I3166" s="47"/>
      <c r="J3166" s="24">
        <v>0.0</v>
      </c>
    </row>
    <row r="3167">
      <c r="A3167" s="24">
        <v>87.0</v>
      </c>
      <c r="B3167" s="24">
        <v>0.0</v>
      </c>
      <c r="C3167" s="47">
        <v>0.0</v>
      </c>
      <c r="D3167" s="35">
        <v>45949.0</v>
      </c>
      <c r="E3167" s="47"/>
      <c r="F3167" s="47">
        <v>0.0</v>
      </c>
      <c r="G3167" s="48">
        <v>0.0</v>
      </c>
      <c r="H3167" s="24" t="s">
        <v>6772</v>
      </c>
      <c r="I3167" s="47"/>
      <c r="J3167" s="24">
        <v>0.0</v>
      </c>
    </row>
    <row r="3168">
      <c r="A3168" s="24">
        <v>116.0</v>
      </c>
      <c r="B3168" s="24">
        <v>1.0</v>
      </c>
      <c r="C3168" s="47">
        <v>76.06</v>
      </c>
      <c r="D3168" s="35">
        <v>45950.0</v>
      </c>
      <c r="E3168" s="47">
        <v>76.06</v>
      </c>
      <c r="F3168" s="47">
        <v>655.689655172413</v>
      </c>
      <c r="G3168" s="48">
        <v>0.00862068965517241</v>
      </c>
      <c r="H3168" s="24" t="s">
        <v>6772</v>
      </c>
      <c r="I3168" s="47"/>
      <c r="J3168" s="24">
        <v>0.0</v>
      </c>
    </row>
    <row r="3169">
      <c r="A3169" s="24">
        <v>45.0</v>
      </c>
      <c r="B3169" s="24">
        <v>1.0</v>
      </c>
      <c r="C3169" s="47">
        <v>58.38</v>
      </c>
      <c r="D3169" s="35">
        <v>45951.0</v>
      </c>
      <c r="E3169" s="47">
        <v>58.38</v>
      </c>
      <c r="F3169" s="47">
        <v>1297.33333333333</v>
      </c>
      <c r="G3169" s="48">
        <v>0.0222222222222222</v>
      </c>
      <c r="H3169" s="24" t="s">
        <v>6772</v>
      </c>
      <c r="I3169" s="47"/>
      <c r="J3169" s="24">
        <v>0.0</v>
      </c>
    </row>
    <row r="3170">
      <c r="A3170" s="24">
        <v>41.0</v>
      </c>
      <c r="B3170" s="24">
        <v>1.0</v>
      </c>
      <c r="C3170" s="47">
        <v>54.49</v>
      </c>
      <c r="D3170" s="35">
        <v>45952.0</v>
      </c>
      <c r="E3170" s="47">
        <v>54.49</v>
      </c>
      <c r="F3170" s="47">
        <v>1329.0243902439</v>
      </c>
      <c r="G3170" s="48">
        <v>0.024390243902439</v>
      </c>
      <c r="H3170" s="24" t="s">
        <v>6772</v>
      </c>
      <c r="I3170" s="47"/>
      <c r="J3170" s="24">
        <v>0.0</v>
      </c>
    </row>
    <row r="3171">
      <c r="A3171" s="24">
        <v>40.0</v>
      </c>
      <c r="B3171" s="24">
        <v>1.0</v>
      </c>
      <c r="C3171" s="47">
        <v>50.445234</v>
      </c>
      <c r="D3171" s="35">
        <v>45953.0</v>
      </c>
      <c r="E3171" s="47">
        <v>50.445234</v>
      </c>
      <c r="F3171" s="47">
        <v>1261.13085</v>
      </c>
      <c r="G3171" s="48">
        <v>0.025</v>
      </c>
      <c r="H3171" s="24" t="s">
        <v>6772</v>
      </c>
      <c r="I3171" s="47"/>
      <c r="J3171" s="24">
        <v>0.0</v>
      </c>
    </row>
    <row r="3172">
      <c r="A3172" s="24">
        <v>106.0</v>
      </c>
      <c r="B3172" s="24">
        <v>1.0</v>
      </c>
      <c r="C3172" s="47">
        <v>43.13</v>
      </c>
      <c r="D3172" s="35">
        <v>45954.0</v>
      </c>
      <c r="E3172" s="47">
        <v>43.13</v>
      </c>
      <c r="F3172" s="47">
        <v>406.88679245283</v>
      </c>
      <c r="G3172" s="48">
        <v>0.00943396226415094</v>
      </c>
      <c r="H3172" s="24" t="s">
        <v>6772</v>
      </c>
      <c r="I3172" s="47"/>
      <c r="J3172" s="24">
        <v>0.0</v>
      </c>
    </row>
    <row r="3173">
      <c r="A3173" s="24">
        <v>6.0</v>
      </c>
      <c r="B3173" s="24">
        <v>0.0</v>
      </c>
      <c r="C3173" s="47">
        <v>0.0</v>
      </c>
      <c r="D3173" s="35">
        <v>45955.0</v>
      </c>
      <c r="E3173" s="47"/>
      <c r="F3173" s="47">
        <v>0.0</v>
      </c>
      <c r="G3173" s="48">
        <v>0.0</v>
      </c>
      <c r="H3173" s="24" t="s">
        <v>6772</v>
      </c>
      <c r="I3173" s="47"/>
      <c r="J3173" s="24">
        <v>0.0</v>
      </c>
    </row>
    <row r="3174">
      <c r="A3174" s="24">
        <v>56.0</v>
      </c>
      <c r="B3174" s="24">
        <v>1.0</v>
      </c>
      <c r="C3174" s="47">
        <v>27.73</v>
      </c>
      <c r="D3174" s="35">
        <v>45926.0</v>
      </c>
      <c r="E3174" s="47">
        <v>27.73</v>
      </c>
      <c r="F3174" s="47">
        <v>495.178571428571</v>
      </c>
      <c r="G3174" s="48">
        <v>0.0178571428571428</v>
      </c>
      <c r="H3174" s="24" t="s">
        <v>6773</v>
      </c>
      <c r="I3174" s="47"/>
      <c r="J3174" s="24">
        <v>0.0</v>
      </c>
    </row>
    <row r="3175">
      <c r="A3175" s="24">
        <v>101.0</v>
      </c>
      <c r="B3175" s="24">
        <v>0.0</v>
      </c>
      <c r="C3175" s="47">
        <v>0.0</v>
      </c>
      <c r="D3175" s="35">
        <v>45927.0</v>
      </c>
      <c r="E3175" s="47"/>
      <c r="F3175" s="47">
        <v>0.0</v>
      </c>
      <c r="G3175" s="48">
        <v>0.0</v>
      </c>
      <c r="H3175" s="24" t="s">
        <v>6773</v>
      </c>
      <c r="I3175" s="47"/>
      <c r="J3175" s="24">
        <v>0.0</v>
      </c>
    </row>
    <row r="3176">
      <c r="A3176" s="24">
        <v>60.0</v>
      </c>
      <c r="B3176" s="24">
        <v>1.0</v>
      </c>
      <c r="C3176" s="47">
        <v>85.15</v>
      </c>
      <c r="D3176" s="35">
        <v>45928.0</v>
      </c>
      <c r="E3176" s="47">
        <v>85.15</v>
      </c>
      <c r="F3176" s="47">
        <v>1419.16666666666</v>
      </c>
      <c r="G3176" s="48">
        <v>0.0166666666666666</v>
      </c>
      <c r="H3176" s="24" t="s">
        <v>6773</v>
      </c>
      <c r="I3176" s="47"/>
      <c r="J3176" s="24">
        <v>0.0</v>
      </c>
    </row>
    <row r="3177">
      <c r="A3177" s="24">
        <v>59.0</v>
      </c>
      <c r="B3177" s="24">
        <v>1.0</v>
      </c>
      <c r="C3177" s="47">
        <v>99.84</v>
      </c>
      <c r="D3177" s="35">
        <v>45929.0</v>
      </c>
      <c r="E3177" s="47">
        <v>99.84</v>
      </c>
      <c r="F3177" s="47">
        <v>1692.2033898305</v>
      </c>
      <c r="G3177" s="48">
        <v>0.0169491525423728</v>
      </c>
      <c r="H3177" s="24" t="s">
        <v>6773</v>
      </c>
      <c r="I3177" s="47"/>
      <c r="J3177" s="24">
        <v>0.0</v>
      </c>
    </row>
    <row r="3178">
      <c r="A3178" s="24">
        <v>3.0</v>
      </c>
      <c r="B3178" s="24">
        <v>1.0</v>
      </c>
      <c r="C3178" s="47">
        <v>95.43</v>
      </c>
      <c r="D3178" s="35">
        <v>45930.0</v>
      </c>
      <c r="E3178" s="47">
        <v>95.43</v>
      </c>
      <c r="F3178" s="47">
        <v>31810.0</v>
      </c>
      <c r="G3178" s="48">
        <v>0.333333333333333</v>
      </c>
      <c r="H3178" s="24" t="s">
        <v>6773</v>
      </c>
      <c r="I3178" s="47"/>
      <c r="J3178" s="24">
        <v>0.0</v>
      </c>
    </row>
    <row r="3179">
      <c r="A3179" s="24">
        <v>196.0</v>
      </c>
      <c r="B3179" s="24">
        <v>1.0</v>
      </c>
      <c r="C3179" s="47">
        <v>53.02</v>
      </c>
      <c r="D3179" s="35">
        <v>45931.0</v>
      </c>
      <c r="E3179" s="47">
        <v>53.02</v>
      </c>
      <c r="F3179" s="47">
        <v>270.510204081632</v>
      </c>
      <c r="G3179" s="48">
        <v>0.00510204081632653</v>
      </c>
      <c r="H3179" s="24" t="s">
        <v>6773</v>
      </c>
      <c r="I3179" s="47"/>
      <c r="J3179" s="24">
        <v>0.0</v>
      </c>
    </row>
    <row r="3180">
      <c r="A3180" s="24">
        <v>81.0</v>
      </c>
      <c r="B3180" s="24">
        <v>2.0</v>
      </c>
      <c r="C3180" s="47">
        <v>39.61</v>
      </c>
      <c r="D3180" s="35">
        <v>45932.0</v>
      </c>
      <c r="E3180" s="47">
        <v>19.805</v>
      </c>
      <c r="F3180" s="47">
        <v>489.012345679012</v>
      </c>
      <c r="G3180" s="48">
        <v>0.0246913580246913</v>
      </c>
      <c r="H3180" s="24" t="s">
        <v>6773</v>
      </c>
      <c r="I3180" s="47"/>
      <c r="J3180" s="24">
        <v>0.0</v>
      </c>
    </row>
    <row r="3181">
      <c r="A3181" s="24">
        <v>68.0</v>
      </c>
      <c r="B3181" s="24">
        <v>1.0</v>
      </c>
      <c r="C3181" s="47">
        <v>18.8</v>
      </c>
      <c r="D3181" s="35">
        <v>45933.0</v>
      </c>
      <c r="E3181" s="47">
        <v>18.8</v>
      </c>
      <c r="F3181" s="47">
        <v>276.470588235294</v>
      </c>
      <c r="G3181" s="48">
        <v>0.0147058823529411</v>
      </c>
      <c r="H3181" s="24" t="s">
        <v>6773</v>
      </c>
      <c r="I3181" s="47"/>
      <c r="J3181" s="24">
        <v>0.0</v>
      </c>
    </row>
    <row r="3182">
      <c r="A3182" s="24">
        <v>45.0</v>
      </c>
      <c r="B3182" s="24">
        <v>0.0</v>
      </c>
      <c r="C3182" s="47">
        <v>0.0</v>
      </c>
      <c r="D3182" s="35">
        <v>45934.0</v>
      </c>
      <c r="E3182" s="47"/>
      <c r="F3182" s="47">
        <v>0.0</v>
      </c>
      <c r="G3182" s="48">
        <v>0.0</v>
      </c>
      <c r="H3182" s="24" t="s">
        <v>6773</v>
      </c>
      <c r="I3182" s="47"/>
      <c r="J3182" s="24">
        <v>0.0</v>
      </c>
    </row>
    <row r="3183">
      <c r="A3183" s="24">
        <v>61.0</v>
      </c>
      <c r="B3183" s="24">
        <v>0.0</v>
      </c>
      <c r="C3183" s="47">
        <v>0.0</v>
      </c>
      <c r="D3183" s="35">
        <v>45935.0</v>
      </c>
      <c r="E3183" s="47"/>
      <c r="F3183" s="47">
        <v>0.0</v>
      </c>
      <c r="G3183" s="48">
        <v>0.0</v>
      </c>
      <c r="H3183" s="24" t="s">
        <v>6773</v>
      </c>
      <c r="I3183" s="47"/>
      <c r="J3183" s="24">
        <v>0.0</v>
      </c>
    </row>
    <row r="3184">
      <c r="A3184" s="24">
        <v>150.0</v>
      </c>
      <c r="B3184" s="24">
        <v>1.0</v>
      </c>
      <c r="C3184" s="47">
        <v>19.64</v>
      </c>
      <c r="D3184" s="35">
        <v>45936.0</v>
      </c>
      <c r="E3184" s="47">
        <v>19.64</v>
      </c>
      <c r="F3184" s="47">
        <v>130.933333333333</v>
      </c>
      <c r="G3184" s="48">
        <v>0.00666666666666666</v>
      </c>
      <c r="H3184" s="24" t="s">
        <v>6773</v>
      </c>
      <c r="I3184" s="47"/>
      <c r="J3184" s="24">
        <v>0.0</v>
      </c>
    </row>
    <row r="3185">
      <c r="A3185" s="24">
        <v>188.0</v>
      </c>
      <c r="B3185" s="24">
        <v>0.0</v>
      </c>
      <c r="C3185" s="47">
        <v>0.0</v>
      </c>
      <c r="D3185" s="35">
        <v>45937.0</v>
      </c>
      <c r="E3185" s="47"/>
      <c r="F3185" s="47">
        <v>0.0</v>
      </c>
      <c r="G3185" s="48">
        <v>0.0</v>
      </c>
      <c r="H3185" s="24" t="s">
        <v>6773</v>
      </c>
      <c r="I3185" s="47"/>
      <c r="J3185" s="24">
        <v>0.0</v>
      </c>
    </row>
    <row r="3186">
      <c r="A3186" s="24">
        <v>148.0</v>
      </c>
      <c r="B3186" s="24">
        <v>1.0</v>
      </c>
      <c r="C3186" s="47">
        <v>18.93</v>
      </c>
      <c r="D3186" s="35">
        <v>45938.0</v>
      </c>
      <c r="E3186" s="47">
        <v>18.93</v>
      </c>
      <c r="F3186" s="47">
        <v>127.905405405405</v>
      </c>
      <c r="G3186" s="48">
        <v>0.00675675675675675</v>
      </c>
      <c r="H3186" s="24" t="s">
        <v>6773</v>
      </c>
      <c r="I3186" s="47"/>
      <c r="J3186" s="24">
        <v>0.0</v>
      </c>
    </row>
    <row r="3187">
      <c r="A3187" s="24">
        <v>117.0</v>
      </c>
      <c r="B3187" s="24">
        <v>1.0</v>
      </c>
      <c r="C3187" s="47">
        <v>19.67</v>
      </c>
      <c r="D3187" s="35">
        <v>45939.0</v>
      </c>
      <c r="E3187" s="47">
        <v>19.67</v>
      </c>
      <c r="F3187" s="47">
        <v>168.119658119658</v>
      </c>
      <c r="G3187" s="48">
        <v>0.00854700854700854</v>
      </c>
      <c r="H3187" s="24" t="s">
        <v>6773</v>
      </c>
      <c r="I3187" s="47"/>
      <c r="J3187" s="24">
        <v>0.0</v>
      </c>
    </row>
    <row r="3188">
      <c r="A3188" s="24">
        <v>61.0</v>
      </c>
      <c r="B3188" s="24">
        <v>0.0</v>
      </c>
      <c r="C3188" s="47">
        <v>0.0</v>
      </c>
      <c r="D3188" s="35">
        <v>45940.0</v>
      </c>
      <c r="E3188" s="47"/>
      <c r="F3188" s="47">
        <v>0.0</v>
      </c>
      <c r="G3188" s="48">
        <v>0.0</v>
      </c>
      <c r="H3188" s="24" t="s">
        <v>6773</v>
      </c>
      <c r="I3188" s="47"/>
      <c r="J3188" s="24">
        <v>0.0</v>
      </c>
    </row>
    <row r="3189">
      <c r="A3189" s="24">
        <v>29.0</v>
      </c>
      <c r="B3189" s="24">
        <v>0.0</v>
      </c>
      <c r="C3189" s="47">
        <v>0.0</v>
      </c>
      <c r="D3189" s="35">
        <v>45941.0</v>
      </c>
      <c r="E3189" s="47"/>
      <c r="F3189" s="47">
        <v>0.0</v>
      </c>
      <c r="G3189" s="48">
        <v>0.0</v>
      </c>
      <c r="H3189" s="24" t="s">
        <v>6773</v>
      </c>
      <c r="I3189" s="47"/>
      <c r="J3189" s="24">
        <v>0.0</v>
      </c>
    </row>
    <row r="3190">
      <c r="A3190" s="24">
        <v>43.0</v>
      </c>
      <c r="B3190" s="24">
        <v>1.0</v>
      </c>
      <c r="C3190" s="47">
        <v>19.83</v>
      </c>
      <c r="D3190" s="35">
        <v>45942.0</v>
      </c>
      <c r="E3190" s="47">
        <v>19.83</v>
      </c>
      <c r="F3190" s="47">
        <v>461.162790697674</v>
      </c>
      <c r="G3190" s="48">
        <v>0.0232558139534883</v>
      </c>
      <c r="H3190" s="24" t="s">
        <v>6773</v>
      </c>
      <c r="I3190" s="47"/>
      <c r="J3190" s="24">
        <v>0.0</v>
      </c>
    </row>
    <row r="3191">
      <c r="A3191" s="24">
        <v>102.0</v>
      </c>
      <c r="B3191" s="24">
        <v>1.0</v>
      </c>
      <c r="C3191" s="47">
        <v>19.2</v>
      </c>
      <c r="D3191" s="35">
        <v>45943.0</v>
      </c>
      <c r="E3191" s="47">
        <v>19.2</v>
      </c>
      <c r="F3191" s="47">
        <v>188.235294117647</v>
      </c>
      <c r="G3191" s="48">
        <v>0.00980392156862745</v>
      </c>
      <c r="H3191" s="24" t="s">
        <v>6773</v>
      </c>
      <c r="I3191" s="47"/>
      <c r="J3191" s="24">
        <v>0.0</v>
      </c>
    </row>
    <row r="3192">
      <c r="A3192" s="24">
        <v>127.0</v>
      </c>
      <c r="B3192" s="24">
        <v>2.0</v>
      </c>
      <c r="C3192" s="47">
        <v>38.47</v>
      </c>
      <c r="D3192" s="35">
        <v>45944.0</v>
      </c>
      <c r="E3192" s="47">
        <v>19.235</v>
      </c>
      <c r="F3192" s="47">
        <v>302.913385826771</v>
      </c>
      <c r="G3192" s="48">
        <v>0.0157480314960629</v>
      </c>
      <c r="H3192" s="24" t="s">
        <v>6773</v>
      </c>
      <c r="I3192" s="47"/>
      <c r="J3192" s="24">
        <v>0.0</v>
      </c>
    </row>
    <row r="3193">
      <c r="A3193" s="24">
        <v>117.0</v>
      </c>
      <c r="B3193" s="24">
        <v>3.0</v>
      </c>
      <c r="C3193" s="47">
        <v>58.48</v>
      </c>
      <c r="D3193" s="35">
        <v>45945.0</v>
      </c>
      <c r="E3193" s="47">
        <v>19.4933333333333</v>
      </c>
      <c r="F3193" s="47">
        <v>499.829059829059</v>
      </c>
      <c r="G3193" s="48">
        <v>0.0256410256410256</v>
      </c>
      <c r="H3193" s="24" t="s">
        <v>6773</v>
      </c>
      <c r="I3193" s="47"/>
      <c r="J3193" s="24">
        <v>0.0</v>
      </c>
    </row>
    <row r="3194">
      <c r="A3194" s="24">
        <v>110.0</v>
      </c>
      <c r="B3194" s="24">
        <v>1.0</v>
      </c>
      <c r="C3194" s="47">
        <v>19.632521</v>
      </c>
      <c r="D3194" s="35">
        <v>45946.0</v>
      </c>
      <c r="E3194" s="47">
        <v>19.632521</v>
      </c>
      <c r="F3194" s="47">
        <v>178.477463636363</v>
      </c>
      <c r="G3194" s="48">
        <v>0.00909090909090909</v>
      </c>
      <c r="H3194" s="24" t="s">
        <v>6773</v>
      </c>
      <c r="I3194" s="47"/>
      <c r="J3194" s="24">
        <v>0.0</v>
      </c>
    </row>
    <row r="3195">
      <c r="A3195" s="24">
        <v>131.0</v>
      </c>
      <c r="B3195" s="24">
        <v>2.0</v>
      </c>
      <c r="C3195" s="47">
        <v>38.97</v>
      </c>
      <c r="D3195" s="35">
        <v>45947.0</v>
      </c>
      <c r="E3195" s="47">
        <v>19.485</v>
      </c>
      <c r="F3195" s="47">
        <v>297.480916030534</v>
      </c>
      <c r="G3195" s="48">
        <v>0.015267175572519</v>
      </c>
      <c r="H3195" s="24" t="s">
        <v>6773</v>
      </c>
      <c r="I3195" s="47"/>
      <c r="J3195" s="24">
        <v>0.0</v>
      </c>
    </row>
    <row r="3196">
      <c r="A3196" s="24">
        <v>47.0</v>
      </c>
      <c r="B3196" s="24">
        <v>1.0</v>
      </c>
      <c r="C3196" s="47">
        <v>19.48</v>
      </c>
      <c r="D3196" s="35">
        <v>45948.0</v>
      </c>
      <c r="E3196" s="47">
        <v>19.48</v>
      </c>
      <c r="F3196" s="47">
        <v>414.468085106382</v>
      </c>
      <c r="G3196" s="48">
        <v>0.0212765957446808</v>
      </c>
      <c r="H3196" s="24" t="s">
        <v>6773</v>
      </c>
      <c r="I3196" s="47"/>
      <c r="J3196" s="24">
        <v>0.0</v>
      </c>
    </row>
    <row r="3197">
      <c r="A3197" s="24">
        <v>55.0</v>
      </c>
      <c r="B3197" s="24">
        <v>5.0</v>
      </c>
      <c r="C3197" s="47">
        <v>98.77</v>
      </c>
      <c r="D3197" s="35">
        <v>45949.0</v>
      </c>
      <c r="E3197" s="47">
        <v>19.754</v>
      </c>
      <c r="F3197" s="47">
        <v>1795.81818181818</v>
      </c>
      <c r="G3197" s="48">
        <v>0.0909090909090909</v>
      </c>
      <c r="H3197" s="24" t="s">
        <v>6773</v>
      </c>
      <c r="I3197" s="47"/>
      <c r="J3197" s="24">
        <v>0.0</v>
      </c>
    </row>
    <row r="3198">
      <c r="A3198" s="24">
        <v>133.0</v>
      </c>
      <c r="B3198" s="24">
        <v>3.0</v>
      </c>
      <c r="C3198" s="47">
        <v>57.736687</v>
      </c>
      <c r="D3198" s="35">
        <v>45950.0</v>
      </c>
      <c r="E3198" s="47">
        <v>19.2455623333333</v>
      </c>
      <c r="F3198" s="47">
        <v>434.110428571428</v>
      </c>
      <c r="G3198" s="48">
        <v>0.0225563909774436</v>
      </c>
      <c r="H3198" s="24" t="s">
        <v>6773</v>
      </c>
      <c r="I3198" s="47"/>
      <c r="J3198" s="24">
        <v>0.0</v>
      </c>
    </row>
    <row r="3199">
      <c r="A3199" s="24">
        <v>138.0</v>
      </c>
      <c r="B3199" s="24">
        <v>4.0</v>
      </c>
      <c r="C3199" s="47">
        <v>78.37</v>
      </c>
      <c r="D3199" s="35">
        <v>45951.0</v>
      </c>
      <c r="E3199" s="47">
        <v>19.5925</v>
      </c>
      <c r="F3199" s="47">
        <v>567.898550724637</v>
      </c>
      <c r="G3199" s="48">
        <v>0.0289855072463768</v>
      </c>
      <c r="H3199" s="24" t="s">
        <v>6773</v>
      </c>
      <c r="I3199" s="47"/>
      <c r="J3199" s="24">
        <v>0.0</v>
      </c>
    </row>
    <row r="3200">
      <c r="A3200" s="24">
        <v>120.0</v>
      </c>
      <c r="B3200" s="24">
        <v>1.0</v>
      </c>
      <c r="C3200" s="47">
        <v>15.9</v>
      </c>
      <c r="D3200" s="35">
        <v>45952.0</v>
      </c>
      <c r="E3200" s="47">
        <v>15.9</v>
      </c>
      <c r="F3200" s="47">
        <v>132.5</v>
      </c>
      <c r="G3200" s="48">
        <v>0.00833333333333333</v>
      </c>
      <c r="H3200" s="24" t="s">
        <v>6773</v>
      </c>
      <c r="I3200" s="47"/>
      <c r="J3200" s="24">
        <v>0.0</v>
      </c>
    </row>
    <row r="3201">
      <c r="A3201" s="24">
        <v>185.0</v>
      </c>
      <c r="B3201" s="24">
        <v>4.0</v>
      </c>
      <c r="C3201" s="47">
        <v>77.257181</v>
      </c>
      <c r="D3201" s="35">
        <v>45953.0</v>
      </c>
      <c r="E3201" s="47">
        <v>19.31429525</v>
      </c>
      <c r="F3201" s="47">
        <v>417.606383783783</v>
      </c>
      <c r="G3201" s="48">
        <v>0.0216216216216216</v>
      </c>
      <c r="H3201" s="24" t="s">
        <v>6773</v>
      </c>
      <c r="I3201" s="47"/>
      <c r="J3201" s="24">
        <v>0.0</v>
      </c>
    </row>
    <row r="3202">
      <c r="A3202" s="24">
        <v>108.0</v>
      </c>
      <c r="B3202" s="24">
        <v>1.0</v>
      </c>
      <c r="C3202" s="47">
        <v>19.02</v>
      </c>
      <c r="D3202" s="35">
        <v>45954.0</v>
      </c>
      <c r="E3202" s="47">
        <v>19.02</v>
      </c>
      <c r="F3202" s="47">
        <v>176.111111111111</v>
      </c>
      <c r="G3202" s="48">
        <v>0.00925925925925925</v>
      </c>
      <c r="H3202" s="24" t="s">
        <v>6773</v>
      </c>
      <c r="I3202" s="47"/>
      <c r="J3202" s="24">
        <v>0.0</v>
      </c>
    </row>
    <row r="3203">
      <c r="A3203" s="24">
        <v>4.0</v>
      </c>
      <c r="B3203" s="24">
        <v>0.0</v>
      </c>
      <c r="C3203" s="47">
        <v>0.0</v>
      </c>
      <c r="D3203" s="35">
        <v>45955.0</v>
      </c>
      <c r="E3203" s="47"/>
      <c r="F3203" s="47">
        <v>0.0</v>
      </c>
      <c r="G3203" s="48">
        <v>0.0</v>
      </c>
      <c r="H3203" s="24" t="s">
        <v>6773</v>
      </c>
      <c r="I3203" s="47"/>
      <c r="J3203" s="24">
        <v>0.0</v>
      </c>
    </row>
    <row r="3204">
      <c r="A3204" s="24">
        <v>4.0</v>
      </c>
      <c r="B3204" s="24">
        <v>1.0</v>
      </c>
      <c r="C3204" s="47">
        <v>51.13</v>
      </c>
      <c r="D3204" s="35">
        <v>45927.0</v>
      </c>
      <c r="E3204" s="47">
        <v>51.13</v>
      </c>
      <c r="F3204" s="47">
        <v>12782.5</v>
      </c>
      <c r="G3204" s="48">
        <v>0.25</v>
      </c>
      <c r="H3204" s="24" t="s">
        <v>6774</v>
      </c>
      <c r="I3204" s="47"/>
      <c r="J3204" s="24">
        <v>0.0</v>
      </c>
    </row>
    <row r="3205">
      <c r="A3205" s="24">
        <v>2.0</v>
      </c>
      <c r="B3205" s="24">
        <v>0.0</v>
      </c>
      <c r="C3205" s="47">
        <v>0.0</v>
      </c>
      <c r="D3205" s="35">
        <v>45928.0</v>
      </c>
      <c r="E3205" s="47"/>
      <c r="F3205" s="47">
        <v>0.0</v>
      </c>
      <c r="G3205" s="48">
        <v>0.0</v>
      </c>
      <c r="H3205" s="24" t="s">
        <v>6774</v>
      </c>
      <c r="I3205" s="47"/>
      <c r="J3205" s="24">
        <v>0.0</v>
      </c>
    </row>
    <row r="3206">
      <c r="A3206" s="24">
        <v>11.0</v>
      </c>
      <c r="B3206" s="24">
        <v>0.0</v>
      </c>
      <c r="C3206" s="47">
        <v>0.0</v>
      </c>
      <c r="D3206" s="35">
        <v>45929.0</v>
      </c>
      <c r="E3206" s="47"/>
      <c r="F3206" s="47">
        <v>0.0</v>
      </c>
      <c r="G3206" s="48">
        <v>0.0</v>
      </c>
      <c r="H3206" s="24" t="s">
        <v>6774</v>
      </c>
      <c r="I3206" s="47"/>
      <c r="J3206" s="24">
        <v>0.0</v>
      </c>
    </row>
    <row r="3207">
      <c r="A3207" s="24">
        <v>5.0</v>
      </c>
      <c r="B3207" s="24">
        <v>0.0</v>
      </c>
      <c r="C3207" s="47">
        <v>0.0</v>
      </c>
      <c r="D3207" s="35">
        <v>45930.0</v>
      </c>
      <c r="E3207" s="47"/>
      <c r="F3207" s="47">
        <v>0.0</v>
      </c>
      <c r="G3207" s="48">
        <v>0.0</v>
      </c>
      <c r="H3207" s="24" t="s">
        <v>6774</v>
      </c>
      <c r="I3207" s="47"/>
      <c r="J3207" s="24">
        <v>0.0</v>
      </c>
    </row>
    <row r="3208">
      <c r="A3208" s="24">
        <v>6.0</v>
      </c>
      <c r="B3208" s="24">
        <v>0.0</v>
      </c>
      <c r="C3208" s="47">
        <v>0.0</v>
      </c>
      <c r="D3208" s="35">
        <v>45931.0</v>
      </c>
      <c r="E3208" s="47"/>
      <c r="F3208" s="47">
        <v>0.0</v>
      </c>
      <c r="G3208" s="48">
        <v>0.0</v>
      </c>
      <c r="H3208" s="24" t="s">
        <v>6774</v>
      </c>
      <c r="I3208" s="47"/>
      <c r="J3208" s="24">
        <v>0.0</v>
      </c>
    </row>
    <row r="3209">
      <c r="A3209" s="24">
        <v>8.0</v>
      </c>
      <c r="B3209" s="24">
        <v>0.0</v>
      </c>
      <c r="C3209" s="47">
        <v>0.0</v>
      </c>
      <c r="D3209" s="35">
        <v>45932.0</v>
      </c>
      <c r="E3209" s="47"/>
      <c r="F3209" s="47">
        <v>0.0</v>
      </c>
      <c r="G3209" s="48">
        <v>0.0</v>
      </c>
      <c r="H3209" s="24" t="s">
        <v>6774</v>
      </c>
      <c r="I3209" s="47"/>
      <c r="J3209" s="24">
        <v>0.0</v>
      </c>
    </row>
    <row r="3210">
      <c r="A3210" s="24">
        <v>11.0</v>
      </c>
      <c r="B3210" s="24">
        <v>0.0</v>
      </c>
      <c r="C3210" s="47">
        <v>0.0</v>
      </c>
      <c r="D3210" s="35">
        <v>45933.0</v>
      </c>
      <c r="E3210" s="47"/>
      <c r="F3210" s="47">
        <v>0.0</v>
      </c>
      <c r="G3210" s="48">
        <v>0.0</v>
      </c>
      <c r="H3210" s="24" t="s">
        <v>6774</v>
      </c>
      <c r="I3210" s="47"/>
      <c r="J3210" s="24">
        <v>0.0</v>
      </c>
    </row>
    <row r="3211">
      <c r="A3211" s="24">
        <v>6.0</v>
      </c>
      <c r="B3211" s="24">
        <v>0.0</v>
      </c>
      <c r="C3211" s="47">
        <v>0.0</v>
      </c>
      <c r="D3211" s="35">
        <v>45934.0</v>
      </c>
      <c r="E3211" s="47"/>
      <c r="F3211" s="47">
        <v>0.0</v>
      </c>
      <c r="G3211" s="48">
        <v>0.0</v>
      </c>
      <c r="H3211" s="24" t="s">
        <v>6774</v>
      </c>
      <c r="I3211" s="47"/>
      <c r="J3211" s="24">
        <v>0.0</v>
      </c>
    </row>
    <row r="3212">
      <c r="A3212" s="24">
        <v>3.0</v>
      </c>
      <c r="B3212" s="24">
        <v>0.0</v>
      </c>
      <c r="C3212" s="47">
        <v>0.0</v>
      </c>
      <c r="D3212" s="35">
        <v>45935.0</v>
      </c>
      <c r="E3212" s="47"/>
      <c r="F3212" s="47">
        <v>0.0</v>
      </c>
      <c r="G3212" s="48">
        <v>0.0</v>
      </c>
      <c r="H3212" s="24" t="s">
        <v>6774</v>
      </c>
      <c r="I3212" s="47"/>
      <c r="J3212" s="24">
        <v>0.0</v>
      </c>
    </row>
    <row r="3213">
      <c r="A3213" s="24">
        <v>14.0</v>
      </c>
      <c r="B3213" s="24">
        <v>0.0</v>
      </c>
      <c r="C3213" s="47">
        <v>0.0</v>
      </c>
      <c r="D3213" s="35">
        <v>45936.0</v>
      </c>
      <c r="E3213" s="47"/>
      <c r="F3213" s="47">
        <v>0.0</v>
      </c>
      <c r="G3213" s="48">
        <v>0.0</v>
      </c>
      <c r="H3213" s="24" t="s">
        <v>6774</v>
      </c>
      <c r="I3213" s="47"/>
      <c r="J3213" s="24">
        <v>0.0</v>
      </c>
    </row>
    <row r="3214">
      <c r="A3214" s="24">
        <v>4.0</v>
      </c>
      <c r="B3214" s="24">
        <v>0.0</v>
      </c>
      <c r="C3214" s="47">
        <v>0.0</v>
      </c>
      <c r="D3214" s="35">
        <v>45937.0</v>
      </c>
      <c r="E3214" s="47"/>
      <c r="F3214" s="47">
        <v>0.0</v>
      </c>
      <c r="G3214" s="48">
        <v>0.0</v>
      </c>
      <c r="H3214" s="24" t="s">
        <v>6774</v>
      </c>
      <c r="I3214" s="47"/>
      <c r="J3214" s="24">
        <v>0.0</v>
      </c>
    </row>
    <row r="3215">
      <c r="A3215" s="24">
        <v>16.0</v>
      </c>
      <c r="B3215" s="24">
        <v>0.0</v>
      </c>
      <c r="C3215" s="47">
        <v>0.0</v>
      </c>
      <c r="D3215" s="35">
        <v>45938.0</v>
      </c>
      <c r="E3215" s="47"/>
      <c r="F3215" s="47">
        <v>0.0</v>
      </c>
      <c r="G3215" s="48">
        <v>0.0</v>
      </c>
      <c r="H3215" s="24" t="s">
        <v>6774</v>
      </c>
      <c r="I3215" s="47"/>
      <c r="J3215" s="24">
        <v>0.0</v>
      </c>
    </row>
    <row r="3216">
      <c r="A3216" s="24">
        <v>18.0</v>
      </c>
      <c r="B3216" s="24">
        <v>0.0</v>
      </c>
      <c r="C3216" s="47">
        <v>0.0</v>
      </c>
      <c r="D3216" s="35">
        <v>45939.0</v>
      </c>
      <c r="E3216" s="47"/>
      <c r="F3216" s="47">
        <v>0.0</v>
      </c>
      <c r="G3216" s="48">
        <v>0.0</v>
      </c>
      <c r="H3216" s="24" t="s">
        <v>6774</v>
      </c>
      <c r="I3216" s="47"/>
      <c r="J3216" s="24">
        <v>0.0</v>
      </c>
    </row>
    <row r="3217">
      <c r="A3217" s="24">
        <v>9.0</v>
      </c>
      <c r="B3217" s="24">
        <v>0.0</v>
      </c>
      <c r="C3217" s="47">
        <v>0.0</v>
      </c>
      <c r="D3217" s="35">
        <v>45940.0</v>
      </c>
      <c r="E3217" s="47"/>
      <c r="F3217" s="47">
        <v>0.0</v>
      </c>
      <c r="G3217" s="48">
        <v>0.0</v>
      </c>
      <c r="H3217" s="24" t="s">
        <v>6774</v>
      </c>
      <c r="I3217" s="47"/>
      <c r="J3217" s="24">
        <v>0.0</v>
      </c>
    </row>
    <row r="3218">
      <c r="A3218" s="24">
        <v>1.0</v>
      </c>
      <c r="B3218" s="24">
        <v>0.0</v>
      </c>
      <c r="C3218" s="47">
        <v>0.0</v>
      </c>
      <c r="D3218" s="35">
        <v>45941.0</v>
      </c>
      <c r="E3218" s="47"/>
      <c r="F3218" s="47">
        <v>0.0</v>
      </c>
      <c r="G3218" s="48">
        <v>0.0</v>
      </c>
      <c r="H3218" s="24" t="s">
        <v>6774</v>
      </c>
      <c r="I3218" s="47"/>
      <c r="J3218" s="24">
        <v>0.0</v>
      </c>
    </row>
    <row r="3219">
      <c r="A3219" s="24">
        <v>1.0</v>
      </c>
      <c r="B3219" s="24">
        <v>0.0</v>
      </c>
      <c r="C3219" s="47">
        <v>0.0</v>
      </c>
      <c r="D3219" s="35">
        <v>45942.0</v>
      </c>
      <c r="E3219" s="47"/>
      <c r="F3219" s="47">
        <v>0.0</v>
      </c>
      <c r="G3219" s="48">
        <v>0.0</v>
      </c>
      <c r="H3219" s="24" t="s">
        <v>6774</v>
      </c>
      <c r="I3219" s="47"/>
      <c r="J3219" s="24">
        <v>0.0</v>
      </c>
    </row>
    <row r="3220">
      <c r="A3220" s="24">
        <v>11.0</v>
      </c>
      <c r="B3220" s="24">
        <v>0.0</v>
      </c>
      <c r="C3220" s="47">
        <v>0.0</v>
      </c>
      <c r="D3220" s="35">
        <v>45943.0</v>
      </c>
      <c r="E3220" s="47"/>
      <c r="F3220" s="47">
        <v>0.0</v>
      </c>
      <c r="G3220" s="48">
        <v>0.0</v>
      </c>
      <c r="H3220" s="24" t="s">
        <v>6774</v>
      </c>
      <c r="I3220" s="47"/>
      <c r="J3220" s="24">
        <v>0.0</v>
      </c>
    </row>
    <row r="3221">
      <c r="A3221" s="24">
        <v>12.0</v>
      </c>
      <c r="B3221" s="24">
        <v>0.0</v>
      </c>
      <c r="C3221" s="47">
        <v>0.0</v>
      </c>
      <c r="D3221" s="35">
        <v>45944.0</v>
      </c>
      <c r="E3221" s="47"/>
      <c r="F3221" s="47">
        <v>0.0</v>
      </c>
      <c r="G3221" s="48">
        <v>0.0</v>
      </c>
      <c r="H3221" s="24" t="s">
        <v>6774</v>
      </c>
      <c r="I3221" s="47"/>
      <c r="J3221" s="24">
        <v>0.0</v>
      </c>
    </row>
    <row r="3222">
      <c r="A3222" s="24">
        <v>9.0</v>
      </c>
      <c r="B3222" s="24">
        <v>0.0</v>
      </c>
      <c r="C3222" s="47">
        <v>0.0</v>
      </c>
      <c r="D3222" s="35">
        <v>45945.0</v>
      </c>
      <c r="E3222" s="47"/>
      <c r="F3222" s="47">
        <v>0.0</v>
      </c>
      <c r="G3222" s="48">
        <v>0.0</v>
      </c>
      <c r="H3222" s="24" t="s">
        <v>6774</v>
      </c>
      <c r="I3222" s="47"/>
      <c r="J3222" s="24">
        <v>0.0</v>
      </c>
    </row>
    <row r="3223">
      <c r="A3223" s="24">
        <v>4.0</v>
      </c>
      <c r="B3223" s="24">
        <v>0.0</v>
      </c>
      <c r="C3223" s="47">
        <v>0.0</v>
      </c>
      <c r="D3223" s="35">
        <v>45946.0</v>
      </c>
      <c r="E3223" s="47"/>
      <c r="F3223" s="47">
        <v>0.0</v>
      </c>
      <c r="G3223" s="48">
        <v>0.0</v>
      </c>
      <c r="H3223" s="24" t="s">
        <v>6774</v>
      </c>
      <c r="I3223" s="47"/>
      <c r="J3223" s="24">
        <v>0.0</v>
      </c>
    </row>
    <row r="3224">
      <c r="A3224" s="24">
        <v>7.0</v>
      </c>
      <c r="B3224" s="24">
        <v>0.0</v>
      </c>
      <c r="C3224" s="47">
        <v>0.0</v>
      </c>
      <c r="D3224" s="35">
        <v>45947.0</v>
      </c>
      <c r="E3224" s="47"/>
      <c r="F3224" s="47">
        <v>0.0</v>
      </c>
      <c r="G3224" s="48">
        <v>0.0</v>
      </c>
      <c r="H3224" s="24" t="s">
        <v>6774</v>
      </c>
      <c r="I3224" s="47"/>
      <c r="J3224" s="24">
        <v>0.0</v>
      </c>
    </row>
    <row r="3225">
      <c r="A3225" s="24">
        <v>5.0</v>
      </c>
      <c r="B3225" s="24">
        <v>0.0</v>
      </c>
      <c r="C3225" s="47">
        <v>0.0</v>
      </c>
      <c r="D3225" s="35">
        <v>45949.0</v>
      </c>
      <c r="E3225" s="47"/>
      <c r="F3225" s="47">
        <v>0.0</v>
      </c>
      <c r="G3225" s="48">
        <v>0.0</v>
      </c>
      <c r="H3225" s="24" t="s">
        <v>6774</v>
      </c>
      <c r="I3225" s="47"/>
      <c r="J3225" s="24">
        <v>0.0</v>
      </c>
    </row>
    <row r="3226">
      <c r="A3226" s="24">
        <v>13.0</v>
      </c>
      <c r="B3226" s="24">
        <v>0.0</v>
      </c>
      <c r="C3226" s="47">
        <v>0.0</v>
      </c>
      <c r="D3226" s="35">
        <v>45950.0</v>
      </c>
      <c r="E3226" s="47"/>
      <c r="F3226" s="47">
        <v>0.0</v>
      </c>
      <c r="G3226" s="48">
        <v>0.0</v>
      </c>
      <c r="H3226" s="24" t="s">
        <v>6774</v>
      </c>
      <c r="I3226" s="47"/>
      <c r="J3226" s="24">
        <v>0.0</v>
      </c>
    </row>
    <row r="3227">
      <c r="A3227" s="24">
        <v>7.0</v>
      </c>
      <c r="B3227" s="24">
        <v>0.0</v>
      </c>
      <c r="C3227" s="47">
        <v>0.0</v>
      </c>
      <c r="D3227" s="35">
        <v>45951.0</v>
      </c>
      <c r="E3227" s="47"/>
      <c r="F3227" s="47">
        <v>0.0</v>
      </c>
      <c r="G3227" s="48">
        <v>0.0</v>
      </c>
      <c r="H3227" s="24" t="s">
        <v>6774</v>
      </c>
      <c r="I3227" s="47"/>
      <c r="J3227" s="24">
        <v>0.0</v>
      </c>
    </row>
    <row r="3228">
      <c r="A3228" s="24">
        <v>4.0</v>
      </c>
      <c r="B3228" s="24">
        <v>0.0</v>
      </c>
      <c r="C3228" s="47">
        <v>0.0</v>
      </c>
      <c r="D3228" s="35">
        <v>45952.0</v>
      </c>
      <c r="E3228" s="47"/>
      <c r="F3228" s="47">
        <v>0.0</v>
      </c>
      <c r="G3228" s="48">
        <v>0.0</v>
      </c>
      <c r="H3228" s="24" t="s">
        <v>6774</v>
      </c>
      <c r="I3228" s="47"/>
      <c r="J3228" s="24">
        <v>0.0</v>
      </c>
    </row>
    <row r="3229">
      <c r="A3229" s="24">
        <v>7.0</v>
      </c>
      <c r="B3229" s="24">
        <v>0.0</v>
      </c>
      <c r="C3229" s="47">
        <v>0.0</v>
      </c>
      <c r="D3229" s="35">
        <v>45953.0</v>
      </c>
      <c r="E3229" s="47"/>
      <c r="F3229" s="47">
        <v>0.0</v>
      </c>
      <c r="G3229" s="48">
        <v>0.0</v>
      </c>
      <c r="H3229" s="24" t="s">
        <v>6774</v>
      </c>
      <c r="I3229" s="47"/>
      <c r="J3229" s="24">
        <v>0.0</v>
      </c>
    </row>
    <row r="3230">
      <c r="A3230" s="24">
        <v>3.0</v>
      </c>
      <c r="B3230" s="24">
        <v>0.0</v>
      </c>
      <c r="C3230" s="47">
        <v>0.0</v>
      </c>
      <c r="D3230" s="35">
        <v>45954.0</v>
      </c>
      <c r="E3230" s="47"/>
      <c r="F3230" s="47">
        <v>0.0</v>
      </c>
      <c r="G3230" s="48">
        <v>0.0</v>
      </c>
      <c r="H3230" s="24" t="s">
        <v>6774</v>
      </c>
      <c r="I3230" s="47"/>
      <c r="J3230" s="24">
        <v>0.0</v>
      </c>
    </row>
    <row r="3231">
      <c r="A3231" s="24">
        <v>2.0</v>
      </c>
      <c r="B3231" s="24">
        <v>1.0</v>
      </c>
      <c r="C3231" s="47">
        <v>93.83</v>
      </c>
      <c r="D3231" s="35">
        <v>45956.0</v>
      </c>
      <c r="E3231" s="47">
        <v>93.83</v>
      </c>
      <c r="F3231" s="47">
        <v>46915.0</v>
      </c>
      <c r="G3231" s="48">
        <v>0.5</v>
      </c>
      <c r="H3231" s="24" t="s">
        <v>6774</v>
      </c>
      <c r="I3231" s="47"/>
      <c r="J3231" s="24">
        <v>0.0</v>
      </c>
    </row>
    <row r="3232">
      <c r="A3232" s="24">
        <v>7.0</v>
      </c>
      <c r="B3232" s="24">
        <v>0.0</v>
      </c>
      <c r="C3232" s="47">
        <v>0.0</v>
      </c>
      <c r="D3232" s="35">
        <v>45957.0</v>
      </c>
      <c r="E3232" s="47"/>
      <c r="F3232" s="47">
        <v>0.0</v>
      </c>
      <c r="G3232" s="48">
        <v>0.0</v>
      </c>
      <c r="H3232" s="24" t="s">
        <v>6774</v>
      </c>
      <c r="I3232" s="47"/>
      <c r="J3232" s="24">
        <v>0.0</v>
      </c>
    </row>
    <row r="3233">
      <c r="A3233" s="24">
        <v>5.0</v>
      </c>
      <c r="B3233" s="24">
        <v>1.0</v>
      </c>
      <c r="C3233" s="47">
        <v>98.23</v>
      </c>
      <c r="D3233" s="35">
        <v>45959.0</v>
      </c>
      <c r="E3233" s="47">
        <v>98.23</v>
      </c>
      <c r="F3233" s="47">
        <v>19646.0</v>
      </c>
      <c r="G3233" s="48">
        <v>0.2</v>
      </c>
      <c r="H3233" s="24" t="s">
        <v>6774</v>
      </c>
      <c r="I3233" s="47"/>
      <c r="J3233" s="24">
        <v>0.0</v>
      </c>
    </row>
    <row r="3234">
      <c r="A3234" s="24">
        <v>4.0</v>
      </c>
      <c r="B3234" s="24">
        <v>0.0</v>
      </c>
      <c r="C3234" s="47">
        <v>0.0</v>
      </c>
      <c r="D3234" s="35">
        <v>45960.0</v>
      </c>
      <c r="E3234" s="47"/>
      <c r="F3234" s="47">
        <v>0.0</v>
      </c>
      <c r="G3234" s="48">
        <v>0.0</v>
      </c>
      <c r="H3234" s="24" t="s">
        <v>6774</v>
      </c>
      <c r="I3234" s="47"/>
      <c r="J3234" s="24">
        <v>0.0</v>
      </c>
    </row>
    <row r="3235">
      <c r="A3235" s="24">
        <v>1.0</v>
      </c>
      <c r="B3235" s="24">
        <v>0.0</v>
      </c>
      <c r="C3235" s="47">
        <v>0.0</v>
      </c>
      <c r="D3235" s="35">
        <v>45961.0</v>
      </c>
      <c r="E3235" s="47"/>
      <c r="F3235" s="47">
        <v>0.0</v>
      </c>
      <c r="G3235" s="48">
        <v>0.0</v>
      </c>
      <c r="H3235" s="24" t="s">
        <v>6774</v>
      </c>
      <c r="I3235" s="47"/>
      <c r="J3235" s="24">
        <v>0.0</v>
      </c>
    </row>
    <row r="3236">
      <c r="A3236" s="24">
        <v>5.0</v>
      </c>
      <c r="B3236" s="24">
        <v>0.0</v>
      </c>
      <c r="C3236" s="47">
        <v>0.0</v>
      </c>
      <c r="D3236" s="35">
        <v>45964.0</v>
      </c>
      <c r="E3236" s="47"/>
      <c r="F3236" s="47">
        <v>0.0</v>
      </c>
      <c r="G3236" s="48">
        <v>0.0</v>
      </c>
      <c r="H3236" s="24" t="s">
        <v>6774</v>
      </c>
      <c r="I3236" s="47"/>
      <c r="J3236" s="24">
        <v>0.0</v>
      </c>
    </row>
    <row r="3237">
      <c r="A3237" s="24">
        <v>3.0</v>
      </c>
      <c r="B3237" s="24">
        <v>0.0</v>
      </c>
      <c r="C3237" s="47">
        <v>0.0</v>
      </c>
      <c r="D3237" s="35">
        <v>45965.0</v>
      </c>
      <c r="E3237" s="47"/>
      <c r="F3237" s="47">
        <v>0.0</v>
      </c>
      <c r="G3237" s="48">
        <v>0.0</v>
      </c>
      <c r="H3237" s="24" t="s">
        <v>6774</v>
      </c>
      <c r="I3237" s="47"/>
      <c r="J3237" s="24">
        <v>0.0</v>
      </c>
    </row>
    <row r="3238">
      <c r="A3238" s="24">
        <v>3.0</v>
      </c>
      <c r="B3238" s="24">
        <v>0.0</v>
      </c>
      <c r="C3238" s="47">
        <v>0.0</v>
      </c>
      <c r="D3238" s="35">
        <v>45966.0</v>
      </c>
      <c r="E3238" s="47"/>
      <c r="F3238" s="47">
        <v>0.0</v>
      </c>
      <c r="G3238" s="48">
        <v>0.0</v>
      </c>
      <c r="H3238" s="24" t="s">
        <v>6774</v>
      </c>
      <c r="I3238" s="47"/>
      <c r="J3238" s="24">
        <v>0.0</v>
      </c>
    </row>
    <row r="3239">
      <c r="A3239" s="24">
        <v>1.0</v>
      </c>
      <c r="B3239" s="24">
        <v>0.0</v>
      </c>
      <c r="C3239" s="47">
        <v>0.0</v>
      </c>
      <c r="D3239" s="35">
        <v>45967.0</v>
      </c>
      <c r="E3239" s="47"/>
      <c r="F3239" s="47">
        <v>0.0</v>
      </c>
      <c r="G3239" s="48">
        <v>0.0</v>
      </c>
      <c r="H3239" s="24" t="s">
        <v>6774</v>
      </c>
      <c r="I3239" s="47"/>
      <c r="J3239" s="24">
        <v>0.0</v>
      </c>
    </row>
    <row r="3240">
      <c r="A3240" s="24">
        <v>1.0</v>
      </c>
      <c r="B3240" s="24">
        <v>0.0</v>
      </c>
      <c r="C3240" s="47">
        <v>0.0</v>
      </c>
      <c r="D3240" s="35">
        <v>45969.0</v>
      </c>
      <c r="E3240" s="47"/>
      <c r="F3240" s="47">
        <v>0.0</v>
      </c>
      <c r="G3240" s="48">
        <v>0.0</v>
      </c>
      <c r="H3240" s="24" t="s">
        <v>6774</v>
      </c>
      <c r="I3240" s="47"/>
      <c r="J3240" s="24">
        <v>0.0</v>
      </c>
    </row>
    <row r="3241">
      <c r="A3241" s="24">
        <v>2.0</v>
      </c>
      <c r="B3241" s="24">
        <v>1.0</v>
      </c>
      <c r="C3241" s="47">
        <v>97.05</v>
      </c>
      <c r="D3241" s="35">
        <v>45971.0</v>
      </c>
      <c r="E3241" s="47">
        <v>97.05</v>
      </c>
      <c r="F3241" s="47">
        <v>48525.0</v>
      </c>
      <c r="G3241" s="48">
        <v>0.5</v>
      </c>
      <c r="H3241" s="24" t="s">
        <v>6774</v>
      </c>
      <c r="I3241" s="47"/>
      <c r="J3241" s="24">
        <v>0.0</v>
      </c>
    </row>
    <row r="3242">
      <c r="A3242" s="24">
        <v>1.0</v>
      </c>
      <c r="B3242" s="24">
        <v>0.0</v>
      </c>
      <c r="C3242" s="47">
        <v>0.0</v>
      </c>
      <c r="D3242" s="35">
        <v>45972.0</v>
      </c>
      <c r="E3242" s="47"/>
      <c r="F3242" s="47">
        <v>0.0</v>
      </c>
      <c r="G3242" s="48">
        <v>0.0</v>
      </c>
      <c r="H3242" s="24" t="s">
        <v>6774</v>
      </c>
      <c r="I3242" s="47"/>
      <c r="J3242" s="24">
        <v>0.0</v>
      </c>
    </row>
    <row r="3243">
      <c r="A3243" s="24">
        <v>6.0</v>
      </c>
      <c r="B3243" s="24">
        <v>0.0</v>
      </c>
      <c r="C3243" s="47">
        <v>0.0</v>
      </c>
      <c r="D3243" s="35">
        <v>45973.0</v>
      </c>
      <c r="E3243" s="47"/>
      <c r="F3243" s="47">
        <v>0.0</v>
      </c>
      <c r="G3243" s="48">
        <v>0.0</v>
      </c>
      <c r="H3243" s="24" t="s">
        <v>6774</v>
      </c>
      <c r="I3243" s="47"/>
      <c r="J3243" s="24">
        <v>0.0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9" width="14.63"/>
    <col customWidth="1" min="10" max="10" width="10.13"/>
    <col customWidth="1" min="11" max="12" width="14.63"/>
  </cols>
  <sheetData>
    <row r="1" ht="33.75" customHeight="1">
      <c r="A1" s="49" t="str">
        <f>CONCATENATE(
            "              ", "Google Analytics 4 Import", char(10),
            "              ", "",
            IFERROR(IFS(
                (now()-"2026/04/08 21:50") &lt;= 0,
                    "",
                AND((now()-"2026/04/08 21:50") * 1440 &gt;= 0, (now()-"2026/04/08 21:50") * 1440 &lt;= 5),
                    "Last updated just now",
                (now()-"2026/04/08 21:50") * 1440 &lt;= 60,
                    "Last updated "&amp;FLOOR((now()-"2026/04/08 21:50")*1440,1)&amp;" minutes ago",
                (now()-"2026/04/08 21:50") * 24 &lt;= 24,
                    "Last updated "&amp;FLOOR((now()-"2026/04/08 21:50")*24,1) &amp;
                        IF(FLOOR((now()-"2026/04/08 21:50")*24,1) &lt;= 1, " hour ago", " hours ago"),
                (now()-"2026/04/08 21:50") &lt;= 30,
                    "Last updated "&amp;FLOOR((now()-"2026/04/08 21:50"),1) &amp;
                        IF(FLOOR((now()-"2026/04/08 21:50"),1) &lt;= 1, " day ago", " days ago"),
                (now()-"2026/04/08 21:50") &gt; 30,
                    "Last updated " &amp;
                        FLOOR((now()-"2026/04/08 21:50")/7,1) &amp;
                        IF(FLOOR((now()-"2026/04/08 21:50"),1) &lt;= 1, " week ago", " weeks ago")
            ),"Last updated on 2026/04/08 21:50")
        )</f>
        <v>              Google Analytics 4 Import
              Last updated 21 minutes ago</v>
      </c>
      <c r="B1" s="49" t="s">
        <v>0</v>
      </c>
      <c r="C1" s="50" t="str">
        <f>IFERROR(IF(NOW(), _COEFF_ssop()),"")</f>
        <v/>
      </c>
      <c r="D1" s="50" t="s">
        <v>0</v>
      </c>
      <c r="E1" s="50" t="s">
        <v>0</v>
      </c>
      <c r="F1" s="50" t="s">
        <v>0</v>
      </c>
      <c r="G1" s="50" t="s">
        <v>0</v>
      </c>
      <c r="H1" s="51" t="s">
        <v>0</v>
      </c>
      <c r="I1" s="50" t="s">
        <v>0</v>
      </c>
      <c r="J1" s="50" t="s">
        <v>0</v>
      </c>
      <c r="K1" s="52"/>
      <c r="L1" s="53"/>
    </row>
    <row r="2" ht="22.5" customHeight="1">
      <c r="A2" s="54" t="s">
        <v>6775</v>
      </c>
      <c r="B2" s="54" t="s">
        <v>6776</v>
      </c>
      <c r="C2" s="54" t="s">
        <v>6777</v>
      </c>
      <c r="D2" s="54" t="s">
        <v>6778</v>
      </c>
      <c r="E2" s="54" t="s">
        <v>6779</v>
      </c>
      <c r="F2" s="54" t="s">
        <v>6780</v>
      </c>
      <c r="G2" s="54" t="s">
        <v>6781</v>
      </c>
      <c r="H2" s="54" t="s">
        <v>6782</v>
      </c>
      <c r="I2" s="54" t="s">
        <v>6783</v>
      </c>
      <c r="J2" s="55" t="s">
        <v>6784</v>
      </c>
      <c r="K2" s="56" t="s">
        <v>6785</v>
      </c>
      <c r="L2" s="57" t="s">
        <v>6786</v>
      </c>
    </row>
    <row r="3">
      <c r="A3" s="58">
        <v>46113.0</v>
      </c>
      <c r="B3" s="24" t="s">
        <v>6787</v>
      </c>
      <c r="C3" s="24" t="s">
        <v>6788</v>
      </c>
      <c r="D3" s="59">
        <v>782.0</v>
      </c>
      <c r="E3" s="59">
        <v>833.0</v>
      </c>
      <c r="F3" s="59">
        <v>751.0</v>
      </c>
      <c r="G3" s="60">
        <v>1.06931964056482</v>
      </c>
      <c r="H3" s="60">
        <v>0.82953181272509</v>
      </c>
      <c r="I3" s="60">
        <v>16.1881938571428</v>
      </c>
      <c r="J3" s="59">
        <v>1007.0</v>
      </c>
      <c r="K3" s="61">
        <f t="shared" ref="K3:K12346" si="1">iferror(F3/E3,"")</f>
        <v>0.9015606242</v>
      </c>
      <c r="L3" s="62">
        <f t="shared" ref="L3:L12346" si="2">iferror(J3/E3,"")</f>
        <v>1.208883553</v>
      </c>
    </row>
    <row r="4">
      <c r="A4" s="58">
        <v>46113.0</v>
      </c>
      <c r="B4" s="24" t="s">
        <v>6789</v>
      </c>
      <c r="C4" s="24" t="s">
        <v>6788</v>
      </c>
      <c r="D4" s="59">
        <v>167.0</v>
      </c>
      <c r="E4" s="59">
        <v>211.0</v>
      </c>
      <c r="F4" s="59">
        <v>110.0</v>
      </c>
      <c r="G4" s="60">
        <v>1.31875</v>
      </c>
      <c r="H4" s="60">
        <v>0.663507109004739</v>
      </c>
      <c r="I4" s="60">
        <v>155.799185393364</v>
      </c>
      <c r="J4" s="59">
        <v>337.0</v>
      </c>
      <c r="K4" s="61">
        <f t="shared" si="1"/>
        <v>0.5213270142</v>
      </c>
      <c r="L4" s="62">
        <f t="shared" si="2"/>
        <v>1.597156398</v>
      </c>
    </row>
    <row r="5">
      <c r="A5" s="58">
        <v>46113.0</v>
      </c>
      <c r="B5" s="24" t="s">
        <v>6790</v>
      </c>
      <c r="C5" s="24"/>
      <c r="D5" s="59">
        <v>56.0</v>
      </c>
      <c r="E5" s="59">
        <v>57.0</v>
      </c>
      <c r="F5" s="59">
        <v>0.0</v>
      </c>
      <c r="G5" s="60">
        <v>1.05555555555555</v>
      </c>
      <c r="H5" s="60">
        <v>1.0</v>
      </c>
      <c r="I5" s="60">
        <v>24.4510830175438</v>
      </c>
      <c r="J5" s="59">
        <v>0.0</v>
      </c>
      <c r="K5" s="61">
        <f t="shared" si="1"/>
        <v>0</v>
      </c>
      <c r="L5" s="62">
        <f t="shared" si="2"/>
        <v>0</v>
      </c>
    </row>
    <row r="6">
      <c r="A6" s="58">
        <v>46113.0</v>
      </c>
      <c r="B6" s="24" t="s">
        <v>155</v>
      </c>
      <c r="C6" s="24" t="s">
        <v>6788</v>
      </c>
      <c r="D6" s="59">
        <v>55.0</v>
      </c>
      <c r="E6" s="59">
        <v>102.0</v>
      </c>
      <c r="F6" s="59">
        <v>18.0</v>
      </c>
      <c r="G6" s="60">
        <v>1.88888888888888</v>
      </c>
      <c r="H6" s="60">
        <v>0.686274509803921</v>
      </c>
      <c r="I6" s="60">
        <v>139.074713245098</v>
      </c>
      <c r="J6" s="59">
        <v>130.0</v>
      </c>
      <c r="K6" s="61">
        <f t="shared" si="1"/>
        <v>0.1764705882</v>
      </c>
      <c r="L6" s="62">
        <f t="shared" si="2"/>
        <v>1.274509804</v>
      </c>
    </row>
    <row r="7">
      <c r="A7" s="58">
        <v>46113.0</v>
      </c>
      <c r="B7" s="24" t="s">
        <v>6791</v>
      </c>
      <c r="C7" s="24" t="s">
        <v>6788</v>
      </c>
      <c r="D7" s="59">
        <v>53.0</v>
      </c>
      <c r="E7" s="59">
        <v>60.0</v>
      </c>
      <c r="F7" s="59">
        <v>34.0</v>
      </c>
      <c r="G7" s="60">
        <v>1.2</v>
      </c>
      <c r="H7" s="60">
        <v>0.583333333333333</v>
      </c>
      <c r="I7" s="60">
        <v>149.859033666666</v>
      </c>
      <c r="J7" s="59">
        <v>77.0</v>
      </c>
      <c r="K7" s="61">
        <f t="shared" si="1"/>
        <v>0.5666666667</v>
      </c>
      <c r="L7" s="62">
        <f t="shared" si="2"/>
        <v>1.283333333</v>
      </c>
    </row>
    <row r="8">
      <c r="A8" s="58">
        <v>46113.0</v>
      </c>
      <c r="B8" s="24" t="s">
        <v>6789</v>
      </c>
      <c r="C8" s="24" t="s">
        <v>6792</v>
      </c>
      <c r="D8" s="59">
        <v>44.0</v>
      </c>
      <c r="E8" s="59">
        <v>52.0</v>
      </c>
      <c r="F8" s="59">
        <v>0.0</v>
      </c>
      <c r="G8" s="60">
        <v>1.79310344827586</v>
      </c>
      <c r="H8" s="60">
        <v>0.942307692307692</v>
      </c>
      <c r="I8" s="60">
        <v>1.77971065384615</v>
      </c>
      <c r="J8" s="59">
        <v>0.0</v>
      </c>
      <c r="K8" s="61">
        <f t="shared" si="1"/>
        <v>0</v>
      </c>
      <c r="L8" s="62">
        <f t="shared" si="2"/>
        <v>0</v>
      </c>
    </row>
    <row r="9">
      <c r="A9" s="58">
        <v>46113.0</v>
      </c>
      <c r="B9" s="24" t="s">
        <v>6789</v>
      </c>
      <c r="C9" s="24" t="s">
        <v>6793</v>
      </c>
      <c r="D9" s="59">
        <v>36.0</v>
      </c>
      <c r="E9" s="59">
        <v>39.0</v>
      </c>
      <c r="F9" s="59">
        <v>35.0</v>
      </c>
      <c r="G9" s="60">
        <v>1.11428571428571</v>
      </c>
      <c r="H9" s="60">
        <v>0.487179487179487</v>
      </c>
      <c r="I9" s="60">
        <v>84.7392006410256</v>
      </c>
      <c r="J9" s="59">
        <v>46.0</v>
      </c>
      <c r="K9" s="61">
        <f t="shared" si="1"/>
        <v>0.8974358974</v>
      </c>
      <c r="L9" s="62">
        <f t="shared" si="2"/>
        <v>1.179487179</v>
      </c>
    </row>
    <row r="10">
      <c r="A10" s="58">
        <v>46113.0</v>
      </c>
      <c r="B10" s="24" t="s">
        <v>6794</v>
      </c>
      <c r="C10" s="24" t="s">
        <v>6788</v>
      </c>
      <c r="D10" s="59">
        <v>20.0</v>
      </c>
      <c r="E10" s="59">
        <v>30.0</v>
      </c>
      <c r="F10" s="59">
        <v>13.0</v>
      </c>
      <c r="G10" s="60">
        <v>1.5</v>
      </c>
      <c r="H10" s="60">
        <v>0.266666666666666</v>
      </c>
      <c r="I10" s="60">
        <v>416.428786566666</v>
      </c>
      <c r="J10" s="59">
        <v>81.0</v>
      </c>
      <c r="K10" s="61">
        <f t="shared" si="1"/>
        <v>0.4333333333</v>
      </c>
      <c r="L10" s="62">
        <f t="shared" si="2"/>
        <v>2.7</v>
      </c>
    </row>
    <row r="11">
      <c r="A11" s="58">
        <v>46113.0</v>
      </c>
      <c r="B11" s="24" t="s">
        <v>6787</v>
      </c>
      <c r="C11" s="24" t="s">
        <v>6793</v>
      </c>
      <c r="D11" s="59">
        <v>18.0</v>
      </c>
      <c r="E11" s="59">
        <v>20.0</v>
      </c>
      <c r="F11" s="59">
        <v>18.0</v>
      </c>
      <c r="G11" s="60">
        <v>1.11111111111111</v>
      </c>
      <c r="H11" s="60">
        <v>0.6</v>
      </c>
      <c r="I11" s="60">
        <v>52.3922444</v>
      </c>
      <c r="J11" s="59">
        <v>21.0</v>
      </c>
      <c r="K11" s="61">
        <f t="shared" si="1"/>
        <v>0.9</v>
      </c>
      <c r="L11" s="62">
        <f t="shared" si="2"/>
        <v>1.05</v>
      </c>
    </row>
    <row r="12">
      <c r="A12" s="58">
        <v>46113.0</v>
      </c>
      <c r="B12" s="24" t="s">
        <v>6789</v>
      </c>
      <c r="C12" s="24" t="s">
        <v>6795</v>
      </c>
      <c r="D12" s="59">
        <v>16.0</v>
      </c>
      <c r="E12" s="59">
        <v>33.0</v>
      </c>
      <c r="F12" s="59">
        <v>9.0</v>
      </c>
      <c r="G12" s="60">
        <v>2.0625</v>
      </c>
      <c r="H12" s="60">
        <v>0.545454545454545</v>
      </c>
      <c r="I12" s="60">
        <v>613.901928363636</v>
      </c>
      <c r="J12" s="59">
        <v>52.0</v>
      </c>
      <c r="K12" s="61">
        <f t="shared" si="1"/>
        <v>0.2727272727</v>
      </c>
      <c r="L12" s="62">
        <f t="shared" si="2"/>
        <v>1.575757576</v>
      </c>
    </row>
    <row r="13">
      <c r="A13" s="58">
        <v>46113.0</v>
      </c>
      <c r="B13" s="24" t="s">
        <v>6787</v>
      </c>
      <c r="C13" s="24" t="s">
        <v>6792</v>
      </c>
      <c r="D13" s="59">
        <v>15.0</v>
      </c>
      <c r="E13" s="59">
        <v>17.0</v>
      </c>
      <c r="F13" s="59">
        <v>0.0</v>
      </c>
      <c r="G13" s="60">
        <v>1.88888888888888</v>
      </c>
      <c r="H13" s="60">
        <v>1.0</v>
      </c>
      <c r="I13" s="60">
        <v>0.0263788235294117</v>
      </c>
      <c r="J13" s="59">
        <v>0.0</v>
      </c>
      <c r="K13" s="61">
        <f t="shared" si="1"/>
        <v>0</v>
      </c>
      <c r="L13" s="62">
        <f t="shared" si="2"/>
        <v>0</v>
      </c>
    </row>
    <row r="14">
      <c r="A14" s="58">
        <v>46113.0</v>
      </c>
      <c r="B14" s="24" t="s">
        <v>6790</v>
      </c>
      <c r="C14" s="24" t="s">
        <v>6788</v>
      </c>
      <c r="D14" s="59">
        <v>10.0</v>
      </c>
      <c r="E14" s="59">
        <v>10.0</v>
      </c>
      <c r="F14" s="59">
        <v>2.0</v>
      </c>
      <c r="G14" s="60">
        <v>1.0</v>
      </c>
      <c r="H14" s="60">
        <v>1.0</v>
      </c>
      <c r="I14" s="60">
        <v>289.4461886</v>
      </c>
      <c r="J14" s="59">
        <v>15.0</v>
      </c>
      <c r="K14" s="61">
        <f t="shared" si="1"/>
        <v>0.2</v>
      </c>
      <c r="L14" s="62">
        <f t="shared" si="2"/>
        <v>1.5</v>
      </c>
    </row>
    <row r="15">
      <c r="A15" s="58">
        <v>46113.0</v>
      </c>
      <c r="B15" s="24" t="s">
        <v>6787</v>
      </c>
      <c r="C15" s="24" t="s">
        <v>6796</v>
      </c>
      <c r="D15" s="59">
        <v>10.0</v>
      </c>
      <c r="E15" s="59">
        <v>10.0</v>
      </c>
      <c r="F15" s="59">
        <v>9.0</v>
      </c>
      <c r="G15" s="60">
        <v>1.0</v>
      </c>
      <c r="H15" s="60">
        <v>0.6</v>
      </c>
      <c r="I15" s="60">
        <v>282.5040461</v>
      </c>
      <c r="J15" s="59">
        <v>49.0</v>
      </c>
      <c r="K15" s="61">
        <f t="shared" si="1"/>
        <v>0.9</v>
      </c>
      <c r="L15" s="62">
        <f t="shared" si="2"/>
        <v>4.9</v>
      </c>
    </row>
    <row r="16">
      <c r="A16" s="58">
        <v>46113.0</v>
      </c>
      <c r="B16" s="24" t="s">
        <v>6787</v>
      </c>
      <c r="C16" s="24" t="s">
        <v>6797</v>
      </c>
      <c r="D16" s="59">
        <v>10.0</v>
      </c>
      <c r="E16" s="59">
        <v>10.0</v>
      </c>
      <c r="F16" s="59">
        <v>10.0</v>
      </c>
      <c r="G16" s="60">
        <v>1.0</v>
      </c>
      <c r="H16" s="60">
        <v>0.9</v>
      </c>
      <c r="I16" s="60">
        <v>239.295783799999</v>
      </c>
      <c r="J16" s="59">
        <v>11.0</v>
      </c>
      <c r="K16" s="61">
        <f t="shared" si="1"/>
        <v>1</v>
      </c>
      <c r="L16" s="62">
        <f t="shared" si="2"/>
        <v>1.1</v>
      </c>
    </row>
    <row r="17">
      <c r="A17" s="58">
        <v>46113.0</v>
      </c>
      <c r="B17" s="24" t="s">
        <v>6787</v>
      </c>
      <c r="C17" s="24" t="s">
        <v>6798</v>
      </c>
      <c r="D17" s="59">
        <v>9.0</v>
      </c>
      <c r="E17" s="59">
        <v>9.0</v>
      </c>
      <c r="F17" s="59">
        <v>9.0</v>
      </c>
      <c r="G17" s="60">
        <v>1.0</v>
      </c>
      <c r="H17" s="60">
        <v>1.0</v>
      </c>
      <c r="I17" s="60">
        <v>0.666278111111111</v>
      </c>
      <c r="J17" s="59">
        <v>9.0</v>
      </c>
      <c r="K17" s="61">
        <f t="shared" si="1"/>
        <v>1</v>
      </c>
      <c r="L17" s="62">
        <f t="shared" si="2"/>
        <v>1</v>
      </c>
    </row>
    <row r="18">
      <c r="A18" s="58">
        <v>46113.0</v>
      </c>
      <c r="B18" s="24" t="s">
        <v>6791</v>
      </c>
      <c r="C18" s="24" t="s">
        <v>6792</v>
      </c>
      <c r="D18" s="59">
        <v>8.0</v>
      </c>
      <c r="E18" s="59">
        <v>9.0</v>
      </c>
      <c r="F18" s="59">
        <v>0.0</v>
      </c>
      <c r="G18" s="60">
        <v>1.5</v>
      </c>
      <c r="H18" s="60">
        <v>1.0</v>
      </c>
      <c r="I18" s="60">
        <v>0.0435767777777777</v>
      </c>
      <c r="J18" s="59">
        <v>0.0</v>
      </c>
      <c r="K18" s="61">
        <f t="shared" si="1"/>
        <v>0</v>
      </c>
      <c r="L18" s="62">
        <f t="shared" si="2"/>
        <v>0</v>
      </c>
    </row>
    <row r="19">
      <c r="A19" s="58">
        <v>46113.0</v>
      </c>
      <c r="B19" s="24" t="s">
        <v>6787</v>
      </c>
      <c r="C19" s="24" t="s">
        <v>6799</v>
      </c>
      <c r="D19" s="59">
        <v>8.0</v>
      </c>
      <c r="E19" s="59">
        <v>8.0</v>
      </c>
      <c r="F19" s="59">
        <v>8.0</v>
      </c>
      <c r="G19" s="60">
        <v>1.0</v>
      </c>
      <c r="H19" s="60">
        <v>0.25</v>
      </c>
      <c r="I19" s="60">
        <v>11.821783875</v>
      </c>
      <c r="J19" s="59">
        <v>8.0</v>
      </c>
      <c r="K19" s="61">
        <f t="shared" si="1"/>
        <v>1</v>
      </c>
      <c r="L19" s="62">
        <f t="shared" si="2"/>
        <v>1</v>
      </c>
    </row>
    <row r="20">
      <c r="A20" s="58">
        <v>46113.0</v>
      </c>
      <c r="B20" s="24" t="s">
        <v>155</v>
      </c>
      <c r="C20" s="24" t="s">
        <v>6800</v>
      </c>
      <c r="D20" s="59">
        <v>8.0</v>
      </c>
      <c r="E20" s="59">
        <v>8.0</v>
      </c>
      <c r="F20" s="59">
        <v>8.0</v>
      </c>
      <c r="G20" s="60">
        <v>1.0</v>
      </c>
      <c r="H20" s="60">
        <v>0.125</v>
      </c>
      <c r="I20" s="60">
        <v>49.04667825</v>
      </c>
      <c r="J20" s="59">
        <v>14.0</v>
      </c>
      <c r="K20" s="61">
        <f t="shared" si="1"/>
        <v>1</v>
      </c>
      <c r="L20" s="62">
        <f t="shared" si="2"/>
        <v>1.75</v>
      </c>
    </row>
    <row r="21">
      <c r="A21" s="58">
        <v>46113.0</v>
      </c>
      <c r="B21" s="24" t="s">
        <v>6787</v>
      </c>
      <c r="C21" s="24" t="s">
        <v>6801</v>
      </c>
      <c r="D21" s="59">
        <v>8.0</v>
      </c>
      <c r="E21" s="59">
        <v>8.0</v>
      </c>
      <c r="F21" s="59">
        <v>8.0</v>
      </c>
      <c r="G21" s="60">
        <v>1.0</v>
      </c>
      <c r="H21" s="60">
        <v>0.75</v>
      </c>
      <c r="I21" s="60">
        <v>6.346591875</v>
      </c>
      <c r="J21" s="59">
        <v>8.0</v>
      </c>
      <c r="K21" s="61">
        <f t="shared" si="1"/>
        <v>1</v>
      </c>
      <c r="L21" s="62">
        <f t="shared" si="2"/>
        <v>1</v>
      </c>
    </row>
    <row r="22">
      <c r="A22" s="58">
        <v>46113.0</v>
      </c>
      <c r="B22" s="24" t="s">
        <v>6787</v>
      </c>
      <c r="C22" s="24" t="s">
        <v>6802</v>
      </c>
      <c r="D22" s="59">
        <v>8.0</v>
      </c>
      <c r="E22" s="59">
        <v>9.0</v>
      </c>
      <c r="F22" s="59">
        <v>6.0</v>
      </c>
      <c r="G22" s="60">
        <v>1.125</v>
      </c>
      <c r="H22" s="60">
        <v>0.555555555555555</v>
      </c>
      <c r="I22" s="60">
        <v>407.591421111111</v>
      </c>
      <c r="J22" s="59">
        <v>26.0</v>
      </c>
      <c r="K22" s="61">
        <f t="shared" si="1"/>
        <v>0.6666666667</v>
      </c>
      <c r="L22" s="62">
        <f t="shared" si="2"/>
        <v>2.888888889</v>
      </c>
    </row>
    <row r="23">
      <c r="A23" s="58">
        <v>46113.0</v>
      </c>
      <c r="B23" s="24" t="s">
        <v>6789</v>
      </c>
      <c r="C23" s="27"/>
      <c r="D23" s="59">
        <v>7.0</v>
      </c>
      <c r="E23" s="59">
        <v>7.0</v>
      </c>
      <c r="F23" s="59">
        <v>0.0</v>
      </c>
      <c r="G23" s="60">
        <v>0.0</v>
      </c>
      <c r="H23" s="60">
        <v>1.0</v>
      </c>
      <c r="I23" s="60">
        <v>0.0</v>
      </c>
      <c r="J23" s="59">
        <v>0.0</v>
      </c>
      <c r="K23" s="61">
        <f t="shared" si="1"/>
        <v>0</v>
      </c>
      <c r="L23" s="62">
        <f t="shared" si="2"/>
        <v>0</v>
      </c>
    </row>
    <row r="24">
      <c r="A24" s="58">
        <v>46113.0</v>
      </c>
      <c r="B24" s="24" t="s">
        <v>6794</v>
      </c>
      <c r="C24" s="24" t="s">
        <v>6792</v>
      </c>
      <c r="D24" s="59">
        <v>7.0</v>
      </c>
      <c r="E24" s="59">
        <v>7.0</v>
      </c>
      <c r="F24" s="59">
        <v>0.0</v>
      </c>
      <c r="G24" s="60">
        <v>1.16666666666666</v>
      </c>
      <c r="H24" s="60">
        <v>1.0</v>
      </c>
      <c r="I24" s="60">
        <v>0.0</v>
      </c>
      <c r="J24" s="59">
        <v>0.0</v>
      </c>
      <c r="K24" s="61">
        <f t="shared" si="1"/>
        <v>0</v>
      </c>
      <c r="L24" s="62">
        <f t="shared" si="2"/>
        <v>0</v>
      </c>
    </row>
    <row r="25">
      <c r="A25" s="58">
        <v>46113.0</v>
      </c>
      <c r="B25" s="24" t="s">
        <v>155</v>
      </c>
      <c r="C25" s="24" t="s">
        <v>6792</v>
      </c>
      <c r="D25" s="59">
        <v>7.0</v>
      </c>
      <c r="E25" s="59">
        <v>7.0</v>
      </c>
      <c r="F25" s="59">
        <v>0.0</v>
      </c>
      <c r="G25" s="60">
        <v>1.16666666666666</v>
      </c>
      <c r="H25" s="60">
        <v>1.0</v>
      </c>
      <c r="I25" s="60">
        <v>1.22442028571428</v>
      </c>
      <c r="J25" s="59">
        <v>0.0</v>
      </c>
      <c r="K25" s="61">
        <f t="shared" si="1"/>
        <v>0</v>
      </c>
      <c r="L25" s="62">
        <f t="shared" si="2"/>
        <v>0</v>
      </c>
    </row>
    <row r="26">
      <c r="A26" s="58">
        <v>46113.0</v>
      </c>
      <c r="B26" s="24" t="s">
        <v>3216</v>
      </c>
      <c r="C26" s="24" t="s">
        <v>6788</v>
      </c>
      <c r="D26" s="59">
        <v>6.0</v>
      </c>
      <c r="E26" s="59">
        <v>6.0</v>
      </c>
      <c r="F26" s="59">
        <v>6.0</v>
      </c>
      <c r="G26" s="60">
        <v>1.0</v>
      </c>
      <c r="H26" s="60">
        <v>0.666666666666666</v>
      </c>
      <c r="I26" s="60">
        <v>63.7735513333333</v>
      </c>
      <c r="J26" s="59">
        <v>7.0</v>
      </c>
      <c r="K26" s="61">
        <f t="shared" si="1"/>
        <v>1</v>
      </c>
      <c r="L26" s="62">
        <f t="shared" si="2"/>
        <v>1.166666667</v>
      </c>
    </row>
    <row r="27">
      <c r="A27" s="58">
        <v>46113.0</v>
      </c>
      <c r="B27" s="24" t="s">
        <v>6787</v>
      </c>
      <c r="C27" s="24" t="s">
        <v>6803</v>
      </c>
      <c r="D27" s="59">
        <v>6.0</v>
      </c>
      <c r="E27" s="59">
        <v>6.0</v>
      </c>
      <c r="F27" s="59">
        <v>6.0</v>
      </c>
      <c r="G27" s="60">
        <v>1.0</v>
      </c>
      <c r="H27" s="60">
        <v>0.833333333333333</v>
      </c>
      <c r="I27" s="60">
        <v>1.734059</v>
      </c>
      <c r="J27" s="59">
        <v>6.0</v>
      </c>
      <c r="K27" s="61">
        <f t="shared" si="1"/>
        <v>1</v>
      </c>
      <c r="L27" s="62">
        <f t="shared" si="2"/>
        <v>1</v>
      </c>
    </row>
    <row r="28">
      <c r="A28" s="58">
        <v>46113.0</v>
      </c>
      <c r="B28" s="24" t="s">
        <v>6789</v>
      </c>
      <c r="C28" s="24" t="s">
        <v>6802</v>
      </c>
      <c r="D28" s="59">
        <v>6.0</v>
      </c>
      <c r="E28" s="59">
        <v>6.0</v>
      </c>
      <c r="F28" s="59">
        <v>2.0</v>
      </c>
      <c r="G28" s="60">
        <v>1.0</v>
      </c>
      <c r="H28" s="60">
        <v>0.5</v>
      </c>
      <c r="I28" s="60">
        <v>203.676926166666</v>
      </c>
      <c r="J28" s="59">
        <v>10.0</v>
      </c>
      <c r="K28" s="61">
        <f t="shared" si="1"/>
        <v>0.3333333333</v>
      </c>
      <c r="L28" s="62">
        <f t="shared" si="2"/>
        <v>1.666666667</v>
      </c>
    </row>
    <row r="29">
      <c r="A29" s="58">
        <v>46113.0</v>
      </c>
      <c r="B29" s="24" t="s">
        <v>6787</v>
      </c>
      <c r="C29" s="24" t="s">
        <v>6804</v>
      </c>
      <c r="D29" s="59">
        <v>5.0</v>
      </c>
      <c r="E29" s="59">
        <v>5.0</v>
      </c>
      <c r="F29" s="59">
        <v>5.0</v>
      </c>
      <c r="G29" s="60">
        <v>1.0</v>
      </c>
      <c r="H29" s="60">
        <v>0.6</v>
      </c>
      <c r="I29" s="60">
        <v>8.2170712</v>
      </c>
      <c r="J29" s="59">
        <v>6.0</v>
      </c>
      <c r="K29" s="61">
        <f t="shared" si="1"/>
        <v>1</v>
      </c>
      <c r="L29" s="62">
        <f t="shared" si="2"/>
        <v>1.2</v>
      </c>
    </row>
    <row r="30">
      <c r="A30" s="58">
        <v>46113.0</v>
      </c>
      <c r="B30" s="24" t="s">
        <v>6787</v>
      </c>
      <c r="C30" s="24" t="s">
        <v>6805</v>
      </c>
      <c r="D30" s="59">
        <v>5.0</v>
      </c>
      <c r="E30" s="59">
        <v>5.0</v>
      </c>
      <c r="F30" s="59">
        <v>5.0</v>
      </c>
      <c r="G30" s="60">
        <v>1.0</v>
      </c>
      <c r="H30" s="60">
        <v>0.6</v>
      </c>
      <c r="I30" s="60">
        <v>16.1242999999999</v>
      </c>
      <c r="J30" s="59">
        <v>5.0</v>
      </c>
      <c r="K30" s="61">
        <f t="shared" si="1"/>
        <v>1</v>
      </c>
      <c r="L30" s="62">
        <f t="shared" si="2"/>
        <v>1</v>
      </c>
    </row>
    <row r="31">
      <c r="A31" s="58">
        <v>46113.0</v>
      </c>
      <c r="B31" s="24" t="s">
        <v>6787</v>
      </c>
      <c r="C31" s="24" t="s">
        <v>6806</v>
      </c>
      <c r="D31" s="59">
        <v>5.0</v>
      </c>
      <c r="E31" s="59">
        <v>5.0</v>
      </c>
      <c r="F31" s="59">
        <v>5.0</v>
      </c>
      <c r="G31" s="60">
        <v>1.0</v>
      </c>
      <c r="H31" s="60">
        <v>1.0</v>
      </c>
      <c r="I31" s="60">
        <v>0.0</v>
      </c>
      <c r="J31" s="59">
        <v>5.0</v>
      </c>
      <c r="K31" s="61">
        <f t="shared" si="1"/>
        <v>1</v>
      </c>
      <c r="L31" s="62">
        <f t="shared" si="2"/>
        <v>1</v>
      </c>
    </row>
    <row r="32">
      <c r="A32" s="58">
        <v>46113.0</v>
      </c>
      <c r="B32" s="24" t="s">
        <v>6787</v>
      </c>
      <c r="C32" s="24" t="s">
        <v>6807</v>
      </c>
      <c r="D32" s="59">
        <v>5.0</v>
      </c>
      <c r="E32" s="59">
        <v>5.0</v>
      </c>
      <c r="F32" s="59">
        <v>5.0</v>
      </c>
      <c r="G32" s="60">
        <v>1.0</v>
      </c>
      <c r="H32" s="60">
        <v>1.0</v>
      </c>
      <c r="I32" s="60">
        <v>0.0</v>
      </c>
      <c r="J32" s="59">
        <v>5.0</v>
      </c>
      <c r="K32" s="61">
        <f t="shared" si="1"/>
        <v>1</v>
      </c>
      <c r="L32" s="62">
        <f t="shared" si="2"/>
        <v>1</v>
      </c>
    </row>
    <row r="33">
      <c r="A33" s="58">
        <v>46113.0</v>
      </c>
      <c r="B33" s="24" t="s">
        <v>6789</v>
      </c>
      <c r="C33" s="24" t="s">
        <v>6796</v>
      </c>
      <c r="D33" s="59">
        <v>5.0</v>
      </c>
      <c r="E33" s="59">
        <v>5.0</v>
      </c>
      <c r="F33" s="59">
        <v>5.0</v>
      </c>
      <c r="G33" s="60">
        <v>1.0</v>
      </c>
      <c r="H33" s="60">
        <v>0.2</v>
      </c>
      <c r="I33" s="60">
        <v>61.5783075999999</v>
      </c>
      <c r="J33" s="59">
        <v>6.0</v>
      </c>
      <c r="K33" s="61">
        <f t="shared" si="1"/>
        <v>1</v>
      </c>
      <c r="L33" s="62">
        <f t="shared" si="2"/>
        <v>1.2</v>
      </c>
    </row>
    <row r="34">
      <c r="A34" s="58">
        <v>46113.0</v>
      </c>
      <c r="B34" s="24" t="s">
        <v>6789</v>
      </c>
      <c r="C34" s="24" t="s">
        <v>6808</v>
      </c>
      <c r="D34" s="59">
        <v>5.0</v>
      </c>
      <c r="E34" s="59">
        <v>5.0</v>
      </c>
      <c r="F34" s="59">
        <v>1.0</v>
      </c>
      <c r="G34" s="60">
        <v>1.0</v>
      </c>
      <c r="H34" s="60">
        <v>0.4</v>
      </c>
      <c r="I34" s="60">
        <v>62.6792688</v>
      </c>
      <c r="J34" s="59">
        <v>6.0</v>
      </c>
      <c r="K34" s="61">
        <f t="shared" si="1"/>
        <v>0.2</v>
      </c>
      <c r="L34" s="62">
        <f t="shared" si="2"/>
        <v>1.2</v>
      </c>
    </row>
    <row r="35">
      <c r="A35" s="58">
        <v>46113.0</v>
      </c>
      <c r="B35" s="24" t="s">
        <v>6789</v>
      </c>
      <c r="C35" s="24" t="s">
        <v>6809</v>
      </c>
      <c r="D35" s="59">
        <v>5.0</v>
      </c>
      <c r="E35" s="59">
        <v>5.0</v>
      </c>
      <c r="F35" s="59">
        <v>1.0</v>
      </c>
      <c r="G35" s="60">
        <v>1.0</v>
      </c>
      <c r="H35" s="60">
        <v>0.4</v>
      </c>
      <c r="I35" s="60">
        <v>611.8038122</v>
      </c>
      <c r="J35" s="59">
        <v>19.0</v>
      </c>
      <c r="K35" s="61">
        <f t="shared" si="1"/>
        <v>0.2</v>
      </c>
      <c r="L35" s="62">
        <f t="shared" si="2"/>
        <v>3.8</v>
      </c>
    </row>
    <row r="36">
      <c r="A36" s="58">
        <v>46113.0</v>
      </c>
      <c r="B36" s="24" t="s">
        <v>155</v>
      </c>
      <c r="C36" s="24" t="s">
        <v>6810</v>
      </c>
      <c r="D36" s="59">
        <v>5.0</v>
      </c>
      <c r="E36" s="59">
        <v>5.0</v>
      </c>
      <c r="F36" s="59">
        <v>4.0</v>
      </c>
      <c r="G36" s="60">
        <v>1.0</v>
      </c>
      <c r="H36" s="60">
        <v>0.6</v>
      </c>
      <c r="I36" s="60">
        <v>381.45239</v>
      </c>
      <c r="J36" s="59">
        <v>9.0</v>
      </c>
      <c r="K36" s="61">
        <f t="shared" si="1"/>
        <v>0.8</v>
      </c>
      <c r="L36" s="62">
        <f t="shared" si="2"/>
        <v>1.8</v>
      </c>
    </row>
    <row r="37">
      <c r="A37" s="58">
        <v>46113.0</v>
      </c>
      <c r="B37" s="24" t="s">
        <v>6787</v>
      </c>
      <c r="C37" s="24" t="s">
        <v>6811</v>
      </c>
      <c r="D37" s="59">
        <v>4.0</v>
      </c>
      <c r="E37" s="59">
        <v>4.0</v>
      </c>
      <c r="F37" s="59">
        <v>4.0</v>
      </c>
      <c r="G37" s="60">
        <v>1.0</v>
      </c>
      <c r="H37" s="60">
        <v>0.75</v>
      </c>
      <c r="I37" s="60">
        <v>3.909714</v>
      </c>
      <c r="J37" s="59">
        <v>4.0</v>
      </c>
      <c r="K37" s="61">
        <f t="shared" si="1"/>
        <v>1</v>
      </c>
      <c r="L37" s="62">
        <f t="shared" si="2"/>
        <v>1</v>
      </c>
    </row>
    <row r="38">
      <c r="A38" s="58">
        <v>46113.0</v>
      </c>
      <c r="B38" s="24" t="s">
        <v>6787</v>
      </c>
      <c r="C38" s="24" t="s">
        <v>6809</v>
      </c>
      <c r="D38" s="59">
        <v>4.0</v>
      </c>
      <c r="E38" s="59">
        <v>4.0</v>
      </c>
      <c r="F38" s="59">
        <v>3.0</v>
      </c>
      <c r="G38" s="60">
        <v>1.33333333333333</v>
      </c>
      <c r="H38" s="60">
        <v>0.5</v>
      </c>
      <c r="I38" s="60">
        <v>21.59341725</v>
      </c>
      <c r="J38" s="59">
        <v>6.0</v>
      </c>
      <c r="K38" s="61">
        <f t="shared" si="1"/>
        <v>0.75</v>
      </c>
      <c r="L38" s="62">
        <f t="shared" si="2"/>
        <v>1.5</v>
      </c>
    </row>
    <row r="39">
      <c r="A39" s="58">
        <v>46113.0</v>
      </c>
      <c r="B39" s="24" t="s">
        <v>6789</v>
      </c>
      <c r="C39" s="24" t="s">
        <v>6812</v>
      </c>
      <c r="D39" s="59">
        <v>4.0</v>
      </c>
      <c r="E39" s="59">
        <v>4.0</v>
      </c>
      <c r="F39" s="59">
        <v>3.0</v>
      </c>
      <c r="G39" s="60">
        <v>1.0</v>
      </c>
      <c r="H39" s="60">
        <v>0.25</v>
      </c>
      <c r="I39" s="60">
        <v>325.382431</v>
      </c>
      <c r="J39" s="59">
        <v>4.0</v>
      </c>
      <c r="K39" s="61">
        <f t="shared" si="1"/>
        <v>0.75</v>
      </c>
      <c r="L39" s="62">
        <f t="shared" si="2"/>
        <v>1</v>
      </c>
    </row>
    <row r="40">
      <c r="A40" s="58">
        <v>46113.0</v>
      </c>
      <c r="B40" s="24" t="s">
        <v>6787</v>
      </c>
      <c r="C40" s="24" t="s">
        <v>6813</v>
      </c>
      <c r="D40" s="59">
        <v>4.0</v>
      </c>
      <c r="E40" s="59">
        <v>4.0</v>
      </c>
      <c r="F40" s="59">
        <v>4.0</v>
      </c>
      <c r="G40" s="60">
        <v>1.0</v>
      </c>
      <c r="H40" s="60">
        <v>1.0</v>
      </c>
      <c r="I40" s="60">
        <v>0.0</v>
      </c>
      <c r="J40" s="59">
        <v>4.0</v>
      </c>
      <c r="K40" s="61">
        <f t="shared" si="1"/>
        <v>1</v>
      </c>
      <c r="L40" s="62">
        <f t="shared" si="2"/>
        <v>1</v>
      </c>
    </row>
    <row r="41">
      <c r="A41" s="58">
        <v>46113.0</v>
      </c>
      <c r="B41" s="24" t="s">
        <v>6787</v>
      </c>
      <c r="C41" s="24" t="s">
        <v>6814</v>
      </c>
      <c r="D41" s="59">
        <v>4.0</v>
      </c>
      <c r="E41" s="59">
        <v>4.0</v>
      </c>
      <c r="F41" s="59">
        <v>4.0</v>
      </c>
      <c r="G41" s="60">
        <v>1.0</v>
      </c>
      <c r="H41" s="60">
        <v>1.0</v>
      </c>
      <c r="I41" s="60">
        <v>2.97854775</v>
      </c>
      <c r="J41" s="59">
        <v>4.0</v>
      </c>
      <c r="K41" s="61">
        <f t="shared" si="1"/>
        <v>1</v>
      </c>
      <c r="L41" s="62">
        <f t="shared" si="2"/>
        <v>1</v>
      </c>
    </row>
    <row r="42">
      <c r="A42" s="58">
        <v>46113.0</v>
      </c>
      <c r="B42" s="24" t="s">
        <v>6789</v>
      </c>
      <c r="C42" s="24" t="s">
        <v>6815</v>
      </c>
      <c r="D42" s="59">
        <v>4.0</v>
      </c>
      <c r="E42" s="59">
        <v>5.0</v>
      </c>
      <c r="F42" s="59">
        <v>3.0</v>
      </c>
      <c r="G42" s="60">
        <v>1.25</v>
      </c>
      <c r="H42" s="60">
        <v>0.8</v>
      </c>
      <c r="I42" s="60">
        <v>3.2148614</v>
      </c>
      <c r="J42" s="59">
        <v>6.0</v>
      </c>
      <c r="K42" s="61">
        <f t="shared" si="1"/>
        <v>0.6</v>
      </c>
      <c r="L42" s="62">
        <f t="shared" si="2"/>
        <v>1.2</v>
      </c>
    </row>
    <row r="43">
      <c r="A43" s="58">
        <v>46113.0</v>
      </c>
      <c r="B43" s="24" t="s">
        <v>6787</v>
      </c>
      <c r="C43" s="24" t="s">
        <v>6816</v>
      </c>
      <c r="D43" s="59">
        <v>4.0</v>
      </c>
      <c r="E43" s="59">
        <v>4.0</v>
      </c>
      <c r="F43" s="59">
        <v>4.0</v>
      </c>
      <c r="G43" s="60">
        <v>1.0</v>
      </c>
      <c r="H43" s="60">
        <v>1.0</v>
      </c>
      <c r="I43" s="60">
        <v>0.0</v>
      </c>
      <c r="J43" s="59">
        <v>4.0</v>
      </c>
      <c r="K43" s="61">
        <f t="shared" si="1"/>
        <v>1</v>
      </c>
      <c r="L43" s="62">
        <f t="shared" si="2"/>
        <v>1</v>
      </c>
    </row>
    <row r="44">
      <c r="A44" s="58">
        <v>46113.0</v>
      </c>
      <c r="B44" s="24" t="s">
        <v>6787</v>
      </c>
      <c r="C44" s="24"/>
      <c r="D44" s="59">
        <v>3.0</v>
      </c>
      <c r="E44" s="59">
        <v>3.0</v>
      </c>
      <c r="F44" s="59">
        <v>0.0</v>
      </c>
      <c r="G44" s="60">
        <v>0.0</v>
      </c>
      <c r="H44" s="60">
        <v>1.0</v>
      </c>
      <c r="I44" s="60">
        <v>0.0</v>
      </c>
      <c r="J44" s="59">
        <v>0.0</v>
      </c>
      <c r="K44" s="61">
        <f t="shared" si="1"/>
        <v>0</v>
      </c>
      <c r="L44" s="62">
        <f t="shared" si="2"/>
        <v>0</v>
      </c>
    </row>
    <row r="45">
      <c r="A45" s="58">
        <v>46113.0</v>
      </c>
      <c r="B45" s="24" t="s">
        <v>6789</v>
      </c>
      <c r="C45" s="24" t="s">
        <v>6803</v>
      </c>
      <c r="D45" s="59">
        <v>3.0</v>
      </c>
      <c r="E45" s="59">
        <v>3.0</v>
      </c>
      <c r="F45" s="59">
        <v>1.0</v>
      </c>
      <c r="G45" s="60">
        <v>1.0</v>
      </c>
      <c r="H45" s="60">
        <v>0.0</v>
      </c>
      <c r="I45" s="60">
        <v>138.667406666666</v>
      </c>
      <c r="J45" s="59">
        <v>8.0</v>
      </c>
      <c r="K45" s="61">
        <f t="shared" si="1"/>
        <v>0.3333333333</v>
      </c>
      <c r="L45" s="62">
        <f t="shared" si="2"/>
        <v>2.666666667</v>
      </c>
    </row>
    <row r="46">
      <c r="A46" s="58">
        <v>46113.0</v>
      </c>
      <c r="B46" s="24" t="s">
        <v>6787</v>
      </c>
      <c r="C46" s="24" t="s">
        <v>6817</v>
      </c>
      <c r="D46" s="59">
        <v>3.0</v>
      </c>
      <c r="E46" s="59">
        <v>3.0</v>
      </c>
      <c r="F46" s="59">
        <v>3.0</v>
      </c>
      <c r="G46" s="60">
        <v>1.0</v>
      </c>
      <c r="H46" s="60">
        <v>1.0</v>
      </c>
      <c r="I46" s="60">
        <v>2.54621233333333</v>
      </c>
      <c r="J46" s="59">
        <v>3.0</v>
      </c>
      <c r="K46" s="61">
        <f t="shared" si="1"/>
        <v>1</v>
      </c>
      <c r="L46" s="62">
        <f t="shared" si="2"/>
        <v>1</v>
      </c>
    </row>
    <row r="47">
      <c r="A47" s="58">
        <v>46113.0</v>
      </c>
      <c r="B47" s="24" t="s">
        <v>6789</v>
      </c>
      <c r="C47" s="24" t="s">
        <v>6818</v>
      </c>
      <c r="D47" s="59">
        <v>3.0</v>
      </c>
      <c r="E47" s="59">
        <v>3.0</v>
      </c>
      <c r="F47" s="59">
        <v>1.0</v>
      </c>
      <c r="G47" s="60">
        <v>1.0</v>
      </c>
      <c r="H47" s="60">
        <v>0.333333333333333</v>
      </c>
      <c r="I47" s="60">
        <v>189.011462666666</v>
      </c>
      <c r="J47" s="59">
        <v>6.0</v>
      </c>
      <c r="K47" s="61">
        <f t="shared" si="1"/>
        <v>0.3333333333</v>
      </c>
      <c r="L47" s="62">
        <f t="shared" si="2"/>
        <v>2</v>
      </c>
    </row>
    <row r="48">
      <c r="A48" s="58">
        <v>46113.0</v>
      </c>
      <c r="B48" s="24" t="s">
        <v>6787</v>
      </c>
      <c r="C48" s="24" t="s">
        <v>6819</v>
      </c>
      <c r="D48" s="59">
        <v>3.0</v>
      </c>
      <c r="E48" s="59">
        <v>3.0</v>
      </c>
      <c r="F48" s="59">
        <v>3.0</v>
      </c>
      <c r="G48" s="60">
        <v>1.0</v>
      </c>
      <c r="H48" s="60">
        <v>0.333333333333333</v>
      </c>
      <c r="I48" s="60">
        <v>15.4068936666666</v>
      </c>
      <c r="J48" s="59">
        <v>3.0</v>
      </c>
      <c r="K48" s="61">
        <f t="shared" si="1"/>
        <v>1</v>
      </c>
      <c r="L48" s="62">
        <f t="shared" si="2"/>
        <v>1</v>
      </c>
    </row>
    <row r="49">
      <c r="A49" s="58">
        <v>46113.0</v>
      </c>
      <c r="B49" s="24" t="s">
        <v>6789</v>
      </c>
      <c r="C49" s="24" t="s">
        <v>6799</v>
      </c>
      <c r="D49" s="59">
        <v>3.0</v>
      </c>
      <c r="E49" s="59">
        <v>3.0</v>
      </c>
      <c r="F49" s="59">
        <v>2.0</v>
      </c>
      <c r="G49" s="60">
        <v>1.0</v>
      </c>
      <c r="H49" s="60">
        <v>0.333333333333333</v>
      </c>
      <c r="I49" s="60">
        <v>119.394590999999</v>
      </c>
      <c r="J49" s="59">
        <v>4.0</v>
      </c>
      <c r="K49" s="61">
        <f t="shared" si="1"/>
        <v>0.6666666667</v>
      </c>
      <c r="L49" s="62">
        <f t="shared" si="2"/>
        <v>1.333333333</v>
      </c>
    </row>
    <row r="50">
      <c r="A50" s="58">
        <v>46113.0</v>
      </c>
      <c r="B50" s="24" t="s">
        <v>6787</v>
      </c>
      <c r="C50" s="24" t="s">
        <v>6820</v>
      </c>
      <c r="D50" s="59">
        <v>3.0</v>
      </c>
      <c r="E50" s="59">
        <v>3.0</v>
      </c>
      <c r="F50" s="59">
        <v>3.0</v>
      </c>
      <c r="G50" s="60">
        <v>1.0</v>
      </c>
      <c r="H50" s="60">
        <v>1.0</v>
      </c>
      <c r="I50" s="60">
        <v>0.0</v>
      </c>
      <c r="J50" s="59">
        <v>3.0</v>
      </c>
      <c r="K50" s="61">
        <f t="shared" si="1"/>
        <v>1</v>
      </c>
      <c r="L50" s="62">
        <f t="shared" si="2"/>
        <v>1</v>
      </c>
    </row>
    <row r="51">
      <c r="A51" s="58">
        <v>46113.0</v>
      </c>
      <c r="B51" s="24" t="s">
        <v>6789</v>
      </c>
      <c r="C51" s="24" t="s">
        <v>6821</v>
      </c>
      <c r="D51" s="59">
        <v>3.0</v>
      </c>
      <c r="E51" s="59">
        <v>3.0</v>
      </c>
      <c r="F51" s="59">
        <v>1.0</v>
      </c>
      <c r="G51" s="60">
        <v>1.0</v>
      </c>
      <c r="H51" s="60">
        <v>1.0</v>
      </c>
      <c r="I51" s="60">
        <v>0.0</v>
      </c>
      <c r="J51" s="59">
        <v>3.0</v>
      </c>
      <c r="K51" s="61">
        <f t="shared" si="1"/>
        <v>0.3333333333</v>
      </c>
      <c r="L51" s="62">
        <f t="shared" si="2"/>
        <v>1</v>
      </c>
    </row>
    <row r="52">
      <c r="A52" s="58">
        <v>46113.0</v>
      </c>
      <c r="B52" s="24" t="s">
        <v>6787</v>
      </c>
      <c r="C52" s="24" t="s">
        <v>6822</v>
      </c>
      <c r="D52" s="59">
        <v>3.0</v>
      </c>
      <c r="E52" s="59">
        <v>3.0</v>
      </c>
      <c r="F52" s="59">
        <v>3.0</v>
      </c>
      <c r="G52" s="60">
        <v>1.0</v>
      </c>
      <c r="H52" s="60">
        <v>0.666666666666666</v>
      </c>
      <c r="I52" s="60">
        <v>22.866046</v>
      </c>
      <c r="J52" s="59">
        <v>4.0</v>
      </c>
      <c r="K52" s="61">
        <f t="shared" si="1"/>
        <v>1</v>
      </c>
      <c r="L52" s="62">
        <f t="shared" si="2"/>
        <v>1.333333333</v>
      </c>
    </row>
    <row r="53">
      <c r="A53" s="58">
        <v>46113.0</v>
      </c>
      <c r="B53" s="24" t="s">
        <v>6787</v>
      </c>
      <c r="C53" s="24" t="s">
        <v>6823</v>
      </c>
      <c r="D53" s="59">
        <v>3.0</v>
      </c>
      <c r="E53" s="59">
        <v>3.0</v>
      </c>
      <c r="F53" s="59">
        <v>3.0</v>
      </c>
      <c r="G53" s="60">
        <v>1.0</v>
      </c>
      <c r="H53" s="60">
        <v>1.0</v>
      </c>
      <c r="I53" s="60">
        <v>2.88903166666666</v>
      </c>
      <c r="J53" s="59">
        <v>3.0</v>
      </c>
      <c r="K53" s="61">
        <f t="shared" si="1"/>
        <v>1</v>
      </c>
      <c r="L53" s="62">
        <f t="shared" si="2"/>
        <v>1</v>
      </c>
    </row>
    <row r="54">
      <c r="A54" s="58">
        <v>46113.0</v>
      </c>
      <c r="B54" s="24" t="s">
        <v>6789</v>
      </c>
      <c r="C54" s="24" t="s">
        <v>6807</v>
      </c>
      <c r="D54" s="59">
        <v>3.0</v>
      </c>
      <c r="E54" s="59">
        <v>12.0</v>
      </c>
      <c r="F54" s="59">
        <v>0.0</v>
      </c>
      <c r="G54" s="60">
        <v>4.0</v>
      </c>
      <c r="H54" s="60">
        <v>0.75</v>
      </c>
      <c r="I54" s="60">
        <v>344.638874916666</v>
      </c>
      <c r="J54" s="59">
        <v>15.0</v>
      </c>
      <c r="K54" s="61">
        <f t="shared" si="1"/>
        <v>0</v>
      </c>
      <c r="L54" s="62">
        <f t="shared" si="2"/>
        <v>1.25</v>
      </c>
    </row>
    <row r="55">
      <c r="A55" s="58">
        <v>46113.0</v>
      </c>
      <c r="B55" s="24" t="s">
        <v>6791</v>
      </c>
      <c r="C55" s="24" t="s">
        <v>6824</v>
      </c>
      <c r="D55" s="59">
        <v>3.0</v>
      </c>
      <c r="E55" s="59">
        <v>3.0</v>
      </c>
      <c r="F55" s="59">
        <v>3.0</v>
      </c>
      <c r="G55" s="60">
        <v>1.0</v>
      </c>
      <c r="H55" s="60">
        <v>0.0</v>
      </c>
      <c r="I55" s="60">
        <v>27.5825129999999</v>
      </c>
      <c r="J55" s="59">
        <v>3.0</v>
      </c>
      <c r="K55" s="61">
        <f t="shared" si="1"/>
        <v>1</v>
      </c>
      <c r="L55" s="62">
        <f t="shared" si="2"/>
        <v>1</v>
      </c>
    </row>
    <row r="56">
      <c r="A56" s="58">
        <v>46113.0</v>
      </c>
      <c r="B56" s="24" t="s">
        <v>6787</v>
      </c>
      <c r="C56" s="24" t="s">
        <v>6825</v>
      </c>
      <c r="D56" s="59">
        <v>3.0</v>
      </c>
      <c r="E56" s="59">
        <v>3.0</v>
      </c>
      <c r="F56" s="59">
        <v>3.0</v>
      </c>
      <c r="G56" s="60">
        <v>1.0</v>
      </c>
      <c r="H56" s="60">
        <v>0.666666666666666</v>
      </c>
      <c r="I56" s="60">
        <v>36.0161116666666</v>
      </c>
      <c r="J56" s="59">
        <v>3.0</v>
      </c>
      <c r="K56" s="61">
        <f t="shared" si="1"/>
        <v>1</v>
      </c>
      <c r="L56" s="62">
        <f t="shared" si="2"/>
        <v>1</v>
      </c>
    </row>
    <row r="57">
      <c r="A57" s="58">
        <v>46113.0</v>
      </c>
      <c r="B57" s="24" t="s">
        <v>6789</v>
      </c>
      <c r="C57" s="24" t="s">
        <v>6801</v>
      </c>
      <c r="D57" s="59">
        <v>3.0</v>
      </c>
      <c r="E57" s="59">
        <v>4.0</v>
      </c>
      <c r="F57" s="59">
        <v>3.0</v>
      </c>
      <c r="G57" s="60">
        <v>1.33333333333333</v>
      </c>
      <c r="H57" s="60">
        <v>0.5</v>
      </c>
      <c r="I57" s="60">
        <v>22.8677405</v>
      </c>
      <c r="J57" s="59">
        <v>4.0</v>
      </c>
      <c r="K57" s="61">
        <f t="shared" si="1"/>
        <v>0.75</v>
      </c>
      <c r="L57" s="62">
        <f t="shared" si="2"/>
        <v>1</v>
      </c>
    </row>
    <row r="58">
      <c r="A58" s="58">
        <v>46113.0</v>
      </c>
      <c r="B58" s="24" t="s">
        <v>6787</v>
      </c>
      <c r="C58" s="24" t="s">
        <v>6795</v>
      </c>
      <c r="D58" s="59">
        <v>3.0</v>
      </c>
      <c r="E58" s="59">
        <v>4.0</v>
      </c>
      <c r="F58" s="59">
        <v>2.0</v>
      </c>
      <c r="G58" s="60">
        <v>1.33333333333333</v>
      </c>
      <c r="H58" s="60">
        <v>1.0</v>
      </c>
      <c r="I58" s="60">
        <v>0.0</v>
      </c>
      <c r="J58" s="59">
        <v>4.0</v>
      </c>
      <c r="K58" s="61">
        <f t="shared" si="1"/>
        <v>0.5</v>
      </c>
      <c r="L58" s="62">
        <f t="shared" si="2"/>
        <v>1</v>
      </c>
    </row>
    <row r="59">
      <c r="A59" s="58">
        <v>46113.0</v>
      </c>
      <c r="B59" s="24" t="s">
        <v>6790</v>
      </c>
      <c r="C59" s="24" t="s">
        <v>6795</v>
      </c>
      <c r="D59" s="59">
        <v>3.0</v>
      </c>
      <c r="E59" s="59">
        <v>3.0</v>
      </c>
      <c r="F59" s="59">
        <v>0.0</v>
      </c>
      <c r="G59" s="60">
        <v>1.0</v>
      </c>
      <c r="H59" s="60">
        <v>1.0</v>
      </c>
      <c r="I59" s="60">
        <v>0.0</v>
      </c>
      <c r="J59" s="59">
        <v>3.0</v>
      </c>
      <c r="K59" s="61">
        <f t="shared" si="1"/>
        <v>0</v>
      </c>
      <c r="L59" s="62">
        <f t="shared" si="2"/>
        <v>1</v>
      </c>
    </row>
    <row r="60">
      <c r="A60" s="58">
        <v>46113.0</v>
      </c>
      <c r="B60" s="24" t="s">
        <v>6787</v>
      </c>
      <c r="C60" s="24" t="s">
        <v>6826</v>
      </c>
      <c r="D60" s="59">
        <v>3.0</v>
      </c>
      <c r="E60" s="59">
        <v>3.0</v>
      </c>
      <c r="F60" s="59">
        <v>3.0</v>
      </c>
      <c r="G60" s="60">
        <v>1.0</v>
      </c>
      <c r="H60" s="60">
        <v>0.666666666666666</v>
      </c>
      <c r="I60" s="60">
        <v>6.359501</v>
      </c>
      <c r="J60" s="59">
        <v>3.0</v>
      </c>
      <c r="K60" s="61">
        <f t="shared" si="1"/>
        <v>1</v>
      </c>
      <c r="L60" s="62">
        <f t="shared" si="2"/>
        <v>1</v>
      </c>
    </row>
    <row r="61">
      <c r="A61" s="58">
        <v>46113.0</v>
      </c>
      <c r="B61" s="24" t="s">
        <v>6789</v>
      </c>
      <c r="C61" s="24" t="s">
        <v>6827</v>
      </c>
      <c r="D61" s="59">
        <v>2.0</v>
      </c>
      <c r="E61" s="59">
        <v>2.0</v>
      </c>
      <c r="F61" s="59">
        <v>0.0</v>
      </c>
      <c r="G61" s="60">
        <v>1.0</v>
      </c>
      <c r="H61" s="60">
        <v>0.0</v>
      </c>
      <c r="I61" s="60">
        <v>5342.8144535</v>
      </c>
      <c r="J61" s="59">
        <v>93.0</v>
      </c>
      <c r="K61" s="61">
        <f t="shared" si="1"/>
        <v>0</v>
      </c>
      <c r="L61" s="62">
        <f t="shared" si="2"/>
        <v>46.5</v>
      </c>
    </row>
    <row r="62">
      <c r="A62" s="58">
        <v>46113.0</v>
      </c>
      <c r="B62" s="24" t="s">
        <v>6789</v>
      </c>
      <c r="C62" s="24" t="s">
        <v>6817</v>
      </c>
      <c r="D62" s="59">
        <v>2.0</v>
      </c>
      <c r="E62" s="59">
        <v>2.0</v>
      </c>
      <c r="F62" s="59">
        <v>0.0</v>
      </c>
      <c r="G62" s="60">
        <v>2.0</v>
      </c>
      <c r="H62" s="60">
        <v>1.0</v>
      </c>
      <c r="I62" s="60">
        <v>1.1736005</v>
      </c>
      <c r="J62" s="59">
        <v>2.0</v>
      </c>
      <c r="K62" s="61">
        <f t="shared" si="1"/>
        <v>0</v>
      </c>
      <c r="L62" s="62">
        <f t="shared" si="2"/>
        <v>1</v>
      </c>
    </row>
    <row r="63">
      <c r="A63" s="58">
        <v>46113.0</v>
      </c>
      <c r="B63" s="24" t="s">
        <v>6787</v>
      </c>
      <c r="C63" s="24" t="s">
        <v>6828</v>
      </c>
      <c r="D63" s="59">
        <v>2.0</v>
      </c>
      <c r="E63" s="59">
        <v>2.0</v>
      </c>
      <c r="F63" s="59">
        <v>2.0</v>
      </c>
      <c r="G63" s="60">
        <v>1.0</v>
      </c>
      <c r="H63" s="60">
        <v>0.0</v>
      </c>
      <c r="I63" s="60">
        <v>13.63354</v>
      </c>
      <c r="J63" s="59">
        <v>2.0</v>
      </c>
      <c r="K63" s="61">
        <f t="shared" si="1"/>
        <v>1</v>
      </c>
      <c r="L63" s="62">
        <f t="shared" si="2"/>
        <v>1</v>
      </c>
    </row>
    <row r="64">
      <c r="A64" s="58">
        <v>46113.0</v>
      </c>
      <c r="B64" s="24" t="s">
        <v>6787</v>
      </c>
      <c r="C64" s="24" t="s">
        <v>6829</v>
      </c>
      <c r="D64" s="59">
        <v>2.0</v>
      </c>
      <c r="E64" s="59">
        <v>2.0</v>
      </c>
      <c r="F64" s="59">
        <v>2.0</v>
      </c>
      <c r="G64" s="60">
        <v>1.0</v>
      </c>
      <c r="H64" s="60">
        <v>0.5</v>
      </c>
      <c r="I64" s="60">
        <v>15.2854545</v>
      </c>
      <c r="J64" s="59">
        <v>2.0</v>
      </c>
      <c r="K64" s="61">
        <f t="shared" si="1"/>
        <v>1</v>
      </c>
      <c r="L64" s="62">
        <f t="shared" si="2"/>
        <v>1</v>
      </c>
    </row>
    <row r="65">
      <c r="A65" s="58">
        <v>46113.0</v>
      </c>
      <c r="B65" s="24" t="s">
        <v>6787</v>
      </c>
      <c r="C65" s="24" t="s">
        <v>6830</v>
      </c>
      <c r="D65" s="59">
        <v>2.0</v>
      </c>
      <c r="E65" s="59">
        <v>2.0</v>
      </c>
      <c r="F65" s="59">
        <v>2.0</v>
      </c>
      <c r="G65" s="60">
        <v>1.0</v>
      </c>
      <c r="H65" s="60">
        <v>1.0</v>
      </c>
      <c r="I65" s="60">
        <v>0.0</v>
      </c>
      <c r="J65" s="59">
        <v>2.0</v>
      </c>
      <c r="K65" s="61">
        <f t="shared" si="1"/>
        <v>1</v>
      </c>
      <c r="L65" s="62">
        <f t="shared" si="2"/>
        <v>1</v>
      </c>
    </row>
    <row r="66">
      <c r="A66" s="58">
        <v>46113.0</v>
      </c>
      <c r="B66" s="24" t="s">
        <v>6787</v>
      </c>
      <c r="C66" s="24" t="s">
        <v>6831</v>
      </c>
      <c r="D66" s="59">
        <v>2.0</v>
      </c>
      <c r="E66" s="59">
        <v>2.0</v>
      </c>
      <c r="F66" s="59">
        <v>2.0</v>
      </c>
      <c r="G66" s="60">
        <v>1.0</v>
      </c>
      <c r="H66" s="60">
        <v>1.0</v>
      </c>
      <c r="I66" s="60">
        <v>0.0</v>
      </c>
      <c r="J66" s="59">
        <v>2.0</v>
      </c>
      <c r="K66" s="61">
        <f t="shared" si="1"/>
        <v>1</v>
      </c>
      <c r="L66" s="62">
        <f t="shared" si="2"/>
        <v>1</v>
      </c>
    </row>
    <row r="67">
      <c r="A67" s="58">
        <v>46113.0</v>
      </c>
      <c r="B67" s="24" t="s">
        <v>6787</v>
      </c>
      <c r="C67" s="24" t="s">
        <v>6832</v>
      </c>
      <c r="D67" s="59">
        <v>2.0</v>
      </c>
      <c r="E67" s="59">
        <v>2.0</v>
      </c>
      <c r="F67" s="59">
        <v>2.0</v>
      </c>
      <c r="G67" s="60">
        <v>1.0</v>
      </c>
      <c r="H67" s="60">
        <v>1.0</v>
      </c>
      <c r="I67" s="60">
        <v>0.0</v>
      </c>
      <c r="J67" s="59">
        <v>2.0</v>
      </c>
      <c r="K67" s="61">
        <f t="shared" si="1"/>
        <v>1</v>
      </c>
      <c r="L67" s="62">
        <f t="shared" si="2"/>
        <v>1</v>
      </c>
    </row>
    <row r="68">
      <c r="A68" s="58">
        <v>46113.0</v>
      </c>
      <c r="B68" s="24" t="s">
        <v>6787</v>
      </c>
      <c r="C68" s="24" t="s">
        <v>6833</v>
      </c>
      <c r="D68" s="59">
        <v>2.0</v>
      </c>
      <c r="E68" s="59">
        <v>2.0</v>
      </c>
      <c r="F68" s="59">
        <v>2.0</v>
      </c>
      <c r="G68" s="60">
        <v>1.0</v>
      </c>
      <c r="H68" s="60">
        <v>1.0</v>
      </c>
      <c r="I68" s="60">
        <v>0.0</v>
      </c>
      <c r="J68" s="59">
        <v>2.0</v>
      </c>
      <c r="K68" s="61">
        <f t="shared" si="1"/>
        <v>1</v>
      </c>
      <c r="L68" s="62">
        <f t="shared" si="2"/>
        <v>1</v>
      </c>
    </row>
    <row r="69">
      <c r="A69" s="58">
        <v>46113.0</v>
      </c>
      <c r="B69" s="24" t="s">
        <v>6789</v>
      </c>
      <c r="C69" s="24" t="s">
        <v>6834</v>
      </c>
      <c r="D69" s="59">
        <v>2.0</v>
      </c>
      <c r="E69" s="59">
        <v>2.0</v>
      </c>
      <c r="F69" s="59">
        <v>2.0</v>
      </c>
      <c r="G69" s="60">
        <v>1.0</v>
      </c>
      <c r="H69" s="60">
        <v>1.0</v>
      </c>
      <c r="I69" s="60">
        <v>0.0</v>
      </c>
      <c r="J69" s="59">
        <v>2.0</v>
      </c>
      <c r="K69" s="61">
        <f t="shared" si="1"/>
        <v>1</v>
      </c>
      <c r="L69" s="62">
        <f t="shared" si="2"/>
        <v>1</v>
      </c>
    </row>
    <row r="70">
      <c r="A70" s="58">
        <v>46113.0</v>
      </c>
      <c r="B70" s="24" t="s">
        <v>6789</v>
      </c>
      <c r="C70" s="24" t="s">
        <v>6835</v>
      </c>
      <c r="D70" s="59">
        <v>2.0</v>
      </c>
      <c r="E70" s="59">
        <v>2.0</v>
      </c>
      <c r="F70" s="59">
        <v>2.0</v>
      </c>
      <c r="G70" s="60">
        <v>1.0</v>
      </c>
      <c r="H70" s="60">
        <v>0.5</v>
      </c>
      <c r="I70" s="60">
        <v>34.249919</v>
      </c>
      <c r="J70" s="59">
        <v>2.0</v>
      </c>
      <c r="K70" s="61">
        <f t="shared" si="1"/>
        <v>1</v>
      </c>
      <c r="L70" s="62">
        <f t="shared" si="2"/>
        <v>1</v>
      </c>
    </row>
    <row r="71">
      <c r="A71" s="58">
        <v>46113.0</v>
      </c>
      <c r="B71" s="24" t="s">
        <v>6787</v>
      </c>
      <c r="C71" s="24" t="s">
        <v>6836</v>
      </c>
      <c r="D71" s="59">
        <v>2.0</v>
      </c>
      <c r="E71" s="59">
        <v>2.0</v>
      </c>
      <c r="F71" s="59">
        <v>2.0</v>
      </c>
      <c r="G71" s="60">
        <v>1.0</v>
      </c>
      <c r="H71" s="60">
        <v>1.0</v>
      </c>
      <c r="I71" s="60">
        <v>0.0</v>
      </c>
      <c r="J71" s="59">
        <v>2.0</v>
      </c>
      <c r="K71" s="61">
        <f t="shared" si="1"/>
        <v>1</v>
      </c>
      <c r="L71" s="62">
        <f t="shared" si="2"/>
        <v>1</v>
      </c>
    </row>
    <row r="72">
      <c r="A72" s="58">
        <v>46113.0</v>
      </c>
      <c r="B72" s="24" t="s">
        <v>6787</v>
      </c>
      <c r="C72" s="24" t="s">
        <v>6837</v>
      </c>
      <c r="D72" s="59">
        <v>2.0</v>
      </c>
      <c r="E72" s="59">
        <v>2.0</v>
      </c>
      <c r="F72" s="59">
        <v>2.0</v>
      </c>
      <c r="G72" s="60">
        <v>1.0</v>
      </c>
      <c r="H72" s="60">
        <v>1.0</v>
      </c>
      <c r="I72" s="60">
        <v>0.0</v>
      </c>
      <c r="J72" s="59">
        <v>2.0</v>
      </c>
      <c r="K72" s="61">
        <f t="shared" si="1"/>
        <v>1</v>
      </c>
      <c r="L72" s="62">
        <f t="shared" si="2"/>
        <v>1</v>
      </c>
    </row>
    <row r="73">
      <c r="A73" s="58">
        <v>46113.0</v>
      </c>
      <c r="B73" s="24" t="s">
        <v>6789</v>
      </c>
      <c r="C73" s="24" t="s">
        <v>6838</v>
      </c>
      <c r="D73" s="59">
        <v>2.0</v>
      </c>
      <c r="E73" s="59">
        <v>2.0</v>
      </c>
      <c r="F73" s="59">
        <v>1.0</v>
      </c>
      <c r="G73" s="60">
        <v>1.0</v>
      </c>
      <c r="H73" s="60">
        <v>0.0</v>
      </c>
      <c r="I73" s="60">
        <v>359.515871</v>
      </c>
      <c r="J73" s="59">
        <v>4.0</v>
      </c>
      <c r="K73" s="61">
        <f t="shared" si="1"/>
        <v>0.5</v>
      </c>
      <c r="L73" s="62">
        <f t="shared" si="2"/>
        <v>2</v>
      </c>
    </row>
    <row r="74">
      <c r="A74" s="58">
        <v>46113.0</v>
      </c>
      <c r="B74" s="24" t="s">
        <v>6787</v>
      </c>
      <c r="C74" s="24" t="s">
        <v>6839</v>
      </c>
      <c r="D74" s="59">
        <v>2.0</v>
      </c>
      <c r="E74" s="59">
        <v>2.0</v>
      </c>
      <c r="F74" s="59">
        <v>3.0</v>
      </c>
      <c r="G74" s="60">
        <v>1.0</v>
      </c>
      <c r="H74" s="60">
        <v>1.0</v>
      </c>
      <c r="I74" s="60">
        <v>3.8047365</v>
      </c>
      <c r="J74" s="59">
        <v>3.0</v>
      </c>
      <c r="K74" s="61">
        <f t="shared" si="1"/>
        <v>1.5</v>
      </c>
      <c r="L74" s="62">
        <f t="shared" si="2"/>
        <v>1.5</v>
      </c>
    </row>
    <row r="75">
      <c r="A75" s="58">
        <v>46113.0</v>
      </c>
      <c r="B75" s="24" t="s">
        <v>6789</v>
      </c>
      <c r="C75" s="24" t="s">
        <v>6840</v>
      </c>
      <c r="D75" s="59">
        <v>2.0</v>
      </c>
      <c r="E75" s="59">
        <v>2.0</v>
      </c>
      <c r="F75" s="59">
        <v>1.0</v>
      </c>
      <c r="G75" s="60">
        <v>1.0</v>
      </c>
      <c r="H75" s="60">
        <v>0.5</v>
      </c>
      <c r="I75" s="60">
        <v>32.916931</v>
      </c>
      <c r="J75" s="59">
        <v>2.0</v>
      </c>
      <c r="K75" s="61">
        <f t="shared" si="1"/>
        <v>0.5</v>
      </c>
      <c r="L75" s="62">
        <f t="shared" si="2"/>
        <v>1</v>
      </c>
    </row>
    <row r="76">
      <c r="A76" s="58">
        <v>46113.0</v>
      </c>
      <c r="B76" s="24" t="s">
        <v>6789</v>
      </c>
      <c r="C76" s="24" t="s">
        <v>6841</v>
      </c>
      <c r="D76" s="59">
        <v>2.0</v>
      </c>
      <c r="E76" s="59">
        <v>2.0</v>
      </c>
      <c r="F76" s="59">
        <v>2.0</v>
      </c>
      <c r="G76" s="60">
        <v>1.0</v>
      </c>
      <c r="H76" s="60">
        <v>0.5</v>
      </c>
      <c r="I76" s="60">
        <v>288.7260295</v>
      </c>
      <c r="J76" s="59">
        <v>2.0</v>
      </c>
      <c r="K76" s="61">
        <f t="shared" si="1"/>
        <v>1</v>
      </c>
      <c r="L76" s="62">
        <f t="shared" si="2"/>
        <v>1</v>
      </c>
    </row>
    <row r="77">
      <c r="A77" s="58">
        <v>46113.0</v>
      </c>
      <c r="B77" s="24" t="s">
        <v>6789</v>
      </c>
      <c r="C77" s="24" t="s">
        <v>6842</v>
      </c>
      <c r="D77" s="59">
        <v>2.0</v>
      </c>
      <c r="E77" s="59">
        <v>2.0</v>
      </c>
      <c r="F77" s="59">
        <v>0.0</v>
      </c>
      <c r="G77" s="60">
        <v>2.0</v>
      </c>
      <c r="H77" s="60">
        <v>0.5</v>
      </c>
      <c r="I77" s="60">
        <v>397.59324</v>
      </c>
      <c r="J77" s="59">
        <v>3.0</v>
      </c>
      <c r="K77" s="61">
        <f t="shared" si="1"/>
        <v>0</v>
      </c>
      <c r="L77" s="62">
        <f t="shared" si="2"/>
        <v>1.5</v>
      </c>
    </row>
    <row r="78">
      <c r="A78" s="58">
        <v>46113.0</v>
      </c>
      <c r="B78" s="24" t="s">
        <v>6789</v>
      </c>
      <c r="C78" s="24" t="s">
        <v>6811</v>
      </c>
      <c r="D78" s="59">
        <v>2.0</v>
      </c>
      <c r="E78" s="59">
        <v>2.0</v>
      </c>
      <c r="F78" s="59">
        <v>1.0</v>
      </c>
      <c r="G78" s="60">
        <v>2.0</v>
      </c>
      <c r="H78" s="60">
        <v>0.5</v>
      </c>
      <c r="I78" s="60">
        <v>329.3729665</v>
      </c>
      <c r="J78" s="59">
        <v>5.0</v>
      </c>
      <c r="K78" s="61">
        <f t="shared" si="1"/>
        <v>0.5</v>
      </c>
      <c r="L78" s="62">
        <f t="shared" si="2"/>
        <v>2.5</v>
      </c>
    </row>
    <row r="79">
      <c r="A79" s="58">
        <v>46113.0</v>
      </c>
      <c r="B79" s="24" t="s">
        <v>6789</v>
      </c>
      <c r="C79" s="24" t="s">
        <v>6843</v>
      </c>
      <c r="D79" s="59">
        <v>2.0</v>
      </c>
      <c r="E79" s="59">
        <v>2.0</v>
      </c>
      <c r="F79" s="59">
        <v>2.0</v>
      </c>
      <c r="G79" s="60">
        <v>1.0</v>
      </c>
      <c r="H79" s="60">
        <v>0.0</v>
      </c>
      <c r="I79" s="60">
        <v>478.902483</v>
      </c>
      <c r="J79" s="59">
        <v>2.0</v>
      </c>
      <c r="K79" s="61">
        <f t="shared" si="1"/>
        <v>1</v>
      </c>
      <c r="L79" s="62">
        <f t="shared" si="2"/>
        <v>1</v>
      </c>
    </row>
    <row r="80">
      <c r="A80" s="58">
        <v>46113.0</v>
      </c>
      <c r="B80" s="24" t="s">
        <v>6787</v>
      </c>
      <c r="C80" s="24" t="s">
        <v>6844</v>
      </c>
      <c r="D80" s="59">
        <v>2.0</v>
      </c>
      <c r="E80" s="59">
        <v>2.0</v>
      </c>
      <c r="F80" s="59">
        <v>2.0</v>
      </c>
      <c r="G80" s="60">
        <v>1.0</v>
      </c>
      <c r="H80" s="60">
        <v>0.5</v>
      </c>
      <c r="I80" s="60">
        <v>7.639768</v>
      </c>
      <c r="J80" s="59">
        <v>2.0</v>
      </c>
      <c r="K80" s="61">
        <f t="shared" si="1"/>
        <v>1</v>
      </c>
      <c r="L80" s="62">
        <f t="shared" si="2"/>
        <v>1</v>
      </c>
    </row>
    <row r="81">
      <c r="A81" s="58">
        <v>46113.0</v>
      </c>
      <c r="B81" s="24" t="s">
        <v>6787</v>
      </c>
      <c r="C81" s="24" t="s">
        <v>6845</v>
      </c>
      <c r="D81" s="59">
        <v>2.0</v>
      </c>
      <c r="E81" s="59">
        <v>2.0</v>
      </c>
      <c r="F81" s="59">
        <v>1.0</v>
      </c>
      <c r="G81" s="60">
        <v>1.0</v>
      </c>
      <c r="H81" s="60">
        <v>0.0</v>
      </c>
      <c r="I81" s="60">
        <v>131.8049185</v>
      </c>
      <c r="J81" s="59">
        <v>4.0</v>
      </c>
      <c r="K81" s="61">
        <f t="shared" si="1"/>
        <v>0.5</v>
      </c>
      <c r="L81" s="62">
        <f t="shared" si="2"/>
        <v>2</v>
      </c>
    </row>
    <row r="82">
      <c r="A82" s="58">
        <v>46113.0</v>
      </c>
      <c r="B82" s="24" t="s">
        <v>6789</v>
      </c>
      <c r="C82" s="24" t="s">
        <v>6824</v>
      </c>
      <c r="D82" s="59">
        <v>2.0</v>
      </c>
      <c r="E82" s="59">
        <v>2.0</v>
      </c>
      <c r="F82" s="59">
        <v>0.0</v>
      </c>
      <c r="G82" s="60">
        <v>1.0</v>
      </c>
      <c r="H82" s="60">
        <v>0.5</v>
      </c>
      <c r="I82" s="60">
        <v>3313.6925485</v>
      </c>
      <c r="J82" s="59">
        <v>76.0</v>
      </c>
      <c r="K82" s="61">
        <f t="shared" si="1"/>
        <v>0</v>
      </c>
      <c r="L82" s="62">
        <f t="shared" si="2"/>
        <v>38</v>
      </c>
    </row>
    <row r="83">
      <c r="A83" s="58">
        <v>46113.0</v>
      </c>
      <c r="B83" s="24" t="s">
        <v>6787</v>
      </c>
      <c r="C83" s="24" t="s">
        <v>6846</v>
      </c>
      <c r="D83" s="59">
        <v>2.0</v>
      </c>
      <c r="E83" s="59">
        <v>2.0</v>
      </c>
      <c r="F83" s="59">
        <v>2.0</v>
      </c>
      <c r="G83" s="60">
        <v>1.0</v>
      </c>
      <c r="H83" s="60">
        <v>1.0</v>
      </c>
      <c r="I83" s="60">
        <v>0.0</v>
      </c>
      <c r="J83" s="59">
        <v>2.0</v>
      </c>
      <c r="K83" s="61">
        <f t="shared" si="1"/>
        <v>1</v>
      </c>
      <c r="L83" s="62">
        <f t="shared" si="2"/>
        <v>1</v>
      </c>
    </row>
    <row r="84">
      <c r="A84" s="58">
        <v>46113.0</v>
      </c>
      <c r="B84" s="24" t="s">
        <v>6789</v>
      </c>
      <c r="C84" s="24" t="s">
        <v>6846</v>
      </c>
      <c r="D84" s="59">
        <v>2.0</v>
      </c>
      <c r="E84" s="59">
        <v>2.0</v>
      </c>
      <c r="F84" s="59">
        <v>2.0</v>
      </c>
      <c r="G84" s="60">
        <v>1.0</v>
      </c>
      <c r="H84" s="60">
        <v>0.5</v>
      </c>
      <c r="I84" s="60">
        <v>10.424403</v>
      </c>
      <c r="J84" s="59">
        <v>2.0</v>
      </c>
      <c r="K84" s="61">
        <f t="shared" si="1"/>
        <v>1</v>
      </c>
      <c r="L84" s="62">
        <f t="shared" si="2"/>
        <v>1</v>
      </c>
    </row>
    <row r="85">
      <c r="A85" s="58">
        <v>46113.0</v>
      </c>
      <c r="B85" s="24" t="s">
        <v>6787</v>
      </c>
      <c r="C85" s="24" t="s">
        <v>6847</v>
      </c>
      <c r="D85" s="59">
        <v>2.0</v>
      </c>
      <c r="E85" s="59">
        <v>2.0</v>
      </c>
      <c r="F85" s="59">
        <v>2.0</v>
      </c>
      <c r="G85" s="60">
        <v>1.0</v>
      </c>
      <c r="H85" s="60">
        <v>1.0</v>
      </c>
      <c r="I85" s="60">
        <v>2.4884415</v>
      </c>
      <c r="J85" s="59">
        <v>2.0</v>
      </c>
      <c r="K85" s="61">
        <f t="shared" si="1"/>
        <v>1</v>
      </c>
      <c r="L85" s="62">
        <f t="shared" si="2"/>
        <v>1</v>
      </c>
    </row>
    <row r="86">
      <c r="A86" s="58">
        <v>46113.0</v>
      </c>
      <c r="B86" s="24" t="s">
        <v>6789</v>
      </c>
      <c r="C86" s="24" t="s">
        <v>6847</v>
      </c>
      <c r="D86" s="59">
        <v>2.0</v>
      </c>
      <c r="E86" s="59">
        <v>2.0</v>
      </c>
      <c r="F86" s="59">
        <v>1.0</v>
      </c>
      <c r="G86" s="60">
        <v>1.0</v>
      </c>
      <c r="H86" s="60">
        <v>0.0</v>
      </c>
      <c r="I86" s="60">
        <v>250.7540335</v>
      </c>
      <c r="J86" s="59">
        <v>5.0</v>
      </c>
      <c r="K86" s="61">
        <f t="shared" si="1"/>
        <v>0.5</v>
      </c>
      <c r="L86" s="62">
        <f t="shared" si="2"/>
        <v>2.5</v>
      </c>
    </row>
    <row r="87">
      <c r="A87" s="58">
        <v>46113.0</v>
      </c>
      <c r="B87" s="24" t="s">
        <v>6787</v>
      </c>
      <c r="C87" s="24" t="s">
        <v>6848</v>
      </c>
      <c r="D87" s="59">
        <v>2.0</v>
      </c>
      <c r="E87" s="59">
        <v>2.0</v>
      </c>
      <c r="F87" s="59">
        <v>2.0</v>
      </c>
      <c r="G87" s="60">
        <v>1.0</v>
      </c>
      <c r="H87" s="60">
        <v>1.0</v>
      </c>
      <c r="I87" s="60">
        <v>1.644364</v>
      </c>
      <c r="J87" s="59">
        <v>2.0</v>
      </c>
      <c r="K87" s="61">
        <f t="shared" si="1"/>
        <v>1</v>
      </c>
      <c r="L87" s="62">
        <f t="shared" si="2"/>
        <v>1</v>
      </c>
    </row>
    <row r="88">
      <c r="A88" s="58">
        <v>46113.0</v>
      </c>
      <c r="B88" s="24" t="s">
        <v>155</v>
      </c>
      <c r="C88" s="24" t="s">
        <v>6808</v>
      </c>
      <c r="D88" s="59">
        <v>2.0</v>
      </c>
      <c r="E88" s="59">
        <v>3.0</v>
      </c>
      <c r="F88" s="59">
        <v>1.0</v>
      </c>
      <c r="G88" s="60">
        <v>1.5</v>
      </c>
      <c r="H88" s="60">
        <v>0.333333333333333</v>
      </c>
      <c r="I88" s="60">
        <v>406.437285</v>
      </c>
      <c r="J88" s="59">
        <v>13.0</v>
      </c>
      <c r="K88" s="61">
        <f t="shared" si="1"/>
        <v>0.3333333333</v>
      </c>
      <c r="L88" s="62">
        <f t="shared" si="2"/>
        <v>4.333333333</v>
      </c>
    </row>
    <row r="89">
      <c r="A89" s="58">
        <v>46113.0</v>
      </c>
      <c r="B89" s="24" t="s">
        <v>6787</v>
      </c>
      <c r="C89" s="24" t="s">
        <v>6812</v>
      </c>
      <c r="D89" s="59">
        <v>2.0</v>
      </c>
      <c r="E89" s="59">
        <v>3.0</v>
      </c>
      <c r="F89" s="59">
        <v>1.0</v>
      </c>
      <c r="G89" s="60">
        <v>1.5</v>
      </c>
      <c r="H89" s="60">
        <v>0.666666666666666</v>
      </c>
      <c r="I89" s="60">
        <v>111.315998999999</v>
      </c>
      <c r="J89" s="59">
        <v>5.0</v>
      </c>
      <c r="K89" s="61">
        <f t="shared" si="1"/>
        <v>0.3333333333</v>
      </c>
      <c r="L89" s="62">
        <f t="shared" si="2"/>
        <v>1.666666667</v>
      </c>
    </row>
    <row r="90">
      <c r="A90" s="58">
        <v>46113.0</v>
      </c>
      <c r="B90" s="24" t="s">
        <v>6790</v>
      </c>
      <c r="C90" s="24" t="s">
        <v>6849</v>
      </c>
      <c r="D90" s="59">
        <v>2.0</v>
      </c>
      <c r="E90" s="59">
        <v>2.0</v>
      </c>
      <c r="F90" s="59">
        <v>0.0</v>
      </c>
      <c r="G90" s="60">
        <v>1.0</v>
      </c>
      <c r="H90" s="60">
        <v>1.0</v>
      </c>
      <c r="I90" s="60">
        <v>0.0</v>
      </c>
      <c r="J90" s="59">
        <v>2.0</v>
      </c>
      <c r="K90" s="61">
        <f t="shared" si="1"/>
        <v>0</v>
      </c>
      <c r="L90" s="62">
        <f t="shared" si="2"/>
        <v>1</v>
      </c>
    </row>
    <row r="91">
      <c r="A91" s="58">
        <v>46113.0</v>
      </c>
      <c r="B91" s="24" t="s">
        <v>6787</v>
      </c>
      <c r="C91" s="24" t="s">
        <v>6850</v>
      </c>
      <c r="D91" s="59">
        <v>2.0</v>
      </c>
      <c r="E91" s="59">
        <v>2.0</v>
      </c>
      <c r="F91" s="59">
        <v>2.0</v>
      </c>
      <c r="G91" s="60">
        <v>1.0</v>
      </c>
      <c r="H91" s="60">
        <v>1.0</v>
      </c>
      <c r="I91" s="60">
        <v>0.0</v>
      </c>
      <c r="J91" s="59">
        <v>2.0</v>
      </c>
      <c r="K91" s="61">
        <f t="shared" si="1"/>
        <v>1</v>
      </c>
      <c r="L91" s="62">
        <f t="shared" si="2"/>
        <v>1</v>
      </c>
    </row>
    <row r="92">
      <c r="A92" s="58">
        <v>46113.0</v>
      </c>
      <c r="B92" s="24" t="s">
        <v>6789</v>
      </c>
      <c r="C92" s="24" t="s">
        <v>6851</v>
      </c>
      <c r="D92" s="59">
        <v>2.0</v>
      </c>
      <c r="E92" s="59">
        <v>2.0</v>
      </c>
      <c r="F92" s="59">
        <v>1.0</v>
      </c>
      <c r="G92" s="60">
        <v>1.0</v>
      </c>
      <c r="H92" s="60">
        <v>0.0</v>
      </c>
      <c r="I92" s="60">
        <v>63.317362</v>
      </c>
      <c r="J92" s="59">
        <v>3.0</v>
      </c>
      <c r="K92" s="61">
        <f t="shared" si="1"/>
        <v>0.5</v>
      </c>
      <c r="L92" s="62">
        <f t="shared" si="2"/>
        <v>1.5</v>
      </c>
    </row>
    <row r="93">
      <c r="A93" s="58">
        <v>46113.0</v>
      </c>
      <c r="B93" s="24" t="s">
        <v>155</v>
      </c>
      <c r="C93" s="24" t="s">
        <v>6795</v>
      </c>
      <c r="D93" s="59">
        <v>2.0</v>
      </c>
      <c r="E93" s="59">
        <v>4.0</v>
      </c>
      <c r="F93" s="59">
        <v>0.0</v>
      </c>
      <c r="G93" s="60">
        <v>2.0</v>
      </c>
      <c r="H93" s="60">
        <v>0.0</v>
      </c>
      <c r="I93" s="60">
        <v>772.3376905</v>
      </c>
      <c r="J93" s="59">
        <v>21.0</v>
      </c>
      <c r="K93" s="61">
        <f t="shared" si="1"/>
        <v>0</v>
      </c>
      <c r="L93" s="62">
        <f t="shared" si="2"/>
        <v>5.25</v>
      </c>
    </row>
    <row r="94">
      <c r="A94" s="58">
        <v>46113.0</v>
      </c>
      <c r="B94" s="24" t="s">
        <v>6787</v>
      </c>
      <c r="C94" s="24" t="s">
        <v>6852</v>
      </c>
      <c r="D94" s="59">
        <v>2.0</v>
      </c>
      <c r="E94" s="59">
        <v>2.0</v>
      </c>
      <c r="F94" s="59">
        <v>2.0</v>
      </c>
      <c r="G94" s="60">
        <v>1.0</v>
      </c>
      <c r="H94" s="60">
        <v>1.0</v>
      </c>
      <c r="I94" s="60">
        <v>0.0</v>
      </c>
      <c r="J94" s="59">
        <v>2.0</v>
      </c>
      <c r="K94" s="61">
        <f t="shared" si="1"/>
        <v>1</v>
      </c>
      <c r="L94" s="62">
        <f t="shared" si="2"/>
        <v>1</v>
      </c>
    </row>
    <row r="95">
      <c r="A95" s="58">
        <v>46113.0</v>
      </c>
      <c r="B95" s="24" t="s">
        <v>6789</v>
      </c>
      <c r="C95" s="24" t="s">
        <v>6853</v>
      </c>
      <c r="D95" s="59">
        <v>2.0</v>
      </c>
      <c r="E95" s="59">
        <v>2.0</v>
      </c>
      <c r="F95" s="59">
        <v>0.0</v>
      </c>
      <c r="G95" s="60">
        <v>1.0</v>
      </c>
      <c r="H95" s="60">
        <v>0.5</v>
      </c>
      <c r="I95" s="60">
        <v>3796.642074</v>
      </c>
      <c r="J95" s="59">
        <v>21.0</v>
      </c>
      <c r="K95" s="61">
        <f t="shared" si="1"/>
        <v>0</v>
      </c>
      <c r="L95" s="62">
        <f t="shared" si="2"/>
        <v>10.5</v>
      </c>
    </row>
    <row r="96">
      <c r="A96" s="58">
        <v>46113.0</v>
      </c>
      <c r="B96" s="24" t="s">
        <v>6787</v>
      </c>
      <c r="C96" s="24" t="s">
        <v>6854</v>
      </c>
      <c r="D96" s="59">
        <v>2.0</v>
      </c>
      <c r="E96" s="59">
        <v>2.0</v>
      </c>
      <c r="F96" s="59">
        <v>2.0</v>
      </c>
      <c r="G96" s="60">
        <v>1.0</v>
      </c>
      <c r="H96" s="60">
        <v>0.5</v>
      </c>
      <c r="I96" s="60">
        <v>6.281845</v>
      </c>
      <c r="J96" s="59">
        <v>2.0</v>
      </c>
      <c r="K96" s="61">
        <f t="shared" si="1"/>
        <v>1</v>
      </c>
      <c r="L96" s="62">
        <f t="shared" si="2"/>
        <v>1</v>
      </c>
    </row>
    <row r="97">
      <c r="A97" s="58">
        <v>46113.0</v>
      </c>
      <c r="B97" s="24" t="s">
        <v>6791</v>
      </c>
      <c r="C97" s="24" t="s">
        <v>6802</v>
      </c>
      <c r="D97" s="59">
        <v>2.0</v>
      </c>
      <c r="E97" s="59">
        <v>2.0</v>
      </c>
      <c r="F97" s="59">
        <v>0.0</v>
      </c>
      <c r="G97" s="60">
        <v>1.0</v>
      </c>
      <c r="H97" s="60">
        <v>0.5</v>
      </c>
      <c r="I97" s="60">
        <v>2.24152499999999</v>
      </c>
      <c r="J97" s="59">
        <v>3.0</v>
      </c>
      <c r="K97" s="61">
        <f t="shared" si="1"/>
        <v>0</v>
      </c>
      <c r="L97" s="62">
        <f t="shared" si="2"/>
        <v>1.5</v>
      </c>
    </row>
    <row r="98">
      <c r="A98" s="58">
        <v>46113.0</v>
      </c>
      <c r="B98" s="24" t="s">
        <v>6790</v>
      </c>
      <c r="C98" s="24" t="s">
        <v>6802</v>
      </c>
      <c r="D98" s="59">
        <v>2.0</v>
      </c>
      <c r="E98" s="59">
        <v>2.0</v>
      </c>
      <c r="F98" s="59">
        <v>0.0</v>
      </c>
      <c r="G98" s="60">
        <v>1.0</v>
      </c>
      <c r="H98" s="60">
        <v>1.0</v>
      </c>
      <c r="I98" s="60">
        <v>10.430036</v>
      </c>
      <c r="J98" s="59">
        <v>3.0</v>
      </c>
      <c r="K98" s="61">
        <f t="shared" si="1"/>
        <v>0</v>
      </c>
      <c r="L98" s="62">
        <f t="shared" si="2"/>
        <v>1.5</v>
      </c>
    </row>
    <row r="99">
      <c r="A99" s="58">
        <v>46113.0</v>
      </c>
      <c r="B99" s="24" t="s">
        <v>6794</v>
      </c>
      <c r="C99" s="27"/>
      <c r="D99" s="59">
        <v>1.0</v>
      </c>
      <c r="E99" s="59">
        <v>1.0</v>
      </c>
      <c r="F99" s="59">
        <v>0.0</v>
      </c>
      <c r="G99" s="60">
        <v>1.0</v>
      </c>
      <c r="H99" s="60">
        <v>1.0</v>
      </c>
      <c r="I99" s="60">
        <v>742.850618</v>
      </c>
      <c r="J99" s="59">
        <v>0.0</v>
      </c>
      <c r="K99" s="61">
        <f t="shared" si="1"/>
        <v>0</v>
      </c>
      <c r="L99" s="62">
        <f t="shared" si="2"/>
        <v>0</v>
      </c>
    </row>
    <row r="100">
      <c r="A100" s="58">
        <v>46113.0</v>
      </c>
      <c r="B100" s="24" t="s">
        <v>6791</v>
      </c>
      <c r="C100" s="27"/>
      <c r="D100" s="59">
        <v>1.0</v>
      </c>
      <c r="E100" s="59">
        <v>1.0</v>
      </c>
      <c r="F100" s="59">
        <v>0.0</v>
      </c>
      <c r="G100" s="60">
        <v>0.0</v>
      </c>
      <c r="H100" s="60">
        <v>1.0</v>
      </c>
      <c r="I100" s="60">
        <v>0.0</v>
      </c>
      <c r="J100" s="59">
        <v>0.0</v>
      </c>
      <c r="K100" s="61">
        <f t="shared" si="1"/>
        <v>0</v>
      </c>
      <c r="L100" s="62">
        <f t="shared" si="2"/>
        <v>0</v>
      </c>
    </row>
    <row r="101">
      <c r="A101" s="58">
        <v>46113.0</v>
      </c>
      <c r="B101" s="24" t="s">
        <v>6855</v>
      </c>
      <c r="C101" s="24" t="s">
        <v>6788</v>
      </c>
      <c r="D101" s="59">
        <v>1.0</v>
      </c>
      <c r="E101" s="59">
        <v>1.0</v>
      </c>
      <c r="F101" s="59">
        <v>1.0</v>
      </c>
      <c r="G101" s="60">
        <v>1.0</v>
      </c>
      <c r="H101" s="60">
        <v>1.0</v>
      </c>
      <c r="I101" s="60">
        <v>509.449434</v>
      </c>
      <c r="J101" s="59">
        <v>1.0</v>
      </c>
      <c r="K101" s="61">
        <f t="shared" si="1"/>
        <v>1</v>
      </c>
      <c r="L101" s="62">
        <f t="shared" si="2"/>
        <v>1</v>
      </c>
    </row>
    <row r="102">
      <c r="A102" s="58">
        <v>46113.0</v>
      </c>
      <c r="B102" s="24" t="s">
        <v>6787</v>
      </c>
      <c r="C102" s="24" t="s">
        <v>6856</v>
      </c>
      <c r="D102" s="59">
        <v>1.0</v>
      </c>
      <c r="E102" s="59">
        <v>1.0</v>
      </c>
      <c r="F102" s="59">
        <v>0.0</v>
      </c>
      <c r="G102" s="60">
        <v>1.0</v>
      </c>
      <c r="H102" s="60">
        <v>1.0</v>
      </c>
      <c r="I102" s="60">
        <v>2.167783</v>
      </c>
      <c r="J102" s="59">
        <v>1.0</v>
      </c>
      <c r="K102" s="61">
        <f t="shared" si="1"/>
        <v>0</v>
      </c>
      <c r="L102" s="62">
        <f t="shared" si="2"/>
        <v>1</v>
      </c>
    </row>
    <row r="103">
      <c r="A103" s="58">
        <v>46113.0</v>
      </c>
      <c r="B103" s="24" t="s">
        <v>155</v>
      </c>
      <c r="C103" s="24" t="s">
        <v>6857</v>
      </c>
      <c r="D103" s="59">
        <v>1.0</v>
      </c>
      <c r="E103" s="59">
        <v>1.0</v>
      </c>
      <c r="F103" s="59">
        <v>0.0</v>
      </c>
      <c r="G103" s="60">
        <v>1.0</v>
      </c>
      <c r="H103" s="60">
        <v>0.0</v>
      </c>
      <c r="I103" s="60">
        <v>1953.205714</v>
      </c>
      <c r="J103" s="59">
        <v>11.0</v>
      </c>
      <c r="K103" s="61">
        <f t="shared" si="1"/>
        <v>0</v>
      </c>
      <c r="L103" s="62">
        <f t="shared" si="2"/>
        <v>11</v>
      </c>
    </row>
    <row r="104">
      <c r="A104" s="58">
        <v>46113.0</v>
      </c>
      <c r="B104" s="24" t="s">
        <v>155</v>
      </c>
      <c r="C104" s="24" t="s">
        <v>6803</v>
      </c>
      <c r="D104" s="59">
        <v>1.0</v>
      </c>
      <c r="E104" s="59">
        <v>1.0</v>
      </c>
      <c r="F104" s="59">
        <v>1.0</v>
      </c>
      <c r="G104" s="60">
        <v>1.0</v>
      </c>
      <c r="H104" s="60">
        <v>0.0</v>
      </c>
      <c r="I104" s="60">
        <v>107.727228</v>
      </c>
      <c r="J104" s="59">
        <v>1.0</v>
      </c>
      <c r="K104" s="61">
        <f t="shared" si="1"/>
        <v>1</v>
      </c>
      <c r="L104" s="62">
        <f t="shared" si="2"/>
        <v>1</v>
      </c>
    </row>
    <row r="105">
      <c r="A105" s="58">
        <v>46113.0</v>
      </c>
      <c r="B105" s="24" t="s">
        <v>6794</v>
      </c>
      <c r="C105" s="24" t="s">
        <v>6817</v>
      </c>
      <c r="D105" s="59">
        <v>1.0</v>
      </c>
      <c r="E105" s="59">
        <v>1.0</v>
      </c>
      <c r="F105" s="59">
        <v>0.0</v>
      </c>
      <c r="G105" s="60">
        <v>1.0</v>
      </c>
      <c r="H105" s="60">
        <v>0.0</v>
      </c>
      <c r="I105" s="60">
        <v>1733.059161</v>
      </c>
      <c r="J105" s="59">
        <v>11.0</v>
      </c>
      <c r="K105" s="61">
        <f t="shared" si="1"/>
        <v>0</v>
      </c>
      <c r="L105" s="62">
        <f t="shared" si="2"/>
        <v>11</v>
      </c>
    </row>
    <row r="106">
      <c r="A106" s="58">
        <v>46113.0</v>
      </c>
      <c r="B106" s="24" t="s">
        <v>155</v>
      </c>
      <c r="C106" s="24" t="s">
        <v>6817</v>
      </c>
      <c r="D106" s="59">
        <v>1.0</v>
      </c>
      <c r="E106" s="59">
        <v>2.0</v>
      </c>
      <c r="F106" s="59">
        <v>0.0</v>
      </c>
      <c r="G106" s="60">
        <v>2.0</v>
      </c>
      <c r="H106" s="60">
        <v>0.0</v>
      </c>
      <c r="I106" s="60">
        <v>789.2034975</v>
      </c>
      <c r="J106" s="59">
        <v>16.0</v>
      </c>
      <c r="K106" s="61">
        <f t="shared" si="1"/>
        <v>0</v>
      </c>
      <c r="L106" s="62">
        <f t="shared" si="2"/>
        <v>8</v>
      </c>
    </row>
    <row r="107">
      <c r="A107" s="58">
        <v>46113.0</v>
      </c>
      <c r="B107" s="24" t="s">
        <v>6790</v>
      </c>
      <c r="C107" s="24" t="s">
        <v>6817</v>
      </c>
      <c r="D107" s="59">
        <v>1.0</v>
      </c>
      <c r="E107" s="59">
        <v>1.0</v>
      </c>
      <c r="F107" s="59">
        <v>0.0</v>
      </c>
      <c r="G107" s="60">
        <v>1.0</v>
      </c>
      <c r="H107" s="60">
        <v>1.0</v>
      </c>
      <c r="I107" s="60">
        <v>0.0</v>
      </c>
      <c r="J107" s="59">
        <v>1.0</v>
      </c>
      <c r="K107" s="61">
        <f t="shared" si="1"/>
        <v>0</v>
      </c>
      <c r="L107" s="62">
        <f t="shared" si="2"/>
        <v>1</v>
      </c>
    </row>
    <row r="108">
      <c r="A108" s="58">
        <v>46113.0</v>
      </c>
      <c r="B108" s="24" t="s">
        <v>6787</v>
      </c>
      <c r="C108" s="24" t="s">
        <v>6858</v>
      </c>
      <c r="D108" s="59">
        <v>1.0</v>
      </c>
      <c r="E108" s="59">
        <v>1.0</v>
      </c>
      <c r="F108" s="59">
        <v>1.0</v>
      </c>
      <c r="G108" s="60">
        <v>1.0</v>
      </c>
      <c r="H108" s="60">
        <v>1.0</v>
      </c>
      <c r="I108" s="60">
        <v>0.0</v>
      </c>
      <c r="J108" s="59">
        <v>1.0</v>
      </c>
      <c r="K108" s="61">
        <f t="shared" si="1"/>
        <v>1</v>
      </c>
      <c r="L108" s="62">
        <f t="shared" si="2"/>
        <v>1</v>
      </c>
    </row>
    <row r="109">
      <c r="A109" s="58">
        <v>46113.0</v>
      </c>
      <c r="B109" s="24" t="s">
        <v>6789</v>
      </c>
      <c r="C109" s="24" t="s">
        <v>6859</v>
      </c>
      <c r="D109" s="59">
        <v>1.0</v>
      </c>
      <c r="E109" s="59">
        <v>1.0</v>
      </c>
      <c r="F109" s="59">
        <v>1.0</v>
      </c>
      <c r="G109" s="60">
        <v>1.0</v>
      </c>
      <c r="H109" s="60">
        <v>1.0</v>
      </c>
      <c r="I109" s="60">
        <v>0.0</v>
      </c>
      <c r="J109" s="59">
        <v>1.0</v>
      </c>
      <c r="K109" s="61">
        <f t="shared" si="1"/>
        <v>1</v>
      </c>
      <c r="L109" s="62">
        <f t="shared" si="2"/>
        <v>1</v>
      </c>
    </row>
    <row r="110">
      <c r="A110" s="58">
        <v>46113.0</v>
      </c>
      <c r="B110" s="24" t="s">
        <v>6794</v>
      </c>
      <c r="C110" s="24" t="s">
        <v>6859</v>
      </c>
      <c r="D110" s="59">
        <v>1.0</v>
      </c>
      <c r="E110" s="59">
        <v>1.0</v>
      </c>
      <c r="F110" s="59">
        <v>1.0</v>
      </c>
      <c r="G110" s="60">
        <v>1.0</v>
      </c>
      <c r="H110" s="60">
        <v>1.0</v>
      </c>
      <c r="I110" s="60">
        <v>0.0</v>
      </c>
      <c r="J110" s="59">
        <v>1.0</v>
      </c>
      <c r="K110" s="61">
        <f t="shared" si="1"/>
        <v>1</v>
      </c>
      <c r="L110" s="62">
        <f t="shared" si="2"/>
        <v>1</v>
      </c>
    </row>
    <row r="111">
      <c r="A111" s="58">
        <v>46113.0</v>
      </c>
      <c r="B111" s="24" t="s">
        <v>6789</v>
      </c>
      <c r="C111" s="24" t="s">
        <v>6804</v>
      </c>
      <c r="D111" s="59">
        <v>1.0</v>
      </c>
      <c r="E111" s="59">
        <v>1.0</v>
      </c>
      <c r="F111" s="59">
        <v>1.0</v>
      </c>
      <c r="G111" s="60">
        <v>1.0</v>
      </c>
      <c r="H111" s="60">
        <v>1.0</v>
      </c>
      <c r="I111" s="60">
        <v>0.0</v>
      </c>
      <c r="J111" s="59">
        <v>1.0</v>
      </c>
      <c r="K111" s="61">
        <f t="shared" si="1"/>
        <v>1</v>
      </c>
      <c r="L111" s="62">
        <f t="shared" si="2"/>
        <v>1</v>
      </c>
    </row>
    <row r="112">
      <c r="A112" s="58">
        <v>46113.0</v>
      </c>
      <c r="B112" s="24" t="s">
        <v>6787</v>
      </c>
      <c r="C112" s="24" t="s">
        <v>6860</v>
      </c>
      <c r="D112" s="59">
        <v>1.0</v>
      </c>
      <c r="E112" s="59">
        <v>1.0</v>
      </c>
      <c r="F112" s="59">
        <v>1.0</v>
      </c>
      <c r="G112" s="60">
        <v>1.0</v>
      </c>
      <c r="H112" s="60">
        <v>1.0</v>
      </c>
      <c r="I112" s="60">
        <v>0.0</v>
      </c>
      <c r="J112" s="59">
        <v>1.0</v>
      </c>
      <c r="K112" s="61">
        <f t="shared" si="1"/>
        <v>1</v>
      </c>
      <c r="L112" s="62">
        <f t="shared" si="2"/>
        <v>1</v>
      </c>
    </row>
    <row r="113">
      <c r="A113" s="58">
        <v>46113.0</v>
      </c>
      <c r="B113" s="24" t="s">
        <v>6787</v>
      </c>
      <c r="C113" s="24" t="s">
        <v>6861</v>
      </c>
      <c r="D113" s="59">
        <v>1.0</v>
      </c>
      <c r="E113" s="59">
        <v>1.0</v>
      </c>
      <c r="F113" s="59">
        <v>1.0</v>
      </c>
      <c r="G113" s="60">
        <v>1.0</v>
      </c>
      <c r="H113" s="60">
        <v>1.0</v>
      </c>
      <c r="I113" s="60">
        <v>0.0</v>
      </c>
      <c r="J113" s="59">
        <v>1.0</v>
      </c>
      <c r="K113" s="61">
        <f t="shared" si="1"/>
        <v>1</v>
      </c>
      <c r="L113" s="62">
        <f t="shared" si="2"/>
        <v>1</v>
      </c>
    </row>
    <row r="114">
      <c r="A114" s="58">
        <v>46113.0</v>
      </c>
      <c r="B114" s="24" t="s">
        <v>6787</v>
      </c>
      <c r="C114" s="24" t="s">
        <v>6862</v>
      </c>
      <c r="D114" s="59">
        <v>1.0</v>
      </c>
      <c r="E114" s="59">
        <v>1.0</v>
      </c>
      <c r="F114" s="59">
        <v>1.0</v>
      </c>
      <c r="G114" s="60">
        <v>1.0</v>
      </c>
      <c r="H114" s="60">
        <v>1.0</v>
      </c>
      <c r="I114" s="60">
        <v>0.0</v>
      </c>
      <c r="J114" s="59">
        <v>1.0</v>
      </c>
      <c r="K114" s="61">
        <f t="shared" si="1"/>
        <v>1</v>
      </c>
      <c r="L114" s="62">
        <f t="shared" si="2"/>
        <v>1</v>
      </c>
    </row>
    <row r="115">
      <c r="A115" s="58">
        <v>46113.0</v>
      </c>
      <c r="B115" s="24" t="s">
        <v>6787</v>
      </c>
      <c r="C115" s="24" t="s">
        <v>6863</v>
      </c>
      <c r="D115" s="59">
        <v>1.0</v>
      </c>
      <c r="E115" s="59">
        <v>1.0</v>
      </c>
      <c r="F115" s="59">
        <v>1.0</v>
      </c>
      <c r="G115" s="60">
        <v>1.0</v>
      </c>
      <c r="H115" s="60">
        <v>1.0</v>
      </c>
      <c r="I115" s="60">
        <v>0.0</v>
      </c>
      <c r="J115" s="59">
        <v>1.0</v>
      </c>
      <c r="K115" s="61">
        <f t="shared" si="1"/>
        <v>1</v>
      </c>
      <c r="L115" s="62">
        <f t="shared" si="2"/>
        <v>1</v>
      </c>
    </row>
    <row r="116">
      <c r="A116" s="58">
        <v>46113.0</v>
      </c>
      <c r="B116" s="24" t="s">
        <v>6787</v>
      </c>
      <c r="C116" s="24" t="s">
        <v>6864</v>
      </c>
      <c r="D116" s="59">
        <v>1.0</v>
      </c>
      <c r="E116" s="59">
        <v>1.0</v>
      </c>
      <c r="F116" s="59">
        <v>1.0</v>
      </c>
      <c r="G116" s="60">
        <v>1.0</v>
      </c>
      <c r="H116" s="60">
        <v>1.0</v>
      </c>
      <c r="I116" s="60">
        <v>0.0</v>
      </c>
      <c r="J116" s="59">
        <v>1.0</v>
      </c>
      <c r="K116" s="61">
        <f t="shared" si="1"/>
        <v>1</v>
      </c>
      <c r="L116" s="62">
        <f t="shared" si="2"/>
        <v>1</v>
      </c>
    </row>
    <row r="117">
      <c r="A117" s="58">
        <v>46113.0</v>
      </c>
      <c r="B117" s="24" t="s">
        <v>6790</v>
      </c>
      <c r="C117" s="24" t="s">
        <v>6793</v>
      </c>
      <c r="D117" s="59">
        <v>1.0</v>
      </c>
      <c r="E117" s="59">
        <v>1.0</v>
      </c>
      <c r="F117" s="59">
        <v>0.0</v>
      </c>
      <c r="G117" s="60">
        <v>1.0</v>
      </c>
      <c r="H117" s="60">
        <v>1.0</v>
      </c>
      <c r="I117" s="60">
        <v>94.069172</v>
      </c>
      <c r="J117" s="59">
        <v>1.0</v>
      </c>
      <c r="K117" s="61">
        <f t="shared" si="1"/>
        <v>0</v>
      </c>
      <c r="L117" s="62">
        <f t="shared" si="2"/>
        <v>1</v>
      </c>
    </row>
    <row r="118">
      <c r="A118" s="58">
        <v>46113.0</v>
      </c>
      <c r="B118" s="24" t="s">
        <v>6787</v>
      </c>
      <c r="C118" s="24" t="s">
        <v>6865</v>
      </c>
      <c r="D118" s="59">
        <v>1.0</v>
      </c>
      <c r="E118" s="59">
        <v>1.0</v>
      </c>
      <c r="F118" s="59">
        <v>1.0</v>
      </c>
      <c r="G118" s="60">
        <v>1.0</v>
      </c>
      <c r="H118" s="60">
        <v>1.0</v>
      </c>
      <c r="I118" s="60">
        <v>0.0</v>
      </c>
      <c r="J118" s="59">
        <v>1.0</v>
      </c>
      <c r="K118" s="61">
        <f t="shared" si="1"/>
        <v>1</v>
      </c>
      <c r="L118" s="62">
        <f t="shared" si="2"/>
        <v>1</v>
      </c>
    </row>
    <row r="119">
      <c r="A119" s="58">
        <v>46113.0</v>
      </c>
      <c r="B119" s="24" t="s">
        <v>6787</v>
      </c>
      <c r="C119" s="24" t="s">
        <v>6818</v>
      </c>
      <c r="D119" s="59">
        <v>1.0</v>
      </c>
      <c r="E119" s="59">
        <v>1.0</v>
      </c>
      <c r="F119" s="59">
        <v>1.0</v>
      </c>
      <c r="G119" s="60">
        <v>1.0</v>
      </c>
      <c r="H119" s="60">
        <v>1.0</v>
      </c>
      <c r="I119" s="60">
        <v>0.0</v>
      </c>
      <c r="J119" s="59">
        <v>1.0</v>
      </c>
      <c r="K119" s="61">
        <f t="shared" si="1"/>
        <v>1</v>
      </c>
      <c r="L119" s="62">
        <f t="shared" si="2"/>
        <v>1</v>
      </c>
    </row>
    <row r="120">
      <c r="A120" s="58">
        <v>46113.0</v>
      </c>
      <c r="B120" s="24" t="s">
        <v>6787</v>
      </c>
      <c r="C120" s="24" t="s">
        <v>6866</v>
      </c>
      <c r="D120" s="59">
        <v>1.0</v>
      </c>
      <c r="E120" s="59">
        <v>1.0</v>
      </c>
      <c r="F120" s="59">
        <v>1.0</v>
      </c>
      <c r="G120" s="60">
        <v>1.0</v>
      </c>
      <c r="H120" s="60">
        <v>1.0</v>
      </c>
      <c r="I120" s="60">
        <v>0.0</v>
      </c>
      <c r="J120" s="59">
        <v>1.0</v>
      </c>
      <c r="K120" s="61">
        <f t="shared" si="1"/>
        <v>1</v>
      </c>
      <c r="L120" s="62">
        <f t="shared" si="2"/>
        <v>1</v>
      </c>
    </row>
    <row r="121">
      <c r="A121" s="58">
        <v>46113.0</v>
      </c>
      <c r="B121" s="24" t="s">
        <v>6787</v>
      </c>
      <c r="C121" s="24" t="s">
        <v>6867</v>
      </c>
      <c r="D121" s="59">
        <v>1.0</v>
      </c>
      <c r="E121" s="59">
        <v>1.0</v>
      </c>
      <c r="F121" s="59">
        <v>1.0</v>
      </c>
      <c r="G121" s="60">
        <v>1.0</v>
      </c>
      <c r="H121" s="60">
        <v>1.0</v>
      </c>
      <c r="I121" s="60">
        <v>0.0</v>
      </c>
      <c r="J121" s="59">
        <v>1.0</v>
      </c>
      <c r="K121" s="61">
        <f t="shared" si="1"/>
        <v>1</v>
      </c>
      <c r="L121" s="62">
        <f t="shared" si="2"/>
        <v>1</v>
      </c>
    </row>
    <row r="122">
      <c r="A122" s="58">
        <v>46113.0</v>
      </c>
      <c r="B122" s="24" t="s">
        <v>6787</v>
      </c>
      <c r="C122" s="24" t="s">
        <v>6868</v>
      </c>
      <c r="D122" s="59">
        <v>1.0</v>
      </c>
      <c r="E122" s="59">
        <v>1.0</v>
      </c>
      <c r="F122" s="59">
        <v>1.0</v>
      </c>
      <c r="G122" s="60">
        <v>1.0</v>
      </c>
      <c r="H122" s="60">
        <v>1.0</v>
      </c>
      <c r="I122" s="60">
        <v>0.0</v>
      </c>
      <c r="J122" s="59">
        <v>1.0</v>
      </c>
      <c r="K122" s="61">
        <f t="shared" si="1"/>
        <v>1</v>
      </c>
      <c r="L122" s="62">
        <f t="shared" si="2"/>
        <v>1</v>
      </c>
    </row>
    <row r="123">
      <c r="A123" s="58">
        <v>46113.0</v>
      </c>
      <c r="B123" s="24" t="s">
        <v>6787</v>
      </c>
      <c r="C123" s="24" t="s">
        <v>6869</v>
      </c>
      <c r="D123" s="59">
        <v>1.0</v>
      </c>
      <c r="E123" s="59">
        <v>1.0</v>
      </c>
      <c r="F123" s="59">
        <v>1.0</v>
      </c>
      <c r="G123" s="60">
        <v>1.0</v>
      </c>
      <c r="H123" s="60">
        <v>0.0</v>
      </c>
      <c r="I123" s="60">
        <v>32.816409</v>
      </c>
      <c r="J123" s="59">
        <v>1.0</v>
      </c>
      <c r="K123" s="61">
        <f t="shared" si="1"/>
        <v>1</v>
      </c>
      <c r="L123" s="62">
        <f t="shared" si="2"/>
        <v>1</v>
      </c>
    </row>
    <row r="124">
      <c r="A124" s="58">
        <v>46113.0</v>
      </c>
      <c r="B124" s="24" t="s">
        <v>6787</v>
      </c>
      <c r="C124" s="24" t="s">
        <v>6834</v>
      </c>
      <c r="D124" s="59">
        <v>1.0</v>
      </c>
      <c r="E124" s="59">
        <v>1.0</v>
      </c>
      <c r="F124" s="59">
        <v>1.0</v>
      </c>
      <c r="G124" s="60">
        <v>1.0</v>
      </c>
      <c r="H124" s="60">
        <v>1.0</v>
      </c>
      <c r="I124" s="60">
        <v>0.0</v>
      </c>
      <c r="J124" s="59">
        <v>1.0</v>
      </c>
      <c r="K124" s="61">
        <f t="shared" si="1"/>
        <v>1</v>
      </c>
      <c r="L124" s="62">
        <f t="shared" si="2"/>
        <v>1</v>
      </c>
    </row>
    <row r="125">
      <c r="A125" s="58">
        <v>46113.0</v>
      </c>
      <c r="B125" s="24" t="s">
        <v>6787</v>
      </c>
      <c r="C125" s="24" t="s">
        <v>6870</v>
      </c>
      <c r="D125" s="59">
        <v>1.0</v>
      </c>
      <c r="E125" s="59">
        <v>1.0</v>
      </c>
      <c r="F125" s="59">
        <v>1.0</v>
      </c>
      <c r="G125" s="60">
        <v>1.0</v>
      </c>
      <c r="H125" s="60">
        <v>1.0</v>
      </c>
      <c r="I125" s="60">
        <v>0.0</v>
      </c>
      <c r="J125" s="59">
        <v>1.0</v>
      </c>
      <c r="K125" s="61">
        <f t="shared" si="1"/>
        <v>1</v>
      </c>
      <c r="L125" s="62">
        <f t="shared" si="2"/>
        <v>1</v>
      </c>
    </row>
    <row r="126">
      <c r="A126" s="58">
        <v>46113.0</v>
      </c>
      <c r="B126" s="24" t="s">
        <v>6789</v>
      </c>
      <c r="C126" s="24" t="s">
        <v>6871</v>
      </c>
      <c r="D126" s="59">
        <v>1.0</v>
      </c>
      <c r="E126" s="59">
        <v>1.0</v>
      </c>
      <c r="F126" s="59">
        <v>1.0</v>
      </c>
      <c r="G126" s="60">
        <v>1.0</v>
      </c>
      <c r="H126" s="60">
        <v>0.0</v>
      </c>
      <c r="I126" s="60">
        <v>17.436955</v>
      </c>
      <c r="J126" s="59">
        <v>1.0</v>
      </c>
      <c r="K126" s="61">
        <f t="shared" si="1"/>
        <v>1</v>
      </c>
      <c r="L126" s="62">
        <f t="shared" si="2"/>
        <v>1</v>
      </c>
    </row>
    <row r="127">
      <c r="A127" s="58">
        <v>46113.0</v>
      </c>
      <c r="B127" s="24" t="s">
        <v>6787</v>
      </c>
      <c r="C127" s="24" t="s">
        <v>6872</v>
      </c>
      <c r="D127" s="59">
        <v>1.0</v>
      </c>
      <c r="E127" s="59">
        <v>1.0</v>
      </c>
      <c r="F127" s="59">
        <v>1.0</v>
      </c>
      <c r="G127" s="60">
        <v>1.0</v>
      </c>
      <c r="H127" s="60">
        <v>1.0</v>
      </c>
      <c r="I127" s="60">
        <v>0.0</v>
      </c>
      <c r="J127" s="59">
        <v>1.0</v>
      </c>
      <c r="K127" s="61">
        <f t="shared" si="1"/>
        <v>1</v>
      </c>
      <c r="L127" s="62">
        <f t="shared" si="2"/>
        <v>1</v>
      </c>
    </row>
    <row r="128">
      <c r="A128" s="58">
        <v>46113.0</v>
      </c>
      <c r="B128" s="24" t="s">
        <v>6789</v>
      </c>
      <c r="C128" s="24" t="s">
        <v>6873</v>
      </c>
      <c r="D128" s="59">
        <v>1.0</v>
      </c>
      <c r="E128" s="59">
        <v>1.0</v>
      </c>
      <c r="F128" s="59">
        <v>1.0</v>
      </c>
      <c r="G128" s="60">
        <v>1.0</v>
      </c>
      <c r="H128" s="60">
        <v>1.0</v>
      </c>
      <c r="I128" s="60">
        <v>8.260371</v>
      </c>
      <c r="J128" s="59">
        <v>1.0</v>
      </c>
      <c r="K128" s="61">
        <f t="shared" si="1"/>
        <v>1</v>
      </c>
      <c r="L128" s="62">
        <f t="shared" si="2"/>
        <v>1</v>
      </c>
    </row>
    <row r="129">
      <c r="A129" s="58">
        <v>46113.0</v>
      </c>
      <c r="B129" s="24" t="s">
        <v>6787</v>
      </c>
      <c r="C129" s="24" t="s">
        <v>6874</v>
      </c>
      <c r="D129" s="59">
        <v>1.0</v>
      </c>
      <c r="E129" s="59">
        <v>1.0</v>
      </c>
      <c r="F129" s="59">
        <v>1.0</v>
      </c>
      <c r="G129" s="60">
        <v>1.0</v>
      </c>
      <c r="H129" s="60">
        <v>1.0</v>
      </c>
      <c r="I129" s="60">
        <v>0.0</v>
      </c>
      <c r="J129" s="59">
        <v>1.0</v>
      </c>
      <c r="K129" s="61">
        <f t="shared" si="1"/>
        <v>1</v>
      </c>
      <c r="L129" s="62">
        <f t="shared" si="2"/>
        <v>1</v>
      </c>
    </row>
    <row r="130">
      <c r="A130" s="58">
        <v>46113.0</v>
      </c>
      <c r="B130" s="24" t="s">
        <v>6787</v>
      </c>
      <c r="C130" s="24" t="s">
        <v>6875</v>
      </c>
      <c r="D130" s="59">
        <v>1.0</v>
      </c>
      <c r="E130" s="59">
        <v>1.0</v>
      </c>
      <c r="F130" s="59">
        <v>1.0</v>
      </c>
      <c r="G130" s="60">
        <v>1.0</v>
      </c>
      <c r="H130" s="60">
        <v>1.0</v>
      </c>
      <c r="I130" s="60">
        <v>0.0</v>
      </c>
      <c r="J130" s="59">
        <v>1.0</v>
      </c>
      <c r="K130" s="61">
        <f t="shared" si="1"/>
        <v>1</v>
      </c>
      <c r="L130" s="62">
        <f t="shared" si="2"/>
        <v>1</v>
      </c>
    </row>
    <row r="131">
      <c r="A131" s="58">
        <v>46113.0</v>
      </c>
      <c r="B131" s="24" t="s">
        <v>6789</v>
      </c>
      <c r="C131" s="24" t="s">
        <v>6875</v>
      </c>
      <c r="D131" s="59">
        <v>1.0</v>
      </c>
      <c r="E131" s="59">
        <v>1.0</v>
      </c>
      <c r="F131" s="59">
        <v>1.0</v>
      </c>
      <c r="G131" s="60">
        <v>1.0</v>
      </c>
      <c r="H131" s="60">
        <v>1.0</v>
      </c>
      <c r="I131" s="60">
        <v>3.149091</v>
      </c>
      <c r="J131" s="59">
        <v>1.0</v>
      </c>
      <c r="K131" s="61">
        <f t="shared" si="1"/>
        <v>1</v>
      </c>
      <c r="L131" s="62">
        <f t="shared" si="2"/>
        <v>1</v>
      </c>
    </row>
    <row r="132">
      <c r="A132" s="58">
        <v>46113.0</v>
      </c>
      <c r="B132" s="24" t="s">
        <v>6787</v>
      </c>
      <c r="C132" s="24" t="s">
        <v>6876</v>
      </c>
      <c r="D132" s="59">
        <v>1.0</v>
      </c>
      <c r="E132" s="59">
        <v>1.0</v>
      </c>
      <c r="F132" s="59">
        <v>1.0</v>
      </c>
      <c r="G132" s="60">
        <v>1.0</v>
      </c>
      <c r="H132" s="60">
        <v>0.0</v>
      </c>
      <c r="I132" s="60">
        <v>18.637429</v>
      </c>
      <c r="J132" s="59">
        <v>1.0</v>
      </c>
      <c r="K132" s="61">
        <f t="shared" si="1"/>
        <v>1</v>
      </c>
      <c r="L132" s="62">
        <f t="shared" si="2"/>
        <v>1</v>
      </c>
    </row>
    <row r="133">
      <c r="A133" s="58">
        <v>46113.0</v>
      </c>
      <c r="B133" s="24" t="s">
        <v>6789</v>
      </c>
      <c r="C133" s="24" t="s">
        <v>6876</v>
      </c>
      <c r="D133" s="59">
        <v>1.0</v>
      </c>
      <c r="E133" s="59">
        <v>1.0</v>
      </c>
      <c r="F133" s="59">
        <v>1.0</v>
      </c>
      <c r="G133" s="60">
        <v>1.0</v>
      </c>
      <c r="H133" s="60">
        <v>0.0</v>
      </c>
      <c r="I133" s="60">
        <v>59.09736</v>
      </c>
      <c r="J133" s="59">
        <v>1.0</v>
      </c>
      <c r="K133" s="61">
        <f t="shared" si="1"/>
        <v>1</v>
      </c>
      <c r="L133" s="62">
        <f t="shared" si="2"/>
        <v>1</v>
      </c>
    </row>
    <row r="134">
      <c r="A134" s="58">
        <v>46113.0</v>
      </c>
      <c r="B134" s="24" t="s">
        <v>6787</v>
      </c>
      <c r="C134" s="24" t="s">
        <v>6877</v>
      </c>
      <c r="D134" s="59">
        <v>1.0</v>
      </c>
      <c r="E134" s="59">
        <v>1.0</v>
      </c>
      <c r="F134" s="59">
        <v>1.0</v>
      </c>
      <c r="G134" s="60">
        <v>1.0</v>
      </c>
      <c r="H134" s="60">
        <v>1.0</v>
      </c>
      <c r="I134" s="60">
        <v>0.0</v>
      </c>
      <c r="J134" s="59">
        <v>1.0</v>
      </c>
      <c r="K134" s="61">
        <f t="shared" si="1"/>
        <v>1</v>
      </c>
      <c r="L134" s="62">
        <f t="shared" si="2"/>
        <v>1</v>
      </c>
    </row>
    <row r="135">
      <c r="A135" s="58">
        <v>46113.0</v>
      </c>
      <c r="B135" s="24" t="s">
        <v>6787</v>
      </c>
      <c r="C135" s="24" t="s">
        <v>6878</v>
      </c>
      <c r="D135" s="59">
        <v>1.0</v>
      </c>
      <c r="E135" s="59">
        <v>1.0</v>
      </c>
      <c r="F135" s="59">
        <v>1.0</v>
      </c>
      <c r="G135" s="60">
        <v>1.0</v>
      </c>
      <c r="H135" s="60">
        <v>1.0</v>
      </c>
      <c r="I135" s="60">
        <v>0.0</v>
      </c>
      <c r="J135" s="59">
        <v>1.0</v>
      </c>
      <c r="K135" s="61">
        <f t="shared" si="1"/>
        <v>1</v>
      </c>
      <c r="L135" s="62">
        <f t="shared" si="2"/>
        <v>1</v>
      </c>
    </row>
    <row r="136">
      <c r="A136" s="58">
        <v>46113.0</v>
      </c>
      <c r="B136" s="24" t="s">
        <v>6787</v>
      </c>
      <c r="C136" s="24" t="s">
        <v>6879</v>
      </c>
      <c r="D136" s="59">
        <v>1.0</v>
      </c>
      <c r="E136" s="59">
        <v>1.0</v>
      </c>
      <c r="F136" s="59">
        <v>1.0</v>
      </c>
      <c r="G136" s="60">
        <v>1.0</v>
      </c>
      <c r="H136" s="60">
        <v>1.0</v>
      </c>
      <c r="I136" s="60">
        <v>0.0</v>
      </c>
      <c r="J136" s="59">
        <v>1.0</v>
      </c>
      <c r="K136" s="61">
        <f t="shared" si="1"/>
        <v>1</v>
      </c>
      <c r="L136" s="62">
        <f t="shared" si="2"/>
        <v>1</v>
      </c>
    </row>
    <row r="137">
      <c r="A137" s="58">
        <v>46113.0</v>
      </c>
      <c r="B137" s="24" t="s">
        <v>6794</v>
      </c>
      <c r="C137" s="24" t="s">
        <v>6879</v>
      </c>
      <c r="D137" s="59">
        <v>1.0</v>
      </c>
      <c r="E137" s="59">
        <v>1.0</v>
      </c>
      <c r="F137" s="59">
        <v>0.0</v>
      </c>
      <c r="G137" s="60">
        <v>1.0</v>
      </c>
      <c r="H137" s="60">
        <v>1.0</v>
      </c>
      <c r="I137" s="60">
        <v>0.0</v>
      </c>
      <c r="J137" s="59">
        <v>1.0</v>
      </c>
      <c r="K137" s="61">
        <f t="shared" si="1"/>
        <v>0</v>
      </c>
      <c r="L137" s="62">
        <f t="shared" si="2"/>
        <v>1</v>
      </c>
    </row>
    <row r="138">
      <c r="A138" s="58">
        <v>46113.0</v>
      </c>
      <c r="B138" s="24" t="s">
        <v>6789</v>
      </c>
      <c r="C138" s="24" t="s">
        <v>6880</v>
      </c>
      <c r="D138" s="59">
        <v>1.0</v>
      </c>
      <c r="E138" s="59">
        <v>1.0</v>
      </c>
      <c r="F138" s="59">
        <v>0.0</v>
      </c>
      <c r="G138" s="60">
        <v>1.0</v>
      </c>
      <c r="H138" s="60">
        <v>1.0</v>
      </c>
      <c r="I138" s="60">
        <v>1766.480077</v>
      </c>
      <c r="J138" s="59">
        <v>4.0</v>
      </c>
      <c r="K138" s="61">
        <f t="shared" si="1"/>
        <v>0</v>
      </c>
      <c r="L138" s="62">
        <f t="shared" si="2"/>
        <v>4</v>
      </c>
    </row>
    <row r="139">
      <c r="A139" s="58">
        <v>46113.0</v>
      </c>
      <c r="B139" s="24" t="s">
        <v>6787</v>
      </c>
      <c r="C139" s="24" t="s">
        <v>6881</v>
      </c>
      <c r="D139" s="59">
        <v>1.0</v>
      </c>
      <c r="E139" s="59">
        <v>1.0</v>
      </c>
      <c r="F139" s="59">
        <v>1.0</v>
      </c>
      <c r="G139" s="60">
        <v>1.0</v>
      </c>
      <c r="H139" s="60">
        <v>1.0</v>
      </c>
      <c r="I139" s="60">
        <v>0.0</v>
      </c>
      <c r="J139" s="59">
        <v>1.0</v>
      </c>
      <c r="K139" s="61">
        <f t="shared" si="1"/>
        <v>1</v>
      </c>
      <c r="L139" s="62">
        <f t="shared" si="2"/>
        <v>1</v>
      </c>
    </row>
    <row r="140">
      <c r="A140" s="58">
        <v>46113.0</v>
      </c>
      <c r="B140" s="24" t="s">
        <v>6787</v>
      </c>
      <c r="C140" s="24" t="s">
        <v>6882</v>
      </c>
      <c r="D140" s="59">
        <v>1.0</v>
      </c>
      <c r="E140" s="59">
        <v>1.0</v>
      </c>
      <c r="F140" s="59">
        <v>1.0</v>
      </c>
      <c r="G140" s="60">
        <v>1.0</v>
      </c>
      <c r="H140" s="60">
        <v>0.0</v>
      </c>
      <c r="I140" s="60">
        <v>15.816231</v>
      </c>
      <c r="J140" s="59">
        <v>1.0</v>
      </c>
      <c r="K140" s="61">
        <f t="shared" si="1"/>
        <v>1</v>
      </c>
      <c r="L140" s="62">
        <f t="shared" si="2"/>
        <v>1</v>
      </c>
    </row>
    <row r="141">
      <c r="A141" s="58">
        <v>46113.0</v>
      </c>
      <c r="B141" s="24" t="s">
        <v>6787</v>
      </c>
      <c r="C141" s="24" t="s">
        <v>6883</v>
      </c>
      <c r="D141" s="59">
        <v>1.0</v>
      </c>
      <c r="E141" s="59">
        <v>1.0</v>
      </c>
      <c r="F141" s="59">
        <v>1.0</v>
      </c>
      <c r="G141" s="60">
        <v>1.0</v>
      </c>
      <c r="H141" s="60">
        <v>0.0</v>
      </c>
      <c r="I141" s="60">
        <v>48.923084</v>
      </c>
      <c r="J141" s="59">
        <v>1.0</v>
      </c>
      <c r="K141" s="61">
        <f t="shared" si="1"/>
        <v>1</v>
      </c>
      <c r="L141" s="62">
        <f t="shared" si="2"/>
        <v>1</v>
      </c>
    </row>
    <row r="142">
      <c r="A142" s="58">
        <v>46113.0</v>
      </c>
      <c r="B142" s="24" t="s">
        <v>6789</v>
      </c>
      <c r="C142" s="24" t="s">
        <v>6883</v>
      </c>
      <c r="D142" s="59">
        <v>1.0</v>
      </c>
      <c r="E142" s="59">
        <v>1.0</v>
      </c>
      <c r="F142" s="59">
        <v>1.0</v>
      </c>
      <c r="G142" s="60">
        <v>1.0</v>
      </c>
      <c r="H142" s="60">
        <v>1.0</v>
      </c>
      <c r="I142" s="60">
        <v>0.0</v>
      </c>
      <c r="J142" s="59">
        <v>1.0</v>
      </c>
      <c r="K142" s="61">
        <f t="shared" si="1"/>
        <v>1</v>
      </c>
      <c r="L142" s="62">
        <f t="shared" si="2"/>
        <v>1</v>
      </c>
    </row>
    <row r="143">
      <c r="A143" s="58">
        <v>46113.0</v>
      </c>
      <c r="B143" s="24" t="s">
        <v>6787</v>
      </c>
      <c r="C143" s="24" t="s">
        <v>6884</v>
      </c>
      <c r="D143" s="59">
        <v>1.0</v>
      </c>
      <c r="E143" s="59">
        <v>2.0</v>
      </c>
      <c r="F143" s="59">
        <v>0.0</v>
      </c>
      <c r="G143" s="60">
        <v>0.0</v>
      </c>
      <c r="H143" s="60">
        <v>1.0</v>
      </c>
      <c r="I143" s="60">
        <v>2.450344</v>
      </c>
      <c r="J143" s="59">
        <v>2.0</v>
      </c>
      <c r="K143" s="61">
        <f t="shared" si="1"/>
        <v>0</v>
      </c>
      <c r="L143" s="62">
        <f t="shared" si="2"/>
        <v>1</v>
      </c>
    </row>
    <row r="144">
      <c r="A144" s="58">
        <v>46113.0</v>
      </c>
      <c r="B144" s="24" t="s">
        <v>6787</v>
      </c>
      <c r="C144" s="24" t="s">
        <v>6885</v>
      </c>
      <c r="D144" s="59">
        <v>1.0</v>
      </c>
      <c r="E144" s="59">
        <v>1.0</v>
      </c>
      <c r="F144" s="59">
        <v>1.0</v>
      </c>
      <c r="G144" s="60">
        <v>1.0</v>
      </c>
      <c r="H144" s="60">
        <v>1.0</v>
      </c>
      <c r="I144" s="60">
        <v>0.0</v>
      </c>
      <c r="J144" s="59">
        <v>1.0</v>
      </c>
      <c r="K144" s="61">
        <f t="shared" si="1"/>
        <v>1</v>
      </c>
      <c r="L144" s="62">
        <f t="shared" si="2"/>
        <v>1</v>
      </c>
    </row>
    <row r="145">
      <c r="A145" s="58">
        <v>46113.0</v>
      </c>
      <c r="B145" s="24" t="s">
        <v>6789</v>
      </c>
      <c r="C145" s="24" t="s">
        <v>6837</v>
      </c>
      <c r="D145" s="59">
        <v>1.0</v>
      </c>
      <c r="E145" s="59">
        <v>1.0</v>
      </c>
      <c r="F145" s="59">
        <v>0.0</v>
      </c>
      <c r="G145" s="60">
        <v>0.0</v>
      </c>
      <c r="H145" s="60">
        <v>1.0</v>
      </c>
      <c r="I145" s="60">
        <v>0.0</v>
      </c>
      <c r="J145" s="59">
        <v>1.0</v>
      </c>
      <c r="K145" s="61">
        <f t="shared" si="1"/>
        <v>0</v>
      </c>
      <c r="L145" s="62">
        <f t="shared" si="2"/>
        <v>1</v>
      </c>
    </row>
    <row r="146">
      <c r="A146" s="58">
        <v>46113.0</v>
      </c>
      <c r="B146" s="24" t="s">
        <v>6787</v>
      </c>
      <c r="C146" s="24" t="s">
        <v>6886</v>
      </c>
      <c r="D146" s="59">
        <v>1.0</v>
      </c>
      <c r="E146" s="59">
        <v>1.0</v>
      </c>
      <c r="F146" s="59">
        <v>1.0</v>
      </c>
      <c r="G146" s="60">
        <v>1.0</v>
      </c>
      <c r="H146" s="60">
        <v>1.0</v>
      </c>
      <c r="I146" s="60">
        <v>0.0</v>
      </c>
      <c r="J146" s="59">
        <v>1.0</v>
      </c>
      <c r="K146" s="61">
        <f t="shared" si="1"/>
        <v>1</v>
      </c>
      <c r="L146" s="62">
        <f t="shared" si="2"/>
        <v>1</v>
      </c>
    </row>
    <row r="147">
      <c r="A147" s="58">
        <v>46113.0</v>
      </c>
      <c r="B147" s="24" t="s">
        <v>6789</v>
      </c>
      <c r="C147" s="24" t="s">
        <v>6886</v>
      </c>
      <c r="D147" s="59">
        <v>1.0</v>
      </c>
      <c r="E147" s="59">
        <v>1.0</v>
      </c>
      <c r="F147" s="59">
        <v>0.0</v>
      </c>
      <c r="G147" s="60">
        <v>1.0</v>
      </c>
      <c r="H147" s="60">
        <v>1.0</v>
      </c>
      <c r="I147" s="60">
        <v>2.00592</v>
      </c>
      <c r="J147" s="59">
        <v>1.0</v>
      </c>
      <c r="K147" s="61">
        <f t="shared" si="1"/>
        <v>0</v>
      </c>
      <c r="L147" s="62">
        <f t="shared" si="2"/>
        <v>1</v>
      </c>
    </row>
    <row r="148">
      <c r="A148" s="58">
        <v>46113.0</v>
      </c>
      <c r="B148" s="24" t="s">
        <v>6794</v>
      </c>
      <c r="C148" s="24" t="s">
        <v>6886</v>
      </c>
      <c r="D148" s="59">
        <v>1.0</v>
      </c>
      <c r="E148" s="59">
        <v>1.0</v>
      </c>
      <c r="F148" s="59">
        <v>0.0</v>
      </c>
      <c r="G148" s="60">
        <v>1.0</v>
      </c>
      <c r="H148" s="60">
        <v>1.0</v>
      </c>
      <c r="I148" s="60">
        <v>193.502792</v>
      </c>
      <c r="J148" s="59">
        <v>2.0</v>
      </c>
      <c r="K148" s="61">
        <f t="shared" si="1"/>
        <v>0</v>
      </c>
      <c r="L148" s="62">
        <f t="shared" si="2"/>
        <v>2</v>
      </c>
    </row>
    <row r="149">
      <c r="A149" s="58">
        <v>46113.0</v>
      </c>
      <c r="B149" s="24" t="s">
        <v>6789</v>
      </c>
      <c r="C149" s="24" t="s">
        <v>6887</v>
      </c>
      <c r="D149" s="59">
        <v>1.0</v>
      </c>
      <c r="E149" s="59">
        <v>1.0</v>
      </c>
      <c r="F149" s="59">
        <v>1.0</v>
      </c>
      <c r="G149" s="60">
        <v>1.0</v>
      </c>
      <c r="H149" s="60">
        <v>1.0</v>
      </c>
      <c r="I149" s="60">
        <v>4.69545</v>
      </c>
      <c r="J149" s="59">
        <v>1.0</v>
      </c>
      <c r="K149" s="61">
        <f t="shared" si="1"/>
        <v>1</v>
      </c>
      <c r="L149" s="62">
        <f t="shared" si="2"/>
        <v>1</v>
      </c>
    </row>
    <row r="150">
      <c r="A150" s="58">
        <v>46113.0</v>
      </c>
      <c r="B150" s="24" t="s">
        <v>6789</v>
      </c>
      <c r="C150" s="24" t="s">
        <v>6820</v>
      </c>
      <c r="D150" s="59">
        <v>1.0</v>
      </c>
      <c r="E150" s="59">
        <v>1.0</v>
      </c>
      <c r="F150" s="59">
        <v>1.0</v>
      </c>
      <c r="G150" s="60">
        <v>1.0</v>
      </c>
      <c r="H150" s="60">
        <v>1.0</v>
      </c>
      <c r="I150" s="60">
        <v>0.0</v>
      </c>
      <c r="J150" s="59">
        <v>1.0</v>
      </c>
      <c r="K150" s="61">
        <f t="shared" si="1"/>
        <v>1</v>
      </c>
      <c r="L150" s="62">
        <f t="shared" si="2"/>
        <v>1</v>
      </c>
    </row>
    <row r="151">
      <c r="A151" s="58">
        <v>46113.0</v>
      </c>
      <c r="B151" s="24" t="s">
        <v>6790</v>
      </c>
      <c r="C151" s="24" t="s">
        <v>6888</v>
      </c>
      <c r="D151" s="59">
        <v>1.0</v>
      </c>
      <c r="E151" s="59">
        <v>1.0</v>
      </c>
      <c r="F151" s="59">
        <v>0.0</v>
      </c>
      <c r="G151" s="60">
        <v>1.0</v>
      </c>
      <c r="H151" s="60">
        <v>1.0</v>
      </c>
      <c r="I151" s="60">
        <v>146.128171</v>
      </c>
      <c r="J151" s="59">
        <v>7.0</v>
      </c>
      <c r="K151" s="61">
        <f t="shared" si="1"/>
        <v>0</v>
      </c>
      <c r="L151" s="62">
        <f t="shared" si="2"/>
        <v>7</v>
      </c>
    </row>
    <row r="152">
      <c r="A152" s="58">
        <v>46113.0</v>
      </c>
      <c r="B152" s="24" t="s">
        <v>6794</v>
      </c>
      <c r="C152" s="24" t="s">
        <v>6889</v>
      </c>
      <c r="D152" s="59">
        <v>1.0</v>
      </c>
      <c r="E152" s="59">
        <v>1.0</v>
      </c>
      <c r="F152" s="59">
        <v>0.0</v>
      </c>
      <c r="G152" s="60">
        <v>0.0</v>
      </c>
      <c r="H152" s="60">
        <v>1.0</v>
      </c>
      <c r="I152" s="60">
        <v>0.0</v>
      </c>
      <c r="J152" s="59">
        <v>1.0</v>
      </c>
      <c r="K152" s="61">
        <f t="shared" si="1"/>
        <v>0</v>
      </c>
      <c r="L152" s="62">
        <f t="shared" si="2"/>
        <v>1</v>
      </c>
    </row>
    <row r="153">
      <c r="A153" s="58">
        <v>46113.0</v>
      </c>
      <c r="B153" s="24" t="s">
        <v>6790</v>
      </c>
      <c r="C153" s="24" t="s">
        <v>6821</v>
      </c>
      <c r="D153" s="59">
        <v>1.0</v>
      </c>
      <c r="E153" s="59">
        <v>1.0</v>
      </c>
      <c r="F153" s="59">
        <v>0.0</v>
      </c>
      <c r="G153" s="60">
        <v>1.0</v>
      </c>
      <c r="H153" s="60">
        <v>1.0</v>
      </c>
      <c r="I153" s="60">
        <v>1912.318984</v>
      </c>
      <c r="J153" s="59">
        <v>3.0</v>
      </c>
      <c r="K153" s="61">
        <f t="shared" si="1"/>
        <v>0</v>
      </c>
      <c r="L153" s="62">
        <f t="shared" si="2"/>
        <v>3</v>
      </c>
    </row>
    <row r="154">
      <c r="A154" s="58">
        <v>46113.0</v>
      </c>
      <c r="B154" s="24" t="s">
        <v>6789</v>
      </c>
      <c r="C154" s="24" t="s">
        <v>6822</v>
      </c>
      <c r="D154" s="59">
        <v>1.0</v>
      </c>
      <c r="E154" s="59">
        <v>1.0</v>
      </c>
      <c r="F154" s="59">
        <v>0.0</v>
      </c>
      <c r="G154" s="60">
        <v>1.0</v>
      </c>
      <c r="H154" s="60">
        <v>0.0</v>
      </c>
      <c r="I154" s="60">
        <v>1689.230165</v>
      </c>
      <c r="J154" s="59">
        <v>33.0</v>
      </c>
      <c r="K154" s="61">
        <f t="shared" si="1"/>
        <v>0</v>
      </c>
      <c r="L154" s="62">
        <f t="shared" si="2"/>
        <v>33</v>
      </c>
    </row>
    <row r="155">
      <c r="A155" s="58">
        <v>46113.0</v>
      </c>
      <c r="B155" s="24" t="s">
        <v>6794</v>
      </c>
      <c r="C155" s="24" t="s">
        <v>6822</v>
      </c>
      <c r="D155" s="59">
        <v>1.0</v>
      </c>
      <c r="E155" s="59">
        <v>1.0</v>
      </c>
      <c r="F155" s="59">
        <v>0.0</v>
      </c>
      <c r="G155" s="60">
        <v>1.0</v>
      </c>
      <c r="H155" s="60">
        <v>0.0</v>
      </c>
      <c r="I155" s="60">
        <v>226.705013</v>
      </c>
      <c r="J155" s="59">
        <v>1.0</v>
      </c>
      <c r="K155" s="61">
        <f t="shared" si="1"/>
        <v>0</v>
      </c>
      <c r="L155" s="62">
        <f t="shared" si="2"/>
        <v>1</v>
      </c>
    </row>
    <row r="156">
      <c r="A156" s="58">
        <v>46113.0</v>
      </c>
      <c r="B156" s="24" t="s">
        <v>6787</v>
      </c>
      <c r="C156" s="24" t="s">
        <v>6890</v>
      </c>
      <c r="D156" s="59">
        <v>1.0</v>
      </c>
      <c r="E156" s="59">
        <v>1.0</v>
      </c>
      <c r="F156" s="59">
        <v>1.0</v>
      </c>
      <c r="G156" s="60">
        <v>1.0</v>
      </c>
      <c r="H156" s="60">
        <v>1.0</v>
      </c>
      <c r="I156" s="60">
        <v>0.0</v>
      </c>
      <c r="J156" s="59">
        <v>1.0</v>
      </c>
      <c r="K156" s="61">
        <f t="shared" si="1"/>
        <v>1</v>
      </c>
      <c r="L156" s="62">
        <f t="shared" si="2"/>
        <v>1</v>
      </c>
    </row>
    <row r="157">
      <c r="A157" s="58">
        <v>46113.0</v>
      </c>
      <c r="B157" s="24" t="s">
        <v>6787</v>
      </c>
      <c r="C157" s="24" t="s">
        <v>6891</v>
      </c>
      <c r="D157" s="59">
        <v>1.0</v>
      </c>
      <c r="E157" s="59">
        <v>1.0</v>
      </c>
      <c r="F157" s="59">
        <v>1.0</v>
      </c>
      <c r="G157" s="60">
        <v>1.0</v>
      </c>
      <c r="H157" s="60">
        <v>1.0</v>
      </c>
      <c r="I157" s="60">
        <v>67.807459</v>
      </c>
      <c r="J157" s="59">
        <v>2.0</v>
      </c>
      <c r="K157" s="61">
        <f t="shared" si="1"/>
        <v>1</v>
      </c>
      <c r="L157" s="62">
        <f t="shared" si="2"/>
        <v>2</v>
      </c>
    </row>
    <row r="158">
      <c r="A158" s="58">
        <v>46113.0</v>
      </c>
      <c r="B158" s="24" t="s">
        <v>6790</v>
      </c>
      <c r="C158" s="24" t="s">
        <v>6891</v>
      </c>
      <c r="D158" s="59">
        <v>1.0</v>
      </c>
      <c r="E158" s="59">
        <v>1.0</v>
      </c>
      <c r="F158" s="59">
        <v>0.0</v>
      </c>
      <c r="G158" s="60">
        <v>1.0</v>
      </c>
      <c r="H158" s="60">
        <v>1.0</v>
      </c>
      <c r="I158" s="60">
        <v>0.0</v>
      </c>
      <c r="J158" s="59">
        <v>2.0</v>
      </c>
      <c r="K158" s="61">
        <f t="shared" si="1"/>
        <v>0</v>
      </c>
      <c r="L158" s="62">
        <f t="shared" si="2"/>
        <v>2</v>
      </c>
    </row>
    <row r="159">
      <c r="A159" s="58">
        <v>46113.0</v>
      </c>
      <c r="B159" s="24" t="s">
        <v>6787</v>
      </c>
      <c r="C159" s="24" t="s">
        <v>6892</v>
      </c>
      <c r="D159" s="59">
        <v>1.0</v>
      </c>
      <c r="E159" s="59">
        <v>1.0</v>
      </c>
      <c r="F159" s="59">
        <v>1.0</v>
      </c>
      <c r="G159" s="60">
        <v>1.0</v>
      </c>
      <c r="H159" s="60">
        <v>1.0</v>
      </c>
      <c r="I159" s="60">
        <v>0.0</v>
      </c>
      <c r="J159" s="59">
        <v>1.0</v>
      </c>
      <c r="K159" s="61">
        <f t="shared" si="1"/>
        <v>1</v>
      </c>
      <c r="L159" s="62">
        <f t="shared" si="2"/>
        <v>1</v>
      </c>
    </row>
    <row r="160">
      <c r="A160" s="58">
        <v>46113.0</v>
      </c>
      <c r="B160" s="24" t="s">
        <v>6789</v>
      </c>
      <c r="C160" s="24" t="s">
        <v>6892</v>
      </c>
      <c r="D160" s="59">
        <v>1.0</v>
      </c>
      <c r="E160" s="59">
        <v>1.0</v>
      </c>
      <c r="F160" s="59">
        <v>0.0</v>
      </c>
      <c r="G160" s="60">
        <v>1.0</v>
      </c>
      <c r="H160" s="60">
        <v>1.0</v>
      </c>
      <c r="I160" s="60">
        <v>425.874211</v>
      </c>
      <c r="J160" s="59">
        <v>1.0</v>
      </c>
      <c r="K160" s="61">
        <f t="shared" si="1"/>
        <v>0</v>
      </c>
      <c r="L160" s="62">
        <f t="shared" si="2"/>
        <v>1</v>
      </c>
    </row>
    <row r="161">
      <c r="A161" s="58">
        <v>46113.0</v>
      </c>
      <c r="B161" s="24" t="s">
        <v>6787</v>
      </c>
      <c r="C161" s="24" t="s">
        <v>6893</v>
      </c>
      <c r="D161" s="59">
        <v>1.0</v>
      </c>
      <c r="E161" s="59">
        <v>1.0</v>
      </c>
      <c r="F161" s="59">
        <v>1.0</v>
      </c>
      <c r="G161" s="60">
        <v>1.0</v>
      </c>
      <c r="H161" s="60">
        <v>1.0</v>
      </c>
      <c r="I161" s="60">
        <v>13.613464</v>
      </c>
      <c r="J161" s="59">
        <v>1.0</v>
      </c>
      <c r="K161" s="61">
        <f t="shared" si="1"/>
        <v>1</v>
      </c>
      <c r="L161" s="62">
        <f t="shared" si="2"/>
        <v>1</v>
      </c>
    </row>
    <row r="162">
      <c r="A162" s="58">
        <v>46113.0</v>
      </c>
      <c r="B162" s="24" t="s">
        <v>6787</v>
      </c>
      <c r="C162" s="24" t="s">
        <v>6894</v>
      </c>
      <c r="D162" s="59">
        <v>1.0</v>
      </c>
      <c r="E162" s="59">
        <v>1.0</v>
      </c>
      <c r="F162" s="59">
        <v>1.0</v>
      </c>
      <c r="G162" s="60">
        <v>1.0</v>
      </c>
      <c r="H162" s="60">
        <v>1.0</v>
      </c>
      <c r="I162" s="60">
        <v>0.0</v>
      </c>
      <c r="J162" s="59">
        <v>1.0</v>
      </c>
      <c r="K162" s="61">
        <f t="shared" si="1"/>
        <v>1</v>
      </c>
      <c r="L162" s="62">
        <f t="shared" si="2"/>
        <v>1</v>
      </c>
    </row>
    <row r="163">
      <c r="A163" s="58">
        <v>46113.0</v>
      </c>
      <c r="B163" s="24" t="s">
        <v>155</v>
      </c>
      <c r="C163" s="24" t="s">
        <v>6895</v>
      </c>
      <c r="D163" s="59">
        <v>1.0</v>
      </c>
      <c r="E163" s="59">
        <v>1.0</v>
      </c>
      <c r="F163" s="59">
        <v>1.0</v>
      </c>
      <c r="G163" s="60">
        <v>1.0</v>
      </c>
      <c r="H163" s="60">
        <v>1.0</v>
      </c>
      <c r="I163" s="60">
        <v>797.260866</v>
      </c>
      <c r="J163" s="59">
        <v>2.0</v>
      </c>
      <c r="K163" s="61">
        <f t="shared" si="1"/>
        <v>1</v>
      </c>
      <c r="L163" s="62">
        <f t="shared" si="2"/>
        <v>2</v>
      </c>
    </row>
    <row r="164">
      <c r="A164" s="58">
        <v>46113.0</v>
      </c>
      <c r="B164" s="24" t="s">
        <v>6789</v>
      </c>
      <c r="C164" s="24" t="s">
        <v>6896</v>
      </c>
      <c r="D164" s="59">
        <v>1.0</v>
      </c>
      <c r="E164" s="59">
        <v>1.0</v>
      </c>
      <c r="F164" s="59">
        <v>1.0</v>
      </c>
      <c r="G164" s="60">
        <v>1.0</v>
      </c>
      <c r="H164" s="60">
        <v>0.0</v>
      </c>
      <c r="I164" s="60">
        <v>212.580543</v>
      </c>
      <c r="J164" s="59">
        <v>2.0</v>
      </c>
      <c r="K164" s="61">
        <f t="shared" si="1"/>
        <v>1</v>
      </c>
      <c r="L164" s="62">
        <f t="shared" si="2"/>
        <v>2</v>
      </c>
    </row>
    <row r="165">
      <c r="A165" s="58">
        <v>46113.0</v>
      </c>
      <c r="B165" s="24" t="s">
        <v>6789</v>
      </c>
      <c r="C165" s="24" t="s">
        <v>6823</v>
      </c>
      <c r="D165" s="59">
        <v>1.0</v>
      </c>
      <c r="E165" s="59">
        <v>1.0</v>
      </c>
      <c r="F165" s="59">
        <v>0.0</v>
      </c>
      <c r="G165" s="60">
        <v>1.0</v>
      </c>
      <c r="H165" s="60">
        <v>0.0</v>
      </c>
      <c r="I165" s="60">
        <v>1689.191864</v>
      </c>
      <c r="J165" s="59">
        <v>6.0</v>
      </c>
      <c r="K165" s="61">
        <f t="shared" si="1"/>
        <v>0</v>
      </c>
      <c r="L165" s="62">
        <f t="shared" si="2"/>
        <v>6</v>
      </c>
    </row>
    <row r="166">
      <c r="A166" s="58">
        <v>46113.0</v>
      </c>
      <c r="B166" s="24" t="s">
        <v>6789</v>
      </c>
      <c r="C166" s="24" t="s">
        <v>6897</v>
      </c>
      <c r="D166" s="59">
        <v>1.0</v>
      </c>
      <c r="E166" s="59">
        <v>1.0</v>
      </c>
      <c r="F166" s="59">
        <v>1.0</v>
      </c>
      <c r="G166" s="60">
        <v>1.0</v>
      </c>
      <c r="H166" s="60">
        <v>1.0</v>
      </c>
      <c r="I166" s="60">
        <v>0.0</v>
      </c>
      <c r="J166" s="59">
        <v>1.0</v>
      </c>
      <c r="K166" s="61">
        <f t="shared" si="1"/>
        <v>1</v>
      </c>
      <c r="L166" s="62">
        <f t="shared" si="2"/>
        <v>1</v>
      </c>
    </row>
    <row r="167">
      <c r="A167" s="58">
        <v>46113.0</v>
      </c>
      <c r="B167" s="24" t="s">
        <v>6787</v>
      </c>
      <c r="C167" s="24" t="s">
        <v>6898</v>
      </c>
      <c r="D167" s="59">
        <v>1.0</v>
      </c>
      <c r="E167" s="59">
        <v>1.0</v>
      </c>
      <c r="F167" s="59">
        <v>1.0</v>
      </c>
      <c r="G167" s="60">
        <v>1.0</v>
      </c>
      <c r="H167" s="60">
        <v>1.0</v>
      </c>
      <c r="I167" s="60">
        <v>0.0</v>
      </c>
      <c r="J167" s="59">
        <v>1.0</v>
      </c>
      <c r="K167" s="61">
        <f t="shared" si="1"/>
        <v>1</v>
      </c>
      <c r="L167" s="62">
        <f t="shared" si="2"/>
        <v>1</v>
      </c>
    </row>
    <row r="168">
      <c r="A168" s="58">
        <v>46113.0</v>
      </c>
      <c r="B168" s="24" t="s">
        <v>6789</v>
      </c>
      <c r="C168" s="24" t="s">
        <v>6898</v>
      </c>
      <c r="D168" s="59">
        <v>1.0</v>
      </c>
      <c r="E168" s="59">
        <v>1.0</v>
      </c>
      <c r="F168" s="59">
        <v>1.0</v>
      </c>
      <c r="G168" s="60">
        <v>1.0</v>
      </c>
      <c r="H168" s="60">
        <v>0.0</v>
      </c>
      <c r="I168" s="60">
        <v>529.774379</v>
      </c>
      <c r="J168" s="59">
        <v>5.0</v>
      </c>
      <c r="K168" s="61">
        <f t="shared" si="1"/>
        <v>1</v>
      </c>
      <c r="L168" s="62">
        <f t="shared" si="2"/>
        <v>5</v>
      </c>
    </row>
    <row r="169">
      <c r="A169" s="58">
        <v>46113.0</v>
      </c>
      <c r="B169" s="24" t="s">
        <v>6789</v>
      </c>
      <c r="C169" s="24" t="s">
        <v>6806</v>
      </c>
      <c r="D169" s="59">
        <v>1.0</v>
      </c>
      <c r="E169" s="59">
        <v>1.0</v>
      </c>
      <c r="F169" s="59">
        <v>0.0</v>
      </c>
      <c r="G169" s="60">
        <v>1.0</v>
      </c>
      <c r="H169" s="60">
        <v>0.0</v>
      </c>
      <c r="I169" s="60">
        <v>1326.889275</v>
      </c>
      <c r="J169" s="59">
        <v>4.0</v>
      </c>
      <c r="K169" s="61">
        <f t="shared" si="1"/>
        <v>0</v>
      </c>
      <c r="L169" s="62">
        <f t="shared" si="2"/>
        <v>4</v>
      </c>
    </row>
    <row r="170">
      <c r="A170" s="58">
        <v>46113.0</v>
      </c>
      <c r="B170" s="24" t="s">
        <v>6787</v>
      </c>
      <c r="C170" s="24" t="s">
        <v>6899</v>
      </c>
      <c r="D170" s="59">
        <v>1.0</v>
      </c>
      <c r="E170" s="59">
        <v>1.0</v>
      </c>
      <c r="F170" s="59">
        <v>1.0</v>
      </c>
      <c r="G170" s="60">
        <v>1.0</v>
      </c>
      <c r="H170" s="60">
        <v>1.0</v>
      </c>
      <c r="I170" s="60">
        <v>0.0</v>
      </c>
      <c r="J170" s="59">
        <v>1.0</v>
      </c>
      <c r="K170" s="61">
        <f t="shared" si="1"/>
        <v>1</v>
      </c>
      <c r="L170" s="62">
        <f t="shared" si="2"/>
        <v>1</v>
      </c>
    </row>
    <row r="171">
      <c r="A171" s="58">
        <v>46113.0</v>
      </c>
      <c r="B171" s="24" t="s">
        <v>6790</v>
      </c>
      <c r="C171" s="24" t="s">
        <v>6811</v>
      </c>
      <c r="D171" s="59">
        <v>1.0</v>
      </c>
      <c r="E171" s="59">
        <v>1.0</v>
      </c>
      <c r="F171" s="59">
        <v>0.0</v>
      </c>
      <c r="G171" s="60">
        <v>1.0</v>
      </c>
      <c r="H171" s="60">
        <v>1.0</v>
      </c>
      <c r="I171" s="60">
        <v>373.352105</v>
      </c>
      <c r="J171" s="59">
        <v>2.0</v>
      </c>
      <c r="K171" s="61">
        <f t="shared" si="1"/>
        <v>0</v>
      </c>
      <c r="L171" s="62">
        <f t="shared" si="2"/>
        <v>2</v>
      </c>
    </row>
    <row r="172">
      <c r="A172" s="58">
        <v>46113.0</v>
      </c>
      <c r="B172" s="24" t="s">
        <v>6789</v>
      </c>
      <c r="C172" s="24" t="s">
        <v>6900</v>
      </c>
      <c r="D172" s="59">
        <v>1.0</v>
      </c>
      <c r="E172" s="59">
        <v>1.0</v>
      </c>
      <c r="F172" s="59">
        <v>1.0</v>
      </c>
      <c r="G172" s="60">
        <v>1.0</v>
      </c>
      <c r="H172" s="60">
        <v>0.0</v>
      </c>
      <c r="I172" s="60">
        <v>12.598335</v>
      </c>
      <c r="J172" s="59">
        <v>2.0</v>
      </c>
      <c r="K172" s="61">
        <f t="shared" si="1"/>
        <v>1</v>
      </c>
      <c r="L172" s="62">
        <f t="shared" si="2"/>
        <v>2</v>
      </c>
    </row>
    <row r="173">
      <c r="A173" s="58">
        <v>46113.0</v>
      </c>
      <c r="B173" s="24" t="s">
        <v>6787</v>
      </c>
      <c r="C173" s="24" t="s">
        <v>6901</v>
      </c>
      <c r="D173" s="59">
        <v>1.0</v>
      </c>
      <c r="E173" s="59">
        <v>1.0</v>
      </c>
      <c r="F173" s="59">
        <v>1.0</v>
      </c>
      <c r="G173" s="60">
        <v>1.0</v>
      </c>
      <c r="H173" s="60">
        <v>1.0</v>
      </c>
      <c r="I173" s="60">
        <v>0.0</v>
      </c>
      <c r="J173" s="59">
        <v>1.0</v>
      </c>
      <c r="K173" s="61">
        <f t="shared" si="1"/>
        <v>1</v>
      </c>
      <c r="L173" s="62">
        <f t="shared" si="2"/>
        <v>1</v>
      </c>
    </row>
    <row r="174">
      <c r="A174" s="58">
        <v>46113.0</v>
      </c>
      <c r="B174" s="24" t="s">
        <v>6787</v>
      </c>
      <c r="C174" s="24" t="s">
        <v>6843</v>
      </c>
      <c r="D174" s="59">
        <v>1.0</v>
      </c>
      <c r="E174" s="59">
        <v>1.0</v>
      </c>
      <c r="F174" s="59">
        <v>1.0</v>
      </c>
      <c r="G174" s="60">
        <v>1.0</v>
      </c>
      <c r="H174" s="60">
        <v>1.0</v>
      </c>
      <c r="I174" s="60">
        <v>0.0</v>
      </c>
      <c r="J174" s="59">
        <v>1.0</v>
      </c>
      <c r="K174" s="61">
        <f t="shared" si="1"/>
        <v>1</v>
      </c>
      <c r="L174" s="62">
        <f t="shared" si="2"/>
        <v>1</v>
      </c>
    </row>
    <row r="175">
      <c r="A175" s="58">
        <v>46113.0</v>
      </c>
      <c r="B175" s="24" t="s">
        <v>6794</v>
      </c>
      <c r="C175" s="24" t="s">
        <v>6807</v>
      </c>
      <c r="D175" s="59">
        <v>1.0</v>
      </c>
      <c r="E175" s="59">
        <v>1.0</v>
      </c>
      <c r="F175" s="59">
        <v>0.0</v>
      </c>
      <c r="G175" s="60">
        <v>1.0</v>
      </c>
      <c r="H175" s="60">
        <v>0.0</v>
      </c>
      <c r="I175" s="60">
        <v>3980.176287</v>
      </c>
      <c r="J175" s="59">
        <v>9.0</v>
      </c>
      <c r="K175" s="61">
        <f t="shared" si="1"/>
        <v>0</v>
      </c>
      <c r="L175" s="62">
        <f t="shared" si="2"/>
        <v>9</v>
      </c>
    </row>
    <row r="176">
      <c r="A176" s="58">
        <v>46113.0</v>
      </c>
      <c r="B176" s="24" t="s">
        <v>6789</v>
      </c>
      <c r="C176" s="24" t="s">
        <v>6844</v>
      </c>
      <c r="D176" s="59">
        <v>1.0</v>
      </c>
      <c r="E176" s="59">
        <v>2.0</v>
      </c>
      <c r="F176" s="59">
        <v>0.0</v>
      </c>
      <c r="G176" s="60">
        <v>2.0</v>
      </c>
      <c r="H176" s="60">
        <v>0.0</v>
      </c>
      <c r="I176" s="60">
        <v>3048.4169415</v>
      </c>
      <c r="J176" s="59">
        <v>58.0</v>
      </c>
      <c r="K176" s="61">
        <f t="shared" si="1"/>
        <v>0</v>
      </c>
      <c r="L176" s="62">
        <f t="shared" si="2"/>
        <v>29</v>
      </c>
    </row>
    <row r="177">
      <c r="A177" s="58">
        <v>46113.0</v>
      </c>
      <c r="B177" s="24" t="s">
        <v>6789</v>
      </c>
      <c r="C177" s="24" t="s">
        <v>6902</v>
      </c>
      <c r="D177" s="59">
        <v>1.0</v>
      </c>
      <c r="E177" s="59">
        <v>1.0</v>
      </c>
      <c r="F177" s="59">
        <v>1.0</v>
      </c>
      <c r="G177" s="60">
        <v>1.0</v>
      </c>
      <c r="H177" s="60">
        <v>0.0</v>
      </c>
      <c r="I177" s="60">
        <v>1193.668573</v>
      </c>
      <c r="J177" s="59">
        <v>1.0</v>
      </c>
      <c r="K177" s="61">
        <f t="shared" si="1"/>
        <v>1</v>
      </c>
      <c r="L177" s="62">
        <f t="shared" si="2"/>
        <v>1</v>
      </c>
    </row>
    <row r="178">
      <c r="A178" s="58">
        <v>46113.0</v>
      </c>
      <c r="B178" s="24" t="s">
        <v>155</v>
      </c>
      <c r="C178" s="24" t="s">
        <v>6903</v>
      </c>
      <c r="D178" s="59">
        <v>1.0</v>
      </c>
      <c r="E178" s="59">
        <v>1.0</v>
      </c>
      <c r="F178" s="59">
        <v>1.0</v>
      </c>
      <c r="G178" s="60">
        <v>1.0</v>
      </c>
      <c r="H178" s="60">
        <v>1.0</v>
      </c>
      <c r="I178" s="60">
        <v>0.0</v>
      </c>
      <c r="J178" s="59">
        <v>1.0</v>
      </c>
      <c r="K178" s="61">
        <f t="shared" si="1"/>
        <v>1</v>
      </c>
      <c r="L178" s="62">
        <f t="shared" si="2"/>
        <v>1</v>
      </c>
    </row>
    <row r="179">
      <c r="A179" s="58">
        <v>46113.0</v>
      </c>
      <c r="B179" s="24" t="s">
        <v>6787</v>
      </c>
      <c r="C179" s="24" t="s">
        <v>6904</v>
      </c>
      <c r="D179" s="59">
        <v>1.0</v>
      </c>
      <c r="E179" s="59">
        <v>1.0</v>
      </c>
      <c r="F179" s="59">
        <v>1.0</v>
      </c>
      <c r="G179" s="60">
        <v>1.0</v>
      </c>
      <c r="H179" s="60">
        <v>1.0</v>
      </c>
      <c r="I179" s="60">
        <v>1.782862</v>
      </c>
      <c r="J179" s="59">
        <v>1.0</v>
      </c>
      <c r="K179" s="61">
        <f t="shared" si="1"/>
        <v>1</v>
      </c>
      <c r="L179" s="62">
        <f t="shared" si="2"/>
        <v>1</v>
      </c>
    </row>
    <row r="180">
      <c r="A180" s="58">
        <v>46113.0</v>
      </c>
      <c r="B180" s="24" t="s">
        <v>6787</v>
      </c>
      <c r="C180" s="24" t="s">
        <v>6905</v>
      </c>
      <c r="D180" s="59">
        <v>1.0</v>
      </c>
      <c r="E180" s="59">
        <v>1.0</v>
      </c>
      <c r="F180" s="59">
        <v>1.0</v>
      </c>
      <c r="G180" s="60">
        <v>1.0</v>
      </c>
      <c r="H180" s="60">
        <v>1.0</v>
      </c>
      <c r="I180" s="60">
        <v>0.0</v>
      </c>
      <c r="J180" s="59">
        <v>1.0</v>
      </c>
      <c r="K180" s="61">
        <f t="shared" si="1"/>
        <v>1</v>
      </c>
      <c r="L180" s="62">
        <f t="shared" si="2"/>
        <v>1</v>
      </c>
    </row>
    <row r="181">
      <c r="A181" s="58">
        <v>46113.0</v>
      </c>
      <c r="B181" s="24" t="s">
        <v>6791</v>
      </c>
      <c r="C181" s="24" t="s">
        <v>6845</v>
      </c>
      <c r="D181" s="59">
        <v>1.0</v>
      </c>
      <c r="E181" s="59">
        <v>1.0</v>
      </c>
      <c r="F181" s="59">
        <v>0.0</v>
      </c>
      <c r="G181" s="60">
        <v>1.0</v>
      </c>
      <c r="H181" s="60">
        <v>0.0</v>
      </c>
      <c r="I181" s="60">
        <v>187.122529</v>
      </c>
      <c r="J181" s="59">
        <v>1.0</v>
      </c>
      <c r="K181" s="61">
        <f t="shared" si="1"/>
        <v>0</v>
      </c>
      <c r="L181" s="62">
        <f t="shared" si="2"/>
        <v>1</v>
      </c>
    </row>
    <row r="182">
      <c r="A182" s="58">
        <v>46113.0</v>
      </c>
      <c r="B182" s="24" t="s">
        <v>6789</v>
      </c>
      <c r="C182" s="24" t="s">
        <v>6906</v>
      </c>
      <c r="D182" s="59">
        <v>1.0</v>
      </c>
      <c r="E182" s="59">
        <v>1.0</v>
      </c>
      <c r="F182" s="59">
        <v>0.0</v>
      </c>
      <c r="G182" s="60">
        <v>0.0</v>
      </c>
      <c r="H182" s="60">
        <v>1.0</v>
      </c>
      <c r="I182" s="60">
        <v>0.0</v>
      </c>
      <c r="J182" s="59">
        <v>1.0</v>
      </c>
      <c r="K182" s="61">
        <f t="shared" si="1"/>
        <v>0</v>
      </c>
      <c r="L182" s="62">
        <f t="shared" si="2"/>
        <v>1</v>
      </c>
    </row>
    <row r="183">
      <c r="A183" s="58">
        <v>46113.0</v>
      </c>
      <c r="B183" s="24" t="s">
        <v>6787</v>
      </c>
      <c r="C183" s="24" t="s">
        <v>6907</v>
      </c>
      <c r="D183" s="59">
        <v>1.0</v>
      </c>
      <c r="E183" s="59">
        <v>1.0</v>
      </c>
      <c r="F183" s="59">
        <v>1.0</v>
      </c>
      <c r="G183" s="60">
        <v>1.0</v>
      </c>
      <c r="H183" s="60">
        <v>1.0</v>
      </c>
      <c r="I183" s="60">
        <v>0.0</v>
      </c>
      <c r="J183" s="59">
        <v>1.0</v>
      </c>
      <c r="K183" s="61">
        <f t="shared" si="1"/>
        <v>1</v>
      </c>
      <c r="L183" s="62">
        <f t="shared" si="2"/>
        <v>1</v>
      </c>
    </row>
    <row r="184">
      <c r="A184" s="58">
        <v>46113.0</v>
      </c>
      <c r="B184" s="24" t="s">
        <v>6789</v>
      </c>
      <c r="C184" s="24" t="s">
        <v>6907</v>
      </c>
      <c r="D184" s="59">
        <v>1.0</v>
      </c>
      <c r="E184" s="59">
        <v>1.0</v>
      </c>
      <c r="F184" s="59">
        <v>1.0</v>
      </c>
      <c r="G184" s="60">
        <v>1.0</v>
      </c>
      <c r="H184" s="60">
        <v>0.0</v>
      </c>
      <c r="I184" s="60">
        <v>164.750625</v>
      </c>
      <c r="J184" s="59">
        <v>1.0</v>
      </c>
      <c r="K184" s="61">
        <f t="shared" si="1"/>
        <v>1</v>
      </c>
      <c r="L184" s="62">
        <f t="shared" si="2"/>
        <v>1</v>
      </c>
    </row>
    <row r="185">
      <c r="A185" s="58">
        <v>46113.0</v>
      </c>
      <c r="B185" s="24" t="s">
        <v>6787</v>
      </c>
      <c r="C185" s="24" t="s">
        <v>6808</v>
      </c>
      <c r="D185" s="59">
        <v>1.0</v>
      </c>
      <c r="E185" s="59">
        <v>1.0</v>
      </c>
      <c r="F185" s="59">
        <v>1.0</v>
      </c>
      <c r="G185" s="60">
        <v>1.0</v>
      </c>
      <c r="H185" s="60">
        <v>1.0</v>
      </c>
      <c r="I185" s="60">
        <v>0.0</v>
      </c>
      <c r="J185" s="59">
        <v>1.0</v>
      </c>
      <c r="K185" s="61">
        <f t="shared" si="1"/>
        <v>1</v>
      </c>
      <c r="L185" s="62">
        <f t="shared" si="2"/>
        <v>1</v>
      </c>
    </row>
    <row r="186">
      <c r="A186" s="58">
        <v>46113.0</v>
      </c>
      <c r="B186" s="24" t="s">
        <v>6787</v>
      </c>
      <c r="C186" s="24" t="s">
        <v>6800</v>
      </c>
      <c r="D186" s="59">
        <v>1.0</v>
      </c>
      <c r="E186" s="59">
        <v>1.0</v>
      </c>
      <c r="F186" s="59">
        <v>1.0</v>
      </c>
      <c r="G186" s="60">
        <v>1.0</v>
      </c>
      <c r="H186" s="60">
        <v>1.0</v>
      </c>
      <c r="I186" s="60">
        <v>0.0</v>
      </c>
      <c r="J186" s="59">
        <v>1.0</v>
      </c>
      <c r="K186" s="61">
        <f t="shared" si="1"/>
        <v>1</v>
      </c>
      <c r="L186" s="62">
        <f t="shared" si="2"/>
        <v>1</v>
      </c>
    </row>
    <row r="187">
      <c r="A187" s="58">
        <v>46113.0</v>
      </c>
      <c r="B187" s="24" t="s">
        <v>6789</v>
      </c>
      <c r="C187" s="24" t="s">
        <v>6800</v>
      </c>
      <c r="D187" s="59">
        <v>1.0</v>
      </c>
      <c r="E187" s="59">
        <v>1.0</v>
      </c>
      <c r="F187" s="59">
        <v>0.0</v>
      </c>
      <c r="G187" s="60">
        <v>1.0</v>
      </c>
      <c r="H187" s="60">
        <v>0.0</v>
      </c>
      <c r="I187" s="60">
        <v>355.145368</v>
      </c>
      <c r="J187" s="59">
        <v>2.0</v>
      </c>
      <c r="K187" s="61">
        <f t="shared" si="1"/>
        <v>0</v>
      </c>
      <c r="L187" s="62">
        <f t="shared" si="2"/>
        <v>2</v>
      </c>
    </row>
    <row r="188">
      <c r="A188" s="58">
        <v>46113.0</v>
      </c>
      <c r="B188" s="24" t="s">
        <v>6790</v>
      </c>
      <c r="C188" s="24" t="s">
        <v>6800</v>
      </c>
      <c r="D188" s="59">
        <v>1.0</v>
      </c>
      <c r="E188" s="59">
        <v>1.0</v>
      </c>
      <c r="F188" s="59">
        <v>0.0</v>
      </c>
      <c r="G188" s="60">
        <v>1.0</v>
      </c>
      <c r="H188" s="60">
        <v>1.0</v>
      </c>
      <c r="I188" s="60">
        <v>0.0</v>
      </c>
      <c r="J188" s="59">
        <v>1.0</v>
      </c>
      <c r="K188" s="61">
        <f t="shared" si="1"/>
        <v>0</v>
      </c>
      <c r="L188" s="62">
        <f t="shared" si="2"/>
        <v>1</v>
      </c>
    </row>
    <row r="189">
      <c r="A189" s="58">
        <v>46113.0</v>
      </c>
      <c r="B189" s="24" t="s">
        <v>6794</v>
      </c>
      <c r="C189" s="24" t="s">
        <v>6809</v>
      </c>
      <c r="D189" s="59">
        <v>1.0</v>
      </c>
      <c r="E189" s="59">
        <v>1.0</v>
      </c>
      <c r="F189" s="59">
        <v>0.0</v>
      </c>
      <c r="G189" s="60">
        <v>1.0</v>
      </c>
      <c r="H189" s="60">
        <v>0.0</v>
      </c>
      <c r="I189" s="60">
        <v>711.940402</v>
      </c>
      <c r="J189" s="59">
        <v>2.0</v>
      </c>
      <c r="K189" s="61">
        <f t="shared" si="1"/>
        <v>0</v>
      </c>
      <c r="L189" s="62">
        <f t="shared" si="2"/>
        <v>2</v>
      </c>
    </row>
    <row r="190">
      <c r="A190" s="58">
        <v>46113.0</v>
      </c>
      <c r="B190" s="24" t="s">
        <v>6790</v>
      </c>
      <c r="C190" s="24" t="s">
        <v>6809</v>
      </c>
      <c r="D190" s="59">
        <v>1.0</v>
      </c>
      <c r="E190" s="59">
        <v>1.0</v>
      </c>
      <c r="F190" s="59">
        <v>0.0</v>
      </c>
      <c r="G190" s="60">
        <v>1.0</v>
      </c>
      <c r="H190" s="60">
        <v>1.0</v>
      </c>
      <c r="I190" s="60">
        <v>0.0</v>
      </c>
      <c r="J190" s="59">
        <v>1.0</v>
      </c>
      <c r="K190" s="61">
        <f t="shared" si="1"/>
        <v>0</v>
      </c>
      <c r="L190" s="62">
        <f t="shared" si="2"/>
        <v>1</v>
      </c>
    </row>
    <row r="191">
      <c r="A191" s="58">
        <v>46113.0</v>
      </c>
      <c r="B191" s="24" t="s">
        <v>6794</v>
      </c>
      <c r="C191" s="24" t="s">
        <v>6812</v>
      </c>
      <c r="D191" s="59">
        <v>1.0</v>
      </c>
      <c r="E191" s="59">
        <v>1.0</v>
      </c>
      <c r="F191" s="59">
        <v>0.0</v>
      </c>
      <c r="G191" s="60">
        <v>1.0</v>
      </c>
      <c r="H191" s="60">
        <v>1.0</v>
      </c>
      <c r="I191" s="60">
        <v>1243.618816</v>
      </c>
      <c r="J191" s="59">
        <v>5.0</v>
      </c>
      <c r="K191" s="61">
        <f t="shared" si="1"/>
        <v>0</v>
      </c>
      <c r="L191" s="62">
        <f t="shared" si="2"/>
        <v>5</v>
      </c>
    </row>
    <row r="192">
      <c r="A192" s="58">
        <v>46113.0</v>
      </c>
      <c r="B192" s="24" t="s">
        <v>6790</v>
      </c>
      <c r="C192" s="24" t="s">
        <v>6812</v>
      </c>
      <c r="D192" s="59">
        <v>1.0</v>
      </c>
      <c r="E192" s="59">
        <v>1.0</v>
      </c>
      <c r="F192" s="59">
        <v>0.0</v>
      </c>
      <c r="G192" s="60">
        <v>1.0</v>
      </c>
      <c r="H192" s="60">
        <v>1.0</v>
      </c>
      <c r="I192" s="60">
        <v>0.0</v>
      </c>
      <c r="J192" s="59">
        <v>1.0</v>
      </c>
      <c r="K192" s="61">
        <f t="shared" si="1"/>
        <v>0</v>
      </c>
      <c r="L192" s="62">
        <f t="shared" si="2"/>
        <v>1</v>
      </c>
    </row>
    <row r="193">
      <c r="A193" s="58">
        <v>46113.0</v>
      </c>
      <c r="B193" s="24" t="s">
        <v>6787</v>
      </c>
      <c r="C193" s="24" t="s">
        <v>6849</v>
      </c>
      <c r="D193" s="59">
        <v>1.0</v>
      </c>
      <c r="E193" s="59">
        <v>1.0</v>
      </c>
      <c r="F193" s="59">
        <v>1.0</v>
      </c>
      <c r="G193" s="60">
        <v>1.0</v>
      </c>
      <c r="H193" s="60">
        <v>1.0</v>
      </c>
      <c r="I193" s="60">
        <v>175.998707</v>
      </c>
      <c r="J193" s="59">
        <v>2.0</v>
      </c>
      <c r="K193" s="61">
        <f t="shared" si="1"/>
        <v>1</v>
      </c>
      <c r="L193" s="62">
        <f t="shared" si="2"/>
        <v>2</v>
      </c>
    </row>
    <row r="194">
      <c r="A194" s="58">
        <v>46113.0</v>
      </c>
      <c r="B194" s="24" t="s">
        <v>6789</v>
      </c>
      <c r="C194" s="24" t="s">
        <v>6849</v>
      </c>
      <c r="D194" s="59">
        <v>1.0</v>
      </c>
      <c r="E194" s="59">
        <v>1.0</v>
      </c>
      <c r="F194" s="59">
        <v>0.0</v>
      </c>
      <c r="G194" s="60">
        <v>1.0</v>
      </c>
      <c r="H194" s="60">
        <v>1.0</v>
      </c>
      <c r="I194" s="60">
        <v>33.736722</v>
      </c>
      <c r="J194" s="59">
        <v>2.0</v>
      </c>
      <c r="K194" s="61">
        <f t="shared" si="1"/>
        <v>0</v>
      </c>
      <c r="L194" s="62">
        <f t="shared" si="2"/>
        <v>2</v>
      </c>
    </row>
    <row r="195">
      <c r="A195" s="58">
        <v>46113.0</v>
      </c>
      <c r="B195" s="24" t="s">
        <v>155</v>
      </c>
      <c r="C195" s="24" t="s">
        <v>6849</v>
      </c>
      <c r="D195" s="59">
        <v>1.0</v>
      </c>
      <c r="E195" s="59">
        <v>1.0</v>
      </c>
      <c r="F195" s="59">
        <v>1.0</v>
      </c>
      <c r="G195" s="60">
        <v>1.0</v>
      </c>
      <c r="H195" s="60">
        <v>1.0</v>
      </c>
      <c r="I195" s="60">
        <v>0.0</v>
      </c>
      <c r="J195" s="59">
        <v>1.0</v>
      </c>
      <c r="K195" s="61">
        <f t="shared" si="1"/>
        <v>1</v>
      </c>
      <c r="L195" s="62">
        <f t="shared" si="2"/>
        <v>1</v>
      </c>
    </row>
    <row r="196">
      <c r="A196" s="58">
        <v>46113.0</v>
      </c>
      <c r="B196" s="24" t="s">
        <v>6787</v>
      </c>
      <c r="C196" s="24" t="s">
        <v>6908</v>
      </c>
      <c r="D196" s="59">
        <v>1.0</v>
      </c>
      <c r="E196" s="59">
        <v>1.0</v>
      </c>
      <c r="F196" s="59">
        <v>1.0</v>
      </c>
      <c r="G196" s="60">
        <v>1.0</v>
      </c>
      <c r="H196" s="60">
        <v>1.0</v>
      </c>
      <c r="I196" s="60">
        <v>0.0</v>
      </c>
      <c r="J196" s="59">
        <v>1.0</v>
      </c>
      <c r="K196" s="61">
        <f t="shared" si="1"/>
        <v>1</v>
      </c>
      <c r="L196" s="62">
        <f t="shared" si="2"/>
        <v>1</v>
      </c>
    </row>
    <row r="197">
      <c r="A197" s="58">
        <v>46113.0</v>
      </c>
      <c r="B197" s="24" t="s">
        <v>6790</v>
      </c>
      <c r="C197" s="24" t="s">
        <v>6908</v>
      </c>
      <c r="D197" s="59">
        <v>1.0</v>
      </c>
      <c r="E197" s="59">
        <v>1.0</v>
      </c>
      <c r="F197" s="59">
        <v>0.0</v>
      </c>
      <c r="G197" s="60">
        <v>1.0</v>
      </c>
      <c r="H197" s="60">
        <v>1.0</v>
      </c>
      <c r="I197" s="60">
        <v>329.106329</v>
      </c>
      <c r="J197" s="59">
        <v>3.0</v>
      </c>
      <c r="K197" s="61">
        <f t="shared" si="1"/>
        <v>0</v>
      </c>
      <c r="L197" s="62">
        <f t="shared" si="2"/>
        <v>3</v>
      </c>
    </row>
    <row r="198">
      <c r="A198" s="58">
        <v>46113.0</v>
      </c>
      <c r="B198" s="24" t="s">
        <v>6787</v>
      </c>
      <c r="C198" s="24" t="s">
        <v>6909</v>
      </c>
      <c r="D198" s="59">
        <v>1.0</v>
      </c>
      <c r="E198" s="59">
        <v>1.0</v>
      </c>
      <c r="F198" s="59">
        <v>1.0</v>
      </c>
      <c r="G198" s="60">
        <v>1.0</v>
      </c>
      <c r="H198" s="60">
        <v>1.0</v>
      </c>
      <c r="I198" s="60">
        <v>1.454408</v>
      </c>
      <c r="J198" s="59">
        <v>1.0</v>
      </c>
      <c r="K198" s="61">
        <f t="shared" si="1"/>
        <v>1</v>
      </c>
      <c r="L198" s="62">
        <f t="shared" si="2"/>
        <v>1</v>
      </c>
    </row>
    <row r="199">
      <c r="A199" s="58">
        <v>46113.0</v>
      </c>
      <c r="B199" s="24" t="s">
        <v>6787</v>
      </c>
      <c r="C199" s="24" t="s">
        <v>6910</v>
      </c>
      <c r="D199" s="59">
        <v>1.0</v>
      </c>
      <c r="E199" s="59">
        <v>1.0</v>
      </c>
      <c r="F199" s="59">
        <v>1.0</v>
      </c>
      <c r="G199" s="60">
        <v>1.0</v>
      </c>
      <c r="H199" s="60">
        <v>1.0</v>
      </c>
      <c r="I199" s="60">
        <v>0.0</v>
      </c>
      <c r="J199" s="59">
        <v>1.0</v>
      </c>
      <c r="K199" s="61">
        <f t="shared" si="1"/>
        <v>1</v>
      </c>
      <c r="L199" s="62">
        <f t="shared" si="2"/>
        <v>1</v>
      </c>
    </row>
    <row r="200">
      <c r="A200" s="58">
        <v>46113.0</v>
      </c>
      <c r="B200" s="24" t="s">
        <v>6789</v>
      </c>
      <c r="C200" s="24" t="s">
        <v>6910</v>
      </c>
      <c r="D200" s="59">
        <v>1.0</v>
      </c>
      <c r="E200" s="59">
        <v>1.0</v>
      </c>
      <c r="F200" s="59">
        <v>0.0</v>
      </c>
      <c r="G200" s="60">
        <v>1.0</v>
      </c>
      <c r="H200" s="60">
        <v>0.0</v>
      </c>
      <c r="I200" s="60">
        <v>84.465502</v>
      </c>
      <c r="J200" s="59">
        <v>4.0</v>
      </c>
      <c r="K200" s="61">
        <f t="shared" si="1"/>
        <v>0</v>
      </c>
      <c r="L200" s="62">
        <f t="shared" si="2"/>
        <v>4</v>
      </c>
    </row>
    <row r="201">
      <c r="A201" s="58">
        <v>46113.0</v>
      </c>
      <c r="B201" s="24" t="s">
        <v>6787</v>
      </c>
      <c r="C201" s="24" t="s">
        <v>6851</v>
      </c>
      <c r="D201" s="59">
        <v>1.0</v>
      </c>
      <c r="E201" s="59">
        <v>1.0</v>
      </c>
      <c r="F201" s="59">
        <v>1.0</v>
      </c>
      <c r="G201" s="60">
        <v>1.0</v>
      </c>
      <c r="H201" s="60">
        <v>1.0</v>
      </c>
      <c r="I201" s="60">
        <v>0.0</v>
      </c>
      <c r="J201" s="59">
        <v>1.0</v>
      </c>
      <c r="K201" s="61">
        <f t="shared" si="1"/>
        <v>1</v>
      </c>
      <c r="L201" s="62">
        <f t="shared" si="2"/>
        <v>1</v>
      </c>
    </row>
    <row r="202">
      <c r="A202" s="58">
        <v>46113.0</v>
      </c>
      <c r="B202" s="24" t="s">
        <v>6794</v>
      </c>
      <c r="C202" s="24" t="s">
        <v>6851</v>
      </c>
      <c r="D202" s="59">
        <v>1.0</v>
      </c>
      <c r="E202" s="59">
        <v>1.0</v>
      </c>
      <c r="F202" s="59">
        <v>0.0</v>
      </c>
      <c r="G202" s="60">
        <v>0.0</v>
      </c>
      <c r="H202" s="60">
        <v>1.0</v>
      </c>
      <c r="I202" s="60">
        <v>0.0</v>
      </c>
      <c r="J202" s="59">
        <v>1.0</v>
      </c>
      <c r="K202" s="61">
        <f t="shared" si="1"/>
        <v>0</v>
      </c>
      <c r="L202" s="62">
        <f t="shared" si="2"/>
        <v>1</v>
      </c>
    </row>
    <row r="203">
      <c r="A203" s="58">
        <v>46113.0</v>
      </c>
      <c r="B203" s="24" t="s">
        <v>6855</v>
      </c>
      <c r="C203" s="24" t="s">
        <v>6801</v>
      </c>
      <c r="D203" s="59">
        <v>1.0</v>
      </c>
      <c r="E203" s="59">
        <v>1.0</v>
      </c>
      <c r="F203" s="59">
        <v>1.0</v>
      </c>
      <c r="G203" s="60">
        <v>1.0</v>
      </c>
      <c r="H203" s="60">
        <v>1.0</v>
      </c>
      <c r="I203" s="60">
        <v>163.492538</v>
      </c>
      <c r="J203" s="59">
        <v>2.0</v>
      </c>
      <c r="K203" s="61">
        <f t="shared" si="1"/>
        <v>1</v>
      </c>
      <c r="L203" s="62">
        <f t="shared" si="2"/>
        <v>2</v>
      </c>
    </row>
    <row r="204">
      <c r="A204" s="58">
        <v>46113.0</v>
      </c>
      <c r="B204" s="24" t="s">
        <v>6790</v>
      </c>
      <c r="C204" s="24" t="s">
        <v>6801</v>
      </c>
      <c r="D204" s="59">
        <v>1.0</v>
      </c>
      <c r="E204" s="59">
        <v>1.0</v>
      </c>
      <c r="F204" s="59">
        <v>0.0</v>
      </c>
      <c r="G204" s="60">
        <v>1.0</v>
      </c>
      <c r="H204" s="60">
        <v>1.0</v>
      </c>
      <c r="I204" s="60">
        <v>130.493718</v>
      </c>
      <c r="J204" s="59">
        <v>2.0</v>
      </c>
      <c r="K204" s="61">
        <f t="shared" si="1"/>
        <v>0</v>
      </c>
      <c r="L204" s="62">
        <f t="shared" si="2"/>
        <v>2</v>
      </c>
    </row>
    <row r="205">
      <c r="A205" s="58">
        <v>46113.0</v>
      </c>
      <c r="B205" s="24" t="s">
        <v>6789</v>
      </c>
      <c r="C205" s="24" t="s">
        <v>6911</v>
      </c>
      <c r="D205" s="59">
        <v>1.0</v>
      </c>
      <c r="E205" s="59">
        <v>1.0</v>
      </c>
      <c r="F205" s="59">
        <v>0.0</v>
      </c>
      <c r="G205" s="60">
        <v>0.0</v>
      </c>
      <c r="H205" s="60">
        <v>1.0</v>
      </c>
      <c r="I205" s="60">
        <v>0.0</v>
      </c>
      <c r="J205" s="59">
        <v>1.0</v>
      </c>
      <c r="K205" s="61">
        <f t="shared" si="1"/>
        <v>0</v>
      </c>
      <c r="L205" s="62">
        <f t="shared" si="2"/>
        <v>1</v>
      </c>
    </row>
    <row r="206">
      <c r="A206" s="58">
        <v>46113.0</v>
      </c>
      <c r="B206" s="24" t="s">
        <v>6790</v>
      </c>
      <c r="C206" s="24" t="s">
        <v>6911</v>
      </c>
      <c r="D206" s="59">
        <v>1.0</v>
      </c>
      <c r="E206" s="59">
        <v>1.0</v>
      </c>
      <c r="F206" s="59">
        <v>0.0</v>
      </c>
      <c r="G206" s="60">
        <v>1.0</v>
      </c>
      <c r="H206" s="60">
        <v>1.0</v>
      </c>
      <c r="I206" s="60">
        <v>0.0</v>
      </c>
      <c r="J206" s="59">
        <v>1.0</v>
      </c>
      <c r="K206" s="61">
        <f t="shared" si="1"/>
        <v>0</v>
      </c>
      <c r="L206" s="62">
        <f t="shared" si="2"/>
        <v>1</v>
      </c>
    </row>
    <row r="207">
      <c r="A207" s="58">
        <v>46113.0</v>
      </c>
      <c r="B207" s="24" t="s">
        <v>6789</v>
      </c>
      <c r="C207" s="24" t="s">
        <v>6912</v>
      </c>
      <c r="D207" s="59">
        <v>1.0</v>
      </c>
      <c r="E207" s="59">
        <v>1.0</v>
      </c>
      <c r="F207" s="59">
        <v>0.0</v>
      </c>
      <c r="G207" s="60">
        <v>0.0</v>
      </c>
      <c r="H207" s="60">
        <v>1.0</v>
      </c>
      <c r="I207" s="60">
        <v>0.0</v>
      </c>
      <c r="J207" s="59">
        <v>1.0</v>
      </c>
      <c r="K207" s="61">
        <f t="shared" si="1"/>
        <v>0</v>
      </c>
      <c r="L207" s="62">
        <f t="shared" si="2"/>
        <v>1</v>
      </c>
    </row>
    <row r="208">
      <c r="A208" s="58">
        <v>46113.0</v>
      </c>
      <c r="B208" s="24" t="s">
        <v>6787</v>
      </c>
      <c r="C208" s="24" t="s">
        <v>6913</v>
      </c>
      <c r="D208" s="59">
        <v>1.0</v>
      </c>
      <c r="E208" s="59">
        <v>1.0</v>
      </c>
      <c r="F208" s="59">
        <v>1.0</v>
      </c>
      <c r="G208" s="60">
        <v>1.0</v>
      </c>
      <c r="H208" s="60">
        <v>1.0</v>
      </c>
      <c r="I208" s="60">
        <v>5.00993</v>
      </c>
      <c r="J208" s="59">
        <v>1.0</v>
      </c>
      <c r="K208" s="61">
        <f t="shared" si="1"/>
        <v>1</v>
      </c>
      <c r="L208" s="62">
        <f t="shared" si="2"/>
        <v>1</v>
      </c>
    </row>
    <row r="209">
      <c r="A209" s="58">
        <v>46113.0</v>
      </c>
      <c r="B209" s="24" t="s">
        <v>6794</v>
      </c>
      <c r="C209" s="24" t="s">
        <v>6914</v>
      </c>
      <c r="D209" s="59">
        <v>1.0</v>
      </c>
      <c r="E209" s="59">
        <v>1.0</v>
      </c>
      <c r="F209" s="59">
        <v>1.0</v>
      </c>
      <c r="G209" s="60">
        <v>1.0</v>
      </c>
      <c r="H209" s="60">
        <v>0.0</v>
      </c>
      <c r="I209" s="60">
        <v>54.659226</v>
      </c>
      <c r="J209" s="59">
        <v>4.0</v>
      </c>
      <c r="K209" s="61">
        <f t="shared" si="1"/>
        <v>1</v>
      </c>
      <c r="L209" s="62">
        <f t="shared" si="2"/>
        <v>4</v>
      </c>
    </row>
    <row r="210">
      <c r="A210" s="58">
        <v>46113.0</v>
      </c>
      <c r="B210" s="24" t="s">
        <v>6794</v>
      </c>
      <c r="C210" s="24" t="s">
        <v>6915</v>
      </c>
      <c r="D210" s="59">
        <v>1.0</v>
      </c>
      <c r="E210" s="59">
        <v>1.0</v>
      </c>
      <c r="F210" s="59">
        <v>1.0</v>
      </c>
      <c r="G210" s="60">
        <v>1.0</v>
      </c>
      <c r="H210" s="60">
        <v>1.0</v>
      </c>
      <c r="I210" s="60">
        <v>5.564974</v>
      </c>
      <c r="J210" s="59">
        <v>1.0</v>
      </c>
      <c r="K210" s="61">
        <f t="shared" si="1"/>
        <v>1</v>
      </c>
      <c r="L210" s="62">
        <f t="shared" si="2"/>
        <v>1</v>
      </c>
    </row>
    <row r="211">
      <c r="A211" s="58">
        <v>46113.0</v>
      </c>
      <c r="B211" s="24" t="s">
        <v>6789</v>
      </c>
      <c r="C211" s="24" t="s">
        <v>6798</v>
      </c>
      <c r="D211" s="59">
        <v>1.0</v>
      </c>
      <c r="E211" s="59">
        <v>2.0</v>
      </c>
      <c r="F211" s="59">
        <v>0.0</v>
      </c>
      <c r="G211" s="60">
        <v>2.0</v>
      </c>
      <c r="H211" s="60">
        <v>0.5</v>
      </c>
      <c r="I211" s="60">
        <v>1877.9612</v>
      </c>
      <c r="J211" s="59">
        <v>5.0</v>
      </c>
      <c r="K211" s="61">
        <f t="shared" si="1"/>
        <v>0</v>
      </c>
      <c r="L211" s="62">
        <f t="shared" si="2"/>
        <v>2.5</v>
      </c>
    </row>
    <row r="212">
      <c r="A212" s="58">
        <v>46113.0</v>
      </c>
      <c r="B212" s="24" t="s">
        <v>6794</v>
      </c>
      <c r="C212" s="24" t="s">
        <v>6798</v>
      </c>
      <c r="D212" s="59">
        <v>1.0</v>
      </c>
      <c r="E212" s="59">
        <v>1.0</v>
      </c>
      <c r="F212" s="59">
        <v>0.0</v>
      </c>
      <c r="G212" s="60">
        <v>1.0</v>
      </c>
      <c r="H212" s="60">
        <v>0.0</v>
      </c>
      <c r="I212" s="60">
        <v>124.060492</v>
      </c>
      <c r="J212" s="59">
        <v>1.0</v>
      </c>
      <c r="K212" s="61">
        <f t="shared" si="1"/>
        <v>0</v>
      </c>
      <c r="L212" s="62">
        <f t="shared" si="2"/>
        <v>1</v>
      </c>
    </row>
    <row r="213">
      <c r="A213" s="58">
        <v>46113.0</v>
      </c>
      <c r="B213" s="24" t="s">
        <v>6787</v>
      </c>
      <c r="C213" s="24" t="s">
        <v>6916</v>
      </c>
      <c r="D213" s="59">
        <v>1.0</v>
      </c>
      <c r="E213" s="59">
        <v>1.0</v>
      </c>
      <c r="F213" s="59">
        <v>1.0</v>
      </c>
      <c r="G213" s="60">
        <v>1.0</v>
      </c>
      <c r="H213" s="60">
        <v>1.0</v>
      </c>
      <c r="I213" s="60">
        <v>0.0</v>
      </c>
      <c r="J213" s="59">
        <v>1.0</v>
      </c>
      <c r="K213" s="61">
        <f t="shared" si="1"/>
        <v>1</v>
      </c>
      <c r="L213" s="62">
        <f t="shared" si="2"/>
        <v>1</v>
      </c>
    </row>
    <row r="214">
      <c r="A214" s="58">
        <v>46113.0</v>
      </c>
      <c r="B214" s="24" t="s">
        <v>6787</v>
      </c>
      <c r="C214" s="24" t="s">
        <v>6917</v>
      </c>
      <c r="D214" s="59">
        <v>1.0</v>
      </c>
      <c r="E214" s="59">
        <v>1.0</v>
      </c>
      <c r="F214" s="59">
        <v>1.0</v>
      </c>
      <c r="G214" s="60">
        <v>1.0</v>
      </c>
      <c r="H214" s="60">
        <v>1.0</v>
      </c>
      <c r="I214" s="60">
        <v>0.0</v>
      </c>
      <c r="J214" s="59">
        <v>1.0</v>
      </c>
      <c r="K214" s="61">
        <f t="shared" si="1"/>
        <v>1</v>
      </c>
      <c r="L214" s="62">
        <f t="shared" si="2"/>
        <v>1</v>
      </c>
    </row>
    <row r="215">
      <c r="A215" s="58">
        <v>46113.0</v>
      </c>
      <c r="B215" s="24" t="s">
        <v>6794</v>
      </c>
      <c r="C215" s="24" t="s">
        <v>6815</v>
      </c>
      <c r="D215" s="59">
        <v>1.0</v>
      </c>
      <c r="E215" s="59">
        <v>1.0</v>
      </c>
      <c r="F215" s="59">
        <v>1.0</v>
      </c>
      <c r="G215" s="60">
        <v>1.0</v>
      </c>
      <c r="H215" s="60">
        <v>1.0</v>
      </c>
      <c r="I215" s="60">
        <v>1.434644</v>
      </c>
      <c r="J215" s="59">
        <v>1.0</v>
      </c>
      <c r="K215" s="61">
        <f t="shared" si="1"/>
        <v>1</v>
      </c>
      <c r="L215" s="62">
        <f t="shared" si="2"/>
        <v>1</v>
      </c>
    </row>
    <row r="216">
      <c r="A216" s="58">
        <v>46113.0</v>
      </c>
      <c r="B216" s="24" t="s">
        <v>6790</v>
      </c>
      <c r="C216" s="24" t="s">
        <v>6918</v>
      </c>
      <c r="D216" s="59">
        <v>1.0</v>
      </c>
      <c r="E216" s="59">
        <v>1.0</v>
      </c>
      <c r="F216" s="59">
        <v>0.0</v>
      </c>
      <c r="G216" s="60">
        <v>1.0</v>
      </c>
      <c r="H216" s="60">
        <v>1.0</v>
      </c>
      <c r="I216" s="60">
        <v>0.72507</v>
      </c>
      <c r="J216" s="59">
        <v>2.0</v>
      </c>
      <c r="K216" s="61">
        <f t="shared" si="1"/>
        <v>0</v>
      </c>
      <c r="L216" s="62">
        <f t="shared" si="2"/>
        <v>2</v>
      </c>
    </row>
    <row r="217">
      <c r="A217" s="58">
        <v>46113.0</v>
      </c>
      <c r="B217" s="24" t="s">
        <v>6787</v>
      </c>
      <c r="C217" s="24" t="s">
        <v>6919</v>
      </c>
      <c r="D217" s="59">
        <v>1.0</v>
      </c>
      <c r="E217" s="59">
        <v>1.0</v>
      </c>
      <c r="F217" s="59">
        <v>1.0</v>
      </c>
      <c r="G217" s="60">
        <v>1.0</v>
      </c>
      <c r="H217" s="60">
        <v>1.0</v>
      </c>
      <c r="I217" s="60">
        <v>0.0</v>
      </c>
      <c r="J217" s="59">
        <v>1.0</v>
      </c>
      <c r="K217" s="61">
        <f t="shared" si="1"/>
        <v>1</v>
      </c>
      <c r="L217" s="62">
        <f t="shared" si="2"/>
        <v>1</v>
      </c>
    </row>
    <row r="218">
      <c r="A218" s="58">
        <v>46113.0</v>
      </c>
      <c r="B218" s="24" t="s">
        <v>6789</v>
      </c>
      <c r="C218" s="24" t="s">
        <v>6919</v>
      </c>
      <c r="D218" s="59">
        <v>1.0</v>
      </c>
      <c r="E218" s="59">
        <v>1.0</v>
      </c>
      <c r="F218" s="59">
        <v>0.0</v>
      </c>
      <c r="G218" s="60">
        <v>1.0</v>
      </c>
      <c r="H218" s="60">
        <v>0.0</v>
      </c>
      <c r="I218" s="60">
        <v>344.341165</v>
      </c>
      <c r="J218" s="59">
        <v>2.0</v>
      </c>
      <c r="K218" s="61">
        <f t="shared" si="1"/>
        <v>0</v>
      </c>
      <c r="L218" s="62">
        <f t="shared" si="2"/>
        <v>2</v>
      </c>
    </row>
    <row r="219">
      <c r="A219" s="58">
        <v>46113.0</v>
      </c>
      <c r="B219" s="24" t="s">
        <v>6789</v>
      </c>
      <c r="C219" s="24" t="s">
        <v>6920</v>
      </c>
      <c r="D219" s="59">
        <v>1.0</v>
      </c>
      <c r="E219" s="59">
        <v>1.0</v>
      </c>
      <c r="F219" s="59">
        <v>1.0</v>
      </c>
      <c r="G219" s="60">
        <v>1.0</v>
      </c>
      <c r="H219" s="60">
        <v>1.0</v>
      </c>
      <c r="I219" s="60">
        <v>1.087829</v>
      </c>
      <c r="J219" s="59">
        <v>1.0</v>
      </c>
      <c r="K219" s="61">
        <f t="shared" si="1"/>
        <v>1</v>
      </c>
      <c r="L219" s="62">
        <f t="shared" si="2"/>
        <v>1</v>
      </c>
    </row>
    <row r="220">
      <c r="A220" s="58">
        <v>46113.0</v>
      </c>
      <c r="B220" s="24" t="s">
        <v>6789</v>
      </c>
      <c r="C220" s="24" t="s">
        <v>6921</v>
      </c>
      <c r="D220" s="59">
        <v>1.0</v>
      </c>
      <c r="E220" s="59">
        <v>1.0</v>
      </c>
      <c r="F220" s="59">
        <v>0.0</v>
      </c>
      <c r="G220" s="60">
        <v>1.0</v>
      </c>
      <c r="H220" s="60">
        <v>0.0</v>
      </c>
      <c r="I220" s="60">
        <v>3005.740849</v>
      </c>
      <c r="J220" s="59">
        <v>32.0</v>
      </c>
      <c r="K220" s="61">
        <f t="shared" si="1"/>
        <v>0</v>
      </c>
      <c r="L220" s="62">
        <f t="shared" si="2"/>
        <v>32</v>
      </c>
    </row>
    <row r="221">
      <c r="A221" s="58">
        <v>46113.0</v>
      </c>
      <c r="B221" s="24" t="s">
        <v>6790</v>
      </c>
      <c r="C221" s="24" t="s">
        <v>6853</v>
      </c>
      <c r="D221" s="59">
        <v>1.0</v>
      </c>
      <c r="E221" s="59">
        <v>1.0</v>
      </c>
      <c r="F221" s="59">
        <v>0.0</v>
      </c>
      <c r="G221" s="60">
        <v>1.0</v>
      </c>
      <c r="H221" s="60">
        <v>1.0</v>
      </c>
      <c r="I221" s="60">
        <v>5648.012544</v>
      </c>
      <c r="J221" s="59">
        <v>17.0</v>
      </c>
      <c r="K221" s="61">
        <f t="shared" si="1"/>
        <v>0</v>
      </c>
      <c r="L221" s="62">
        <f t="shared" si="2"/>
        <v>17</v>
      </c>
    </row>
    <row r="222">
      <c r="A222" s="58">
        <v>46113.0</v>
      </c>
      <c r="B222" s="24" t="s">
        <v>6789</v>
      </c>
      <c r="C222" s="24" t="s">
        <v>6816</v>
      </c>
      <c r="D222" s="59">
        <v>1.0</v>
      </c>
      <c r="E222" s="59">
        <v>1.0</v>
      </c>
      <c r="F222" s="59">
        <v>0.0</v>
      </c>
      <c r="G222" s="60">
        <v>1.0</v>
      </c>
      <c r="H222" s="60">
        <v>0.0</v>
      </c>
      <c r="I222" s="60">
        <v>649.407827</v>
      </c>
      <c r="J222" s="59">
        <v>8.0</v>
      </c>
      <c r="K222" s="61">
        <f t="shared" si="1"/>
        <v>0</v>
      </c>
      <c r="L222" s="62">
        <f t="shared" si="2"/>
        <v>8</v>
      </c>
    </row>
    <row r="223">
      <c r="A223" s="58">
        <v>46113.0</v>
      </c>
      <c r="B223" s="24" t="s">
        <v>6789</v>
      </c>
      <c r="C223" s="24" t="s">
        <v>6922</v>
      </c>
      <c r="D223" s="59">
        <v>1.0</v>
      </c>
      <c r="E223" s="59">
        <v>1.0</v>
      </c>
      <c r="F223" s="59">
        <v>1.0</v>
      </c>
      <c r="G223" s="60">
        <v>1.0</v>
      </c>
      <c r="H223" s="60">
        <v>0.0</v>
      </c>
      <c r="I223" s="60">
        <v>38.513151</v>
      </c>
      <c r="J223" s="59">
        <v>2.0</v>
      </c>
      <c r="K223" s="61">
        <f t="shared" si="1"/>
        <v>1</v>
      </c>
      <c r="L223" s="62">
        <f t="shared" si="2"/>
        <v>2</v>
      </c>
    </row>
    <row r="224">
      <c r="A224" s="58">
        <v>46113.0</v>
      </c>
      <c r="B224" s="24" t="s">
        <v>6789</v>
      </c>
      <c r="C224" s="24" t="s">
        <v>6923</v>
      </c>
      <c r="D224" s="59">
        <v>1.0</v>
      </c>
      <c r="E224" s="59">
        <v>1.0</v>
      </c>
      <c r="F224" s="59">
        <v>0.0</v>
      </c>
      <c r="G224" s="60">
        <v>1.0</v>
      </c>
      <c r="H224" s="60">
        <v>0.0</v>
      </c>
      <c r="I224" s="60">
        <v>132.188331</v>
      </c>
      <c r="J224" s="59">
        <v>4.0</v>
      </c>
      <c r="K224" s="61">
        <f t="shared" si="1"/>
        <v>0</v>
      </c>
      <c r="L224" s="62">
        <f t="shared" si="2"/>
        <v>4</v>
      </c>
    </row>
    <row r="225">
      <c r="A225" s="58">
        <v>46113.0</v>
      </c>
      <c r="B225" s="24" t="s">
        <v>6787</v>
      </c>
      <c r="C225" s="24" t="s">
        <v>6810</v>
      </c>
      <c r="D225" s="59">
        <v>1.0</v>
      </c>
      <c r="E225" s="59">
        <v>1.0</v>
      </c>
      <c r="F225" s="59">
        <v>0.0</v>
      </c>
      <c r="G225" s="60">
        <v>0.0</v>
      </c>
      <c r="H225" s="60">
        <v>1.0</v>
      </c>
      <c r="I225" s="60">
        <v>0.0</v>
      </c>
      <c r="J225" s="59">
        <v>1.0</v>
      </c>
      <c r="K225" s="61">
        <f t="shared" si="1"/>
        <v>0</v>
      </c>
      <c r="L225" s="62">
        <f t="shared" si="2"/>
        <v>1</v>
      </c>
    </row>
    <row r="226">
      <c r="A226" s="58">
        <v>46113.0</v>
      </c>
      <c r="B226" s="24" t="s">
        <v>6789</v>
      </c>
      <c r="C226" s="24" t="s">
        <v>6810</v>
      </c>
      <c r="D226" s="59">
        <v>1.0</v>
      </c>
      <c r="E226" s="59">
        <v>1.0</v>
      </c>
      <c r="F226" s="59">
        <v>0.0</v>
      </c>
      <c r="G226" s="60">
        <v>0.0</v>
      </c>
      <c r="H226" s="60">
        <v>1.0</v>
      </c>
      <c r="I226" s="60">
        <v>0.0</v>
      </c>
      <c r="J226" s="59">
        <v>1.0</v>
      </c>
      <c r="K226" s="61">
        <f t="shared" si="1"/>
        <v>0</v>
      </c>
      <c r="L226" s="62">
        <f t="shared" si="2"/>
        <v>1</v>
      </c>
    </row>
    <row r="227">
      <c r="A227" s="58">
        <v>46113.0</v>
      </c>
      <c r="B227" s="24" t="s">
        <v>6787</v>
      </c>
      <c r="C227" s="24" t="s">
        <v>6924</v>
      </c>
      <c r="D227" s="59">
        <v>1.0</v>
      </c>
      <c r="E227" s="59">
        <v>1.0</v>
      </c>
      <c r="F227" s="59">
        <v>1.0</v>
      </c>
      <c r="G227" s="60">
        <v>1.0</v>
      </c>
      <c r="H227" s="60">
        <v>1.0</v>
      </c>
      <c r="I227" s="60">
        <v>7.422079</v>
      </c>
      <c r="J227" s="59">
        <v>1.0</v>
      </c>
      <c r="K227" s="61">
        <f t="shared" si="1"/>
        <v>1</v>
      </c>
      <c r="L227" s="62">
        <f t="shared" si="2"/>
        <v>1</v>
      </c>
    </row>
    <row r="228">
      <c r="A228" s="58">
        <v>46113.0</v>
      </c>
      <c r="B228" s="24" t="s">
        <v>6789</v>
      </c>
      <c r="C228" s="24" t="s">
        <v>6924</v>
      </c>
      <c r="D228" s="59">
        <v>1.0</v>
      </c>
      <c r="E228" s="59">
        <v>1.0</v>
      </c>
      <c r="F228" s="59">
        <v>0.0</v>
      </c>
      <c r="G228" s="60">
        <v>1.0</v>
      </c>
      <c r="H228" s="60">
        <v>0.0</v>
      </c>
      <c r="I228" s="60">
        <v>3847.630135</v>
      </c>
      <c r="J228" s="59">
        <v>15.0</v>
      </c>
      <c r="K228" s="61">
        <f t="shared" si="1"/>
        <v>0</v>
      </c>
      <c r="L228" s="62">
        <f t="shared" si="2"/>
        <v>15</v>
      </c>
    </row>
    <row r="229">
      <c r="A229" s="58">
        <v>46082.0</v>
      </c>
      <c r="B229" s="24" t="s">
        <v>6787</v>
      </c>
      <c r="C229" s="24" t="s">
        <v>6788</v>
      </c>
      <c r="D229" s="59">
        <v>5317.0</v>
      </c>
      <c r="E229" s="59">
        <v>5505.0</v>
      </c>
      <c r="F229" s="59">
        <v>5259.0</v>
      </c>
      <c r="G229" s="60">
        <v>1.03691844038425</v>
      </c>
      <c r="H229" s="60">
        <v>0.564032697547683</v>
      </c>
      <c r="I229" s="60">
        <v>25.2556742530426</v>
      </c>
      <c r="J229" s="59">
        <v>7093.0</v>
      </c>
      <c r="K229" s="61">
        <f t="shared" si="1"/>
        <v>0.9553133515</v>
      </c>
      <c r="L229" s="62">
        <f t="shared" si="2"/>
        <v>1.288465032</v>
      </c>
    </row>
    <row r="230">
      <c r="A230" s="58">
        <v>46082.0</v>
      </c>
      <c r="B230" s="24" t="s">
        <v>6789</v>
      </c>
      <c r="C230" s="24" t="s">
        <v>6788</v>
      </c>
      <c r="D230" s="59">
        <v>662.0</v>
      </c>
      <c r="E230" s="59">
        <v>962.0</v>
      </c>
      <c r="F230" s="59">
        <v>510.0</v>
      </c>
      <c r="G230" s="60">
        <v>1.503125</v>
      </c>
      <c r="H230" s="60">
        <v>0.601871101871101</v>
      </c>
      <c r="I230" s="60">
        <v>135.823490685031</v>
      </c>
      <c r="J230" s="59">
        <v>1409.0</v>
      </c>
      <c r="K230" s="61">
        <f t="shared" si="1"/>
        <v>0.5301455301</v>
      </c>
      <c r="L230" s="62">
        <f t="shared" si="2"/>
        <v>1.464656965</v>
      </c>
    </row>
    <row r="231">
      <c r="A231" s="58">
        <v>46082.0</v>
      </c>
      <c r="B231" s="24" t="s">
        <v>6791</v>
      </c>
      <c r="C231" s="24" t="s">
        <v>6788</v>
      </c>
      <c r="D231" s="59">
        <v>236.0</v>
      </c>
      <c r="E231" s="59">
        <v>289.0</v>
      </c>
      <c r="F231" s="59">
        <v>192.0</v>
      </c>
      <c r="G231" s="60">
        <v>1.24568965517241</v>
      </c>
      <c r="H231" s="60">
        <v>0.619377162629757</v>
      </c>
      <c r="I231" s="60">
        <v>143.42102250173</v>
      </c>
      <c r="J231" s="59">
        <v>404.0</v>
      </c>
      <c r="K231" s="61">
        <f t="shared" si="1"/>
        <v>0.6643598616</v>
      </c>
      <c r="L231" s="62">
        <f t="shared" si="2"/>
        <v>1.397923875</v>
      </c>
    </row>
    <row r="232">
      <c r="A232" s="58">
        <v>46082.0</v>
      </c>
      <c r="B232" s="24" t="s">
        <v>6794</v>
      </c>
      <c r="C232" s="24" t="s">
        <v>6788</v>
      </c>
      <c r="D232" s="59">
        <v>202.0</v>
      </c>
      <c r="E232" s="59">
        <v>258.0</v>
      </c>
      <c r="F232" s="59">
        <v>175.0</v>
      </c>
      <c r="G232" s="60">
        <v>1.29</v>
      </c>
      <c r="H232" s="60">
        <v>0.422480620155038</v>
      </c>
      <c r="I232" s="60">
        <v>162.963418430232</v>
      </c>
      <c r="J232" s="59">
        <v>458.0</v>
      </c>
      <c r="K232" s="61">
        <f t="shared" si="1"/>
        <v>0.6782945736</v>
      </c>
      <c r="L232" s="62">
        <f t="shared" si="2"/>
        <v>1.775193798</v>
      </c>
    </row>
    <row r="233">
      <c r="A233" s="58">
        <v>46082.0</v>
      </c>
      <c r="B233" s="24" t="s">
        <v>3216</v>
      </c>
      <c r="C233" s="24" t="s">
        <v>6788</v>
      </c>
      <c r="D233" s="59">
        <v>200.0</v>
      </c>
      <c r="E233" s="59">
        <v>200.0</v>
      </c>
      <c r="F233" s="59">
        <v>200.0</v>
      </c>
      <c r="G233" s="60">
        <v>1.0</v>
      </c>
      <c r="H233" s="60">
        <v>0.715</v>
      </c>
      <c r="I233" s="60">
        <v>5.37345654</v>
      </c>
      <c r="J233" s="59">
        <v>213.0</v>
      </c>
      <c r="K233" s="61">
        <f t="shared" si="1"/>
        <v>1</v>
      </c>
      <c r="L233" s="62">
        <f t="shared" si="2"/>
        <v>1.065</v>
      </c>
    </row>
    <row r="234">
      <c r="A234" s="58">
        <v>46082.0</v>
      </c>
      <c r="B234" s="24" t="s">
        <v>6789</v>
      </c>
      <c r="C234" s="24" t="s">
        <v>6792</v>
      </c>
      <c r="D234" s="59">
        <v>172.0</v>
      </c>
      <c r="E234" s="59">
        <v>204.0</v>
      </c>
      <c r="F234" s="59">
        <v>0.0</v>
      </c>
      <c r="G234" s="60">
        <v>1.94285714285714</v>
      </c>
      <c r="H234" s="60">
        <v>0.965686274509803</v>
      </c>
      <c r="I234" s="60">
        <v>21.7179216470588</v>
      </c>
      <c r="J234" s="59">
        <v>0.0</v>
      </c>
      <c r="K234" s="61">
        <f t="shared" si="1"/>
        <v>0</v>
      </c>
      <c r="L234" s="62">
        <f t="shared" si="2"/>
        <v>0</v>
      </c>
    </row>
    <row r="235">
      <c r="A235" s="58">
        <v>46082.0</v>
      </c>
      <c r="B235" s="24" t="s">
        <v>155</v>
      </c>
      <c r="C235" s="24" t="s">
        <v>6788</v>
      </c>
      <c r="D235" s="59">
        <v>143.0</v>
      </c>
      <c r="E235" s="59">
        <v>456.0</v>
      </c>
      <c r="F235" s="59">
        <v>76.0</v>
      </c>
      <c r="G235" s="60">
        <v>3.18881118881118</v>
      </c>
      <c r="H235" s="60">
        <v>0.570175438596491</v>
      </c>
      <c r="I235" s="60">
        <v>264.192469859649</v>
      </c>
      <c r="J235" s="59">
        <v>943.0</v>
      </c>
      <c r="K235" s="61">
        <f t="shared" si="1"/>
        <v>0.1666666667</v>
      </c>
      <c r="L235" s="62">
        <f t="shared" si="2"/>
        <v>2.067982456</v>
      </c>
    </row>
    <row r="236">
      <c r="A236" s="58">
        <v>46082.0</v>
      </c>
      <c r="B236" s="24" t="s">
        <v>6789</v>
      </c>
      <c r="C236" s="24" t="s">
        <v>6793</v>
      </c>
      <c r="D236" s="59">
        <v>133.0</v>
      </c>
      <c r="E236" s="59">
        <v>160.0</v>
      </c>
      <c r="F236" s="59">
        <v>124.0</v>
      </c>
      <c r="G236" s="60">
        <v>1.24031007751937</v>
      </c>
      <c r="H236" s="60">
        <v>0.425</v>
      </c>
      <c r="I236" s="60">
        <v>233.67241644375</v>
      </c>
      <c r="J236" s="59">
        <v>213.0</v>
      </c>
      <c r="K236" s="61">
        <f t="shared" si="1"/>
        <v>0.775</v>
      </c>
      <c r="L236" s="62">
        <f t="shared" si="2"/>
        <v>1.33125</v>
      </c>
    </row>
    <row r="237">
      <c r="A237" s="58">
        <v>46082.0</v>
      </c>
      <c r="B237" s="24" t="s">
        <v>6787</v>
      </c>
      <c r="C237" s="24" t="s">
        <v>6793</v>
      </c>
      <c r="D237" s="59">
        <v>103.0</v>
      </c>
      <c r="E237" s="59">
        <v>107.0</v>
      </c>
      <c r="F237" s="59">
        <v>101.0</v>
      </c>
      <c r="G237" s="60">
        <v>1.03883495145631</v>
      </c>
      <c r="H237" s="60">
        <v>0.644859813084112</v>
      </c>
      <c r="I237" s="60">
        <v>39.2830924299065</v>
      </c>
      <c r="J237" s="59">
        <v>117.0</v>
      </c>
      <c r="K237" s="61">
        <f t="shared" si="1"/>
        <v>0.9439252336</v>
      </c>
      <c r="L237" s="62">
        <f t="shared" si="2"/>
        <v>1.093457944</v>
      </c>
    </row>
    <row r="238">
      <c r="A238" s="58">
        <v>46082.0</v>
      </c>
      <c r="B238" s="24" t="s">
        <v>6787</v>
      </c>
      <c r="C238" s="24" t="s">
        <v>6889</v>
      </c>
      <c r="D238" s="59">
        <v>96.0</v>
      </c>
      <c r="E238" s="59">
        <v>98.0</v>
      </c>
      <c r="F238" s="59">
        <v>90.0</v>
      </c>
      <c r="G238" s="60">
        <v>1.05376344086021</v>
      </c>
      <c r="H238" s="60">
        <v>0.928571428571428</v>
      </c>
      <c r="I238" s="60">
        <v>7.11331759183673</v>
      </c>
      <c r="J238" s="59">
        <v>105.0</v>
      </c>
      <c r="K238" s="61">
        <f t="shared" si="1"/>
        <v>0.9183673469</v>
      </c>
      <c r="L238" s="62">
        <f t="shared" si="2"/>
        <v>1.071428571</v>
      </c>
    </row>
    <row r="239">
      <c r="A239" s="58">
        <v>46082.0</v>
      </c>
      <c r="B239" s="24" t="s">
        <v>6787</v>
      </c>
      <c r="C239" s="24" t="s">
        <v>6792</v>
      </c>
      <c r="D239" s="59">
        <v>58.0</v>
      </c>
      <c r="E239" s="59">
        <v>67.0</v>
      </c>
      <c r="F239" s="59">
        <v>0.0</v>
      </c>
      <c r="G239" s="60">
        <v>1.76315789473684</v>
      </c>
      <c r="H239" s="60">
        <v>0.955223880597014</v>
      </c>
      <c r="I239" s="60">
        <v>26.0859013731343</v>
      </c>
      <c r="J239" s="59">
        <v>0.0</v>
      </c>
      <c r="K239" s="61">
        <f t="shared" si="1"/>
        <v>0</v>
      </c>
      <c r="L239" s="62">
        <f t="shared" si="2"/>
        <v>0</v>
      </c>
    </row>
    <row r="240">
      <c r="A240" s="58">
        <v>46082.0</v>
      </c>
      <c r="B240" s="24" t="s">
        <v>6790</v>
      </c>
      <c r="C240" s="24" t="s">
        <v>6788</v>
      </c>
      <c r="D240" s="59">
        <v>58.0</v>
      </c>
      <c r="E240" s="59">
        <v>64.0</v>
      </c>
      <c r="F240" s="59">
        <v>50.0</v>
      </c>
      <c r="G240" s="60">
        <v>1.10344827586206</v>
      </c>
      <c r="H240" s="60">
        <v>0.546875</v>
      </c>
      <c r="I240" s="60">
        <v>82.1315532812499</v>
      </c>
      <c r="J240" s="59">
        <v>75.0</v>
      </c>
      <c r="K240" s="61">
        <f t="shared" si="1"/>
        <v>0.78125</v>
      </c>
      <c r="L240" s="62">
        <f t="shared" si="2"/>
        <v>1.171875</v>
      </c>
    </row>
    <row r="241">
      <c r="A241" s="58">
        <v>46082.0</v>
      </c>
      <c r="B241" s="24" t="s">
        <v>6787</v>
      </c>
      <c r="C241" s="24" t="s">
        <v>6817</v>
      </c>
      <c r="D241" s="59">
        <v>58.0</v>
      </c>
      <c r="E241" s="59">
        <v>58.0</v>
      </c>
      <c r="F241" s="59">
        <v>58.0</v>
      </c>
      <c r="G241" s="60">
        <v>1.0</v>
      </c>
      <c r="H241" s="60">
        <v>0.96551724137931</v>
      </c>
      <c r="I241" s="60">
        <v>4.46429003448275</v>
      </c>
      <c r="J241" s="59">
        <v>60.0</v>
      </c>
      <c r="K241" s="61">
        <f t="shared" si="1"/>
        <v>1</v>
      </c>
      <c r="L241" s="62">
        <f t="shared" si="2"/>
        <v>1.034482759</v>
      </c>
    </row>
    <row r="242">
      <c r="A242" s="58">
        <v>46082.0</v>
      </c>
      <c r="B242" s="24" t="s">
        <v>3216</v>
      </c>
      <c r="C242" s="24" t="s">
        <v>6793</v>
      </c>
      <c r="D242" s="59">
        <v>54.0</v>
      </c>
      <c r="E242" s="59">
        <v>60.0</v>
      </c>
      <c r="F242" s="59">
        <v>53.0</v>
      </c>
      <c r="G242" s="60">
        <v>1.13207547169811</v>
      </c>
      <c r="H242" s="60">
        <v>0.8</v>
      </c>
      <c r="I242" s="60">
        <v>73.438379</v>
      </c>
      <c r="J242" s="59">
        <v>61.0</v>
      </c>
      <c r="K242" s="61">
        <f t="shared" si="1"/>
        <v>0.8833333333</v>
      </c>
      <c r="L242" s="62">
        <f t="shared" si="2"/>
        <v>1.016666667</v>
      </c>
    </row>
    <row r="243">
      <c r="A243" s="58">
        <v>46082.0</v>
      </c>
      <c r="B243" s="24" t="s">
        <v>6787</v>
      </c>
      <c r="C243" s="24" t="s">
        <v>6925</v>
      </c>
      <c r="D243" s="59">
        <v>41.0</v>
      </c>
      <c r="E243" s="59">
        <v>41.0</v>
      </c>
      <c r="F243" s="59">
        <v>41.0</v>
      </c>
      <c r="G243" s="60">
        <v>1.0</v>
      </c>
      <c r="H243" s="60">
        <v>0.878048780487804</v>
      </c>
      <c r="I243" s="60">
        <v>4.97443443902439</v>
      </c>
      <c r="J243" s="59">
        <v>41.0</v>
      </c>
      <c r="K243" s="61">
        <f t="shared" si="1"/>
        <v>1</v>
      </c>
      <c r="L243" s="62">
        <f t="shared" si="2"/>
        <v>1</v>
      </c>
    </row>
    <row r="244">
      <c r="A244" s="58">
        <v>46082.0</v>
      </c>
      <c r="B244" s="24" t="s">
        <v>6789</v>
      </c>
      <c r="C244" s="24" t="s">
        <v>6808</v>
      </c>
      <c r="D244" s="59">
        <v>31.0</v>
      </c>
      <c r="E244" s="59">
        <v>34.0</v>
      </c>
      <c r="F244" s="59">
        <v>18.0</v>
      </c>
      <c r="G244" s="60">
        <v>1.13333333333333</v>
      </c>
      <c r="H244" s="60">
        <v>0.411764705882352</v>
      </c>
      <c r="I244" s="60">
        <v>179.286094882352</v>
      </c>
      <c r="J244" s="59">
        <v>48.0</v>
      </c>
      <c r="K244" s="61">
        <f t="shared" si="1"/>
        <v>0.5294117647</v>
      </c>
      <c r="L244" s="62">
        <f t="shared" si="2"/>
        <v>1.411764706</v>
      </c>
    </row>
    <row r="245">
      <c r="A245" s="58">
        <v>46082.0</v>
      </c>
      <c r="B245" s="24" t="s">
        <v>6791</v>
      </c>
      <c r="C245" s="24" t="s">
        <v>6792</v>
      </c>
      <c r="D245" s="59">
        <v>30.0</v>
      </c>
      <c r="E245" s="59">
        <v>33.0</v>
      </c>
      <c r="F245" s="59">
        <v>3.0</v>
      </c>
      <c r="G245" s="60">
        <v>2.0625</v>
      </c>
      <c r="H245" s="60">
        <v>1.0</v>
      </c>
      <c r="I245" s="60">
        <v>0.00985712121212121</v>
      </c>
      <c r="J245" s="59">
        <v>3.0</v>
      </c>
      <c r="K245" s="61">
        <f t="shared" si="1"/>
        <v>0.09090909091</v>
      </c>
      <c r="L245" s="62">
        <f t="shared" si="2"/>
        <v>0.09090909091</v>
      </c>
    </row>
    <row r="246">
      <c r="A246" s="58">
        <v>46082.0</v>
      </c>
      <c r="B246" s="24" t="s">
        <v>6794</v>
      </c>
      <c r="C246" s="24" t="s">
        <v>6792</v>
      </c>
      <c r="D246" s="59">
        <v>27.0</v>
      </c>
      <c r="E246" s="59">
        <v>34.0</v>
      </c>
      <c r="F246" s="59">
        <v>0.0</v>
      </c>
      <c r="G246" s="60">
        <v>2.125</v>
      </c>
      <c r="H246" s="60">
        <v>1.0</v>
      </c>
      <c r="I246" s="60">
        <v>0.00843205882352941</v>
      </c>
      <c r="J246" s="59">
        <v>0.0</v>
      </c>
      <c r="K246" s="61">
        <f t="shared" si="1"/>
        <v>0</v>
      </c>
      <c r="L246" s="62">
        <f t="shared" si="2"/>
        <v>0</v>
      </c>
    </row>
    <row r="247">
      <c r="A247" s="58">
        <v>46082.0</v>
      </c>
      <c r="B247" s="24" t="s">
        <v>6787</v>
      </c>
      <c r="C247" s="24" t="s">
        <v>6828</v>
      </c>
      <c r="D247" s="59">
        <v>27.0</v>
      </c>
      <c r="E247" s="59">
        <v>27.0</v>
      </c>
      <c r="F247" s="59">
        <v>27.0</v>
      </c>
      <c r="G247" s="60">
        <v>1.0</v>
      </c>
      <c r="H247" s="60">
        <v>0.74074074074074</v>
      </c>
      <c r="I247" s="60">
        <v>6.98552018518518</v>
      </c>
      <c r="J247" s="59">
        <v>27.0</v>
      </c>
      <c r="K247" s="61">
        <f t="shared" si="1"/>
        <v>1</v>
      </c>
      <c r="L247" s="62">
        <f t="shared" si="2"/>
        <v>1</v>
      </c>
    </row>
    <row r="248">
      <c r="A248" s="58">
        <v>46082.0</v>
      </c>
      <c r="B248" s="24" t="s">
        <v>155</v>
      </c>
      <c r="C248" s="24" t="s">
        <v>6792</v>
      </c>
      <c r="D248" s="59">
        <v>24.0</v>
      </c>
      <c r="E248" s="59">
        <v>40.0</v>
      </c>
      <c r="F248" s="59">
        <v>0.0</v>
      </c>
      <c r="G248" s="60">
        <v>2.66666666666666</v>
      </c>
      <c r="H248" s="60">
        <v>0.95</v>
      </c>
      <c r="I248" s="60">
        <v>2.762816325</v>
      </c>
      <c r="J248" s="59">
        <v>0.0</v>
      </c>
      <c r="K248" s="61">
        <f t="shared" si="1"/>
        <v>0</v>
      </c>
      <c r="L248" s="62">
        <f t="shared" si="2"/>
        <v>0</v>
      </c>
    </row>
    <row r="249">
      <c r="A249" s="58">
        <v>46082.0</v>
      </c>
      <c r="B249" s="24" t="s">
        <v>3216</v>
      </c>
      <c r="C249" s="24" t="s">
        <v>6894</v>
      </c>
      <c r="D249" s="59">
        <v>24.0</v>
      </c>
      <c r="E249" s="59">
        <v>24.0</v>
      </c>
      <c r="F249" s="59">
        <v>24.0</v>
      </c>
      <c r="G249" s="60">
        <v>1.0</v>
      </c>
      <c r="H249" s="60">
        <v>0.916666666666666</v>
      </c>
      <c r="I249" s="60">
        <v>3.31377370833333</v>
      </c>
      <c r="J249" s="59">
        <v>28.0</v>
      </c>
      <c r="K249" s="61">
        <f t="shared" si="1"/>
        <v>1</v>
      </c>
      <c r="L249" s="62">
        <f t="shared" si="2"/>
        <v>1.166666667</v>
      </c>
    </row>
    <row r="250">
      <c r="A250" s="58">
        <v>46082.0</v>
      </c>
      <c r="B250" s="24" t="s">
        <v>6794</v>
      </c>
      <c r="C250" s="24" t="s">
        <v>6793</v>
      </c>
      <c r="D250" s="59">
        <v>23.0</v>
      </c>
      <c r="E250" s="59">
        <v>24.0</v>
      </c>
      <c r="F250" s="59">
        <v>21.0</v>
      </c>
      <c r="G250" s="60">
        <v>1.09090909090909</v>
      </c>
      <c r="H250" s="60">
        <v>0.833333333333333</v>
      </c>
      <c r="I250" s="60">
        <v>14.9696007083333</v>
      </c>
      <c r="J250" s="59">
        <v>27.0</v>
      </c>
      <c r="K250" s="61">
        <f t="shared" si="1"/>
        <v>0.875</v>
      </c>
      <c r="L250" s="62">
        <f t="shared" si="2"/>
        <v>1.125</v>
      </c>
    </row>
    <row r="251">
      <c r="A251" s="58">
        <v>46082.0</v>
      </c>
      <c r="B251" s="24" t="s">
        <v>6794</v>
      </c>
      <c r="C251" s="24" t="s">
        <v>6889</v>
      </c>
      <c r="D251" s="59">
        <v>23.0</v>
      </c>
      <c r="E251" s="59">
        <v>32.0</v>
      </c>
      <c r="F251" s="59">
        <v>16.0</v>
      </c>
      <c r="G251" s="60">
        <v>1.52380952380952</v>
      </c>
      <c r="H251" s="60">
        <v>0.6875</v>
      </c>
      <c r="I251" s="60">
        <v>69.1182301875</v>
      </c>
      <c r="J251" s="59">
        <v>37.0</v>
      </c>
      <c r="K251" s="61">
        <f t="shared" si="1"/>
        <v>0.5</v>
      </c>
      <c r="L251" s="62">
        <f t="shared" si="2"/>
        <v>1.15625</v>
      </c>
    </row>
    <row r="252">
      <c r="A252" s="58">
        <v>46082.0</v>
      </c>
      <c r="B252" s="24" t="s">
        <v>6787</v>
      </c>
      <c r="C252" s="24" t="s">
        <v>6903</v>
      </c>
      <c r="D252" s="59">
        <v>22.0</v>
      </c>
      <c r="E252" s="59">
        <v>22.0</v>
      </c>
      <c r="F252" s="59">
        <v>22.0</v>
      </c>
      <c r="G252" s="60">
        <v>1.0</v>
      </c>
      <c r="H252" s="60">
        <v>1.0</v>
      </c>
      <c r="I252" s="60">
        <v>0.309187363636363</v>
      </c>
      <c r="J252" s="59">
        <v>22.0</v>
      </c>
      <c r="K252" s="61">
        <f t="shared" si="1"/>
        <v>1</v>
      </c>
      <c r="L252" s="62">
        <f t="shared" si="2"/>
        <v>1</v>
      </c>
    </row>
    <row r="253">
      <c r="A253" s="58">
        <v>46082.0</v>
      </c>
      <c r="B253" s="24" t="s">
        <v>6787</v>
      </c>
      <c r="C253" s="24" t="s">
        <v>6797</v>
      </c>
      <c r="D253" s="59">
        <v>22.0</v>
      </c>
      <c r="E253" s="59">
        <v>22.0</v>
      </c>
      <c r="F253" s="59">
        <v>22.0</v>
      </c>
      <c r="G253" s="60">
        <v>1.0</v>
      </c>
      <c r="H253" s="60">
        <v>0.954545454545454</v>
      </c>
      <c r="I253" s="60">
        <v>3.24274904545454</v>
      </c>
      <c r="J253" s="59">
        <v>22.0</v>
      </c>
      <c r="K253" s="61">
        <f t="shared" si="1"/>
        <v>1</v>
      </c>
      <c r="L253" s="62">
        <f t="shared" si="2"/>
        <v>1</v>
      </c>
    </row>
    <row r="254">
      <c r="A254" s="58">
        <v>46082.0</v>
      </c>
      <c r="B254" s="24" t="s">
        <v>3216</v>
      </c>
      <c r="C254" s="24" t="s">
        <v>6926</v>
      </c>
      <c r="D254" s="59">
        <v>21.0</v>
      </c>
      <c r="E254" s="59">
        <v>21.0</v>
      </c>
      <c r="F254" s="59">
        <v>21.0</v>
      </c>
      <c r="G254" s="60">
        <v>1.0</v>
      </c>
      <c r="H254" s="60">
        <v>0.952380952380952</v>
      </c>
      <c r="I254" s="60">
        <v>0.351199571428571</v>
      </c>
      <c r="J254" s="59">
        <v>22.0</v>
      </c>
      <c r="K254" s="61">
        <f t="shared" si="1"/>
        <v>1</v>
      </c>
      <c r="L254" s="62">
        <f t="shared" si="2"/>
        <v>1.047619048</v>
      </c>
    </row>
    <row r="255">
      <c r="A255" s="58">
        <v>46082.0</v>
      </c>
      <c r="B255" s="24" t="s">
        <v>6787</v>
      </c>
      <c r="C255" s="24" t="s">
        <v>6795</v>
      </c>
      <c r="D255" s="59">
        <v>21.0</v>
      </c>
      <c r="E255" s="59">
        <v>22.0</v>
      </c>
      <c r="F255" s="59">
        <v>16.0</v>
      </c>
      <c r="G255" s="60">
        <v>1.1</v>
      </c>
      <c r="H255" s="60">
        <v>0.545454545454545</v>
      </c>
      <c r="I255" s="60">
        <v>87.863030090909</v>
      </c>
      <c r="J255" s="59">
        <v>29.0</v>
      </c>
      <c r="K255" s="61">
        <f t="shared" si="1"/>
        <v>0.7272727273</v>
      </c>
      <c r="L255" s="62">
        <f t="shared" si="2"/>
        <v>1.318181818</v>
      </c>
    </row>
    <row r="256">
      <c r="A256" s="58">
        <v>46082.0</v>
      </c>
      <c r="B256" s="24" t="s">
        <v>6787</v>
      </c>
      <c r="C256" s="24" t="s">
        <v>6796</v>
      </c>
      <c r="D256" s="59">
        <v>20.0</v>
      </c>
      <c r="E256" s="59">
        <v>20.0</v>
      </c>
      <c r="F256" s="59">
        <v>20.0</v>
      </c>
      <c r="G256" s="60">
        <v>1.0</v>
      </c>
      <c r="H256" s="60">
        <v>0.55</v>
      </c>
      <c r="I256" s="60">
        <v>11.67027035</v>
      </c>
      <c r="J256" s="59">
        <v>20.0</v>
      </c>
      <c r="K256" s="61">
        <f t="shared" si="1"/>
        <v>1</v>
      </c>
      <c r="L256" s="62">
        <f t="shared" si="2"/>
        <v>1</v>
      </c>
    </row>
    <row r="257">
      <c r="A257" s="58">
        <v>46082.0</v>
      </c>
      <c r="B257" s="24" t="s">
        <v>6789</v>
      </c>
      <c r="C257" s="24" t="s">
        <v>6795</v>
      </c>
      <c r="D257" s="59">
        <v>19.0</v>
      </c>
      <c r="E257" s="59">
        <v>27.0</v>
      </c>
      <c r="F257" s="59">
        <v>5.0</v>
      </c>
      <c r="G257" s="60">
        <v>1.58823529411764</v>
      </c>
      <c r="H257" s="60">
        <v>0.37037037037037</v>
      </c>
      <c r="I257" s="60">
        <v>370.314515555555</v>
      </c>
      <c r="J257" s="59">
        <v>74.0</v>
      </c>
      <c r="K257" s="61">
        <f t="shared" si="1"/>
        <v>0.1851851852</v>
      </c>
      <c r="L257" s="62">
        <f t="shared" si="2"/>
        <v>2.740740741</v>
      </c>
    </row>
    <row r="258">
      <c r="A258" s="58">
        <v>46082.0</v>
      </c>
      <c r="B258" s="24" t="s">
        <v>6787</v>
      </c>
      <c r="C258" s="24" t="s">
        <v>6802</v>
      </c>
      <c r="D258" s="59">
        <v>19.0</v>
      </c>
      <c r="E258" s="59">
        <v>21.0</v>
      </c>
      <c r="F258" s="59">
        <v>15.0</v>
      </c>
      <c r="G258" s="60">
        <v>1.23529411764705</v>
      </c>
      <c r="H258" s="60">
        <v>0.428571428571428</v>
      </c>
      <c r="I258" s="60">
        <v>163.153192619047</v>
      </c>
      <c r="J258" s="59">
        <v>32.0</v>
      </c>
      <c r="K258" s="61">
        <f t="shared" si="1"/>
        <v>0.7142857143</v>
      </c>
      <c r="L258" s="62">
        <f t="shared" si="2"/>
        <v>1.523809524</v>
      </c>
    </row>
    <row r="259">
      <c r="A259" s="58">
        <v>46082.0</v>
      </c>
      <c r="B259" s="24" t="s">
        <v>6789</v>
      </c>
      <c r="C259" s="24" t="s">
        <v>6815</v>
      </c>
      <c r="D259" s="59">
        <v>17.0</v>
      </c>
      <c r="E259" s="59">
        <v>20.0</v>
      </c>
      <c r="F259" s="59">
        <v>12.0</v>
      </c>
      <c r="G259" s="60">
        <v>1.17647058823529</v>
      </c>
      <c r="H259" s="60">
        <v>0.35</v>
      </c>
      <c r="I259" s="60">
        <v>178.43293305</v>
      </c>
      <c r="J259" s="59">
        <v>36.0</v>
      </c>
      <c r="K259" s="61">
        <f t="shared" si="1"/>
        <v>0.6</v>
      </c>
      <c r="L259" s="62">
        <f t="shared" si="2"/>
        <v>1.8</v>
      </c>
    </row>
    <row r="260">
      <c r="A260" s="58">
        <v>46082.0</v>
      </c>
      <c r="B260" s="24" t="s">
        <v>6787</v>
      </c>
      <c r="C260" s="24" t="s">
        <v>6820</v>
      </c>
      <c r="D260" s="59">
        <v>15.0</v>
      </c>
      <c r="E260" s="59">
        <v>15.0</v>
      </c>
      <c r="F260" s="59">
        <v>15.0</v>
      </c>
      <c r="G260" s="60">
        <v>1.0</v>
      </c>
      <c r="H260" s="60">
        <v>0.933333333333333</v>
      </c>
      <c r="I260" s="60">
        <v>0.5013732</v>
      </c>
      <c r="J260" s="59">
        <v>17.0</v>
      </c>
      <c r="K260" s="61">
        <f t="shared" si="1"/>
        <v>1</v>
      </c>
      <c r="L260" s="62">
        <f t="shared" si="2"/>
        <v>1.133333333</v>
      </c>
    </row>
    <row r="261">
      <c r="A261" s="58">
        <v>46082.0</v>
      </c>
      <c r="B261" s="24" t="s">
        <v>6787</v>
      </c>
      <c r="C261" s="24" t="s">
        <v>6816</v>
      </c>
      <c r="D261" s="59">
        <v>15.0</v>
      </c>
      <c r="E261" s="59">
        <v>15.0</v>
      </c>
      <c r="F261" s="59">
        <v>15.0</v>
      </c>
      <c r="G261" s="60">
        <v>1.0</v>
      </c>
      <c r="H261" s="60">
        <v>0.933333333333333</v>
      </c>
      <c r="I261" s="60">
        <v>1.58883253333333</v>
      </c>
      <c r="J261" s="59">
        <v>15.0</v>
      </c>
      <c r="K261" s="61">
        <f t="shared" si="1"/>
        <v>1</v>
      </c>
      <c r="L261" s="62">
        <f t="shared" si="2"/>
        <v>1</v>
      </c>
    </row>
    <row r="262">
      <c r="A262" s="58">
        <v>46082.0</v>
      </c>
      <c r="B262" s="24" t="s">
        <v>155</v>
      </c>
      <c r="C262" s="24" t="s">
        <v>6800</v>
      </c>
      <c r="D262" s="59">
        <v>14.0</v>
      </c>
      <c r="E262" s="59">
        <v>14.0</v>
      </c>
      <c r="F262" s="59">
        <v>14.0</v>
      </c>
      <c r="G262" s="60">
        <v>1.0</v>
      </c>
      <c r="H262" s="60">
        <v>0.0</v>
      </c>
      <c r="I262" s="60">
        <v>71.9231672857142</v>
      </c>
      <c r="J262" s="59">
        <v>27.0</v>
      </c>
      <c r="K262" s="61">
        <f t="shared" si="1"/>
        <v>1</v>
      </c>
      <c r="L262" s="62">
        <f t="shared" si="2"/>
        <v>1.928571429</v>
      </c>
    </row>
    <row r="263">
      <c r="A263" s="58">
        <v>46082.0</v>
      </c>
      <c r="B263" s="24" t="s">
        <v>6787</v>
      </c>
      <c r="C263" s="24" t="s">
        <v>6801</v>
      </c>
      <c r="D263" s="59">
        <v>14.0</v>
      </c>
      <c r="E263" s="59">
        <v>14.0</v>
      </c>
      <c r="F263" s="59">
        <v>13.0</v>
      </c>
      <c r="G263" s="60">
        <v>1.0</v>
      </c>
      <c r="H263" s="60">
        <v>0.857142857142857</v>
      </c>
      <c r="I263" s="60">
        <v>41.9544049285714</v>
      </c>
      <c r="J263" s="59">
        <v>15.0</v>
      </c>
      <c r="K263" s="61">
        <f t="shared" si="1"/>
        <v>0.9285714286</v>
      </c>
      <c r="L263" s="62">
        <f t="shared" si="2"/>
        <v>1.071428571</v>
      </c>
    </row>
    <row r="264">
      <c r="A264" s="58">
        <v>46082.0</v>
      </c>
      <c r="B264" s="24" t="s">
        <v>6787</v>
      </c>
      <c r="C264" s="24" t="s">
        <v>6927</v>
      </c>
      <c r="D264" s="59">
        <v>13.0</v>
      </c>
      <c r="E264" s="59">
        <v>13.0</v>
      </c>
      <c r="F264" s="59">
        <v>13.0</v>
      </c>
      <c r="G264" s="60">
        <v>1.0</v>
      </c>
      <c r="H264" s="60">
        <v>0.846153846153846</v>
      </c>
      <c r="I264" s="60">
        <v>5.37562392307692</v>
      </c>
      <c r="J264" s="59">
        <v>13.0</v>
      </c>
      <c r="K264" s="61">
        <f t="shared" si="1"/>
        <v>1</v>
      </c>
      <c r="L264" s="62">
        <f t="shared" si="2"/>
        <v>1</v>
      </c>
    </row>
    <row r="265">
      <c r="A265" s="58">
        <v>46082.0</v>
      </c>
      <c r="B265" s="24" t="s">
        <v>6787</v>
      </c>
      <c r="C265" s="24" t="s">
        <v>6886</v>
      </c>
      <c r="D265" s="59">
        <v>13.0</v>
      </c>
      <c r="E265" s="59">
        <v>13.0</v>
      </c>
      <c r="F265" s="59">
        <v>11.0</v>
      </c>
      <c r="G265" s="60">
        <v>1.0</v>
      </c>
      <c r="H265" s="60">
        <v>0.692307692307692</v>
      </c>
      <c r="I265" s="60">
        <v>54.2675031538461</v>
      </c>
      <c r="J265" s="59">
        <v>21.0</v>
      </c>
      <c r="K265" s="61">
        <f t="shared" si="1"/>
        <v>0.8461538462</v>
      </c>
      <c r="L265" s="62">
        <f t="shared" si="2"/>
        <v>1.615384615</v>
      </c>
    </row>
    <row r="266">
      <c r="A266" s="58">
        <v>46082.0</v>
      </c>
      <c r="B266" s="24" t="s">
        <v>6787</v>
      </c>
      <c r="C266" s="24" t="s">
        <v>6799</v>
      </c>
      <c r="D266" s="59">
        <v>13.0</v>
      </c>
      <c r="E266" s="59">
        <v>13.0</v>
      </c>
      <c r="F266" s="59">
        <v>13.0</v>
      </c>
      <c r="G266" s="60">
        <v>1.0</v>
      </c>
      <c r="H266" s="60">
        <v>0.384615384615384</v>
      </c>
      <c r="I266" s="60">
        <v>67.7624335384615</v>
      </c>
      <c r="J266" s="59">
        <v>14.0</v>
      </c>
      <c r="K266" s="61">
        <f t="shared" si="1"/>
        <v>1</v>
      </c>
      <c r="L266" s="62">
        <f t="shared" si="2"/>
        <v>1.076923077</v>
      </c>
    </row>
    <row r="267">
      <c r="A267" s="58">
        <v>46082.0</v>
      </c>
      <c r="B267" s="24" t="s">
        <v>6787</v>
      </c>
      <c r="C267" s="24" t="s">
        <v>6841</v>
      </c>
      <c r="D267" s="59">
        <v>13.0</v>
      </c>
      <c r="E267" s="59">
        <v>13.0</v>
      </c>
      <c r="F267" s="59">
        <v>13.0</v>
      </c>
      <c r="G267" s="60">
        <v>1.0</v>
      </c>
      <c r="H267" s="60">
        <v>0.615384615384615</v>
      </c>
      <c r="I267" s="60">
        <v>48.9878763076923</v>
      </c>
      <c r="J267" s="59">
        <v>32.0</v>
      </c>
      <c r="K267" s="61">
        <f t="shared" si="1"/>
        <v>1</v>
      </c>
      <c r="L267" s="62">
        <f t="shared" si="2"/>
        <v>2.461538462</v>
      </c>
    </row>
    <row r="268">
      <c r="A268" s="58">
        <v>46082.0</v>
      </c>
      <c r="B268" s="24" t="s">
        <v>6787</v>
      </c>
      <c r="C268" s="24" t="s">
        <v>6898</v>
      </c>
      <c r="D268" s="59">
        <v>13.0</v>
      </c>
      <c r="E268" s="59">
        <v>13.0</v>
      </c>
      <c r="F268" s="59">
        <v>13.0</v>
      </c>
      <c r="G268" s="60">
        <v>1.0</v>
      </c>
      <c r="H268" s="60">
        <v>0.692307692307692</v>
      </c>
      <c r="I268" s="60">
        <v>8.20395069230769</v>
      </c>
      <c r="J268" s="59">
        <v>13.0</v>
      </c>
      <c r="K268" s="61">
        <f t="shared" si="1"/>
        <v>1</v>
      </c>
      <c r="L268" s="62">
        <f t="shared" si="2"/>
        <v>1</v>
      </c>
    </row>
    <row r="269">
      <c r="A269" s="58">
        <v>46082.0</v>
      </c>
      <c r="B269" s="24" t="s">
        <v>6787</v>
      </c>
      <c r="C269" s="24" t="s">
        <v>6809</v>
      </c>
      <c r="D269" s="59">
        <v>13.0</v>
      </c>
      <c r="E269" s="59">
        <v>15.0</v>
      </c>
      <c r="F269" s="59">
        <v>13.0</v>
      </c>
      <c r="G269" s="60">
        <v>1.15384615384615</v>
      </c>
      <c r="H269" s="60">
        <v>0.733333333333333</v>
      </c>
      <c r="I269" s="60">
        <v>43.2168329333333</v>
      </c>
      <c r="J269" s="59">
        <v>26.0</v>
      </c>
      <c r="K269" s="61">
        <f t="shared" si="1"/>
        <v>0.8666666667</v>
      </c>
      <c r="L269" s="62">
        <f t="shared" si="2"/>
        <v>1.733333333</v>
      </c>
    </row>
    <row r="270">
      <c r="A270" s="58">
        <v>46082.0</v>
      </c>
      <c r="B270" s="24" t="s">
        <v>6787</v>
      </c>
      <c r="C270" s="24" t="s">
        <v>6822</v>
      </c>
      <c r="D270" s="59">
        <v>12.0</v>
      </c>
      <c r="E270" s="59">
        <v>12.0</v>
      </c>
      <c r="F270" s="59">
        <v>11.0</v>
      </c>
      <c r="G270" s="60">
        <v>1.0</v>
      </c>
      <c r="H270" s="60">
        <v>0.333333333333333</v>
      </c>
      <c r="I270" s="60">
        <v>35.2469496666666</v>
      </c>
      <c r="J270" s="59">
        <v>29.0</v>
      </c>
      <c r="K270" s="61">
        <f t="shared" si="1"/>
        <v>0.9166666667</v>
      </c>
      <c r="L270" s="62">
        <f t="shared" si="2"/>
        <v>2.416666667</v>
      </c>
    </row>
    <row r="271">
      <c r="A271" s="58">
        <v>46082.0</v>
      </c>
      <c r="B271" s="24" t="s">
        <v>6789</v>
      </c>
      <c r="C271" s="24" t="s">
        <v>6811</v>
      </c>
      <c r="D271" s="59">
        <v>12.0</v>
      </c>
      <c r="E271" s="59">
        <v>13.0</v>
      </c>
      <c r="F271" s="59">
        <v>8.0</v>
      </c>
      <c r="G271" s="60">
        <v>1.08333333333333</v>
      </c>
      <c r="H271" s="60">
        <v>0.307692307692307</v>
      </c>
      <c r="I271" s="60">
        <v>183.077513846153</v>
      </c>
      <c r="J271" s="59">
        <v>18.0</v>
      </c>
      <c r="K271" s="61">
        <f t="shared" si="1"/>
        <v>0.6153846154</v>
      </c>
      <c r="L271" s="62">
        <f t="shared" si="2"/>
        <v>1.384615385</v>
      </c>
    </row>
    <row r="272">
      <c r="A272" s="58">
        <v>46082.0</v>
      </c>
      <c r="B272" s="24" t="s">
        <v>6787</v>
      </c>
      <c r="C272" s="24" t="s">
        <v>6846</v>
      </c>
      <c r="D272" s="59">
        <v>12.0</v>
      </c>
      <c r="E272" s="59">
        <v>12.0</v>
      </c>
      <c r="F272" s="59">
        <v>12.0</v>
      </c>
      <c r="G272" s="60">
        <v>1.0</v>
      </c>
      <c r="H272" s="60">
        <v>0.75</v>
      </c>
      <c r="I272" s="60">
        <v>7.43899183333333</v>
      </c>
      <c r="J272" s="59">
        <v>12.0</v>
      </c>
      <c r="K272" s="61">
        <f t="shared" si="1"/>
        <v>1</v>
      </c>
      <c r="L272" s="62">
        <f t="shared" si="2"/>
        <v>1</v>
      </c>
    </row>
    <row r="273">
      <c r="A273" s="58">
        <v>46082.0</v>
      </c>
      <c r="B273" s="24" t="s">
        <v>6789</v>
      </c>
      <c r="C273" s="24" t="s">
        <v>6802</v>
      </c>
      <c r="D273" s="59">
        <v>12.0</v>
      </c>
      <c r="E273" s="59">
        <v>14.0</v>
      </c>
      <c r="F273" s="59">
        <v>1.0</v>
      </c>
      <c r="G273" s="60">
        <v>1.4</v>
      </c>
      <c r="H273" s="60">
        <v>0.285714285714285</v>
      </c>
      <c r="I273" s="60">
        <v>284.875105857142</v>
      </c>
      <c r="J273" s="59">
        <v>17.0</v>
      </c>
      <c r="K273" s="61">
        <f t="shared" si="1"/>
        <v>0.07142857143</v>
      </c>
      <c r="L273" s="62">
        <f t="shared" si="2"/>
        <v>1.214285714</v>
      </c>
    </row>
    <row r="274">
      <c r="A274" s="58">
        <v>46082.0</v>
      </c>
      <c r="B274" s="24" t="s">
        <v>6790</v>
      </c>
      <c r="C274" s="24" t="s">
        <v>6792</v>
      </c>
      <c r="D274" s="59">
        <v>11.0</v>
      </c>
      <c r="E274" s="59">
        <v>11.0</v>
      </c>
      <c r="F274" s="59">
        <v>0.0</v>
      </c>
      <c r="G274" s="60">
        <v>1.83333333333333</v>
      </c>
      <c r="H274" s="60">
        <v>0.909090909090909</v>
      </c>
      <c r="I274" s="60">
        <v>15.9221443636363</v>
      </c>
      <c r="J274" s="59">
        <v>0.0</v>
      </c>
      <c r="K274" s="61">
        <f t="shared" si="1"/>
        <v>0</v>
      </c>
      <c r="L274" s="62">
        <f t="shared" si="2"/>
        <v>0</v>
      </c>
    </row>
    <row r="275">
      <c r="A275" s="58">
        <v>46082.0</v>
      </c>
      <c r="B275" s="24" t="s">
        <v>6787</v>
      </c>
      <c r="C275" s="24" t="s">
        <v>6807</v>
      </c>
      <c r="D275" s="59">
        <v>11.0</v>
      </c>
      <c r="E275" s="59">
        <v>11.0</v>
      </c>
      <c r="F275" s="59">
        <v>11.0</v>
      </c>
      <c r="G275" s="60">
        <v>1.0</v>
      </c>
      <c r="H275" s="60">
        <v>0.818181818181818</v>
      </c>
      <c r="I275" s="60">
        <v>61.9239327272727</v>
      </c>
      <c r="J275" s="59">
        <v>11.0</v>
      </c>
      <c r="K275" s="61">
        <f t="shared" si="1"/>
        <v>1</v>
      </c>
      <c r="L275" s="62">
        <f t="shared" si="2"/>
        <v>1</v>
      </c>
    </row>
    <row r="276">
      <c r="A276" s="58">
        <v>46082.0</v>
      </c>
      <c r="B276" s="24" t="s">
        <v>6787</v>
      </c>
      <c r="C276" s="24" t="s">
        <v>6904</v>
      </c>
      <c r="D276" s="59">
        <v>11.0</v>
      </c>
      <c r="E276" s="59">
        <v>13.0</v>
      </c>
      <c r="F276" s="59">
        <v>11.0</v>
      </c>
      <c r="G276" s="60">
        <v>1.18181818181818</v>
      </c>
      <c r="H276" s="60">
        <v>0.923076923076923</v>
      </c>
      <c r="I276" s="60">
        <v>80.5831446923077</v>
      </c>
      <c r="J276" s="59">
        <v>14.0</v>
      </c>
      <c r="K276" s="61">
        <f t="shared" si="1"/>
        <v>0.8461538462</v>
      </c>
      <c r="L276" s="62">
        <f t="shared" si="2"/>
        <v>1.076923077</v>
      </c>
    </row>
    <row r="277">
      <c r="A277" s="58">
        <v>46082.0</v>
      </c>
      <c r="B277" s="24" t="s">
        <v>6791</v>
      </c>
      <c r="C277" s="24" t="s">
        <v>6824</v>
      </c>
      <c r="D277" s="59">
        <v>11.0</v>
      </c>
      <c r="E277" s="59">
        <v>11.0</v>
      </c>
      <c r="F277" s="59">
        <v>11.0</v>
      </c>
      <c r="G277" s="60">
        <v>1.0</v>
      </c>
      <c r="H277" s="60">
        <v>0.454545454545454</v>
      </c>
      <c r="I277" s="60">
        <v>42.8012264545454</v>
      </c>
      <c r="J277" s="59">
        <v>11.0</v>
      </c>
      <c r="K277" s="61">
        <f t="shared" si="1"/>
        <v>1</v>
      </c>
      <c r="L277" s="62">
        <f t="shared" si="2"/>
        <v>1</v>
      </c>
    </row>
    <row r="278">
      <c r="A278" s="58">
        <v>46082.0</v>
      </c>
      <c r="B278" s="24" t="s">
        <v>6787</v>
      </c>
      <c r="C278" s="24" t="s">
        <v>6928</v>
      </c>
      <c r="D278" s="59">
        <v>10.0</v>
      </c>
      <c r="E278" s="59">
        <v>10.0</v>
      </c>
      <c r="F278" s="59">
        <v>10.0</v>
      </c>
      <c r="G278" s="60">
        <v>1.0</v>
      </c>
      <c r="H278" s="60">
        <v>0.5</v>
      </c>
      <c r="I278" s="60">
        <v>105.9254017</v>
      </c>
      <c r="J278" s="59">
        <v>22.0</v>
      </c>
      <c r="K278" s="61">
        <f t="shared" si="1"/>
        <v>1</v>
      </c>
      <c r="L278" s="62">
        <f t="shared" si="2"/>
        <v>2.2</v>
      </c>
    </row>
    <row r="279">
      <c r="A279" s="58">
        <v>46082.0</v>
      </c>
      <c r="B279" s="24" t="s">
        <v>6794</v>
      </c>
      <c r="C279" s="24" t="s">
        <v>6928</v>
      </c>
      <c r="D279" s="59">
        <v>10.0</v>
      </c>
      <c r="E279" s="59">
        <v>12.0</v>
      </c>
      <c r="F279" s="59">
        <v>6.0</v>
      </c>
      <c r="G279" s="60">
        <v>1.33333333333333</v>
      </c>
      <c r="H279" s="60">
        <v>0.583333333333333</v>
      </c>
      <c r="I279" s="60">
        <v>125.478799999999</v>
      </c>
      <c r="J279" s="59">
        <v>13.0</v>
      </c>
      <c r="K279" s="61">
        <f t="shared" si="1"/>
        <v>0.5</v>
      </c>
      <c r="L279" s="62">
        <f t="shared" si="2"/>
        <v>1.083333333</v>
      </c>
    </row>
    <row r="280">
      <c r="A280" s="58">
        <v>46082.0</v>
      </c>
      <c r="B280" s="24" t="s">
        <v>6787</v>
      </c>
      <c r="C280" s="24" t="s">
        <v>6806</v>
      </c>
      <c r="D280" s="59">
        <v>10.0</v>
      </c>
      <c r="E280" s="59">
        <v>10.0</v>
      </c>
      <c r="F280" s="59">
        <v>10.0</v>
      </c>
      <c r="G280" s="60">
        <v>1.0</v>
      </c>
      <c r="H280" s="60">
        <v>0.8</v>
      </c>
      <c r="I280" s="60">
        <v>2.7845001</v>
      </c>
      <c r="J280" s="59">
        <v>10.0</v>
      </c>
      <c r="K280" s="61">
        <f t="shared" si="1"/>
        <v>1</v>
      </c>
      <c r="L280" s="62">
        <f t="shared" si="2"/>
        <v>1</v>
      </c>
    </row>
    <row r="281">
      <c r="A281" s="58">
        <v>46082.0</v>
      </c>
      <c r="B281" s="24" t="s">
        <v>6789</v>
      </c>
      <c r="C281" s="24" t="s">
        <v>6809</v>
      </c>
      <c r="D281" s="59">
        <v>10.0</v>
      </c>
      <c r="E281" s="59">
        <v>11.0</v>
      </c>
      <c r="F281" s="59">
        <v>5.0</v>
      </c>
      <c r="G281" s="60">
        <v>1.1</v>
      </c>
      <c r="H281" s="60">
        <v>0.545454545454545</v>
      </c>
      <c r="I281" s="60">
        <v>86.9793452727272</v>
      </c>
      <c r="J281" s="59">
        <v>17.0</v>
      </c>
      <c r="K281" s="61">
        <f t="shared" si="1"/>
        <v>0.4545454545</v>
      </c>
      <c r="L281" s="62">
        <f t="shared" si="2"/>
        <v>1.545454545</v>
      </c>
    </row>
    <row r="282">
      <c r="A282" s="58">
        <v>46082.0</v>
      </c>
      <c r="B282" s="24" t="s">
        <v>6787</v>
      </c>
      <c r="C282" s="24" t="s">
        <v>6917</v>
      </c>
      <c r="D282" s="59">
        <v>10.0</v>
      </c>
      <c r="E282" s="59">
        <v>10.0</v>
      </c>
      <c r="F282" s="59">
        <v>10.0</v>
      </c>
      <c r="G282" s="60">
        <v>1.0</v>
      </c>
      <c r="H282" s="60">
        <v>1.0</v>
      </c>
      <c r="I282" s="60">
        <v>0.0</v>
      </c>
      <c r="J282" s="59">
        <v>10.0</v>
      </c>
      <c r="K282" s="61">
        <f t="shared" si="1"/>
        <v>1</v>
      </c>
      <c r="L282" s="62">
        <f t="shared" si="2"/>
        <v>1</v>
      </c>
    </row>
    <row r="283">
      <c r="A283" s="58">
        <v>46082.0</v>
      </c>
      <c r="B283" s="24" t="s">
        <v>6787</v>
      </c>
      <c r="C283" s="24" t="s">
        <v>6810</v>
      </c>
      <c r="D283" s="59">
        <v>10.0</v>
      </c>
      <c r="E283" s="59">
        <v>10.0</v>
      </c>
      <c r="F283" s="59">
        <v>10.0</v>
      </c>
      <c r="G283" s="60">
        <v>1.0</v>
      </c>
      <c r="H283" s="60">
        <v>0.7</v>
      </c>
      <c r="I283" s="60">
        <v>32.0270919</v>
      </c>
      <c r="J283" s="59">
        <v>12.0</v>
      </c>
      <c r="K283" s="61">
        <f t="shared" si="1"/>
        <v>1</v>
      </c>
      <c r="L283" s="62">
        <f t="shared" si="2"/>
        <v>1.2</v>
      </c>
    </row>
    <row r="284">
      <c r="A284" s="58">
        <v>46082.0</v>
      </c>
      <c r="B284" s="24" t="s">
        <v>6787</v>
      </c>
      <c r="C284" s="24" t="s">
        <v>6929</v>
      </c>
      <c r="D284" s="59">
        <v>9.0</v>
      </c>
      <c r="E284" s="59">
        <v>9.0</v>
      </c>
      <c r="F284" s="59">
        <v>9.0</v>
      </c>
      <c r="G284" s="60">
        <v>1.0</v>
      </c>
      <c r="H284" s="60">
        <v>1.0</v>
      </c>
      <c r="I284" s="60">
        <v>1.71854122222222</v>
      </c>
      <c r="J284" s="59">
        <v>9.0</v>
      </c>
      <c r="K284" s="61">
        <f t="shared" si="1"/>
        <v>1</v>
      </c>
      <c r="L284" s="62">
        <f t="shared" si="2"/>
        <v>1</v>
      </c>
    </row>
    <row r="285">
      <c r="A285" s="58">
        <v>46082.0</v>
      </c>
      <c r="B285" s="24" t="s">
        <v>6789</v>
      </c>
      <c r="C285" s="24" t="s">
        <v>6835</v>
      </c>
      <c r="D285" s="59">
        <v>9.0</v>
      </c>
      <c r="E285" s="59">
        <v>11.0</v>
      </c>
      <c r="F285" s="59">
        <v>9.0</v>
      </c>
      <c r="G285" s="60">
        <v>1.22222222222222</v>
      </c>
      <c r="H285" s="60">
        <v>0.181818181818181</v>
      </c>
      <c r="I285" s="60">
        <v>190.947511090909</v>
      </c>
      <c r="J285" s="59">
        <v>12.0</v>
      </c>
      <c r="K285" s="61">
        <f t="shared" si="1"/>
        <v>0.8181818182</v>
      </c>
      <c r="L285" s="62">
        <f t="shared" si="2"/>
        <v>1.090909091</v>
      </c>
    </row>
    <row r="286">
      <c r="A286" s="58">
        <v>46082.0</v>
      </c>
      <c r="B286" s="24" t="s">
        <v>6787</v>
      </c>
      <c r="C286" s="24" t="s">
        <v>6930</v>
      </c>
      <c r="D286" s="59">
        <v>9.0</v>
      </c>
      <c r="E286" s="59">
        <v>9.0</v>
      </c>
      <c r="F286" s="59">
        <v>9.0</v>
      </c>
      <c r="G286" s="60">
        <v>1.0</v>
      </c>
      <c r="H286" s="60">
        <v>0.777777777777777</v>
      </c>
      <c r="I286" s="60">
        <v>7.58035177777777</v>
      </c>
      <c r="J286" s="59">
        <v>9.0</v>
      </c>
      <c r="K286" s="61">
        <f t="shared" si="1"/>
        <v>1</v>
      </c>
      <c r="L286" s="62">
        <f t="shared" si="2"/>
        <v>1</v>
      </c>
    </row>
    <row r="287">
      <c r="A287" s="58">
        <v>46082.0</v>
      </c>
      <c r="B287" s="24" t="s">
        <v>6789</v>
      </c>
      <c r="C287" s="24" t="s">
        <v>6799</v>
      </c>
      <c r="D287" s="59">
        <v>9.0</v>
      </c>
      <c r="E287" s="59">
        <v>10.0</v>
      </c>
      <c r="F287" s="59">
        <v>9.0</v>
      </c>
      <c r="G287" s="60">
        <v>1.11111111111111</v>
      </c>
      <c r="H287" s="60">
        <v>0.3</v>
      </c>
      <c r="I287" s="60">
        <v>125.7018313</v>
      </c>
      <c r="J287" s="59">
        <v>24.0</v>
      </c>
      <c r="K287" s="61">
        <f t="shared" si="1"/>
        <v>0.9</v>
      </c>
      <c r="L287" s="62">
        <f t="shared" si="2"/>
        <v>2.4</v>
      </c>
    </row>
    <row r="288">
      <c r="A288" s="58">
        <v>46082.0</v>
      </c>
      <c r="B288" s="24" t="s">
        <v>6787</v>
      </c>
      <c r="C288" s="24" t="s">
        <v>6849</v>
      </c>
      <c r="D288" s="59">
        <v>9.0</v>
      </c>
      <c r="E288" s="59">
        <v>9.0</v>
      </c>
      <c r="F288" s="59">
        <v>9.0</v>
      </c>
      <c r="G288" s="60">
        <v>1.0</v>
      </c>
      <c r="H288" s="60">
        <v>0.666666666666666</v>
      </c>
      <c r="I288" s="60">
        <v>33.2591818888888</v>
      </c>
      <c r="J288" s="59">
        <v>9.0</v>
      </c>
      <c r="K288" s="61">
        <f t="shared" si="1"/>
        <v>1</v>
      </c>
      <c r="L288" s="62">
        <f t="shared" si="2"/>
        <v>1</v>
      </c>
    </row>
    <row r="289">
      <c r="A289" s="58">
        <v>46082.0</v>
      </c>
      <c r="B289" s="24" t="s">
        <v>6787</v>
      </c>
      <c r="C289" s="24" t="s">
        <v>6910</v>
      </c>
      <c r="D289" s="59">
        <v>9.0</v>
      </c>
      <c r="E289" s="59">
        <v>9.0</v>
      </c>
      <c r="F289" s="59">
        <v>9.0</v>
      </c>
      <c r="G289" s="60">
        <v>1.0</v>
      </c>
      <c r="H289" s="60">
        <v>0.777777777777777</v>
      </c>
      <c r="I289" s="60">
        <v>37.3730263333333</v>
      </c>
      <c r="J289" s="59">
        <v>9.0</v>
      </c>
      <c r="K289" s="61">
        <f t="shared" si="1"/>
        <v>1</v>
      </c>
      <c r="L289" s="62">
        <f t="shared" si="2"/>
        <v>1</v>
      </c>
    </row>
    <row r="290">
      <c r="A290" s="58">
        <v>46082.0</v>
      </c>
      <c r="B290" s="24" t="s">
        <v>6787</v>
      </c>
      <c r="C290" s="24" t="s">
        <v>6919</v>
      </c>
      <c r="D290" s="59">
        <v>9.0</v>
      </c>
      <c r="E290" s="59">
        <v>9.0</v>
      </c>
      <c r="F290" s="59">
        <v>7.0</v>
      </c>
      <c r="G290" s="60">
        <v>1.125</v>
      </c>
      <c r="H290" s="60">
        <v>0.666666666666666</v>
      </c>
      <c r="I290" s="60">
        <v>38.4208765555555</v>
      </c>
      <c r="J290" s="59">
        <v>9.0</v>
      </c>
      <c r="K290" s="61">
        <f t="shared" si="1"/>
        <v>0.7777777778</v>
      </c>
      <c r="L290" s="62">
        <f t="shared" si="2"/>
        <v>1</v>
      </c>
    </row>
    <row r="291">
      <c r="A291" s="58">
        <v>46082.0</v>
      </c>
      <c r="B291" s="24" t="s">
        <v>6787</v>
      </c>
      <c r="C291" s="24" t="s">
        <v>6931</v>
      </c>
      <c r="D291" s="59">
        <v>9.0</v>
      </c>
      <c r="E291" s="59">
        <v>9.0</v>
      </c>
      <c r="F291" s="59">
        <v>8.0</v>
      </c>
      <c r="G291" s="60">
        <v>1.125</v>
      </c>
      <c r="H291" s="60">
        <v>0.888888888888888</v>
      </c>
      <c r="I291" s="60">
        <v>2.14017466666666</v>
      </c>
      <c r="J291" s="59">
        <v>9.0</v>
      </c>
      <c r="K291" s="61">
        <f t="shared" si="1"/>
        <v>0.8888888889</v>
      </c>
      <c r="L291" s="62">
        <f t="shared" si="2"/>
        <v>1</v>
      </c>
    </row>
    <row r="292">
      <c r="A292" s="58">
        <v>46082.0</v>
      </c>
      <c r="B292" s="24" t="s">
        <v>6787</v>
      </c>
      <c r="C292" s="24" t="s">
        <v>6803</v>
      </c>
      <c r="D292" s="59">
        <v>8.0</v>
      </c>
      <c r="E292" s="59">
        <v>8.0</v>
      </c>
      <c r="F292" s="59">
        <v>8.0</v>
      </c>
      <c r="G292" s="60">
        <v>1.0</v>
      </c>
      <c r="H292" s="60">
        <v>0.625</v>
      </c>
      <c r="I292" s="60">
        <v>38.935954875</v>
      </c>
      <c r="J292" s="59">
        <v>9.0</v>
      </c>
      <c r="K292" s="61">
        <f t="shared" si="1"/>
        <v>1</v>
      </c>
      <c r="L292" s="62">
        <f t="shared" si="2"/>
        <v>1.125</v>
      </c>
    </row>
    <row r="293">
      <c r="A293" s="58">
        <v>46082.0</v>
      </c>
      <c r="B293" s="24" t="s">
        <v>6789</v>
      </c>
      <c r="C293" s="24" t="s">
        <v>6822</v>
      </c>
      <c r="D293" s="59">
        <v>8.0</v>
      </c>
      <c r="E293" s="59">
        <v>9.0</v>
      </c>
      <c r="F293" s="59">
        <v>2.0</v>
      </c>
      <c r="G293" s="60">
        <v>1.125</v>
      </c>
      <c r="H293" s="60">
        <v>0.222222222222222</v>
      </c>
      <c r="I293" s="60">
        <v>471.549913777777</v>
      </c>
      <c r="J293" s="59">
        <v>146.0</v>
      </c>
      <c r="K293" s="61">
        <f t="shared" si="1"/>
        <v>0.2222222222</v>
      </c>
      <c r="L293" s="62">
        <f t="shared" si="2"/>
        <v>16.22222222</v>
      </c>
    </row>
    <row r="294">
      <c r="A294" s="58">
        <v>46082.0</v>
      </c>
      <c r="B294" s="24" t="s">
        <v>6787</v>
      </c>
      <c r="C294" s="24" t="s">
        <v>6811</v>
      </c>
      <c r="D294" s="59">
        <v>8.0</v>
      </c>
      <c r="E294" s="59">
        <v>8.0</v>
      </c>
      <c r="F294" s="59">
        <v>8.0</v>
      </c>
      <c r="G294" s="60">
        <v>1.0</v>
      </c>
      <c r="H294" s="60">
        <v>0.5</v>
      </c>
      <c r="I294" s="60">
        <v>21.89861875</v>
      </c>
      <c r="J294" s="59">
        <v>13.0</v>
      </c>
      <c r="K294" s="61">
        <f t="shared" si="1"/>
        <v>1</v>
      </c>
      <c r="L294" s="62">
        <f t="shared" si="2"/>
        <v>1.625</v>
      </c>
    </row>
    <row r="295">
      <c r="A295" s="58">
        <v>46082.0</v>
      </c>
      <c r="B295" s="24" t="s">
        <v>6787</v>
      </c>
      <c r="C295" s="24" t="s">
        <v>6844</v>
      </c>
      <c r="D295" s="59">
        <v>8.0</v>
      </c>
      <c r="E295" s="59">
        <v>8.0</v>
      </c>
      <c r="F295" s="59">
        <v>8.0</v>
      </c>
      <c r="G295" s="60">
        <v>1.0</v>
      </c>
      <c r="H295" s="60">
        <v>0.75</v>
      </c>
      <c r="I295" s="60">
        <v>5.42815325</v>
      </c>
      <c r="J295" s="59">
        <v>8.0</v>
      </c>
      <c r="K295" s="61">
        <f t="shared" si="1"/>
        <v>1</v>
      </c>
      <c r="L295" s="62">
        <f t="shared" si="2"/>
        <v>1</v>
      </c>
    </row>
    <row r="296">
      <c r="A296" s="58">
        <v>46082.0</v>
      </c>
      <c r="B296" s="24" t="s">
        <v>6789</v>
      </c>
      <c r="C296" s="24" t="s">
        <v>6796</v>
      </c>
      <c r="D296" s="59">
        <v>8.0</v>
      </c>
      <c r="E296" s="59">
        <v>8.0</v>
      </c>
      <c r="F296" s="59">
        <v>8.0</v>
      </c>
      <c r="G296" s="60">
        <v>1.0</v>
      </c>
      <c r="H296" s="60">
        <v>0.375</v>
      </c>
      <c r="I296" s="60">
        <v>71.652266125</v>
      </c>
      <c r="J296" s="59">
        <v>9.0</v>
      </c>
      <c r="K296" s="61">
        <f t="shared" si="1"/>
        <v>1</v>
      </c>
      <c r="L296" s="62">
        <f t="shared" si="2"/>
        <v>1.125</v>
      </c>
    </row>
    <row r="297">
      <c r="A297" s="58">
        <v>46082.0</v>
      </c>
      <c r="B297" s="24" t="s">
        <v>6789</v>
      </c>
      <c r="C297" s="24" t="s">
        <v>6910</v>
      </c>
      <c r="D297" s="59">
        <v>8.0</v>
      </c>
      <c r="E297" s="59">
        <v>11.0</v>
      </c>
      <c r="F297" s="59">
        <v>4.0</v>
      </c>
      <c r="G297" s="60">
        <v>1.375</v>
      </c>
      <c r="H297" s="60">
        <v>0.545454545454545</v>
      </c>
      <c r="I297" s="60">
        <v>236.138324181818</v>
      </c>
      <c r="J297" s="59">
        <v>17.0</v>
      </c>
      <c r="K297" s="61">
        <f t="shared" si="1"/>
        <v>0.3636363636</v>
      </c>
      <c r="L297" s="62">
        <f t="shared" si="2"/>
        <v>1.545454545</v>
      </c>
    </row>
    <row r="298">
      <c r="A298" s="58">
        <v>46082.0</v>
      </c>
      <c r="B298" s="24" t="s">
        <v>6789</v>
      </c>
      <c r="C298" s="24" t="s">
        <v>6919</v>
      </c>
      <c r="D298" s="59">
        <v>8.0</v>
      </c>
      <c r="E298" s="59">
        <v>10.0</v>
      </c>
      <c r="F298" s="59">
        <v>2.0</v>
      </c>
      <c r="G298" s="60">
        <v>1.42857142857142</v>
      </c>
      <c r="H298" s="60">
        <v>0.9</v>
      </c>
      <c r="I298" s="60">
        <v>16.4246929</v>
      </c>
      <c r="J298" s="59">
        <v>13.0</v>
      </c>
      <c r="K298" s="61">
        <f t="shared" si="1"/>
        <v>0.2</v>
      </c>
      <c r="L298" s="62">
        <f t="shared" si="2"/>
        <v>1.3</v>
      </c>
    </row>
    <row r="299">
      <c r="A299" s="58">
        <v>46082.0</v>
      </c>
      <c r="B299" s="24" t="s">
        <v>6789</v>
      </c>
      <c r="C299" s="24" t="s">
        <v>6841</v>
      </c>
      <c r="D299" s="59">
        <v>7.0</v>
      </c>
      <c r="E299" s="59">
        <v>9.0</v>
      </c>
      <c r="F299" s="59">
        <v>6.0</v>
      </c>
      <c r="G299" s="60">
        <v>1.5</v>
      </c>
      <c r="H299" s="60">
        <v>0.666666666666666</v>
      </c>
      <c r="I299" s="60">
        <v>29.100899</v>
      </c>
      <c r="J299" s="59">
        <v>9.0</v>
      </c>
      <c r="K299" s="61">
        <f t="shared" si="1"/>
        <v>0.6666666667</v>
      </c>
      <c r="L299" s="62">
        <f t="shared" si="2"/>
        <v>1</v>
      </c>
    </row>
    <row r="300">
      <c r="A300" s="58">
        <v>46082.0</v>
      </c>
      <c r="B300" s="24" t="s">
        <v>6791</v>
      </c>
      <c r="C300" s="24" t="s">
        <v>6845</v>
      </c>
      <c r="D300" s="59">
        <v>7.0</v>
      </c>
      <c r="E300" s="59">
        <v>10.0</v>
      </c>
      <c r="F300" s="59">
        <v>1.0</v>
      </c>
      <c r="G300" s="60">
        <v>2.0</v>
      </c>
      <c r="H300" s="60">
        <v>0.9</v>
      </c>
      <c r="I300" s="60">
        <v>149.3386795</v>
      </c>
      <c r="J300" s="59">
        <v>27.0</v>
      </c>
      <c r="K300" s="61">
        <f t="shared" si="1"/>
        <v>0.1</v>
      </c>
      <c r="L300" s="62">
        <f t="shared" si="2"/>
        <v>2.7</v>
      </c>
    </row>
    <row r="301">
      <c r="A301" s="58">
        <v>46082.0</v>
      </c>
      <c r="B301" s="24" t="s">
        <v>6787</v>
      </c>
      <c r="C301" s="24" t="s">
        <v>6824</v>
      </c>
      <c r="D301" s="59">
        <v>7.0</v>
      </c>
      <c r="E301" s="59">
        <v>9.0</v>
      </c>
      <c r="F301" s="59">
        <v>6.0</v>
      </c>
      <c r="G301" s="60">
        <v>1.28571428571428</v>
      </c>
      <c r="H301" s="60">
        <v>0.444444444444444</v>
      </c>
      <c r="I301" s="60">
        <v>610.471685666666</v>
      </c>
      <c r="J301" s="59">
        <v>27.0</v>
      </c>
      <c r="K301" s="61">
        <f t="shared" si="1"/>
        <v>0.6666666667</v>
      </c>
      <c r="L301" s="62">
        <f t="shared" si="2"/>
        <v>3</v>
      </c>
    </row>
    <row r="302">
      <c r="A302" s="58">
        <v>46082.0</v>
      </c>
      <c r="B302" s="24" t="s">
        <v>6787</v>
      </c>
      <c r="C302" s="24" t="s">
        <v>6908</v>
      </c>
      <c r="D302" s="59">
        <v>7.0</v>
      </c>
      <c r="E302" s="59">
        <v>7.0</v>
      </c>
      <c r="F302" s="59">
        <v>7.0</v>
      </c>
      <c r="G302" s="60">
        <v>1.0</v>
      </c>
      <c r="H302" s="60">
        <v>0.857142857142857</v>
      </c>
      <c r="I302" s="60">
        <v>2.73569185714285</v>
      </c>
      <c r="J302" s="59">
        <v>8.0</v>
      </c>
      <c r="K302" s="61">
        <f t="shared" si="1"/>
        <v>1</v>
      </c>
      <c r="L302" s="62">
        <f t="shared" si="2"/>
        <v>1.142857143</v>
      </c>
    </row>
    <row r="303">
      <c r="A303" s="58">
        <v>46082.0</v>
      </c>
      <c r="B303" s="24" t="s">
        <v>6789</v>
      </c>
      <c r="C303" s="24" t="s">
        <v>6803</v>
      </c>
      <c r="D303" s="59">
        <v>6.0</v>
      </c>
      <c r="E303" s="59">
        <v>6.0</v>
      </c>
      <c r="F303" s="59">
        <v>4.0</v>
      </c>
      <c r="G303" s="60">
        <v>1.0</v>
      </c>
      <c r="H303" s="60">
        <v>0.0</v>
      </c>
      <c r="I303" s="60">
        <v>310.125705333333</v>
      </c>
      <c r="J303" s="59">
        <v>10.0</v>
      </c>
      <c r="K303" s="61">
        <f t="shared" si="1"/>
        <v>0.6666666667</v>
      </c>
      <c r="L303" s="62">
        <f t="shared" si="2"/>
        <v>1.666666667</v>
      </c>
    </row>
    <row r="304">
      <c r="A304" s="58">
        <v>46082.0</v>
      </c>
      <c r="B304" s="24" t="s">
        <v>6787</v>
      </c>
      <c r="C304" s="24" t="s">
        <v>6932</v>
      </c>
      <c r="D304" s="59">
        <v>6.0</v>
      </c>
      <c r="E304" s="59">
        <v>6.0</v>
      </c>
      <c r="F304" s="59">
        <v>6.0</v>
      </c>
      <c r="G304" s="60">
        <v>1.0</v>
      </c>
      <c r="H304" s="60">
        <v>1.0</v>
      </c>
      <c r="I304" s="60">
        <v>2.19947733333333</v>
      </c>
      <c r="J304" s="59">
        <v>6.0</v>
      </c>
      <c r="K304" s="61">
        <f t="shared" si="1"/>
        <v>1</v>
      </c>
      <c r="L304" s="62">
        <f t="shared" si="2"/>
        <v>1</v>
      </c>
    </row>
    <row r="305">
      <c r="A305" s="58">
        <v>46082.0</v>
      </c>
      <c r="B305" s="24" t="s">
        <v>6789</v>
      </c>
      <c r="C305" s="24" t="s">
        <v>6819</v>
      </c>
      <c r="D305" s="59">
        <v>6.0</v>
      </c>
      <c r="E305" s="59">
        <v>6.0</v>
      </c>
      <c r="F305" s="59">
        <v>6.0</v>
      </c>
      <c r="G305" s="60">
        <v>1.0</v>
      </c>
      <c r="H305" s="60">
        <v>0.5</v>
      </c>
      <c r="I305" s="60">
        <v>145.998395999999</v>
      </c>
      <c r="J305" s="59">
        <v>6.0</v>
      </c>
      <c r="K305" s="61">
        <f t="shared" si="1"/>
        <v>1</v>
      </c>
      <c r="L305" s="62">
        <f t="shared" si="2"/>
        <v>1</v>
      </c>
    </row>
    <row r="306">
      <c r="A306" s="58">
        <v>46082.0</v>
      </c>
      <c r="B306" s="24" t="s">
        <v>6787</v>
      </c>
      <c r="C306" s="24" t="s">
        <v>6871</v>
      </c>
      <c r="D306" s="59">
        <v>6.0</v>
      </c>
      <c r="E306" s="59">
        <v>6.0</v>
      </c>
      <c r="F306" s="59">
        <v>6.0</v>
      </c>
      <c r="G306" s="60">
        <v>1.0</v>
      </c>
      <c r="H306" s="60">
        <v>1.0</v>
      </c>
      <c r="I306" s="60">
        <v>2.44909333333333</v>
      </c>
      <c r="J306" s="59">
        <v>6.0</v>
      </c>
      <c r="K306" s="61">
        <f t="shared" si="1"/>
        <v>1</v>
      </c>
      <c r="L306" s="62">
        <f t="shared" si="2"/>
        <v>1</v>
      </c>
    </row>
    <row r="307">
      <c r="A307" s="58">
        <v>46082.0</v>
      </c>
      <c r="B307" s="24" t="s">
        <v>6787</v>
      </c>
      <c r="C307" s="24" t="s">
        <v>6877</v>
      </c>
      <c r="D307" s="59">
        <v>6.0</v>
      </c>
      <c r="E307" s="59">
        <v>6.0</v>
      </c>
      <c r="F307" s="59">
        <v>6.0</v>
      </c>
      <c r="G307" s="60">
        <v>1.0</v>
      </c>
      <c r="H307" s="60">
        <v>0.666666666666666</v>
      </c>
      <c r="I307" s="60">
        <v>67.0623953333333</v>
      </c>
      <c r="J307" s="59">
        <v>6.0</v>
      </c>
      <c r="K307" s="61">
        <f t="shared" si="1"/>
        <v>1</v>
      </c>
      <c r="L307" s="62">
        <f t="shared" si="2"/>
        <v>1</v>
      </c>
    </row>
    <row r="308">
      <c r="A308" s="58">
        <v>46082.0</v>
      </c>
      <c r="B308" s="24" t="s">
        <v>6789</v>
      </c>
      <c r="C308" s="24" t="s">
        <v>6886</v>
      </c>
      <c r="D308" s="59">
        <v>6.0</v>
      </c>
      <c r="E308" s="59">
        <v>6.0</v>
      </c>
      <c r="F308" s="59">
        <v>1.0</v>
      </c>
      <c r="G308" s="60">
        <v>1.2</v>
      </c>
      <c r="H308" s="60">
        <v>0.5</v>
      </c>
      <c r="I308" s="60">
        <v>13.990152</v>
      </c>
      <c r="J308" s="59">
        <v>9.0</v>
      </c>
      <c r="K308" s="61">
        <f t="shared" si="1"/>
        <v>0.1666666667</v>
      </c>
      <c r="L308" s="62">
        <f t="shared" si="2"/>
        <v>1.5</v>
      </c>
    </row>
    <row r="309">
      <c r="A309" s="58">
        <v>46082.0</v>
      </c>
      <c r="B309" s="24" t="s">
        <v>6787</v>
      </c>
      <c r="C309" s="24" t="s">
        <v>6843</v>
      </c>
      <c r="D309" s="59">
        <v>6.0</v>
      </c>
      <c r="E309" s="59">
        <v>6.0</v>
      </c>
      <c r="F309" s="59">
        <v>6.0</v>
      </c>
      <c r="G309" s="60">
        <v>1.0</v>
      </c>
      <c r="H309" s="60">
        <v>1.0</v>
      </c>
      <c r="I309" s="60">
        <v>1.13181033333333</v>
      </c>
      <c r="J309" s="59">
        <v>6.0</v>
      </c>
      <c r="K309" s="61">
        <f t="shared" si="1"/>
        <v>1</v>
      </c>
      <c r="L309" s="62">
        <f t="shared" si="2"/>
        <v>1</v>
      </c>
    </row>
    <row r="310">
      <c r="A310" s="58">
        <v>46082.0</v>
      </c>
      <c r="B310" s="24" t="s">
        <v>6787</v>
      </c>
      <c r="C310" s="24" t="s">
        <v>6933</v>
      </c>
      <c r="D310" s="59">
        <v>6.0</v>
      </c>
      <c r="E310" s="59">
        <v>7.0</v>
      </c>
      <c r="F310" s="59">
        <v>3.0</v>
      </c>
      <c r="G310" s="60">
        <v>1.16666666666666</v>
      </c>
      <c r="H310" s="60">
        <v>0.571428571428571</v>
      </c>
      <c r="I310" s="60">
        <v>105.929825142857</v>
      </c>
      <c r="J310" s="59">
        <v>9.0</v>
      </c>
      <c r="K310" s="61">
        <f t="shared" si="1"/>
        <v>0.4285714286</v>
      </c>
      <c r="L310" s="62">
        <f t="shared" si="2"/>
        <v>1.285714286</v>
      </c>
    </row>
    <row r="311">
      <c r="A311" s="58">
        <v>46082.0</v>
      </c>
      <c r="B311" s="24" t="s">
        <v>6787</v>
      </c>
      <c r="C311" s="24" t="s">
        <v>6813</v>
      </c>
      <c r="D311" s="59">
        <v>6.0</v>
      </c>
      <c r="E311" s="59">
        <v>6.0</v>
      </c>
      <c r="F311" s="59">
        <v>6.0</v>
      </c>
      <c r="G311" s="60">
        <v>1.0</v>
      </c>
      <c r="H311" s="60">
        <v>0.666666666666666</v>
      </c>
      <c r="I311" s="60">
        <v>7.72919533333333</v>
      </c>
      <c r="J311" s="59">
        <v>6.0</v>
      </c>
      <c r="K311" s="61">
        <f t="shared" si="1"/>
        <v>1</v>
      </c>
      <c r="L311" s="62">
        <f t="shared" si="2"/>
        <v>1</v>
      </c>
    </row>
    <row r="312">
      <c r="A312" s="58">
        <v>46082.0</v>
      </c>
      <c r="B312" s="24" t="s">
        <v>6787</v>
      </c>
      <c r="C312" s="24" t="s">
        <v>6911</v>
      </c>
      <c r="D312" s="59">
        <v>6.0</v>
      </c>
      <c r="E312" s="59">
        <v>6.0</v>
      </c>
      <c r="F312" s="59">
        <v>6.0</v>
      </c>
      <c r="G312" s="60">
        <v>1.0</v>
      </c>
      <c r="H312" s="60">
        <v>0.833333333333333</v>
      </c>
      <c r="I312" s="60">
        <v>19.1064273333333</v>
      </c>
      <c r="J312" s="59">
        <v>6.0</v>
      </c>
      <c r="K312" s="61">
        <f t="shared" si="1"/>
        <v>1</v>
      </c>
      <c r="L312" s="62">
        <f t="shared" si="2"/>
        <v>1</v>
      </c>
    </row>
    <row r="313">
      <c r="A313" s="58">
        <v>46082.0</v>
      </c>
      <c r="B313" s="24" t="s">
        <v>3216</v>
      </c>
      <c r="C313" s="24" t="s">
        <v>6792</v>
      </c>
      <c r="D313" s="59">
        <v>5.0</v>
      </c>
      <c r="E313" s="59">
        <v>6.0</v>
      </c>
      <c r="F313" s="59">
        <v>0.0</v>
      </c>
      <c r="G313" s="60">
        <v>3.0</v>
      </c>
      <c r="H313" s="60">
        <v>1.0</v>
      </c>
      <c r="I313" s="60">
        <v>0.0</v>
      </c>
      <c r="J313" s="59">
        <v>0.0</v>
      </c>
      <c r="K313" s="61">
        <f t="shared" si="1"/>
        <v>0</v>
      </c>
      <c r="L313" s="62">
        <f t="shared" si="2"/>
        <v>0</v>
      </c>
    </row>
    <row r="314">
      <c r="A314" s="58">
        <v>46082.0</v>
      </c>
      <c r="B314" s="24" t="s">
        <v>6787</v>
      </c>
      <c r="C314" s="24" t="s">
        <v>6934</v>
      </c>
      <c r="D314" s="59">
        <v>5.0</v>
      </c>
      <c r="E314" s="59">
        <v>5.0</v>
      </c>
      <c r="F314" s="59">
        <v>5.0</v>
      </c>
      <c r="G314" s="60">
        <v>1.0</v>
      </c>
      <c r="H314" s="60">
        <v>0.8</v>
      </c>
      <c r="I314" s="60">
        <v>3.3241692</v>
      </c>
      <c r="J314" s="59">
        <v>5.0</v>
      </c>
      <c r="K314" s="61">
        <f t="shared" si="1"/>
        <v>1</v>
      </c>
      <c r="L314" s="62">
        <f t="shared" si="2"/>
        <v>1</v>
      </c>
    </row>
    <row r="315">
      <c r="A315" s="58">
        <v>46082.0</v>
      </c>
      <c r="B315" s="24" t="s">
        <v>6787</v>
      </c>
      <c r="C315" s="24" t="s">
        <v>6935</v>
      </c>
      <c r="D315" s="59">
        <v>5.0</v>
      </c>
      <c r="E315" s="59">
        <v>5.0</v>
      </c>
      <c r="F315" s="59">
        <v>5.0</v>
      </c>
      <c r="G315" s="60">
        <v>1.0</v>
      </c>
      <c r="H315" s="60">
        <v>1.0</v>
      </c>
      <c r="I315" s="60">
        <v>0.0</v>
      </c>
      <c r="J315" s="59">
        <v>5.0</v>
      </c>
      <c r="K315" s="61">
        <f t="shared" si="1"/>
        <v>1</v>
      </c>
      <c r="L315" s="62">
        <f t="shared" si="2"/>
        <v>1</v>
      </c>
    </row>
    <row r="316">
      <c r="A316" s="58">
        <v>46082.0</v>
      </c>
      <c r="B316" s="24" t="s">
        <v>6789</v>
      </c>
      <c r="C316" s="24" t="s">
        <v>6876</v>
      </c>
      <c r="D316" s="59">
        <v>5.0</v>
      </c>
      <c r="E316" s="59">
        <v>5.0</v>
      </c>
      <c r="F316" s="59">
        <v>5.0</v>
      </c>
      <c r="G316" s="60">
        <v>1.0</v>
      </c>
      <c r="H316" s="60">
        <v>0.6</v>
      </c>
      <c r="I316" s="60">
        <v>267.5053504</v>
      </c>
      <c r="J316" s="59">
        <v>6.0</v>
      </c>
      <c r="K316" s="61">
        <f t="shared" si="1"/>
        <v>1</v>
      </c>
      <c r="L316" s="62">
        <f t="shared" si="2"/>
        <v>1.2</v>
      </c>
    </row>
    <row r="317">
      <c r="A317" s="58">
        <v>46082.0</v>
      </c>
      <c r="B317" s="24" t="s">
        <v>6787</v>
      </c>
      <c r="C317" s="24" t="s">
        <v>6882</v>
      </c>
      <c r="D317" s="59">
        <v>5.0</v>
      </c>
      <c r="E317" s="59">
        <v>5.0</v>
      </c>
      <c r="F317" s="59">
        <v>5.0</v>
      </c>
      <c r="G317" s="60">
        <v>1.0</v>
      </c>
      <c r="H317" s="60">
        <v>0.8</v>
      </c>
      <c r="I317" s="60">
        <v>4.923792</v>
      </c>
      <c r="J317" s="59">
        <v>5.0</v>
      </c>
      <c r="K317" s="61">
        <f t="shared" si="1"/>
        <v>1</v>
      </c>
      <c r="L317" s="62">
        <f t="shared" si="2"/>
        <v>1</v>
      </c>
    </row>
    <row r="318">
      <c r="A318" s="58">
        <v>46082.0</v>
      </c>
      <c r="B318" s="24" t="s">
        <v>6789</v>
      </c>
      <c r="C318" s="24" t="s">
        <v>6844</v>
      </c>
      <c r="D318" s="59">
        <v>5.0</v>
      </c>
      <c r="E318" s="59">
        <v>5.0</v>
      </c>
      <c r="F318" s="59">
        <v>5.0</v>
      </c>
      <c r="G318" s="60">
        <v>1.0</v>
      </c>
      <c r="H318" s="60">
        <v>1.0</v>
      </c>
      <c r="I318" s="60">
        <v>0.0</v>
      </c>
      <c r="J318" s="59">
        <v>5.0</v>
      </c>
      <c r="K318" s="61">
        <f t="shared" si="1"/>
        <v>1</v>
      </c>
      <c r="L318" s="62">
        <f t="shared" si="2"/>
        <v>1</v>
      </c>
    </row>
    <row r="319">
      <c r="A319" s="58">
        <v>46082.0</v>
      </c>
      <c r="B319" s="24" t="s">
        <v>6787</v>
      </c>
      <c r="C319" s="24" t="s">
        <v>6825</v>
      </c>
      <c r="D319" s="59">
        <v>5.0</v>
      </c>
      <c r="E319" s="59">
        <v>5.0</v>
      </c>
      <c r="F319" s="59">
        <v>5.0</v>
      </c>
      <c r="G319" s="60">
        <v>1.0</v>
      </c>
      <c r="H319" s="60">
        <v>0.8</v>
      </c>
      <c r="I319" s="60">
        <v>5.0135992</v>
      </c>
      <c r="J319" s="59">
        <v>5.0</v>
      </c>
      <c r="K319" s="61">
        <f t="shared" si="1"/>
        <v>1</v>
      </c>
      <c r="L319" s="62">
        <f t="shared" si="2"/>
        <v>1</v>
      </c>
    </row>
    <row r="320">
      <c r="A320" s="58">
        <v>46082.0</v>
      </c>
      <c r="B320" s="24" t="s">
        <v>6789</v>
      </c>
      <c r="C320" s="24" t="s">
        <v>6801</v>
      </c>
      <c r="D320" s="59">
        <v>5.0</v>
      </c>
      <c r="E320" s="59">
        <v>6.0</v>
      </c>
      <c r="F320" s="59">
        <v>5.0</v>
      </c>
      <c r="G320" s="60">
        <v>1.2</v>
      </c>
      <c r="H320" s="60">
        <v>0.666666666666666</v>
      </c>
      <c r="I320" s="60">
        <v>231.621735333333</v>
      </c>
      <c r="J320" s="59">
        <v>16.0</v>
      </c>
      <c r="K320" s="61">
        <f t="shared" si="1"/>
        <v>0.8333333333</v>
      </c>
      <c r="L320" s="62">
        <f t="shared" si="2"/>
        <v>2.666666667</v>
      </c>
    </row>
    <row r="321">
      <c r="A321" s="58">
        <v>46082.0</v>
      </c>
      <c r="B321" s="24" t="s">
        <v>6789</v>
      </c>
      <c r="C321" s="24" t="s">
        <v>6936</v>
      </c>
      <c r="D321" s="59">
        <v>5.0</v>
      </c>
      <c r="E321" s="59">
        <v>5.0</v>
      </c>
      <c r="F321" s="59">
        <v>4.0</v>
      </c>
      <c r="G321" s="60">
        <v>1.25</v>
      </c>
      <c r="H321" s="60">
        <v>1.0</v>
      </c>
      <c r="I321" s="60">
        <v>0.0</v>
      </c>
      <c r="J321" s="59">
        <v>5.0</v>
      </c>
      <c r="K321" s="61">
        <f t="shared" si="1"/>
        <v>0.8</v>
      </c>
      <c r="L321" s="62">
        <f t="shared" si="2"/>
        <v>1</v>
      </c>
    </row>
    <row r="322">
      <c r="A322" s="58">
        <v>46082.0</v>
      </c>
      <c r="B322" s="24" t="s">
        <v>6787</v>
      </c>
      <c r="C322" s="24" t="s">
        <v>6815</v>
      </c>
      <c r="D322" s="59">
        <v>5.0</v>
      </c>
      <c r="E322" s="59">
        <v>6.0</v>
      </c>
      <c r="F322" s="59">
        <v>5.0</v>
      </c>
      <c r="G322" s="60">
        <v>1.2</v>
      </c>
      <c r="H322" s="60">
        <v>0.5</v>
      </c>
      <c r="I322" s="60">
        <v>40.1402766666666</v>
      </c>
      <c r="J322" s="59">
        <v>7.0</v>
      </c>
      <c r="K322" s="61">
        <f t="shared" si="1"/>
        <v>0.8333333333</v>
      </c>
      <c r="L322" s="62">
        <f t="shared" si="2"/>
        <v>1.166666667</v>
      </c>
    </row>
    <row r="323">
      <c r="A323" s="58">
        <v>46082.0</v>
      </c>
      <c r="B323" s="24" t="s">
        <v>155</v>
      </c>
      <c r="C323" s="24" t="s">
        <v>6802</v>
      </c>
      <c r="D323" s="59">
        <v>5.0</v>
      </c>
      <c r="E323" s="59">
        <v>5.0</v>
      </c>
      <c r="F323" s="59">
        <v>0.0</v>
      </c>
      <c r="G323" s="60">
        <v>1.0</v>
      </c>
      <c r="H323" s="60">
        <v>0.2</v>
      </c>
      <c r="I323" s="60">
        <v>869.0172114</v>
      </c>
      <c r="J323" s="59">
        <v>16.0</v>
      </c>
      <c r="K323" s="61">
        <f t="shared" si="1"/>
        <v>0</v>
      </c>
      <c r="L323" s="62">
        <f t="shared" si="2"/>
        <v>3.2</v>
      </c>
    </row>
    <row r="324">
      <c r="A324" s="58">
        <v>46082.0</v>
      </c>
      <c r="B324" s="24" t="s">
        <v>6787</v>
      </c>
      <c r="C324" s="24" t="s">
        <v>6937</v>
      </c>
      <c r="D324" s="59">
        <v>4.0</v>
      </c>
      <c r="E324" s="59">
        <v>4.0</v>
      </c>
      <c r="F324" s="59">
        <v>4.0</v>
      </c>
      <c r="G324" s="60">
        <v>1.0</v>
      </c>
      <c r="H324" s="60">
        <v>0.75</v>
      </c>
      <c r="I324" s="60">
        <v>4.88865725</v>
      </c>
      <c r="J324" s="59">
        <v>4.0</v>
      </c>
      <c r="K324" s="61">
        <f t="shared" si="1"/>
        <v>1</v>
      </c>
      <c r="L324" s="62">
        <f t="shared" si="2"/>
        <v>1</v>
      </c>
    </row>
    <row r="325">
      <c r="A325" s="58">
        <v>46082.0</v>
      </c>
      <c r="B325" s="24" t="s">
        <v>6787</v>
      </c>
      <c r="C325" s="24" t="s">
        <v>6938</v>
      </c>
      <c r="D325" s="59">
        <v>4.0</v>
      </c>
      <c r="E325" s="59">
        <v>4.0</v>
      </c>
      <c r="F325" s="59">
        <v>4.0</v>
      </c>
      <c r="G325" s="60">
        <v>1.0</v>
      </c>
      <c r="H325" s="60">
        <v>1.0</v>
      </c>
      <c r="I325" s="60">
        <v>3.661635</v>
      </c>
      <c r="J325" s="59">
        <v>4.0</v>
      </c>
      <c r="K325" s="61">
        <f t="shared" si="1"/>
        <v>1</v>
      </c>
      <c r="L325" s="62">
        <f t="shared" si="2"/>
        <v>1</v>
      </c>
    </row>
    <row r="326">
      <c r="A326" s="58">
        <v>46082.0</v>
      </c>
      <c r="B326" s="24" t="s">
        <v>6787</v>
      </c>
      <c r="C326" s="24" t="s">
        <v>6858</v>
      </c>
      <c r="D326" s="59">
        <v>4.0</v>
      </c>
      <c r="E326" s="59">
        <v>4.0</v>
      </c>
      <c r="F326" s="59">
        <v>4.0</v>
      </c>
      <c r="G326" s="60">
        <v>1.0</v>
      </c>
      <c r="H326" s="60">
        <v>0.75</v>
      </c>
      <c r="I326" s="60">
        <v>3.9090155</v>
      </c>
      <c r="J326" s="59">
        <v>4.0</v>
      </c>
      <c r="K326" s="61">
        <f t="shared" si="1"/>
        <v>1</v>
      </c>
      <c r="L326" s="62">
        <f t="shared" si="2"/>
        <v>1</v>
      </c>
    </row>
    <row r="327">
      <c r="A327" s="58">
        <v>46082.0</v>
      </c>
      <c r="B327" s="24" t="s">
        <v>6787</v>
      </c>
      <c r="C327" s="24" t="s">
        <v>6804</v>
      </c>
      <c r="D327" s="59">
        <v>4.0</v>
      </c>
      <c r="E327" s="59">
        <v>5.0</v>
      </c>
      <c r="F327" s="59">
        <v>4.0</v>
      </c>
      <c r="G327" s="60">
        <v>1.25</v>
      </c>
      <c r="H327" s="60">
        <v>0.8</v>
      </c>
      <c r="I327" s="60">
        <v>6.345394</v>
      </c>
      <c r="J327" s="59">
        <v>5.0</v>
      </c>
      <c r="K327" s="61">
        <f t="shared" si="1"/>
        <v>0.8</v>
      </c>
      <c r="L327" s="62">
        <f t="shared" si="2"/>
        <v>1</v>
      </c>
    </row>
    <row r="328">
      <c r="A328" s="58">
        <v>46082.0</v>
      </c>
      <c r="B328" s="24" t="s">
        <v>155</v>
      </c>
      <c r="C328" s="24" t="s">
        <v>6793</v>
      </c>
      <c r="D328" s="59">
        <v>4.0</v>
      </c>
      <c r="E328" s="59">
        <v>4.0</v>
      </c>
      <c r="F328" s="59">
        <v>4.0</v>
      </c>
      <c r="G328" s="60">
        <v>1.0</v>
      </c>
      <c r="H328" s="60">
        <v>0.25</v>
      </c>
      <c r="I328" s="60">
        <v>99.8106135</v>
      </c>
      <c r="J328" s="59">
        <v>4.0</v>
      </c>
      <c r="K328" s="61">
        <f t="shared" si="1"/>
        <v>1</v>
      </c>
      <c r="L328" s="62">
        <f t="shared" si="2"/>
        <v>1</v>
      </c>
    </row>
    <row r="329">
      <c r="A329" s="58">
        <v>46082.0</v>
      </c>
      <c r="B329" s="24" t="s">
        <v>6787</v>
      </c>
      <c r="C329" s="24" t="s">
        <v>6939</v>
      </c>
      <c r="D329" s="59">
        <v>4.0</v>
      </c>
      <c r="E329" s="59">
        <v>4.0</v>
      </c>
      <c r="F329" s="59">
        <v>3.0</v>
      </c>
      <c r="G329" s="60">
        <v>1.33333333333333</v>
      </c>
      <c r="H329" s="60">
        <v>0.5</v>
      </c>
      <c r="I329" s="60">
        <v>198.65017375</v>
      </c>
      <c r="J329" s="59">
        <v>4.0</v>
      </c>
      <c r="K329" s="61">
        <f t="shared" si="1"/>
        <v>0.75</v>
      </c>
      <c r="L329" s="62">
        <f t="shared" si="2"/>
        <v>1</v>
      </c>
    </row>
    <row r="330">
      <c r="A330" s="58">
        <v>46082.0</v>
      </c>
      <c r="B330" s="24" t="s">
        <v>6794</v>
      </c>
      <c r="C330" s="24" t="s">
        <v>6939</v>
      </c>
      <c r="D330" s="59">
        <v>4.0</v>
      </c>
      <c r="E330" s="59">
        <v>4.0</v>
      </c>
      <c r="F330" s="59">
        <v>1.0</v>
      </c>
      <c r="G330" s="60">
        <v>1.33333333333333</v>
      </c>
      <c r="H330" s="60">
        <v>0.5</v>
      </c>
      <c r="I330" s="60">
        <v>252.69000875</v>
      </c>
      <c r="J330" s="59">
        <v>4.0</v>
      </c>
      <c r="K330" s="61">
        <f t="shared" si="1"/>
        <v>0.25</v>
      </c>
      <c r="L330" s="62">
        <f t="shared" si="2"/>
        <v>1</v>
      </c>
    </row>
    <row r="331">
      <c r="A331" s="58">
        <v>46082.0</v>
      </c>
      <c r="B331" s="24" t="s">
        <v>6789</v>
      </c>
      <c r="C331" s="24" t="s">
        <v>6875</v>
      </c>
      <c r="D331" s="59">
        <v>4.0</v>
      </c>
      <c r="E331" s="59">
        <v>4.0</v>
      </c>
      <c r="F331" s="59">
        <v>3.0</v>
      </c>
      <c r="G331" s="60">
        <v>1.0</v>
      </c>
      <c r="H331" s="60">
        <v>0.25</v>
      </c>
      <c r="I331" s="60">
        <v>44.75781375</v>
      </c>
      <c r="J331" s="59">
        <v>5.0</v>
      </c>
      <c r="K331" s="61">
        <f t="shared" si="1"/>
        <v>0.75</v>
      </c>
      <c r="L331" s="62">
        <f t="shared" si="2"/>
        <v>1.25</v>
      </c>
    </row>
    <row r="332">
      <c r="A332" s="58">
        <v>46082.0</v>
      </c>
      <c r="B332" s="24" t="s">
        <v>6787</v>
      </c>
      <c r="C332" s="24" t="s">
        <v>6876</v>
      </c>
      <c r="D332" s="59">
        <v>4.0</v>
      </c>
      <c r="E332" s="59">
        <v>4.0</v>
      </c>
      <c r="F332" s="59">
        <v>4.0</v>
      </c>
      <c r="G332" s="60">
        <v>1.0</v>
      </c>
      <c r="H332" s="60">
        <v>0.75</v>
      </c>
      <c r="I332" s="60">
        <v>10.8240905</v>
      </c>
      <c r="J332" s="59">
        <v>4.0</v>
      </c>
      <c r="K332" s="61">
        <f t="shared" si="1"/>
        <v>1</v>
      </c>
      <c r="L332" s="62">
        <f t="shared" si="2"/>
        <v>1</v>
      </c>
    </row>
    <row r="333">
      <c r="A333" s="58">
        <v>46082.0</v>
      </c>
      <c r="B333" s="24" t="s">
        <v>6787</v>
      </c>
      <c r="C333" s="24" t="s">
        <v>6884</v>
      </c>
      <c r="D333" s="59">
        <v>4.0</v>
      </c>
      <c r="E333" s="59">
        <v>4.0</v>
      </c>
      <c r="F333" s="59">
        <v>4.0</v>
      </c>
      <c r="G333" s="60">
        <v>1.0</v>
      </c>
      <c r="H333" s="60">
        <v>1.0</v>
      </c>
      <c r="I333" s="60">
        <v>4.2107505</v>
      </c>
      <c r="J333" s="59">
        <v>4.0</v>
      </c>
      <c r="K333" s="61">
        <f t="shared" si="1"/>
        <v>1</v>
      </c>
      <c r="L333" s="62">
        <f t="shared" si="2"/>
        <v>1</v>
      </c>
    </row>
    <row r="334">
      <c r="A334" s="58">
        <v>46082.0</v>
      </c>
      <c r="B334" s="24" t="s">
        <v>6789</v>
      </c>
      <c r="C334" s="24" t="s">
        <v>6889</v>
      </c>
      <c r="D334" s="59">
        <v>4.0</v>
      </c>
      <c r="E334" s="59">
        <v>7.0</v>
      </c>
      <c r="F334" s="59">
        <v>0.0</v>
      </c>
      <c r="G334" s="60">
        <v>1.75</v>
      </c>
      <c r="H334" s="60">
        <v>0.285714285714285</v>
      </c>
      <c r="I334" s="60">
        <v>1083.41502242857</v>
      </c>
      <c r="J334" s="59">
        <v>20.0</v>
      </c>
      <c r="K334" s="61">
        <f t="shared" si="1"/>
        <v>0</v>
      </c>
      <c r="L334" s="62">
        <f t="shared" si="2"/>
        <v>2.857142857</v>
      </c>
    </row>
    <row r="335">
      <c r="A335" s="58">
        <v>46082.0</v>
      </c>
      <c r="B335" s="24" t="s">
        <v>6787</v>
      </c>
      <c r="C335" s="24" t="s">
        <v>6839</v>
      </c>
      <c r="D335" s="59">
        <v>4.0</v>
      </c>
      <c r="E335" s="59">
        <v>4.0</v>
      </c>
      <c r="F335" s="59">
        <v>4.0</v>
      </c>
      <c r="G335" s="60">
        <v>1.0</v>
      </c>
      <c r="H335" s="60">
        <v>1.0</v>
      </c>
      <c r="I335" s="60">
        <v>3.080231</v>
      </c>
      <c r="J335" s="59">
        <v>4.0</v>
      </c>
      <c r="K335" s="61">
        <f t="shared" si="1"/>
        <v>1</v>
      </c>
      <c r="L335" s="62">
        <f t="shared" si="2"/>
        <v>1</v>
      </c>
    </row>
    <row r="336">
      <c r="A336" s="58">
        <v>46082.0</v>
      </c>
      <c r="B336" s="24" t="s">
        <v>6787</v>
      </c>
      <c r="C336" s="24" t="s">
        <v>6891</v>
      </c>
      <c r="D336" s="59">
        <v>4.0</v>
      </c>
      <c r="E336" s="59">
        <v>4.0</v>
      </c>
      <c r="F336" s="59">
        <v>4.0</v>
      </c>
      <c r="G336" s="60">
        <v>1.0</v>
      </c>
      <c r="H336" s="60">
        <v>0.25</v>
      </c>
      <c r="I336" s="60">
        <v>37.5408369999999</v>
      </c>
      <c r="J336" s="59">
        <v>11.0</v>
      </c>
      <c r="K336" s="61">
        <f t="shared" si="1"/>
        <v>1</v>
      </c>
      <c r="L336" s="62">
        <f t="shared" si="2"/>
        <v>2.75</v>
      </c>
    </row>
    <row r="337">
      <c r="A337" s="58">
        <v>46082.0</v>
      </c>
      <c r="B337" s="24" t="s">
        <v>6789</v>
      </c>
      <c r="C337" s="24" t="s">
        <v>6893</v>
      </c>
      <c r="D337" s="59">
        <v>4.0</v>
      </c>
      <c r="E337" s="59">
        <v>5.0</v>
      </c>
      <c r="F337" s="59">
        <v>1.0</v>
      </c>
      <c r="G337" s="60">
        <v>1.25</v>
      </c>
      <c r="H337" s="60">
        <v>0.0</v>
      </c>
      <c r="I337" s="60">
        <v>1159.3465006</v>
      </c>
      <c r="J337" s="59">
        <v>19.0</v>
      </c>
      <c r="K337" s="61">
        <f t="shared" si="1"/>
        <v>0.2</v>
      </c>
      <c r="L337" s="62">
        <f t="shared" si="2"/>
        <v>3.8</v>
      </c>
    </row>
    <row r="338">
      <c r="A338" s="58">
        <v>46082.0</v>
      </c>
      <c r="B338" s="24" t="s">
        <v>6789</v>
      </c>
      <c r="C338" s="24" t="s">
        <v>6898</v>
      </c>
      <c r="D338" s="59">
        <v>4.0</v>
      </c>
      <c r="E338" s="59">
        <v>4.0</v>
      </c>
      <c r="F338" s="59">
        <v>4.0</v>
      </c>
      <c r="G338" s="60">
        <v>1.0</v>
      </c>
      <c r="H338" s="60">
        <v>0.5</v>
      </c>
      <c r="I338" s="60">
        <v>17.64424075</v>
      </c>
      <c r="J338" s="59">
        <v>4.0</v>
      </c>
      <c r="K338" s="61">
        <f t="shared" si="1"/>
        <v>1</v>
      </c>
      <c r="L338" s="62">
        <f t="shared" si="2"/>
        <v>1</v>
      </c>
    </row>
    <row r="339">
      <c r="A339" s="58">
        <v>46082.0</v>
      </c>
      <c r="B339" s="24" t="s">
        <v>6787</v>
      </c>
      <c r="C339" s="24" t="s">
        <v>6845</v>
      </c>
      <c r="D339" s="59">
        <v>4.0</v>
      </c>
      <c r="E339" s="59">
        <v>4.0</v>
      </c>
      <c r="F339" s="59">
        <v>4.0</v>
      </c>
      <c r="G339" s="60">
        <v>1.0</v>
      </c>
      <c r="H339" s="60">
        <v>0.25</v>
      </c>
      <c r="I339" s="60">
        <v>595.8831965</v>
      </c>
      <c r="J339" s="59">
        <v>6.0</v>
      </c>
      <c r="K339" s="61">
        <f t="shared" si="1"/>
        <v>1</v>
      </c>
      <c r="L339" s="62">
        <f t="shared" si="2"/>
        <v>1.5</v>
      </c>
    </row>
    <row r="340">
      <c r="A340" s="58">
        <v>46082.0</v>
      </c>
      <c r="B340" s="24" t="s">
        <v>6789</v>
      </c>
      <c r="C340" s="24" t="s">
        <v>6845</v>
      </c>
      <c r="D340" s="59">
        <v>4.0</v>
      </c>
      <c r="E340" s="59">
        <v>5.0</v>
      </c>
      <c r="F340" s="59">
        <v>1.0</v>
      </c>
      <c r="G340" s="60">
        <v>1.66666666666666</v>
      </c>
      <c r="H340" s="60">
        <v>0.4</v>
      </c>
      <c r="I340" s="60">
        <v>1154.1932642</v>
      </c>
      <c r="J340" s="59">
        <v>46.0</v>
      </c>
      <c r="K340" s="61">
        <f t="shared" si="1"/>
        <v>0.2</v>
      </c>
      <c r="L340" s="62">
        <f t="shared" si="2"/>
        <v>9.2</v>
      </c>
    </row>
    <row r="341">
      <c r="A341" s="58">
        <v>46082.0</v>
      </c>
      <c r="B341" s="24" t="s">
        <v>6787</v>
      </c>
      <c r="C341" s="24" t="s">
        <v>6847</v>
      </c>
      <c r="D341" s="59">
        <v>4.0</v>
      </c>
      <c r="E341" s="59">
        <v>4.0</v>
      </c>
      <c r="F341" s="59">
        <v>4.0</v>
      </c>
      <c r="G341" s="60">
        <v>1.0</v>
      </c>
      <c r="H341" s="60">
        <v>1.0</v>
      </c>
      <c r="I341" s="60">
        <v>2.87780275</v>
      </c>
      <c r="J341" s="59">
        <v>4.0</v>
      </c>
      <c r="K341" s="61">
        <f t="shared" si="1"/>
        <v>1</v>
      </c>
      <c r="L341" s="62">
        <f t="shared" si="2"/>
        <v>1</v>
      </c>
    </row>
    <row r="342">
      <c r="A342" s="58">
        <v>46082.0</v>
      </c>
      <c r="B342" s="24" t="s">
        <v>6789</v>
      </c>
      <c r="C342" s="24" t="s">
        <v>6848</v>
      </c>
      <c r="D342" s="59">
        <v>4.0</v>
      </c>
      <c r="E342" s="59">
        <v>5.0</v>
      </c>
      <c r="F342" s="59">
        <v>3.0</v>
      </c>
      <c r="G342" s="60">
        <v>1.25</v>
      </c>
      <c r="H342" s="60">
        <v>0.4</v>
      </c>
      <c r="I342" s="60">
        <v>41.6977983999999</v>
      </c>
      <c r="J342" s="59">
        <v>6.0</v>
      </c>
      <c r="K342" s="61">
        <f t="shared" si="1"/>
        <v>0.6</v>
      </c>
      <c r="L342" s="62">
        <f t="shared" si="2"/>
        <v>1.2</v>
      </c>
    </row>
    <row r="343">
      <c r="A343" s="58">
        <v>46082.0</v>
      </c>
      <c r="B343" s="24" t="s">
        <v>6789</v>
      </c>
      <c r="C343" s="24" t="s">
        <v>6907</v>
      </c>
      <c r="D343" s="59">
        <v>4.0</v>
      </c>
      <c r="E343" s="59">
        <v>4.0</v>
      </c>
      <c r="F343" s="59">
        <v>3.0</v>
      </c>
      <c r="G343" s="60">
        <v>1.0</v>
      </c>
      <c r="H343" s="60">
        <v>0.25</v>
      </c>
      <c r="I343" s="60">
        <v>232.2685385</v>
      </c>
      <c r="J343" s="59">
        <v>13.0</v>
      </c>
      <c r="K343" s="61">
        <f t="shared" si="1"/>
        <v>0.75</v>
      </c>
      <c r="L343" s="62">
        <f t="shared" si="2"/>
        <v>3.25</v>
      </c>
    </row>
    <row r="344">
      <c r="A344" s="58">
        <v>46082.0</v>
      </c>
      <c r="B344" s="24" t="s">
        <v>6787</v>
      </c>
      <c r="C344" s="24" t="s">
        <v>6800</v>
      </c>
      <c r="D344" s="59">
        <v>4.0</v>
      </c>
      <c r="E344" s="59">
        <v>4.0</v>
      </c>
      <c r="F344" s="59">
        <v>4.0</v>
      </c>
      <c r="G344" s="60">
        <v>1.0</v>
      </c>
      <c r="H344" s="60">
        <v>1.0</v>
      </c>
      <c r="I344" s="60">
        <v>0.0</v>
      </c>
      <c r="J344" s="59">
        <v>4.0</v>
      </c>
      <c r="K344" s="61">
        <f t="shared" si="1"/>
        <v>1</v>
      </c>
      <c r="L344" s="62">
        <f t="shared" si="2"/>
        <v>1</v>
      </c>
    </row>
    <row r="345">
      <c r="A345" s="58">
        <v>46082.0</v>
      </c>
      <c r="B345" s="24" t="s">
        <v>6787</v>
      </c>
      <c r="C345" s="24" t="s">
        <v>6812</v>
      </c>
      <c r="D345" s="59">
        <v>4.0</v>
      </c>
      <c r="E345" s="59">
        <v>5.0</v>
      </c>
      <c r="F345" s="59">
        <v>4.0</v>
      </c>
      <c r="G345" s="60">
        <v>1.25</v>
      </c>
      <c r="H345" s="60">
        <v>0.6</v>
      </c>
      <c r="I345" s="60">
        <v>95.8809116</v>
      </c>
      <c r="J345" s="59">
        <v>8.0</v>
      </c>
      <c r="K345" s="61">
        <f t="shared" si="1"/>
        <v>0.8</v>
      </c>
      <c r="L345" s="62">
        <f t="shared" si="2"/>
        <v>1.6</v>
      </c>
    </row>
    <row r="346">
      <c r="A346" s="58">
        <v>46082.0</v>
      </c>
      <c r="B346" s="24" t="s">
        <v>6789</v>
      </c>
      <c r="C346" s="24" t="s">
        <v>6812</v>
      </c>
      <c r="D346" s="59">
        <v>4.0</v>
      </c>
      <c r="E346" s="59">
        <v>4.0</v>
      </c>
      <c r="F346" s="59">
        <v>3.0</v>
      </c>
      <c r="G346" s="60">
        <v>1.0</v>
      </c>
      <c r="H346" s="60">
        <v>0.5</v>
      </c>
      <c r="I346" s="60">
        <v>136.67645225</v>
      </c>
      <c r="J346" s="59">
        <v>9.0</v>
      </c>
      <c r="K346" s="61">
        <f t="shared" si="1"/>
        <v>0.75</v>
      </c>
      <c r="L346" s="62">
        <f t="shared" si="2"/>
        <v>2.25</v>
      </c>
    </row>
    <row r="347">
      <c r="A347" s="58">
        <v>46082.0</v>
      </c>
      <c r="B347" s="24" t="s">
        <v>6789</v>
      </c>
      <c r="C347" s="24" t="s">
        <v>6908</v>
      </c>
      <c r="D347" s="59">
        <v>4.0</v>
      </c>
      <c r="E347" s="59">
        <v>4.0</v>
      </c>
      <c r="F347" s="59">
        <v>1.0</v>
      </c>
      <c r="G347" s="60">
        <v>1.0</v>
      </c>
      <c r="H347" s="60">
        <v>0.0</v>
      </c>
      <c r="I347" s="60">
        <v>964.61520525</v>
      </c>
      <c r="J347" s="59">
        <v>14.0</v>
      </c>
      <c r="K347" s="61">
        <f t="shared" si="1"/>
        <v>0.25</v>
      </c>
      <c r="L347" s="62">
        <f t="shared" si="2"/>
        <v>3.5</v>
      </c>
    </row>
    <row r="348">
      <c r="A348" s="58">
        <v>46082.0</v>
      </c>
      <c r="B348" s="24" t="s">
        <v>6794</v>
      </c>
      <c r="C348" s="24" t="s">
        <v>6795</v>
      </c>
      <c r="D348" s="59">
        <v>4.0</v>
      </c>
      <c r="E348" s="59">
        <v>5.0</v>
      </c>
      <c r="F348" s="59">
        <v>0.0</v>
      </c>
      <c r="G348" s="60">
        <v>1.66666666666666</v>
      </c>
      <c r="H348" s="60">
        <v>0.8</v>
      </c>
      <c r="I348" s="60">
        <v>6.75244579999999</v>
      </c>
      <c r="J348" s="59">
        <v>7.0</v>
      </c>
      <c r="K348" s="61">
        <f t="shared" si="1"/>
        <v>0</v>
      </c>
      <c r="L348" s="62">
        <f t="shared" si="2"/>
        <v>1.4</v>
      </c>
    </row>
    <row r="349">
      <c r="A349" s="58">
        <v>46082.0</v>
      </c>
      <c r="B349" s="24" t="s">
        <v>6787</v>
      </c>
      <c r="C349" s="24" t="s">
        <v>6912</v>
      </c>
      <c r="D349" s="59">
        <v>4.0</v>
      </c>
      <c r="E349" s="59">
        <v>4.0</v>
      </c>
      <c r="F349" s="59">
        <v>3.0</v>
      </c>
      <c r="G349" s="60">
        <v>1.33333333333333</v>
      </c>
      <c r="H349" s="60">
        <v>0.75</v>
      </c>
      <c r="I349" s="60">
        <v>10.194683</v>
      </c>
      <c r="J349" s="59">
        <v>5.0</v>
      </c>
      <c r="K349" s="61">
        <f t="shared" si="1"/>
        <v>0.75</v>
      </c>
      <c r="L349" s="62">
        <f t="shared" si="2"/>
        <v>1.25</v>
      </c>
    </row>
    <row r="350">
      <c r="A350" s="58">
        <v>46082.0</v>
      </c>
      <c r="B350" s="24" t="s">
        <v>6789</v>
      </c>
      <c r="C350" s="24" t="s">
        <v>6912</v>
      </c>
      <c r="D350" s="59">
        <v>4.0</v>
      </c>
      <c r="E350" s="59">
        <v>5.0</v>
      </c>
      <c r="F350" s="59">
        <v>2.0</v>
      </c>
      <c r="G350" s="60">
        <v>1.25</v>
      </c>
      <c r="H350" s="60">
        <v>0.2</v>
      </c>
      <c r="I350" s="60">
        <v>194.177119</v>
      </c>
      <c r="J350" s="59">
        <v>11.0</v>
      </c>
      <c r="K350" s="61">
        <f t="shared" si="1"/>
        <v>0.4</v>
      </c>
      <c r="L350" s="62">
        <f t="shared" si="2"/>
        <v>2.2</v>
      </c>
    </row>
    <row r="351">
      <c r="A351" s="58">
        <v>46082.0</v>
      </c>
      <c r="B351" s="24" t="s">
        <v>6787</v>
      </c>
      <c r="C351" s="24" t="s">
        <v>6916</v>
      </c>
      <c r="D351" s="59">
        <v>4.0</v>
      </c>
      <c r="E351" s="59">
        <v>4.0</v>
      </c>
      <c r="F351" s="59">
        <v>4.0</v>
      </c>
      <c r="G351" s="60">
        <v>1.0</v>
      </c>
      <c r="H351" s="60">
        <v>1.0</v>
      </c>
      <c r="I351" s="60">
        <v>1.682543</v>
      </c>
      <c r="J351" s="59">
        <v>4.0</v>
      </c>
      <c r="K351" s="61">
        <f t="shared" si="1"/>
        <v>1</v>
      </c>
      <c r="L351" s="62">
        <f t="shared" si="2"/>
        <v>1</v>
      </c>
    </row>
    <row r="352">
      <c r="A352" s="58">
        <v>46082.0</v>
      </c>
      <c r="B352" s="24" t="s">
        <v>6787</v>
      </c>
      <c r="C352" s="24" t="s">
        <v>6936</v>
      </c>
      <c r="D352" s="59">
        <v>4.0</v>
      </c>
      <c r="E352" s="59">
        <v>6.0</v>
      </c>
      <c r="F352" s="59">
        <v>2.0</v>
      </c>
      <c r="G352" s="60">
        <v>1.5</v>
      </c>
      <c r="H352" s="60">
        <v>0.666666666666666</v>
      </c>
      <c r="I352" s="60">
        <v>135.378630166666</v>
      </c>
      <c r="J352" s="59">
        <v>9.0</v>
      </c>
      <c r="K352" s="61">
        <f t="shared" si="1"/>
        <v>0.3333333333</v>
      </c>
      <c r="L352" s="62">
        <f t="shared" si="2"/>
        <v>1.5</v>
      </c>
    </row>
    <row r="353">
      <c r="A353" s="58">
        <v>46082.0</v>
      </c>
      <c r="B353" s="24" t="s">
        <v>6789</v>
      </c>
      <c r="C353" s="24" t="s">
        <v>6797</v>
      </c>
      <c r="D353" s="59">
        <v>4.0</v>
      </c>
      <c r="E353" s="59">
        <v>4.0</v>
      </c>
      <c r="F353" s="59">
        <v>3.0</v>
      </c>
      <c r="G353" s="60">
        <v>1.0</v>
      </c>
      <c r="H353" s="60">
        <v>0.5</v>
      </c>
      <c r="I353" s="60">
        <v>9.32969024999999</v>
      </c>
      <c r="J353" s="59">
        <v>4.0</v>
      </c>
      <c r="K353" s="61">
        <f t="shared" si="1"/>
        <v>0.75</v>
      </c>
      <c r="L353" s="62">
        <f t="shared" si="2"/>
        <v>1</v>
      </c>
    </row>
    <row r="354">
      <c r="A354" s="58">
        <v>46082.0</v>
      </c>
      <c r="B354" s="24" t="s">
        <v>6787</v>
      </c>
      <c r="C354" s="24" t="s">
        <v>6940</v>
      </c>
      <c r="D354" s="59">
        <v>4.0</v>
      </c>
      <c r="E354" s="59">
        <v>4.0</v>
      </c>
      <c r="F354" s="59">
        <v>3.0</v>
      </c>
      <c r="G354" s="60">
        <v>1.0</v>
      </c>
      <c r="H354" s="60">
        <v>0.75</v>
      </c>
      <c r="I354" s="60">
        <v>391.005044</v>
      </c>
      <c r="J354" s="59">
        <v>11.0</v>
      </c>
      <c r="K354" s="61">
        <f t="shared" si="1"/>
        <v>0.75</v>
      </c>
      <c r="L354" s="62">
        <f t="shared" si="2"/>
        <v>2.75</v>
      </c>
    </row>
    <row r="355">
      <c r="A355" s="58">
        <v>46082.0</v>
      </c>
      <c r="B355" s="24" t="s">
        <v>6787</v>
      </c>
      <c r="C355" s="24" t="s">
        <v>6854</v>
      </c>
      <c r="D355" s="59">
        <v>4.0</v>
      </c>
      <c r="E355" s="59">
        <v>4.0</v>
      </c>
      <c r="F355" s="59">
        <v>4.0</v>
      </c>
      <c r="G355" s="60">
        <v>1.0</v>
      </c>
      <c r="H355" s="60">
        <v>0.75</v>
      </c>
      <c r="I355" s="60">
        <v>7.48823275</v>
      </c>
      <c r="J355" s="59">
        <v>5.0</v>
      </c>
      <c r="K355" s="61">
        <f t="shared" si="1"/>
        <v>1</v>
      </c>
      <c r="L355" s="62">
        <f t="shared" si="2"/>
        <v>1.25</v>
      </c>
    </row>
    <row r="356">
      <c r="A356" s="58">
        <v>46082.0</v>
      </c>
      <c r="B356" s="24" t="s">
        <v>6787</v>
      </c>
      <c r="C356" s="24" t="s">
        <v>6941</v>
      </c>
      <c r="D356" s="59">
        <v>4.0</v>
      </c>
      <c r="E356" s="59">
        <v>4.0</v>
      </c>
      <c r="F356" s="59">
        <v>4.0</v>
      </c>
      <c r="G356" s="60">
        <v>1.0</v>
      </c>
      <c r="H356" s="60">
        <v>1.0</v>
      </c>
      <c r="I356" s="60">
        <v>0.0</v>
      </c>
      <c r="J356" s="59">
        <v>4.0</v>
      </c>
      <c r="K356" s="61">
        <f t="shared" si="1"/>
        <v>1</v>
      </c>
      <c r="L356" s="62">
        <f t="shared" si="2"/>
        <v>1</v>
      </c>
    </row>
    <row r="357">
      <c r="A357" s="58">
        <v>46082.0</v>
      </c>
      <c r="B357" s="24" t="s">
        <v>6942</v>
      </c>
      <c r="C357" s="24" t="s">
        <v>6788</v>
      </c>
      <c r="D357" s="59">
        <v>3.0</v>
      </c>
      <c r="E357" s="59">
        <v>3.0</v>
      </c>
      <c r="F357" s="59">
        <v>3.0</v>
      </c>
      <c r="G357" s="60">
        <v>1.0</v>
      </c>
      <c r="H357" s="60">
        <v>1.0</v>
      </c>
      <c r="I357" s="60">
        <v>0.0</v>
      </c>
      <c r="J357" s="59">
        <v>3.0</v>
      </c>
      <c r="K357" s="61">
        <f t="shared" si="1"/>
        <v>1</v>
      </c>
      <c r="L357" s="62">
        <f t="shared" si="2"/>
        <v>1</v>
      </c>
    </row>
    <row r="358">
      <c r="A358" s="58">
        <v>46082.0</v>
      </c>
      <c r="B358" s="24" t="s">
        <v>6789</v>
      </c>
      <c r="C358" s="24" t="s">
        <v>6817</v>
      </c>
      <c r="D358" s="59">
        <v>3.0</v>
      </c>
      <c r="E358" s="59">
        <v>3.0</v>
      </c>
      <c r="F358" s="59">
        <v>1.0</v>
      </c>
      <c r="G358" s="60">
        <v>1.0</v>
      </c>
      <c r="H358" s="60">
        <v>0.333333333333333</v>
      </c>
      <c r="I358" s="60">
        <v>1071.88291833333</v>
      </c>
      <c r="J358" s="59">
        <v>8.0</v>
      </c>
      <c r="K358" s="61">
        <f t="shared" si="1"/>
        <v>0.3333333333</v>
      </c>
      <c r="L358" s="62">
        <f t="shared" si="2"/>
        <v>2.666666667</v>
      </c>
    </row>
    <row r="359">
      <c r="A359" s="58">
        <v>46082.0</v>
      </c>
      <c r="B359" s="24" t="s">
        <v>6789</v>
      </c>
      <c r="C359" s="24" t="s">
        <v>6928</v>
      </c>
      <c r="D359" s="59">
        <v>3.0</v>
      </c>
      <c r="E359" s="59">
        <v>5.0</v>
      </c>
      <c r="F359" s="59">
        <v>1.0</v>
      </c>
      <c r="G359" s="60">
        <v>2.5</v>
      </c>
      <c r="H359" s="60">
        <v>0.4</v>
      </c>
      <c r="I359" s="60">
        <v>145.65375</v>
      </c>
      <c r="J359" s="59">
        <v>9.0</v>
      </c>
      <c r="K359" s="61">
        <f t="shared" si="1"/>
        <v>0.2</v>
      </c>
      <c r="L359" s="62">
        <f t="shared" si="2"/>
        <v>1.8</v>
      </c>
    </row>
    <row r="360">
      <c r="A360" s="58">
        <v>46082.0</v>
      </c>
      <c r="B360" s="24" t="s">
        <v>6789</v>
      </c>
      <c r="C360" s="24" t="s">
        <v>6828</v>
      </c>
      <c r="D360" s="59">
        <v>3.0</v>
      </c>
      <c r="E360" s="59">
        <v>3.0</v>
      </c>
      <c r="F360" s="59">
        <v>2.0</v>
      </c>
      <c r="G360" s="60">
        <v>1.0</v>
      </c>
      <c r="H360" s="60">
        <v>0.333333333333333</v>
      </c>
      <c r="I360" s="60">
        <v>57.3231766666666</v>
      </c>
      <c r="J360" s="59">
        <v>3.0</v>
      </c>
      <c r="K360" s="61">
        <f t="shared" si="1"/>
        <v>0.6666666667</v>
      </c>
      <c r="L360" s="62">
        <f t="shared" si="2"/>
        <v>1</v>
      </c>
    </row>
    <row r="361">
      <c r="A361" s="58">
        <v>46082.0</v>
      </c>
      <c r="B361" s="24" t="s">
        <v>6787</v>
      </c>
      <c r="C361" s="24" t="s">
        <v>6943</v>
      </c>
      <c r="D361" s="59">
        <v>3.0</v>
      </c>
      <c r="E361" s="59">
        <v>3.0</v>
      </c>
      <c r="F361" s="59">
        <v>3.0</v>
      </c>
      <c r="G361" s="60">
        <v>1.0</v>
      </c>
      <c r="H361" s="60">
        <v>0.666666666666666</v>
      </c>
      <c r="I361" s="60">
        <v>4.211433</v>
      </c>
      <c r="J361" s="59">
        <v>3.0</v>
      </c>
      <c r="K361" s="61">
        <f t="shared" si="1"/>
        <v>1</v>
      </c>
      <c r="L361" s="62">
        <f t="shared" si="2"/>
        <v>1</v>
      </c>
    </row>
    <row r="362">
      <c r="A362" s="58">
        <v>46082.0</v>
      </c>
      <c r="B362" s="24" t="s">
        <v>6787</v>
      </c>
      <c r="C362" s="24" t="s">
        <v>6859</v>
      </c>
      <c r="D362" s="59">
        <v>3.0</v>
      </c>
      <c r="E362" s="59">
        <v>3.0</v>
      </c>
      <c r="F362" s="59">
        <v>3.0</v>
      </c>
      <c r="G362" s="60">
        <v>1.0</v>
      </c>
      <c r="H362" s="60">
        <v>1.0</v>
      </c>
      <c r="I362" s="60">
        <v>0.0</v>
      </c>
      <c r="J362" s="59">
        <v>3.0</v>
      </c>
      <c r="K362" s="61">
        <f t="shared" si="1"/>
        <v>1</v>
      </c>
      <c r="L362" s="62">
        <f t="shared" si="2"/>
        <v>1</v>
      </c>
    </row>
    <row r="363">
      <c r="A363" s="58">
        <v>46082.0</v>
      </c>
      <c r="B363" s="24" t="s">
        <v>6787</v>
      </c>
      <c r="C363" s="24" t="s">
        <v>6829</v>
      </c>
      <c r="D363" s="59">
        <v>3.0</v>
      </c>
      <c r="E363" s="59">
        <v>3.0</v>
      </c>
      <c r="F363" s="59">
        <v>3.0</v>
      </c>
      <c r="G363" s="60">
        <v>1.0</v>
      </c>
      <c r="H363" s="60">
        <v>1.0</v>
      </c>
      <c r="I363" s="60">
        <v>0.0</v>
      </c>
      <c r="J363" s="59">
        <v>3.0</v>
      </c>
      <c r="K363" s="61">
        <f t="shared" si="1"/>
        <v>1</v>
      </c>
      <c r="L363" s="62">
        <f t="shared" si="2"/>
        <v>1</v>
      </c>
    </row>
    <row r="364">
      <c r="A364" s="58">
        <v>46082.0</v>
      </c>
      <c r="B364" s="24" t="s">
        <v>6790</v>
      </c>
      <c r="C364" s="24" t="s">
        <v>6793</v>
      </c>
      <c r="D364" s="59">
        <v>3.0</v>
      </c>
      <c r="E364" s="59">
        <v>3.0</v>
      </c>
      <c r="F364" s="59">
        <v>0.0</v>
      </c>
      <c r="G364" s="60">
        <v>1.0</v>
      </c>
      <c r="H364" s="60">
        <v>1.0</v>
      </c>
      <c r="I364" s="60">
        <v>0.0</v>
      </c>
      <c r="J364" s="59">
        <v>3.0</v>
      </c>
      <c r="K364" s="61">
        <f t="shared" si="1"/>
        <v>0</v>
      </c>
      <c r="L364" s="62">
        <f t="shared" si="2"/>
        <v>1</v>
      </c>
    </row>
    <row r="365">
      <c r="A365" s="58">
        <v>46082.0</v>
      </c>
      <c r="B365" s="24" t="s">
        <v>6787</v>
      </c>
      <c r="C365" s="24" t="s">
        <v>6868</v>
      </c>
      <c r="D365" s="59">
        <v>3.0</v>
      </c>
      <c r="E365" s="59">
        <v>3.0</v>
      </c>
      <c r="F365" s="59">
        <v>3.0</v>
      </c>
      <c r="G365" s="60">
        <v>1.0</v>
      </c>
      <c r="H365" s="60">
        <v>1.0</v>
      </c>
      <c r="I365" s="60">
        <v>2.04099066666666</v>
      </c>
      <c r="J365" s="59">
        <v>3.0</v>
      </c>
      <c r="K365" s="61">
        <f t="shared" si="1"/>
        <v>1</v>
      </c>
      <c r="L365" s="62">
        <f t="shared" si="2"/>
        <v>1</v>
      </c>
    </row>
    <row r="366">
      <c r="A366" s="58">
        <v>46082.0</v>
      </c>
      <c r="B366" s="24" t="s">
        <v>6787</v>
      </c>
      <c r="C366" s="24" t="s">
        <v>6944</v>
      </c>
      <c r="D366" s="59">
        <v>3.0</v>
      </c>
      <c r="E366" s="59">
        <v>3.0</v>
      </c>
      <c r="F366" s="59">
        <v>3.0</v>
      </c>
      <c r="G366" s="60">
        <v>1.0</v>
      </c>
      <c r="H366" s="60">
        <v>1.0</v>
      </c>
      <c r="I366" s="60">
        <v>0.0</v>
      </c>
      <c r="J366" s="59">
        <v>3.0</v>
      </c>
      <c r="K366" s="61">
        <f t="shared" si="1"/>
        <v>1</v>
      </c>
      <c r="L366" s="62">
        <f t="shared" si="2"/>
        <v>1</v>
      </c>
    </row>
    <row r="367">
      <c r="A367" s="58">
        <v>46082.0</v>
      </c>
      <c r="B367" s="24" t="s">
        <v>6787</v>
      </c>
      <c r="C367" s="24" t="s">
        <v>6875</v>
      </c>
      <c r="D367" s="59">
        <v>3.0</v>
      </c>
      <c r="E367" s="59">
        <v>3.0</v>
      </c>
      <c r="F367" s="59">
        <v>3.0</v>
      </c>
      <c r="G367" s="60">
        <v>1.0</v>
      </c>
      <c r="H367" s="60">
        <v>0.666666666666666</v>
      </c>
      <c r="I367" s="60">
        <v>9.71447366666666</v>
      </c>
      <c r="J367" s="59">
        <v>3.0</v>
      </c>
      <c r="K367" s="61">
        <f t="shared" si="1"/>
        <v>1</v>
      </c>
      <c r="L367" s="62">
        <f t="shared" si="2"/>
        <v>1</v>
      </c>
    </row>
    <row r="368">
      <c r="A368" s="58">
        <v>46082.0</v>
      </c>
      <c r="B368" s="24" t="s">
        <v>6789</v>
      </c>
      <c r="C368" s="24" t="s">
        <v>6883</v>
      </c>
      <c r="D368" s="59">
        <v>3.0</v>
      </c>
      <c r="E368" s="59">
        <v>3.0</v>
      </c>
      <c r="F368" s="59">
        <v>3.0</v>
      </c>
      <c r="G368" s="60">
        <v>1.0</v>
      </c>
      <c r="H368" s="60">
        <v>0.333333333333333</v>
      </c>
      <c r="I368" s="60">
        <v>49.506911</v>
      </c>
      <c r="J368" s="59">
        <v>3.0</v>
      </c>
      <c r="K368" s="61">
        <f t="shared" si="1"/>
        <v>1</v>
      </c>
      <c r="L368" s="62">
        <f t="shared" si="2"/>
        <v>1</v>
      </c>
    </row>
    <row r="369">
      <c r="A369" s="58">
        <v>46082.0</v>
      </c>
      <c r="B369" s="24" t="s">
        <v>6787</v>
      </c>
      <c r="C369" s="24" t="s">
        <v>6835</v>
      </c>
      <c r="D369" s="59">
        <v>3.0</v>
      </c>
      <c r="E369" s="59">
        <v>4.0</v>
      </c>
      <c r="F369" s="59">
        <v>3.0</v>
      </c>
      <c r="G369" s="60">
        <v>1.33333333333333</v>
      </c>
      <c r="H369" s="60">
        <v>0.5</v>
      </c>
      <c r="I369" s="60">
        <v>47.15686925</v>
      </c>
      <c r="J369" s="59">
        <v>5.0</v>
      </c>
      <c r="K369" s="61">
        <f t="shared" si="1"/>
        <v>0.75</v>
      </c>
      <c r="L369" s="62">
        <f t="shared" si="2"/>
        <v>1.25</v>
      </c>
    </row>
    <row r="370">
      <c r="A370" s="58">
        <v>46082.0</v>
      </c>
      <c r="B370" s="24" t="s">
        <v>6787</v>
      </c>
      <c r="C370" s="24" t="s">
        <v>6836</v>
      </c>
      <c r="D370" s="59">
        <v>3.0</v>
      </c>
      <c r="E370" s="59">
        <v>3.0</v>
      </c>
      <c r="F370" s="59">
        <v>3.0</v>
      </c>
      <c r="G370" s="60">
        <v>1.0</v>
      </c>
      <c r="H370" s="60">
        <v>1.0</v>
      </c>
      <c r="I370" s="60">
        <v>0.0</v>
      </c>
      <c r="J370" s="59">
        <v>3.0</v>
      </c>
      <c r="K370" s="61">
        <f t="shared" si="1"/>
        <v>1</v>
      </c>
      <c r="L370" s="62">
        <f t="shared" si="2"/>
        <v>1</v>
      </c>
    </row>
    <row r="371">
      <c r="A371" s="58">
        <v>46082.0</v>
      </c>
      <c r="B371" s="24" t="s">
        <v>6787</v>
      </c>
      <c r="C371" s="24" t="s">
        <v>6945</v>
      </c>
      <c r="D371" s="59">
        <v>3.0</v>
      </c>
      <c r="E371" s="59">
        <v>3.0</v>
      </c>
      <c r="F371" s="59">
        <v>2.0</v>
      </c>
      <c r="G371" s="60">
        <v>1.0</v>
      </c>
      <c r="H371" s="60">
        <v>0.666666666666666</v>
      </c>
      <c r="I371" s="60">
        <v>976.504147</v>
      </c>
      <c r="J371" s="59">
        <v>444.0</v>
      </c>
      <c r="K371" s="61">
        <f t="shared" si="1"/>
        <v>0.6666666667</v>
      </c>
      <c r="L371" s="62">
        <f t="shared" si="2"/>
        <v>148</v>
      </c>
    </row>
    <row r="372">
      <c r="A372" s="58">
        <v>46082.0</v>
      </c>
      <c r="B372" s="24" t="s">
        <v>6787</v>
      </c>
      <c r="C372" s="24" t="s">
        <v>6926</v>
      </c>
      <c r="D372" s="59">
        <v>3.0</v>
      </c>
      <c r="E372" s="59">
        <v>4.0</v>
      </c>
      <c r="F372" s="59">
        <v>2.0</v>
      </c>
      <c r="G372" s="60">
        <v>1.33333333333333</v>
      </c>
      <c r="H372" s="60">
        <v>0.5</v>
      </c>
      <c r="I372" s="60">
        <v>211.68627425</v>
      </c>
      <c r="J372" s="59">
        <v>7.0</v>
      </c>
      <c r="K372" s="61">
        <f t="shared" si="1"/>
        <v>0.5</v>
      </c>
      <c r="L372" s="62">
        <f t="shared" si="2"/>
        <v>1.75</v>
      </c>
    </row>
    <row r="373">
      <c r="A373" s="58">
        <v>46082.0</v>
      </c>
      <c r="B373" s="24" t="s">
        <v>6794</v>
      </c>
      <c r="C373" s="24" t="s">
        <v>6926</v>
      </c>
      <c r="D373" s="59">
        <v>3.0</v>
      </c>
      <c r="E373" s="59">
        <v>4.0</v>
      </c>
      <c r="F373" s="59">
        <v>1.0</v>
      </c>
      <c r="G373" s="60">
        <v>1.33333333333333</v>
      </c>
      <c r="H373" s="60">
        <v>0.5</v>
      </c>
      <c r="I373" s="60">
        <v>205.14140175</v>
      </c>
      <c r="J373" s="59">
        <v>5.0</v>
      </c>
      <c r="K373" s="61">
        <f t="shared" si="1"/>
        <v>0.25</v>
      </c>
      <c r="L373" s="62">
        <f t="shared" si="2"/>
        <v>1.25</v>
      </c>
    </row>
    <row r="374">
      <c r="A374" s="58">
        <v>46082.0</v>
      </c>
      <c r="B374" s="24" t="s">
        <v>6787</v>
      </c>
      <c r="C374" s="24" t="s">
        <v>6888</v>
      </c>
      <c r="D374" s="59">
        <v>3.0</v>
      </c>
      <c r="E374" s="59">
        <v>3.0</v>
      </c>
      <c r="F374" s="59">
        <v>3.0</v>
      </c>
      <c r="G374" s="60">
        <v>1.0</v>
      </c>
      <c r="H374" s="60">
        <v>0.333333333333333</v>
      </c>
      <c r="I374" s="60">
        <v>6.65462033333333</v>
      </c>
      <c r="J374" s="59">
        <v>5.0</v>
      </c>
      <c r="K374" s="61">
        <f t="shared" si="1"/>
        <v>1</v>
      </c>
      <c r="L374" s="62">
        <f t="shared" si="2"/>
        <v>1.666666667</v>
      </c>
    </row>
    <row r="375">
      <c r="A375" s="58">
        <v>46082.0</v>
      </c>
      <c r="B375" s="24" t="s">
        <v>6789</v>
      </c>
      <c r="C375" s="24" t="s">
        <v>6838</v>
      </c>
      <c r="D375" s="59">
        <v>3.0</v>
      </c>
      <c r="E375" s="59">
        <v>3.0</v>
      </c>
      <c r="F375" s="59">
        <v>3.0</v>
      </c>
      <c r="G375" s="60">
        <v>1.0</v>
      </c>
      <c r="H375" s="60">
        <v>0.333333333333333</v>
      </c>
      <c r="I375" s="60">
        <v>49.418453</v>
      </c>
      <c r="J375" s="59">
        <v>4.0</v>
      </c>
      <c r="K375" s="61">
        <f t="shared" si="1"/>
        <v>1</v>
      </c>
      <c r="L375" s="62">
        <f t="shared" si="2"/>
        <v>1.333333333</v>
      </c>
    </row>
    <row r="376">
      <c r="A376" s="58">
        <v>46082.0</v>
      </c>
      <c r="B376" s="24" t="s">
        <v>6787</v>
      </c>
      <c r="C376" s="24" t="s">
        <v>6893</v>
      </c>
      <c r="D376" s="59">
        <v>3.0</v>
      </c>
      <c r="E376" s="59">
        <v>3.0</v>
      </c>
      <c r="F376" s="59">
        <v>2.0</v>
      </c>
      <c r="G376" s="60">
        <v>1.5</v>
      </c>
      <c r="H376" s="60">
        <v>0.666666666666666</v>
      </c>
      <c r="I376" s="60">
        <v>10.333778</v>
      </c>
      <c r="J376" s="59">
        <v>3.0</v>
      </c>
      <c r="K376" s="61">
        <f t="shared" si="1"/>
        <v>0.6666666667</v>
      </c>
      <c r="L376" s="62">
        <f t="shared" si="2"/>
        <v>1</v>
      </c>
    </row>
    <row r="377">
      <c r="A377" s="58">
        <v>46082.0</v>
      </c>
      <c r="B377" s="24" t="s">
        <v>6787</v>
      </c>
      <c r="C377" s="24" t="s">
        <v>6894</v>
      </c>
      <c r="D377" s="59">
        <v>3.0</v>
      </c>
      <c r="E377" s="59">
        <v>3.0</v>
      </c>
      <c r="F377" s="59">
        <v>2.0</v>
      </c>
      <c r="G377" s="60">
        <v>1.0</v>
      </c>
      <c r="H377" s="60">
        <v>0.0</v>
      </c>
      <c r="I377" s="60">
        <v>125.275349</v>
      </c>
      <c r="J377" s="59">
        <v>9.0</v>
      </c>
      <c r="K377" s="61">
        <f t="shared" si="1"/>
        <v>0.6666666667</v>
      </c>
      <c r="L377" s="62">
        <f t="shared" si="2"/>
        <v>3</v>
      </c>
    </row>
    <row r="378">
      <c r="A378" s="58">
        <v>46082.0</v>
      </c>
      <c r="B378" s="24" t="s">
        <v>6787</v>
      </c>
      <c r="C378" s="24" t="s">
        <v>6840</v>
      </c>
      <c r="D378" s="59">
        <v>3.0</v>
      </c>
      <c r="E378" s="59">
        <v>3.0</v>
      </c>
      <c r="F378" s="59">
        <v>3.0</v>
      </c>
      <c r="G378" s="60">
        <v>1.0</v>
      </c>
      <c r="H378" s="60">
        <v>0.666666666666666</v>
      </c>
      <c r="I378" s="60">
        <v>15.458689</v>
      </c>
      <c r="J378" s="59">
        <v>5.0</v>
      </c>
      <c r="K378" s="61">
        <f t="shared" si="1"/>
        <v>1</v>
      </c>
      <c r="L378" s="62">
        <f t="shared" si="2"/>
        <v>1.666666667</v>
      </c>
    </row>
    <row r="379">
      <c r="A379" s="58">
        <v>46082.0</v>
      </c>
      <c r="B379" s="24" t="s">
        <v>6787</v>
      </c>
      <c r="C379" s="24" t="s">
        <v>6896</v>
      </c>
      <c r="D379" s="59">
        <v>3.0</v>
      </c>
      <c r="E379" s="59">
        <v>3.0</v>
      </c>
      <c r="F379" s="59">
        <v>3.0</v>
      </c>
      <c r="G379" s="60">
        <v>1.0</v>
      </c>
      <c r="H379" s="60">
        <v>1.0</v>
      </c>
      <c r="I379" s="60">
        <v>0.0</v>
      </c>
      <c r="J379" s="59">
        <v>3.0</v>
      </c>
      <c r="K379" s="61">
        <f t="shared" si="1"/>
        <v>1</v>
      </c>
      <c r="L379" s="62">
        <f t="shared" si="2"/>
        <v>1</v>
      </c>
    </row>
    <row r="380">
      <c r="A380" s="58">
        <v>46082.0</v>
      </c>
      <c r="B380" s="24" t="s">
        <v>6787</v>
      </c>
      <c r="C380" s="24" t="s">
        <v>6823</v>
      </c>
      <c r="D380" s="59">
        <v>3.0</v>
      </c>
      <c r="E380" s="59">
        <v>3.0</v>
      </c>
      <c r="F380" s="59">
        <v>3.0</v>
      </c>
      <c r="G380" s="60">
        <v>1.0</v>
      </c>
      <c r="H380" s="60">
        <v>0.666666666666666</v>
      </c>
      <c r="I380" s="60">
        <v>13.1992933333333</v>
      </c>
      <c r="J380" s="59">
        <v>3.0</v>
      </c>
      <c r="K380" s="61">
        <f t="shared" si="1"/>
        <v>1</v>
      </c>
      <c r="L380" s="62">
        <f t="shared" si="2"/>
        <v>1</v>
      </c>
    </row>
    <row r="381">
      <c r="A381" s="58">
        <v>46082.0</v>
      </c>
      <c r="B381" s="24" t="s">
        <v>6787</v>
      </c>
      <c r="C381" s="24" t="s">
        <v>6897</v>
      </c>
      <c r="D381" s="59">
        <v>3.0</v>
      </c>
      <c r="E381" s="59">
        <v>3.0</v>
      </c>
      <c r="F381" s="59">
        <v>3.0</v>
      </c>
      <c r="G381" s="60">
        <v>1.0</v>
      </c>
      <c r="H381" s="60">
        <v>1.0</v>
      </c>
      <c r="I381" s="60">
        <v>0.0</v>
      </c>
      <c r="J381" s="59">
        <v>3.0</v>
      </c>
      <c r="K381" s="61">
        <f t="shared" si="1"/>
        <v>1</v>
      </c>
      <c r="L381" s="62">
        <f t="shared" si="2"/>
        <v>1</v>
      </c>
    </row>
    <row r="382">
      <c r="A382" s="58">
        <v>46082.0</v>
      </c>
      <c r="B382" s="24" t="s">
        <v>6789</v>
      </c>
      <c r="C382" s="24" t="s">
        <v>6807</v>
      </c>
      <c r="D382" s="59">
        <v>3.0</v>
      </c>
      <c r="E382" s="59">
        <v>7.0</v>
      </c>
      <c r="F382" s="59">
        <v>2.0</v>
      </c>
      <c r="G382" s="60">
        <v>3.5</v>
      </c>
      <c r="H382" s="60">
        <v>1.0</v>
      </c>
      <c r="I382" s="60">
        <v>0.0</v>
      </c>
      <c r="J382" s="59">
        <v>7.0</v>
      </c>
      <c r="K382" s="61">
        <f t="shared" si="1"/>
        <v>0.2857142857</v>
      </c>
      <c r="L382" s="62">
        <f t="shared" si="2"/>
        <v>1</v>
      </c>
    </row>
    <row r="383">
      <c r="A383" s="58">
        <v>46082.0</v>
      </c>
      <c r="B383" s="24" t="s">
        <v>6787</v>
      </c>
      <c r="C383" s="24" t="s">
        <v>6946</v>
      </c>
      <c r="D383" s="59">
        <v>3.0</v>
      </c>
      <c r="E383" s="59">
        <v>3.0</v>
      </c>
      <c r="F383" s="59">
        <v>3.0</v>
      </c>
      <c r="G383" s="60">
        <v>1.0</v>
      </c>
      <c r="H383" s="60">
        <v>1.0</v>
      </c>
      <c r="I383" s="60">
        <v>1.88542866666666</v>
      </c>
      <c r="J383" s="59">
        <v>3.0</v>
      </c>
      <c r="K383" s="61">
        <f t="shared" si="1"/>
        <v>1</v>
      </c>
      <c r="L383" s="62">
        <f t="shared" si="2"/>
        <v>1</v>
      </c>
    </row>
    <row r="384">
      <c r="A384" s="58">
        <v>46082.0</v>
      </c>
      <c r="B384" s="24" t="s">
        <v>155</v>
      </c>
      <c r="C384" s="24" t="s">
        <v>6796</v>
      </c>
      <c r="D384" s="59">
        <v>3.0</v>
      </c>
      <c r="E384" s="59">
        <v>3.0</v>
      </c>
      <c r="F384" s="59">
        <v>3.0</v>
      </c>
      <c r="G384" s="60">
        <v>1.0</v>
      </c>
      <c r="H384" s="60">
        <v>0.666666666666666</v>
      </c>
      <c r="I384" s="60">
        <v>14.5707523333333</v>
      </c>
      <c r="J384" s="59">
        <v>3.0</v>
      </c>
      <c r="K384" s="61">
        <f t="shared" si="1"/>
        <v>1</v>
      </c>
      <c r="L384" s="62">
        <f t="shared" si="2"/>
        <v>1</v>
      </c>
    </row>
    <row r="385">
      <c r="A385" s="58">
        <v>46082.0</v>
      </c>
      <c r="B385" s="24" t="s">
        <v>6787</v>
      </c>
      <c r="C385" s="24" t="s">
        <v>6905</v>
      </c>
      <c r="D385" s="59">
        <v>3.0</v>
      </c>
      <c r="E385" s="59">
        <v>3.0</v>
      </c>
      <c r="F385" s="59">
        <v>3.0</v>
      </c>
      <c r="G385" s="60">
        <v>1.0</v>
      </c>
      <c r="H385" s="60">
        <v>1.0</v>
      </c>
      <c r="I385" s="60">
        <v>0.0</v>
      </c>
      <c r="J385" s="59">
        <v>3.0</v>
      </c>
      <c r="K385" s="61">
        <f t="shared" si="1"/>
        <v>1</v>
      </c>
      <c r="L385" s="62">
        <f t="shared" si="2"/>
        <v>1</v>
      </c>
    </row>
    <row r="386">
      <c r="A386" s="58">
        <v>46082.0</v>
      </c>
      <c r="B386" s="24" t="s">
        <v>6789</v>
      </c>
      <c r="C386" s="24" t="s">
        <v>6824</v>
      </c>
      <c r="D386" s="59">
        <v>3.0</v>
      </c>
      <c r="E386" s="59">
        <v>5.0</v>
      </c>
      <c r="F386" s="59">
        <v>0.0</v>
      </c>
      <c r="G386" s="60">
        <v>1.66666666666666</v>
      </c>
      <c r="H386" s="60">
        <v>0.0</v>
      </c>
      <c r="I386" s="60">
        <v>2309.2091834</v>
      </c>
      <c r="J386" s="59">
        <v>122.0</v>
      </c>
      <c r="K386" s="61">
        <f t="shared" si="1"/>
        <v>0</v>
      </c>
      <c r="L386" s="62">
        <f t="shared" si="2"/>
        <v>24.4</v>
      </c>
    </row>
    <row r="387">
      <c r="A387" s="58">
        <v>46082.0</v>
      </c>
      <c r="B387" s="24" t="s">
        <v>6787</v>
      </c>
      <c r="C387" s="24" t="s">
        <v>6906</v>
      </c>
      <c r="D387" s="59">
        <v>3.0</v>
      </c>
      <c r="E387" s="59">
        <v>3.0</v>
      </c>
      <c r="F387" s="59">
        <v>2.0</v>
      </c>
      <c r="G387" s="60">
        <v>1.5</v>
      </c>
      <c r="H387" s="60">
        <v>1.0</v>
      </c>
      <c r="I387" s="60">
        <v>0.0</v>
      </c>
      <c r="J387" s="59">
        <v>3.0</v>
      </c>
      <c r="K387" s="61">
        <f t="shared" si="1"/>
        <v>0.6666666667</v>
      </c>
      <c r="L387" s="62">
        <f t="shared" si="2"/>
        <v>1</v>
      </c>
    </row>
    <row r="388">
      <c r="A388" s="58">
        <v>46082.0</v>
      </c>
      <c r="B388" s="24" t="s">
        <v>6789</v>
      </c>
      <c r="C388" s="24" t="s">
        <v>6933</v>
      </c>
      <c r="D388" s="59">
        <v>3.0</v>
      </c>
      <c r="E388" s="59">
        <v>4.0</v>
      </c>
      <c r="F388" s="59">
        <v>1.0</v>
      </c>
      <c r="G388" s="60">
        <v>1.33333333333333</v>
      </c>
      <c r="H388" s="60">
        <v>0.25</v>
      </c>
      <c r="I388" s="60">
        <v>525.37579325</v>
      </c>
      <c r="J388" s="59">
        <v>13.0</v>
      </c>
      <c r="K388" s="61">
        <f t="shared" si="1"/>
        <v>0.25</v>
      </c>
      <c r="L388" s="62">
        <f t="shared" si="2"/>
        <v>3.25</v>
      </c>
    </row>
    <row r="389">
      <c r="A389" s="58">
        <v>46082.0</v>
      </c>
      <c r="B389" s="24" t="s">
        <v>6787</v>
      </c>
      <c r="C389" s="24" t="s">
        <v>6947</v>
      </c>
      <c r="D389" s="59">
        <v>3.0</v>
      </c>
      <c r="E389" s="59">
        <v>3.0</v>
      </c>
      <c r="F389" s="59">
        <v>3.0</v>
      </c>
      <c r="G389" s="60">
        <v>1.0</v>
      </c>
      <c r="H389" s="60">
        <v>1.0</v>
      </c>
      <c r="I389" s="60">
        <v>4.62291033333333</v>
      </c>
      <c r="J389" s="59">
        <v>3.0</v>
      </c>
      <c r="K389" s="61">
        <f t="shared" si="1"/>
        <v>1</v>
      </c>
      <c r="L389" s="62">
        <f t="shared" si="2"/>
        <v>1</v>
      </c>
    </row>
    <row r="390">
      <c r="A390" s="58">
        <v>46082.0</v>
      </c>
      <c r="B390" s="24" t="s">
        <v>6789</v>
      </c>
      <c r="C390" s="24" t="s">
        <v>6947</v>
      </c>
      <c r="D390" s="59">
        <v>3.0</v>
      </c>
      <c r="E390" s="59">
        <v>4.0</v>
      </c>
      <c r="F390" s="59">
        <v>2.0</v>
      </c>
      <c r="G390" s="60">
        <v>1.33333333333333</v>
      </c>
      <c r="H390" s="60">
        <v>0.0</v>
      </c>
      <c r="I390" s="60">
        <v>53.28803825</v>
      </c>
      <c r="J390" s="59">
        <v>5.0</v>
      </c>
      <c r="K390" s="61">
        <f t="shared" si="1"/>
        <v>0.5</v>
      </c>
      <c r="L390" s="62">
        <f t="shared" si="2"/>
        <v>1.25</v>
      </c>
    </row>
    <row r="391">
      <c r="A391" s="58">
        <v>46082.0</v>
      </c>
      <c r="B391" s="24" t="s">
        <v>6790</v>
      </c>
      <c r="C391" s="24" t="s">
        <v>6808</v>
      </c>
      <c r="D391" s="59">
        <v>3.0</v>
      </c>
      <c r="E391" s="59">
        <v>3.0</v>
      </c>
      <c r="F391" s="59">
        <v>3.0</v>
      </c>
      <c r="G391" s="60">
        <v>1.0</v>
      </c>
      <c r="H391" s="60">
        <v>1.0</v>
      </c>
      <c r="I391" s="60">
        <v>2.26298733333333</v>
      </c>
      <c r="J391" s="59">
        <v>3.0</v>
      </c>
      <c r="K391" s="61">
        <f t="shared" si="1"/>
        <v>1</v>
      </c>
      <c r="L391" s="62">
        <f t="shared" si="2"/>
        <v>1</v>
      </c>
    </row>
    <row r="392">
      <c r="A392" s="58">
        <v>46082.0</v>
      </c>
      <c r="B392" s="24" t="s">
        <v>155</v>
      </c>
      <c r="C392" s="24" t="s">
        <v>6809</v>
      </c>
      <c r="D392" s="59">
        <v>3.0</v>
      </c>
      <c r="E392" s="59">
        <v>4.0</v>
      </c>
      <c r="F392" s="59">
        <v>0.0</v>
      </c>
      <c r="G392" s="60">
        <v>1.33333333333333</v>
      </c>
      <c r="H392" s="60">
        <v>0.0</v>
      </c>
      <c r="I392" s="60">
        <v>2297.6429605</v>
      </c>
      <c r="J392" s="59">
        <v>38.0</v>
      </c>
      <c r="K392" s="61">
        <f t="shared" si="1"/>
        <v>0</v>
      </c>
      <c r="L392" s="62">
        <f t="shared" si="2"/>
        <v>9.5</v>
      </c>
    </row>
    <row r="393">
      <c r="A393" s="58">
        <v>46082.0</v>
      </c>
      <c r="B393" s="24" t="s">
        <v>6789</v>
      </c>
      <c r="C393" s="24" t="s">
        <v>6849</v>
      </c>
      <c r="D393" s="59">
        <v>3.0</v>
      </c>
      <c r="E393" s="59">
        <v>3.0</v>
      </c>
      <c r="F393" s="59">
        <v>1.0</v>
      </c>
      <c r="G393" s="60">
        <v>1.0</v>
      </c>
      <c r="H393" s="60">
        <v>0.333333333333333</v>
      </c>
      <c r="I393" s="60">
        <v>47.38058</v>
      </c>
      <c r="J393" s="59">
        <v>3.0</v>
      </c>
      <c r="K393" s="61">
        <f t="shared" si="1"/>
        <v>0.3333333333</v>
      </c>
      <c r="L393" s="62">
        <f t="shared" si="2"/>
        <v>1</v>
      </c>
    </row>
    <row r="394">
      <c r="A394" s="58">
        <v>46082.0</v>
      </c>
      <c r="B394" s="24" t="s">
        <v>6787</v>
      </c>
      <c r="C394" s="24" t="s">
        <v>6851</v>
      </c>
      <c r="D394" s="59">
        <v>3.0</v>
      </c>
      <c r="E394" s="59">
        <v>3.0</v>
      </c>
      <c r="F394" s="59">
        <v>3.0</v>
      </c>
      <c r="G394" s="60">
        <v>1.0</v>
      </c>
      <c r="H394" s="60">
        <v>1.0</v>
      </c>
      <c r="I394" s="60">
        <v>0.851703666666666</v>
      </c>
      <c r="J394" s="59">
        <v>3.0</v>
      </c>
      <c r="K394" s="61">
        <f t="shared" si="1"/>
        <v>1</v>
      </c>
      <c r="L394" s="62">
        <f t="shared" si="2"/>
        <v>1</v>
      </c>
    </row>
    <row r="395">
      <c r="A395" s="58">
        <v>46082.0</v>
      </c>
      <c r="B395" s="24" t="s">
        <v>6789</v>
      </c>
      <c r="C395" s="24" t="s">
        <v>6917</v>
      </c>
      <c r="D395" s="59">
        <v>3.0</v>
      </c>
      <c r="E395" s="59">
        <v>3.0</v>
      </c>
      <c r="F395" s="59">
        <v>3.0</v>
      </c>
      <c r="G395" s="60">
        <v>1.0</v>
      </c>
      <c r="H395" s="60">
        <v>0.666666666666666</v>
      </c>
      <c r="I395" s="60">
        <v>15.5317503333333</v>
      </c>
      <c r="J395" s="59">
        <v>3.0</v>
      </c>
      <c r="K395" s="61">
        <f t="shared" si="1"/>
        <v>1</v>
      </c>
      <c r="L395" s="62">
        <f t="shared" si="2"/>
        <v>1</v>
      </c>
    </row>
    <row r="396">
      <c r="A396" s="58">
        <v>46082.0</v>
      </c>
      <c r="B396" s="24" t="s">
        <v>6789</v>
      </c>
      <c r="C396" s="24" t="s">
        <v>6922</v>
      </c>
      <c r="D396" s="59">
        <v>3.0</v>
      </c>
      <c r="E396" s="59">
        <v>3.0</v>
      </c>
      <c r="F396" s="59">
        <v>3.0</v>
      </c>
      <c r="G396" s="60">
        <v>1.0</v>
      </c>
      <c r="H396" s="60">
        <v>0.333333333333333</v>
      </c>
      <c r="I396" s="60">
        <v>24.2278653333333</v>
      </c>
      <c r="J396" s="59">
        <v>3.0</v>
      </c>
      <c r="K396" s="61">
        <f t="shared" si="1"/>
        <v>1</v>
      </c>
      <c r="L396" s="62">
        <f t="shared" si="2"/>
        <v>1</v>
      </c>
    </row>
    <row r="397">
      <c r="A397" s="58">
        <v>46082.0</v>
      </c>
      <c r="B397" s="24" t="s">
        <v>6789</v>
      </c>
      <c r="C397" s="24" t="s">
        <v>6810</v>
      </c>
      <c r="D397" s="59">
        <v>3.0</v>
      </c>
      <c r="E397" s="59">
        <v>3.0</v>
      </c>
      <c r="F397" s="59">
        <v>1.0</v>
      </c>
      <c r="G397" s="60">
        <v>1.5</v>
      </c>
      <c r="H397" s="60">
        <v>0.666666666666666</v>
      </c>
      <c r="I397" s="60">
        <v>32.9357886666666</v>
      </c>
      <c r="J397" s="59">
        <v>5.0</v>
      </c>
      <c r="K397" s="61">
        <f t="shared" si="1"/>
        <v>0.3333333333</v>
      </c>
      <c r="L397" s="62">
        <f t="shared" si="2"/>
        <v>1.666666667</v>
      </c>
    </row>
    <row r="398">
      <c r="A398" s="58">
        <v>46082.0</v>
      </c>
      <c r="B398" s="24" t="s">
        <v>155</v>
      </c>
      <c r="C398" s="24" t="s">
        <v>6810</v>
      </c>
      <c r="D398" s="59">
        <v>3.0</v>
      </c>
      <c r="E398" s="59">
        <v>3.0</v>
      </c>
      <c r="F398" s="59">
        <v>3.0</v>
      </c>
      <c r="G398" s="60">
        <v>1.0</v>
      </c>
      <c r="H398" s="60">
        <v>0.666666666666666</v>
      </c>
      <c r="I398" s="60">
        <v>505.776619666666</v>
      </c>
      <c r="J398" s="59">
        <v>4.0</v>
      </c>
      <c r="K398" s="61">
        <f t="shared" si="1"/>
        <v>1</v>
      </c>
      <c r="L398" s="62">
        <f t="shared" si="2"/>
        <v>1.333333333</v>
      </c>
    </row>
    <row r="399">
      <c r="A399" s="58">
        <v>46082.0</v>
      </c>
      <c r="B399" s="24" t="s">
        <v>6791</v>
      </c>
      <c r="C399" s="24" t="s">
        <v>6802</v>
      </c>
      <c r="D399" s="59">
        <v>3.0</v>
      </c>
      <c r="E399" s="59">
        <v>7.0</v>
      </c>
      <c r="F399" s="59">
        <v>0.0</v>
      </c>
      <c r="G399" s="60">
        <v>3.5</v>
      </c>
      <c r="H399" s="60">
        <v>0.714285714285714</v>
      </c>
      <c r="I399" s="60">
        <v>37.6226567142857</v>
      </c>
      <c r="J399" s="59">
        <v>7.0</v>
      </c>
      <c r="K399" s="61">
        <f t="shared" si="1"/>
        <v>0</v>
      </c>
      <c r="L399" s="62">
        <f t="shared" si="2"/>
        <v>1</v>
      </c>
    </row>
    <row r="400">
      <c r="A400" s="58">
        <v>46082.0</v>
      </c>
      <c r="B400" s="24" t="s">
        <v>6789</v>
      </c>
      <c r="C400" s="24" t="s">
        <v>6929</v>
      </c>
      <c r="D400" s="59">
        <v>2.0</v>
      </c>
      <c r="E400" s="59">
        <v>2.0</v>
      </c>
      <c r="F400" s="59">
        <v>2.0</v>
      </c>
      <c r="G400" s="60">
        <v>1.0</v>
      </c>
      <c r="H400" s="60">
        <v>1.0</v>
      </c>
      <c r="I400" s="60">
        <v>0.0</v>
      </c>
      <c r="J400" s="59">
        <v>2.0</v>
      </c>
      <c r="K400" s="61">
        <f t="shared" si="1"/>
        <v>1</v>
      </c>
      <c r="L400" s="62">
        <f t="shared" si="2"/>
        <v>1</v>
      </c>
    </row>
    <row r="401">
      <c r="A401" s="58">
        <v>46082.0</v>
      </c>
      <c r="B401" s="24" t="s">
        <v>155</v>
      </c>
      <c r="C401" s="24" t="s">
        <v>6948</v>
      </c>
      <c r="D401" s="59">
        <v>2.0</v>
      </c>
      <c r="E401" s="59">
        <v>2.0</v>
      </c>
      <c r="F401" s="59">
        <v>0.0</v>
      </c>
      <c r="G401" s="60">
        <v>1.0</v>
      </c>
      <c r="H401" s="60">
        <v>0.0</v>
      </c>
      <c r="I401" s="60">
        <v>46.300666</v>
      </c>
      <c r="J401" s="59">
        <v>6.0</v>
      </c>
      <c r="K401" s="61">
        <f t="shared" si="1"/>
        <v>0</v>
      </c>
      <c r="L401" s="62">
        <f t="shared" si="2"/>
        <v>3</v>
      </c>
    </row>
    <row r="402">
      <c r="A402" s="58">
        <v>46082.0</v>
      </c>
      <c r="B402" s="24" t="s">
        <v>155</v>
      </c>
      <c r="C402" s="24" t="s">
        <v>6949</v>
      </c>
      <c r="D402" s="59">
        <v>2.0</v>
      </c>
      <c r="E402" s="59">
        <v>2.0</v>
      </c>
      <c r="F402" s="59">
        <v>0.0</v>
      </c>
      <c r="G402" s="60">
        <v>1.0</v>
      </c>
      <c r="H402" s="60">
        <v>0.0</v>
      </c>
      <c r="I402" s="60">
        <v>2953.8270705</v>
      </c>
      <c r="J402" s="59">
        <v>24.0</v>
      </c>
      <c r="K402" s="61">
        <f t="shared" si="1"/>
        <v>0</v>
      </c>
      <c r="L402" s="62">
        <f t="shared" si="2"/>
        <v>12</v>
      </c>
    </row>
    <row r="403">
      <c r="A403" s="58">
        <v>46082.0</v>
      </c>
      <c r="B403" s="24" t="s">
        <v>6787</v>
      </c>
      <c r="C403" s="24" t="s">
        <v>6950</v>
      </c>
      <c r="D403" s="59">
        <v>2.0</v>
      </c>
      <c r="E403" s="59">
        <v>2.0</v>
      </c>
      <c r="F403" s="59">
        <v>2.0</v>
      </c>
      <c r="G403" s="60">
        <v>1.0</v>
      </c>
      <c r="H403" s="60">
        <v>0.0</v>
      </c>
      <c r="I403" s="60">
        <v>46.3364185</v>
      </c>
      <c r="J403" s="59">
        <v>5.0</v>
      </c>
      <c r="K403" s="61">
        <f t="shared" si="1"/>
        <v>1</v>
      </c>
      <c r="L403" s="62">
        <f t="shared" si="2"/>
        <v>2.5</v>
      </c>
    </row>
    <row r="404">
      <c r="A404" s="58">
        <v>46082.0</v>
      </c>
      <c r="B404" s="24" t="s">
        <v>6787</v>
      </c>
      <c r="C404" s="24" t="s">
        <v>6951</v>
      </c>
      <c r="D404" s="59">
        <v>2.0</v>
      </c>
      <c r="E404" s="59">
        <v>3.0</v>
      </c>
      <c r="F404" s="59">
        <v>2.0</v>
      </c>
      <c r="G404" s="60">
        <v>1.5</v>
      </c>
      <c r="H404" s="60">
        <v>1.0</v>
      </c>
      <c r="I404" s="60">
        <v>0.0</v>
      </c>
      <c r="J404" s="59">
        <v>3.0</v>
      </c>
      <c r="K404" s="61">
        <f t="shared" si="1"/>
        <v>0.6666666667</v>
      </c>
      <c r="L404" s="62">
        <f t="shared" si="2"/>
        <v>1</v>
      </c>
    </row>
    <row r="405">
      <c r="A405" s="58">
        <v>46082.0</v>
      </c>
      <c r="B405" s="24" t="s">
        <v>6787</v>
      </c>
      <c r="C405" s="24" t="s">
        <v>6952</v>
      </c>
      <c r="D405" s="59">
        <v>2.0</v>
      </c>
      <c r="E405" s="59">
        <v>2.0</v>
      </c>
      <c r="F405" s="59">
        <v>2.0</v>
      </c>
      <c r="G405" s="60">
        <v>1.0</v>
      </c>
      <c r="H405" s="60">
        <v>0.5</v>
      </c>
      <c r="I405" s="60">
        <v>214.8190445</v>
      </c>
      <c r="J405" s="59">
        <v>5.0</v>
      </c>
      <c r="K405" s="61">
        <f t="shared" si="1"/>
        <v>1</v>
      </c>
      <c r="L405" s="62">
        <f t="shared" si="2"/>
        <v>2.5</v>
      </c>
    </row>
    <row r="406">
      <c r="A406" s="58">
        <v>46082.0</v>
      </c>
      <c r="B406" s="24" t="s">
        <v>6787</v>
      </c>
      <c r="C406" s="24" t="s">
        <v>6953</v>
      </c>
      <c r="D406" s="59">
        <v>2.0</v>
      </c>
      <c r="E406" s="59">
        <v>2.0</v>
      </c>
      <c r="F406" s="59">
        <v>2.0</v>
      </c>
      <c r="G406" s="60">
        <v>1.0</v>
      </c>
      <c r="H406" s="60">
        <v>1.0</v>
      </c>
      <c r="I406" s="60">
        <v>0.0</v>
      </c>
      <c r="J406" s="59">
        <v>2.0</v>
      </c>
      <c r="K406" s="61">
        <f t="shared" si="1"/>
        <v>1</v>
      </c>
      <c r="L406" s="62">
        <f t="shared" si="2"/>
        <v>1</v>
      </c>
    </row>
    <row r="407">
      <c r="A407" s="58">
        <v>46082.0</v>
      </c>
      <c r="B407" s="24" t="s">
        <v>155</v>
      </c>
      <c r="C407" s="24" t="s">
        <v>6928</v>
      </c>
      <c r="D407" s="59">
        <v>2.0</v>
      </c>
      <c r="E407" s="59">
        <v>4.0</v>
      </c>
      <c r="F407" s="59">
        <v>0.0</v>
      </c>
      <c r="G407" s="60">
        <v>2.0</v>
      </c>
      <c r="H407" s="60">
        <v>0.25</v>
      </c>
      <c r="I407" s="60">
        <v>294.73473</v>
      </c>
      <c r="J407" s="59">
        <v>12.0</v>
      </c>
      <c r="K407" s="61">
        <f t="shared" si="1"/>
        <v>0</v>
      </c>
      <c r="L407" s="62">
        <f t="shared" si="2"/>
        <v>3</v>
      </c>
    </row>
    <row r="408">
      <c r="A408" s="58">
        <v>46082.0</v>
      </c>
      <c r="B408" s="24" t="s">
        <v>6787</v>
      </c>
      <c r="C408" s="24" t="s">
        <v>6954</v>
      </c>
      <c r="D408" s="59">
        <v>2.0</v>
      </c>
      <c r="E408" s="59">
        <v>2.0</v>
      </c>
      <c r="F408" s="59">
        <v>2.0</v>
      </c>
      <c r="G408" s="60">
        <v>1.0</v>
      </c>
      <c r="H408" s="60">
        <v>1.0</v>
      </c>
      <c r="I408" s="60">
        <v>2.5141565</v>
      </c>
      <c r="J408" s="59">
        <v>2.0</v>
      </c>
      <c r="K408" s="61">
        <f t="shared" si="1"/>
        <v>1</v>
      </c>
      <c r="L408" s="62">
        <f t="shared" si="2"/>
        <v>1</v>
      </c>
    </row>
    <row r="409">
      <c r="A409" s="58">
        <v>46082.0</v>
      </c>
      <c r="B409" s="24" t="s">
        <v>6789</v>
      </c>
      <c r="C409" s="24" t="s">
        <v>6943</v>
      </c>
      <c r="D409" s="59">
        <v>2.0</v>
      </c>
      <c r="E409" s="59">
        <v>2.0</v>
      </c>
      <c r="F409" s="59">
        <v>1.0</v>
      </c>
      <c r="G409" s="60">
        <v>1.0</v>
      </c>
      <c r="H409" s="60">
        <v>0.0</v>
      </c>
      <c r="I409" s="60">
        <v>354.8450395</v>
      </c>
      <c r="J409" s="59">
        <v>2.0</v>
      </c>
      <c r="K409" s="61">
        <f t="shared" si="1"/>
        <v>0.5</v>
      </c>
      <c r="L409" s="62">
        <f t="shared" si="2"/>
        <v>1</v>
      </c>
    </row>
    <row r="410">
      <c r="A410" s="58">
        <v>46082.0</v>
      </c>
      <c r="B410" s="24" t="s">
        <v>6787</v>
      </c>
      <c r="C410" s="24" t="s">
        <v>6955</v>
      </c>
      <c r="D410" s="59">
        <v>2.0</v>
      </c>
      <c r="E410" s="59">
        <v>2.0</v>
      </c>
      <c r="F410" s="59">
        <v>2.0</v>
      </c>
      <c r="G410" s="60">
        <v>1.0</v>
      </c>
      <c r="H410" s="60">
        <v>1.0</v>
      </c>
      <c r="I410" s="60">
        <v>3.6148355</v>
      </c>
      <c r="J410" s="59">
        <v>2.0</v>
      </c>
      <c r="K410" s="61">
        <f t="shared" si="1"/>
        <v>1</v>
      </c>
      <c r="L410" s="62">
        <f t="shared" si="2"/>
        <v>1</v>
      </c>
    </row>
    <row r="411">
      <c r="A411" s="58">
        <v>46082.0</v>
      </c>
      <c r="B411" s="24" t="s">
        <v>6789</v>
      </c>
      <c r="C411" s="24" t="s">
        <v>6829</v>
      </c>
      <c r="D411" s="59">
        <v>2.0</v>
      </c>
      <c r="E411" s="59">
        <v>2.0</v>
      </c>
      <c r="F411" s="59">
        <v>2.0</v>
      </c>
      <c r="G411" s="60">
        <v>1.0</v>
      </c>
      <c r="H411" s="60">
        <v>0.0</v>
      </c>
      <c r="I411" s="60">
        <v>19.7990755</v>
      </c>
      <c r="J411" s="59">
        <v>2.0</v>
      </c>
      <c r="K411" s="61">
        <f t="shared" si="1"/>
        <v>1</v>
      </c>
      <c r="L411" s="62">
        <f t="shared" si="2"/>
        <v>1</v>
      </c>
    </row>
    <row r="412">
      <c r="A412" s="58">
        <v>46082.0</v>
      </c>
      <c r="B412" s="24" t="s">
        <v>6787</v>
      </c>
      <c r="C412" s="24" t="s">
        <v>6860</v>
      </c>
      <c r="D412" s="59">
        <v>2.0</v>
      </c>
      <c r="E412" s="59">
        <v>2.0</v>
      </c>
      <c r="F412" s="59">
        <v>1.0</v>
      </c>
      <c r="G412" s="60">
        <v>1.0</v>
      </c>
      <c r="H412" s="60">
        <v>1.0</v>
      </c>
      <c r="I412" s="60">
        <v>2.520593</v>
      </c>
      <c r="J412" s="59">
        <v>2.0</v>
      </c>
      <c r="K412" s="61">
        <f t="shared" si="1"/>
        <v>0.5</v>
      </c>
      <c r="L412" s="62">
        <f t="shared" si="2"/>
        <v>1</v>
      </c>
    </row>
    <row r="413">
      <c r="A413" s="58">
        <v>46082.0</v>
      </c>
      <c r="B413" s="24" t="s">
        <v>6787</v>
      </c>
      <c r="C413" s="24" t="s">
        <v>6956</v>
      </c>
      <c r="D413" s="59">
        <v>2.0</v>
      </c>
      <c r="E413" s="59">
        <v>2.0</v>
      </c>
      <c r="F413" s="59">
        <v>2.0</v>
      </c>
      <c r="G413" s="60">
        <v>1.0</v>
      </c>
      <c r="H413" s="60">
        <v>1.0</v>
      </c>
      <c r="I413" s="60">
        <v>2.5160235</v>
      </c>
      <c r="J413" s="59">
        <v>2.0</v>
      </c>
      <c r="K413" s="61">
        <f t="shared" si="1"/>
        <v>1</v>
      </c>
      <c r="L413" s="62">
        <f t="shared" si="2"/>
        <v>1</v>
      </c>
    </row>
    <row r="414">
      <c r="A414" s="58">
        <v>46082.0</v>
      </c>
      <c r="B414" s="24" t="s">
        <v>155</v>
      </c>
      <c r="C414" s="24" t="s">
        <v>6939</v>
      </c>
      <c r="D414" s="59">
        <v>2.0</v>
      </c>
      <c r="E414" s="59">
        <v>2.0</v>
      </c>
      <c r="F414" s="59">
        <v>0.0</v>
      </c>
      <c r="G414" s="60">
        <v>1.0</v>
      </c>
      <c r="H414" s="60">
        <v>0.5</v>
      </c>
      <c r="I414" s="60">
        <v>2.6102005</v>
      </c>
      <c r="J414" s="59">
        <v>3.0</v>
      </c>
      <c r="K414" s="61">
        <f t="shared" si="1"/>
        <v>0</v>
      </c>
      <c r="L414" s="62">
        <f t="shared" si="2"/>
        <v>1.5</v>
      </c>
    </row>
    <row r="415">
      <c r="A415" s="58">
        <v>46082.0</v>
      </c>
      <c r="B415" s="24" t="s">
        <v>6787</v>
      </c>
      <c r="C415" s="24" t="s">
        <v>6831</v>
      </c>
      <c r="D415" s="59">
        <v>2.0</v>
      </c>
      <c r="E415" s="59">
        <v>2.0</v>
      </c>
      <c r="F415" s="59">
        <v>2.0</v>
      </c>
      <c r="G415" s="60">
        <v>1.0</v>
      </c>
      <c r="H415" s="60">
        <v>1.0</v>
      </c>
      <c r="I415" s="60">
        <v>0.0</v>
      </c>
      <c r="J415" s="59">
        <v>2.0</v>
      </c>
      <c r="K415" s="61">
        <f t="shared" si="1"/>
        <v>1</v>
      </c>
      <c r="L415" s="62">
        <f t="shared" si="2"/>
        <v>1</v>
      </c>
    </row>
    <row r="416">
      <c r="A416" s="58">
        <v>46082.0</v>
      </c>
      <c r="B416" s="24" t="s">
        <v>6789</v>
      </c>
      <c r="C416" s="24" t="s">
        <v>6927</v>
      </c>
      <c r="D416" s="59">
        <v>2.0</v>
      </c>
      <c r="E416" s="59">
        <v>3.0</v>
      </c>
      <c r="F416" s="59">
        <v>2.0</v>
      </c>
      <c r="G416" s="60">
        <v>1.5</v>
      </c>
      <c r="H416" s="60">
        <v>0.666666666666666</v>
      </c>
      <c r="I416" s="60">
        <v>6.123266</v>
      </c>
      <c r="J416" s="59">
        <v>3.0</v>
      </c>
      <c r="K416" s="61">
        <f t="shared" si="1"/>
        <v>0.6666666667</v>
      </c>
      <c r="L416" s="62">
        <f t="shared" si="2"/>
        <v>1</v>
      </c>
    </row>
    <row r="417">
      <c r="A417" s="58">
        <v>46082.0</v>
      </c>
      <c r="B417" s="24" t="s">
        <v>6789</v>
      </c>
      <c r="C417" s="24" t="s">
        <v>6944</v>
      </c>
      <c r="D417" s="59">
        <v>2.0</v>
      </c>
      <c r="E417" s="59">
        <v>2.0</v>
      </c>
      <c r="F417" s="59">
        <v>0.0</v>
      </c>
      <c r="G417" s="60">
        <v>1.0</v>
      </c>
      <c r="H417" s="60">
        <v>0.5</v>
      </c>
      <c r="I417" s="60">
        <v>33.150922</v>
      </c>
      <c r="J417" s="59">
        <v>2.0</v>
      </c>
      <c r="K417" s="61">
        <f t="shared" si="1"/>
        <v>0</v>
      </c>
      <c r="L417" s="62">
        <f t="shared" si="2"/>
        <v>1</v>
      </c>
    </row>
    <row r="418">
      <c r="A418" s="58">
        <v>46082.0</v>
      </c>
      <c r="B418" s="24" t="s">
        <v>6787</v>
      </c>
      <c r="C418" s="24" t="s">
        <v>6834</v>
      </c>
      <c r="D418" s="59">
        <v>2.0</v>
      </c>
      <c r="E418" s="59">
        <v>2.0</v>
      </c>
      <c r="F418" s="59">
        <v>2.0</v>
      </c>
      <c r="G418" s="60">
        <v>1.0</v>
      </c>
      <c r="H418" s="60">
        <v>1.0</v>
      </c>
      <c r="I418" s="60">
        <v>0.0</v>
      </c>
      <c r="J418" s="59">
        <v>2.0</v>
      </c>
      <c r="K418" s="61">
        <f t="shared" si="1"/>
        <v>1</v>
      </c>
      <c r="L418" s="62">
        <f t="shared" si="2"/>
        <v>1</v>
      </c>
    </row>
    <row r="419">
      <c r="A419" s="58">
        <v>46082.0</v>
      </c>
      <c r="B419" s="24" t="s">
        <v>6789</v>
      </c>
      <c r="C419" s="24" t="s">
        <v>6834</v>
      </c>
      <c r="D419" s="59">
        <v>2.0</v>
      </c>
      <c r="E419" s="59">
        <v>2.0</v>
      </c>
      <c r="F419" s="59">
        <v>2.0</v>
      </c>
      <c r="G419" s="60">
        <v>1.0</v>
      </c>
      <c r="H419" s="60">
        <v>0.0</v>
      </c>
      <c r="I419" s="60">
        <v>521.0302875</v>
      </c>
      <c r="J419" s="59">
        <v>2.0</v>
      </c>
      <c r="K419" s="61">
        <f t="shared" si="1"/>
        <v>1</v>
      </c>
      <c r="L419" s="62">
        <f t="shared" si="2"/>
        <v>1</v>
      </c>
    </row>
    <row r="420">
      <c r="A420" s="58">
        <v>46082.0</v>
      </c>
      <c r="B420" s="24" t="s">
        <v>6787</v>
      </c>
      <c r="C420" s="24" t="s">
        <v>6872</v>
      </c>
      <c r="D420" s="59">
        <v>2.0</v>
      </c>
      <c r="E420" s="59">
        <v>2.0</v>
      </c>
      <c r="F420" s="59">
        <v>2.0</v>
      </c>
      <c r="G420" s="60">
        <v>1.0</v>
      </c>
      <c r="H420" s="60">
        <v>1.0</v>
      </c>
      <c r="I420" s="60">
        <v>0.0</v>
      </c>
      <c r="J420" s="59">
        <v>2.0</v>
      </c>
      <c r="K420" s="61">
        <f t="shared" si="1"/>
        <v>1</v>
      </c>
      <c r="L420" s="62">
        <f t="shared" si="2"/>
        <v>1</v>
      </c>
    </row>
    <row r="421">
      <c r="A421" s="58">
        <v>46082.0</v>
      </c>
      <c r="B421" s="24" t="s">
        <v>6787</v>
      </c>
      <c r="C421" s="24" t="s">
        <v>6873</v>
      </c>
      <c r="D421" s="59">
        <v>2.0</v>
      </c>
      <c r="E421" s="59">
        <v>2.0</v>
      </c>
      <c r="F421" s="59">
        <v>2.0</v>
      </c>
      <c r="G421" s="60">
        <v>1.0</v>
      </c>
      <c r="H421" s="60">
        <v>1.0</v>
      </c>
      <c r="I421" s="60">
        <v>0.0</v>
      </c>
      <c r="J421" s="59">
        <v>2.0</v>
      </c>
      <c r="K421" s="61">
        <f t="shared" si="1"/>
        <v>1</v>
      </c>
      <c r="L421" s="62">
        <f t="shared" si="2"/>
        <v>1</v>
      </c>
    </row>
    <row r="422">
      <c r="A422" s="58">
        <v>46082.0</v>
      </c>
      <c r="B422" s="24" t="s">
        <v>6789</v>
      </c>
      <c r="C422" s="24" t="s">
        <v>6877</v>
      </c>
      <c r="D422" s="59">
        <v>2.0</v>
      </c>
      <c r="E422" s="59">
        <v>3.0</v>
      </c>
      <c r="F422" s="59">
        <v>2.0</v>
      </c>
      <c r="G422" s="60">
        <v>1.5</v>
      </c>
      <c r="H422" s="60">
        <v>0.666666666666666</v>
      </c>
      <c r="I422" s="60">
        <v>12.91375</v>
      </c>
      <c r="J422" s="59">
        <v>3.0</v>
      </c>
      <c r="K422" s="61">
        <f t="shared" si="1"/>
        <v>0.6666666667</v>
      </c>
      <c r="L422" s="62">
        <f t="shared" si="2"/>
        <v>1</v>
      </c>
    </row>
    <row r="423">
      <c r="A423" s="58">
        <v>46082.0</v>
      </c>
      <c r="B423" s="24" t="s">
        <v>6787</v>
      </c>
      <c r="C423" s="24" t="s">
        <v>6880</v>
      </c>
      <c r="D423" s="59">
        <v>2.0</v>
      </c>
      <c r="E423" s="59">
        <v>2.0</v>
      </c>
      <c r="F423" s="59">
        <v>2.0</v>
      </c>
      <c r="G423" s="60">
        <v>1.0</v>
      </c>
      <c r="H423" s="60">
        <v>1.0</v>
      </c>
      <c r="I423" s="60">
        <v>3.6368935</v>
      </c>
      <c r="J423" s="59">
        <v>2.0</v>
      </c>
      <c r="K423" s="61">
        <f t="shared" si="1"/>
        <v>1</v>
      </c>
      <c r="L423" s="62">
        <f t="shared" si="2"/>
        <v>1</v>
      </c>
    </row>
    <row r="424">
      <c r="A424" s="58">
        <v>46082.0</v>
      </c>
      <c r="B424" s="24" t="s">
        <v>6789</v>
      </c>
      <c r="C424" s="24" t="s">
        <v>6957</v>
      </c>
      <c r="D424" s="59">
        <v>2.0</v>
      </c>
      <c r="E424" s="59">
        <v>3.0</v>
      </c>
      <c r="F424" s="59">
        <v>0.0</v>
      </c>
      <c r="G424" s="60">
        <v>1.5</v>
      </c>
      <c r="H424" s="60">
        <v>0.0</v>
      </c>
      <c r="I424" s="60">
        <v>1899.01135233333</v>
      </c>
      <c r="J424" s="59">
        <v>17.0</v>
      </c>
      <c r="K424" s="61">
        <f t="shared" si="1"/>
        <v>0</v>
      </c>
      <c r="L424" s="62">
        <f t="shared" si="2"/>
        <v>5.666666667</v>
      </c>
    </row>
    <row r="425">
      <c r="A425" s="58">
        <v>46082.0</v>
      </c>
      <c r="B425" s="24" t="s">
        <v>6787</v>
      </c>
      <c r="C425" s="24" t="s">
        <v>6958</v>
      </c>
      <c r="D425" s="59">
        <v>2.0</v>
      </c>
      <c r="E425" s="59">
        <v>2.0</v>
      </c>
      <c r="F425" s="59">
        <v>2.0</v>
      </c>
      <c r="G425" s="60">
        <v>1.0</v>
      </c>
      <c r="H425" s="60">
        <v>1.0</v>
      </c>
      <c r="I425" s="60">
        <v>4.611577</v>
      </c>
      <c r="J425" s="59">
        <v>2.0</v>
      </c>
      <c r="K425" s="61">
        <f t="shared" si="1"/>
        <v>1</v>
      </c>
      <c r="L425" s="62">
        <f t="shared" si="2"/>
        <v>1</v>
      </c>
    </row>
    <row r="426">
      <c r="A426" s="58">
        <v>46082.0</v>
      </c>
      <c r="B426" s="24" t="s">
        <v>6789</v>
      </c>
      <c r="C426" s="24" t="s">
        <v>6820</v>
      </c>
      <c r="D426" s="59">
        <v>2.0</v>
      </c>
      <c r="E426" s="59">
        <v>2.0</v>
      </c>
      <c r="F426" s="59">
        <v>2.0</v>
      </c>
      <c r="G426" s="60">
        <v>1.0</v>
      </c>
      <c r="H426" s="60">
        <v>0.5</v>
      </c>
      <c r="I426" s="60">
        <v>272.402635</v>
      </c>
      <c r="J426" s="59">
        <v>4.0</v>
      </c>
      <c r="K426" s="61">
        <f t="shared" si="1"/>
        <v>1</v>
      </c>
      <c r="L426" s="62">
        <f t="shared" si="2"/>
        <v>2</v>
      </c>
    </row>
    <row r="427">
      <c r="A427" s="58">
        <v>46082.0</v>
      </c>
      <c r="B427" s="24" t="s">
        <v>155</v>
      </c>
      <c r="C427" s="24" t="s">
        <v>6889</v>
      </c>
      <c r="D427" s="59">
        <v>2.0</v>
      </c>
      <c r="E427" s="59">
        <v>3.0</v>
      </c>
      <c r="F427" s="59">
        <v>0.0</v>
      </c>
      <c r="G427" s="60">
        <v>1.5</v>
      </c>
      <c r="H427" s="60">
        <v>0.666666666666666</v>
      </c>
      <c r="I427" s="60">
        <v>16.929412</v>
      </c>
      <c r="J427" s="59">
        <v>3.0</v>
      </c>
      <c r="K427" s="61">
        <f t="shared" si="1"/>
        <v>0</v>
      </c>
      <c r="L427" s="62">
        <f t="shared" si="2"/>
        <v>1</v>
      </c>
    </row>
    <row r="428">
      <c r="A428" s="58">
        <v>46082.0</v>
      </c>
      <c r="B428" s="24" t="s">
        <v>6787</v>
      </c>
      <c r="C428" s="24" t="s">
        <v>6821</v>
      </c>
      <c r="D428" s="59">
        <v>2.0</v>
      </c>
      <c r="E428" s="59">
        <v>2.0</v>
      </c>
      <c r="F428" s="59">
        <v>2.0</v>
      </c>
      <c r="G428" s="60">
        <v>1.0</v>
      </c>
      <c r="H428" s="60">
        <v>0.0</v>
      </c>
      <c r="I428" s="60">
        <v>16.0037944999999</v>
      </c>
      <c r="J428" s="59">
        <v>2.0</v>
      </c>
      <c r="K428" s="61">
        <f t="shared" si="1"/>
        <v>1</v>
      </c>
      <c r="L428" s="62">
        <f t="shared" si="2"/>
        <v>1</v>
      </c>
    </row>
    <row r="429">
      <c r="A429" s="58">
        <v>46082.0</v>
      </c>
      <c r="B429" s="24" t="s">
        <v>6794</v>
      </c>
      <c r="C429" s="24" t="s">
        <v>6822</v>
      </c>
      <c r="D429" s="59">
        <v>2.0</v>
      </c>
      <c r="E429" s="59">
        <v>3.0</v>
      </c>
      <c r="F429" s="59">
        <v>0.0</v>
      </c>
      <c r="G429" s="60">
        <v>1.5</v>
      </c>
      <c r="H429" s="60">
        <v>0.333333333333333</v>
      </c>
      <c r="I429" s="60">
        <v>250.003979333333</v>
      </c>
      <c r="J429" s="59">
        <v>6.0</v>
      </c>
      <c r="K429" s="61">
        <f t="shared" si="1"/>
        <v>0</v>
      </c>
      <c r="L429" s="62">
        <f t="shared" si="2"/>
        <v>2</v>
      </c>
    </row>
    <row r="430">
      <c r="A430" s="58">
        <v>46082.0</v>
      </c>
      <c r="B430" s="24" t="s">
        <v>6787</v>
      </c>
      <c r="C430" s="24" t="s">
        <v>6890</v>
      </c>
      <c r="D430" s="59">
        <v>2.0</v>
      </c>
      <c r="E430" s="59">
        <v>2.0</v>
      </c>
      <c r="F430" s="59">
        <v>2.0</v>
      </c>
      <c r="G430" s="60">
        <v>1.0</v>
      </c>
      <c r="H430" s="60">
        <v>1.0</v>
      </c>
      <c r="I430" s="60">
        <v>0.0</v>
      </c>
      <c r="J430" s="59">
        <v>2.0</v>
      </c>
      <c r="K430" s="61">
        <f t="shared" si="1"/>
        <v>1</v>
      </c>
      <c r="L430" s="62">
        <f t="shared" si="2"/>
        <v>1</v>
      </c>
    </row>
    <row r="431">
      <c r="A431" s="58">
        <v>46082.0</v>
      </c>
      <c r="B431" s="24" t="s">
        <v>6787</v>
      </c>
      <c r="C431" s="24" t="s">
        <v>6959</v>
      </c>
      <c r="D431" s="59">
        <v>2.0</v>
      </c>
      <c r="E431" s="59">
        <v>2.0</v>
      </c>
      <c r="F431" s="59">
        <v>2.0</v>
      </c>
      <c r="G431" s="60">
        <v>1.0</v>
      </c>
      <c r="H431" s="60">
        <v>1.0</v>
      </c>
      <c r="I431" s="60">
        <v>5.003101</v>
      </c>
      <c r="J431" s="59">
        <v>2.0</v>
      </c>
      <c r="K431" s="61">
        <f t="shared" si="1"/>
        <v>1</v>
      </c>
      <c r="L431" s="62">
        <f t="shared" si="2"/>
        <v>1</v>
      </c>
    </row>
    <row r="432">
      <c r="A432" s="58">
        <v>46082.0</v>
      </c>
      <c r="B432" s="24" t="s">
        <v>6789</v>
      </c>
      <c r="C432" s="24" t="s">
        <v>6846</v>
      </c>
      <c r="D432" s="59">
        <v>2.0</v>
      </c>
      <c r="E432" s="59">
        <v>2.0</v>
      </c>
      <c r="F432" s="59">
        <v>2.0</v>
      </c>
      <c r="G432" s="60">
        <v>1.0</v>
      </c>
      <c r="H432" s="60">
        <v>0.5</v>
      </c>
      <c r="I432" s="60">
        <v>167.8180955</v>
      </c>
      <c r="J432" s="59">
        <v>2.0</v>
      </c>
      <c r="K432" s="61">
        <f t="shared" si="1"/>
        <v>1</v>
      </c>
      <c r="L432" s="62">
        <f t="shared" si="2"/>
        <v>1</v>
      </c>
    </row>
    <row r="433">
      <c r="A433" s="58">
        <v>46082.0</v>
      </c>
      <c r="B433" s="24" t="s">
        <v>6789</v>
      </c>
      <c r="C433" s="24" t="s">
        <v>6847</v>
      </c>
      <c r="D433" s="59">
        <v>2.0</v>
      </c>
      <c r="E433" s="59">
        <v>2.0</v>
      </c>
      <c r="F433" s="59">
        <v>0.0</v>
      </c>
      <c r="G433" s="60">
        <v>1.0</v>
      </c>
      <c r="H433" s="60">
        <v>0.0</v>
      </c>
      <c r="I433" s="60">
        <v>756.963445</v>
      </c>
      <c r="J433" s="59">
        <v>7.0</v>
      </c>
      <c r="K433" s="61">
        <f t="shared" si="1"/>
        <v>0</v>
      </c>
      <c r="L433" s="62">
        <f t="shared" si="2"/>
        <v>3.5</v>
      </c>
    </row>
    <row r="434">
      <c r="A434" s="58">
        <v>46082.0</v>
      </c>
      <c r="B434" s="24" t="s">
        <v>6787</v>
      </c>
      <c r="C434" s="24" t="s">
        <v>6848</v>
      </c>
      <c r="D434" s="59">
        <v>2.0</v>
      </c>
      <c r="E434" s="59">
        <v>2.0</v>
      </c>
      <c r="F434" s="59">
        <v>2.0</v>
      </c>
      <c r="G434" s="60">
        <v>1.0</v>
      </c>
      <c r="H434" s="60">
        <v>1.0</v>
      </c>
      <c r="I434" s="60">
        <v>0.0</v>
      </c>
      <c r="J434" s="59">
        <v>2.0</v>
      </c>
      <c r="K434" s="61">
        <f t="shared" si="1"/>
        <v>1</v>
      </c>
      <c r="L434" s="62">
        <f t="shared" si="2"/>
        <v>1</v>
      </c>
    </row>
    <row r="435">
      <c r="A435" s="58">
        <v>46082.0</v>
      </c>
      <c r="B435" s="24" t="s">
        <v>6787</v>
      </c>
      <c r="C435" s="24" t="s">
        <v>6808</v>
      </c>
      <c r="D435" s="59">
        <v>2.0</v>
      </c>
      <c r="E435" s="59">
        <v>2.0</v>
      </c>
      <c r="F435" s="59">
        <v>2.0</v>
      </c>
      <c r="G435" s="60">
        <v>1.0</v>
      </c>
      <c r="H435" s="60">
        <v>0.5</v>
      </c>
      <c r="I435" s="60">
        <v>165.1470555</v>
      </c>
      <c r="J435" s="59">
        <v>2.0</v>
      </c>
      <c r="K435" s="61">
        <f t="shared" si="1"/>
        <v>1</v>
      </c>
      <c r="L435" s="62">
        <f t="shared" si="2"/>
        <v>1</v>
      </c>
    </row>
    <row r="436">
      <c r="A436" s="58">
        <v>46082.0</v>
      </c>
      <c r="B436" s="24" t="s">
        <v>6787</v>
      </c>
      <c r="C436" s="24" t="s">
        <v>6960</v>
      </c>
      <c r="D436" s="59">
        <v>2.0</v>
      </c>
      <c r="E436" s="59">
        <v>2.0</v>
      </c>
      <c r="F436" s="59">
        <v>2.0</v>
      </c>
      <c r="G436" s="60">
        <v>1.0</v>
      </c>
      <c r="H436" s="60">
        <v>1.0</v>
      </c>
      <c r="I436" s="60">
        <v>2.98704</v>
      </c>
      <c r="J436" s="59">
        <v>2.0</v>
      </c>
      <c r="K436" s="61">
        <f t="shared" si="1"/>
        <v>1</v>
      </c>
      <c r="L436" s="62">
        <f t="shared" si="2"/>
        <v>1</v>
      </c>
    </row>
    <row r="437">
      <c r="A437" s="58">
        <v>46082.0</v>
      </c>
      <c r="B437" s="24" t="s">
        <v>155</v>
      </c>
      <c r="C437" s="24" t="s">
        <v>6812</v>
      </c>
      <c r="D437" s="59">
        <v>2.0</v>
      </c>
      <c r="E437" s="59">
        <v>2.0</v>
      </c>
      <c r="F437" s="59">
        <v>0.0</v>
      </c>
      <c r="G437" s="60">
        <v>1.0</v>
      </c>
      <c r="H437" s="60">
        <v>0.5</v>
      </c>
      <c r="I437" s="60">
        <v>497.4218595</v>
      </c>
      <c r="J437" s="59">
        <v>18.0</v>
      </c>
      <c r="K437" s="61">
        <f t="shared" si="1"/>
        <v>0</v>
      </c>
      <c r="L437" s="62">
        <f t="shared" si="2"/>
        <v>9</v>
      </c>
    </row>
    <row r="438">
      <c r="A438" s="58">
        <v>46082.0</v>
      </c>
      <c r="B438" s="24" t="s">
        <v>155</v>
      </c>
      <c r="C438" s="24" t="s">
        <v>6801</v>
      </c>
      <c r="D438" s="59">
        <v>2.0</v>
      </c>
      <c r="E438" s="59">
        <v>2.0</v>
      </c>
      <c r="F438" s="59">
        <v>2.0</v>
      </c>
      <c r="G438" s="60">
        <v>1.0</v>
      </c>
      <c r="H438" s="60">
        <v>0.0</v>
      </c>
      <c r="I438" s="60">
        <v>743.4748505</v>
      </c>
      <c r="J438" s="59">
        <v>7.0</v>
      </c>
      <c r="K438" s="61">
        <f t="shared" si="1"/>
        <v>1</v>
      </c>
      <c r="L438" s="62">
        <f t="shared" si="2"/>
        <v>3.5</v>
      </c>
    </row>
    <row r="439">
      <c r="A439" s="58">
        <v>46082.0</v>
      </c>
      <c r="B439" s="24" t="s">
        <v>155</v>
      </c>
      <c r="C439" s="24" t="s">
        <v>6795</v>
      </c>
      <c r="D439" s="59">
        <v>2.0</v>
      </c>
      <c r="E439" s="59">
        <v>5.0</v>
      </c>
      <c r="F439" s="59">
        <v>0.0</v>
      </c>
      <c r="G439" s="60">
        <v>2.5</v>
      </c>
      <c r="H439" s="60">
        <v>0.4</v>
      </c>
      <c r="I439" s="60">
        <v>268.126381</v>
      </c>
      <c r="J439" s="59">
        <v>11.0</v>
      </c>
      <c r="K439" s="61">
        <f t="shared" si="1"/>
        <v>0</v>
      </c>
      <c r="L439" s="62">
        <f t="shared" si="2"/>
        <v>2.2</v>
      </c>
    </row>
    <row r="440">
      <c r="A440" s="58">
        <v>46082.0</v>
      </c>
      <c r="B440" s="24" t="s">
        <v>6787</v>
      </c>
      <c r="C440" s="24" t="s">
        <v>6961</v>
      </c>
      <c r="D440" s="59">
        <v>2.0</v>
      </c>
      <c r="E440" s="59">
        <v>2.0</v>
      </c>
      <c r="F440" s="59">
        <v>2.0</v>
      </c>
      <c r="G440" s="60">
        <v>1.0</v>
      </c>
      <c r="H440" s="60">
        <v>1.0</v>
      </c>
      <c r="I440" s="60">
        <v>4.2589635</v>
      </c>
      <c r="J440" s="59">
        <v>2.0</v>
      </c>
      <c r="K440" s="61">
        <f t="shared" si="1"/>
        <v>1</v>
      </c>
      <c r="L440" s="62">
        <f t="shared" si="2"/>
        <v>1</v>
      </c>
    </row>
    <row r="441">
      <c r="A441" s="58">
        <v>46082.0</v>
      </c>
      <c r="B441" s="24" t="s">
        <v>6789</v>
      </c>
      <c r="C441" s="24" t="s">
        <v>6915</v>
      </c>
      <c r="D441" s="59">
        <v>2.0</v>
      </c>
      <c r="E441" s="59">
        <v>2.0</v>
      </c>
      <c r="F441" s="59">
        <v>2.0</v>
      </c>
      <c r="G441" s="60">
        <v>1.0</v>
      </c>
      <c r="H441" s="60">
        <v>0.0</v>
      </c>
      <c r="I441" s="60">
        <v>14.7685734999999</v>
      </c>
      <c r="J441" s="59">
        <v>2.0</v>
      </c>
      <c r="K441" s="61">
        <f t="shared" si="1"/>
        <v>1</v>
      </c>
      <c r="L441" s="62">
        <f t="shared" si="2"/>
        <v>1</v>
      </c>
    </row>
    <row r="442">
      <c r="A442" s="58">
        <v>46082.0</v>
      </c>
      <c r="B442" s="24" t="s">
        <v>6790</v>
      </c>
      <c r="C442" s="24" t="s">
        <v>6815</v>
      </c>
      <c r="D442" s="59">
        <v>2.0</v>
      </c>
      <c r="E442" s="59">
        <v>2.0</v>
      </c>
      <c r="F442" s="59">
        <v>1.0</v>
      </c>
      <c r="G442" s="60">
        <v>2.0</v>
      </c>
      <c r="H442" s="60">
        <v>1.0</v>
      </c>
      <c r="I442" s="60">
        <v>0.0</v>
      </c>
      <c r="J442" s="59">
        <v>2.0</v>
      </c>
      <c r="K442" s="61">
        <f t="shared" si="1"/>
        <v>0.5</v>
      </c>
      <c r="L442" s="62">
        <f t="shared" si="2"/>
        <v>1</v>
      </c>
    </row>
    <row r="443">
      <c r="A443" s="58">
        <v>46082.0</v>
      </c>
      <c r="B443" s="24" t="s">
        <v>155</v>
      </c>
      <c r="C443" s="24" t="s">
        <v>6919</v>
      </c>
      <c r="D443" s="59">
        <v>2.0</v>
      </c>
      <c r="E443" s="59">
        <v>2.0</v>
      </c>
      <c r="F443" s="59">
        <v>0.0</v>
      </c>
      <c r="G443" s="60">
        <v>1.0</v>
      </c>
      <c r="H443" s="60">
        <v>0.0</v>
      </c>
      <c r="I443" s="60">
        <v>93.556046</v>
      </c>
      <c r="J443" s="59">
        <v>10.0</v>
      </c>
      <c r="K443" s="61">
        <f t="shared" si="1"/>
        <v>0</v>
      </c>
      <c r="L443" s="62">
        <f t="shared" si="2"/>
        <v>5</v>
      </c>
    </row>
    <row r="444">
      <c r="A444" s="58">
        <v>46082.0</v>
      </c>
      <c r="B444" s="24" t="s">
        <v>6787</v>
      </c>
      <c r="C444" s="24" t="s">
        <v>6921</v>
      </c>
      <c r="D444" s="59">
        <v>2.0</v>
      </c>
      <c r="E444" s="59">
        <v>2.0</v>
      </c>
      <c r="F444" s="59">
        <v>2.0</v>
      </c>
      <c r="G444" s="60">
        <v>1.0</v>
      </c>
      <c r="H444" s="60">
        <v>1.0</v>
      </c>
      <c r="I444" s="60">
        <v>0.0</v>
      </c>
      <c r="J444" s="59">
        <v>2.0</v>
      </c>
      <c r="K444" s="61">
        <f t="shared" si="1"/>
        <v>1</v>
      </c>
      <c r="L444" s="62">
        <f t="shared" si="2"/>
        <v>1</v>
      </c>
    </row>
    <row r="445">
      <c r="A445" s="58">
        <v>46082.0</v>
      </c>
      <c r="B445" s="24" t="s">
        <v>6789</v>
      </c>
      <c r="C445" s="24" t="s">
        <v>6921</v>
      </c>
      <c r="D445" s="59">
        <v>2.0</v>
      </c>
      <c r="E445" s="59">
        <v>2.0</v>
      </c>
      <c r="F445" s="59">
        <v>1.0</v>
      </c>
      <c r="G445" s="60">
        <v>1.0</v>
      </c>
      <c r="H445" s="60">
        <v>0.0</v>
      </c>
      <c r="I445" s="60">
        <v>826.3019365</v>
      </c>
      <c r="J445" s="59">
        <v>37.0</v>
      </c>
      <c r="K445" s="61">
        <f t="shared" si="1"/>
        <v>0.5</v>
      </c>
      <c r="L445" s="62">
        <f t="shared" si="2"/>
        <v>18.5</v>
      </c>
    </row>
    <row r="446">
      <c r="A446" s="58">
        <v>46082.0</v>
      </c>
      <c r="B446" s="24" t="s">
        <v>6789</v>
      </c>
      <c r="C446" s="24" t="s">
        <v>6853</v>
      </c>
      <c r="D446" s="59">
        <v>2.0</v>
      </c>
      <c r="E446" s="59">
        <v>2.0</v>
      </c>
      <c r="F446" s="59">
        <v>2.0</v>
      </c>
      <c r="G446" s="60">
        <v>1.0</v>
      </c>
      <c r="H446" s="60">
        <v>0.5</v>
      </c>
      <c r="I446" s="60">
        <v>31.525693</v>
      </c>
      <c r="J446" s="59">
        <v>2.0</v>
      </c>
      <c r="K446" s="61">
        <f t="shared" si="1"/>
        <v>1</v>
      </c>
      <c r="L446" s="62">
        <f t="shared" si="2"/>
        <v>1</v>
      </c>
    </row>
    <row r="447">
      <c r="A447" s="58">
        <v>46082.0</v>
      </c>
      <c r="B447" s="24" t="s">
        <v>6787</v>
      </c>
      <c r="C447" s="24" t="s">
        <v>6923</v>
      </c>
      <c r="D447" s="59">
        <v>2.0</v>
      </c>
      <c r="E447" s="59">
        <v>2.0</v>
      </c>
      <c r="F447" s="59">
        <v>2.0</v>
      </c>
      <c r="G447" s="60">
        <v>1.0</v>
      </c>
      <c r="H447" s="60">
        <v>1.0</v>
      </c>
      <c r="I447" s="60">
        <v>0.0</v>
      </c>
      <c r="J447" s="59">
        <v>2.0</v>
      </c>
      <c r="K447" s="61">
        <f t="shared" si="1"/>
        <v>1</v>
      </c>
      <c r="L447" s="62">
        <f t="shared" si="2"/>
        <v>1</v>
      </c>
    </row>
    <row r="448">
      <c r="A448" s="58">
        <v>46082.0</v>
      </c>
      <c r="B448" s="24" t="s">
        <v>6789</v>
      </c>
      <c r="C448" s="24" t="s">
        <v>6923</v>
      </c>
      <c r="D448" s="59">
        <v>2.0</v>
      </c>
      <c r="E448" s="59">
        <v>3.0</v>
      </c>
      <c r="F448" s="59">
        <v>0.0</v>
      </c>
      <c r="G448" s="60">
        <v>3.0</v>
      </c>
      <c r="H448" s="60">
        <v>0.666666666666666</v>
      </c>
      <c r="I448" s="60">
        <v>202.137249333333</v>
      </c>
      <c r="J448" s="59">
        <v>4.0</v>
      </c>
      <c r="K448" s="61">
        <f t="shared" si="1"/>
        <v>0</v>
      </c>
      <c r="L448" s="62">
        <f t="shared" si="2"/>
        <v>1.333333333</v>
      </c>
    </row>
    <row r="449">
      <c r="A449" s="58">
        <v>46082.0</v>
      </c>
      <c r="B449" s="24" t="s">
        <v>6787</v>
      </c>
      <c r="C449" s="24" t="s">
        <v>6962</v>
      </c>
      <c r="D449" s="59">
        <v>2.0</v>
      </c>
      <c r="E449" s="59">
        <v>2.0</v>
      </c>
      <c r="F449" s="59">
        <v>1.0</v>
      </c>
      <c r="G449" s="60">
        <v>2.0</v>
      </c>
      <c r="H449" s="60">
        <v>0.0</v>
      </c>
      <c r="I449" s="60">
        <v>2.5584835</v>
      </c>
      <c r="J449" s="59">
        <v>2.0</v>
      </c>
      <c r="K449" s="61">
        <f t="shared" si="1"/>
        <v>0.5</v>
      </c>
      <c r="L449" s="62">
        <f t="shared" si="2"/>
        <v>1</v>
      </c>
    </row>
    <row r="450">
      <c r="A450" s="58">
        <v>46082.0</v>
      </c>
      <c r="B450" s="24" t="s">
        <v>6794</v>
      </c>
      <c r="C450" s="24" t="s">
        <v>6963</v>
      </c>
      <c r="D450" s="59">
        <v>2.0</v>
      </c>
      <c r="E450" s="59">
        <v>2.0</v>
      </c>
      <c r="F450" s="59">
        <v>1.0</v>
      </c>
      <c r="G450" s="60">
        <v>2.0</v>
      </c>
      <c r="H450" s="60">
        <v>1.0</v>
      </c>
      <c r="I450" s="60">
        <v>0.0</v>
      </c>
      <c r="J450" s="59">
        <v>2.0</v>
      </c>
      <c r="K450" s="61">
        <f t="shared" si="1"/>
        <v>0.5</v>
      </c>
      <c r="L450" s="62">
        <f t="shared" si="2"/>
        <v>1</v>
      </c>
    </row>
    <row r="451">
      <c r="A451" s="58">
        <v>46082.0</v>
      </c>
      <c r="B451" s="24" t="s">
        <v>6787</v>
      </c>
      <c r="C451" s="24" t="s">
        <v>6924</v>
      </c>
      <c r="D451" s="59">
        <v>2.0</v>
      </c>
      <c r="E451" s="59">
        <v>2.0</v>
      </c>
      <c r="F451" s="59">
        <v>2.0</v>
      </c>
      <c r="G451" s="60">
        <v>1.0</v>
      </c>
      <c r="H451" s="60">
        <v>1.0</v>
      </c>
      <c r="I451" s="60">
        <v>4.6002635</v>
      </c>
      <c r="J451" s="59">
        <v>2.0</v>
      </c>
      <c r="K451" s="61">
        <f t="shared" si="1"/>
        <v>1</v>
      </c>
      <c r="L451" s="62">
        <f t="shared" si="2"/>
        <v>1</v>
      </c>
    </row>
    <row r="452">
      <c r="A452" s="58">
        <v>46082.0</v>
      </c>
      <c r="B452" s="24" t="s">
        <v>6855</v>
      </c>
      <c r="C452" s="24" t="s">
        <v>6788</v>
      </c>
      <c r="D452" s="59">
        <v>1.0</v>
      </c>
      <c r="E452" s="59">
        <v>1.0</v>
      </c>
      <c r="F452" s="59">
        <v>1.0</v>
      </c>
      <c r="G452" s="60">
        <v>1.0</v>
      </c>
      <c r="H452" s="60">
        <v>0.0</v>
      </c>
      <c r="I452" s="60">
        <v>88.792527</v>
      </c>
      <c r="J452" s="59">
        <v>3.0</v>
      </c>
      <c r="K452" s="61">
        <f t="shared" si="1"/>
        <v>1</v>
      </c>
      <c r="L452" s="62">
        <f t="shared" si="2"/>
        <v>3</v>
      </c>
    </row>
    <row r="453">
      <c r="A453" s="58">
        <v>46082.0</v>
      </c>
      <c r="B453" s="24" t="s">
        <v>6787</v>
      </c>
      <c r="C453" s="24" t="s">
        <v>6964</v>
      </c>
      <c r="D453" s="59">
        <v>1.0</v>
      </c>
      <c r="E453" s="59">
        <v>1.0</v>
      </c>
      <c r="F453" s="59">
        <v>1.0</v>
      </c>
      <c r="G453" s="60">
        <v>1.0</v>
      </c>
      <c r="H453" s="60">
        <v>1.0</v>
      </c>
      <c r="I453" s="60">
        <v>6.882933</v>
      </c>
      <c r="J453" s="59">
        <v>1.0</v>
      </c>
      <c r="K453" s="61">
        <f t="shared" si="1"/>
        <v>1</v>
      </c>
      <c r="L453" s="62">
        <f t="shared" si="2"/>
        <v>1</v>
      </c>
    </row>
    <row r="454">
      <c r="A454" s="58">
        <v>46082.0</v>
      </c>
      <c r="B454" s="24" t="s">
        <v>6787</v>
      </c>
      <c r="C454" s="24" t="s">
        <v>6965</v>
      </c>
      <c r="D454" s="59">
        <v>1.0</v>
      </c>
      <c r="E454" s="59">
        <v>1.0</v>
      </c>
      <c r="F454" s="59">
        <v>1.0</v>
      </c>
      <c r="G454" s="60">
        <v>1.0</v>
      </c>
      <c r="H454" s="60">
        <v>1.0</v>
      </c>
      <c r="I454" s="60">
        <v>5.124375</v>
      </c>
      <c r="J454" s="59">
        <v>1.0</v>
      </c>
      <c r="K454" s="61">
        <f t="shared" si="1"/>
        <v>1</v>
      </c>
      <c r="L454" s="62">
        <f t="shared" si="2"/>
        <v>1</v>
      </c>
    </row>
    <row r="455">
      <c r="A455" s="58">
        <v>46082.0</v>
      </c>
      <c r="B455" s="24" t="s">
        <v>6787</v>
      </c>
      <c r="C455" s="24" t="s">
        <v>6966</v>
      </c>
      <c r="D455" s="59">
        <v>1.0</v>
      </c>
      <c r="E455" s="59">
        <v>1.0</v>
      </c>
      <c r="F455" s="59">
        <v>1.0</v>
      </c>
      <c r="G455" s="60">
        <v>1.0</v>
      </c>
      <c r="H455" s="60">
        <v>0.0</v>
      </c>
      <c r="I455" s="60">
        <v>37.64668</v>
      </c>
      <c r="J455" s="59">
        <v>1.0</v>
      </c>
      <c r="K455" s="61">
        <f t="shared" si="1"/>
        <v>1</v>
      </c>
      <c r="L455" s="62">
        <f t="shared" si="2"/>
        <v>1</v>
      </c>
    </row>
    <row r="456">
      <c r="A456" s="58">
        <v>46082.0</v>
      </c>
      <c r="B456" s="24" t="s">
        <v>6787</v>
      </c>
      <c r="C456" s="24" t="s">
        <v>6967</v>
      </c>
      <c r="D456" s="59">
        <v>1.0</v>
      </c>
      <c r="E456" s="59">
        <v>1.0</v>
      </c>
      <c r="F456" s="59">
        <v>1.0</v>
      </c>
      <c r="G456" s="60">
        <v>1.0</v>
      </c>
      <c r="H456" s="60">
        <v>1.0</v>
      </c>
      <c r="I456" s="60">
        <v>0.0</v>
      </c>
      <c r="J456" s="59">
        <v>1.0</v>
      </c>
      <c r="K456" s="61">
        <f t="shared" si="1"/>
        <v>1</v>
      </c>
      <c r="L456" s="62">
        <f t="shared" si="2"/>
        <v>1</v>
      </c>
    </row>
    <row r="457">
      <c r="A457" s="58">
        <v>46082.0</v>
      </c>
      <c r="B457" s="24" t="s">
        <v>6787</v>
      </c>
      <c r="C457" s="24" t="s">
        <v>6968</v>
      </c>
      <c r="D457" s="59">
        <v>1.0</v>
      </c>
      <c r="E457" s="59">
        <v>1.0</v>
      </c>
      <c r="F457" s="59">
        <v>1.0</v>
      </c>
      <c r="G457" s="60">
        <v>1.0</v>
      </c>
      <c r="H457" s="60">
        <v>0.0</v>
      </c>
      <c r="I457" s="60">
        <v>27.742432</v>
      </c>
      <c r="J457" s="59">
        <v>1.0</v>
      </c>
      <c r="K457" s="61">
        <f t="shared" si="1"/>
        <v>1</v>
      </c>
      <c r="L457" s="62">
        <f t="shared" si="2"/>
        <v>1</v>
      </c>
    </row>
    <row r="458">
      <c r="A458" s="58">
        <v>46082.0</v>
      </c>
      <c r="B458" s="24" t="s">
        <v>6787</v>
      </c>
      <c r="C458" s="24" t="s">
        <v>6969</v>
      </c>
      <c r="D458" s="59">
        <v>1.0</v>
      </c>
      <c r="E458" s="59">
        <v>1.0</v>
      </c>
      <c r="F458" s="59">
        <v>1.0</v>
      </c>
      <c r="G458" s="60">
        <v>1.0</v>
      </c>
      <c r="H458" s="60">
        <v>1.0</v>
      </c>
      <c r="I458" s="60">
        <v>0.0</v>
      </c>
      <c r="J458" s="59">
        <v>1.0</v>
      </c>
      <c r="K458" s="61">
        <f t="shared" si="1"/>
        <v>1</v>
      </c>
      <c r="L458" s="62">
        <f t="shared" si="2"/>
        <v>1</v>
      </c>
    </row>
    <row r="459">
      <c r="A459" s="58">
        <v>46082.0</v>
      </c>
      <c r="B459" s="24" t="s">
        <v>6787</v>
      </c>
      <c r="C459" s="24" t="s">
        <v>6970</v>
      </c>
      <c r="D459" s="59">
        <v>1.0</v>
      </c>
      <c r="E459" s="59">
        <v>1.0</v>
      </c>
      <c r="F459" s="59">
        <v>1.0</v>
      </c>
      <c r="G459" s="60">
        <v>1.0</v>
      </c>
      <c r="H459" s="60">
        <v>1.0</v>
      </c>
      <c r="I459" s="60">
        <v>0.0</v>
      </c>
      <c r="J459" s="59">
        <v>1.0</v>
      </c>
      <c r="K459" s="61">
        <f t="shared" si="1"/>
        <v>1</v>
      </c>
      <c r="L459" s="62">
        <f t="shared" si="2"/>
        <v>1</v>
      </c>
    </row>
    <row r="460">
      <c r="A460" s="58">
        <v>46082.0</v>
      </c>
      <c r="B460" s="24" t="s">
        <v>6787</v>
      </c>
      <c r="C460" s="24" t="s">
        <v>6971</v>
      </c>
      <c r="D460" s="59">
        <v>1.0</v>
      </c>
      <c r="E460" s="59">
        <v>1.0</v>
      </c>
      <c r="F460" s="59">
        <v>1.0</v>
      </c>
      <c r="G460" s="60">
        <v>1.0</v>
      </c>
      <c r="H460" s="60">
        <v>1.0</v>
      </c>
      <c r="I460" s="60">
        <v>0.0</v>
      </c>
      <c r="J460" s="59">
        <v>1.0</v>
      </c>
      <c r="K460" s="61">
        <f t="shared" si="1"/>
        <v>1</v>
      </c>
      <c r="L460" s="62">
        <f t="shared" si="2"/>
        <v>1</v>
      </c>
    </row>
    <row r="461">
      <c r="A461" s="58">
        <v>46082.0</v>
      </c>
      <c r="B461" s="24" t="s">
        <v>6787</v>
      </c>
      <c r="C461" s="24" t="s">
        <v>6972</v>
      </c>
      <c r="D461" s="59">
        <v>1.0</v>
      </c>
      <c r="E461" s="59">
        <v>1.0</v>
      </c>
      <c r="F461" s="59">
        <v>1.0</v>
      </c>
      <c r="G461" s="60">
        <v>1.0</v>
      </c>
      <c r="H461" s="60">
        <v>1.0</v>
      </c>
      <c r="I461" s="60">
        <v>0.0</v>
      </c>
      <c r="J461" s="59">
        <v>1.0</v>
      </c>
      <c r="K461" s="61">
        <f t="shared" si="1"/>
        <v>1</v>
      </c>
      <c r="L461" s="62">
        <f t="shared" si="2"/>
        <v>1</v>
      </c>
    </row>
    <row r="462">
      <c r="A462" s="58">
        <v>46082.0</v>
      </c>
      <c r="B462" s="24" t="s">
        <v>6787</v>
      </c>
      <c r="C462" s="24" t="s">
        <v>6973</v>
      </c>
      <c r="D462" s="59">
        <v>1.0</v>
      </c>
      <c r="E462" s="59">
        <v>1.0</v>
      </c>
      <c r="F462" s="59">
        <v>1.0</v>
      </c>
      <c r="G462" s="60">
        <v>1.0</v>
      </c>
      <c r="H462" s="60">
        <v>1.0</v>
      </c>
      <c r="I462" s="60">
        <v>4.894528</v>
      </c>
      <c r="J462" s="59">
        <v>1.0</v>
      </c>
      <c r="K462" s="61">
        <f t="shared" si="1"/>
        <v>1</v>
      </c>
      <c r="L462" s="62">
        <f t="shared" si="2"/>
        <v>1</v>
      </c>
    </row>
    <row r="463">
      <c r="A463" s="58">
        <v>46082.0</v>
      </c>
      <c r="B463" s="24" t="s">
        <v>6787</v>
      </c>
      <c r="C463" s="24" t="s">
        <v>6974</v>
      </c>
      <c r="D463" s="59">
        <v>1.0</v>
      </c>
      <c r="E463" s="59">
        <v>1.0</v>
      </c>
      <c r="F463" s="59">
        <v>0.0</v>
      </c>
      <c r="G463" s="60">
        <v>0.0</v>
      </c>
      <c r="H463" s="60">
        <v>1.0</v>
      </c>
      <c r="I463" s="60">
        <v>0.0</v>
      </c>
      <c r="J463" s="59">
        <v>1.0</v>
      </c>
      <c r="K463" s="61">
        <f t="shared" si="1"/>
        <v>0</v>
      </c>
      <c r="L463" s="62">
        <f t="shared" si="2"/>
        <v>1</v>
      </c>
    </row>
    <row r="464">
      <c r="A464" s="58">
        <v>46082.0</v>
      </c>
      <c r="B464" s="24" t="s">
        <v>6787</v>
      </c>
      <c r="C464" s="24" t="s">
        <v>6856</v>
      </c>
      <c r="D464" s="59">
        <v>1.0</v>
      </c>
      <c r="E464" s="59">
        <v>3.0</v>
      </c>
      <c r="F464" s="59">
        <v>0.0</v>
      </c>
      <c r="G464" s="60">
        <v>3.0</v>
      </c>
      <c r="H464" s="60">
        <v>0.333333333333333</v>
      </c>
      <c r="I464" s="60">
        <v>320.522938333333</v>
      </c>
      <c r="J464" s="59">
        <v>4.0</v>
      </c>
      <c r="K464" s="61">
        <f t="shared" si="1"/>
        <v>0</v>
      </c>
      <c r="L464" s="62">
        <f t="shared" si="2"/>
        <v>1.333333333</v>
      </c>
    </row>
    <row r="465">
      <c r="A465" s="58">
        <v>46082.0</v>
      </c>
      <c r="B465" s="24" t="s">
        <v>6787</v>
      </c>
      <c r="C465" s="24" t="s">
        <v>6975</v>
      </c>
      <c r="D465" s="59">
        <v>1.0</v>
      </c>
      <c r="E465" s="59">
        <v>1.0</v>
      </c>
      <c r="F465" s="59">
        <v>1.0</v>
      </c>
      <c r="G465" s="60">
        <v>1.0</v>
      </c>
      <c r="H465" s="60">
        <v>1.0</v>
      </c>
      <c r="I465" s="60">
        <v>0.0</v>
      </c>
      <c r="J465" s="59">
        <v>1.0</v>
      </c>
      <c r="K465" s="61">
        <f t="shared" si="1"/>
        <v>1</v>
      </c>
      <c r="L465" s="62">
        <f t="shared" si="2"/>
        <v>1</v>
      </c>
    </row>
    <row r="466">
      <c r="A466" s="58">
        <v>46082.0</v>
      </c>
      <c r="B466" s="24" t="s">
        <v>6787</v>
      </c>
      <c r="C466" s="24" t="s">
        <v>6976</v>
      </c>
      <c r="D466" s="59">
        <v>1.0</v>
      </c>
      <c r="E466" s="59">
        <v>1.0</v>
      </c>
      <c r="F466" s="59">
        <v>0.0</v>
      </c>
      <c r="G466" s="60">
        <v>1.0</v>
      </c>
      <c r="H466" s="60">
        <v>0.0</v>
      </c>
      <c r="I466" s="60">
        <v>495.246073</v>
      </c>
      <c r="J466" s="59">
        <v>2.0</v>
      </c>
      <c r="K466" s="61">
        <f t="shared" si="1"/>
        <v>0</v>
      </c>
      <c r="L466" s="62">
        <f t="shared" si="2"/>
        <v>2</v>
      </c>
    </row>
    <row r="467">
      <c r="A467" s="58">
        <v>46082.0</v>
      </c>
      <c r="B467" s="24" t="s">
        <v>6787</v>
      </c>
      <c r="C467" s="24" t="s">
        <v>6977</v>
      </c>
      <c r="D467" s="59">
        <v>1.0</v>
      </c>
      <c r="E467" s="59">
        <v>1.0</v>
      </c>
      <c r="F467" s="59">
        <v>1.0</v>
      </c>
      <c r="G467" s="60">
        <v>1.0</v>
      </c>
      <c r="H467" s="60">
        <v>0.0</v>
      </c>
      <c r="I467" s="60">
        <v>33.525663</v>
      </c>
      <c r="J467" s="59">
        <v>1.0</v>
      </c>
      <c r="K467" s="61">
        <f t="shared" si="1"/>
        <v>1</v>
      </c>
      <c r="L467" s="62">
        <f t="shared" si="2"/>
        <v>1</v>
      </c>
    </row>
    <row r="468">
      <c r="A468" s="58">
        <v>46082.0</v>
      </c>
      <c r="B468" s="24" t="s">
        <v>6789</v>
      </c>
      <c r="C468" s="24" t="s">
        <v>6977</v>
      </c>
      <c r="D468" s="59">
        <v>1.0</v>
      </c>
      <c r="E468" s="59">
        <v>3.0</v>
      </c>
      <c r="F468" s="59">
        <v>0.0</v>
      </c>
      <c r="G468" s="60">
        <v>3.0</v>
      </c>
      <c r="H468" s="60">
        <v>0.0</v>
      </c>
      <c r="I468" s="60">
        <v>779.253572</v>
      </c>
      <c r="J468" s="59">
        <v>7.0</v>
      </c>
      <c r="K468" s="61">
        <f t="shared" si="1"/>
        <v>0</v>
      </c>
      <c r="L468" s="62">
        <f t="shared" si="2"/>
        <v>2.333333333</v>
      </c>
    </row>
    <row r="469">
      <c r="A469" s="58">
        <v>46082.0</v>
      </c>
      <c r="B469" s="24" t="s">
        <v>6791</v>
      </c>
      <c r="C469" s="24" t="s">
        <v>6977</v>
      </c>
      <c r="D469" s="59">
        <v>1.0</v>
      </c>
      <c r="E469" s="59">
        <v>1.0</v>
      </c>
      <c r="F469" s="59">
        <v>0.0</v>
      </c>
      <c r="G469" s="60">
        <v>1.0</v>
      </c>
      <c r="H469" s="60">
        <v>1.0</v>
      </c>
      <c r="I469" s="60">
        <v>3.958568</v>
      </c>
      <c r="J469" s="59">
        <v>1.0</v>
      </c>
      <c r="K469" s="61">
        <f t="shared" si="1"/>
        <v>0</v>
      </c>
      <c r="L469" s="62">
        <f t="shared" si="2"/>
        <v>1</v>
      </c>
    </row>
    <row r="470">
      <c r="A470" s="58">
        <v>46082.0</v>
      </c>
      <c r="B470" s="24" t="s">
        <v>155</v>
      </c>
      <c r="C470" s="24" t="s">
        <v>6977</v>
      </c>
      <c r="D470" s="59">
        <v>1.0</v>
      </c>
      <c r="E470" s="59">
        <v>1.0</v>
      </c>
      <c r="F470" s="59">
        <v>1.0</v>
      </c>
      <c r="G470" s="60">
        <v>1.0</v>
      </c>
      <c r="H470" s="60">
        <v>1.0</v>
      </c>
      <c r="I470" s="60">
        <v>0.0</v>
      </c>
      <c r="J470" s="59">
        <v>1.0</v>
      </c>
      <c r="K470" s="61">
        <f t="shared" si="1"/>
        <v>1</v>
      </c>
      <c r="L470" s="62">
        <f t="shared" si="2"/>
        <v>1</v>
      </c>
    </row>
    <row r="471">
      <c r="A471" s="58">
        <v>46082.0</v>
      </c>
      <c r="B471" s="24" t="s">
        <v>6787</v>
      </c>
      <c r="C471" s="24" t="s">
        <v>6978</v>
      </c>
      <c r="D471" s="59">
        <v>1.0</v>
      </c>
      <c r="E471" s="59">
        <v>1.0</v>
      </c>
      <c r="F471" s="59">
        <v>1.0</v>
      </c>
      <c r="G471" s="60">
        <v>1.0</v>
      </c>
      <c r="H471" s="60">
        <v>1.0</v>
      </c>
      <c r="I471" s="60">
        <v>5.056806</v>
      </c>
      <c r="J471" s="59">
        <v>1.0</v>
      </c>
      <c r="K471" s="61">
        <f t="shared" si="1"/>
        <v>1</v>
      </c>
      <c r="L471" s="62">
        <f t="shared" si="2"/>
        <v>1</v>
      </c>
    </row>
    <row r="472">
      <c r="A472" s="58">
        <v>46082.0</v>
      </c>
      <c r="B472" s="24" t="s">
        <v>6787</v>
      </c>
      <c r="C472" s="24" t="s">
        <v>6979</v>
      </c>
      <c r="D472" s="59">
        <v>1.0</v>
      </c>
      <c r="E472" s="59">
        <v>1.0</v>
      </c>
      <c r="F472" s="59">
        <v>1.0</v>
      </c>
      <c r="G472" s="60">
        <v>1.0</v>
      </c>
      <c r="H472" s="60">
        <v>1.0</v>
      </c>
      <c r="I472" s="60">
        <v>5.019758</v>
      </c>
      <c r="J472" s="59">
        <v>1.0</v>
      </c>
      <c r="K472" s="61">
        <f t="shared" si="1"/>
        <v>1</v>
      </c>
      <c r="L472" s="62">
        <f t="shared" si="2"/>
        <v>1</v>
      </c>
    </row>
    <row r="473">
      <c r="A473" s="58">
        <v>46082.0</v>
      </c>
      <c r="B473" s="24" t="s">
        <v>6787</v>
      </c>
      <c r="C473" s="24" t="s">
        <v>6980</v>
      </c>
      <c r="D473" s="59">
        <v>1.0</v>
      </c>
      <c r="E473" s="59">
        <v>1.0</v>
      </c>
      <c r="F473" s="59">
        <v>1.0</v>
      </c>
      <c r="G473" s="60">
        <v>1.0</v>
      </c>
      <c r="H473" s="60">
        <v>1.0</v>
      </c>
      <c r="I473" s="60">
        <v>1.78622</v>
      </c>
      <c r="J473" s="59">
        <v>1.0</v>
      </c>
      <c r="K473" s="61">
        <f t="shared" si="1"/>
        <v>1</v>
      </c>
      <c r="L473" s="62">
        <f t="shared" si="2"/>
        <v>1</v>
      </c>
    </row>
    <row r="474">
      <c r="A474" s="58">
        <v>46082.0</v>
      </c>
      <c r="B474" s="24" t="s">
        <v>6789</v>
      </c>
      <c r="C474" s="24" t="s">
        <v>6981</v>
      </c>
      <c r="D474" s="59">
        <v>1.0</v>
      </c>
      <c r="E474" s="59">
        <v>1.0</v>
      </c>
      <c r="F474" s="59">
        <v>1.0</v>
      </c>
      <c r="G474" s="60">
        <v>1.0</v>
      </c>
      <c r="H474" s="60">
        <v>0.0</v>
      </c>
      <c r="I474" s="60">
        <v>14.562474</v>
      </c>
      <c r="J474" s="59">
        <v>1.0</v>
      </c>
      <c r="K474" s="61">
        <f t="shared" si="1"/>
        <v>1</v>
      </c>
      <c r="L474" s="62">
        <f t="shared" si="2"/>
        <v>1</v>
      </c>
    </row>
    <row r="475">
      <c r="A475" s="58">
        <v>46082.0</v>
      </c>
      <c r="B475" s="24" t="s">
        <v>6789</v>
      </c>
      <c r="C475" s="24" t="s">
        <v>6951</v>
      </c>
      <c r="D475" s="59">
        <v>1.0</v>
      </c>
      <c r="E475" s="59">
        <v>1.0</v>
      </c>
      <c r="F475" s="59">
        <v>1.0</v>
      </c>
      <c r="G475" s="60">
        <v>1.0</v>
      </c>
      <c r="H475" s="60">
        <v>0.0</v>
      </c>
      <c r="I475" s="60">
        <v>140.710507</v>
      </c>
      <c r="J475" s="59">
        <v>1.0</v>
      </c>
      <c r="K475" s="61">
        <f t="shared" si="1"/>
        <v>1</v>
      </c>
      <c r="L475" s="62">
        <f t="shared" si="2"/>
        <v>1</v>
      </c>
    </row>
    <row r="476">
      <c r="A476" s="58">
        <v>46082.0</v>
      </c>
      <c r="B476" s="24" t="s">
        <v>6789</v>
      </c>
      <c r="C476" s="24" t="s">
        <v>6857</v>
      </c>
      <c r="D476" s="59">
        <v>1.0</v>
      </c>
      <c r="E476" s="59">
        <v>1.0</v>
      </c>
      <c r="F476" s="59">
        <v>0.0</v>
      </c>
      <c r="G476" s="60">
        <v>1.0</v>
      </c>
      <c r="H476" s="60">
        <v>0.0</v>
      </c>
      <c r="I476" s="60">
        <v>1081.109261</v>
      </c>
      <c r="J476" s="59">
        <v>7.0</v>
      </c>
      <c r="K476" s="61">
        <f t="shared" si="1"/>
        <v>0</v>
      </c>
      <c r="L476" s="62">
        <f t="shared" si="2"/>
        <v>7</v>
      </c>
    </row>
    <row r="477">
      <c r="A477" s="58">
        <v>46082.0</v>
      </c>
      <c r="B477" s="24" t="s">
        <v>155</v>
      </c>
      <c r="C477" s="24" t="s">
        <v>6803</v>
      </c>
      <c r="D477" s="59">
        <v>1.0</v>
      </c>
      <c r="E477" s="59">
        <v>1.0</v>
      </c>
      <c r="F477" s="59">
        <v>1.0</v>
      </c>
      <c r="G477" s="60">
        <v>1.0</v>
      </c>
      <c r="H477" s="60">
        <v>0.0</v>
      </c>
      <c r="I477" s="60">
        <v>257.312691</v>
      </c>
      <c r="J477" s="59">
        <v>1.0</v>
      </c>
      <c r="K477" s="61">
        <f t="shared" si="1"/>
        <v>1</v>
      </c>
      <c r="L477" s="62">
        <f t="shared" si="2"/>
        <v>1</v>
      </c>
    </row>
    <row r="478">
      <c r="A478" s="58">
        <v>46082.0</v>
      </c>
      <c r="B478" s="24" t="s">
        <v>6787</v>
      </c>
      <c r="C478" s="24" t="s">
        <v>6982</v>
      </c>
      <c r="D478" s="59">
        <v>1.0</v>
      </c>
      <c r="E478" s="59">
        <v>1.0</v>
      </c>
      <c r="F478" s="59">
        <v>1.0</v>
      </c>
      <c r="G478" s="60">
        <v>1.0</v>
      </c>
      <c r="H478" s="60">
        <v>1.0</v>
      </c>
      <c r="I478" s="60">
        <v>4.933877</v>
      </c>
      <c r="J478" s="59">
        <v>1.0</v>
      </c>
      <c r="K478" s="61">
        <f t="shared" si="1"/>
        <v>1</v>
      </c>
      <c r="L478" s="62">
        <f t="shared" si="2"/>
        <v>1</v>
      </c>
    </row>
    <row r="479">
      <c r="A479" s="58">
        <v>46082.0</v>
      </c>
      <c r="B479" s="24" t="s">
        <v>155</v>
      </c>
      <c r="C479" s="24" t="s">
        <v>6817</v>
      </c>
      <c r="D479" s="59">
        <v>1.0</v>
      </c>
      <c r="E479" s="59">
        <v>9.0</v>
      </c>
      <c r="F479" s="59">
        <v>0.0</v>
      </c>
      <c r="G479" s="60">
        <v>9.0</v>
      </c>
      <c r="H479" s="60">
        <v>0.111111111111111</v>
      </c>
      <c r="I479" s="60">
        <v>724.521948555555</v>
      </c>
      <c r="J479" s="59">
        <v>53.0</v>
      </c>
      <c r="K479" s="61">
        <f t="shared" si="1"/>
        <v>0</v>
      </c>
      <c r="L479" s="62">
        <f t="shared" si="2"/>
        <v>5.888888889</v>
      </c>
    </row>
    <row r="480">
      <c r="A480" s="58">
        <v>46082.0</v>
      </c>
      <c r="B480" s="24" t="s">
        <v>6787</v>
      </c>
      <c r="C480" s="24" t="s">
        <v>6983</v>
      </c>
      <c r="D480" s="59">
        <v>1.0</v>
      </c>
      <c r="E480" s="59">
        <v>1.0</v>
      </c>
      <c r="F480" s="59">
        <v>1.0</v>
      </c>
      <c r="G480" s="60">
        <v>1.0</v>
      </c>
      <c r="H480" s="60">
        <v>1.0</v>
      </c>
      <c r="I480" s="60">
        <v>5.184859</v>
      </c>
      <c r="J480" s="59">
        <v>1.0</v>
      </c>
      <c r="K480" s="61">
        <f t="shared" si="1"/>
        <v>1</v>
      </c>
      <c r="L480" s="62">
        <f t="shared" si="2"/>
        <v>1</v>
      </c>
    </row>
    <row r="481">
      <c r="A481" s="58">
        <v>46082.0</v>
      </c>
      <c r="B481" s="24" t="s">
        <v>6787</v>
      </c>
      <c r="C481" s="24" t="s">
        <v>6984</v>
      </c>
      <c r="D481" s="59">
        <v>1.0</v>
      </c>
      <c r="E481" s="59">
        <v>1.0</v>
      </c>
      <c r="F481" s="59">
        <v>1.0</v>
      </c>
      <c r="G481" s="60">
        <v>1.0</v>
      </c>
      <c r="H481" s="60">
        <v>1.0</v>
      </c>
      <c r="I481" s="60">
        <v>7.29181</v>
      </c>
      <c r="J481" s="59">
        <v>1.0</v>
      </c>
      <c r="K481" s="61">
        <f t="shared" si="1"/>
        <v>1</v>
      </c>
      <c r="L481" s="62">
        <f t="shared" si="2"/>
        <v>1</v>
      </c>
    </row>
    <row r="482">
      <c r="A482" s="58">
        <v>46082.0</v>
      </c>
      <c r="B482" s="24" t="s">
        <v>6789</v>
      </c>
      <c r="C482" s="24" t="s">
        <v>6859</v>
      </c>
      <c r="D482" s="59">
        <v>1.0</v>
      </c>
      <c r="E482" s="59">
        <v>1.0</v>
      </c>
      <c r="F482" s="59">
        <v>0.0</v>
      </c>
      <c r="G482" s="60">
        <v>1.0</v>
      </c>
      <c r="H482" s="60">
        <v>0.0</v>
      </c>
      <c r="I482" s="60">
        <v>1571.600295</v>
      </c>
      <c r="J482" s="59">
        <v>1.0</v>
      </c>
      <c r="K482" s="61">
        <f t="shared" si="1"/>
        <v>0</v>
      </c>
      <c r="L482" s="62">
        <f t="shared" si="2"/>
        <v>1</v>
      </c>
    </row>
    <row r="483">
      <c r="A483" s="58">
        <v>46082.0</v>
      </c>
      <c r="B483" s="24" t="s">
        <v>6790</v>
      </c>
      <c r="C483" s="24" t="s">
        <v>6804</v>
      </c>
      <c r="D483" s="59">
        <v>1.0</v>
      </c>
      <c r="E483" s="59">
        <v>1.0</v>
      </c>
      <c r="F483" s="59">
        <v>1.0</v>
      </c>
      <c r="G483" s="60">
        <v>1.0</v>
      </c>
      <c r="H483" s="60">
        <v>0.0</v>
      </c>
      <c r="I483" s="60">
        <v>15.310276</v>
      </c>
      <c r="J483" s="59">
        <v>1.0</v>
      </c>
      <c r="K483" s="61">
        <f t="shared" si="1"/>
        <v>1</v>
      </c>
      <c r="L483" s="62">
        <f t="shared" si="2"/>
        <v>1</v>
      </c>
    </row>
    <row r="484">
      <c r="A484" s="58">
        <v>46082.0</v>
      </c>
      <c r="B484" s="24" t="s">
        <v>6787</v>
      </c>
      <c r="C484" s="24" t="s">
        <v>6861</v>
      </c>
      <c r="D484" s="59">
        <v>1.0</v>
      </c>
      <c r="E484" s="59">
        <v>1.0</v>
      </c>
      <c r="F484" s="59">
        <v>1.0</v>
      </c>
      <c r="G484" s="60">
        <v>1.0</v>
      </c>
      <c r="H484" s="60">
        <v>1.0</v>
      </c>
      <c r="I484" s="60">
        <v>0.0</v>
      </c>
      <c r="J484" s="59">
        <v>1.0</v>
      </c>
      <c r="K484" s="61">
        <f t="shared" si="1"/>
        <v>1</v>
      </c>
      <c r="L484" s="62">
        <f t="shared" si="2"/>
        <v>1</v>
      </c>
    </row>
    <row r="485">
      <c r="A485" s="58">
        <v>46082.0</v>
      </c>
      <c r="B485" s="24" t="s">
        <v>6787</v>
      </c>
      <c r="C485" s="24" t="s">
        <v>6830</v>
      </c>
      <c r="D485" s="59">
        <v>1.0</v>
      </c>
      <c r="E485" s="59">
        <v>1.0</v>
      </c>
      <c r="F485" s="59">
        <v>1.0</v>
      </c>
      <c r="G485" s="60">
        <v>1.0</v>
      </c>
      <c r="H485" s="60">
        <v>1.0</v>
      </c>
      <c r="I485" s="60">
        <v>0.0</v>
      </c>
      <c r="J485" s="59">
        <v>1.0</v>
      </c>
      <c r="K485" s="61">
        <f t="shared" si="1"/>
        <v>1</v>
      </c>
      <c r="L485" s="62">
        <f t="shared" si="2"/>
        <v>1</v>
      </c>
    </row>
    <row r="486">
      <c r="A486" s="58">
        <v>46082.0</v>
      </c>
      <c r="B486" s="24" t="s">
        <v>6789</v>
      </c>
      <c r="C486" s="24" t="s">
        <v>6939</v>
      </c>
      <c r="D486" s="59">
        <v>1.0</v>
      </c>
      <c r="E486" s="59">
        <v>1.0</v>
      </c>
      <c r="F486" s="59">
        <v>1.0</v>
      </c>
      <c r="G486" s="60">
        <v>1.0</v>
      </c>
      <c r="H486" s="60">
        <v>0.0</v>
      </c>
      <c r="I486" s="60">
        <v>135.895842</v>
      </c>
      <c r="J486" s="59">
        <v>1.0</v>
      </c>
      <c r="K486" s="61">
        <f t="shared" si="1"/>
        <v>1</v>
      </c>
      <c r="L486" s="62">
        <f t="shared" si="2"/>
        <v>1</v>
      </c>
    </row>
    <row r="487">
      <c r="A487" s="58">
        <v>46082.0</v>
      </c>
      <c r="B487" s="24" t="s">
        <v>6789</v>
      </c>
      <c r="C487" s="24" t="s">
        <v>6831</v>
      </c>
      <c r="D487" s="59">
        <v>1.0</v>
      </c>
      <c r="E487" s="59">
        <v>1.0</v>
      </c>
      <c r="F487" s="59">
        <v>1.0</v>
      </c>
      <c r="G487" s="60">
        <v>1.0</v>
      </c>
      <c r="H487" s="60">
        <v>0.0</v>
      </c>
      <c r="I487" s="60">
        <v>618.402616</v>
      </c>
      <c r="J487" s="59">
        <v>1.0</v>
      </c>
      <c r="K487" s="61">
        <f t="shared" si="1"/>
        <v>1</v>
      </c>
      <c r="L487" s="62">
        <f t="shared" si="2"/>
        <v>1</v>
      </c>
    </row>
    <row r="488">
      <c r="A488" s="58">
        <v>46082.0</v>
      </c>
      <c r="B488" s="24" t="s">
        <v>6787</v>
      </c>
      <c r="C488" s="24" t="s">
        <v>6985</v>
      </c>
      <c r="D488" s="59">
        <v>1.0</v>
      </c>
      <c r="E488" s="59">
        <v>1.0</v>
      </c>
      <c r="F488" s="59">
        <v>1.0</v>
      </c>
      <c r="G488" s="60">
        <v>1.0</v>
      </c>
      <c r="H488" s="60">
        <v>1.0</v>
      </c>
      <c r="I488" s="60">
        <v>0.0</v>
      </c>
      <c r="J488" s="59">
        <v>1.0</v>
      </c>
      <c r="K488" s="61">
        <f t="shared" si="1"/>
        <v>1</v>
      </c>
      <c r="L488" s="62">
        <f t="shared" si="2"/>
        <v>1</v>
      </c>
    </row>
    <row r="489">
      <c r="A489" s="58">
        <v>46082.0</v>
      </c>
      <c r="B489" s="24" t="s">
        <v>6790</v>
      </c>
      <c r="C489" s="24" t="s">
        <v>6832</v>
      </c>
      <c r="D489" s="59">
        <v>1.0</v>
      </c>
      <c r="E489" s="59">
        <v>1.0</v>
      </c>
      <c r="F489" s="59">
        <v>1.0</v>
      </c>
      <c r="G489" s="60">
        <v>1.0</v>
      </c>
      <c r="H489" s="60">
        <v>0.0</v>
      </c>
      <c r="I489" s="60">
        <v>292.321106</v>
      </c>
      <c r="J489" s="59">
        <v>1.0</v>
      </c>
      <c r="K489" s="61">
        <f t="shared" si="1"/>
        <v>1</v>
      </c>
      <c r="L489" s="62">
        <f t="shared" si="2"/>
        <v>1</v>
      </c>
    </row>
    <row r="490">
      <c r="A490" s="58">
        <v>46082.0</v>
      </c>
      <c r="B490" s="24" t="s">
        <v>6787</v>
      </c>
      <c r="C490" s="24" t="s">
        <v>6833</v>
      </c>
      <c r="D490" s="59">
        <v>1.0</v>
      </c>
      <c r="E490" s="59">
        <v>1.0</v>
      </c>
      <c r="F490" s="59">
        <v>1.0</v>
      </c>
      <c r="G490" s="60">
        <v>1.0</v>
      </c>
      <c r="H490" s="60">
        <v>1.0</v>
      </c>
      <c r="I490" s="60">
        <v>0.0</v>
      </c>
      <c r="J490" s="59">
        <v>1.0</v>
      </c>
      <c r="K490" s="61">
        <f t="shared" si="1"/>
        <v>1</v>
      </c>
      <c r="L490" s="62">
        <f t="shared" si="2"/>
        <v>1</v>
      </c>
    </row>
    <row r="491">
      <c r="A491" s="58">
        <v>46082.0</v>
      </c>
      <c r="B491" s="24" t="s">
        <v>6787</v>
      </c>
      <c r="C491" s="24" t="s">
        <v>6819</v>
      </c>
      <c r="D491" s="59">
        <v>1.0</v>
      </c>
      <c r="E491" s="59">
        <v>1.0</v>
      </c>
      <c r="F491" s="59">
        <v>1.0</v>
      </c>
      <c r="G491" s="60">
        <v>1.0</v>
      </c>
      <c r="H491" s="60">
        <v>1.0</v>
      </c>
      <c r="I491" s="60">
        <v>0.0</v>
      </c>
      <c r="J491" s="59">
        <v>1.0</v>
      </c>
      <c r="K491" s="61">
        <f t="shared" si="1"/>
        <v>1</v>
      </c>
      <c r="L491" s="62">
        <f t="shared" si="2"/>
        <v>1</v>
      </c>
    </row>
    <row r="492">
      <c r="A492" s="58">
        <v>46082.0</v>
      </c>
      <c r="B492" s="24" t="s">
        <v>155</v>
      </c>
      <c r="C492" s="24" t="s">
        <v>6927</v>
      </c>
      <c r="D492" s="59">
        <v>1.0</v>
      </c>
      <c r="E492" s="59">
        <v>1.0</v>
      </c>
      <c r="F492" s="59">
        <v>1.0</v>
      </c>
      <c r="G492" s="60">
        <v>1.0</v>
      </c>
      <c r="H492" s="60">
        <v>0.0</v>
      </c>
      <c r="I492" s="60">
        <v>22.786695</v>
      </c>
      <c r="J492" s="59">
        <v>2.0</v>
      </c>
      <c r="K492" s="61">
        <f t="shared" si="1"/>
        <v>1</v>
      </c>
      <c r="L492" s="62">
        <f t="shared" si="2"/>
        <v>2</v>
      </c>
    </row>
    <row r="493">
      <c r="A493" s="58">
        <v>46082.0</v>
      </c>
      <c r="B493" s="24" t="s">
        <v>6787</v>
      </c>
      <c r="C493" s="24" t="s">
        <v>6986</v>
      </c>
      <c r="D493" s="59">
        <v>1.0</v>
      </c>
      <c r="E493" s="59">
        <v>1.0</v>
      </c>
      <c r="F493" s="59">
        <v>1.0</v>
      </c>
      <c r="G493" s="60">
        <v>1.0</v>
      </c>
      <c r="H493" s="60">
        <v>1.0</v>
      </c>
      <c r="I493" s="60">
        <v>0.0</v>
      </c>
      <c r="J493" s="59">
        <v>1.0</v>
      </c>
      <c r="K493" s="61">
        <f t="shared" si="1"/>
        <v>1</v>
      </c>
      <c r="L493" s="62">
        <f t="shared" si="2"/>
        <v>1</v>
      </c>
    </row>
    <row r="494">
      <c r="A494" s="58">
        <v>46082.0</v>
      </c>
      <c r="B494" s="24" t="s">
        <v>6787</v>
      </c>
      <c r="C494" s="24" t="s">
        <v>6867</v>
      </c>
      <c r="D494" s="59">
        <v>1.0</v>
      </c>
      <c r="E494" s="59">
        <v>1.0</v>
      </c>
      <c r="F494" s="59">
        <v>1.0</v>
      </c>
      <c r="G494" s="60">
        <v>1.0</v>
      </c>
      <c r="H494" s="60">
        <v>1.0</v>
      </c>
      <c r="I494" s="60">
        <v>0.0</v>
      </c>
      <c r="J494" s="59">
        <v>1.0</v>
      </c>
      <c r="K494" s="61">
        <f t="shared" si="1"/>
        <v>1</v>
      </c>
      <c r="L494" s="62">
        <f t="shared" si="2"/>
        <v>1</v>
      </c>
    </row>
    <row r="495">
      <c r="A495" s="58">
        <v>46082.0</v>
      </c>
      <c r="B495" s="24" t="s">
        <v>6789</v>
      </c>
      <c r="C495" s="24" t="s">
        <v>6868</v>
      </c>
      <c r="D495" s="59">
        <v>1.0</v>
      </c>
      <c r="E495" s="59">
        <v>1.0</v>
      </c>
      <c r="F495" s="59">
        <v>1.0</v>
      </c>
      <c r="G495" s="60">
        <v>1.0</v>
      </c>
      <c r="H495" s="60">
        <v>1.0</v>
      </c>
      <c r="I495" s="60">
        <v>0.0</v>
      </c>
      <c r="J495" s="59">
        <v>1.0</v>
      </c>
      <c r="K495" s="61">
        <f t="shared" si="1"/>
        <v>1</v>
      </c>
      <c r="L495" s="62">
        <f t="shared" si="2"/>
        <v>1</v>
      </c>
    </row>
    <row r="496">
      <c r="A496" s="58">
        <v>46082.0</v>
      </c>
      <c r="B496" s="24" t="s">
        <v>6787</v>
      </c>
      <c r="C496" s="24" t="s">
        <v>6987</v>
      </c>
      <c r="D496" s="59">
        <v>1.0</v>
      </c>
      <c r="E496" s="59">
        <v>1.0</v>
      </c>
      <c r="F496" s="59">
        <v>1.0</v>
      </c>
      <c r="G496" s="60">
        <v>1.0</v>
      </c>
      <c r="H496" s="60">
        <v>1.0</v>
      </c>
      <c r="I496" s="60">
        <v>0.0</v>
      </c>
      <c r="J496" s="59">
        <v>1.0</v>
      </c>
      <c r="K496" s="61">
        <f t="shared" si="1"/>
        <v>1</v>
      </c>
      <c r="L496" s="62">
        <f t="shared" si="2"/>
        <v>1</v>
      </c>
    </row>
    <row r="497">
      <c r="A497" s="58">
        <v>46082.0</v>
      </c>
      <c r="B497" s="24" t="s">
        <v>6794</v>
      </c>
      <c r="C497" s="24" t="s">
        <v>6987</v>
      </c>
      <c r="D497" s="59">
        <v>1.0</v>
      </c>
      <c r="E497" s="59">
        <v>1.0</v>
      </c>
      <c r="F497" s="59">
        <v>0.0</v>
      </c>
      <c r="G497" s="60">
        <v>1.0</v>
      </c>
      <c r="H497" s="60">
        <v>1.0</v>
      </c>
      <c r="I497" s="60">
        <v>2.53771</v>
      </c>
      <c r="J497" s="59">
        <v>1.0</v>
      </c>
      <c r="K497" s="61">
        <f t="shared" si="1"/>
        <v>0</v>
      </c>
      <c r="L497" s="62">
        <f t="shared" si="2"/>
        <v>1</v>
      </c>
    </row>
    <row r="498">
      <c r="A498" s="58">
        <v>46082.0</v>
      </c>
      <c r="B498" s="24" t="s">
        <v>6787</v>
      </c>
      <c r="C498" s="24" t="s">
        <v>6869</v>
      </c>
      <c r="D498" s="59">
        <v>1.0</v>
      </c>
      <c r="E498" s="59">
        <v>1.0</v>
      </c>
      <c r="F498" s="59">
        <v>1.0</v>
      </c>
      <c r="G498" s="60">
        <v>1.0</v>
      </c>
      <c r="H498" s="60">
        <v>1.0</v>
      </c>
      <c r="I498" s="60">
        <v>0.0</v>
      </c>
      <c r="J498" s="59">
        <v>1.0</v>
      </c>
      <c r="K498" s="61">
        <f t="shared" si="1"/>
        <v>1</v>
      </c>
      <c r="L498" s="62">
        <f t="shared" si="2"/>
        <v>1</v>
      </c>
    </row>
    <row r="499">
      <c r="A499" s="58">
        <v>46082.0</v>
      </c>
      <c r="B499" s="24" t="s">
        <v>155</v>
      </c>
      <c r="C499" s="24" t="s">
        <v>6869</v>
      </c>
      <c r="D499" s="59">
        <v>1.0</v>
      </c>
      <c r="E499" s="59">
        <v>1.0</v>
      </c>
      <c r="F499" s="59">
        <v>0.0</v>
      </c>
      <c r="G499" s="60">
        <v>1.0</v>
      </c>
      <c r="H499" s="60">
        <v>0.0</v>
      </c>
      <c r="I499" s="60">
        <v>85.411061</v>
      </c>
      <c r="J499" s="59">
        <v>3.0</v>
      </c>
      <c r="K499" s="61">
        <f t="shared" si="1"/>
        <v>0</v>
      </c>
      <c r="L499" s="62">
        <f t="shared" si="2"/>
        <v>3</v>
      </c>
    </row>
    <row r="500">
      <c r="A500" s="58">
        <v>46082.0</v>
      </c>
      <c r="B500" s="24" t="s">
        <v>6789</v>
      </c>
      <c r="C500" s="24" t="s">
        <v>6988</v>
      </c>
      <c r="D500" s="59">
        <v>1.0</v>
      </c>
      <c r="E500" s="59">
        <v>1.0</v>
      </c>
      <c r="F500" s="59">
        <v>1.0</v>
      </c>
      <c r="G500" s="60">
        <v>1.0</v>
      </c>
      <c r="H500" s="60">
        <v>0.0</v>
      </c>
      <c r="I500" s="60">
        <v>363.005238</v>
      </c>
      <c r="J500" s="59">
        <v>2.0</v>
      </c>
      <c r="K500" s="61">
        <f t="shared" si="1"/>
        <v>1</v>
      </c>
      <c r="L500" s="62">
        <f t="shared" si="2"/>
        <v>2</v>
      </c>
    </row>
    <row r="501">
      <c r="A501" s="58">
        <v>46082.0</v>
      </c>
      <c r="B501" s="24" t="s">
        <v>6789</v>
      </c>
      <c r="C501" s="24" t="s">
        <v>6872</v>
      </c>
      <c r="D501" s="59">
        <v>1.0</v>
      </c>
      <c r="E501" s="59">
        <v>2.0</v>
      </c>
      <c r="F501" s="59">
        <v>1.0</v>
      </c>
      <c r="G501" s="60">
        <v>2.0</v>
      </c>
      <c r="H501" s="60">
        <v>0.5</v>
      </c>
      <c r="I501" s="60">
        <v>50.4004345</v>
      </c>
      <c r="J501" s="59">
        <v>2.0</v>
      </c>
      <c r="K501" s="61">
        <f t="shared" si="1"/>
        <v>0.5</v>
      </c>
      <c r="L501" s="62">
        <f t="shared" si="2"/>
        <v>1</v>
      </c>
    </row>
    <row r="502">
      <c r="A502" s="58">
        <v>46082.0</v>
      </c>
      <c r="B502" s="24" t="s">
        <v>155</v>
      </c>
      <c r="C502" s="24" t="s">
        <v>6873</v>
      </c>
      <c r="D502" s="59">
        <v>1.0</v>
      </c>
      <c r="E502" s="59">
        <v>1.0</v>
      </c>
      <c r="F502" s="59">
        <v>1.0</v>
      </c>
      <c r="G502" s="60">
        <v>1.0</v>
      </c>
      <c r="H502" s="60">
        <v>1.0</v>
      </c>
      <c r="I502" s="60">
        <v>0.0</v>
      </c>
      <c r="J502" s="59">
        <v>1.0</v>
      </c>
      <c r="K502" s="61">
        <f t="shared" si="1"/>
        <v>1</v>
      </c>
      <c r="L502" s="62">
        <f t="shared" si="2"/>
        <v>1</v>
      </c>
    </row>
    <row r="503">
      <c r="A503" s="58">
        <v>46082.0</v>
      </c>
      <c r="B503" s="24" t="s">
        <v>6787</v>
      </c>
      <c r="C503" s="24" t="s">
        <v>6874</v>
      </c>
      <c r="D503" s="59">
        <v>1.0</v>
      </c>
      <c r="E503" s="59">
        <v>1.0</v>
      </c>
      <c r="F503" s="59">
        <v>1.0</v>
      </c>
      <c r="G503" s="60">
        <v>1.0</v>
      </c>
      <c r="H503" s="60">
        <v>1.0</v>
      </c>
      <c r="I503" s="60">
        <v>0.0</v>
      </c>
      <c r="J503" s="59">
        <v>1.0</v>
      </c>
      <c r="K503" s="61">
        <f t="shared" si="1"/>
        <v>1</v>
      </c>
      <c r="L503" s="62">
        <f t="shared" si="2"/>
        <v>1</v>
      </c>
    </row>
    <row r="504">
      <c r="A504" s="58">
        <v>46082.0</v>
      </c>
      <c r="B504" s="24" t="s">
        <v>6789</v>
      </c>
      <c r="C504" s="24" t="s">
        <v>6874</v>
      </c>
      <c r="D504" s="59">
        <v>1.0</v>
      </c>
      <c r="E504" s="59">
        <v>1.0</v>
      </c>
      <c r="F504" s="59">
        <v>1.0</v>
      </c>
      <c r="G504" s="60">
        <v>1.0</v>
      </c>
      <c r="H504" s="60">
        <v>0.0</v>
      </c>
      <c r="I504" s="60">
        <v>10.447034</v>
      </c>
      <c r="J504" s="59">
        <v>1.0</v>
      </c>
      <c r="K504" s="61">
        <f t="shared" si="1"/>
        <v>1</v>
      </c>
      <c r="L504" s="62">
        <f t="shared" si="2"/>
        <v>1</v>
      </c>
    </row>
    <row r="505">
      <c r="A505" s="58">
        <v>46082.0</v>
      </c>
      <c r="B505" s="24" t="s">
        <v>155</v>
      </c>
      <c r="C505" s="24" t="s">
        <v>6875</v>
      </c>
      <c r="D505" s="59">
        <v>1.0</v>
      </c>
      <c r="E505" s="59">
        <v>1.0</v>
      </c>
      <c r="F505" s="59">
        <v>1.0</v>
      </c>
      <c r="G505" s="60">
        <v>1.0</v>
      </c>
      <c r="H505" s="60">
        <v>0.0</v>
      </c>
      <c r="I505" s="60">
        <v>233.384773</v>
      </c>
      <c r="J505" s="59">
        <v>1.0</v>
      </c>
      <c r="K505" s="61">
        <f t="shared" si="1"/>
        <v>1</v>
      </c>
      <c r="L505" s="62">
        <f t="shared" si="2"/>
        <v>1</v>
      </c>
    </row>
    <row r="506">
      <c r="A506" s="58">
        <v>46082.0</v>
      </c>
      <c r="B506" s="24" t="s">
        <v>155</v>
      </c>
      <c r="C506" s="24" t="s">
        <v>6876</v>
      </c>
      <c r="D506" s="59">
        <v>1.0</v>
      </c>
      <c r="E506" s="59">
        <v>2.0</v>
      </c>
      <c r="F506" s="59">
        <v>1.0</v>
      </c>
      <c r="G506" s="60">
        <v>2.0</v>
      </c>
      <c r="H506" s="60">
        <v>0.5</v>
      </c>
      <c r="I506" s="60">
        <v>113.685416</v>
      </c>
      <c r="J506" s="59">
        <v>2.0</v>
      </c>
      <c r="K506" s="61">
        <f t="shared" si="1"/>
        <v>0.5</v>
      </c>
      <c r="L506" s="62">
        <f t="shared" si="2"/>
        <v>1</v>
      </c>
    </row>
    <row r="507">
      <c r="A507" s="58">
        <v>46082.0</v>
      </c>
      <c r="B507" s="24" t="s">
        <v>6787</v>
      </c>
      <c r="C507" s="24" t="s">
        <v>6989</v>
      </c>
      <c r="D507" s="59">
        <v>1.0</v>
      </c>
      <c r="E507" s="59">
        <v>1.0</v>
      </c>
      <c r="F507" s="59">
        <v>1.0</v>
      </c>
      <c r="G507" s="60">
        <v>1.0</v>
      </c>
      <c r="H507" s="60">
        <v>1.0</v>
      </c>
      <c r="I507" s="60">
        <v>8.577966</v>
      </c>
      <c r="J507" s="59">
        <v>1.0</v>
      </c>
      <c r="K507" s="61">
        <f t="shared" si="1"/>
        <v>1</v>
      </c>
      <c r="L507" s="62">
        <f t="shared" si="2"/>
        <v>1</v>
      </c>
    </row>
    <row r="508">
      <c r="A508" s="58">
        <v>46082.0</v>
      </c>
      <c r="B508" s="24" t="s">
        <v>155</v>
      </c>
      <c r="C508" s="24" t="s">
        <v>6880</v>
      </c>
      <c r="D508" s="59">
        <v>1.0</v>
      </c>
      <c r="E508" s="59">
        <v>1.0</v>
      </c>
      <c r="F508" s="59">
        <v>0.0</v>
      </c>
      <c r="G508" s="60">
        <v>0.0</v>
      </c>
      <c r="H508" s="60">
        <v>1.0</v>
      </c>
      <c r="I508" s="60">
        <v>0.0</v>
      </c>
      <c r="J508" s="59">
        <v>1.0</v>
      </c>
      <c r="K508" s="61">
        <f t="shared" si="1"/>
        <v>0</v>
      </c>
      <c r="L508" s="62">
        <f t="shared" si="2"/>
        <v>1</v>
      </c>
    </row>
    <row r="509">
      <c r="A509" s="58">
        <v>46082.0</v>
      </c>
      <c r="B509" s="24" t="s">
        <v>6787</v>
      </c>
      <c r="C509" s="24" t="s">
        <v>6957</v>
      </c>
      <c r="D509" s="59">
        <v>1.0</v>
      </c>
      <c r="E509" s="59">
        <v>1.0</v>
      </c>
      <c r="F509" s="59">
        <v>0.0</v>
      </c>
      <c r="G509" s="60">
        <v>0.0</v>
      </c>
      <c r="H509" s="60">
        <v>1.0</v>
      </c>
      <c r="I509" s="60">
        <v>0.0</v>
      </c>
      <c r="J509" s="59">
        <v>1.0</v>
      </c>
      <c r="K509" s="61">
        <f t="shared" si="1"/>
        <v>0</v>
      </c>
      <c r="L509" s="62">
        <f t="shared" si="2"/>
        <v>1</v>
      </c>
    </row>
    <row r="510">
      <c r="A510" s="58">
        <v>46082.0</v>
      </c>
      <c r="B510" s="24" t="s">
        <v>155</v>
      </c>
      <c r="C510" s="24" t="s">
        <v>6957</v>
      </c>
      <c r="D510" s="59">
        <v>1.0</v>
      </c>
      <c r="E510" s="59">
        <v>1.0</v>
      </c>
      <c r="F510" s="59">
        <v>0.0</v>
      </c>
      <c r="G510" s="60">
        <v>1.0</v>
      </c>
      <c r="H510" s="60">
        <v>0.0</v>
      </c>
      <c r="I510" s="60">
        <v>10.616434</v>
      </c>
      <c r="J510" s="59">
        <v>2.0</v>
      </c>
      <c r="K510" s="61">
        <f t="shared" si="1"/>
        <v>0</v>
      </c>
      <c r="L510" s="62">
        <f t="shared" si="2"/>
        <v>2</v>
      </c>
    </row>
    <row r="511">
      <c r="A511" s="58">
        <v>46082.0</v>
      </c>
      <c r="B511" s="24" t="s">
        <v>6787</v>
      </c>
      <c r="C511" s="24" t="s">
        <v>6990</v>
      </c>
      <c r="D511" s="59">
        <v>1.0</v>
      </c>
      <c r="E511" s="59">
        <v>1.0</v>
      </c>
      <c r="F511" s="59">
        <v>1.0</v>
      </c>
      <c r="G511" s="60">
        <v>1.0</v>
      </c>
      <c r="H511" s="60">
        <v>1.0</v>
      </c>
      <c r="I511" s="60">
        <v>5.139558</v>
      </c>
      <c r="J511" s="59">
        <v>1.0</v>
      </c>
      <c r="K511" s="61">
        <f t="shared" si="1"/>
        <v>1</v>
      </c>
      <c r="L511" s="62">
        <f t="shared" si="2"/>
        <v>1</v>
      </c>
    </row>
    <row r="512">
      <c r="A512" s="58">
        <v>46082.0</v>
      </c>
      <c r="B512" s="24" t="s">
        <v>6789</v>
      </c>
      <c r="C512" s="24" t="s">
        <v>6990</v>
      </c>
      <c r="D512" s="59">
        <v>1.0</v>
      </c>
      <c r="E512" s="59">
        <v>1.0</v>
      </c>
      <c r="F512" s="59">
        <v>0.0</v>
      </c>
      <c r="G512" s="60">
        <v>1.0</v>
      </c>
      <c r="H512" s="60">
        <v>1.0</v>
      </c>
      <c r="I512" s="60">
        <v>0.0</v>
      </c>
      <c r="J512" s="59">
        <v>1.0</v>
      </c>
      <c r="K512" s="61">
        <f t="shared" si="1"/>
        <v>0</v>
      </c>
      <c r="L512" s="62">
        <f t="shared" si="2"/>
        <v>1</v>
      </c>
    </row>
    <row r="513">
      <c r="A513" s="58">
        <v>46082.0</v>
      </c>
      <c r="B513" s="24" t="s">
        <v>155</v>
      </c>
      <c r="C513" s="24" t="s">
        <v>6835</v>
      </c>
      <c r="D513" s="59">
        <v>1.0</v>
      </c>
      <c r="E513" s="59">
        <v>1.0</v>
      </c>
      <c r="F513" s="59">
        <v>1.0</v>
      </c>
      <c r="G513" s="60">
        <v>1.0</v>
      </c>
      <c r="H513" s="60">
        <v>1.0</v>
      </c>
      <c r="I513" s="60">
        <v>0.0</v>
      </c>
      <c r="J513" s="59">
        <v>1.0</v>
      </c>
      <c r="K513" s="61">
        <f t="shared" si="1"/>
        <v>1</v>
      </c>
      <c r="L513" s="62">
        <f t="shared" si="2"/>
        <v>1</v>
      </c>
    </row>
    <row r="514">
      <c r="A514" s="58">
        <v>46082.0</v>
      </c>
      <c r="B514" s="24" t="s">
        <v>6787</v>
      </c>
      <c r="C514" s="24" t="s">
        <v>6991</v>
      </c>
      <c r="D514" s="59">
        <v>1.0</v>
      </c>
      <c r="E514" s="59">
        <v>1.0</v>
      </c>
      <c r="F514" s="59">
        <v>1.0</v>
      </c>
      <c r="G514" s="60">
        <v>1.0</v>
      </c>
      <c r="H514" s="60">
        <v>1.0</v>
      </c>
      <c r="I514" s="60">
        <v>7.332283</v>
      </c>
      <c r="J514" s="59">
        <v>1.0</v>
      </c>
      <c r="K514" s="61">
        <f t="shared" si="1"/>
        <v>1</v>
      </c>
      <c r="L514" s="62">
        <f t="shared" si="2"/>
        <v>1</v>
      </c>
    </row>
    <row r="515">
      <c r="A515" s="58">
        <v>46082.0</v>
      </c>
      <c r="B515" s="24" t="s">
        <v>6787</v>
      </c>
      <c r="C515" s="24" t="s">
        <v>6992</v>
      </c>
      <c r="D515" s="59">
        <v>1.0</v>
      </c>
      <c r="E515" s="59">
        <v>1.0</v>
      </c>
      <c r="F515" s="59">
        <v>1.0</v>
      </c>
      <c r="G515" s="60">
        <v>1.0</v>
      </c>
      <c r="H515" s="60">
        <v>1.0</v>
      </c>
      <c r="I515" s="60">
        <v>7.354835</v>
      </c>
      <c r="J515" s="59">
        <v>1.0</v>
      </c>
      <c r="K515" s="61">
        <f t="shared" si="1"/>
        <v>1</v>
      </c>
      <c r="L515" s="62">
        <f t="shared" si="2"/>
        <v>1</v>
      </c>
    </row>
    <row r="516">
      <c r="A516" s="58">
        <v>46082.0</v>
      </c>
      <c r="B516" s="24" t="s">
        <v>155</v>
      </c>
      <c r="C516" s="24" t="s">
        <v>6836</v>
      </c>
      <c r="D516" s="59">
        <v>1.0</v>
      </c>
      <c r="E516" s="59">
        <v>1.0</v>
      </c>
      <c r="F516" s="59">
        <v>0.0</v>
      </c>
      <c r="G516" s="60">
        <v>0.0</v>
      </c>
      <c r="H516" s="60">
        <v>1.0</v>
      </c>
      <c r="I516" s="60">
        <v>0.0</v>
      </c>
      <c r="J516" s="59">
        <v>1.0</v>
      </c>
      <c r="K516" s="61">
        <f t="shared" si="1"/>
        <v>0</v>
      </c>
      <c r="L516" s="62">
        <f t="shared" si="2"/>
        <v>1</v>
      </c>
    </row>
    <row r="517">
      <c r="A517" s="58">
        <v>46082.0</v>
      </c>
      <c r="B517" s="24" t="s">
        <v>6789</v>
      </c>
      <c r="C517" s="24" t="s">
        <v>6884</v>
      </c>
      <c r="D517" s="59">
        <v>1.0</v>
      </c>
      <c r="E517" s="59">
        <v>1.0</v>
      </c>
      <c r="F517" s="59">
        <v>0.0</v>
      </c>
      <c r="G517" s="60">
        <v>1.0</v>
      </c>
      <c r="H517" s="60">
        <v>0.0</v>
      </c>
      <c r="I517" s="60">
        <v>59.2598</v>
      </c>
      <c r="J517" s="59">
        <v>1.0</v>
      </c>
      <c r="K517" s="61">
        <f t="shared" si="1"/>
        <v>0</v>
      </c>
      <c r="L517" s="62">
        <f t="shared" si="2"/>
        <v>1</v>
      </c>
    </row>
    <row r="518">
      <c r="A518" s="58">
        <v>46082.0</v>
      </c>
      <c r="B518" s="24" t="s">
        <v>155</v>
      </c>
      <c r="C518" s="24" t="s">
        <v>6884</v>
      </c>
      <c r="D518" s="59">
        <v>1.0</v>
      </c>
      <c r="E518" s="59">
        <v>1.0</v>
      </c>
      <c r="F518" s="59">
        <v>0.0</v>
      </c>
      <c r="G518" s="60">
        <v>1.0</v>
      </c>
      <c r="H518" s="60">
        <v>0.0</v>
      </c>
      <c r="I518" s="60">
        <v>148.663514</v>
      </c>
      <c r="J518" s="59">
        <v>3.0</v>
      </c>
      <c r="K518" s="61">
        <f t="shared" si="1"/>
        <v>0</v>
      </c>
      <c r="L518" s="62">
        <f t="shared" si="2"/>
        <v>3</v>
      </c>
    </row>
    <row r="519">
      <c r="A519" s="58">
        <v>46082.0</v>
      </c>
      <c r="B519" s="24" t="s">
        <v>6787</v>
      </c>
      <c r="C519" s="24" t="s">
        <v>6993</v>
      </c>
      <c r="D519" s="59">
        <v>1.0</v>
      </c>
      <c r="E519" s="59">
        <v>1.0</v>
      </c>
      <c r="F519" s="59">
        <v>1.0</v>
      </c>
      <c r="G519" s="60">
        <v>1.0</v>
      </c>
      <c r="H519" s="60">
        <v>1.0</v>
      </c>
      <c r="I519" s="60">
        <v>0.0</v>
      </c>
      <c r="J519" s="59">
        <v>1.0</v>
      </c>
      <c r="K519" s="61">
        <f t="shared" si="1"/>
        <v>1</v>
      </c>
      <c r="L519" s="62">
        <f t="shared" si="2"/>
        <v>1</v>
      </c>
    </row>
    <row r="520">
      <c r="A520" s="58">
        <v>46082.0</v>
      </c>
      <c r="B520" s="24" t="s">
        <v>6787</v>
      </c>
      <c r="C520" s="24" t="s">
        <v>6994</v>
      </c>
      <c r="D520" s="59">
        <v>1.0</v>
      </c>
      <c r="E520" s="59">
        <v>1.0</v>
      </c>
      <c r="F520" s="59">
        <v>1.0</v>
      </c>
      <c r="G520" s="60">
        <v>1.0</v>
      </c>
      <c r="H520" s="60">
        <v>1.0</v>
      </c>
      <c r="I520" s="60">
        <v>0.0</v>
      </c>
      <c r="J520" s="59">
        <v>1.0</v>
      </c>
      <c r="K520" s="61">
        <f t="shared" si="1"/>
        <v>1</v>
      </c>
      <c r="L520" s="62">
        <f t="shared" si="2"/>
        <v>1</v>
      </c>
    </row>
    <row r="521">
      <c r="A521" s="58">
        <v>46082.0</v>
      </c>
      <c r="B521" s="24" t="s">
        <v>6789</v>
      </c>
      <c r="C521" s="24" t="s">
        <v>6994</v>
      </c>
      <c r="D521" s="59">
        <v>1.0</v>
      </c>
      <c r="E521" s="59">
        <v>1.0</v>
      </c>
      <c r="F521" s="59">
        <v>1.0</v>
      </c>
      <c r="G521" s="60">
        <v>1.0</v>
      </c>
      <c r="H521" s="60">
        <v>0.0</v>
      </c>
      <c r="I521" s="60">
        <v>15.099836</v>
      </c>
      <c r="J521" s="59">
        <v>1.0</v>
      </c>
      <c r="K521" s="61">
        <f t="shared" si="1"/>
        <v>1</v>
      </c>
      <c r="L521" s="62">
        <f t="shared" si="2"/>
        <v>1</v>
      </c>
    </row>
    <row r="522">
      <c r="A522" s="58">
        <v>46082.0</v>
      </c>
      <c r="B522" s="24" t="s">
        <v>6787</v>
      </c>
      <c r="C522" s="24" t="s">
        <v>6995</v>
      </c>
      <c r="D522" s="59">
        <v>1.0</v>
      </c>
      <c r="E522" s="59">
        <v>1.0</v>
      </c>
      <c r="F522" s="59">
        <v>1.0</v>
      </c>
      <c r="G522" s="60">
        <v>1.0</v>
      </c>
      <c r="H522" s="60">
        <v>1.0</v>
      </c>
      <c r="I522" s="60">
        <v>5.982396</v>
      </c>
      <c r="J522" s="59">
        <v>1.0</v>
      </c>
      <c r="K522" s="61">
        <f t="shared" si="1"/>
        <v>1</v>
      </c>
      <c r="L522" s="62">
        <f t="shared" si="2"/>
        <v>1</v>
      </c>
    </row>
    <row r="523">
      <c r="A523" s="58">
        <v>46082.0</v>
      </c>
      <c r="B523" s="24" t="s">
        <v>155</v>
      </c>
      <c r="C523" s="24" t="s">
        <v>6926</v>
      </c>
      <c r="D523" s="59">
        <v>1.0</v>
      </c>
      <c r="E523" s="59">
        <v>1.0</v>
      </c>
      <c r="F523" s="59">
        <v>0.0</v>
      </c>
      <c r="G523" s="60">
        <v>1.0</v>
      </c>
      <c r="H523" s="60">
        <v>0.0</v>
      </c>
      <c r="I523" s="60">
        <v>1216.684526</v>
      </c>
      <c r="J523" s="59">
        <v>3.0</v>
      </c>
      <c r="K523" s="61">
        <f t="shared" si="1"/>
        <v>0</v>
      </c>
      <c r="L523" s="62">
        <f t="shared" si="2"/>
        <v>3</v>
      </c>
    </row>
    <row r="524">
      <c r="A524" s="58">
        <v>46082.0</v>
      </c>
      <c r="B524" s="24" t="s">
        <v>6794</v>
      </c>
      <c r="C524" s="24" t="s">
        <v>6886</v>
      </c>
      <c r="D524" s="59">
        <v>1.0</v>
      </c>
      <c r="E524" s="59">
        <v>1.0</v>
      </c>
      <c r="F524" s="59">
        <v>0.0</v>
      </c>
      <c r="G524" s="60">
        <v>1.0</v>
      </c>
      <c r="H524" s="60">
        <v>1.0</v>
      </c>
      <c r="I524" s="60">
        <v>5.63E-4</v>
      </c>
      <c r="J524" s="59">
        <v>1.0</v>
      </c>
      <c r="K524" s="61">
        <f t="shared" si="1"/>
        <v>0</v>
      </c>
      <c r="L524" s="62">
        <f t="shared" si="2"/>
        <v>1</v>
      </c>
    </row>
    <row r="525">
      <c r="A525" s="58">
        <v>46082.0</v>
      </c>
      <c r="B525" s="24" t="s">
        <v>155</v>
      </c>
      <c r="C525" s="24" t="s">
        <v>6886</v>
      </c>
      <c r="D525" s="59">
        <v>1.0</v>
      </c>
      <c r="E525" s="59">
        <v>1.0</v>
      </c>
      <c r="F525" s="59">
        <v>0.0</v>
      </c>
      <c r="G525" s="60">
        <v>1.0</v>
      </c>
      <c r="H525" s="60">
        <v>0.0</v>
      </c>
      <c r="I525" s="60">
        <v>13.254978</v>
      </c>
      <c r="J525" s="59">
        <v>1.0</v>
      </c>
      <c r="K525" s="61">
        <f t="shared" si="1"/>
        <v>0</v>
      </c>
      <c r="L525" s="62">
        <f t="shared" si="2"/>
        <v>1</v>
      </c>
    </row>
    <row r="526">
      <c r="A526" s="58">
        <v>46082.0</v>
      </c>
      <c r="B526" s="24" t="s">
        <v>155</v>
      </c>
      <c r="C526" s="24" t="s">
        <v>6887</v>
      </c>
      <c r="D526" s="59">
        <v>1.0</v>
      </c>
      <c r="E526" s="59">
        <v>1.0</v>
      </c>
      <c r="F526" s="59">
        <v>0.0</v>
      </c>
      <c r="G526" s="60">
        <v>1.0</v>
      </c>
      <c r="H526" s="60">
        <v>0.0</v>
      </c>
      <c r="I526" s="60">
        <v>60.382732</v>
      </c>
      <c r="J526" s="59">
        <v>6.0</v>
      </c>
      <c r="K526" s="61">
        <f t="shared" si="1"/>
        <v>0</v>
      </c>
      <c r="L526" s="62">
        <f t="shared" si="2"/>
        <v>6</v>
      </c>
    </row>
    <row r="527">
      <c r="A527" s="58">
        <v>46082.0</v>
      </c>
      <c r="B527" s="24" t="s">
        <v>6787</v>
      </c>
      <c r="C527" s="24" t="s">
        <v>6996</v>
      </c>
      <c r="D527" s="59">
        <v>1.0</v>
      </c>
      <c r="E527" s="59">
        <v>1.0</v>
      </c>
      <c r="F527" s="59">
        <v>1.0</v>
      </c>
      <c r="G527" s="60">
        <v>1.0</v>
      </c>
      <c r="H527" s="60">
        <v>1.0</v>
      </c>
      <c r="I527" s="60">
        <v>7.125385</v>
      </c>
      <c r="J527" s="59">
        <v>1.0</v>
      </c>
      <c r="K527" s="61">
        <f t="shared" si="1"/>
        <v>1</v>
      </c>
      <c r="L527" s="62">
        <f t="shared" si="2"/>
        <v>1</v>
      </c>
    </row>
    <row r="528">
      <c r="A528" s="58">
        <v>46082.0</v>
      </c>
      <c r="B528" s="24" t="s">
        <v>6791</v>
      </c>
      <c r="C528" s="24" t="s">
        <v>6799</v>
      </c>
      <c r="D528" s="59">
        <v>1.0</v>
      </c>
      <c r="E528" s="59">
        <v>5.0</v>
      </c>
      <c r="F528" s="59">
        <v>0.0</v>
      </c>
      <c r="G528" s="60">
        <v>0.0</v>
      </c>
      <c r="H528" s="60">
        <v>1.0</v>
      </c>
      <c r="I528" s="60">
        <v>0.0</v>
      </c>
      <c r="J528" s="59">
        <v>5.0</v>
      </c>
      <c r="K528" s="61">
        <f t="shared" si="1"/>
        <v>0</v>
      </c>
      <c r="L528" s="62">
        <f t="shared" si="2"/>
        <v>1</v>
      </c>
    </row>
    <row r="529">
      <c r="A529" s="58">
        <v>46082.0</v>
      </c>
      <c r="B529" s="24" t="s">
        <v>155</v>
      </c>
      <c r="C529" s="24" t="s">
        <v>6820</v>
      </c>
      <c r="D529" s="59">
        <v>1.0</v>
      </c>
      <c r="E529" s="59">
        <v>1.0</v>
      </c>
      <c r="F529" s="59">
        <v>0.0</v>
      </c>
      <c r="G529" s="60">
        <v>1.0</v>
      </c>
      <c r="H529" s="60">
        <v>0.0</v>
      </c>
      <c r="I529" s="60">
        <v>70.792695</v>
      </c>
      <c r="J529" s="59">
        <v>2.0</v>
      </c>
      <c r="K529" s="61">
        <f t="shared" si="1"/>
        <v>0</v>
      </c>
      <c r="L529" s="62">
        <f t="shared" si="2"/>
        <v>2</v>
      </c>
    </row>
    <row r="530">
      <c r="A530" s="58">
        <v>46082.0</v>
      </c>
      <c r="B530" s="24" t="s">
        <v>6787</v>
      </c>
      <c r="C530" s="24" t="s">
        <v>6838</v>
      </c>
      <c r="D530" s="59">
        <v>1.0</v>
      </c>
      <c r="E530" s="59">
        <v>1.0</v>
      </c>
      <c r="F530" s="59">
        <v>1.0</v>
      </c>
      <c r="G530" s="60">
        <v>1.0</v>
      </c>
      <c r="H530" s="60">
        <v>1.0</v>
      </c>
      <c r="I530" s="60">
        <v>0.0</v>
      </c>
      <c r="J530" s="59">
        <v>1.0</v>
      </c>
      <c r="K530" s="61">
        <f t="shared" si="1"/>
        <v>1</v>
      </c>
      <c r="L530" s="62">
        <f t="shared" si="2"/>
        <v>1</v>
      </c>
    </row>
    <row r="531">
      <c r="A531" s="58">
        <v>46082.0</v>
      </c>
      <c r="B531" s="24" t="s">
        <v>6794</v>
      </c>
      <c r="C531" s="24" t="s">
        <v>6838</v>
      </c>
      <c r="D531" s="59">
        <v>1.0</v>
      </c>
      <c r="E531" s="59">
        <v>2.0</v>
      </c>
      <c r="F531" s="59">
        <v>1.0</v>
      </c>
      <c r="G531" s="60">
        <v>2.0</v>
      </c>
      <c r="H531" s="60">
        <v>0.0</v>
      </c>
      <c r="I531" s="60">
        <v>89.847094</v>
      </c>
      <c r="J531" s="59">
        <v>2.0</v>
      </c>
      <c r="K531" s="61">
        <f t="shared" si="1"/>
        <v>0.5</v>
      </c>
      <c r="L531" s="62">
        <f t="shared" si="2"/>
        <v>1</v>
      </c>
    </row>
    <row r="532">
      <c r="A532" s="58">
        <v>46082.0</v>
      </c>
      <c r="B532" s="24" t="s">
        <v>6789</v>
      </c>
      <c r="C532" s="24" t="s">
        <v>6997</v>
      </c>
      <c r="D532" s="59">
        <v>1.0</v>
      </c>
      <c r="E532" s="59">
        <v>1.0</v>
      </c>
      <c r="F532" s="59">
        <v>1.0</v>
      </c>
      <c r="G532" s="60">
        <v>1.0</v>
      </c>
      <c r="H532" s="60">
        <v>1.0</v>
      </c>
      <c r="I532" s="60">
        <v>2.808727</v>
      </c>
      <c r="J532" s="59">
        <v>1.0</v>
      </c>
      <c r="K532" s="61">
        <f t="shared" si="1"/>
        <v>1</v>
      </c>
      <c r="L532" s="62">
        <f t="shared" si="2"/>
        <v>1</v>
      </c>
    </row>
    <row r="533">
      <c r="A533" s="58">
        <v>46082.0</v>
      </c>
      <c r="B533" s="24" t="s">
        <v>6789</v>
      </c>
      <c r="C533" s="24" t="s">
        <v>6821</v>
      </c>
      <c r="D533" s="59">
        <v>1.0</v>
      </c>
      <c r="E533" s="59">
        <v>1.0</v>
      </c>
      <c r="F533" s="59">
        <v>1.0</v>
      </c>
      <c r="G533" s="60">
        <v>1.0</v>
      </c>
      <c r="H533" s="60">
        <v>1.0</v>
      </c>
      <c r="I533" s="60">
        <v>0.0</v>
      </c>
      <c r="J533" s="59">
        <v>1.0</v>
      </c>
      <c r="K533" s="61">
        <f t="shared" si="1"/>
        <v>1</v>
      </c>
      <c r="L533" s="62">
        <f t="shared" si="2"/>
        <v>1</v>
      </c>
    </row>
    <row r="534">
      <c r="A534" s="58">
        <v>46082.0</v>
      </c>
      <c r="B534" s="24" t="s">
        <v>6787</v>
      </c>
      <c r="C534" s="24" t="s">
        <v>6998</v>
      </c>
      <c r="D534" s="59">
        <v>1.0</v>
      </c>
      <c r="E534" s="59">
        <v>1.0</v>
      </c>
      <c r="F534" s="59">
        <v>1.0</v>
      </c>
      <c r="G534" s="60">
        <v>1.0</v>
      </c>
      <c r="H534" s="60">
        <v>0.0</v>
      </c>
      <c r="I534" s="60">
        <v>14.166831</v>
      </c>
      <c r="J534" s="59">
        <v>1.0</v>
      </c>
      <c r="K534" s="61">
        <f t="shared" si="1"/>
        <v>1</v>
      </c>
      <c r="L534" s="62">
        <f t="shared" si="2"/>
        <v>1</v>
      </c>
    </row>
    <row r="535">
      <c r="A535" s="58">
        <v>46082.0</v>
      </c>
      <c r="B535" s="24" t="s">
        <v>155</v>
      </c>
      <c r="C535" s="24" t="s">
        <v>6822</v>
      </c>
      <c r="D535" s="59">
        <v>1.0</v>
      </c>
      <c r="E535" s="59">
        <v>1.0</v>
      </c>
      <c r="F535" s="59">
        <v>1.0</v>
      </c>
      <c r="G535" s="60">
        <v>1.0</v>
      </c>
      <c r="H535" s="60">
        <v>0.0</v>
      </c>
      <c r="I535" s="60">
        <v>210.657651</v>
      </c>
      <c r="J535" s="59">
        <v>4.0</v>
      </c>
      <c r="K535" s="61">
        <f t="shared" si="1"/>
        <v>1</v>
      </c>
      <c r="L535" s="62">
        <f t="shared" si="2"/>
        <v>4</v>
      </c>
    </row>
    <row r="536">
      <c r="A536" s="58">
        <v>46082.0</v>
      </c>
      <c r="B536" s="24" t="s">
        <v>6789</v>
      </c>
      <c r="C536" s="24" t="s">
        <v>6890</v>
      </c>
      <c r="D536" s="59">
        <v>1.0</v>
      </c>
      <c r="E536" s="59">
        <v>1.0</v>
      </c>
      <c r="F536" s="59">
        <v>0.0</v>
      </c>
      <c r="G536" s="60">
        <v>1.0</v>
      </c>
      <c r="H536" s="60">
        <v>0.0</v>
      </c>
      <c r="I536" s="60">
        <v>332.674136</v>
      </c>
      <c r="J536" s="59">
        <v>2.0</v>
      </c>
      <c r="K536" s="61">
        <f t="shared" si="1"/>
        <v>0</v>
      </c>
      <c r="L536" s="62">
        <f t="shared" si="2"/>
        <v>2</v>
      </c>
    </row>
    <row r="537">
      <c r="A537" s="58">
        <v>46082.0</v>
      </c>
      <c r="B537" s="24" t="s">
        <v>6787</v>
      </c>
      <c r="C537" s="24" t="s">
        <v>6999</v>
      </c>
      <c r="D537" s="59">
        <v>1.0</v>
      </c>
      <c r="E537" s="59">
        <v>1.0</v>
      </c>
      <c r="F537" s="59">
        <v>1.0</v>
      </c>
      <c r="G537" s="60">
        <v>1.0</v>
      </c>
      <c r="H537" s="60">
        <v>0.0</v>
      </c>
      <c r="I537" s="60">
        <v>8.551456</v>
      </c>
      <c r="J537" s="59">
        <v>3.0</v>
      </c>
      <c r="K537" s="61">
        <f t="shared" si="1"/>
        <v>1</v>
      </c>
      <c r="L537" s="62">
        <f t="shared" si="2"/>
        <v>3</v>
      </c>
    </row>
    <row r="538">
      <c r="A538" s="58">
        <v>46082.0</v>
      </c>
      <c r="B538" s="24" t="s">
        <v>6787</v>
      </c>
      <c r="C538" s="24" t="s">
        <v>6892</v>
      </c>
      <c r="D538" s="59">
        <v>1.0</v>
      </c>
      <c r="E538" s="59">
        <v>1.0</v>
      </c>
      <c r="F538" s="59">
        <v>1.0</v>
      </c>
      <c r="G538" s="60">
        <v>1.0</v>
      </c>
      <c r="H538" s="60">
        <v>1.0</v>
      </c>
      <c r="I538" s="60">
        <v>0.0</v>
      </c>
      <c r="J538" s="59">
        <v>1.0</v>
      </c>
      <c r="K538" s="61">
        <f t="shared" si="1"/>
        <v>1</v>
      </c>
      <c r="L538" s="62">
        <f t="shared" si="2"/>
        <v>1</v>
      </c>
    </row>
    <row r="539">
      <c r="A539" s="58">
        <v>46082.0</v>
      </c>
      <c r="B539" s="24" t="s">
        <v>6789</v>
      </c>
      <c r="C539" s="24" t="s">
        <v>6892</v>
      </c>
      <c r="D539" s="59">
        <v>1.0</v>
      </c>
      <c r="E539" s="59">
        <v>2.0</v>
      </c>
      <c r="F539" s="59">
        <v>1.0</v>
      </c>
      <c r="G539" s="60">
        <v>2.0</v>
      </c>
      <c r="H539" s="60">
        <v>0.5</v>
      </c>
      <c r="I539" s="60">
        <v>156.5514935</v>
      </c>
      <c r="J539" s="59">
        <v>3.0</v>
      </c>
      <c r="K539" s="61">
        <f t="shared" si="1"/>
        <v>0.5</v>
      </c>
      <c r="L539" s="62">
        <f t="shared" si="2"/>
        <v>1.5</v>
      </c>
    </row>
    <row r="540">
      <c r="A540" s="58">
        <v>46082.0</v>
      </c>
      <c r="B540" s="24" t="s">
        <v>6789</v>
      </c>
      <c r="C540" s="24" t="s">
        <v>6894</v>
      </c>
      <c r="D540" s="59">
        <v>1.0</v>
      </c>
      <c r="E540" s="59">
        <v>1.0</v>
      </c>
      <c r="F540" s="59">
        <v>1.0</v>
      </c>
      <c r="G540" s="60">
        <v>1.0</v>
      </c>
      <c r="H540" s="60">
        <v>0.0</v>
      </c>
      <c r="I540" s="60">
        <v>566.963936</v>
      </c>
      <c r="J540" s="59">
        <v>2.0</v>
      </c>
      <c r="K540" s="61">
        <f t="shared" si="1"/>
        <v>1</v>
      </c>
      <c r="L540" s="62">
        <f t="shared" si="2"/>
        <v>2</v>
      </c>
    </row>
    <row r="541">
      <c r="A541" s="58">
        <v>46082.0</v>
      </c>
      <c r="B541" s="24" t="s">
        <v>6789</v>
      </c>
      <c r="C541" s="24" t="s">
        <v>6840</v>
      </c>
      <c r="D541" s="59">
        <v>1.0</v>
      </c>
      <c r="E541" s="59">
        <v>1.0</v>
      </c>
      <c r="F541" s="59">
        <v>1.0</v>
      </c>
      <c r="G541" s="60">
        <v>1.0</v>
      </c>
      <c r="H541" s="60">
        <v>0.0</v>
      </c>
      <c r="I541" s="60">
        <v>38.321897</v>
      </c>
      <c r="J541" s="59">
        <v>2.0</v>
      </c>
      <c r="K541" s="61">
        <f t="shared" si="1"/>
        <v>1</v>
      </c>
      <c r="L541" s="62">
        <f t="shared" si="2"/>
        <v>2</v>
      </c>
    </row>
    <row r="542">
      <c r="A542" s="58">
        <v>46082.0</v>
      </c>
      <c r="B542" s="24" t="s">
        <v>6787</v>
      </c>
      <c r="C542" s="24" t="s">
        <v>7000</v>
      </c>
      <c r="D542" s="59">
        <v>1.0</v>
      </c>
      <c r="E542" s="59">
        <v>1.0</v>
      </c>
      <c r="F542" s="59">
        <v>1.0</v>
      </c>
      <c r="G542" s="60">
        <v>1.0</v>
      </c>
      <c r="H542" s="60">
        <v>1.0</v>
      </c>
      <c r="I542" s="60">
        <v>5.033862</v>
      </c>
      <c r="J542" s="59">
        <v>1.0</v>
      </c>
      <c r="K542" s="61">
        <f t="shared" si="1"/>
        <v>1</v>
      </c>
      <c r="L542" s="62">
        <f t="shared" si="2"/>
        <v>1</v>
      </c>
    </row>
    <row r="543">
      <c r="A543" s="58">
        <v>46082.0</v>
      </c>
      <c r="B543" s="24" t="s">
        <v>6787</v>
      </c>
      <c r="C543" s="24" t="s">
        <v>7001</v>
      </c>
      <c r="D543" s="59">
        <v>1.0</v>
      </c>
      <c r="E543" s="59">
        <v>1.0</v>
      </c>
      <c r="F543" s="59">
        <v>1.0</v>
      </c>
      <c r="G543" s="60">
        <v>1.0</v>
      </c>
      <c r="H543" s="60">
        <v>1.0</v>
      </c>
      <c r="I543" s="60">
        <v>5.007779</v>
      </c>
      <c r="J543" s="59">
        <v>1.0</v>
      </c>
      <c r="K543" s="61">
        <f t="shared" si="1"/>
        <v>1</v>
      </c>
      <c r="L543" s="62">
        <f t="shared" si="2"/>
        <v>1</v>
      </c>
    </row>
    <row r="544">
      <c r="A544" s="58">
        <v>46082.0</v>
      </c>
      <c r="B544" s="24" t="s">
        <v>6789</v>
      </c>
      <c r="C544" s="24" t="s">
        <v>6823</v>
      </c>
      <c r="D544" s="59">
        <v>1.0</v>
      </c>
      <c r="E544" s="59">
        <v>2.0</v>
      </c>
      <c r="F544" s="59">
        <v>1.0</v>
      </c>
      <c r="G544" s="60">
        <v>2.0</v>
      </c>
      <c r="H544" s="60">
        <v>1.0</v>
      </c>
      <c r="I544" s="60">
        <v>3.4713225</v>
      </c>
      <c r="J544" s="59">
        <v>2.0</v>
      </c>
      <c r="K544" s="61">
        <f t="shared" si="1"/>
        <v>0.5</v>
      </c>
      <c r="L544" s="62">
        <f t="shared" si="2"/>
        <v>1</v>
      </c>
    </row>
    <row r="545">
      <c r="A545" s="58">
        <v>46082.0</v>
      </c>
      <c r="B545" s="24" t="s">
        <v>6787</v>
      </c>
      <c r="C545" s="24" t="s">
        <v>7002</v>
      </c>
      <c r="D545" s="59">
        <v>1.0</v>
      </c>
      <c r="E545" s="59">
        <v>1.0</v>
      </c>
      <c r="F545" s="59">
        <v>1.0</v>
      </c>
      <c r="G545" s="60">
        <v>1.0</v>
      </c>
      <c r="H545" s="60">
        <v>1.0</v>
      </c>
      <c r="I545" s="60">
        <v>6.572734</v>
      </c>
      <c r="J545" s="59">
        <v>1.0</v>
      </c>
      <c r="K545" s="61">
        <f t="shared" si="1"/>
        <v>1</v>
      </c>
      <c r="L545" s="62">
        <f t="shared" si="2"/>
        <v>1</v>
      </c>
    </row>
    <row r="546">
      <c r="A546" s="58">
        <v>46082.0</v>
      </c>
      <c r="B546" s="24" t="s">
        <v>6789</v>
      </c>
      <c r="C546" s="24" t="s">
        <v>6897</v>
      </c>
      <c r="D546" s="59">
        <v>1.0</v>
      </c>
      <c r="E546" s="59">
        <v>1.0</v>
      </c>
      <c r="F546" s="59">
        <v>1.0</v>
      </c>
      <c r="G546" s="60">
        <v>1.0</v>
      </c>
      <c r="H546" s="60">
        <v>0.0</v>
      </c>
      <c r="I546" s="60">
        <v>63.796332</v>
      </c>
      <c r="J546" s="59">
        <v>3.0</v>
      </c>
      <c r="K546" s="61">
        <f t="shared" si="1"/>
        <v>1</v>
      </c>
      <c r="L546" s="62">
        <f t="shared" si="2"/>
        <v>3</v>
      </c>
    </row>
    <row r="547">
      <c r="A547" s="58">
        <v>46082.0</v>
      </c>
      <c r="B547" s="24" t="s">
        <v>6787</v>
      </c>
      <c r="C547" s="24" t="s">
        <v>7003</v>
      </c>
      <c r="D547" s="59">
        <v>1.0</v>
      </c>
      <c r="E547" s="59">
        <v>1.0</v>
      </c>
      <c r="F547" s="59">
        <v>1.0</v>
      </c>
      <c r="G547" s="60">
        <v>1.0</v>
      </c>
      <c r="H547" s="60">
        <v>1.0</v>
      </c>
      <c r="I547" s="60">
        <v>4.982271</v>
      </c>
      <c r="J547" s="59">
        <v>1.0</v>
      </c>
      <c r="K547" s="61">
        <f t="shared" si="1"/>
        <v>1</v>
      </c>
      <c r="L547" s="62">
        <f t="shared" si="2"/>
        <v>1</v>
      </c>
    </row>
    <row r="548">
      <c r="A548" s="58">
        <v>46082.0</v>
      </c>
      <c r="B548" s="24" t="s">
        <v>6787</v>
      </c>
      <c r="C548" s="24" t="s">
        <v>7004</v>
      </c>
      <c r="D548" s="59">
        <v>1.0</v>
      </c>
      <c r="E548" s="59">
        <v>1.0</v>
      </c>
      <c r="F548" s="59">
        <v>1.0</v>
      </c>
      <c r="G548" s="60">
        <v>1.0</v>
      </c>
      <c r="H548" s="60">
        <v>1.0</v>
      </c>
      <c r="I548" s="60">
        <v>5.009123</v>
      </c>
      <c r="J548" s="59">
        <v>1.0</v>
      </c>
      <c r="K548" s="61">
        <f t="shared" si="1"/>
        <v>1</v>
      </c>
      <c r="L548" s="62">
        <f t="shared" si="2"/>
        <v>1</v>
      </c>
    </row>
    <row r="549">
      <c r="A549" s="58">
        <v>46082.0</v>
      </c>
      <c r="B549" s="24" t="s">
        <v>6787</v>
      </c>
      <c r="C549" s="24" t="s">
        <v>7005</v>
      </c>
      <c r="D549" s="59">
        <v>1.0</v>
      </c>
      <c r="E549" s="59">
        <v>1.0</v>
      </c>
      <c r="F549" s="59">
        <v>1.0</v>
      </c>
      <c r="G549" s="60">
        <v>1.0</v>
      </c>
      <c r="H549" s="60">
        <v>1.0</v>
      </c>
      <c r="I549" s="60">
        <v>4.953411</v>
      </c>
      <c r="J549" s="59">
        <v>1.0</v>
      </c>
      <c r="K549" s="61">
        <f t="shared" si="1"/>
        <v>1</v>
      </c>
      <c r="L549" s="62">
        <f t="shared" si="2"/>
        <v>1</v>
      </c>
    </row>
    <row r="550">
      <c r="A550" s="58">
        <v>46082.0</v>
      </c>
      <c r="B550" s="24" t="s">
        <v>155</v>
      </c>
      <c r="C550" s="24" t="s">
        <v>6898</v>
      </c>
      <c r="D550" s="59">
        <v>1.0</v>
      </c>
      <c r="E550" s="59">
        <v>1.0</v>
      </c>
      <c r="F550" s="59">
        <v>0.0</v>
      </c>
      <c r="G550" s="60">
        <v>1.0</v>
      </c>
      <c r="H550" s="60">
        <v>0.0</v>
      </c>
      <c r="I550" s="60">
        <v>37.849578</v>
      </c>
      <c r="J550" s="59">
        <v>3.0</v>
      </c>
      <c r="K550" s="61">
        <f t="shared" si="1"/>
        <v>0</v>
      </c>
      <c r="L550" s="62">
        <f t="shared" si="2"/>
        <v>3</v>
      </c>
    </row>
    <row r="551">
      <c r="A551" s="58">
        <v>46082.0</v>
      </c>
      <c r="B551" s="24" t="s">
        <v>6789</v>
      </c>
      <c r="C551" s="24" t="s">
        <v>6806</v>
      </c>
      <c r="D551" s="59">
        <v>1.0</v>
      </c>
      <c r="E551" s="59">
        <v>1.0</v>
      </c>
      <c r="F551" s="59">
        <v>0.0</v>
      </c>
      <c r="G551" s="60">
        <v>1.0</v>
      </c>
      <c r="H551" s="60">
        <v>1.0</v>
      </c>
      <c r="I551" s="60">
        <v>5.631878</v>
      </c>
      <c r="J551" s="59">
        <v>1.0</v>
      </c>
      <c r="K551" s="61">
        <f t="shared" si="1"/>
        <v>0</v>
      </c>
      <c r="L551" s="62">
        <f t="shared" si="2"/>
        <v>1</v>
      </c>
    </row>
    <row r="552">
      <c r="A552" s="58">
        <v>46082.0</v>
      </c>
      <c r="B552" s="24" t="s">
        <v>155</v>
      </c>
      <c r="C552" s="24" t="s">
        <v>6806</v>
      </c>
      <c r="D552" s="59">
        <v>1.0</v>
      </c>
      <c r="E552" s="59">
        <v>1.0</v>
      </c>
      <c r="F552" s="59">
        <v>1.0</v>
      </c>
      <c r="G552" s="60">
        <v>1.0</v>
      </c>
      <c r="H552" s="60">
        <v>1.0</v>
      </c>
      <c r="I552" s="60">
        <v>0.0</v>
      </c>
      <c r="J552" s="59">
        <v>1.0</v>
      </c>
      <c r="K552" s="61">
        <f t="shared" si="1"/>
        <v>1</v>
      </c>
      <c r="L552" s="62">
        <f t="shared" si="2"/>
        <v>1</v>
      </c>
    </row>
    <row r="553">
      <c r="A553" s="58">
        <v>46082.0</v>
      </c>
      <c r="B553" s="24" t="s">
        <v>6787</v>
      </c>
      <c r="C553" s="24" t="s">
        <v>6899</v>
      </c>
      <c r="D553" s="59">
        <v>1.0</v>
      </c>
      <c r="E553" s="59">
        <v>1.0</v>
      </c>
      <c r="F553" s="59">
        <v>1.0</v>
      </c>
      <c r="G553" s="60">
        <v>1.0</v>
      </c>
      <c r="H553" s="60">
        <v>1.0</v>
      </c>
      <c r="I553" s="60">
        <v>0.0</v>
      </c>
      <c r="J553" s="59">
        <v>1.0</v>
      </c>
      <c r="K553" s="61">
        <f t="shared" si="1"/>
        <v>1</v>
      </c>
      <c r="L553" s="62">
        <f t="shared" si="2"/>
        <v>1</v>
      </c>
    </row>
    <row r="554">
      <c r="A554" s="58">
        <v>46082.0</v>
      </c>
      <c r="B554" s="24" t="s">
        <v>6789</v>
      </c>
      <c r="C554" s="24" t="s">
        <v>6899</v>
      </c>
      <c r="D554" s="59">
        <v>1.0</v>
      </c>
      <c r="E554" s="59">
        <v>1.0</v>
      </c>
      <c r="F554" s="59">
        <v>1.0</v>
      </c>
      <c r="G554" s="60">
        <v>1.0</v>
      </c>
      <c r="H554" s="60">
        <v>1.0</v>
      </c>
      <c r="I554" s="60">
        <v>0.0</v>
      </c>
      <c r="J554" s="59">
        <v>1.0</v>
      </c>
      <c r="K554" s="61">
        <f t="shared" si="1"/>
        <v>1</v>
      </c>
      <c r="L554" s="62">
        <f t="shared" si="2"/>
        <v>1</v>
      </c>
    </row>
    <row r="555">
      <c r="A555" s="58">
        <v>46082.0</v>
      </c>
      <c r="B555" s="24" t="s">
        <v>6787</v>
      </c>
      <c r="C555" s="24" t="s">
        <v>6842</v>
      </c>
      <c r="D555" s="59">
        <v>1.0</v>
      </c>
      <c r="E555" s="59">
        <v>1.0</v>
      </c>
      <c r="F555" s="59">
        <v>1.0</v>
      </c>
      <c r="G555" s="60">
        <v>1.0</v>
      </c>
      <c r="H555" s="60">
        <v>1.0</v>
      </c>
      <c r="I555" s="60">
        <v>0.0</v>
      </c>
      <c r="J555" s="59">
        <v>1.0</v>
      </c>
      <c r="K555" s="61">
        <f t="shared" si="1"/>
        <v>1</v>
      </c>
      <c r="L555" s="62">
        <f t="shared" si="2"/>
        <v>1</v>
      </c>
    </row>
    <row r="556">
      <c r="A556" s="58">
        <v>46082.0</v>
      </c>
      <c r="B556" s="24" t="s">
        <v>6789</v>
      </c>
      <c r="C556" s="24" t="s">
        <v>7006</v>
      </c>
      <c r="D556" s="59">
        <v>1.0</v>
      </c>
      <c r="E556" s="59">
        <v>1.0</v>
      </c>
      <c r="F556" s="59">
        <v>0.0</v>
      </c>
      <c r="G556" s="60">
        <v>1.0</v>
      </c>
      <c r="H556" s="60">
        <v>0.0</v>
      </c>
      <c r="I556" s="60">
        <v>5.935188</v>
      </c>
      <c r="J556" s="59">
        <v>2.0</v>
      </c>
      <c r="K556" s="61">
        <f t="shared" si="1"/>
        <v>0</v>
      </c>
      <c r="L556" s="62">
        <f t="shared" si="2"/>
        <v>2</v>
      </c>
    </row>
    <row r="557">
      <c r="A557" s="58">
        <v>46082.0</v>
      </c>
      <c r="B557" s="24" t="s">
        <v>6789</v>
      </c>
      <c r="C557" s="24" t="s">
        <v>6900</v>
      </c>
      <c r="D557" s="59">
        <v>1.0</v>
      </c>
      <c r="E557" s="59">
        <v>1.0</v>
      </c>
      <c r="F557" s="59">
        <v>1.0</v>
      </c>
      <c r="G557" s="60">
        <v>1.0</v>
      </c>
      <c r="H557" s="60">
        <v>1.0</v>
      </c>
      <c r="I557" s="60">
        <v>0.0</v>
      </c>
      <c r="J557" s="59">
        <v>1.0</v>
      </c>
      <c r="K557" s="61">
        <f t="shared" si="1"/>
        <v>1</v>
      </c>
      <c r="L557" s="62">
        <f t="shared" si="2"/>
        <v>1</v>
      </c>
    </row>
    <row r="558">
      <c r="A558" s="58">
        <v>46082.0</v>
      </c>
      <c r="B558" s="24" t="s">
        <v>6787</v>
      </c>
      <c r="C558" s="24" t="s">
        <v>6901</v>
      </c>
      <c r="D558" s="59">
        <v>1.0</v>
      </c>
      <c r="E558" s="59">
        <v>1.0</v>
      </c>
      <c r="F558" s="59">
        <v>1.0</v>
      </c>
      <c r="G558" s="60">
        <v>1.0</v>
      </c>
      <c r="H558" s="60">
        <v>1.0</v>
      </c>
      <c r="I558" s="60">
        <v>0.0</v>
      </c>
      <c r="J558" s="59">
        <v>1.0</v>
      </c>
      <c r="K558" s="61">
        <f t="shared" si="1"/>
        <v>1</v>
      </c>
      <c r="L558" s="62">
        <f t="shared" si="2"/>
        <v>1</v>
      </c>
    </row>
    <row r="559">
      <c r="A559" s="58">
        <v>46082.0</v>
      </c>
      <c r="B559" s="24" t="s">
        <v>6789</v>
      </c>
      <c r="C559" s="24" t="s">
        <v>6843</v>
      </c>
      <c r="D559" s="59">
        <v>1.0</v>
      </c>
      <c r="E559" s="59">
        <v>1.0</v>
      </c>
      <c r="F559" s="59">
        <v>0.0</v>
      </c>
      <c r="G559" s="60">
        <v>1.0</v>
      </c>
      <c r="H559" s="60">
        <v>1.0</v>
      </c>
      <c r="I559" s="60">
        <v>0.0</v>
      </c>
      <c r="J559" s="59">
        <v>1.0</v>
      </c>
      <c r="K559" s="61">
        <f t="shared" si="1"/>
        <v>0</v>
      </c>
      <c r="L559" s="62">
        <f t="shared" si="2"/>
        <v>1</v>
      </c>
    </row>
    <row r="560">
      <c r="A560" s="58">
        <v>46082.0</v>
      </c>
      <c r="B560" s="24" t="s">
        <v>155</v>
      </c>
      <c r="C560" s="24" t="s">
        <v>6843</v>
      </c>
      <c r="D560" s="59">
        <v>1.0</v>
      </c>
      <c r="E560" s="59">
        <v>1.0</v>
      </c>
      <c r="F560" s="59">
        <v>1.0</v>
      </c>
      <c r="G560" s="60">
        <v>1.0</v>
      </c>
      <c r="H560" s="60">
        <v>0.0</v>
      </c>
      <c r="I560" s="60">
        <v>21.137245</v>
      </c>
      <c r="J560" s="59">
        <v>1.0</v>
      </c>
      <c r="K560" s="61">
        <f t="shared" si="1"/>
        <v>1</v>
      </c>
      <c r="L560" s="62">
        <f t="shared" si="2"/>
        <v>1</v>
      </c>
    </row>
    <row r="561">
      <c r="A561" s="58">
        <v>46082.0</v>
      </c>
      <c r="B561" s="24" t="s">
        <v>155</v>
      </c>
      <c r="C561" s="24" t="s">
        <v>6844</v>
      </c>
      <c r="D561" s="59">
        <v>1.0</v>
      </c>
      <c r="E561" s="59">
        <v>4.0</v>
      </c>
      <c r="F561" s="59">
        <v>1.0</v>
      </c>
      <c r="G561" s="60">
        <v>4.0</v>
      </c>
      <c r="H561" s="60">
        <v>0.5</v>
      </c>
      <c r="I561" s="60">
        <v>355.520476999999</v>
      </c>
      <c r="J561" s="59">
        <v>6.0</v>
      </c>
      <c r="K561" s="61">
        <f t="shared" si="1"/>
        <v>0.25</v>
      </c>
      <c r="L561" s="62">
        <f t="shared" si="2"/>
        <v>1.5</v>
      </c>
    </row>
    <row r="562">
      <c r="A562" s="58">
        <v>46082.0</v>
      </c>
      <c r="B562" s="24" t="s">
        <v>6787</v>
      </c>
      <c r="C562" s="24" t="s">
        <v>7007</v>
      </c>
      <c r="D562" s="59">
        <v>1.0</v>
      </c>
      <c r="E562" s="59">
        <v>1.0</v>
      </c>
      <c r="F562" s="59">
        <v>1.0</v>
      </c>
      <c r="G562" s="60">
        <v>1.0</v>
      </c>
      <c r="H562" s="60">
        <v>1.0</v>
      </c>
      <c r="I562" s="60">
        <v>0.0</v>
      </c>
      <c r="J562" s="59">
        <v>1.0</v>
      </c>
      <c r="K562" s="61">
        <f t="shared" si="1"/>
        <v>1</v>
      </c>
      <c r="L562" s="62">
        <f t="shared" si="2"/>
        <v>1</v>
      </c>
    </row>
    <row r="563">
      <c r="A563" s="58">
        <v>46082.0</v>
      </c>
      <c r="B563" s="24" t="s">
        <v>6789</v>
      </c>
      <c r="C563" s="24" t="s">
        <v>6903</v>
      </c>
      <c r="D563" s="59">
        <v>1.0</v>
      </c>
      <c r="E563" s="59">
        <v>1.0</v>
      </c>
      <c r="F563" s="59">
        <v>1.0</v>
      </c>
      <c r="G563" s="60">
        <v>1.0</v>
      </c>
      <c r="H563" s="60">
        <v>1.0</v>
      </c>
      <c r="I563" s="60">
        <v>0.0</v>
      </c>
      <c r="J563" s="59">
        <v>1.0</v>
      </c>
      <c r="K563" s="61">
        <f t="shared" si="1"/>
        <v>1</v>
      </c>
      <c r="L563" s="62">
        <f t="shared" si="2"/>
        <v>1</v>
      </c>
    </row>
    <row r="564">
      <c r="A564" s="58">
        <v>46082.0</v>
      </c>
      <c r="B564" s="24" t="s">
        <v>155</v>
      </c>
      <c r="C564" s="24" t="s">
        <v>6903</v>
      </c>
      <c r="D564" s="59">
        <v>1.0</v>
      </c>
      <c r="E564" s="59">
        <v>1.0</v>
      </c>
      <c r="F564" s="59">
        <v>0.0</v>
      </c>
      <c r="G564" s="60">
        <v>1.0</v>
      </c>
      <c r="H564" s="60">
        <v>0.0</v>
      </c>
      <c r="I564" s="60">
        <v>266.232822</v>
      </c>
      <c r="J564" s="59">
        <v>2.0</v>
      </c>
      <c r="K564" s="61">
        <f t="shared" si="1"/>
        <v>0</v>
      </c>
      <c r="L564" s="62">
        <f t="shared" si="2"/>
        <v>2</v>
      </c>
    </row>
    <row r="565">
      <c r="A565" s="58">
        <v>46082.0</v>
      </c>
      <c r="B565" s="24" t="s">
        <v>6794</v>
      </c>
      <c r="C565" s="24" t="s">
        <v>7008</v>
      </c>
      <c r="D565" s="59">
        <v>1.0</v>
      </c>
      <c r="E565" s="59">
        <v>1.0</v>
      </c>
      <c r="F565" s="59">
        <v>0.0</v>
      </c>
      <c r="G565" s="60">
        <v>1.0</v>
      </c>
      <c r="H565" s="60">
        <v>0.0</v>
      </c>
      <c r="I565" s="60">
        <v>111.97741</v>
      </c>
      <c r="J565" s="59">
        <v>3.0</v>
      </c>
      <c r="K565" s="61">
        <f t="shared" si="1"/>
        <v>0</v>
      </c>
      <c r="L565" s="62">
        <f t="shared" si="2"/>
        <v>3</v>
      </c>
    </row>
    <row r="566">
      <c r="A566" s="58">
        <v>46082.0</v>
      </c>
      <c r="B566" s="24" t="s">
        <v>6787</v>
      </c>
      <c r="C566" s="24" t="s">
        <v>7009</v>
      </c>
      <c r="D566" s="59">
        <v>1.0</v>
      </c>
      <c r="E566" s="59">
        <v>1.0</v>
      </c>
      <c r="F566" s="59">
        <v>1.0</v>
      </c>
      <c r="G566" s="60">
        <v>1.0</v>
      </c>
      <c r="H566" s="60">
        <v>1.0</v>
      </c>
      <c r="I566" s="60">
        <v>0.0</v>
      </c>
      <c r="J566" s="59">
        <v>1.0</v>
      </c>
      <c r="K566" s="61">
        <f t="shared" si="1"/>
        <v>1</v>
      </c>
      <c r="L566" s="62">
        <f t="shared" si="2"/>
        <v>1</v>
      </c>
    </row>
    <row r="567">
      <c r="A567" s="58">
        <v>46082.0</v>
      </c>
      <c r="B567" s="24" t="s">
        <v>155</v>
      </c>
      <c r="C567" s="24" t="s">
        <v>7009</v>
      </c>
      <c r="D567" s="59">
        <v>1.0</v>
      </c>
      <c r="E567" s="59">
        <v>1.0</v>
      </c>
      <c r="F567" s="59">
        <v>1.0</v>
      </c>
      <c r="G567" s="60">
        <v>1.0</v>
      </c>
      <c r="H567" s="60">
        <v>1.0</v>
      </c>
      <c r="I567" s="60">
        <v>3.176156</v>
      </c>
      <c r="J567" s="59">
        <v>1.0</v>
      </c>
      <c r="K567" s="61">
        <f t="shared" si="1"/>
        <v>1</v>
      </c>
      <c r="L567" s="62">
        <f t="shared" si="2"/>
        <v>1</v>
      </c>
    </row>
    <row r="568">
      <c r="A568" s="58">
        <v>46082.0</v>
      </c>
      <c r="B568" s="24" t="s">
        <v>6789</v>
      </c>
      <c r="C568" s="24" t="s">
        <v>6904</v>
      </c>
      <c r="D568" s="59">
        <v>1.0</v>
      </c>
      <c r="E568" s="59">
        <v>1.0</v>
      </c>
      <c r="F568" s="59">
        <v>0.0</v>
      </c>
      <c r="G568" s="60">
        <v>1.0</v>
      </c>
      <c r="H568" s="60">
        <v>0.0</v>
      </c>
      <c r="I568" s="60">
        <v>26.198512</v>
      </c>
      <c r="J568" s="59">
        <v>1.0</v>
      </c>
      <c r="K568" s="61">
        <f t="shared" si="1"/>
        <v>0</v>
      </c>
      <c r="L568" s="62">
        <f t="shared" si="2"/>
        <v>1</v>
      </c>
    </row>
    <row r="569">
      <c r="A569" s="58">
        <v>46082.0</v>
      </c>
      <c r="B569" s="24" t="s">
        <v>6791</v>
      </c>
      <c r="C569" s="24" t="s">
        <v>6904</v>
      </c>
      <c r="D569" s="59">
        <v>1.0</v>
      </c>
      <c r="E569" s="59">
        <v>1.0</v>
      </c>
      <c r="F569" s="59">
        <v>0.0</v>
      </c>
      <c r="G569" s="60">
        <v>1.0</v>
      </c>
      <c r="H569" s="60">
        <v>1.0</v>
      </c>
      <c r="I569" s="60">
        <v>1.010644</v>
      </c>
      <c r="J569" s="59">
        <v>1.0</v>
      </c>
      <c r="K569" s="61">
        <f t="shared" si="1"/>
        <v>0</v>
      </c>
      <c r="L569" s="62">
        <f t="shared" si="2"/>
        <v>1</v>
      </c>
    </row>
    <row r="570">
      <c r="A570" s="58">
        <v>46082.0</v>
      </c>
      <c r="B570" s="24" t="s">
        <v>6787</v>
      </c>
      <c r="C570" s="24" t="s">
        <v>7010</v>
      </c>
      <c r="D570" s="59">
        <v>1.0</v>
      </c>
      <c r="E570" s="59">
        <v>1.0</v>
      </c>
      <c r="F570" s="59">
        <v>1.0</v>
      </c>
      <c r="G570" s="60">
        <v>1.0</v>
      </c>
      <c r="H570" s="60">
        <v>1.0</v>
      </c>
      <c r="I570" s="60">
        <v>0.0</v>
      </c>
      <c r="J570" s="59">
        <v>1.0</v>
      </c>
      <c r="K570" s="61">
        <f t="shared" si="1"/>
        <v>1</v>
      </c>
      <c r="L570" s="62">
        <f t="shared" si="2"/>
        <v>1</v>
      </c>
    </row>
    <row r="571">
      <c r="A571" s="58">
        <v>46082.0</v>
      </c>
      <c r="B571" s="24" t="s">
        <v>6789</v>
      </c>
      <c r="C571" s="24" t="s">
        <v>7010</v>
      </c>
      <c r="D571" s="59">
        <v>1.0</v>
      </c>
      <c r="E571" s="59">
        <v>1.0</v>
      </c>
      <c r="F571" s="59">
        <v>0.0</v>
      </c>
      <c r="G571" s="60">
        <v>1.0</v>
      </c>
      <c r="H571" s="60">
        <v>0.0</v>
      </c>
      <c r="I571" s="60">
        <v>1999.109135</v>
      </c>
      <c r="J571" s="59">
        <v>10.0</v>
      </c>
      <c r="K571" s="61">
        <f t="shared" si="1"/>
        <v>0</v>
      </c>
      <c r="L571" s="62">
        <f t="shared" si="2"/>
        <v>10</v>
      </c>
    </row>
    <row r="572">
      <c r="A572" s="58">
        <v>46082.0</v>
      </c>
      <c r="B572" s="24" t="s">
        <v>155</v>
      </c>
      <c r="C572" s="24" t="s">
        <v>6824</v>
      </c>
      <c r="D572" s="59">
        <v>1.0</v>
      </c>
      <c r="E572" s="59">
        <v>1.0</v>
      </c>
      <c r="F572" s="59">
        <v>0.0</v>
      </c>
      <c r="G572" s="60">
        <v>1.0</v>
      </c>
      <c r="H572" s="60">
        <v>0.0</v>
      </c>
      <c r="I572" s="60">
        <v>11.279885</v>
      </c>
      <c r="J572" s="59">
        <v>2.0</v>
      </c>
      <c r="K572" s="61">
        <f t="shared" si="1"/>
        <v>0</v>
      </c>
      <c r="L572" s="62">
        <f t="shared" si="2"/>
        <v>2</v>
      </c>
    </row>
    <row r="573">
      <c r="A573" s="58">
        <v>46082.0</v>
      </c>
      <c r="B573" s="24" t="s">
        <v>6789</v>
      </c>
      <c r="C573" s="24" t="s">
        <v>6825</v>
      </c>
      <c r="D573" s="59">
        <v>1.0</v>
      </c>
      <c r="E573" s="59">
        <v>1.0</v>
      </c>
      <c r="F573" s="59">
        <v>0.0</v>
      </c>
      <c r="G573" s="60">
        <v>1.0</v>
      </c>
      <c r="H573" s="60">
        <v>0.0</v>
      </c>
      <c r="I573" s="60">
        <v>1001.848225</v>
      </c>
      <c r="J573" s="59">
        <v>1.0</v>
      </c>
      <c r="K573" s="61">
        <f t="shared" si="1"/>
        <v>0</v>
      </c>
      <c r="L573" s="62">
        <f t="shared" si="2"/>
        <v>1</v>
      </c>
    </row>
    <row r="574">
      <c r="A574" s="58">
        <v>46082.0</v>
      </c>
      <c r="B574" s="24" t="s">
        <v>155</v>
      </c>
      <c r="C574" s="24" t="s">
        <v>6847</v>
      </c>
      <c r="D574" s="59">
        <v>1.0</v>
      </c>
      <c r="E574" s="59">
        <v>1.0</v>
      </c>
      <c r="F574" s="59">
        <v>0.0</v>
      </c>
      <c r="G574" s="60">
        <v>1.0</v>
      </c>
      <c r="H574" s="60">
        <v>0.0</v>
      </c>
      <c r="I574" s="60">
        <v>10.54434</v>
      </c>
      <c r="J574" s="59">
        <v>2.0</v>
      </c>
      <c r="K574" s="61">
        <f t="shared" si="1"/>
        <v>0</v>
      </c>
      <c r="L574" s="62">
        <f t="shared" si="2"/>
        <v>2</v>
      </c>
    </row>
    <row r="575">
      <c r="A575" s="58">
        <v>46082.0</v>
      </c>
      <c r="B575" s="24" t="s">
        <v>155</v>
      </c>
      <c r="C575" s="24" t="s">
        <v>6933</v>
      </c>
      <c r="D575" s="59">
        <v>1.0</v>
      </c>
      <c r="E575" s="59">
        <v>2.0</v>
      </c>
      <c r="F575" s="59">
        <v>0.0</v>
      </c>
      <c r="G575" s="60">
        <v>2.0</v>
      </c>
      <c r="H575" s="60">
        <v>0.0</v>
      </c>
      <c r="I575" s="60">
        <v>2384.497664</v>
      </c>
      <c r="J575" s="59">
        <v>10.0</v>
      </c>
      <c r="K575" s="61">
        <f t="shared" si="1"/>
        <v>0</v>
      </c>
      <c r="L575" s="62">
        <f t="shared" si="2"/>
        <v>5</v>
      </c>
    </row>
    <row r="576">
      <c r="A576" s="58">
        <v>46082.0</v>
      </c>
      <c r="B576" s="24" t="s">
        <v>6787</v>
      </c>
      <c r="C576" s="24" t="s">
        <v>7011</v>
      </c>
      <c r="D576" s="59">
        <v>1.0</v>
      </c>
      <c r="E576" s="59">
        <v>1.0</v>
      </c>
      <c r="F576" s="59">
        <v>1.0</v>
      </c>
      <c r="G576" s="60">
        <v>1.0</v>
      </c>
      <c r="H576" s="60">
        <v>1.0</v>
      </c>
      <c r="I576" s="60">
        <v>7.181673</v>
      </c>
      <c r="J576" s="59">
        <v>1.0</v>
      </c>
      <c r="K576" s="61">
        <f t="shared" si="1"/>
        <v>1</v>
      </c>
      <c r="L576" s="62">
        <f t="shared" si="2"/>
        <v>1</v>
      </c>
    </row>
    <row r="577">
      <c r="A577" s="58">
        <v>46082.0</v>
      </c>
      <c r="B577" s="24" t="s">
        <v>6787</v>
      </c>
      <c r="C577" s="24" t="s">
        <v>6907</v>
      </c>
      <c r="D577" s="59">
        <v>1.0</v>
      </c>
      <c r="E577" s="59">
        <v>1.0</v>
      </c>
      <c r="F577" s="59">
        <v>1.0</v>
      </c>
      <c r="G577" s="60">
        <v>1.0</v>
      </c>
      <c r="H577" s="60">
        <v>1.0</v>
      </c>
      <c r="I577" s="60">
        <v>6.444236</v>
      </c>
      <c r="J577" s="59">
        <v>1.0</v>
      </c>
      <c r="K577" s="61">
        <f t="shared" si="1"/>
        <v>1</v>
      </c>
      <c r="L577" s="62">
        <f t="shared" si="2"/>
        <v>1</v>
      </c>
    </row>
    <row r="578">
      <c r="A578" s="58">
        <v>46082.0</v>
      </c>
      <c r="B578" s="24" t="s">
        <v>155</v>
      </c>
      <c r="C578" s="24" t="s">
        <v>6808</v>
      </c>
      <c r="D578" s="59">
        <v>1.0</v>
      </c>
      <c r="E578" s="59">
        <v>1.0</v>
      </c>
      <c r="F578" s="59">
        <v>1.0</v>
      </c>
      <c r="G578" s="60">
        <v>1.0</v>
      </c>
      <c r="H578" s="60">
        <v>0.0</v>
      </c>
      <c r="I578" s="60">
        <v>20.847684</v>
      </c>
      <c r="J578" s="59">
        <v>2.0</v>
      </c>
      <c r="K578" s="61">
        <f t="shared" si="1"/>
        <v>1</v>
      </c>
      <c r="L578" s="62">
        <f t="shared" si="2"/>
        <v>2</v>
      </c>
    </row>
    <row r="579">
      <c r="A579" s="58">
        <v>46082.0</v>
      </c>
      <c r="B579" s="24" t="s">
        <v>6790</v>
      </c>
      <c r="C579" s="24" t="s">
        <v>6800</v>
      </c>
      <c r="D579" s="59">
        <v>1.0</v>
      </c>
      <c r="E579" s="59">
        <v>2.0</v>
      </c>
      <c r="F579" s="59">
        <v>1.0</v>
      </c>
      <c r="G579" s="60">
        <v>2.0</v>
      </c>
      <c r="H579" s="60">
        <v>1.0</v>
      </c>
      <c r="I579" s="60">
        <v>0.0</v>
      </c>
      <c r="J579" s="59">
        <v>2.0</v>
      </c>
      <c r="K579" s="61">
        <f t="shared" si="1"/>
        <v>0.5</v>
      </c>
      <c r="L579" s="62">
        <f t="shared" si="2"/>
        <v>1</v>
      </c>
    </row>
    <row r="580">
      <c r="A580" s="58">
        <v>46082.0</v>
      </c>
      <c r="B580" s="24" t="s">
        <v>6787</v>
      </c>
      <c r="C580" s="24" t="s">
        <v>7012</v>
      </c>
      <c r="D580" s="59">
        <v>1.0</v>
      </c>
      <c r="E580" s="59">
        <v>1.0</v>
      </c>
      <c r="F580" s="59">
        <v>1.0</v>
      </c>
      <c r="G580" s="60">
        <v>1.0</v>
      </c>
      <c r="H580" s="60">
        <v>1.0</v>
      </c>
      <c r="I580" s="60">
        <v>0.0</v>
      </c>
      <c r="J580" s="59">
        <v>1.0</v>
      </c>
      <c r="K580" s="61">
        <f t="shared" si="1"/>
        <v>1</v>
      </c>
      <c r="L580" s="62">
        <f t="shared" si="2"/>
        <v>1</v>
      </c>
    </row>
    <row r="581">
      <c r="A581" s="58">
        <v>46082.0</v>
      </c>
      <c r="B581" s="24" t="s">
        <v>6789</v>
      </c>
      <c r="C581" s="24" t="s">
        <v>7013</v>
      </c>
      <c r="D581" s="59">
        <v>1.0</v>
      </c>
      <c r="E581" s="59">
        <v>1.0</v>
      </c>
      <c r="F581" s="59">
        <v>1.0</v>
      </c>
      <c r="G581" s="60">
        <v>1.0</v>
      </c>
      <c r="H581" s="60">
        <v>1.0</v>
      </c>
      <c r="I581" s="60">
        <v>0.0</v>
      </c>
      <c r="J581" s="59">
        <v>1.0</v>
      </c>
      <c r="K581" s="61">
        <f t="shared" si="1"/>
        <v>1</v>
      </c>
      <c r="L581" s="62">
        <f t="shared" si="2"/>
        <v>1</v>
      </c>
    </row>
    <row r="582">
      <c r="A582" s="58">
        <v>46082.0</v>
      </c>
      <c r="B582" s="24" t="s">
        <v>6789</v>
      </c>
      <c r="C582" s="24" t="s">
        <v>6960</v>
      </c>
      <c r="D582" s="59">
        <v>1.0</v>
      </c>
      <c r="E582" s="59">
        <v>1.0</v>
      </c>
      <c r="F582" s="59">
        <v>1.0</v>
      </c>
      <c r="G582" s="60">
        <v>1.0</v>
      </c>
      <c r="H582" s="60">
        <v>0.0</v>
      </c>
      <c r="I582" s="60">
        <v>19.155312</v>
      </c>
      <c r="J582" s="59">
        <v>2.0</v>
      </c>
      <c r="K582" s="61">
        <f t="shared" si="1"/>
        <v>1</v>
      </c>
      <c r="L582" s="62">
        <f t="shared" si="2"/>
        <v>2</v>
      </c>
    </row>
    <row r="583">
      <c r="A583" s="58">
        <v>46082.0</v>
      </c>
      <c r="B583" s="24" t="s">
        <v>155</v>
      </c>
      <c r="C583" s="24" t="s">
        <v>6960</v>
      </c>
      <c r="D583" s="59">
        <v>1.0</v>
      </c>
      <c r="E583" s="59">
        <v>1.0</v>
      </c>
      <c r="F583" s="59">
        <v>1.0</v>
      </c>
      <c r="G583" s="60">
        <v>1.0</v>
      </c>
      <c r="H583" s="60">
        <v>0.0</v>
      </c>
      <c r="I583" s="60">
        <v>25.140462</v>
      </c>
      <c r="J583" s="59">
        <v>1.0</v>
      </c>
      <c r="K583" s="61">
        <f t="shared" si="1"/>
        <v>1</v>
      </c>
      <c r="L583" s="62">
        <f t="shared" si="2"/>
        <v>1</v>
      </c>
    </row>
    <row r="584">
      <c r="A584" s="58">
        <v>46082.0</v>
      </c>
      <c r="B584" s="24" t="s">
        <v>6790</v>
      </c>
      <c r="C584" s="24" t="s">
        <v>6809</v>
      </c>
      <c r="D584" s="59">
        <v>1.0</v>
      </c>
      <c r="E584" s="59">
        <v>1.0</v>
      </c>
      <c r="F584" s="59">
        <v>0.0</v>
      </c>
      <c r="G584" s="60">
        <v>1.0</v>
      </c>
      <c r="H584" s="60">
        <v>1.0</v>
      </c>
      <c r="I584" s="60">
        <v>0.0</v>
      </c>
      <c r="J584" s="59">
        <v>1.0</v>
      </c>
      <c r="K584" s="61">
        <f t="shared" si="1"/>
        <v>0</v>
      </c>
      <c r="L584" s="62">
        <f t="shared" si="2"/>
        <v>1</v>
      </c>
    </row>
    <row r="585">
      <c r="A585" s="58">
        <v>46082.0</v>
      </c>
      <c r="B585" s="24" t="s">
        <v>6791</v>
      </c>
      <c r="C585" s="24" t="s">
        <v>6812</v>
      </c>
      <c r="D585" s="59">
        <v>1.0</v>
      </c>
      <c r="E585" s="59">
        <v>1.0</v>
      </c>
      <c r="F585" s="59">
        <v>0.0</v>
      </c>
      <c r="G585" s="60">
        <v>1.0</v>
      </c>
      <c r="H585" s="60">
        <v>0.0</v>
      </c>
      <c r="I585" s="60">
        <v>1700.128921</v>
      </c>
      <c r="J585" s="59">
        <v>2.0</v>
      </c>
      <c r="K585" s="61">
        <f t="shared" si="1"/>
        <v>0</v>
      </c>
      <c r="L585" s="62">
        <f t="shared" si="2"/>
        <v>2</v>
      </c>
    </row>
    <row r="586">
      <c r="A586" s="58">
        <v>46082.0</v>
      </c>
      <c r="B586" s="24" t="s">
        <v>6790</v>
      </c>
      <c r="C586" s="24" t="s">
        <v>6812</v>
      </c>
      <c r="D586" s="59">
        <v>1.0</v>
      </c>
      <c r="E586" s="59">
        <v>1.0</v>
      </c>
      <c r="F586" s="59">
        <v>0.0</v>
      </c>
      <c r="G586" s="60">
        <v>1.0</v>
      </c>
      <c r="H586" s="60">
        <v>0.0</v>
      </c>
      <c r="I586" s="60">
        <v>4544.044515</v>
      </c>
      <c r="J586" s="59">
        <v>28.0</v>
      </c>
      <c r="K586" s="61">
        <f t="shared" si="1"/>
        <v>0</v>
      </c>
      <c r="L586" s="62">
        <f t="shared" si="2"/>
        <v>28</v>
      </c>
    </row>
    <row r="587">
      <c r="A587" s="58">
        <v>46082.0</v>
      </c>
      <c r="B587" s="24" t="s">
        <v>6790</v>
      </c>
      <c r="C587" s="24" t="s">
        <v>6849</v>
      </c>
      <c r="D587" s="59">
        <v>1.0</v>
      </c>
      <c r="E587" s="59">
        <v>1.0</v>
      </c>
      <c r="F587" s="59">
        <v>0.0</v>
      </c>
      <c r="G587" s="60">
        <v>1.0</v>
      </c>
      <c r="H587" s="60">
        <v>0.0</v>
      </c>
      <c r="I587" s="60">
        <v>55.061379</v>
      </c>
      <c r="J587" s="59">
        <v>3.0</v>
      </c>
      <c r="K587" s="61">
        <f t="shared" si="1"/>
        <v>0</v>
      </c>
      <c r="L587" s="62">
        <f t="shared" si="2"/>
        <v>3</v>
      </c>
    </row>
    <row r="588">
      <c r="A588" s="58">
        <v>46082.0</v>
      </c>
      <c r="B588" s="24" t="s">
        <v>6787</v>
      </c>
      <c r="C588" s="24" t="s">
        <v>6909</v>
      </c>
      <c r="D588" s="59">
        <v>1.0</v>
      </c>
      <c r="E588" s="59">
        <v>1.0</v>
      </c>
      <c r="F588" s="59">
        <v>1.0</v>
      </c>
      <c r="G588" s="60">
        <v>1.0</v>
      </c>
      <c r="H588" s="60">
        <v>1.0</v>
      </c>
      <c r="I588" s="60">
        <v>0.0</v>
      </c>
      <c r="J588" s="59">
        <v>1.0</v>
      </c>
      <c r="K588" s="61">
        <f t="shared" si="1"/>
        <v>1</v>
      </c>
      <c r="L588" s="62">
        <f t="shared" si="2"/>
        <v>1</v>
      </c>
    </row>
    <row r="589">
      <c r="A589" s="58">
        <v>46082.0</v>
      </c>
      <c r="B589" s="24" t="s">
        <v>6789</v>
      </c>
      <c r="C589" s="24" t="s">
        <v>6909</v>
      </c>
      <c r="D589" s="59">
        <v>1.0</v>
      </c>
      <c r="E589" s="59">
        <v>1.0</v>
      </c>
      <c r="F589" s="59">
        <v>1.0</v>
      </c>
      <c r="G589" s="60">
        <v>1.0</v>
      </c>
      <c r="H589" s="60">
        <v>1.0</v>
      </c>
      <c r="I589" s="60">
        <v>0.0</v>
      </c>
      <c r="J589" s="59">
        <v>1.0</v>
      </c>
      <c r="K589" s="61">
        <f t="shared" si="1"/>
        <v>1</v>
      </c>
      <c r="L589" s="62">
        <f t="shared" si="2"/>
        <v>1</v>
      </c>
    </row>
    <row r="590">
      <c r="A590" s="58">
        <v>46082.0</v>
      </c>
      <c r="B590" s="24" t="s">
        <v>6790</v>
      </c>
      <c r="C590" s="24" t="s">
        <v>6909</v>
      </c>
      <c r="D590" s="59">
        <v>1.0</v>
      </c>
      <c r="E590" s="59">
        <v>1.0</v>
      </c>
      <c r="F590" s="59">
        <v>0.0</v>
      </c>
      <c r="G590" s="60">
        <v>1.0</v>
      </c>
      <c r="H590" s="60">
        <v>0.0</v>
      </c>
      <c r="I590" s="60">
        <v>8921.282691</v>
      </c>
      <c r="J590" s="59">
        <v>65.0</v>
      </c>
      <c r="K590" s="61">
        <f t="shared" si="1"/>
        <v>0</v>
      </c>
      <c r="L590" s="62">
        <f t="shared" si="2"/>
        <v>65</v>
      </c>
    </row>
    <row r="591">
      <c r="A591" s="58">
        <v>46082.0</v>
      </c>
      <c r="B591" s="24" t="s">
        <v>6794</v>
      </c>
      <c r="C591" s="24" t="s">
        <v>6851</v>
      </c>
      <c r="D591" s="59">
        <v>1.0</v>
      </c>
      <c r="E591" s="59">
        <v>1.0</v>
      </c>
      <c r="F591" s="59">
        <v>0.0</v>
      </c>
      <c r="G591" s="60">
        <v>0.0</v>
      </c>
      <c r="H591" s="60">
        <v>1.0</v>
      </c>
      <c r="I591" s="60">
        <v>0.0</v>
      </c>
      <c r="J591" s="59">
        <v>1.0</v>
      </c>
      <c r="K591" s="61">
        <f t="shared" si="1"/>
        <v>0</v>
      </c>
      <c r="L591" s="62">
        <f t="shared" si="2"/>
        <v>1</v>
      </c>
    </row>
    <row r="592">
      <c r="A592" s="58">
        <v>46082.0</v>
      </c>
      <c r="B592" s="24" t="s">
        <v>6789</v>
      </c>
      <c r="C592" s="24" t="s">
        <v>6911</v>
      </c>
      <c r="D592" s="59">
        <v>1.0</v>
      </c>
      <c r="E592" s="59">
        <v>1.0</v>
      </c>
      <c r="F592" s="59">
        <v>0.0</v>
      </c>
      <c r="G592" s="60">
        <v>1.0</v>
      </c>
      <c r="H592" s="60">
        <v>1.0</v>
      </c>
      <c r="I592" s="60">
        <v>1.136398</v>
      </c>
      <c r="J592" s="59">
        <v>1.0</v>
      </c>
      <c r="K592" s="61">
        <f t="shared" si="1"/>
        <v>0</v>
      </c>
      <c r="L592" s="62">
        <f t="shared" si="2"/>
        <v>1</v>
      </c>
    </row>
    <row r="593">
      <c r="A593" s="58">
        <v>46082.0</v>
      </c>
      <c r="B593" s="24" t="s">
        <v>6791</v>
      </c>
      <c r="C593" s="24" t="s">
        <v>6911</v>
      </c>
      <c r="D593" s="59">
        <v>1.0</v>
      </c>
      <c r="E593" s="59">
        <v>1.0</v>
      </c>
      <c r="F593" s="59">
        <v>0.0</v>
      </c>
      <c r="G593" s="60">
        <v>0.0</v>
      </c>
      <c r="H593" s="60">
        <v>1.0</v>
      </c>
      <c r="I593" s="60">
        <v>0.0</v>
      </c>
      <c r="J593" s="59">
        <v>1.0</v>
      </c>
      <c r="K593" s="61">
        <f t="shared" si="1"/>
        <v>0</v>
      </c>
      <c r="L593" s="62">
        <f t="shared" si="2"/>
        <v>1</v>
      </c>
    </row>
    <row r="594">
      <c r="A594" s="58">
        <v>46082.0</v>
      </c>
      <c r="B594" s="24" t="s">
        <v>6787</v>
      </c>
      <c r="C594" s="24" t="s">
        <v>6814</v>
      </c>
      <c r="D594" s="59">
        <v>1.0</v>
      </c>
      <c r="E594" s="59">
        <v>1.0</v>
      </c>
      <c r="F594" s="59">
        <v>1.0</v>
      </c>
      <c r="G594" s="60">
        <v>1.0</v>
      </c>
      <c r="H594" s="60">
        <v>1.0</v>
      </c>
      <c r="I594" s="60">
        <v>0.0</v>
      </c>
      <c r="J594" s="59">
        <v>1.0</v>
      </c>
      <c r="K594" s="61">
        <f t="shared" si="1"/>
        <v>1</v>
      </c>
      <c r="L594" s="62">
        <f t="shared" si="2"/>
        <v>1</v>
      </c>
    </row>
    <row r="595">
      <c r="A595" s="58">
        <v>46082.0</v>
      </c>
      <c r="B595" s="24" t="s">
        <v>155</v>
      </c>
      <c r="C595" s="24" t="s">
        <v>6814</v>
      </c>
      <c r="D595" s="59">
        <v>1.0</v>
      </c>
      <c r="E595" s="59">
        <v>1.0</v>
      </c>
      <c r="F595" s="59">
        <v>0.0</v>
      </c>
      <c r="G595" s="60">
        <v>0.0</v>
      </c>
      <c r="H595" s="60">
        <v>1.0</v>
      </c>
      <c r="I595" s="60">
        <v>0.0</v>
      </c>
      <c r="J595" s="59">
        <v>1.0</v>
      </c>
      <c r="K595" s="61">
        <f t="shared" si="1"/>
        <v>0</v>
      </c>
      <c r="L595" s="62">
        <f t="shared" si="2"/>
        <v>1</v>
      </c>
    </row>
    <row r="596">
      <c r="A596" s="58">
        <v>46082.0</v>
      </c>
      <c r="B596" s="24" t="s">
        <v>6787</v>
      </c>
      <c r="C596" s="24" t="s">
        <v>7014</v>
      </c>
      <c r="D596" s="59">
        <v>1.0</v>
      </c>
      <c r="E596" s="59">
        <v>1.0</v>
      </c>
      <c r="F596" s="59">
        <v>1.0</v>
      </c>
      <c r="G596" s="60">
        <v>1.0</v>
      </c>
      <c r="H596" s="60">
        <v>1.0</v>
      </c>
      <c r="I596" s="60">
        <v>9.387698</v>
      </c>
      <c r="J596" s="59">
        <v>1.0</v>
      </c>
      <c r="K596" s="61">
        <f t="shared" si="1"/>
        <v>1</v>
      </c>
      <c r="L596" s="62">
        <f t="shared" si="2"/>
        <v>1</v>
      </c>
    </row>
    <row r="597">
      <c r="A597" s="58">
        <v>46082.0</v>
      </c>
      <c r="B597" s="24" t="s">
        <v>6794</v>
      </c>
      <c r="C597" s="24" t="s">
        <v>6936</v>
      </c>
      <c r="D597" s="59">
        <v>1.0</v>
      </c>
      <c r="E597" s="59">
        <v>1.0</v>
      </c>
      <c r="F597" s="59">
        <v>0.0</v>
      </c>
      <c r="G597" s="60">
        <v>1.0</v>
      </c>
      <c r="H597" s="60">
        <v>1.0</v>
      </c>
      <c r="I597" s="60">
        <v>2.5451</v>
      </c>
      <c r="J597" s="59">
        <v>1.0</v>
      </c>
      <c r="K597" s="61">
        <f t="shared" si="1"/>
        <v>0</v>
      </c>
      <c r="L597" s="62">
        <f t="shared" si="2"/>
        <v>1</v>
      </c>
    </row>
    <row r="598">
      <c r="A598" s="58">
        <v>46082.0</v>
      </c>
      <c r="B598" s="24" t="s">
        <v>6794</v>
      </c>
      <c r="C598" s="24" t="s">
        <v>6815</v>
      </c>
      <c r="D598" s="59">
        <v>1.0</v>
      </c>
      <c r="E598" s="59">
        <v>1.0</v>
      </c>
      <c r="F598" s="59">
        <v>1.0</v>
      </c>
      <c r="G598" s="60">
        <v>1.0</v>
      </c>
      <c r="H598" s="60">
        <v>0.0</v>
      </c>
      <c r="I598" s="60">
        <v>1448.769195</v>
      </c>
      <c r="J598" s="59">
        <v>2.0</v>
      </c>
      <c r="K598" s="61">
        <f t="shared" si="1"/>
        <v>1</v>
      </c>
      <c r="L598" s="62">
        <f t="shared" si="2"/>
        <v>2</v>
      </c>
    </row>
    <row r="599">
      <c r="A599" s="58">
        <v>46082.0</v>
      </c>
      <c r="B599" s="24" t="s">
        <v>6787</v>
      </c>
      <c r="C599" s="24" t="s">
        <v>7015</v>
      </c>
      <c r="D599" s="59">
        <v>1.0</v>
      </c>
      <c r="E599" s="59">
        <v>1.0</v>
      </c>
      <c r="F599" s="59">
        <v>1.0</v>
      </c>
      <c r="G599" s="60">
        <v>1.0</v>
      </c>
      <c r="H599" s="60">
        <v>1.0</v>
      </c>
      <c r="I599" s="60">
        <v>4.893168</v>
      </c>
      <c r="J599" s="59">
        <v>1.0</v>
      </c>
      <c r="K599" s="61">
        <f t="shared" si="1"/>
        <v>1</v>
      </c>
      <c r="L599" s="62">
        <f t="shared" si="2"/>
        <v>1</v>
      </c>
    </row>
    <row r="600">
      <c r="A600" s="58">
        <v>46082.0</v>
      </c>
      <c r="B600" s="24" t="s">
        <v>6787</v>
      </c>
      <c r="C600" s="24" t="s">
        <v>7016</v>
      </c>
      <c r="D600" s="59">
        <v>1.0</v>
      </c>
      <c r="E600" s="59">
        <v>1.0</v>
      </c>
      <c r="F600" s="59">
        <v>1.0</v>
      </c>
      <c r="G600" s="60">
        <v>1.0</v>
      </c>
      <c r="H600" s="60">
        <v>1.0</v>
      </c>
      <c r="I600" s="60">
        <v>9.462897</v>
      </c>
      <c r="J600" s="59">
        <v>1.0</v>
      </c>
      <c r="K600" s="61">
        <f t="shared" si="1"/>
        <v>1</v>
      </c>
      <c r="L600" s="62">
        <f t="shared" si="2"/>
        <v>1</v>
      </c>
    </row>
    <row r="601">
      <c r="A601" s="58">
        <v>46082.0</v>
      </c>
      <c r="B601" s="24" t="s">
        <v>6790</v>
      </c>
      <c r="C601" s="24" t="s">
        <v>7017</v>
      </c>
      <c r="D601" s="59">
        <v>1.0</v>
      </c>
      <c r="E601" s="59">
        <v>1.0</v>
      </c>
      <c r="F601" s="59">
        <v>0.0</v>
      </c>
      <c r="G601" s="60">
        <v>1.0</v>
      </c>
      <c r="H601" s="60">
        <v>0.0</v>
      </c>
      <c r="I601" s="60">
        <v>1.669392</v>
      </c>
      <c r="J601" s="59">
        <v>2.0</v>
      </c>
      <c r="K601" s="61">
        <f t="shared" si="1"/>
        <v>0</v>
      </c>
      <c r="L601" s="62">
        <f t="shared" si="2"/>
        <v>2</v>
      </c>
    </row>
    <row r="602">
      <c r="A602" s="58">
        <v>46082.0</v>
      </c>
      <c r="B602" s="24" t="s">
        <v>6787</v>
      </c>
      <c r="C602" s="24" t="s">
        <v>6852</v>
      </c>
      <c r="D602" s="59">
        <v>1.0</v>
      </c>
      <c r="E602" s="59">
        <v>1.0</v>
      </c>
      <c r="F602" s="59">
        <v>1.0</v>
      </c>
      <c r="G602" s="60">
        <v>1.0</v>
      </c>
      <c r="H602" s="60">
        <v>1.0</v>
      </c>
      <c r="I602" s="60">
        <v>0.0</v>
      </c>
      <c r="J602" s="59">
        <v>1.0</v>
      </c>
      <c r="K602" s="61">
        <f t="shared" si="1"/>
        <v>1</v>
      </c>
      <c r="L602" s="62">
        <f t="shared" si="2"/>
        <v>1</v>
      </c>
    </row>
    <row r="603">
      <c r="A603" s="58">
        <v>46082.0</v>
      </c>
      <c r="B603" s="24" t="s">
        <v>6787</v>
      </c>
      <c r="C603" s="24" t="s">
        <v>6920</v>
      </c>
      <c r="D603" s="59">
        <v>1.0</v>
      </c>
      <c r="E603" s="59">
        <v>1.0</v>
      </c>
      <c r="F603" s="59">
        <v>1.0</v>
      </c>
      <c r="G603" s="60">
        <v>1.0</v>
      </c>
      <c r="H603" s="60">
        <v>0.0</v>
      </c>
      <c r="I603" s="60">
        <v>61.425381</v>
      </c>
      <c r="J603" s="59">
        <v>1.0</v>
      </c>
      <c r="K603" s="61">
        <f t="shared" si="1"/>
        <v>1</v>
      </c>
      <c r="L603" s="62">
        <f t="shared" si="2"/>
        <v>1</v>
      </c>
    </row>
    <row r="604">
      <c r="A604" s="58">
        <v>46082.0</v>
      </c>
      <c r="B604" s="24" t="s">
        <v>155</v>
      </c>
      <c r="C604" s="24" t="s">
        <v>6921</v>
      </c>
      <c r="D604" s="59">
        <v>1.0</v>
      </c>
      <c r="E604" s="59">
        <v>1.0</v>
      </c>
      <c r="F604" s="59">
        <v>0.0</v>
      </c>
      <c r="G604" s="60">
        <v>1.0</v>
      </c>
      <c r="H604" s="60">
        <v>0.0</v>
      </c>
      <c r="I604" s="60">
        <v>1757.925806</v>
      </c>
      <c r="J604" s="59">
        <v>4.0</v>
      </c>
      <c r="K604" s="61">
        <f t="shared" si="1"/>
        <v>0</v>
      </c>
      <c r="L604" s="62">
        <f t="shared" si="2"/>
        <v>4</v>
      </c>
    </row>
    <row r="605">
      <c r="A605" s="58">
        <v>46082.0</v>
      </c>
      <c r="B605" s="24" t="s">
        <v>6789</v>
      </c>
      <c r="C605" s="24" t="s">
        <v>6816</v>
      </c>
      <c r="D605" s="59">
        <v>1.0</v>
      </c>
      <c r="E605" s="59">
        <v>1.0</v>
      </c>
      <c r="F605" s="59">
        <v>0.0</v>
      </c>
      <c r="G605" s="60">
        <v>1.0</v>
      </c>
      <c r="H605" s="60">
        <v>0.0</v>
      </c>
      <c r="I605" s="60">
        <v>3208.802437</v>
      </c>
      <c r="J605" s="59">
        <v>25.0</v>
      </c>
      <c r="K605" s="61">
        <f t="shared" si="1"/>
        <v>0</v>
      </c>
      <c r="L605" s="62">
        <f t="shared" si="2"/>
        <v>25</v>
      </c>
    </row>
    <row r="606">
      <c r="A606" s="58">
        <v>46082.0</v>
      </c>
      <c r="B606" s="24" t="s">
        <v>6794</v>
      </c>
      <c r="C606" s="24" t="s">
        <v>6816</v>
      </c>
      <c r="D606" s="59">
        <v>1.0</v>
      </c>
      <c r="E606" s="59">
        <v>1.0</v>
      </c>
      <c r="F606" s="59">
        <v>1.0</v>
      </c>
      <c r="G606" s="60">
        <v>1.0</v>
      </c>
      <c r="H606" s="60">
        <v>1.0</v>
      </c>
      <c r="I606" s="60">
        <v>0.0</v>
      </c>
      <c r="J606" s="59">
        <v>1.0</v>
      </c>
      <c r="K606" s="61">
        <f t="shared" si="1"/>
        <v>1</v>
      </c>
      <c r="L606" s="62">
        <f t="shared" si="2"/>
        <v>1</v>
      </c>
    </row>
    <row r="607">
      <c r="A607" s="58">
        <v>46082.0</v>
      </c>
      <c r="B607" s="24" t="s">
        <v>6787</v>
      </c>
      <c r="C607" s="24" t="s">
        <v>6922</v>
      </c>
      <c r="D607" s="59">
        <v>1.0</v>
      </c>
      <c r="E607" s="59">
        <v>1.0</v>
      </c>
      <c r="F607" s="59">
        <v>1.0</v>
      </c>
      <c r="G607" s="60">
        <v>1.0</v>
      </c>
      <c r="H607" s="60">
        <v>1.0</v>
      </c>
      <c r="I607" s="60">
        <v>0.0</v>
      </c>
      <c r="J607" s="59">
        <v>1.0</v>
      </c>
      <c r="K607" s="61">
        <f t="shared" si="1"/>
        <v>1</v>
      </c>
      <c r="L607" s="62">
        <f t="shared" si="2"/>
        <v>1</v>
      </c>
    </row>
    <row r="608">
      <c r="A608" s="58">
        <v>46082.0</v>
      </c>
      <c r="B608" s="24" t="s">
        <v>155</v>
      </c>
      <c r="C608" s="24" t="s">
        <v>6923</v>
      </c>
      <c r="D608" s="59">
        <v>1.0</v>
      </c>
      <c r="E608" s="59">
        <v>1.0</v>
      </c>
      <c r="F608" s="59">
        <v>0.0</v>
      </c>
      <c r="G608" s="60">
        <v>1.0</v>
      </c>
      <c r="H608" s="60">
        <v>0.0</v>
      </c>
      <c r="I608" s="60">
        <v>52.014633</v>
      </c>
      <c r="J608" s="59">
        <v>1.0</v>
      </c>
      <c r="K608" s="61">
        <f t="shared" si="1"/>
        <v>0</v>
      </c>
      <c r="L608" s="62">
        <f t="shared" si="2"/>
        <v>1</v>
      </c>
    </row>
    <row r="609">
      <c r="A609" s="58">
        <v>46082.0</v>
      </c>
      <c r="B609" s="24" t="s">
        <v>6787</v>
      </c>
      <c r="C609" s="24" t="s">
        <v>7018</v>
      </c>
      <c r="D609" s="59">
        <v>1.0</v>
      </c>
      <c r="E609" s="59">
        <v>1.0</v>
      </c>
      <c r="F609" s="59">
        <v>1.0</v>
      </c>
      <c r="G609" s="60">
        <v>1.0</v>
      </c>
      <c r="H609" s="60">
        <v>1.0</v>
      </c>
      <c r="I609" s="60">
        <v>1.785904</v>
      </c>
      <c r="J609" s="59">
        <v>1.0</v>
      </c>
      <c r="K609" s="61">
        <f t="shared" si="1"/>
        <v>1</v>
      </c>
      <c r="L609" s="62">
        <f t="shared" si="2"/>
        <v>1</v>
      </c>
    </row>
    <row r="610">
      <c r="A610" s="58">
        <v>46082.0</v>
      </c>
      <c r="B610" s="24" t="s">
        <v>6787</v>
      </c>
      <c r="C610" s="24" t="s">
        <v>7019</v>
      </c>
      <c r="D610" s="59">
        <v>1.0</v>
      </c>
      <c r="E610" s="59">
        <v>1.0</v>
      </c>
      <c r="F610" s="59">
        <v>1.0</v>
      </c>
      <c r="G610" s="60">
        <v>1.0</v>
      </c>
      <c r="H610" s="60">
        <v>1.0</v>
      </c>
      <c r="I610" s="60">
        <v>5.005981</v>
      </c>
      <c r="J610" s="59">
        <v>1.0</v>
      </c>
      <c r="K610" s="61">
        <f t="shared" si="1"/>
        <v>1</v>
      </c>
      <c r="L610" s="62">
        <f t="shared" si="2"/>
        <v>1</v>
      </c>
    </row>
    <row r="611">
      <c r="A611" s="58">
        <v>46082.0</v>
      </c>
      <c r="B611" s="24" t="s">
        <v>6789</v>
      </c>
      <c r="C611" s="24" t="s">
        <v>6931</v>
      </c>
      <c r="D611" s="59">
        <v>1.0</v>
      </c>
      <c r="E611" s="59">
        <v>1.0</v>
      </c>
      <c r="F611" s="59">
        <v>1.0</v>
      </c>
      <c r="G611" s="60">
        <v>1.0</v>
      </c>
      <c r="H611" s="60">
        <v>1.0</v>
      </c>
      <c r="I611" s="60">
        <v>0.0</v>
      </c>
      <c r="J611" s="59">
        <v>1.0</v>
      </c>
      <c r="K611" s="61">
        <f t="shared" si="1"/>
        <v>1</v>
      </c>
      <c r="L611" s="62">
        <f t="shared" si="2"/>
        <v>1</v>
      </c>
    </row>
    <row r="612">
      <c r="A612" s="58">
        <v>46082.0</v>
      </c>
      <c r="B612" s="24" t="s">
        <v>6789</v>
      </c>
      <c r="C612" s="24" t="s">
        <v>6962</v>
      </c>
      <c r="D612" s="59">
        <v>1.0</v>
      </c>
      <c r="E612" s="59">
        <v>1.0</v>
      </c>
      <c r="F612" s="59">
        <v>0.0</v>
      </c>
      <c r="G612" s="60">
        <v>1.0</v>
      </c>
      <c r="H612" s="60">
        <v>0.0</v>
      </c>
      <c r="I612" s="60">
        <v>13.363253</v>
      </c>
      <c r="J612" s="59">
        <v>1.0</v>
      </c>
      <c r="K612" s="61">
        <f t="shared" si="1"/>
        <v>0</v>
      </c>
      <c r="L612" s="62">
        <f t="shared" si="2"/>
        <v>1</v>
      </c>
    </row>
    <row r="613">
      <c r="A613" s="58">
        <v>46082.0</v>
      </c>
      <c r="B613" s="24" t="s">
        <v>6794</v>
      </c>
      <c r="C613" s="24" t="s">
        <v>6962</v>
      </c>
      <c r="D613" s="59">
        <v>1.0</v>
      </c>
      <c r="E613" s="59">
        <v>1.0</v>
      </c>
      <c r="F613" s="59">
        <v>0.0</v>
      </c>
      <c r="G613" s="60">
        <v>1.0</v>
      </c>
      <c r="H613" s="60">
        <v>0.0</v>
      </c>
      <c r="I613" s="60">
        <v>1004.402977</v>
      </c>
      <c r="J613" s="59">
        <v>1.0</v>
      </c>
      <c r="K613" s="61">
        <f t="shared" si="1"/>
        <v>0</v>
      </c>
      <c r="L613" s="62">
        <f t="shared" si="2"/>
        <v>1</v>
      </c>
    </row>
    <row r="614">
      <c r="A614" s="58">
        <v>46082.0</v>
      </c>
      <c r="B614" s="24" t="s">
        <v>6789</v>
      </c>
      <c r="C614" s="24" t="s">
        <v>6854</v>
      </c>
      <c r="D614" s="59">
        <v>1.0</v>
      </c>
      <c r="E614" s="59">
        <v>1.0</v>
      </c>
      <c r="F614" s="59">
        <v>0.0</v>
      </c>
      <c r="G614" s="60">
        <v>1.0</v>
      </c>
      <c r="H614" s="60">
        <v>1.0</v>
      </c>
      <c r="I614" s="60">
        <v>0.0</v>
      </c>
      <c r="J614" s="59">
        <v>1.0</v>
      </c>
      <c r="K614" s="61">
        <f t="shared" si="1"/>
        <v>0</v>
      </c>
      <c r="L614" s="62">
        <f t="shared" si="2"/>
        <v>1</v>
      </c>
    </row>
    <row r="615">
      <c r="A615" s="58">
        <v>46082.0</v>
      </c>
      <c r="B615" s="24" t="s">
        <v>6790</v>
      </c>
      <c r="C615" s="24" t="s">
        <v>6854</v>
      </c>
      <c r="D615" s="59">
        <v>1.0</v>
      </c>
      <c r="E615" s="59">
        <v>2.0</v>
      </c>
      <c r="F615" s="59">
        <v>0.0</v>
      </c>
      <c r="G615" s="60">
        <v>0.0</v>
      </c>
      <c r="H615" s="60">
        <v>1.0</v>
      </c>
      <c r="I615" s="60">
        <v>0.0</v>
      </c>
      <c r="J615" s="59">
        <v>2.0</v>
      </c>
      <c r="K615" s="61">
        <f t="shared" si="1"/>
        <v>0</v>
      </c>
      <c r="L615" s="62">
        <f t="shared" si="2"/>
        <v>1</v>
      </c>
    </row>
    <row r="616">
      <c r="A616" s="58">
        <v>46082.0</v>
      </c>
      <c r="B616" s="24" t="s">
        <v>6789</v>
      </c>
      <c r="C616" s="24" t="s">
        <v>6941</v>
      </c>
      <c r="D616" s="59">
        <v>1.0</v>
      </c>
      <c r="E616" s="59">
        <v>2.0</v>
      </c>
      <c r="F616" s="59">
        <v>0.0</v>
      </c>
      <c r="G616" s="60">
        <v>2.0</v>
      </c>
      <c r="H616" s="60">
        <v>0.5</v>
      </c>
      <c r="I616" s="60">
        <v>2.6609775</v>
      </c>
      <c r="J616" s="59">
        <v>3.0</v>
      </c>
      <c r="K616" s="61">
        <f t="shared" si="1"/>
        <v>0</v>
      </c>
      <c r="L616" s="62">
        <f t="shared" si="2"/>
        <v>1.5</v>
      </c>
    </row>
    <row r="617">
      <c r="A617" s="58">
        <v>46082.0</v>
      </c>
      <c r="B617" s="24" t="s">
        <v>155</v>
      </c>
      <c r="C617" s="24" t="s">
        <v>6941</v>
      </c>
      <c r="D617" s="59">
        <v>1.0</v>
      </c>
      <c r="E617" s="59">
        <v>1.0</v>
      </c>
      <c r="F617" s="59">
        <v>0.0</v>
      </c>
      <c r="G617" s="60">
        <v>1.0</v>
      </c>
      <c r="H617" s="60">
        <v>0.0</v>
      </c>
      <c r="I617" s="60">
        <v>785.652902</v>
      </c>
      <c r="J617" s="59">
        <v>2.0</v>
      </c>
      <c r="K617" s="61">
        <f t="shared" si="1"/>
        <v>0</v>
      </c>
      <c r="L617" s="62">
        <f t="shared" si="2"/>
        <v>2</v>
      </c>
    </row>
    <row r="618">
      <c r="A618" s="58">
        <v>46082.0</v>
      </c>
      <c r="B618" s="24" t="s">
        <v>6787</v>
      </c>
      <c r="C618" s="24" t="s">
        <v>6963</v>
      </c>
      <c r="D618" s="59">
        <v>1.0</v>
      </c>
      <c r="E618" s="59">
        <v>1.0</v>
      </c>
      <c r="F618" s="59">
        <v>1.0</v>
      </c>
      <c r="G618" s="60">
        <v>1.0</v>
      </c>
      <c r="H618" s="60">
        <v>1.0</v>
      </c>
      <c r="I618" s="60">
        <v>0.0</v>
      </c>
      <c r="J618" s="59">
        <v>1.0</v>
      </c>
      <c r="K618" s="61">
        <f t="shared" si="1"/>
        <v>1</v>
      </c>
      <c r="L618" s="62">
        <f t="shared" si="2"/>
        <v>1</v>
      </c>
    </row>
    <row r="619">
      <c r="A619" s="58">
        <v>46082.0</v>
      </c>
      <c r="B619" s="24" t="s">
        <v>6789</v>
      </c>
      <c r="C619" s="24" t="s">
        <v>6924</v>
      </c>
      <c r="D619" s="59">
        <v>1.0</v>
      </c>
      <c r="E619" s="59">
        <v>1.0</v>
      </c>
      <c r="F619" s="59">
        <v>0.0</v>
      </c>
      <c r="G619" s="60">
        <v>1.0</v>
      </c>
      <c r="H619" s="60">
        <v>0.0</v>
      </c>
      <c r="I619" s="60">
        <v>656.388045</v>
      </c>
      <c r="J619" s="59">
        <v>2.0</v>
      </c>
      <c r="K619" s="61">
        <f t="shared" si="1"/>
        <v>0</v>
      </c>
      <c r="L619" s="62">
        <f t="shared" si="2"/>
        <v>2</v>
      </c>
    </row>
    <row r="620">
      <c r="A620" s="58">
        <v>46082.0</v>
      </c>
      <c r="B620" s="24" t="s">
        <v>6789</v>
      </c>
      <c r="C620" s="24" t="s">
        <v>7020</v>
      </c>
      <c r="D620" s="59">
        <v>1.0</v>
      </c>
      <c r="E620" s="59">
        <v>1.0</v>
      </c>
      <c r="F620" s="59">
        <v>0.0</v>
      </c>
      <c r="G620" s="60">
        <v>1.0</v>
      </c>
      <c r="H620" s="60">
        <v>0.0</v>
      </c>
      <c r="I620" s="60">
        <v>2314.093853</v>
      </c>
      <c r="J620" s="59">
        <v>14.0</v>
      </c>
      <c r="K620" s="61">
        <f t="shared" si="1"/>
        <v>0</v>
      </c>
      <c r="L620" s="62">
        <f t="shared" si="2"/>
        <v>14</v>
      </c>
    </row>
    <row r="621">
      <c r="A621" s="58">
        <v>46082.0</v>
      </c>
      <c r="B621" s="24" t="s">
        <v>6794</v>
      </c>
      <c r="C621" s="24" t="s">
        <v>6802</v>
      </c>
      <c r="D621" s="59">
        <v>1.0</v>
      </c>
      <c r="E621" s="59">
        <v>2.0</v>
      </c>
      <c r="F621" s="59">
        <v>0.0</v>
      </c>
      <c r="G621" s="60">
        <v>2.0</v>
      </c>
      <c r="H621" s="60">
        <v>1.0</v>
      </c>
      <c r="I621" s="60">
        <v>0.765266</v>
      </c>
      <c r="J621" s="59">
        <v>2.0</v>
      </c>
      <c r="K621" s="61">
        <f t="shared" si="1"/>
        <v>0</v>
      </c>
      <c r="L621" s="62">
        <f t="shared" si="2"/>
        <v>1</v>
      </c>
    </row>
    <row r="622">
      <c r="A622" s="58">
        <v>46054.0</v>
      </c>
      <c r="B622" s="24" t="s">
        <v>6787</v>
      </c>
      <c r="C622" s="24" t="s">
        <v>6788</v>
      </c>
      <c r="D622" s="59">
        <v>1387.0</v>
      </c>
      <c r="E622" s="59">
        <v>1601.0</v>
      </c>
      <c r="F622" s="59">
        <v>1328.0</v>
      </c>
      <c r="G622" s="60">
        <v>1.16014492753623</v>
      </c>
      <c r="H622" s="60">
        <v>0.504059962523422</v>
      </c>
      <c r="I622" s="60">
        <v>85.0132432916927</v>
      </c>
      <c r="J622" s="59">
        <v>2006.0</v>
      </c>
      <c r="K622" s="61">
        <f t="shared" si="1"/>
        <v>0.829481574</v>
      </c>
      <c r="L622" s="62">
        <f t="shared" si="2"/>
        <v>1.252966896</v>
      </c>
    </row>
    <row r="623">
      <c r="A623" s="58">
        <v>46054.0</v>
      </c>
      <c r="B623" s="24" t="s">
        <v>6789</v>
      </c>
      <c r="C623" s="24" t="s">
        <v>6788</v>
      </c>
      <c r="D623" s="59">
        <v>594.0</v>
      </c>
      <c r="E623" s="59">
        <v>850.0</v>
      </c>
      <c r="F623" s="59">
        <v>457.0</v>
      </c>
      <c r="G623" s="60">
        <v>1.47058823529411</v>
      </c>
      <c r="H623" s="60">
        <v>0.56</v>
      </c>
      <c r="I623" s="60">
        <v>198.236147723529</v>
      </c>
      <c r="J623" s="59">
        <v>1401.0</v>
      </c>
      <c r="K623" s="61">
        <f t="shared" si="1"/>
        <v>0.5376470588</v>
      </c>
      <c r="L623" s="62">
        <f t="shared" si="2"/>
        <v>1.648235294</v>
      </c>
    </row>
    <row r="624">
      <c r="A624" s="58">
        <v>46054.0</v>
      </c>
      <c r="B624" s="24" t="s">
        <v>6794</v>
      </c>
      <c r="C624" s="24" t="s">
        <v>6788</v>
      </c>
      <c r="D624" s="59">
        <v>172.0</v>
      </c>
      <c r="E624" s="59">
        <v>202.0</v>
      </c>
      <c r="F624" s="59">
        <v>157.0</v>
      </c>
      <c r="G624" s="60">
        <v>1.19526627218934</v>
      </c>
      <c r="H624" s="60">
        <v>0.504950495049505</v>
      </c>
      <c r="I624" s="60">
        <v>138.886479856435</v>
      </c>
      <c r="J624" s="59">
        <v>330.0</v>
      </c>
      <c r="K624" s="61">
        <f t="shared" si="1"/>
        <v>0.7772277228</v>
      </c>
      <c r="L624" s="62">
        <f t="shared" si="2"/>
        <v>1.633663366</v>
      </c>
    </row>
    <row r="625">
      <c r="A625" s="58">
        <v>46054.0</v>
      </c>
      <c r="B625" s="24" t="s">
        <v>6789</v>
      </c>
      <c r="C625" s="24" t="s">
        <v>6792</v>
      </c>
      <c r="D625" s="59">
        <v>165.0</v>
      </c>
      <c r="E625" s="59">
        <v>197.0</v>
      </c>
      <c r="F625" s="59">
        <v>0.0</v>
      </c>
      <c r="G625" s="60">
        <v>1.89423076923076</v>
      </c>
      <c r="H625" s="60">
        <v>0.954314720812182</v>
      </c>
      <c r="I625" s="60">
        <v>15.0715580913705</v>
      </c>
      <c r="J625" s="59">
        <v>0.0</v>
      </c>
      <c r="K625" s="61">
        <f t="shared" si="1"/>
        <v>0</v>
      </c>
      <c r="L625" s="62">
        <f t="shared" si="2"/>
        <v>0</v>
      </c>
    </row>
    <row r="626">
      <c r="A626" s="58">
        <v>46054.0</v>
      </c>
      <c r="B626" s="24" t="s">
        <v>155</v>
      </c>
      <c r="C626" s="24" t="s">
        <v>6788</v>
      </c>
      <c r="D626" s="59">
        <v>135.0</v>
      </c>
      <c r="E626" s="59">
        <v>439.0</v>
      </c>
      <c r="F626" s="59">
        <v>77.0</v>
      </c>
      <c r="G626" s="60">
        <v>3.27611940298507</v>
      </c>
      <c r="H626" s="60">
        <v>0.621867881548975</v>
      </c>
      <c r="I626" s="60">
        <v>242.590316104783</v>
      </c>
      <c r="J626" s="59">
        <v>774.0</v>
      </c>
      <c r="K626" s="61">
        <f t="shared" si="1"/>
        <v>0.1753986333</v>
      </c>
      <c r="L626" s="62">
        <f t="shared" si="2"/>
        <v>1.76309795</v>
      </c>
    </row>
    <row r="627">
      <c r="A627" s="58">
        <v>46054.0</v>
      </c>
      <c r="B627" s="24" t="s">
        <v>6791</v>
      </c>
      <c r="C627" s="24" t="s">
        <v>7021</v>
      </c>
      <c r="D627" s="59">
        <v>120.0</v>
      </c>
      <c r="E627" s="59">
        <v>134.0</v>
      </c>
      <c r="F627" s="59">
        <v>95.0</v>
      </c>
      <c r="G627" s="60">
        <v>1.1551724137931</v>
      </c>
      <c r="H627" s="60">
        <v>0.656716417910447</v>
      </c>
      <c r="I627" s="60">
        <v>76.9882183283582</v>
      </c>
      <c r="J627" s="59">
        <v>190.0</v>
      </c>
      <c r="K627" s="61">
        <f t="shared" si="1"/>
        <v>0.7089552239</v>
      </c>
      <c r="L627" s="62">
        <f t="shared" si="2"/>
        <v>1.417910448</v>
      </c>
    </row>
    <row r="628">
      <c r="A628" s="58">
        <v>46054.0</v>
      </c>
      <c r="B628" s="24" t="s">
        <v>6791</v>
      </c>
      <c r="C628" s="24" t="s">
        <v>6845</v>
      </c>
      <c r="D628" s="59">
        <v>95.0</v>
      </c>
      <c r="E628" s="59">
        <v>109.0</v>
      </c>
      <c r="F628" s="59">
        <v>73.0</v>
      </c>
      <c r="G628" s="60">
        <v>1.14736842105263</v>
      </c>
      <c r="H628" s="60">
        <v>0.678899082568807</v>
      </c>
      <c r="I628" s="60">
        <v>73.6163320366972</v>
      </c>
      <c r="J628" s="59">
        <v>151.0</v>
      </c>
      <c r="K628" s="61">
        <f t="shared" si="1"/>
        <v>0.6697247706</v>
      </c>
      <c r="L628" s="62">
        <f t="shared" si="2"/>
        <v>1.385321101</v>
      </c>
    </row>
    <row r="629">
      <c r="A629" s="58">
        <v>46054.0</v>
      </c>
      <c r="B629" s="24" t="s">
        <v>6787</v>
      </c>
      <c r="C629" s="24" t="s">
        <v>6792</v>
      </c>
      <c r="D629" s="59">
        <v>72.0</v>
      </c>
      <c r="E629" s="59">
        <v>94.0</v>
      </c>
      <c r="F629" s="59">
        <v>0.0</v>
      </c>
      <c r="G629" s="60">
        <v>2.0</v>
      </c>
      <c r="H629" s="60">
        <v>0.957446808510638</v>
      </c>
      <c r="I629" s="60">
        <v>5.32495852127659</v>
      </c>
      <c r="J629" s="59">
        <v>0.0</v>
      </c>
      <c r="K629" s="61">
        <f t="shared" si="1"/>
        <v>0</v>
      </c>
      <c r="L629" s="62">
        <f t="shared" si="2"/>
        <v>0</v>
      </c>
    </row>
    <row r="630">
      <c r="A630" s="58">
        <v>46054.0</v>
      </c>
      <c r="B630" s="24" t="s">
        <v>6789</v>
      </c>
      <c r="C630" s="24" t="s">
        <v>6793</v>
      </c>
      <c r="D630" s="59">
        <v>68.0</v>
      </c>
      <c r="E630" s="59">
        <v>70.0</v>
      </c>
      <c r="F630" s="59">
        <v>66.0</v>
      </c>
      <c r="G630" s="60">
        <v>1.02941176470588</v>
      </c>
      <c r="H630" s="60">
        <v>0.328571428571428</v>
      </c>
      <c r="I630" s="60">
        <v>219.151206228571</v>
      </c>
      <c r="J630" s="59">
        <v>86.0</v>
      </c>
      <c r="K630" s="61">
        <f t="shared" si="1"/>
        <v>0.9428571429</v>
      </c>
      <c r="L630" s="62">
        <f t="shared" si="2"/>
        <v>1.228571429</v>
      </c>
    </row>
    <row r="631">
      <c r="A631" s="58">
        <v>46054.0</v>
      </c>
      <c r="B631" s="24" t="s">
        <v>6791</v>
      </c>
      <c r="C631" s="24" t="s">
        <v>6792</v>
      </c>
      <c r="D631" s="59">
        <v>36.0</v>
      </c>
      <c r="E631" s="59">
        <v>38.0</v>
      </c>
      <c r="F631" s="59">
        <v>0.0</v>
      </c>
      <c r="G631" s="60">
        <v>2.0</v>
      </c>
      <c r="H631" s="60">
        <v>1.0</v>
      </c>
      <c r="I631" s="60">
        <v>0.00450657894736842</v>
      </c>
      <c r="J631" s="59">
        <v>0.0</v>
      </c>
      <c r="K631" s="61">
        <f t="shared" si="1"/>
        <v>0</v>
      </c>
      <c r="L631" s="62">
        <f t="shared" si="2"/>
        <v>0</v>
      </c>
    </row>
    <row r="632">
      <c r="A632" s="58">
        <v>46054.0</v>
      </c>
      <c r="B632" s="24" t="s">
        <v>3216</v>
      </c>
      <c r="C632" s="24" t="s">
        <v>6793</v>
      </c>
      <c r="D632" s="59">
        <v>34.0</v>
      </c>
      <c r="E632" s="59">
        <v>35.0</v>
      </c>
      <c r="F632" s="59">
        <v>34.0</v>
      </c>
      <c r="G632" s="60">
        <v>1.02941176470588</v>
      </c>
      <c r="H632" s="60">
        <v>0.942857142857142</v>
      </c>
      <c r="I632" s="60">
        <v>3.52594134285714</v>
      </c>
      <c r="J632" s="59">
        <v>35.0</v>
      </c>
      <c r="K632" s="61">
        <f t="shared" si="1"/>
        <v>0.9714285714</v>
      </c>
      <c r="L632" s="62">
        <f t="shared" si="2"/>
        <v>1</v>
      </c>
    </row>
    <row r="633">
      <c r="A633" s="58">
        <v>46054.0</v>
      </c>
      <c r="B633" s="24" t="s">
        <v>6787</v>
      </c>
      <c r="C633" s="24" t="s">
        <v>6793</v>
      </c>
      <c r="D633" s="59">
        <v>32.0</v>
      </c>
      <c r="E633" s="59">
        <v>41.0</v>
      </c>
      <c r="F633" s="59">
        <v>30.0</v>
      </c>
      <c r="G633" s="60">
        <v>1.32258064516129</v>
      </c>
      <c r="H633" s="60">
        <v>0.707317073170731</v>
      </c>
      <c r="I633" s="60">
        <v>98.2683339512195</v>
      </c>
      <c r="J633" s="59">
        <v>43.0</v>
      </c>
      <c r="K633" s="61">
        <f t="shared" si="1"/>
        <v>0.7317073171</v>
      </c>
      <c r="L633" s="62">
        <f t="shared" si="2"/>
        <v>1.048780488</v>
      </c>
    </row>
    <row r="634">
      <c r="A634" s="58">
        <v>46054.0</v>
      </c>
      <c r="B634" s="24" t="s">
        <v>6787</v>
      </c>
      <c r="C634" s="24" t="s">
        <v>6803</v>
      </c>
      <c r="D634" s="59">
        <v>31.0</v>
      </c>
      <c r="E634" s="59">
        <v>31.0</v>
      </c>
      <c r="F634" s="59">
        <v>31.0</v>
      </c>
      <c r="G634" s="60">
        <v>1.0</v>
      </c>
      <c r="H634" s="60">
        <v>0.870967741935483</v>
      </c>
      <c r="I634" s="60">
        <v>36.0171174516129</v>
      </c>
      <c r="J634" s="59">
        <v>31.0</v>
      </c>
      <c r="K634" s="61">
        <f t="shared" si="1"/>
        <v>1</v>
      </c>
      <c r="L634" s="62">
        <f t="shared" si="2"/>
        <v>1</v>
      </c>
    </row>
    <row r="635">
      <c r="A635" s="58">
        <v>46054.0</v>
      </c>
      <c r="B635" s="24" t="s">
        <v>155</v>
      </c>
      <c r="C635" s="24" t="s">
        <v>6792</v>
      </c>
      <c r="D635" s="59">
        <v>28.0</v>
      </c>
      <c r="E635" s="59">
        <v>38.0</v>
      </c>
      <c r="F635" s="59">
        <v>0.0</v>
      </c>
      <c r="G635" s="60">
        <v>2.0</v>
      </c>
      <c r="H635" s="60">
        <v>1.0</v>
      </c>
      <c r="I635" s="60">
        <v>0.140227789473684</v>
      </c>
      <c r="J635" s="59">
        <v>0.0</v>
      </c>
      <c r="K635" s="61">
        <f t="shared" si="1"/>
        <v>0</v>
      </c>
      <c r="L635" s="62">
        <f t="shared" si="2"/>
        <v>0</v>
      </c>
    </row>
    <row r="636">
      <c r="A636" s="58">
        <v>46054.0</v>
      </c>
      <c r="B636" s="24" t="s">
        <v>3216</v>
      </c>
      <c r="C636" s="24" t="s">
        <v>6894</v>
      </c>
      <c r="D636" s="59">
        <v>24.0</v>
      </c>
      <c r="E636" s="59">
        <v>24.0</v>
      </c>
      <c r="F636" s="59">
        <v>24.0</v>
      </c>
      <c r="G636" s="60">
        <v>1.0</v>
      </c>
      <c r="H636" s="60">
        <v>0.791666666666666</v>
      </c>
      <c r="I636" s="60">
        <v>4.65953079166666</v>
      </c>
      <c r="J636" s="59">
        <v>31.0</v>
      </c>
      <c r="K636" s="61">
        <f t="shared" si="1"/>
        <v>1</v>
      </c>
      <c r="L636" s="62">
        <f t="shared" si="2"/>
        <v>1.291666667</v>
      </c>
    </row>
    <row r="637">
      <c r="A637" s="58">
        <v>46054.0</v>
      </c>
      <c r="B637" s="24" t="s">
        <v>6789</v>
      </c>
      <c r="C637" s="24" t="s">
        <v>6808</v>
      </c>
      <c r="D637" s="59">
        <v>23.0</v>
      </c>
      <c r="E637" s="59">
        <v>25.0</v>
      </c>
      <c r="F637" s="59">
        <v>17.0</v>
      </c>
      <c r="G637" s="60">
        <v>1.08695652173913</v>
      </c>
      <c r="H637" s="60">
        <v>0.28</v>
      </c>
      <c r="I637" s="60">
        <v>247.27450408</v>
      </c>
      <c r="J637" s="59">
        <v>29.0</v>
      </c>
      <c r="K637" s="61">
        <f t="shared" si="1"/>
        <v>0.68</v>
      </c>
      <c r="L637" s="62">
        <f t="shared" si="2"/>
        <v>1.16</v>
      </c>
    </row>
    <row r="638">
      <c r="A638" s="58">
        <v>46054.0</v>
      </c>
      <c r="B638" s="24" t="s">
        <v>6790</v>
      </c>
      <c r="C638" s="24" t="s">
        <v>6788</v>
      </c>
      <c r="D638" s="59">
        <v>21.0</v>
      </c>
      <c r="E638" s="59">
        <v>24.0</v>
      </c>
      <c r="F638" s="59">
        <v>18.0</v>
      </c>
      <c r="G638" s="60">
        <v>1.14285714285714</v>
      </c>
      <c r="H638" s="60">
        <v>0.375</v>
      </c>
      <c r="I638" s="60">
        <v>188.704853166666</v>
      </c>
      <c r="J638" s="59">
        <v>53.0</v>
      </c>
      <c r="K638" s="61">
        <f t="shared" si="1"/>
        <v>0.75</v>
      </c>
      <c r="L638" s="62">
        <f t="shared" si="2"/>
        <v>2.208333333</v>
      </c>
    </row>
    <row r="639">
      <c r="A639" s="58">
        <v>46054.0</v>
      </c>
      <c r="B639" s="24" t="s">
        <v>6789</v>
      </c>
      <c r="C639" s="24" t="s">
        <v>6796</v>
      </c>
      <c r="D639" s="59">
        <v>20.0</v>
      </c>
      <c r="E639" s="59">
        <v>20.0</v>
      </c>
      <c r="F639" s="59">
        <v>18.0</v>
      </c>
      <c r="G639" s="60">
        <v>1.0</v>
      </c>
      <c r="H639" s="60">
        <v>0.4</v>
      </c>
      <c r="I639" s="60">
        <v>198.8807664</v>
      </c>
      <c r="J639" s="59">
        <v>27.0</v>
      </c>
      <c r="K639" s="61">
        <f t="shared" si="1"/>
        <v>0.9</v>
      </c>
      <c r="L639" s="62">
        <f t="shared" si="2"/>
        <v>1.35</v>
      </c>
    </row>
    <row r="640">
      <c r="A640" s="58">
        <v>46054.0</v>
      </c>
      <c r="B640" s="24" t="s">
        <v>6789</v>
      </c>
      <c r="C640" s="24" t="s">
        <v>6809</v>
      </c>
      <c r="D640" s="59">
        <v>20.0</v>
      </c>
      <c r="E640" s="59">
        <v>22.0</v>
      </c>
      <c r="F640" s="59">
        <v>13.0</v>
      </c>
      <c r="G640" s="60">
        <v>1.1578947368421</v>
      </c>
      <c r="H640" s="60">
        <v>0.318181818181818</v>
      </c>
      <c r="I640" s="60">
        <v>279.813006863636</v>
      </c>
      <c r="J640" s="59">
        <v>45.0</v>
      </c>
      <c r="K640" s="61">
        <f t="shared" si="1"/>
        <v>0.5909090909</v>
      </c>
      <c r="L640" s="62">
        <f t="shared" si="2"/>
        <v>2.045454545</v>
      </c>
    </row>
    <row r="641">
      <c r="A641" s="58">
        <v>46054.0</v>
      </c>
      <c r="B641" s="24" t="s">
        <v>6787</v>
      </c>
      <c r="C641" s="24" t="s">
        <v>6828</v>
      </c>
      <c r="D641" s="59">
        <v>19.0</v>
      </c>
      <c r="E641" s="59">
        <v>19.0</v>
      </c>
      <c r="F641" s="59">
        <v>19.0</v>
      </c>
      <c r="G641" s="60">
        <v>1.0</v>
      </c>
      <c r="H641" s="60">
        <v>0.631578947368421</v>
      </c>
      <c r="I641" s="60">
        <v>12.4558062105263</v>
      </c>
      <c r="J641" s="59">
        <v>19.0</v>
      </c>
      <c r="K641" s="61">
        <f t="shared" si="1"/>
        <v>1</v>
      </c>
      <c r="L641" s="62">
        <f t="shared" si="2"/>
        <v>1</v>
      </c>
    </row>
    <row r="642">
      <c r="A642" s="58">
        <v>46054.0</v>
      </c>
      <c r="B642" s="24" t="s">
        <v>6794</v>
      </c>
      <c r="C642" s="24" t="s">
        <v>6792</v>
      </c>
      <c r="D642" s="59">
        <v>18.0</v>
      </c>
      <c r="E642" s="59">
        <v>22.0</v>
      </c>
      <c r="F642" s="59">
        <v>0.0</v>
      </c>
      <c r="G642" s="60">
        <v>1.57142857142857</v>
      </c>
      <c r="H642" s="60">
        <v>0.954545454545454</v>
      </c>
      <c r="I642" s="60">
        <v>1.83904677272727</v>
      </c>
      <c r="J642" s="59">
        <v>0.0</v>
      </c>
      <c r="K642" s="61">
        <f t="shared" si="1"/>
        <v>0</v>
      </c>
      <c r="L642" s="62">
        <f t="shared" si="2"/>
        <v>0</v>
      </c>
    </row>
    <row r="643">
      <c r="A643" s="58">
        <v>46054.0</v>
      </c>
      <c r="B643" s="24" t="s">
        <v>6787</v>
      </c>
      <c r="C643" s="24" t="s">
        <v>6817</v>
      </c>
      <c r="D643" s="59">
        <v>18.0</v>
      </c>
      <c r="E643" s="59">
        <v>18.0</v>
      </c>
      <c r="F643" s="59">
        <v>15.0</v>
      </c>
      <c r="G643" s="60">
        <v>1.0</v>
      </c>
      <c r="H643" s="60">
        <v>0.777777777777777</v>
      </c>
      <c r="I643" s="60">
        <v>197.612640722222</v>
      </c>
      <c r="J643" s="59">
        <v>27.0</v>
      </c>
      <c r="K643" s="61">
        <f t="shared" si="1"/>
        <v>0.8333333333</v>
      </c>
      <c r="L643" s="62">
        <f t="shared" si="2"/>
        <v>1.5</v>
      </c>
    </row>
    <row r="644">
      <c r="A644" s="58">
        <v>46054.0</v>
      </c>
      <c r="B644" s="24" t="s">
        <v>3216</v>
      </c>
      <c r="C644" s="24" t="s">
        <v>6926</v>
      </c>
      <c r="D644" s="59">
        <v>18.0</v>
      </c>
      <c r="E644" s="59">
        <v>18.0</v>
      </c>
      <c r="F644" s="59">
        <v>18.0</v>
      </c>
      <c r="G644" s="60">
        <v>1.0</v>
      </c>
      <c r="H644" s="60">
        <v>0.888888888888888</v>
      </c>
      <c r="I644" s="60">
        <v>2.85437349999999</v>
      </c>
      <c r="J644" s="59">
        <v>18.0</v>
      </c>
      <c r="K644" s="61">
        <f t="shared" si="1"/>
        <v>1</v>
      </c>
      <c r="L644" s="62">
        <f t="shared" si="2"/>
        <v>1</v>
      </c>
    </row>
    <row r="645">
      <c r="A645" s="58">
        <v>46054.0</v>
      </c>
      <c r="B645" s="24" t="s">
        <v>6787</v>
      </c>
      <c r="C645" s="24" t="s">
        <v>6886</v>
      </c>
      <c r="D645" s="59">
        <v>18.0</v>
      </c>
      <c r="E645" s="59">
        <v>18.0</v>
      </c>
      <c r="F645" s="59">
        <v>13.0</v>
      </c>
      <c r="G645" s="60">
        <v>1.05882352941176</v>
      </c>
      <c r="H645" s="60">
        <v>0.555555555555555</v>
      </c>
      <c r="I645" s="60">
        <v>165.966259166666</v>
      </c>
      <c r="J645" s="59">
        <v>26.0</v>
      </c>
      <c r="K645" s="61">
        <f t="shared" si="1"/>
        <v>0.7222222222</v>
      </c>
      <c r="L645" s="62">
        <f t="shared" si="2"/>
        <v>1.444444444</v>
      </c>
    </row>
    <row r="646">
      <c r="A646" s="58">
        <v>46054.0</v>
      </c>
      <c r="B646" s="24" t="s">
        <v>6787</v>
      </c>
      <c r="C646" s="24" t="s">
        <v>6796</v>
      </c>
      <c r="D646" s="59">
        <v>18.0</v>
      </c>
      <c r="E646" s="59">
        <v>18.0</v>
      </c>
      <c r="F646" s="59">
        <v>18.0</v>
      </c>
      <c r="G646" s="60">
        <v>1.0</v>
      </c>
      <c r="H646" s="60">
        <v>0.666666666666666</v>
      </c>
      <c r="I646" s="60">
        <v>47.5305386111111</v>
      </c>
      <c r="J646" s="59">
        <v>33.0</v>
      </c>
      <c r="K646" s="61">
        <f t="shared" si="1"/>
        <v>1</v>
      </c>
      <c r="L646" s="62">
        <f t="shared" si="2"/>
        <v>1.833333333</v>
      </c>
    </row>
    <row r="647">
      <c r="A647" s="58">
        <v>46054.0</v>
      </c>
      <c r="B647" s="24" t="s">
        <v>6787</v>
      </c>
      <c r="C647" s="24" t="s">
        <v>6844</v>
      </c>
      <c r="D647" s="59">
        <v>17.0</v>
      </c>
      <c r="E647" s="59">
        <v>17.0</v>
      </c>
      <c r="F647" s="59">
        <v>17.0</v>
      </c>
      <c r="G647" s="60">
        <v>1.0</v>
      </c>
      <c r="H647" s="60">
        <v>0.647058823529411</v>
      </c>
      <c r="I647" s="60">
        <v>12.6998267058823</v>
      </c>
      <c r="J647" s="59">
        <v>17.0</v>
      </c>
      <c r="K647" s="61">
        <f t="shared" si="1"/>
        <v>1</v>
      </c>
      <c r="L647" s="62">
        <f t="shared" si="2"/>
        <v>1</v>
      </c>
    </row>
    <row r="648">
      <c r="A648" s="58">
        <v>46054.0</v>
      </c>
      <c r="B648" s="24" t="s">
        <v>6787</v>
      </c>
      <c r="C648" s="24" t="s">
        <v>6903</v>
      </c>
      <c r="D648" s="59">
        <v>16.0</v>
      </c>
      <c r="E648" s="59">
        <v>19.0</v>
      </c>
      <c r="F648" s="59">
        <v>16.0</v>
      </c>
      <c r="G648" s="60">
        <v>1.1875</v>
      </c>
      <c r="H648" s="60">
        <v>0.842105263157894</v>
      </c>
      <c r="I648" s="60">
        <v>91.5717747368421</v>
      </c>
      <c r="J648" s="59">
        <v>20.0</v>
      </c>
      <c r="K648" s="61">
        <f t="shared" si="1"/>
        <v>0.8421052632</v>
      </c>
      <c r="L648" s="62">
        <f t="shared" si="2"/>
        <v>1.052631579</v>
      </c>
    </row>
    <row r="649">
      <c r="A649" s="58">
        <v>46054.0</v>
      </c>
      <c r="B649" s="24" t="s">
        <v>6787</v>
      </c>
      <c r="C649" s="24" t="s">
        <v>6799</v>
      </c>
      <c r="D649" s="59">
        <v>15.0</v>
      </c>
      <c r="E649" s="59">
        <v>15.0</v>
      </c>
      <c r="F649" s="59">
        <v>14.0</v>
      </c>
      <c r="G649" s="60">
        <v>1.0</v>
      </c>
      <c r="H649" s="60">
        <v>0.533333333333333</v>
      </c>
      <c r="I649" s="60">
        <v>43.8024774</v>
      </c>
      <c r="J649" s="59">
        <v>18.0</v>
      </c>
      <c r="K649" s="61">
        <f t="shared" si="1"/>
        <v>0.9333333333</v>
      </c>
      <c r="L649" s="62">
        <f t="shared" si="2"/>
        <v>1.2</v>
      </c>
    </row>
    <row r="650">
      <c r="A650" s="58">
        <v>46054.0</v>
      </c>
      <c r="B650" s="24" t="s">
        <v>6787</v>
      </c>
      <c r="C650" s="24" t="s">
        <v>6919</v>
      </c>
      <c r="D650" s="59">
        <v>15.0</v>
      </c>
      <c r="E650" s="59">
        <v>18.0</v>
      </c>
      <c r="F650" s="59">
        <v>10.0</v>
      </c>
      <c r="G650" s="60">
        <v>1.28571428571428</v>
      </c>
      <c r="H650" s="60">
        <v>0.666666666666666</v>
      </c>
      <c r="I650" s="60">
        <v>232.162402777777</v>
      </c>
      <c r="J650" s="59">
        <v>26.0</v>
      </c>
      <c r="K650" s="61">
        <f t="shared" si="1"/>
        <v>0.5555555556</v>
      </c>
      <c r="L650" s="62">
        <f t="shared" si="2"/>
        <v>1.444444444</v>
      </c>
    </row>
    <row r="651">
      <c r="A651" s="58">
        <v>46054.0</v>
      </c>
      <c r="B651" s="24" t="s">
        <v>6789</v>
      </c>
      <c r="C651" s="24" t="s">
        <v>6815</v>
      </c>
      <c r="D651" s="59">
        <v>14.0</v>
      </c>
      <c r="E651" s="59">
        <v>15.0</v>
      </c>
      <c r="F651" s="59">
        <v>12.0</v>
      </c>
      <c r="G651" s="60">
        <v>1.07142857142857</v>
      </c>
      <c r="H651" s="60">
        <v>0.4</v>
      </c>
      <c r="I651" s="60">
        <v>75.5836563999999</v>
      </c>
      <c r="J651" s="59">
        <v>18.0</v>
      </c>
      <c r="K651" s="61">
        <f t="shared" si="1"/>
        <v>0.8</v>
      </c>
      <c r="L651" s="62">
        <f t="shared" si="2"/>
        <v>1.2</v>
      </c>
    </row>
    <row r="652">
      <c r="A652" s="58">
        <v>46054.0</v>
      </c>
      <c r="B652" s="24" t="s">
        <v>6787</v>
      </c>
      <c r="C652" s="24" t="s">
        <v>6802</v>
      </c>
      <c r="D652" s="59">
        <v>14.0</v>
      </c>
      <c r="E652" s="59">
        <v>15.0</v>
      </c>
      <c r="F652" s="59">
        <v>12.0</v>
      </c>
      <c r="G652" s="60">
        <v>1.07142857142857</v>
      </c>
      <c r="H652" s="60">
        <v>0.466666666666666</v>
      </c>
      <c r="I652" s="60">
        <v>458.636184066666</v>
      </c>
      <c r="J652" s="59">
        <v>26.0</v>
      </c>
      <c r="K652" s="61">
        <f t="shared" si="1"/>
        <v>0.8</v>
      </c>
      <c r="L652" s="62">
        <f t="shared" si="2"/>
        <v>1.733333333</v>
      </c>
    </row>
    <row r="653">
      <c r="A653" s="58">
        <v>46054.0</v>
      </c>
      <c r="B653" s="24" t="s">
        <v>6790</v>
      </c>
      <c r="C653" s="24" t="s">
        <v>6792</v>
      </c>
      <c r="D653" s="59">
        <v>13.0</v>
      </c>
      <c r="E653" s="59">
        <v>15.0</v>
      </c>
      <c r="F653" s="59">
        <v>0.0</v>
      </c>
      <c r="G653" s="60">
        <v>1.25</v>
      </c>
      <c r="H653" s="60">
        <v>1.0</v>
      </c>
      <c r="I653" s="60">
        <v>0.0</v>
      </c>
      <c r="J653" s="59">
        <v>0.0</v>
      </c>
      <c r="K653" s="61">
        <f t="shared" si="1"/>
        <v>0</v>
      </c>
      <c r="L653" s="62">
        <f t="shared" si="2"/>
        <v>0</v>
      </c>
    </row>
    <row r="654">
      <c r="A654" s="58">
        <v>46054.0</v>
      </c>
      <c r="B654" s="24" t="s">
        <v>6787</v>
      </c>
      <c r="C654" s="24" t="s">
        <v>6806</v>
      </c>
      <c r="D654" s="59">
        <v>13.0</v>
      </c>
      <c r="E654" s="59">
        <v>14.0</v>
      </c>
      <c r="F654" s="59">
        <v>13.0</v>
      </c>
      <c r="G654" s="60">
        <v>1.07692307692307</v>
      </c>
      <c r="H654" s="60">
        <v>0.928571428571428</v>
      </c>
      <c r="I654" s="60">
        <v>6.26361378571428</v>
      </c>
      <c r="J654" s="59">
        <v>15.0</v>
      </c>
      <c r="K654" s="61">
        <f t="shared" si="1"/>
        <v>0.9285714286</v>
      </c>
      <c r="L654" s="62">
        <f t="shared" si="2"/>
        <v>1.071428571</v>
      </c>
    </row>
    <row r="655">
      <c r="A655" s="58">
        <v>46054.0</v>
      </c>
      <c r="B655" s="24" t="s">
        <v>155</v>
      </c>
      <c r="C655" s="24" t="s">
        <v>6800</v>
      </c>
      <c r="D655" s="59">
        <v>13.0</v>
      </c>
      <c r="E655" s="59">
        <v>13.0</v>
      </c>
      <c r="F655" s="59">
        <v>11.0</v>
      </c>
      <c r="G655" s="60">
        <v>1.0</v>
      </c>
      <c r="H655" s="60">
        <v>0.0</v>
      </c>
      <c r="I655" s="60">
        <v>54.3818326923077</v>
      </c>
      <c r="J655" s="59">
        <v>26.0</v>
      </c>
      <c r="K655" s="61">
        <f t="shared" si="1"/>
        <v>0.8461538462</v>
      </c>
      <c r="L655" s="62">
        <f t="shared" si="2"/>
        <v>2</v>
      </c>
    </row>
    <row r="656">
      <c r="A656" s="58">
        <v>46054.0</v>
      </c>
      <c r="B656" s="24" t="s">
        <v>6787</v>
      </c>
      <c r="C656" s="24" t="s">
        <v>6910</v>
      </c>
      <c r="D656" s="59">
        <v>13.0</v>
      </c>
      <c r="E656" s="59">
        <v>16.0</v>
      </c>
      <c r="F656" s="59">
        <v>9.0</v>
      </c>
      <c r="G656" s="60">
        <v>1.23076923076923</v>
      </c>
      <c r="H656" s="60">
        <v>0.3125</v>
      </c>
      <c r="I656" s="60">
        <v>731.182258875</v>
      </c>
      <c r="J656" s="59">
        <v>48.0</v>
      </c>
      <c r="K656" s="61">
        <f t="shared" si="1"/>
        <v>0.5625</v>
      </c>
      <c r="L656" s="62">
        <f t="shared" si="2"/>
        <v>3</v>
      </c>
    </row>
    <row r="657">
      <c r="A657" s="58">
        <v>46054.0</v>
      </c>
      <c r="B657" s="24" t="s">
        <v>6789</v>
      </c>
      <c r="C657" s="24" t="s">
        <v>6835</v>
      </c>
      <c r="D657" s="59">
        <v>12.0</v>
      </c>
      <c r="E657" s="59">
        <v>14.0</v>
      </c>
      <c r="F657" s="59">
        <v>11.0</v>
      </c>
      <c r="G657" s="60">
        <v>1.16666666666666</v>
      </c>
      <c r="H657" s="60">
        <v>0.642857142857142</v>
      </c>
      <c r="I657" s="60">
        <v>356.069030785714</v>
      </c>
      <c r="J657" s="59">
        <v>16.0</v>
      </c>
      <c r="K657" s="61">
        <f t="shared" si="1"/>
        <v>0.7857142857</v>
      </c>
      <c r="L657" s="62">
        <f t="shared" si="2"/>
        <v>1.142857143</v>
      </c>
    </row>
    <row r="658">
      <c r="A658" s="58">
        <v>46054.0</v>
      </c>
      <c r="B658" s="24" t="s">
        <v>6787</v>
      </c>
      <c r="C658" s="24" t="s">
        <v>6820</v>
      </c>
      <c r="D658" s="59">
        <v>12.0</v>
      </c>
      <c r="E658" s="59">
        <v>12.0</v>
      </c>
      <c r="F658" s="59">
        <v>11.0</v>
      </c>
      <c r="G658" s="60">
        <v>1.0</v>
      </c>
      <c r="H658" s="60">
        <v>1.0</v>
      </c>
      <c r="I658" s="60">
        <v>0.0</v>
      </c>
      <c r="J658" s="59">
        <v>12.0</v>
      </c>
      <c r="K658" s="61">
        <f t="shared" si="1"/>
        <v>0.9166666667</v>
      </c>
      <c r="L658" s="62">
        <f t="shared" si="2"/>
        <v>1</v>
      </c>
    </row>
    <row r="659">
      <c r="A659" s="58">
        <v>46054.0</v>
      </c>
      <c r="B659" s="24" t="s">
        <v>6787</v>
      </c>
      <c r="C659" s="24" t="s">
        <v>6823</v>
      </c>
      <c r="D659" s="59">
        <v>12.0</v>
      </c>
      <c r="E659" s="59">
        <v>12.0</v>
      </c>
      <c r="F659" s="59">
        <v>12.0</v>
      </c>
      <c r="G659" s="60">
        <v>1.0</v>
      </c>
      <c r="H659" s="60">
        <v>1.0</v>
      </c>
      <c r="I659" s="60">
        <v>2.43966383333333</v>
      </c>
      <c r="J659" s="59">
        <v>12.0</v>
      </c>
      <c r="K659" s="61">
        <f t="shared" si="1"/>
        <v>1</v>
      </c>
      <c r="L659" s="62">
        <f t="shared" si="2"/>
        <v>1</v>
      </c>
    </row>
    <row r="660">
      <c r="A660" s="58">
        <v>46054.0</v>
      </c>
      <c r="B660" s="24" t="s">
        <v>6789</v>
      </c>
      <c r="C660" s="24" t="s">
        <v>6841</v>
      </c>
      <c r="D660" s="59">
        <v>12.0</v>
      </c>
      <c r="E660" s="59">
        <v>12.0</v>
      </c>
      <c r="F660" s="59">
        <v>11.0</v>
      </c>
      <c r="G660" s="60">
        <v>1.09090909090909</v>
      </c>
      <c r="H660" s="60">
        <v>0.5</v>
      </c>
      <c r="I660" s="60">
        <v>112.589514166666</v>
      </c>
      <c r="J660" s="59">
        <v>13.0</v>
      </c>
      <c r="K660" s="61">
        <f t="shared" si="1"/>
        <v>0.9166666667</v>
      </c>
      <c r="L660" s="62">
        <f t="shared" si="2"/>
        <v>1.083333333</v>
      </c>
    </row>
    <row r="661">
      <c r="A661" s="58">
        <v>46054.0</v>
      </c>
      <c r="B661" s="24" t="s">
        <v>6787</v>
      </c>
      <c r="C661" s="24" t="s">
        <v>6801</v>
      </c>
      <c r="D661" s="59">
        <v>12.0</v>
      </c>
      <c r="E661" s="59">
        <v>12.0</v>
      </c>
      <c r="F661" s="59">
        <v>10.0</v>
      </c>
      <c r="G661" s="60">
        <v>1.0</v>
      </c>
      <c r="H661" s="60">
        <v>0.583333333333333</v>
      </c>
      <c r="I661" s="60">
        <v>60.6414383333333</v>
      </c>
      <c r="J661" s="59">
        <v>18.0</v>
      </c>
      <c r="K661" s="61">
        <f t="shared" si="1"/>
        <v>0.8333333333</v>
      </c>
      <c r="L661" s="62">
        <f t="shared" si="2"/>
        <v>1.5</v>
      </c>
    </row>
    <row r="662">
      <c r="A662" s="58">
        <v>46054.0</v>
      </c>
      <c r="B662" s="24" t="s">
        <v>6789</v>
      </c>
      <c r="C662" s="24" t="s">
        <v>6804</v>
      </c>
      <c r="D662" s="59">
        <v>11.0</v>
      </c>
      <c r="E662" s="59">
        <v>12.0</v>
      </c>
      <c r="F662" s="59">
        <v>10.0</v>
      </c>
      <c r="G662" s="60">
        <v>1.2</v>
      </c>
      <c r="H662" s="60">
        <v>0.5</v>
      </c>
      <c r="I662" s="60">
        <v>54.783218</v>
      </c>
      <c r="J662" s="59">
        <v>13.0</v>
      </c>
      <c r="K662" s="61">
        <f t="shared" si="1"/>
        <v>0.8333333333</v>
      </c>
      <c r="L662" s="62">
        <f t="shared" si="2"/>
        <v>1.083333333</v>
      </c>
    </row>
    <row r="663">
      <c r="A663" s="58">
        <v>46054.0</v>
      </c>
      <c r="B663" s="24" t="s">
        <v>6789</v>
      </c>
      <c r="C663" s="24" t="s">
        <v>6886</v>
      </c>
      <c r="D663" s="59">
        <v>11.0</v>
      </c>
      <c r="E663" s="59">
        <v>14.0</v>
      </c>
      <c r="F663" s="59">
        <v>1.0</v>
      </c>
      <c r="G663" s="60">
        <v>1.55555555555555</v>
      </c>
      <c r="H663" s="60">
        <v>0.428571428571428</v>
      </c>
      <c r="I663" s="60">
        <v>88.0792672857142</v>
      </c>
      <c r="J663" s="59">
        <v>35.0</v>
      </c>
      <c r="K663" s="61">
        <f t="shared" si="1"/>
        <v>0.07142857143</v>
      </c>
      <c r="L663" s="62">
        <f t="shared" si="2"/>
        <v>2.5</v>
      </c>
    </row>
    <row r="664">
      <c r="A664" s="58">
        <v>46054.0</v>
      </c>
      <c r="B664" s="24" t="s">
        <v>6787</v>
      </c>
      <c r="C664" s="24" t="s">
        <v>6939</v>
      </c>
      <c r="D664" s="59">
        <v>10.0</v>
      </c>
      <c r="E664" s="59">
        <v>12.0</v>
      </c>
      <c r="F664" s="59">
        <v>5.0</v>
      </c>
      <c r="G664" s="60">
        <v>1.33333333333333</v>
      </c>
      <c r="H664" s="60">
        <v>0.416666666666666</v>
      </c>
      <c r="I664" s="60">
        <v>172.567515333333</v>
      </c>
      <c r="J664" s="59">
        <v>18.0</v>
      </c>
      <c r="K664" s="61">
        <f t="shared" si="1"/>
        <v>0.4166666667</v>
      </c>
      <c r="L664" s="62">
        <f t="shared" si="2"/>
        <v>1.5</v>
      </c>
    </row>
    <row r="665">
      <c r="A665" s="58">
        <v>46054.0</v>
      </c>
      <c r="B665" s="24" t="s">
        <v>6789</v>
      </c>
      <c r="C665" s="24" t="s">
        <v>6876</v>
      </c>
      <c r="D665" s="59">
        <v>10.0</v>
      </c>
      <c r="E665" s="59">
        <v>10.0</v>
      </c>
      <c r="F665" s="59">
        <v>8.0</v>
      </c>
      <c r="G665" s="60">
        <v>1.11111111111111</v>
      </c>
      <c r="H665" s="60">
        <v>0.2</v>
      </c>
      <c r="I665" s="60">
        <v>188.9979942</v>
      </c>
      <c r="J665" s="59">
        <v>12.0</v>
      </c>
      <c r="K665" s="61">
        <f t="shared" si="1"/>
        <v>0.8</v>
      </c>
      <c r="L665" s="62">
        <f t="shared" si="2"/>
        <v>1.2</v>
      </c>
    </row>
    <row r="666">
      <c r="A666" s="58">
        <v>46054.0</v>
      </c>
      <c r="B666" s="24" t="s">
        <v>6789</v>
      </c>
      <c r="C666" s="24" t="s">
        <v>6811</v>
      </c>
      <c r="D666" s="59">
        <v>10.0</v>
      </c>
      <c r="E666" s="59">
        <v>12.0</v>
      </c>
      <c r="F666" s="59">
        <v>9.0</v>
      </c>
      <c r="G666" s="60">
        <v>1.2</v>
      </c>
      <c r="H666" s="60">
        <v>0.5</v>
      </c>
      <c r="I666" s="60">
        <v>140.992123666666</v>
      </c>
      <c r="J666" s="59">
        <v>15.0</v>
      </c>
      <c r="K666" s="61">
        <f t="shared" si="1"/>
        <v>0.75</v>
      </c>
      <c r="L666" s="62">
        <f t="shared" si="2"/>
        <v>1.25</v>
      </c>
    </row>
    <row r="667">
      <c r="A667" s="58">
        <v>46054.0</v>
      </c>
      <c r="B667" s="24" t="s">
        <v>6789</v>
      </c>
      <c r="C667" s="24" t="s">
        <v>6903</v>
      </c>
      <c r="D667" s="59">
        <v>10.0</v>
      </c>
      <c r="E667" s="59">
        <v>10.0</v>
      </c>
      <c r="F667" s="59">
        <v>7.0</v>
      </c>
      <c r="G667" s="60">
        <v>1.25</v>
      </c>
      <c r="H667" s="60">
        <v>0.5</v>
      </c>
      <c r="I667" s="60">
        <v>88.8313039</v>
      </c>
      <c r="J667" s="59">
        <v>15.0</v>
      </c>
      <c r="K667" s="61">
        <f t="shared" si="1"/>
        <v>0.7</v>
      </c>
      <c r="L667" s="62">
        <f t="shared" si="2"/>
        <v>1.5</v>
      </c>
    </row>
    <row r="668">
      <c r="A668" s="58">
        <v>46054.0</v>
      </c>
      <c r="B668" s="24" t="s">
        <v>6942</v>
      </c>
      <c r="C668" s="24" t="s">
        <v>6824</v>
      </c>
      <c r="D668" s="59">
        <v>10.0</v>
      </c>
      <c r="E668" s="59">
        <v>10.0</v>
      </c>
      <c r="F668" s="59">
        <v>10.0</v>
      </c>
      <c r="G668" s="60">
        <v>1.0</v>
      </c>
      <c r="H668" s="60">
        <v>1.0</v>
      </c>
      <c r="I668" s="60">
        <v>0.0</v>
      </c>
      <c r="J668" s="59">
        <v>10.0</v>
      </c>
      <c r="K668" s="61">
        <f t="shared" si="1"/>
        <v>1</v>
      </c>
      <c r="L668" s="62">
        <f t="shared" si="2"/>
        <v>1</v>
      </c>
    </row>
    <row r="669">
      <c r="A669" s="58">
        <v>46054.0</v>
      </c>
      <c r="B669" s="24" t="s">
        <v>6789</v>
      </c>
      <c r="C669" s="24" t="s">
        <v>6802</v>
      </c>
      <c r="D669" s="59">
        <v>10.0</v>
      </c>
      <c r="E669" s="59">
        <v>12.0</v>
      </c>
      <c r="F669" s="59">
        <v>2.0</v>
      </c>
      <c r="G669" s="60">
        <v>1.33333333333333</v>
      </c>
      <c r="H669" s="60">
        <v>0.333333333333333</v>
      </c>
      <c r="I669" s="60">
        <v>300.513129666666</v>
      </c>
      <c r="J669" s="59">
        <v>36.0</v>
      </c>
      <c r="K669" s="61">
        <f t="shared" si="1"/>
        <v>0.1666666667</v>
      </c>
      <c r="L669" s="62">
        <f t="shared" si="2"/>
        <v>3</v>
      </c>
    </row>
    <row r="670">
      <c r="A670" s="58">
        <v>46054.0</v>
      </c>
      <c r="B670" s="24" t="s">
        <v>6789</v>
      </c>
      <c r="C670" s="24" t="s">
        <v>6875</v>
      </c>
      <c r="D670" s="59">
        <v>9.0</v>
      </c>
      <c r="E670" s="59">
        <v>9.0</v>
      </c>
      <c r="F670" s="59">
        <v>8.0</v>
      </c>
      <c r="G670" s="60">
        <v>1.125</v>
      </c>
      <c r="H670" s="60">
        <v>0.666666666666666</v>
      </c>
      <c r="I670" s="60">
        <v>23.1109501111111</v>
      </c>
      <c r="J670" s="59">
        <v>9.0</v>
      </c>
      <c r="K670" s="61">
        <f t="shared" si="1"/>
        <v>0.8888888889</v>
      </c>
      <c r="L670" s="62">
        <f t="shared" si="2"/>
        <v>1</v>
      </c>
    </row>
    <row r="671">
      <c r="A671" s="58">
        <v>46054.0</v>
      </c>
      <c r="B671" s="24" t="s">
        <v>6789</v>
      </c>
      <c r="C671" s="24" t="s">
        <v>6799</v>
      </c>
      <c r="D671" s="59">
        <v>9.0</v>
      </c>
      <c r="E671" s="59">
        <v>9.0</v>
      </c>
      <c r="F671" s="59">
        <v>6.0</v>
      </c>
      <c r="G671" s="60">
        <v>1.125</v>
      </c>
      <c r="H671" s="60">
        <v>0.222222222222222</v>
      </c>
      <c r="I671" s="60">
        <v>81.9905638888889</v>
      </c>
      <c r="J671" s="59">
        <v>11.0</v>
      </c>
      <c r="K671" s="61">
        <f t="shared" si="1"/>
        <v>0.6666666667</v>
      </c>
      <c r="L671" s="62">
        <f t="shared" si="2"/>
        <v>1.222222222</v>
      </c>
    </row>
    <row r="672">
      <c r="A672" s="58">
        <v>46054.0</v>
      </c>
      <c r="B672" s="24" t="s">
        <v>6787</v>
      </c>
      <c r="C672" s="24" t="s">
        <v>7022</v>
      </c>
      <c r="D672" s="59">
        <v>9.0</v>
      </c>
      <c r="E672" s="59">
        <v>9.0</v>
      </c>
      <c r="F672" s="59">
        <v>9.0</v>
      </c>
      <c r="G672" s="60">
        <v>1.0</v>
      </c>
      <c r="H672" s="60">
        <v>0.777777777777777</v>
      </c>
      <c r="I672" s="60">
        <v>6.84004788888888</v>
      </c>
      <c r="J672" s="59">
        <v>9.0</v>
      </c>
      <c r="K672" s="61">
        <f t="shared" si="1"/>
        <v>1</v>
      </c>
      <c r="L672" s="62">
        <f t="shared" si="2"/>
        <v>1</v>
      </c>
    </row>
    <row r="673">
      <c r="A673" s="58">
        <v>46054.0</v>
      </c>
      <c r="B673" s="24" t="s">
        <v>6787</v>
      </c>
      <c r="C673" s="24" t="s">
        <v>6809</v>
      </c>
      <c r="D673" s="59">
        <v>9.0</v>
      </c>
      <c r="E673" s="59">
        <v>10.0</v>
      </c>
      <c r="F673" s="59">
        <v>6.0</v>
      </c>
      <c r="G673" s="60">
        <v>1.11111111111111</v>
      </c>
      <c r="H673" s="60">
        <v>0.6</v>
      </c>
      <c r="I673" s="60">
        <v>272.636914</v>
      </c>
      <c r="J673" s="59">
        <v>21.0</v>
      </c>
      <c r="K673" s="61">
        <f t="shared" si="1"/>
        <v>0.6</v>
      </c>
      <c r="L673" s="62">
        <f t="shared" si="2"/>
        <v>2.1</v>
      </c>
    </row>
    <row r="674">
      <c r="A674" s="58">
        <v>46054.0</v>
      </c>
      <c r="B674" s="24" t="s">
        <v>6787</v>
      </c>
      <c r="C674" s="24" t="s">
        <v>7023</v>
      </c>
      <c r="D674" s="59">
        <v>9.0</v>
      </c>
      <c r="E674" s="59">
        <v>9.0</v>
      </c>
      <c r="F674" s="59">
        <v>9.0</v>
      </c>
      <c r="G674" s="60">
        <v>1.0</v>
      </c>
      <c r="H674" s="60">
        <v>1.0</v>
      </c>
      <c r="I674" s="60">
        <v>1.80422844444444</v>
      </c>
      <c r="J674" s="59">
        <v>9.0</v>
      </c>
      <c r="K674" s="61">
        <f t="shared" si="1"/>
        <v>1</v>
      </c>
      <c r="L674" s="62">
        <f t="shared" si="2"/>
        <v>1</v>
      </c>
    </row>
    <row r="675">
      <c r="A675" s="58">
        <v>46054.0</v>
      </c>
      <c r="B675" s="24" t="s">
        <v>6787</v>
      </c>
      <c r="C675" s="24" t="s">
        <v>6917</v>
      </c>
      <c r="D675" s="59">
        <v>9.0</v>
      </c>
      <c r="E675" s="59">
        <v>9.0</v>
      </c>
      <c r="F675" s="59">
        <v>9.0</v>
      </c>
      <c r="G675" s="60">
        <v>1.0</v>
      </c>
      <c r="H675" s="60">
        <v>1.0</v>
      </c>
      <c r="I675" s="60">
        <v>0.0</v>
      </c>
      <c r="J675" s="59">
        <v>9.0</v>
      </c>
      <c r="K675" s="61">
        <f t="shared" si="1"/>
        <v>1</v>
      </c>
      <c r="L675" s="62">
        <f t="shared" si="2"/>
        <v>1</v>
      </c>
    </row>
    <row r="676">
      <c r="A676" s="58">
        <v>46054.0</v>
      </c>
      <c r="B676" s="24" t="s">
        <v>6791</v>
      </c>
      <c r="C676" s="24" t="s">
        <v>6788</v>
      </c>
      <c r="D676" s="59">
        <v>8.0</v>
      </c>
      <c r="E676" s="59">
        <v>17.0</v>
      </c>
      <c r="F676" s="59">
        <v>0.0</v>
      </c>
      <c r="G676" s="60">
        <v>2.42857142857142</v>
      </c>
      <c r="H676" s="60">
        <v>0.764705882352941</v>
      </c>
      <c r="I676" s="60">
        <v>68.8086050588235</v>
      </c>
      <c r="J676" s="59">
        <v>36.0</v>
      </c>
      <c r="K676" s="61">
        <f t="shared" si="1"/>
        <v>0</v>
      </c>
      <c r="L676" s="62">
        <f t="shared" si="2"/>
        <v>2.117647059</v>
      </c>
    </row>
    <row r="677">
      <c r="A677" s="58">
        <v>46054.0</v>
      </c>
      <c r="B677" s="24" t="s">
        <v>6787</v>
      </c>
      <c r="C677" s="24" t="s">
        <v>6804</v>
      </c>
      <c r="D677" s="59">
        <v>8.0</v>
      </c>
      <c r="E677" s="59">
        <v>8.0</v>
      </c>
      <c r="F677" s="59">
        <v>8.0</v>
      </c>
      <c r="G677" s="60">
        <v>1.0</v>
      </c>
      <c r="H677" s="60">
        <v>0.75</v>
      </c>
      <c r="I677" s="60">
        <v>6.007517</v>
      </c>
      <c r="J677" s="59">
        <v>8.0</v>
      </c>
      <c r="K677" s="61">
        <f t="shared" si="1"/>
        <v>1</v>
      </c>
      <c r="L677" s="62">
        <f t="shared" si="2"/>
        <v>1</v>
      </c>
    </row>
    <row r="678">
      <c r="A678" s="58">
        <v>46054.0</v>
      </c>
      <c r="B678" s="24" t="s">
        <v>6787</v>
      </c>
      <c r="C678" s="24" t="s">
        <v>6898</v>
      </c>
      <c r="D678" s="59">
        <v>8.0</v>
      </c>
      <c r="E678" s="59">
        <v>8.0</v>
      </c>
      <c r="F678" s="59">
        <v>8.0</v>
      </c>
      <c r="G678" s="60">
        <v>1.0</v>
      </c>
      <c r="H678" s="60">
        <v>0.875</v>
      </c>
      <c r="I678" s="60">
        <v>4.51746225</v>
      </c>
      <c r="J678" s="59">
        <v>8.0</v>
      </c>
      <c r="K678" s="61">
        <f t="shared" si="1"/>
        <v>1</v>
      </c>
      <c r="L678" s="62">
        <f t="shared" si="2"/>
        <v>1</v>
      </c>
    </row>
    <row r="679">
      <c r="A679" s="58">
        <v>46054.0</v>
      </c>
      <c r="B679" s="24" t="s">
        <v>6789</v>
      </c>
      <c r="C679" s="24" t="s">
        <v>6849</v>
      </c>
      <c r="D679" s="59">
        <v>8.0</v>
      </c>
      <c r="E679" s="59">
        <v>8.0</v>
      </c>
      <c r="F679" s="59">
        <v>4.0</v>
      </c>
      <c r="G679" s="60">
        <v>1.0</v>
      </c>
      <c r="H679" s="60">
        <v>0.375</v>
      </c>
      <c r="I679" s="60">
        <v>171.6154935</v>
      </c>
      <c r="J679" s="59">
        <v>23.0</v>
      </c>
      <c r="K679" s="61">
        <f t="shared" si="1"/>
        <v>0.5</v>
      </c>
      <c r="L679" s="62">
        <f t="shared" si="2"/>
        <v>2.875</v>
      </c>
    </row>
    <row r="680">
      <c r="A680" s="58">
        <v>46054.0</v>
      </c>
      <c r="B680" s="24" t="s">
        <v>6794</v>
      </c>
      <c r="C680" s="24" t="s">
        <v>6939</v>
      </c>
      <c r="D680" s="59">
        <v>7.0</v>
      </c>
      <c r="E680" s="59">
        <v>7.0</v>
      </c>
      <c r="F680" s="59">
        <v>7.0</v>
      </c>
      <c r="G680" s="60">
        <v>1.0</v>
      </c>
      <c r="H680" s="60">
        <v>0.571428571428571</v>
      </c>
      <c r="I680" s="60">
        <v>111.695903285714</v>
      </c>
      <c r="J680" s="59">
        <v>8.0</v>
      </c>
      <c r="K680" s="61">
        <f t="shared" si="1"/>
        <v>1</v>
      </c>
      <c r="L680" s="62">
        <f t="shared" si="2"/>
        <v>1.142857143</v>
      </c>
    </row>
    <row r="681">
      <c r="A681" s="58">
        <v>46054.0</v>
      </c>
      <c r="B681" s="24" t="s">
        <v>6787</v>
      </c>
      <c r="C681" s="24" t="s">
        <v>6868</v>
      </c>
      <c r="D681" s="59">
        <v>7.0</v>
      </c>
      <c r="E681" s="59">
        <v>7.0</v>
      </c>
      <c r="F681" s="59">
        <v>7.0</v>
      </c>
      <c r="G681" s="60">
        <v>1.0</v>
      </c>
      <c r="H681" s="60">
        <v>1.0</v>
      </c>
      <c r="I681" s="60">
        <v>0.0</v>
      </c>
      <c r="J681" s="59">
        <v>7.0</v>
      </c>
      <c r="K681" s="61">
        <f t="shared" si="1"/>
        <v>1</v>
      </c>
      <c r="L681" s="62">
        <f t="shared" si="2"/>
        <v>1</v>
      </c>
    </row>
    <row r="682">
      <c r="A682" s="58">
        <v>46054.0</v>
      </c>
      <c r="B682" s="24" t="s">
        <v>6787</v>
      </c>
      <c r="C682" s="24" t="s">
        <v>7024</v>
      </c>
      <c r="D682" s="59">
        <v>7.0</v>
      </c>
      <c r="E682" s="59">
        <v>8.0</v>
      </c>
      <c r="F682" s="59">
        <v>7.0</v>
      </c>
      <c r="G682" s="60">
        <v>1.14285714285714</v>
      </c>
      <c r="H682" s="60">
        <v>0.875</v>
      </c>
      <c r="I682" s="60">
        <v>15.356884875</v>
      </c>
      <c r="J682" s="59">
        <v>8.0</v>
      </c>
      <c r="K682" s="61">
        <f t="shared" si="1"/>
        <v>0.875</v>
      </c>
      <c r="L682" s="62">
        <f t="shared" si="2"/>
        <v>1</v>
      </c>
    </row>
    <row r="683">
      <c r="A683" s="58">
        <v>46054.0</v>
      </c>
      <c r="B683" s="24" t="s">
        <v>6789</v>
      </c>
      <c r="C683" s="24" t="s">
        <v>6806</v>
      </c>
      <c r="D683" s="59">
        <v>7.0</v>
      </c>
      <c r="E683" s="59">
        <v>7.0</v>
      </c>
      <c r="F683" s="59">
        <v>7.0</v>
      </c>
      <c r="G683" s="60">
        <v>1.0</v>
      </c>
      <c r="H683" s="60">
        <v>0.142857142857142</v>
      </c>
      <c r="I683" s="60">
        <v>443.674348</v>
      </c>
      <c r="J683" s="59">
        <v>13.0</v>
      </c>
      <c r="K683" s="61">
        <f t="shared" si="1"/>
        <v>1</v>
      </c>
      <c r="L683" s="62">
        <f t="shared" si="2"/>
        <v>1.857142857</v>
      </c>
    </row>
    <row r="684">
      <c r="A684" s="58">
        <v>46054.0</v>
      </c>
      <c r="B684" s="24" t="s">
        <v>6787</v>
      </c>
      <c r="C684" s="24" t="s">
        <v>6845</v>
      </c>
      <c r="D684" s="59">
        <v>7.0</v>
      </c>
      <c r="E684" s="59">
        <v>7.0</v>
      </c>
      <c r="F684" s="59">
        <v>6.0</v>
      </c>
      <c r="G684" s="60">
        <v>1.0</v>
      </c>
      <c r="H684" s="60">
        <v>0.857142857142857</v>
      </c>
      <c r="I684" s="60">
        <v>2.82580585714285</v>
      </c>
      <c r="J684" s="59">
        <v>7.0</v>
      </c>
      <c r="K684" s="61">
        <f t="shared" si="1"/>
        <v>0.8571428571</v>
      </c>
      <c r="L684" s="62">
        <f t="shared" si="2"/>
        <v>1</v>
      </c>
    </row>
    <row r="685">
      <c r="A685" s="58">
        <v>46054.0</v>
      </c>
      <c r="B685" s="24" t="s">
        <v>6787</v>
      </c>
      <c r="C685" s="24" t="s">
        <v>6848</v>
      </c>
      <c r="D685" s="59">
        <v>7.0</v>
      </c>
      <c r="E685" s="59">
        <v>7.0</v>
      </c>
      <c r="F685" s="59">
        <v>7.0</v>
      </c>
      <c r="G685" s="60">
        <v>1.0</v>
      </c>
      <c r="H685" s="60">
        <v>0.714285714285714</v>
      </c>
      <c r="I685" s="60">
        <v>14.9569275714285</v>
      </c>
      <c r="J685" s="59">
        <v>9.0</v>
      </c>
      <c r="K685" s="61">
        <f t="shared" si="1"/>
        <v>1</v>
      </c>
      <c r="L685" s="62">
        <f t="shared" si="2"/>
        <v>1.285714286</v>
      </c>
    </row>
    <row r="686">
      <c r="A686" s="58">
        <v>46054.0</v>
      </c>
      <c r="B686" s="24" t="s">
        <v>6787</v>
      </c>
      <c r="C686" s="24" t="s">
        <v>6800</v>
      </c>
      <c r="D686" s="59">
        <v>7.0</v>
      </c>
      <c r="E686" s="59">
        <v>7.0</v>
      </c>
      <c r="F686" s="59">
        <v>6.0</v>
      </c>
      <c r="G686" s="60">
        <v>1.0</v>
      </c>
      <c r="H686" s="60">
        <v>0.857142857142857</v>
      </c>
      <c r="I686" s="60">
        <v>24.2992667142857</v>
      </c>
      <c r="J686" s="59">
        <v>7.0</v>
      </c>
      <c r="K686" s="61">
        <f t="shared" si="1"/>
        <v>0.8571428571</v>
      </c>
      <c r="L686" s="62">
        <f t="shared" si="2"/>
        <v>1</v>
      </c>
    </row>
    <row r="687">
      <c r="A687" s="58">
        <v>46054.0</v>
      </c>
      <c r="B687" s="24" t="s">
        <v>6787</v>
      </c>
      <c r="C687" s="24" t="s">
        <v>6813</v>
      </c>
      <c r="D687" s="59">
        <v>7.0</v>
      </c>
      <c r="E687" s="59">
        <v>7.0</v>
      </c>
      <c r="F687" s="59">
        <v>7.0</v>
      </c>
      <c r="G687" s="60">
        <v>1.0</v>
      </c>
      <c r="H687" s="60">
        <v>0.857142857142857</v>
      </c>
      <c r="I687" s="60">
        <v>31.4146997142857</v>
      </c>
      <c r="J687" s="59">
        <v>10.0</v>
      </c>
      <c r="K687" s="61">
        <f t="shared" si="1"/>
        <v>1</v>
      </c>
      <c r="L687" s="62">
        <f t="shared" si="2"/>
        <v>1.428571429</v>
      </c>
    </row>
    <row r="688">
      <c r="A688" s="58">
        <v>46054.0</v>
      </c>
      <c r="B688" s="24" t="s">
        <v>6787</v>
      </c>
      <c r="C688" s="24" t="s">
        <v>6815</v>
      </c>
      <c r="D688" s="59">
        <v>7.0</v>
      </c>
      <c r="E688" s="59">
        <v>7.0</v>
      </c>
      <c r="F688" s="59">
        <v>6.0</v>
      </c>
      <c r="G688" s="60">
        <v>1.0</v>
      </c>
      <c r="H688" s="60">
        <v>0.714285714285714</v>
      </c>
      <c r="I688" s="60">
        <v>10.231929</v>
      </c>
      <c r="J688" s="59">
        <v>7.0</v>
      </c>
      <c r="K688" s="61">
        <f t="shared" si="1"/>
        <v>0.8571428571</v>
      </c>
      <c r="L688" s="62">
        <f t="shared" si="2"/>
        <v>1</v>
      </c>
    </row>
    <row r="689">
      <c r="A689" s="58">
        <v>46054.0</v>
      </c>
      <c r="B689" s="24" t="s">
        <v>6789</v>
      </c>
      <c r="C689" s="24" t="s">
        <v>6921</v>
      </c>
      <c r="D689" s="59">
        <v>7.0</v>
      </c>
      <c r="E689" s="59">
        <v>8.0</v>
      </c>
      <c r="F689" s="59">
        <v>7.0</v>
      </c>
      <c r="G689" s="60">
        <v>1.14285714285714</v>
      </c>
      <c r="H689" s="60">
        <v>0.0</v>
      </c>
      <c r="I689" s="60">
        <v>195.189189875</v>
      </c>
      <c r="J689" s="59">
        <v>13.0</v>
      </c>
      <c r="K689" s="61">
        <f t="shared" si="1"/>
        <v>0.875</v>
      </c>
      <c r="L689" s="62">
        <f t="shared" si="2"/>
        <v>1.625</v>
      </c>
    </row>
    <row r="690">
      <c r="A690" s="58">
        <v>46054.0</v>
      </c>
      <c r="B690" s="24" t="s">
        <v>6787</v>
      </c>
      <c r="C690" s="24" t="s">
        <v>6797</v>
      </c>
      <c r="D690" s="59">
        <v>7.0</v>
      </c>
      <c r="E690" s="59">
        <v>7.0</v>
      </c>
      <c r="F690" s="59">
        <v>7.0</v>
      </c>
      <c r="G690" s="60">
        <v>1.0</v>
      </c>
      <c r="H690" s="60">
        <v>0.714285714285714</v>
      </c>
      <c r="I690" s="60">
        <v>6.72436671428571</v>
      </c>
      <c r="J690" s="59">
        <v>7.0</v>
      </c>
      <c r="K690" s="61">
        <f t="shared" si="1"/>
        <v>1</v>
      </c>
      <c r="L690" s="62">
        <f t="shared" si="2"/>
        <v>1</v>
      </c>
    </row>
    <row r="691">
      <c r="A691" s="58">
        <v>46054.0</v>
      </c>
      <c r="B691" s="24" t="s">
        <v>6789</v>
      </c>
      <c r="C691" s="24" t="s">
        <v>6797</v>
      </c>
      <c r="D691" s="59">
        <v>7.0</v>
      </c>
      <c r="E691" s="59">
        <v>7.0</v>
      </c>
      <c r="F691" s="59">
        <v>4.0</v>
      </c>
      <c r="G691" s="60">
        <v>1.0</v>
      </c>
      <c r="H691" s="60">
        <v>0.285714285714285</v>
      </c>
      <c r="I691" s="60">
        <v>156.613766285714</v>
      </c>
      <c r="J691" s="59">
        <v>20.0</v>
      </c>
      <c r="K691" s="61">
        <f t="shared" si="1"/>
        <v>0.5714285714</v>
      </c>
      <c r="L691" s="62">
        <f t="shared" si="2"/>
        <v>2.857142857</v>
      </c>
    </row>
    <row r="692">
      <c r="A692" s="58">
        <v>46054.0</v>
      </c>
      <c r="B692" s="24" t="s">
        <v>6787</v>
      </c>
      <c r="C692" s="24" t="s">
        <v>7025</v>
      </c>
      <c r="D692" s="59">
        <v>7.0</v>
      </c>
      <c r="E692" s="59">
        <v>21.0</v>
      </c>
      <c r="F692" s="59">
        <v>5.0</v>
      </c>
      <c r="G692" s="60">
        <v>3.0</v>
      </c>
      <c r="H692" s="60">
        <v>0.142857142857142</v>
      </c>
      <c r="I692" s="60">
        <v>940.178922761904</v>
      </c>
      <c r="J692" s="59">
        <v>104.0</v>
      </c>
      <c r="K692" s="61">
        <f t="shared" si="1"/>
        <v>0.2380952381</v>
      </c>
      <c r="L692" s="62">
        <f t="shared" si="2"/>
        <v>4.952380952</v>
      </c>
    </row>
    <row r="693">
      <c r="A693" s="58">
        <v>46054.0</v>
      </c>
      <c r="B693" s="24" t="s">
        <v>6787</v>
      </c>
      <c r="C693" s="24" t="s">
        <v>6854</v>
      </c>
      <c r="D693" s="59">
        <v>7.0</v>
      </c>
      <c r="E693" s="59">
        <v>8.0</v>
      </c>
      <c r="F693" s="59">
        <v>4.0</v>
      </c>
      <c r="G693" s="60">
        <v>1.33333333333333</v>
      </c>
      <c r="H693" s="60">
        <v>0.5</v>
      </c>
      <c r="I693" s="60">
        <v>153.7162205</v>
      </c>
      <c r="J693" s="59">
        <v>13.0</v>
      </c>
      <c r="K693" s="61">
        <f t="shared" si="1"/>
        <v>0.5</v>
      </c>
      <c r="L693" s="62">
        <f t="shared" si="2"/>
        <v>1.625</v>
      </c>
    </row>
    <row r="694">
      <c r="A694" s="58">
        <v>46054.0</v>
      </c>
      <c r="B694" s="24" t="s">
        <v>6789</v>
      </c>
      <c r="C694" s="24" t="s">
        <v>6803</v>
      </c>
      <c r="D694" s="59">
        <v>6.0</v>
      </c>
      <c r="E694" s="59">
        <v>8.0</v>
      </c>
      <c r="F694" s="59">
        <v>4.0</v>
      </c>
      <c r="G694" s="60">
        <v>1.33333333333333</v>
      </c>
      <c r="H694" s="60">
        <v>0.5</v>
      </c>
      <c r="I694" s="60">
        <v>129.9215765</v>
      </c>
      <c r="J694" s="59">
        <v>9.0</v>
      </c>
      <c r="K694" s="61">
        <f t="shared" si="1"/>
        <v>0.5</v>
      </c>
      <c r="L694" s="62">
        <f t="shared" si="2"/>
        <v>1.125</v>
      </c>
    </row>
    <row r="695">
      <c r="A695" s="58">
        <v>46054.0</v>
      </c>
      <c r="B695" s="24" t="s">
        <v>6789</v>
      </c>
      <c r="C695" s="24" t="s">
        <v>6817</v>
      </c>
      <c r="D695" s="59">
        <v>6.0</v>
      </c>
      <c r="E695" s="59">
        <v>9.0</v>
      </c>
      <c r="F695" s="59">
        <v>2.0</v>
      </c>
      <c r="G695" s="60">
        <v>1.8</v>
      </c>
      <c r="H695" s="60">
        <v>0.222222222222222</v>
      </c>
      <c r="I695" s="60">
        <v>507.808002888888</v>
      </c>
      <c r="J695" s="59">
        <v>50.0</v>
      </c>
      <c r="K695" s="61">
        <f t="shared" si="1"/>
        <v>0.2222222222</v>
      </c>
      <c r="L695" s="62">
        <f t="shared" si="2"/>
        <v>5.555555556</v>
      </c>
    </row>
    <row r="696">
      <c r="A696" s="58">
        <v>46054.0</v>
      </c>
      <c r="B696" s="24" t="s">
        <v>6787</v>
      </c>
      <c r="C696" s="24" t="s">
        <v>6928</v>
      </c>
      <c r="D696" s="59">
        <v>6.0</v>
      </c>
      <c r="E696" s="59">
        <v>6.0</v>
      </c>
      <c r="F696" s="59">
        <v>5.0</v>
      </c>
      <c r="G696" s="60">
        <v>1.0</v>
      </c>
      <c r="H696" s="60">
        <v>0.5</v>
      </c>
      <c r="I696" s="60">
        <v>68.1313561666666</v>
      </c>
      <c r="J696" s="59">
        <v>7.0</v>
      </c>
      <c r="K696" s="61">
        <f t="shared" si="1"/>
        <v>0.8333333333</v>
      </c>
      <c r="L696" s="62">
        <f t="shared" si="2"/>
        <v>1.166666667</v>
      </c>
    </row>
    <row r="697">
      <c r="A697" s="58">
        <v>46054.0</v>
      </c>
      <c r="B697" s="24" t="s">
        <v>6787</v>
      </c>
      <c r="C697" s="24" t="s">
        <v>7021</v>
      </c>
      <c r="D697" s="59">
        <v>6.0</v>
      </c>
      <c r="E697" s="59">
        <v>6.0</v>
      </c>
      <c r="F697" s="59">
        <v>6.0</v>
      </c>
      <c r="G697" s="60">
        <v>1.0</v>
      </c>
      <c r="H697" s="60">
        <v>0.833333333333333</v>
      </c>
      <c r="I697" s="60">
        <v>100.6915885</v>
      </c>
      <c r="J697" s="59">
        <v>10.0</v>
      </c>
      <c r="K697" s="61">
        <f t="shared" si="1"/>
        <v>1</v>
      </c>
      <c r="L697" s="62">
        <f t="shared" si="2"/>
        <v>1.666666667</v>
      </c>
    </row>
    <row r="698">
      <c r="A698" s="58">
        <v>46054.0</v>
      </c>
      <c r="B698" s="24" t="s">
        <v>6787</v>
      </c>
      <c r="C698" s="24" t="s">
        <v>6841</v>
      </c>
      <c r="D698" s="59">
        <v>6.0</v>
      </c>
      <c r="E698" s="59">
        <v>6.0</v>
      </c>
      <c r="F698" s="59">
        <v>6.0</v>
      </c>
      <c r="G698" s="60">
        <v>1.0</v>
      </c>
      <c r="H698" s="60">
        <v>0.833333333333333</v>
      </c>
      <c r="I698" s="60">
        <v>0.399789333333333</v>
      </c>
      <c r="J698" s="59">
        <v>7.0</v>
      </c>
      <c r="K698" s="61">
        <f t="shared" si="1"/>
        <v>1</v>
      </c>
      <c r="L698" s="62">
        <f t="shared" si="2"/>
        <v>1.166666667</v>
      </c>
    </row>
    <row r="699">
      <c r="A699" s="58">
        <v>46054.0</v>
      </c>
      <c r="B699" s="24" t="s">
        <v>6787</v>
      </c>
      <c r="C699" s="24" t="s">
        <v>6811</v>
      </c>
      <c r="D699" s="59">
        <v>6.0</v>
      </c>
      <c r="E699" s="59">
        <v>6.0</v>
      </c>
      <c r="F699" s="59">
        <v>6.0</v>
      </c>
      <c r="G699" s="60">
        <v>1.0</v>
      </c>
      <c r="H699" s="60">
        <v>1.0</v>
      </c>
      <c r="I699" s="60">
        <v>0.0</v>
      </c>
      <c r="J699" s="59">
        <v>6.0</v>
      </c>
      <c r="K699" s="61">
        <f t="shared" si="1"/>
        <v>1</v>
      </c>
      <c r="L699" s="62">
        <f t="shared" si="2"/>
        <v>1</v>
      </c>
    </row>
    <row r="700">
      <c r="A700" s="58">
        <v>46054.0</v>
      </c>
      <c r="B700" s="24" t="s">
        <v>6789</v>
      </c>
      <c r="C700" s="24" t="s">
        <v>6845</v>
      </c>
      <c r="D700" s="59">
        <v>6.0</v>
      </c>
      <c r="E700" s="59">
        <v>6.0</v>
      </c>
      <c r="F700" s="59">
        <v>2.0</v>
      </c>
      <c r="G700" s="60">
        <v>1.0</v>
      </c>
      <c r="H700" s="60">
        <v>0.666666666666666</v>
      </c>
      <c r="I700" s="60">
        <v>49.4296196666666</v>
      </c>
      <c r="J700" s="59">
        <v>7.0</v>
      </c>
      <c r="K700" s="61">
        <f t="shared" si="1"/>
        <v>0.3333333333</v>
      </c>
      <c r="L700" s="62">
        <f t="shared" si="2"/>
        <v>1.166666667</v>
      </c>
    </row>
    <row r="701">
      <c r="A701" s="58">
        <v>46054.0</v>
      </c>
      <c r="B701" s="24" t="s">
        <v>6787</v>
      </c>
      <c r="C701" s="24" t="s">
        <v>6846</v>
      </c>
      <c r="D701" s="59">
        <v>6.0</v>
      </c>
      <c r="E701" s="59">
        <v>6.0</v>
      </c>
      <c r="F701" s="59">
        <v>5.0</v>
      </c>
      <c r="G701" s="60">
        <v>1.0</v>
      </c>
      <c r="H701" s="60">
        <v>0.833333333333333</v>
      </c>
      <c r="I701" s="60">
        <v>259.202781833333</v>
      </c>
      <c r="J701" s="59">
        <v>13.0</v>
      </c>
      <c r="K701" s="61">
        <f t="shared" si="1"/>
        <v>0.8333333333</v>
      </c>
      <c r="L701" s="62">
        <f t="shared" si="2"/>
        <v>2.166666667</v>
      </c>
    </row>
    <row r="702">
      <c r="A702" s="58">
        <v>46054.0</v>
      </c>
      <c r="B702" s="24" t="s">
        <v>6789</v>
      </c>
      <c r="C702" s="24" t="s">
        <v>6907</v>
      </c>
      <c r="D702" s="59">
        <v>6.0</v>
      </c>
      <c r="E702" s="59">
        <v>8.0</v>
      </c>
      <c r="F702" s="59">
        <v>2.0</v>
      </c>
      <c r="G702" s="60">
        <v>1.6</v>
      </c>
      <c r="H702" s="60">
        <v>0.25</v>
      </c>
      <c r="I702" s="60">
        <v>442.20474925</v>
      </c>
      <c r="J702" s="59">
        <v>14.0</v>
      </c>
      <c r="K702" s="61">
        <f t="shared" si="1"/>
        <v>0.25</v>
      </c>
      <c r="L702" s="62">
        <f t="shared" si="2"/>
        <v>1.75</v>
      </c>
    </row>
    <row r="703">
      <c r="A703" s="58">
        <v>46054.0</v>
      </c>
      <c r="B703" s="24" t="s">
        <v>6787</v>
      </c>
      <c r="C703" s="24" t="s">
        <v>6814</v>
      </c>
      <c r="D703" s="59">
        <v>6.0</v>
      </c>
      <c r="E703" s="59">
        <v>6.0</v>
      </c>
      <c r="F703" s="59">
        <v>6.0</v>
      </c>
      <c r="G703" s="60">
        <v>1.0</v>
      </c>
      <c r="H703" s="60">
        <v>1.0</v>
      </c>
      <c r="I703" s="60">
        <v>1.1225365</v>
      </c>
      <c r="J703" s="59">
        <v>6.0</v>
      </c>
      <c r="K703" s="61">
        <f t="shared" si="1"/>
        <v>1</v>
      </c>
      <c r="L703" s="62">
        <f t="shared" si="2"/>
        <v>1</v>
      </c>
    </row>
    <row r="704">
      <c r="A704" s="58">
        <v>46054.0</v>
      </c>
      <c r="B704" s="24" t="s">
        <v>6787</v>
      </c>
      <c r="C704" s="24" t="s">
        <v>6936</v>
      </c>
      <c r="D704" s="59">
        <v>6.0</v>
      </c>
      <c r="E704" s="59">
        <v>6.0</v>
      </c>
      <c r="F704" s="59">
        <v>5.0</v>
      </c>
      <c r="G704" s="60">
        <v>1.0</v>
      </c>
      <c r="H704" s="60">
        <v>0.666666666666666</v>
      </c>
      <c r="I704" s="60">
        <v>32.9294933333333</v>
      </c>
      <c r="J704" s="59">
        <v>9.0</v>
      </c>
      <c r="K704" s="61">
        <f t="shared" si="1"/>
        <v>0.8333333333</v>
      </c>
      <c r="L704" s="62">
        <f t="shared" si="2"/>
        <v>1.5</v>
      </c>
    </row>
    <row r="705">
      <c r="A705" s="58">
        <v>46054.0</v>
      </c>
      <c r="B705" s="24" t="s">
        <v>6787</v>
      </c>
      <c r="C705" s="24" t="s">
        <v>6932</v>
      </c>
      <c r="D705" s="59">
        <v>5.0</v>
      </c>
      <c r="E705" s="59">
        <v>5.0</v>
      </c>
      <c r="F705" s="59">
        <v>5.0</v>
      </c>
      <c r="G705" s="60">
        <v>1.0</v>
      </c>
      <c r="H705" s="60">
        <v>1.0</v>
      </c>
      <c r="I705" s="60">
        <v>0.0</v>
      </c>
      <c r="J705" s="59">
        <v>5.0</v>
      </c>
      <c r="K705" s="61">
        <f t="shared" si="1"/>
        <v>1</v>
      </c>
      <c r="L705" s="62">
        <f t="shared" si="2"/>
        <v>1</v>
      </c>
    </row>
    <row r="706">
      <c r="A706" s="58">
        <v>46054.0</v>
      </c>
      <c r="B706" s="24" t="s">
        <v>6787</v>
      </c>
      <c r="C706" s="24" t="s">
        <v>6861</v>
      </c>
      <c r="D706" s="59">
        <v>5.0</v>
      </c>
      <c r="E706" s="59">
        <v>5.0</v>
      </c>
      <c r="F706" s="59">
        <v>5.0</v>
      </c>
      <c r="G706" s="60">
        <v>1.0</v>
      </c>
      <c r="H706" s="60">
        <v>1.0</v>
      </c>
      <c r="I706" s="60">
        <v>0.0</v>
      </c>
      <c r="J706" s="59">
        <v>5.0</v>
      </c>
      <c r="K706" s="61">
        <f t="shared" si="1"/>
        <v>1</v>
      </c>
      <c r="L706" s="62">
        <f t="shared" si="2"/>
        <v>1</v>
      </c>
    </row>
    <row r="707">
      <c r="A707" s="58">
        <v>46054.0</v>
      </c>
      <c r="B707" s="24" t="s">
        <v>6794</v>
      </c>
      <c r="C707" s="24" t="s">
        <v>6793</v>
      </c>
      <c r="D707" s="59">
        <v>5.0</v>
      </c>
      <c r="E707" s="59">
        <v>5.0</v>
      </c>
      <c r="F707" s="59">
        <v>2.0</v>
      </c>
      <c r="G707" s="60">
        <v>1.0</v>
      </c>
      <c r="H707" s="60">
        <v>0.4</v>
      </c>
      <c r="I707" s="60">
        <v>95.4394618</v>
      </c>
      <c r="J707" s="59">
        <v>6.0</v>
      </c>
      <c r="K707" s="61">
        <f t="shared" si="1"/>
        <v>0.4</v>
      </c>
      <c r="L707" s="62">
        <f t="shared" si="2"/>
        <v>1.2</v>
      </c>
    </row>
    <row r="708">
      <c r="A708" s="58">
        <v>46054.0</v>
      </c>
      <c r="B708" s="24" t="s">
        <v>6789</v>
      </c>
      <c r="C708" s="24" t="s">
        <v>6834</v>
      </c>
      <c r="D708" s="59">
        <v>5.0</v>
      </c>
      <c r="E708" s="59">
        <v>6.0</v>
      </c>
      <c r="F708" s="59">
        <v>4.0</v>
      </c>
      <c r="G708" s="60">
        <v>1.2</v>
      </c>
      <c r="H708" s="60">
        <v>0.5</v>
      </c>
      <c r="I708" s="60">
        <v>33.6007193333333</v>
      </c>
      <c r="J708" s="59">
        <v>7.0</v>
      </c>
      <c r="K708" s="61">
        <f t="shared" si="1"/>
        <v>0.6666666667</v>
      </c>
      <c r="L708" s="62">
        <f t="shared" si="2"/>
        <v>1.166666667</v>
      </c>
    </row>
    <row r="709">
      <c r="A709" s="58">
        <v>46054.0</v>
      </c>
      <c r="B709" s="24" t="s">
        <v>6789</v>
      </c>
      <c r="C709" s="24" t="s">
        <v>7024</v>
      </c>
      <c r="D709" s="59">
        <v>5.0</v>
      </c>
      <c r="E709" s="59">
        <v>10.0</v>
      </c>
      <c r="F709" s="59">
        <v>5.0</v>
      </c>
      <c r="G709" s="60">
        <v>2.0</v>
      </c>
      <c r="H709" s="60">
        <v>0.6</v>
      </c>
      <c r="I709" s="60">
        <v>129.7569383</v>
      </c>
      <c r="J709" s="59">
        <v>10.0</v>
      </c>
      <c r="K709" s="61">
        <f t="shared" si="1"/>
        <v>0.5</v>
      </c>
      <c r="L709" s="62">
        <f t="shared" si="2"/>
        <v>1</v>
      </c>
    </row>
    <row r="710">
      <c r="A710" s="58">
        <v>46054.0</v>
      </c>
      <c r="B710" s="24" t="s">
        <v>6787</v>
      </c>
      <c r="C710" s="24" t="s">
        <v>6822</v>
      </c>
      <c r="D710" s="59">
        <v>5.0</v>
      </c>
      <c r="E710" s="59">
        <v>5.0</v>
      </c>
      <c r="F710" s="59">
        <v>2.0</v>
      </c>
      <c r="G710" s="60">
        <v>1.25</v>
      </c>
      <c r="H710" s="60">
        <v>0.2</v>
      </c>
      <c r="I710" s="60">
        <v>268.0235024</v>
      </c>
      <c r="J710" s="59">
        <v>16.0</v>
      </c>
      <c r="K710" s="61">
        <f t="shared" si="1"/>
        <v>0.4</v>
      </c>
      <c r="L710" s="62">
        <f t="shared" si="2"/>
        <v>3.2</v>
      </c>
    </row>
    <row r="711">
      <c r="A711" s="58">
        <v>46054.0</v>
      </c>
      <c r="B711" s="24" t="s">
        <v>6787</v>
      </c>
      <c r="C711" s="24" t="s">
        <v>6891</v>
      </c>
      <c r="D711" s="59">
        <v>5.0</v>
      </c>
      <c r="E711" s="59">
        <v>5.0</v>
      </c>
      <c r="F711" s="59">
        <v>3.0</v>
      </c>
      <c r="G711" s="60">
        <v>1.0</v>
      </c>
      <c r="H711" s="60">
        <v>0.8</v>
      </c>
      <c r="I711" s="60">
        <v>2.97842519999999</v>
      </c>
      <c r="J711" s="59">
        <v>5.0</v>
      </c>
      <c r="K711" s="61">
        <f t="shared" si="1"/>
        <v>0.6</v>
      </c>
      <c r="L711" s="62">
        <f t="shared" si="2"/>
        <v>1</v>
      </c>
    </row>
    <row r="712">
      <c r="A712" s="58">
        <v>46054.0</v>
      </c>
      <c r="B712" s="24" t="s">
        <v>6787</v>
      </c>
      <c r="C712" s="24" t="s">
        <v>6894</v>
      </c>
      <c r="D712" s="59">
        <v>5.0</v>
      </c>
      <c r="E712" s="59">
        <v>5.0</v>
      </c>
      <c r="F712" s="59">
        <v>5.0</v>
      </c>
      <c r="G712" s="60">
        <v>1.0</v>
      </c>
      <c r="H712" s="60">
        <v>0.8</v>
      </c>
      <c r="I712" s="60">
        <v>32.2936518</v>
      </c>
      <c r="J712" s="59">
        <v>5.0</v>
      </c>
      <c r="K712" s="61">
        <f t="shared" si="1"/>
        <v>1</v>
      </c>
      <c r="L712" s="62">
        <f t="shared" si="2"/>
        <v>1</v>
      </c>
    </row>
    <row r="713">
      <c r="A713" s="58">
        <v>46054.0</v>
      </c>
      <c r="B713" s="24" t="s">
        <v>6789</v>
      </c>
      <c r="C713" s="24" t="s">
        <v>6898</v>
      </c>
      <c r="D713" s="59">
        <v>5.0</v>
      </c>
      <c r="E713" s="59">
        <v>5.0</v>
      </c>
      <c r="F713" s="59">
        <v>4.0</v>
      </c>
      <c r="G713" s="60">
        <v>1.0</v>
      </c>
      <c r="H713" s="60">
        <v>0.8</v>
      </c>
      <c r="I713" s="60">
        <v>51.9586434</v>
      </c>
      <c r="J713" s="59">
        <v>9.0</v>
      </c>
      <c r="K713" s="61">
        <f t="shared" si="1"/>
        <v>0.8</v>
      </c>
      <c r="L713" s="62">
        <f t="shared" si="2"/>
        <v>1.8</v>
      </c>
    </row>
    <row r="714">
      <c r="A714" s="58">
        <v>46054.0</v>
      </c>
      <c r="B714" s="24" t="s">
        <v>6789</v>
      </c>
      <c r="C714" s="24" t="s">
        <v>6844</v>
      </c>
      <c r="D714" s="59">
        <v>5.0</v>
      </c>
      <c r="E714" s="59">
        <v>5.0</v>
      </c>
      <c r="F714" s="59">
        <v>5.0</v>
      </c>
      <c r="G714" s="60">
        <v>1.0</v>
      </c>
      <c r="H714" s="60">
        <v>0.4</v>
      </c>
      <c r="I714" s="60">
        <v>68.7443016</v>
      </c>
      <c r="J714" s="59">
        <v>7.0</v>
      </c>
      <c r="K714" s="61">
        <f t="shared" si="1"/>
        <v>1</v>
      </c>
      <c r="L714" s="62">
        <f t="shared" si="2"/>
        <v>1.4</v>
      </c>
    </row>
    <row r="715">
      <c r="A715" s="58">
        <v>46054.0</v>
      </c>
      <c r="B715" s="24" t="s">
        <v>6789</v>
      </c>
      <c r="C715" s="24" t="s">
        <v>6846</v>
      </c>
      <c r="D715" s="59">
        <v>5.0</v>
      </c>
      <c r="E715" s="59">
        <v>5.0</v>
      </c>
      <c r="F715" s="59">
        <v>3.0</v>
      </c>
      <c r="G715" s="60">
        <v>1.0</v>
      </c>
      <c r="H715" s="60">
        <v>0.4</v>
      </c>
      <c r="I715" s="60">
        <v>193.3951094</v>
      </c>
      <c r="J715" s="59">
        <v>7.0</v>
      </c>
      <c r="K715" s="61">
        <f t="shared" si="1"/>
        <v>0.6</v>
      </c>
      <c r="L715" s="62">
        <f t="shared" si="2"/>
        <v>1.4</v>
      </c>
    </row>
    <row r="716">
      <c r="A716" s="58">
        <v>46054.0</v>
      </c>
      <c r="B716" s="24" t="s">
        <v>6787</v>
      </c>
      <c r="C716" s="24" t="s">
        <v>6947</v>
      </c>
      <c r="D716" s="59">
        <v>5.0</v>
      </c>
      <c r="E716" s="59">
        <v>5.0</v>
      </c>
      <c r="F716" s="59">
        <v>5.0</v>
      </c>
      <c r="G716" s="60">
        <v>1.0</v>
      </c>
      <c r="H716" s="60">
        <v>0.8</v>
      </c>
      <c r="I716" s="60">
        <v>2.29722</v>
      </c>
      <c r="J716" s="59">
        <v>5.0</v>
      </c>
      <c r="K716" s="61">
        <f t="shared" si="1"/>
        <v>1</v>
      </c>
      <c r="L716" s="62">
        <f t="shared" si="2"/>
        <v>1</v>
      </c>
    </row>
    <row r="717">
      <c r="A717" s="58">
        <v>46054.0</v>
      </c>
      <c r="B717" s="24" t="s">
        <v>6787</v>
      </c>
      <c r="C717" s="24" t="s">
        <v>7026</v>
      </c>
      <c r="D717" s="59">
        <v>5.0</v>
      </c>
      <c r="E717" s="59">
        <v>5.0</v>
      </c>
      <c r="F717" s="59">
        <v>5.0</v>
      </c>
      <c r="G717" s="60">
        <v>1.0</v>
      </c>
      <c r="H717" s="60">
        <v>1.0</v>
      </c>
      <c r="I717" s="60">
        <v>0.0</v>
      </c>
      <c r="J717" s="59">
        <v>5.0</v>
      </c>
      <c r="K717" s="61">
        <f t="shared" si="1"/>
        <v>1</v>
      </c>
      <c r="L717" s="62">
        <f t="shared" si="2"/>
        <v>1</v>
      </c>
    </row>
    <row r="718">
      <c r="A718" s="58">
        <v>46054.0</v>
      </c>
      <c r="B718" s="24" t="s">
        <v>6787</v>
      </c>
      <c r="C718" s="24" t="s">
        <v>6812</v>
      </c>
      <c r="D718" s="59">
        <v>5.0</v>
      </c>
      <c r="E718" s="59">
        <v>6.0</v>
      </c>
      <c r="F718" s="59">
        <v>2.0</v>
      </c>
      <c r="G718" s="60">
        <v>1.2</v>
      </c>
      <c r="H718" s="60">
        <v>0.666666666666666</v>
      </c>
      <c r="I718" s="60">
        <v>146.3128825</v>
      </c>
      <c r="J718" s="59">
        <v>6.0</v>
      </c>
      <c r="K718" s="61">
        <f t="shared" si="1"/>
        <v>0.3333333333</v>
      </c>
      <c r="L718" s="62">
        <f t="shared" si="2"/>
        <v>1</v>
      </c>
    </row>
    <row r="719">
      <c r="A719" s="58">
        <v>46054.0</v>
      </c>
      <c r="B719" s="24" t="s">
        <v>6787</v>
      </c>
      <c r="C719" s="24" t="s">
        <v>6909</v>
      </c>
      <c r="D719" s="59">
        <v>5.0</v>
      </c>
      <c r="E719" s="59">
        <v>5.0</v>
      </c>
      <c r="F719" s="59">
        <v>5.0</v>
      </c>
      <c r="G719" s="60">
        <v>1.0</v>
      </c>
      <c r="H719" s="60">
        <v>0.8</v>
      </c>
      <c r="I719" s="60">
        <v>2.5343564</v>
      </c>
      <c r="J719" s="59">
        <v>6.0</v>
      </c>
      <c r="K719" s="61">
        <f t="shared" si="1"/>
        <v>1</v>
      </c>
      <c r="L719" s="62">
        <f t="shared" si="2"/>
        <v>1.2</v>
      </c>
    </row>
    <row r="720">
      <c r="A720" s="58">
        <v>46054.0</v>
      </c>
      <c r="B720" s="24" t="s">
        <v>6787</v>
      </c>
      <c r="C720" s="24" t="s">
        <v>6851</v>
      </c>
      <c r="D720" s="59">
        <v>5.0</v>
      </c>
      <c r="E720" s="59">
        <v>5.0</v>
      </c>
      <c r="F720" s="59">
        <v>5.0</v>
      </c>
      <c r="G720" s="60">
        <v>1.0</v>
      </c>
      <c r="H720" s="60">
        <v>1.0</v>
      </c>
      <c r="I720" s="60">
        <v>0.2532234</v>
      </c>
      <c r="J720" s="59">
        <v>5.0</v>
      </c>
      <c r="K720" s="61">
        <f t="shared" si="1"/>
        <v>1</v>
      </c>
      <c r="L720" s="62">
        <f t="shared" si="2"/>
        <v>1</v>
      </c>
    </row>
    <row r="721">
      <c r="A721" s="58">
        <v>46054.0</v>
      </c>
      <c r="B721" s="24" t="s">
        <v>6789</v>
      </c>
      <c r="C721" s="24" t="s">
        <v>6801</v>
      </c>
      <c r="D721" s="59">
        <v>5.0</v>
      </c>
      <c r="E721" s="59">
        <v>5.0</v>
      </c>
      <c r="F721" s="59">
        <v>4.0</v>
      </c>
      <c r="G721" s="60">
        <v>1.0</v>
      </c>
      <c r="H721" s="60">
        <v>0.2</v>
      </c>
      <c r="I721" s="60">
        <v>163.8126454</v>
      </c>
      <c r="J721" s="59">
        <v>18.0</v>
      </c>
      <c r="K721" s="61">
        <f t="shared" si="1"/>
        <v>0.8</v>
      </c>
      <c r="L721" s="62">
        <f t="shared" si="2"/>
        <v>3.6</v>
      </c>
    </row>
    <row r="722">
      <c r="A722" s="58">
        <v>46054.0</v>
      </c>
      <c r="B722" s="24" t="s">
        <v>6787</v>
      </c>
      <c r="C722" s="24" t="s">
        <v>6912</v>
      </c>
      <c r="D722" s="59">
        <v>5.0</v>
      </c>
      <c r="E722" s="59">
        <v>7.0</v>
      </c>
      <c r="F722" s="59">
        <v>2.0</v>
      </c>
      <c r="G722" s="60">
        <v>1.4</v>
      </c>
      <c r="H722" s="60">
        <v>0.571428571428571</v>
      </c>
      <c r="I722" s="60">
        <v>191.594428</v>
      </c>
      <c r="J722" s="59">
        <v>9.0</v>
      </c>
      <c r="K722" s="61">
        <f t="shared" si="1"/>
        <v>0.2857142857</v>
      </c>
      <c r="L722" s="62">
        <f t="shared" si="2"/>
        <v>1.285714286</v>
      </c>
    </row>
    <row r="723">
      <c r="A723" s="58">
        <v>46054.0</v>
      </c>
      <c r="B723" s="24" t="s">
        <v>6787</v>
      </c>
      <c r="C723" s="24" t="s">
        <v>7027</v>
      </c>
      <c r="D723" s="59">
        <v>5.0</v>
      </c>
      <c r="E723" s="59">
        <v>5.0</v>
      </c>
      <c r="F723" s="59">
        <v>5.0</v>
      </c>
      <c r="G723" s="60">
        <v>1.0</v>
      </c>
      <c r="H723" s="60">
        <v>1.0</v>
      </c>
      <c r="I723" s="60">
        <v>3.0541886</v>
      </c>
      <c r="J723" s="59">
        <v>5.0</v>
      </c>
      <c r="K723" s="61">
        <f t="shared" si="1"/>
        <v>1</v>
      </c>
      <c r="L723" s="62">
        <f t="shared" si="2"/>
        <v>1</v>
      </c>
    </row>
    <row r="724">
      <c r="A724" s="58">
        <v>46054.0</v>
      </c>
      <c r="B724" s="24" t="s">
        <v>6787</v>
      </c>
      <c r="C724" s="24" t="s">
        <v>7028</v>
      </c>
      <c r="D724" s="59">
        <v>5.0</v>
      </c>
      <c r="E724" s="59">
        <v>5.0</v>
      </c>
      <c r="F724" s="59">
        <v>5.0</v>
      </c>
      <c r="G724" s="60">
        <v>1.0</v>
      </c>
      <c r="H724" s="60">
        <v>1.0</v>
      </c>
      <c r="I724" s="60">
        <v>0.0</v>
      </c>
      <c r="J724" s="59">
        <v>5.0</v>
      </c>
      <c r="K724" s="61">
        <f t="shared" si="1"/>
        <v>1</v>
      </c>
      <c r="L724" s="62">
        <f t="shared" si="2"/>
        <v>1</v>
      </c>
    </row>
    <row r="725">
      <c r="A725" s="58">
        <v>46054.0</v>
      </c>
      <c r="B725" s="24" t="s">
        <v>6789</v>
      </c>
      <c r="C725" s="24" t="s">
        <v>7019</v>
      </c>
      <c r="D725" s="59">
        <v>5.0</v>
      </c>
      <c r="E725" s="59">
        <v>6.0</v>
      </c>
      <c r="F725" s="59">
        <v>2.0</v>
      </c>
      <c r="G725" s="60">
        <v>1.2</v>
      </c>
      <c r="H725" s="60">
        <v>0.333333333333333</v>
      </c>
      <c r="I725" s="60">
        <v>879.113982666666</v>
      </c>
      <c r="J725" s="59">
        <v>18.0</v>
      </c>
      <c r="K725" s="61">
        <f t="shared" si="1"/>
        <v>0.3333333333</v>
      </c>
      <c r="L725" s="62">
        <f t="shared" si="2"/>
        <v>3</v>
      </c>
    </row>
    <row r="726">
      <c r="A726" s="58">
        <v>46054.0</v>
      </c>
      <c r="B726" s="24" t="s">
        <v>6787</v>
      </c>
      <c r="C726" s="24" t="s">
        <v>6931</v>
      </c>
      <c r="D726" s="59">
        <v>5.0</v>
      </c>
      <c r="E726" s="59">
        <v>5.0</v>
      </c>
      <c r="F726" s="59">
        <v>5.0</v>
      </c>
      <c r="G726" s="60">
        <v>1.0</v>
      </c>
      <c r="H726" s="60">
        <v>1.0</v>
      </c>
      <c r="I726" s="60">
        <v>0.0</v>
      </c>
      <c r="J726" s="59">
        <v>5.0</v>
      </c>
      <c r="K726" s="61">
        <f t="shared" si="1"/>
        <v>1</v>
      </c>
      <c r="L726" s="62">
        <f t="shared" si="2"/>
        <v>1</v>
      </c>
    </row>
    <row r="727">
      <c r="A727" s="58">
        <v>46054.0</v>
      </c>
      <c r="B727" s="24" t="s">
        <v>6787</v>
      </c>
      <c r="C727" s="24" t="s">
        <v>6940</v>
      </c>
      <c r="D727" s="59">
        <v>5.0</v>
      </c>
      <c r="E727" s="59">
        <v>5.0</v>
      </c>
      <c r="F727" s="59">
        <v>4.0</v>
      </c>
      <c r="G727" s="60">
        <v>1.0</v>
      </c>
      <c r="H727" s="60">
        <v>0.8</v>
      </c>
      <c r="I727" s="60">
        <v>5.0228822</v>
      </c>
      <c r="J727" s="59">
        <v>5.0</v>
      </c>
      <c r="K727" s="61">
        <f t="shared" si="1"/>
        <v>0.8</v>
      </c>
      <c r="L727" s="62">
        <f t="shared" si="2"/>
        <v>1</v>
      </c>
    </row>
    <row r="728">
      <c r="A728" s="58">
        <v>46054.0</v>
      </c>
      <c r="B728" s="24" t="s">
        <v>6789</v>
      </c>
      <c r="C728" s="24" t="s">
        <v>6854</v>
      </c>
      <c r="D728" s="59">
        <v>5.0</v>
      </c>
      <c r="E728" s="59">
        <v>8.0</v>
      </c>
      <c r="F728" s="59">
        <v>1.0</v>
      </c>
      <c r="G728" s="60">
        <v>2.0</v>
      </c>
      <c r="H728" s="60">
        <v>0.625</v>
      </c>
      <c r="I728" s="60">
        <v>102.110359625</v>
      </c>
      <c r="J728" s="59">
        <v>12.0</v>
      </c>
      <c r="K728" s="61">
        <f t="shared" si="1"/>
        <v>0.125</v>
      </c>
      <c r="L728" s="62">
        <f t="shared" si="2"/>
        <v>1.5</v>
      </c>
    </row>
    <row r="729">
      <c r="A729" s="58">
        <v>46054.0</v>
      </c>
      <c r="B729" s="24" t="s">
        <v>6791</v>
      </c>
      <c r="C729" s="24" t="s">
        <v>6802</v>
      </c>
      <c r="D729" s="59">
        <v>5.0</v>
      </c>
      <c r="E729" s="59">
        <v>5.0</v>
      </c>
      <c r="F729" s="59">
        <v>0.0</v>
      </c>
      <c r="G729" s="60">
        <v>1.66666666666666</v>
      </c>
      <c r="H729" s="60">
        <v>0.4</v>
      </c>
      <c r="I729" s="60">
        <v>63.2605044</v>
      </c>
      <c r="J729" s="59">
        <v>11.0</v>
      </c>
      <c r="K729" s="61">
        <f t="shared" si="1"/>
        <v>0</v>
      </c>
      <c r="L729" s="62">
        <f t="shared" si="2"/>
        <v>2.2</v>
      </c>
    </row>
    <row r="730">
      <c r="A730" s="58">
        <v>46054.0</v>
      </c>
      <c r="B730" s="24" t="s">
        <v>6789</v>
      </c>
      <c r="C730" s="24" t="s">
        <v>6828</v>
      </c>
      <c r="D730" s="59">
        <v>4.0</v>
      </c>
      <c r="E730" s="59">
        <v>5.0</v>
      </c>
      <c r="F730" s="59">
        <v>4.0</v>
      </c>
      <c r="G730" s="60">
        <v>1.25</v>
      </c>
      <c r="H730" s="60">
        <v>0.4</v>
      </c>
      <c r="I730" s="60">
        <v>16.1221708</v>
      </c>
      <c r="J730" s="59">
        <v>5.0</v>
      </c>
      <c r="K730" s="61">
        <f t="shared" si="1"/>
        <v>0.8</v>
      </c>
      <c r="L730" s="62">
        <f t="shared" si="2"/>
        <v>1</v>
      </c>
    </row>
    <row r="731">
      <c r="A731" s="58">
        <v>46054.0</v>
      </c>
      <c r="B731" s="24" t="s">
        <v>155</v>
      </c>
      <c r="C731" s="24" t="s">
        <v>6804</v>
      </c>
      <c r="D731" s="59">
        <v>4.0</v>
      </c>
      <c r="E731" s="59">
        <v>5.0</v>
      </c>
      <c r="F731" s="59">
        <v>4.0</v>
      </c>
      <c r="G731" s="60">
        <v>1.25</v>
      </c>
      <c r="H731" s="60">
        <v>0.8</v>
      </c>
      <c r="I731" s="60">
        <v>53.3249929999999</v>
      </c>
      <c r="J731" s="59">
        <v>5.0</v>
      </c>
      <c r="K731" s="61">
        <f t="shared" si="1"/>
        <v>0.8</v>
      </c>
      <c r="L731" s="62">
        <f t="shared" si="2"/>
        <v>1</v>
      </c>
    </row>
    <row r="732">
      <c r="A732" s="58">
        <v>46054.0</v>
      </c>
      <c r="B732" s="24" t="s">
        <v>6790</v>
      </c>
      <c r="C732" s="24" t="s">
        <v>6793</v>
      </c>
      <c r="D732" s="59">
        <v>4.0</v>
      </c>
      <c r="E732" s="59">
        <v>5.0</v>
      </c>
      <c r="F732" s="59">
        <v>4.0</v>
      </c>
      <c r="G732" s="60">
        <v>1.25</v>
      </c>
      <c r="H732" s="60">
        <v>0.6</v>
      </c>
      <c r="I732" s="60">
        <v>78.4159156</v>
      </c>
      <c r="J732" s="59">
        <v>6.0</v>
      </c>
      <c r="K732" s="61">
        <f t="shared" si="1"/>
        <v>0.8</v>
      </c>
      <c r="L732" s="62">
        <f t="shared" si="2"/>
        <v>1.2</v>
      </c>
    </row>
    <row r="733">
      <c r="A733" s="58">
        <v>46054.0</v>
      </c>
      <c r="B733" s="24" t="s">
        <v>6789</v>
      </c>
      <c r="C733" s="24" t="s">
        <v>6819</v>
      </c>
      <c r="D733" s="59">
        <v>4.0</v>
      </c>
      <c r="E733" s="59">
        <v>4.0</v>
      </c>
      <c r="F733" s="59">
        <v>3.0</v>
      </c>
      <c r="G733" s="60">
        <v>1.0</v>
      </c>
      <c r="H733" s="60">
        <v>0.25</v>
      </c>
      <c r="I733" s="60">
        <v>1032.5574375</v>
      </c>
      <c r="J733" s="59">
        <v>11.0</v>
      </c>
      <c r="K733" s="61">
        <f t="shared" si="1"/>
        <v>0.75</v>
      </c>
      <c r="L733" s="62">
        <f t="shared" si="2"/>
        <v>2.75</v>
      </c>
    </row>
    <row r="734">
      <c r="A734" s="58">
        <v>46054.0</v>
      </c>
      <c r="B734" s="24" t="s">
        <v>6787</v>
      </c>
      <c r="C734" s="24" t="s">
        <v>6927</v>
      </c>
      <c r="D734" s="59">
        <v>4.0</v>
      </c>
      <c r="E734" s="59">
        <v>4.0</v>
      </c>
      <c r="F734" s="59">
        <v>4.0</v>
      </c>
      <c r="G734" s="60">
        <v>1.0</v>
      </c>
      <c r="H734" s="60">
        <v>1.0</v>
      </c>
      <c r="I734" s="60">
        <v>0.0</v>
      </c>
      <c r="J734" s="59">
        <v>4.0</v>
      </c>
      <c r="K734" s="61">
        <f t="shared" si="1"/>
        <v>1</v>
      </c>
      <c r="L734" s="62">
        <f t="shared" si="2"/>
        <v>1</v>
      </c>
    </row>
    <row r="735">
      <c r="A735" s="58">
        <v>46054.0</v>
      </c>
      <c r="B735" s="24" t="s">
        <v>6787</v>
      </c>
      <c r="C735" s="24" t="s">
        <v>6871</v>
      </c>
      <c r="D735" s="59">
        <v>4.0</v>
      </c>
      <c r="E735" s="59">
        <v>4.0</v>
      </c>
      <c r="F735" s="59">
        <v>4.0</v>
      </c>
      <c r="G735" s="60">
        <v>1.0</v>
      </c>
      <c r="H735" s="60">
        <v>1.0</v>
      </c>
      <c r="I735" s="60">
        <v>0.0</v>
      </c>
      <c r="J735" s="59">
        <v>4.0</v>
      </c>
      <c r="K735" s="61">
        <f t="shared" si="1"/>
        <v>1</v>
      </c>
      <c r="L735" s="62">
        <f t="shared" si="2"/>
        <v>1</v>
      </c>
    </row>
    <row r="736">
      <c r="A736" s="58">
        <v>46054.0</v>
      </c>
      <c r="B736" s="24" t="s">
        <v>6787</v>
      </c>
      <c r="C736" s="24" t="s">
        <v>6875</v>
      </c>
      <c r="D736" s="59">
        <v>4.0</v>
      </c>
      <c r="E736" s="59">
        <v>4.0</v>
      </c>
      <c r="F736" s="59">
        <v>4.0</v>
      </c>
      <c r="G736" s="60">
        <v>1.0</v>
      </c>
      <c r="H736" s="60">
        <v>1.0</v>
      </c>
      <c r="I736" s="60">
        <v>0.0</v>
      </c>
      <c r="J736" s="59">
        <v>4.0</v>
      </c>
      <c r="K736" s="61">
        <f t="shared" si="1"/>
        <v>1</v>
      </c>
      <c r="L736" s="62">
        <f t="shared" si="2"/>
        <v>1</v>
      </c>
    </row>
    <row r="737">
      <c r="A737" s="58">
        <v>46054.0</v>
      </c>
      <c r="B737" s="24" t="s">
        <v>6787</v>
      </c>
      <c r="C737" s="24" t="s">
        <v>6876</v>
      </c>
      <c r="D737" s="59">
        <v>4.0</v>
      </c>
      <c r="E737" s="59">
        <v>4.0</v>
      </c>
      <c r="F737" s="59">
        <v>4.0</v>
      </c>
      <c r="G737" s="60">
        <v>1.0</v>
      </c>
      <c r="H737" s="60">
        <v>1.0</v>
      </c>
      <c r="I737" s="60">
        <v>2.00308875</v>
      </c>
      <c r="J737" s="59">
        <v>4.0</v>
      </c>
      <c r="K737" s="61">
        <f t="shared" si="1"/>
        <v>1</v>
      </c>
      <c r="L737" s="62">
        <f t="shared" si="2"/>
        <v>1</v>
      </c>
    </row>
    <row r="738">
      <c r="A738" s="58">
        <v>46054.0</v>
      </c>
      <c r="B738" s="24" t="s">
        <v>6787</v>
      </c>
      <c r="C738" s="24" t="s">
        <v>6880</v>
      </c>
      <c r="D738" s="59">
        <v>4.0</v>
      </c>
      <c r="E738" s="59">
        <v>4.0</v>
      </c>
      <c r="F738" s="59">
        <v>4.0</v>
      </c>
      <c r="G738" s="60">
        <v>1.0</v>
      </c>
      <c r="H738" s="60">
        <v>1.0</v>
      </c>
      <c r="I738" s="60">
        <v>0.0</v>
      </c>
      <c r="J738" s="59">
        <v>4.0</v>
      </c>
      <c r="K738" s="61">
        <f t="shared" si="1"/>
        <v>1</v>
      </c>
      <c r="L738" s="62">
        <f t="shared" si="2"/>
        <v>1</v>
      </c>
    </row>
    <row r="739">
      <c r="A739" s="58">
        <v>46054.0</v>
      </c>
      <c r="B739" s="24" t="s">
        <v>6789</v>
      </c>
      <c r="C739" s="24" t="s">
        <v>6882</v>
      </c>
      <c r="D739" s="59">
        <v>4.0</v>
      </c>
      <c r="E739" s="59">
        <v>4.0</v>
      </c>
      <c r="F739" s="59">
        <v>4.0</v>
      </c>
      <c r="G739" s="60">
        <v>1.0</v>
      </c>
      <c r="H739" s="60">
        <v>0.25</v>
      </c>
      <c r="I739" s="60">
        <v>14.46768225</v>
      </c>
      <c r="J739" s="59">
        <v>5.0</v>
      </c>
      <c r="K739" s="61">
        <f t="shared" si="1"/>
        <v>1</v>
      </c>
      <c r="L739" s="62">
        <f t="shared" si="2"/>
        <v>1.25</v>
      </c>
    </row>
    <row r="740">
      <c r="A740" s="58">
        <v>46054.0</v>
      </c>
      <c r="B740" s="24" t="s">
        <v>155</v>
      </c>
      <c r="C740" s="24" t="s">
        <v>6835</v>
      </c>
      <c r="D740" s="59">
        <v>4.0</v>
      </c>
      <c r="E740" s="59">
        <v>4.0</v>
      </c>
      <c r="F740" s="59">
        <v>4.0</v>
      </c>
      <c r="G740" s="60">
        <v>1.0</v>
      </c>
      <c r="H740" s="60">
        <v>0.0</v>
      </c>
      <c r="I740" s="60">
        <v>392.0103</v>
      </c>
      <c r="J740" s="59">
        <v>5.0</v>
      </c>
      <c r="K740" s="61">
        <f t="shared" si="1"/>
        <v>1</v>
      </c>
      <c r="L740" s="62">
        <f t="shared" si="2"/>
        <v>1.25</v>
      </c>
    </row>
    <row r="741">
      <c r="A741" s="58">
        <v>46054.0</v>
      </c>
      <c r="B741" s="24" t="s">
        <v>6787</v>
      </c>
      <c r="C741" s="24" t="s">
        <v>7029</v>
      </c>
      <c r="D741" s="59">
        <v>4.0</v>
      </c>
      <c r="E741" s="59">
        <v>4.0</v>
      </c>
      <c r="F741" s="59">
        <v>4.0</v>
      </c>
      <c r="G741" s="60">
        <v>1.0</v>
      </c>
      <c r="H741" s="60">
        <v>1.0</v>
      </c>
      <c r="I741" s="60">
        <v>0.0</v>
      </c>
      <c r="J741" s="59">
        <v>4.0</v>
      </c>
      <c r="K741" s="61">
        <f t="shared" si="1"/>
        <v>1</v>
      </c>
      <c r="L741" s="62">
        <f t="shared" si="2"/>
        <v>1</v>
      </c>
    </row>
    <row r="742">
      <c r="A742" s="58">
        <v>46054.0</v>
      </c>
      <c r="B742" s="24" t="s">
        <v>6789</v>
      </c>
      <c r="C742" s="24" t="s">
        <v>6997</v>
      </c>
      <c r="D742" s="59">
        <v>4.0</v>
      </c>
      <c r="E742" s="59">
        <v>4.0</v>
      </c>
      <c r="F742" s="59">
        <v>3.0</v>
      </c>
      <c r="G742" s="60">
        <v>1.0</v>
      </c>
      <c r="H742" s="60">
        <v>1.0</v>
      </c>
      <c r="I742" s="60">
        <v>1.018011</v>
      </c>
      <c r="J742" s="59">
        <v>4.0</v>
      </c>
      <c r="K742" s="61">
        <f t="shared" si="1"/>
        <v>0.75</v>
      </c>
      <c r="L742" s="62">
        <f t="shared" si="2"/>
        <v>1</v>
      </c>
    </row>
    <row r="743">
      <c r="A743" s="58">
        <v>46054.0</v>
      </c>
      <c r="B743" s="24" t="s">
        <v>6787</v>
      </c>
      <c r="C743" s="24" t="s">
        <v>6821</v>
      </c>
      <c r="D743" s="59">
        <v>4.0</v>
      </c>
      <c r="E743" s="59">
        <v>4.0</v>
      </c>
      <c r="F743" s="59">
        <v>2.0</v>
      </c>
      <c r="G743" s="60">
        <v>1.33333333333333</v>
      </c>
      <c r="H743" s="60">
        <v>0.75</v>
      </c>
      <c r="I743" s="60">
        <v>241.22544575</v>
      </c>
      <c r="J743" s="59">
        <v>8.0</v>
      </c>
      <c r="K743" s="61">
        <f t="shared" si="1"/>
        <v>0.5</v>
      </c>
      <c r="L743" s="62">
        <f t="shared" si="2"/>
        <v>2</v>
      </c>
    </row>
    <row r="744">
      <c r="A744" s="58">
        <v>46054.0</v>
      </c>
      <c r="B744" s="24" t="s">
        <v>6787</v>
      </c>
      <c r="C744" s="24" t="s">
        <v>6899</v>
      </c>
      <c r="D744" s="59">
        <v>4.0</v>
      </c>
      <c r="E744" s="59">
        <v>4.0</v>
      </c>
      <c r="F744" s="59">
        <v>3.0</v>
      </c>
      <c r="G744" s="60">
        <v>1.0</v>
      </c>
      <c r="H744" s="60">
        <v>0.25</v>
      </c>
      <c r="I744" s="60">
        <v>9.53299475</v>
      </c>
      <c r="J744" s="59">
        <v>8.0</v>
      </c>
      <c r="K744" s="61">
        <f t="shared" si="1"/>
        <v>0.75</v>
      </c>
      <c r="L744" s="62">
        <f t="shared" si="2"/>
        <v>2</v>
      </c>
    </row>
    <row r="745">
      <c r="A745" s="58">
        <v>46054.0</v>
      </c>
      <c r="B745" s="24" t="s">
        <v>6787</v>
      </c>
      <c r="C745" s="24" t="s">
        <v>6904</v>
      </c>
      <c r="D745" s="59">
        <v>4.0</v>
      </c>
      <c r="E745" s="59">
        <v>6.0</v>
      </c>
      <c r="F745" s="59">
        <v>4.0</v>
      </c>
      <c r="G745" s="60">
        <v>1.5</v>
      </c>
      <c r="H745" s="60">
        <v>0.666666666666666</v>
      </c>
      <c r="I745" s="60">
        <v>155.083959333333</v>
      </c>
      <c r="J745" s="59">
        <v>7.0</v>
      </c>
      <c r="K745" s="61">
        <f t="shared" si="1"/>
        <v>0.6666666667</v>
      </c>
      <c r="L745" s="62">
        <f t="shared" si="2"/>
        <v>1.166666667</v>
      </c>
    </row>
    <row r="746">
      <c r="A746" s="58">
        <v>46054.0</v>
      </c>
      <c r="B746" s="24" t="s">
        <v>6787</v>
      </c>
      <c r="C746" s="24" t="s">
        <v>7010</v>
      </c>
      <c r="D746" s="59">
        <v>4.0</v>
      </c>
      <c r="E746" s="59">
        <v>4.0</v>
      </c>
      <c r="F746" s="59">
        <v>4.0</v>
      </c>
      <c r="G746" s="60">
        <v>1.0</v>
      </c>
      <c r="H746" s="60">
        <v>1.0</v>
      </c>
      <c r="I746" s="60">
        <v>0.0</v>
      </c>
      <c r="J746" s="59">
        <v>4.0</v>
      </c>
      <c r="K746" s="61">
        <f t="shared" si="1"/>
        <v>1</v>
      </c>
      <c r="L746" s="62">
        <f t="shared" si="2"/>
        <v>1</v>
      </c>
    </row>
    <row r="747">
      <c r="A747" s="58">
        <v>46054.0</v>
      </c>
      <c r="B747" s="24" t="s">
        <v>6787</v>
      </c>
      <c r="C747" s="24" t="s">
        <v>6824</v>
      </c>
      <c r="D747" s="59">
        <v>4.0</v>
      </c>
      <c r="E747" s="59">
        <v>4.0</v>
      </c>
      <c r="F747" s="59">
        <v>4.0</v>
      </c>
      <c r="G747" s="60">
        <v>1.0</v>
      </c>
      <c r="H747" s="60">
        <v>0.75</v>
      </c>
      <c r="I747" s="60">
        <v>6.26371499999999</v>
      </c>
      <c r="J747" s="59">
        <v>4.0</v>
      </c>
      <c r="K747" s="61">
        <f t="shared" si="1"/>
        <v>1</v>
      </c>
      <c r="L747" s="62">
        <f t="shared" si="2"/>
        <v>1</v>
      </c>
    </row>
    <row r="748">
      <c r="A748" s="58">
        <v>46054.0</v>
      </c>
      <c r="B748" s="24" t="s">
        <v>6789</v>
      </c>
      <c r="C748" s="24" t="s">
        <v>6824</v>
      </c>
      <c r="D748" s="59">
        <v>4.0</v>
      </c>
      <c r="E748" s="59">
        <v>4.0</v>
      </c>
      <c r="F748" s="59">
        <v>3.0</v>
      </c>
      <c r="G748" s="60">
        <v>1.0</v>
      </c>
      <c r="H748" s="60">
        <v>0.75</v>
      </c>
      <c r="I748" s="60">
        <v>964.6018265</v>
      </c>
      <c r="J748" s="59">
        <v>11.0</v>
      </c>
      <c r="K748" s="61">
        <f t="shared" si="1"/>
        <v>0.75</v>
      </c>
      <c r="L748" s="62">
        <f t="shared" si="2"/>
        <v>2.75</v>
      </c>
    </row>
    <row r="749">
      <c r="A749" s="58">
        <v>46054.0</v>
      </c>
      <c r="B749" s="24" t="s">
        <v>6791</v>
      </c>
      <c r="C749" s="24" t="s">
        <v>6824</v>
      </c>
      <c r="D749" s="59">
        <v>4.0</v>
      </c>
      <c r="E749" s="59">
        <v>4.0</v>
      </c>
      <c r="F749" s="59">
        <v>4.0</v>
      </c>
      <c r="G749" s="60">
        <v>1.0</v>
      </c>
      <c r="H749" s="60">
        <v>0.0</v>
      </c>
      <c r="I749" s="60">
        <v>360.275651</v>
      </c>
      <c r="J749" s="59">
        <v>11.0</v>
      </c>
      <c r="K749" s="61">
        <f t="shared" si="1"/>
        <v>1</v>
      </c>
      <c r="L749" s="62">
        <f t="shared" si="2"/>
        <v>2.75</v>
      </c>
    </row>
    <row r="750">
      <c r="A750" s="58">
        <v>46054.0</v>
      </c>
      <c r="B750" s="24" t="s">
        <v>6789</v>
      </c>
      <c r="C750" s="24" t="s">
        <v>6812</v>
      </c>
      <c r="D750" s="59">
        <v>4.0</v>
      </c>
      <c r="E750" s="59">
        <v>6.0</v>
      </c>
      <c r="F750" s="59">
        <v>2.0</v>
      </c>
      <c r="G750" s="60">
        <v>2.0</v>
      </c>
      <c r="H750" s="60">
        <v>0.166666666666666</v>
      </c>
      <c r="I750" s="60">
        <v>1246.24141666666</v>
      </c>
      <c r="J750" s="59">
        <v>30.0</v>
      </c>
      <c r="K750" s="61">
        <f t="shared" si="1"/>
        <v>0.3333333333</v>
      </c>
      <c r="L750" s="62">
        <f t="shared" si="2"/>
        <v>5</v>
      </c>
    </row>
    <row r="751">
      <c r="A751" s="58">
        <v>46054.0</v>
      </c>
      <c r="B751" s="24" t="s">
        <v>6787</v>
      </c>
      <c r="C751" s="24" t="s">
        <v>6849</v>
      </c>
      <c r="D751" s="59">
        <v>4.0</v>
      </c>
      <c r="E751" s="59">
        <v>4.0</v>
      </c>
      <c r="F751" s="59">
        <v>3.0</v>
      </c>
      <c r="G751" s="60">
        <v>1.0</v>
      </c>
      <c r="H751" s="60">
        <v>1.0</v>
      </c>
      <c r="I751" s="60">
        <v>0.0</v>
      </c>
      <c r="J751" s="59">
        <v>4.0</v>
      </c>
      <c r="K751" s="61">
        <f t="shared" si="1"/>
        <v>0.75</v>
      </c>
      <c r="L751" s="62">
        <f t="shared" si="2"/>
        <v>1</v>
      </c>
    </row>
    <row r="752">
      <c r="A752" s="58">
        <v>46054.0</v>
      </c>
      <c r="B752" s="24" t="s">
        <v>6789</v>
      </c>
      <c r="C752" s="24" t="s">
        <v>6908</v>
      </c>
      <c r="D752" s="59">
        <v>4.0</v>
      </c>
      <c r="E752" s="59">
        <v>6.0</v>
      </c>
      <c r="F752" s="59">
        <v>1.0</v>
      </c>
      <c r="G752" s="60">
        <v>1.5</v>
      </c>
      <c r="H752" s="60">
        <v>0.166666666666666</v>
      </c>
      <c r="I752" s="60">
        <v>1170.02079233333</v>
      </c>
      <c r="J752" s="59">
        <v>41.0</v>
      </c>
      <c r="K752" s="61">
        <f t="shared" si="1"/>
        <v>0.1666666667</v>
      </c>
      <c r="L752" s="62">
        <f t="shared" si="2"/>
        <v>6.833333333</v>
      </c>
    </row>
    <row r="753">
      <c r="A753" s="58">
        <v>46054.0</v>
      </c>
      <c r="B753" s="24" t="s">
        <v>6789</v>
      </c>
      <c r="C753" s="24" t="s">
        <v>6910</v>
      </c>
      <c r="D753" s="59">
        <v>4.0</v>
      </c>
      <c r="E753" s="59">
        <v>4.0</v>
      </c>
      <c r="F753" s="59">
        <v>1.0</v>
      </c>
      <c r="G753" s="60">
        <v>1.33333333333333</v>
      </c>
      <c r="H753" s="60">
        <v>0.75</v>
      </c>
      <c r="I753" s="60">
        <v>163.18048975</v>
      </c>
      <c r="J753" s="59">
        <v>5.0</v>
      </c>
      <c r="K753" s="61">
        <f t="shared" si="1"/>
        <v>0.25</v>
      </c>
      <c r="L753" s="62">
        <f t="shared" si="2"/>
        <v>1.25</v>
      </c>
    </row>
    <row r="754">
      <c r="A754" s="58">
        <v>46054.0</v>
      </c>
      <c r="B754" s="24" t="s">
        <v>6787</v>
      </c>
      <c r="C754" s="24" t="s">
        <v>6921</v>
      </c>
      <c r="D754" s="59">
        <v>4.0</v>
      </c>
      <c r="E754" s="59">
        <v>4.0</v>
      </c>
      <c r="F754" s="59">
        <v>4.0</v>
      </c>
      <c r="G754" s="60">
        <v>1.0</v>
      </c>
      <c r="H754" s="60">
        <v>0.75</v>
      </c>
      <c r="I754" s="60">
        <v>9.68249575</v>
      </c>
      <c r="J754" s="59">
        <v>4.0</v>
      </c>
      <c r="K754" s="61">
        <f t="shared" si="1"/>
        <v>1</v>
      </c>
      <c r="L754" s="62">
        <f t="shared" si="2"/>
        <v>1</v>
      </c>
    </row>
    <row r="755">
      <c r="A755" s="58">
        <v>46054.0</v>
      </c>
      <c r="B755" s="24" t="s">
        <v>6787</v>
      </c>
      <c r="C755" s="24" t="s">
        <v>7019</v>
      </c>
      <c r="D755" s="59">
        <v>4.0</v>
      </c>
      <c r="E755" s="59">
        <v>4.0</v>
      </c>
      <c r="F755" s="59">
        <v>2.0</v>
      </c>
      <c r="G755" s="60">
        <v>1.0</v>
      </c>
      <c r="H755" s="60">
        <v>0.5</v>
      </c>
      <c r="I755" s="60">
        <v>41.7054685</v>
      </c>
      <c r="J755" s="59">
        <v>9.0</v>
      </c>
      <c r="K755" s="61">
        <f t="shared" si="1"/>
        <v>0.5</v>
      </c>
      <c r="L755" s="62">
        <f t="shared" si="2"/>
        <v>2.25</v>
      </c>
    </row>
    <row r="756">
      <c r="A756" s="58">
        <v>46054.0</v>
      </c>
      <c r="B756" s="24" t="s">
        <v>6787</v>
      </c>
      <c r="C756" s="24" t="s">
        <v>6810</v>
      </c>
      <c r="D756" s="59">
        <v>4.0</v>
      </c>
      <c r="E756" s="59">
        <v>5.0</v>
      </c>
      <c r="F756" s="59">
        <v>4.0</v>
      </c>
      <c r="G756" s="60">
        <v>1.25</v>
      </c>
      <c r="H756" s="60">
        <v>0.6</v>
      </c>
      <c r="I756" s="60">
        <v>168.5807536</v>
      </c>
      <c r="J756" s="59">
        <v>8.0</v>
      </c>
      <c r="K756" s="61">
        <f t="shared" si="1"/>
        <v>0.8</v>
      </c>
      <c r="L756" s="62">
        <f t="shared" si="2"/>
        <v>1.6</v>
      </c>
    </row>
    <row r="757">
      <c r="A757" s="58">
        <v>46054.0</v>
      </c>
      <c r="B757" s="24" t="s">
        <v>6787</v>
      </c>
      <c r="C757" s="24" t="s">
        <v>6924</v>
      </c>
      <c r="D757" s="59">
        <v>4.0</v>
      </c>
      <c r="E757" s="59">
        <v>4.0</v>
      </c>
      <c r="F757" s="59">
        <v>4.0</v>
      </c>
      <c r="G757" s="60">
        <v>1.0</v>
      </c>
      <c r="H757" s="60">
        <v>1.0</v>
      </c>
      <c r="I757" s="60">
        <v>0.0</v>
      </c>
      <c r="J757" s="59">
        <v>4.0</v>
      </c>
      <c r="K757" s="61">
        <f t="shared" si="1"/>
        <v>1</v>
      </c>
      <c r="L757" s="62">
        <f t="shared" si="2"/>
        <v>1</v>
      </c>
    </row>
    <row r="758">
      <c r="A758" s="58">
        <v>46054.0</v>
      </c>
      <c r="B758" s="24" t="s">
        <v>7030</v>
      </c>
      <c r="C758" s="24" t="s">
        <v>6788</v>
      </c>
      <c r="D758" s="59">
        <v>3.0</v>
      </c>
      <c r="E758" s="59">
        <v>4.0</v>
      </c>
      <c r="F758" s="59">
        <v>3.0</v>
      </c>
      <c r="G758" s="60">
        <v>1.33333333333333</v>
      </c>
      <c r="H758" s="60">
        <v>0.75</v>
      </c>
      <c r="I758" s="60">
        <v>32.188785</v>
      </c>
      <c r="J758" s="59">
        <v>6.0</v>
      </c>
      <c r="K758" s="61">
        <f t="shared" si="1"/>
        <v>0.75</v>
      </c>
      <c r="L758" s="62">
        <f t="shared" si="2"/>
        <v>1.5</v>
      </c>
    </row>
    <row r="759">
      <c r="A759" s="58">
        <v>46054.0</v>
      </c>
      <c r="B759" s="24" t="s">
        <v>6787</v>
      </c>
      <c r="C759" s="24" t="s">
        <v>7031</v>
      </c>
      <c r="D759" s="59">
        <v>3.0</v>
      </c>
      <c r="E759" s="59">
        <v>3.0</v>
      </c>
      <c r="F759" s="59">
        <v>3.0</v>
      </c>
      <c r="G759" s="60">
        <v>1.0</v>
      </c>
      <c r="H759" s="60">
        <v>1.0</v>
      </c>
      <c r="I759" s="60">
        <v>5.25713733333333</v>
      </c>
      <c r="J759" s="59">
        <v>3.0</v>
      </c>
      <c r="K759" s="61">
        <f t="shared" si="1"/>
        <v>1</v>
      </c>
      <c r="L759" s="62">
        <f t="shared" si="2"/>
        <v>1</v>
      </c>
    </row>
    <row r="760">
      <c r="A760" s="58">
        <v>46054.0</v>
      </c>
      <c r="B760" s="24" t="s">
        <v>6787</v>
      </c>
      <c r="C760" s="24" t="s">
        <v>6980</v>
      </c>
      <c r="D760" s="59">
        <v>3.0</v>
      </c>
      <c r="E760" s="59">
        <v>3.0</v>
      </c>
      <c r="F760" s="59">
        <v>3.0</v>
      </c>
      <c r="G760" s="60">
        <v>1.0</v>
      </c>
      <c r="H760" s="60">
        <v>1.0</v>
      </c>
      <c r="I760" s="60">
        <v>3.45361366666666</v>
      </c>
      <c r="J760" s="59">
        <v>3.0</v>
      </c>
      <c r="K760" s="61">
        <f t="shared" si="1"/>
        <v>1</v>
      </c>
      <c r="L760" s="62">
        <f t="shared" si="2"/>
        <v>1</v>
      </c>
    </row>
    <row r="761">
      <c r="A761" s="58">
        <v>46054.0</v>
      </c>
      <c r="B761" s="24" t="s">
        <v>6787</v>
      </c>
      <c r="C761" s="24" t="s">
        <v>6952</v>
      </c>
      <c r="D761" s="59">
        <v>3.0</v>
      </c>
      <c r="E761" s="59">
        <v>3.0</v>
      </c>
      <c r="F761" s="59">
        <v>2.0</v>
      </c>
      <c r="G761" s="60">
        <v>1.0</v>
      </c>
      <c r="H761" s="60">
        <v>0.666666666666666</v>
      </c>
      <c r="I761" s="60">
        <v>750.468592</v>
      </c>
      <c r="J761" s="59">
        <v>17.0</v>
      </c>
      <c r="K761" s="61">
        <f t="shared" si="1"/>
        <v>0.6666666667</v>
      </c>
      <c r="L761" s="62">
        <f t="shared" si="2"/>
        <v>5.666666667</v>
      </c>
    </row>
    <row r="762">
      <c r="A762" s="58">
        <v>46054.0</v>
      </c>
      <c r="B762" s="24" t="s">
        <v>6787</v>
      </c>
      <c r="C762" s="24" t="s">
        <v>6938</v>
      </c>
      <c r="D762" s="59">
        <v>3.0</v>
      </c>
      <c r="E762" s="59">
        <v>3.0</v>
      </c>
      <c r="F762" s="59">
        <v>3.0</v>
      </c>
      <c r="G762" s="60">
        <v>1.0</v>
      </c>
      <c r="H762" s="60">
        <v>1.0</v>
      </c>
      <c r="I762" s="60">
        <v>3.37287666666666</v>
      </c>
      <c r="J762" s="59">
        <v>3.0</v>
      </c>
      <c r="K762" s="61">
        <f t="shared" si="1"/>
        <v>1</v>
      </c>
      <c r="L762" s="62">
        <f t="shared" si="2"/>
        <v>1</v>
      </c>
    </row>
    <row r="763">
      <c r="A763" s="58">
        <v>46054.0</v>
      </c>
      <c r="B763" s="24" t="s">
        <v>155</v>
      </c>
      <c r="C763" s="24" t="s">
        <v>6817</v>
      </c>
      <c r="D763" s="59">
        <v>3.0</v>
      </c>
      <c r="E763" s="59">
        <v>5.0</v>
      </c>
      <c r="F763" s="59">
        <v>1.0</v>
      </c>
      <c r="G763" s="60">
        <v>1.66666666666666</v>
      </c>
      <c r="H763" s="60">
        <v>0.2</v>
      </c>
      <c r="I763" s="60">
        <v>1461.370515</v>
      </c>
      <c r="J763" s="59">
        <v>45.0</v>
      </c>
      <c r="K763" s="61">
        <f t="shared" si="1"/>
        <v>0.2</v>
      </c>
      <c r="L763" s="62">
        <f t="shared" si="2"/>
        <v>9</v>
      </c>
    </row>
    <row r="764">
      <c r="A764" s="58">
        <v>46054.0</v>
      </c>
      <c r="B764" s="24" t="s">
        <v>6787</v>
      </c>
      <c r="C764" s="24" t="s">
        <v>6953</v>
      </c>
      <c r="D764" s="59">
        <v>3.0</v>
      </c>
      <c r="E764" s="59">
        <v>3.0</v>
      </c>
      <c r="F764" s="59">
        <v>3.0</v>
      </c>
      <c r="G764" s="60">
        <v>1.0</v>
      </c>
      <c r="H764" s="60">
        <v>1.0</v>
      </c>
      <c r="I764" s="60">
        <v>0.0</v>
      </c>
      <c r="J764" s="59">
        <v>3.0</v>
      </c>
      <c r="K764" s="61">
        <f t="shared" si="1"/>
        <v>1</v>
      </c>
      <c r="L764" s="62">
        <f t="shared" si="2"/>
        <v>1</v>
      </c>
    </row>
    <row r="765">
      <c r="A765" s="58">
        <v>46054.0</v>
      </c>
      <c r="B765" s="24" t="s">
        <v>6787</v>
      </c>
      <c r="C765" s="24" t="s">
        <v>6954</v>
      </c>
      <c r="D765" s="59">
        <v>3.0</v>
      </c>
      <c r="E765" s="59">
        <v>3.0</v>
      </c>
      <c r="F765" s="59">
        <v>3.0</v>
      </c>
      <c r="G765" s="60">
        <v>1.0</v>
      </c>
      <c r="H765" s="60">
        <v>1.0</v>
      </c>
      <c r="I765" s="60">
        <v>0.0</v>
      </c>
      <c r="J765" s="59">
        <v>3.0</v>
      </c>
      <c r="K765" s="61">
        <f t="shared" si="1"/>
        <v>1</v>
      </c>
      <c r="L765" s="62">
        <f t="shared" si="2"/>
        <v>1</v>
      </c>
    </row>
    <row r="766">
      <c r="A766" s="58">
        <v>46054.0</v>
      </c>
      <c r="B766" s="24" t="s">
        <v>6787</v>
      </c>
      <c r="C766" s="24" t="s">
        <v>6955</v>
      </c>
      <c r="D766" s="59">
        <v>3.0</v>
      </c>
      <c r="E766" s="59">
        <v>3.0</v>
      </c>
      <c r="F766" s="59">
        <v>3.0</v>
      </c>
      <c r="G766" s="60">
        <v>1.0</v>
      </c>
      <c r="H766" s="60">
        <v>1.0</v>
      </c>
      <c r="I766" s="60">
        <v>0.0</v>
      </c>
      <c r="J766" s="59">
        <v>3.0</v>
      </c>
      <c r="K766" s="61">
        <f t="shared" si="1"/>
        <v>1</v>
      </c>
      <c r="L766" s="62">
        <f t="shared" si="2"/>
        <v>1</v>
      </c>
    </row>
    <row r="767">
      <c r="A767" s="58">
        <v>46054.0</v>
      </c>
      <c r="B767" s="24" t="s">
        <v>6787</v>
      </c>
      <c r="C767" s="24" t="s">
        <v>6829</v>
      </c>
      <c r="D767" s="59">
        <v>3.0</v>
      </c>
      <c r="E767" s="59">
        <v>3.0</v>
      </c>
      <c r="F767" s="59">
        <v>3.0</v>
      </c>
      <c r="G767" s="60">
        <v>1.0</v>
      </c>
      <c r="H767" s="60">
        <v>0.666666666666666</v>
      </c>
      <c r="I767" s="60">
        <v>11.597995</v>
      </c>
      <c r="J767" s="59">
        <v>3.0</v>
      </c>
      <c r="K767" s="61">
        <f t="shared" si="1"/>
        <v>1</v>
      </c>
      <c r="L767" s="62">
        <f t="shared" si="2"/>
        <v>1</v>
      </c>
    </row>
    <row r="768">
      <c r="A768" s="58">
        <v>46054.0</v>
      </c>
      <c r="B768" s="24" t="s">
        <v>6787</v>
      </c>
      <c r="C768" s="24" t="s">
        <v>6860</v>
      </c>
      <c r="D768" s="59">
        <v>3.0</v>
      </c>
      <c r="E768" s="59">
        <v>3.0</v>
      </c>
      <c r="F768" s="59">
        <v>3.0</v>
      </c>
      <c r="G768" s="60">
        <v>1.0</v>
      </c>
      <c r="H768" s="60">
        <v>0.333333333333333</v>
      </c>
      <c r="I768" s="60">
        <v>25.065618</v>
      </c>
      <c r="J768" s="59">
        <v>3.0</v>
      </c>
      <c r="K768" s="61">
        <f t="shared" si="1"/>
        <v>1</v>
      </c>
      <c r="L768" s="62">
        <f t="shared" si="2"/>
        <v>1</v>
      </c>
    </row>
    <row r="769">
      <c r="A769" s="58">
        <v>46054.0</v>
      </c>
      <c r="B769" s="24" t="s">
        <v>6787</v>
      </c>
      <c r="C769" s="24" t="s">
        <v>6935</v>
      </c>
      <c r="D769" s="59">
        <v>3.0</v>
      </c>
      <c r="E769" s="59">
        <v>3.0</v>
      </c>
      <c r="F769" s="59">
        <v>3.0</v>
      </c>
      <c r="G769" s="60">
        <v>1.0</v>
      </c>
      <c r="H769" s="60">
        <v>1.0</v>
      </c>
      <c r="I769" s="60">
        <v>0.0</v>
      </c>
      <c r="J769" s="59">
        <v>3.0</v>
      </c>
      <c r="K769" s="61">
        <f t="shared" si="1"/>
        <v>1</v>
      </c>
      <c r="L769" s="62">
        <f t="shared" si="2"/>
        <v>1</v>
      </c>
    </row>
    <row r="770">
      <c r="A770" s="58">
        <v>46054.0</v>
      </c>
      <c r="B770" s="24" t="s">
        <v>155</v>
      </c>
      <c r="C770" s="24" t="s">
        <v>6793</v>
      </c>
      <c r="D770" s="59">
        <v>3.0</v>
      </c>
      <c r="E770" s="59">
        <v>5.0</v>
      </c>
      <c r="F770" s="59">
        <v>1.0</v>
      </c>
      <c r="G770" s="60">
        <v>1.66666666666666</v>
      </c>
      <c r="H770" s="60">
        <v>0.0</v>
      </c>
      <c r="I770" s="60">
        <v>1326.3123174</v>
      </c>
      <c r="J770" s="59">
        <v>37.0</v>
      </c>
      <c r="K770" s="61">
        <f t="shared" si="1"/>
        <v>0.2</v>
      </c>
      <c r="L770" s="62">
        <f t="shared" si="2"/>
        <v>7.4</v>
      </c>
    </row>
    <row r="771">
      <c r="A771" s="58">
        <v>46054.0</v>
      </c>
      <c r="B771" s="24" t="s">
        <v>6789</v>
      </c>
      <c r="C771" s="24" t="s">
        <v>6939</v>
      </c>
      <c r="D771" s="59">
        <v>3.0</v>
      </c>
      <c r="E771" s="59">
        <v>4.0</v>
      </c>
      <c r="F771" s="59">
        <v>1.0</v>
      </c>
      <c r="G771" s="60">
        <v>2.0</v>
      </c>
      <c r="H771" s="60">
        <v>0.25</v>
      </c>
      <c r="I771" s="60">
        <v>301.92999875</v>
      </c>
      <c r="J771" s="59">
        <v>10.0</v>
      </c>
      <c r="K771" s="61">
        <f t="shared" si="1"/>
        <v>0.25</v>
      </c>
      <c r="L771" s="62">
        <f t="shared" si="2"/>
        <v>2.5</v>
      </c>
    </row>
    <row r="772">
      <c r="A772" s="58">
        <v>46054.0</v>
      </c>
      <c r="B772" s="24" t="s">
        <v>6787</v>
      </c>
      <c r="C772" s="24" t="s">
        <v>6986</v>
      </c>
      <c r="D772" s="59">
        <v>3.0</v>
      </c>
      <c r="E772" s="59">
        <v>3.0</v>
      </c>
      <c r="F772" s="59">
        <v>3.0</v>
      </c>
      <c r="G772" s="60">
        <v>1.0</v>
      </c>
      <c r="H772" s="60">
        <v>1.0</v>
      </c>
      <c r="I772" s="60">
        <v>2.34139266666666</v>
      </c>
      <c r="J772" s="59">
        <v>3.0</v>
      </c>
      <c r="K772" s="61">
        <f t="shared" si="1"/>
        <v>1</v>
      </c>
      <c r="L772" s="62">
        <f t="shared" si="2"/>
        <v>1</v>
      </c>
    </row>
    <row r="773">
      <c r="A773" s="58">
        <v>46054.0</v>
      </c>
      <c r="B773" s="24" t="s">
        <v>6787</v>
      </c>
      <c r="C773" s="24" t="s">
        <v>6834</v>
      </c>
      <c r="D773" s="59">
        <v>3.0</v>
      </c>
      <c r="E773" s="59">
        <v>3.0</v>
      </c>
      <c r="F773" s="59">
        <v>3.0</v>
      </c>
      <c r="G773" s="60">
        <v>1.0</v>
      </c>
      <c r="H773" s="60">
        <v>1.0</v>
      </c>
      <c r="I773" s="60">
        <v>4.311936</v>
      </c>
      <c r="J773" s="59">
        <v>3.0</v>
      </c>
      <c r="K773" s="61">
        <f t="shared" si="1"/>
        <v>1</v>
      </c>
      <c r="L773" s="62">
        <f t="shared" si="2"/>
        <v>1</v>
      </c>
    </row>
    <row r="774">
      <c r="A774" s="58">
        <v>46054.0</v>
      </c>
      <c r="B774" s="24" t="s">
        <v>6789</v>
      </c>
      <c r="C774" s="24" t="s">
        <v>6871</v>
      </c>
      <c r="D774" s="59">
        <v>3.0</v>
      </c>
      <c r="E774" s="59">
        <v>3.0</v>
      </c>
      <c r="F774" s="59">
        <v>2.0</v>
      </c>
      <c r="G774" s="60">
        <v>1.0</v>
      </c>
      <c r="H774" s="60">
        <v>0.333333333333333</v>
      </c>
      <c r="I774" s="60">
        <v>1053.68436633333</v>
      </c>
      <c r="J774" s="59">
        <v>12.0</v>
      </c>
      <c r="K774" s="61">
        <f t="shared" si="1"/>
        <v>0.6666666667</v>
      </c>
      <c r="L774" s="62">
        <f t="shared" si="2"/>
        <v>4</v>
      </c>
    </row>
    <row r="775">
      <c r="A775" s="58">
        <v>46054.0</v>
      </c>
      <c r="B775" s="24" t="s">
        <v>155</v>
      </c>
      <c r="C775" s="24" t="s">
        <v>7024</v>
      </c>
      <c r="D775" s="59">
        <v>3.0</v>
      </c>
      <c r="E775" s="59">
        <v>3.0</v>
      </c>
      <c r="F775" s="59">
        <v>2.0</v>
      </c>
      <c r="G775" s="60">
        <v>1.5</v>
      </c>
      <c r="H775" s="60">
        <v>0.666666666666666</v>
      </c>
      <c r="I775" s="60">
        <v>5.76871366666666</v>
      </c>
      <c r="J775" s="59">
        <v>3.0</v>
      </c>
      <c r="K775" s="61">
        <f t="shared" si="1"/>
        <v>0.6666666667</v>
      </c>
      <c r="L775" s="62">
        <f t="shared" si="2"/>
        <v>1</v>
      </c>
    </row>
    <row r="776">
      <c r="A776" s="58">
        <v>46054.0</v>
      </c>
      <c r="B776" s="24" t="s">
        <v>155</v>
      </c>
      <c r="C776" s="24" t="s">
        <v>6874</v>
      </c>
      <c r="D776" s="59">
        <v>3.0</v>
      </c>
      <c r="E776" s="59">
        <v>3.0</v>
      </c>
      <c r="F776" s="59">
        <v>0.0</v>
      </c>
      <c r="G776" s="60">
        <v>1.0</v>
      </c>
      <c r="H776" s="60">
        <v>0.0</v>
      </c>
      <c r="I776" s="60">
        <v>3300.47959933333</v>
      </c>
      <c r="J776" s="59">
        <v>33.0</v>
      </c>
      <c r="K776" s="61">
        <f t="shared" si="1"/>
        <v>0</v>
      </c>
      <c r="L776" s="62">
        <f t="shared" si="2"/>
        <v>11</v>
      </c>
    </row>
    <row r="777">
      <c r="A777" s="58">
        <v>46054.0</v>
      </c>
      <c r="B777" s="24" t="s">
        <v>6787</v>
      </c>
      <c r="C777" s="24" t="s">
        <v>6878</v>
      </c>
      <c r="D777" s="59">
        <v>3.0</v>
      </c>
      <c r="E777" s="59">
        <v>3.0</v>
      </c>
      <c r="F777" s="59">
        <v>3.0</v>
      </c>
      <c r="G777" s="60">
        <v>1.0</v>
      </c>
      <c r="H777" s="60">
        <v>1.0</v>
      </c>
      <c r="I777" s="60">
        <v>0.0</v>
      </c>
      <c r="J777" s="59">
        <v>3.0</v>
      </c>
      <c r="K777" s="61">
        <f t="shared" si="1"/>
        <v>1</v>
      </c>
      <c r="L777" s="62">
        <f t="shared" si="2"/>
        <v>1</v>
      </c>
    </row>
    <row r="778">
      <c r="A778" s="58">
        <v>46054.0</v>
      </c>
      <c r="B778" s="24" t="s">
        <v>6787</v>
      </c>
      <c r="C778" s="24" t="s">
        <v>6882</v>
      </c>
      <c r="D778" s="59">
        <v>3.0</v>
      </c>
      <c r="E778" s="59">
        <v>3.0</v>
      </c>
      <c r="F778" s="59">
        <v>3.0</v>
      </c>
      <c r="G778" s="60">
        <v>1.0</v>
      </c>
      <c r="H778" s="60">
        <v>1.0</v>
      </c>
      <c r="I778" s="60">
        <v>0.0</v>
      </c>
      <c r="J778" s="59">
        <v>3.0</v>
      </c>
      <c r="K778" s="61">
        <f t="shared" si="1"/>
        <v>1</v>
      </c>
      <c r="L778" s="62">
        <f t="shared" si="2"/>
        <v>1</v>
      </c>
    </row>
    <row r="779">
      <c r="A779" s="58">
        <v>46054.0</v>
      </c>
      <c r="B779" s="24" t="s">
        <v>6787</v>
      </c>
      <c r="C779" s="24" t="s">
        <v>6835</v>
      </c>
      <c r="D779" s="59">
        <v>3.0</v>
      </c>
      <c r="E779" s="59">
        <v>3.0</v>
      </c>
      <c r="F779" s="59">
        <v>3.0</v>
      </c>
      <c r="G779" s="60">
        <v>1.0</v>
      </c>
      <c r="H779" s="60">
        <v>0.333333333333333</v>
      </c>
      <c r="I779" s="60">
        <v>244.037579666666</v>
      </c>
      <c r="J779" s="59">
        <v>4.0</v>
      </c>
      <c r="K779" s="61">
        <f t="shared" si="1"/>
        <v>1</v>
      </c>
      <c r="L779" s="62">
        <f t="shared" si="2"/>
        <v>1.333333333</v>
      </c>
    </row>
    <row r="780">
      <c r="A780" s="58">
        <v>46054.0</v>
      </c>
      <c r="B780" s="24" t="s">
        <v>6787</v>
      </c>
      <c r="C780" s="24" t="s">
        <v>6994</v>
      </c>
      <c r="D780" s="59">
        <v>3.0</v>
      </c>
      <c r="E780" s="59">
        <v>3.0</v>
      </c>
      <c r="F780" s="59">
        <v>3.0</v>
      </c>
      <c r="G780" s="60">
        <v>1.0</v>
      </c>
      <c r="H780" s="60">
        <v>1.0</v>
      </c>
      <c r="I780" s="60">
        <v>0.0</v>
      </c>
      <c r="J780" s="59">
        <v>3.0</v>
      </c>
      <c r="K780" s="61">
        <f t="shared" si="1"/>
        <v>1</v>
      </c>
      <c r="L780" s="62">
        <f t="shared" si="2"/>
        <v>1</v>
      </c>
    </row>
    <row r="781">
      <c r="A781" s="58">
        <v>46054.0</v>
      </c>
      <c r="B781" s="24" t="s">
        <v>6789</v>
      </c>
      <c r="C781" s="24" t="s">
        <v>6994</v>
      </c>
      <c r="D781" s="59">
        <v>3.0</v>
      </c>
      <c r="E781" s="59">
        <v>4.0</v>
      </c>
      <c r="F781" s="59">
        <v>3.0</v>
      </c>
      <c r="G781" s="60">
        <v>1.33333333333333</v>
      </c>
      <c r="H781" s="60">
        <v>0.5</v>
      </c>
      <c r="I781" s="60">
        <v>34.1824045</v>
      </c>
      <c r="J781" s="59">
        <v>5.0</v>
      </c>
      <c r="K781" s="61">
        <f t="shared" si="1"/>
        <v>0.75</v>
      </c>
      <c r="L781" s="62">
        <f t="shared" si="2"/>
        <v>1.25</v>
      </c>
    </row>
    <row r="782">
      <c r="A782" s="58">
        <v>46054.0</v>
      </c>
      <c r="B782" s="24" t="s">
        <v>155</v>
      </c>
      <c r="C782" s="24" t="s">
        <v>6886</v>
      </c>
      <c r="D782" s="59">
        <v>3.0</v>
      </c>
      <c r="E782" s="59">
        <v>3.0</v>
      </c>
      <c r="F782" s="59">
        <v>0.0</v>
      </c>
      <c r="G782" s="60">
        <v>1.0</v>
      </c>
      <c r="H782" s="60">
        <v>0.333333333333333</v>
      </c>
      <c r="I782" s="60">
        <v>268.806351333333</v>
      </c>
      <c r="J782" s="59">
        <v>8.0</v>
      </c>
      <c r="K782" s="61">
        <f t="shared" si="1"/>
        <v>0</v>
      </c>
      <c r="L782" s="62">
        <f t="shared" si="2"/>
        <v>2.666666667</v>
      </c>
    </row>
    <row r="783">
      <c r="A783" s="58">
        <v>46054.0</v>
      </c>
      <c r="B783" s="24" t="s">
        <v>6791</v>
      </c>
      <c r="C783" s="24" t="s">
        <v>6799</v>
      </c>
      <c r="D783" s="59">
        <v>3.0</v>
      </c>
      <c r="E783" s="59">
        <v>8.0</v>
      </c>
      <c r="F783" s="59">
        <v>0.0</v>
      </c>
      <c r="G783" s="60">
        <v>4.0</v>
      </c>
      <c r="H783" s="60">
        <v>0.875</v>
      </c>
      <c r="I783" s="60">
        <v>71.86921875</v>
      </c>
      <c r="J783" s="59">
        <v>12.0</v>
      </c>
      <c r="K783" s="61">
        <f t="shared" si="1"/>
        <v>0</v>
      </c>
      <c r="L783" s="62">
        <f t="shared" si="2"/>
        <v>1.5</v>
      </c>
    </row>
    <row r="784">
      <c r="A784" s="58">
        <v>46054.0</v>
      </c>
      <c r="B784" s="24" t="s">
        <v>6787</v>
      </c>
      <c r="C784" s="24" t="s">
        <v>6888</v>
      </c>
      <c r="D784" s="59">
        <v>3.0</v>
      </c>
      <c r="E784" s="59">
        <v>3.0</v>
      </c>
      <c r="F784" s="59">
        <v>3.0</v>
      </c>
      <c r="G784" s="60">
        <v>1.0</v>
      </c>
      <c r="H784" s="60">
        <v>1.0</v>
      </c>
      <c r="I784" s="60">
        <v>0.0</v>
      </c>
      <c r="J784" s="59">
        <v>3.0</v>
      </c>
      <c r="K784" s="61">
        <f t="shared" si="1"/>
        <v>1</v>
      </c>
      <c r="L784" s="62">
        <f t="shared" si="2"/>
        <v>1</v>
      </c>
    </row>
    <row r="785">
      <c r="A785" s="58">
        <v>46054.0</v>
      </c>
      <c r="B785" s="24" t="s">
        <v>6787</v>
      </c>
      <c r="C785" s="24" t="s">
        <v>6838</v>
      </c>
      <c r="D785" s="59">
        <v>3.0</v>
      </c>
      <c r="E785" s="59">
        <v>3.0</v>
      </c>
      <c r="F785" s="59">
        <v>3.0</v>
      </c>
      <c r="G785" s="60">
        <v>1.0</v>
      </c>
      <c r="H785" s="60">
        <v>1.0</v>
      </c>
      <c r="I785" s="60">
        <v>2.405612</v>
      </c>
      <c r="J785" s="59">
        <v>3.0</v>
      </c>
      <c r="K785" s="61">
        <f t="shared" si="1"/>
        <v>1</v>
      </c>
      <c r="L785" s="62">
        <f t="shared" si="2"/>
        <v>1</v>
      </c>
    </row>
    <row r="786">
      <c r="A786" s="58">
        <v>46054.0</v>
      </c>
      <c r="B786" s="24" t="s">
        <v>6789</v>
      </c>
      <c r="C786" s="24" t="s">
        <v>6838</v>
      </c>
      <c r="D786" s="59">
        <v>3.0</v>
      </c>
      <c r="E786" s="59">
        <v>3.0</v>
      </c>
      <c r="F786" s="59">
        <v>2.0</v>
      </c>
      <c r="G786" s="60">
        <v>1.0</v>
      </c>
      <c r="H786" s="60">
        <v>1.0</v>
      </c>
      <c r="I786" s="60">
        <v>0.0</v>
      </c>
      <c r="J786" s="59">
        <v>3.0</v>
      </c>
      <c r="K786" s="61">
        <f t="shared" si="1"/>
        <v>0.6666666667</v>
      </c>
      <c r="L786" s="62">
        <f t="shared" si="2"/>
        <v>1</v>
      </c>
    </row>
    <row r="787">
      <c r="A787" s="58">
        <v>46054.0</v>
      </c>
      <c r="B787" s="24" t="s">
        <v>6787</v>
      </c>
      <c r="C787" s="24" t="s">
        <v>6999</v>
      </c>
      <c r="D787" s="59">
        <v>3.0</v>
      </c>
      <c r="E787" s="59">
        <v>3.0</v>
      </c>
      <c r="F787" s="59">
        <v>3.0</v>
      </c>
      <c r="G787" s="60">
        <v>1.0</v>
      </c>
      <c r="H787" s="60">
        <v>0.666666666666666</v>
      </c>
      <c r="I787" s="60">
        <v>2.275553</v>
      </c>
      <c r="J787" s="59">
        <v>5.0</v>
      </c>
      <c r="K787" s="61">
        <f t="shared" si="1"/>
        <v>1</v>
      </c>
      <c r="L787" s="62">
        <f t="shared" si="2"/>
        <v>1.666666667</v>
      </c>
    </row>
    <row r="788">
      <c r="A788" s="58">
        <v>46054.0</v>
      </c>
      <c r="B788" s="24" t="s">
        <v>6787</v>
      </c>
      <c r="C788" s="24" t="s">
        <v>7032</v>
      </c>
      <c r="D788" s="59">
        <v>3.0</v>
      </c>
      <c r="E788" s="59">
        <v>3.0</v>
      </c>
      <c r="F788" s="59">
        <v>2.0</v>
      </c>
      <c r="G788" s="60">
        <v>1.0</v>
      </c>
      <c r="H788" s="60">
        <v>0.333333333333333</v>
      </c>
      <c r="I788" s="60">
        <v>642.360049</v>
      </c>
      <c r="J788" s="59">
        <v>9.0</v>
      </c>
      <c r="K788" s="61">
        <f t="shared" si="1"/>
        <v>0.6666666667</v>
      </c>
      <c r="L788" s="62">
        <f t="shared" si="2"/>
        <v>3</v>
      </c>
    </row>
    <row r="789">
      <c r="A789" s="58">
        <v>46054.0</v>
      </c>
      <c r="B789" s="24" t="s">
        <v>6787</v>
      </c>
      <c r="C789" s="24" t="s">
        <v>6896</v>
      </c>
      <c r="D789" s="59">
        <v>3.0</v>
      </c>
      <c r="E789" s="59">
        <v>4.0</v>
      </c>
      <c r="F789" s="59">
        <v>2.0</v>
      </c>
      <c r="G789" s="60">
        <v>2.0</v>
      </c>
      <c r="H789" s="60">
        <v>1.0</v>
      </c>
      <c r="I789" s="60">
        <v>0.0</v>
      </c>
      <c r="J789" s="59">
        <v>4.0</v>
      </c>
      <c r="K789" s="61">
        <f t="shared" si="1"/>
        <v>0.5</v>
      </c>
      <c r="L789" s="62">
        <f t="shared" si="2"/>
        <v>1</v>
      </c>
    </row>
    <row r="790">
      <c r="A790" s="58">
        <v>46054.0</v>
      </c>
      <c r="B790" s="24" t="s">
        <v>6789</v>
      </c>
      <c r="C790" s="24" t="s">
        <v>6897</v>
      </c>
      <c r="D790" s="59">
        <v>3.0</v>
      </c>
      <c r="E790" s="59">
        <v>3.0</v>
      </c>
      <c r="F790" s="59">
        <v>1.0</v>
      </c>
      <c r="G790" s="60">
        <v>1.0</v>
      </c>
      <c r="H790" s="60">
        <v>0.333333333333333</v>
      </c>
      <c r="I790" s="60">
        <v>11.5727243333333</v>
      </c>
      <c r="J790" s="59">
        <v>3.0</v>
      </c>
      <c r="K790" s="61">
        <f t="shared" si="1"/>
        <v>0.3333333333</v>
      </c>
      <c r="L790" s="62">
        <f t="shared" si="2"/>
        <v>1</v>
      </c>
    </row>
    <row r="791">
      <c r="A791" s="58">
        <v>46054.0</v>
      </c>
      <c r="B791" s="24" t="s">
        <v>155</v>
      </c>
      <c r="C791" s="24" t="s">
        <v>6898</v>
      </c>
      <c r="D791" s="59">
        <v>3.0</v>
      </c>
      <c r="E791" s="59">
        <v>3.0</v>
      </c>
      <c r="F791" s="59">
        <v>3.0</v>
      </c>
      <c r="G791" s="60">
        <v>1.0</v>
      </c>
      <c r="H791" s="60">
        <v>0.0</v>
      </c>
      <c r="I791" s="60">
        <v>221.166937333333</v>
      </c>
      <c r="J791" s="59">
        <v>3.0</v>
      </c>
      <c r="K791" s="61">
        <f t="shared" si="1"/>
        <v>1</v>
      </c>
      <c r="L791" s="62">
        <f t="shared" si="2"/>
        <v>1</v>
      </c>
    </row>
    <row r="792">
      <c r="A792" s="58">
        <v>46054.0</v>
      </c>
      <c r="B792" s="24" t="s">
        <v>6787</v>
      </c>
      <c r="C792" s="24" t="s">
        <v>6901</v>
      </c>
      <c r="D792" s="59">
        <v>3.0</v>
      </c>
      <c r="E792" s="59">
        <v>3.0</v>
      </c>
      <c r="F792" s="59">
        <v>3.0</v>
      </c>
      <c r="G792" s="60">
        <v>1.0</v>
      </c>
      <c r="H792" s="60">
        <v>1.0</v>
      </c>
      <c r="I792" s="60">
        <v>0.0</v>
      </c>
      <c r="J792" s="59">
        <v>3.0</v>
      </c>
      <c r="K792" s="61">
        <f t="shared" si="1"/>
        <v>1</v>
      </c>
      <c r="L792" s="62">
        <f t="shared" si="2"/>
        <v>1</v>
      </c>
    </row>
    <row r="793">
      <c r="A793" s="58">
        <v>46054.0</v>
      </c>
      <c r="B793" s="24" t="s">
        <v>6787</v>
      </c>
      <c r="C793" s="24" t="s">
        <v>6843</v>
      </c>
      <c r="D793" s="59">
        <v>3.0</v>
      </c>
      <c r="E793" s="59">
        <v>3.0</v>
      </c>
      <c r="F793" s="59">
        <v>3.0</v>
      </c>
      <c r="G793" s="60">
        <v>1.0</v>
      </c>
      <c r="H793" s="60">
        <v>1.0</v>
      </c>
      <c r="I793" s="60">
        <v>0.0</v>
      </c>
      <c r="J793" s="59">
        <v>3.0</v>
      </c>
      <c r="K793" s="61">
        <f t="shared" si="1"/>
        <v>1</v>
      </c>
      <c r="L793" s="62">
        <f t="shared" si="2"/>
        <v>1</v>
      </c>
    </row>
    <row r="794">
      <c r="A794" s="58">
        <v>46054.0</v>
      </c>
      <c r="B794" s="24" t="s">
        <v>155</v>
      </c>
      <c r="C794" s="24" t="s">
        <v>6807</v>
      </c>
      <c r="D794" s="59">
        <v>3.0</v>
      </c>
      <c r="E794" s="59">
        <v>3.0</v>
      </c>
      <c r="F794" s="59">
        <v>1.0</v>
      </c>
      <c r="G794" s="60">
        <v>1.0</v>
      </c>
      <c r="H794" s="60">
        <v>0.333333333333333</v>
      </c>
      <c r="I794" s="60">
        <v>448.703027</v>
      </c>
      <c r="J794" s="59">
        <v>3.0</v>
      </c>
      <c r="K794" s="61">
        <f t="shared" si="1"/>
        <v>0.3333333333</v>
      </c>
      <c r="L794" s="62">
        <f t="shared" si="2"/>
        <v>1</v>
      </c>
    </row>
    <row r="795">
      <c r="A795" s="58">
        <v>46054.0</v>
      </c>
      <c r="B795" s="24" t="s">
        <v>6789</v>
      </c>
      <c r="C795" s="24" t="s">
        <v>7033</v>
      </c>
      <c r="D795" s="59">
        <v>3.0</v>
      </c>
      <c r="E795" s="59">
        <v>3.0</v>
      </c>
      <c r="F795" s="59">
        <v>2.0</v>
      </c>
      <c r="G795" s="60">
        <v>1.5</v>
      </c>
      <c r="H795" s="60">
        <v>0.333333333333333</v>
      </c>
      <c r="I795" s="60">
        <v>308.5804</v>
      </c>
      <c r="J795" s="59">
        <v>5.0</v>
      </c>
      <c r="K795" s="61">
        <f t="shared" si="1"/>
        <v>0.6666666667</v>
      </c>
      <c r="L795" s="62">
        <f t="shared" si="2"/>
        <v>1.666666667</v>
      </c>
    </row>
    <row r="796">
      <c r="A796" s="58">
        <v>46054.0</v>
      </c>
      <c r="B796" s="24" t="s">
        <v>155</v>
      </c>
      <c r="C796" s="24" t="s">
        <v>7034</v>
      </c>
      <c r="D796" s="59">
        <v>3.0</v>
      </c>
      <c r="E796" s="59">
        <v>3.0</v>
      </c>
      <c r="F796" s="59">
        <v>3.0</v>
      </c>
      <c r="G796" s="60">
        <v>1.0</v>
      </c>
      <c r="H796" s="60">
        <v>1.0</v>
      </c>
      <c r="I796" s="60">
        <v>0.0</v>
      </c>
      <c r="J796" s="59">
        <v>3.0</v>
      </c>
      <c r="K796" s="61">
        <f t="shared" si="1"/>
        <v>1</v>
      </c>
      <c r="L796" s="62">
        <f t="shared" si="2"/>
        <v>1</v>
      </c>
    </row>
    <row r="797">
      <c r="A797" s="58">
        <v>46054.0</v>
      </c>
      <c r="B797" s="24" t="s">
        <v>155</v>
      </c>
      <c r="C797" s="24" t="s">
        <v>6845</v>
      </c>
      <c r="D797" s="59">
        <v>3.0</v>
      </c>
      <c r="E797" s="59">
        <v>4.0</v>
      </c>
      <c r="F797" s="59">
        <v>0.0</v>
      </c>
      <c r="G797" s="60">
        <v>1.33333333333333</v>
      </c>
      <c r="H797" s="60">
        <v>0.0</v>
      </c>
      <c r="I797" s="60">
        <v>1894.67221449999</v>
      </c>
      <c r="J797" s="59">
        <v>25.0</v>
      </c>
      <c r="K797" s="61">
        <f t="shared" si="1"/>
        <v>0</v>
      </c>
      <c r="L797" s="62">
        <f t="shared" si="2"/>
        <v>6.25</v>
      </c>
    </row>
    <row r="798">
      <c r="A798" s="58">
        <v>46054.0</v>
      </c>
      <c r="B798" s="24" t="s">
        <v>6787</v>
      </c>
      <c r="C798" s="24" t="s">
        <v>6825</v>
      </c>
      <c r="D798" s="59">
        <v>3.0</v>
      </c>
      <c r="E798" s="59">
        <v>4.0</v>
      </c>
      <c r="F798" s="59">
        <v>2.0</v>
      </c>
      <c r="G798" s="60">
        <v>1.33333333333333</v>
      </c>
      <c r="H798" s="60">
        <v>0.5</v>
      </c>
      <c r="I798" s="60">
        <v>6.904134</v>
      </c>
      <c r="J798" s="59">
        <v>7.0</v>
      </c>
      <c r="K798" s="61">
        <f t="shared" si="1"/>
        <v>0.5</v>
      </c>
      <c r="L798" s="62">
        <f t="shared" si="2"/>
        <v>1.75</v>
      </c>
    </row>
    <row r="799">
      <c r="A799" s="58">
        <v>46054.0</v>
      </c>
      <c r="B799" s="24" t="s">
        <v>6787</v>
      </c>
      <c r="C799" s="24" t="s">
        <v>6906</v>
      </c>
      <c r="D799" s="59">
        <v>3.0</v>
      </c>
      <c r="E799" s="59">
        <v>3.0</v>
      </c>
      <c r="F799" s="59">
        <v>2.0</v>
      </c>
      <c r="G799" s="60">
        <v>1.0</v>
      </c>
      <c r="H799" s="60">
        <v>0.666666666666666</v>
      </c>
      <c r="I799" s="60">
        <v>16.2086753333333</v>
      </c>
      <c r="J799" s="59">
        <v>3.0</v>
      </c>
      <c r="K799" s="61">
        <f t="shared" si="1"/>
        <v>0.6666666667</v>
      </c>
      <c r="L799" s="62">
        <f t="shared" si="2"/>
        <v>1</v>
      </c>
    </row>
    <row r="800">
      <c r="A800" s="58">
        <v>46054.0</v>
      </c>
      <c r="B800" s="24" t="s">
        <v>6787</v>
      </c>
      <c r="C800" s="24" t="s">
        <v>7035</v>
      </c>
      <c r="D800" s="59">
        <v>3.0</v>
      </c>
      <c r="E800" s="59">
        <v>3.0</v>
      </c>
      <c r="F800" s="59">
        <v>3.0</v>
      </c>
      <c r="G800" s="60">
        <v>1.0</v>
      </c>
      <c r="H800" s="60">
        <v>1.0</v>
      </c>
      <c r="I800" s="60">
        <v>1.81891033333333</v>
      </c>
      <c r="J800" s="59">
        <v>3.0</v>
      </c>
      <c r="K800" s="61">
        <f t="shared" si="1"/>
        <v>1</v>
      </c>
      <c r="L800" s="62">
        <f t="shared" si="2"/>
        <v>1</v>
      </c>
    </row>
    <row r="801">
      <c r="A801" s="58">
        <v>46054.0</v>
      </c>
      <c r="B801" s="24" t="s">
        <v>6787</v>
      </c>
      <c r="C801" s="24" t="s">
        <v>7036</v>
      </c>
      <c r="D801" s="59">
        <v>3.0</v>
      </c>
      <c r="E801" s="59">
        <v>3.0</v>
      </c>
      <c r="F801" s="59">
        <v>3.0</v>
      </c>
      <c r="G801" s="60">
        <v>1.0</v>
      </c>
      <c r="H801" s="60">
        <v>1.0</v>
      </c>
      <c r="I801" s="60">
        <v>0.0</v>
      </c>
      <c r="J801" s="59">
        <v>3.0</v>
      </c>
      <c r="K801" s="61">
        <f t="shared" si="1"/>
        <v>1</v>
      </c>
      <c r="L801" s="62">
        <f t="shared" si="2"/>
        <v>1</v>
      </c>
    </row>
    <row r="802">
      <c r="A802" s="58">
        <v>46054.0</v>
      </c>
      <c r="B802" s="24" t="s">
        <v>6787</v>
      </c>
      <c r="C802" s="24" t="s">
        <v>6960</v>
      </c>
      <c r="D802" s="59">
        <v>3.0</v>
      </c>
      <c r="E802" s="59">
        <v>3.0</v>
      </c>
      <c r="F802" s="59">
        <v>2.0</v>
      </c>
      <c r="G802" s="60">
        <v>1.0</v>
      </c>
      <c r="H802" s="60">
        <v>0.333333333333333</v>
      </c>
      <c r="I802" s="60">
        <v>26.512726</v>
      </c>
      <c r="J802" s="59">
        <v>4.0</v>
      </c>
      <c r="K802" s="61">
        <f t="shared" si="1"/>
        <v>0.6666666667</v>
      </c>
      <c r="L802" s="62">
        <f t="shared" si="2"/>
        <v>1.333333333</v>
      </c>
    </row>
    <row r="803">
      <c r="A803" s="58">
        <v>46054.0</v>
      </c>
      <c r="B803" s="24" t="s">
        <v>6789</v>
      </c>
      <c r="C803" s="24" t="s">
        <v>6851</v>
      </c>
      <c r="D803" s="59">
        <v>3.0</v>
      </c>
      <c r="E803" s="59">
        <v>4.0</v>
      </c>
      <c r="F803" s="59">
        <v>2.0</v>
      </c>
      <c r="G803" s="60">
        <v>1.33333333333333</v>
      </c>
      <c r="H803" s="60">
        <v>0.25</v>
      </c>
      <c r="I803" s="60">
        <v>575.66573575</v>
      </c>
      <c r="J803" s="59">
        <v>17.0</v>
      </c>
      <c r="K803" s="61">
        <f t="shared" si="1"/>
        <v>0.5</v>
      </c>
      <c r="L803" s="62">
        <f t="shared" si="2"/>
        <v>4.25</v>
      </c>
    </row>
    <row r="804">
      <c r="A804" s="58">
        <v>46054.0</v>
      </c>
      <c r="B804" s="24" t="s">
        <v>6787</v>
      </c>
      <c r="C804" s="24" t="s">
        <v>6911</v>
      </c>
      <c r="D804" s="59">
        <v>3.0</v>
      </c>
      <c r="E804" s="59">
        <v>3.0</v>
      </c>
      <c r="F804" s="59">
        <v>2.0</v>
      </c>
      <c r="G804" s="60">
        <v>1.0</v>
      </c>
      <c r="H804" s="60">
        <v>0.666666666666666</v>
      </c>
      <c r="I804" s="60">
        <v>311.672574666666</v>
      </c>
      <c r="J804" s="59">
        <v>14.0</v>
      </c>
      <c r="K804" s="61">
        <f t="shared" si="1"/>
        <v>0.6666666667</v>
      </c>
      <c r="L804" s="62">
        <f t="shared" si="2"/>
        <v>4.666666667</v>
      </c>
    </row>
    <row r="805">
      <c r="A805" s="58">
        <v>46054.0</v>
      </c>
      <c r="B805" s="24" t="s">
        <v>6789</v>
      </c>
      <c r="C805" s="24" t="s">
        <v>6917</v>
      </c>
      <c r="D805" s="59">
        <v>3.0</v>
      </c>
      <c r="E805" s="59">
        <v>3.0</v>
      </c>
      <c r="F805" s="59">
        <v>3.0</v>
      </c>
      <c r="G805" s="60">
        <v>1.0</v>
      </c>
      <c r="H805" s="60">
        <v>0.333333333333333</v>
      </c>
      <c r="I805" s="60">
        <v>792.137818666666</v>
      </c>
      <c r="J805" s="59">
        <v>4.0</v>
      </c>
      <c r="K805" s="61">
        <f t="shared" si="1"/>
        <v>1</v>
      </c>
      <c r="L805" s="62">
        <f t="shared" si="2"/>
        <v>1.333333333</v>
      </c>
    </row>
    <row r="806">
      <c r="A806" s="58">
        <v>46054.0</v>
      </c>
      <c r="B806" s="24" t="s">
        <v>155</v>
      </c>
      <c r="C806" s="24" t="s">
        <v>6816</v>
      </c>
      <c r="D806" s="59">
        <v>3.0</v>
      </c>
      <c r="E806" s="59">
        <v>3.0</v>
      </c>
      <c r="F806" s="59">
        <v>2.0</v>
      </c>
      <c r="G806" s="60">
        <v>1.0</v>
      </c>
      <c r="H806" s="60">
        <v>0.333333333333333</v>
      </c>
      <c r="I806" s="60">
        <v>116.587368666666</v>
      </c>
      <c r="J806" s="59">
        <v>6.0</v>
      </c>
      <c r="K806" s="61">
        <f t="shared" si="1"/>
        <v>0.6666666667</v>
      </c>
      <c r="L806" s="62">
        <f t="shared" si="2"/>
        <v>2</v>
      </c>
    </row>
    <row r="807">
      <c r="A807" s="58">
        <v>46054.0</v>
      </c>
      <c r="B807" s="24" t="s">
        <v>6787</v>
      </c>
      <c r="C807" s="24" t="s">
        <v>6922</v>
      </c>
      <c r="D807" s="59">
        <v>3.0</v>
      </c>
      <c r="E807" s="59">
        <v>3.0</v>
      </c>
      <c r="F807" s="59">
        <v>3.0</v>
      </c>
      <c r="G807" s="60">
        <v>1.0</v>
      </c>
      <c r="H807" s="60">
        <v>0.666666666666666</v>
      </c>
      <c r="I807" s="60">
        <v>703.205973</v>
      </c>
      <c r="J807" s="59">
        <v>4.0</v>
      </c>
      <c r="K807" s="61">
        <f t="shared" si="1"/>
        <v>1</v>
      </c>
      <c r="L807" s="62">
        <f t="shared" si="2"/>
        <v>1.333333333</v>
      </c>
    </row>
    <row r="808">
      <c r="A808" s="58">
        <v>46054.0</v>
      </c>
      <c r="B808" s="24" t="s">
        <v>6787</v>
      </c>
      <c r="C808" s="24" t="s">
        <v>7037</v>
      </c>
      <c r="D808" s="59">
        <v>3.0</v>
      </c>
      <c r="E808" s="59">
        <v>4.0</v>
      </c>
      <c r="F808" s="59">
        <v>0.0</v>
      </c>
      <c r="G808" s="60">
        <v>1.33333333333333</v>
      </c>
      <c r="H808" s="60">
        <v>0.5</v>
      </c>
      <c r="I808" s="60">
        <v>144.4239305</v>
      </c>
      <c r="J808" s="59">
        <v>8.0</v>
      </c>
      <c r="K808" s="61">
        <f t="shared" si="1"/>
        <v>0</v>
      </c>
      <c r="L808" s="62">
        <f t="shared" si="2"/>
        <v>2</v>
      </c>
    </row>
    <row r="809">
      <c r="A809" s="58">
        <v>46054.0</v>
      </c>
      <c r="B809" s="24" t="s">
        <v>6789</v>
      </c>
      <c r="C809" s="24" t="s">
        <v>7025</v>
      </c>
      <c r="D809" s="59">
        <v>3.0</v>
      </c>
      <c r="E809" s="59">
        <v>4.0</v>
      </c>
      <c r="F809" s="59">
        <v>0.0</v>
      </c>
      <c r="G809" s="60">
        <v>1.33333333333333</v>
      </c>
      <c r="H809" s="60">
        <v>0.25</v>
      </c>
      <c r="I809" s="60">
        <v>1006.55749375</v>
      </c>
      <c r="J809" s="59">
        <v>15.0</v>
      </c>
      <c r="K809" s="61">
        <f t="shared" si="1"/>
        <v>0</v>
      </c>
      <c r="L809" s="62">
        <f t="shared" si="2"/>
        <v>3.75</v>
      </c>
    </row>
    <row r="810">
      <c r="A810" s="58">
        <v>46054.0</v>
      </c>
      <c r="B810" s="24" t="s">
        <v>6787</v>
      </c>
      <c r="C810" s="24" t="s">
        <v>7038</v>
      </c>
      <c r="D810" s="59">
        <v>3.0</v>
      </c>
      <c r="E810" s="59">
        <v>3.0</v>
      </c>
      <c r="F810" s="59">
        <v>0.0</v>
      </c>
      <c r="G810" s="60">
        <v>1.0</v>
      </c>
      <c r="H810" s="60">
        <v>0.0</v>
      </c>
      <c r="I810" s="60">
        <v>154.872042</v>
      </c>
      <c r="J810" s="59">
        <v>10.0</v>
      </c>
      <c r="K810" s="61">
        <f t="shared" si="1"/>
        <v>0</v>
      </c>
      <c r="L810" s="62">
        <f t="shared" si="2"/>
        <v>3.333333333</v>
      </c>
    </row>
    <row r="811">
      <c r="A811" s="58">
        <v>46054.0</v>
      </c>
      <c r="B811" s="24" t="s">
        <v>155</v>
      </c>
      <c r="C811" s="24" t="s">
        <v>6802</v>
      </c>
      <c r="D811" s="59">
        <v>3.0</v>
      </c>
      <c r="E811" s="59">
        <v>5.0</v>
      </c>
      <c r="F811" s="59">
        <v>0.0</v>
      </c>
      <c r="G811" s="60">
        <v>2.5</v>
      </c>
      <c r="H811" s="60">
        <v>0.6</v>
      </c>
      <c r="I811" s="60">
        <v>46.2663018</v>
      </c>
      <c r="J811" s="59">
        <v>10.0</v>
      </c>
      <c r="K811" s="61">
        <f t="shared" si="1"/>
        <v>0</v>
      </c>
      <c r="L811" s="62">
        <f t="shared" si="2"/>
        <v>2</v>
      </c>
    </row>
    <row r="812">
      <c r="A812" s="58">
        <v>46054.0</v>
      </c>
      <c r="B812" s="24" t="s">
        <v>6787</v>
      </c>
      <c r="C812" s="24" t="s">
        <v>6972</v>
      </c>
      <c r="D812" s="59">
        <v>2.0</v>
      </c>
      <c r="E812" s="59">
        <v>2.0</v>
      </c>
      <c r="F812" s="59">
        <v>2.0</v>
      </c>
      <c r="G812" s="60">
        <v>1.0</v>
      </c>
      <c r="H812" s="60">
        <v>0.5</v>
      </c>
      <c r="I812" s="60">
        <v>18.767955</v>
      </c>
      <c r="J812" s="59">
        <v>2.0</v>
      </c>
      <c r="K812" s="61">
        <f t="shared" si="1"/>
        <v>1</v>
      </c>
      <c r="L812" s="62">
        <f t="shared" si="2"/>
        <v>1</v>
      </c>
    </row>
    <row r="813">
      <c r="A813" s="58">
        <v>46054.0</v>
      </c>
      <c r="B813" s="24" t="s">
        <v>6789</v>
      </c>
      <c r="C813" s="24" t="s">
        <v>6943</v>
      </c>
      <c r="D813" s="59">
        <v>2.0</v>
      </c>
      <c r="E813" s="59">
        <v>2.0</v>
      </c>
      <c r="F813" s="59">
        <v>0.0</v>
      </c>
      <c r="G813" s="60">
        <v>1.0</v>
      </c>
      <c r="H813" s="60">
        <v>0.0</v>
      </c>
      <c r="I813" s="60">
        <v>1503.9051345</v>
      </c>
      <c r="J813" s="59">
        <v>3.0</v>
      </c>
      <c r="K813" s="61">
        <f t="shared" si="1"/>
        <v>0</v>
      </c>
      <c r="L813" s="62">
        <f t="shared" si="2"/>
        <v>1.5</v>
      </c>
    </row>
    <row r="814">
      <c r="A814" s="58">
        <v>46054.0</v>
      </c>
      <c r="B814" s="24" t="s">
        <v>6787</v>
      </c>
      <c r="C814" s="24" t="s">
        <v>6858</v>
      </c>
      <c r="D814" s="59">
        <v>2.0</v>
      </c>
      <c r="E814" s="59">
        <v>2.0</v>
      </c>
      <c r="F814" s="59">
        <v>2.0</v>
      </c>
      <c r="G814" s="60">
        <v>1.0</v>
      </c>
      <c r="H814" s="60">
        <v>0.5</v>
      </c>
      <c r="I814" s="60">
        <v>6.3090595</v>
      </c>
      <c r="J814" s="59">
        <v>2.0</v>
      </c>
      <c r="K814" s="61">
        <f t="shared" si="1"/>
        <v>1</v>
      </c>
      <c r="L814" s="62">
        <f t="shared" si="2"/>
        <v>1</v>
      </c>
    </row>
    <row r="815">
      <c r="A815" s="58">
        <v>46054.0</v>
      </c>
      <c r="B815" s="24" t="s">
        <v>6789</v>
      </c>
      <c r="C815" s="24" t="s">
        <v>6829</v>
      </c>
      <c r="D815" s="59">
        <v>2.0</v>
      </c>
      <c r="E815" s="59">
        <v>2.0</v>
      </c>
      <c r="F815" s="59">
        <v>2.0</v>
      </c>
      <c r="G815" s="60">
        <v>1.0</v>
      </c>
      <c r="H815" s="60">
        <v>0.5</v>
      </c>
      <c r="I815" s="60">
        <v>6.9860045</v>
      </c>
      <c r="J815" s="59">
        <v>2.0</v>
      </c>
      <c r="K815" s="61">
        <f t="shared" si="1"/>
        <v>1</v>
      </c>
      <c r="L815" s="62">
        <f t="shared" si="2"/>
        <v>1</v>
      </c>
    </row>
    <row r="816">
      <c r="A816" s="58">
        <v>46054.0</v>
      </c>
      <c r="B816" s="24" t="s">
        <v>6787</v>
      </c>
      <c r="C816" s="24" t="s">
        <v>6956</v>
      </c>
      <c r="D816" s="59">
        <v>2.0</v>
      </c>
      <c r="E816" s="59">
        <v>2.0</v>
      </c>
      <c r="F816" s="59">
        <v>2.0</v>
      </c>
      <c r="G816" s="60">
        <v>1.0</v>
      </c>
      <c r="H816" s="60">
        <v>1.0</v>
      </c>
      <c r="I816" s="60">
        <v>0.0</v>
      </c>
      <c r="J816" s="59">
        <v>2.0</v>
      </c>
      <c r="K816" s="61">
        <f t="shared" si="1"/>
        <v>1</v>
      </c>
      <c r="L816" s="62">
        <f t="shared" si="2"/>
        <v>1</v>
      </c>
    </row>
    <row r="817">
      <c r="A817" s="58">
        <v>46054.0</v>
      </c>
      <c r="B817" s="24" t="s">
        <v>6787</v>
      </c>
      <c r="C817" s="24" t="s">
        <v>7039</v>
      </c>
      <c r="D817" s="59">
        <v>2.0</v>
      </c>
      <c r="E817" s="59">
        <v>2.0</v>
      </c>
      <c r="F817" s="59">
        <v>2.0</v>
      </c>
      <c r="G817" s="60">
        <v>1.0</v>
      </c>
      <c r="H817" s="60">
        <v>1.0</v>
      </c>
      <c r="I817" s="60">
        <v>4.0534395</v>
      </c>
      <c r="J817" s="59">
        <v>2.0</v>
      </c>
      <c r="K817" s="61">
        <f t="shared" si="1"/>
        <v>1</v>
      </c>
      <c r="L817" s="62">
        <f t="shared" si="2"/>
        <v>1</v>
      </c>
    </row>
    <row r="818">
      <c r="A818" s="58">
        <v>46054.0</v>
      </c>
      <c r="B818" s="24" t="s">
        <v>155</v>
      </c>
      <c r="C818" s="24" t="s">
        <v>6939</v>
      </c>
      <c r="D818" s="59">
        <v>2.0</v>
      </c>
      <c r="E818" s="59">
        <v>2.0</v>
      </c>
      <c r="F818" s="59">
        <v>0.0</v>
      </c>
      <c r="G818" s="60">
        <v>1.0</v>
      </c>
      <c r="H818" s="60">
        <v>0.0</v>
      </c>
      <c r="I818" s="60">
        <v>386.0701295</v>
      </c>
      <c r="J818" s="59">
        <v>4.0</v>
      </c>
      <c r="K818" s="61">
        <f t="shared" si="1"/>
        <v>0</v>
      </c>
      <c r="L818" s="62">
        <f t="shared" si="2"/>
        <v>2</v>
      </c>
    </row>
    <row r="819">
      <c r="A819" s="58">
        <v>46054.0</v>
      </c>
      <c r="B819" s="24" t="s">
        <v>6787</v>
      </c>
      <c r="C819" s="24" t="s">
        <v>6831</v>
      </c>
      <c r="D819" s="59">
        <v>2.0</v>
      </c>
      <c r="E819" s="59">
        <v>2.0</v>
      </c>
      <c r="F819" s="59">
        <v>2.0</v>
      </c>
      <c r="G819" s="60">
        <v>1.0</v>
      </c>
      <c r="H819" s="60">
        <v>1.0</v>
      </c>
      <c r="I819" s="60">
        <v>0.0</v>
      </c>
      <c r="J819" s="59">
        <v>2.0</v>
      </c>
      <c r="K819" s="61">
        <f t="shared" si="1"/>
        <v>1</v>
      </c>
      <c r="L819" s="62">
        <f t="shared" si="2"/>
        <v>1</v>
      </c>
    </row>
    <row r="820">
      <c r="A820" s="58">
        <v>46054.0</v>
      </c>
      <c r="B820" s="24" t="s">
        <v>6787</v>
      </c>
      <c r="C820" s="24" t="s">
        <v>6818</v>
      </c>
      <c r="D820" s="59">
        <v>2.0</v>
      </c>
      <c r="E820" s="59">
        <v>2.0</v>
      </c>
      <c r="F820" s="59">
        <v>2.0</v>
      </c>
      <c r="G820" s="60">
        <v>1.0</v>
      </c>
      <c r="H820" s="60">
        <v>1.0</v>
      </c>
      <c r="I820" s="60">
        <v>0.0</v>
      </c>
      <c r="J820" s="59">
        <v>2.0</v>
      </c>
      <c r="K820" s="61">
        <f t="shared" si="1"/>
        <v>1</v>
      </c>
      <c r="L820" s="62">
        <f t="shared" si="2"/>
        <v>1</v>
      </c>
    </row>
    <row r="821">
      <c r="A821" s="58">
        <v>46054.0</v>
      </c>
      <c r="B821" s="24" t="s">
        <v>6787</v>
      </c>
      <c r="C821" s="24" t="s">
        <v>6832</v>
      </c>
      <c r="D821" s="59">
        <v>2.0</v>
      </c>
      <c r="E821" s="59">
        <v>2.0</v>
      </c>
      <c r="F821" s="59">
        <v>2.0</v>
      </c>
      <c r="G821" s="60">
        <v>1.0</v>
      </c>
      <c r="H821" s="60">
        <v>1.0</v>
      </c>
      <c r="I821" s="60">
        <v>0.0</v>
      </c>
      <c r="J821" s="59">
        <v>2.0</v>
      </c>
      <c r="K821" s="61">
        <f t="shared" si="1"/>
        <v>1</v>
      </c>
      <c r="L821" s="62">
        <f t="shared" si="2"/>
        <v>1</v>
      </c>
    </row>
    <row r="822">
      <c r="A822" s="58">
        <v>46054.0</v>
      </c>
      <c r="B822" s="24" t="s">
        <v>6787</v>
      </c>
      <c r="C822" s="24" t="s">
        <v>6833</v>
      </c>
      <c r="D822" s="59">
        <v>2.0</v>
      </c>
      <c r="E822" s="59">
        <v>2.0</v>
      </c>
      <c r="F822" s="59">
        <v>2.0</v>
      </c>
      <c r="G822" s="60">
        <v>1.0</v>
      </c>
      <c r="H822" s="60">
        <v>1.0</v>
      </c>
      <c r="I822" s="60">
        <v>0.0</v>
      </c>
      <c r="J822" s="59">
        <v>2.0</v>
      </c>
      <c r="K822" s="61">
        <f t="shared" si="1"/>
        <v>1</v>
      </c>
      <c r="L822" s="62">
        <f t="shared" si="2"/>
        <v>1</v>
      </c>
    </row>
    <row r="823">
      <c r="A823" s="58">
        <v>46054.0</v>
      </c>
      <c r="B823" s="24" t="s">
        <v>6789</v>
      </c>
      <c r="C823" s="24" t="s">
        <v>6986</v>
      </c>
      <c r="D823" s="59">
        <v>2.0</v>
      </c>
      <c r="E823" s="59">
        <v>2.0</v>
      </c>
      <c r="F823" s="59">
        <v>2.0</v>
      </c>
      <c r="G823" s="60">
        <v>1.0</v>
      </c>
      <c r="H823" s="60">
        <v>0.0</v>
      </c>
      <c r="I823" s="60">
        <v>114.1784595</v>
      </c>
      <c r="J823" s="59">
        <v>2.0</v>
      </c>
      <c r="K823" s="61">
        <f t="shared" si="1"/>
        <v>1</v>
      </c>
      <c r="L823" s="62">
        <f t="shared" si="2"/>
        <v>1</v>
      </c>
    </row>
    <row r="824">
      <c r="A824" s="58">
        <v>46054.0</v>
      </c>
      <c r="B824" s="24" t="s">
        <v>6787</v>
      </c>
      <c r="C824" s="24" t="s">
        <v>7040</v>
      </c>
      <c r="D824" s="59">
        <v>2.0</v>
      </c>
      <c r="E824" s="59">
        <v>2.0</v>
      </c>
      <c r="F824" s="59">
        <v>2.0</v>
      </c>
      <c r="G824" s="60">
        <v>1.0</v>
      </c>
      <c r="H824" s="60">
        <v>1.0</v>
      </c>
      <c r="I824" s="60">
        <v>0.0</v>
      </c>
      <c r="J824" s="59">
        <v>2.0</v>
      </c>
      <c r="K824" s="61">
        <f t="shared" si="1"/>
        <v>1</v>
      </c>
      <c r="L824" s="62">
        <f t="shared" si="2"/>
        <v>1</v>
      </c>
    </row>
    <row r="825">
      <c r="A825" s="58">
        <v>46054.0</v>
      </c>
      <c r="B825" s="24" t="s">
        <v>6789</v>
      </c>
      <c r="C825" s="24" t="s">
        <v>7040</v>
      </c>
      <c r="D825" s="59">
        <v>2.0</v>
      </c>
      <c r="E825" s="59">
        <v>2.0</v>
      </c>
      <c r="F825" s="59">
        <v>1.0</v>
      </c>
      <c r="G825" s="60">
        <v>2.0</v>
      </c>
      <c r="H825" s="60">
        <v>1.0</v>
      </c>
      <c r="I825" s="60">
        <v>0.0</v>
      </c>
      <c r="J825" s="59">
        <v>2.0</v>
      </c>
      <c r="K825" s="61">
        <f t="shared" si="1"/>
        <v>0.5</v>
      </c>
      <c r="L825" s="62">
        <f t="shared" si="2"/>
        <v>1</v>
      </c>
    </row>
    <row r="826">
      <c r="A826" s="58">
        <v>46054.0</v>
      </c>
      <c r="B826" s="24" t="s">
        <v>6787</v>
      </c>
      <c r="C826" s="24" t="s">
        <v>6877</v>
      </c>
      <c r="D826" s="59">
        <v>2.0</v>
      </c>
      <c r="E826" s="59">
        <v>2.0</v>
      </c>
      <c r="F826" s="59">
        <v>2.0</v>
      </c>
      <c r="G826" s="60">
        <v>1.0</v>
      </c>
      <c r="H826" s="60">
        <v>1.0</v>
      </c>
      <c r="I826" s="60">
        <v>0.0</v>
      </c>
      <c r="J826" s="59">
        <v>2.0</v>
      </c>
      <c r="K826" s="61">
        <f t="shared" si="1"/>
        <v>1</v>
      </c>
      <c r="L826" s="62">
        <f t="shared" si="2"/>
        <v>1</v>
      </c>
    </row>
    <row r="827">
      <c r="A827" s="58">
        <v>46054.0</v>
      </c>
      <c r="B827" s="24" t="s">
        <v>6787</v>
      </c>
      <c r="C827" s="24" t="s">
        <v>6883</v>
      </c>
      <c r="D827" s="59">
        <v>2.0</v>
      </c>
      <c r="E827" s="59">
        <v>2.0</v>
      </c>
      <c r="F827" s="59">
        <v>2.0</v>
      </c>
      <c r="G827" s="60">
        <v>1.0</v>
      </c>
      <c r="H827" s="60">
        <v>1.0</v>
      </c>
      <c r="I827" s="60">
        <v>3.181593</v>
      </c>
      <c r="J827" s="59">
        <v>2.0</v>
      </c>
      <c r="K827" s="61">
        <f t="shared" si="1"/>
        <v>1</v>
      </c>
      <c r="L827" s="62">
        <f t="shared" si="2"/>
        <v>1</v>
      </c>
    </row>
    <row r="828">
      <c r="A828" s="58">
        <v>46054.0</v>
      </c>
      <c r="B828" s="24" t="s">
        <v>6789</v>
      </c>
      <c r="C828" s="24" t="s">
        <v>6883</v>
      </c>
      <c r="D828" s="59">
        <v>2.0</v>
      </c>
      <c r="E828" s="59">
        <v>2.0</v>
      </c>
      <c r="F828" s="59">
        <v>2.0</v>
      </c>
      <c r="G828" s="60">
        <v>1.0</v>
      </c>
      <c r="H828" s="60">
        <v>0.0</v>
      </c>
      <c r="I828" s="60">
        <v>537.502101</v>
      </c>
      <c r="J828" s="59">
        <v>2.0</v>
      </c>
      <c r="K828" s="61">
        <f t="shared" si="1"/>
        <v>1</v>
      </c>
      <c r="L828" s="62">
        <f t="shared" si="2"/>
        <v>1</v>
      </c>
    </row>
    <row r="829">
      <c r="A829" s="58">
        <v>46054.0</v>
      </c>
      <c r="B829" s="24" t="s">
        <v>6787</v>
      </c>
      <c r="C829" s="24" t="s">
        <v>6995</v>
      </c>
      <c r="D829" s="59">
        <v>2.0</v>
      </c>
      <c r="E829" s="59">
        <v>2.0</v>
      </c>
      <c r="F829" s="59">
        <v>2.0</v>
      </c>
      <c r="G829" s="60">
        <v>1.0</v>
      </c>
      <c r="H829" s="60">
        <v>1.0</v>
      </c>
      <c r="I829" s="60">
        <v>0.0</v>
      </c>
      <c r="J829" s="59">
        <v>2.0</v>
      </c>
      <c r="K829" s="61">
        <f t="shared" si="1"/>
        <v>1</v>
      </c>
      <c r="L829" s="62">
        <f t="shared" si="2"/>
        <v>1</v>
      </c>
    </row>
    <row r="830">
      <c r="A830" s="58">
        <v>46054.0</v>
      </c>
      <c r="B830" s="24" t="s">
        <v>6787</v>
      </c>
      <c r="C830" s="24" t="s">
        <v>6945</v>
      </c>
      <c r="D830" s="59">
        <v>2.0</v>
      </c>
      <c r="E830" s="59">
        <v>2.0</v>
      </c>
      <c r="F830" s="59">
        <v>2.0</v>
      </c>
      <c r="G830" s="60">
        <v>1.0</v>
      </c>
      <c r="H830" s="60">
        <v>1.0</v>
      </c>
      <c r="I830" s="60">
        <v>0.0</v>
      </c>
      <c r="J830" s="59">
        <v>2.0</v>
      </c>
      <c r="K830" s="61">
        <f t="shared" si="1"/>
        <v>1</v>
      </c>
      <c r="L830" s="62">
        <f t="shared" si="2"/>
        <v>1</v>
      </c>
    </row>
    <row r="831">
      <c r="A831" s="58">
        <v>46054.0</v>
      </c>
      <c r="B831" s="24" t="s">
        <v>6787</v>
      </c>
      <c r="C831" s="24" t="s">
        <v>6926</v>
      </c>
      <c r="D831" s="59">
        <v>2.0</v>
      </c>
      <c r="E831" s="59">
        <v>3.0</v>
      </c>
      <c r="F831" s="59">
        <v>1.0</v>
      </c>
      <c r="G831" s="60">
        <v>1.5</v>
      </c>
      <c r="H831" s="60">
        <v>0.333333333333333</v>
      </c>
      <c r="I831" s="60">
        <v>216.411930333333</v>
      </c>
      <c r="J831" s="59">
        <v>3.0</v>
      </c>
      <c r="K831" s="61">
        <f t="shared" si="1"/>
        <v>0.3333333333</v>
      </c>
      <c r="L831" s="62">
        <f t="shared" si="2"/>
        <v>1</v>
      </c>
    </row>
    <row r="832">
      <c r="A832" s="58">
        <v>46054.0</v>
      </c>
      <c r="B832" s="24" t="s">
        <v>155</v>
      </c>
      <c r="C832" s="24" t="s">
        <v>6926</v>
      </c>
      <c r="D832" s="59">
        <v>2.0</v>
      </c>
      <c r="E832" s="59">
        <v>2.0</v>
      </c>
      <c r="F832" s="59">
        <v>0.0</v>
      </c>
      <c r="G832" s="60">
        <v>1.0</v>
      </c>
      <c r="H832" s="60">
        <v>1.0</v>
      </c>
      <c r="I832" s="60">
        <v>0.0</v>
      </c>
      <c r="J832" s="59">
        <v>2.0</v>
      </c>
      <c r="K832" s="61">
        <f t="shared" si="1"/>
        <v>0</v>
      </c>
      <c r="L832" s="62">
        <f t="shared" si="2"/>
        <v>1</v>
      </c>
    </row>
    <row r="833">
      <c r="A833" s="58">
        <v>46054.0</v>
      </c>
      <c r="B833" s="24" t="s">
        <v>6789</v>
      </c>
      <c r="C833" s="24" t="s">
        <v>6821</v>
      </c>
      <c r="D833" s="59">
        <v>2.0</v>
      </c>
      <c r="E833" s="59">
        <v>3.0</v>
      </c>
      <c r="F833" s="59">
        <v>1.0</v>
      </c>
      <c r="G833" s="60">
        <v>1.5</v>
      </c>
      <c r="H833" s="60">
        <v>0.0</v>
      </c>
      <c r="I833" s="60">
        <v>49.4183476666666</v>
      </c>
      <c r="J833" s="59">
        <v>4.0</v>
      </c>
      <c r="K833" s="61">
        <f t="shared" si="1"/>
        <v>0.3333333333</v>
      </c>
      <c r="L833" s="62">
        <f t="shared" si="2"/>
        <v>1.333333333</v>
      </c>
    </row>
    <row r="834">
      <c r="A834" s="58">
        <v>46054.0</v>
      </c>
      <c r="B834" s="24" t="s">
        <v>6791</v>
      </c>
      <c r="C834" s="24" t="s">
        <v>6822</v>
      </c>
      <c r="D834" s="59">
        <v>2.0</v>
      </c>
      <c r="E834" s="59">
        <v>2.0</v>
      </c>
      <c r="F834" s="59">
        <v>0.0</v>
      </c>
      <c r="G834" s="60">
        <v>1.0</v>
      </c>
      <c r="H834" s="60">
        <v>0.0</v>
      </c>
      <c r="I834" s="60">
        <v>241.8600625</v>
      </c>
      <c r="J834" s="59">
        <v>3.0</v>
      </c>
      <c r="K834" s="61">
        <f t="shared" si="1"/>
        <v>0</v>
      </c>
      <c r="L834" s="62">
        <f t="shared" si="2"/>
        <v>1.5</v>
      </c>
    </row>
    <row r="835">
      <c r="A835" s="58">
        <v>46054.0</v>
      </c>
      <c r="B835" s="24" t="s">
        <v>6787</v>
      </c>
      <c r="C835" s="24" t="s">
        <v>6892</v>
      </c>
      <c r="D835" s="59">
        <v>2.0</v>
      </c>
      <c r="E835" s="59">
        <v>2.0</v>
      </c>
      <c r="F835" s="59">
        <v>2.0</v>
      </c>
      <c r="G835" s="60">
        <v>1.0</v>
      </c>
      <c r="H835" s="60">
        <v>1.0</v>
      </c>
      <c r="I835" s="60">
        <v>0.0</v>
      </c>
      <c r="J835" s="59">
        <v>2.0</v>
      </c>
      <c r="K835" s="61">
        <f t="shared" si="1"/>
        <v>1</v>
      </c>
      <c r="L835" s="62">
        <f t="shared" si="2"/>
        <v>1</v>
      </c>
    </row>
    <row r="836">
      <c r="A836" s="58">
        <v>46054.0</v>
      </c>
      <c r="B836" s="24" t="s">
        <v>155</v>
      </c>
      <c r="C836" s="24" t="s">
        <v>6841</v>
      </c>
      <c r="D836" s="59">
        <v>2.0</v>
      </c>
      <c r="E836" s="59">
        <v>2.0</v>
      </c>
      <c r="F836" s="59">
        <v>2.0</v>
      </c>
      <c r="G836" s="60">
        <v>1.0</v>
      </c>
      <c r="H836" s="60">
        <v>1.0</v>
      </c>
      <c r="I836" s="60">
        <v>0.0</v>
      </c>
      <c r="J836" s="59">
        <v>2.0</v>
      </c>
      <c r="K836" s="61">
        <f t="shared" si="1"/>
        <v>1</v>
      </c>
      <c r="L836" s="62">
        <f t="shared" si="2"/>
        <v>1</v>
      </c>
    </row>
    <row r="837">
      <c r="A837" s="58">
        <v>46054.0</v>
      </c>
      <c r="B837" s="24" t="s">
        <v>6789</v>
      </c>
      <c r="C837" s="24" t="s">
        <v>7006</v>
      </c>
      <c r="D837" s="59">
        <v>2.0</v>
      </c>
      <c r="E837" s="59">
        <v>2.0</v>
      </c>
      <c r="F837" s="59">
        <v>1.0</v>
      </c>
      <c r="G837" s="60">
        <v>1.0</v>
      </c>
      <c r="H837" s="60">
        <v>0.5</v>
      </c>
      <c r="I837" s="60">
        <v>24.678345</v>
      </c>
      <c r="J837" s="59">
        <v>2.0</v>
      </c>
      <c r="K837" s="61">
        <f t="shared" si="1"/>
        <v>0.5</v>
      </c>
      <c r="L837" s="62">
        <f t="shared" si="2"/>
        <v>1</v>
      </c>
    </row>
    <row r="838">
      <c r="A838" s="58">
        <v>46054.0</v>
      </c>
      <c r="B838" s="24" t="s">
        <v>6789</v>
      </c>
      <c r="C838" s="24" t="s">
        <v>6843</v>
      </c>
      <c r="D838" s="59">
        <v>2.0</v>
      </c>
      <c r="E838" s="59">
        <v>2.0</v>
      </c>
      <c r="F838" s="59">
        <v>1.0</v>
      </c>
      <c r="G838" s="60">
        <v>1.0</v>
      </c>
      <c r="H838" s="60">
        <v>0.5</v>
      </c>
      <c r="I838" s="60">
        <v>7.738174</v>
      </c>
      <c r="J838" s="59">
        <v>3.0</v>
      </c>
      <c r="K838" s="61">
        <f t="shared" si="1"/>
        <v>0.5</v>
      </c>
      <c r="L838" s="62">
        <f t="shared" si="2"/>
        <v>1.5</v>
      </c>
    </row>
    <row r="839">
      <c r="A839" s="58">
        <v>46054.0</v>
      </c>
      <c r="B839" s="24" t="s">
        <v>6789</v>
      </c>
      <c r="C839" s="24" t="s">
        <v>6807</v>
      </c>
      <c r="D839" s="59">
        <v>2.0</v>
      </c>
      <c r="E839" s="59">
        <v>2.0</v>
      </c>
      <c r="F839" s="59">
        <v>1.0</v>
      </c>
      <c r="G839" s="60">
        <v>1.0</v>
      </c>
      <c r="H839" s="60">
        <v>0.0</v>
      </c>
      <c r="I839" s="60">
        <v>2712.7340865</v>
      </c>
      <c r="J839" s="59">
        <v>28.0</v>
      </c>
      <c r="K839" s="61">
        <f t="shared" si="1"/>
        <v>0.5</v>
      </c>
      <c r="L839" s="62">
        <f t="shared" si="2"/>
        <v>14</v>
      </c>
    </row>
    <row r="840">
      <c r="A840" s="58">
        <v>46054.0</v>
      </c>
      <c r="B840" s="24" t="s">
        <v>6787</v>
      </c>
      <c r="C840" s="24" t="s">
        <v>7007</v>
      </c>
      <c r="D840" s="59">
        <v>2.0</v>
      </c>
      <c r="E840" s="59">
        <v>2.0</v>
      </c>
      <c r="F840" s="59">
        <v>2.0</v>
      </c>
      <c r="G840" s="60">
        <v>1.0</v>
      </c>
      <c r="H840" s="60">
        <v>1.0</v>
      </c>
      <c r="I840" s="60">
        <v>4.58133</v>
      </c>
      <c r="J840" s="59">
        <v>2.0</v>
      </c>
      <c r="K840" s="61">
        <f t="shared" si="1"/>
        <v>1</v>
      </c>
      <c r="L840" s="62">
        <f t="shared" si="2"/>
        <v>1</v>
      </c>
    </row>
    <row r="841">
      <c r="A841" s="58">
        <v>46054.0</v>
      </c>
      <c r="B841" s="24" t="s">
        <v>6789</v>
      </c>
      <c r="C841" s="24" t="s">
        <v>6902</v>
      </c>
      <c r="D841" s="59">
        <v>2.0</v>
      </c>
      <c r="E841" s="59">
        <v>2.0</v>
      </c>
      <c r="F841" s="59">
        <v>2.0</v>
      </c>
      <c r="G841" s="60">
        <v>1.0</v>
      </c>
      <c r="H841" s="60">
        <v>0.5</v>
      </c>
      <c r="I841" s="60">
        <v>309.149741</v>
      </c>
      <c r="J841" s="59">
        <v>3.0</v>
      </c>
      <c r="K841" s="61">
        <f t="shared" si="1"/>
        <v>1</v>
      </c>
      <c r="L841" s="62">
        <f t="shared" si="2"/>
        <v>1.5</v>
      </c>
    </row>
    <row r="842">
      <c r="A842" s="58">
        <v>46054.0</v>
      </c>
      <c r="B842" s="24" t="s">
        <v>155</v>
      </c>
      <c r="C842" s="24" t="s">
        <v>6903</v>
      </c>
      <c r="D842" s="59">
        <v>2.0</v>
      </c>
      <c r="E842" s="59">
        <v>2.0</v>
      </c>
      <c r="F842" s="59">
        <v>2.0</v>
      </c>
      <c r="G842" s="60">
        <v>1.0</v>
      </c>
      <c r="H842" s="60">
        <v>0.5</v>
      </c>
      <c r="I842" s="60">
        <v>13.046516</v>
      </c>
      <c r="J842" s="59">
        <v>2.0</v>
      </c>
      <c r="K842" s="61">
        <f t="shared" si="1"/>
        <v>1</v>
      </c>
      <c r="L842" s="62">
        <f t="shared" si="2"/>
        <v>1</v>
      </c>
    </row>
    <row r="843">
      <c r="A843" s="58">
        <v>46054.0</v>
      </c>
      <c r="B843" s="24" t="s">
        <v>6787</v>
      </c>
      <c r="C843" s="24" t="s">
        <v>7033</v>
      </c>
      <c r="D843" s="59">
        <v>2.0</v>
      </c>
      <c r="E843" s="59">
        <v>2.0</v>
      </c>
      <c r="F843" s="59">
        <v>2.0</v>
      </c>
      <c r="G843" s="60">
        <v>1.0</v>
      </c>
      <c r="H843" s="60">
        <v>1.0</v>
      </c>
      <c r="I843" s="60">
        <v>0.0</v>
      </c>
      <c r="J843" s="59">
        <v>2.0</v>
      </c>
      <c r="K843" s="61">
        <f t="shared" si="1"/>
        <v>1</v>
      </c>
      <c r="L843" s="62">
        <f t="shared" si="2"/>
        <v>1</v>
      </c>
    </row>
    <row r="844">
      <c r="A844" s="58">
        <v>46054.0</v>
      </c>
      <c r="B844" s="24" t="s">
        <v>155</v>
      </c>
      <c r="C844" s="24" t="s">
        <v>7009</v>
      </c>
      <c r="D844" s="59">
        <v>2.0</v>
      </c>
      <c r="E844" s="59">
        <v>2.0</v>
      </c>
      <c r="F844" s="59">
        <v>1.0</v>
      </c>
      <c r="G844" s="60">
        <v>1.0</v>
      </c>
      <c r="H844" s="60">
        <v>0.0</v>
      </c>
      <c r="I844" s="60">
        <v>739.4063585</v>
      </c>
      <c r="J844" s="59">
        <v>8.0</v>
      </c>
      <c r="K844" s="61">
        <f t="shared" si="1"/>
        <v>0.5</v>
      </c>
      <c r="L844" s="62">
        <f t="shared" si="2"/>
        <v>4</v>
      </c>
    </row>
    <row r="845">
      <c r="A845" s="58">
        <v>46054.0</v>
      </c>
      <c r="B845" s="24" t="s">
        <v>6791</v>
      </c>
      <c r="C845" s="24" t="s">
        <v>6904</v>
      </c>
      <c r="D845" s="59">
        <v>2.0</v>
      </c>
      <c r="E845" s="59">
        <v>2.0</v>
      </c>
      <c r="F845" s="59">
        <v>0.0</v>
      </c>
      <c r="G845" s="60">
        <v>1.0</v>
      </c>
      <c r="H845" s="60">
        <v>0.5</v>
      </c>
      <c r="I845" s="60">
        <v>36.5855345</v>
      </c>
      <c r="J845" s="59">
        <v>2.0</v>
      </c>
      <c r="K845" s="61">
        <f t="shared" si="1"/>
        <v>0</v>
      </c>
      <c r="L845" s="62">
        <f t="shared" si="2"/>
        <v>1</v>
      </c>
    </row>
    <row r="846">
      <c r="A846" s="58">
        <v>46054.0</v>
      </c>
      <c r="B846" s="24" t="s">
        <v>6791</v>
      </c>
      <c r="C846" s="24" t="s">
        <v>7041</v>
      </c>
      <c r="D846" s="59">
        <v>2.0</v>
      </c>
      <c r="E846" s="59">
        <v>2.0</v>
      </c>
      <c r="F846" s="59">
        <v>2.0</v>
      </c>
      <c r="G846" s="60">
        <v>1.0</v>
      </c>
      <c r="H846" s="60">
        <v>0.0</v>
      </c>
      <c r="I846" s="60">
        <v>110.9959635</v>
      </c>
      <c r="J846" s="59">
        <v>5.0</v>
      </c>
      <c r="K846" s="61">
        <f t="shared" si="1"/>
        <v>1</v>
      </c>
      <c r="L846" s="62">
        <f t="shared" si="2"/>
        <v>2.5</v>
      </c>
    </row>
    <row r="847">
      <c r="A847" s="58">
        <v>46054.0</v>
      </c>
      <c r="B847" s="24" t="s">
        <v>6787</v>
      </c>
      <c r="C847" s="24" t="s">
        <v>7042</v>
      </c>
      <c r="D847" s="59">
        <v>2.0</v>
      </c>
      <c r="E847" s="59">
        <v>2.0</v>
      </c>
      <c r="F847" s="59">
        <v>2.0</v>
      </c>
      <c r="G847" s="60">
        <v>1.0</v>
      </c>
      <c r="H847" s="60">
        <v>1.0</v>
      </c>
      <c r="I847" s="60">
        <v>0.0</v>
      </c>
      <c r="J847" s="59">
        <v>2.0</v>
      </c>
      <c r="K847" s="61">
        <f t="shared" si="1"/>
        <v>1</v>
      </c>
      <c r="L847" s="62">
        <f t="shared" si="2"/>
        <v>1</v>
      </c>
    </row>
    <row r="848">
      <c r="A848" s="58">
        <v>46054.0</v>
      </c>
      <c r="B848" s="24" t="s">
        <v>6787</v>
      </c>
      <c r="C848" s="24" t="s">
        <v>6847</v>
      </c>
      <c r="D848" s="59">
        <v>2.0</v>
      </c>
      <c r="E848" s="59">
        <v>2.0</v>
      </c>
      <c r="F848" s="59">
        <v>2.0</v>
      </c>
      <c r="G848" s="60">
        <v>1.0</v>
      </c>
      <c r="H848" s="60">
        <v>1.0</v>
      </c>
      <c r="I848" s="60">
        <v>2.5550415</v>
      </c>
      <c r="J848" s="59">
        <v>2.0</v>
      </c>
      <c r="K848" s="61">
        <f t="shared" si="1"/>
        <v>1</v>
      </c>
      <c r="L848" s="62">
        <f t="shared" si="2"/>
        <v>1</v>
      </c>
    </row>
    <row r="849">
      <c r="A849" s="58">
        <v>46054.0</v>
      </c>
      <c r="B849" s="24" t="s">
        <v>6787</v>
      </c>
      <c r="C849" s="24" t="s">
        <v>6907</v>
      </c>
      <c r="D849" s="59">
        <v>2.0</v>
      </c>
      <c r="E849" s="59">
        <v>2.0</v>
      </c>
      <c r="F849" s="59">
        <v>1.0</v>
      </c>
      <c r="G849" s="60">
        <v>1.0</v>
      </c>
      <c r="H849" s="60">
        <v>0.5</v>
      </c>
      <c r="I849" s="60">
        <v>15.254365</v>
      </c>
      <c r="J849" s="59">
        <v>2.0</v>
      </c>
      <c r="K849" s="61">
        <f t="shared" si="1"/>
        <v>0.5</v>
      </c>
      <c r="L849" s="62">
        <f t="shared" si="2"/>
        <v>1</v>
      </c>
    </row>
    <row r="850">
      <c r="A850" s="58">
        <v>46054.0</v>
      </c>
      <c r="B850" s="24" t="s">
        <v>155</v>
      </c>
      <c r="C850" s="24" t="s">
        <v>6808</v>
      </c>
      <c r="D850" s="59">
        <v>2.0</v>
      </c>
      <c r="E850" s="59">
        <v>2.0</v>
      </c>
      <c r="F850" s="59">
        <v>0.0</v>
      </c>
      <c r="G850" s="60">
        <v>2.0</v>
      </c>
      <c r="H850" s="60">
        <v>0.5</v>
      </c>
      <c r="I850" s="60">
        <v>6.3867835</v>
      </c>
      <c r="J850" s="59">
        <v>2.0</v>
      </c>
      <c r="K850" s="61">
        <f t="shared" si="1"/>
        <v>0</v>
      </c>
      <c r="L850" s="62">
        <f t="shared" si="2"/>
        <v>1</v>
      </c>
    </row>
    <row r="851">
      <c r="A851" s="58">
        <v>46054.0</v>
      </c>
      <c r="B851" s="24" t="s">
        <v>6787</v>
      </c>
      <c r="C851" s="24" t="s">
        <v>7043</v>
      </c>
      <c r="D851" s="59">
        <v>2.0</v>
      </c>
      <c r="E851" s="59">
        <v>2.0</v>
      </c>
      <c r="F851" s="59">
        <v>2.0</v>
      </c>
      <c r="G851" s="60">
        <v>1.0</v>
      </c>
      <c r="H851" s="60">
        <v>1.0</v>
      </c>
      <c r="I851" s="60">
        <v>0.0</v>
      </c>
      <c r="J851" s="59">
        <v>2.0</v>
      </c>
      <c r="K851" s="61">
        <f t="shared" si="1"/>
        <v>1</v>
      </c>
      <c r="L851" s="62">
        <f t="shared" si="2"/>
        <v>1</v>
      </c>
    </row>
    <row r="852">
      <c r="A852" s="58">
        <v>46054.0</v>
      </c>
      <c r="B852" s="24" t="s">
        <v>6787</v>
      </c>
      <c r="C852" s="24" t="s">
        <v>7044</v>
      </c>
      <c r="D852" s="59">
        <v>2.0</v>
      </c>
      <c r="E852" s="59">
        <v>2.0</v>
      </c>
      <c r="F852" s="59">
        <v>2.0</v>
      </c>
      <c r="G852" s="60">
        <v>1.0</v>
      </c>
      <c r="H852" s="60">
        <v>1.0</v>
      </c>
      <c r="I852" s="60">
        <v>0.0</v>
      </c>
      <c r="J852" s="59">
        <v>2.0</v>
      </c>
      <c r="K852" s="61">
        <f t="shared" si="1"/>
        <v>1</v>
      </c>
      <c r="L852" s="62">
        <f t="shared" si="2"/>
        <v>1</v>
      </c>
    </row>
    <row r="853">
      <c r="A853" s="58">
        <v>46054.0</v>
      </c>
      <c r="B853" s="24" t="s">
        <v>6787</v>
      </c>
      <c r="C853" s="24" t="s">
        <v>6908</v>
      </c>
      <c r="D853" s="59">
        <v>2.0</v>
      </c>
      <c r="E853" s="59">
        <v>2.0</v>
      </c>
      <c r="F853" s="59">
        <v>1.0</v>
      </c>
      <c r="G853" s="60">
        <v>1.0</v>
      </c>
      <c r="H853" s="60">
        <v>1.0</v>
      </c>
      <c r="I853" s="60">
        <v>4.1983645</v>
      </c>
      <c r="J853" s="59">
        <v>2.0</v>
      </c>
      <c r="K853" s="61">
        <f t="shared" si="1"/>
        <v>0.5</v>
      </c>
      <c r="L853" s="62">
        <f t="shared" si="2"/>
        <v>1</v>
      </c>
    </row>
    <row r="854">
      <c r="A854" s="58">
        <v>46054.0</v>
      </c>
      <c r="B854" s="24" t="s">
        <v>6789</v>
      </c>
      <c r="C854" s="24" t="s">
        <v>6911</v>
      </c>
      <c r="D854" s="59">
        <v>2.0</v>
      </c>
      <c r="E854" s="59">
        <v>2.0</v>
      </c>
      <c r="F854" s="59">
        <v>1.0</v>
      </c>
      <c r="G854" s="60">
        <v>1.0</v>
      </c>
      <c r="H854" s="60">
        <v>1.0</v>
      </c>
      <c r="I854" s="60">
        <v>1.1077385</v>
      </c>
      <c r="J854" s="59">
        <v>2.0</v>
      </c>
      <c r="K854" s="61">
        <f t="shared" si="1"/>
        <v>0.5</v>
      </c>
      <c r="L854" s="62">
        <f t="shared" si="2"/>
        <v>1</v>
      </c>
    </row>
    <row r="855">
      <c r="A855" s="58">
        <v>46054.0</v>
      </c>
      <c r="B855" s="24" t="s">
        <v>6789</v>
      </c>
      <c r="C855" s="24" t="s">
        <v>6912</v>
      </c>
      <c r="D855" s="59">
        <v>2.0</v>
      </c>
      <c r="E855" s="59">
        <v>6.0</v>
      </c>
      <c r="F855" s="59">
        <v>1.0</v>
      </c>
      <c r="G855" s="60">
        <v>6.0</v>
      </c>
      <c r="H855" s="60">
        <v>0.166666666666666</v>
      </c>
      <c r="I855" s="60">
        <v>130.4042345</v>
      </c>
      <c r="J855" s="59">
        <v>14.0</v>
      </c>
      <c r="K855" s="61">
        <f t="shared" si="1"/>
        <v>0.1666666667</v>
      </c>
      <c r="L855" s="62">
        <f t="shared" si="2"/>
        <v>2.333333333</v>
      </c>
    </row>
    <row r="856">
      <c r="A856" s="58">
        <v>46054.0</v>
      </c>
      <c r="B856" s="24" t="s">
        <v>155</v>
      </c>
      <c r="C856" s="24" t="s">
        <v>6912</v>
      </c>
      <c r="D856" s="59">
        <v>2.0</v>
      </c>
      <c r="E856" s="59">
        <v>7.0</v>
      </c>
      <c r="F856" s="59">
        <v>0.0</v>
      </c>
      <c r="G856" s="60">
        <v>3.5</v>
      </c>
      <c r="H856" s="60">
        <v>0.428571428571428</v>
      </c>
      <c r="I856" s="60">
        <v>862.638920571428</v>
      </c>
      <c r="J856" s="59">
        <v>16.0</v>
      </c>
      <c r="K856" s="61">
        <f t="shared" si="1"/>
        <v>0</v>
      </c>
      <c r="L856" s="62">
        <f t="shared" si="2"/>
        <v>2.285714286</v>
      </c>
    </row>
    <row r="857">
      <c r="A857" s="58">
        <v>46054.0</v>
      </c>
      <c r="B857" s="24" t="s">
        <v>6787</v>
      </c>
      <c r="C857" s="24" t="s">
        <v>7045</v>
      </c>
      <c r="D857" s="59">
        <v>2.0</v>
      </c>
      <c r="E857" s="59">
        <v>2.0</v>
      </c>
      <c r="F857" s="59">
        <v>1.0</v>
      </c>
      <c r="G857" s="60">
        <v>1.0</v>
      </c>
      <c r="H857" s="60">
        <v>0.5</v>
      </c>
      <c r="I857" s="60">
        <v>772.152587</v>
      </c>
      <c r="J857" s="59">
        <v>4.0</v>
      </c>
      <c r="K857" s="61">
        <f t="shared" si="1"/>
        <v>0.5</v>
      </c>
      <c r="L857" s="62">
        <f t="shared" si="2"/>
        <v>2</v>
      </c>
    </row>
    <row r="858">
      <c r="A858" s="58">
        <v>46054.0</v>
      </c>
      <c r="B858" s="24" t="s">
        <v>6787</v>
      </c>
      <c r="C858" s="24" t="s">
        <v>7046</v>
      </c>
      <c r="D858" s="59">
        <v>2.0</v>
      </c>
      <c r="E858" s="59">
        <v>2.0</v>
      </c>
      <c r="F858" s="59">
        <v>2.0</v>
      </c>
      <c r="G858" s="60">
        <v>1.0</v>
      </c>
      <c r="H858" s="60">
        <v>1.0</v>
      </c>
      <c r="I858" s="60">
        <v>0.0</v>
      </c>
      <c r="J858" s="59">
        <v>2.0</v>
      </c>
      <c r="K858" s="61">
        <f t="shared" si="1"/>
        <v>1</v>
      </c>
      <c r="L858" s="62">
        <f t="shared" si="2"/>
        <v>1</v>
      </c>
    </row>
    <row r="859">
      <c r="A859" s="58">
        <v>46054.0</v>
      </c>
      <c r="B859" s="24" t="s">
        <v>6789</v>
      </c>
      <c r="C859" s="24" t="s">
        <v>6915</v>
      </c>
      <c r="D859" s="59">
        <v>2.0</v>
      </c>
      <c r="E859" s="59">
        <v>2.0</v>
      </c>
      <c r="F859" s="59">
        <v>1.0</v>
      </c>
      <c r="G859" s="60">
        <v>1.0</v>
      </c>
      <c r="H859" s="60">
        <v>1.0</v>
      </c>
      <c r="I859" s="60">
        <v>0.0</v>
      </c>
      <c r="J859" s="59">
        <v>2.0</v>
      </c>
      <c r="K859" s="61">
        <f t="shared" si="1"/>
        <v>0.5</v>
      </c>
      <c r="L859" s="62">
        <f t="shared" si="2"/>
        <v>1</v>
      </c>
    </row>
    <row r="860">
      <c r="A860" s="58">
        <v>46054.0</v>
      </c>
      <c r="B860" s="24" t="s">
        <v>6787</v>
      </c>
      <c r="C860" s="24" t="s">
        <v>6916</v>
      </c>
      <c r="D860" s="59">
        <v>2.0</v>
      </c>
      <c r="E860" s="59">
        <v>2.0</v>
      </c>
      <c r="F860" s="59">
        <v>1.0</v>
      </c>
      <c r="G860" s="60">
        <v>1.0</v>
      </c>
      <c r="H860" s="60">
        <v>0.5</v>
      </c>
      <c r="I860" s="60">
        <v>876.032611</v>
      </c>
      <c r="J860" s="59">
        <v>2.0</v>
      </c>
      <c r="K860" s="61">
        <f t="shared" si="1"/>
        <v>0.5</v>
      </c>
      <c r="L860" s="62">
        <f t="shared" si="2"/>
        <v>1</v>
      </c>
    </row>
    <row r="861">
      <c r="A861" s="58">
        <v>46054.0</v>
      </c>
      <c r="B861" s="24" t="s">
        <v>6789</v>
      </c>
      <c r="C861" s="24" t="s">
        <v>6916</v>
      </c>
      <c r="D861" s="59">
        <v>2.0</v>
      </c>
      <c r="E861" s="59">
        <v>2.0</v>
      </c>
      <c r="F861" s="59">
        <v>0.0</v>
      </c>
      <c r="G861" s="60">
        <v>1.0</v>
      </c>
      <c r="H861" s="60">
        <v>0.0</v>
      </c>
      <c r="I861" s="60">
        <v>5048.906836</v>
      </c>
      <c r="J861" s="59">
        <v>76.0</v>
      </c>
      <c r="K861" s="61">
        <f t="shared" si="1"/>
        <v>0</v>
      </c>
      <c r="L861" s="62">
        <f t="shared" si="2"/>
        <v>38</v>
      </c>
    </row>
    <row r="862">
      <c r="A862" s="58">
        <v>46054.0</v>
      </c>
      <c r="B862" s="24" t="s">
        <v>6789</v>
      </c>
      <c r="C862" s="24" t="s">
        <v>6919</v>
      </c>
      <c r="D862" s="59">
        <v>2.0</v>
      </c>
      <c r="E862" s="59">
        <v>3.0</v>
      </c>
      <c r="F862" s="59">
        <v>0.0</v>
      </c>
      <c r="G862" s="60">
        <v>1.5</v>
      </c>
      <c r="H862" s="60">
        <v>0.0</v>
      </c>
      <c r="I862" s="60">
        <v>2395.88611066666</v>
      </c>
      <c r="J862" s="59">
        <v>46.0</v>
      </c>
      <c r="K862" s="61">
        <f t="shared" si="1"/>
        <v>0</v>
      </c>
      <c r="L862" s="62">
        <f t="shared" si="2"/>
        <v>15.33333333</v>
      </c>
    </row>
    <row r="863">
      <c r="A863" s="58">
        <v>46054.0</v>
      </c>
      <c r="B863" s="24" t="s">
        <v>6787</v>
      </c>
      <c r="C863" s="24" t="s">
        <v>6852</v>
      </c>
      <c r="D863" s="59">
        <v>2.0</v>
      </c>
      <c r="E863" s="59">
        <v>2.0</v>
      </c>
      <c r="F863" s="59">
        <v>2.0</v>
      </c>
      <c r="G863" s="60">
        <v>1.0</v>
      </c>
      <c r="H863" s="60">
        <v>0.5</v>
      </c>
      <c r="I863" s="60">
        <v>16.462209</v>
      </c>
      <c r="J863" s="59">
        <v>5.0</v>
      </c>
      <c r="K863" s="61">
        <f t="shared" si="1"/>
        <v>1</v>
      </c>
      <c r="L863" s="62">
        <f t="shared" si="2"/>
        <v>2.5</v>
      </c>
    </row>
    <row r="864">
      <c r="A864" s="58">
        <v>46054.0</v>
      </c>
      <c r="B864" s="24" t="s">
        <v>6787</v>
      </c>
      <c r="C864" s="24" t="s">
        <v>6816</v>
      </c>
      <c r="D864" s="59">
        <v>2.0</v>
      </c>
      <c r="E864" s="59">
        <v>2.0</v>
      </c>
      <c r="F864" s="59">
        <v>2.0</v>
      </c>
      <c r="G864" s="60">
        <v>1.0</v>
      </c>
      <c r="H864" s="60">
        <v>0.5</v>
      </c>
      <c r="I864" s="60">
        <v>6.498604</v>
      </c>
      <c r="J864" s="59">
        <v>2.0</v>
      </c>
      <c r="K864" s="61">
        <f t="shared" si="1"/>
        <v>1</v>
      </c>
      <c r="L864" s="62">
        <f t="shared" si="2"/>
        <v>1</v>
      </c>
    </row>
    <row r="865">
      <c r="A865" s="58">
        <v>46054.0</v>
      </c>
      <c r="B865" s="24" t="s">
        <v>6789</v>
      </c>
      <c r="C865" s="24" t="s">
        <v>6816</v>
      </c>
      <c r="D865" s="59">
        <v>2.0</v>
      </c>
      <c r="E865" s="59">
        <v>2.0</v>
      </c>
      <c r="F865" s="59">
        <v>2.0</v>
      </c>
      <c r="G865" s="60">
        <v>1.0</v>
      </c>
      <c r="H865" s="60">
        <v>0.5</v>
      </c>
      <c r="I865" s="60">
        <v>7.419049</v>
      </c>
      <c r="J865" s="59">
        <v>2.0</v>
      </c>
      <c r="K865" s="61">
        <f t="shared" si="1"/>
        <v>1</v>
      </c>
      <c r="L865" s="62">
        <f t="shared" si="2"/>
        <v>1</v>
      </c>
    </row>
    <row r="866">
      <c r="A866" s="58">
        <v>46054.0</v>
      </c>
      <c r="B866" s="24" t="s">
        <v>6787</v>
      </c>
      <c r="C866" s="24" t="s">
        <v>7047</v>
      </c>
      <c r="D866" s="59">
        <v>2.0</v>
      </c>
      <c r="E866" s="59">
        <v>2.0</v>
      </c>
      <c r="F866" s="59">
        <v>2.0</v>
      </c>
      <c r="G866" s="60">
        <v>1.0</v>
      </c>
      <c r="H866" s="60">
        <v>1.0</v>
      </c>
      <c r="I866" s="60">
        <v>0.0</v>
      </c>
      <c r="J866" s="59">
        <v>2.0</v>
      </c>
      <c r="K866" s="61">
        <f t="shared" si="1"/>
        <v>1</v>
      </c>
      <c r="L866" s="62">
        <f t="shared" si="2"/>
        <v>1</v>
      </c>
    </row>
    <row r="867">
      <c r="A867" s="58">
        <v>46054.0</v>
      </c>
      <c r="B867" s="24" t="s">
        <v>6789</v>
      </c>
      <c r="C867" s="24" t="s">
        <v>6923</v>
      </c>
      <c r="D867" s="59">
        <v>2.0</v>
      </c>
      <c r="E867" s="59">
        <v>2.0</v>
      </c>
      <c r="F867" s="59">
        <v>1.0</v>
      </c>
      <c r="G867" s="60">
        <v>2.0</v>
      </c>
      <c r="H867" s="60">
        <v>1.0</v>
      </c>
      <c r="I867" s="60">
        <v>0.0</v>
      </c>
      <c r="J867" s="59">
        <v>2.0</v>
      </c>
      <c r="K867" s="61">
        <f t="shared" si="1"/>
        <v>0.5</v>
      </c>
      <c r="L867" s="62">
        <f t="shared" si="2"/>
        <v>1</v>
      </c>
    </row>
    <row r="868">
      <c r="A868" s="58">
        <v>46054.0</v>
      </c>
      <c r="B868" s="24" t="s">
        <v>6789</v>
      </c>
      <c r="C868" s="24" t="s">
        <v>7037</v>
      </c>
      <c r="D868" s="59">
        <v>2.0</v>
      </c>
      <c r="E868" s="59">
        <v>2.0</v>
      </c>
      <c r="F868" s="59">
        <v>2.0</v>
      </c>
      <c r="G868" s="60">
        <v>1.0</v>
      </c>
      <c r="H868" s="60">
        <v>1.0</v>
      </c>
      <c r="I868" s="60">
        <v>4.41117099999999</v>
      </c>
      <c r="J868" s="59">
        <v>2.0</v>
      </c>
      <c r="K868" s="61">
        <f t="shared" si="1"/>
        <v>1</v>
      </c>
      <c r="L868" s="62">
        <f t="shared" si="2"/>
        <v>1</v>
      </c>
    </row>
    <row r="869">
      <c r="A869" s="58">
        <v>46054.0</v>
      </c>
      <c r="B869" s="24" t="s">
        <v>6787</v>
      </c>
      <c r="C869" s="24" t="s">
        <v>7048</v>
      </c>
      <c r="D869" s="59">
        <v>2.0</v>
      </c>
      <c r="E869" s="59">
        <v>4.0</v>
      </c>
      <c r="F869" s="59">
        <v>0.0</v>
      </c>
      <c r="G869" s="60">
        <v>2.0</v>
      </c>
      <c r="H869" s="60">
        <v>0.75</v>
      </c>
      <c r="I869" s="60">
        <v>407.81738425</v>
      </c>
      <c r="J869" s="59">
        <v>12.0</v>
      </c>
      <c r="K869" s="61">
        <f t="shared" si="1"/>
        <v>0</v>
      </c>
      <c r="L869" s="62">
        <f t="shared" si="2"/>
        <v>3</v>
      </c>
    </row>
    <row r="870">
      <c r="A870" s="58">
        <v>46054.0</v>
      </c>
      <c r="B870" s="24" t="s">
        <v>6789</v>
      </c>
      <c r="C870" s="24" t="s">
        <v>7038</v>
      </c>
      <c r="D870" s="59">
        <v>2.0</v>
      </c>
      <c r="E870" s="59">
        <v>3.0</v>
      </c>
      <c r="F870" s="59">
        <v>0.0</v>
      </c>
      <c r="G870" s="60">
        <v>1.5</v>
      </c>
      <c r="H870" s="60">
        <v>0.0</v>
      </c>
      <c r="I870" s="60">
        <v>336.336145333333</v>
      </c>
      <c r="J870" s="59">
        <v>13.0</v>
      </c>
      <c r="K870" s="61">
        <f t="shared" si="1"/>
        <v>0</v>
      </c>
      <c r="L870" s="62">
        <f t="shared" si="2"/>
        <v>4.333333333</v>
      </c>
    </row>
    <row r="871">
      <c r="A871" s="58">
        <v>46054.0</v>
      </c>
      <c r="B871" s="24" t="s">
        <v>6787</v>
      </c>
      <c r="C871" s="24" t="s">
        <v>6962</v>
      </c>
      <c r="D871" s="59">
        <v>2.0</v>
      </c>
      <c r="E871" s="59">
        <v>2.0</v>
      </c>
      <c r="F871" s="59">
        <v>1.0</v>
      </c>
      <c r="G871" s="60">
        <v>1.0</v>
      </c>
      <c r="H871" s="60">
        <v>0.5</v>
      </c>
      <c r="I871" s="60">
        <v>648.500125</v>
      </c>
      <c r="J871" s="59">
        <v>2.0</v>
      </c>
      <c r="K871" s="61">
        <f t="shared" si="1"/>
        <v>0.5</v>
      </c>
      <c r="L871" s="62">
        <f t="shared" si="2"/>
        <v>1</v>
      </c>
    </row>
    <row r="872">
      <c r="A872" s="58">
        <v>46054.0</v>
      </c>
      <c r="B872" s="24" t="s">
        <v>6789</v>
      </c>
      <c r="C872" s="24" t="s">
        <v>6962</v>
      </c>
      <c r="D872" s="59">
        <v>2.0</v>
      </c>
      <c r="E872" s="59">
        <v>2.0</v>
      </c>
      <c r="F872" s="59">
        <v>0.0</v>
      </c>
      <c r="G872" s="60">
        <v>1.0</v>
      </c>
      <c r="H872" s="60">
        <v>0.0</v>
      </c>
      <c r="I872" s="60">
        <v>13533.733316</v>
      </c>
      <c r="J872" s="59">
        <v>101.0</v>
      </c>
      <c r="K872" s="61">
        <f t="shared" si="1"/>
        <v>0</v>
      </c>
      <c r="L872" s="62">
        <f t="shared" si="2"/>
        <v>50.5</v>
      </c>
    </row>
    <row r="873">
      <c r="A873" s="58">
        <v>46054.0</v>
      </c>
      <c r="B873" s="24" t="s">
        <v>6787</v>
      </c>
      <c r="C873" s="24" t="s">
        <v>6963</v>
      </c>
      <c r="D873" s="59">
        <v>2.0</v>
      </c>
      <c r="E873" s="59">
        <v>2.0</v>
      </c>
      <c r="F873" s="59">
        <v>2.0</v>
      </c>
      <c r="G873" s="60">
        <v>1.0</v>
      </c>
      <c r="H873" s="60">
        <v>1.0</v>
      </c>
      <c r="I873" s="60">
        <v>0.0</v>
      </c>
      <c r="J873" s="59">
        <v>2.0</v>
      </c>
      <c r="K873" s="61">
        <f t="shared" si="1"/>
        <v>1</v>
      </c>
      <c r="L873" s="62">
        <f t="shared" si="2"/>
        <v>1</v>
      </c>
    </row>
    <row r="874">
      <c r="A874" s="58">
        <v>46054.0</v>
      </c>
      <c r="B874" s="24" t="s">
        <v>6790</v>
      </c>
      <c r="C874" s="24" t="s">
        <v>6802</v>
      </c>
      <c r="D874" s="59">
        <v>2.0</v>
      </c>
      <c r="E874" s="59">
        <v>2.0</v>
      </c>
      <c r="F874" s="59">
        <v>0.0</v>
      </c>
      <c r="G874" s="60">
        <v>1.0</v>
      </c>
      <c r="H874" s="60">
        <v>1.0</v>
      </c>
      <c r="I874" s="60">
        <v>2.657676</v>
      </c>
      <c r="J874" s="59">
        <v>2.0</v>
      </c>
      <c r="K874" s="61">
        <f t="shared" si="1"/>
        <v>0</v>
      </c>
      <c r="L874" s="62">
        <f t="shared" si="2"/>
        <v>1</v>
      </c>
    </row>
    <row r="875">
      <c r="A875" s="58">
        <v>46054.0</v>
      </c>
      <c r="B875" s="24" t="s">
        <v>6787</v>
      </c>
      <c r="C875" s="24" t="s">
        <v>7049</v>
      </c>
      <c r="D875" s="59">
        <v>2.0</v>
      </c>
      <c r="E875" s="59">
        <v>2.0</v>
      </c>
      <c r="F875" s="59">
        <v>2.0</v>
      </c>
      <c r="G875" s="60">
        <v>1.0</v>
      </c>
      <c r="H875" s="60">
        <v>1.0</v>
      </c>
      <c r="I875" s="60">
        <v>2.5372175</v>
      </c>
      <c r="J875" s="59">
        <v>2.0</v>
      </c>
      <c r="K875" s="61">
        <f t="shared" si="1"/>
        <v>1</v>
      </c>
      <c r="L875" s="62">
        <f t="shared" si="2"/>
        <v>1</v>
      </c>
    </row>
    <row r="876">
      <c r="A876" s="58">
        <v>46054.0</v>
      </c>
      <c r="B876" s="24" t="s">
        <v>3216</v>
      </c>
      <c r="C876" s="24" t="s">
        <v>6788</v>
      </c>
      <c r="D876" s="59">
        <v>1.0</v>
      </c>
      <c r="E876" s="59">
        <v>1.0</v>
      </c>
      <c r="F876" s="59">
        <v>1.0</v>
      </c>
      <c r="G876" s="60">
        <v>1.0</v>
      </c>
      <c r="H876" s="60">
        <v>0.0</v>
      </c>
      <c r="I876" s="60">
        <v>26.25044</v>
      </c>
      <c r="J876" s="59">
        <v>1.0</v>
      </c>
      <c r="K876" s="61">
        <f t="shared" si="1"/>
        <v>1</v>
      </c>
      <c r="L876" s="62">
        <f t="shared" si="2"/>
        <v>1</v>
      </c>
    </row>
    <row r="877">
      <c r="A877" s="58">
        <v>46054.0</v>
      </c>
      <c r="B877" s="24" t="s">
        <v>6942</v>
      </c>
      <c r="C877" s="24" t="s">
        <v>6788</v>
      </c>
      <c r="D877" s="59">
        <v>1.0</v>
      </c>
      <c r="E877" s="59">
        <v>1.0</v>
      </c>
      <c r="F877" s="59">
        <v>0.0</v>
      </c>
      <c r="G877" s="60">
        <v>1.0</v>
      </c>
      <c r="H877" s="60">
        <v>0.0</v>
      </c>
      <c r="I877" s="60">
        <v>103.217305</v>
      </c>
      <c r="J877" s="59">
        <v>4.0</v>
      </c>
      <c r="K877" s="61">
        <f t="shared" si="1"/>
        <v>0</v>
      </c>
      <c r="L877" s="62">
        <f t="shared" si="2"/>
        <v>4</v>
      </c>
    </row>
    <row r="878">
      <c r="A878" s="58">
        <v>46054.0</v>
      </c>
      <c r="B878" s="24" t="s">
        <v>6787</v>
      </c>
      <c r="C878" s="24" t="s">
        <v>6966</v>
      </c>
      <c r="D878" s="59">
        <v>1.0</v>
      </c>
      <c r="E878" s="59">
        <v>1.0</v>
      </c>
      <c r="F878" s="59">
        <v>1.0</v>
      </c>
      <c r="G878" s="60">
        <v>1.0</v>
      </c>
      <c r="H878" s="60">
        <v>1.0</v>
      </c>
      <c r="I878" s="60">
        <v>0.0</v>
      </c>
      <c r="J878" s="59">
        <v>1.0</v>
      </c>
      <c r="K878" s="61">
        <f t="shared" si="1"/>
        <v>1</v>
      </c>
      <c r="L878" s="62">
        <f t="shared" si="2"/>
        <v>1</v>
      </c>
    </row>
    <row r="879">
      <c r="A879" s="58">
        <v>46054.0</v>
      </c>
      <c r="B879" s="24" t="s">
        <v>6787</v>
      </c>
      <c r="C879" s="24" t="s">
        <v>6968</v>
      </c>
      <c r="D879" s="59">
        <v>1.0</v>
      </c>
      <c r="E879" s="59">
        <v>1.0</v>
      </c>
      <c r="F879" s="59">
        <v>1.0</v>
      </c>
      <c r="G879" s="60">
        <v>1.0</v>
      </c>
      <c r="H879" s="60">
        <v>1.0</v>
      </c>
      <c r="I879" s="60">
        <v>0.0</v>
      </c>
      <c r="J879" s="59">
        <v>1.0</v>
      </c>
      <c r="K879" s="61">
        <f t="shared" si="1"/>
        <v>1</v>
      </c>
      <c r="L879" s="62">
        <f t="shared" si="2"/>
        <v>1</v>
      </c>
    </row>
    <row r="880">
      <c r="A880" s="58">
        <v>46054.0</v>
      </c>
      <c r="B880" s="24" t="s">
        <v>6787</v>
      </c>
      <c r="C880" s="24" t="s">
        <v>7050</v>
      </c>
      <c r="D880" s="59">
        <v>1.0</v>
      </c>
      <c r="E880" s="59">
        <v>1.0</v>
      </c>
      <c r="F880" s="59">
        <v>1.0</v>
      </c>
      <c r="G880" s="60">
        <v>1.0</v>
      </c>
      <c r="H880" s="60">
        <v>1.0</v>
      </c>
      <c r="I880" s="60">
        <v>0.0</v>
      </c>
      <c r="J880" s="59">
        <v>1.0</v>
      </c>
      <c r="K880" s="61">
        <f t="shared" si="1"/>
        <v>1</v>
      </c>
      <c r="L880" s="62">
        <f t="shared" si="2"/>
        <v>1</v>
      </c>
    </row>
    <row r="881">
      <c r="A881" s="58">
        <v>46054.0</v>
      </c>
      <c r="B881" s="24" t="s">
        <v>6787</v>
      </c>
      <c r="C881" s="24" t="s">
        <v>7051</v>
      </c>
      <c r="D881" s="59">
        <v>1.0</v>
      </c>
      <c r="E881" s="59">
        <v>1.0</v>
      </c>
      <c r="F881" s="59">
        <v>1.0</v>
      </c>
      <c r="G881" s="60">
        <v>1.0</v>
      </c>
      <c r="H881" s="60">
        <v>1.0</v>
      </c>
      <c r="I881" s="60">
        <v>4.994343</v>
      </c>
      <c r="J881" s="59">
        <v>1.0</v>
      </c>
      <c r="K881" s="61">
        <f t="shared" si="1"/>
        <v>1</v>
      </c>
      <c r="L881" s="62">
        <f t="shared" si="2"/>
        <v>1</v>
      </c>
    </row>
    <row r="882">
      <c r="A882" s="58">
        <v>46054.0</v>
      </c>
      <c r="B882" s="24" t="s">
        <v>6787</v>
      </c>
      <c r="C882" s="24" t="s">
        <v>6827</v>
      </c>
      <c r="D882" s="59">
        <v>1.0</v>
      </c>
      <c r="E882" s="59">
        <v>1.0</v>
      </c>
      <c r="F882" s="59">
        <v>1.0</v>
      </c>
      <c r="G882" s="60">
        <v>1.0</v>
      </c>
      <c r="H882" s="60">
        <v>1.0</v>
      </c>
      <c r="I882" s="60">
        <v>5.817394</v>
      </c>
      <c r="J882" s="59">
        <v>1.0</v>
      </c>
      <c r="K882" s="61">
        <f t="shared" si="1"/>
        <v>1</v>
      </c>
      <c r="L882" s="62">
        <f t="shared" si="2"/>
        <v>1</v>
      </c>
    </row>
    <row r="883">
      <c r="A883" s="58">
        <v>46054.0</v>
      </c>
      <c r="B883" s="24" t="s">
        <v>155</v>
      </c>
      <c r="C883" s="24" t="s">
        <v>7052</v>
      </c>
      <c r="D883" s="59">
        <v>1.0</v>
      </c>
      <c r="E883" s="59">
        <v>1.0</v>
      </c>
      <c r="F883" s="59">
        <v>1.0</v>
      </c>
      <c r="G883" s="60">
        <v>1.0</v>
      </c>
      <c r="H883" s="60">
        <v>0.0</v>
      </c>
      <c r="I883" s="60">
        <v>858.767989</v>
      </c>
      <c r="J883" s="59">
        <v>1.0</v>
      </c>
      <c r="K883" s="61">
        <f t="shared" si="1"/>
        <v>1</v>
      </c>
      <c r="L883" s="62">
        <f t="shared" si="2"/>
        <v>1</v>
      </c>
    </row>
    <row r="884">
      <c r="A884" s="58">
        <v>46054.0</v>
      </c>
      <c r="B884" s="24" t="s">
        <v>6789</v>
      </c>
      <c r="C884" s="24" t="s">
        <v>7053</v>
      </c>
      <c r="D884" s="59">
        <v>1.0</v>
      </c>
      <c r="E884" s="59">
        <v>1.0</v>
      </c>
      <c r="F884" s="59">
        <v>1.0</v>
      </c>
      <c r="G884" s="60">
        <v>1.0</v>
      </c>
      <c r="H884" s="60">
        <v>0.0</v>
      </c>
      <c r="I884" s="60">
        <v>44.061904</v>
      </c>
      <c r="J884" s="59">
        <v>1.0</v>
      </c>
      <c r="K884" s="61">
        <f t="shared" si="1"/>
        <v>1</v>
      </c>
      <c r="L884" s="62">
        <f t="shared" si="2"/>
        <v>1</v>
      </c>
    </row>
    <row r="885">
      <c r="A885" s="58">
        <v>46054.0</v>
      </c>
      <c r="B885" s="24" t="s">
        <v>6789</v>
      </c>
      <c r="C885" s="24" t="s">
        <v>7054</v>
      </c>
      <c r="D885" s="59">
        <v>1.0</v>
      </c>
      <c r="E885" s="59">
        <v>1.0</v>
      </c>
      <c r="F885" s="59">
        <v>1.0</v>
      </c>
      <c r="G885" s="60">
        <v>1.0</v>
      </c>
      <c r="H885" s="60">
        <v>0.0</v>
      </c>
      <c r="I885" s="60">
        <v>144.193671</v>
      </c>
      <c r="J885" s="59">
        <v>4.0</v>
      </c>
      <c r="K885" s="61">
        <f t="shared" si="1"/>
        <v>1</v>
      </c>
      <c r="L885" s="62">
        <f t="shared" si="2"/>
        <v>4</v>
      </c>
    </row>
    <row r="886">
      <c r="A886" s="58">
        <v>46054.0</v>
      </c>
      <c r="B886" s="24" t="s">
        <v>6794</v>
      </c>
      <c r="C886" s="24" t="s">
        <v>6817</v>
      </c>
      <c r="D886" s="59">
        <v>1.0</v>
      </c>
      <c r="E886" s="59">
        <v>1.0</v>
      </c>
      <c r="F886" s="59">
        <v>0.0</v>
      </c>
      <c r="G886" s="60">
        <v>1.0</v>
      </c>
      <c r="H886" s="60">
        <v>0.0</v>
      </c>
      <c r="I886" s="60">
        <v>1663.420884</v>
      </c>
      <c r="J886" s="59">
        <v>3.0</v>
      </c>
      <c r="K886" s="61">
        <f t="shared" si="1"/>
        <v>0</v>
      </c>
      <c r="L886" s="62">
        <f t="shared" si="2"/>
        <v>3</v>
      </c>
    </row>
    <row r="887">
      <c r="A887" s="58">
        <v>46054.0</v>
      </c>
      <c r="B887" s="24" t="s">
        <v>6787</v>
      </c>
      <c r="C887" s="24" t="s">
        <v>7055</v>
      </c>
      <c r="D887" s="59">
        <v>1.0</v>
      </c>
      <c r="E887" s="59">
        <v>1.0</v>
      </c>
      <c r="F887" s="59">
        <v>1.0</v>
      </c>
      <c r="G887" s="60">
        <v>1.0</v>
      </c>
      <c r="H887" s="60">
        <v>1.0</v>
      </c>
      <c r="I887" s="60">
        <v>0.0</v>
      </c>
      <c r="J887" s="59">
        <v>1.0</v>
      </c>
      <c r="K887" s="61">
        <f t="shared" si="1"/>
        <v>1</v>
      </c>
      <c r="L887" s="62">
        <f t="shared" si="2"/>
        <v>1</v>
      </c>
    </row>
    <row r="888">
      <c r="A888" s="58">
        <v>46054.0</v>
      </c>
      <c r="B888" s="24" t="s">
        <v>6789</v>
      </c>
      <c r="C888" s="24" t="s">
        <v>6953</v>
      </c>
      <c r="D888" s="59">
        <v>1.0</v>
      </c>
      <c r="E888" s="59">
        <v>1.0</v>
      </c>
      <c r="F888" s="59">
        <v>1.0</v>
      </c>
      <c r="G888" s="60">
        <v>1.0</v>
      </c>
      <c r="H888" s="60">
        <v>0.0</v>
      </c>
      <c r="I888" s="60">
        <v>11.700809</v>
      </c>
      <c r="J888" s="59">
        <v>1.0</v>
      </c>
      <c r="K888" s="61">
        <f t="shared" si="1"/>
        <v>1</v>
      </c>
      <c r="L888" s="62">
        <f t="shared" si="2"/>
        <v>1</v>
      </c>
    </row>
    <row r="889">
      <c r="A889" s="58">
        <v>46054.0</v>
      </c>
      <c r="B889" s="24" t="s">
        <v>6787</v>
      </c>
      <c r="C889" s="24" t="s">
        <v>7056</v>
      </c>
      <c r="D889" s="59">
        <v>1.0</v>
      </c>
      <c r="E889" s="59">
        <v>1.0</v>
      </c>
      <c r="F889" s="59">
        <v>1.0</v>
      </c>
      <c r="G889" s="60">
        <v>1.0</v>
      </c>
      <c r="H889" s="60">
        <v>1.0</v>
      </c>
      <c r="I889" s="60">
        <v>0.0</v>
      </c>
      <c r="J889" s="59">
        <v>1.0</v>
      </c>
      <c r="K889" s="61">
        <f t="shared" si="1"/>
        <v>1</v>
      </c>
      <c r="L889" s="62">
        <f t="shared" si="2"/>
        <v>1</v>
      </c>
    </row>
    <row r="890">
      <c r="A890" s="58">
        <v>46054.0</v>
      </c>
      <c r="B890" s="24" t="s">
        <v>155</v>
      </c>
      <c r="C890" s="24" t="s">
        <v>6928</v>
      </c>
      <c r="D890" s="59">
        <v>1.0</v>
      </c>
      <c r="E890" s="59">
        <v>1.0</v>
      </c>
      <c r="F890" s="59">
        <v>0.0</v>
      </c>
      <c r="G890" s="60">
        <v>1.0</v>
      </c>
      <c r="H890" s="60">
        <v>0.0</v>
      </c>
      <c r="I890" s="60">
        <v>563.655934</v>
      </c>
      <c r="J890" s="59">
        <v>2.0</v>
      </c>
      <c r="K890" s="61">
        <f t="shared" si="1"/>
        <v>0</v>
      </c>
      <c r="L890" s="62">
        <f t="shared" si="2"/>
        <v>2</v>
      </c>
    </row>
    <row r="891">
      <c r="A891" s="58">
        <v>46054.0</v>
      </c>
      <c r="B891" s="24" t="s">
        <v>155</v>
      </c>
      <c r="C891" s="24" t="s">
        <v>6828</v>
      </c>
      <c r="D891" s="59">
        <v>1.0</v>
      </c>
      <c r="E891" s="59">
        <v>1.0</v>
      </c>
      <c r="F891" s="59">
        <v>1.0</v>
      </c>
      <c r="G891" s="60">
        <v>1.0</v>
      </c>
      <c r="H891" s="60">
        <v>0.0</v>
      </c>
      <c r="I891" s="60">
        <v>81.349094</v>
      </c>
      <c r="J891" s="59">
        <v>1.0</v>
      </c>
      <c r="K891" s="61">
        <f t="shared" si="1"/>
        <v>1</v>
      </c>
      <c r="L891" s="62">
        <f t="shared" si="2"/>
        <v>1</v>
      </c>
    </row>
    <row r="892">
      <c r="A892" s="58">
        <v>46054.0</v>
      </c>
      <c r="B892" s="24" t="s">
        <v>6789</v>
      </c>
      <c r="C892" s="24" t="s">
        <v>6984</v>
      </c>
      <c r="D892" s="59">
        <v>1.0</v>
      </c>
      <c r="E892" s="59">
        <v>1.0</v>
      </c>
      <c r="F892" s="59">
        <v>1.0</v>
      </c>
      <c r="G892" s="60">
        <v>1.0</v>
      </c>
      <c r="H892" s="60">
        <v>1.0</v>
      </c>
      <c r="I892" s="60">
        <v>0.0</v>
      </c>
      <c r="J892" s="59">
        <v>1.0</v>
      </c>
      <c r="K892" s="61">
        <f t="shared" si="1"/>
        <v>1</v>
      </c>
      <c r="L892" s="62">
        <f t="shared" si="2"/>
        <v>1</v>
      </c>
    </row>
    <row r="893">
      <c r="A893" s="58">
        <v>46054.0</v>
      </c>
      <c r="B893" s="24" t="s">
        <v>6787</v>
      </c>
      <c r="C893" s="24" t="s">
        <v>6943</v>
      </c>
      <c r="D893" s="59">
        <v>1.0</v>
      </c>
      <c r="E893" s="59">
        <v>1.0</v>
      </c>
      <c r="F893" s="59">
        <v>1.0</v>
      </c>
      <c r="G893" s="60">
        <v>1.0</v>
      </c>
      <c r="H893" s="60">
        <v>1.0</v>
      </c>
      <c r="I893" s="60">
        <v>0.0</v>
      </c>
      <c r="J893" s="59">
        <v>1.0</v>
      </c>
      <c r="K893" s="61">
        <f t="shared" si="1"/>
        <v>1</v>
      </c>
      <c r="L893" s="62">
        <f t="shared" si="2"/>
        <v>1</v>
      </c>
    </row>
    <row r="894">
      <c r="A894" s="58">
        <v>46054.0</v>
      </c>
      <c r="B894" s="24" t="s">
        <v>6787</v>
      </c>
      <c r="C894" s="24" t="s">
        <v>7057</v>
      </c>
      <c r="D894" s="59">
        <v>1.0</v>
      </c>
      <c r="E894" s="59">
        <v>1.0</v>
      </c>
      <c r="F894" s="59">
        <v>1.0</v>
      </c>
      <c r="G894" s="60">
        <v>1.0</v>
      </c>
      <c r="H894" s="60">
        <v>1.0</v>
      </c>
      <c r="I894" s="60">
        <v>0.0</v>
      </c>
      <c r="J894" s="59">
        <v>1.0</v>
      </c>
      <c r="K894" s="61">
        <f t="shared" si="1"/>
        <v>1</v>
      </c>
      <c r="L894" s="62">
        <f t="shared" si="2"/>
        <v>1</v>
      </c>
    </row>
    <row r="895">
      <c r="A895" s="58">
        <v>46054.0</v>
      </c>
      <c r="B895" s="24" t="s">
        <v>6787</v>
      </c>
      <c r="C895" s="24" t="s">
        <v>7058</v>
      </c>
      <c r="D895" s="59">
        <v>1.0</v>
      </c>
      <c r="E895" s="59">
        <v>1.0</v>
      </c>
      <c r="F895" s="59">
        <v>1.0</v>
      </c>
      <c r="G895" s="60">
        <v>1.0</v>
      </c>
      <c r="H895" s="60">
        <v>1.0</v>
      </c>
      <c r="I895" s="60">
        <v>0.0</v>
      </c>
      <c r="J895" s="59">
        <v>1.0</v>
      </c>
      <c r="K895" s="61">
        <f t="shared" si="1"/>
        <v>1</v>
      </c>
      <c r="L895" s="62">
        <f t="shared" si="2"/>
        <v>1</v>
      </c>
    </row>
    <row r="896">
      <c r="A896" s="58">
        <v>46054.0</v>
      </c>
      <c r="B896" s="24" t="s">
        <v>6787</v>
      </c>
      <c r="C896" s="24" t="s">
        <v>6830</v>
      </c>
      <c r="D896" s="59">
        <v>1.0</v>
      </c>
      <c r="E896" s="59">
        <v>1.0</v>
      </c>
      <c r="F896" s="59">
        <v>1.0</v>
      </c>
      <c r="G896" s="60">
        <v>1.0</v>
      </c>
      <c r="H896" s="60">
        <v>1.0</v>
      </c>
      <c r="I896" s="60">
        <v>0.0</v>
      </c>
      <c r="J896" s="59">
        <v>1.0</v>
      </c>
      <c r="K896" s="61">
        <f t="shared" si="1"/>
        <v>1</v>
      </c>
      <c r="L896" s="62">
        <f t="shared" si="2"/>
        <v>1</v>
      </c>
    </row>
    <row r="897">
      <c r="A897" s="58">
        <v>46054.0</v>
      </c>
      <c r="B897" s="24" t="s">
        <v>6787</v>
      </c>
      <c r="C897" s="24" t="s">
        <v>7059</v>
      </c>
      <c r="D897" s="59">
        <v>1.0</v>
      </c>
      <c r="E897" s="59">
        <v>1.0</v>
      </c>
      <c r="F897" s="59">
        <v>1.0</v>
      </c>
      <c r="G897" s="60">
        <v>1.0</v>
      </c>
      <c r="H897" s="60">
        <v>1.0</v>
      </c>
      <c r="I897" s="60">
        <v>0.0</v>
      </c>
      <c r="J897" s="59">
        <v>1.0</v>
      </c>
      <c r="K897" s="61">
        <f t="shared" si="1"/>
        <v>1</v>
      </c>
      <c r="L897" s="62">
        <f t="shared" si="2"/>
        <v>1</v>
      </c>
    </row>
    <row r="898">
      <c r="A898" s="58">
        <v>46054.0</v>
      </c>
      <c r="B898" s="24" t="s">
        <v>6787</v>
      </c>
      <c r="C898" s="24" t="s">
        <v>6862</v>
      </c>
      <c r="D898" s="59">
        <v>1.0</v>
      </c>
      <c r="E898" s="59">
        <v>1.0</v>
      </c>
      <c r="F898" s="59">
        <v>1.0</v>
      </c>
      <c r="G898" s="60">
        <v>1.0</v>
      </c>
      <c r="H898" s="60">
        <v>1.0</v>
      </c>
      <c r="I898" s="60">
        <v>0.0</v>
      </c>
      <c r="J898" s="59">
        <v>1.0</v>
      </c>
      <c r="K898" s="61">
        <f t="shared" si="1"/>
        <v>1</v>
      </c>
      <c r="L898" s="62">
        <f t="shared" si="2"/>
        <v>1</v>
      </c>
    </row>
    <row r="899">
      <c r="A899" s="58">
        <v>46054.0</v>
      </c>
      <c r="B899" s="24" t="s">
        <v>6787</v>
      </c>
      <c r="C899" s="24" t="s">
        <v>7060</v>
      </c>
      <c r="D899" s="59">
        <v>1.0</v>
      </c>
      <c r="E899" s="59">
        <v>1.0</v>
      </c>
      <c r="F899" s="59">
        <v>1.0</v>
      </c>
      <c r="G899" s="60">
        <v>1.0</v>
      </c>
      <c r="H899" s="60">
        <v>1.0</v>
      </c>
      <c r="I899" s="60">
        <v>0.0</v>
      </c>
      <c r="J899" s="59">
        <v>1.0</v>
      </c>
      <c r="K899" s="61">
        <f t="shared" si="1"/>
        <v>1</v>
      </c>
      <c r="L899" s="62">
        <f t="shared" si="2"/>
        <v>1</v>
      </c>
    </row>
    <row r="900">
      <c r="A900" s="58">
        <v>46054.0</v>
      </c>
      <c r="B900" s="24" t="s">
        <v>6787</v>
      </c>
      <c r="C900" s="24" t="s">
        <v>6863</v>
      </c>
      <c r="D900" s="59">
        <v>1.0</v>
      </c>
      <c r="E900" s="59">
        <v>1.0</v>
      </c>
      <c r="F900" s="59">
        <v>1.0</v>
      </c>
      <c r="G900" s="60">
        <v>1.0</v>
      </c>
      <c r="H900" s="60">
        <v>1.0</v>
      </c>
      <c r="I900" s="60">
        <v>0.0</v>
      </c>
      <c r="J900" s="59">
        <v>1.0</v>
      </c>
      <c r="K900" s="61">
        <f t="shared" si="1"/>
        <v>1</v>
      </c>
      <c r="L900" s="62">
        <f t="shared" si="2"/>
        <v>1</v>
      </c>
    </row>
    <row r="901">
      <c r="A901" s="58">
        <v>46054.0</v>
      </c>
      <c r="B901" s="24" t="s">
        <v>155</v>
      </c>
      <c r="C901" s="24" t="s">
        <v>6818</v>
      </c>
      <c r="D901" s="59">
        <v>1.0</v>
      </c>
      <c r="E901" s="59">
        <v>1.0</v>
      </c>
      <c r="F901" s="59">
        <v>1.0</v>
      </c>
      <c r="G901" s="60">
        <v>1.0</v>
      </c>
      <c r="H901" s="60">
        <v>1.0</v>
      </c>
      <c r="I901" s="60">
        <v>0.0</v>
      </c>
      <c r="J901" s="59">
        <v>1.0</v>
      </c>
      <c r="K901" s="61">
        <f t="shared" si="1"/>
        <v>1</v>
      </c>
      <c r="L901" s="62">
        <f t="shared" si="2"/>
        <v>1</v>
      </c>
    </row>
    <row r="902">
      <c r="A902" s="58">
        <v>46054.0</v>
      </c>
      <c r="B902" s="24" t="s">
        <v>6787</v>
      </c>
      <c r="C902" s="24" t="s">
        <v>6985</v>
      </c>
      <c r="D902" s="59">
        <v>1.0</v>
      </c>
      <c r="E902" s="59">
        <v>1.0</v>
      </c>
      <c r="F902" s="59">
        <v>1.0</v>
      </c>
      <c r="G902" s="60">
        <v>1.0</v>
      </c>
      <c r="H902" s="60">
        <v>1.0</v>
      </c>
      <c r="I902" s="60">
        <v>0.0</v>
      </c>
      <c r="J902" s="59">
        <v>1.0</v>
      </c>
      <c r="K902" s="61">
        <f t="shared" si="1"/>
        <v>1</v>
      </c>
      <c r="L902" s="62">
        <f t="shared" si="2"/>
        <v>1</v>
      </c>
    </row>
    <row r="903">
      <c r="A903" s="58">
        <v>46054.0</v>
      </c>
      <c r="B903" s="24" t="s">
        <v>6789</v>
      </c>
      <c r="C903" s="24" t="s">
        <v>6833</v>
      </c>
      <c r="D903" s="59">
        <v>1.0</v>
      </c>
      <c r="E903" s="59">
        <v>1.0</v>
      </c>
      <c r="F903" s="59">
        <v>1.0</v>
      </c>
      <c r="G903" s="60">
        <v>1.0</v>
      </c>
      <c r="H903" s="60">
        <v>0.0</v>
      </c>
      <c r="I903" s="60">
        <v>25.719844</v>
      </c>
      <c r="J903" s="59">
        <v>1.0</v>
      </c>
      <c r="K903" s="61">
        <f t="shared" si="1"/>
        <v>1</v>
      </c>
      <c r="L903" s="62">
        <f t="shared" si="2"/>
        <v>1</v>
      </c>
    </row>
    <row r="904">
      <c r="A904" s="58">
        <v>46054.0</v>
      </c>
      <c r="B904" s="24" t="s">
        <v>6787</v>
      </c>
      <c r="C904" s="24" t="s">
        <v>7061</v>
      </c>
      <c r="D904" s="59">
        <v>1.0</v>
      </c>
      <c r="E904" s="59">
        <v>1.0</v>
      </c>
      <c r="F904" s="59">
        <v>1.0</v>
      </c>
      <c r="G904" s="60">
        <v>1.0</v>
      </c>
      <c r="H904" s="60">
        <v>1.0</v>
      </c>
      <c r="I904" s="60">
        <v>0.0</v>
      </c>
      <c r="J904" s="59">
        <v>1.0</v>
      </c>
      <c r="K904" s="61">
        <f t="shared" si="1"/>
        <v>1</v>
      </c>
      <c r="L904" s="62">
        <f t="shared" si="2"/>
        <v>1</v>
      </c>
    </row>
    <row r="905">
      <c r="A905" s="58">
        <v>46054.0</v>
      </c>
      <c r="B905" s="24" t="s">
        <v>6787</v>
      </c>
      <c r="C905" s="24" t="s">
        <v>6867</v>
      </c>
      <c r="D905" s="59">
        <v>1.0</v>
      </c>
      <c r="E905" s="59">
        <v>1.0</v>
      </c>
      <c r="F905" s="59">
        <v>1.0</v>
      </c>
      <c r="G905" s="60">
        <v>1.0</v>
      </c>
      <c r="H905" s="60">
        <v>1.0</v>
      </c>
      <c r="I905" s="60">
        <v>0.0</v>
      </c>
      <c r="J905" s="59">
        <v>1.0</v>
      </c>
      <c r="K905" s="61">
        <f t="shared" si="1"/>
        <v>1</v>
      </c>
      <c r="L905" s="62">
        <f t="shared" si="2"/>
        <v>1</v>
      </c>
    </row>
    <row r="906">
      <c r="A906" s="58">
        <v>46054.0</v>
      </c>
      <c r="B906" s="24" t="s">
        <v>155</v>
      </c>
      <c r="C906" s="24" t="s">
        <v>6834</v>
      </c>
      <c r="D906" s="59">
        <v>1.0</v>
      </c>
      <c r="E906" s="59">
        <v>1.0</v>
      </c>
      <c r="F906" s="59">
        <v>1.0</v>
      </c>
      <c r="G906" s="60">
        <v>1.0</v>
      </c>
      <c r="H906" s="60">
        <v>1.0</v>
      </c>
      <c r="I906" s="60">
        <v>1.656405</v>
      </c>
      <c r="J906" s="59">
        <v>1.0</v>
      </c>
      <c r="K906" s="61">
        <f t="shared" si="1"/>
        <v>1</v>
      </c>
      <c r="L906" s="62">
        <f t="shared" si="2"/>
        <v>1</v>
      </c>
    </row>
    <row r="907">
      <c r="A907" s="58">
        <v>46054.0</v>
      </c>
      <c r="B907" s="24" t="s">
        <v>6787</v>
      </c>
      <c r="C907" s="24" t="s">
        <v>6988</v>
      </c>
      <c r="D907" s="59">
        <v>1.0</v>
      </c>
      <c r="E907" s="59">
        <v>1.0</v>
      </c>
      <c r="F907" s="59">
        <v>1.0</v>
      </c>
      <c r="G907" s="60">
        <v>1.0</v>
      </c>
      <c r="H907" s="60">
        <v>1.0</v>
      </c>
      <c r="I907" s="60">
        <v>0.0</v>
      </c>
      <c r="J907" s="59">
        <v>1.0</v>
      </c>
      <c r="K907" s="61">
        <f t="shared" si="1"/>
        <v>1</v>
      </c>
      <c r="L907" s="62">
        <f t="shared" si="2"/>
        <v>1</v>
      </c>
    </row>
    <row r="908">
      <c r="A908" s="58">
        <v>46054.0</v>
      </c>
      <c r="B908" s="24" t="s">
        <v>6787</v>
      </c>
      <c r="C908" s="24" t="s">
        <v>6870</v>
      </c>
      <c r="D908" s="59">
        <v>1.0</v>
      </c>
      <c r="E908" s="59">
        <v>1.0</v>
      </c>
      <c r="F908" s="59">
        <v>1.0</v>
      </c>
      <c r="G908" s="60">
        <v>1.0</v>
      </c>
      <c r="H908" s="60">
        <v>1.0</v>
      </c>
      <c r="I908" s="60">
        <v>0.0</v>
      </c>
      <c r="J908" s="59">
        <v>1.0</v>
      </c>
      <c r="K908" s="61">
        <f t="shared" si="1"/>
        <v>1</v>
      </c>
      <c r="L908" s="62">
        <f t="shared" si="2"/>
        <v>1</v>
      </c>
    </row>
    <row r="909">
      <c r="A909" s="58">
        <v>46054.0</v>
      </c>
      <c r="B909" s="24" t="s">
        <v>155</v>
      </c>
      <c r="C909" s="24" t="s">
        <v>6870</v>
      </c>
      <c r="D909" s="59">
        <v>1.0</v>
      </c>
      <c r="E909" s="59">
        <v>1.0</v>
      </c>
      <c r="F909" s="59">
        <v>0.0</v>
      </c>
      <c r="G909" s="60">
        <v>1.0</v>
      </c>
      <c r="H909" s="60">
        <v>0.0</v>
      </c>
      <c r="I909" s="60">
        <v>297.144506</v>
      </c>
      <c r="J909" s="59">
        <v>6.0</v>
      </c>
      <c r="K909" s="61">
        <f t="shared" si="1"/>
        <v>0</v>
      </c>
      <c r="L909" s="62">
        <f t="shared" si="2"/>
        <v>6</v>
      </c>
    </row>
    <row r="910">
      <c r="A910" s="58">
        <v>46054.0</v>
      </c>
      <c r="B910" s="24" t="s">
        <v>6787</v>
      </c>
      <c r="C910" s="24" t="s">
        <v>7062</v>
      </c>
      <c r="D910" s="59">
        <v>1.0</v>
      </c>
      <c r="E910" s="59">
        <v>1.0</v>
      </c>
      <c r="F910" s="59">
        <v>1.0</v>
      </c>
      <c r="G910" s="60">
        <v>1.0</v>
      </c>
      <c r="H910" s="60">
        <v>1.0</v>
      </c>
      <c r="I910" s="60">
        <v>0.0</v>
      </c>
      <c r="J910" s="59">
        <v>1.0</v>
      </c>
      <c r="K910" s="61">
        <f t="shared" si="1"/>
        <v>1</v>
      </c>
      <c r="L910" s="62">
        <f t="shared" si="2"/>
        <v>1</v>
      </c>
    </row>
    <row r="911">
      <c r="A911" s="58">
        <v>46054.0</v>
      </c>
      <c r="B911" s="24" t="s">
        <v>6789</v>
      </c>
      <c r="C911" s="24" t="s">
        <v>7063</v>
      </c>
      <c r="D911" s="59">
        <v>1.0</v>
      </c>
      <c r="E911" s="59">
        <v>1.0</v>
      </c>
      <c r="F911" s="59">
        <v>1.0</v>
      </c>
      <c r="G911" s="60">
        <v>1.0</v>
      </c>
      <c r="H911" s="60">
        <v>0.0</v>
      </c>
      <c r="I911" s="60">
        <v>16.025116</v>
      </c>
      <c r="J911" s="59">
        <v>1.0</v>
      </c>
      <c r="K911" s="61">
        <f t="shared" si="1"/>
        <v>1</v>
      </c>
      <c r="L911" s="62">
        <f t="shared" si="2"/>
        <v>1</v>
      </c>
    </row>
    <row r="912">
      <c r="A912" s="58">
        <v>46054.0</v>
      </c>
      <c r="B912" s="24" t="s">
        <v>3216</v>
      </c>
      <c r="C912" s="24" t="s">
        <v>6871</v>
      </c>
      <c r="D912" s="59">
        <v>1.0</v>
      </c>
      <c r="E912" s="59">
        <v>1.0</v>
      </c>
      <c r="F912" s="59">
        <v>1.0</v>
      </c>
      <c r="G912" s="60">
        <v>1.0</v>
      </c>
      <c r="H912" s="60">
        <v>0.0</v>
      </c>
      <c r="I912" s="60">
        <v>590.30136</v>
      </c>
      <c r="J912" s="59">
        <v>1.0</v>
      </c>
      <c r="K912" s="61">
        <f t="shared" si="1"/>
        <v>1</v>
      </c>
      <c r="L912" s="62">
        <f t="shared" si="2"/>
        <v>1</v>
      </c>
    </row>
    <row r="913">
      <c r="A913" s="58">
        <v>46054.0</v>
      </c>
      <c r="B913" s="24" t="s">
        <v>6787</v>
      </c>
      <c r="C913" s="24" t="s">
        <v>6872</v>
      </c>
      <c r="D913" s="59">
        <v>1.0</v>
      </c>
      <c r="E913" s="59">
        <v>1.0</v>
      </c>
      <c r="F913" s="59">
        <v>1.0</v>
      </c>
      <c r="G913" s="60">
        <v>1.0</v>
      </c>
      <c r="H913" s="60">
        <v>1.0</v>
      </c>
      <c r="I913" s="60">
        <v>0.0</v>
      </c>
      <c r="J913" s="59">
        <v>1.0</v>
      </c>
      <c r="K913" s="61">
        <f t="shared" si="1"/>
        <v>1</v>
      </c>
      <c r="L913" s="62">
        <f t="shared" si="2"/>
        <v>1</v>
      </c>
    </row>
    <row r="914">
      <c r="A914" s="58">
        <v>46054.0</v>
      </c>
      <c r="B914" s="24" t="s">
        <v>6787</v>
      </c>
      <c r="C914" s="24" t="s">
        <v>6873</v>
      </c>
      <c r="D914" s="59">
        <v>1.0</v>
      </c>
      <c r="E914" s="59">
        <v>1.0</v>
      </c>
      <c r="F914" s="59">
        <v>1.0</v>
      </c>
      <c r="G914" s="60">
        <v>1.0</v>
      </c>
      <c r="H914" s="60">
        <v>1.0</v>
      </c>
      <c r="I914" s="60">
        <v>0.0</v>
      </c>
      <c r="J914" s="59">
        <v>1.0</v>
      </c>
      <c r="K914" s="61">
        <f t="shared" si="1"/>
        <v>1</v>
      </c>
      <c r="L914" s="62">
        <f t="shared" si="2"/>
        <v>1</v>
      </c>
    </row>
    <row r="915">
      <c r="A915" s="58">
        <v>46054.0</v>
      </c>
      <c r="B915" s="24" t="s">
        <v>6789</v>
      </c>
      <c r="C915" s="24" t="s">
        <v>6873</v>
      </c>
      <c r="D915" s="59">
        <v>1.0</v>
      </c>
      <c r="E915" s="59">
        <v>1.0</v>
      </c>
      <c r="F915" s="59">
        <v>0.0</v>
      </c>
      <c r="G915" s="60">
        <v>1.0</v>
      </c>
      <c r="H915" s="60">
        <v>0.0</v>
      </c>
      <c r="I915" s="60">
        <v>76.08304</v>
      </c>
      <c r="J915" s="59">
        <v>2.0</v>
      </c>
      <c r="K915" s="61">
        <f t="shared" si="1"/>
        <v>0</v>
      </c>
      <c r="L915" s="62">
        <f t="shared" si="2"/>
        <v>2</v>
      </c>
    </row>
    <row r="916">
      <c r="A916" s="58">
        <v>46054.0</v>
      </c>
      <c r="B916" s="24" t="s">
        <v>6787</v>
      </c>
      <c r="C916" s="24" t="s">
        <v>6874</v>
      </c>
      <c r="D916" s="59">
        <v>1.0</v>
      </c>
      <c r="E916" s="59">
        <v>1.0</v>
      </c>
      <c r="F916" s="59">
        <v>1.0</v>
      </c>
      <c r="G916" s="60">
        <v>1.0</v>
      </c>
      <c r="H916" s="60">
        <v>1.0</v>
      </c>
      <c r="I916" s="60">
        <v>0.0</v>
      </c>
      <c r="J916" s="59">
        <v>1.0</v>
      </c>
      <c r="K916" s="61">
        <f t="shared" si="1"/>
        <v>1</v>
      </c>
      <c r="L916" s="62">
        <f t="shared" si="2"/>
        <v>1</v>
      </c>
    </row>
    <row r="917">
      <c r="A917" s="58">
        <v>46054.0</v>
      </c>
      <c r="B917" s="24" t="s">
        <v>6794</v>
      </c>
      <c r="C917" s="24" t="s">
        <v>6874</v>
      </c>
      <c r="D917" s="59">
        <v>1.0</v>
      </c>
      <c r="E917" s="59">
        <v>1.0</v>
      </c>
      <c r="F917" s="59">
        <v>0.0</v>
      </c>
      <c r="G917" s="60">
        <v>1.0</v>
      </c>
      <c r="H917" s="60">
        <v>0.0</v>
      </c>
      <c r="I917" s="60">
        <v>1198.429262</v>
      </c>
      <c r="J917" s="59">
        <v>1.0</v>
      </c>
      <c r="K917" s="61">
        <f t="shared" si="1"/>
        <v>0</v>
      </c>
      <c r="L917" s="62">
        <f t="shared" si="2"/>
        <v>1</v>
      </c>
    </row>
    <row r="918">
      <c r="A918" s="58">
        <v>46054.0</v>
      </c>
      <c r="B918" s="24" t="s">
        <v>6787</v>
      </c>
      <c r="C918" s="24" t="s">
        <v>7064</v>
      </c>
      <c r="D918" s="59">
        <v>1.0</v>
      </c>
      <c r="E918" s="59">
        <v>1.0</v>
      </c>
      <c r="F918" s="59">
        <v>1.0</v>
      </c>
      <c r="G918" s="60">
        <v>1.0</v>
      </c>
      <c r="H918" s="60">
        <v>1.0</v>
      </c>
      <c r="I918" s="60">
        <v>0.0</v>
      </c>
      <c r="J918" s="59">
        <v>1.0</v>
      </c>
      <c r="K918" s="61">
        <f t="shared" si="1"/>
        <v>1</v>
      </c>
      <c r="L918" s="62">
        <f t="shared" si="2"/>
        <v>1</v>
      </c>
    </row>
    <row r="919">
      <c r="A919" s="58">
        <v>46054.0</v>
      </c>
      <c r="B919" s="24" t="s">
        <v>6787</v>
      </c>
      <c r="C919" s="24" t="s">
        <v>7065</v>
      </c>
      <c r="D919" s="59">
        <v>1.0</v>
      </c>
      <c r="E919" s="59">
        <v>1.0</v>
      </c>
      <c r="F919" s="59">
        <v>1.0</v>
      </c>
      <c r="G919" s="60">
        <v>1.0</v>
      </c>
      <c r="H919" s="60">
        <v>1.0</v>
      </c>
      <c r="I919" s="60">
        <v>0.0</v>
      </c>
      <c r="J919" s="59">
        <v>1.0</v>
      </c>
      <c r="K919" s="61">
        <f t="shared" si="1"/>
        <v>1</v>
      </c>
      <c r="L919" s="62">
        <f t="shared" si="2"/>
        <v>1</v>
      </c>
    </row>
    <row r="920">
      <c r="A920" s="58">
        <v>46054.0</v>
      </c>
      <c r="B920" s="24" t="s">
        <v>6787</v>
      </c>
      <c r="C920" s="24" t="s">
        <v>7066</v>
      </c>
      <c r="D920" s="59">
        <v>1.0</v>
      </c>
      <c r="E920" s="59">
        <v>1.0</v>
      </c>
      <c r="F920" s="59">
        <v>1.0</v>
      </c>
      <c r="G920" s="60">
        <v>1.0</v>
      </c>
      <c r="H920" s="60">
        <v>1.0</v>
      </c>
      <c r="I920" s="60">
        <v>0.0</v>
      </c>
      <c r="J920" s="59">
        <v>1.0</v>
      </c>
      <c r="K920" s="61">
        <f t="shared" si="1"/>
        <v>1</v>
      </c>
      <c r="L920" s="62">
        <f t="shared" si="2"/>
        <v>1</v>
      </c>
    </row>
    <row r="921">
      <c r="A921" s="58">
        <v>46054.0</v>
      </c>
      <c r="B921" s="24" t="s">
        <v>6789</v>
      </c>
      <c r="C921" s="24" t="s">
        <v>7066</v>
      </c>
      <c r="D921" s="59">
        <v>1.0</v>
      </c>
      <c r="E921" s="59">
        <v>1.0</v>
      </c>
      <c r="F921" s="59">
        <v>1.0</v>
      </c>
      <c r="G921" s="60">
        <v>1.0</v>
      </c>
      <c r="H921" s="60">
        <v>1.0</v>
      </c>
      <c r="I921" s="60">
        <v>2.467621</v>
      </c>
      <c r="J921" s="59">
        <v>1.0</v>
      </c>
      <c r="K921" s="61">
        <f t="shared" si="1"/>
        <v>1</v>
      </c>
      <c r="L921" s="62">
        <f t="shared" si="2"/>
        <v>1</v>
      </c>
    </row>
    <row r="922">
      <c r="A922" s="58">
        <v>46054.0</v>
      </c>
      <c r="B922" s="24" t="s">
        <v>6789</v>
      </c>
      <c r="C922" s="24" t="s">
        <v>6877</v>
      </c>
      <c r="D922" s="59">
        <v>1.0</v>
      </c>
      <c r="E922" s="59">
        <v>2.0</v>
      </c>
      <c r="F922" s="59">
        <v>1.0</v>
      </c>
      <c r="G922" s="60">
        <v>2.0</v>
      </c>
      <c r="H922" s="60">
        <v>0.5</v>
      </c>
      <c r="I922" s="60">
        <v>5.288129</v>
      </c>
      <c r="J922" s="59">
        <v>3.0</v>
      </c>
      <c r="K922" s="61">
        <f t="shared" si="1"/>
        <v>0.5</v>
      </c>
      <c r="L922" s="62">
        <f t="shared" si="2"/>
        <v>1.5</v>
      </c>
    </row>
    <row r="923">
      <c r="A923" s="58">
        <v>46054.0</v>
      </c>
      <c r="B923" s="24" t="s">
        <v>6787</v>
      </c>
      <c r="C923" s="24" t="s">
        <v>6989</v>
      </c>
      <c r="D923" s="59">
        <v>1.0</v>
      </c>
      <c r="E923" s="59">
        <v>1.0</v>
      </c>
      <c r="F923" s="59">
        <v>1.0</v>
      </c>
      <c r="G923" s="60">
        <v>1.0</v>
      </c>
      <c r="H923" s="60">
        <v>1.0</v>
      </c>
      <c r="I923" s="60">
        <v>0.0</v>
      </c>
      <c r="J923" s="59">
        <v>1.0</v>
      </c>
      <c r="K923" s="61">
        <f t="shared" si="1"/>
        <v>1</v>
      </c>
      <c r="L923" s="62">
        <f t="shared" si="2"/>
        <v>1</v>
      </c>
    </row>
    <row r="924">
      <c r="A924" s="58">
        <v>46054.0</v>
      </c>
      <c r="B924" s="24" t="s">
        <v>6787</v>
      </c>
      <c r="C924" s="24" t="s">
        <v>6881</v>
      </c>
      <c r="D924" s="59">
        <v>1.0</v>
      </c>
      <c r="E924" s="59">
        <v>1.0</v>
      </c>
      <c r="F924" s="59">
        <v>1.0</v>
      </c>
      <c r="G924" s="60">
        <v>1.0</v>
      </c>
      <c r="H924" s="60">
        <v>1.0</v>
      </c>
      <c r="I924" s="60">
        <v>0.0</v>
      </c>
      <c r="J924" s="59">
        <v>1.0</v>
      </c>
      <c r="K924" s="61">
        <f t="shared" si="1"/>
        <v>1</v>
      </c>
      <c r="L924" s="62">
        <f t="shared" si="2"/>
        <v>1</v>
      </c>
    </row>
    <row r="925">
      <c r="A925" s="58">
        <v>46054.0</v>
      </c>
      <c r="B925" s="24" t="s">
        <v>6787</v>
      </c>
      <c r="C925" s="24" t="s">
        <v>6990</v>
      </c>
      <c r="D925" s="59">
        <v>1.0</v>
      </c>
      <c r="E925" s="59">
        <v>1.0</v>
      </c>
      <c r="F925" s="59">
        <v>1.0</v>
      </c>
      <c r="G925" s="60">
        <v>1.0</v>
      </c>
      <c r="H925" s="60">
        <v>1.0</v>
      </c>
      <c r="I925" s="60">
        <v>0.0</v>
      </c>
      <c r="J925" s="59">
        <v>1.0</v>
      </c>
      <c r="K925" s="61">
        <f t="shared" si="1"/>
        <v>1</v>
      </c>
      <c r="L925" s="62">
        <f t="shared" si="2"/>
        <v>1</v>
      </c>
    </row>
    <row r="926">
      <c r="A926" s="58">
        <v>46054.0</v>
      </c>
      <c r="B926" s="24" t="s">
        <v>6787</v>
      </c>
      <c r="C926" s="24" t="s">
        <v>7067</v>
      </c>
      <c r="D926" s="59">
        <v>1.0</v>
      </c>
      <c r="E926" s="59">
        <v>1.0</v>
      </c>
      <c r="F926" s="59">
        <v>1.0</v>
      </c>
      <c r="G926" s="60">
        <v>1.0</v>
      </c>
      <c r="H926" s="60">
        <v>1.0</v>
      </c>
      <c r="I926" s="60">
        <v>0.0</v>
      </c>
      <c r="J926" s="59">
        <v>1.0</v>
      </c>
      <c r="K926" s="61">
        <f t="shared" si="1"/>
        <v>1</v>
      </c>
      <c r="L926" s="62">
        <f t="shared" si="2"/>
        <v>1</v>
      </c>
    </row>
    <row r="927">
      <c r="A927" s="58">
        <v>46054.0</v>
      </c>
      <c r="B927" s="24" t="s">
        <v>6787</v>
      </c>
      <c r="C927" s="24" t="s">
        <v>7068</v>
      </c>
      <c r="D927" s="59">
        <v>1.0</v>
      </c>
      <c r="E927" s="59">
        <v>1.0</v>
      </c>
      <c r="F927" s="59">
        <v>1.0</v>
      </c>
      <c r="G927" s="60">
        <v>1.0</v>
      </c>
      <c r="H927" s="60">
        <v>1.0</v>
      </c>
      <c r="I927" s="60">
        <v>0.0</v>
      </c>
      <c r="J927" s="59">
        <v>1.0</v>
      </c>
      <c r="K927" s="61">
        <f t="shared" si="1"/>
        <v>1</v>
      </c>
      <c r="L927" s="62">
        <f t="shared" si="2"/>
        <v>1</v>
      </c>
    </row>
    <row r="928">
      <c r="A928" s="58">
        <v>46054.0</v>
      </c>
      <c r="B928" s="24" t="s">
        <v>6787</v>
      </c>
      <c r="C928" s="24" t="s">
        <v>6992</v>
      </c>
      <c r="D928" s="59">
        <v>1.0</v>
      </c>
      <c r="E928" s="59">
        <v>1.0</v>
      </c>
      <c r="F928" s="59">
        <v>1.0</v>
      </c>
      <c r="G928" s="60">
        <v>1.0</v>
      </c>
      <c r="H928" s="60">
        <v>1.0</v>
      </c>
      <c r="I928" s="60">
        <v>0.0</v>
      </c>
      <c r="J928" s="59">
        <v>1.0</v>
      </c>
      <c r="K928" s="61">
        <f t="shared" si="1"/>
        <v>1</v>
      </c>
      <c r="L928" s="62">
        <f t="shared" si="2"/>
        <v>1</v>
      </c>
    </row>
    <row r="929">
      <c r="A929" s="58">
        <v>46054.0</v>
      </c>
      <c r="B929" s="24" t="s">
        <v>155</v>
      </c>
      <c r="C929" s="24" t="s">
        <v>7069</v>
      </c>
      <c r="D929" s="59">
        <v>1.0</v>
      </c>
      <c r="E929" s="59">
        <v>1.0</v>
      </c>
      <c r="F929" s="59">
        <v>0.0</v>
      </c>
      <c r="G929" s="60">
        <v>1.0</v>
      </c>
      <c r="H929" s="60">
        <v>0.0</v>
      </c>
      <c r="I929" s="60">
        <v>5534.148681</v>
      </c>
      <c r="J929" s="59">
        <v>19.0</v>
      </c>
      <c r="K929" s="61">
        <f t="shared" si="1"/>
        <v>0</v>
      </c>
      <c r="L929" s="62">
        <f t="shared" si="2"/>
        <v>19</v>
      </c>
    </row>
    <row r="930">
      <c r="A930" s="58">
        <v>46054.0</v>
      </c>
      <c r="B930" s="24" t="s">
        <v>6787</v>
      </c>
      <c r="C930" s="24" t="s">
        <v>7070</v>
      </c>
      <c r="D930" s="59">
        <v>1.0</v>
      </c>
      <c r="E930" s="59">
        <v>1.0</v>
      </c>
      <c r="F930" s="59">
        <v>1.0</v>
      </c>
      <c r="G930" s="60">
        <v>1.0</v>
      </c>
      <c r="H930" s="60">
        <v>1.0</v>
      </c>
      <c r="I930" s="60">
        <v>0.0</v>
      </c>
      <c r="J930" s="59">
        <v>1.0</v>
      </c>
      <c r="K930" s="61">
        <f t="shared" si="1"/>
        <v>1</v>
      </c>
      <c r="L930" s="62">
        <f t="shared" si="2"/>
        <v>1</v>
      </c>
    </row>
    <row r="931">
      <c r="A931" s="58">
        <v>46054.0</v>
      </c>
      <c r="B931" s="24" t="s">
        <v>6789</v>
      </c>
      <c r="C931" s="24" t="s">
        <v>7029</v>
      </c>
      <c r="D931" s="59">
        <v>1.0</v>
      </c>
      <c r="E931" s="59">
        <v>1.0</v>
      </c>
      <c r="F931" s="59">
        <v>1.0</v>
      </c>
      <c r="G931" s="60">
        <v>1.0</v>
      </c>
      <c r="H931" s="60">
        <v>1.0</v>
      </c>
      <c r="I931" s="60">
        <v>0.0</v>
      </c>
      <c r="J931" s="59">
        <v>1.0</v>
      </c>
      <c r="K931" s="61">
        <f t="shared" si="1"/>
        <v>1</v>
      </c>
      <c r="L931" s="62">
        <f t="shared" si="2"/>
        <v>1</v>
      </c>
    </row>
    <row r="932">
      <c r="A932" s="58">
        <v>46054.0</v>
      </c>
      <c r="B932" s="24" t="s">
        <v>155</v>
      </c>
      <c r="C932" s="24" t="s">
        <v>7029</v>
      </c>
      <c r="D932" s="59">
        <v>1.0</v>
      </c>
      <c r="E932" s="59">
        <v>1.0</v>
      </c>
      <c r="F932" s="59">
        <v>0.0</v>
      </c>
      <c r="G932" s="60">
        <v>1.0</v>
      </c>
      <c r="H932" s="60">
        <v>1.0</v>
      </c>
      <c r="I932" s="60">
        <v>2.059533</v>
      </c>
      <c r="J932" s="59">
        <v>1.0</v>
      </c>
      <c r="K932" s="61">
        <f t="shared" si="1"/>
        <v>0</v>
      </c>
      <c r="L932" s="62">
        <f t="shared" si="2"/>
        <v>1</v>
      </c>
    </row>
    <row r="933">
      <c r="A933" s="58">
        <v>46054.0</v>
      </c>
      <c r="B933" s="24" t="s">
        <v>6787</v>
      </c>
      <c r="C933" s="24" t="s">
        <v>7071</v>
      </c>
      <c r="D933" s="59">
        <v>1.0</v>
      </c>
      <c r="E933" s="59">
        <v>1.0</v>
      </c>
      <c r="F933" s="59">
        <v>1.0</v>
      </c>
      <c r="G933" s="60">
        <v>1.0</v>
      </c>
      <c r="H933" s="60">
        <v>1.0</v>
      </c>
      <c r="I933" s="60">
        <v>0.0</v>
      </c>
      <c r="J933" s="59">
        <v>1.0</v>
      </c>
      <c r="K933" s="61">
        <f t="shared" si="1"/>
        <v>1</v>
      </c>
      <c r="L933" s="62">
        <f t="shared" si="2"/>
        <v>1</v>
      </c>
    </row>
    <row r="934">
      <c r="A934" s="58">
        <v>46054.0</v>
      </c>
      <c r="B934" s="24" t="s">
        <v>6787</v>
      </c>
      <c r="C934" s="24" t="s">
        <v>7072</v>
      </c>
      <c r="D934" s="59">
        <v>1.0</v>
      </c>
      <c r="E934" s="59">
        <v>1.0</v>
      </c>
      <c r="F934" s="59">
        <v>1.0</v>
      </c>
      <c r="G934" s="60">
        <v>1.0</v>
      </c>
      <c r="H934" s="60">
        <v>1.0</v>
      </c>
      <c r="I934" s="60">
        <v>0.0</v>
      </c>
      <c r="J934" s="59">
        <v>1.0</v>
      </c>
      <c r="K934" s="61">
        <f t="shared" si="1"/>
        <v>1</v>
      </c>
      <c r="L934" s="62">
        <f t="shared" si="2"/>
        <v>1</v>
      </c>
    </row>
    <row r="935">
      <c r="A935" s="58">
        <v>46054.0</v>
      </c>
      <c r="B935" s="24" t="s">
        <v>6789</v>
      </c>
      <c r="C935" s="24" t="s">
        <v>7072</v>
      </c>
      <c r="D935" s="59">
        <v>1.0</v>
      </c>
      <c r="E935" s="59">
        <v>1.0</v>
      </c>
      <c r="F935" s="59">
        <v>1.0</v>
      </c>
      <c r="G935" s="60">
        <v>1.0</v>
      </c>
      <c r="H935" s="60">
        <v>0.0</v>
      </c>
      <c r="I935" s="60">
        <v>161.102936</v>
      </c>
      <c r="J935" s="59">
        <v>1.0</v>
      </c>
      <c r="K935" s="61">
        <f t="shared" si="1"/>
        <v>1</v>
      </c>
      <c r="L935" s="62">
        <f t="shared" si="2"/>
        <v>1</v>
      </c>
    </row>
    <row r="936">
      <c r="A936" s="58">
        <v>46054.0</v>
      </c>
      <c r="B936" s="24" t="s">
        <v>6787</v>
      </c>
      <c r="C936" s="24" t="s">
        <v>7073</v>
      </c>
      <c r="D936" s="59">
        <v>1.0</v>
      </c>
      <c r="E936" s="59">
        <v>1.0</v>
      </c>
      <c r="F936" s="59">
        <v>1.0</v>
      </c>
      <c r="G936" s="60">
        <v>1.0</v>
      </c>
      <c r="H936" s="60">
        <v>1.0</v>
      </c>
      <c r="I936" s="60">
        <v>0.0</v>
      </c>
      <c r="J936" s="59">
        <v>1.0</v>
      </c>
      <c r="K936" s="61">
        <f t="shared" si="1"/>
        <v>1</v>
      </c>
      <c r="L936" s="62">
        <f t="shared" si="2"/>
        <v>1</v>
      </c>
    </row>
    <row r="937">
      <c r="A937" s="58">
        <v>46054.0</v>
      </c>
      <c r="B937" s="24" t="s">
        <v>6787</v>
      </c>
      <c r="C937" s="24" t="s">
        <v>6930</v>
      </c>
      <c r="D937" s="59">
        <v>1.0</v>
      </c>
      <c r="E937" s="59">
        <v>1.0</v>
      </c>
      <c r="F937" s="59">
        <v>1.0</v>
      </c>
      <c r="G937" s="60">
        <v>1.0</v>
      </c>
      <c r="H937" s="60">
        <v>1.0</v>
      </c>
      <c r="I937" s="60">
        <v>0.0</v>
      </c>
      <c r="J937" s="59">
        <v>1.0</v>
      </c>
      <c r="K937" s="61">
        <f t="shared" si="1"/>
        <v>1</v>
      </c>
      <c r="L937" s="62">
        <f t="shared" si="2"/>
        <v>1</v>
      </c>
    </row>
    <row r="938">
      <c r="A938" s="58">
        <v>46054.0</v>
      </c>
      <c r="B938" s="24" t="s">
        <v>6787</v>
      </c>
      <c r="C938" s="24" t="s">
        <v>7074</v>
      </c>
      <c r="D938" s="59">
        <v>1.0</v>
      </c>
      <c r="E938" s="59">
        <v>1.0</v>
      </c>
      <c r="F938" s="59">
        <v>1.0</v>
      </c>
      <c r="G938" s="60">
        <v>1.0</v>
      </c>
      <c r="H938" s="60">
        <v>1.0</v>
      </c>
      <c r="I938" s="60">
        <v>0.0</v>
      </c>
      <c r="J938" s="59">
        <v>1.0</v>
      </c>
      <c r="K938" s="61">
        <f t="shared" si="1"/>
        <v>1</v>
      </c>
      <c r="L938" s="62">
        <f t="shared" si="2"/>
        <v>1</v>
      </c>
    </row>
    <row r="939">
      <c r="A939" s="58">
        <v>46054.0</v>
      </c>
      <c r="B939" s="24" t="s">
        <v>6789</v>
      </c>
      <c r="C939" s="24" t="s">
        <v>6926</v>
      </c>
      <c r="D939" s="59">
        <v>1.0</v>
      </c>
      <c r="E939" s="59">
        <v>1.0</v>
      </c>
      <c r="F939" s="59">
        <v>0.0</v>
      </c>
      <c r="G939" s="60">
        <v>1.0</v>
      </c>
      <c r="H939" s="60">
        <v>0.0</v>
      </c>
      <c r="I939" s="60">
        <v>1332.542436</v>
      </c>
      <c r="J939" s="59">
        <v>3.0</v>
      </c>
      <c r="K939" s="61">
        <f t="shared" si="1"/>
        <v>0</v>
      </c>
      <c r="L939" s="62">
        <f t="shared" si="2"/>
        <v>3</v>
      </c>
    </row>
    <row r="940">
      <c r="A940" s="58">
        <v>46054.0</v>
      </c>
      <c r="B940" s="24" t="s">
        <v>6787</v>
      </c>
      <c r="C940" s="24" t="s">
        <v>7075</v>
      </c>
      <c r="D940" s="59">
        <v>1.0</v>
      </c>
      <c r="E940" s="59">
        <v>1.0</v>
      </c>
      <c r="F940" s="59">
        <v>1.0</v>
      </c>
      <c r="G940" s="60">
        <v>1.0</v>
      </c>
      <c r="H940" s="60">
        <v>1.0</v>
      </c>
      <c r="I940" s="60">
        <v>5.365126</v>
      </c>
      <c r="J940" s="59">
        <v>1.0</v>
      </c>
      <c r="K940" s="61">
        <f t="shared" si="1"/>
        <v>1</v>
      </c>
      <c r="L940" s="62">
        <f t="shared" si="2"/>
        <v>1</v>
      </c>
    </row>
    <row r="941">
      <c r="A941" s="58">
        <v>46054.0</v>
      </c>
      <c r="B941" s="24" t="s">
        <v>6794</v>
      </c>
      <c r="C941" s="24" t="s">
        <v>6799</v>
      </c>
      <c r="D941" s="59">
        <v>1.0</v>
      </c>
      <c r="E941" s="59">
        <v>1.0</v>
      </c>
      <c r="F941" s="59">
        <v>0.0</v>
      </c>
      <c r="G941" s="60">
        <v>1.0</v>
      </c>
      <c r="H941" s="60">
        <v>0.0</v>
      </c>
      <c r="I941" s="60">
        <v>143.99914</v>
      </c>
      <c r="J941" s="59">
        <v>1.0</v>
      </c>
      <c r="K941" s="61">
        <f t="shared" si="1"/>
        <v>0</v>
      </c>
      <c r="L941" s="62">
        <f t="shared" si="2"/>
        <v>1</v>
      </c>
    </row>
    <row r="942">
      <c r="A942" s="58">
        <v>46054.0</v>
      </c>
      <c r="B942" s="24" t="s">
        <v>155</v>
      </c>
      <c r="C942" s="24" t="s">
        <v>6820</v>
      </c>
      <c r="D942" s="59">
        <v>1.0</v>
      </c>
      <c r="E942" s="59">
        <v>1.0</v>
      </c>
      <c r="F942" s="59">
        <v>1.0</v>
      </c>
      <c r="G942" s="60">
        <v>1.0</v>
      </c>
      <c r="H942" s="60">
        <v>0.0</v>
      </c>
      <c r="I942" s="60">
        <v>160.511183</v>
      </c>
      <c r="J942" s="59">
        <v>1.0</v>
      </c>
      <c r="K942" s="61">
        <f t="shared" si="1"/>
        <v>1</v>
      </c>
      <c r="L942" s="62">
        <f t="shared" si="2"/>
        <v>1</v>
      </c>
    </row>
    <row r="943">
      <c r="A943" s="58">
        <v>46054.0</v>
      </c>
      <c r="B943" s="24" t="s">
        <v>6855</v>
      </c>
      <c r="C943" s="24" t="s">
        <v>7021</v>
      </c>
      <c r="D943" s="59">
        <v>1.0</v>
      </c>
      <c r="E943" s="59">
        <v>1.0</v>
      </c>
      <c r="F943" s="59">
        <v>0.0</v>
      </c>
      <c r="G943" s="60">
        <v>0.0</v>
      </c>
      <c r="H943" s="60">
        <v>1.0</v>
      </c>
      <c r="I943" s="60">
        <v>0.0</v>
      </c>
      <c r="J943" s="59">
        <v>1.0</v>
      </c>
      <c r="K943" s="61">
        <f t="shared" si="1"/>
        <v>0</v>
      </c>
      <c r="L943" s="62">
        <f t="shared" si="2"/>
        <v>1</v>
      </c>
    </row>
    <row r="944">
      <c r="A944" s="58">
        <v>46054.0</v>
      </c>
      <c r="B944" s="24" t="s">
        <v>6794</v>
      </c>
      <c r="C944" s="24" t="s">
        <v>7021</v>
      </c>
      <c r="D944" s="59">
        <v>1.0</v>
      </c>
      <c r="E944" s="59">
        <v>1.0</v>
      </c>
      <c r="F944" s="59">
        <v>0.0</v>
      </c>
      <c r="G944" s="60">
        <v>1.0</v>
      </c>
      <c r="H944" s="60">
        <v>1.0</v>
      </c>
      <c r="I944" s="60">
        <v>0.841304</v>
      </c>
      <c r="J944" s="59">
        <v>1.0</v>
      </c>
      <c r="K944" s="61">
        <f t="shared" si="1"/>
        <v>0</v>
      </c>
      <c r="L944" s="62">
        <f t="shared" si="2"/>
        <v>1</v>
      </c>
    </row>
    <row r="945">
      <c r="A945" s="58">
        <v>46054.0</v>
      </c>
      <c r="B945" s="24" t="s">
        <v>6787</v>
      </c>
      <c r="C945" s="24" t="s">
        <v>7076</v>
      </c>
      <c r="D945" s="59">
        <v>1.0</v>
      </c>
      <c r="E945" s="59">
        <v>1.0</v>
      </c>
      <c r="F945" s="59">
        <v>1.0</v>
      </c>
      <c r="G945" s="60">
        <v>1.0</v>
      </c>
      <c r="H945" s="60">
        <v>1.0</v>
      </c>
      <c r="I945" s="60">
        <v>0.0</v>
      </c>
      <c r="J945" s="59">
        <v>1.0</v>
      </c>
      <c r="K945" s="61">
        <f t="shared" si="1"/>
        <v>1</v>
      </c>
      <c r="L945" s="62">
        <f t="shared" si="2"/>
        <v>1</v>
      </c>
    </row>
    <row r="946">
      <c r="A946" s="58">
        <v>46054.0</v>
      </c>
      <c r="B946" s="24" t="s">
        <v>6789</v>
      </c>
      <c r="C946" s="24" t="s">
        <v>6822</v>
      </c>
      <c r="D946" s="59">
        <v>1.0</v>
      </c>
      <c r="E946" s="59">
        <v>1.0</v>
      </c>
      <c r="F946" s="59">
        <v>0.0</v>
      </c>
      <c r="G946" s="60">
        <v>1.0</v>
      </c>
      <c r="H946" s="60">
        <v>0.0</v>
      </c>
      <c r="I946" s="60">
        <v>613.030005</v>
      </c>
      <c r="J946" s="59">
        <v>2.0</v>
      </c>
      <c r="K946" s="61">
        <f t="shared" si="1"/>
        <v>0</v>
      </c>
      <c r="L946" s="62">
        <f t="shared" si="2"/>
        <v>2</v>
      </c>
    </row>
    <row r="947">
      <c r="A947" s="58">
        <v>46054.0</v>
      </c>
      <c r="B947" s="24" t="s">
        <v>155</v>
      </c>
      <c r="C947" s="24" t="s">
        <v>6822</v>
      </c>
      <c r="D947" s="59">
        <v>1.0</v>
      </c>
      <c r="E947" s="59">
        <v>1.0</v>
      </c>
      <c r="F947" s="59">
        <v>0.0</v>
      </c>
      <c r="G947" s="60">
        <v>1.0</v>
      </c>
      <c r="H947" s="60">
        <v>0.0</v>
      </c>
      <c r="I947" s="60">
        <v>130.902791</v>
      </c>
      <c r="J947" s="59">
        <v>3.0</v>
      </c>
      <c r="K947" s="61">
        <f t="shared" si="1"/>
        <v>0</v>
      </c>
      <c r="L947" s="62">
        <f t="shared" si="2"/>
        <v>3</v>
      </c>
    </row>
    <row r="948">
      <c r="A948" s="58">
        <v>46054.0</v>
      </c>
      <c r="B948" s="24" t="s">
        <v>6787</v>
      </c>
      <c r="C948" s="24" t="s">
        <v>6890</v>
      </c>
      <c r="D948" s="59">
        <v>1.0</v>
      </c>
      <c r="E948" s="59">
        <v>1.0</v>
      </c>
      <c r="F948" s="59">
        <v>1.0</v>
      </c>
      <c r="G948" s="60">
        <v>1.0</v>
      </c>
      <c r="H948" s="60">
        <v>1.0</v>
      </c>
      <c r="I948" s="60">
        <v>0.0</v>
      </c>
      <c r="J948" s="59">
        <v>1.0</v>
      </c>
      <c r="K948" s="61">
        <f t="shared" si="1"/>
        <v>1</v>
      </c>
      <c r="L948" s="62">
        <f t="shared" si="2"/>
        <v>1</v>
      </c>
    </row>
    <row r="949">
      <c r="A949" s="58">
        <v>46054.0</v>
      </c>
      <c r="B949" s="24" t="s">
        <v>155</v>
      </c>
      <c r="C949" s="24" t="s">
        <v>6999</v>
      </c>
      <c r="D949" s="59">
        <v>1.0</v>
      </c>
      <c r="E949" s="59">
        <v>1.0</v>
      </c>
      <c r="F949" s="59">
        <v>1.0</v>
      </c>
      <c r="G949" s="60">
        <v>1.0</v>
      </c>
      <c r="H949" s="60">
        <v>1.0</v>
      </c>
      <c r="I949" s="60">
        <v>0.0</v>
      </c>
      <c r="J949" s="59">
        <v>1.0</v>
      </c>
      <c r="K949" s="61">
        <f t="shared" si="1"/>
        <v>1</v>
      </c>
      <c r="L949" s="62">
        <f t="shared" si="2"/>
        <v>1</v>
      </c>
    </row>
    <row r="950">
      <c r="A950" s="58">
        <v>46054.0</v>
      </c>
      <c r="B950" s="24" t="s">
        <v>6789</v>
      </c>
      <c r="C950" s="24" t="s">
        <v>6892</v>
      </c>
      <c r="D950" s="59">
        <v>1.0</v>
      </c>
      <c r="E950" s="59">
        <v>1.0</v>
      </c>
      <c r="F950" s="59">
        <v>1.0</v>
      </c>
      <c r="G950" s="60">
        <v>1.0</v>
      </c>
      <c r="H950" s="60">
        <v>0.0</v>
      </c>
      <c r="I950" s="60">
        <v>27.809033</v>
      </c>
      <c r="J950" s="59">
        <v>1.0</v>
      </c>
      <c r="K950" s="61">
        <f t="shared" si="1"/>
        <v>1</v>
      </c>
      <c r="L950" s="62">
        <f t="shared" si="2"/>
        <v>1</v>
      </c>
    </row>
    <row r="951">
      <c r="A951" s="58">
        <v>46054.0</v>
      </c>
      <c r="B951" s="24" t="s">
        <v>6787</v>
      </c>
      <c r="C951" s="24" t="s">
        <v>6840</v>
      </c>
      <c r="D951" s="59">
        <v>1.0</v>
      </c>
      <c r="E951" s="59">
        <v>1.0</v>
      </c>
      <c r="F951" s="59">
        <v>1.0</v>
      </c>
      <c r="G951" s="60">
        <v>1.0</v>
      </c>
      <c r="H951" s="60">
        <v>1.0</v>
      </c>
      <c r="I951" s="60">
        <v>0.0</v>
      </c>
      <c r="J951" s="59">
        <v>1.0</v>
      </c>
      <c r="K951" s="61">
        <f t="shared" si="1"/>
        <v>1</v>
      </c>
      <c r="L951" s="62">
        <f t="shared" si="2"/>
        <v>1</v>
      </c>
    </row>
    <row r="952">
      <c r="A952" s="58">
        <v>46054.0</v>
      </c>
      <c r="B952" s="24" t="s">
        <v>6789</v>
      </c>
      <c r="C952" s="24" t="s">
        <v>6840</v>
      </c>
      <c r="D952" s="59">
        <v>1.0</v>
      </c>
      <c r="E952" s="59">
        <v>1.0</v>
      </c>
      <c r="F952" s="59">
        <v>1.0</v>
      </c>
      <c r="G952" s="60">
        <v>1.0</v>
      </c>
      <c r="H952" s="60">
        <v>0.0</v>
      </c>
      <c r="I952" s="60">
        <v>306.6888</v>
      </c>
      <c r="J952" s="59">
        <v>1.0</v>
      </c>
      <c r="K952" s="61">
        <f t="shared" si="1"/>
        <v>1</v>
      </c>
      <c r="L952" s="62">
        <f t="shared" si="2"/>
        <v>1</v>
      </c>
    </row>
    <row r="953">
      <c r="A953" s="58">
        <v>46054.0</v>
      </c>
      <c r="B953" s="24" t="s">
        <v>155</v>
      </c>
      <c r="C953" s="24" t="s">
        <v>6840</v>
      </c>
      <c r="D953" s="59">
        <v>1.0</v>
      </c>
      <c r="E953" s="59">
        <v>1.0</v>
      </c>
      <c r="F953" s="59">
        <v>0.0</v>
      </c>
      <c r="G953" s="60">
        <v>1.0</v>
      </c>
      <c r="H953" s="60">
        <v>0.0</v>
      </c>
      <c r="I953" s="60">
        <v>4600.313736</v>
      </c>
      <c r="J953" s="59">
        <v>8.0</v>
      </c>
      <c r="K953" s="61">
        <f t="shared" si="1"/>
        <v>0</v>
      </c>
      <c r="L953" s="62">
        <f t="shared" si="2"/>
        <v>8</v>
      </c>
    </row>
    <row r="954">
      <c r="A954" s="58">
        <v>46054.0</v>
      </c>
      <c r="B954" s="24" t="s">
        <v>6789</v>
      </c>
      <c r="C954" s="24" t="s">
        <v>7032</v>
      </c>
      <c r="D954" s="59">
        <v>1.0</v>
      </c>
      <c r="E954" s="59">
        <v>1.0</v>
      </c>
      <c r="F954" s="59">
        <v>0.0</v>
      </c>
      <c r="G954" s="60">
        <v>1.0</v>
      </c>
      <c r="H954" s="60">
        <v>0.0</v>
      </c>
      <c r="I954" s="60">
        <v>4747.602172</v>
      </c>
      <c r="J954" s="59">
        <v>24.0</v>
      </c>
      <c r="K954" s="61">
        <f t="shared" si="1"/>
        <v>0</v>
      </c>
      <c r="L954" s="62">
        <f t="shared" si="2"/>
        <v>24</v>
      </c>
    </row>
    <row r="955">
      <c r="A955" s="58">
        <v>46054.0</v>
      </c>
      <c r="B955" s="24" t="s">
        <v>6789</v>
      </c>
      <c r="C955" s="24" t="s">
        <v>6896</v>
      </c>
      <c r="D955" s="59">
        <v>1.0</v>
      </c>
      <c r="E955" s="59">
        <v>1.0</v>
      </c>
      <c r="F955" s="59">
        <v>1.0</v>
      </c>
      <c r="G955" s="60">
        <v>1.0</v>
      </c>
      <c r="H955" s="60">
        <v>0.0</v>
      </c>
      <c r="I955" s="60">
        <v>12.655854</v>
      </c>
      <c r="J955" s="59">
        <v>1.0</v>
      </c>
      <c r="K955" s="61">
        <f t="shared" si="1"/>
        <v>1</v>
      </c>
      <c r="L955" s="62">
        <f t="shared" si="2"/>
        <v>1</v>
      </c>
    </row>
    <row r="956">
      <c r="A956" s="58">
        <v>46054.0</v>
      </c>
      <c r="B956" s="24" t="s">
        <v>6794</v>
      </c>
      <c r="C956" s="24" t="s">
        <v>6896</v>
      </c>
      <c r="D956" s="59">
        <v>1.0</v>
      </c>
      <c r="E956" s="59">
        <v>1.0</v>
      </c>
      <c r="F956" s="59">
        <v>0.0</v>
      </c>
      <c r="G956" s="60">
        <v>1.0</v>
      </c>
      <c r="H956" s="60">
        <v>0.0</v>
      </c>
      <c r="I956" s="60">
        <v>151.589208</v>
      </c>
      <c r="J956" s="59">
        <v>1.0</v>
      </c>
      <c r="K956" s="61">
        <f t="shared" si="1"/>
        <v>0</v>
      </c>
      <c r="L956" s="62">
        <f t="shared" si="2"/>
        <v>1</v>
      </c>
    </row>
    <row r="957">
      <c r="A957" s="58">
        <v>46054.0</v>
      </c>
      <c r="B957" s="24" t="s">
        <v>6787</v>
      </c>
      <c r="C957" s="24" t="s">
        <v>6897</v>
      </c>
      <c r="D957" s="59">
        <v>1.0</v>
      </c>
      <c r="E957" s="59">
        <v>1.0</v>
      </c>
      <c r="F957" s="59">
        <v>0.0</v>
      </c>
      <c r="G957" s="60">
        <v>1.0</v>
      </c>
      <c r="H957" s="60">
        <v>0.0</v>
      </c>
      <c r="I957" s="60">
        <v>1334.254151</v>
      </c>
      <c r="J957" s="59">
        <v>9.0</v>
      </c>
      <c r="K957" s="61">
        <f t="shared" si="1"/>
        <v>0</v>
      </c>
      <c r="L957" s="62">
        <f t="shared" si="2"/>
        <v>9</v>
      </c>
    </row>
    <row r="958">
      <c r="A958" s="58">
        <v>46054.0</v>
      </c>
      <c r="B958" s="24" t="s">
        <v>155</v>
      </c>
      <c r="C958" s="24" t="s">
        <v>6806</v>
      </c>
      <c r="D958" s="59">
        <v>1.0</v>
      </c>
      <c r="E958" s="59">
        <v>1.0</v>
      </c>
      <c r="F958" s="59">
        <v>1.0</v>
      </c>
      <c r="G958" s="60">
        <v>1.0</v>
      </c>
      <c r="H958" s="60">
        <v>1.0</v>
      </c>
      <c r="I958" s="60">
        <v>0.0</v>
      </c>
      <c r="J958" s="59">
        <v>1.0</v>
      </c>
      <c r="K958" s="61">
        <f t="shared" si="1"/>
        <v>1</v>
      </c>
      <c r="L958" s="62">
        <f t="shared" si="2"/>
        <v>1</v>
      </c>
    </row>
    <row r="959">
      <c r="A959" s="58">
        <v>46054.0</v>
      </c>
      <c r="B959" s="24" t="s">
        <v>6789</v>
      </c>
      <c r="C959" s="24" t="s">
        <v>6899</v>
      </c>
      <c r="D959" s="59">
        <v>1.0</v>
      </c>
      <c r="E959" s="59">
        <v>1.0</v>
      </c>
      <c r="F959" s="59">
        <v>0.0</v>
      </c>
      <c r="G959" s="60">
        <v>1.0</v>
      </c>
      <c r="H959" s="60">
        <v>0.0</v>
      </c>
      <c r="I959" s="60">
        <v>90.001599</v>
      </c>
      <c r="J959" s="59">
        <v>8.0</v>
      </c>
      <c r="K959" s="61">
        <f t="shared" si="1"/>
        <v>0</v>
      </c>
      <c r="L959" s="62">
        <f t="shared" si="2"/>
        <v>8</v>
      </c>
    </row>
    <row r="960">
      <c r="A960" s="58">
        <v>46054.0</v>
      </c>
      <c r="B960" s="24" t="s">
        <v>155</v>
      </c>
      <c r="C960" s="24" t="s">
        <v>6842</v>
      </c>
      <c r="D960" s="59">
        <v>1.0</v>
      </c>
      <c r="E960" s="59">
        <v>2.0</v>
      </c>
      <c r="F960" s="59">
        <v>1.0</v>
      </c>
      <c r="G960" s="60">
        <v>2.0</v>
      </c>
      <c r="H960" s="60">
        <v>1.0</v>
      </c>
      <c r="I960" s="60">
        <v>0.0</v>
      </c>
      <c r="J960" s="59">
        <v>2.0</v>
      </c>
      <c r="K960" s="61">
        <f t="shared" si="1"/>
        <v>0.5</v>
      </c>
      <c r="L960" s="62">
        <f t="shared" si="2"/>
        <v>1</v>
      </c>
    </row>
    <row r="961">
      <c r="A961" s="58">
        <v>46054.0</v>
      </c>
      <c r="B961" s="24" t="s">
        <v>6787</v>
      </c>
      <c r="C961" s="24" t="s">
        <v>7006</v>
      </c>
      <c r="D961" s="59">
        <v>1.0</v>
      </c>
      <c r="E961" s="59">
        <v>1.0</v>
      </c>
      <c r="F961" s="59">
        <v>1.0</v>
      </c>
      <c r="G961" s="60">
        <v>1.0</v>
      </c>
      <c r="H961" s="60">
        <v>1.0</v>
      </c>
      <c r="I961" s="60">
        <v>7.378132</v>
      </c>
      <c r="J961" s="59">
        <v>1.0</v>
      </c>
      <c r="K961" s="61">
        <f t="shared" si="1"/>
        <v>1</v>
      </c>
      <c r="L961" s="62">
        <f t="shared" si="2"/>
        <v>1</v>
      </c>
    </row>
    <row r="962">
      <c r="A962" s="58">
        <v>46054.0</v>
      </c>
      <c r="B962" s="24" t="s">
        <v>6787</v>
      </c>
      <c r="C962" s="24" t="s">
        <v>7077</v>
      </c>
      <c r="D962" s="59">
        <v>1.0</v>
      </c>
      <c r="E962" s="59">
        <v>1.0</v>
      </c>
      <c r="F962" s="59">
        <v>1.0</v>
      </c>
      <c r="G962" s="60">
        <v>1.0</v>
      </c>
      <c r="H962" s="60">
        <v>1.0</v>
      </c>
      <c r="I962" s="60">
        <v>6.617141</v>
      </c>
      <c r="J962" s="59">
        <v>1.0</v>
      </c>
      <c r="K962" s="61">
        <f t="shared" si="1"/>
        <v>1</v>
      </c>
      <c r="L962" s="62">
        <f t="shared" si="2"/>
        <v>1</v>
      </c>
    </row>
    <row r="963">
      <c r="A963" s="58">
        <v>46054.0</v>
      </c>
      <c r="B963" s="24" t="s">
        <v>6787</v>
      </c>
      <c r="C963" s="24" t="s">
        <v>6807</v>
      </c>
      <c r="D963" s="59">
        <v>1.0</v>
      </c>
      <c r="E963" s="59">
        <v>1.0</v>
      </c>
      <c r="F963" s="59">
        <v>1.0</v>
      </c>
      <c r="G963" s="60">
        <v>1.0</v>
      </c>
      <c r="H963" s="60">
        <v>1.0</v>
      </c>
      <c r="I963" s="60">
        <v>0.803974</v>
      </c>
      <c r="J963" s="59">
        <v>1.0</v>
      </c>
      <c r="K963" s="61">
        <f t="shared" si="1"/>
        <v>1</v>
      </c>
      <c r="L963" s="62">
        <f t="shared" si="2"/>
        <v>1</v>
      </c>
    </row>
    <row r="964">
      <c r="A964" s="58">
        <v>46054.0</v>
      </c>
      <c r="B964" s="24" t="s">
        <v>6787</v>
      </c>
      <c r="C964" s="24" t="s">
        <v>7078</v>
      </c>
      <c r="D964" s="59">
        <v>1.0</v>
      </c>
      <c r="E964" s="59">
        <v>1.0</v>
      </c>
      <c r="F964" s="59">
        <v>1.0</v>
      </c>
      <c r="G964" s="60">
        <v>1.0</v>
      </c>
      <c r="H964" s="60">
        <v>1.0</v>
      </c>
      <c r="I964" s="60">
        <v>0.0</v>
      </c>
      <c r="J964" s="59">
        <v>1.0</v>
      </c>
      <c r="K964" s="61">
        <f t="shared" si="1"/>
        <v>1</v>
      </c>
      <c r="L964" s="62">
        <f t="shared" si="2"/>
        <v>1</v>
      </c>
    </row>
    <row r="965">
      <c r="A965" s="58">
        <v>46054.0</v>
      </c>
      <c r="B965" s="24" t="s">
        <v>155</v>
      </c>
      <c r="C965" s="24" t="s">
        <v>6844</v>
      </c>
      <c r="D965" s="59">
        <v>1.0</v>
      </c>
      <c r="E965" s="59">
        <v>1.0</v>
      </c>
      <c r="F965" s="59">
        <v>1.0</v>
      </c>
      <c r="G965" s="60">
        <v>1.0</v>
      </c>
      <c r="H965" s="60">
        <v>1.0</v>
      </c>
      <c r="I965" s="60">
        <v>6.980667</v>
      </c>
      <c r="J965" s="59">
        <v>1.0</v>
      </c>
      <c r="K965" s="61">
        <f t="shared" si="1"/>
        <v>1</v>
      </c>
      <c r="L965" s="62">
        <f t="shared" si="2"/>
        <v>1</v>
      </c>
    </row>
    <row r="966">
      <c r="A966" s="58">
        <v>46054.0</v>
      </c>
      <c r="B966" s="24" t="s">
        <v>6787</v>
      </c>
      <c r="C966" s="24" t="s">
        <v>7079</v>
      </c>
      <c r="D966" s="59">
        <v>1.0</v>
      </c>
      <c r="E966" s="59">
        <v>1.0</v>
      </c>
      <c r="F966" s="59">
        <v>1.0</v>
      </c>
      <c r="G966" s="60">
        <v>1.0</v>
      </c>
      <c r="H966" s="60">
        <v>1.0</v>
      </c>
      <c r="I966" s="60">
        <v>0.0</v>
      </c>
      <c r="J966" s="59">
        <v>1.0</v>
      </c>
      <c r="K966" s="61">
        <f t="shared" si="1"/>
        <v>1</v>
      </c>
      <c r="L966" s="62">
        <f t="shared" si="2"/>
        <v>1</v>
      </c>
    </row>
    <row r="967">
      <c r="A967" s="58">
        <v>46054.0</v>
      </c>
      <c r="B967" s="24" t="s">
        <v>6787</v>
      </c>
      <c r="C967" s="24" t="s">
        <v>6902</v>
      </c>
      <c r="D967" s="59">
        <v>1.0</v>
      </c>
      <c r="E967" s="59">
        <v>1.0</v>
      </c>
      <c r="F967" s="59">
        <v>1.0</v>
      </c>
      <c r="G967" s="60">
        <v>1.0</v>
      </c>
      <c r="H967" s="60">
        <v>1.0</v>
      </c>
      <c r="I967" s="60">
        <v>8.286567</v>
      </c>
      <c r="J967" s="59">
        <v>1.0</v>
      </c>
      <c r="K967" s="61">
        <f t="shared" si="1"/>
        <v>1</v>
      </c>
      <c r="L967" s="62">
        <f t="shared" si="2"/>
        <v>1</v>
      </c>
    </row>
    <row r="968">
      <c r="A968" s="58">
        <v>46054.0</v>
      </c>
      <c r="B968" s="24" t="s">
        <v>6790</v>
      </c>
      <c r="C968" s="24" t="s">
        <v>6903</v>
      </c>
      <c r="D968" s="59">
        <v>1.0</v>
      </c>
      <c r="E968" s="59">
        <v>1.0</v>
      </c>
      <c r="F968" s="59">
        <v>1.0</v>
      </c>
      <c r="G968" s="60">
        <v>1.0</v>
      </c>
      <c r="H968" s="60">
        <v>0.0</v>
      </c>
      <c r="I968" s="60">
        <v>1689.632525</v>
      </c>
      <c r="J968" s="59">
        <v>9.0</v>
      </c>
      <c r="K968" s="61">
        <f t="shared" si="1"/>
        <v>1</v>
      </c>
      <c r="L968" s="62">
        <f t="shared" si="2"/>
        <v>9</v>
      </c>
    </row>
    <row r="969">
      <c r="A969" s="58">
        <v>46054.0</v>
      </c>
      <c r="B969" s="24" t="s">
        <v>155</v>
      </c>
      <c r="C969" s="24" t="s">
        <v>6796</v>
      </c>
      <c r="D969" s="59">
        <v>1.0</v>
      </c>
      <c r="E969" s="59">
        <v>1.0</v>
      </c>
      <c r="F969" s="59">
        <v>1.0</v>
      </c>
      <c r="G969" s="60">
        <v>1.0</v>
      </c>
      <c r="H969" s="60">
        <v>1.0</v>
      </c>
      <c r="I969" s="60">
        <v>0.0</v>
      </c>
      <c r="J969" s="59">
        <v>1.0</v>
      </c>
      <c r="K969" s="61">
        <f t="shared" si="1"/>
        <v>1</v>
      </c>
      <c r="L969" s="62">
        <f t="shared" si="2"/>
        <v>1</v>
      </c>
    </row>
    <row r="970">
      <c r="A970" s="58">
        <v>46054.0</v>
      </c>
      <c r="B970" s="24" t="s">
        <v>6789</v>
      </c>
      <c r="C970" s="24" t="s">
        <v>7080</v>
      </c>
      <c r="D970" s="59">
        <v>1.0</v>
      </c>
      <c r="E970" s="59">
        <v>1.0</v>
      </c>
      <c r="F970" s="59">
        <v>0.0</v>
      </c>
      <c r="G970" s="60">
        <v>1.0</v>
      </c>
      <c r="H970" s="60">
        <v>0.0</v>
      </c>
      <c r="I970" s="60">
        <v>1625.974947</v>
      </c>
      <c r="J970" s="59">
        <v>11.0</v>
      </c>
      <c r="K970" s="61">
        <f t="shared" si="1"/>
        <v>0</v>
      </c>
      <c r="L970" s="62">
        <f t="shared" si="2"/>
        <v>11</v>
      </c>
    </row>
    <row r="971">
      <c r="A971" s="58">
        <v>46054.0</v>
      </c>
      <c r="B971" s="24" t="s">
        <v>6789</v>
      </c>
      <c r="C971" s="24" t="s">
        <v>6904</v>
      </c>
      <c r="D971" s="59">
        <v>1.0</v>
      </c>
      <c r="E971" s="59">
        <v>1.0</v>
      </c>
      <c r="F971" s="59">
        <v>0.0</v>
      </c>
      <c r="G971" s="60">
        <v>1.0</v>
      </c>
      <c r="H971" s="60">
        <v>0.0</v>
      </c>
      <c r="I971" s="60">
        <v>292.623768</v>
      </c>
      <c r="J971" s="59">
        <v>4.0</v>
      </c>
      <c r="K971" s="61">
        <f t="shared" si="1"/>
        <v>0</v>
      </c>
      <c r="L971" s="62">
        <f t="shared" si="2"/>
        <v>4</v>
      </c>
    </row>
    <row r="972">
      <c r="A972" s="58">
        <v>46054.0</v>
      </c>
      <c r="B972" s="24" t="s">
        <v>6787</v>
      </c>
      <c r="C972" s="24" t="s">
        <v>6905</v>
      </c>
      <c r="D972" s="59">
        <v>1.0</v>
      </c>
      <c r="E972" s="59">
        <v>1.0</v>
      </c>
      <c r="F972" s="59">
        <v>1.0</v>
      </c>
      <c r="G972" s="60">
        <v>1.0</v>
      </c>
      <c r="H972" s="60">
        <v>1.0</v>
      </c>
      <c r="I972" s="60">
        <v>0.0</v>
      </c>
      <c r="J972" s="59">
        <v>1.0</v>
      </c>
      <c r="K972" s="61">
        <f t="shared" si="1"/>
        <v>1</v>
      </c>
      <c r="L972" s="62">
        <f t="shared" si="2"/>
        <v>1</v>
      </c>
    </row>
    <row r="973">
      <c r="A973" s="58">
        <v>46054.0</v>
      </c>
      <c r="B973" s="24" t="s">
        <v>6787</v>
      </c>
      <c r="C973" s="24" t="s">
        <v>7081</v>
      </c>
      <c r="D973" s="59">
        <v>1.0</v>
      </c>
      <c r="E973" s="59">
        <v>1.0</v>
      </c>
      <c r="F973" s="59">
        <v>1.0</v>
      </c>
      <c r="G973" s="60">
        <v>1.0</v>
      </c>
      <c r="H973" s="60">
        <v>1.0</v>
      </c>
      <c r="I973" s="60">
        <v>0.0</v>
      </c>
      <c r="J973" s="59">
        <v>1.0</v>
      </c>
      <c r="K973" s="61">
        <f t="shared" si="1"/>
        <v>1</v>
      </c>
      <c r="L973" s="62">
        <f t="shared" si="2"/>
        <v>1</v>
      </c>
    </row>
    <row r="974">
      <c r="A974" s="58">
        <v>46054.0</v>
      </c>
      <c r="B974" s="24" t="s">
        <v>6787</v>
      </c>
      <c r="C974" s="24" t="s">
        <v>7082</v>
      </c>
      <c r="D974" s="59">
        <v>1.0</v>
      </c>
      <c r="E974" s="59">
        <v>1.0</v>
      </c>
      <c r="F974" s="59">
        <v>1.0</v>
      </c>
      <c r="G974" s="60">
        <v>1.0</v>
      </c>
      <c r="H974" s="60">
        <v>1.0</v>
      </c>
      <c r="I974" s="60">
        <v>0.0</v>
      </c>
      <c r="J974" s="59">
        <v>1.0</v>
      </c>
      <c r="K974" s="61">
        <f t="shared" si="1"/>
        <v>1</v>
      </c>
      <c r="L974" s="62">
        <f t="shared" si="2"/>
        <v>1</v>
      </c>
    </row>
    <row r="975">
      <c r="A975" s="58">
        <v>46054.0</v>
      </c>
      <c r="B975" s="24" t="s">
        <v>6789</v>
      </c>
      <c r="C975" s="24" t="s">
        <v>7082</v>
      </c>
      <c r="D975" s="59">
        <v>1.0</v>
      </c>
      <c r="E975" s="59">
        <v>1.0</v>
      </c>
      <c r="F975" s="59">
        <v>1.0</v>
      </c>
      <c r="G975" s="60">
        <v>1.0</v>
      </c>
      <c r="H975" s="60">
        <v>1.0</v>
      </c>
      <c r="I975" s="60">
        <v>2.675679</v>
      </c>
      <c r="J975" s="59">
        <v>1.0</v>
      </c>
      <c r="K975" s="61">
        <f t="shared" si="1"/>
        <v>1</v>
      </c>
      <c r="L975" s="62">
        <f t="shared" si="2"/>
        <v>1</v>
      </c>
    </row>
    <row r="976">
      <c r="A976" s="58">
        <v>46054.0</v>
      </c>
      <c r="B976" s="24" t="s">
        <v>6787</v>
      </c>
      <c r="C976" s="24" t="s">
        <v>7083</v>
      </c>
      <c r="D976" s="59">
        <v>1.0</v>
      </c>
      <c r="E976" s="59">
        <v>1.0</v>
      </c>
      <c r="F976" s="59">
        <v>1.0</v>
      </c>
      <c r="G976" s="60">
        <v>1.0</v>
      </c>
      <c r="H976" s="60">
        <v>1.0</v>
      </c>
      <c r="I976" s="60">
        <v>2.759953</v>
      </c>
      <c r="J976" s="59">
        <v>1.0</v>
      </c>
      <c r="K976" s="61">
        <f t="shared" si="1"/>
        <v>1</v>
      </c>
      <c r="L976" s="62">
        <f t="shared" si="2"/>
        <v>1</v>
      </c>
    </row>
    <row r="977">
      <c r="A977" s="58">
        <v>46054.0</v>
      </c>
      <c r="B977" s="24" t="s">
        <v>155</v>
      </c>
      <c r="C977" s="24" t="s">
        <v>7083</v>
      </c>
      <c r="D977" s="59">
        <v>1.0</v>
      </c>
      <c r="E977" s="59">
        <v>1.0</v>
      </c>
      <c r="F977" s="59">
        <v>0.0</v>
      </c>
      <c r="G977" s="60">
        <v>1.0</v>
      </c>
      <c r="H977" s="60">
        <v>0.0</v>
      </c>
      <c r="I977" s="60">
        <v>1649.217156</v>
      </c>
      <c r="J977" s="59">
        <v>13.0</v>
      </c>
      <c r="K977" s="61">
        <f t="shared" si="1"/>
        <v>0</v>
      </c>
      <c r="L977" s="62">
        <f t="shared" si="2"/>
        <v>13</v>
      </c>
    </row>
    <row r="978">
      <c r="A978" s="58">
        <v>46054.0</v>
      </c>
      <c r="B978" s="24" t="s">
        <v>6791</v>
      </c>
      <c r="C978" s="24" t="s">
        <v>7084</v>
      </c>
      <c r="D978" s="59">
        <v>1.0</v>
      </c>
      <c r="E978" s="59">
        <v>1.0</v>
      </c>
      <c r="F978" s="59">
        <v>1.0</v>
      </c>
      <c r="G978" s="60">
        <v>1.0</v>
      </c>
      <c r="H978" s="60">
        <v>0.0</v>
      </c>
      <c r="I978" s="60">
        <v>22.231459</v>
      </c>
      <c r="J978" s="59">
        <v>1.0</v>
      </c>
      <c r="K978" s="61">
        <f t="shared" si="1"/>
        <v>1</v>
      </c>
      <c r="L978" s="62">
        <f t="shared" si="2"/>
        <v>1</v>
      </c>
    </row>
    <row r="979">
      <c r="A979" s="58">
        <v>46054.0</v>
      </c>
      <c r="B979" s="24" t="s">
        <v>155</v>
      </c>
      <c r="C979" s="24" t="s">
        <v>7042</v>
      </c>
      <c r="D979" s="59">
        <v>1.0</v>
      </c>
      <c r="E979" s="59">
        <v>1.0</v>
      </c>
      <c r="F979" s="59">
        <v>0.0</v>
      </c>
      <c r="G979" s="60">
        <v>1.0</v>
      </c>
      <c r="H979" s="60">
        <v>1.0</v>
      </c>
      <c r="I979" s="60">
        <v>1.380093</v>
      </c>
      <c r="J979" s="59">
        <v>1.0</v>
      </c>
      <c r="K979" s="61">
        <f t="shared" si="1"/>
        <v>0</v>
      </c>
      <c r="L979" s="62">
        <f t="shared" si="2"/>
        <v>1</v>
      </c>
    </row>
    <row r="980">
      <c r="A980" s="58">
        <v>46054.0</v>
      </c>
      <c r="B980" s="24" t="s">
        <v>6794</v>
      </c>
      <c r="C980" s="24" t="s">
        <v>6845</v>
      </c>
      <c r="D980" s="59">
        <v>1.0</v>
      </c>
      <c r="E980" s="59">
        <v>1.0</v>
      </c>
      <c r="F980" s="59">
        <v>0.0</v>
      </c>
      <c r="G980" s="60">
        <v>1.0</v>
      </c>
      <c r="H980" s="60">
        <v>0.0</v>
      </c>
      <c r="I980" s="60">
        <v>750.012521</v>
      </c>
      <c r="J980" s="59">
        <v>9.0</v>
      </c>
      <c r="K980" s="61">
        <f t="shared" si="1"/>
        <v>0</v>
      </c>
      <c r="L980" s="62">
        <f t="shared" si="2"/>
        <v>9</v>
      </c>
    </row>
    <row r="981">
      <c r="A981" s="58">
        <v>46054.0</v>
      </c>
      <c r="B981" s="24" t="s">
        <v>155</v>
      </c>
      <c r="C981" s="24" t="s">
        <v>6824</v>
      </c>
      <c r="D981" s="59">
        <v>1.0</v>
      </c>
      <c r="E981" s="59">
        <v>1.0</v>
      </c>
      <c r="F981" s="59">
        <v>1.0</v>
      </c>
      <c r="G981" s="60">
        <v>1.0</v>
      </c>
      <c r="H981" s="60">
        <v>0.0</v>
      </c>
      <c r="I981" s="60">
        <v>85.604143</v>
      </c>
      <c r="J981" s="59">
        <v>1.0</v>
      </c>
      <c r="K981" s="61">
        <f t="shared" si="1"/>
        <v>1</v>
      </c>
      <c r="L981" s="62">
        <f t="shared" si="2"/>
        <v>1</v>
      </c>
    </row>
    <row r="982">
      <c r="A982" s="58">
        <v>46054.0</v>
      </c>
      <c r="B982" s="24" t="s">
        <v>6794</v>
      </c>
      <c r="C982" s="24" t="s">
        <v>6846</v>
      </c>
      <c r="D982" s="59">
        <v>1.0</v>
      </c>
      <c r="E982" s="59">
        <v>1.0</v>
      </c>
      <c r="F982" s="59">
        <v>0.0</v>
      </c>
      <c r="G982" s="60">
        <v>1.0</v>
      </c>
      <c r="H982" s="60">
        <v>0.0</v>
      </c>
      <c r="I982" s="60">
        <v>128.950083</v>
      </c>
      <c r="J982" s="59">
        <v>5.0</v>
      </c>
      <c r="K982" s="61">
        <f t="shared" si="1"/>
        <v>0</v>
      </c>
      <c r="L982" s="62">
        <f t="shared" si="2"/>
        <v>5</v>
      </c>
    </row>
    <row r="983">
      <c r="A983" s="58">
        <v>46054.0</v>
      </c>
      <c r="B983" s="24" t="s">
        <v>6789</v>
      </c>
      <c r="C983" s="24" t="s">
        <v>6906</v>
      </c>
      <c r="D983" s="59">
        <v>1.0</v>
      </c>
      <c r="E983" s="59">
        <v>1.0</v>
      </c>
      <c r="F983" s="59">
        <v>1.0</v>
      </c>
      <c r="G983" s="60">
        <v>1.0</v>
      </c>
      <c r="H983" s="60">
        <v>1.0</v>
      </c>
      <c r="I983" s="60">
        <v>2.592046</v>
      </c>
      <c r="J983" s="59">
        <v>1.0</v>
      </c>
      <c r="K983" s="61">
        <f t="shared" si="1"/>
        <v>1</v>
      </c>
      <c r="L983" s="62">
        <f t="shared" si="2"/>
        <v>1</v>
      </c>
    </row>
    <row r="984">
      <c r="A984" s="58">
        <v>46054.0</v>
      </c>
      <c r="B984" s="24" t="s">
        <v>155</v>
      </c>
      <c r="C984" s="24" t="s">
        <v>6906</v>
      </c>
      <c r="D984" s="59">
        <v>1.0</v>
      </c>
      <c r="E984" s="59">
        <v>1.0</v>
      </c>
      <c r="F984" s="59">
        <v>1.0</v>
      </c>
      <c r="G984" s="60">
        <v>1.0</v>
      </c>
      <c r="H984" s="60">
        <v>0.0</v>
      </c>
      <c r="I984" s="60">
        <v>103.089785</v>
      </c>
      <c r="J984" s="59">
        <v>3.0</v>
      </c>
      <c r="K984" s="61">
        <f t="shared" si="1"/>
        <v>1</v>
      </c>
      <c r="L984" s="62">
        <f t="shared" si="2"/>
        <v>3</v>
      </c>
    </row>
    <row r="985">
      <c r="A985" s="58">
        <v>46054.0</v>
      </c>
      <c r="B985" s="24" t="s">
        <v>7030</v>
      </c>
      <c r="C985" s="24" t="s">
        <v>6848</v>
      </c>
      <c r="D985" s="59">
        <v>1.0</v>
      </c>
      <c r="E985" s="59">
        <v>1.0</v>
      </c>
      <c r="F985" s="59">
        <v>0.0</v>
      </c>
      <c r="G985" s="60">
        <v>1.0</v>
      </c>
      <c r="H985" s="60">
        <v>0.0</v>
      </c>
      <c r="I985" s="60">
        <v>150.975691</v>
      </c>
      <c r="J985" s="59">
        <v>1.0</v>
      </c>
      <c r="K985" s="61">
        <f t="shared" si="1"/>
        <v>0</v>
      </c>
      <c r="L985" s="62">
        <f t="shared" si="2"/>
        <v>1</v>
      </c>
    </row>
    <row r="986">
      <c r="A986" s="58">
        <v>46054.0</v>
      </c>
      <c r="B986" s="24" t="s">
        <v>155</v>
      </c>
      <c r="C986" s="24" t="s">
        <v>7085</v>
      </c>
      <c r="D986" s="59">
        <v>1.0</v>
      </c>
      <c r="E986" s="59">
        <v>1.0</v>
      </c>
      <c r="F986" s="59">
        <v>0.0</v>
      </c>
      <c r="G986" s="60">
        <v>1.0</v>
      </c>
      <c r="H986" s="60">
        <v>0.0</v>
      </c>
      <c r="I986" s="60">
        <v>3217.508601</v>
      </c>
      <c r="J986" s="59">
        <v>11.0</v>
      </c>
      <c r="K986" s="61">
        <f t="shared" si="1"/>
        <v>0</v>
      </c>
      <c r="L986" s="62">
        <f t="shared" si="2"/>
        <v>11</v>
      </c>
    </row>
    <row r="987">
      <c r="A987" s="58">
        <v>46054.0</v>
      </c>
      <c r="B987" s="24" t="s">
        <v>6789</v>
      </c>
      <c r="C987" s="24" t="s">
        <v>6947</v>
      </c>
      <c r="D987" s="59">
        <v>1.0</v>
      </c>
      <c r="E987" s="59">
        <v>1.0</v>
      </c>
      <c r="F987" s="59">
        <v>1.0</v>
      </c>
      <c r="G987" s="60">
        <v>1.0</v>
      </c>
      <c r="H987" s="60">
        <v>0.0</v>
      </c>
      <c r="I987" s="60">
        <v>1497.212215</v>
      </c>
      <c r="J987" s="59">
        <v>2.0</v>
      </c>
      <c r="K987" s="61">
        <f t="shared" si="1"/>
        <v>1</v>
      </c>
      <c r="L987" s="62">
        <f t="shared" si="2"/>
        <v>2</v>
      </c>
    </row>
    <row r="988">
      <c r="A988" s="58">
        <v>46054.0</v>
      </c>
      <c r="B988" s="24" t="s">
        <v>155</v>
      </c>
      <c r="C988" s="24" t="s">
        <v>6947</v>
      </c>
      <c r="D988" s="59">
        <v>1.0</v>
      </c>
      <c r="E988" s="59">
        <v>1.0</v>
      </c>
      <c r="F988" s="59">
        <v>1.0</v>
      </c>
      <c r="G988" s="60">
        <v>1.0</v>
      </c>
      <c r="H988" s="60">
        <v>0.0</v>
      </c>
      <c r="I988" s="60">
        <v>369.465029</v>
      </c>
      <c r="J988" s="59">
        <v>4.0</v>
      </c>
      <c r="K988" s="61">
        <f t="shared" si="1"/>
        <v>1</v>
      </c>
      <c r="L988" s="62">
        <f t="shared" si="2"/>
        <v>4</v>
      </c>
    </row>
    <row r="989">
      <c r="A989" s="58">
        <v>46054.0</v>
      </c>
      <c r="B989" s="24" t="s">
        <v>6787</v>
      </c>
      <c r="C989" s="24" t="s">
        <v>7086</v>
      </c>
      <c r="D989" s="59">
        <v>1.0</v>
      </c>
      <c r="E989" s="59">
        <v>1.0</v>
      </c>
      <c r="F989" s="59">
        <v>1.0</v>
      </c>
      <c r="G989" s="60">
        <v>1.0</v>
      </c>
      <c r="H989" s="60">
        <v>1.0</v>
      </c>
      <c r="I989" s="60">
        <v>0.0</v>
      </c>
      <c r="J989" s="59">
        <v>1.0</v>
      </c>
      <c r="K989" s="61">
        <f t="shared" si="1"/>
        <v>1</v>
      </c>
      <c r="L989" s="62">
        <f t="shared" si="2"/>
        <v>1</v>
      </c>
    </row>
    <row r="990">
      <c r="A990" s="58">
        <v>46054.0</v>
      </c>
      <c r="B990" s="24" t="s">
        <v>155</v>
      </c>
      <c r="C990" s="24" t="s">
        <v>6907</v>
      </c>
      <c r="D990" s="59">
        <v>1.0</v>
      </c>
      <c r="E990" s="59">
        <v>1.0</v>
      </c>
      <c r="F990" s="59">
        <v>1.0</v>
      </c>
      <c r="G990" s="60">
        <v>1.0</v>
      </c>
      <c r="H990" s="60">
        <v>1.0</v>
      </c>
      <c r="I990" s="60">
        <v>5.876279</v>
      </c>
      <c r="J990" s="59">
        <v>1.0</v>
      </c>
      <c r="K990" s="61">
        <f t="shared" si="1"/>
        <v>1</v>
      </c>
      <c r="L990" s="62">
        <f t="shared" si="2"/>
        <v>1</v>
      </c>
    </row>
    <row r="991">
      <c r="A991" s="58">
        <v>46054.0</v>
      </c>
      <c r="B991" s="24" t="s">
        <v>6787</v>
      </c>
      <c r="C991" s="24" t="s">
        <v>6808</v>
      </c>
      <c r="D991" s="59">
        <v>1.0</v>
      </c>
      <c r="E991" s="59">
        <v>1.0</v>
      </c>
      <c r="F991" s="59">
        <v>0.0</v>
      </c>
      <c r="G991" s="60">
        <v>1.0</v>
      </c>
      <c r="H991" s="60">
        <v>0.0</v>
      </c>
      <c r="I991" s="60">
        <v>342.612759</v>
      </c>
      <c r="J991" s="59">
        <v>9.0</v>
      </c>
      <c r="K991" s="61">
        <f t="shared" si="1"/>
        <v>0</v>
      </c>
      <c r="L991" s="62">
        <f t="shared" si="2"/>
        <v>9</v>
      </c>
    </row>
    <row r="992">
      <c r="A992" s="58">
        <v>46054.0</v>
      </c>
      <c r="B992" s="24" t="s">
        <v>6787</v>
      </c>
      <c r="C992" s="24" t="s">
        <v>7087</v>
      </c>
      <c r="D992" s="59">
        <v>1.0</v>
      </c>
      <c r="E992" s="59">
        <v>1.0</v>
      </c>
      <c r="F992" s="59">
        <v>1.0</v>
      </c>
      <c r="G992" s="60">
        <v>1.0</v>
      </c>
      <c r="H992" s="60">
        <v>1.0</v>
      </c>
      <c r="I992" s="60">
        <v>0.0</v>
      </c>
      <c r="J992" s="59">
        <v>1.0</v>
      </c>
      <c r="K992" s="61">
        <f t="shared" si="1"/>
        <v>1</v>
      </c>
      <c r="L992" s="62">
        <f t="shared" si="2"/>
        <v>1</v>
      </c>
    </row>
    <row r="993">
      <c r="A993" s="58">
        <v>46054.0</v>
      </c>
      <c r="B993" s="24" t="s">
        <v>6789</v>
      </c>
      <c r="C993" s="24" t="s">
        <v>7035</v>
      </c>
      <c r="D993" s="59">
        <v>1.0</v>
      </c>
      <c r="E993" s="59">
        <v>1.0</v>
      </c>
      <c r="F993" s="59">
        <v>1.0</v>
      </c>
      <c r="G993" s="60">
        <v>1.0</v>
      </c>
      <c r="H993" s="60">
        <v>0.0</v>
      </c>
      <c r="I993" s="60">
        <v>70.854942</v>
      </c>
      <c r="J993" s="59">
        <v>3.0</v>
      </c>
      <c r="K993" s="61">
        <f t="shared" si="1"/>
        <v>1</v>
      </c>
      <c r="L993" s="62">
        <f t="shared" si="2"/>
        <v>3</v>
      </c>
    </row>
    <row r="994">
      <c r="A994" s="58">
        <v>46054.0</v>
      </c>
      <c r="B994" s="24" t="s">
        <v>6787</v>
      </c>
      <c r="C994" s="24" t="s">
        <v>7088</v>
      </c>
      <c r="D994" s="59">
        <v>1.0</v>
      </c>
      <c r="E994" s="59">
        <v>1.0</v>
      </c>
      <c r="F994" s="59">
        <v>1.0</v>
      </c>
      <c r="G994" s="60">
        <v>1.0</v>
      </c>
      <c r="H994" s="60">
        <v>1.0</v>
      </c>
      <c r="I994" s="60">
        <v>0.0</v>
      </c>
      <c r="J994" s="59">
        <v>1.0</v>
      </c>
      <c r="K994" s="61">
        <f t="shared" si="1"/>
        <v>1</v>
      </c>
      <c r="L994" s="62">
        <f t="shared" si="2"/>
        <v>1</v>
      </c>
    </row>
    <row r="995">
      <c r="A995" s="58">
        <v>46054.0</v>
      </c>
      <c r="B995" s="24" t="s">
        <v>6787</v>
      </c>
      <c r="C995" s="24" t="s">
        <v>7089</v>
      </c>
      <c r="D995" s="59">
        <v>1.0</v>
      </c>
      <c r="E995" s="59">
        <v>1.0</v>
      </c>
      <c r="F995" s="59">
        <v>1.0</v>
      </c>
      <c r="G995" s="60">
        <v>1.0</v>
      </c>
      <c r="H995" s="60">
        <v>1.0</v>
      </c>
      <c r="I995" s="60">
        <v>0.0</v>
      </c>
      <c r="J995" s="59">
        <v>1.0</v>
      </c>
      <c r="K995" s="61">
        <f t="shared" si="1"/>
        <v>1</v>
      </c>
      <c r="L995" s="62">
        <f t="shared" si="2"/>
        <v>1</v>
      </c>
    </row>
    <row r="996">
      <c r="A996" s="58">
        <v>46054.0</v>
      </c>
      <c r="B996" s="24" t="s">
        <v>6787</v>
      </c>
      <c r="C996" s="24" t="s">
        <v>7090</v>
      </c>
      <c r="D996" s="59">
        <v>1.0</v>
      </c>
      <c r="E996" s="59">
        <v>1.0</v>
      </c>
      <c r="F996" s="59">
        <v>1.0</v>
      </c>
      <c r="G996" s="60">
        <v>1.0</v>
      </c>
      <c r="H996" s="60">
        <v>1.0</v>
      </c>
      <c r="I996" s="60">
        <v>0.0</v>
      </c>
      <c r="J996" s="59">
        <v>1.0</v>
      </c>
      <c r="K996" s="61">
        <f t="shared" si="1"/>
        <v>1</v>
      </c>
      <c r="L996" s="62">
        <f t="shared" si="2"/>
        <v>1</v>
      </c>
    </row>
    <row r="997">
      <c r="A997" s="58">
        <v>46054.0</v>
      </c>
      <c r="B997" s="24" t="s">
        <v>6789</v>
      </c>
      <c r="C997" s="24" t="s">
        <v>7090</v>
      </c>
      <c r="D997" s="59">
        <v>1.0</v>
      </c>
      <c r="E997" s="59">
        <v>1.0</v>
      </c>
      <c r="F997" s="59">
        <v>1.0</v>
      </c>
      <c r="G997" s="60">
        <v>1.0</v>
      </c>
      <c r="H997" s="60">
        <v>0.0</v>
      </c>
      <c r="I997" s="60">
        <v>210.801105</v>
      </c>
      <c r="J997" s="59">
        <v>1.0</v>
      </c>
      <c r="K997" s="61">
        <f t="shared" si="1"/>
        <v>1</v>
      </c>
      <c r="L997" s="62">
        <f t="shared" si="2"/>
        <v>1</v>
      </c>
    </row>
    <row r="998">
      <c r="A998" s="58">
        <v>46054.0</v>
      </c>
      <c r="B998" s="24" t="s">
        <v>6789</v>
      </c>
      <c r="C998" s="24" t="s">
        <v>7091</v>
      </c>
      <c r="D998" s="59">
        <v>1.0</v>
      </c>
      <c r="E998" s="59">
        <v>1.0</v>
      </c>
      <c r="F998" s="59">
        <v>1.0</v>
      </c>
      <c r="G998" s="60">
        <v>1.0</v>
      </c>
      <c r="H998" s="60">
        <v>0.0</v>
      </c>
      <c r="I998" s="60">
        <v>353.752621</v>
      </c>
      <c r="J998" s="59">
        <v>8.0</v>
      </c>
      <c r="K998" s="61">
        <f t="shared" si="1"/>
        <v>1</v>
      </c>
      <c r="L998" s="62">
        <f t="shared" si="2"/>
        <v>8</v>
      </c>
    </row>
    <row r="999">
      <c r="A999" s="58">
        <v>46054.0</v>
      </c>
      <c r="B999" s="24" t="s">
        <v>6789</v>
      </c>
      <c r="C999" s="24" t="s">
        <v>7092</v>
      </c>
      <c r="D999" s="59">
        <v>1.0</v>
      </c>
      <c r="E999" s="59">
        <v>1.0</v>
      </c>
      <c r="F999" s="59">
        <v>1.0</v>
      </c>
      <c r="G999" s="60">
        <v>1.0</v>
      </c>
      <c r="H999" s="60">
        <v>0.0</v>
      </c>
      <c r="I999" s="60">
        <v>27.482459</v>
      </c>
      <c r="J999" s="59">
        <v>1.0</v>
      </c>
      <c r="K999" s="61">
        <f t="shared" si="1"/>
        <v>1</v>
      </c>
      <c r="L999" s="62">
        <f t="shared" si="2"/>
        <v>1</v>
      </c>
    </row>
    <row r="1000">
      <c r="A1000" s="58">
        <v>46054.0</v>
      </c>
      <c r="B1000" s="24" t="s">
        <v>6787</v>
      </c>
      <c r="C1000" s="24" t="s">
        <v>7093</v>
      </c>
      <c r="D1000" s="59">
        <v>1.0</v>
      </c>
      <c r="E1000" s="59">
        <v>1.0</v>
      </c>
      <c r="F1000" s="59">
        <v>1.0</v>
      </c>
      <c r="G1000" s="60">
        <v>1.0</v>
      </c>
      <c r="H1000" s="60">
        <v>1.0</v>
      </c>
      <c r="I1000" s="60">
        <v>0.0</v>
      </c>
      <c r="J1000" s="59">
        <v>1.0</v>
      </c>
      <c r="K1000" s="61">
        <f t="shared" si="1"/>
        <v>1</v>
      </c>
      <c r="L1000" s="62">
        <f t="shared" si="2"/>
        <v>1</v>
      </c>
    </row>
    <row r="1001">
      <c r="A1001" s="58">
        <v>46054.0</v>
      </c>
      <c r="B1001" s="24" t="s">
        <v>6787</v>
      </c>
      <c r="C1001" s="24" t="s">
        <v>7094</v>
      </c>
      <c r="D1001" s="59">
        <v>1.0</v>
      </c>
      <c r="E1001" s="59">
        <v>1.0</v>
      </c>
      <c r="F1001" s="59">
        <v>1.0</v>
      </c>
      <c r="G1001" s="60">
        <v>1.0</v>
      </c>
      <c r="H1001" s="60">
        <v>1.0</v>
      </c>
      <c r="I1001" s="60">
        <v>0.0</v>
      </c>
      <c r="J1001" s="59">
        <v>1.0</v>
      </c>
      <c r="K1001" s="61">
        <f t="shared" si="1"/>
        <v>1</v>
      </c>
      <c r="L1001" s="62">
        <f t="shared" si="2"/>
        <v>1</v>
      </c>
    </row>
    <row r="1002">
      <c r="A1002" s="58">
        <v>46054.0</v>
      </c>
      <c r="B1002" s="24" t="s">
        <v>6789</v>
      </c>
      <c r="C1002" s="24" t="s">
        <v>7094</v>
      </c>
      <c r="D1002" s="59">
        <v>1.0</v>
      </c>
      <c r="E1002" s="59">
        <v>1.0</v>
      </c>
      <c r="F1002" s="59">
        <v>1.0</v>
      </c>
      <c r="G1002" s="60">
        <v>1.0</v>
      </c>
      <c r="H1002" s="60">
        <v>1.0</v>
      </c>
      <c r="I1002" s="60">
        <v>2.928734</v>
      </c>
      <c r="J1002" s="59">
        <v>1.0</v>
      </c>
      <c r="K1002" s="61">
        <f t="shared" si="1"/>
        <v>1</v>
      </c>
      <c r="L1002" s="62">
        <f t="shared" si="2"/>
        <v>1</v>
      </c>
    </row>
    <row r="1003">
      <c r="A1003" s="58">
        <v>46054.0</v>
      </c>
      <c r="B1003" s="24" t="s">
        <v>6787</v>
      </c>
      <c r="C1003" s="24" t="s">
        <v>7095</v>
      </c>
      <c r="D1003" s="59">
        <v>1.0</v>
      </c>
      <c r="E1003" s="59">
        <v>1.0</v>
      </c>
      <c r="F1003" s="59">
        <v>1.0</v>
      </c>
      <c r="G1003" s="60">
        <v>1.0</v>
      </c>
      <c r="H1003" s="60">
        <v>1.0</v>
      </c>
      <c r="I1003" s="60">
        <v>0.0</v>
      </c>
      <c r="J1003" s="59">
        <v>1.0</v>
      </c>
      <c r="K1003" s="61">
        <f t="shared" si="1"/>
        <v>1</v>
      </c>
      <c r="L1003" s="62">
        <f t="shared" si="2"/>
        <v>1</v>
      </c>
    </row>
    <row r="1004">
      <c r="A1004" s="58">
        <v>46054.0</v>
      </c>
      <c r="B1004" s="24" t="s">
        <v>6787</v>
      </c>
      <c r="C1004" s="24" t="s">
        <v>7096</v>
      </c>
      <c r="D1004" s="59">
        <v>1.0</v>
      </c>
      <c r="E1004" s="59">
        <v>1.0</v>
      </c>
      <c r="F1004" s="59">
        <v>1.0</v>
      </c>
      <c r="G1004" s="60">
        <v>1.0</v>
      </c>
      <c r="H1004" s="60">
        <v>1.0</v>
      </c>
      <c r="I1004" s="60">
        <v>0.0</v>
      </c>
      <c r="J1004" s="59">
        <v>1.0</v>
      </c>
      <c r="K1004" s="61">
        <f t="shared" si="1"/>
        <v>1</v>
      </c>
      <c r="L1004" s="62">
        <f t="shared" si="2"/>
        <v>1</v>
      </c>
    </row>
    <row r="1005">
      <c r="A1005" s="58">
        <v>46054.0</v>
      </c>
      <c r="B1005" s="24" t="s">
        <v>6789</v>
      </c>
      <c r="C1005" s="24" t="s">
        <v>7097</v>
      </c>
      <c r="D1005" s="59">
        <v>1.0</v>
      </c>
      <c r="E1005" s="59">
        <v>1.0</v>
      </c>
      <c r="F1005" s="59">
        <v>1.0</v>
      </c>
      <c r="G1005" s="60">
        <v>1.0</v>
      </c>
      <c r="H1005" s="60">
        <v>0.0</v>
      </c>
      <c r="I1005" s="60">
        <v>14.920327</v>
      </c>
      <c r="J1005" s="59">
        <v>1.0</v>
      </c>
      <c r="K1005" s="61">
        <f t="shared" si="1"/>
        <v>1</v>
      </c>
      <c r="L1005" s="62">
        <f t="shared" si="2"/>
        <v>1</v>
      </c>
    </row>
    <row r="1006">
      <c r="A1006" s="58">
        <v>46054.0</v>
      </c>
      <c r="B1006" s="24" t="s">
        <v>6787</v>
      </c>
      <c r="C1006" s="24" t="s">
        <v>7098</v>
      </c>
      <c r="D1006" s="59">
        <v>1.0</v>
      </c>
      <c r="E1006" s="59">
        <v>1.0</v>
      </c>
      <c r="F1006" s="59">
        <v>1.0</v>
      </c>
      <c r="G1006" s="60">
        <v>1.0</v>
      </c>
      <c r="H1006" s="60">
        <v>1.0</v>
      </c>
      <c r="I1006" s="60">
        <v>0.0</v>
      </c>
      <c r="J1006" s="59">
        <v>1.0</v>
      </c>
      <c r="K1006" s="61">
        <f t="shared" si="1"/>
        <v>1</v>
      </c>
      <c r="L1006" s="62">
        <f t="shared" si="2"/>
        <v>1</v>
      </c>
    </row>
    <row r="1007">
      <c r="A1007" s="58">
        <v>46054.0</v>
      </c>
      <c r="B1007" s="24" t="s">
        <v>6787</v>
      </c>
      <c r="C1007" s="24" t="s">
        <v>7099</v>
      </c>
      <c r="D1007" s="59">
        <v>1.0</v>
      </c>
      <c r="E1007" s="59">
        <v>1.0</v>
      </c>
      <c r="F1007" s="59">
        <v>1.0</v>
      </c>
      <c r="G1007" s="60">
        <v>1.0</v>
      </c>
      <c r="H1007" s="60">
        <v>1.0</v>
      </c>
      <c r="I1007" s="60">
        <v>0.0</v>
      </c>
      <c r="J1007" s="59">
        <v>1.0</v>
      </c>
      <c r="K1007" s="61">
        <f t="shared" si="1"/>
        <v>1</v>
      </c>
      <c r="L1007" s="62">
        <f t="shared" si="2"/>
        <v>1</v>
      </c>
    </row>
    <row r="1008">
      <c r="A1008" s="58">
        <v>46054.0</v>
      </c>
      <c r="B1008" s="24" t="s">
        <v>7100</v>
      </c>
      <c r="C1008" s="24" t="s">
        <v>6800</v>
      </c>
      <c r="D1008" s="59">
        <v>1.0</v>
      </c>
      <c r="E1008" s="59">
        <v>1.0</v>
      </c>
      <c r="F1008" s="59">
        <v>1.0</v>
      </c>
      <c r="G1008" s="60">
        <v>1.0</v>
      </c>
      <c r="H1008" s="60">
        <v>0.0</v>
      </c>
      <c r="I1008" s="60">
        <v>2.860306</v>
      </c>
      <c r="J1008" s="59">
        <v>2.0</v>
      </c>
      <c r="K1008" s="61">
        <f t="shared" si="1"/>
        <v>1</v>
      </c>
      <c r="L1008" s="62">
        <f t="shared" si="2"/>
        <v>2</v>
      </c>
    </row>
    <row r="1009">
      <c r="A1009" s="58">
        <v>46054.0</v>
      </c>
      <c r="B1009" s="24" t="s">
        <v>6787</v>
      </c>
      <c r="C1009" s="24" t="s">
        <v>7012</v>
      </c>
      <c r="D1009" s="59">
        <v>1.0</v>
      </c>
      <c r="E1009" s="59">
        <v>1.0</v>
      </c>
      <c r="F1009" s="59">
        <v>1.0</v>
      </c>
      <c r="G1009" s="60">
        <v>1.0</v>
      </c>
      <c r="H1009" s="60">
        <v>1.0</v>
      </c>
      <c r="I1009" s="60">
        <v>0.0</v>
      </c>
      <c r="J1009" s="59">
        <v>1.0</v>
      </c>
      <c r="K1009" s="61">
        <f t="shared" si="1"/>
        <v>1</v>
      </c>
      <c r="L1009" s="62">
        <f t="shared" si="2"/>
        <v>1</v>
      </c>
    </row>
    <row r="1010">
      <c r="A1010" s="58">
        <v>46054.0</v>
      </c>
      <c r="B1010" s="24" t="s">
        <v>6789</v>
      </c>
      <c r="C1010" s="24" t="s">
        <v>7013</v>
      </c>
      <c r="D1010" s="59">
        <v>1.0</v>
      </c>
      <c r="E1010" s="59">
        <v>1.0</v>
      </c>
      <c r="F1010" s="59">
        <v>0.0</v>
      </c>
      <c r="G1010" s="60">
        <v>1.0</v>
      </c>
      <c r="H1010" s="60">
        <v>0.0</v>
      </c>
      <c r="I1010" s="60">
        <v>25.713931</v>
      </c>
      <c r="J1010" s="59">
        <v>2.0</v>
      </c>
      <c r="K1010" s="61">
        <f t="shared" si="1"/>
        <v>0</v>
      </c>
      <c r="L1010" s="62">
        <f t="shared" si="2"/>
        <v>2</v>
      </c>
    </row>
    <row r="1011">
      <c r="A1011" s="58">
        <v>46054.0</v>
      </c>
      <c r="B1011" s="24" t="s">
        <v>6789</v>
      </c>
      <c r="C1011" s="24" t="s">
        <v>6960</v>
      </c>
      <c r="D1011" s="59">
        <v>1.0</v>
      </c>
      <c r="E1011" s="59">
        <v>1.0</v>
      </c>
      <c r="F1011" s="59">
        <v>0.0</v>
      </c>
      <c r="G1011" s="60">
        <v>1.0</v>
      </c>
      <c r="H1011" s="60">
        <v>1.0</v>
      </c>
      <c r="I1011" s="60">
        <v>3.848996</v>
      </c>
      <c r="J1011" s="59">
        <v>1.0</v>
      </c>
      <c r="K1011" s="61">
        <f t="shared" si="1"/>
        <v>0</v>
      </c>
      <c r="L1011" s="62">
        <f t="shared" si="2"/>
        <v>1</v>
      </c>
    </row>
    <row r="1012">
      <c r="A1012" s="58">
        <v>46054.0</v>
      </c>
      <c r="B1012" s="24" t="s">
        <v>155</v>
      </c>
      <c r="C1012" s="24" t="s">
        <v>6809</v>
      </c>
      <c r="D1012" s="59">
        <v>1.0</v>
      </c>
      <c r="E1012" s="59">
        <v>1.0</v>
      </c>
      <c r="F1012" s="59">
        <v>1.0</v>
      </c>
      <c r="G1012" s="60">
        <v>1.0</v>
      </c>
      <c r="H1012" s="60">
        <v>0.0</v>
      </c>
      <c r="I1012" s="60">
        <v>14.513913</v>
      </c>
      <c r="J1012" s="59">
        <v>1.0</v>
      </c>
      <c r="K1012" s="61">
        <f t="shared" si="1"/>
        <v>1</v>
      </c>
      <c r="L1012" s="62">
        <f t="shared" si="2"/>
        <v>1</v>
      </c>
    </row>
    <row r="1013">
      <c r="A1013" s="58">
        <v>46054.0</v>
      </c>
      <c r="B1013" s="24" t="s">
        <v>6787</v>
      </c>
      <c r="C1013" s="24" t="s">
        <v>7101</v>
      </c>
      <c r="D1013" s="59">
        <v>1.0</v>
      </c>
      <c r="E1013" s="59">
        <v>1.0</v>
      </c>
      <c r="F1013" s="59">
        <v>1.0</v>
      </c>
      <c r="G1013" s="60">
        <v>1.0</v>
      </c>
      <c r="H1013" s="60">
        <v>1.0</v>
      </c>
      <c r="I1013" s="60">
        <v>0.0</v>
      </c>
      <c r="J1013" s="59">
        <v>1.0</v>
      </c>
      <c r="K1013" s="61">
        <f t="shared" si="1"/>
        <v>1</v>
      </c>
      <c r="L1013" s="62">
        <f t="shared" si="2"/>
        <v>1</v>
      </c>
    </row>
    <row r="1014">
      <c r="A1014" s="58">
        <v>46054.0</v>
      </c>
      <c r="B1014" s="24" t="s">
        <v>155</v>
      </c>
      <c r="C1014" s="24" t="s">
        <v>6849</v>
      </c>
      <c r="D1014" s="59">
        <v>1.0</v>
      </c>
      <c r="E1014" s="59">
        <v>1.0</v>
      </c>
      <c r="F1014" s="59">
        <v>0.0</v>
      </c>
      <c r="G1014" s="60">
        <v>1.0</v>
      </c>
      <c r="H1014" s="60">
        <v>1.0</v>
      </c>
      <c r="I1014" s="60">
        <v>0.583405</v>
      </c>
      <c r="J1014" s="59">
        <v>1.0</v>
      </c>
      <c r="K1014" s="61">
        <f t="shared" si="1"/>
        <v>0</v>
      </c>
      <c r="L1014" s="62">
        <f t="shared" si="2"/>
        <v>1</v>
      </c>
    </row>
    <row r="1015">
      <c r="A1015" s="58">
        <v>46054.0</v>
      </c>
      <c r="B1015" s="24" t="s">
        <v>6790</v>
      </c>
      <c r="C1015" s="24" t="s">
        <v>6849</v>
      </c>
      <c r="D1015" s="59">
        <v>1.0</v>
      </c>
      <c r="E1015" s="59">
        <v>4.0</v>
      </c>
      <c r="F1015" s="59">
        <v>0.0</v>
      </c>
      <c r="G1015" s="60">
        <v>0.0</v>
      </c>
      <c r="H1015" s="60">
        <v>1.0</v>
      </c>
      <c r="I1015" s="60">
        <v>0.0</v>
      </c>
      <c r="J1015" s="59">
        <v>4.0</v>
      </c>
      <c r="K1015" s="61">
        <f t="shared" si="1"/>
        <v>0</v>
      </c>
      <c r="L1015" s="62">
        <f t="shared" si="2"/>
        <v>1</v>
      </c>
    </row>
    <row r="1016">
      <c r="A1016" s="58">
        <v>46054.0</v>
      </c>
      <c r="B1016" s="24" t="s">
        <v>6787</v>
      </c>
      <c r="C1016" s="24" t="s">
        <v>6850</v>
      </c>
      <c r="D1016" s="59">
        <v>1.0</v>
      </c>
      <c r="E1016" s="59">
        <v>1.0</v>
      </c>
      <c r="F1016" s="59">
        <v>1.0</v>
      </c>
      <c r="G1016" s="60">
        <v>1.0</v>
      </c>
      <c r="H1016" s="60">
        <v>1.0</v>
      </c>
      <c r="I1016" s="60">
        <v>0.0</v>
      </c>
      <c r="J1016" s="59">
        <v>1.0</v>
      </c>
      <c r="K1016" s="61">
        <f t="shared" si="1"/>
        <v>1</v>
      </c>
      <c r="L1016" s="62">
        <f t="shared" si="2"/>
        <v>1</v>
      </c>
    </row>
    <row r="1017">
      <c r="A1017" s="58">
        <v>46054.0</v>
      </c>
      <c r="B1017" s="24" t="s">
        <v>6789</v>
      </c>
      <c r="C1017" s="24" t="s">
        <v>6850</v>
      </c>
      <c r="D1017" s="59">
        <v>1.0</v>
      </c>
      <c r="E1017" s="59">
        <v>1.0</v>
      </c>
      <c r="F1017" s="59">
        <v>0.0</v>
      </c>
      <c r="G1017" s="60">
        <v>1.0</v>
      </c>
      <c r="H1017" s="60">
        <v>0.0</v>
      </c>
      <c r="I1017" s="60">
        <v>954.705445</v>
      </c>
      <c r="J1017" s="59">
        <v>11.0</v>
      </c>
      <c r="K1017" s="61">
        <f t="shared" si="1"/>
        <v>0</v>
      </c>
      <c r="L1017" s="62">
        <f t="shared" si="2"/>
        <v>11</v>
      </c>
    </row>
    <row r="1018">
      <c r="A1018" s="58">
        <v>46054.0</v>
      </c>
      <c r="B1018" s="24" t="s">
        <v>155</v>
      </c>
      <c r="C1018" s="24" t="s">
        <v>6850</v>
      </c>
      <c r="D1018" s="59">
        <v>1.0</v>
      </c>
      <c r="E1018" s="59">
        <v>1.0</v>
      </c>
      <c r="F1018" s="59">
        <v>1.0</v>
      </c>
      <c r="G1018" s="60">
        <v>1.0</v>
      </c>
      <c r="H1018" s="60">
        <v>0.0</v>
      </c>
      <c r="I1018" s="60">
        <v>198.022134</v>
      </c>
      <c r="J1018" s="59">
        <v>1.0</v>
      </c>
      <c r="K1018" s="61">
        <f t="shared" si="1"/>
        <v>1</v>
      </c>
      <c r="L1018" s="62">
        <f t="shared" si="2"/>
        <v>1</v>
      </c>
    </row>
    <row r="1019">
      <c r="A1019" s="58">
        <v>46054.0</v>
      </c>
      <c r="B1019" s="24" t="s">
        <v>155</v>
      </c>
      <c r="C1019" s="24" t="s">
        <v>6909</v>
      </c>
      <c r="D1019" s="59">
        <v>1.0</v>
      </c>
      <c r="E1019" s="59">
        <v>1.0</v>
      </c>
      <c r="F1019" s="59">
        <v>0.0</v>
      </c>
      <c r="G1019" s="60">
        <v>1.0</v>
      </c>
      <c r="H1019" s="60">
        <v>0.0</v>
      </c>
      <c r="I1019" s="60">
        <v>991.763174</v>
      </c>
      <c r="J1019" s="59">
        <v>8.0</v>
      </c>
      <c r="K1019" s="61">
        <f t="shared" si="1"/>
        <v>0</v>
      </c>
      <c r="L1019" s="62">
        <f t="shared" si="2"/>
        <v>8</v>
      </c>
    </row>
    <row r="1020">
      <c r="A1020" s="58">
        <v>46054.0</v>
      </c>
      <c r="B1020" s="24" t="s">
        <v>6789</v>
      </c>
      <c r="C1020" s="24" t="s">
        <v>6813</v>
      </c>
      <c r="D1020" s="59">
        <v>1.0</v>
      </c>
      <c r="E1020" s="59">
        <v>1.0</v>
      </c>
      <c r="F1020" s="59">
        <v>0.0</v>
      </c>
      <c r="G1020" s="60">
        <v>1.0</v>
      </c>
      <c r="H1020" s="60">
        <v>0.0</v>
      </c>
      <c r="I1020" s="60">
        <v>13.576637</v>
      </c>
      <c r="J1020" s="59">
        <v>1.0</v>
      </c>
      <c r="K1020" s="61">
        <f t="shared" si="1"/>
        <v>0</v>
      </c>
      <c r="L1020" s="62">
        <f t="shared" si="2"/>
        <v>1</v>
      </c>
    </row>
    <row r="1021">
      <c r="A1021" s="58">
        <v>46054.0</v>
      </c>
      <c r="B1021" s="24" t="s">
        <v>155</v>
      </c>
      <c r="C1021" s="24" t="s">
        <v>6801</v>
      </c>
      <c r="D1021" s="59">
        <v>1.0</v>
      </c>
      <c r="E1021" s="59">
        <v>3.0</v>
      </c>
      <c r="F1021" s="59">
        <v>1.0</v>
      </c>
      <c r="G1021" s="60">
        <v>3.0</v>
      </c>
      <c r="H1021" s="60">
        <v>0.666666666666666</v>
      </c>
      <c r="I1021" s="60">
        <v>11.6928336666666</v>
      </c>
      <c r="J1021" s="59">
        <v>3.0</v>
      </c>
      <c r="K1021" s="61">
        <f t="shared" si="1"/>
        <v>0.3333333333</v>
      </c>
      <c r="L1021" s="62">
        <f t="shared" si="2"/>
        <v>1</v>
      </c>
    </row>
    <row r="1022">
      <c r="A1022" s="58">
        <v>46054.0</v>
      </c>
      <c r="B1022" s="24" t="s">
        <v>6791</v>
      </c>
      <c r="C1022" s="24" t="s">
        <v>7102</v>
      </c>
      <c r="D1022" s="59">
        <v>1.0</v>
      </c>
      <c r="E1022" s="59">
        <v>1.0</v>
      </c>
      <c r="F1022" s="59">
        <v>0.0</v>
      </c>
      <c r="G1022" s="60">
        <v>1.0</v>
      </c>
      <c r="H1022" s="60">
        <v>1.0</v>
      </c>
      <c r="I1022" s="60">
        <v>8.533427</v>
      </c>
      <c r="J1022" s="59">
        <v>1.0</v>
      </c>
      <c r="K1022" s="61">
        <f t="shared" si="1"/>
        <v>0</v>
      </c>
      <c r="L1022" s="62">
        <f t="shared" si="2"/>
        <v>1</v>
      </c>
    </row>
    <row r="1023">
      <c r="A1023" s="58">
        <v>46054.0</v>
      </c>
      <c r="B1023" s="24" t="s">
        <v>6787</v>
      </c>
      <c r="C1023" s="24" t="s">
        <v>7103</v>
      </c>
      <c r="D1023" s="59">
        <v>1.0</v>
      </c>
      <c r="E1023" s="59">
        <v>1.0</v>
      </c>
      <c r="F1023" s="59">
        <v>1.0</v>
      </c>
      <c r="G1023" s="60">
        <v>1.0</v>
      </c>
      <c r="H1023" s="60">
        <v>1.0</v>
      </c>
      <c r="I1023" s="60">
        <v>0.0</v>
      </c>
      <c r="J1023" s="59">
        <v>1.0</v>
      </c>
      <c r="K1023" s="61">
        <f t="shared" si="1"/>
        <v>1</v>
      </c>
      <c r="L1023" s="62">
        <f t="shared" si="2"/>
        <v>1</v>
      </c>
    </row>
    <row r="1024">
      <c r="A1024" s="58">
        <v>46054.0</v>
      </c>
      <c r="B1024" s="24" t="s">
        <v>6787</v>
      </c>
      <c r="C1024" s="24" t="s">
        <v>7104</v>
      </c>
      <c r="D1024" s="59">
        <v>1.0</v>
      </c>
      <c r="E1024" s="59">
        <v>1.0</v>
      </c>
      <c r="F1024" s="59">
        <v>1.0</v>
      </c>
      <c r="G1024" s="60">
        <v>1.0</v>
      </c>
      <c r="H1024" s="60">
        <v>1.0</v>
      </c>
      <c r="I1024" s="60">
        <v>0.0</v>
      </c>
      <c r="J1024" s="59">
        <v>1.0</v>
      </c>
      <c r="K1024" s="61">
        <f t="shared" si="1"/>
        <v>1</v>
      </c>
      <c r="L1024" s="62">
        <f t="shared" si="2"/>
        <v>1</v>
      </c>
    </row>
    <row r="1025">
      <c r="A1025" s="58">
        <v>46054.0</v>
      </c>
      <c r="B1025" s="24" t="s">
        <v>6789</v>
      </c>
      <c r="C1025" s="24" t="s">
        <v>7104</v>
      </c>
      <c r="D1025" s="59">
        <v>1.0</v>
      </c>
      <c r="E1025" s="59">
        <v>1.0</v>
      </c>
      <c r="F1025" s="59">
        <v>1.0</v>
      </c>
      <c r="G1025" s="60">
        <v>1.0</v>
      </c>
      <c r="H1025" s="60">
        <v>1.0</v>
      </c>
      <c r="I1025" s="60">
        <v>0.0</v>
      </c>
      <c r="J1025" s="59">
        <v>1.0</v>
      </c>
      <c r="K1025" s="61">
        <f t="shared" si="1"/>
        <v>1</v>
      </c>
      <c r="L1025" s="62">
        <f t="shared" si="2"/>
        <v>1</v>
      </c>
    </row>
    <row r="1026">
      <c r="A1026" s="58">
        <v>46054.0</v>
      </c>
      <c r="B1026" s="24" t="s">
        <v>155</v>
      </c>
      <c r="C1026" s="24" t="s">
        <v>6814</v>
      </c>
      <c r="D1026" s="59">
        <v>1.0</v>
      </c>
      <c r="E1026" s="59">
        <v>1.0</v>
      </c>
      <c r="F1026" s="59">
        <v>1.0</v>
      </c>
      <c r="G1026" s="60">
        <v>1.0</v>
      </c>
      <c r="H1026" s="60">
        <v>1.0</v>
      </c>
      <c r="I1026" s="60">
        <v>0.0</v>
      </c>
      <c r="J1026" s="59">
        <v>1.0</v>
      </c>
      <c r="K1026" s="61">
        <f t="shared" si="1"/>
        <v>1</v>
      </c>
      <c r="L1026" s="62">
        <f t="shared" si="2"/>
        <v>1</v>
      </c>
    </row>
    <row r="1027">
      <c r="A1027" s="58">
        <v>46054.0</v>
      </c>
      <c r="B1027" s="24" t="s">
        <v>6787</v>
      </c>
      <c r="C1027" s="24" t="s">
        <v>6961</v>
      </c>
      <c r="D1027" s="59">
        <v>1.0</v>
      </c>
      <c r="E1027" s="59">
        <v>1.0</v>
      </c>
      <c r="F1027" s="59">
        <v>1.0</v>
      </c>
      <c r="G1027" s="60">
        <v>1.0</v>
      </c>
      <c r="H1027" s="60">
        <v>0.0</v>
      </c>
      <c r="I1027" s="60">
        <v>31.373784</v>
      </c>
      <c r="J1027" s="59">
        <v>1.0</v>
      </c>
      <c r="K1027" s="61">
        <f t="shared" si="1"/>
        <v>1</v>
      </c>
      <c r="L1027" s="62">
        <f t="shared" si="2"/>
        <v>1</v>
      </c>
    </row>
    <row r="1028">
      <c r="A1028" s="58">
        <v>46054.0</v>
      </c>
      <c r="B1028" s="24" t="s">
        <v>155</v>
      </c>
      <c r="C1028" s="24" t="s">
        <v>7105</v>
      </c>
      <c r="D1028" s="59">
        <v>1.0</v>
      </c>
      <c r="E1028" s="59">
        <v>2.0</v>
      </c>
      <c r="F1028" s="59">
        <v>1.0</v>
      </c>
      <c r="G1028" s="60">
        <v>2.0</v>
      </c>
      <c r="H1028" s="60">
        <v>0.5</v>
      </c>
      <c r="I1028" s="60">
        <v>32.2439165</v>
      </c>
      <c r="J1028" s="59">
        <v>2.0</v>
      </c>
      <c r="K1028" s="61">
        <f t="shared" si="1"/>
        <v>0.5</v>
      </c>
      <c r="L1028" s="62">
        <f t="shared" si="2"/>
        <v>1</v>
      </c>
    </row>
    <row r="1029">
      <c r="A1029" s="58">
        <v>46054.0</v>
      </c>
      <c r="B1029" s="24" t="s">
        <v>6787</v>
      </c>
      <c r="C1029" s="24" t="s">
        <v>6915</v>
      </c>
      <c r="D1029" s="59">
        <v>1.0</v>
      </c>
      <c r="E1029" s="59">
        <v>1.0</v>
      </c>
      <c r="F1029" s="59">
        <v>1.0</v>
      </c>
      <c r="G1029" s="60">
        <v>1.0</v>
      </c>
      <c r="H1029" s="60">
        <v>1.0</v>
      </c>
      <c r="I1029" s="60">
        <v>2.856535</v>
      </c>
      <c r="J1029" s="59">
        <v>1.0</v>
      </c>
      <c r="K1029" s="61">
        <f t="shared" si="1"/>
        <v>1</v>
      </c>
      <c r="L1029" s="62">
        <f t="shared" si="2"/>
        <v>1</v>
      </c>
    </row>
    <row r="1030">
      <c r="A1030" s="58">
        <v>46054.0</v>
      </c>
      <c r="B1030" s="24" t="s">
        <v>6787</v>
      </c>
      <c r="C1030" s="24" t="s">
        <v>7014</v>
      </c>
      <c r="D1030" s="59">
        <v>1.0</v>
      </c>
      <c r="E1030" s="59">
        <v>1.0</v>
      </c>
      <c r="F1030" s="59">
        <v>1.0</v>
      </c>
      <c r="G1030" s="60">
        <v>1.0</v>
      </c>
      <c r="H1030" s="60">
        <v>1.0</v>
      </c>
      <c r="I1030" s="60">
        <v>0.0</v>
      </c>
      <c r="J1030" s="59">
        <v>1.0</v>
      </c>
      <c r="K1030" s="61">
        <f t="shared" si="1"/>
        <v>1</v>
      </c>
      <c r="L1030" s="62">
        <f t="shared" si="2"/>
        <v>1</v>
      </c>
    </row>
    <row r="1031">
      <c r="A1031" s="58">
        <v>46054.0</v>
      </c>
      <c r="B1031" s="24" t="s">
        <v>6787</v>
      </c>
      <c r="C1031" s="24" t="s">
        <v>7106</v>
      </c>
      <c r="D1031" s="59">
        <v>1.0</v>
      </c>
      <c r="E1031" s="59">
        <v>1.0</v>
      </c>
      <c r="F1031" s="59">
        <v>1.0</v>
      </c>
      <c r="G1031" s="60">
        <v>1.0</v>
      </c>
      <c r="H1031" s="60">
        <v>1.0</v>
      </c>
      <c r="I1031" s="60">
        <v>0.0</v>
      </c>
      <c r="J1031" s="59">
        <v>1.0</v>
      </c>
      <c r="K1031" s="61">
        <f t="shared" si="1"/>
        <v>1</v>
      </c>
      <c r="L1031" s="62">
        <f t="shared" si="2"/>
        <v>1</v>
      </c>
    </row>
    <row r="1032">
      <c r="A1032" s="58">
        <v>46054.0</v>
      </c>
      <c r="B1032" s="24" t="s">
        <v>6787</v>
      </c>
      <c r="C1032" s="24" t="s">
        <v>6826</v>
      </c>
      <c r="D1032" s="59">
        <v>1.0</v>
      </c>
      <c r="E1032" s="59">
        <v>1.0</v>
      </c>
      <c r="F1032" s="59">
        <v>1.0</v>
      </c>
      <c r="G1032" s="60">
        <v>1.0</v>
      </c>
      <c r="H1032" s="60">
        <v>1.0</v>
      </c>
      <c r="I1032" s="60">
        <v>0.0</v>
      </c>
      <c r="J1032" s="59">
        <v>1.0</v>
      </c>
      <c r="K1032" s="61">
        <f t="shared" si="1"/>
        <v>1</v>
      </c>
      <c r="L1032" s="62">
        <f t="shared" si="2"/>
        <v>1</v>
      </c>
    </row>
    <row r="1033">
      <c r="A1033" s="58">
        <v>46054.0</v>
      </c>
      <c r="B1033" s="24" t="s">
        <v>6794</v>
      </c>
      <c r="C1033" s="24" t="s">
        <v>6936</v>
      </c>
      <c r="D1033" s="59">
        <v>1.0</v>
      </c>
      <c r="E1033" s="59">
        <v>1.0</v>
      </c>
      <c r="F1033" s="59">
        <v>1.0</v>
      </c>
      <c r="G1033" s="60">
        <v>1.0</v>
      </c>
      <c r="H1033" s="60">
        <v>0.0</v>
      </c>
      <c r="I1033" s="60">
        <v>8.585041</v>
      </c>
      <c r="J1033" s="59">
        <v>2.0</v>
      </c>
      <c r="K1033" s="61">
        <f t="shared" si="1"/>
        <v>1</v>
      </c>
      <c r="L1033" s="62">
        <f t="shared" si="2"/>
        <v>2</v>
      </c>
    </row>
    <row r="1034">
      <c r="A1034" s="58">
        <v>46054.0</v>
      </c>
      <c r="B1034" s="24" t="s">
        <v>6790</v>
      </c>
      <c r="C1034" s="24" t="s">
        <v>6917</v>
      </c>
      <c r="D1034" s="59">
        <v>1.0</v>
      </c>
      <c r="E1034" s="59">
        <v>1.0</v>
      </c>
      <c r="F1034" s="59">
        <v>1.0</v>
      </c>
      <c r="G1034" s="60">
        <v>1.0</v>
      </c>
      <c r="H1034" s="60">
        <v>0.0</v>
      </c>
      <c r="I1034" s="60">
        <v>228.177096</v>
      </c>
      <c r="J1034" s="59">
        <v>5.0</v>
      </c>
      <c r="K1034" s="61">
        <f t="shared" si="1"/>
        <v>1</v>
      </c>
      <c r="L1034" s="62">
        <f t="shared" si="2"/>
        <v>5</v>
      </c>
    </row>
    <row r="1035">
      <c r="A1035" s="58">
        <v>46054.0</v>
      </c>
      <c r="B1035" s="24" t="s">
        <v>155</v>
      </c>
      <c r="C1035" s="24" t="s">
        <v>6815</v>
      </c>
      <c r="D1035" s="59">
        <v>1.0</v>
      </c>
      <c r="E1035" s="59">
        <v>1.0</v>
      </c>
      <c r="F1035" s="59">
        <v>1.0</v>
      </c>
      <c r="G1035" s="60">
        <v>1.0</v>
      </c>
      <c r="H1035" s="60">
        <v>0.0</v>
      </c>
      <c r="I1035" s="60">
        <v>322.913798</v>
      </c>
      <c r="J1035" s="59">
        <v>2.0</v>
      </c>
      <c r="K1035" s="61">
        <f t="shared" si="1"/>
        <v>1</v>
      </c>
      <c r="L1035" s="62">
        <f t="shared" si="2"/>
        <v>2</v>
      </c>
    </row>
    <row r="1036">
      <c r="A1036" s="58">
        <v>46054.0</v>
      </c>
      <c r="B1036" s="24" t="s">
        <v>6790</v>
      </c>
      <c r="C1036" s="24" t="s">
        <v>6815</v>
      </c>
      <c r="D1036" s="59">
        <v>1.0</v>
      </c>
      <c r="E1036" s="59">
        <v>1.0</v>
      </c>
      <c r="F1036" s="59">
        <v>1.0</v>
      </c>
      <c r="G1036" s="60">
        <v>1.0</v>
      </c>
      <c r="H1036" s="60">
        <v>0.0</v>
      </c>
      <c r="I1036" s="60">
        <v>28.843708</v>
      </c>
      <c r="J1036" s="59">
        <v>1.0</v>
      </c>
      <c r="K1036" s="61">
        <f t="shared" si="1"/>
        <v>1</v>
      </c>
      <c r="L1036" s="62">
        <f t="shared" si="2"/>
        <v>1</v>
      </c>
    </row>
    <row r="1037">
      <c r="A1037" s="58">
        <v>46054.0</v>
      </c>
      <c r="B1037" s="24" t="s">
        <v>6787</v>
      </c>
      <c r="C1037" s="24" t="s">
        <v>7107</v>
      </c>
      <c r="D1037" s="59">
        <v>1.0</v>
      </c>
      <c r="E1037" s="59">
        <v>1.0</v>
      </c>
      <c r="F1037" s="59">
        <v>1.0</v>
      </c>
      <c r="G1037" s="60">
        <v>1.0</v>
      </c>
      <c r="H1037" s="60">
        <v>1.0</v>
      </c>
      <c r="I1037" s="60">
        <v>0.0</v>
      </c>
      <c r="J1037" s="59">
        <v>1.0</v>
      </c>
      <c r="K1037" s="61">
        <f t="shared" si="1"/>
        <v>1</v>
      </c>
      <c r="L1037" s="62">
        <f t="shared" si="2"/>
        <v>1</v>
      </c>
    </row>
    <row r="1038">
      <c r="A1038" s="58">
        <v>46054.0</v>
      </c>
      <c r="B1038" s="24" t="s">
        <v>6787</v>
      </c>
      <c r="C1038" s="24" t="s">
        <v>7108</v>
      </c>
      <c r="D1038" s="59">
        <v>1.0</v>
      </c>
      <c r="E1038" s="59">
        <v>1.0</v>
      </c>
      <c r="F1038" s="59">
        <v>1.0</v>
      </c>
      <c r="G1038" s="60">
        <v>1.0</v>
      </c>
      <c r="H1038" s="60">
        <v>1.0</v>
      </c>
      <c r="I1038" s="60">
        <v>0.0</v>
      </c>
      <c r="J1038" s="59">
        <v>1.0</v>
      </c>
      <c r="K1038" s="61">
        <f t="shared" si="1"/>
        <v>1</v>
      </c>
      <c r="L1038" s="62">
        <f t="shared" si="2"/>
        <v>1</v>
      </c>
    </row>
    <row r="1039">
      <c r="A1039" s="58">
        <v>46054.0</v>
      </c>
      <c r="B1039" s="24" t="s">
        <v>6789</v>
      </c>
      <c r="C1039" s="24" t="s">
        <v>7108</v>
      </c>
      <c r="D1039" s="59">
        <v>1.0</v>
      </c>
      <c r="E1039" s="59">
        <v>1.0</v>
      </c>
      <c r="F1039" s="59">
        <v>1.0</v>
      </c>
      <c r="G1039" s="60">
        <v>1.0</v>
      </c>
      <c r="H1039" s="60">
        <v>0.0</v>
      </c>
      <c r="I1039" s="60">
        <v>4.702086</v>
      </c>
      <c r="J1039" s="59">
        <v>2.0</v>
      </c>
      <c r="K1039" s="61">
        <f t="shared" si="1"/>
        <v>1</v>
      </c>
      <c r="L1039" s="62">
        <f t="shared" si="2"/>
        <v>2</v>
      </c>
    </row>
    <row r="1040">
      <c r="A1040" s="58">
        <v>46054.0</v>
      </c>
      <c r="B1040" s="24" t="s">
        <v>6787</v>
      </c>
      <c r="C1040" s="24" t="s">
        <v>7109</v>
      </c>
      <c r="D1040" s="59">
        <v>1.0</v>
      </c>
      <c r="E1040" s="59">
        <v>1.0</v>
      </c>
      <c r="F1040" s="59">
        <v>1.0</v>
      </c>
      <c r="G1040" s="60">
        <v>1.0</v>
      </c>
      <c r="H1040" s="60">
        <v>0.0</v>
      </c>
      <c r="I1040" s="60">
        <v>29.90861</v>
      </c>
      <c r="J1040" s="59">
        <v>1.0</v>
      </c>
      <c r="K1040" s="61">
        <f t="shared" si="1"/>
        <v>1</v>
      </c>
      <c r="L1040" s="62">
        <f t="shared" si="2"/>
        <v>1</v>
      </c>
    </row>
    <row r="1041">
      <c r="A1041" s="58">
        <v>46054.0</v>
      </c>
      <c r="B1041" s="24" t="s">
        <v>6787</v>
      </c>
      <c r="C1041" s="24" t="s">
        <v>7110</v>
      </c>
      <c r="D1041" s="59">
        <v>1.0</v>
      </c>
      <c r="E1041" s="59">
        <v>1.0</v>
      </c>
      <c r="F1041" s="59">
        <v>1.0</v>
      </c>
      <c r="G1041" s="60">
        <v>1.0</v>
      </c>
      <c r="H1041" s="60">
        <v>0.0</v>
      </c>
      <c r="I1041" s="60">
        <v>8.677592</v>
      </c>
      <c r="J1041" s="59">
        <v>2.0</v>
      </c>
      <c r="K1041" s="61">
        <f t="shared" si="1"/>
        <v>1</v>
      </c>
      <c r="L1041" s="62">
        <f t="shared" si="2"/>
        <v>2</v>
      </c>
    </row>
    <row r="1042">
      <c r="A1042" s="58">
        <v>46054.0</v>
      </c>
      <c r="B1042" s="24" t="s">
        <v>6787</v>
      </c>
      <c r="C1042" s="24" t="s">
        <v>7111</v>
      </c>
      <c r="D1042" s="59">
        <v>1.0</v>
      </c>
      <c r="E1042" s="59">
        <v>1.0</v>
      </c>
      <c r="F1042" s="59">
        <v>1.0</v>
      </c>
      <c r="G1042" s="60">
        <v>1.0</v>
      </c>
      <c r="H1042" s="60">
        <v>1.0</v>
      </c>
      <c r="I1042" s="60">
        <v>0.0</v>
      </c>
      <c r="J1042" s="59">
        <v>1.0</v>
      </c>
      <c r="K1042" s="61">
        <f t="shared" si="1"/>
        <v>1</v>
      </c>
      <c r="L1042" s="62">
        <f t="shared" si="2"/>
        <v>1</v>
      </c>
    </row>
    <row r="1043">
      <c r="A1043" s="58">
        <v>46054.0</v>
      </c>
      <c r="B1043" s="24" t="s">
        <v>6787</v>
      </c>
      <c r="C1043" s="24" t="s">
        <v>7112</v>
      </c>
      <c r="D1043" s="59">
        <v>1.0</v>
      </c>
      <c r="E1043" s="59">
        <v>1.0</v>
      </c>
      <c r="F1043" s="59">
        <v>1.0</v>
      </c>
      <c r="G1043" s="60">
        <v>1.0</v>
      </c>
      <c r="H1043" s="60">
        <v>1.0</v>
      </c>
      <c r="I1043" s="60">
        <v>0.0</v>
      </c>
      <c r="J1043" s="59">
        <v>1.0</v>
      </c>
      <c r="K1043" s="61">
        <f t="shared" si="1"/>
        <v>1</v>
      </c>
      <c r="L1043" s="62">
        <f t="shared" si="2"/>
        <v>1</v>
      </c>
    </row>
    <row r="1044">
      <c r="A1044" s="58">
        <v>46054.0</v>
      </c>
      <c r="B1044" s="24" t="s">
        <v>155</v>
      </c>
      <c r="C1044" s="24" t="s">
        <v>6919</v>
      </c>
      <c r="D1044" s="59">
        <v>1.0</v>
      </c>
      <c r="E1044" s="59">
        <v>2.0</v>
      </c>
      <c r="F1044" s="59">
        <v>0.0</v>
      </c>
      <c r="G1044" s="60">
        <v>2.0</v>
      </c>
      <c r="H1044" s="60">
        <v>0.0</v>
      </c>
      <c r="I1044" s="60">
        <v>364.9801425</v>
      </c>
      <c r="J1044" s="59">
        <v>4.0</v>
      </c>
      <c r="K1044" s="61">
        <f t="shared" si="1"/>
        <v>0</v>
      </c>
      <c r="L1044" s="62">
        <f t="shared" si="2"/>
        <v>2</v>
      </c>
    </row>
    <row r="1045">
      <c r="A1045" s="58">
        <v>46054.0</v>
      </c>
      <c r="B1045" s="24" t="s">
        <v>6789</v>
      </c>
      <c r="C1045" s="24" t="s">
        <v>6852</v>
      </c>
      <c r="D1045" s="59">
        <v>1.0</v>
      </c>
      <c r="E1045" s="59">
        <v>1.0</v>
      </c>
      <c r="F1045" s="59">
        <v>1.0</v>
      </c>
      <c r="G1045" s="60">
        <v>1.0</v>
      </c>
      <c r="H1045" s="60">
        <v>0.0</v>
      </c>
      <c r="I1045" s="60">
        <v>1.273528</v>
      </c>
      <c r="J1045" s="59">
        <v>2.0</v>
      </c>
      <c r="K1045" s="61">
        <f t="shared" si="1"/>
        <v>1</v>
      </c>
      <c r="L1045" s="62">
        <f t="shared" si="2"/>
        <v>2</v>
      </c>
    </row>
    <row r="1046">
      <c r="A1046" s="58">
        <v>46054.0</v>
      </c>
      <c r="B1046" s="24" t="s">
        <v>6789</v>
      </c>
      <c r="C1046" s="24" t="s">
        <v>6920</v>
      </c>
      <c r="D1046" s="59">
        <v>1.0</v>
      </c>
      <c r="E1046" s="59">
        <v>1.0</v>
      </c>
      <c r="F1046" s="59">
        <v>1.0</v>
      </c>
      <c r="G1046" s="60">
        <v>1.0</v>
      </c>
      <c r="H1046" s="60">
        <v>0.0</v>
      </c>
      <c r="I1046" s="60">
        <v>42.068111</v>
      </c>
      <c r="J1046" s="59">
        <v>1.0</v>
      </c>
      <c r="K1046" s="61">
        <f t="shared" si="1"/>
        <v>1</v>
      </c>
      <c r="L1046" s="62">
        <f t="shared" si="2"/>
        <v>1</v>
      </c>
    </row>
    <row r="1047">
      <c r="A1047" s="58">
        <v>46054.0</v>
      </c>
      <c r="B1047" s="24" t="s">
        <v>155</v>
      </c>
      <c r="C1047" s="24" t="s">
        <v>6920</v>
      </c>
      <c r="D1047" s="59">
        <v>1.0</v>
      </c>
      <c r="E1047" s="59">
        <v>1.0</v>
      </c>
      <c r="F1047" s="59">
        <v>1.0</v>
      </c>
      <c r="G1047" s="60">
        <v>1.0</v>
      </c>
      <c r="H1047" s="60">
        <v>0.0</v>
      </c>
      <c r="I1047" s="60">
        <v>2122.480995</v>
      </c>
      <c r="J1047" s="59">
        <v>5.0</v>
      </c>
      <c r="K1047" s="61">
        <f t="shared" si="1"/>
        <v>1</v>
      </c>
      <c r="L1047" s="62">
        <f t="shared" si="2"/>
        <v>5</v>
      </c>
    </row>
    <row r="1048">
      <c r="A1048" s="58">
        <v>46054.0</v>
      </c>
      <c r="B1048" s="24" t="s">
        <v>6787</v>
      </c>
      <c r="C1048" s="24" t="s">
        <v>6853</v>
      </c>
      <c r="D1048" s="59">
        <v>1.0</v>
      </c>
      <c r="E1048" s="59">
        <v>1.0</v>
      </c>
      <c r="F1048" s="59">
        <v>1.0</v>
      </c>
      <c r="G1048" s="60">
        <v>1.0</v>
      </c>
      <c r="H1048" s="60">
        <v>1.0</v>
      </c>
      <c r="I1048" s="60">
        <v>9.225338</v>
      </c>
      <c r="J1048" s="59">
        <v>1.0</v>
      </c>
      <c r="K1048" s="61">
        <f t="shared" si="1"/>
        <v>1</v>
      </c>
      <c r="L1048" s="62">
        <f t="shared" si="2"/>
        <v>1</v>
      </c>
    </row>
    <row r="1049">
      <c r="A1049" s="58">
        <v>46054.0</v>
      </c>
      <c r="B1049" s="24" t="s">
        <v>6789</v>
      </c>
      <c r="C1049" s="24" t="s">
        <v>6853</v>
      </c>
      <c r="D1049" s="59">
        <v>1.0</v>
      </c>
      <c r="E1049" s="59">
        <v>1.0</v>
      </c>
      <c r="F1049" s="59">
        <v>1.0</v>
      </c>
      <c r="G1049" s="60">
        <v>1.0</v>
      </c>
      <c r="H1049" s="60">
        <v>0.0</v>
      </c>
      <c r="I1049" s="60">
        <v>33.220965</v>
      </c>
      <c r="J1049" s="59">
        <v>1.0</v>
      </c>
      <c r="K1049" s="61">
        <f t="shared" si="1"/>
        <v>1</v>
      </c>
      <c r="L1049" s="62">
        <f t="shared" si="2"/>
        <v>1</v>
      </c>
    </row>
    <row r="1050">
      <c r="A1050" s="58">
        <v>46054.0</v>
      </c>
      <c r="B1050" s="24" t="s">
        <v>6789</v>
      </c>
      <c r="C1050" s="24" t="s">
        <v>6922</v>
      </c>
      <c r="D1050" s="59">
        <v>1.0</v>
      </c>
      <c r="E1050" s="59">
        <v>1.0</v>
      </c>
      <c r="F1050" s="59">
        <v>0.0</v>
      </c>
      <c r="G1050" s="60">
        <v>0.0</v>
      </c>
      <c r="H1050" s="60">
        <v>1.0</v>
      </c>
      <c r="I1050" s="60">
        <v>0.0</v>
      </c>
      <c r="J1050" s="59">
        <v>1.0</v>
      </c>
      <c r="K1050" s="61">
        <f t="shared" si="1"/>
        <v>0</v>
      </c>
      <c r="L1050" s="62">
        <f t="shared" si="2"/>
        <v>1</v>
      </c>
    </row>
    <row r="1051">
      <c r="A1051" s="58">
        <v>46054.0</v>
      </c>
      <c r="B1051" s="24" t="s">
        <v>6787</v>
      </c>
      <c r="C1051" s="24" t="s">
        <v>6923</v>
      </c>
      <c r="D1051" s="59">
        <v>1.0</v>
      </c>
      <c r="E1051" s="59">
        <v>1.0</v>
      </c>
      <c r="F1051" s="59">
        <v>1.0</v>
      </c>
      <c r="G1051" s="60">
        <v>1.0</v>
      </c>
      <c r="H1051" s="60">
        <v>1.0</v>
      </c>
      <c r="I1051" s="60">
        <v>0.0</v>
      </c>
      <c r="J1051" s="59">
        <v>1.0</v>
      </c>
      <c r="K1051" s="61">
        <f t="shared" si="1"/>
        <v>1</v>
      </c>
      <c r="L1051" s="62">
        <f t="shared" si="2"/>
        <v>1</v>
      </c>
    </row>
    <row r="1052">
      <c r="A1052" s="58">
        <v>46054.0</v>
      </c>
      <c r="B1052" s="24" t="s">
        <v>6787</v>
      </c>
      <c r="C1052" s="24" t="s">
        <v>7113</v>
      </c>
      <c r="D1052" s="59">
        <v>1.0</v>
      </c>
      <c r="E1052" s="59">
        <v>2.0</v>
      </c>
      <c r="F1052" s="59">
        <v>0.0</v>
      </c>
      <c r="G1052" s="60">
        <v>2.0</v>
      </c>
      <c r="H1052" s="60">
        <v>1.0</v>
      </c>
      <c r="I1052" s="60">
        <v>5.6084095</v>
      </c>
      <c r="J1052" s="59">
        <v>2.0</v>
      </c>
      <c r="K1052" s="61">
        <f t="shared" si="1"/>
        <v>0</v>
      </c>
      <c r="L1052" s="62">
        <f t="shared" si="2"/>
        <v>1</v>
      </c>
    </row>
    <row r="1053">
      <c r="A1053" s="58">
        <v>46054.0</v>
      </c>
      <c r="B1053" s="24" t="s">
        <v>6789</v>
      </c>
      <c r="C1053" s="24" t="s">
        <v>7048</v>
      </c>
      <c r="D1053" s="59">
        <v>1.0</v>
      </c>
      <c r="E1053" s="59">
        <v>3.0</v>
      </c>
      <c r="F1053" s="59">
        <v>0.0</v>
      </c>
      <c r="G1053" s="60">
        <v>3.0</v>
      </c>
      <c r="H1053" s="60">
        <v>0.333333333333333</v>
      </c>
      <c r="I1053" s="60">
        <v>1648.45499466666</v>
      </c>
      <c r="J1053" s="59">
        <v>16.0</v>
      </c>
      <c r="K1053" s="61">
        <f t="shared" si="1"/>
        <v>0</v>
      </c>
      <c r="L1053" s="62">
        <f t="shared" si="2"/>
        <v>5.333333333</v>
      </c>
    </row>
    <row r="1054">
      <c r="A1054" s="58">
        <v>46054.0</v>
      </c>
      <c r="B1054" s="24" t="s">
        <v>6787</v>
      </c>
      <c r="C1054" s="24" t="s">
        <v>7114</v>
      </c>
      <c r="D1054" s="59">
        <v>1.0</v>
      </c>
      <c r="E1054" s="59">
        <v>2.0</v>
      </c>
      <c r="F1054" s="59">
        <v>0.0</v>
      </c>
      <c r="G1054" s="60">
        <v>2.0</v>
      </c>
      <c r="H1054" s="60">
        <v>0.5</v>
      </c>
      <c r="I1054" s="60">
        <v>1208.365153</v>
      </c>
      <c r="J1054" s="59">
        <v>14.0</v>
      </c>
      <c r="K1054" s="61">
        <f t="shared" si="1"/>
        <v>0</v>
      </c>
      <c r="L1054" s="62">
        <f t="shared" si="2"/>
        <v>7</v>
      </c>
    </row>
    <row r="1055">
      <c r="A1055" s="58">
        <v>46054.0</v>
      </c>
      <c r="B1055" s="24" t="s">
        <v>6787</v>
      </c>
      <c r="C1055" s="24" t="s">
        <v>7115</v>
      </c>
      <c r="D1055" s="59">
        <v>1.0</v>
      </c>
      <c r="E1055" s="59">
        <v>2.0</v>
      </c>
      <c r="F1055" s="59">
        <v>0.0</v>
      </c>
      <c r="G1055" s="60">
        <v>2.0</v>
      </c>
      <c r="H1055" s="60">
        <v>1.0</v>
      </c>
      <c r="I1055" s="60">
        <v>0.0</v>
      </c>
      <c r="J1055" s="59">
        <v>2.0</v>
      </c>
      <c r="K1055" s="61">
        <f t="shared" si="1"/>
        <v>0</v>
      </c>
      <c r="L1055" s="62">
        <f t="shared" si="2"/>
        <v>1</v>
      </c>
    </row>
    <row r="1056">
      <c r="A1056" s="58">
        <v>46054.0</v>
      </c>
      <c r="B1056" s="24" t="s">
        <v>6789</v>
      </c>
      <c r="C1056" s="24" t="s">
        <v>7115</v>
      </c>
      <c r="D1056" s="59">
        <v>1.0</v>
      </c>
      <c r="E1056" s="59">
        <v>1.0</v>
      </c>
      <c r="F1056" s="59">
        <v>0.0</v>
      </c>
      <c r="G1056" s="60">
        <v>1.0</v>
      </c>
      <c r="H1056" s="60">
        <v>0.0</v>
      </c>
      <c r="I1056" s="60">
        <v>114.817759</v>
      </c>
      <c r="J1056" s="59">
        <v>6.0</v>
      </c>
      <c r="K1056" s="61">
        <f t="shared" si="1"/>
        <v>0</v>
      </c>
      <c r="L1056" s="62">
        <f t="shared" si="2"/>
        <v>6</v>
      </c>
    </row>
    <row r="1057">
      <c r="A1057" s="58">
        <v>46054.0</v>
      </c>
      <c r="B1057" s="24" t="s">
        <v>6787</v>
      </c>
      <c r="C1057" s="24" t="s">
        <v>7116</v>
      </c>
      <c r="D1057" s="59">
        <v>1.0</v>
      </c>
      <c r="E1057" s="59">
        <v>1.0</v>
      </c>
      <c r="F1057" s="59">
        <v>0.0</v>
      </c>
      <c r="G1057" s="60">
        <v>1.0</v>
      </c>
      <c r="H1057" s="60">
        <v>1.0</v>
      </c>
      <c r="I1057" s="60">
        <v>6.270784</v>
      </c>
      <c r="J1057" s="59">
        <v>1.0</v>
      </c>
      <c r="K1057" s="61">
        <f t="shared" si="1"/>
        <v>0</v>
      </c>
      <c r="L1057" s="62">
        <f t="shared" si="2"/>
        <v>1</v>
      </c>
    </row>
    <row r="1058">
      <c r="A1058" s="58">
        <v>46054.0</v>
      </c>
      <c r="B1058" s="24" t="s">
        <v>6789</v>
      </c>
      <c r="C1058" s="24" t="s">
        <v>7116</v>
      </c>
      <c r="D1058" s="59">
        <v>1.0</v>
      </c>
      <c r="E1058" s="59">
        <v>1.0</v>
      </c>
      <c r="F1058" s="59">
        <v>1.0</v>
      </c>
      <c r="G1058" s="60">
        <v>1.0</v>
      </c>
      <c r="H1058" s="60">
        <v>1.0</v>
      </c>
      <c r="I1058" s="60">
        <v>3.903282</v>
      </c>
      <c r="J1058" s="59">
        <v>1.0</v>
      </c>
      <c r="K1058" s="61">
        <f t="shared" si="1"/>
        <v>1</v>
      </c>
      <c r="L1058" s="62">
        <f t="shared" si="2"/>
        <v>1</v>
      </c>
    </row>
    <row r="1059">
      <c r="A1059" s="58">
        <v>46054.0</v>
      </c>
      <c r="B1059" s="24" t="s">
        <v>6787</v>
      </c>
      <c r="C1059" s="24" t="s">
        <v>7117</v>
      </c>
      <c r="D1059" s="59">
        <v>1.0</v>
      </c>
      <c r="E1059" s="59">
        <v>3.0</v>
      </c>
      <c r="F1059" s="59">
        <v>0.0</v>
      </c>
      <c r="G1059" s="60">
        <v>3.0</v>
      </c>
      <c r="H1059" s="60">
        <v>0.0</v>
      </c>
      <c r="I1059" s="60">
        <v>155.552838666666</v>
      </c>
      <c r="J1059" s="59">
        <v>11.0</v>
      </c>
      <c r="K1059" s="61">
        <f t="shared" si="1"/>
        <v>0</v>
      </c>
      <c r="L1059" s="62">
        <f t="shared" si="2"/>
        <v>3.666666667</v>
      </c>
    </row>
    <row r="1060">
      <c r="A1060" s="58">
        <v>46054.0</v>
      </c>
      <c r="B1060" s="24" t="s">
        <v>6789</v>
      </c>
      <c r="C1060" s="24" t="s">
        <v>7117</v>
      </c>
      <c r="D1060" s="59">
        <v>1.0</v>
      </c>
      <c r="E1060" s="59">
        <v>2.0</v>
      </c>
      <c r="F1060" s="59">
        <v>0.0</v>
      </c>
      <c r="G1060" s="60">
        <v>2.0</v>
      </c>
      <c r="H1060" s="60">
        <v>0.0</v>
      </c>
      <c r="I1060" s="60">
        <v>51.2012694999999</v>
      </c>
      <c r="J1060" s="59">
        <v>10.0</v>
      </c>
      <c r="K1060" s="61">
        <f t="shared" si="1"/>
        <v>0</v>
      </c>
      <c r="L1060" s="62">
        <f t="shared" si="2"/>
        <v>5</v>
      </c>
    </row>
    <row r="1061">
      <c r="A1061" s="58">
        <v>46054.0</v>
      </c>
      <c r="B1061" s="24" t="s">
        <v>6789</v>
      </c>
      <c r="C1061" s="24" t="s">
        <v>6810</v>
      </c>
      <c r="D1061" s="59">
        <v>1.0</v>
      </c>
      <c r="E1061" s="59">
        <v>1.0</v>
      </c>
      <c r="F1061" s="59">
        <v>1.0</v>
      </c>
      <c r="G1061" s="60">
        <v>1.0</v>
      </c>
      <c r="H1061" s="60">
        <v>1.0</v>
      </c>
      <c r="I1061" s="60">
        <v>0.0</v>
      </c>
      <c r="J1061" s="59">
        <v>1.0</v>
      </c>
      <c r="K1061" s="61">
        <f t="shared" si="1"/>
        <v>1</v>
      </c>
      <c r="L1061" s="62">
        <f t="shared" si="2"/>
        <v>1</v>
      </c>
    </row>
    <row r="1062">
      <c r="A1062" s="58">
        <v>46054.0</v>
      </c>
      <c r="B1062" s="24" t="s">
        <v>155</v>
      </c>
      <c r="C1062" s="24" t="s">
        <v>6810</v>
      </c>
      <c r="D1062" s="59">
        <v>1.0</v>
      </c>
      <c r="E1062" s="59">
        <v>1.0</v>
      </c>
      <c r="F1062" s="59">
        <v>1.0</v>
      </c>
      <c r="G1062" s="60">
        <v>1.0</v>
      </c>
      <c r="H1062" s="60">
        <v>0.0</v>
      </c>
      <c r="I1062" s="60">
        <v>84.475796</v>
      </c>
      <c r="J1062" s="59">
        <v>2.0</v>
      </c>
      <c r="K1062" s="61">
        <f t="shared" si="1"/>
        <v>1</v>
      </c>
      <c r="L1062" s="62">
        <f t="shared" si="2"/>
        <v>2</v>
      </c>
    </row>
    <row r="1063">
      <c r="A1063" s="58">
        <v>46054.0</v>
      </c>
      <c r="B1063" s="24" t="s">
        <v>155</v>
      </c>
      <c r="C1063" s="24" t="s">
        <v>6940</v>
      </c>
      <c r="D1063" s="59">
        <v>1.0</v>
      </c>
      <c r="E1063" s="59">
        <v>1.0</v>
      </c>
      <c r="F1063" s="59">
        <v>0.0</v>
      </c>
      <c r="G1063" s="60">
        <v>1.0</v>
      </c>
      <c r="H1063" s="60">
        <v>0.0</v>
      </c>
      <c r="I1063" s="60">
        <v>588.192181</v>
      </c>
      <c r="J1063" s="59">
        <v>3.0</v>
      </c>
      <c r="K1063" s="61">
        <f t="shared" si="1"/>
        <v>0</v>
      </c>
      <c r="L1063" s="62">
        <f t="shared" si="2"/>
        <v>3</v>
      </c>
    </row>
    <row r="1064">
      <c r="A1064" s="58">
        <v>46054.0</v>
      </c>
      <c r="B1064" s="24" t="s">
        <v>6787</v>
      </c>
      <c r="C1064" s="24" t="s">
        <v>7118</v>
      </c>
      <c r="D1064" s="59">
        <v>1.0</v>
      </c>
      <c r="E1064" s="59">
        <v>1.0</v>
      </c>
      <c r="F1064" s="59">
        <v>1.0</v>
      </c>
      <c r="G1064" s="60">
        <v>1.0</v>
      </c>
      <c r="H1064" s="60">
        <v>1.0</v>
      </c>
      <c r="I1064" s="60">
        <v>0.0</v>
      </c>
      <c r="J1064" s="59">
        <v>1.0</v>
      </c>
      <c r="K1064" s="61">
        <f t="shared" si="1"/>
        <v>1</v>
      </c>
      <c r="L1064" s="62">
        <f t="shared" si="2"/>
        <v>1</v>
      </c>
    </row>
    <row r="1065">
      <c r="A1065" s="58">
        <v>46054.0</v>
      </c>
      <c r="B1065" s="24" t="s">
        <v>6789</v>
      </c>
      <c r="C1065" s="24" t="s">
        <v>7118</v>
      </c>
      <c r="D1065" s="59">
        <v>1.0</v>
      </c>
      <c r="E1065" s="59">
        <v>1.0</v>
      </c>
      <c r="F1065" s="59">
        <v>1.0</v>
      </c>
      <c r="G1065" s="60">
        <v>1.0</v>
      </c>
      <c r="H1065" s="60">
        <v>1.0</v>
      </c>
      <c r="I1065" s="60">
        <v>0.0</v>
      </c>
      <c r="J1065" s="59">
        <v>1.0</v>
      </c>
      <c r="K1065" s="61">
        <f t="shared" si="1"/>
        <v>1</v>
      </c>
      <c r="L1065" s="62">
        <f t="shared" si="2"/>
        <v>1</v>
      </c>
    </row>
    <row r="1066">
      <c r="A1066" s="58">
        <v>46054.0</v>
      </c>
      <c r="B1066" s="24" t="s">
        <v>6787</v>
      </c>
      <c r="C1066" s="24" t="s">
        <v>6941</v>
      </c>
      <c r="D1066" s="59">
        <v>1.0</v>
      </c>
      <c r="E1066" s="59">
        <v>1.0</v>
      </c>
      <c r="F1066" s="59">
        <v>1.0</v>
      </c>
      <c r="G1066" s="60">
        <v>1.0</v>
      </c>
      <c r="H1066" s="60">
        <v>1.0</v>
      </c>
      <c r="I1066" s="60">
        <v>6.879847</v>
      </c>
      <c r="J1066" s="59">
        <v>1.0</v>
      </c>
      <c r="K1066" s="61">
        <f t="shared" si="1"/>
        <v>1</v>
      </c>
      <c r="L1066" s="62">
        <f t="shared" si="2"/>
        <v>1</v>
      </c>
    </row>
    <row r="1067">
      <c r="A1067" s="58">
        <v>46054.0</v>
      </c>
      <c r="B1067" s="24" t="s">
        <v>6789</v>
      </c>
      <c r="C1067" s="24" t="s">
        <v>6924</v>
      </c>
      <c r="D1067" s="59">
        <v>1.0</v>
      </c>
      <c r="E1067" s="59">
        <v>2.0</v>
      </c>
      <c r="F1067" s="59">
        <v>0.0</v>
      </c>
      <c r="G1067" s="60">
        <v>2.0</v>
      </c>
      <c r="H1067" s="60">
        <v>0.5</v>
      </c>
      <c r="I1067" s="60">
        <v>495.202597</v>
      </c>
      <c r="J1067" s="59">
        <v>9.0</v>
      </c>
      <c r="K1067" s="61">
        <f t="shared" si="1"/>
        <v>0</v>
      </c>
      <c r="L1067" s="62">
        <f t="shared" si="2"/>
        <v>4.5</v>
      </c>
    </row>
    <row r="1068">
      <c r="A1068" s="58">
        <v>46054.0</v>
      </c>
      <c r="B1068" s="24" t="s">
        <v>6794</v>
      </c>
      <c r="C1068" s="24" t="s">
        <v>6802</v>
      </c>
      <c r="D1068" s="59">
        <v>1.0</v>
      </c>
      <c r="E1068" s="59">
        <v>1.0</v>
      </c>
      <c r="F1068" s="59">
        <v>0.0</v>
      </c>
      <c r="G1068" s="60">
        <v>1.0</v>
      </c>
      <c r="H1068" s="60">
        <v>0.0</v>
      </c>
      <c r="I1068" s="60">
        <v>5968.727647</v>
      </c>
      <c r="J1068" s="59">
        <v>15.0</v>
      </c>
      <c r="K1068" s="61">
        <f t="shared" si="1"/>
        <v>0</v>
      </c>
      <c r="L1068" s="62">
        <f t="shared" si="2"/>
        <v>15</v>
      </c>
    </row>
    <row r="1069">
      <c r="A1069" s="58">
        <v>46023.0</v>
      </c>
      <c r="B1069" s="24" t="s">
        <v>6787</v>
      </c>
      <c r="C1069" s="24" t="s">
        <v>6788</v>
      </c>
      <c r="D1069" s="59">
        <v>764.0</v>
      </c>
      <c r="E1069" s="59">
        <v>920.0</v>
      </c>
      <c r="F1069" s="59">
        <v>702.0</v>
      </c>
      <c r="G1069" s="60">
        <v>1.21854304635761</v>
      </c>
      <c r="H1069" s="60">
        <v>0.728260869565217</v>
      </c>
      <c r="I1069" s="60">
        <v>54.1097626326086</v>
      </c>
      <c r="J1069" s="59">
        <v>1150.0</v>
      </c>
      <c r="K1069" s="61">
        <f t="shared" si="1"/>
        <v>0.7630434783</v>
      </c>
      <c r="L1069" s="62">
        <f t="shared" si="2"/>
        <v>1.25</v>
      </c>
    </row>
    <row r="1070">
      <c r="A1070" s="58">
        <v>46023.0</v>
      </c>
      <c r="B1070" s="24" t="s">
        <v>6789</v>
      </c>
      <c r="C1070" s="24" t="s">
        <v>6788</v>
      </c>
      <c r="D1070" s="59">
        <v>653.0</v>
      </c>
      <c r="E1070" s="59">
        <v>894.0</v>
      </c>
      <c r="F1070" s="59">
        <v>538.0</v>
      </c>
      <c r="G1070" s="60">
        <v>1.39469578783151</v>
      </c>
      <c r="H1070" s="60">
        <v>0.563758389261744</v>
      </c>
      <c r="I1070" s="60">
        <v>145.386982870246</v>
      </c>
      <c r="J1070" s="59">
        <v>1370.0</v>
      </c>
      <c r="K1070" s="61">
        <f t="shared" si="1"/>
        <v>0.6017897092</v>
      </c>
      <c r="L1070" s="62">
        <f t="shared" si="2"/>
        <v>1.532438479</v>
      </c>
    </row>
    <row r="1071">
      <c r="A1071" s="58">
        <v>46023.0</v>
      </c>
      <c r="B1071" s="24" t="s">
        <v>6791</v>
      </c>
      <c r="C1071" s="24" t="s">
        <v>7021</v>
      </c>
      <c r="D1071" s="59">
        <v>278.0</v>
      </c>
      <c r="E1071" s="59">
        <v>326.0</v>
      </c>
      <c r="F1071" s="59">
        <v>239.0</v>
      </c>
      <c r="G1071" s="60">
        <v>1.18545454545454</v>
      </c>
      <c r="H1071" s="60">
        <v>0.524539877300613</v>
      </c>
      <c r="I1071" s="60">
        <v>135.350796957055</v>
      </c>
      <c r="J1071" s="59">
        <v>485.0</v>
      </c>
      <c r="K1071" s="61">
        <f t="shared" si="1"/>
        <v>0.7331288344</v>
      </c>
      <c r="L1071" s="62">
        <f t="shared" si="2"/>
        <v>1.487730061</v>
      </c>
    </row>
    <row r="1072">
      <c r="A1072" s="58">
        <v>46023.0</v>
      </c>
      <c r="B1072" s="24" t="s">
        <v>6789</v>
      </c>
      <c r="C1072" s="24" t="s">
        <v>6792</v>
      </c>
      <c r="D1072" s="59">
        <v>172.0</v>
      </c>
      <c r="E1072" s="59">
        <v>189.0</v>
      </c>
      <c r="F1072" s="59">
        <v>0.0</v>
      </c>
      <c r="G1072" s="60">
        <v>1.9090909090909</v>
      </c>
      <c r="H1072" s="60">
        <v>0.984126984126984</v>
      </c>
      <c r="I1072" s="60">
        <v>11.6529364497354</v>
      </c>
      <c r="J1072" s="59">
        <v>0.0</v>
      </c>
      <c r="K1072" s="61">
        <f t="shared" si="1"/>
        <v>0</v>
      </c>
      <c r="L1072" s="62">
        <f t="shared" si="2"/>
        <v>0</v>
      </c>
    </row>
    <row r="1073">
      <c r="A1073" s="58">
        <v>46023.0</v>
      </c>
      <c r="B1073" s="24" t="s">
        <v>155</v>
      </c>
      <c r="C1073" s="24" t="s">
        <v>6788</v>
      </c>
      <c r="D1073" s="59">
        <v>115.0</v>
      </c>
      <c r="E1073" s="59">
        <v>335.0</v>
      </c>
      <c r="F1073" s="59">
        <v>64.0</v>
      </c>
      <c r="G1073" s="60">
        <v>2.9646017699115</v>
      </c>
      <c r="H1073" s="60">
        <v>0.725373134328358</v>
      </c>
      <c r="I1073" s="60">
        <v>102.293415525373</v>
      </c>
      <c r="J1073" s="59">
        <v>446.0</v>
      </c>
      <c r="K1073" s="61">
        <f t="shared" si="1"/>
        <v>0.1910447761</v>
      </c>
      <c r="L1073" s="62">
        <f t="shared" si="2"/>
        <v>1.331343284</v>
      </c>
    </row>
    <row r="1074">
      <c r="A1074" s="58">
        <v>46023.0</v>
      </c>
      <c r="B1074" s="24" t="s">
        <v>3216</v>
      </c>
      <c r="C1074" s="24" t="s">
        <v>6871</v>
      </c>
      <c r="D1074" s="59">
        <v>75.0</v>
      </c>
      <c r="E1074" s="59">
        <v>75.0</v>
      </c>
      <c r="F1074" s="59">
        <v>75.0</v>
      </c>
      <c r="G1074" s="60">
        <v>1.0</v>
      </c>
      <c r="H1074" s="60">
        <v>0.973333333333333</v>
      </c>
      <c r="I1074" s="60">
        <v>1.63084481333333</v>
      </c>
      <c r="J1074" s="59">
        <v>75.0</v>
      </c>
      <c r="K1074" s="61">
        <f t="shared" si="1"/>
        <v>1</v>
      </c>
      <c r="L1074" s="62">
        <f t="shared" si="2"/>
        <v>1</v>
      </c>
    </row>
    <row r="1075">
      <c r="A1075" s="58">
        <v>46023.0</v>
      </c>
      <c r="B1075" s="24" t="s">
        <v>6787</v>
      </c>
      <c r="C1075" s="24" t="s">
        <v>6792</v>
      </c>
      <c r="D1075" s="59">
        <v>71.0</v>
      </c>
      <c r="E1075" s="59">
        <v>82.0</v>
      </c>
      <c r="F1075" s="59">
        <v>0.0</v>
      </c>
      <c r="G1075" s="60">
        <v>2.05</v>
      </c>
      <c r="H1075" s="60">
        <v>0.98780487804878</v>
      </c>
      <c r="I1075" s="60">
        <v>9.16521807317073</v>
      </c>
      <c r="J1075" s="59">
        <v>0.0</v>
      </c>
      <c r="K1075" s="61">
        <f t="shared" si="1"/>
        <v>0</v>
      </c>
      <c r="L1075" s="62">
        <f t="shared" si="2"/>
        <v>0</v>
      </c>
    </row>
    <row r="1076">
      <c r="A1076" s="58">
        <v>46023.0</v>
      </c>
      <c r="B1076" s="24" t="s">
        <v>3216</v>
      </c>
      <c r="C1076" s="24" t="s">
        <v>6932</v>
      </c>
      <c r="D1076" s="59">
        <v>65.0</v>
      </c>
      <c r="E1076" s="59">
        <v>65.0</v>
      </c>
      <c r="F1076" s="59">
        <v>65.0</v>
      </c>
      <c r="G1076" s="60">
        <v>1.0</v>
      </c>
      <c r="H1076" s="60">
        <v>0.938461538461538</v>
      </c>
      <c r="I1076" s="60">
        <v>5.7654107076923</v>
      </c>
      <c r="J1076" s="59">
        <v>65.0</v>
      </c>
      <c r="K1076" s="61">
        <f t="shared" si="1"/>
        <v>1</v>
      </c>
      <c r="L1076" s="62">
        <f t="shared" si="2"/>
        <v>1</v>
      </c>
    </row>
    <row r="1077">
      <c r="A1077" s="58">
        <v>46023.0</v>
      </c>
      <c r="B1077" s="24" t="s">
        <v>6794</v>
      </c>
      <c r="C1077" s="24" t="s">
        <v>6788</v>
      </c>
      <c r="D1077" s="59">
        <v>63.0</v>
      </c>
      <c r="E1077" s="59">
        <v>68.0</v>
      </c>
      <c r="F1077" s="59">
        <v>52.0</v>
      </c>
      <c r="G1077" s="60">
        <v>1.09677419354838</v>
      </c>
      <c r="H1077" s="60">
        <v>0.338235294117647</v>
      </c>
      <c r="I1077" s="60">
        <v>239.858292867647</v>
      </c>
      <c r="J1077" s="59">
        <v>123.0</v>
      </c>
      <c r="K1077" s="61">
        <f t="shared" si="1"/>
        <v>0.7647058824</v>
      </c>
      <c r="L1077" s="62">
        <f t="shared" si="2"/>
        <v>1.808823529</v>
      </c>
    </row>
    <row r="1078">
      <c r="A1078" s="58">
        <v>46023.0</v>
      </c>
      <c r="B1078" s="24" t="s">
        <v>6791</v>
      </c>
      <c r="C1078" s="24" t="s">
        <v>6792</v>
      </c>
      <c r="D1078" s="59">
        <v>54.0</v>
      </c>
      <c r="E1078" s="59">
        <v>61.0</v>
      </c>
      <c r="F1078" s="59">
        <v>0.0</v>
      </c>
      <c r="G1078" s="60">
        <v>2.25925925925925</v>
      </c>
      <c r="H1078" s="60">
        <v>0.983606557377049</v>
      </c>
      <c r="I1078" s="60">
        <v>5.71759349180327</v>
      </c>
      <c r="J1078" s="59">
        <v>0.0</v>
      </c>
      <c r="K1078" s="61">
        <f t="shared" si="1"/>
        <v>0</v>
      </c>
      <c r="L1078" s="62">
        <f t="shared" si="2"/>
        <v>0</v>
      </c>
    </row>
    <row r="1079">
      <c r="A1079" s="58">
        <v>46023.0</v>
      </c>
      <c r="B1079" s="24" t="s">
        <v>3216</v>
      </c>
      <c r="C1079" s="24" t="s">
        <v>6860</v>
      </c>
      <c r="D1079" s="59">
        <v>43.0</v>
      </c>
      <c r="E1079" s="59">
        <v>43.0</v>
      </c>
      <c r="F1079" s="59">
        <v>43.0</v>
      </c>
      <c r="G1079" s="60">
        <v>1.0</v>
      </c>
      <c r="H1079" s="60">
        <v>0.953488372093023</v>
      </c>
      <c r="I1079" s="60">
        <v>2.28654758139534</v>
      </c>
      <c r="J1079" s="59">
        <v>43.0</v>
      </c>
      <c r="K1079" s="61">
        <f t="shared" si="1"/>
        <v>1</v>
      </c>
      <c r="L1079" s="62">
        <f t="shared" si="2"/>
        <v>1</v>
      </c>
    </row>
    <row r="1080">
      <c r="A1080" s="58">
        <v>46023.0</v>
      </c>
      <c r="B1080" s="24" t="s">
        <v>6787</v>
      </c>
      <c r="C1080" s="24" t="s">
        <v>6828</v>
      </c>
      <c r="D1080" s="59">
        <v>40.0</v>
      </c>
      <c r="E1080" s="59">
        <v>40.0</v>
      </c>
      <c r="F1080" s="59">
        <v>40.0</v>
      </c>
      <c r="G1080" s="60">
        <v>1.0</v>
      </c>
      <c r="H1080" s="60">
        <v>0.55</v>
      </c>
      <c r="I1080" s="60">
        <v>14.0501034999999</v>
      </c>
      <c r="J1080" s="59">
        <v>40.0</v>
      </c>
      <c r="K1080" s="61">
        <f t="shared" si="1"/>
        <v>1</v>
      </c>
      <c r="L1080" s="62">
        <f t="shared" si="2"/>
        <v>1</v>
      </c>
    </row>
    <row r="1081">
      <c r="A1081" s="58">
        <v>46023.0</v>
      </c>
      <c r="B1081" s="24" t="s">
        <v>6789</v>
      </c>
      <c r="C1081" s="24" t="s">
        <v>6808</v>
      </c>
      <c r="D1081" s="59">
        <v>40.0</v>
      </c>
      <c r="E1081" s="59">
        <v>45.0</v>
      </c>
      <c r="F1081" s="59">
        <v>23.0</v>
      </c>
      <c r="G1081" s="60">
        <v>1.18421052631578</v>
      </c>
      <c r="H1081" s="60">
        <v>0.466666666666666</v>
      </c>
      <c r="I1081" s="60">
        <v>248.612017044444</v>
      </c>
      <c r="J1081" s="59">
        <v>58.0</v>
      </c>
      <c r="K1081" s="61">
        <f t="shared" si="1"/>
        <v>0.5111111111</v>
      </c>
      <c r="L1081" s="62">
        <f t="shared" si="2"/>
        <v>1.288888889</v>
      </c>
    </row>
    <row r="1082">
      <c r="A1082" s="58">
        <v>46023.0</v>
      </c>
      <c r="B1082" s="24" t="s">
        <v>3216</v>
      </c>
      <c r="C1082" s="24" t="s">
        <v>6835</v>
      </c>
      <c r="D1082" s="59">
        <v>39.0</v>
      </c>
      <c r="E1082" s="59">
        <v>39.0</v>
      </c>
      <c r="F1082" s="59">
        <v>39.0</v>
      </c>
      <c r="G1082" s="60">
        <v>1.0</v>
      </c>
      <c r="H1082" s="60">
        <v>0.897435897435897</v>
      </c>
      <c r="I1082" s="60">
        <v>2.94224876923076</v>
      </c>
      <c r="J1082" s="59">
        <v>39.0</v>
      </c>
      <c r="K1082" s="61">
        <f t="shared" si="1"/>
        <v>1</v>
      </c>
      <c r="L1082" s="62">
        <f t="shared" si="2"/>
        <v>1</v>
      </c>
    </row>
    <row r="1083">
      <c r="A1083" s="58">
        <v>46023.0</v>
      </c>
      <c r="B1083" s="24" t="s">
        <v>3216</v>
      </c>
      <c r="C1083" s="24" t="s">
        <v>6854</v>
      </c>
      <c r="D1083" s="59">
        <v>35.0</v>
      </c>
      <c r="E1083" s="59">
        <v>35.0</v>
      </c>
      <c r="F1083" s="59">
        <v>34.0</v>
      </c>
      <c r="G1083" s="60">
        <v>1.0</v>
      </c>
      <c r="H1083" s="60">
        <v>0.971428571428571</v>
      </c>
      <c r="I1083" s="60">
        <v>19.7365722</v>
      </c>
      <c r="J1083" s="59">
        <v>41.0</v>
      </c>
      <c r="K1083" s="61">
        <f t="shared" si="1"/>
        <v>0.9714285714</v>
      </c>
      <c r="L1083" s="62">
        <f t="shared" si="2"/>
        <v>1.171428571</v>
      </c>
    </row>
    <row r="1084">
      <c r="A1084" s="58">
        <v>46023.0</v>
      </c>
      <c r="B1084" s="24" t="s">
        <v>6787</v>
      </c>
      <c r="C1084" s="24" t="s">
        <v>6822</v>
      </c>
      <c r="D1084" s="59">
        <v>34.0</v>
      </c>
      <c r="E1084" s="59">
        <v>34.0</v>
      </c>
      <c r="F1084" s="59">
        <v>33.0</v>
      </c>
      <c r="G1084" s="60">
        <v>1.0</v>
      </c>
      <c r="H1084" s="60">
        <v>0.0588235294117647</v>
      </c>
      <c r="I1084" s="60">
        <v>45.9945722941176</v>
      </c>
      <c r="J1084" s="59">
        <v>70.0</v>
      </c>
      <c r="K1084" s="61">
        <f t="shared" si="1"/>
        <v>0.9705882353</v>
      </c>
      <c r="L1084" s="62">
        <f t="shared" si="2"/>
        <v>2.058823529</v>
      </c>
    </row>
    <row r="1085">
      <c r="A1085" s="58">
        <v>46023.0</v>
      </c>
      <c r="B1085" s="24" t="s">
        <v>3216</v>
      </c>
      <c r="C1085" s="24" t="s">
        <v>6858</v>
      </c>
      <c r="D1085" s="59">
        <v>32.0</v>
      </c>
      <c r="E1085" s="59">
        <v>32.0</v>
      </c>
      <c r="F1085" s="59">
        <v>32.0</v>
      </c>
      <c r="G1085" s="60">
        <v>1.0</v>
      </c>
      <c r="H1085" s="60">
        <v>0.9375</v>
      </c>
      <c r="I1085" s="60">
        <v>0.9751250625</v>
      </c>
      <c r="J1085" s="59">
        <v>32.0</v>
      </c>
      <c r="K1085" s="61">
        <f t="shared" si="1"/>
        <v>1</v>
      </c>
      <c r="L1085" s="62">
        <f t="shared" si="2"/>
        <v>1</v>
      </c>
    </row>
    <row r="1086">
      <c r="A1086" s="58">
        <v>46023.0</v>
      </c>
      <c r="B1086" s="24" t="s">
        <v>6789</v>
      </c>
      <c r="C1086" s="24" t="s">
        <v>6809</v>
      </c>
      <c r="D1086" s="59">
        <v>32.0</v>
      </c>
      <c r="E1086" s="59">
        <v>36.0</v>
      </c>
      <c r="F1086" s="59">
        <v>29.0</v>
      </c>
      <c r="G1086" s="60">
        <v>1.125</v>
      </c>
      <c r="H1086" s="60">
        <v>0.333333333333333</v>
      </c>
      <c r="I1086" s="60">
        <v>318.818413777777</v>
      </c>
      <c r="J1086" s="59">
        <v>64.0</v>
      </c>
      <c r="K1086" s="61">
        <f t="shared" si="1"/>
        <v>0.8055555556</v>
      </c>
      <c r="L1086" s="62">
        <f t="shared" si="2"/>
        <v>1.777777778</v>
      </c>
    </row>
    <row r="1087">
      <c r="A1087" s="58">
        <v>46023.0</v>
      </c>
      <c r="B1087" s="24" t="s">
        <v>6787</v>
      </c>
      <c r="C1087" s="24" t="s">
        <v>6796</v>
      </c>
      <c r="D1087" s="59">
        <v>30.0</v>
      </c>
      <c r="E1087" s="59">
        <v>30.0</v>
      </c>
      <c r="F1087" s="59">
        <v>30.0</v>
      </c>
      <c r="G1087" s="60">
        <v>1.0</v>
      </c>
      <c r="H1087" s="60">
        <v>0.733333333333333</v>
      </c>
      <c r="I1087" s="60">
        <v>11.1838524333333</v>
      </c>
      <c r="J1087" s="59">
        <v>31.0</v>
      </c>
      <c r="K1087" s="61">
        <f t="shared" si="1"/>
        <v>1</v>
      </c>
      <c r="L1087" s="62">
        <f t="shared" si="2"/>
        <v>1.033333333</v>
      </c>
    </row>
    <row r="1088">
      <c r="A1088" s="58">
        <v>46023.0</v>
      </c>
      <c r="B1088" s="24" t="s">
        <v>6791</v>
      </c>
      <c r="C1088" s="24" t="s">
        <v>7119</v>
      </c>
      <c r="D1088" s="59">
        <v>29.0</v>
      </c>
      <c r="E1088" s="59">
        <v>29.0</v>
      </c>
      <c r="F1088" s="59">
        <v>28.0</v>
      </c>
      <c r="G1088" s="60">
        <v>1.0</v>
      </c>
      <c r="H1088" s="60">
        <v>0.275862068965517</v>
      </c>
      <c r="I1088" s="60">
        <v>231.612557586206</v>
      </c>
      <c r="J1088" s="59">
        <v>45.0</v>
      </c>
      <c r="K1088" s="61">
        <f t="shared" si="1"/>
        <v>0.9655172414</v>
      </c>
      <c r="L1088" s="62">
        <f t="shared" si="2"/>
        <v>1.551724138</v>
      </c>
    </row>
    <row r="1089">
      <c r="A1089" s="58">
        <v>46023.0</v>
      </c>
      <c r="B1089" s="24" t="s">
        <v>6790</v>
      </c>
      <c r="C1089" s="24" t="s">
        <v>6788</v>
      </c>
      <c r="D1089" s="59">
        <v>28.0</v>
      </c>
      <c r="E1089" s="59">
        <v>32.0</v>
      </c>
      <c r="F1089" s="59">
        <v>25.0</v>
      </c>
      <c r="G1089" s="60">
        <v>1.18518518518518</v>
      </c>
      <c r="H1089" s="60">
        <v>0.5625</v>
      </c>
      <c r="I1089" s="60">
        <v>117.86982790625</v>
      </c>
      <c r="J1089" s="59">
        <v>45.0</v>
      </c>
      <c r="K1089" s="61">
        <f t="shared" si="1"/>
        <v>0.78125</v>
      </c>
      <c r="L1089" s="62">
        <f t="shared" si="2"/>
        <v>1.40625</v>
      </c>
    </row>
    <row r="1090">
      <c r="A1090" s="58">
        <v>46023.0</v>
      </c>
      <c r="B1090" s="24" t="s">
        <v>6787</v>
      </c>
      <c r="C1090" s="24" t="s">
        <v>6802</v>
      </c>
      <c r="D1090" s="59">
        <v>27.0</v>
      </c>
      <c r="E1090" s="59">
        <v>27.0</v>
      </c>
      <c r="F1090" s="59">
        <v>25.0</v>
      </c>
      <c r="G1090" s="60">
        <v>1.0</v>
      </c>
      <c r="H1090" s="60">
        <v>0.703703703703703</v>
      </c>
      <c r="I1090" s="60">
        <v>60.9097227777777</v>
      </c>
      <c r="J1090" s="59">
        <v>36.0</v>
      </c>
      <c r="K1090" s="61">
        <f t="shared" si="1"/>
        <v>0.9259259259</v>
      </c>
      <c r="L1090" s="62">
        <f t="shared" si="2"/>
        <v>1.333333333</v>
      </c>
    </row>
    <row r="1091">
      <c r="A1091" s="58">
        <v>46023.0</v>
      </c>
      <c r="B1091" s="24" t="s">
        <v>155</v>
      </c>
      <c r="C1091" s="24" t="s">
        <v>6792</v>
      </c>
      <c r="D1091" s="59">
        <v>26.0</v>
      </c>
      <c r="E1091" s="59">
        <v>42.0</v>
      </c>
      <c r="F1091" s="59">
        <v>0.0</v>
      </c>
      <c r="G1091" s="60">
        <v>2.47058823529411</v>
      </c>
      <c r="H1091" s="60">
        <v>0.976190476190476</v>
      </c>
      <c r="I1091" s="60">
        <v>10.7476309523809</v>
      </c>
      <c r="J1091" s="59">
        <v>0.0</v>
      </c>
      <c r="K1091" s="61">
        <f t="shared" si="1"/>
        <v>0</v>
      </c>
      <c r="L1091" s="62">
        <f t="shared" si="2"/>
        <v>0</v>
      </c>
    </row>
    <row r="1092">
      <c r="A1092" s="58">
        <v>46023.0</v>
      </c>
      <c r="B1092" s="24" t="s">
        <v>6790</v>
      </c>
      <c r="C1092" s="24" t="s">
        <v>6792</v>
      </c>
      <c r="D1092" s="59">
        <v>22.0</v>
      </c>
      <c r="E1092" s="59">
        <v>22.0</v>
      </c>
      <c r="F1092" s="59">
        <v>0.0</v>
      </c>
      <c r="G1092" s="60">
        <v>1.1578947368421</v>
      </c>
      <c r="H1092" s="60">
        <v>1.0</v>
      </c>
      <c r="I1092" s="60">
        <v>4.75126336363636</v>
      </c>
      <c r="J1092" s="59">
        <v>0.0</v>
      </c>
      <c r="K1092" s="61">
        <f t="shared" si="1"/>
        <v>0</v>
      </c>
      <c r="L1092" s="62">
        <f t="shared" si="2"/>
        <v>0</v>
      </c>
    </row>
    <row r="1093">
      <c r="A1093" s="58">
        <v>46023.0</v>
      </c>
      <c r="B1093" s="24" t="s">
        <v>3216</v>
      </c>
      <c r="C1093" s="24" t="s">
        <v>6788</v>
      </c>
      <c r="D1093" s="59">
        <v>21.0</v>
      </c>
      <c r="E1093" s="59">
        <v>24.0</v>
      </c>
      <c r="F1093" s="59">
        <v>19.0</v>
      </c>
      <c r="G1093" s="60">
        <v>1.2</v>
      </c>
      <c r="H1093" s="60">
        <v>0.291666666666666</v>
      </c>
      <c r="I1093" s="60">
        <v>64.5606546666666</v>
      </c>
      <c r="J1093" s="59">
        <v>40.0</v>
      </c>
      <c r="K1093" s="61">
        <f t="shared" si="1"/>
        <v>0.7916666667</v>
      </c>
      <c r="L1093" s="62">
        <f t="shared" si="2"/>
        <v>1.666666667</v>
      </c>
    </row>
    <row r="1094">
      <c r="A1094" s="58">
        <v>46023.0</v>
      </c>
      <c r="B1094" s="24" t="s">
        <v>6789</v>
      </c>
      <c r="C1094" s="24" t="s">
        <v>6815</v>
      </c>
      <c r="D1094" s="59">
        <v>19.0</v>
      </c>
      <c r="E1094" s="59">
        <v>20.0</v>
      </c>
      <c r="F1094" s="59">
        <v>14.0</v>
      </c>
      <c r="G1094" s="60">
        <v>1.05263157894736</v>
      </c>
      <c r="H1094" s="60">
        <v>0.4</v>
      </c>
      <c r="I1094" s="60">
        <v>52.9129028</v>
      </c>
      <c r="J1094" s="59">
        <v>29.0</v>
      </c>
      <c r="K1094" s="61">
        <f t="shared" si="1"/>
        <v>0.7</v>
      </c>
      <c r="L1094" s="62">
        <f t="shared" si="2"/>
        <v>1.45</v>
      </c>
    </row>
    <row r="1095">
      <c r="A1095" s="58">
        <v>46023.0</v>
      </c>
      <c r="B1095" s="24" t="s">
        <v>6787</v>
      </c>
      <c r="C1095" s="24" t="s">
        <v>6799</v>
      </c>
      <c r="D1095" s="59">
        <v>18.0</v>
      </c>
      <c r="E1095" s="59">
        <v>18.0</v>
      </c>
      <c r="F1095" s="59">
        <v>18.0</v>
      </c>
      <c r="G1095" s="60">
        <v>1.0</v>
      </c>
      <c r="H1095" s="60">
        <v>0.444444444444444</v>
      </c>
      <c r="I1095" s="60">
        <v>60.7008863333333</v>
      </c>
      <c r="J1095" s="59">
        <v>26.0</v>
      </c>
      <c r="K1095" s="61">
        <f t="shared" si="1"/>
        <v>1</v>
      </c>
      <c r="L1095" s="62">
        <f t="shared" si="2"/>
        <v>1.444444444</v>
      </c>
    </row>
    <row r="1096">
      <c r="A1096" s="58">
        <v>46023.0</v>
      </c>
      <c r="B1096" s="24" t="s">
        <v>6787</v>
      </c>
      <c r="C1096" s="24" t="s">
        <v>6841</v>
      </c>
      <c r="D1096" s="59">
        <v>18.0</v>
      </c>
      <c r="E1096" s="59">
        <v>18.0</v>
      </c>
      <c r="F1096" s="59">
        <v>18.0</v>
      </c>
      <c r="G1096" s="60">
        <v>1.0</v>
      </c>
      <c r="H1096" s="60">
        <v>0.666666666666666</v>
      </c>
      <c r="I1096" s="60">
        <v>16.0802701666666</v>
      </c>
      <c r="J1096" s="59">
        <v>18.0</v>
      </c>
      <c r="K1096" s="61">
        <f t="shared" si="1"/>
        <v>1</v>
      </c>
      <c r="L1096" s="62">
        <f t="shared" si="2"/>
        <v>1</v>
      </c>
    </row>
    <row r="1097">
      <c r="A1097" s="58">
        <v>46023.0</v>
      </c>
      <c r="B1097" s="24" t="s">
        <v>6787</v>
      </c>
      <c r="C1097" s="24" t="s">
        <v>6806</v>
      </c>
      <c r="D1097" s="59">
        <v>18.0</v>
      </c>
      <c r="E1097" s="59">
        <v>18.0</v>
      </c>
      <c r="F1097" s="59">
        <v>18.0</v>
      </c>
      <c r="G1097" s="60">
        <v>1.0</v>
      </c>
      <c r="H1097" s="60">
        <v>0.944444444444444</v>
      </c>
      <c r="I1097" s="60">
        <v>1.99716294444444</v>
      </c>
      <c r="J1097" s="59">
        <v>18.0</v>
      </c>
      <c r="K1097" s="61">
        <f t="shared" si="1"/>
        <v>1</v>
      </c>
      <c r="L1097" s="62">
        <f t="shared" si="2"/>
        <v>1</v>
      </c>
    </row>
    <row r="1098">
      <c r="A1098" s="58">
        <v>46023.0</v>
      </c>
      <c r="B1098" s="24" t="s">
        <v>6791</v>
      </c>
      <c r="C1098" s="24" t="s">
        <v>7120</v>
      </c>
      <c r="D1098" s="59">
        <v>18.0</v>
      </c>
      <c r="E1098" s="59">
        <v>18.0</v>
      </c>
      <c r="F1098" s="59">
        <v>18.0</v>
      </c>
      <c r="G1098" s="60">
        <v>1.0</v>
      </c>
      <c r="H1098" s="60">
        <v>0.666666666666666</v>
      </c>
      <c r="I1098" s="60">
        <v>142.303948888888</v>
      </c>
      <c r="J1098" s="59">
        <v>24.0</v>
      </c>
      <c r="K1098" s="61">
        <f t="shared" si="1"/>
        <v>1</v>
      </c>
      <c r="L1098" s="62">
        <f t="shared" si="2"/>
        <v>1.333333333</v>
      </c>
    </row>
    <row r="1099">
      <c r="A1099" s="58">
        <v>46023.0</v>
      </c>
      <c r="B1099" s="24" t="s">
        <v>6789</v>
      </c>
      <c r="C1099" s="24" t="s">
        <v>6841</v>
      </c>
      <c r="D1099" s="59">
        <v>17.0</v>
      </c>
      <c r="E1099" s="59">
        <v>20.0</v>
      </c>
      <c r="F1099" s="59">
        <v>16.0</v>
      </c>
      <c r="G1099" s="60">
        <v>1.25</v>
      </c>
      <c r="H1099" s="60">
        <v>0.75</v>
      </c>
      <c r="I1099" s="60">
        <v>43.2762016</v>
      </c>
      <c r="J1099" s="59">
        <v>20.0</v>
      </c>
      <c r="K1099" s="61">
        <f t="shared" si="1"/>
        <v>0.8</v>
      </c>
      <c r="L1099" s="62">
        <f t="shared" si="2"/>
        <v>1</v>
      </c>
    </row>
    <row r="1100">
      <c r="A1100" s="58">
        <v>46023.0</v>
      </c>
      <c r="B1100" s="24" t="s">
        <v>6789</v>
      </c>
      <c r="C1100" s="24" t="s">
        <v>6799</v>
      </c>
      <c r="D1100" s="59">
        <v>16.0</v>
      </c>
      <c r="E1100" s="59">
        <v>26.0</v>
      </c>
      <c r="F1100" s="59">
        <v>10.0</v>
      </c>
      <c r="G1100" s="60">
        <v>1.73333333333333</v>
      </c>
      <c r="H1100" s="60">
        <v>0.5</v>
      </c>
      <c r="I1100" s="60">
        <v>115.941230576923</v>
      </c>
      <c r="J1100" s="59">
        <v>44.0</v>
      </c>
      <c r="K1100" s="61">
        <f t="shared" si="1"/>
        <v>0.3846153846</v>
      </c>
      <c r="L1100" s="62">
        <f t="shared" si="2"/>
        <v>1.692307692</v>
      </c>
    </row>
    <row r="1101">
      <c r="A1101" s="58">
        <v>46023.0</v>
      </c>
      <c r="B1101" s="24" t="s">
        <v>6791</v>
      </c>
      <c r="C1101" s="24" t="s">
        <v>7121</v>
      </c>
      <c r="D1101" s="59">
        <v>16.0</v>
      </c>
      <c r="E1101" s="59">
        <v>17.0</v>
      </c>
      <c r="F1101" s="59">
        <v>16.0</v>
      </c>
      <c r="G1101" s="60">
        <v>1.0625</v>
      </c>
      <c r="H1101" s="60">
        <v>0.529411764705882</v>
      </c>
      <c r="I1101" s="60">
        <v>170.810825058823</v>
      </c>
      <c r="J1101" s="59">
        <v>22.0</v>
      </c>
      <c r="K1101" s="61">
        <f t="shared" si="1"/>
        <v>0.9411764706</v>
      </c>
      <c r="L1101" s="62">
        <f t="shared" si="2"/>
        <v>1.294117647</v>
      </c>
    </row>
    <row r="1102">
      <c r="A1102" s="58">
        <v>46023.0</v>
      </c>
      <c r="B1102" s="24" t="s">
        <v>6789</v>
      </c>
      <c r="C1102" s="24" t="s">
        <v>7024</v>
      </c>
      <c r="D1102" s="59">
        <v>14.0</v>
      </c>
      <c r="E1102" s="59">
        <v>14.0</v>
      </c>
      <c r="F1102" s="59">
        <v>14.0</v>
      </c>
      <c r="G1102" s="60">
        <v>1.0</v>
      </c>
      <c r="H1102" s="60">
        <v>0.428571428571428</v>
      </c>
      <c r="I1102" s="60">
        <v>91.533481</v>
      </c>
      <c r="J1102" s="59">
        <v>14.0</v>
      </c>
      <c r="K1102" s="61">
        <f t="shared" si="1"/>
        <v>1</v>
      </c>
      <c r="L1102" s="62">
        <f t="shared" si="2"/>
        <v>1</v>
      </c>
    </row>
    <row r="1103">
      <c r="A1103" s="58">
        <v>46023.0</v>
      </c>
      <c r="B1103" s="24" t="s">
        <v>6787</v>
      </c>
      <c r="C1103" s="24" t="s">
        <v>6809</v>
      </c>
      <c r="D1103" s="59">
        <v>14.0</v>
      </c>
      <c r="E1103" s="59">
        <v>14.0</v>
      </c>
      <c r="F1103" s="59">
        <v>13.0</v>
      </c>
      <c r="G1103" s="60">
        <v>1.0</v>
      </c>
      <c r="H1103" s="60">
        <v>0.5</v>
      </c>
      <c r="I1103" s="60">
        <v>26.3967206428571</v>
      </c>
      <c r="J1103" s="59">
        <v>15.0</v>
      </c>
      <c r="K1103" s="61">
        <f t="shared" si="1"/>
        <v>0.9285714286</v>
      </c>
      <c r="L1103" s="62">
        <f t="shared" si="2"/>
        <v>1.071428571</v>
      </c>
    </row>
    <row r="1104">
      <c r="A1104" s="58">
        <v>46023.0</v>
      </c>
      <c r="B1104" s="24" t="s">
        <v>6791</v>
      </c>
      <c r="C1104" s="24" t="s">
        <v>6788</v>
      </c>
      <c r="D1104" s="59">
        <v>13.0</v>
      </c>
      <c r="E1104" s="59">
        <v>22.0</v>
      </c>
      <c r="F1104" s="59">
        <v>0.0</v>
      </c>
      <c r="G1104" s="60">
        <v>1.69230769230769</v>
      </c>
      <c r="H1104" s="60">
        <v>0.59090909090909</v>
      </c>
      <c r="I1104" s="60">
        <v>72.0407767272727</v>
      </c>
      <c r="J1104" s="59">
        <v>31.0</v>
      </c>
      <c r="K1104" s="61">
        <f t="shared" si="1"/>
        <v>0</v>
      </c>
      <c r="L1104" s="62">
        <f t="shared" si="2"/>
        <v>1.409090909</v>
      </c>
    </row>
    <row r="1105">
      <c r="A1105" s="58">
        <v>46023.0</v>
      </c>
      <c r="B1105" s="24" t="s">
        <v>6789</v>
      </c>
      <c r="C1105" s="24" t="s">
        <v>6876</v>
      </c>
      <c r="D1105" s="59">
        <v>13.0</v>
      </c>
      <c r="E1105" s="59">
        <v>15.0</v>
      </c>
      <c r="F1105" s="59">
        <v>6.0</v>
      </c>
      <c r="G1105" s="60">
        <v>1.36363636363636</v>
      </c>
      <c r="H1105" s="60">
        <v>0.4</v>
      </c>
      <c r="I1105" s="60">
        <v>352.779787533333</v>
      </c>
      <c r="J1105" s="59">
        <v>28.0</v>
      </c>
      <c r="K1105" s="61">
        <f t="shared" si="1"/>
        <v>0.4</v>
      </c>
      <c r="L1105" s="62">
        <f t="shared" si="2"/>
        <v>1.866666667</v>
      </c>
    </row>
    <row r="1106">
      <c r="A1106" s="58">
        <v>46023.0</v>
      </c>
      <c r="B1106" s="24" t="s">
        <v>6787</v>
      </c>
      <c r="C1106" s="24" t="s">
        <v>6886</v>
      </c>
      <c r="D1106" s="59">
        <v>12.0</v>
      </c>
      <c r="E1106" s="59">
        <v>13.0</v>
      </c>
      <c r="F1106" s="59">
        <v>10.0</v>
      </c>
      <c r="G1106" s="60">
        <v>1.18181818181818</v>
      </c>
      <c r="H1106" s="60">
        <v>0.538461538461538</v>
      </c>
      <c r="I1106" s="60">
        <v>162.201026846153</v>
      </c>
      <c r="J1106" s="59">
        <v>22.0</v>
      </c>
      <c r="K1106" s="61">
        <f t="shared" si="1"/>
        <v>0.7692307692</v>
      </c>
      <c r="L1106" s="62">
        <f t="shared" si="2"/>
        <v>1.692307692</v>
      </c>
    </row>
    <row r="1107">
      <c r="A1107" s="58">
        <v>46023.0</v>
      </c>
      <c r="B1107" s="24" t="s">
        <v>6787</v>
      </c>
      <c r="C1107" s="24" t="s">
        <v>6811</v>
      </c>
      <c r="D1107" s="59">
        <v>12.0</v>
      </c>
      <c r="E1107" s="59">
        <v>12.0</v>
      </c>
      <c r="F1107" s="59">
        <v>12.0</v>
      </c>
      <c r="G1107" s="60">
        <v>1.0</v>
      </c>
      <c r="H1107" s="60">
        <v>0.75</v>
      </c>
      <c r="I1107" s="60">
        <v>151.971177833333</v>
      </c>
      <c r="J1107" s="59">
        <v>12.0</v>
      </c>
      <c r="K1107" s="61">
        <f t="shared" si="1"/>
        <v>1</v>
      </c>
      <c r="L1107" s="62">
        <f t="shared" si="2"/>
        <v>1</v>
      </c>
    </row>
    <row r="1108">
      <c r="A1108" s="58">
        <v>46023.0</v>
      </c>
      <c r="B1108" s="24" t="s">
        <v>6787</v>
      </c>
      <c r="C1108" s="24" t="s">
        <v>6903</v>
      </c>
      <c r="D1108" s="59">
        <v>12.0</v>
      </c>
      <c r="E1108" s="59">
        <v>14.0</v>
      </c>
      <c r="F1108" s="59">
        <v>11.0</v>
      </c>
      <c r="G1108" s="60">
        <v>1.16666666666666</v>
      </c>
      <c r="H1108" s="60">
        <v>0.5</v>
      </c>
      <c r="I1108" s="60">
        <v>41.3708361428571</v>
      </c>
      <c r="J1108" s="59">
        <v>14.0</v>
      </c>
      <c r="K1108" s="61">
        <f t="shared" si="1"/>
        <v>0.7857142857</v>
      </c>
      <c r="L1108" s="62">
        <f t="shared" si="2"/>
        <v>1</v>
      </c>
    </row>
    <row r="1109">
      <c r="A1109" s="58">
        <v>46023.0</v>
      </c>
      <c r="B1109" s="24" t="s">
        <v>6787</v>
      </c>
      <c r="C1109" s="24" t="s">
        <v>6876</v>
      </c>
      <c r="D1109" s="59">
        <v>11.0</v>
      </c>
      <c r="E1109" s="59">
        <v>12.0</v>
      </c>
      <c r="F1109" s="59">
        <v>10.0</v>
      </c>
      <c r="G1109" s="60">
        <v>1.2</v>
      </c>
      <c r="H1109" s="60">
        <v>0.75</v>
      </c>
      <c r="I1109" s="60">
        <v>16.7144415</v>
      </c>
      <c r="J1109" s="59">
        <v>12.0</v>
      </c>
      <c r="K1109" s="61">
        <f t="shared" si="1"/>
        <v>0.8333333333</v>
      </c>
      <c r="L1109" s="62">
        <f t="shared" si="2"/>
        <v>1</v>
      </c>
    </row>
    <row r="1110">
      <c r="A1110" s="58">
        <v>46023.0</v>
      </c>
      <c r="B1110" s="24" t="s">
        <v>155</v>
      </c>
      <c r="C1110" s="24" t="s">
        <v>6800</v>
      </c>
      <c r="D1110" s="59">
        <v>11.0</v>
      </c>
      <c r="E1110" s="59">
        <v>11.0</v>
      </c>
      <c r="F1110" s="59">
        <v>10.0</v>
      </c>
      <c r="G1110" s="60">
        <v>1.0</v>
      </c>
      <c r="H1110" s="60">
        <v>0.0909090909090909</v>
      </c>
      <c r="I1110" s="60">
        <v>60.9242173636363</v>
      </c>
      <c r="J1110" s="59">
        <v>20.0</v>
      </c>
      <c r="K1110" s="61">
        <f t="shared" si="1"/>
        <v>0.9090909091</v>
      </c>
      <c r="L1110" s="62">
        <f t="shared" si="2"/>
        <v>1.818181818</v>
      </c>
    </row>
    <row r="1111">
      <c r="A1111" s="58">
        <v>46023.0</v>
      </c>
      <c r="B1111" s="24" t="s">
        <v>6789</v>
      </c>
      <c r="C1111" s="24" t="s">
        <v>6812</v>
      </c>
      <c r="D1111" s="59">
        <v>11.0</v>
      </c>
      <c r="E1111" s="59">
        <v>12.0</v>
      </c>
      <c r="F1111" s="59">
        <v>5.0</v>
      </c>
      <c r="G1111" s="60">
        <v>1.33333333333333</v>
      </c>
      <c r="H1111" s="60">
        <v>0.5</v>
      </c>
      <c r="I1111" s="60">
        <v>60.4554864166666</v>
      </c>
      <c r="J1111" s="59">
        <v>18.0</v>
      </c>
      <c r="K1111" s="61">
        <f t="shared" si="1"/>
        <v>0.4166666667</v>
      </c>
      <c r="L1111" s="62">
        <f t="shared" si="2"/>
        <v>1.5</v>
      </c>
    </row>
    <row r="1112">
      <c r="A1112" s="58">
        <v>46023.0</v>
      </c>
      <c r="B1112" s="24" t="s">
        <v>6787</v>
      </c>
      <c r="C1112" s="24" t="s">
        <v>6910</v>
      </c>
      <c r="D1112" s="59">
        <v>11.0</v>
      </c>
      <c r="E1112" s="59">
        <v>13.0</v>
      </c>
      <c r="F1112" s="59">
        <v>9.0</v>
      </c>
      <c r="G1112" s="60">
        <v>1.3</v>
      </c>
      <c r="H1112" s="60">
        <v>0.923076923076923</v>
      </c>
      <c r="I1112" s="60">
        <v>42.9332957692307</v>
      </c>
      <c r="J1112" s="59">
        <v>24.0</v>
      </c>
      <c r="K1112" s="61">
        <f t="shared" si="1"/>
        <v>0.6923076923</v>
      </c>
      <c r="L1112" s="62">
        <f t="shared" si="2"/>
        <v>1.846153846</v>
      </c>
    </row>
    <row r="1113">
      <c r="A1113" s="58">
        <v>46023.0</v>
      </c>
      <c r="B1113" s="24" t="s">
        <v>6787</v>
      </c>
      <c r="C1113" s="24" t="s">
        <v>7122</v>
      </c>
      <c r="D1113" s="59">
        <v>10.0</v>
      </c>
      <c r="E1113" s="59">
        <v>10.0</v>
      </c>
      <c r="F1113" s="59">
        <v>10.0</v>
      </c>
      <c r="G1113" s="60">
        <v>1.0</v>
      </c>
      <c r="H1113" s="60">
        <v>0.9</v>
      </c>
      <c r="I1113" s="60">
        <v>2.5413888</v>
      </c>
      <c r="J1113" s="59">
        <v>10.0</v>
      </c>
      <c r="K1113" s="61">
        <f t="shared" si="1"/>
        <v>1</v>
      </c>
      <c r="L1113" s="62">
        <f t="shared" si="2"/>
        <v>1</v>
      </c>
    </row>
    <row r="1114">
      <c r="A1114" s="58">
        <v>46023.0</v>
      </c>
      <c r="B1114" s="24" t="s">
        <v>6787</v>
      </c>
      <c r="C1114" s="24" t="s">
        <v>6882</v>
      </c>
      <c r="D1114" s="59">
        <v>10.0</v>
      </c>
      <c r="E1114" s="59">
        <v>11.0</v>
      </c>
      <c r="F1114" s="59">
        <v>10.0</v>
      </c>
      <c r="G1114" s="60">
        <v>1.1</v>
      </c>
      <c r="H1114" s="60">
        <v>0.818181818181818</v>
      </c>
      <c r="I1114" s="60">
        <v>19.1497623636363</v>
      </c>
      <c r="J1114" s="59">
        <v>11.0</v>
      </c>
      <c r="K1114" s="61">
        <f t="shared" si="1"/>
        <v>0.9090909091</v>
      </c>
      <c r="L1114" s="62">
        <f t="shared" si="2"/>
        <v>1</v>
      </c>
    </row>
    <row r="1115">
      <c r="A1115" s="58">
        <v>46023.0</v>
      </c>
      <c r="B1115" s="24" t="s">
        <v>6787</v>
      </c>
      <c r="C1115" s="24" t="s">
        <v>6898</v>
      </c>
      <c r="D1115" s="59">
        <v>10.0</v>
      </c>
      <c r="E1115" s="59">
        <v>10.0</v>
      </c>
      <c r="F1115" s="59">
        <v>10.0</v>
      </c>
      <c r="G1115" s="60">
        <v>1.0</v>
      </c>
      <c r="H1115" s="60">
        <v>0.9</v>
      </c>
      <c r="I1115" s="60">
        <v>2.8074766</v>
      </c>
      <c r="J1115" s="59">
        <v>10.0</v>
      </c>
      <c r="K1115" s="61">
        <f t="shared" si="1"/>
        <v>1</v>
      </c>
      <c r="L1115" s="62">
        <f t="shared" si="2"/>
        <v>1</v>
      </c>
    </row>
    <row r="1116">
      <c r="A1116" s="58">
        <v>46023.0</v>
      </c>
      <c r="B1116" s="24" t="s">
        <v>6787</v>
      </c>
      <c r="C1116" s="24" t="s">
        <v>6844</v>
      </c>
      <c r="D1116" s="59">
        <v>10.0</v>
      </c>
      <c r="E1116" s="59">
        <v>10.0</v>
      </c>
      <c r="F1116" s="59">
        <v>10.0</v>
      </c>
      <c r="G1116" s="60">
        <v>1.0</v>
      </c>
      <c r="H1116" s="60">
        <v>0.7</v>
      </c>
      <c r="I1116" s="60">
        <v>12.2247513</v>
      </c>
      <c r="J1116" s="59">
        <v>10.0</v>
      </c>
      <c r="K1116" s="61">
        <f t="shared" si="1"/>
        <v>1</v>
      </c>
      <c r="L1116" s="62">
        <f t="shared" si="2"/>
        <v>1</v>
      </c>
    </row>
    <row r="1117">
      <c r="A1117" s="58">
        <v>46023.0</v>
      </c>
      <c r="B1117" s="24" t="s">
        <v>6789</v>
      </c>
      <c r="C1117" s="24" t="s">
        <v>6796</v>
      </c>
      <c r="D1117" s="59">
        <v>10.0</v>
      </c>
      <c r="E1117" s="59">
        <v>12.0</v>
      </c>
      <c r="F1117" s="59">
        <v>10.0</v>
      </c>
      <c r="G1117" s="60">
        <v>1.2</v>
      </c>
      <c r="H1117" s="60">
        <v>0.166666666666666</v>
      </c>
      <c r="I1117" s="60">
        <v>214.674066916666</v>
      </c>
      <c r="J1117" s="59">
        <v>12.0</v>
      </c>
      <c r="K1117" s="61">
        <f t="shared" si="1"/>
        <v>0.8333333333</v>
      </c>
      <c r="L1117" s="62">
        <f t="shared" si="2"/>
        <v>1</v>
      </c>
    </row>
    <row r="1118">
      <c r="A1118" s="58">
        <v>46023.0</v>
      </c>
      <c r="B1118" s="24" t="s">
        <v>6787</v>
      </c>
      <c r="C1118" s="24" t="s">
        <v>6904</v>
      </c>
      <c r="D1118" s="59">
        <v>10.0</v>
      </c>
      <c r="E1118" s="59">
        <v>12.0</v>
      </c>
      <c r="F1118" s="59">
        <v>10.0</v>
      </c>
      <c r="G1118" s="60">
        <v>1.2</v>
      </c>
      <c r="H1118" s="60">
        <v>0.75</v>
      </c>
      <c r="I1118" s="60">
        <v>60.29933025</v>
      </c>
      <c r="J1118" s="59">
        <v>14.0</v>
      </c>
      <c r="K1118" s="61">
        <f t="shared" si="1"/>
        <v>0.8333333333</v>
      </c>
      <c r="L1118" s="62">
        <f t="shared" si="2"/>
        <v>1.166666667</v>
      </c>
    </row>
    <row r="1119">
      <c r="A1119" s="58">
        <v>46023.0</v>
      </c>
      <c r="B1119" s="24" t="s">
        <v>6787</v>
      </c>
      <c r="C1119" s="24" t="s">
        <v>6810</v>
      </c>
      <c r="D1119" s="59">
        <v>10.0</v>
      </c>
      <c r="E1119" s="59">
        <v>11.0</v>
      </c>
      <c r="F1119" s="59">
        <v>10.0</v>
      </c>
      <c r="G1119" s="60">
        <v>1.1</v>
      </c>
      <c r="H1119" s="60">
        <v>0.454545454545454</v>
      </c>
      <c r="I1119" s="60">
        <v>48.5990269090909</v>
      </c>
      <c r="J1119" s="59">
        <v>16.0</v>
      </c>
      <c r="K1119" s="61">
        <f t="shared" si="1"/>
        <v>0.9090909091</v>
      </c>
      <c r="L1119" s="62">
        <f t="shared" si="2"/>
        <v>1.454545455</v>
      </c>
    </row>
    <row r="1120">
      <c r="A1120" s="58">
        <v>46023.0</v>
      </c>
      <c r="B1120" s="24" t="s">
        <v>6787</v>
      </c>
      <c r="C1120" s="24" t="s">
        <v>6803</v>
      </c>
      <c r="D1120" s="59">
        <v>9.0</v>
      </c>
      <c r="E1120" s="59">
        <v>10.0</v>
      </c>
      <c r="F1120" s="59">
        <v>9.0</v>
      </c>
      <c r="G1120" s="60">
        <v>1.11111111111111</v>
      </c>
      <c r="H1120" s="60">
        <v>0.6</v>
      </c>
      <c r="I1120" s="60">
        <v>142.8968841</v>
      </c>
      <c r="J1120" s="59">
        <v>13.0</v>
      </c>
      <c r="K1120" s="61">
        <f t="shared" si="1"/>
        <v>0.9</v>
      </c>
      <c r="L1120" s="62">
        <f t="shared" si="2"/>
        <v>1.3</v>
      </c>
    </row>
    <row r="1121">
      <c r="A1121" s="58">
        <v>46023.0</v>
      </c>
      <c r="B1121" s="24" t="s">
        <v>6789</v>
      </c>
      <c r="C1121" s="24" t="s">
        <v>6835</v>
      </c>
      <c r="D1121" s="59">
        <v>9.0</v>
      </c>
      <c r="E1121" s="59">
        <v>10.0</v>
      </c>
      <c r="F1121" s="59">
        <v>9.0</v>
      </c>
      <c r="G1121" s="60">
        <v>1.11111111111111</v>
      </c>
      <c r="H1121" s="60">
        <v>0.2</v>
      </c>
      <c r="I1121" s="60">
        <v>301.7746701</v>
      </c>
      <c r="J1121" s="59">
        <v>12.0</v>
      </c>
      <c r="K1121" s="61">
        <f t="shared" si="1"/>
        <v>0.9</v>
      </c>
      <c r="L1121" s="62">
        <f t="shared" si="2"/>
        <v>1.2</v>
      </c>
    </row>
    <row r="1122">
      <c r="A1122" s="58">
        <v>46023.0</v>
      </c>
      <c r="B1122" s="24" t="s">
        <v>6789</v>
      </c>
      <c r="C1122" s="24" t="s">
        <v>6811</v>
      </c>
      <c r="D1122" s="59">
        <v>9.0</v>
      </c>
      <c r="E1122" s="59">
        <v>10.0</v>
      </c>
      <c r="F1122" s="59">
        <v>8.0</v>
      </c>
      <c r="G1122" s="60">
        <v>1.25</v>
      </c>
      <c r="H1122" s="60">
        <v>0.6</v>
      </c>
      <c r="I1122" s="60">
        <v>165.9724642</v>
      </c>
      <c r="J1122" s="59">
        <v>18.0</v>
      </c>
      <c r="K1122" s="61">
        <f t="shared" si="1"/>
        <v>0.8</v>
      </c>
      <c r="L1122" s="62">
        <f t="shared" si="2"/>
        <v>1.8</v>
      </c>
    </row>
    <row r="1123">
      <c r="A1123" s="58">
        <v>46023.0</v>
      </c>
      <c r="B1123" s="24" t="s">
        <v>6791</v>
      </c>
      <c r="C1123" s="24" t="s">
        <v>7123</v>
      </c>
      <c r="D1123" s="59">
        <v>9.0</v>
      </c>
      <c r="E1123" s="59">
        <v>9.0</v>
      </c>
      <c r="F1123" s="59">
        <v>9.0</v>
      </c>
      <c r="G1123" s="60">
        <v>1.0</v>
      </c>
      <c r="H1123" s="60">
        <v>0.888888888888888</v>
      </c>
      <c r="I1123" s="60">
        <v>100.745661888888</v>
      </c>
      <c r="J1123" s="59">
        <v>9.0</v>
      </c>
      <c r="K1123" s="61">
        <f t="shared" si="1"/>
        <v>1</v>
      </c>
      <c r="L1123" s="62">
        <f t="shared" si="2"/>
        <v>1</v>
      </c>
    </row>
    <row r="1124">
      <c r="A1124" s="58">
        <v>46023.0</v>
      </c>
      <c r="B1124" s="24" t="s">
        <v>6787</v>
      </c>
      <c r="C1124" s="24" t="s">
        <v>6800</v>
      </c>
      <c r="D1124" s="59">
        <v>9.0</v>
      </c>
      <c r="E1124" s="59">
        <v>9.0</v>
      </c>
      <c r="F1124" s="59">
        <v>9.0</v>
      </c>
      <c r="G1124" s="60">
        <v>1.0</v>
      </c>
      <c r="H1124" s="60">
        <v>0.888888888888888</v>
      </c>
      <c r="I1124" s="60">
        <v>4.201575</v>
      </c>
      <c r="J1124" s="59">
        <v>9.0</v>
      </c>
      <c r="K1124" s="61">
        <f t="shared" si="1"/>
        <v>1</v>
      </c>
      <c r="L1124" s="62">
        <f t="shared" si="2"/>
        <v>1</v>
      </c>
    </row>
    <row r="1125">
      <c r="A1125" s="58">
        <v>46023.0</v>
      </c>
      <c r="B1125" s="24" t="s">
        <v>6789</v>
      </c>
      <c r="C1125" s="24" t="s">
        <v>6801</v>
      </c>
      <c r="D1125" s="59">
        <v>9.0</v>
      </c>
      <c r="E1125" s="59">
        <v>9.0</v>
      </c>
      <c r="F1125" s="59">
        <v>8.0</v>
      </c>
      <c r="G1125" s="60">
        <v>1.0</v>
      </c>
      <c r="H1125" s="60">
        <v>0.555555555555555</v>
      </c>
      <c r="I1125" s="60">
        <v>386.426950666666</v>
      </c>
      <c r="J1125" s="59">
        <v>16.0</v>
      </c>
      <c r="K1125" s="61">
        <f t="shared" si="1"/>
        <v>0.8888888889</v>
      </c>
      <c r="L1125" s="62">
        <f t="shared" si="2"/>
        <v>1.777777778</v>
      </c>
    </row>
    <row r="1126">
      <c r="A1126" s="58">
        <v>46023.0</v>
      </c>
      <c r="B1126" s="24" t="s">
        <v>6787</v>
      </c>
      <c r="C1126" s="24" t="s">
        <v>6920</v>
      </c>
      <c r="D1126" s="59">
        <v>9.0</v>
      </c>
      <c r="E1126" s="59">
        <v>9.0</v>
      </c>
      <c r="F1126" s="59">
        <v>9.0</v>
      </c>
      <c r="G1126" s="60">
        <v>1.0</v>
      </c>
      <c r="H1126" s="60">
        <v>0.777777777777777</v>
      </c>
      <c r="I1126" s="60">
        <v>7.91623744444444</v>
      </c>
      <c r="J1126" s="59">
        <v>9.0</v>
      </c>
      <c r="K1126" s="61">
        <f t="shared" si="1"/>
        <v>1</v>
      </c>
      <c r="L1126" s="62">
        <f t="shared" si="2"/>
        <v>1</v>
      </c>
    </row>
    <row r="1127">
      <c r="A1127" s="58">
        <v>46023.0</v>
      </c>
      <c r="B1127" s="24" t="s">
        <v>6787</v>
      </c>
      <c r="C1127" s="24" t="s">
        <v>6943</v>
      </c>
      <c r="D1127" s="59">
        <v>8.0</v>
      </c>
      <c r="E1127" s="59">
        <v>8.0</v>
      </c>
      <c r="F1127" s="59">
        <v>8.0</v>
      </c>
      <c r="G1127" s="60">
        <v>1.0</v>
      </c>
      <c r="H1127" s="60">
        <v>1.0</v>
      </c>
      <c r="I1127" s="60">
        <v>0.999296375</v>
      </c>
      <c r="J1127" s="59">
        <v>8.0</v>
      </c>
      <c r="K1127" s="61">
        <f t="shared" si="1"/>
        <v>1</v>
      </c>
      <c r="L1127" s="62">
        <f t="shared" si="2"/>
        <v>1</v>
      </c>
    </row>
    <row r="1128">
      <c r="A1128" s="58">
        <v>46023.0</v>
      </c>
      <c r="B1128" s="24" t="s">
        <v>6787</v>
      </c>
      <c r="C1128" s="24" t="s">
        <v>7024</v>
      </c>
      <c r="D1128" s="59">
        <v>8.0</v>
      </c>
      <c r="E1128" s="59">
        <v>8.0</v>
      </c>
      <c r="F1128" s="59">
        <v>8.0</v>
      </c>
      <c r="G1128" s="60">
        <v>1.0</v>
      </c>
      <c r="H1128" s="60">
        <v>1.0</v>
      </c>
      <c r="I1128" s="60">
        <v>0.86963775</v>
      </c>
      <c r="J1128" s="59">
        <v>8.0</v>
      </c>
      <c r="K1128" s="61">
        <f t="shared" si="1"/>
        <v>1</v>
      </c>
      <c r="L1128" s="62">
        <f t="shared" si="2"/>
        <v>1</v>
      </c>
    </row>
    <row r="1129">
      <c r="A1129" s="58">
        <v>46023.0</v>
      </c>
      <c r="B1129" s="24" t="s">
        <v>6787</v>
      </c>
      <c r="C1129" s="24" t="s">
        <v>6807</v>
      </c>
      <c r="D1129" s="59">
        <v>8.0</v>
      </c>
      <c r="E1129" s="59">
        <v>8.0</v>
      </c>
      <c r="F1129" s="59">
        <v>8.0</v>
      </c>
      <c r="G1129" s="60">
        <v>1.0</v>
      </c>
      <c r="H1129" s="60">
        <v>0.75</v>
      </c>
      <c r="I1129" s="60">
        <v>9.38852225</v>
      </c>
      <c r="J1129" s="59">
        <v>8.0</v>
      </c>
      <c r="K1129" s="61">
        <f t="shared" si="1"/>
        <v>1</v>
      </c>
      <c r="L1129" s="62">
        <f t="shared" si="2"/>
        <v>1</v>
      </c>
    </row>
    <row r="1130">
      <c r="A1130" s="58">
        <v>46023.0</v>
      </c>
      <c r="B1130" s="24" t="s">
        <v>6791</v>
      </c>
      <c r="C1130" s="24" t="s">
        <v>7041</v>
      </c>
      <c r="D1130" s="59">
        <v>8.0</v>
      </c>
      <c r="E1130" s="59">
        <v>8.0</v>
      </c>
      <c r="F1130" s="59">
        <v>8.0</v>
      </c>
      <c r="G1130" s="60">
        <v>1.0</v>
      </c>
      <c r="H1130" s="60">
        <v>0.75</v>
      </c>
      <c r="I1130" s="60">
        <v>21.336213875</v>
      </c>
      <c r="J1130" s="59">
        <v>8.0</v>
      </c>
      <c r="K1130" s="61">
        <f t="shared" si="1"/>
        <v>1</v>
      </c>
      <c r="L1130" s="62">
        <f t="shared" si="2"/>
        <v>1</v>
      </c>
    </row>
    <row r="1131">
      <c r="A1131" s="58">
        <v>46023.0</v>
      </c>
      <c r="B1131" s="24" t="s">
        <v>6787</v>
      </c>
      <c r="C1131" s="24" t="s">
        <v>6960</v>
      </c>
      <c r="D1131" s="59">
        <v>8.0</v>
      </c>
      <c r="E1131" s="59">
        <v>8.0</v>
      </c>
      <c r="F1131" s="59">
        <v>8.0</v>
      </c>
      <c r="G1131" s="60">
        <v>1.0</v>
      </c>
      <c r="H1131" s="60">
        <v>0.75</v>
      </c>
      <c r="I1131" s="60">
        <v>28.320915</v>
      </c>
      <c r="J1131" s="59">
        <v>9.0</v>
      </c>
      <c r="K1131" s="61">
        <f t="shared" si="1"/>
        <v>1</v>
      </c>
      <c r="L1131" s="62">
        <f t="shared" si="2"/>
        <v>1.125</v>
      </c>
    </row>
    <row r="1132">
      <c r="A1132" s="58">
        <v>46023.0</v>
      </c>
      <c r="B1132" s="24" t="s">
        <v>6787</v>
      </c>
      <c r="C1132" s="24" t="s">
        <v>6815</v>
      </c>
      <c r="D1132" s="59">
        <v>8.0</v>
      </c>
      <c r="E1132" s="59">
        <v>9.0</v>
      </c>
      <c r="F1132" s="59">
        <v>8.0</v>
      </c>
      <c r="G1132" s="60">
        <v>1.125</v>
      </c>
      <c r="H1132" s="60">
        <v>0.444444444444444</v>
      </c>
      <c r="I1132" s="60">
        <v>57.2086606666666</v>
      </c>
      <c r="J1132" s="59">
        <v>15.0</v>
      </c>
      <c r="K1132" s="61">
        <f t="shared" si="1"/>
        <v>0.8888888889</v>
      </c>
      <c r="L1132" s="62">
        <f t="shared" si="2"/>
        <v>1.666666667</v>
      </c>
    </row>
    <row r="1133">
      <c r="A1133" s="58">
        <v>46023.0</v>
      </c>
      <c r="B1133" s="24" t="s">
        <v>6794</v>
      </c>
      <c r="C1133" s="24" t="s">
        <v>6792</v>
      </c>
      <c r="D1133" s="59">
        <v>7.0</v>
      </c>
      <c r="E1133" s="59">
        <v>7.0</v>
      </c>
      <c r="F1133" s="59">
        <v>0.0</v>
      </c>
      <c r="G1133" s="60">
        <v>1.75</v>
      </c>
      <c r="H1133" s="60">
        <v>1.0</v>
      </c>
      <c r="I1133" s="60">
        <v>0.0445421428571428</v>
      </c>
      <c r="J1133" s="59">
        <v>0.0</v>
      </c>
      <c r="K1133" s="61">
        <f t="shared" si="1"/>
        <v>0</v>
      </c>
      <c r="L1133" s="62">
        <f t="shared" si="2"/>
        <v>0</v>
      </c>
    </row>
    <row r="1134">
      <c r="A1134" s="58">
        <v>46023.0</v>
      </c>
      <c r="B1134" s="24" t="s">
        <v>6787</v>
      </c>
      <c r="C1134" s="24" t="s">
        <v>7124</v>
      </c>
      <c r="D1134" s="59">
        <v>7.0</v>
      </c>
      <c r="E1134" s="59">
        <v>7.0</v>
      </c>
      <c r="F1134" s="59">
        <v>7.0</v>
      </c>
      <c r="G1134" s="60">
        <v>1.0</v>
      </c>
      <c r="H1134" s="60">
        <v>1.0</v>
      </c>
      <c r="I1134" s="60">
        <v>0.0</v>
      </c>
      <c r="J1134" s="59">
        <v>7.0</v>
      </c>
      <c r="K1134" s="61">
        <f t="shared" si="1"/>
        <v>1</v>
      </c>
      <c r="L1134" s="62">
        <f t="shared" si="2"/>
        <v>1</v>
      </c>
    </row>
    <row r="1135">
      <c r="A1135" s="58">
        <v>46023.0</v>
      </c>
      <c r="B1135" s="24" t="s">
        <v>6787</v>
      </c>
      <c r="C1135" s="24" t="s">
        <v>6925</v>
      </c>
      <c r="D1135" s="59">
        <v>7.0</v>
      </c>
      <c r="E1135" s="59">
        <v>7.0</v>
      </c>
      <c r="F1135" s="59">
        <v>7.0</v>
      </c>
      <c r="G1135" s="60">
        <v>1.0</v>
      </c>
      <c r="H1135" s="60">
        <v>1.0</v>
      </c>
      <c r="I1135" s="60">
        <v>0.0</v>
      </c>
      <c r="J1135" s="59">
        <v>7.0</v>
      </c>
      <c r="K1135" s="61">
        <f t="shared" si="1"/>
        <v>1</v>
      </c>
      <c r="L1135" s="62">
        <f t="shared" si="2"/>
        <v>1</v>
      </c>
    </row>
    <row r="1136">
      <c r="A1136" s="58">
        <v>46023.0</v>
      </c>
      <c r="B1136" s="24" t="s">
        <v>6787</v>
      </c>
      <c r="C1136" s="24" t="s">
        <v>6875</v>
      </c>
      <c r="D1136" s="59">
        <v>7.0</v>
      </c>
      <c r="E1136" s="59">
        <v>7.0</v>
      </c>
      <c r="F1136" s="59">
        <v>7.0</v>
      </c>
      <c r="G1136" s="60">
        <v>1.0</v>
      </c>
      <c r="H1136" s="60">
        <v>1.0</v>
      </c>
      <c r="I1136" s="60">
        <v>0.0</v>
      </c>
      <c r="J1136" s="59">
        <v>7.0</v>
      </c>
      <c r="K1136" s="61">
        <f t="shared" si="1"/>
        <v>1</v>
      </c>
      <c r="L1136" s="62">
        <f t="shared" si="2"/>
        <v>1</v>
      </c>
    </row>
    <row r="1137">
      <c r="A1137" s="58">
        <v>46023.0</v>
      </c>
      <c r="B1137" s="24" t="s">
        <v>6791</v>
      </c>
      <c r="C1137" s="24" t="s">
        <v>7125</v>
      </c>
      <c r="D1137" s="59">
        <v>7.0</v>
      </c>
      <c r="E1137" s="59">
        <v>7.0</v>
      </c>
      <c r="F1137" s="59">
        <v>7.0</v>
      </c>
      <c r="G1137" s="60">
        <v>1.0</v>
      </c>
      <c r="H1137" s="60">
        <v>0.571428571428571</v>
      </c>
      <c r="I1137" s="60">
        <v>178.010040142857</v>
      </c>
      <c r="J1137" s="59">
        <v>17.0</v>
      </c>
      <c r="K1137" s="61">
        <f t="shared" si="1"/>
        <v>1</v>
      </c>
      <c r="L1137" s="62">
        <f t="shared" si="2"/>
        <v>2.428571429</v>
      </c>
    </row>
    <row r="1138">
      <c r="A1138" s="58">
        <v>46023.0</v>
      </c>
      <c r="B1138" s="24" t="s">
        <v>6787</v>
      </c>
      <c r="C1138" s="24" t="s">
        <v>6813</v>
      </c>
      <c r="D1138" s="59">
        <v>7.0</v>
      </c>
      <c r="E1138" s="59">
        <v>7.0</v>
      </c>
      <c r="F1138" s="59">
        <v>7.0</v>
      </c>
      <c r="G1138" s="60">
        <v>1.0</v>
      </c>
      <c r="H1138" s="60">
        <v>0.857142857142857</v>
      </c>
      <c r="I1138" s="60">
        <v>14.346013</v>
      </c>
      <c r="J1138" s="59">
        <v>7.0</v>
      </c>
      <c r="K1138" s="61">
        <f t="shared" si="1"/>
        <v>1</v>
      </c>
      <c r="L1138" s="62">
        <f t="shared" si="2"/>
        <v>1</v>
      </c>
    </row>
    <row r="1139">
      <c r="A1139" s="58">
        <v>46023.0</v>
      </c>
      <c r="B1139" s="24" t="s">
        <v>6787</v>
      </c>
      <c r="C1139" s="24" t="s">
        <v>6801</v>
      </c>
      <c r="D1139" s="59">
        <v>7.0</v>
      </c>
      <c r="E1139" s="59">
        <v>7.0</v>
      </c>
      <c r="F1139" s="59">
        <v>7.0</v>
      </c>
      <c r="G1139" s="60">
        <v>1.0</v>
      </c>
      <c r="H1139" s="60">
        <v>0.428571428571428</v>
      </c>
      <c r="I1139" s="60">
        <v>32.2224095714285</v>
      </c>
      <c r="J1139" s="59">
        <v>7.0</v>
      </c>
      <c r="K1139" s="61">
        <f t="shared" si="1"/>
        <v>1</v>
      </c>
      <c r="L1139" s="62">
        <f t="shared" si="2"/>
        <v>1</v>
      </c>
    </row>
    <row r="1140">
      <c r="A1140" s="58">
        <v>46023.0</v>
      </c>
      <c r="B1140" s="24" t="s">
        <v>6787</v>
      </c>
      <c r="C1140" s="24" t="s">
        <v>6797</v>
      </c>
      <c r="D1140" s="59">
        <v>7.0</v>
      </c>
      <c r="E1140" s="59">
        <v>8.0</v>
      </c>
      <c r="F1140" s="59">
        <v>6.0</v>
      </c>
      <c r="G1140" s="60">
        <v>1.14285714285714</v>
      </c>
      <c r="H1140" s="60">
        <v>0.625</v>
      </c>
      <c r="I1140" s="60">
        <v>21.4963379999999</v>
      </c>
      <c r="J1140" s="59">
        <v>11.0</v>
      </c>
      <c r="K1140" s="61">
        <f t="shared" si="1"/>
        <v>0.75</v>
      </c>
      <c r="L1140" s="62">
        <f t="shared" si="2"/>
        <v>1.375</v>
      </c>
    </row>
    <row r="1141">
      <c r="A1141" s="58">
        <v>46023.0</v>
      </c>
      <c r="B1141" s="24" t="s">
        <v>6787</v>
      </c>
      <c r="C1141" s="24" t="s">
        <v>6854</v>
      </c>
      <c r="D1141" s="59">
        <v>7.0</v>
      </c>
      <c r="E1141" s="59">
        <v>8.0</v>
      </c>
      <c r="F1141" s="59">
        <v>7.0</v>
      </c>
      <c r="G1141" s="60">
        <v>1.14285714285714</v>
      </c>
      <c r="H1141" s="60">
        <v>0.25</v>
      </c>
      <c r="I1141" s="60">
        <v>646.852316625</v>
      </c>
      <c r="J1141" s="59">
        <v>16.0</v>
      </c>
      <c r="K1141" s="61">
        <f t="shared" si="1"/>
        <v>0.875</v>
      </c>
      <c r="L1141" s="62">
        <f t="shared" si="2"/>
        <v>2</v>
      </c>
    </row>
    <row r="1142">
      <c r="A1142" s="58">
        <v>46023.0</v>
      </c>
      <c r="B1142" s="24" t="s">
        <v>6789</v>
      </c>
      <c r="C1142" s="24" t="s">
        <v>6802</v>
      </c>
      <c r="D1142" s="59">
        <v>7.0</v>
      </c>
      <c r="E1142" s="59">
        <v>8.0</v>
      </c>
      <c r="F1142" s="59">
        <v>1.0</v>
      </c>
      <c r="G1142" s="60">
        <v>1.33333333333333</v>
      </c>
      <c r="H1142" s="60">
        <v>0.375</v>
      </c>
      <c r="I1142" s="60">
        <v>384.65058775</v>
      </c>
      <c r="J1142" s="59">
        <v>20.0</v>
      </c>
      <c r="K1142" s="61">
        <f t="shared" si="1"/>
        <v>0.125</v>
      </c>
      <c r="L1142" s="62">
        <f t="shared" si="2"/>
        <v>2.5</v>
      </c>
    </row>
    <row r="1143">
      <c r="A1143" s="58">
        <v>46023.0</v>
      </c>
      <c r="B1143" s="24" t="s">
        <v>6791</v>
      </c>
      <c r="C1143" s="24" t="s">
        <v>6802</v>
      </c>
      <c r="D1143" s="59">
        <v>7.0</v>
      </c>
      <c r="E1143" s="59">
        <v>18.0</v>
      </c>
      <c r="F1143" s="59">
        <v>0.0</v>
      </c>
      <c r="G1143" s="60">
        <v>2.57142857142857</v>
      </c>
      <c r="H1143" s="60">
        <v>0.722222222222222</v>
      </c>
      <c r="I1143" s="60">
        <v>42.8396537222222</v>
      </c>
      <c r="J1143" s="59">
        <v>19.0</v>
      </c>
      <c r="K1143" s="61">
        <f t="shared" si="1"/>
        <v>0</v>
      </c>
      <c r="L1143" s="62">
        <f t="shared" si="2"/>
        <v>1.055555556</v>
      </c>
    </row>
    <row r="1144">
      <c r="A1144" s="58">
        <v>46023.0</v>
      </c>
      <c r="B1144" s="24" t="s">
        <v>6787</v>
      </c>
      <c r="C1144" s="24" t="s">
        <v>6817</v>
      </c>
      <c r="D1144" s="59">
        <v>6.0</v>
      </c>
      <c r="E1144" s="59">
        <v>6.0</v>
      </c>
      <c r="F1144" s="59">
        <v>5.0</v>
      </c>
      <c r="G1144" s="60">
        <v>1.0</v>
      </c>
      <c r="H1144" s="60">
        <v>0.5</v>
      </c>
      <c r="I1144" s="60">
        <v>104.448396166666</v>
      </c>
      <c r="J1144" s="59">
        <v>9.0</v>
      </c>
      <c r="K1144" s="61">
        <f t="shared" si="1"/>
        <v>0.8333333333</v>
      </c>
      <c r="L1144" s="62">
        <f t="shared" si="2"/>
        <v>1.5</v>
      </c>
    </row>
    <row r="1145">
      <c r="A1145" s="58">
        <v>46023.0</v>
      </c>
      <c r="B1145" s="24" t="s">
        <v>6789</v>
      </c>
      <c r="C1145" s="24" t="s">
        <v>6804</v>
      </c>
      <c r="D1145" s="59">
        <v>6.0</v>
      </c>
      <c r="E1145" s="59">
        <v>6.0</v>
      </c>
      <c r="F1145" s="59">
        <v>6.0</v>
      </c>
      <c r="G1145" s="60">
        <v>1.0</v>
      </c>
      <c r="H1145" s="60">
        <v>0.333333333333333</v>
      </c>
      <c r="I1145" s="60">
        <v>43.4507968333333</v>
      </c>
      <c r="J1145" s="59">
        <v>6.0</v>
      </c>
      <c r="K1145" s="61">
        <f t="shared" si="1"/>
        <v>1</v>
      </c>
      <c r="L1145" s="62">
        <f t="shared" si="2"/>
        <v>1</v>
      </c>
    </row>
    <row r="1146">
      <c r="A1146" s="58">
        <v>46023.0</v>
      </c>
      <c r="B1146" s="24" t="s">
        <v>6787</v>
      </c>
      <c r="C1146" s="24" t="s">
        <v>6834</v>
      </c>
      <c r="D1146" s="59">
        <v>6.0</v>
      </c>
      <c r="E1146" s="59">
        <v>6.0</v>
      </c>
      <c r="F1146" s="59">
        <v>6.0</v>
      </c>
      <c r="G1146" s="60">
        <v>1.0</v>
      </c>
      <c r="H1146" s="60">
        <v>0.5</v>
      </c>
      <c r="I1146" s="60">
        <v>7.87488566666666</v>
      </c>
      <c r="J1146" s="59">
        <v>6.0</v>
      </c>
      <c r="K1146" s="61">
        <f t="shared" si="1"/>
        <v>1</v>
      </c>
      <c r="L1146" s="62">
        <f t="shared" si="2"/>
        <v>1</v>
      </c>
    </row>
    <row r="1147">
      <c r="A1147" s="58">
        <v>46023.0</v>
      </c>
      <c r="B1147" s="24" t="s">
        <v>6787</v>
      </c>
      <c r="C1147" s="24" t="s">
        <v>6820</v>
      </c>
      <c r="D1147" s="59">
        <v>6.0</v>
      </c>
      <c r="E1147" s="59">
        <v>6.0</v>
      </c>
      <c r="F1147" s="59">
        <v>6.0</v>
      </c>
      <c r="G1147" s="60">
        <v>1.0</v>
      </c>
      <c r="H1147" s="60">
        <v>1.0</v>
      </c>
      <c r="I1147" s="60">
        <v>2.5078915</v>
      </c>
      <c r="J1147" s="59">
        <v>6.0</v>
      </c>
      <c r="K1147" s="61">
        <f t="shared" si="1"/>
        <v>1</v>
      </c>
      <c r="L1147" s="62">
        <f t="shared" si="2"/>
        <v>1</v>
      </c>
    </row>
    <row r="1148">
      <c r="A1148" s="58">
        <v>46023.0</v>
      </c>
      <c r="B1148" s="24" t="s">
        <v>6789</v>
      </c>
      <c r="C1148" s="24" t="s">
        <v>7021</v>
      </c>
      <c r="D1148" s="59">
        <v>6.0</v>
      </c>
      <c r="E1148" s="59">
        <v>6.0</v>
      </c>
      <c r="F1148" s="59">
        <v>1.0</v>
      </c>
      <c r="G1148" s="60">
        <v>1.2</v>
      </c>
      <c r="H1148" s="60">
        <v>0.666666666666666</v>
      </c>
      <c r="I1148" s="60">
        <v>233.2554475</v>
      </c>
      <c r="J1148" s="59">
        <v>8.0</v>
      </c>
      <c r="K1148" s="61">
        <f t="shared" si="1"/>
        <v>0.1666666667</v>
      </c>
      <c r="L1148" s="62">
        <f t="shared" si="2"/>
        <v>1.333333333</v>
      </c>
    </row>
    <row r="1149">
      <c r="A1149" s="58">
        <v>46023.0</v>
      </c>
      <c r="B1149" s="24" t="s">
        <v>6787</v>
      </c>
      <c r="C1149" s="24" t="s">
        <v>6896</v>
      </c>
      <c r="D1149" s="59">
        <v>6.0</v>
      </c>
      <c r="E1149" s="59">
        <v>10.0</v>
      </c>
      <c r="F1149" s="59">
        <v>4.0</v>
      </c>
      <c r="G1149" s="60">
        <v>1.66666666666666</v>
      </c>
      <c r="H1149" s="60">
        <v>0.8</v>
      </c>
      <c r="I1149" s="60">
        <v>9.56066549999999</v>
      </c>
      <c r="J1149" s="59">
        <v>10.0</v>
      </c>
      <c r="K1149" s="61">
        <f t="shared" si="1"/>
        <v>0.4</v>
      </c>
      <c r="L1149" s="62">
        <f t="shared" si="2"/>
        <v>1</v>
      </c>
    </row>
    <row r="1150">
      <c r="A1150" s="58">
        <v>46023.0</v>
      </c>
      <c r="B1150" s="24" t="s">
        <v>6787</v>
      </c>
      <c r="C1150" s="24" t="s">
        <v>6823</v>
      </c>
      <c r="D1150" s="59">
        <v>6.0</v>
      </c>
      <c r="E1150" s="59">
        <v>6.0</v>
      </c>
      <c r="F1150" s="59">
        <v>6.0</v>
      </c>
      <c r="G1150" s="60">
        <v>1.0</v>
      </c>
      <c r="H1150" s="60">
        <v>0.833333333333333</v>
      </c>
      <c r="I1150" s="60">
        <v>1.81276633333333</v>
      </c>
      <c r="J1150" s="59">
        <v>6.0</v>
      </c>
      <c r="K1150" s="61">
        <f t="shared" si="1"/>
        <v>1</v>
      </c>
      <c r="L1150" s="62">
        <f t="shared" si="2"/>
        <v>1</v>
      </c>
    </row>
    <row r="1151">
      <c r="A1151" s="58">
        <v>46023.0</v>
      </c>
      <c r="B1151" s="24" t="s">
        <v>6787</v>
      </c>
      <c r="C1151" s="24" t="s">
        <v>6899</v>
      </c>
      <c r="D1151" s="59">
        <v>6.0</v>
      </c>
      <c r="E1151" s="59">
        <v>6.0</v>
      </c>
      <c r="F1151" s="59">
        <v>6.0</v>
      </c>
      <c r="G1151" s="60">
        <v>1.0</v>
      </c>
      <c r="H1151" s="60">
        <v>1.0</v>
      </c>
      <c r="I1151" s="60">
        <v>0.0</v>
      </c>
      <c r="J1151" s="59">
        <v>6.0</v>
      </c>
      <c r="K1151" s="61">
        <f t="shared" si="1"/>
        <v>1</v>
      </c>
      <c r="L1151" s="62">
        <f t="shared" si="2"/>
        <v>1</v>
      </c>
    </row>
    <row r="1152">
      <c r="A1152" s="58">
        <v>46023.0</v>
      </c>
      <c r="B1152" s="24" t="s">
        <v>6789</v>
      </c>
      <c r="C1152" s="24" t="s">
        <v>7033</v>
      </c>
      <c r="D1152" s="59">
        <v>6.0</v>
      </c>
      <c r="E1152" s="59">
        <v>6.0</v>
      </c>
      <c r="F1152" s="59">
        <v>5.0</v>
      </c>
      <c r="G1152" s="60">
        <v>1.0</v>
      </c>
      <c r="H1152" s="60">
        <v>0.666666666666666</v>
      </c>
      <c r="I1152" s="60">
        <v>408.530265166666</v>
      </c>
      <c r="J1152" s="59">
        <v>14.0</v>
      </c>
      <c r="K1152" s="61">
        <f t="shared" si="1"/>
        <v>0.8333333333</v>
      </c>
      <c r="L1152" s="62">
        <f t="shared" si="2"/>
        <v>2.333333333</v>
      </c>
    </row>
    <row r="1153">
      <c r="A1153" s="58">
        <v>46023.0</v>
      </c>
      <c r="B1153" s="24" t="s">
        <v>6787</v>
      </c>
      <c r="C1153" s="24" t="s">
        <v>7012</v>
      </c>
      <c r="D1153" s="59">
        <v>6.0</v>
      </c>
      <c r="E1153" s="59">
        <v>6.0</v>
      </c>
      <c r="F1153" s="59">
        <v>6.0</v>
      </c>
      <c r="G1153" s="60">
        <v>1.0</v>
      </c>
      <c r="H1153" s="60">
        <v>1.0</v>
      </c>
      <c r="I1153" s="60">
        <v>2.30210833333333</v>
      </c>
      <c r="J1153" s="59">
        <v>6.0</v>
      </c>
      <c r="K1153" s="61">
        <f t="shared" si="1"/>
        <v>1</v>
      </c>
      <c r="L1153" s="62">
        <f t="shared" si="2"/>
        <v>1</v>
      </c>
    </row>
    <row r="1154">
      <c r="A1154" s="58">
        <v>46023.0</v>
      </c>
      <c r="B1154" s="24" t="s">
        <v>155</v>
      </c>
      <c r="C1154" s="24" t="s">
        <v>6809</v>
      </c>
      <c r="D1154" s="59">
        <v>6.0</v>
      </c>
      <c r="E1154" s="59">
        <v>6.0</v>
      </c>
      <c r="F1154" s="59">
        <v>5.0</v>
      </c>
      <c r="G1154" s="60">
        <v>1.0</v>
      </c>
      <c r="H1154" s="60">
        <v>0.333333333333333</v>
      </c>
      <c r="I1154" s="60">
        <v>276.0229535</v>
      </c>
      <c r="J1154" s="59">
        <v>6.0</v>
      </c>
      <c r="K1154" s="61">
        <f t="shared" si="1"/>
        <v>0.8333333333</v>
      </c>
      <c r="L1154" s="62">
        <f t="shared" si="2"/>
        <v>1</v>
      </c>
    </row>
    <row r="1155">
      <c r="A1155" s="58">
        <v>46023.0</v>
      </c>
      <c r="B1155" s="24" t="s">
        <v>6789</v>
      </c>
      <c r="C1155" s="24" t="s">
        <v>6910</v>
      </c>
      <c r="D1155" s="59">
        <v>6.0</v>
      </c>
      <c r="E1155" s="59">
        <v>6.0</v>
      </c>
      <c r="F1155" s="59">
        <v>3.0</v>
      </c>
      <c r="G1155" s="60">
        <v>1.0</v>
      </c>
      <c r="H1155" s="60">
        <v>0.333333333333333</v>
      </c>
      <c r="I1155" s="60">
        <v>182.636844666666</v>
      </c>
      <c r="J1155" s="59">
        <v>13.0</v>
      </c>
      <c r="K1155" s="61">
        <f t="shared" si="1"/>
        <v>0.5</v>
      </c>
      <c r="L1155" s="62">
        <f t="shared" si="2"/>
        <v>2.166666667</v>
      </c>
    </row>
    <row r="1156">
      <c r="A1156" s="58">
        <v>46023.0</v>
      </c>
      <c r="B1156" s="24" t="s">
        <v>6787</v>
      </c>
      <c r="C1156" s="24" t="s">
        <v>6853</v>
      </c>
      <c r="D1156" s="59">
        <v>6.0</v>
      </c>
      <c r="E1156" s="59">
        <v>7.0</v>
      </c>
      <c r="F1156" s="59">
        <v>6.0</v>
      </c>
      <c r="G1156" s="60">
        <v>1.16666666666666</v>
      </c>
      <c r="H1156" s="60">
        <v>0.714285714285714</v>
      </c>
      <c r="I1156" s="60">
        <v>178.187755</v>
      </c>
      <c r="J1156" s="59">
        <v>10.0</v>
      </c>
      <c r="K1156" s="61">
        <f t="shared" si="1"/>
        <v>0.8571428571</v>
      </c>
      <c r="L1156" s="62">
        <f t="shared" si="2"/>
        <v>1.428571429</v>
      </c>
    </row>
    <row r="1157">
      <c r="A1157" s="58">
        <v>46023.0</v>
      </c>
      <c r="B1157" s="24" t="s">
        <v>6787</v>
      </c>
      <c r="C1157" s="24" t="s">
        <v>6931</v>
      </c>
      <c r="D1157" s="59">
        <v>6.0</v>
      </c>
      <c r="E1157" s="59">
        <v>6.0</v>
      </c>
      <c r="F1157" s="59">
        <v>6.0</v>
      </c>
      <c r="G1157" s="60">
        <v>1.0</v>
      </c>
      <c r="H1157" s="60">
        <v>0.833333333333333</v>
      </c>
      <c r="I1157" s="60">
        <v>41.6919358333333</v>
      </c>
      <c r="J1157" s="59">
        <v>7.0</v>
      </c>
      <c r="K1157" s="61">
        <f t="shared" si="1"/>
        <v>1</v>
      </c>
      <c r="L1157" s="62">
        <f t="shared" si="2"/>
        <v>1.166666667</v>
      </c>
    </row>
    <row r="1158">
      <c r="A1158" s="58">
        <v>46023.0</v>
      </c>
      <c r="B1158" s="24" t="s">
        <v>6790</v>
      </c>
      <c r="C1158" s="24" t="s">
        <v>7126</v>
      </c>
      <c r="D1158" s="59">
        <v>6.0</v>
      </c>
      <c r="E1158" s="59">
        <v>6.0</v>
      </c>
      <c r="F1158" s="59">
        <v>6.0</v>
      </c>
      <c r="G1158" s="60">
        <v>1.0</v>
      </c>
      <c r="H1158" s="60">
        <v>1.0</v>
      </c>
      <c r="I1158" s="60">
        <v>0.0</v>
      </c>
      <c r="J1158" s="59">
        <v>6.0</v>
      </c>
      <c r="K1158" s="61">
        <f t="shared" si="1"/>
        <v>1</v>
      </c>
      <c r="L1158" s="62">
        <f t="shared" si="2"/>
        <v>1</v>
      </c>
    </row>
    <row r="1159">
      <c r="A1159" s="58">
        <v>46023.0</v>
      </c>
      <c r="B1159" s="24" t="s">
        <v>6789</v>
      </c>
      <c r="C1159" s="24" t="s">
        <v>6803</v>
      </c>
      <c r="D1159" s="59">
        <v>5.0</v>
      </c>
      <c r="E1159" s="59">
        <v>5.0</v>
      </c>
      <c r="F1159" s="59">
        <v>3.0</v>
      </c>
      <c r="G1159" s="60">
        <v>1.0</v>
      </c>
      <c r="H1159" s="60">
        <v>0.2</v>
      </c>
      <c r="I1159" s="60">
        <v>311.1006696</v>
      </c>
      <c r="J1159" s="59">
        <v>6.0</v>
      </c>
      <c r="K1159" s="61">
        <f t="shared" si="1"/>
        <v>0.6</v>
      </c>
      <c r="L1159" s="62">
        <f t="shared" si="2"/>
        <v>1.2</v>
      </c>
    </row>
    <row r="1160">
      <c r="A1160" s="58">
        <v>46023.0</v>
      </c>
      <c r="B1160" s="24" t="s">
        <v>6787</v>
      </c>
      <c r="C1160" s="24" t="s">
        <v>6932</v>
      </c>
      <c r="D1160" s="59">
        <v>5.0</v>
      </c>
      <c r="E1160" s="59">
        <v>5.0</v>
      </c>
      <c r="F1160" s="59">
        <v>5.0</v>
      </c>
      <c r="G1160" s="60">
        <v>1.0</v>
      </c>
      <c r="H1160" s="60">
        <v>1.0</v>
      </c>
      <c r="I1160" s="60">
        <v>1.2362208</v>
      </c>
      <c r="J1160" s="59">
        <v>5.0</v>
      </c>
      <c r="K1160" s="61">
        <f t="shared" si="1"/>
        <v>1</v>
      </c>
      <c r="L1160" s="62">
        <f t="shared" si="2"/>
        <v>1</v>
      </c>
    </row>
    <row r="1161">
      <c r="A1161" s="58">
        <v>46023.0</v>
      </c>
      <c r="B1161" s="24" t="s">
        <v>6787</v>
      </c>
      <c r="C1161" s="24" t="s">
        <v>6861</v>
      </c>
      <c r="D1161" s="59">
        <v>5.0</v>
      </c>
      <c r="E1161" s="59">
        <v>5.0</v>
      </c>
      <c r="F1161" s="59">
        <v>5.0</v>
      </c>
      <c r="G1161" s="60">
        <v>1.0</v>
      </c>
      <c r="H1161" s="60">
        <v>1.0</v>
      </c>
      <c r="I1161" s="60">
        <v>0.0</v>
      </c>
      <c r="J1161" s="59">
        <v>5.0</v>
      </c>
      <c r="K1161" s="61">
        <f t="shared" si="1"/>
        <v>1</v>
      </c>
      <c r="L1161" s="62">
        <f t="shared" si="2"/>
        <v>1</v>
      </c>
    </row>
    <row r="1162">
      <c r="A1162" s="58">
        <v>46023.0</v>
      </c>
      <c r="B1162" s="24" t="s">
        <v>6789</v>
      </c>
      <c r="C1162" s="24" t="s">
        <v>6834</v>
      </c>
      <c r="D1162" s="59">
        <v>5.0</v>
      </c>
      <c r="E1162" s="59">
        <v>5.0</v>
      </c>
      <c r="F1162" s="59">
        <v>5.0</v>
      </c>
      <c r="G1162" s="60">
        <v>1.0</v>
      </c>
      <c r="H1162" s="60">
        <v>0.4</v>
      </c>
      <c r="I1162" s="60">
        <v>104.75557</v>
      </c>
      <c r="J1162" s="59">
        <v>7.0</v>
      </c>
      <c r="K1162" s="61">
        <f t="shared" si="1"/>
        <v>1</v>
      </c>
      <c r="L1162" s="62">
        <f t="shared" si="2"/>
        <v>1.4</v>
      </c>
    </row>
    <row r="1163">
      <c r="A1163" s="58">
        <v>46023.0</v>
      </c>
      <c r="B1163" s="24" t="s">
        <v>6787</v>
      </c>
      <c r="C1163" s="24" t="s">
        <v>6880</v>
      </c>
      <c r="D1163" s="59">
        <v>5.0</v>
      </c>
      <c r="E1163" s="59">
        <v>5.0</v>
      </c>
      <c r="F1163" s="59">
        <v>5.0</v>
      </c>
      <c r="G1163" s="60">
        <v>1.0</v>
      </c>
      <c r="H1163" s="60">
        <v>1.0</v>
      </c>
      <c r="I1163" s="60">
        <v>0.0</v>
      </c>
      <c r="J1163" s="59">
        <v>5.0</v>
      </c>
      <c r="K1163" s="61">
        <f t="shared" si="1"/>
        <v>1</v>
      </c>
      <c r="L1163" s="62">
        <f t="shared" si="2"/>
        <v>1</v>
      </c>
    </row>
    <row r="1164">
      <c r="A1164" s="58">
        <v>46023.0</v>
      </c>
      <c r="B1164" s="24" t="s">
        <v>6789</v>
      </c>
      <c r="C1164" s="24" t="s">
        <v>6994</v>
      </c>
      <c r="D1164" s="59">
        <v>5.0</v>
      </c>
      <c r="E1164" s="59">
        <v>5.0</v>
      </c>
      <c r="F1164" s="59">
        <v>5.0</v>
      </c>
      <c r="G1164" s="60">
        <v>1.0</v>
      </c>
      <c r="H1164" s="60">
        <v>0.4</v>
      </c>
      <c r="I1164" s="60">
        <v>22.6760561999999</v>
      </c>
      <c r="J1164" s="59">
        <v>5.0</v>
      </c>
      <c r="K1164" s="61">
        <f t="shared" si="1"/>
        <v>1</v>
      </c>
      <c r="L1164" s="62">
        <f t="shared" si="2"/>
        <v>1</v>
      </c>
    </row>
    <row r="1165">
      <c r="A1165" s="58">
        <v>46023.0</v>
      </c>
      <c r="B1165" s="24" t="s">
        <v>6789</v>
      </c>
      <c r="C1165" s="24" t="s">
        <v>6822</v>
      </c>
      <c r="D1165" s="59">
        <v>5.0</v>
      </c>
      <c r="E1165" s="59">
        <v>7.0</v>
      </c>
      <c r="F1165" s="59">
        <v>2.0</v>
      </c>
      <c r="G1165" s="60">
        <v>1.4</v>
      </c>
      <c r="H1165" s="60">
        <v>0.571428571428571</v>
      </c>
      <c r="I1165" s="60">
        <v>66.9124662857142</v>
      </c>
      <c r="J1165" s="59">
        <v>9.0</v>
      </c>
      <c r="K1165" s="61">
        <f t="shared" si="1"/>
        <v>0.2857142857</v>
      </c>
      <c r="L1165" s="62">
        <f t="shared" si="2"/>
        <v>1.285714286</v>
      </c>
    </row>
    <row r="1166">
      <c r="A1166" s="58">
        <v>46023.0</v>
      </c>
      <c r="B1166" s="24" t="s">
        <v>6787</v>
      </c>
      <c r="C1166" s="24" t="s">
        <v>6843</v>
      </c>
      <c r="D1166" s="59">
        <v>5.0</v>
      </c>
      <c r="E1166" s="59">
        <v>5.0</v>
      </c>
      <c r="F1166" s="59">
        <v>5.0</v>
      </c>
      <c r="G1166" s="60">
        <v>1.0</v>
      </c>
      <c r="H1166" s="60">
        <v>0.6</v>
      </c>
      <c r="I1166" s="60">
        <v>20.0131226</v>
      </c>
      <c r="J1166" s="59">
        <v>5.0</v>
      </c>
      <c r="K1166" s="61">
        <f t="shared" si="1"/>
        <v>1</v>
      </c>
      <c r="L1166" s="62">
        <f t="shared" si="2"/>
        <v>1</v>
      </c>
    </row>
    <row r="1167">
      <c r="A1167" s="58">
        <v>46023.0</v>
      </c>
      <c r="B1167" s="24" t="s">
        <v>6787</v>
      </c>
      <c r="C1167" s="24" t="s">
        <v>7033</v>
      </c>
      <c r="D1167" s="59">
        <v>5.0</v>
      </c>
      <c r="E1167" s="59">
        <v>5.0</v>
      </c>
      <c r="F1167" s="59">
        <v>5.0</v>
      </c>
      <c r="G1167" s="60">
        <v>1.0</v>
      </c>
      <c r="H1167" s="60">
        <v>0.6</v>
      </c>
      <c r="I1167" s="60">
        <v>43.28676</v>
      </c>
      <c r="J1167" s="59">
        <v>6.0</v>
      </c>
      <c r="K1167" s="61">
        <f t="shared" si="1"/>
        <v>1</v>
      </c>
      <c r="L1167" s="62">
        <f t="shared" si="2"/>
        <v>1.2</v>
      </c>
    </row>
    <row r="1168">
      <c r="A1168" s="58">
        <v>46023.0</v>
      </c>
      <c r="B1168" s="24" t="s">
        <v>6787</v>
      </c>
      <c r="C1168" s="24" t="s">
        <v>6905</v>
      </c>
      <c r="D1168" s="59">
        <v>5.0</v>
      </c>
      <c r="E1168" s="59">
        <v>5.0</v>
      </c>
      <c r="F1168" s="59">
        <v>5.0</v>
      </c>
      <c r="G1168" s="60">
        <v>1.0</v>
      </c>
      <c r="H1168" s="60">
        <v>1.0</v>
      </c>
      <c r="I1168" s="60">
        <v>0.9265824</v>
      </c>
      <c r="J1168" s="59">
        <v>5.0</v>
      </c>
      <c r="K1168" s="61">
        <f t="shared" si="1"/>
        <v>1</v>
      </c>
      <c r="L1168" s="62">
        <f t="shared" si="2"/>
        <v>1</v>
      </c>
    </row>
    <row r="1169">
      <c r="A1169" s="58">
        <v>46023.0</v>
      </c>
      <c r="B1169" s="24" t="s">
        <v>6942</v>
      </c>
      <c r="C1169" s="24" t="s">
        <v>7125</v>
      </c>
      <c r="D1169" s="59">
        <v>5.0</v>
      </c>
      <c r="E1169" s="59">
        <v>5.0</v>
      </c>
      <c r="F1169" s="59">
        <v>5.0</v>
      </c>
      <c r="G1169" s="60">
        <v>1.0</v>
      </c>
      <c r="H1169" s="60">
        <v>1.0</v>
      </c>
      <c r="I1169" s="60">
        <v>0.0</v>
      </c>
      <c r="J1169" s="59">
        <v>5.0</v>
      </c>
      <c r="K1169" s="61">
        <f t="shared" si="1"/>
        <v>1</v>
      </c>
      <c r="L1169" s="62">
        <f t="shared" si="2"/>
        <v>1</v>
      </c>
    </row>
    <row r="1170">
      <c r="A1170" s="58">
        <v>46023.0</v>
      </c>
      <c r="B1170" s="24" t="s">
        <v>6789</v>
      </c>
      <c r="C1170" s="24" t="s">
        <v>6849</v>
      </c>
      <c r="D1170" s="59">
        <v>5.0</v>
      </c>
      <c r="E1170" s="59">
        <v>5.0</v>
      </c>
      <c r="F1170" s="59">
        <v>3.0</v>
      </c>
      <c r="G1170" s="60">
        <v>1.0</v>
      </c>
      <c r="H1170" s="60">
        <v>0.6</v>
      </c>
      <c r="I1170" s="60">
        <v>14.9867064</v>
      </c>
      <c r="J1170" s="59">
        <v>9.0</v>
      </c>
      <c r="K1170" s="61">
        <f t="shared" si="1"/>
        <v>0.6</v>
      </c>
      <c r="L1170" s="62">
        <f t="shared" si="2"/>
        <v>1.8</v>
      </c>
    </row>
    <row r="1171">
      <c r="A1171" s="58">
        <v>46023.0</v>
      </c>
      <c r="B1171" s="24" t="s">
        <v>6787</v>
      </c>
      <c r="C1171" s="24" t="s">
        <v>6908</v>
      </c>
      <c r="D1171" s="59">
        <v>5.0</v>
      </c>
      <c r="E1171" s="59">
        <v>5.0</v>
      </c>
      <c r="F1171" s="59">
        <v>5.0</v>
      </c>
      <c r="G1171" s="60">
        <v>1.0</v>
      </c>
      <c r="H1171" s="60">
        <v>1.0</v>
      </c>
      <c r="I1171" s="60">
        <v>0.0</v>
      </c>
      <c r="J1171" s="59">
        <v>5.0</v>
      </c>
      <c r="K1171" s="61">
        <f t="shared" si="1"/>
        <v>1</v>
      </c>
      <c r="L1171" s="62">
        <f t="shared" si="2"/>
        <v>1</v>
      </c>
    </row>
    <row r="1172">
      <c r="A1172" s="58">
        <v>46023.0</v>
      </c>
      <c r="B1172" s="24" t="s">
        <v>6787</v>
      </c>
      <c r="C1172" s="24" t="s">
        <v>6850</v>
      </c>
      <c r="D1172" s="59">
        <v>5.0</v>
      </c>
      <c r="E1172" s="59">
        <v>5.0</v>
      </c>
      <c r="F1172" s="59">
        <v>5.0</v>
      </c>
      <c r="G1172" s="60">
        <v>1.0</v>
      </c>
      <c r="H1172" s="60">
        <v>0.8</v>
      </c>
      <c r="I1172" s="60">
        <v>425.539283799999</v>
      </c>
      <c r="J1172" s="59">
        <v>12.0</v>
      </c>
      <c r="K1172" s="61">
        <f t="shared" si="1"/>
        <v>1</v>
      </c>
      <c r="L1172" s="62">
        <f t="shared" si="2"/>
        <v>2.4</v>
      </c>
    </row>
    <row r="1173">
      <c r="A1173" s="58">
        <v>46023.0</v>
      </c>
      <c r="B1173" s="24" t="s">
        <v>6787</v>
      </c>
      <c r="C1173" s="24" t="s">
        <v>6909</v>
      </c>
      <c r="D1173" s="59">
        <v>5.0</v>
      </c>
      <c r="E1173" s="59">
        <v>5.0</v>
      </c>
      <c r="F1173" s="59">
        <v>5.0</v>
      </c>
      <c r="G1173" s="60">
        <v>1.0</v>
      </c>
      <c r="H1173" s="60">
        <v>0.8</v>
      </c>
      <c r="I1173" s="60">
        <v>27.9316638</v>
      </c>
      <c r="J1173" s="59">
        <v>8.0</v>
      </c>
      <c r="K1173" s="61">
        <f t="shared" si="1"/>
        <v>1</v>
      </c>
      <c r="L1173" s="62">
        <f t="shared" si="2"/>
        <v>1.6</v>
      </c>
    </row>
    <row r="1174">
      <c r="A1174" s="58">
        <v>46023.0</v>
      </c>
      <c r="B1174" s="24" t="s">
        <v>6787</v>
      </c>
      <c r="C1174" s="24" t="s">
        <v>6851</v>
      </c>
      <c r="D1174" s="59">
        <v>5.0</v>
      </c>
      <c r="E1174" s="59">
        <v>5.0</v>
      </c>
      <c r="F1174" s="59">
        <v>5.0</v>
      </c>
      <c r="G1174" s="60">
        <v>1.0</v>
      </c>
      <c r="H1174" s="60">
        <v>1.0</v>
      </c>
      <c r="I1174" s="60">
        <v>0.0</v>
      </c>
      <c r="J1174" s="59">
        <v>5.0</v>
      </c>
      <c r="K1174" s="61">
        <f t="shared" si="1"/>
        <v>1</v>
      </c>
      <c r="L1174" s="62">
        <f t="shared" si="2"/>
        <v>1</v>
      </c>
    </row>
    <row r="1175">
      <c r="A1175" s="58">
        <v>46023.0</v>
      </c>
      <c r="B1175" s="24" t="s">
        <v>6787</v>
      </c>
      <c r="C1175" s="24" t="s">
        <v>7102</v>
      </c>
      <c r="D1175" s="59">
        <v>5.0</v>
      </c>
      <c r="E1175" s="59">
        <v>5.0</v>
      </c>
      <c r="F1175" s="59">
        <v>4.0</v>
      </c>
      <c r="G1175" s="60">
        <v>1.0</v>
      </c>
      <c r="H1175" s="60">
        <v>0.6</v>
      </c>
      <c r="I1175" s="60">
        <v>283.838461</v>
      </c>
      <c r="J1175" s="59">
        <v>7.0</v>
      </c>
      <c r="K1175" s="61">
        <f t="shared" si="1"/>
        <v>0.8</v>
      </c>
      <c r="L1175" s="62">
        <f t="shared" si="2"/>
        <v>1.4</v>
      </c>
    </row>
    <row r="1176">
      <c r="A1176" s="58">
        <v>46023.0</v>
      </c>
      <c r="B1176" s="24" t="s">
        <v>6789</v>
      </c>
      <c r="C1176" s="24" t="s">
        <v>6917</v>
      </c>
      <c r="D1176" s="59">
        <v>5.0</v>
      </c>
      <c r="E1176" s="59">
        <v>5.0</v>
      </c>
      <c r="F1176" s="59">
        <v>4.0</v>
      </c>
      <c r="G1176" s="60">
        <v>1.0</v>
      </c>
      <c r="H1176" s="60">
        <v>0.6</v>
      </c>
      <c r="I1176" s="60">
        <v>100.116282</v>
      </c>
      <c r="J1176" s="59">
        <v>6.0</v>
      </c>
      <c r="K1176" s="61">
        <f t="shared" si="1"/>
        <v>0.8</v>
      </c>
      <c r="L1176" s="62">
        <f t="shared" si="2"/>
        <v>1.2</v>
      </c>
    </row>
    <row r="1177">
      <c r="A1177" s="58">
        <v>46023.0</v>
      </c>
      <c r="B1177" s="24" t="s">
        <v>6789</v>
      </c>
      <c r="C1177" s="24" t="s">
        <v>6853</v>
      </c>
      <c r="D1177" s="59">
        <v>5.0</v>
      </c>
      <c r="E1177" s="59">
        <v>5.0</v>
      </c>
      <c r="F1177" s="59">
        <v>3.0</v>
      </c>
      <c r="G1177" s="60">
        <v>1.0</v>
      </c>
      <c r="H1177" s="60">
        <v>0.0</v>
      </c>
      <c r="I1177" s="60">
        <v>604.5820136</v>
      </c>
      <c r="J1177" s="59">
        <v>6.0</v>
      </c>
      <c r="K1177" s="61">
        <f t="shared" si="1"/>
        <v>0.6</v>
      </c>
      <c r="L1177" s="62">
        <f t="shared" si="2"/>
        <v>1.2</v>
      </c>
    </row>
    <row r="1178">
      <c r="A1178" s="58">
        <v>46023.0</v>
      </c>
      <c r="B1178" s="24" t="s">
        <v>155</v>
      </c>
      <c r="C1178" s="24" t="s">
        <v>6802</v>
      </c>
      <c r="D1178" s="59">
        <v>5.0</v>
      </c>
      <c r="E1178" s="59">
        <v>6.0</v>
      </c>
      <c r="F1178" s="59">
        <v>4.0</v>
      </c>
      <c r="G1178" s="60">
        <v>1.2</v>
      </c>
      <c r="H1178" s="60">
        <v>0.5</v>
      </c>
      <c r="I1178" s="60">
        <v>36.3898835</v>
      </c>
      <c r="J1178" s="59">
        <v>9.0</v>
      </c>
      <c r="K1178" s="61">
        <f t="shared" si="1"/>
        <v>0.6666666667</v>
      </c>
      <c r="L1178" s="62">
        <f t="shared" si="2"/>
        <v>1.5</v>
      </c>
    </row>
    <row r="1179">
      <c r="A1179" s="58">
        <v>46023.0</v>
      </c>
      <c r="B1179" s="24" t="s">
        <v>6787</v>
      </c>
      <c r="C1179" s="24" t="s">
        <v>7127</v>
      </c>
      <c r="D1179" s="59">
        <v>4.0</v>
      </c>
      <c r="E1179" s="59">
        <v>4.0</v>
      </c>
      <c r="F1179" s="59">
        <v>4.0</v>
      </c>
      <c r="G1179" s="60">
        <v>1.0</v>
      </c>
      <c r="H1179" s="60">
        <v>0.75</v>
      </c>
      <c r="I1179" s="60">
        <v>3.26930675</v>
      </c>
      <c r="J1179" s="59">
        <v>4.0</v>
      </c>
      <c r="K1179" s="61">
        <f t="shared" si="1"/>
        <v>1</v>
      </c>
      <c r="L1179" s="62">
        <f t="shared" si="2"/>
        <v>1</v>
      </c>
    </row>
    <row r="1180">
      <c r="A1180" s="58">
        <v>46023.0</v>
      </c>
      <c r="B1180" s="24" t="s">
        <v>6787</v>
      </c>
      <c r="C1180" s="24" t="s">
        <v>7128</v>
      </c>
      <c r="D1180" s="59">
        <v>4.0</v>
      </c>
      <c r="E1180" s="59">
        <v>4.0</v>
      </c>
      <c r="F1180" s="59">
        <v>4.0</v>
      </c>
      <c r="G1180" s="60">
        <v>1.0</v>
      </c>
      <c r="H1180" s="60">
        <v>1.0</v>
      </c>
      <c r="I1180" s="60">
        <v>0.0</v>
      </c>
      <c r="J1180" s="59">
        <v>4.0</v>
      </c>
      <c r="K1180" s="61">
        <f t="shared" si="1"/>
        <v>1</v>
      </c>
      <c r="L1180" s="62">
        <f t="shared" si="2"/>
        <v>1</v>
      </c>
    </row>
    <row r="1181">
      <c r="A1181" s="58">
        <v>46023.0</v>
      </c>
      <c r="B1181" s="24" t="s">
        <v>6789</v>
      </c>
      <c r="C1181" s="24" t="s">
        <v>7056</v>
      </c>
      <c r="D1181" s="59">
        <v>4.0</v>
      </c>
      <c r="E1181" s="59">
        <v>4.0</v>
      </c>
      <c r="F1181" s="59">
        <v>4.0</v>
      </c>
      <c r="G1181" s="60">
        <v>1.0</v>
      </c>
      <c r="H1181" s="60">
        <v>0.5</v>
      </c>
      <c r="I1181" s="60">
        <v>53.820053</v>
      </c>
      <c r="J1181" s="59">
        <v>6.0</v>
      </c>
      <c r="K1181" s="61">
        <f t="shared" si="1"/>
        <v>1</v>
      </c>
      <c r="L1181" s="62">
        <f t="shared" si="2"/>
        <v>1.5</v>
      </c>
    </row>
    <row r="1182">
      <c r="A1182" s="58">
        <v>46023.0</v>
      </c>
      <c r="B1182" s="24" t="s">
        <v>6787</v>
      </c>
      <c r="C1182" s="24" t="s">
        <v>6871</v>
      </c>
      <c r="D1182" s="59">
        <v>4.0</v>
      </c>
      <c r="E1182" s="59">
        <v>5.0</v>
      </c>
      <c r="F1182" s="59">
        <v>4.0</v>
      </c>
      <c r="G1182" s="60">
        <v>1.25</v>
      </c>
      <c r="H1182" s="60">
        <v>0.6</v>
      </c>
      <c r="I1182" s="60">
        <v>16.612833</v>
      </c>
      <c r="J1182" s="59">
        <v>7.0</v>
      </c>
      <c r="K1182" s="61">
        <f t="shared" si="1"/>
        <v>0.8</v>
      </c>
      <c r="L1182" s="62">
        <f t="shared" si="2"/>
        <v>1.4</v>
      </c>
    </row>
    <row r="1183">
      <c r="A1183" s="58">
        <v>46023.0</v>
      </c>
      <c r="B1183" s="24" t="s">
        <v>6787</v>
      </c>
      <c r="C1183" s="24" t="s">
        <v>6873</v>
      </c>
      <c r="D1183" s="59">
        <v>4.0</v>
      </c>
      <c r="E1183" s="59">
        <v>4.0</v>
      </c>
      <c r="F1183" s="59">
        <v>4.0</v>
      </c>
      <c r="G1183" s="60">
        <v>1.0</v>
      </c>
      <c r="H1183" s="60">
        <v>0.75</v>
      </c>
      <c r="I1183" s="60">
        <v>18.80698675</v>
      </c>
      <c r="J1183" s="59">
        <v>4.0</v>
      </c>
      <c r="K1183" s="61">
        <f t="shared" si="1"/>
        <v>1</v>
      </c>
      <c r="L1183" s="62">
        <f t="shared" si="2"/>
        <v>1</v>
      </c>
    </row>
    <row r="1184">
      <c r="A1184" s="58">
        <v>46023.0</v>
      </c>
      <c r="B1184" s="24" t="s">
        <v>6787</v>
      </c>
      <c r="C1184" s="24" t="s">
        <v>6883</v>
      </c>
      <c r="D1184" s="59">
        <v>4.0</v>
      </c>
      <c r="E1184" s="59">
        <v>4.0</v>
      </c>
      <c r="F1184" s="59">
        <v>4.0</v>
      </c>
      <c r="G1184" s="60">
        <v>1.0</v>
      </c>
      <c r="H1184" s="60">
        <v>0.75</v>
      </c>
      <c r="I1184" s="60">
        <v>5.47185575</v>
      </c>
      <c r="J1184" s="59">
        <v>4.0</v>
      </c>
      <c r="K1184" s="61">
        <f t="shared" si="1"/>
        <v>1</v>
      </c>
      <c r="L1184" s="62">
        <f t="shared" si="2"/>
        <v>1</v>
      </c>
    </row>
    <row r="1185">
      <c r="A1185" s="58">
        <v>46023.0</v>
      </c>
      <c r="B1185" s="24" t="s">
        <v>6787</v>
      </c>
      <c r="C1185" s="24" t="s">
        <v>6835</v>
      </c>
      <c r="D1185" s="59">
        <v>4.0</v>
      </c>
      <c r="E1185" s="59">
        <v>4.0</v>
      </c>
      <c r="F1185" s="59">
        <v>3.0</v>
      </c>
      <c r="G1185" s="60">
        <v>1.0</v>
      </c>
      <c r="H1185" s="60">
        <v>0.75</v>
      </c>
      <c r="I1185" s="60">
        <v>4.664384</v>
      </c>
      <c r="J1185" s="59">
        <v>4.0</v>
      </c>
      <c r="K1185" s="61">
        <f t="shared" si="1"/>
        <v>0.75</v>
      </c>
      <c r="L1185" s="62">
        <f t="shared" si="2"/>
        <v>1</v>
      </c>
    </row>
    <row r="1186">
      <c r="A1186" s="58">
        <v>46023.0</v>
      </c>
      <c r="B1186" s="24" t="s">
        <v>6791</v>
      </c>
      <c r="C1186" s="24" t="s">
        <v>6886</v>
      </c>
      <c r="D1186" s="59">
        <v>4.0</v>
      </c>
      <c r="E1186" s="59">
        <v>4.0</v>
      </c>
      <c r="F1186" s="59">
        <v>0.0</v>
      </c>
      <c r="G1186" s="60">
        <v>1.33333333333333</v>
      </c>
      <c r="H1186" s="60">
        <v>0.25</v>
      </c>
      <c r="I1186" s="60">
        <v>262.64362425</v>
      </c>
      <c r="J1186" s="59">
        <v>7.0</v>
      </c>
      <c r="K1186" s="61">
        <f t="shared" si="1"/>
        <v>0</v>
      </c>
      <c r="L1186" s="62">
        <f t="shared" si="2"/>
        <v>1.75</v>
      </c>
    </row>
    <row r="1187">
      <c r="A1187" s="58">
        <v>46023.0</v>
      </c>
      <c r="B1187" s="24" t="s">
        <v>6789</v>
      </c>
      <c r="C1187" s="24" t="s">
        <v>6898</v>
      </c>
      <c r="D1187" s="59">
        <v>4.0</v>
      </c>
      <c r="E1187" s="59">
        <v>4.0</v>
      </c>
      <c r="F1187" s="59">
        <v>3.0</v>
      </c>
      <c r="G1187" s="60">
        <v>1.0</v>
      </c>
      <c r="H1187" s="60">
        <v>0.75</v>
      </c>
      <c r="I1187" s="60">
        <v>231.7813255</v>
      </c>
      <c r="J1187" s="59">
        <v>9.0</v>
      </c>
      <c r="K1187" s="61">
        <f t="shared" si="1"/>
        <v>0.75</v>
      </c>
      <c r="L1187" s="62">
        <f t="shared" si="2"/>
        <v>2.25</v>
      </c>
    </row>
    <row r="1188">
      <c r="A1188" s="58">
        <v>46023.0</v>
      </c>
      <c r="B1188" s="24" t="s">
        <v>6787</v>
      </c>
      <c r="C1188" s="24" t="s">
        <v>7006</v>
      </c>
      <c r="D1188" s="59">
        <v>4.0</v>
      </c>
      <c r="E1188" s="59">
        <v>4.0</v>
      </c>
      <c r="F1188" s="59">
        <v>4.0</v>
      </c>
      <c r="G1188" s="60">
        <v>1.0</v>
      </c>
      <c r="H1188" s="60">
        <v>1.0</v>
      </c>
      <c r="I1188" s="60">
        <v>2.46539325</v>
      </c>
      <c r="J1188" s="59">
        <v>4.0</v>
      </c>
      <c r="K1188" s="61">
        <f t="shared" si="1"/>
        <v>1</v>
      </c>
      <c r="L1188" s="62">
        <f t="shared" si="2"/>
        <v>1</v>
      </c>
    </row>
    <row r="1189">
      <c r="A1189" s="58">
        <v>46023.0</v>
      </c>
      <c r="B1189" s="24" t="s">
        <v>6789</v>
      </c>
      <c r="C1189" s="24" t="s">
        <v>6844</v>
      </c>
      <c r="D1189" s="59">
        <v>4.0</v>
      </c>
      <c r="E1189" s="59">
        <v>4.0</v>
      </c>
      <c r="F1189" s="59">
        <v>4.0</v>
      </c>
      <c r="G1189" s="60">
        <v>1.0</v>
      </c>
      <c r="H1189" s="60">
        <v>0.5</v>
      </c>
      <c r="I1189" s="60">
        <v>89.04182425</v>
      </c>
      <c r="J1189" s="59">
        <v>5.0</v>
      </c>
      <c r="K1189" s="61">
        <f t="shared" si="1"/>
        <v>1</v>
      </c>
      <c r="L1189" s="62">
        <f t="shared" si="2"/>
        <v>1.25</v>
      </c>
    </row>
    <row r="1190">
      <c r="A1190" s="58">
        <v>46023.0</v>
      </c>
      <c r="B1190" s="24" t="s">
        <v>6789</v>
      </c>
      <c r="C1190" s="24" t="s">
        <v>7119</v>
      </c>
      <c r="D1190" s="59">
        <v>4.0</v>
      </c>
      <c r="E1190" s="59">
        <v>4.0</v>
      </c>
      <c r="F1190" s="59">
        <v>4.0</v>
      </c>
      <c r="G1190" s="60">
        <v>1.0</v>
      </c>
      <c r="H1190" s="60">
        <v>1.0</v>
      </c>
      <c r="I1190" s="60">
        <v>0.0</v>
      </c>
      <c r="J1190" s="59">
        <v>4.0</v>
      </c>
      <c r="K1190" s="61">
        <f t="shared" si="1"/>
        <v>1</v>
      </c>
      <c r="L1190" s="62">
        <f t="shared" si="2"/>
        <v>1</v>
      </c>
    </row>
    <row r="1191">
      <c r="A1191" s="58">
        <v>46023.0</v>
      </c>
      <c r="B1191" s="24" t="s">
        <v>6787</v>
      </c>
      <c r="C1191" s="24" t="s">
        <v>6808</v>
      </c>
      <c r="D1191" s="59">
        <v>4.0</v>
      </c>
      <c r="E1191" s="59">
        <v>5.0</v>
      </c>
      <c r="F1191" s="59">
        <v>4.0</v>
      </c>
      <c r="G1191" s="60">
        <v>1.25</v>
      </c>
      <c r="H1191" s="60">
        <v>0.4</v>
      </c>
      <c r="I1191" s="60">
        <v>35.822364</v>
      </c>
      <c r="J1191" s="59">
        <v>5.0</v>
      </c>
      <c r="K1191" s="61">
        <f t="shared" si="1"/>
        <v>0.8</v>
      </c>
      <c r="L1191" s="62">
        <f t="shared" si="2"/>
        <v>1</v>
      </c>
    </row>
    <row r="1192">
      <c r="A1192" s="58">
        <v>46023.0</v>
      </c>
      <c r="B1192" s="24" t="s">
        <v>6789</v>
      </c>
      <c r="C1192" s="24" t="s">
        <v>6852</v>
      </c>
      <c r="D1192" s="59">
        <v>4.0</v>
      </c>
      <c r="E1192" s="59">
        <v>4.0</v>
      </c>
      <c r="F1192" s="59">
        <v>4.0</v>
      </c>
      <c r="G1192" s="60">
        <v>1.0</v>
      </c>
      <c r="H1192" s="60">
        <v>0.5</v>
      </c>
      <c r="I1192" s="60">
        <v>63.9051305</v>
      </c>
      <c r="J1192" s="59">
        <v>5.0</v>
      </c>
      <c r="K1192" s="61">
        <f t="shared" si="1"/>
        <v>1</v>
      </c>
      <c r="L1192" s="62">
        <f t="shared" si="2"/>
        <v>1.25</v>
      </c>
    </row>
    <row r="1193">
      <c r="A1193" s="58">
        <v>46023.0</v>
      </c>
      <c r="B1193" s="24" t="s">
        <v>6787</v>
      </c>
      <c r="C1193" s="24" t="s">
        <v>6922</v>
      </c>
      <c r="D1193" s="59">
        <v>4.0</v>
      </c>
      <c r="E1193" s="59">
        <v>4.0</v>
      </c>
      <c r="F1193" s="59">
        <v>4.0</v>
      </c>
      <c r="G1193" s="60">
        <v>1.0</v>
      </c>
      <c r="H1193" s="60">
        <v>1.0</v>
      </c>
      <c r="I1193" s="60">
        <v>0.0</v>
      </c>
      <c r="J1193" s="59">
        <v>4.0</v>
      </c>
      <c r="K1193" s="61">
        <f t="shared" si="1"/>
        <v>1</v>
      </c>
      <c r="L1193" s="62">
        <f t="shared" si="2"/>
        <v>1</v>
      </c>
    </row>
    <row r="1194">
      <c r="A1194" s="58">
        <v>46023.0</v>
      </c>
      <c r="B1194" s="24" t="s">
        <v>6789</v>
      </c>
      <c r="C1194" s="24" t="s">
        <v>6922</v>
      </c>
      <c r="D1194" s="59">
        <v>4.0</v>
      </c>
      <c r="E1194" s="59">
        <v>4.0</v>
      </c>
      <c r="F1194" s="59">
        <v>3.0</v>
      </c>
      <c r="G1194" s="60">
        <v>1.0</v>
      </c>
      <c r="H1194" s="60">
        <v>0.5</v>
      </c>
      <c r="I1194" s="60">
        <v>17.21733525</v>
      </c>
      <c r="J1194" s="59">
        <v>6.0</v>
      </c>
      <c r="K1194" s="61">
        <f t="shared" si="1"/>
        <v>0.75</v>
      </c>
      <c r="L1194" s="62">
        <f t="shared" si="2"/>
        <v>1.5</v>
      </c>
    </row>
    <row r="1195">
      <c r="A1195" s="58">
        <v>46023.0</v>
      </c>
      <c r="B1195" s="24" t="s">
        <v>6789</v>
      </c>
      <c r="C1195" s="24" t="s">
        <v>6854</v>
      </c>
      <c r="D1195" s="59">
        <v>4.0</v>
      </c>
      <c r="E1195" s="59">
        <v>4.0</v>
      </c>
      <c r="F1195" s="59">
        <v>0.0</v>
      </c>
      <c r="G1195" s="60">
        <v>1.33333333333333</v>
      </c>
      <c r="H1195" s="60">
        <v>0.25</v>
      </c>
      <c r="I1195" s="60">
        <v>227.331826999999</v>
      </c>
      <c r="J1195" s="59">
        <v>6.0</v>
      </c>
      <c r="K1195" s="61">
        <f t="shared" si="1"/>
        <v>0</v>
      </c>
      <c r="L1195" s="62">
        <f t="shared" si="2"/>
        <v>1.5</v>
      </c>
    </row>
    <row r="1196">
      <c r="A1196" s="58">
        <v>46023.0</v>
      </c>
      <c r="B1196" s="24" t="s">
        <v>6787</v>
      </c>
      <c r="C1196" s="24" t="s">
        <v>6924</v>
      </c>
      <c r="D1196" s="59">
        <v>4.0</v>
      </c>
      <c r="E1196" s="59">
        <v>6.0</v>
      </c>
      <c r="F1196" s="59">
        <v>4.0</v>
      </c>
      <c r="G1196" s="60">
        <v>1.5</v>
      </c>
      <c r="H1196" s="60">
        <v>0.833333333333333</v>
      </c>
      <c r="I1196" s="60">
        <v>240.560505333333</v>
      </c>
      <c r="J1196" s="59">
        <v>7.0</v>
      </c>
      <c r="K1196" s="61">
        <f t="shared" si="1"/>
        <v>0.6666666667</v>
      </c>
      <c r="L1196" s="62">
        <f t="shared" si="2"/>
        <v>1.166666667</v>
      </c>
    </row>
    <row r="1197">
      <c r="A1197" s="58">
        <v>46023.0</v>
      </c>
      <c r="B1197" s="24" t="s">
        <v>3216</v>
      </c>
      <c r="C1197" s="24" t="s">
        <v>6792</v>
      </c>
      <c r="D1197" s="59">
        <v>3.0</v>
      </c>
      <c r="E1197" s="59">
        <v>3.0</v>
      </c>
      <c r="F1197" s="59">
        <v>0.0</v>
      </c>
      <c r="G1197" s="60">
        <v>1.5</v>
      </c>
      <c r="H1197" s="60">
        <v>1.0</v>
      </c>
      <c r="I1197" s="60">
        <v>0.0</v>
      </c>
      <c r="J1197" s="59">
        <v>0.0</v>
      </c>
      <c r="K1197" s="61">
        <f t="shared" si="1"/>
        <v>0</v>
      </c>
      <c r="L1197" s="62">
        <f t="shared" si="2"/>
        <v>0</v>
      </c>
    </row>
    <row r="1198">
      <c r="A1198" s="58">
        <v>46023.0</v>
      </c>
      <c r="B1198" s="24" t="s">
        <v>155</v>
      </c>
      <c r="C1198" s="24" t="s">
        <v>6803</v>
      </c>
      <c r="D1198" s="59">
        <v>3.0</v>
      </c>
      <c r="E1198" s="59">
        <v>4.0</v>
      </c>
      <c r="F1198" s="59">
        <v>2.0</v>
      </c>
      <c r="G1198" s="60">
        <v>1.33333333333333</v>
      </c>
      <c r="H1198" s="60">
        <v>0.25</v>
      </c>
      <c r="I1198" s="60">
        <v>241.17099075</v>
      </c>
      <c r="J1198" s="59">
        <v>6.0</v>
      </c>
      <c r="K1198" s="61">
        <f t="shared" si="1"/>
        <v>0.5</v>
      </c>
      <c r="L1198" s="62">
        <f t="shared" si="2"/>
        <v>1.5</v>
      </c>
    </row>
    <row r="1199">
      <c r="A1199" s="58">
        <v>46023.0</v>
      </c>
      <c r="B1199" s="24" t="s">
        <v>6789</v>
      </c>
      <c r="C1199" s="24" t="s">
        <v>6828</v>
      </c>
      <c r="D1199" s="59">
        <v>3.0</v>
      </c>
      <c r="E1199" s="59">
        <v>3.0</v>
      </c>
      <c r="F1199" s="59">
        <v>3.0</v>
      </c>
      <c r="G1199" s="60">
        <v>1.0</v>
      </c>
      <c r="H1199" s="60">
        <v>0.0</v>
      </c>
      <c r="I1199" s="60">
        <v>37.9088003333333</v>
      </c>
      <c r="J1199" s="59">
        <v>3.0</v>
      </c>
      <c r="K1199" s="61">
        <f t="shared" si="1"/>
        <v>1</v>
      </c>
      <c r="L1199" s="62">
        <f t="shared" si="2"/>
        <v>1</v>
      </c>
    </row>
    <row r="1200">
      <c r="A1200" s="58">
        <v>46023.0</v>
      </c>
      <c r="B1200" s="24" t="s">
        <v>6787</v>
      </c>
      <c r="C1200" s="24" t="s">
        <v>6829</v>
      </c>
      <c r="D1200" s="59">
        <v>3.0</v>
      </c>
      <c r="E1200" s="59">
        <v>3.0</v>
      </c>
      <c r="F1200" s="59">
        <v>3.0</v>
      </c>
      <c r="G1200" s="60">
        <v>1.0</v>
      </c>
      <c r="H1200" s="60">
        <v>1.0</v>
      </c>
      <c r="I1200" s="60">
        <v>0.0</v>
      </c>
      <c r="J1200" s="59">
        <v>3.0</v>
      </c>
      <c r="K1200" s="61">
        <f t="shared" si="1"/>
        <v>1</v>
      </c>
      <c r="L1200" s="62">
        <f t="shared" si="2"/>
        <v>1</v>
      </c>
    </row>
    <row r="1201">
      <c r="A1201" s="58">
        <v>46023.0</v>
      </c>
      <c r="B1201" s="24" t="s">
        <v>6787</v>
      </c>
      <c r="C1201" s="24" t="s">
        <v>6860</v>
      </c>
      <c r="D1201" s="59">
        <v>3.0</v>
      </c>
      <c r="E1201" s="59">
        <v>3.0</v>
      </c>
      <c r="F1201" s="59">
        <v>3.0</v>
      </c>
      <c r="G1201" s="60">
        <v>1.0</v>
      </c>
      <c r="H1201" s="60">
        <v>0.333333333333333</v>
      </c>
      <c r="I1201" s="60">
        <v>15.5349586666666</v>
      </c>
      <c r="J1201" s="59">
        <v>3.0</v>
      </c>
      <c r="K1201" s="61">
        <f t="shared" si="1"/>
        <v>1</v>
      </c>
      <c r="L1201" s="62">
        <f t="shared" si="2"/>
        <v>1</v>
      </c>
    </row>
    <row r="1202">
      <c r="A1202" s="58">
        <v>46023.0</v>
      </c>
      <c r="B1202" s="24" t="s">
        <v>6787</v>
      </c>
      <c r="C1202" s="24" t="s">
        <v>6935</v>
      </c>
      <c r="D1202" s="59">
        <v>3.0</v>
      </c>
      <c r="E1202" s="59">
        <v>3.0</v>
      </c>
      <c r="F1202" s="59">
        <v>3.0</v>
      </c>
      <c r="G1202" s="60">
        <v>1.0</v>
      </c>
      <c r="H1202" s="60">
        <v>1.0</v>
      </c>
      <c r="I1202" s="60">
        <v>1.877794</v>
      </c>
      <c r="J1202" s="59">
        <v>3.0</v>
      </c>
      <c r="K1202" s="61">
        <f t="shared" si="1"/>
        <v>1</v>
      </c>
      <c r="L1202" s="62">
        <f t="shared" si="2"/>
        <v>1</v>
      </c>
    </row>
    <row r="1203">
      <c r="A1203" s="58">
        <v>46023.0</v>
      </c>
      <c r="B1203" s="24" t="s">
        <v>6789</v>
      </c>
      <c r="C1203" s="24" t="s">
        <v>6819</v>
      </c>
      <c r="D1203" s="59">
        <v>3.0</v>
      </c>
      <c r="E1203" s="59">
        <v>3.0</v>
      </c>
      <c r="F1203" s="59">
        <v>3.0</v>
      </c>
      <c r="G1203" s="60">
        <v>1.0</v>
      </c>
      <c r="H1203" s="60">
        <v>0.666666666666666</v>
      </c>
      <c r="I1203" s="60">
        <v>9.26353999999999</v>
      </c>
      <c r="J1203" s="59">
        <v>4.0</v>
      </c>
      <c r="K1203" s="61">
        <f t="shared" si="1"/>
        <v>1</v>
      </c>
      <c r="L1203" s="62">
        <f t="shared" si="2"/>
        <v>1.333333333</v>
      </c>
    </row>
    <row r="1204">
      <c r="A1204" s="58">
        <v>46023.0</v>
      </c>
      <c r="B1204" s="24" t="s">
        <v>6787</v>
      </c>
      <c r="C1204" s="24" t="s">
        <v>6988</v>
      </c>
      <c r="D1204" s="59">
        <v>3.0</v>
      </c>
      <c r="E1204" s="59">
        <v>3.0</v>
      </c>
      <c r="F1204" s="59">
        <v>3.0</v>
      </c>
      <c r="G1204" s="60">
        <v>1.0</v>
      </c>
      <c r="H1204" s="60">
        <v>1.0</v>
      </c>
      <c r="I1204" s="60">
        <v>0.0</v>
      </c>
      <c r="J1204" s="59">
        <v>3.0</v>
      </c>
      <c r="K1204" s="61">
        <f t="shared" si="1"/>
        <v>1</v>
      </c>
      <c r="L1204" s="62">
        <f t="shared" si="2"/>
        <v>1</v>
      </c>
    </row>
    <row r="1205">
      <c r="A1205" s="58">
        <v>46023.0</v>
      </c>
      <c r="B1205" s="24" t="s">
        <v>6789</v>
      </c>
      <c r="C1205" s="24" t="s">
        <v>6875</v>
      </c>
      <c r="D1205" s="59">
        <v>3.0</v>
      </c>
      <c r="E1205" s="59">
        <v>3.0</v>
      </c>
      <c r="F1205" s="59">
        <v>2.0</v>
      </c>
      <c r="G1205" s="60">
        <v>1.5</v>
      </c>
      <c r="H1205" s="60">
        <v>0.333333333333333</v>
      </c>
      <c r="I1205" s="60">
        <v>37.160321</v>
      </c>
      <c r="J1205" s="59">
        <v>4.0</v>
      </c>
      <c r="K1205" s="61">
        <f t="shared" si="1"/>
        <v>0.6666666667</v>
      </c>
      <c r="L1205" s="62">
        <f t="shared" si="2"/>
        <v>1.333333333</v>
      </c>
    </row>
    <row r="1206">
      <c r="A1206" s="58">
        <v>46023.0</v>
      </c>
      <c r="B1206" s="24" t="s">
        <v>6789</v>
      </c>
      <c r="C1206" s="24" t="s">
        <v>6882</v>
      </c>
      <c r="D1206" s="59">
        <v>3.0</v>
      </c>
      <c r="E1206" s="59">
        <v>6.0</v>
      </c>
      <c r="F1206" s="59">
        <v>1.0</v>
      </c>
      <c r="G1206" s="60">
        <v>2.0</v>
      </c>
      <c r="H1206" s="60">
        <v>0.5</v>
      </c>
      <c r="I1206" s="60">
        <v>90.7402106666666</v>
      </c>
      <c r="J1206" s="59">
        <v>7.0</v>
      </c>
      <c r="K1206" s="61">
        <f t="shared" si="1"/>
        <v>0.1666666667</v>
      </c>
      <c r="L1206" s="62">
        <f t="shared" si="2"/>
        <v>1.166666667</v>
      </c>
    </row>
    <row r="1207">
      <c r="A1207" s="58">
        <v>46023.0</v>
      </c>
      <c r="B1207" s="24" t="s">
        <v>7030</v>
      </c>
      <c r="C1207" s="24" t="s">
        <v>6882</v>
      </c>
      <c r="D1207" s="59">
        <v>3.0</v>
      </c>
      <c r="E1207" s="59">
        <v>3.0</v>
      </c>
      <c r="F1207" s="59">
        <v>2.0</v>
      </c>
      <c r="G1207" s="60">
        <v>1.0</v>
      </c>
      <c r="H1207" s="60">
        <v>0.333333333333333</v>
      </c>
      <c r="I1207" s="60">
        <v>98.1452146666666</v>
      </c>
      <c r="J1207" s="59">
        <v>5.0</v>
      </c>
      <c r="K1207" s="61">
        <f t="shared" si="1"/>
        <v>0.6666666667</v>
      </c>
      <c r="L1207" s="62">
        <f t="shared" si="2"/>
        <v>1.666666667</v>
      </c>
    </row>
    <row r="1208">
      <c r="A1208" s="58">
        <v>46023.0</v>
      </c>
      <c r="B1208" s="24" t="s">
        <v>6787</v>
      </c>
      <c r="C1208" s="24" t="s">
        <v>7029</v>
      </c>
      <c r="D1208" s="59">
        <v>3.0</v>
      </c>
      <c r="E1208" s="59">
        <v>3.0</v>
      </c>
      <c r="F1208" s="59">
        <v>3.0</v>
      </c>
      <c r="G1208" s="60">
        <v>1.0</v>
      </c>
      <c r="H1208" s="60">
        <v>1.0</v>
      </c>
      <c r="I1208" s="60">
        <v>3.68604599999999</v>
      </c>
      <c r="J1208" s="59">
        <v>3.0</v>
      </c>
      <c r="K1208" s="61">
        <f t="shared" si="1"/>
        <v>1</v>
      </c>
      <c r="L1208" s="62">
        <f t="shared" si="2"/>
        <v>1</v>
      </c>
    </row>
    <row r="1209">
      <c r="A1209" s="58">
        <v>46023.0</v>
      </c>
      <c r="B1209" s="24" t="s">
        <v>6789</v>
      </c>
      <c r="C1209" s="24" t="s">
        <v>6886</v>
      </c>
      <c r="D1209" s="59">
        <v>3.0</v>
      </c>
      <c r="E1209" s="59">
        <v>3.0</v>
      </c>
      <c r="F1209" s="59">
        <v>0.0</v>
      </c>
      <c r="G1209" s="60">
        <v>1.0</v>
      </c>
      <c r="H1209" s="60">
        <v>0.0</v>
      </c>
      <c r="I1209" s="60">
        <v>148.798210666666</v>
      </c>
      <c r="J1209" s="59">
        <v>10.0</v>
      </c>
      <c r="K1209" s="61">
        <f t="shared" si="1"/>
        <v>0</v>
      </c>
      <c r="L1209" s="62">
        <f t="shared" si="2"/>
        <v>3.333333333</v>
      </c>
    </row>
    <row r="1210">
      <c r="A1210" s="58">
        <v>46023.0</v>
      </c>
      <c r="B1210" s="24" t="s">
        <v>155</v>
      </c>
      <c r="C1210" s="24" t="s">
        <v>6799</v>
      </c>
      <c r="D1210" s="59">
        <v>3.0</v>
      </c>
      <c r="E1210" s="59">
        <v>3.0</v>
      </c>
      <c r="F1210" s="59">
        <v>0.0</v>
      </c>
      <c r="G1210" s="60">
        <v>1.0</v>
      </c>
      <c r="H1210" s="60">
        <v>0.666666666666666</v>
      </c>
      <c r="I1210" s="60">
        <v>320.921327666666</v>
      </c>
      <c r="J1210" s="59">
        <v>3.0</v>
      </c>
      <c r="K1210" s="61">
        <f t="shared" si="1"/>
        <v>0</v>
      </c>
      <c r="L1210" s="62">
        <f t="shared" si="2"/>
        <v>1</v>
      </c>
    </row>
    <row r="1211">
      <c r="A1211" s="58">
        <v>46023.0</v>
      </c>
      <c r="B1211" s="24" t="s">
        <v>6787</v>
      </c>
      <c r="C1211" s="24" t="s">
        <v>6838</v>
      </c>
      <c r="D1211" s="59">
        <v>3.0</v>
      </c>
      <c r="E1211" s="59">
        <v>3.0</v>
      </c>
      <c r="F1211" s="59">
        <v>3.0</v>
      </c>
      <c r="G1211" s="60">
        <v>1.0</v>
      </c>
      <c r="H1211" s="60">
        <v>0.666666666666666</v>
      </c>
      <c r="I1211" s="60">
        <v>5.72191866666666</v>
      </c>
      <c r="J1211" s="59">
        <v>3.0</v>
      </c>
      <c r="K1211" s="61">
        <f t="shared" si="1"/>
        <v>1</v>
      </c>
      <c r="L1211" s="62">
        <f t="shared" si="2"/>
        <v>1</v>
      </c>
    </row>
    <row r="1212">
      <c r="A1212" s="58">
        <v>46023.0</v>
      </c>
      <c r="B1212" s="24" t="s">
        <v>6855</v>
      </c>
      <c r="C1212" s="24" t="s">
        <v>7021</v>
      </c>
      <c r="D1212" s="59">
        <v>3.0</v>
      </c>
      <c r="E1212" s="59">
        <v>3.0</v>
      </c>
      <c r="F1212" s="59">
        <v>3.0</v>
      </c>
      <c r="G1212" s="60">
        <v>1.0</v>
      </c>
      <c r="H1212" s="60">
        <v>0.666666666666666</v>
      </c>
      <c r="I1212" s="60">
        <v>21.9098</v>
      </c>
      <c r="J1212" s="59">
        <v>4.0</v>
      </c>
      <c r="K1212" s="61">
        <f t="shared" si="1"/>
        <v>1</v>
      </c>
      <c r="L1212" s="62">
        <f t="shared" si="2"/>
        <v>1.333333333</v>
      </c>
    </row>
    <row r="1213">
      <c r="A1213" s="58">
        <v>46023.0</v>
      </c>
      <c r="B1213" s="24" t="s">
        <v>6787</v>
      </c>
      <c r="C1213" s="24" t="s">
        <v>7021</v>
      </c>
      <c r="D1213" s="59">
        <v>3.0</v>
      </c>
      <c r="E1213" s="59">
        <v>3.0</v>
      </c>
      <c r="F1213" s="59">
        <v>3.0</v>
      </c>
      <c r="G1213" s="60">
        <v>1.0</v>
      </c>
      <c r="H1213" s="60">
        <v>0.666666666666666</v>
      </c>
      <c r="I1213" s="60">
        <v>535.784729</v>
      </c>
      <c r="J1213" s="59">
        <v>6.0</v>
      </c>
      <c r="K1213" s="61">
        <f t="shared" si="1"/>
        <v>1</v>
      </c>
      <c r="L1213" s="62">
        <f t="shared" si="2"/>
        <v>2</v>
      </c>
    </row>
    <row r="1214">
      <c r="A1214" s="58">
        <v>46023.0</v>
      </c>
      <c r="B1214" s="24" t="s">
        <v>6942</v>
      </c>
      <c r="C1214" s="24" t="s">
        <v>7021</v>
      </c>
      <c r="D1214" s="59">
        <v>3.0</v>
      </c>
      <c r="E1214" s="59">
        <v>3.0</v>
      </c>
      <c r="F1214" s="59">
        <v>3.0</v>
      </c>
      <c r="G1214" s="60">
        <v>1.0</v>
      </c>
      <c r="H1214" s="60">
        <v>0.666666666666666</v>
      </c>
      <c r="I1214" s="60">
        <v>323.891247666666</v>
      </c>
      <c r="J1214" s="59">
        <v>8.0</v>
      </c>
      <c r="K1214" s="61">
        <f t="shared" si="1"/>
        <v>1</v>
      </c>
      <c r="L1214" s="62">
        <f t="shared" si="2"/>
        <v>2.666666667</v>
      </c>
    </row>
    <row r="1215">
      <c r="A1215" s="58">
        <v>46023.0</v>
      </c>
      <c r="B1215" s="24" t="s">
        <v>6787</v>
      </c>
      <c r="C1215" s="24" t="s">
        <v>6891</v>
      </c>
      <c r="D1215" s="59">
        <v>3.0</v>
      </c>
      <c r="E1215" s="59">
        <v>3.0</v>
      </c>
      <c r="F1215" s="59">
        <v>3.0</v>
      </c>
      <c r="G1215" s="60">
        <v>1.0</v>
      </c>
      <c r="H1215" s="60">
        <v>1.0</v>
      </c>
      <c r="I1215" s="60">
        <v>0.0</v>
      </c>
      <c r="J1215" s="59">
        <v>3.0</v>
      </c>
      <c r="K1215" s="61">
        <f t="shared" si="1"/>
        <v>1</v>
      </c>
      <c r="L1215" s="62">
        <f t="shared" si="2"/>
        <v>1</v>
      </c>
    </row>
    <row r="1216">
      <c r="A1216" s="58">
        <v>46023.0</v>
      </c>
      <c r="B1216" s="24" t="s">
        <v>6787</v>
      </c>
      <c r="C1216" s="24" t="s">
        <v>6892</v>
      </c>
      <c r="D1216" s="59">
        <v>3.0</v>
      </c>
      <c r="E1216" s="59">
        <v>3.0</v>
      </c>
      <c r="F1216" s="59">
        <v>3.0</v>
      </c>
      <c r="G1216" s="60">
        <v>1.0</v>
      </c>
      <c r="H1216" s="60">
        <v>0.333333333333333</v>
      </c>
      <c r="I1216" s="60">
        <v>12.615191</v>
      </c>
      <c r="J1216" s="59">
        <v>3.0</v>
      </c>
      <c r="K1216" s="61">
        <f t="shared" si="1"/>
        <v>1</v>
      </c>
      <c r="L1216" s="62">
        <f t="shared" si="2"/>
        <v>1</v>
      </c>
    </row>
    <row r="1217">
      <c r="A1217" s="58">
        <v>46023.0</v>
      </c>
      <c r="B1217" s="24" t="s">
        <v>6787</v>
      </c>
      <c r="C1217" s="24" t="s">
        <v>6894</v>
      </c>
      <c r="D1217" s="59">
        <v>3.0</v>
      </c>
      <c r="E1217" s="59">
        <v>3.0</v>
      </c>
      <c r="F1217" s="59">
        <v>3.0</v>
      </c>
      <c r="G1217" s="60">
        <v>1.0</v>
      </c>
      <c r="H1217" s="60">
        <v>0.666666666666666</v>
      </c>
      <c r="I1217" s="60">
        <v>4.57458933333333</v>
      </c>
      <c r="J1217" s="59">
        <v>3.0</v>
      </c>
      <c r="K1217" s="61">
        <f t="shared" si="1"/>
        <v>1</v>
      </c>
      <c r="L1217" s="62">
        <f t="shared" si="2"/>
        <v>1</v>
      </c>
    </row>
    <row r="1218">
      <c r="A1218" s="58">
        <v>46023.0</v>
      </c>
      <c r="B1218" s="24" t="s">
        <v>6787</v>
      </c>
      <c r="C1218" s="24" t="s">
        <v>7032</v>
      </c>
      <c r="D1218" s="59">
        <v>3.0</v>
      </c>
      <c r="E1218" s="59">
        <v>3.0</v>
      </c>
      <c r="F1218" s="59">
        <v>3.0</v>
      </c>
      <c r="G1218" s="60">
        <v>1.0</v>
      </c>
      <c r="H1218" s="60">
        <v>1.0</v>
      </c>
      <c r="I1218" s="60">
        <v>0.0</v>
      </c>
      <c r="J1218" s="59">
        <v>3.0</v>
      </c>
      <c r="K1218" s="61">
        <f t="shared" si="1"/>
        <v>1</v>
      </c>
      <c r="L1218" s="62">
        <f t="shared" si="2"/>
        <v>1</v>
      </c>
    </row>
    <row r="1219">
      <c r="A1219" s="58">
        <v>46023.0</v>
      </c>
      <c r="B1219" s="24" t="s">
        <v>6787</v>
      </c>
      <c r="C1219" s="24" t="s">
        <v>7129</v>
      </c>
      <c r="D1219" s="59">
        <v>3.0</v>
      </c>
      <c r="E1219" s="59">
        <v>3.0</v>
      </c>
      <c r="F1219" s="59">
        <v>3.0</v>
      </c>
      <c r="G1219" s="60">
        <v>1.0</v>
      </c>
      <c r="H1219" s="60">
        <v>1.0</v>
      </c>
      <c r="I1219" s="60">
        <v>2.425756</v>
      </c>
      <c r="J1219" s="59">
        <v>3.0</v>
      </c>
      <c r="K1219" s="61">
        <f t="shared" si="1"/>
        <v>1</v>
      </c>
      <c r="L1219" s="62">
        <f t="shared" si="2"/>
        <v>1</v>
      </c>
    </row>
    <row r="1220">
      <c r="A1220" s="58">
        <v>46023.0</v>
      </c>
      <c r="B1220" s="24" t="s">
        <v>6789</v>
      </c>
      <c r="C1220" s="24" t="s">
        <v>6897</v>
      </c>
      <c r="D1220" s="59">
        <v>3.0</v>
      </c>
      <c r="E1220" s="59">
        <v>3.0</v>
      </c>
      <c r="F1220" s="59">
        <v>3.0</v>
      </c>
      <c r="G1220" s="60">
        <v>1.0</v>
      </c>
      <c r="H1220" s="60">
        <v>0.333333333333333</v>
      </c>
      <c r="I1220" s="60">
        <v>703.125196333333</v>
      </c>
      <c r="J1220" s="59">
        <v>5.0</v>
      </c>
      <c r="K1220" s="61">
        <f t="shared" si="1"/>
        <v>1</v>
      </c>
      <c r="L1220" s="62">
        <f t="shared" si="2"/>
        <v>1.666666667</v>
      </c>
    </row>
    <row r="1221">
      <c r="A1221" s="58">
        <v>46023.0</v>
      </c>
      <c r="B1221" s="24" t="s">
        <v>155</v>
      </c>
      <c r="C1221" s="24" t="s">
        <v>6841</v>
      </c>
      <c r="D1221" s="59">
        <v>3.0</v>
      </c>
      <c r="E1221" s="59">
        <v>3.0</v>
      </c>
      <c r="F1221" s="59">
        <v>3.0</v>
      </c>
      <c r="G1221" s="60">
        <v>1.0</v>
      </c>
      <c r="H1221" s="60">
        <v>0.333333333333333</v>
      </c>
      <c r="I1221" s="60">
        <v>572.452326</v>
      </c>
      <c r="J1221" s="59">
        <v>3.0</v>
      </c>
      <c r="K1221" s="61">
        <f t="shared" si="1"/>
        <v>1</v>
      </c>
      <c r="L1221" s="62">
        <f t="shared" si="2"/>
        <v>1</v>
      </c>
    </row>
    <row r="1222">
      <c r="A1222" s="58">
        <v>46023.0</v>
      </c>
      <c r="B1222" s="24" t="s">
        <v>6789</v>
      </c>
      <c r="C1222" s="24" t="s">
        <v>6806</v>
      </c>
      <c r="D1222" s="59">
        <v>3.0</v>
      </c>
      <c r="E1222" s="59">
        <v>3.0</v>
      </c>
      <c r="F1222" s="59">
        <v>3.0</v>
      </c>
      <c r="G1222" s="60">
        <v>1.0</v>
      </c>
      <c r="H1222" s="60">
        <v>0.666666666666666</v>
      </c>
      <c r="I1222" s="60">
        <v>68.7411153333333</v>
      </c>
      <c r="J1222" s="59">
        <v>5.0</v>
      </c>
      <c r="K1222" s="61">
        <f t="shared" si="1"/>
        <v>1</v>
      </c>
      <c r="L1222" s="62">
        <f t="shared" si="2"/>
        <v>1.666666667</v>
      </c>
    </row>
    <row r="1223">
      <c r="A1223" s="58">
        <v>46023.0</v>
      </c>
      <c r="B1223" s="24" t="s">
        <v>155</v>
      </c>
      <c r="C1223" s="24" t="s">
        <v>6811</v>
      </c>
      <c r="D1223" s="59">
        <v>3.0</v>
      </c>
      <c r="E1223" s="59">
        <v>3.0</v>
      </c>
      <c r="F1223" s="59">
        <v>3.0</v>
      </c>
      <c r="G1223" s="60">
        <v>1.0</v>
      </c>
      <c r="H1223" s="60">
        <v>0.666666666666666</v>
      </c>
      <c r="I1223" s="60">
        <v>596.92599</v>
      </c>
      <c r="J1223" s="59">
        <v>3.0</v>
      </c>
      <c r="K1223" s="61">
        <f t="shared" si="1"/>
        <v>1</v>
      </c>
      <c r="L1223" s="62">
        <f t="shared" si="2"/>
        <v>1</v>
      </c>
    </row>
    <row r="1224">
      <c r="A1224" s="58">
        <v>46023.0</v>
      </c>
      <c r="B1224" s="24" t="s">
        <v>6787</v>
      </c>
      <c r="C1224" s="24" t="s">
        <v>6901</v>
      </c>
      <c r="D1224" s="59">
        <v>3.0</v>
      </c>
      <c r="E1224" s="59">
        <v>3.0</v>
      </c>
      <c r="F1224" s="59">
        <v>3.0</v>
      </c>
      <c r="G1224" s="60">
        <v>1.0</v>
      </c>
      <c r="H1224" s="60">
        <v>0.666666666666666</v>
      </c>
      <c r="I1224" s="60">
        <v>4.03562033333333</v>
      </c>
      <c r="J1224" s="59">
        <v>3.0</v>
      </c>
      <c r="K1224" s="61">
        <f t="shared" si="1"/>
        <v>1</v>
      </c>
      <c r="L1224" s="62">
        <f t="shared" si="2"/>
        <v>1</v>
      </c>
    </row>
    <row r="1225">
      <c r="A1225" s="58">
        <v>46023.0</v>
      </c>
      <c r="B1225" s="24" t="s">
        <v>155</v>
      </c>
      <c r="C1225" s="24" t="s">
        <v>6796</v>
      </c>
      <c r="D1225" s="59">
        <v>3.0</v>
      </c>
      <c r="E1225" s="59">
        <v>3.0</v>
      </c>
      <c r="F1225" s="59">
        <v>2.0</v>
      </c>
      <c r="G1225" s="60">
        <v>1.0</v>
      </c>
      <c r="H1225" s="60">
        <v>0.0</v>
      </c>
      <c r="I1225" s="60">
        <v>99.4063346666666</v>
      </c>
      <c r="J1225" s="59">
        <v>5.0</v>
      </c>
      <c r="K1225" s="61">
        <f t="shared" si="1"/>
        <v>0.6666666667</v>
      </c>
      <c r="L1225" s="62">
        <f t="shared" si="2"/>
        <v>1.666666667</v>
      </c>
    </row>
    <row r="1226">
      <c r="A1226" s="58">
        <v>46023.0</v>
      </c>
      <c r="B1226" s="24" t="s">
        <v>6789</v>
      </c>
      <c r="C1226" s="24" t="s">
        <v>6947</v>
      </c>
      <c r="D1226" s="59">
        <v>3.0</v>
      </c>
      <c r="E1226" s="59">
        <v>3.0</v>
      </c>
      <c r="F1226" s="59">
        <v>1.0</v>
      </c>
      <c r="G1226" s="60">
        <v>1.0</v>
      </c>
      <c r="H1226" s="60">
        <v>0.666666666666666</v>
      </c>
      <c r="I1226" s="60">
        <v>15.3106493333333</v>
      </c>
      <c r="J1226" s="59">
        <v>4.0</v>
      </c>
      <c r="K1226" s="61">
        <f t="shared" si="1"/>
        <v>0.3333333333</v>
      </c>
      <c r="L1226" s="62">
        <f t="shared" si="2"/>
        <v>1.333333333</v>
      </c>
    </row>
    <row r="1227">
      <c r="A1227" s="58">
        <v>46023.0</v>
      </c>
      <c r="B1227" s="24" t="s">
        <v>6789</v>
      </c>
      <c r="C1227" s="24" t="s">
        <v>6907</v>
      </c>
      <c r="D1227" s="59">
        <v>3.0</v>
      </c>
      <c r="E1227" s="59">
        <v>5.0</v>
      </c>
      <c r="F1227" s="59">
        <v>1.0</v>
      </c>
      <c r="G1227" s="60">
        <v>1.66666666666666</v>
      </c>
      <c r="H1227" s="60">
        <v>0.8</v>
      </c>
      <c r="I1227" s="60">
        <v>5.8586816</v>
      </c>
      <c r="J1227" s="59">
        <v>7.0</v>
      </c>
      <c r="K1227" s="61">
        <f t="shared" si="1"/>
        <v>0.2</v>
      </c>
      <c r="L1227" s="62">
        <f t="shared" si="2"/>
        <v>1.4</v>
      </c>
    </row>
    <row r="1228">
      <c r="A1228" s="58">
        <v>46023.0</v>
      </c>
      <c r="B1228" s="24" t="s">
        <v>6791</v>
      </c>
      <c r="C1228" s="24" t="s">
        <v>6808</v>
      </c>
      <c r="D1228" s="59">
        <v>3.0</v>
      </c>
      <c r="E1228" s="59">
        <v>4.0</v>
      </c>
      <c r="F1228" s="59">
        <v>0.0</v>
      </c>
      <c r="G1228" s="60">
        <v>4.0</v>
      </c>
      <c r="H1228" s="60">
        <v>0.75</v>
      </c>
      <c r="I1228" s="60">
        <v>1.882343</v>
      </c>
      <c r="J1228" s="59">
        <v>5.0</v>
      </c>
      <c r="K1228" s="61">
        <f t="shared" si="1"/>
        <v>0</v>
      </c>
      <c r="L1228" s="62">
        <f t="shared" si="2"/>
        <v>1.25</v>
      </c>
    </row>
    <row r="1229">
      <c r="A1229" s="58">
        <v>46023.0</v>
      </c>
      <c r="B1229" s="24" t="s">
        <v>155</v>
      </c>
      <c r="C1229" s="24" t="s">
        <v>6808</v>
      </c>
      <c r="D1229" s="59">
        <v>3.0</v>
      </c>
      <c r="E1229" s="59">
        <v>5.0</v>
      </c>
      <c r="F1229" s="59">
        <v>0.0</v>
      </c>
      <c r="G1229" s="60">
        <v>1.66666666666666</v>
      </c>
      <c r="H1229" s="60">
        <v>0.0</v>
      </c>
      <c r="I1229" s="60">
        <v>310.7535916</v>
      </c>
      <c r="J1229" s="59">
        <v>5.0</v>
      </c>
      <c r="K1229" s="61">
        <f t="shared" si="1"/>
        <v>0</v>
      </c>
      <c r="L1229" s="62">
        <f t="shared" si="2"/>
        <v>1</v>
      </c>
    </row>
    <row r="1230">
      <c r="A1230" s="58">
        <v>46023.0</v>
      </c>
      <c r="B1230" s="24" t="s">
        <v>6787</v>
      </c>
      <c r="C1230" s="24" t="s">
        <v>7026</v>
      </c>
      <c r="D1230" s="59">
        <v>3.0</v>
      </c>
      <c r="E1230" s="59">
        <v>3.0</v>
      </c>
      <c r="F1230" s="59">
        <v>3.0</v>
      </c>
      <c r="G1230" s="60">
        <v>1.0</v>
      </c>
      <c r="H1230" s="60">
        <v>1.0</v>
      </c>
      <c r="I1230" s="60">
        <v>2.19851766666666</v>
      </c>
      <c r="J1230" s="59">
        <v>3.0</v>
      </c>
      <c r="K1230" s="61">
        <f t="shared" si="1"/>
        <v>1</v>
      </c>
      <c r="L1230" s="62">
        <f t="shared" si="2"/>
        <v>1</v>
      </c>
    </row>
    <row r="1231">
      <c r="A1231" s="58">
        <v>46023.0</v>
      </c>
      <c r="B1231" s="24" t="s">
        <v>6787</v>
      </c>
      <c r="C1231" s="24" t="s">
        <v>7088</v>
      </c>
      <c r="D1231" s="59">
        <v>3.0</v>
      </c>
      <c r="E1231" s="59">
        <v>3.0</v>
      </c>
      <c r="F1231" s="59">
        <v>3.0</v>
      </c>
      <c r="G1231" s="60">
        <v>1.0</v>
      </c>
      <c r="H1231" s="60">
        <v>1.0</v>
      </c>
      <c r="I1231" s="60">
        <v>0.0</v>
      </c>
      <c r="J1231" s="59">
        <v>3.0</v>
      </c>
      <c r="K1231" s="61">
        <f t="shared" si="1"/>
        <v>1</v>
      </c>
      <c r="L1231" s="62">
        <f t="shared" si="2"/>
        <v>1</v>
      </c>
    </row>
    <row r="1232">
      <c r="A1232" s="58">
        <v>46023.0</v>
      </c>
      <c r="B1232" s="24" t="s">
        <v>6787</v>
      </c>
      <c r="C1232" s="24" t="s">
        <v>7043</v>
      </c>
      <c r="D1232" s="59">
        <v>3.0</v>
      </c>
      <c r="E1232" s="59">
        <v>3.0</v>
      </c>
      <c r="F1232" s="59">
        <v>3.0</v>
      </c>
      <c r="G1232" s="60">
        <v>1.0</v>
      </c>
      <c r="H1232" s="60">
        <v>1.0</v>
      </c>
      <c r="I1232" s="60">
        <v>0.0</v>
      </c>
      <c r="J1232" s="59">
        <v>3.0</v>
      </c>
      <c r="K1232" s="61">
        <f t="shared" si="1"/>
        <v>1</v>
      </c>
      <c r="L1232" s="62">
        <f t="shared" si="2"/>
        <v>1</v>
      </c>
    </row>
    <row r="1233">
      <c r="A1233" s="58">
        <v>46023.0</v>
      </c>
      <c r="B1233" s="24" t="s">
        <v>6789</v>
      </c>
      <c r="C1233" s="24" t="s">
        <v>7090</v>
      </c>
      <c r="D1233" s="59">
        <v>3.0</v>
      </c>
      <c r="E1233" s="59">
        <v>3.0</v>
      </c>
      <c r="F1233" s="59">
        <v>3.0</v>
      </c>
      <c r="G1233" s="60">
        <v>1.0</v>
      </c>
      <c r="H1233" s="60">
        <v>0.333333333333333</v>
      </c>
      <c r="I1233" s="60">
        <v>114.437901333333</v>
      </c>
      <c r="J1233" s="59">
        <v>3.0</v>
      </c>
      <c r="K1233" s="61">
        <f t="shared" si="1"/>
        <v>1</v>
      </c>
      <c r="L1233" s="62">
        <f t="shared" si="2"/>
        <v>1</v>
      </c>
    </row>
    <row r="1234">
      <c r="A1234" s="58">
        <v>46023.0</v>
      </c>
      <c r="B1234" s="24" t="s">
        <v>6787</v>
      </c>
      <c r="C1234" s="24" t="s">
        <v>7022</v>
      </c>
      <c r="D1234" s="59">
        <v>3.0</v>
      </c>
      <c r="E1234" s="59">
        <v>3.0</v>
      </c>
      <c r="F1234" s="59">
        <v>3.0</v>
      </c>
      <c r="G1234" s="60">
        <v>1.0</v>
      </c>
      <c r="H1234" s="60">
        <v>0.666666666666666</v>
      </c>
      <c r="I1234" s="60">
        <v>5.59293666666666</v>
      </c>
      <c r="J1234" s="59">
        <v>3.0</v>
      </c>
      <c r="K1234" s="61">
        <f t="shared" si="1"/>
        <v>1</v>
      </c>
      <c r="L1234" s="62">
        <f t="shared" si="2"/>
        <v>1</v>
      </c>
    </row>
    <row r="1235">
      <c r="A1235" s="58">
        <v>46023.0</v>
      </c>
      <c r="B1235" s="24" t="s">
        <v>6787</v>
      </c>
      <c r="C1235" s="24" t="s">
        <v>7130</v>
      </c>
      <c r="D1235" s="59">
        <v>3.0</v>
      </c>
      <c r="E1235" s="59">
        <v>3.0</v>
      </c>
      <c r="F1235" s="59">
        <v>3.0</v>
      </c>
      <c r="G1235" s="60">
        <v>1.0</v>
      </c>
      <c r="H1235" s="60">
        <v>1.0</v>
      </c>
      <c r="I1235" s="60">
        <v>0.0</v>
      </c>
      <c r="J1235" s="59">
        <v>3.0</v>
      </c>
      <c r="K1235" s="61">
        <f t="shared" si="1"/>
        <v>1</v>
      </c>
      <c r="L1235" s="62">
        <f t="shared" si="2"/>
        <v>1</v>
      </c>
    </row>
    <row r="1236">
      <c r="A1236" s="58">
        <v>46023.0</v>
      </c>
      <c r="B1236" s="24" t="s">
        <v>6787</v>
      </c>
      <c r="C1236" s="24" t="s">
        <v>7131</v>
      </c>
      <c r="D1236" s="59">
        <v>3.0</v>
      </c>
      <c r="E1236" s="59">
        <v>3.0</v>
      </c>
      <c r="F1236" s="59">
        <v>3.0</v>
      </c>
      <c r="G1236" s="60">
        <v>1.0</v>
      </c>
      <c r="H1236" s="60">
        <v>1.0</v>
      </c>
      <c r="I1236" s="60">
        <v>0.0</v>
      </c>
      <c r="J1236" s="59">
        <v>3.0</v>
      </c>
      <c r="K1236" s="61">
        <f t="shared" si="1"/>
        <v>1</v>
      </c>
      <c r="L1236" s="62">
        <f t="shared" si="2"/>
        <v>1</v>
      </c>
    </row>
    <row r="1237">
      <c r="A1237" s="58">
        <v>46023.0</v>
      </c>
      <c r="B1237" s="24" t="s">
        <v>6789</v>
      </c>
      <c r="C1237" s="24" t="s">
        <v>7095</v>
      </c>
      <c r="D1237" s="59">
        <v>3.0</v>
      </c>
      <c r="E1237" s="59">
        <v>3.0</v>
      </c>
      <c r="F1237" s="59">
        <v>3.0</v>
      </c>
      <c r="G1237" s="60">
        <v>1.0</v>
      </c>
      <c r="H1237" s="60">
        <v>0.333333333333333</v>
      </c>
      <c r="I1237" s="60">
        <v>20.1068156666666</v>
      </c>
      <c r="J1237" s="59">
        <v>4.0</v>
      </c>
      <c r="K1237" s="61">
        <f t="shared" si="1"/>
        <v>1</v>
      </c>
      <c r="L1237" s="62">
        <f t="shared" si="2"/>
        <v>1.333333333</v>
      </c>
    </row>
    <row r="1238">
      <c r="A1238" s="58">
        <v>46023.0</v>
      </c>
      <c r="B1238" s="24" t="s">
        <v>6789</v>
      </c>
      <c r="C1238" s="24" t="s">
        <v>6851</v>
      </c>
      <c r="D1238" s="59">
        <v>3.0</v>
      </c>
      <c r="E1238" s="59">
        <v>3.0</v>
      </c>
      <c r="F1238" s="59">
        <v>1.0</v>
      </c>
      <c r="G1238" s="60">
        <v>1.0</v>
      </c>
      <c r="H1238" s="60">
        <v>0.666666666666666</v>
      </c>
      <c r="I1238" s="60">
        <v>10.3152576666666</v>
      </c>
      <c r="J1238" s="59">
        <v>5.0</v>
      </c>
      <c r="K1238" s="61">
        <f t="shared" si="1"/>
        <v>0.3333333333</v>
      </c>
      <c r="L1238" s="62">
        <f t="shared" si="2"/>
        <v>1.666666667</v>
      </c>
    </row>
    <row r="1239">
      <c r="A1239" s="58">
        <v>46023.0</v>
      </c>
      <c r="B1239" s="24" t="s">
        <v>6789</v>
      </c>
      <c r="C1239" s="24" t="s">
        <v>7102</v>
      </c>
      <c r="D1239" s="59">
        <v>3.0</v>
      </c>
      <c r="E1239" s="59">
        <v>3.0</v>
      </c>
      <c r="F1239" s="59">
        <v>1.0</v>
      </c>
      <c r="G1239" s="60">
        <v>1.0</v>
      </c>
      <c r="H1239" s="60">
        <v>0.0</v>
      </c>
      <c r="I1239" s="60">
        <v>133.579594666666</v>
      </c>
      <c r="J1239" s="59">
        <v>5.0</v>
      </c>
      <c r="K1239" s="61">
        <f t="shared" si="1"/>
        <v>0.3333333333</v>
      </c>
      <c r="L1239" s="62">
        <f t="shared" si="2"/>
        <v>1.666666667</v>
      </c>
    </row>
    <row r="1240">
      <c r="A1240" s="58">
        <v>46023.0</v>
      </c>
      <c r="B1240" s="24" t="s">
        <v>6787</v>
      </c>
      <c r="C1240" s="24" t="s">
        <v>7023</v>
      </c>
      <c r="D1240" s="59">
        <v>3.0</v>
      </c>
      <c r="E1240" s="59">
        <v>3.0</v>
      </c>
      <c r="F1240" s="59">
        <v>3.0</v>
      </c>
      <c r="G1240" s="60">
        <v>1.0</v>
      </c>
      <c r="H1240" s="60">
        <v>1.0</v>
      </c>
      <c r="I1240" s="60">
        <v>0.0</v>
      </c>
      <c r="J1240" s="59">
        <v>3.0</v>
      </c>
      <c r="K1240" s="61">
        <f t="shared" si="1"/>
        <v>1</v>
      </c>
      <c r="L1240" s="62">
        <f t="shared" si="2"/>
        <v>1</v>
      </c>
    </row>
    <row r="1241">
      <c r="A1241" s="58">
        <v>46023.0</v>
      </c>
      <c r="B1241" s="24" t="s">
        <v>6787</v>
      </c>
      <c r="C1241" s="24" t="s">
        <v>6912</v>
      </c>
      <c r="D1241" s="59">
        <v>3.0</v>
      </c>
      <c r="E1241" s="59">
        <v>3.0</v>
      </c>
      <c r="F1241" s="59">
        <v>3.0</v>
      </c>
      <c r="G1241" s="60">
        <v>1.0</v>
      </c>
      <c r="H1241" s="60">
        <v>0.666666666666666</v>
      </c>
      <c r="I1241" s="60">
        <v>23.0009783333333</v>
      </c>
      <c r="J1241" s="59">
        <v>5.0</v>
      </c>
      <c r="K1241" s="61">
        <f t="shared" si="1"/>
        <v>1</v>
      </c>
      <c r="L1241" s="62">
        <f t="shared" si="2"/>
        <v>1.666666667</v>
      </c>
    </row>
    <row r="1242">
      <c r="A1242" s="58">
        <v>46023.0</v>
      </c>
      <c r="B1242" s="24" t="s">
        <v>6787</v>
      </c>
      <c r="C1242" s="24" t="s">
        <v>6915</v>
      </c>
      <c r="D1242" s="59">
        <v>3.0</v>
      </c>
      <c r="E1242" s="59">
        <v>3.0</v>
      </c>
      <c r="F1242" s="59">
        <v>3.0</v>
      </c>
      <c r="G1242" s="60">
        <v>1.0</v>
      </c>
      <c r="H1242" s="60">
        <v>0.333333333333333</v>
      </c>
      <c r="I1242" s="60">
        <v>197.128778333333</v>
      </c>
      <c r="J1242" s="59">
        <v>5.0</v>
      </c>
      <c r="K1242" s="61">
        <f t="shared" si="1"/>
        <v>1</v>
      </c>
      <c r="L1242" s="62">
        <f t="shared" si="2"/>
        <v>1.666666667</v>
      </c>
    </row>
    <row r="1243">
      <c r="A1243" s="58">
        <v>46023.0</v>
      </c>
      <c r="B1243" s="24" t="s">
        <v>6789</v>
      </c>
      <c r="C1243" s="24" t="s">
        <v>6915</v>
      </c>
      <c r="D1243" s="59">
        <v>3.0</v>
      </c>
      <c r="E1243" s="59">
        <v>11.0</v>
      </c>
      <c r="F1243" s="59">
        <v>0.0</v>
      </c>
      <c r="G1243" s="60">
        <v>3.66666666666666</v>
      </c>
      <c r="H1243" s="60">
        <v>0.545454545454545</v>
      </c>
      <c r="I1243" s="60">
        <v>263.166100181818</v>
      </c>
      <c r="J1243" s="59">
        <v>12.0</v>
      </c>
      <c r="K1243" s="61">
        <f t="shared" si="1"/>
        <v>0</v>
      </c>
      <c r="L1243" s="62">
        <f t="shared" si="2"/>
        <v>1.090909091</v>
      </c>
    </row>
    <row r="1244">
      <c r="A1244" s="58">
        <v>46023.0</v>
      </c>
      <c r="B1244" s="24" t="s">
        <v>6789</v>
      </c>
      <c r="C1244" s="24" t="s">
        <v>7014</v>
      </c>
      <c r="D1244" s="59">
        <v>3.0</v>
      </c>
      <c r="E1244" s="59">
        <v>3.0</v>
      </c>
      <c r="F1244" s="59">
        <v>3.0</v>
      </c>
      <c r="G1244" s="60">
        <v>1.0</v>
      </c>
      <c r="H1244" s="60">
        <v>1.0</v>
      </c>
      <c r="I1244" s="60">
        <v>0.0</v>
      </c>
      <c r="J1244" s="59">
        <v>3.0</v>
      </c>
      <c r="K1244" s="61">
        <f t="shared" si="1"/>
        <v>1</v>
      </c>
      <c r="L1244" s="62">
        <f t="shared" si="2"/>
        <v>1</v>
      </c>
    </row>
    <row r="1245">
      <c r="A1245" s="58">
        <v>46023.0</v>
      </c>
      <c r="B1245" s="24" t="s">
        <v>6787</v>
      </c>
      <c r="C1245" s="24" t="s">
        <v>6917</v>
      </c>
      <c r="D1245" s="59">
        <v>3.0</v>
      </c>
      <c r="E1245" s="59">
        <v>3.0</v>
      </c>
      <c r="F1245" s="59">
        <v>2.0</v>
      </c>
      <c r="G1245" s="60">
        <v>1.0</v>
      </c>
      <c r="H1245" s="60">
        <v>0.666666666666666</v>
      </c>
      <c r="I1245" s="60">
        <v>31.7142663333333</v>
      </c>
      <c r="J1245" s="59">
        <v>4.0</v>
      </c>
      <c r="K1245" s="61">
        <f t="shared" si="1"/>
        <v>0.6666666667</v>
      </c>
      <c r="L1245" s="62">
        <f t="shared" si="2"/>
        <v>1.333333333</v>
      </c>
    </row>
    <row r="1246">
      <c r="A1246" s="58">
        <v>46023.0</v>
      </c>
      <c r="B1246" s="24" t="s">
        <v>6787</v>
      </c>
      <c r="C1246" s="24" t="s">
        <v>7112</v>
      </c>
      <c r="D1246" s="59">
        <v>3.0</v>
      </c>
      <c r="E1246" s="59">
        <v>3.0</v>
      </c>
      <c r="F1246" s="59">
        <v>3.0</v>
      </c>
      <c r="G1246" s="60">
        <v>1.0</v>
      </c>
      <c r="H1246" s="60">
        <v>1.0</v>
      </c>
      <c r="I1246" s="60">
        <v>2.13778666666666</v>
      </c>
      <c r="J1246" s="59">
        <v>3.0</v>
      </c>
      <c r="K1246" s="61">
        <f t="shared" si="1"/>
        <v>1</v>
      </c>
      <c r="L1246" s="62">
        <f t="shared" si="2"/>
        <v>1</v>
      </c>
    </row>
    <row r="1247">
      <c r="A1247" s="58">
        <v>46023.0</v>
      </c>
      <c r="B1247" s="24" t="s">
        <v>6789</v>
      </c>
      <c r="C1247" s="24" t="s">
        <v>6797</v>
      </c>
      <c r="D1247" s="59">
        <v>3.0</v>
      </c>
      <c r="E1247" s="59">
        <v>3.0</v>
      </c>
      <c r="F1247" s="59">
        <v>1.0</v>
      </c>
      <c r="G1247" s="60">
        <v>1.0</v>
      </c>
      <c r="H1247" s="60">
        <v>0.333333333333333</v>
      </c>
      <c r="I1247" s="60">
        <v>46.4718076666666</v>
      </c>
      <c r="J1247" s="59">
        <v>4.0</v>
      </c>
      <c r="K1247" s="61">
        <f t="shared" si="1"/>
        <v>0.3333333333</v>
      </c>
      <c r="L1247" s="62">
        <f t="shared" si="2"/>
        <v>1.333333333</v>
      </c>
    </row>
    <row r="1248">
      <c r="A1248" s="58">
        <v>46023.0</v>
      </c>
      <c r="B1248" s="24" t="s">
        <v>6787</v>
      </c>
      <c r="C1248" s="24" t="s">
        <v>6962</v>
      </c>
      <c r="D1248" s="59">
        <v>3.0</v>
      </c>
      <c r="E1248" s="59">
        <v>4.0</v>
      </c>
      <c r="F1248" s="59">
        <v>2.0</v>
      </c>
      <c r="G1248" s="60">
        <v>1.33333333333333</v>
      </c>
      <c r="H1248" s="60">
        <v>0.0</v>
      </c>
      <c r="I1248" s="60">
        <v>256.553109</v>
      </c>
      <c r="J1248" s="59">
        <v>8.0</v>
      </c>
      <c r="K1248" s="61">
        <f t="shared" si="1"/>
        <v>0.5</v>
      </c>
      <c r="L1248" s="62">
        <f t="shared" si="2"/>
        <v>2</v>
      </c>
    </row>
    <row r="1249">
      <c r="A1249" s="58">
        <v>46023.0</v>
      </c>
      <c r="B1249" s="24" t="s">
        <v>7030</v>
      </c>
      <c r="C1249" s="24" t="s">
        <v>6788</v>
      </c>
      <c r="D1249" s="59">
        <v>2.0</v>
      </c>
      <c r="E1249" s="59">
        <v>2.0</v>
      </c>
      <c r="F1249" s="59">
        <v>2.0</v>
      </c>
      <c r="G1249" s="60">
        <v>1.0</v>
      </c>
      <c r="H1249" s="60">
        <v>0.0</v>
      </c>
      <c r="I1249" s="60">
        <v>27.69189</v>
      </c>
      <c r="J1249" s="59">
        <v>5.0</v>
      </c>
      <c r="K1249" s="61">
        <f t="shared" si="1"/>
        <v>1</v>
      </c>
      <c r="L1249" s="62">
        <f t="shared" si="2"/>
        <v>2.5</v>
      </c>
    </row>
    <row r="1250">
      <c r="A1250" s="58">
        <v>46023.0</v>
      </c>
      <c r="B1250" s="24" t="s">
        <v>6787</v>
      </c>
      <c r="C1250" s="24" t="s">
        <v>7132</v>
      </c>
      <c r="D1250" s="59">
        <v>2.0</v>
      </c>
      <c r="E1250" s="59">
        <v>2.0</v>
      </c>
      <c r="F1250" s="59">
        <v>2.0</v>
      </c>
      <c r="G1250" s="60">
        <v>1.0</v>
      </c>
      <c r="H1250" s="60">
        <v>0.5</v>
      </c>
      <c r="I1250" s="60">
        <v>0.307029</v>
      </c>
      <c r="J1250" s="59">
        <v>3.0</v>
      </c>
      <c r="K1250" s="61">
        <f t="shared" si="1"/>
        <v>1</v>
      </c>
      <c r="L1250" s="62">
        <f t="shared" si="2"/>
        <v>1.5</v>
      </c>
    </row>
    <row r="1251">
      <c r="A1251" s="58">
        <v>46023.0</v>
      </c>
      <c r="B1251" s="24" t="s">
        <v>155</v>
      </c>
      <c r="C1251" s="24" t="s">
        <v>6827</v>
      </c>
      <c r="D1251" s="59">
        <v>2.0</v>
      </c>
      <c r="E1251" s="59">
        <v>4.0</v>
      </c>
      <c r="F1251" s="59">
        <v>0.0</v>
      </c>
      <c r="G1251" s="60">
        <v>2.0</v>
      </c>
      <c r="H1251" s="60">
        <v>0.0</v>
      </c>
      <c r="I1251" s="60">
        <v>734.47499375</v>
      </c>
      <c r="J1251" s="59">
        <v>11.0</v>
      </c>
      <c r="K1251" s="61">
        <f t="shared" si="1"/>
        <v>0</v>
      </c>
      <c r="L1251" s="62">
        <f t="shared" si="2"/>
        <v>2.75</v>
      </c>
    </row>
    <row r="1252">
      <c r="A1252" s="58">
        <v>46023.0</v>
      </c>
      <c r="B1252" s="24" t="s">
        <v>6789</v>
      </c>
      <c r="C1252" s="24" t="s">
        <v>6817</v>
      </c>
      <c r="D1252" s="59">
        <v>2.0</v>
      </c>
      <c r="E1252" s="59">
        <v>8.0</v>
      </c>
      <c r="F1252" s="59">
        <v>0.0</v>
      </c>
      <c r="G1252" s="60">
        <v>4.0</v>
      </c>
      <c r="H1252" s="60">
        <v>0.875</v>
      </c>
      <c r="I1252" s="60">
        <v>154.981899625</v>
      </c>
      <c r="J1252" s="59">
        <v>11.0</v>
      </c>
      <c r="K1252" s="61">
        <f t="shared" si="1"/>
        <v>0</v>
      </c>
      <c r="L1252" s="62">
        <f t="shared" si="2"/>
        <v>1.375</v>
      </c>
    </row>
    <row r="1253">
      <c r="A1253" s="58">
        <v>46023.0</v>
      </c>
      <c r="B1253" s="24" t="s">
        <v>6787</v>
      </c>
      <c r="C1253" s="24" t="s">
        <v>6983</v>
      </c>
      <c r="D1253" s="59">
        <v>2.0</v>
      </c>
      <c r="E1253" s="59">
        <v>2.0</v>
      </c>
      <c r="F1253" s="59">
        <v>2.0</v>
      </c>
      <c r="G1253" s="60">
        <v>1.0</v>
      </c>
      <c r="H1253" s="60">
        <v>1.0</v>
      </c>
      <c r="I1253" s="60">
        <v>0.0</v>
      </c>
      <c r="J1253" s="59">
        <v>2.0</v>
      </c>
      <c r="K1253" s="61">
        <f t="shared" si="1"/>
        <v>1</v>
      </c>
      <c r="L1253" s="62">
        <f t="shared" si="2"/>
        <v>1</v>
      </c>
    </row>
    <row r="1254">
      <c r="A1254" s="58">
        <v>46023.0</v>
      </c>
      <c r="B1254" s="24" t="s">
        <v>6787</v>
      </c>
      <c r="C1254" s="24" t="s">
        <v>6804</v>
      </c>
      <c r="D1254" s="59">
        <v>2.0</v>
      </c>
      <c r="E1254" s="59">
        <v>2.0</v>
      </c>
      <c r="F1254" s="59">
        <v>2.0</v>
      </c>
      <c r="G1254" s="60">
        <v>1.0</v>
      </c>
      <c r="H1254" s="60">
        <v>0.5</v>
      </c>
      <c r="I1254" s="60">
        <v>14.080802</v>
      </c>
      <c r="J1254" s="59">
        <v>2.0</v>
      </c>
      <c r="K1254" s="61">
        <f t="shared" si="1"/>
        <v>1</v>
      </c>
      <c r="L1254" s="62">
        <f t="shared" si="2"/>
        <v>1</v>
      </c>
    </row>
    <row r="1255">
      <c r="A1255" s="58">
        <v>46023.0</v>
      </c>
      <c r="B1255" s="24" t="s">
        <v>6787</v>
      </c>
      <c r="C1255" s="24" t="s">
        <v>6955</v>
      </c>
      <c r="D1255" s="59">
        <v>2.0</v>
      </c>
      <c r="E1255" s="59">
        <v>2.0</v>
      </c>
      <c r="F1255" s="59">
        <v>2.0</v>
      </c>
      <c r="G1255" s="60">
        <v>1.0</v>
      </c>
      <c r="H1255" s="60">
        <v>1.0</v>
      </c>
      <c r="I1255" s="60">
        <v>0.0</v>
      </c>
      <c r="J1255" s="59">
        <v>2.0</v>
      </c>
      <c r="K1255" s="61">
        <f t="shared" si="1"/>
        <v>1</v>
      </c>
      <c r="L1255" s="62">
        <f t="shared" si="2"/>
        <v>1</v>
      </c>
    </row>
    <row r="1256">
      <c r="A1256" s="58">
        <v>46023.0</v>
      </c>
      <c r="B1256" s="24" t="s">
        <v>6789</v>
      </c>
      <c r="C1256" s="24" t="s">
        <v>6829</v>
      </c>
      <c r="D1256" s="59">
        <v>2.0</v>
      </c>
      <c r="E1256" s="59">
        <v>2.0</v>
      </c>
      <c r="F1256" s="59">
        <v>2.0</v>
      </c>
      <c r="G1256" s="60">
        <v>1.0</v>
      </c>
      <c r="H1256" s="60">
        <v>0.5</v>
      </c>
      <c r="I1256" s="60">
        <v>14.6073225</v>
      </c>
      <c r="J1256" s="59">
        <v>2.0</v>
      </c>
      <c r="K1256" s="61">
        <f t="shared" si="1"/>
        <v>1</v>
      </c>
      <c r="L1256" s="62">
        <f t="shared" si="2"/>
        <v>1</v>
      </c>
    </row>
    <row r="1257">
      <c r="A1257" s="58">
        <v>46023.0</v>
      </c>
      <c r="B1257" s="24" t="s">
        <v>6789</v>
      </c>
      <c r="C1257" s="24" t="s">
        <v>7058</v>
      </c>
      <c r="D1257" s="59">
        <v>2.0</v>
      </c>
      <c r="E1257" s="59">
        <v>2.0</v>
      </c>
      <c r="F1257" s="59">
        <v>2.0</v>
      </c>
      <c r="G1257" s="60">
        <v>1.0</v>
      </c>
      <c r="H1257" s="60">
        <v>1.0</v>
      </c>
      <c r="I1257" s="60">
        <v>0.0</v>
      </c>
      <c r="J1257" s="59">
        <v>2.0</v>
      </c>
      <c r="K1257" s="61">
        <f t="shared" si="1"/>
        <v>1</v>
      </c>
      <c r="L1257" s="62">
        <f t="shared" si="2"/>
        <v>1</v>
      </c>
    </row>
    <row r="1258">
      <c r="A1258" s="58">
        <v>46023.0</v>
      </c>
      <c r="B1258" s="24" t="s">
        <v>6789</v>
      </c>
      <c r="C1258" s="24" t="s">
        <v>6861</v>
      </c>
      <c r="D1258" s="59">
        <v>2.0</v>
      </c>
      <c r="E1258" s="59">
        <v>2.0</v>
      </c>
      <c r="F1258" s="59">
        <v>2.0</v>
      </c>
      <c r="G1258" s="60">
        <v>1.0</v>
      </c>
      <c r="H1258" s="60">
        <v>0.5</v>
      </c>
      <c r="I1258" s="60">
        <v>652.4329915</v>
      </c>
      <c r="J1258" s="59">
        <v>2.0</v>
      </c>
      <c r="K1258" s="61">
        <f t="shared" si="1"/>
        <v>1</v>
      </c>
      <c r="L1258" s="62">
        <f t="shared" si="2"/>
        <v>1</v>
      </c>
    </row>
    <row r="1259">
      <c r="A1259" s="58">
        <v>46023.0</v>
      </c>
      <c r="B1259" s="24" t="s">
        <v>6787</v>
      </c>
      <c r="C1259" s="24" t="s">
        <v>6830</v>
      </c>
      <c r="D1259" s="59">
        <v>2.0</v>
      </c>
      <c r="E1259" s="59">
        <v>2.0</v>
      </c>
      <c r="F1259" s="59">
        <v>2.0</v>
      </c>
      <c r="G1259" s="60">
        <v>1.0</v>
      </c>
      <c r="H1259" s="60">
        <v>0.5</v>
      </c>
      <c r="I1259" s="60">
        <v>8.006497</v>
      </c>
      <c r="J1259" s="59">
        <v>2.0</v>
      </c>
      <c r="K1259" s="61">
        <f t="shared" si="1"/>
        <v>1</v>
      </c>
      <c r="L1259" s="62">
        <f t="shared" si="2"/>
        <v>1</v>
      </c>
    </row>
    <row r="1260">
      <c r="A1260" s="58">
        <v>46023.0</v>
      </c>
      <c r="B1260" s="24" t="s">
        <v>6789</v>
      </c>
      <c r="C1260" s="24" t="s">
        <v>6830</v>
      </c>
      <c r="D1260" s="59">
        <v>2.0</v>
      </c>
      <c r="E1260" s="59">
        <v>2.0</v>
      </c>
      <c r="F1260" s="59">
        <v>2.0</v>
      </c>
      <c r="G1260" s="60">
        <v>1.0</v>
      </c>
      <c r="H1260" s="60">
        <v>0.0</v>
      </c>
      <c r="I1260" s="60">
        <v>152.476252</v>
      </c>
      <c r="J1260" s="59">
        <v>4.0</v>
      </c>
      <c r="K1260" s="61">
        <f t="shared" si="1"/>
        <v>1</v>
      </c>
      <c r="L1260" s="62">
        <f t="shared" si="2"/>
        <v>2</v>
      </c>
    </row>
    <row r="1261">
      <c r="A1261" s="58">
        <v>46023.0</v>
      </c>
      <c r="B1261" s="24" t="s">
        <v>6787</v>
      </c>
      <c r="C1261" s="24" t="s">
        <v>6985</v>
      </c>
      <c r="D1261" s="59">
        <v>2.0</v>
      </c>
      <c r="E1261" s="59">
        <v>2.0</v>
      </c>
      <c r="F1261" s="59">
        <v>2.0</v>
      </c>
      <c r="G1261" s="60">
        <v>1.0</v>
      </c>
      <c r="H1261" s="60">
        <v>1.0</v>
      </c>
      <c r="I1261" s="60">
        <v>0.0</v>
      </c>
      <c r="J1261" s="59">
        <v>2.0</v>
      </c>
      <c r="K1261" s="61">
        <f t="shared" si="1"/>
        <v>1</v>
      </c>
      <c r="L1261" s="62">
        <f t="shared" si="2"/>
        <v>1</v>
      </c>
    </row>
    <row r="1262">
      <c r="A1262" s="58">
        <v>46023.0</v>
      </c>
      <c r="B1262" s="24" t="s">
        <v>6787</v>
      </c>
      <c r="C1262" s="24" t="s">
        <v>6866</v>
      </c>
      <c r="D1262" s="59">
        <v>2.0</v>
      </c>
      <c r="E1262" s="59">
        <v>2.0</v>
      </c>
      <c r="F1262" s="59">
        <v>2.0</v>
      </c>
      <c r="G1262" s="60">
        <v>1.0</v>
      </c>
      <c r="H1262" s="60">
        <v>1.0</v>
      </c>
      <c r="I1262" s="60">
        <v>0.0</v>
      </c>
      <c r="J1262" s="59">
        <v>2.0</v>
      </c>
      <c r="K1262" s="61">
        <f t="shared" si="1"/>
        <v>1</v>
      </c>
      <c r="L1262" s="62">
        <f t="shared" si="2"/>
        <v>1</v>
      </c>
    </row>
    <row r="1263">
      <c r="A1263" s="58">
        <v>46023.0</v>
      </c>
      <c r="B1263" s="24" t="s">
        <v>6787</v>
      </c>
      <c r="C1263" s="24" t="s">
        <v>6868</v>
      </c>
      <c r="D1263" s="59">
        <v>2.0</v>
      </c>
      <c r="E1263" s="59">
        <v>2.0</v>
      </c>
      <c r="F1263" s="59">
        <v>2.0</v>
      </c>
      <c r="G1263" s="60">
        <v>1.0</v>
      </c>
      <c r="H1263" s="60">
        <v>1.0</v>
      </c>
      <c r="I1263" s="60">
        <v>0.0</v>
      </c>
      <c r="J1263" s="59">
        <v>2.0</v>
      </c>
      <c r="K1263" s="61">
        <f t="shared" si="1"/>
        <v>1</v>
      </c>
      <c r="L1263" s="62">
        <f t="shared" si="2"/>
        <v>1</v>
      </c>
    </row>
    <row r="1264">
      <c r="A1264" s="58">
        <v>46023.0</v>
      </c>
      <c r="B1264" s="24" t="s">
        <v>6787</v>
      </c>
      <c r="C1264" s="24" t="s">
        <v>6870</v>
      </c>
      <c r="D1264" s="59">
        <v>2.0</v>
      </c>
      <c r="E1264" s="59">
        <v>2.0</v>
      </c>
      <c r="F1264" s="59">
        <v>2.0</v>
      </c>
      <c r="G1264" s="60">
        <v>1.0</v>
      </c>
      <c r="H1264" s="60">
        <v>1.0</v>
      </c>
      <c r="I1264" s="60">
        <v>3.060754</v>
      </c>
      <c r="J1264" s="59">
        <v>2.0</v>
      </c>
      <c r="K1264" s="61">
        <f t="shared" si="1"/>
        <v>1</v>
      </c>
      <c r="L1264" s="62">
        <f t="shared" si="2"/>
        <v>1</v>
      </c>
    </row>
    <row r="1265">
      <c r="A1265" s="58">
        <v>46023.0</v>
      </c>
      <c r="B1265" s="24" t="s">
        <v>6787</v>
      </c>
      <c r="C1265" s="24" t="s">
        <v>7064</v>
      </c>
      <c r="D1265" s="59">
        <v>2.0</v>
      </c>
      <c r="E1265" s="59">
        <v>2.0</v>
      </c>
      <c r="F1265" s="59">
        <v>2.0</v>
      </c>
      <c r="G1265" s="60">
        <v>1.0</v>
      </c>
      <c r="H1265" s="60">
        <v>1.0</v>
      </c>
      <c r="I1265" s="60">
        <v>0.0</v>
      </c>
      <c r="J1265" s="59">
        <v>2.0</v>
      </c>
      <c r="K1265" s="61">
        <f t="shared" si="1"/>
        <v>1</v>
      </c>
      <c r="L1265" s="62">
        <f t="shared" si="2"/>
        <v>1</v>
      </c>
    </row>
    <row r="1266">
      <c r="A1266" s="58">
        <v>46023.0</v>
      </c>
      <c r="B1266" s="24" t="s">
        <v>155</v>
      </c>
      <c r="C1266" s="24" t="s">
        <v>6876</v>
      </c>
      <c r="D1266" s="59">
        <v>2.0</v>
      </c>
      <c r="E1266" s="59">
        <v>2.0</v>
      </c>
      <c r="F1266" s="59">
        <v>1.0</v>
      </c>
      <c r="G1266" s="60">
        <v>1.0</v>
      </c>
      <c r="H1266" s="60">
        <v>0.5</v>
      </c>
      <c r="I1266" s="60">
        <v>449.1306715</v>
      </c>
      <c r="J1266" s="59">
        <v>4.0</v>
      </c>
      <c r="K1266" s="61">
        <f t="shared" si="1"/>
        <v>0.5</v>
      </c>
      <c r="L1266" s="62">
        <f t="shared" si="2"/>
        <v>2</v>
      </c>
    </row>
    <row r="1267">
      <c r="A1267" s="58">
        <v>46023.0</v>
      </c>
      <c r="B1267" s="24" t="s">
        <v>155</v>
      </c>
      <c r="C1267" s="24" t="s">
        <v>6882</v>
      </c>
      <c r="D1267" s="59">
        <v>2.0</v>
      </c>
      <c r="E1267" s="59">
        <v>2.0</v>
      </c>
      <c r="F1267" s="59">
        <v>1.0</v>
      </c>
      <c r="G1267" s="60">
        <v>2.0</v>
      </c>
      <c r="H1267" s="60">
        <v>1.0</v>
      </c>
      <c r="I1267" s="60">
        <v>0.0</v>
      </c>
      <c r="J1267" s="59">
        <v>2.0</v>
      </c>
      <c r="K1267" s="61">
        <f t="shared" si="1"/>
        <v>0.5</v>
      </c>
      <c r="L1267" s="62">
        <f t="shared" si="2"/>
        <v>1</v>
      </c>
    </row>
    <row r="1268">
      <c r="A1268" s="58">
        <v>46023.0</v>
      </c>
      <c r="B1268" s="24" t="s">
        <v>3216</v>
      </c>
      <c r="C1268" s="24" t="s">
        <v>7029</v>
      </c>
      <c r="D1268" s="59">
        <v>2.0</v>
      </c>
      <c r="E1268" s="59">
        <v>2.0</v>
      </c>
      <c r="F1268" s="59">
        <v>2.0</v>
      </c>
      <c r="G1268" s="60">
        <v>1.0</v>
      </c>
      <c r="H1268" s="60">
        <v>0.5</v>
      </c>
      <c r="I1268" s="60">
        <v>26.666049</v>
      </c>
      <c r="J1268" s="59">
        <v>3.0</v>
      </c>
      <c r="K1268" s="61">
        <f t="shared" si="1"/>
        <v>1</v>
      </c>
      <c r="L1268" s="62">
        <f t="shared" si="2"/>
        <v>1.5</v>
      </c>
    </row>
    <row r="1269">
      <c r="A1269" s="58">
        <v>46023.0</v>
      </c>
      <c r="B1269" s="24" t="s">
        <v>6787</v>
      </c>
      <c r="C1269" s="24" t="s">
        <v>6994</v>
      </c>
      <c r="D1269" s="59">
        <v>2.0</v>
      </c>
      <c r="E1269" s="59">
        <v>2.0</v>
      </c>
      <c r="F1269" s="59">
        <v>2.0</v>
      </c>
      <c r="G1269" s="60">
        <v>1.0</v>
      </c>
      <c r="H1269" s="60">
        <v>0.5</v>
      </c>
      <c r="I1269" s="60">
        <v>274.5935585</v>
      </c>
      <c r="J1269" s="59">
        <v>2.0</v>
      </c>
      <c r="K1269" s="61">
        <f t="shared" si="1"/>
        <v>1</v>
      </c>
      <c r="L1269" s="62">
        <f t="shared" si="2"/>
        <v>1</v>
      </c>
    </row>
    <row r="1270">
      <c r="A1270" s="58">
        <v>46023.0</v>
      </c>
      <c r="B1270" s="24" t="s">
        <v>6787</v>
      </c>
      <c r="C1270" s="24" t="s">
        <v>6995</v>
      </c>
      <c r="D1270" s="59">
        <v>2.0</v>
      </c>
      <c r="E1270" s="59">
        <v>2.0</v>
      </c>
      <c r="F1270" s="59">
        <v>2.0</v>
      </c>
      <c r="G1270" s="60">
        <v>1.0</v>
      </c>
      <c r="H1270" s="60">
        <v>1.0</v>
      </c>
      <c r="I1270" s="60">
        <v>0.0</v>
      </c>
      <c r="J1270" s="59">
        <v>2.0</v>
      </c>
      <c r="K1270" s="61">
        <f t="shared" si="1"/>
        <v>1</v>
      </c>
      <c r="L1270" s="62">
        <f t="shared" si="2"/>
        <v>1</v>
      </c>
    </row>
    <row r="1271">
      <c r="A1271" s="58">
        <v>46023.0</v>
      </c>
      <c r="B1271" s="24" t="s">
        <v>6787</v>
      </c>
      <c r="C1271" s="24" t="s">
        <v>6945</v>
      </c>
      <c r="D1271" s="59">
        <v>2.0</v>
      </c>
      <c r="E1271" s="59">
        <v>2.0</v>
      </c>
      <c r="F1271" s="59">
        <v>1.0</v>
      </c>
      <c r="G1271" s="60">
        <v>1.0</v>
      </c>
      <c r="H1271" s="60">
        <v>0.5</v>
      </c>
      <c r="I1271" s="60">
        <v>6.35875149999999</v>
      </c>
      <c r="J1271" s="59">
        <v>2.0</v>
      </c>
      <c r="K1271" s="61">
        <f t="shared" si="1"/>
        <v>0.5</v>
      </c>
      <c r="L1271" s="62">
        <f t="shared" si="2"/>
        <v>1</v>
      </c>
    </row>
    <row r="1272">
      <c r="A1272" s="58">
        <v>46023.0</v>
      </c>
      <c r="B1272" s="24" t="s">
        <v>6787</v>
      </c>
      <c r="C1272" s="24" t="s">
        <v>6930</v>
      </c>
      <c r="D1272" s="59">
        <v>2.0</v>
      </c>
      <c r="E1272" s="59">
        <v>2.0</v>
      </c>
      <c r="F1272" s="59">
        <v>2.0</v>
      </c>
      <c r="G1272" s="60">
        <v>1.0</v>
      </c>
      <c r="H1272" s="60">
        <v>1.0</v>
      </c>
      <c r="I1272" s="60">
        <v>0.0</v>
      </c>
      <c r="J1272" s="59">
        <v>2.0</v>
      </c>
      <c r="K1272" s="61">
        <f t="shared" si="1"/>
        <v>1</v>
      </c>
      <c r="L1272" s="62">
        <f t="shared" si="2"/>
        <v>1</v>
      </c>
    </row>
    <row r="1273">
      <c r="A1273" s="58">
        <v>46023.0</v>
      </c>
      <c r="B1273" s="24" t="s">
        <v>6787</v>
      </c>
      <c r="C1273" s="24" t="s">
        <v>7133</v>
      </c>
      <c r="D1273" s="59">
        <v>2.0</v>
      </c>
      <c r="E1273" s="59">
        <v>2.0</v>
      </c>
      <c r="F1273" s="59">
        <v>2.0</v>
      </c>
      <c r="G1273" s="60">
        <v>1.0</v>
      </c>
      <c r="H1273" s="60">
        <v>1.0</v>
      </c>
      <c r="I1273" s="60">
        <v>2.659468</v>
      </c>
      <c r="J1273" s="59">
        <v>2.0</v>
      </c>
      <c r="K1273" s="61">
        <f t="shared" si="1"/>
        <v>1</v>
      </c>
      <c r="L1273" s="62">
        <f t="shared" si="2"/>
        <v>1</v>
      </c>
    </row>
    <row r="1274">
      <c r="A1274" s="58">
        <v>46023.0</v>
      </c>
      <c r="B1274" s="24" t="s">
        <v>6794</v>
      </c>
      <c r="C1274" s="24" t="s">
        <v>6799</v>
      </c>
      <c r="D1274" s="59">
        <v>2.0</v>
      </c>
      <c r="E1274" s="59">
        <v>2.0</v>
      </c>
      <c r="F1274" s="59">
        <v>0.0</v>
      </c>
      <c r="G1274" s="60">
        <v>1.0</v>
      </c>
      <c r="H1274" s="60">
        <v>0.5</v>
      </c>
      <c r="I1274" s="60">
        <v>6.093799</v>
      </c>
      <c r="J1274" s="59">
        <v>4.0</v>
      </c>
      <c r="K1274" s="61">
        <f t="shared" si="1"/>
        <v>0</v>
      </c>
      <c r="L1274" s="62">
        <f t="shared" si="2"/>
        <v>2</v>
      </c>
    </row>
    <row r="1275">
      <c r="A1275" s="58">
        <v>46023.0</v>
      </c>
      <c r="B1275" s="24" t="s">
        <v>6790</v>
      </c>
      <c r="C1275" s="24" t="s">
        <v>6799</v>
      </c>
      <c r="D1275" s="59">
        <v>2.0</v>
      </c>
      <c r="E1275" s="59">
        <v>2.0</v>
      </c>
      <c r="F1275" s="59">
        <v>1.0</v>
      </c>
      <c r="G1275" s="60">
        <v>1.0</v>
      </c>
      <c r="H1275" s="60">
        <v>0.5</v>
      </c>
      <c r="I1275" s="60">
        <v>16.9482365</v>
      </c>
      <c r="J1275" s="59">
        <v>3.0</v>
      </c>
      <c r="K1275" s="61">
        <f t="shared" si="1"/>
        <v>0.5</v>
      </c>
      <c r="L1275" s="62">
        <f t="shared" si="2"/>
        <v>1.5</v>
      </c>
    </row>
    <row r="1276">
      <c r="A1276" s="58">
        <v>46023.0</v>
      </c>
      <c r="B1276" s="24" t="s">
        <v>6787</v>
      </c>
      <c r="C1276" s="24" t="s">
        <v>6888</v>
      </c>
      <c r="D1276" s="59">
        <v>2.0</v>
      </c>
      <c r="E1276" s="59">
        <v>2.0</v>
      </c>
      <c r="F1276" s="59">
        <v>2.0</v>
      </c>
      <c r="G1276" s="60">
        <v>1.0</v>
      </c>
      <c r="H1276" s="60">
        <v>1.0</v>
      </c>
      <c r="I1276" s="60">
        <v>0.0</v>
      </c>
      <c r="J1276" s="59">
        <v>2.0</v>
      </c>
      <c r="K1276" s="61">
        <f t="shared" si="1"/>
        <v>1</v>
      </c>
      <c r="L1276" s="62">
        <f t="shared" si="2"/>
        <v>1</v>
      </c>
    </row>
    <row r="1277">
      <c r="A1277" s="58">
        <v>46023.0</v>
      </c>
      <c r="B1277" s="24" t="s">
        <v>6789</v>
      </c>
      <c r="C1277" s="24" t="s">
        <v>6838</v>
      </c>
      <c r="D1277" s="59">
        <v>2.0</v>
      </c>
      <c r="E1277" s="59">
        <v>2.0</v>
      </c>
      <c r="F1277" s="59">
        <v>1.0</v>
      </c>
      <c r="G1277" s="60">
        <v>1.0</v>
      </c>
      <c r="H1277" s="60">
        <v>0.5</v>
      </c>
      <c r="I1277" s="60">
        <v>30.0699315</v>
      </c>
      <c r="J1277" s="59">
        <v>2.0</v>
      </c>
      <c r="K1277" s="61">
        <f t="shared" si="1"/>
        <v>0.5</v>
      </c>
      <c r="L1277" s="62">
        <f t="shared" si="2"/>
        <v>1</v>
      </c>
    </row>
    <row r="1278">
      <c r="A1278" s="58">
        <v>46023.0</v>
      </c>
      <c r="B1278" s="24" t="s">
        <v>6787</v>
      </c>
      <c r="C1278" s="24" t="s">
        <v>6997</v>
      </c>
      <c r="D1278" s="59">
        <v>2.0</v>
      </c>
      <c r="E1278" s="59">
        <v>2.0</v>
      </c>
      <c r="F1278" s="59">
        <v>2.0</v>
      </c>
      <c r="G1278" s="60">
        <v>1.0</v>
      </c>
      <c r="H1278" s="60">
        <v>0.5</v>
      </c>
      <c r="I1278" s="60">
        <v>166.1123385</v>
      </c>
      <c r="J1278" s="59">
        <v>2.0</v>
      </c>
      <c r="K1278" s="61">
        <f t="shared" si="1"/>
        <v>1</v>
      </c>
      <c r="L1278" s="62">
        <f t="shared" si="2"/>
        <v>1</v>
      </c>
    </row>
    <row r="1279">
      <c r="A1279" s="58">
        <v>46023.0</v>
      </c>
      <c r="B1279" s="24" t="s">
        <v>6787</v>
      </c>
      <c r="C1279" s="24" t="s">
        <v>6999</v>
      </c>
      <c r="D1279" s="59">
        <v>2.0</v>
      </c>
      <c r="E1279" s="59">
        <v>2.0</v>
      </c>
      <c r="F1279" s="59">
        <v>1.0</v>
      </c>
      <c r="G1279" s="60">
        <v>1.0</v>
      </c>
      <c r="H1279" s="60">
        <v>1.0</v>
      </c>
      <c r="I1279" s="60">
        <v>1.2231345</v>
      </c>
      <c r="J1279" s="59">
        <v>2.0</v>
      </c>
      <c r="K1279" s="61">
        <f t="shared" si="1"/>
        <v>0.5</v>
      </c>
      <c r="L1279" s="62">
        <f t="shared" si="2"/>
        <v>1</v>
      </c>
    </row>
    <row r="1280">
      <c r="A1280" s="58">
        <v>46023.0</v>
      </c>
      <c r="B1280" s="24" t="s">
        <v>6787</v>
      </c>
      <c r="C1280" s="24" t="s">
        <v>6840</v>
      </c>
      <c r="D1280" s="59">
        <v>2.0</v>
      </c>
      <c r="E1280" s="59">
        <v>2.0</v>
      </c>
      <c r="F1280" s="59">
        <v>2.0</v>
      </c>
      <c r="G1280" s="60">
        <v>1.0</v>
      </c>
      <c r="H1280" s="60">
        <v>1.0</v>
      </c>
      <c r="I1280" s="60">
        <v>0.0</v>
      </c>
      <c r="J1280" s="59">
        <v>2.0</v>
      </c>
      <c r="K1280" s="61">
        <f t="shared" si="1"/>
        <v>1</v>
      </c>
      <c r="L1280" s="62">
        <f t="shared" si="2"/>
        <v>1</v>
      </c>
    </row>
    <row r="1281">
      <c r="A1281" s="58">
        <v>46023.0</v>
      </c>
      <c r="B1281" s="24" t="s">
        <v>6789</v>
      </c>
      <c r="C1281" s="24" t="s">
        <v>6896</v>
      </c>
      <c r="D1281" s="59">
        <v>2.0</v>
      </c>
      <c r="E1281" s="59">
        <v>2.0</v>
      </c>
      <c r="F1281" s="59">
        <v>0.0</v>
      </c>
      <c r="G1281" s="60">
        <v>2.0</v>
      </c>
      <c r="H1281" s="60">
        <v>0.5</v>
      </c>
      <c r="I1281" s="60">
        <v>8.8596795</v>
      </c>
      <c r="J1281" s="59">
        <v>2.0</v>
      </c>
      <c r="K1281" s="61">
        <f t="shared" si="1"/>
        <v>0</v>
      </c>
      <c r="L1281" s="62">
        <f t="shared" si="2"/>
        <v>1</v>
      </c>
    </row>
    <row r="1282">
      <c r="A1282" s="58">
        <v>46023.0</v>
      </c>
      <c r="B1282" s="24" t="s">
        <v>6787</v>
      </c>
      <c r="C1282" s="24" t="s">
        <v>7077</v>
      </c>
      <c r="D1282" s="59">
        <v>2.0</v>
      </c>
      <c r="E1282" s="59">
        <v>2.0</v>
      </c>
      <c r="F1282" s="59">
        <v>2.0</v>
      </c>
      <c r="G1282" s="60">
        <v>1.0</v>
      </c>
      <c r="H1282" s="60">
        <v>1.0</v>
      </c>
      <c r="I1282" s="60">
        <v>0.0</v>
      </c>
      <c r="J1282" s="59">
        <v>2.0</v>
      </c>
      <c r="K1282" s="61">
        <f t="shared" si="1"/>
        <v>1</v>
      </c>
      <c r="L1282" s="62">
        <f t="shared" si="2"/>
        <v>1</v>
      </c>
    </row>
    <row r="1283">
      <c r="A1283" s="58">
        <v>46023.0</v>
      </c>
      <c r="B1283" s="24" t="s">
        <v>6787</v>
      </c>
      <c r="C1283" s="24" t="s">
        <v>6946</v>
      </c>
      <c r="D1283" s="59">
        <v>2.0</v>
      </c>
      <c r="E1283" s="59">
        <v>2.0</v>
      </c>
      <c r="F1283" s="59">
        <v>2.0</v>
      </c>
      <c r="G1283" s="60">
        <v>1.0</v>
      </c>
      <c r="H1283" s="60">
        <v>1.0</v>
      </c>
      <c r="I1283" s="60">
        <v>0.0</v>
      </c>
      <c r="J1283" s="59">
        <v>2.0</v>
      </c>
      <c r="K1283" s="61">
        <f t="shared" si="1"/>
        <v>1</v>
      </c>
      <c r="L1283" s="62">
        <f t="shared" si="2"/>
        <v>1</v>
      </c>
    </row>
    <row r="1284">
      <c r="A1284" s="58">
        <v>46023.0</v>
      </c>
      <c r="B1284" s="24" t="s">
        <v>6787</v>
      </c>
      <c r="C1284" s="24" t="s">
        <v>7078</v>
      </c>
      <c r="D1284" s="59">
        <v>2.0</v>
      </c>
      <c r="E1284" s="59">
        <v>2.0</v>
      </c>
      <c r="F1284" s="59">
        <v>2.0</v>
      </c>
      <c r="G1284" s="60">
        <v>1.0</v>
      </c>
      <c r="H1284" s="60">
        <v>1.0</v>
      </c>
      <c r="I1284" s="60">
        <v>0.0</v>
      </c>
      <c r="J1284" s="59">
        <v>2.0</v>
      </c>
      <c r="K1284" s="61">
        <f t="shared" si="1"/>
        <v>1</v>
      </c>
      <c r="L1284" s="62">
        <f t="shared" si="2"/>
        <v>1</v>
      </c>
    </row>
    <row r="1285">
      <c r="A1285" s="58">
        <v>46023.0</v>
      </c>
      <c r="B1285" s="24" t="s">
        <v>6787</v>
      </c>
      <c r="C1285" s="24" t="s">
        <v>7007</v>
      </c>
      <c r="D1285" s="59">
        <v>2.0</v>
      </c>
      <c r="E1285" s="59">
        <v>2.0</v>
      </c>
      <c r="F1285" s="59">
        <v>2.0</v>
      </c>
      <c r="G1285" s="60">
        <v>1.0</v>
      </c>
      <c r="H1285" s="60">
        <v>1.0</v>
      </c>
      <c r="I1285" s="60">
        <v>2.509918</v>
      </c>
      <c r="J1285" s="59">
        <v>2.0</v>
      </c>
      <c r="K1285" s="61">
        <f t="shared" si="1"/>
        <v>1</v>
      </c>
      <c r="L1285" s="62">
        <f t="shared" si="2"/>
        <v>1</v>
      </c>
    </row>
    <row r="1286">
      <c r="A1286" s="58">
        <v>46023.0</v>
      </c>
      <c r="B1286" s="24" t="s">
        <v>6789</v>
      </c>
      <c r="C1286" s="24" t="s">
        <v>6903</v>
      </c>
      <c r="D1286" s="59">
        <v>2.0</v>
      </c>
      <c r="E1286" s="59">
        <v>2.0</v>
      </c>
      <c r="F1286" s="59">
        <v>2.0</v>
      </c>
      <c r="G1286" s="60">
        <v>1.0</v>
      </c>
      <c r="H1286" s="60">
        <v>0.0</v>
      </c>
      <c r="I1286" s="60">
        <v>338.094459</v>
      </c>
      <c r="J1286" s="59">
        <v>5.0</v>
      </c>
      <c r="K1286" s="61">
        <f t="shared" si="1"/>
        <v>1</v>
      </c>
      <c r="L1286" s="62">
        <f t="shared" si="2"/>
        <v>2.5</v>
      </c>
    </row>
    <row r="1287">
      <c r="A1287" s="58">
        <v>46023.0</v>
      </c>
      <c r="B1287" s="24" t="s">
        <v>155</v>
      </c>
      <c r="C1287" s="24" t="s">
        <v>7034</v>
      </c>
      <c r="D1287" s="59">
        <v>2.0</v>
      </c>
      <c r="E1287" s="59">
        <v>2.0</v>
      </c>
      <c r="F1287" s="59">
        <v>2.0</v>
      </c>
      <c r="G1287" s="60">
        <v>1.0</v>
      </c>
      <c r="H1287" s="60">
        <v>1.0</v>
      </c>
      <c r="I1287" s="60">
        <v>4.625538</v>
      </c>
      <c r="J1287" s="59">
        <v>2.0</v>
      </c>
      <c r="K1287" s="61">
        <f t="shared" si="1"/>
        <v>1</v>
      </c>
      <c r="L1287" s="62">
        <f t="shared" si="2"/>
        <v>1</v>
      </c>
    </row>
    <row r="1288">
      <c r="A1288" s="58">
        <v>46023.0</v>
      </c>
      <c r="B1288" s="24" t="s">
        <v>6787</v>
      </c>
      <c r="C1288" s="24" t="s">
        <v>7134</v>
      </c>
      <c r="D1288" s="59">
        <v>2.0</v>
      </c>
      <c r="E1288" s="59">
        <v>2.0</v>
      </c>
      <c r="F1288" s="59">
        <v>2.0</v>
      </c>
      <c r="G1288" s="60">
        <v>1.0</v>
      </c>
      <c r="H1288" s="60">
        <v>0.5</v>
      </c>
      <c r="I1288" s="60">
        <v>5.6514055</v>
      </c>
      <c r="J1288" s="59">
        <v>2.0</v>
      </c>
      <c r="K1288" s="61">
        <f t="shared" si="1"/>
        <v>1</v>
      </c>
      <c r="L1288" s="62">
        <f t="shared" si="2"/>
        <v>1</v>
      </c>
    </row>
    <row r="1289">
      <c r="A1289" s="58">
        <v>46023.0</v>
      </c>
      <c r="B1289" s="24" t="s">
        <v>6787</v>
      </c>
      <c r="C1289" s="24" t="s">
        <v>7120</v>
      </c>
      <c r="D1289" s="59">
        <v>2.0</v>
      </c>
      <c r="E1289" s="59">
        <v>2.0</v>
      </c>
      <c r="F1289" s="59">
        <v>2.0</v>
      </c>
      <c r="G1289" s="60">
        <v>1.0</v>
      </c>
      <c r="H1289" s="60">
        <v>0.0</v>
      </c>
      <c r="I1289" s="60">
        <v>16.234562</v>
      </c>
      <c r="J1289" s="59">
        <v>3.0</v>
      </c>
      <c r="K1289" s="61">
        <f t="shared" si="1"/>
        <v>1</v>
      </c>
      <c r="L1289" s="62">
        <f t="shared" si="2"/>
        <v>1.5</v>
      </c>
    </row>
    <row r="1290">
      <c r="A1290" s="58">
        <v>46023.0</v>
      </c>
      <c r="B1290" s="24" t="s">
        <v>6791</v>
      </c>
      <c r="C1290" s="24" t="s">
        <v>7084</v>
      </c>
      <c r="D1290" s="59">
        <v>2.0</v>
      </c>
      <c r="E1290" s="59">
        <v>2.0</v>
      </c>
      <c r="F1290" s="59">
        <v>1.0</v>
      </c>
      <c r="G1290" s="60">
        <v>1.0</v>
      </c>
      <c r="H1290" s="60">
        <v>0.5</v>
      </c>
      <c r="I1290" s="60">
        <v>4.6101465</v>
      </c>
      <c r="J1290" s="59">
        <v>3.0</v>
      </c>
      <c r="K1290" s="61">
        <f t="shared" si="1"/>
        <v>0.5</v>
      </c>
      <c r="L1290" s="62">
        <f t="shared" si="2"/>
        <v>1.5</v>
      </c>
    </row>
    <row r="1291">
      <c r="A1291" s="58">
        <v>46023.0</v>
      </c>
      <c r="B1291" s="24" t="s">
        <v>6787</v>
      </c>
      <c r="C1291" s="24" t="s">
        <v>7042</v>
      </c>
      <c r="D1291" s="59">
        <v>2.0</v>
      </c>
      <c r="E1291" s="59">
        <v>2.0</v>
      </c>
      <c r="F1291" s="59">
        <v>1.0</v>
      </c>
      <c r="G1291" s="60">
        <v>1.0</v>
      </c>
      <c r="H1291" s="60">
        <v>0.5</v>
      </c>
      <c r="I1291" s="60">
        <v>78.420725</v>
      </c>
      <c r="J1291" s="59">
        <v>8.0</v>
      </c>
      <c r="K1291" s="61">
        <f t="shared" si="1"/>
        <v>0.5</v>
      </c>
      <c r="L1291" s="62">
        <f t="shared" si="2"/>
        <v>4</v>
      </c>
    </row>
    <row r="1292">
      <c r="A1292" s="58">
        <v>46023.0</v>
      </c>
      <c r="B1292" s="24" t="s">
        <v>6787</v>
      </c>
      <c r="C1292" s="24" t="s">
        <v>6907</v>
      </c>
      <c r="D1292" s="59">
        <v>2.0</v>
      </c>
      <c r="E1292" s="59">
        <v>2.0</v>
      </c>
      <c r="F1292" s="59">
        <v>2.0</v>
      </c>
      <c r="G1292" s="60">
        <v>1.0</v>
      </c>
      <c r="H1292" s="60">
        <v>0.5</v>
      </c>
      <c r="I1292" s="60">
        <v>5.689209</v>
      </c>
      <c r="J1292" s="59">
        <v>2.0</v>
      </c>
      <c r="K1292" s="61">
        <f t="shared" si="1"/>
        <v>1</v>
      </c>
      <c r="L1292" s="62">
        <f t="shared" si="2"/>
        <v>1</v>
      </c>
    </row>
    <row r="1293">
      <c r="A1293" s="58">
        <v>46023.0</v>
      </c>
      <c r="B1293" s="24" t="s">
        <v>6787</v>
      </c>
      <c r="C1293" s="24" t="s">
        <v>7087</v>
      </c>
      <c r="D1293" s="59">
        <v>2.0</v>
      </c>
      <c r="E1293" s="59">
        <v>2.0</v>
      </c>
      <c r="F1293" s="59">
        <v>2.0</v>
      </c>
      <c r="G1293" s="60">
        <v>1.0</v>
      </c>
      <c r="H1293" s="60">
        <v>0.5</v>
      </c>
      <c r="I1293" s="60">
        <v>252.1825765</v>
      </c>
      <c r="J1293" s="59">
        <v>3.0</v>
      </c>
      <c r="K1293" s="61">
        <f t="shared" si="1"/>
        <v>1</v>
      </c>
      <c r="L1293" s="62">
        <f t="shared" si="2"/>
        <v>1.5</v>
      </c>
    </row>
    <row r="1294">
      <c r="A1294" s="58">
        <v>46023.0</v>
      </c>
      <c r="B1294" s="24" t="s">
        <v>6789</v>
      </c>
      <c r="C1294" s="24" t="s">
        <v>7087</v>
      </c>
      <c r="D1294" s="59">
        <v>2.0</v>
      </c>
      <c r="E1294" s="59">
        <v>2.0</v>
      </c>
      <c r="F1294" s="59">
        <v>1.0</v>
      </c>
      <c r="G1294" s="60">
        <v>1.0</v>
      </c>
      <c r="H1294" s="60">
        <v>0.5</v>
      </c>
      <c r="I1294" s="60">
        <v>16.832717</v>
      </c>
      <c r="J1294" s="59">
        <v>3.0</v>
      </c>
      <c r="K1294" s="61">
        <f t="shared" si="1"/>
        <v>0.5</v>
      </c>
      <c r="L1294" s="62">
        <f t="shared" si="2"/>
        <v>1.5</v>
      </c>
    </row>
    <row r="1295">
      <c r="A1295" s="58">
        <v>46023.0</v>
      </c>
      <c r="B1295" s="24" t="s">
        <v>6787</v>
      </c>
      <c r="C1295" s="24" t="s">
        <v>7135</v>
      </c>
      <c r="D1295" s="59">
        <v>2.0</v>
      </c>
      <c r="E1295" s="59">
        <v>2.0</v>
      </c>
      <c r="F1295" s="59">
        <v>2.0</v>
      </c>
      <c r="G1295" s="60">
        <v>1.0</v>
      </c>
      <c r="H1295" s="60">
        <v>1.0</v>
      </c>
      <c r="I1295" s="60">
        <v>0.0</v>
      </c>
      <c r="J1295" s="59">
        <v>2.0</v>
      </c>
      <c r="K1295" s="61">
        <f t="shared" si="1"/>
        <v>1</v>
      </c>
      <c r="L1295" s="62">
        <f t="shared" si="2"/>
        <v>1</v>
      </c>
    </row>
    <row r="1296">
      <c r="A1296" s="58">
        <v>46023.0</v>
      </c>
      <c r="B1296" s="24" t="s">
        <v>6789</v>
      </c>
      <c r="C1296" s="24" t="s">
        <v>7091</v>
      </c>
      <c r="D1296" s="59">
        <v>2.0</v>
      </c>
      <c r="E1296" s="59">
        <v>2.0</v>
      </c>
      <c r="F1296" s="59">
        <v>2.0</v>
      </c>
      <c r="G1296" s="60">
        <v>1.0</v>
      </c>
      <c r="H1296" s="60">
        <v>0.5</v>
      </c>
      <c r="I1296" s="60">
        <v>64.6697165</v>
      </c>
      <c r="J1296" s="59">
        <v>4.0</v>
      </c>
      <c r="K1296" s="61">
        <f t="shared" si="1"/>
        <v>1</v>
      </c>
      <c r="L1296" s="62">
        <f t="shared" si="2"/>
        <v>2</v>
      </c>
    </row>
    <row r="1297">
      <c r="A1297" s="58">
        <v>46023.0</v>
      </c>
      <c r="B1297" s="24" t="s">
        <v>6789</v>
      </c>
      <c r="C1297" s="24" t="s">
        <v>7136</v>
      </c>
      <c r="D1297" s="59">
        <v>2.0</v>
      </c>
      <c r="E1297" s="59">
        <v>2.0</v>
      </c>
      <c r="F1297" s="59">
        <v>2.0</v>
      </c>
      <c r="G1297" s="60">
        <v>1.0</v>
      </c>
      <c r="H1297" s="60">
        <v>0.5</v>
      </c>
      <c r="I1297" s="60">
        <v>864.434438</v>
      </c>
      <c r="J1297" s="59">
        <v>2.0</v>
      </c>
      <c r="K1297" s="61">
        <f t="shared" si="1"/>
        <v>1</v>
      </c>
      <c r="L1297" s="62">
        <f t="shared" si="2"/>
        <v>1</v>
      </c>
    </row>
    <row r="1298">
      <c r="A1298" s="58">
        <v>46023.0</v>
      </c>
      <c r="B1298" s="24" t="s">
        <v>6787</v>
      </c>
      <c r="C1298" s="24" t="s">
        <v>7096</v>
      </c>
      <c r="D1298" s="59">
        <v>2.0</v>
      </c>
      <c r="E1298" s="59">
        <v>2.0</v>
      </c>
      <c r="F1298" s="59">
        <v>2.0</v>
      </c>
      <c r="G1298" s="60">
        <v>1.0</v>
      </c>
      <c r="H1298" s="60">
        <v>1.0</v>
      </c>
      <c r="I1298" s="60">
        <v>0.0</v>
      </c>
      <c r="J1298" s="59">
        <v>2.0</v>
      </c>
      <c r="K1298" s="61">
        <f t="shared" si="1"/>
        <v>1</v>
      </c>
      <c r="L1298" s="62">
        <f t="shared" si="2"/>
        <v>1</v>
      </c>
    </row>
    <row r="1299">
      <c r="A1299" s="58">
        <v>46023.0</v>
      </c>
      <c r="B1299" s="24" t="s">
        <v>6787</v>
      </c>
      <c r="C1299" s="24" t="s">
        <v>7137</v>
      </c>
      <c r="D1299" s="59">
        <v>2.0</v>
      </c>
      <c r="E1299" s="59">
        <v>2.0</v>
      </c>
      <c r="F1299" s="59">
        <v>2.0</v>
      </c>
      <c r="G1299" s="60">
        <v>1.0</v>
      </c>
      <c r="H1299" s="60">
        <v>1.0</v>
      </c>
      <c r="I1299" s="60">
        <v>0.0</v>
      </c>
      <c r="J1299" s="59">
        <v>2.0</v>
      </c>
      <c r="K1299" s="61">
        <f t="shared" si="1"/>
        <v>1</v>
      </c>
      <c r="L1299" s="62">
        <f t="shared" si="2"/>
        <v>1</v>
      </c>
    </row>
    <row r="1300">
      <c r="A1300" s="58">
        <v>46023.0</v>
      </c>
      <c r="B1300" s="24" t="s">
        <v>6789</v>
      </c>
      <c r="C1300" s="24" t="s">
        <v>7138</v>
      </c>
      <c r="D1300" s="59">
        <v>2.0</v>
      </c>
      <c r="E1300" s="59">
        <v>2.0</v>
      </c>
      <c r="F1300" s="59">
        <v>1.0</v>
      </c>
      <c r="G1300" s="60">
        <v>2.0</v>
      </c>
      <c r="H1300" s="60">
        <v>1.0</v>
      </c>
      <c r="I1300" s="60">
        <v>4.0652395</v>
      </c>
      <c r="J1300" s="59">
        <v>2.0</v>
      </c>
      <c r="K1300" s="61">
        <f t="shared" si="1"/>
        <v>0.5</v>
      </c>
      <c r="L1300" s="62">
        <f t="shared" si="2"/>
        <v>1</v>
      </c>
    </row>
    <row r="1301">
      <c r="A1301" s="58">
        <v>46023.0</v>
      </c>
      <c r="B1301" s="24" t="s">
        <v>6789</v>
      </c>
      <c r="C1301" s="24" t="s">
        <v>6800</v>
      </c>
      <c r="D1301" s="59">
        <v>2.0</v>
      </c>
      <c r="E1301" s="59">
        <v>2.0</v>
      </c>
      <c r="F1301" s="59">
        <v>1.0</v>
      </c>
      <c r="G1301" s="60">
        <v>1.0</v>
      </c>
      <c r="H1301" s="60">
        <v>0.0</v>
      </c>
      <c r="I1301" s="60">
        <v>27.114475</v>
      </c>
      <c r="J1301" s="59">
        <v>2.0</v>
      </c>
      <c r="K1301" s="61">
        <f t="shared" si="1"/>
        <v>0.5</v>
      </c>
      <c r="L1301" s="62">
        <f t="shared" si="2"/>
        <v>1</v>
      </c>
    </row>
    <row r="1302">
      <c r="A1302" s="58">
        <v>46023.0</v>
      </c>
      <c r="B1302" s="24" t="s">
        <v>6787</v>
      </c>
      <c r="C1302" s="24" t="s">
        <v>7013</v>
      </c>
      <c r="D1302" s="59">
        <v>2.0</v>
      </c>
      <c r="E1302" s="59">
        <v>2.0</v>
      </c>
      <c r="F1302" s="59">
        <v>2.0</v>
      </c>
      <c r="G1302" s="60">
        <v>1.0</v>
      </c>
      <c r="H1302" s="60">
        <v>1.0</v>
      </c>
      <c r="I1302" s="60">
        <v>4.1503115</v>
      </c>
      <c r="J1302" s="59">
        <v>2.0</v>
      </c>
      <c r="K1302" s="61">
        <f t="shared" si="1"/>
        <v>1</v>
      </c>
      <c r="L1302" s="62">
        <f t="shared" si="2"/>
        <v>1</v>
      </c>
    </row>
    <row r="1303">
      <c r="A1303" s="58">
        <v>46023.0</v>
      </c>
      <c r="B1303" s="24" t="s">
        <v>6791</v>
      </c>
      <c r="C1303" s="24" t="s">
        <v>6809</v>
      </c>
      <c r="D1303" s="59">
        <v>2.0</v>
      </c>
      <c r="E1303" s="59">
        <v>2.0</v>
      </c>
      <c r="F1303" s="59">
        <v>0.0</v>
      </c>
      <c r="G1303" s="60">
        <v>2.0</v>
      </c>
      <c r="H1303" s="60">
        <v>0.5</v>
      </c>
      <c r="I1303" s="60">
        <v>122.2276335</v>
      </c>
      <c r="J1303" s="59">
        <v>2.0</v>
      </c>
      <c r="K1303" s="61">
        <f t="shared" si="1"/>
        <v>0</v>
      </c>
      <c r="L1303" s="62">
        <f t="shared" si="2"/>
        <v>1</v>
      </c>
    </row>
    <row r="1304">
      <c r="A1304" s="58">
        <v>46023.0</v>
      </c>
      <c r="B1304" s="24" t="s">
        <v>6787</v>
      </c>
      <c r="C1304" s="24" t="s">
        <v>6812</v>
      </c>
      <c r="D1304" s="59">
        <v>2.0</v>
      </c>
      <c r="E1304" s="59">
        <v>2.0</v>
      </c>
      <c r="F1304" s="59">
        <v>2.0</v>
      </c>
      <c r="G1304" s="60">
        <v>1.0</v>
      </c>
      <c r="H1304" s="60">
        <v>1.0</v>
      </c>
      <c r="I1304" s="60">
        <v>0.0</v>
      </c>
      <c r="J1304" s="59">
        <v>2.0</v>
      </c>
      <c r="K1304" s="61">
        <f t="shared" si="1"/>
        <v>1</v>
      </c>
      <c r="L1304" s="62">
        <f t="shared" si="2"/>
        <v>1</v>
      </c>
    </row>
    <row r="1305">
      <c r="A1305" s="58">
        <v>46023.0</v>
      </c>
      <c r="B1305" s="24" t="s">
        <v>6787</v>
      </c>
      <c r="C1305" s="24" t="s">
        <v>6849</v>
      </c>
      <c r="D1305" s="59">
        <v>2.0</v>
      </c>
      <c r="E1305" s="59">
        <v>2.0</v>
      </c>
      <c r="F1305" s="59">
        <v>2.0</v>
      </c>
      <c r="G1305" s="60">
        <v>1.0</v>
      </c>
      <c r="H1305" s="60">
        <v>0.5</v>
      </c>
      <c r="I1305" s="60">
        <v>536.881965</v>
      </c>
      <c r="J1305" s="59">
        <v>4.0</v>
      </c>
      <c r="K1305" s="61">
        <f t="shared" si="1"/>
        <v>1</v>
      </c>
      <c r="L1305" s="62">
        <f t="shared" si="2"/>
        <v>2</v>
      </c>
    </row>
    <row r="1306">
      <c r="A1306" s="58">
        <v>46023.0</v>
      </c>
      <c r="B1306" s="24" t="s">
        <v>155</v>
      </c>
      <c r="C1306" s="24" t="s">
        <v>6849</v>
      </c>
      <c r="D1306" s="59">
        <v>2.0</v>
      </c>
      <c r="E1306" s="59">
        <v>2.0</v>
      </c>
      <c r="F1306" s="59">
        <v>1.0</v>
      </c>
      <c r="G1306" s="60">
        <v>1.0</v>
      </c>
      <c r="H1306" s="60">
        <v>0.5</v>
      </c>
      <c r="I1306" s="60">
        <v>1472.0462285</v>
      </c>
      <c r="J1306" s="59">
        <v>12.0</v>
      </c>
      <c r="K1306" s="61">
        <f t="shared" si="1"/>
        <v>0.5</v>
      </c>
      <c r="L1306" s="62">
        <f t="shared" si="2"/>
        <v>6</v>
      </c>
    </row>
    <row r="1307">
      <c r="A1307" s="58">
        <v>46023.0</v>
      </c>
      <c r="B1307" s="24" t="s">
        <v>6789</v>
      </c>
      <c r="C1307" s="24" t="s">
        <v>6909</v>
      </c>
      <c r="D1307" s="59">
        <v>2.0</v>
      </c>
      <c r="E1307" s="59">
        <v>2.0</v>
      </c>
      <c r="F1307" s="59">
        <v>1.0</v>
      </c>
      <c r="G1307" s="60">
        <v>2.0</v>
      </c>
      <c r="H1307" s="60">
        <v>1.0</v>
      </c>
      <c r="I1307" s="60">
        <v>0.0</v>
      </c>
      <c r="J1307" s="59">
        <v>2.0</v>
      </c>
      <c r="K1307" s="61">
        <f t="shared" si="1"/>
        <v>0.5</v>
      </c>
      <c r="L1307" s="62">
        <f t="shared" si="2"/>
        <v>1</v>
      </c>
    </row>
    <row r="1308">
      <c r="A1308" s="58">
        <v>46023.0</v>
      </c>
      <c r="B1308" s="24" t="s">
        <v>6791</v>
      </c>
      <c r="C1308" s="24" t="s">
        <v>6909</v>
      </c>
      <c r="D1308" s="59">
        <v>2.0</v>
      </c>
      <c r="E1308" s="59">
        <v>2.0</v>
      </c>
      <c r="F1308" s="59">
        <v>0.0</v>
      </c>
      <c r="G1308" s="60">
        <v>2.0</v>
      </c>
      <c r="H1308" s="60">
        <v>0.5</v>
      </c>
      <c r="I1308" s="60">
        <v>11.746332</v>
      </c>
      <c r="J1308" s="59">
        <v>3.0</v>
      </c>
      <c r="K1308" s="61">
        <f t="shared" si="1"/>
        <v>0</v>
      </c>
      <c r="L1308" s="62">
        <f t="shared" si="2"/>
        <v>1.5</v>
      </c>
    </row>
    <row r="1309">
      <c r="A1309" s="58">
        <v>46023.0</v>
      </c>
      <c r="B1309" s="24" t="s">
        <v>155</v>
      </c>
      <c r="C1309" s="24" t="s">
        <v>6851</v>
      </c>
      <c r="D1309" s="59">
        <v>2.0</v>
      </c>
      <c r="E1309" s="59">
        <v>2.0</v>
      </c>
      <c r="F1309" s="59">
        <v>1.0</v>
      </c>
      <c r="G1309" s="60">
        <v>1.0</v>
      </c>
      <c r="H1309" s="60">
        <v>1.0</v>
      </c>
      <c r="I1309" s="60">
        <v>1.2160765</v>
      </c>
      <c r="J1309" s="59">
        <v>2.0</v>
      </c>
      <c r="K1309" s="61">
        <f t="shared" si="1"/>
        <v>0.5</v>
      </c>
      <c r="L1309" s="62">
        <f t="shared" si="2"/>
        <v>1</v>
      </c>
    </row>
    <row r="1310">
      <c r="A1310" s="58">
        <v>46023.0</v>
      </c>
      <c r="B1310" s="24" t="s">
        <v>155</v>
      </c>
      <c r="C1310" s="24" t="s">
        <v>6801</v>
      </c>
      <c r="D1310" s="59">
        <v>2.0</v>
      </c>
      <c r="E1310" s="59">
        <v>4.0</v>
      </c>
      <c r="F1310" s="59">
        <v>1.0</v>
      </c>
      <c r="G1310" s="60">
        <v>4.0</v>
      </c>
      <c r="H1310" s="60">
        <v>0.75</v>
      </c>
      <c r="I1310" s="60">
        <v>23.6384905</v>
      </c>
      <c r="J1310" s="59">
        <v>4.0</v>
      </c>
      <c r="K1310" s="61">
        <f t="shared" si="1"/>
        <v>0.25</v>
      </c>
      <c r="L1310" s="62">
        <f t="shared" si="2"/>
        <v>1</v>
      </c>
    </row>
    <row r="1311">
      <c r="A1311" s="58">
        <v>46023.0</v>
      </c>
      <c r="B1311" s="24" t="s">
        <v>6789</v>
      </c>
      <c r="C1311" s="24" t="s">
        <v>7106</v>
      </c>
      <c r="D1311" s="59">
        <v>2.0</v>
      </c>
      <c r="E1311" s="59">
        <v>2.0</v>
      </c>
      <c r="F1311" s="59">
        <v>2.0</v>
      </c>
      <c r="G1311" s="60">
        <v>1.0</v>
      </c>
      <c r="H1311" s="60">
        <v>1.0</v>
      </c>
      <c r="I1311" s="60">
        <v>0.0</v>
      </c>
      <c r="J1311" s="59">
        <v>2.0</v>
      </c>
      <c r="K1311" s="61">
        <f t="shared" si="1"/>
        <v>1</v>
      </c>
      <c r="L1311" s="62">
        <f t="shared" si="2"/>
        <v>1</v>
      </c>
    </row>
    <row r="1312">
      <c r="A1312" s="58">
        <v>46023.0</v>
      </c>
      <c r="B1312" s="24" t="s">
        <v>6787</v>
      </c>
      <c r="C1312" s="24" t="s">
        <v>6826</v>
      </c>
      <c r="D1312" s="59">
        <v>2.0</v>
      </c>
      <c r="E1312" s="59">
        <v>2.0</v>
      </c>
      <c r="F1312" s="59">
        <v>1.0</v>
      </c>
      <c r="G1312" s="60">
        <v>1.0</v>
      </c>
      <c r="H1312" s="60">
        <v>1.0</v>
      </c>
      <c r="I1312" s="60">
        <v>0.0</v>
      </c>
      <c r="J1312" s="59">
        <v>2.0</v>
      </c>
      <c r="K1312" s="61">
        <f t="shared" si="1"/>
        <v>0.5</v>
      </c>
      <c r="L1312" s="62">
        <f t="shared" si="2"/>
        <v>1</v>
      </c>
    </row>
    <row r="1313">
      <c r="A1313" s="58">
        <v>46023.0</v>
      </c>
      <c r="B1313" s="24" t="s">
        <v>155</v>
      </c>
      <c r="C1313" s="24" t="s">
        <v>6917</v>
      </c>
      <c r="D1313" s="59">
        <v>2.0</v>
      </c>
      <c r="E1313" s="59">
        <v>5.0</v>
      </c>
      <c r="F1313" s="59">
        <v>0.0</v>
      </c>
      <c r="G1313" s="60">
        <v>2.5</v>
      </c>
      <c r="H1313" s="60">
        <v>0.2</v>
      </c>
      <c r="I1313" s="60">
        <v>208.531630999999</v>
      </c>
      <c r="J1313" s="59">
        <v>11.0</v>
      </c>
      <c r="K1313" s="61">
        <f t="shared" si="1"/>
        <v>0</v>
      </c>
      <c r="L1313" s="62">
        <f t="shared" si="2"/>
        <v>2.2</v>
      </c>
    </row>
    <row r="1314">
      <c r="A1314" s="58">
        <v>46023.0</v>
      </c>
      <c r="B1314" s="24" t="s">
        <v>6787</v>
      </c>
      <c r="C1314" s="24" t="s">
        <v>7028</v>
      </c>
      <c r="D1314" s="59">
        <v>2.0</v>
      </c>
      <c r="E1314" s="59">
        <v>2.0</v>
      </c>
      <c r="F1314" s="59">
        <v>2.0</v>
      </c>
      <c r="G1314" s="60">
        <v>1.0</v>
      </c>
      <c r="H1314" s="60">
        <v>1.0</v>
      </c>
      <c r="I1314" s="60">
        <v>2.524515</v>
      </c>
      <c r="J1314" s="59">
        <v>2.0</v>
      </c>
      <c r="K1314" s="61">
        <f t="shared" si="1"/>
        <v>1</v>
      </c>
      <c r="L1314" s="62">
        <f t="shared" si="2"/>
        <v>1</v>
      </c>
    </row>
    <row r="1315">
      <c r="A1315" s="58">
        <v>46023.0</v>
      </c>
      <c r="B1315" s="24" t="s">
        <v>6789</v>
      </c>
      <c r="C1315" s="24" t="s">
        <v>7108</v>
      </c>
      <c r="D1315" s="59">
        <v>2.0</v>
      </c>
      <c r="E1315" s="59">
        <v>2.0</v>
      </c>
      <c r="F1315" s="59">
        <v>1.0</v>
      </c>
      <c r="G1315" s="60">
        <v>1.0</v>
      </c>
      <c r="H1315" s="60">
        <v>0.0</v>
      </c>
      <c r="I1315" s="60">
        <v>262.2284385</v>
      </c>
      <c r="J1315" s="59">
        <v>3.0</v>
      </c>
      <c r="K1315" s="61">
        <f t="shared" si="1"/>
        <v>0.5</v>
      </c>
      <c r="L1315" s="62">
        <f t="shared" si="2"/>
        <v>1.5</v>
      </c>
    </row>
    <row r="1316">
      <c r="A1316" s="58">
        <v>46023.0</v>
      </c>
      <c r="B1316" s="24" t="s">
        <v>6787</v>
      </c>
      <c r="C1316" s="24" t="s">
        <v>6852</v>
      </c>
      <c r="D1316" s="59">
        <v>2.0</v>
      </c>
      <c r="E1316" s="59">
        <v>2.0</v>
      </c>
      <c r="F1316" s="59">
        <v>2.0</v>
      </c>
      <c r="G1316" s="60">
        <v>1.0</v>
      </c>
      <c r="H1316" s="60">
        <v>0.5</v>
      </c>
      <c r="I1316" s="60">
        <v>205.187905</v>
      </c>
      <c r="J1316" s="59">
        <v>3.0</v>
      </c>
      <c r="K1316" s="61">
        <f t="shared" si="1"/>
        <v>1</v>
      </c>
      <c r="L1316" s="62">
        <f t="shared" si="2"/>
        <v>1.5</v>
      </c>
    </row>
    <row r="1317">
      <c r="A1317" s="58">
        <v>46023.0</v>
      </c>
      <c r="B1317" s="24" t="s">
        <v>6789</v>
      </c>
      <c r="C1317" s="24" t="s">
        <v>6920</v>
      </c>
      <c r="D1317" s="59">
        <v>2.0</v>
      </c>
      <c r="E1317" s="59">
        <v>2.0</v>
      </c>
      <c r="F1317" s="59">
        <v>2.0</v>
      </c>
      <c r="G1317" s="60">
        <v>1.0</v>
      </c>
      <c r="H1317" s="60">
        <v>0.0</v>
      </c>
      <c r="I1317" s="60">
        <v>20.1609065</v>
      </c>
      <c r="J1317" s="59">
        <v>2.0</v>
      </c>
      <c r="K1317" s="61">
        <f t="shared" si="1"/>
        <v>1</v>
      </c>
      <c r="L1317" s="62">
        <f t="shared" si="2"/>
        <v>1</v>
      </c>
    </row>
    <row r="1318">
      <c r="A1318" s="58">
        <v>46023.0</v>
      </c>
      <c r="B1318" s="24" t="s">
        <v>6787</v>
      </c>
      <c r="C1318" s="24" t="s">
        <v>7047</v>
      </c>
      <c r="D1318" s="59">
        <v>2.0</v>
      </c>
      <c r="E1318" s="59">
        <v>2.0</v>
      </c>
      <c r="F1318" s="59">
        <v>2.0</v>
      </c>
      <c r="G1318" s="60">
        <v>1.0</v>
      </c>
      <c r="H1318" s="60">
        <v>1.0</v>
      </c>
      <c r="I1318" s="60">
        <v>2.5644465</v>
      </c>
      <c r="J1318" s="59">
        <v>2.0</v>
      </c>
      <c r="K1318" s="61">
        <f t="shared" si="1"/>
        <v>1</v>
      </c>
      <c r="L1318" s="62">
        <f t="shared" si="2"/>
        <v>1</v>
      </c>
    </row>
    <row r="1319">
      <c r="A1319" s="58">
        <v>46023.0</v>
      </c>
      <c r="B1319" s="24" t="s">
        <v>6789</v>
      </c>
      <c r="C1319" s="24" t="s">
        <v>6962</v>
      </c>
      <c r="D1319" s="59">
        <v>2.0</v>
      </c>
      <c r="E1319" s="59">
        <v>2.0</v>
      </c>
      <c r="F1319" s="59">
        <v>0.0</v>
      </c>
      <c r="G1319" s="60">
        <v>1.0</v>
      </c>
      <c r="H1319" s="60">
        <v>0.0</v>
      </c>
      <c r="I1319" s="60">
        <v>89.1737955</v>
      </c>
      <c r="J1319" s="59">
        <v>4.0</v>
      </c>
      <c r="K1319" s="61">
        <f t="shared" si="1"/>
        <v>0</v>
      </c>
      <c r="L1319" s="62">
        <f t="shared" si="2"/>
        <v>2</v>
      </c>
    </row>
    <row r="1320">
      <c r="A1320" s="58">
        <v>46023.0</v>
      </c>
      <c r="B1320" s="24" t="s">
        <v>6791</v>
      </c>
      <c r="C1320" s="24" t="s">
        <v>6962</v>
      </c>
      <c r="D1320" s="59">
        <v>2.0</v>
      </c>
      <c r="E1320" s="59">
        <v>3.0</v>
      </c>
      <c r="F1320" s="59">
        <v>0.0</v>
      </c>
      <c r="G1320" s="60">
        <v>1.5</v>
      </c>
      <c r="H1320" s="60">
        <v>0.0</v>
      </c>
      <c r="I1320" s="60">
        <v>8.90333333333333E-4</v>
      </c>
      <c r="J1320" s="59">
        <v>3.0</v>
      </c>
      <c r="K1320" s="61">
        <f t="shared" si="1"/>
        <v>0</v>
      </c>
      <c r="L1320" s="62">
        <f t="shared" si="2"/>
        <v>1</v>
      </c>
    </row>
    <row r="1321">
      <c r="A1321" s="58">
        <v>46023.0</v>
      </c>
      <c r="B1321" s="24" t="s">
        <v>6791</v>
      </c>
      <c r="C1321" s="24" t="s">
        <v>6854</v>
      </c>
      <c r="D1321" s="59">
        <v>2.0</v>
      </c>
      <c r="E1321" s="59">
        <v>2.0</v>
      </c>
      <c r="F1321" s="59">
        <v>0.0</v>
      </c>
      <c r="G1321" s="60">
        <v>1.0</v>
      </c>
      <c r="H1321" s="60">
        <v>0.5</v>
      </c>
      <c r="I1321" s="60">
        <v>16.4802825</v>
      </c>
      <c r="J1321" s="59">
        <v>2.0</v>
      </c>
      <c r="K1321" s="61">
        <f t="shared" si="1"/>
        <v>0</v>
      </c>
      <c r="L1321" s="62">
        <f t="shared" si="2"/>
        <v>1</v>
      </c>
    </row>
    <row r="1322">
      <c r="A1322" s="58">
        <v>46023.0</v>
      </c>
      <c r="B1322" s="24" t="s">
        <v>6787</v>
      </c>
      <c r="C1322" s="24" t="s">
        <v>6941</v>
      </c>
      <c r="D1322" s="59">
        <v>2.0</v>
      </c>
      <c r="E1322" s="59">
        <v>2.0</v>
      </c>
      <c r="F1322" s="59">
        <v>2.0</v>
      </c>
      <c r="G1322" s="60">
        <v>1.0</v>
      </c>
      <c r="H1322" s="60">
        <v>1.0</v>
      </c>
      <c r="I1322" s="60">
        <v>0.0</v>
      </c>
      <c r="J1322" s="59">
        <v>2.0</v>
      </c>
      <c r="K1322" s="61">
        <f t="shared" si="1"/>
        <v>1</v>
      </c>
      <c r="L1322" s="62">
        <f t="shared" si="2"/>
        <v>1</v>
      </c>
    </row>
    <row r="1323">
      <c r="A1323" s="58">
        <v>46023.0</v>
      </c>
      <c r="B1323" s="24" t="s">
        <v>7030</v>
      </c>
      <c r="C1323" s="24" t="s">
        <v>6792</v>
      </c>
      <c r="D1323" s="59">
        <v>1.0</v>
      </c>
      <c r="E1323" s="59">
        <v>1.0</v>
      </c>
      <c r="F1323" s="59">
        <v>0.0</v>
      </c>
      <c r="G1323" s="60">
        <v>1.0</v>
      </c>
      <c r="H1323" s="60">
        <v>1.0</v>
      </c>
      <c r="I1323" s="60">
        <v>0.0</v>
      </c>
      <c r="J1323" s="59">
        <v>0.0</v>
      </c>
      <c r="K1323" s="61">
        <f t="shared" si="1"/>
        <v>0</v>
      </c>
      <c r="L1323" s="62">
        <f t="shared" si="2"/>
        <v>0</v>
      </c>
    </row>
    <row r="1324">
      <c r="A1324" s="58">
        <v>46023.0</v>
      </c>
      <c r="B1324" s="24" t="s">
        <v>6787</v>
      </c>
      <c r="C1324" s="24" t="s">
        <v>7139</v>
      </c>
      <c r="D1324" s="59">
        <v>1.0</v>
      </c>
      <c r="E1324" s="59">
        <v>1.0</v>
      </c>
      <c r="F1324" s="59">
        <v>1.0</v>
      </c>
      <c r="G1324" s="60">
        <v>1.0</v>
      </c>
      <c r="H1324" s="60">
        <v>0.0</v>
      </c>
      <c r="I1324" s="60">
        <v>208.036527</v>
      </c>
      <c r="J1324" s="59">
        <v>2.0</v>
      </c>
      <c r="K1324" s="61">
        <f t="shared" si="1"/>
        <v>1</v>
      </c>
      <c r="L1324" s="62">
        <f t="shared" si="2"/>
        <v>2</v>
      </c>
    </row>
    <row r="1325">
      <c r="A1325" s="58">
        <v>46023.0</v>
      </c>
      <c r="B1325" s="24" t="s">
        <v>6787</v>
      </c>
      <c r="C1325" s="24" t="s">
        <v>7140</v>
      </c>
      <c r="D1325" s="59">
        <v>1.0</v>
      </c>
      <c r="E1325" s="59">
        <v>1.0</v>
      </c>
      <c r="F1325" s="59">
        <v>1.0</v>
      </c>
      <c r="G1325" s="60">
        <v>1.0</v>
      </c>
      <c r="H1325" s="60">
        <v>0.0</v>
      </c>
      <c r="I1325" s="60">
        <v>2.028649</v>
      </c>
      <c r="J1325" s="59">
        <v>2.0</v>
      </c>
      <c r="K1325" s="61">
        <f t="shared" si="1"/>
        <v>1</v>
      </c>
      <c r="L1325" s="62">
        <f t="shared" si="2"/>
        <v>2</v>
      </c>
    </row>
    <row r="1326">
      <c r="A1326" s="58">
        <v>46023.0</v>
      </c>
      <c r="B1326" s="24" t="s">
        <v>6787</v>
      </c>
      <c r="C1326" s="24" t="s">
        <v>7141</v>
      </c>
      <c r="D1326" s="59">
        <v>1.0</v>
      </c>
      <c r="E1326" s="59">
        <v>1.0</v>
      </c>
      <c r="F1326" s="59">
        <v>1.0</v>
      </c>
      <c r="G1326" s="60">
        <v>1.0</v>
      </c>
      <c r="H1326" s="60">
        <v>1.0</v>
      </c>
      <c r="I1326" s="60">
        <v>0.0</v>
      </c>
      <c r="J1326" s="59">
        <v>1.0</v>
      </c>
      <c r="K1326" s="61">
        <f t="shared" si="1"/>
        <v>1</v>
      </c>
      <c r="L1326" s="62">
        <f t="shared" si="2"/>
        <v>1</v>
      </c>
    </row>
    <row r="1327">
      <c r="A1327" s="58">
        <v>46023.0</v>
      </c>
      <c r="B1327" s="24" t="s">
        <v>6787</v>
      </c>
      <c r="C1327" s="24" t="s">
        <v>7142</v>
      </c>
      <c r="D1327" s="59">
        <v>1.0</v>
      </c>
      <c r="E1327" s="59">
        <v>1.0</v>
      </c>
      <c r="F1327" s="59">
        <v>1.0</v>
      </c>
      <c r="G1327" s="60">
        <v>1.0</v>
      </c>
      <c r="H1327" s="60">
        <v>1.0</v>
      </c>
      <c r="I1327" s="60">
        <v>0.0</v>
      </c>
      <c r="J1327" s="59">
        <v>1.0</v>
      </c>
      <c r="K1327" s="61">
        <f t="shared" si="1"/>
        <v>1</v>
      </c>
      <c r="L1327" s="62">
        <f t="shared" si="2"/>
        <v>1</v>
      </c>
    </row>
    <row r="1328">
      <c r="A1328" s="58">
        <v>46023.0</v>
      </c>
      <c r="B1328" s="24" t="s">
        <v>6787</v>
      </c>
      <c r="C1328" s="24" t="s">
        <v>7143</v>
      </c>
      <c r="D1328" s="59">
        <v>1.0</v>
      </c>
      <c r="E1328" s="59">
        <v>1.0</v>
      </c>
      <c r="F1328" s="59">
        <v>1.0</v>
      </c>
      <c r="G1328" s="60">
        <v>1.0</v>
      </c>
      <c r="H1328" s="60">
        <v>0.0</v>
      </c>
      <c r="I1328" s="60">
        <v>13.005347</v>
      </c>
      <c r="J1328" s="59">
        <v>2.0</v>
      </c>
      <c r="K1328" s="61">
        <f t="shared" si="1"/>
        <v>1</v>
      </c>
      <c r="L1328" s="62">
        <f t="shared" si="2"/>
        <v>2</v>
      </c>
    </row>
    <row r="1329">
      <c r="A1329" s="58">
        <v>46023.0</v>
      </c>
      <c r="B1329" s="24" t="s">
        <v>6787</v>
      </c>
      <c r="C1329" s="24" t="s">
        <v>7144</v>
      </c>
      <c r="D1329" s="59">
        <v>1.0</v>
      </c>
      <c r="E1329" s="59">
        <v>1.0</v>
      </c>
      <c r="F1329" s="59">
        <v>1.0</v>
      </c>
      <c r="G1329" s="60">
        <v>1.0</v>
      </c>
      <c r="H1329" s="60">
        <v>0.0</v>
      </c>
      <c r="I1329" s="60">
        <v>7.530692</v>
      </c>
      <c r="J1329" s="59">
        <v>2.0</v>
      </c>
      <c r="K1329" s="61">
        <f t="shared" si="1"/>
        <v>1</v>
      </c>
      <c r="L1329" s="62">
        <f t="shared" si="2"/>
        <v>2</v>
      </c>
    </row>
    <row r="1330">
      <c r="A1330" s="58">
        <v>46023.0</v>
      </c>
      <c r="B1330" s="24" t="s">
        <v>6787</v>
      </c>
      <c r="C1330" s="24" t="s">
        <v>7145</v>
      </c>
      <c r="D1330" s="59">
        <v>1.0</v>
      </c>
      <c r="E1330" s="59">
        <v>1.0</v>
      </c>
      <c r="F1330" s="59">
        <v>1.0</v>
      </c>
      <c r="G1330" s="60">
        <v>1.0</v>
      </c>
      <c r="H1330" s="60">
        <v>1.0</v>
      </c>
      <c r="I1330" s="60">
        <v>0.0</v>
      </c>
      <c r="J1330" s="59">
        <v>1.0</v>
      </c>
      <c r="K1330" s="61">
        <f t="shared" si="1"/>
        <v>1</v>
      </c>
      <c r="L1330" s="62">
        <f t="shared" si="2"/>
        <v>1</v>
      </c>
    </row>
    <row r="1331">
      <c r="A1331" s="58">
        <v>46023.0</v>
      </c>
      <c r="B1331" s="24" t="s">
        <v>6787</v>
      </c>
      <c r="C1331" s="24" t="s">
        <v>7031</v>
      </c>
      <c r="D1331" s="59">
        <v>1.0</v>
      </c>
      <c r="E1331" s="59">
        <v>1.0</v>
      </c>
      <c r="F1331" s="59">
        <v>1.0</v>
      </c>
      <c r="G1331" s="60">
        <v>1.0</v>
      </c>
      <c r="H1331" s="60">
        <v>1.0</v>
      </c>
      <c r="I1331" s="60">
        <v>0.0</v>
      </c>
      <c r="J1331" s="59">
        <v>1.0</v>
      </c>
      <c r="K1331" s="61">
        <f t="shared" si="1"/>
        <v>1</v>
      </c>
      <c r="L1331" s="62">
        <f t="shared" si="2"/>
        <v>1</v>
      </c>
    </row>
    <row r="1332">
      <c r="A1332" s="58">
        <v>46023.0</v>
      </c>
      <c r="B1332" s="24" t="s">
        <v>6789</v>
      </c>
      <c r="C1332" s="24" t="s">
        <v>6980</v>
      </c>
      <c r="D1332" s="59">
        <v>1.0</v>
      </c>
      <c r="E1332" s="59">
        <v>1.0</v>
      </c>
      <c r="F1332" s="59">
        <v>1.0</v>
      </c>
      <c r="G1332" s="60">
        <v>1.0</v>
      </c>
      <c r="H1332" s="60">
        <v>1.0</v>
      </c>
      <c r="I1332" s="60">
        <v>4.899247</v>
      </c>
      <c r="J1332" s="59">
        <v>1.0</v>
      </c>
      <c r="K1332" s="61">
        <f t="shared" si="1"/>
        <v>1</v>
      </c>
      <c r="L1332" s="62">
        <f t="shared" si="2"/>
        <v>1</v>
      </c>
    </row>
    <row r="1333">
      <c r="A1333" s="58">
        <v>46023.0</v>
      </c>
      <c r="B1333" s="24" t="s">
        <v>6787</v>
      </c>
      <c r="C1333" s="24" t="s">
        <v>7146</v>
      </c>
      <c r="D1333" s="59">
        <v>1.0</v>
      </c>
      <c r="E1333" s="59">
        <v>1.0</v>
      </c>
      <c r="F1333" s="59">
        <v>1.0</v>
      </c>
      <c r="G1333" s="60">
        <v>1.0</v>
      </c>
      <c r="H1333" s="60">
        <v>1.0</v>
      </c>
      <c r="I1333" s="60">
        <v>0.0</v>
      </c>
      <c r="J1333" s="59">
        <v>1.0</v>
      </c>
      <c r="K1333" s="61">
        <f t="shared" si="1"/>
        <v>1</v>
      </c>
      <c r="L1333" s="62">
        <f t="shared" si="2"/>
        <v>1</v>
      </c>
    </row>
    <row r="1334">
      <c r="A1334" s="58">
        <v>46023.0</v>
      </c>
      <c r="B1334" s="24" t="s">
        <v>3216</v>
      </c>
      <c r="C1334" s="24" t="s">
        <v>6827</v>
      </c>
      <c r="D1334" s="59">
        <v>1.0</v>
      </c>
      <c r="E1334" s="59">
        <v>1.0</v>
      </c>
      <c r="F1334" s="59">
        <v>0.0</v>
      </c>
      <c r="G1334" s="60">
        <v>1.0</v>
      </c>
      <c r="H1334" s="60">
        <v>0.0</v>
      </c>
      <c r="I1334" s="60">
        <v>101.869156</v>
      </c>
      <c r="J1334" s="59">
        <v>3.0</v>
      </c>
      <c r="K1334" s="61">
        <f t="shared" si="1"/>
        <v>0</v>
      </c>
      <c r="L1334" s="62">
        <f t="shared" si="2"/>
        <v>3</v>
      </c>
    </row>
    <row r="1335">
      <c r="A1335" s="58">
        <v>46023.0</v>
      </c>
      <c r="B1335" s="24" t="s">
        <v>6789</v>
      </c>
      <c r="C1335" s="24" t="s">
        <v>6827</v>
      </c>
      <c r="D1335" s="59">
        <v>1.0</v>
      </c>
      <c r="E1335" s="59">
        <v>1.0</v>
      </c>
      <c r="F1335" s="59">
        <v>0.0</v>
      </c>
      <c r="G1335" s="60">
        <v>0.0</v>
      </c>
      <c r="H1335" s="60">
        <v>1.0</v>
      </c>
      <c r="I1335" s="60">
        <v>3.323885</v>
      </c>
      <c r="J1335" s="59">
        <v>1.0</v>
      </c>
      <c r="K1335" s="61">
        <f t="shared" si="1"/>
        <v>0</v>
      </c>
      <c r="L1335" s="62">
        <f t="shared" si="2"/>
        <v>1</v>
      </c>
    </row>
    <row r="1336">
      <c r="A1336" s="58">
        <v>46023.0</v>
      </c>
      <c r="B1336" s="24" t="s">
        <v>6789</v>
      </c>
      <c r="C1336" s="24" t="s">
        <v>7052</v>
      </c>
      <c r="D1336" s="59">
        <v>1.0</v>
      </c>
      <c r="E1336" s="59">
        <v>1.0</v>
      </c>
      <c r="F1336" s="59">
        <v>1.0</v>
      </c>
      <c r="G1336" s="60">
        <v>1.0</v>
      </c>
      <c r="H1336" s="60">
        <v>0.0</v>
      </c>
      <c r="I1336" s="60">
        <v>54.643917</v>
      </c>
      <c r="J1336" s="59">
        <v>1.0</v>
      </c>
      <c r="K1336" s="61">
        <f t="shared" si="1"/>
        <v>1</v>
      </c>
      <c r="L1336" s="62">
        <f t="shared" si="2"/>
        <v>1</v>
      </c>
    </row>
    <row r="1337">
      <c r="A1337" s="58">
        <v>46023.0</v>
      </c>
      <c r="B1337" s="24" t="s">
        <v>6789</v>
      </c>
      <c r="C1337" s="24" t="s">
        <v>7147</v>
      </c>
      <c r="D1337" s="59">
        <v>1.0</v>
      </c>
      <c r="E1337" s="59">
        <v>1.0</v>
      </c>
      <c r="F1337" s="59">
        <v>0.0</v>
      </c>
      <c r="G1337" s="60">
        <v>0.0</v>
      </c>
      <c r="H1337" s="60">
        <v>1.0</v>
      </c>
      <c r="I1337" s="60">
        <v>0.0</v>
      </c>
      <c r="J1337" s="59">
        <v>1.0</v>
      </c>
      <c r="K1337" s="61">
        <f t="shared" si="1"/>
        <v>0</v>
      </c>
      <c r="L1337" s="62">
        <f t="shared" si="2"/>
        <v>1</v>
      </c>
    </row>
    <row r="1338">
      <c r="A1338" s="58">
        <v>46023.0</v>
      </c>
      <c r="B1338" s="24" t="s">
        <v>155</v>
      </c>
      <c r="C1338" s="24" t="s">
        <v>7148</v>
      </c>
      <c r="D1338" s="59">
        <v>1.0</v>
      </c>
      <c r="E1338" s="59">
        <v>1.0</v>
      </c>
      <c r="F1338" s="59">
        <v>0.0</v>
      </c>
      <c r="G1338" s="60">
        <v>0.0</v>
      </c>
      <c r="H1338" s="60">
        <v>1.0</v>
      </c>
      <c r="I1338" s="60">
        <v>0.0</v>
      </c>
      <c r="J1338" s="59">
        <v>1.0</v>
      </c>
      <c r="K1338" s="61">
        <f t="shared" si="1"/>
        <v>0</v>
      </c>
      <c r="L1338" s="62">
        <f t="shared" si="2"/>
        <v>1</v>
      </c>
    </row>
    <row r="1339">
      <c r="A1339" s="58">
        <v>46023.0</v>
      </c>
      <c r="B1339" s="24" t="s">
        <v>6787</v>
      </c>
      <c r="C1339" s="24" t="s">
        <v>7149</v>
      </c>
      <c r="D1339" s="59">
        <v>1.0</v>
      </c>
      <c r="E1339" s="59">
        <v>1.0</v>
      </c>
      <c r="F1339" s="59">
        <v>1.0</v>
      </c>
      <c r="G1339" s="60">
        <v>1.0</v>
      </c>
      <c r="H1339" s="60">
        <v>1.0</v>
      </c>
      <c r="I1339" s="60">
        <v>0.0</v>
      </c>
      <c r="J1339" s="59">
        <v>1.0</v>
      </c>
      <c r="K1339" s="61">
        <f t="shared" si="1"/>
        <v>1</v>
      </c>
      <c r="L1339" s="62">
        <f t="shared" si="2"/>
        <v>1</v>
      </c>
    </row>
    <row r="1340">
      <c r="A1340" s="58">
        <v>46023.0</v>
      </c>
      <c r="B1340" s="24" t="s">
        <v>155</v>
      </c>
      <c r="C1340" s="24" t="s">
        <v>6817</v>
      </c>
      <c r="D1340" s="59">
        <v>1.0</v>
      </c>
      <c r="E1340" s="59">
        <v>1.0</v>
      </c>
      <c r="F1340" s="59">
        <v>0.0</v>
      </c>
      <c r="G1340" s="60">
        <v>1.0</v>
      </c>
      <c r="H1340" s="60">
        <v>0.0</v>
      </c>
      <c r="I1340" s="60">
        <v>458.060829</v>
      </c>
      <c r="J1340" s="59">
        <v>2.0</v>
      </c>
      <c r="K1340" s="61">
        <f t="shared" si="1"/>
        <v>0</v>
      </c>
      <c r="L1340" s="62">
        <f t="shared" si="2"/>
        <v>2</v>
      </c>
    </row>
    <row r="1341">
      <c r="A1341" s="58">
        <v>46023.0</v>
      </c>
      <c r="B1341" s="24" t="s">
        <v>6787</v>
      </c>
      <c r="C1341" s="24" t="s">
        <v>7055</v>
      </c>
      <c r="D1341" s="59">
        <v>1.0</v>
      </c>
      <c r="E1341" s="59">
        <v>1.0</v>
      </c>
      <c r="F1341" s="59">
        <v>1.0</v>
      </c>
      <c r="G1341" s="60">
        <v>1.0</v>
      </c>
      <c r="H1341" s="60">
        <v>1.0</v>
      </c>
      <c r="I1341" s="60">
        <v>0.0</v>
      </c>
      <c r="J1341" s="59">
        <v>1.0</v>
      </c>
      <c r="K1341" s="61">
        <f t="shared" si="1"/>
        <v>1</v>
      </c>
      <c r="L1341" s="62">
        <f t="shared" si="2"/>
        <v>1</v>
      </c>
    </row>
    <row r="1342">
      <c r="A1342" s="58">
        <v>46023.0</v>
      </c>
      <c r="B1342" s="24" t="s">
        <v>6787</v>
      </c>
      <c r="C1342" s="24" t="s">
        <v>6953</v>
      </c>
      <c r="D1342" s="59">
        <v>1.0</v>
      </c>
      <c r="E1342" s="59">
        <v>1.0</v>
      </c>
      <c r="F1342" s="59">
        <v>1.0</v>
      </c>
      <c r="G1342" s="60">
        <v>1.0</v>
      </c>
      <c r="H1342" s="60">
        <v>1.0</v>
      </c>
      <c r="I1342" s="60">
        <v>0.0</v>
      </c>
      <c r="J1342" s="59">
        <v>1.0</v>
      </c>
      <c r="K1342" s="61">
        <f t="shared" si="1"/>
        <v>1</v>
      </c>
      <c r="L1342" s="62">
        <f t="shared" si="2"/>
        <v>1</v>
      </c>
    </row>
    <row r="1343">
      <c r="A1343" s="58">
        <v>46023.0</v>
      </c>
      <c r="B1343" s="24" t="s">
        <v>6787</v>
      </c>
      <c r="C1343" s="24" t="s">
        <v>6858</v>
      </c>
      <c r="D1343" s="59">
        <v>1.0</v>
      </c>
      <c r="E1343" s="59">
        <v>1.0</v>
      </c>
      <c r="F1343" s="59">
        <v>1.0</v>
      </c>
      <c r="G1343" s="60">
        <v>1.0</v>
      </c>
      <c r="H1343" s="60">
        <v>1.0</v>
      </c>
      <c r="I1343" s="60">
        <v>0.0</v>
      </c>
      <c r="J1343" s="59">
        <v>1.0</v>
      </c>
      <c r="K1343" s="61">
        <f t="shared" si="1"/>
        <v>1</v>
      </c>
      <c r="L1343" s="62">
        <f t="shared" si="2"/>
        <v>1</v>
      </c>
    </row>
    <row r="1344">
      <c r="A1344" s="58">
        <v>46023.0</v>
      </c>
      <c r="B1344" s="24" t="s">
        <v>155</v>
      </c>
      <c r="C1344" s="24" t="s">
        <v>6804</v>
      </c>
      <c r="D1344" s="59">
        <v>1.0</v>
      </c>
      <c r="E1344" s="59">
        <v>1.0</v>
      </c>
      <c r="F1344" s="59">
        <v>1.0</v>
      </c>
      <c r="G1344" s="60">
        <v>1.0</v>
      </c>
      <c r="H1344" s="60">
        <v>1.0</v>
      </c>
      <c r="I1344" s="60">
        <v>0.0</v>
      </c>
      <c r="J1344" s="59">
        <v>1.0</v>
      </c>
      <c r="K1344" s="61">
        <f t="shared" si="1"/>
        <v>1</v>
      </c>
      <c r="L1344" s="62">
        <f t="shared" si="2"/>
        <v>1</v>
      </c>
    </row>
    <row r="1345">
      <c r="A1345" s="58">
        <v>46023.0</v>
      </c>
      <c r="B1345" s="24" t="s">
        <v>155</v>
      </c>
      <c r="C1345" s="24" t="s">
        <v>6829</v>
      </c>
      <c r="D1345" s="59">
        <v>1.0</v>
      </c>
      <c r="E1345" s="59">
        <v>1.0</v>
      </c>
      <c r="F1345" s="59">
        <v>1.0</v>
      </c>
      <c r="G1345" s="60">
        <v>1.0</v>
      </c>
      <c r="H1345" s="60">
        <v>1.0</v>
      </c>
      <c r="I1345" s="60">
        <v>0.0</v>
      </c>
      <c r="J1345" s="59">
        <v>1.0</v>
      </c>
      <c r="K1345" s="61">
        <f t="shared" si="1"/>
        <v>1</v>
      </c>
      <c r="L1345" s="62">
        <f t="shared" si="2"/>
        <v>1</v>
      </c>
    </row>
    <row r="1346">
      <c r="A1346" s="58">
        <v>46023.0</v>
      </c>
      <c r="B1346" s="24" t="s">
        <v>6789</v>
      </c>
      <c r="C1346" s="24" t="s">
        <v>6860</v>
      </c>
      <c r="D1346" s="59">
        <v>1.0</v>
      </c>
      <c r="E1346" s="59">
        <v>1.0</v>
      </c>
      <c r="F1346" s="59">
        <v>1.0</v>
      </c>
      <c r="G1346" s="60">
        <v>1.0</v>
      </c>
      <c r="H1346" s="60">
        <v>1.0</v>
      </c>
      <c r="I1346" s="60">
        <v>0.0</v>
      </c>
      <c r="J1346" s="59">
        <v>1.0</v>
      </c>
      <c r="K1346" s="61">
        <f t="shared" si="1"/>
        <v>1</v>
      </c>
      <c r="L1346" s="62">
        <f t="shared" si="2"/>
        <v>1</v>
      </c>
    </row>
    <row r="1347">
      <c r="A1347" s="58">
        <v>46023.0</v>
      </c>
      <c r="B1347" s="24" t="s">
        <v>6789</v>
      </c>
      <c r="C1347" s="24" t="s">
        <v>7057</v>
      </c>
      <c r="D1347" s="59">
        <v>1.0</v>
      </c>
      <c r="E1347" s="59">
        <v>1.0</v>
      </c>
      <c r="F1347" s="59">
        <v>1.0</v>
      </c>
      <c r="G1347" s="60">
        <v>1.0</v>
      </c>
      <c r="H1347" s="60">
        <v>0.0</v>
      </c>
      <c r="I1347" s="60">
        <v>1026.376475</v>
      </c>
      <c r="J1347" s="59">
        <v>4.0</v>
      </c>
      <c r="K1347" s="61">
        <f t="shared" si="1"/>
        <v>1</v>
      </c>
      <c r="L1347" s="62">
        <f t="shared" si="2"/>
        <v>4</v>
      </c>
    </row>
    <row r="1348">
      <c r="A1348" s="58">
        <v>46023.0</v>
      </c>
      <c r="B1348" s="24" t="s">
        <v>6787</v>
      </c>
      <c r="C1348" s="24" t="s">
        <v>7039</v>
      </c>
      <c r="D1348" s="59">
        <v>1.0</v>
      </c>
      <c r="E1348" s="59">
        <v>1.0</v>
      </c>
      <c r="F1348" s="59">
        <v>1.0</v>
      </c>
      <c r="G1348" s="60">
        <v>1.0</v>
      </c>
      <c r="H1348" s="60">
        <v>1.0</v>
      </c>
      <c r="I1348" s="60">
        <v>0.0</v>
      </c>
      <c r="J1348" s="59">
        <v>1.0</v>
      </c>
      <c r="K1348" s="61">
        <f t="shared" si="1"/>
        <v>1</v>
      </c>
      <c r="L1348" s="62">
        <f t="shared" si="2"/>
        <v>1</v>
      </c>
    </row>
    <row r="1349">
      <c r="A1349" s="58">
        <v>46023.0</v>
      </c>
      <c r="B1349" s="24" t="s">
        <v>6789</v>
      </c>
      <c r="C1349" s="24" t="s">
        <v>7039</v>
      </c>
      <c r="D1349" s="59">
        <v>1.0</v>
      </c>
      <c r="E1349" s="59">
        <v>1.0</v>
      </c>
      <c r="F1349" s="59">
        <v>1.0</v>
      </c>
      <c r="G1349" s="60">
        <v>1.0</v>
      </c>
      <c r="H1349" s="60">
        <v>0.0</v>
      </c>
      <c r="I1349" s="60">
        <v>188.619524</v>
      </c>
      <c r="J1349" s="59">
        <v>1.0</v>
      </c>
      <c r="K1349" s="61">
        <f t="shared" si="1"/>
        <v>1</v>
      </c>
      <c r="L1349" s="62">
        <f t="shared" si="2"/>
        <v>1</v>
      </c>
    </row>
    <row r="1350">
      <c r="A1350" s="58">
        <v>46023.0</v>
      </c>
      <c r="B1350" s="24" t="s">
        <v>6787</v>
      </c>
      <c r="C1350" s="24" t="s">
        <v>7059</v>
      </c>
      <c r="D1350" s="59">
        <v>1.0</v>
      </c>
      <c r="E1350" s="59">
        <v>1.0</v>
      </c>
      <c r="F1350" s="59">
        <v>1.0</v>
      </c>
      <c r="G1350" s="60">
        <v>1.0</v>
      </c>
      <c r="H1350" s="60">
        <v>1.0</v>
      </c>
      <c r="I1350" s="60">
        <v>0.0</v>
      </c>
      <c r="J1350" s="59">
        <v>1.0</v>
      </c>
      <c r="K1350" s="61">
        <f t="shared" si="1"/>
        <v>1</v>
      </c>
      <c r="L1350" s="62">
        <f t="shared" si="2"/>
        <v>1</v>
      </c>
    </row>
    <row r="1351">
      <c r="A1351" s="58">
        <v>46023.0</v>
      </c>
      <c r="B1351" s="24" t="s">
        <v>6787</v>
      </c>
      <c r="C1351" s="24" t="s">
        <v>6864</v>
      </c>
      <c r="D1351" s="59">
        <v>1.0</v>
      </c>
      <c r="E1351" s="59">
        <v>1.0</v>
      </c>
      <c r="F1351" s="59">
        <v>1.0</v>
      </c>
      <c r="G1351" s="60">
        <v>1.0</v>
      </c>
      <c r="H1351" s="60">
        <v>1.0</v>
      </c>
      <c r="I1351" s="60">
        <v>0.0</v>
      </c>
      <c r="J1351" s="59">
        <v>1.0</v>
      </c>
      <c r="K1351" s="61">
        <f t="shared" si="1"/>
        <v>1</v>
      </c>
      <c r="L1351" s="62">
        <f t="shared" si="2"/>
        <v>1</v>
      </c>
    </row>
    <row r="1352">
      <c r="A1352" s="58">
        <v>46023.0</v>
      </c>
      <c r="B1352" s="24" t="s">
        <v>6787</v>
      </c>
      <c r="C1352" s="24" t="s">
        <v>6865</v>
      </c>
      <c r="D1352" s="59">
        <v>1.0</v>
      </c>
      <c r="E1352" s="59">
        <v>1.0</v>
      </c>
      <c r="F1352" s="59">
        <v>1.0</v>
      </c>
      <c r="G1352" s="60">
        <v>1.0</v>
      </c>
      <c r="H1352" s="60">
        <v>1.0</v>
      </c>
      <c r="I1352" s="60">
        <v>0.0</v>
      </c>
      <c r="J1352" s="59">
        <v>1.0</v>
      </c>
      <c r="K1352" s="61">
        <f t="shared" si="1"/>
        <v>1</v>
      </c>
      <c r="L1352" s="62">
        <f t="shared" si="2"/>
        <v>1</v>
      </c>
    </row>
    <row r="1353">
      <c r="A1353" s="58">
        <v>46023.0</v>
      </c>
      <c r="B1353" s="24" t="s">
        <v>6787</v>
      </c>
      <c r="C1353" s="24" t="s">
        <v>6831</v>
      </c>
      <c r="D1353" s="59">
        <v>1.0</v>
      </c>
      <c r="E1353" s="59">
        <v>1.0</v>
      </c>
      <c r="F1353" s="59">
        <v>1.0</v>
      </c>
      <c r="G1353" s="60">
        <v>1.0</v>
      </c>
      <c r="H1353" s="60">
        <v>1.0</v>
      </c>
      <c r="I1353" s="60">
        <v>0.0</v>
      </c>
      <c r="J1353" s="59">
        <v>1.0</v>
      </c>
      <c r="K1353" s="61">
        <f t="shared" si="1"/>
        <v>1</v>
      </c>
      <c r="L1353" s="62">
        <f t="shared" si="2"/>
        <v>1</v>
      </c>
    </row>
    <row r="1354">
      <c r="A1354" s="58">
        <v>46023.0</v>
      </c>
      <c r="B1354" s="24" t="s">
        <v>6787</v>
      </c>
      <c r="C1354" s="24" t="s">
        <v>6818</v>
      </c>
      <c r="D1354" s="59">
        <v>1.0</v>
      </c>
      <c r="E1354" s="59">
        <v>1.0</v>
      </c>
      <c r="F1354" s="59">
        <v>1.0</v>
      </c>
      <c r="G1354" s="60">
        <v>1.0</v>
      </c>
      <c r="H1354" s="60">
        <v>1.0</v>
      </c>
      <c r="I1354" s="60">
        <v>5.682035</v>
      </c>
      <c r="J1354" s="59">
        <v>1.0</v>
      </c>
      <c r="K1354" s="61">
        <f t="shared" si="1"/>
        <v>1</v>
      </c>
      <c r="L1354" s="62">
        <f t="shared" si="2"/>
        <v>1</v>
      </c>
    </row>
    <row r="1355">
      <c r="A1355" s="58">
        <v>46023.0</v>
      </c>
      <c r="B1355" s="24" t="s">
        <v>6789</v>
      </c>
      <c r="C1355" s="24" t="s">
        <v>6985</v>
      </c>
      <c r="D1355" s="59">
        <v>1.0</v>
      </c>
      <c r="E1355" s="59">
        <v>1.0</v>
      </c>
      <c r="F1355" s="59">
        <v>1.0</v>
      </c>
      <c r="G1355" s="60">
        <v>1.0</v>
      </c>
      <c r="H1355" s="60">
        <v>0.0</v>
      </c>
      <c r="I1355" s="60">
        <v>179.743507</v>
      </c>
      <c r="J1355" s="59">
        <v>1.0</v>
      </c>
      <c r="K1355" s="61">
        <f t="shared" si="1"/>
        <v>1</v>
      </c>
      <c r="L1355" s="62">
        <f t="shared" si="2"/>
        <v>1</v>
      </c>
    </row>
    <row r="1356">
      <c r="A1356" s="58">
        <v>46023.0</v>
      </c>
      <c r="B1356" s="24" t="s">
        <v>3216</v>
      </c>
      <c r="C1356" s="24" t="s">
        <v>6832</v>
      </c>
      <c r="D1356" s="59">
        <v>1.0</v>
      </c>
      <c r="E1356" s="59">
        <v>1.0</v>
      </c>
      <c r="F1356" s="59">
        <v>0.0</v>
      </c>
      <c r="G1356" s="60">
        <v>1.0</v>
      </c>
      <c r="H1356" s="60">
        <v>0.0</v>
      </c>
      <c r="I1356" s="60">
        <v>745.929091</v>
      </c>
      <c r="J1356" s="59">
        <v>1.0</v>
      </c>
      <c r="K1356" s="61">
        <f t="shared" si="1"/>
        <v>0</v>
      </c>
      <c r="L1356" s="62">
        <f t="shared" si="2"/>
        <v>1</v>
      </c>
    </row>
    <row r="1357">
      <c r="A1357" s="58">
        <v>46023.0</v>
      </c>
      <c r="B1357" s="24" t="s">
        <v>6789</v>
      </c>
      <c r="C1357" s="24" t="s">
        <v>6833</v>
      </c>
      <c r="D1357" s="59">
        <v>1.0</v>
      </c>
      <c r="E1357" s="59">
        <v>1.0</v>
      </c>
      <c r="F1357" s="59">
        <v>1.0</v>
      </c>
      <c r="G1357" s="60">
        <v>1.0</v>
      </c>
      <c r="H1357" s="60">
        <v>0.0</v>
      </c>
      <c r="I1357" s="60">
        <v>20.23603</v>
      </c>
      <c r="J1357" s="59">
        <v>2.0</v>
      </c>
      <c r="K1357" s="61">
        <f t="shared" si="1"/>
        <v>1</v>
      </c>
      <c r="L1357" s="62">
        <f t="shared" si="2"/>
        <v>2</v>
      </c>
    </row>
    <row r="1358">
      <c r="A1358" s="58">
        <v>46023.0</v>
      </c>
      <c r="B1358" s="24" t="s">
        <v>6787</v>
      </c>
      <c r="C1358" s="24" t="s">
        <v>6819</v>
      </c>
      <c r="D1358" s="59">
        <v>1.0</v>
      </c>
      <c r="E1358" s="59">
        <v>1.0</v>
      </c>
      <c r="F1358" s="59">
        <v>1.0</v>
      </c>
      <c r="G1358" s="60">
        <v>1.0</v>
      </c>
      <c r="H1358" s="60">
        <v>1.0</v>
      </c>
      <c r="I1358" s="60">
        <v>0.0</v>
      </c>
      <c r="J1358" s="59">
        <v>1.0</v>
      </c>
      <c r="K1358" s="61">
        <f t="shared" si="1"/>
        <v>1</v>
      </c>
      <c r="L1358" s="62">
        <f t="shared" si="2"/>
        <v>1</v>
      </c>
    </row>
    <row r="1359">
      <c r="A1359" s="58">
        <v>46023.0</v>
      </c>
      <c r="B1359" s="24" t="s">
        <v>155</v>
      </c>
      <c r="C1359" s="24" t="s">
        <v>6819</v>
      </c>
      <c r="D1359" s="59">
        <v>1.0</v>
      </c>
      <c r="E1359" s="59">
        <v>1.0</v>
      </c>
      <c r="F1359" s="59">
        <v>0.0</v>
      </c>
      <c r="G1359" s="60">
        <v>0.0</v>
      </c>
      <c r="H1359" s="60">
        <v>1.0</v>
      </c>
      <c r="I1359" s="60">
        <v>0.0</v>
      </c>
      <c r="J1359" s="59">
        <v>1.0</v>
      </c>
      <c r="K1359" s="61">
        <f t="shared" si="1"/>
        <v>0</v>
      </c>
      <c r="L1359" s="62">
        <f t="shared" si="2"/>
        <v>1</v>
      </c>
    </row>
    <row r="1360">
      <c r="A1360" s="58">
        <v>46023.0</v>
      </c>
      <c r="B1360" s="24" t="s">
        <v>6787</v>
      </c>
      <c r="C1360" s="24" t="s">
        <v>6927</v>
      </c>
      <c r="D1360" s="59">
        <v>1.0</v>
      </c>
      <c r="E1360" s="59">
        <v>1.0</v>
      </c>
      <c r="F1360" s="59">
        <v>1.0</v>
      </c>
      <c r="G1360" s="60">
        <v>1.0</v>
      </c>
      <c r="H1360" s="60">
        <v>1.0</v>
      </c>
      <c r="I1360" s="60">
        <v>0.0</v>
      </c>
      <c r="J1360" s="59">
        <v>1.0</v>
      </c>
      <c r="K1360" s="61">
        <f t="shared" si="1"/>
        <v>1</v>
      </c>
      <c r="L1360" s="62">
        <f t="shared" si="2"/>
        <v>1</v>
      </c>
    </row>
    <row r="1361">
      <c r="A1361" s="58">
        <v>46023.0</v>
      </c>
      <c r="B1361" s="24" t="s">
        <v>6789</v>
      </c>
      <c r="C1361" s="24" t="s">
        <v>6927</v>
      </c>
      <c r="D1361" s="59">
        <v>1.0</v>
      </c>
      <c r="E1361" s="59">
        <v>1.0</v>
      </c>
      <c r="F1361" s="59">
        <v>1.0</v>
      </c>
      <c r="G1361" s="60">
        <v>1.0</v>
      </c>
      <c r="H1361" s="60">
        <v>0.0</v>
      </c>
      <c r="I1361" s="60">
        <v>770.610191</v>
      </c>
      <c r="J1361" s="59">
        <v>1.0</v>
      </c>
      <c r="K1361" s="61">
        <f t="shared" si="1"/>
        <v>1</v>
      </c>
      <c r="L1361" s="62">
        <f t="shared" si="2"/>
        <v>1</v>
      </c>
    </row>
    <row r="1362">
      <c r="A1362" s="58">
        <v>46023.0</v>
      </c>
      <c r="B1362" s="24" t="s">
        <v>6789</v>
      </c>
      <c r="C1362" s="24" t="s">
        <v>6986</v>
      </c>
      <c r="D1362" s="59">
        <v>1.0</v>
      </c>
      <c r="E1362" s="59">
        <v>1.0</v>
      </c>
      <c r="F1362" s="59">
        <v>1.0</v>
      </c>
      <c r="G1362" s="60">
        <v>1.0</v>
      </c>
      <c r="H1362" s="60">
        <v>0.0</v>
      </c>
      <c r="I1362" s="60">
        <v>1731.247363</v>
      </c>
      <c r="J1362" s="59">
        <v>2.0</v>
      </c>
      <c r="K1362" s="61">
        <f t="shared" si="1"/>
        <v>1</v>
      </c>
      <c r="L1362" s="62">
        <f t="shared" si="2"/>
        <v>2</v>
      </c>
    </row>
    <row r="1363">
      <c r="A1363" s="58">
        <v>46023.0</v>
      </c>
      <c r="B1363" s="24" t="s">
        <v>6787</v>
      </c>
      <c r="C1363" s="24" t="s">
        <v>7061</v>
      </c>
      <c r="D1363" s="59">
        <v>1.0</v>
      </c>
      <c r="E1363" s="59">
        <v>1.0</v>
      </c>
      <c r="F1363" s="59">
        <v>1.0</v>
      </c>
      <c r="G1363" s="60">
        <v>1.0</v>
      </c>
      <c r="H1363" s="60">
        <v>1.0</v>
      </c>
      <c r="I1363" s="60">
        <v>9.607288</v>
      </c>
      <c r="J1363" s="59">
        <v>1.0</v>
      </c>
      <c r="K1363" s="61">
        <f t="shared" si="1"/>
        <v>1</v>
      </c>
      <c r="L1363" s="62">
        <f t="shared" si="2"/>
        <v>1</v>
      </c>
    </row>
    <row r="1364">
      <c r="A1364" s="58">
        <v>46023.0</v>
      </c>
      <c r="B1364" s="24" t="s">
        <v>6789</v>
      </c>
      <c r="C1364" s="24" t="s">
        <v>6868</v>
      </c>
      <c r="D1364" s="59">
        <v>1.0</v>
      </c>
      <c r="E1364" s="59">
        <v>1.0</v>
      </c>
      <c r="F1364" s="59">
        <v>1.0</v>
      </c>
      <c r="G1364" s="60">
        <v>1.0</v>
      </c>
      <c r="H1364" s="60">
        <v>0.0</v>
      </c>
      <c r="I1364" s="60">
        <v>13.969884</v>
      </c>
      <c r="J1364" s="59">
        <v>1.0</v>
      </c>
      <c r="K1364" s="61">
        <f t="shared" si="1"/>
        <v>1</v>
      </c>
      <c r="L1364" s="62">
        <f t="shared" si="2"/>
        <v>1</v>
      </c>
    </row>
    <row r="1365">
      <c r="A1365" s="58">
        <v>46023.0</v>
      </c>
      <c r="B1365" s="24" t="s">
        <v>6789</v>
      </c>
      <c r="C1365" s="24" t="s">
        <v>7040</v>
      </c>
      <c r="D1365" s="59">
        <v>1.0</v>
      </c>
      <c r="E1365" s="59">
        <v>1.0</v>
      </c>
      <c r="F1365" s="59">
        <v>1.0</v>
      </c>
      <c r="G1365" s="60">
        <v>1.0</v>
      </c>
      <c r="H1365" s="60">
        <v>0.0</v>
      </c>
      <c r="I1365" s="60">
        <v>297.174509</v>
      </c>
      <c r="J1365" s="59">
        <v>2.0</v>
      </c>
      <c r="K1365" s="61">
        <f t="shared" si="1"/>
        <v>1</v>
      </c>
      <c r="L1365" s="62">
        <f t="shared" si="2"/>
        <v>2</v>
      </c>
    </row>
    <row r="1366">
      <c r="A1366" s="58">
        <v>46023.0</v>
      </c>
      <c r="B1366" s="24" t="s">
        <v>6789</v>
      </c>
      <c r="C1366" s="24" t="s">
        <v>6988</v>
      </c>
      <c r="D1366" s="59">
        <v>1.0</v>
      </c>
      <c r="E1366" s="59">
        <v>1.0</v>
      </c>
      <c r="F1366" s="59">
        <v>0.0</v>
      </c>
      <c r="G1366" s="60">
        <v>0.0</v>
      </c>
      <c r="H1366" s="60">
        <v>1.0</v>
      </c>
      <c r="I1366" s="60">
        <v>0.0</v>
      </c>
      <c r="J1366" s="59">
        <v>1.0</v>
      </c>
      <c r="K1366" s="61">
        <f t="shared" si="1"/>
        <v>0</v>
      </c>
      <c r="L1366" s="62">
        <f t="shared" si="2"/>
        <v>1</v>
      </c>
    </row>
    <row r="1367">
      <c r="A1367" s="58">
        <v>46023.0</v>
      </c>
      <c r="B1367" s="24" t="s">
        <v>6787</v>
      </c>
      <c r="C1367" s="24" t="s">
        <v>7063</v>
      </c>
      <c r="D1367" s="59">
        <v>1.0</v>
      </c>
      <c r="E1367" s="59">
        <v>1.0</v>
      </c>
      <c r="F1367" s="59">
        <v>1.0</v>
      </c>
      <c r="G1367" s="60">
        <v>1.0</v>
      </c>
      <c r="H1367" s="60">
        <v>1.0</v>
      </c>
      <c r="I1367" s="60">
        <v>0.0</v>
      </c>
      <c r="J1367" s="59">
        <v>1.0</v>
      </c>
      <c r="K1367" s="61">
        <f t="shared" si="1"/>
        <v>1</v>
      </c>
      <c r="L1367" s="62">
        <f t="shared" si="2"/>
        <v>1</v>
      </c>
    </row>
    <row r="1368">
      <c r="A1368" s="58">
        <v>46023.0</v>
      </c>
      <c r="B1368" s="24" t="s">
        <v>6789</v>
      </c>
      <c r="C1368" s="24" t="s">
        <v>7063</v>
      </c>
      <c r="D1368" s="59">
        <v>1.0</v>
      </c>
      <c r="E1368" s="59">
        <v>1.0</v>
      </c>
      <c r="F1368" s="59">
        <v>1.0</v>
      </c>
      <c r="G1368" s="60">
        <v>1.0</v>
      </c>
      <c r="H1368" s="60">
        <v>0.0</v>
      </c>
      <c r="I1368" s="60">
        <v>70.264141</v>
      </c>
      <c r="J1368" s="59">
        <v>1.0</v>
      </c>
      <c r="K1368" s="61">
        <f t="shared" si="1"/>
        <v>1</v>
      </c>
      <c r="L1368" s="62">
        <f t="shared" si="2"/>
        <v>1</v>
      </c>
    </row>
    <row r="1369">
      <c r="A1369" s="58">
        <v>46023.0</v>
      </c>
      <c r="B1369" s="24" t="s">
        <v>6789</v>
      </c>
      <c r="C1369" s="24" t="s">
        <v>6871</v>
      </c>
      <c r="D1369" s="59">
        <v>1.0</v>
      </c>
      <c r="E1369" s="59">
        <v>1.0</v>
      </c>
      <c r="F1369" s="59">
        <v>1.0</v>
      </c>
      <c r="G1369" s="60">
        <v>1.0</v>
      </c>
      <c r="H1369" s="60">
        <v>1.0</v>
      </c>
      <c r="I1369" s="60">
        <v>2.732535</v>
      </c>
      <c r="J1369" s="59">
        <v>1.0</v>
      </c>
      <c r="K1369" s="61">
        <f t="shared" si="1"/>
        <v>1</v>
      </c>
      <c r="L1369" s="62">
        <f t="shared" si="2"/>
        <v>1</v>
      </c>
    </row>
    <row r="1370">
      <c r="A1370" s="58">
        <v>46023.0</v>
      </c>
      <c r="B1370" s="24" t="s">
        <v>6787</v>
      </c>
      <c r="C1370" s="24" t="s">
        <v>7150</v>
      </c>
      <c r="D1370" s="59">
        <v>1.0</v>
      </c>
      <c r="E1370" s="59">
        <v>1.0</v>
      </c>
      <c r="F1370" s="59">
        <v>1.0</v>
      </c>
      <c r="G1370" s="60">
        <v>1.0</v>
      </c>
      <c r="H1370" s="60">
        <v>0.0</v>
      </c>
      <c r="I1370" s="60">
        <v>943.815605</v>
      </c>
      <c r="J1370" s="59">
        <v>4.0</v>
      </c>
      <c r="K1370" s="61">
        <f t="shared" si="1"/>
        <v>1</v>
      </c>
      <c r="L1370" s="62">
        <f t="shared" si="2"/>
        <v>4</v>
      </c>
    </row>
    <row r="1371">
      <c r="A1371" s="58">
        <v>46023.0</v>
      </c>
      <c r="B1371" s="24" t="s">
        <v>6789</v>
      </c>
      <c r="C1371" s="24" t="s">
        <v>6873</v>
      </c>
      <c r="D1371" s="59">
        <v>1.0</v>
      </c>
      <c r="E1371" s="59">
        <v>1.0</v>
      </c>
      <c r="F1371" s="59">
        <v>1.0</v>
      </c>
      <c r="G1371" s="60">
        <v>1.0</v>
      </c>
      <c r="H1371" s="60">
        <v>1.0</v>
      </c>
      <c r="I1371" s="60">
        <v>0.0</v>
      </c>
      <c r="J1371" s="59">
        <v>1.0</v>
      </c>
      <c r="K1371" s="61">
        <f t="shared" si="1"/>
        <v>1</v>
      </c>
      <c r="L1371" s="62">
        <f t="shared" si="2"/>
        <v>1</v>
      </c>
    </row>
    <row r="1372">
      <c r="A1372" s="58">
        <v>46023.0</v>
      </c>
      <c r="B1372" s="24" t="s">
        <v>155</v>
      </c>
      <c r="C1372" s="24" t="s">
        <v>7024</v>
      </c>
      <c r="D1372" s="59">
        <v>1.0</v>
      </c>
      <c r="E1372" s="59">
        <v>1.0</v>
      </c>
      <c r="F1372" s="59">
        <v>1.0</v>
      </c>
      <c r="G1372" s="60">
        <v>1.0</v>
      </c>
      <c r="H1372" s="60">
        <v>0.0</v>
      </c>
      <c r="I1372" s="60">
        <v>60.342042</v>
      </c>
      <c r="J1372" s="59">
        <v>2.0</v>
      </c>
      <c r="K1372" s="61">
        <f t="shared" si="1"/>
        <v>1</v>
      </c>
      <c r="L1372" s="62">
        <f t="shared" si="2"/>
        <v>2</v>
      </c>
    </row>
    <row r="1373">
      <c r="A1373" s="58">
        <v>46023.0</v>
      </c>
      <c r="B1373" s="24" t="s">
        <v>6789</v>
      </c>
      <c r="C1373" s="24" t="s">
        <v>7064</v>
      </c>
      <c r="D1373" s="59">
        <v>1.0</v>
      </c>
      <c r="E1373" s="59">
        <v>1.0</v>
      </c>
      <c r="F1373" s="59">
        <v>1.0</v>
      </c>
      <c r="G1373" s="60">
        <v>1.0</v>
      </c>
      <c r="H1373" s="60">
        <v>1.0</v>
      </c>
      <c r="I1373" s="60">
        <v>0.0</v>
      </c>
      <c r="J1373" s="59">
        <v>1.0</v>
      </c>
      <c r="K1373" s="61">
        <f t="shared" si="1"/>
        <v>1</v>
      </c>
      <c r="L1373" s="62">
        <f t="shared" si="2"/>
        <v>1</v>
      </c>
    </row>
    <row r="1374">
      <c r="A1374" s="58">
        <v>46023.0</v>
      </c>
      <c r="B1374" s="24" t="s">
        <v>6787</v>
      </c>
      <c r="C1374" s="24" t="s">
        <v>7065</v>
      </c>
      <c r="D1374" s="59">
        <v>1.0</v>
      </c>
      <c r="E1374" s="59">
        <v>1.0</v>
      </c>
      <c r="F1374" s="59">
        <v>1.0</v>
      </c>
      <c r="G1374" s="60">
        <v>1.0</v>
      </c>
      <c r="H1374" s="60">
        <v>1.0</v>
      </c>
      <c r="I1374" s="60">
        <v>0.0</v>
      </c>
      <c r="J1374" s="59">
        <v>1.0</v>
      </c>
      <c r="K1374" s="61">
        <f t="shared" si="1"/>
        <v>1</v>
      </c>
      <c r="L1374" s="62">
        <f t="shared" si="2"/>
        <v>1</v>
      </c>
    </row>
    <row r="1375">
      <c r="A1375" s="58">
        <v>46023.0</v>
      </c>
      <c r="B1375" s="24" t="s">
        <v>6789</v>
      </c>
      <c r="C1375" s="24" t="s">
        <v>6877</v>
      </c>
      <c r="D1375" s="59">
        <v>1.0</v>
      </c>
      <c r="E1375" s="59">
        <v>1.0</v>
      </c>
      <c r="F1375" s="59">
        <v>0.0</v>
      </c>
      <c r="G1375" s="60">
        <v>0.0</v>
      </c>
      <c r="H1375" s="60">
        <v>1.0</v>
      </c>
      <c r="I1375" s="60">
        <v>0.0</v>
      </c>
      <c r="J1375" s="59">
        <v>1.0</v>
      </c>
      <c r="K1375" s="61">
        <f t="shared" si="1"/>
        <v>0</v>
      </c>
      <c r="L1375" s="62">
        <f t="shared" si="2"/>
        <v>1</v>
      </c>
    </row>
    <row r="1376">
      <c r="A1376" s="58">
        <v>46023.0</v>
      </c>
      <c r="B1376" s="24" t="s">
        <v>6787</v>
      </c>
      <c r="C1376" s="24" t="s">
        <v>6989</v>
      </c>
      <c r="D1376" s="59">
        <v>1.0</v>
      </c>
      <c r="E1376" s="59">
        <v>1.0</v>
      </c>
      <c r="F1376" s="59">
        <v>1.0</v>
      </c>
      <c r="G1376" s="60">
        <v>1.0</v>
      </c>
      <c r="H1376" s="60">
        <v>1.0</v>
      </c>
      <c r="I1376" s="60">
        <v>3.280354</v>
      </c>
      <c r="J1376" s="59">
        <v>1.0</v>
      </c>
      <c r="K1376" s="61">
        <f t="shared" si="1"/>
        <v>1</v>
      </c>
      <c r="L1376" s="62">
        <f t="shared" si="2"/>
        <v>1</v>
      </c>
    </row>
    <row r="1377">
      <c r="A1377" s="58">
        <v>46023.0</v>
      </c>
      <c r="B1377" s="24" t="s">
        <v>6789</v>
      </c>
      <c r="C1377" s="24" t="s">
        <v>6880</v>
      </c>
      <c r="D1377" s="59">
        <v>1.0</v>
      </c>
      <c r="E1377" s="59">
        <v>1.0</v>
      </c>
      <c r="F1377" s="59">
        <v>1.0</v>
      </c>
      <c r="G1377" s="60">
        <v>1.0</v>
      </c>
      <c r="H1377" s="60">
        <v>1.0</v>
      </c>
      <c r="I1377" s="60">
        <v>9.981451</v>
      </c>
      <c r="J1377" s="59">
        <v>1.0</v>
      </c>
      <c r="K1377" s="61">
        <f t="shared" si="1"/>
        <v>1</v>
      </c>
      <c r="L1377" s="62">
        <f t="shared" si="2"/>
        <v>1</v>
      </c>
    </row>
    <row r="1378">
      <c r="A1378" s="58">
        <v>46023.0</v>
      </c>
      <c r="B1378" s="24" t="s">
        <v>155</v>
      </c>
      <c r="C1378" s="24" t="s">
        <v>6880</v>
      </c>
      <c r="D1378" s="59">
        <v>1.0</v>
      </c>
      <c r="E1378" s="59">
        <v>1.0</v>
      </c>
      <c r="F1378" s="59">
        <v>1.0</v>
      </c>
      <c r="G1378" s="60">
        <v>1.0</v>
      </c>
      <c r="H1378" s="60">
        <v>0.0</v>
      </c>
      <c r="I1378" s="60">
        <v>13.783827</v>
      </c>
      <c r="J1378" s="59">
        <v>1.0</v>
      </c>
      <c r="K1378" s="61">
        <f t="shared" si="1"/>
        <v>1</v>
      </c>
      <c r="L1378" s="62">
        <f t="shared" si="2"/>
        <v>1</v>
      </c>
    </row>
    <row r="1379">
      <c r="A1379" s="58">
        <v>46023.0</v>
      </c>
      <c r="B1379" s="24" t="s">
        <v>6789</v>
      </c>
      <c r="C1379" s="24" t="s">
        <v>7067</v>
      </c>
      <c r="D1379" s="59">
        <v>1.0</v>
      </c>
      <c r="E1379" s="59">
        <v>1.0</v>
      </c>
      <c r="F1379" s="59">
        <v>1.0</v>
      </c>
      <c r="G1379" s="60">
        <v>1.0</v>
      </c>
      <c r="H1379" s="60">
        <v>1.0</v>
      </c>
      <c r="I1379" s="60">
        <v>3.187397</v>
      </c>
      <c r="J1379" s="59">
        <v>1.0</v>
      </c>
      <c r="K1379" s="61">
        <f t="shared" si="1"/>
        <v>1</v>
      </c>
      <c r="L1379" s="62">
        <f t="shared" si="2"/>
        <v>1</v>
      </c>
    </row>
    <row r="1380">
      <c r="A1380" s="58">
        <v>46023.0</v>
      </c>
      <c r="B1380" s="24" t="s">
        <v>6789</v>
      </c>
      <c r="C1380" s="24" t="s">
        <v>6883</v>
      </c>
      <c r="D1380" s="59">
        <v>1.0</v>
      </c>
      <c r="E1380" s="59">
        <v>1.0</v>
      </c>
      <c r="F1380" s="59">
        <v>1.0</v>
      </c>
      <c r="G1380" s="60">
        <v>1.0</v>
      </c>
      <c r="H1380" s="60">
        <v>0.0</v>
      </c>
      <c r="I1380" s="60">
        <v>156.196391</v>
      </c>
      <c r="J1380" s="59">
        <v>1.0</v>
      </c>
      <c r="K1380" s="61">
        <f t="shared" si="1"/>
        <v>1</v>
      </c>
      <c r="L1380" s="62">
        <f t="shared" si="2"/>
        <v>1</v>
      </c>
    </row>
    <row r="1381">
      <c r="A1381" s="58">
        <v>46023.0</v>
      </c>
      <c r="B1381" s="24" t="s">
        <v>155</v>
      </c>
      <c r="C1381" s="24" t="s">
        <v>6835</v>
      </c>
      <c r="D1381" s="59">
        <v>1.0</v>
      </c>
      <c r="E1381" s="59">
        <v>1.0</v>
      </c>
      <c r="F1381" s="59">
        <v>1.0</v>
      </c>
      <c r="G1381" s="60">
        <v>1.0</v>
      </c>
      <c r="H1381" s="60">
        <v>1.0</v>
      </c>
      <c r="I1381" s="60">
        <v>0.0</v>
      </c>
      <c r="J1381" s="59">
        <v>1.0</v>
      </c>
      <c r="K1381" s="61">
        <f t="shared" si="1"/>
        <v>1</v>
      </c>
      <c r="L1381" s="62">
        <f t="shared" si="2"/>
        <v>1</v>
      </c>
    </row>
    <row r="1382">
      <c r="A1382" s="58">
        <v>46023.0</v>
      </c>
      <c r="B1382" s="24" t="s">
        <v>6787</v>
      </c>
      <c r="C1382" s="24" t="s">
        <v>6991</v>
      </c>
      <c r="D1382" s="59">
        <v>1.0</v>
      </c>
      <c r="E1382" s="59">
        <v>1.0</v>
      </c>
      <c r="F1382" s="59">
        <v>1.0</v>
      </c>
      <c r="G1382" s="60">
        <v>1.0</v>
      </c>
      <c r="H1382" s="60">
        <v>0.0</v>
      </c>
      <c r="I1382" s="60">
        <v>13.708403</v>
      </c>
      <c r="J1382" s="59">
        <v>1.0</v>
      </c>
      <c r="K1382" s="61">
        <f t="shared" si="1"/>
        <v>1</v>
      </c>
      <c r="L1382" s="62">
        <f t="shared" si="2"/>
        <v>1</v>
      </c>
    </row>
    <row r="1383">
      <c r="A1383" s="58">
        <v>46023.0</v>
      </c>
      <c r="B1383" s="24" t="s">
        <v>155</v>
      </c>
      <c r="C1383" s="24" t="s">
        <v>6945</v>
      </c>
      <c r="D1383" s="59">
        <v>1.0</v>
      </c>
      <c r="E1383" s="59">
        <v>1.0</v>
      </c>
      <c r="F1383" s="59">
        <v>0.0</v>
      </c>
      <c r="G1383" s="60">
        <v>1.0</v>
      </c>
      <c r="H1383" s="60">
        <v>0.0</v>
      </c>
      <c r="I1383" s="60">
        <v>318.589025</v>
      </c>
      <c r="J1383" s="59">
        <v>2.0</v>
      </c>
      <c r="K1383" s="61">
        <f t="shared" si="1"/>
        <v>0</v>
      </c>
      <c r="L1383" s="62">
        <f t="shared" si="2"/>
        <v>2</v>
      </c>
    </row>
    <row r="1384">
      <c r="A1384" s="58">
        <v>46023.0</v>
      </c>
      <c r="B1384" s="24" t="s">
        <v>7030</v>
      </c>
      <c r="C1384" s="24" t="s">
        <v>6886</v>
      </c>
      <c r="D1384" s="59">
        <v>1.0</v>
      </c>
      <c r="E1384" s="59">
        <v>1.0</v>
      </c>
      <c r="F1384" s="59">
        <v>1.0</v>
      </c>
      <c r="G1384" s="60">
        <v>1.0</v>
      </c>
      <c r="H1384" s="60">
        <v>0.0</v>
      </c>
      <c r="I1384" s="60">
        <v>15.706269</v>
      </c>
      <c r="J1384" s="59">
        <v>2.0</v>
      </c>
      <c r="K1384" s="61">
        <f t="shared" si="1"/>
        <v>1</v>
      </c>
      <c r="L1384" s="62">
        <f t="shared" si="2"/>
        <v>2</v>
      </c>
    </row>
    <row r="1385">
      <c r="A1385" s="58">
        <v>46023.0</v>
      </c>
      <c r="B1385" s="24" t="s">
        <v>6787</v>
      </c>
      <c r="C1385" s="24" t="s">
        <v>6887</v>
      </c>
      <c r="D1385" s="59">
        <v>1.0</v>
      </c>
      <c r="E1385" s="59">
        <v>1.0</v>
      </c>
      <c r="F1385" s="59">
        <v>1.0</v>
      </c>
      <c r="G1385" s="60">
        <v>1.0</v>
      </c>
      <c r="H1385" s="60">
        <v>0.0</v>
      </c>
      <c r="I1385" s="60">
        <v>33.04766</v>
      </c>
      <c r="J1385" s="59">
        <v>3.0</v>
      </c>
      <c r="K1385" s="61">
        <f t="shared" si="1"/>
        <v>1</v>
      </c>
      <c r="L1385" s="62">
        <f t="shared" si="2"/>
        <v>3</v>
      </c>
    </row>
    <row r="1386">
      <c r="A1386" s="58">
        <v>46023.0</v>
      </c>
      <c r="B1386" s="24" t="s">
        <v>6787</v>
      </c>
      <c r="C1386" s="24" t="s">
        <v>7151</v>
      </c>
      <c r="D1386" s="59">
        <v>1.0</v>
      </c>
      <c r="E1386" s="59">
        <v>1.0</v>
      </c>
      <c r="F1386" s="59">
        <v>1.0</v>
      </c>
      <c r="G1386" s="60">
        <v>1.0</v>
      </c>
      <c r="H1386" s="60">
        <v>1.0</v>
      </c>
      <c r="I1386" s="60">
        <v>4.80822</v>
      </c>
      <c r="J1386" s="59">
        <v>1.0</v>
      </c>
      <c r="K1386" s="61">
        <f t="shared" si="1"/>
        <v>1</v>
      </c>
      <c r="L1386" s="62">
        <f t="shared" si="2"/>
        <v>1</v>
      </c>
    </row>
    <row r="1387">
      <c r="A1387" s="58">
        <v>46023.0</v>
      </c>
      <c r="B1387" s="24" t="s">
        <v>6791</v>
      </c>
      <c r="C1387" s="24" t="s">
        <v>6799</v>
      </c>
      <c r="D1387" s="59">
        <v>1.0</v>
      </c>
      <c r="E1387" s="59">
        <v>1.0</v>
      </c>
      <c r="F1387" s="59">
        <v>0.0</v>
      </c>
      <c r="G1387" s="60">
        <v>0.0</v>
      </c>
      <c r="H1387" s="60">
        <v>1.0</v>
      </c>
      <c r="I1387" s="60">
        <v>0.0</v>
      </c>
      <c r="J1387" s="59">
        <v>1.0</v>
      </c>
      <c r="K1387" s="61">
        <f t="shared" si="1"/>
        <v>0</v>
      </c>
      <c r="L1387" s="62">
        <f t="shared" si="2"/>
        <v>1</v>
      </c>
    </row>
    <row r="1388">
      <c r="A1388" s="58">
        <v>46023.0</v>
      </c>
      <c r="B1388" s="24" t="s">
        <v>6789</v>
      </c>
      <c r="C1388" s="24" t="s">
        <v>6820</v>
      </c>
      <c r="D1388" s="59">
        <v>1.0</v>
      </c>
      <c r="E1388" s="59">
        <v>1.0</v>
      </c>
      <c r="F1388" s="59">
        <v>1.0</v>
      </c>
      <c r="G1388" s="60">
        <v>1.0</v>
      </c>
      <c r="H1388" s="60">
        <v>0.0</v>
      </c>
      <c r="I1388" s="60">
        <v>995.375732</v>
      </c>
      <c r="J1388" s="59">
        <v>8.0</v>
      </c>
      <c r="K1388" s="61">
        <f t="shared" si="1"/>
        <v>1</v>
      </c>
      <c r="L1388" s="62">
        <f t="shared" si="2"/>
        <v>8</v>
      </c>
    </row>
    <row r="1389">
      <c r="A1389" s="58">
        <v>46023.0</v>
      </c>
      <c r="B1389" s="24" t="s">
        <v>6787</v>
      </c>
      <c r="C1389" s="24" t="s">
        <v>7152</v>
      </c>
      <c r="D1389" s="59">
        <v>1.0</v>
      </c>
      <c r="E1389" s="59">
        <v>1.0</v>
      </c>
      <c r="F1389" s="59">
        <v>1.0</v>
      </c>
      <c r="G1389" s="60">
        <v>1.0</v>
      </c>
      <c r="H1389" s="60">
        <v>1.0</v>
      </c>
      <c r="I1389" s="60">
        <v>1.444046</v>
      </c>
      <c r="J1389" s="59">
        <v>1.0</v>
      </c>
      <c r="K1389" s="61">
        <f t="shared" si="1"/>
        <v>1</v>
      </c>
      <c r="L1389" s="62">
        <f t="shared" si="2"/>
        <v>1</v>
      </c>
    </row>
    <row r="1390">
      <c r="A1390" s="58">
        <v>46023.0</v>
      </c>
      <c r="B1390" s="24" t="s">
        <v>6794</v>
      </c>
      <c r="C1390" s="24" t="s">
        <v>7021</v>
      </c>
      <c r="D1390" s="59">
        <v>1.0</v>
      </c>
      <c r="E1390" s="59">
        <v>1.0</v>
      </c>
      <c r="F1390" s="59">
        <v>0.0</v>
      </c>
      <c r="G1390" s="60">
        <v>1.0</v>
      </c>
      <c r="H1390" s="60">
        <v>0.0</v>
      </c>
      <c r="I1390" s="60">
        <v>1845.887345</v>
      </c>
      <c r="J1390" s="59">
        <v>2.0</v>
      </c>
      <c r="K1390" s="61">
        <f t="shared" si="1"/>
        <v>0</v>
      </c>
      <c r="L1390" s="62">
        <f t="shared" si="2"/>
        <v>2</v>
      </c>
    </row>
    <row r="1391">
      <c r="A1391" s="58">
        <v>46023.0</v>
      </c>
      <c r="B1391" s="24" t="s">
        <v>6789</v>
      </c>
      <c r="C1391" s="24" t="s">
        <v>6892</v>
      </c>
      <c r="D1391" s="59">
        <v>1.0</v>
      </c>
      <c r="E1391" s="59">
        <v>1.0</v>
      </c>
      <c r="F1391" s="59">
        <v>1.0</v>
      </c>
      <c r="G1391" s="60">
        <v>1.0</v>
      </c>
      <c r="H1391" s="60">
        <v>1.0</v>
      </c>
      <c r="I1391" s="60">
        <v>0.0</v>
      </c>
      <c r="J1391" s="59">
        <v>1.0</v>
      </c>
      <c r="K1391" s="61">
        <f t="shared" si="1"/>
        <v>1</v>
      </c>
      <c r="L1391" s="62">
        <f t="shared" si="2"/>
        <v>1</v>
      </c>
    </row>
    <row r="1392">
      <c r="A1392" s="58">
        <v>46023.0</v>
      </c>
      <c r="B1392" s="24" t="s">
        <v>6794</v>
      </c>
      <c r="C1392" s="24" t="s">
        <v>6894</v>
      </c>
      <c r="D1392" s="59">
        <v>1.0</v>
      </c>
      <c r="E1392" s="59">
        <v>1.0</v>
      </c>
      <c r="F1392" s="59">
        <v>0.0</v>
      </c>
      <c r="G1392" s="60">
        <v>0.0</v>
      </c>
      <c r="H1392" s="60">
        <v>1.0</v>
      </c>
      <c r="I1392" s="60">
        <v>0.0</v>
      </c>
      <c r="J1392" s="59">
        <v>1.0</v>
      </c>
      <c r="K1392" s="61">
        <f t="shared" si="1"/>
        <v>0</v>
      </c>
      <c r="L1392" s="62">
        <f t="shared" si="2"/>
        <v>1</v>
      </c>
    </row>
    <row r="1393">
      <c r="A1393" s="58">
        <v>46023.0</v>
      </c>
      <c r="B1393" s="24" t="s">
        <v>6790</v>
      </c>
      <c r="C1393" s="24" t="s">
        <v>7032</v>
      </c>
      <c r="D1393" s="59">
        <v>1.0</v>
      </c>
      <c r="E1393" s="59">
        <v>1.0</v>
      </c>
      <c r="F1393" s="59">
        <v>0.0</v>
      </c>
      <c r="G1393" s="60">
        <v>0.0</v>
      </c>
      <c r="H1393" s="60">
        <v>1.0</v>
      </c>
      <c r="I1393" s="60">
        <v>0.0</v>
      </c>
      <c r="J1393" s="59">
        <v>1.0</v>
      </c>
      <c r="K1393" s="61">
        <f t="shared" si="1"/>
        <v>0</v>
      </c>
      <c r="L1393" s="62">
        <f t="shared" si="2"/>
        <v>1</v>
      </c>
    </row>
    <row r="1394">
      <c r="A1394" s="58">
        <v>46023.0</v>
      </c>
      <c r="B1394" s="24" t="s">
        <v>6789</v>
      </c>
      <c r="C1394" s="24" t="s">
        <v>7129</v>
      </c>
      <c r="D1394" s="59">
        <v>1.0</v>
      </c>
      <c r="E1394" s="59">
        <v>1.0</v>
      </c>
      <c r="F1394" s="59">
        <v>0.0</v>
      </c>
      <c r="G1394" s="60">
        <v>1.0</v>
      </c>
      <c r="H1394" s="60">
        <v>0.0</v>
      </c>
      <c r="I1394" s="60">
        <v>45.711876</v>
      </c>
      <c r="J1394" s="59">
        <v>4.0</v>
      </c>
      <c r="K1394" s="61">
        <f t="shared" si="1"/>
        <v>0</v>
      </c>
      <c r="L1394" s="62">
        <f t="shared" si="2"/>
        <v>4</v>
      </c>
    </row>
    <row r="1395">
      <c r="A1395" s="58">
        <v>46023.0</v>
      </c>
      <c r="B1395" s="24" t="s">
        <v>6789</v>
      </c>
      <c r="C1395" s="24" t="s">
        <v>7153</v>
      </c>
      <c r="D1395" s="59">
        <v>1.0</v>
      </c>
      <c r="E1395" s="59">
        <v>1.0</v>
      </c>
      <c r="F1395" s="59">
        <v>1.0</v>
      </c>
      <c r="G1395" s="60">
        <v>1.0</v>
      </c>
      <c r="H1395" s="60">
        <v>1.0</v>
      </c>
      <c r="I1395" s="60">
        <v>0.0</v>
      </c>
      <c r="J1395" s="59">
        <v>1.0</v>
      </c>
      <c r="K1395" s="61">
        <f t="shared" si="1"/>
        <v>1</v>
      </c>
      <c r="L1395" s="62">
        <f t="shared" si="2"/>
        <v>1</v>
      </c>
    </row>
    <row r="1396">
      <c r="A1396" s="58">
        <v>46023.0</v>
      </c>
      <c r="B1396" s="24" t="s">
        <v>6787</v>
      </c>
      <c r="C1396" s="24" t="s">
        <v>7002</v>
      </c>
      <c r="D1396" s="59">
        <v>1.0</v>
      </c>
      <c r="E1396" s="59">
        <v>1.0</v>
      </c>
      <c r="F1396" s="59">
        <v>1.0</v>
      </c>
      <c r="G1396" s="60">
        <v>1.0</v>
      </c>
      <c r="H1396" s="60">
        <v>1.0</v>
      </c>
      <c r="I1396" s="60">
        <v>0.0</v>
      </c>
      <c r="J1396" s="59">
        <v>1.0</v>
      </c>
      <c r="K1396" s="61">
        <f t="shared" si="1"/>
        <v>1</v>
      </c>
      <c r="L1396" s="62">
        <f t="shared" si="2"/>
        <v>1</v>
      </c>
    </row>
    <row r="1397">
      <c r="A1397" s="58">
        <v>46023.0</v>
      </c>
      <c r="B1397" s="24" t="s">
        <v>6787</v>
      </c>
      <c r="C1397" s="24" t="s">
        <v>6897</v>
      </c>
      <c r="D1397" s="59">
        <v>1.0</v>
      </c>
      <c r="E1397" s="59">
        <v>1.0</v>
      </c>
      <c r="F1397" s="59">
        <v>1.0</v>
      </c>
      <c r="G1397" s="60">
        <v>1.0</v>
      </c>
      <c r="H1397" s="60">
        <v>0.0</v>
      </c>
      <c r="I1397" s="60">
        <v>30.573618</v>
      </c>
      <c r="J1397" s="59">
        <v>1.0</v>
      </c>
      <c r="K1397" s="61">
        <f t="shared" si="1"/>
        <v>1</v>
      </c>
      <c r="L1397" s="62">
        <f t="shared" si="2"/>
        <v>1</v>
      </c>
    </row>
    <row r="1398">
      <c r="A1398" s="58">
        <v>46023.0</v>
      </c>
      <c r="B1398" s="24" t="s">
        <v>155</v>
      </c>
      <c r="C1398" s="24" t="s">
        <v>6806</v>
      </c>
      <c r="D1398" s="59">
        <v>1.0</v>
      </c>
      <c r="E1398" s="59">
        <v>1.0</v>
      </c>
      <c r="F1398" s="59">
        <v>1.0</v>
      </c>
      <c r="G1398" s="60">
        <v>1.0</v>
      </c>
      <c r="H1398" s="60">
        <v>0.0</v>
      </c>
      <c r="I1398" s="60">
        <v>57.205076</v>
      </c>
      <c r="J1398" s="59">
        <v>1.0</v>
      </c>
      <c r="K1398" s="61">
        <f t="shared" si="1"/>
        <v>1</v>
      </c>
      <c r="L1398" s="62">
        <f t="shared" si="2"/>
        <v>1</v>
      </c>
    </row>
    <row r="1399">
      <c r="A1399" s="58">
        <v>46023.0</v>
      </c>
      <c r="B1399" s="24" t="s">
        <v>6787</v>
      </c>
      <c r="C1399" s="24" t="s">
        <v>6842</v>
      </c>
      <c r="D1399" s="59">
        <v>1.0</v>
      </c>
      <c r="E1399" s="59">
        <v>1.0</v>
      </c>
      <c r="F1399" s="59">
        <v>1.0</v>
      </c>
      <c r="G1399" s="60">
        <v>1.0</v>
      </c>
      <c r="H1399" s="60">
        <v>1.0</v>
      </c>
      <c r="I1399" s="60">
        <v>0.0</v>
      </c>
      <c r="J1399" s="59">
        <v>1.0</v>
      </c>
      <c r="K1399" s="61">
        <f t="shared" si="1"/>
        <v>1</v>
      </c>
      <c r="L1399" s="62">
        <f t="shared" si="2"/>
        <v>1</v>
      </c>
    </row>
    <row r="1400">
      <c r="A1400" s="58">
        <v>46023.0</v>
      </c>
      <c r="B1400" s="24" t="s">
        <v>6787</v>
      </c>
      <c r="C1400" s="24" t="s">
        <v>7154</v>
      </c>
      <c r="D1400" s="59">
        <v>1.0</v>
      </c>
      <c r="E1400" s="59">
        <v>1.0</v>
      </c>
      <c r="F1400" s="59">
        <v>1.0</v>
      </c>
      <c r="G1400" s="60">
        <v>1.0</v>
      </c>
      <c r="H1400" s="60">
        <v>1.0</v>
      </c>
      <c r="I1400" s="60">
        <v>0.0</v>
      </c>
      <c r="J1400" s="59">
        <v>1.0</v>
      </c>
      <c r="K1400" s="61">
        <f t="shared" si="1"/>
        <v>1</v>
      </c>
      <c r="L1400" s="62">
        <f t="shared" si="2"/>
        <v>1</v>
      </c>
    </row>
    <row r="1401">
      <c r="A1401" s="58">
        <v>46023.0</v>
      </c>
      <c r="B1401" s="24" t="s">
        <v>6787</v>
      </c>
      <c r="C1401" s="24" t="s">
        <v>7155</v>
      </c>
      <c r="D1401" s="59">
        <v>1.0</v>
      </c>
      <c r="E1401" s="59">
        <v>1.0</v>
      </c>
      <c r="F1401" s="59">
        <v>1.0</v>
      </c>
      <c r="G1401" s="60">
        <v>1.0</v>
      </c>
      <c r="H1401" s="60">
        <v>1.0</v>
      </c>
      <c r="I1401" s="60">
        <v>4.886662</v>
      </c>
      <c r="J1401" s="59">
        <v>1.0</v>
      </c>
      <c r="K1401" s="61">
        <f t="shared" si="1"/>
        <v>1</v>
      </c>
      <c r="L1401" s="62">
        <f t="shared" si="2"/>
        <v>1</v>
      </c>
    </row>
    <row r="1402">
      <c r="A1402" s="58">
        <v>46023.0</v>
      </c>
      <c r="B1402" s="24" t="s">
        <v>6789</v>
      </c>
      <c r="C1402" s="24" t="s">
        <v>7006</v>
      </c>
      <c r="D1402" s="59">
        <v>1.0</v>
      </c>
      <c r="E1402" s="59">
        <v>1.0</v>
      </c>
      <c r="F1402" s="59">
        <v>1.0</v>
      </c>
      <c r="G1402" s="60">
        <v>1.0</v>
      </c>
      <c r="H1402" s="60">
        <v>0.0</v>
      </c>
      <c r="I1402" s="60">
        <v>409.240996</v>
      </c>
      <c r="J1402" s="59">
        <v>1.0</v>
      </c>
      <c r="K1402" s="61">
        <f t="shared" si="1"/>
        <v>1</v>
      </c>
      <c r="L1402" s="62">
        <f t="shared" si="2"/>
        <v>1</v>
      </c>
    </row>
    <row r="1403">
      <c r="A1403" s="58">
        <v>46023.0</v>
      </c>
      <c r="B1403" s="24" t="s">
        <v>6787</v>
      </c>
      <c r="C1403" s="24" t="s">
        <v>6900</v>
      </c>
      <c r="D1403" s="59">
        <v>1.0</v>
      </c>
      <c r="E1403" s="59">
        <v>1.0</v>
      </c>
      <c r="F1403" s="59">
        <v>1.0</v>
      </c>
      <c r="G1403" s="60">
        <v>1.0</v>
      </c>
      <c r="H1403" s="60">
        <v>1.0</v>
      </c>
      <c r="I1403" s="60">
        <v>0.0</v>
      </c>
      <c r="J1403" s="59">
        <v>1.0</v>
      </c>
      <c r="K1403" s="61">
        <f t="shared" si="1"/>
        <v>1</v>
      </c>
      <c r="L1403" s="62">
        <f t="shared" si="2"/>
        <v>1</v>
      </c>
    </row>
    <row r="1404">
      <c r="A1404" s="58">
        <v>46023.0</v>
      </c>
      <c r="B1404" s="24" t="s">
        <v>155</v>
      </c>
      <c r="C1404" s="24" t="s">
        <v>7079</v>
      </c>
      <c r="D1404" s="59">
        <v>1.0</v>
      </c>
      <c r="E1404" s="59">
        <v>1.0</v>
      </c>
      <c r="F1404" s="59">
        <v>1.0</v>
      </c>
      <c r="G1404" s="60">
        <v>1.0</v>
      </c>
      <c r="H1404" s="60">
        <v>0.0</v>
      </c>
      <c r="I1404" s="60">
        <v>81.963808</v>
      </c>
      <c r="J1404" s="59">
        <v>1.0</v>
      </c>
      <c r="K1404" s="61">
        <f t="shared" si="1"/>
        <v>1</v>
      </c>
      <c r="L1404" s="62">
        <f t="shared" si="2"/>
        <v>1</v>
      </c>
    </row>
    <row r="1405">
      <c r="A1405" s="58">
        <v>46023.0</v>
      </c>
      <c r="B1405" s="24" t="s">
        <v>155</v>
      </c>
      <c r="C1405" s="24" t="s">
        <v>6903</v>
      </c>
      <c r="D1405" s="59">
        <v>1.0</v>
      </c>
      <c r="E1405" s="59">
        <v>1.0</v>
      </c>
      <c r="F1405" s="59">
        <v>1.0</v>
      </c>
      <c r="G1405" s="60">
        <v>1.0</v>
      </c>
      <c r="H1405" s="60">
        <v>1.0</v>
      </c>
      <c r="I1405" s="60">
        <v>0.0</v>
      </c>
      <c r="J1405" s="59">
        <v>1.0</v>
      </c>
      <c r="K1405" s="61">
        <f t="shared" si="1"/>
        <v>1</v>
      </c>
      <c r="L1405" s="62">
        <f t="shared" si="2"/>
        <v>1</v>
      </c>
    </row>
    <row r="1406">
      <c r="A1406" s="58">
        <v>46023.0</v>
      </c>
      <c r="B1406" s="24" t="s">
        <v>6790</v>
      </c>
      <c r="C1406" s="24" t="s">
        <v>6796</v>
      </c>
      <c r="D1406" s="59">
        <v>1.0</v>
      </c>
      <c r="E1406" s="59">
        <v>1.0</v>
      </c>
      <c r="F1406" s="59">
        <v>1.0</v>
      </c>
      <c r="G1406" s="60">
        <v>1.0</v>
      </c>
      <c r="H1406" s="60">
        <v>1.0</v>
      </c>
      <c r="I1406" s="60">
        <v>0.0</v>
      </c>
      <c r="J1406" s="59">
        <v>1.0</v>
      </c>
      <c r="K1406" s="61">
        <f t="shared" si="1"/>
        <v>1</v>
      </c>
      <c r="L1406" s="62">
        <f t="shared" si="2"/>
        <v>1</v>
      </c>
    </row>
    <row r="1407">
      <c r="A1407" s="58">
        <v>46023.0</v>
      </c>
      <c r="B1407" s="24" t="s">
        <v>6794</v>
      </c>
      <c r="C1407" s="24" t="s">
        <v>7033</v>
      </c>
      <c r="D1407" s="59">
        <v>1.0</v>
      </c>
      <c r="E1407" s="59">
        <v>1.0</v>
      </c>
      <c r="F1407" s="59">
        <v>0.0</v>
      </c>
      <c r="G1407" s="60">
        <v>1.0</v>
      </c>
      <c r="H1407" s="60">
        <v>0.0</v>
      </c>
      <c r="I1407" s="60">
        <v>239.426497</v>
      </c>
      <c r="J1407" s="59">
        <v>4.0</v>
      </c>
      <c r="K1407" s="61">
        <f t="shared" si="1"/>
        <v>0</v>
      </c>
      <c r="L1407" s="62">
        <f t="shared" si="2"/>
        <v>4</v>
      </c>
    </row>
    <row r="1408">
      <c r="A1408" s="58">
        <v>46023.0</v>
      </c>
      <c r="B1408" s="24" t="s">
        <v>155</v>
      </c>
      <c r="C1408" s="24" t="s">
        <v>7033</v>
      </c>
      <c r="D1408" s="59">
        <v>1.0</v>
      </c>
      <c r="E1408" s="59">
        <v>1.0</v>
      </c>
      <c r="F1408" s="59">
        <v>1.0</v>
      </c>
      <c r="G1408" s="60">
        <v>1.0</v>
      </c>
      <c r="H1408" s="60">
        <v>0.0</v>
      </c>
      <c r="I1408" s="60">
        <v>206.516231</v>
      </c>
      <c r="J1408" s="59">
        <v>1.0</v>
      </c>
      <c r="K1408" s="61">
        <f t="shared" si="1"/>
        <v>1</v>
      </c>
      <c r="L1408" s="62">
        <f t="shared" si="2"/>
        <v>1</v>
      </c>
    </row>
    <row r="1409">
      <c r="A1409" s="58">
        <v>46023.0</v>
      </c>
      <c r="B1409" s="24" t="s">
        <v>155</v>
      </c>
      <c r="C1409" s="24" t="s">
        <v>7009</v>
      </c>
      <c r="D1409" s="59">
        <v>1.0</v>
      </c>
      <c r="E1409" s="59">
        <v>1.0</v>
      </c>
      <c r="F1409" s="59">
        <v>1.0</v>
      </c>
      <c r="G1409" s="60">
        <v>1.0</v>
      </c>
      <c r="H1409" s="60">
        <v>1.0</v>
      </c>
      <c r="I1409" s="60">
        <v>0.0</v>
      </c>
      <c r="J1409" s="59">
        <v>1.0</v>
      </c>
      <c r="K1409" s="61">
        <f t="shared" si="1"/>
        <v>1</v>
      </c>
      <c r="L1409" s="62">
        <f t="shared" si="2"/>
        <v>1</v>
      </c>
    </row>
    <row r="1410">
      <c r="A1410" s="58">
        <v>46023.0</v>
      </c>
      <c r="B1410" s="24" t="s">
        <v>6789</v>
      </c>
      <c r="C1410" s="24" t="s">
        <v>7156</v>
      </c>
      <c r="D1410" s="59">
        <v>1.0</v>
      </c>
      <c r="E1410" s="59">
        <v>1.0</v>
      </c>
      <c r="F1410" s="59">
        <v>0.0</v>
      </c>
      <c r="G1410" s="60">
        <v>1.0</v>
      </c>
      <c r="H1410" s="60">
        <v>1.0</v>
      </c>
      <c r="I1410" s="60">
        <v>0.894736</v>
      </c>
      <c r="J1410" s="59">
        <v>1.0</v>
      </c>
      <c r="K1410" s="61">
        <f t="shared" si="1"/>
        <v>0</v>
      </c>
      <c r="L1410" s="62">
        <f t="shared" si="2"/>
        <v>1</v>
      </c>
    </row>
    <row r="1411">
      <c r="A1411" s="58">
        <v>46023.0</v>
      </c>
      <c r="B1411" s="24" t="s">
        <v>155</v>
      </c>
      <c r="C1411" s="24" t="s">
        <v>7120</v>
      </c>
      <c r="D1411" s="59">
        <v>1.0</v>
      </c>
      <c r="E1411" s="59">
        <v>1.0</v>
      </c>
      <c r="F1411" s="59">
        <v>0.0</v>
      </c>
      <c r="G1411" s="60">
        <v>0.0</v>
      </c>
      <c r="H1411" s="60">
        <v>1.0</v>
      </c>
      <c r="I1411" s="60">
        <v>0.0</v>
      </c>
      <c r="J1411" s="59">
        <v>1.0</v>
      </c>
      <c r="K1411" s="61">
        <f t="shared" si="1"/>
        <v>0</v>
      </c>
      <c r="L1411" s="62">
        <f t="shared" si="2"/>
        <v>1</v>
      </c>
    </row>
    <row r="1412">
      <c r="A1412" s="58">
        <v>46023.0</v>
      </c>
      <c r="B1412" s="24" t="s">
        <v>6787</v>
      </c>
      <c r="C1412" s="24" t="s">
        <v>7157</v>
      </c>
      <c r="D1412" s="59">
        <v>1.0</v>
      </c>
      <c r="E1412" s="59">
        <v>1.0</v>
      </c>
      <c r="F1412" s="59">
        <v>0.0</v>
      </c>
      <c r="G1412" s="60">
        <v>0.0</v>
      </c>
      <c r="H1412" s="60">
        <v>1.0</v>
      </c>
      <c r="I1412" s="60">
        <v>0.0</v>
      </c>
      <c r="J1412" s="59">
        <v>1.0</v>
      </c>
      <c r="K1412" s="61">
        <f t="shared" si="1"/>
        <v>0</v>
      </c>
      <c r="L1412" s="62">
        <f t="shared" si="2"/>
        <v>1</v>
      </c>
    </row>
    <row r="1413">
      <c r="A1413" s="58">
        <v>46023.0</v>
      </c>
      <c r="B1413" s="24" t="s">
        <v>155</v>
      </c>
      <c r="C1413" s="24" t="s">
        <v>7157</v>
      </c>
      <c r="D1413" s="59">
        <v>1.0</v>
      </c>
      <c r="E1413" s="59">
        <v>1.0</v>
      </c>
      <c r="F1413" s="59">
        <v>0.0</v>
      </c>
      <c r="G1413" s="60">
        <v>1.0</v>
      </c>
      <c r="H1413" s="60">
        <v>0.0</v>
      </c>
      <c r="I1413" s="60">
        <v>1429.857005</v>
      </c>
      <c r="J1413" s="59">
        <v>1.0</v>
      </c>
      <c r="K1413" s="61">
        <f t="shared" si="1"/>
        <v>0</v>
      </c>
      <c r="L1413" s="62">
        <f t="shared" si="2"/>
        <v>1</v>
      </c>
    </row>
    <row r="1414">
      <c r="A1414" s="58">
        <v>46023.0</v>
      </c>
      <c r="B1414" s="24" t="s">
        <v>6787</v>
      </c>
      <c r="C1414" s="24" t="s">
        <v>7082</v>
      </c>
      <c r="D1414" s="59">
        <v>1.0</v>
      </c>
      <c r="E1414" s="59">
        <v>1.0</v>
      </c>
      <c r="F1414" s="59">
        <v>1.0</v>
      </c>
      <c r="G1414" s="60">
        <v>1.0</v>
      </c>
      <c r="H1414" s="60">
        <v>1.0</v>
      </c>
      <c r="I1414" s="60">
        <v>0.0</v>
      </c>
      <c r="J1414" s="59">
        <v>1.0</v>
      </c>
      <c r="K1414" s="61">
        <f t="shared" si="1"/>
        <v>1</v>
      </c>
      <c r="L1414" s="62">
        <f t="shared" si="2"/>
        <v>1</v>
      </c>
    </row>
    <row r="1415">
      <c r="A1415" s="58">
        <v>46023.0</v>
      </c>
      <c r="B1415" s="24" t="s">
        <v>6787</v>
      </c>
      <c r="C1415" s="24" t="s">
        <v>7010</v>
      </c>
      <c r="D1415" s="59">
        <v>1.0</v>
      </c>
      <c r="E1415" s="59">
        <v>1.0</v>
      </c>
      <c r="F1415" s="59">
        <v>1.0</v>
      </c>
      <c r="G1415" s="60">
        <v>1.0</v>
      </c>
      <c r="H1415" s="60">
        <v>1.0</v>
      </c>
      <c r="I1415" s="60">
        <v>4.795274</v>
      </c>
      <c r="J1415" s="59">
        <v>1.0</v>
      </c>
      <c r="K1415" s="61">
        <f t="shared" si="1"/>
        <v>1</v>
      </c>
      <c r="L1415" s="62">
        <f t="shared" si="2"/>
        <v>1</v>
      </c>
    </row>
    <row r="1416">
      <c r="A1416" s="58">
        <v>46023.0</v>
      </c>
      <c r="B1416" s="24" t="s">
        <v>6787</v>
      </c>
      <c r="C1416" s="24" t="s">
        <v>6947</v>
      </c>
      <c r="D1416" s="59">
        <v>1.0</v>
      </c>
      <c r="E1416" s="59">
        <v>1.0</v>
      </c>
      <c r="F1416" s="59">
        <v>1.0</v>
      </c>
      <c r="G1416" s="60">
        <v>1.0</v>
      </c>
      <c r="H1416" s="60">
        <v>1.0</v>
      </c>
      <c r="I1416" s="60">
        <v>0.0</v>
      </c>
      <c r="J1416" s="59">
        <v>1.0</v>
      </c>
      <c r="K1416" s="61">
        <f t="shared" si="1"/>
        <v>1</v>
      </c>
      <c r="L1416" s="62">
        <f t="shared" si="2"/>
        <v>1</v>
      </c>
    </row>
    <row r="1417">
      <c r="A1417" s="58">
        <v>46023.0</v>
      </c>
      <c r="B1417" s="24" t="s">
        <v>155</v>
      </c>
      <c r="C1417" s="24" t="s">
        <v>6947</v>
      </c>
      <c r="D1417" s="59">
        <v>1.0</v>
      </c>
      <c r="E1417" s="59">
        <v>1.0</v>
      </c>
      <c r="F1417" s="59">
        <v>0.0</v>
      </c>
      <c r="G1417" s="60">
        <v>1.0</v>
      </c>
      <c r="H1417" s="60">
        <v>0.0</v>
      </c>
      <c r="I1417" s="60">
        <v>14.863538</v>
      </c>
      <c r="J1417" s="59">
        <v>1.0</v>
      </c>
      <c r="K1417" s="61">
        <f t="shared" si="1"/>
        <v>0</v>
      </c>
      <c r="L1417" s="62">
        <f t="shared" si="2"/>
        <v>1</v>
      </c>
    </row>
    <row r="1418">
      <c r="A1418" s="58">
        <v>46023.0</v>
      </c>
      <c r="B1418" s="24" t="s">
        <v>6790</v>
      </c>
      <c r="C1418" s="24" t="s">
        <v>6808</v>
      </c>
      <c r="D1418" s="59">
        <v>1.0</v>
      </c>
      <c r="E1418" s="59">
        <v>1.0</v>
      </c>
      <c r="F1418" s="59">
        <v>1.0</v>
      </c>
      <c r="G1418" s="60">
        <v>1.0</v>
      </c>
      <c r="H1418" s="60">
        <v>1.0</v>
      </c>
      <c r="I1418" s="60">
        <v>0.0</v>
      </c>
      <c r="J1418" s="59">
        <v>1.0</v>
      </c>
      <c r="K1418" s="61">
        <f t="shared" si="1"/>
        <v>1</v>
      </c>
      <c r="L1418" s="62">
        <f t="shared" si="2"/>
        <v>1</v>
      </c>
    </row>
    <row r="1419">
      <c r="A1419" s="58">
        <v>46023.0</v>
      </c>
      <c r="B1419" s="24" t="s">
        <v>155</v>
      </c>
      <c r="C1419" s="24" t="s">
        <v>7087</v>
      </c>
      <c r="D1419" s="59">
        <v>1.0</v>
      </c>
      <c r="E1419" s="59">
        <v>2.0</v>
      </c>
      <c r="F1419" s="59">
        <v>0.0</v>
      </c>
      <c r="G1419" s="60">
        <v>2.0</v>
      </c>
      <c r="H1419" s="60">
        <v>0.5</v>
      </c>
      <c r="I1419" s="60">
        <v>173.1513675</v>
      </c>
      <c r="J1419" s="59">
        <v>3.0</v>
      </c>
      <c r="K1419" s="61">
        <f t="shared" si="1"/>
        <v>0</v>
      </c>
      <c r="L1419" s="62">
        <f t="shared" si="2"/>
        <v>1.5</v>
      </c>
    </row>
    <row r="1420">
      <c r="A1420" s="58">
        <v>46023.0</v>
      </c>
      <c r="B1420" s="24" t="s">
        <v>6789</v>
      </c>
      <c r="C1420" s="24" t="s">
        <v>7035</v>
      </c>
      <c r="D1420" s="59">
        <v>1.0</v>
      </c>
      <c r="E1420" s="59">
        <v>1.0</v>
      </c>
      <c r="F1420" s="59">
        <v>1.0</v>
      </c>
      <c r="G1420" s="60">
        <v>1.0</v>
      </c>
      <c r="H1420" s="60">
        <v>0.0</v>
      </c>
      <c r="I1420" s="60">
        <v>480.784512</v>
      </c>
      <c r="J1420" s="59">
        <v>1.0</v>
      </c>
      <c r="K1420" s="61">
        <f t="shared" si="1"/>
        <v>1</v>
      </c>
      <c r="L1420" s="62">
        <f t="shared" si="2"/>
        <v>1</v>
      </c>
    </row>
    <row r="1421">
      <c r="A1421" s="58">
        <v>46023.0</v>
      </c>
      <c r="B1421" s="24" t="s">
        <v>6789</v>
      </c>
      <c r="C1421" s="24" t="s">
        <v>7026</v>
      </c>
      <c r="D1421" s="59">
        <v>1.0</v>
      </c>
      <c r="E1421" s="59">
        <v>1.0</v>
      </c>
      <c r="F1421" s="59">
        <v>1.0</v>
      </c>
      <c r="G1421" s="60">
        <v>1.0</v>
      </c>
      <c r="H1421" s="60">
        <v>0.0</v>
      </c>
      <c r="I1421" s="60">
        <v>39.641036</v>
      </c>
      <c r="J1421" s="59">
        <v>1.0</v>
      </c>
      <c r="K1421" s="61">
        <f t="shared" si="1"/>
        <v>1</v>
      </c>
      <c r="L1421" s="62">
        <f t="shared" si="2"/>
        <v>1</v>
      </c>
    </row>
    <row r="1422">
      <c r="A1422" s="58">
        <v>46023.0</v>
      </c>
      <c r="B1422" s="24" t="s">
        <v>6789</v>
      </c>
      <c r="C1422" s="24" t="s">
        <v>7158</v>
      </c>
      <c r="D1422" s="59">
        <v>1.0</v>
      </c>
      <c r="E1422" s="59">
        <v>1.0</v>
      </c>
      <c r="F1422" s="59">
        <v>0.0</v>
      </c>
      <c r="G1422" s="60">
        <v>1.0</v>
      </c>
      <c r="H1422" s="60">
        <v>0.0</v>
      </c>
      <c r="I1422" s="60">
        <v>368.505399</v>
      </c>
      <c r="J1422" s="59">
        <v>2.0</v>
      </c>
      <c r="K1422" s="61">
        <f t="shared" si="1"/>
        <v>0</v>
      </c>
      <c r="L1422" s="62">
        <f t="shared" si="2"/>
        <v>2</v>
      </c>
    </row>
    <row r="1423">
      <c r="A1423" s="58">
        <v>46023.0</v>
      </c>
      <c r="B1423" s="24" t="s">
        <v>6787</v>
      </c>
      <c r="C1423" s="24" t="s">
        <v>7089</v>
      </c>
      <c r="D1423" s="59">
        <v>1.0</v>
      </c>
      <c r="E1423" s="59">
        <v>1.0</v>
      </c>
      <c r="F1423" s="59">
        <v>1.0</v>
      </c>
      <c r="G1423" s="60">
        <v>1.0</v>
      </c>
      <c r="H1423" s="60">
        <v>1.0</v>
      </c>
      <c r="I1423" s="60">
        <v>0.0</v>
      </c>
      <c r="J1423" s="59">
        <v>1.0</v>
      </c>
      <c r="K1423" s="61">
        <f t="shared" si="1"/>
        <v>1</v>
      </c>
      <c r="L1423" s="62">
        <f t="shared" si="2"/>
        <v>1</v>
      </c>
    </row>
    <row r="1424">
      <c r="A1424" s="58">
        <v>46023.0</v>
      </c>
      <c r="B1424" s="24" t="s">
        <v>6787</v>
      </c>
      <c r="C1424" s="24" t="s">
        <v>7090</v>
      </c>
      <c r="D1424" s="59">
        <v>1.0</v>
      </c>
      <c r="E1424" s="59">
        <v>1.0</v>
      </c>
      <c r="F1424" s="59">
        <v>1.0</v>
      </c>
      <c r="G1424" s="60">
        <v>1.0</v>
      </c>
      <c r="H1424" s="60">
        <v>1.0</v>
      </c>
      <c r="I1424" s="60">
        <v>0.0</v>
      </c>
      <c r="J1424" s="59">
        <v>1.0</v>
      </c>
      <c r="K1424" s="61">
        <f t="shared" si="1"/>
        <v>1</v>
      </c>
      <c r="L1424" s="62">
        <f t="shared" si="2"/>
        <v>1</v>
      </c>
    </row>
    <row r="1425">
      <c r="A1425" s="58">
        <v>46023.0</v>
      </c>
      <c r="B1425" s="24" t="s">
        <v>6787</v>
      </c>
      <c r="C1425" s="24" t="s">
        <v>7159</v>
      </c>
      <c r="D1425" s="59">
        <v>1.0</v>
      </c>
      <c r="E1425" s="59">
        <v>1.0</v>
      </c>
      <c r="F1425" s="59">
        <v>1.0</v>
      </c>
      <c r="G1425" s="60">
        <v>1.0</v>
      </c>
      <c r="H1425" s="60">
        <v>1.0</v>
      </c>
      <c r="I1425" s="60">
        <v>7.803863</v>
      </c>
      <c r="J1425" s="59">
        <v>1.0</v>
      </c>
      <c r="K1425" s="61">
        <f t="shared" si="1"/>
        <v>1</v>
      </c>
      <c r="L1425" s="62">
        <f t="shared" si="2"/>
        <v>1</v>
      </c>
    </row>
    <row r="1426">
      <c r="A1426" s="58">
        <v>46023.0</v>
      </c>
      <c r="B1426" s="24" t="s">
        <v>6787</v>
      </c>
      <c r="C1426" s="24" t="s">
        <v>7160</v>
      </c>
      <c r="D1426" s="59">
        <v>1.0</v>
      </c>
      <c r="E1426" s="59">
        <v>1.0</v>
      </c>
      <c r="F1426" s="59">
        <v>1.0</v>
      </c>
      <c r="G1426" s="60">
        <v>1.0</v>
      </c>
      <c r="H1426" s="60">
        <v>1.0</v>
      </c>
      <c r="I1426" s="60">
        <v>0.0</v>
      </c>
      <c r="J1426" s="59">
        <v>1.0</v>
      </c>
      <c r="K1426" s="61">
        <f t="shared" si="1"/>
        <v>1</v>
      </c>
      <c r="L1426" s="62">
        <f t="shared" si="2"/>
        <v>1</v>
      </c>
    </row>
    <row r="1427">
      <c r="A1427" s="58">
        <v>46023.0</v>
      </c>
      <c r="B1427" s="24" t="s">
        <v>6789</v>
      </c>
      <c r="C1427" s="24" t="s">
        <v>7022</v>
      </c>
      <c r="D1427" s="59">
        <v>1.0</v>
      </c>
      <c r="E1427" s="59">
        <v>1.0</v>
      </c>
      <c r="F1427" s="59">
        <v>0.0</v>
      </c>
      <c r="G1427" s="60">
        <v>1.0</v>
      </c>
      <c r="H1427" s="60">
        <v>0.0</v>
      </c>
      <c r="I1427" s="60">
        <v>41.45058</v>
      </c>
      <c r="J1427" s="59">
        <v>1.0</v>
      </c>
      <c r="K1427" s="61">
        <f t="shared" si="1"/>
        <v>0</v>
      </c>
      <c r="L1427" s="62">
        <f t="shared" si="2"/>
        <v>1</v>
      </c>
    </row>
    <row r="1428">
      <c r="A1428" s="58">
        <v>46023.0</v>
      </c>
      <c r="B1428" s="24" t="s">
        <v>6787</v>
      </c>
      <c r="C1428" s="24" t="s">
        <v>7036</v>
      </c>
      <c r="D1428" s="59">
        <v>1.0</v>
      </c>
      <c r="E1428" s="59">
        <v>1.0</v>
      </c>
      <c r="F1428" s="59">
        <v>1.0</v>
      </c>
      <c r="G1428" s="60">
        <v>1.0</v>
      </c>
      <c r="H1428" s="60">
        <v>1.0</v>
      </c>
      <c r="I1428" s="60">
        <v>0.0</v>
      </c>
      <c r="J1428" s="59">
        <v>1.0</v>
      </c>
      <c r="K1428" s="61">
        <f t="shared" si="1"/>
        <v>1</v>
      </c>
      <c r="L1428" s="62">
        <f t="shared" si="2"/>
        <v>1</v>
      </c>
    </row>
    <row r="1429">
      <c r="A1429" s="58">
        <v>46023.0</v>
      </c>
      <c r="B1429" s="24" t="s">
        <v>6787</v>
      </c>
      <c r="C1429" s="24" t="s">
        <v>7161</v>
      </c>
      <c r="D1429" s="59">
        <v>1.0</v>
      </c>
      <c r="E1429" s="59">
        <v>1.0</v>
      </c>
      <c r="F1429" s="59">
        <v>1.0</v>
      </c>
      <c r="G1429" s="60">
        <v>1.0</v>
      </c>
      <c r="H1429" s="60">
        <v>1.0</v>
      </c>
      <c r="I1429" s="60">
        <v>0.0</v>
      </c>
      <c r="J1429" s="59">
        <v>1.0</v>
      </c>
      <c r="K1429" s="61">
        <f t="shared" si="1"/>
        <v>1</v>
      </c>
      <c r="L1429" s="62">
        <f t="shared" si="2"/>
        <v>1</v>
      </c>
    </row>
    <row r="1430">
      <c r="A1430" s="58">
        <v>46023.0</v>
      </c>
      <c r="B1430" s="24" t="s">
        <v>6787</v>
      </c>
      <c r="C1430" s="24" t="s">
        <v>7162</v>
      </c>
      <c r="D1430" s="59">
        <v>1.0</v>
      </c>
      <c r="E1430" s="59">
        <v>1.0</v>
      </c>
      <c r="F1430" s="59">
        <v>1.0</v>
      </c>
      <c r="G1430" s="60">
        <v>1.0</v>
      </c>
      <c r="H1430" s="60">
        <v>1.0</v>
      </c>
      <c r="I1430" s="60">
        <v>0.0</v>
      </c>
      <c r="J1430" s="59">
        <v>1.0</v>
      </c>
      <c r="K1430" s="61">
        <f t="shared" si="1"/>
        <v>1</v>
      </c>
      <c r="L1430" s="62">
        <f t="shared" si="2"/>
        <v>1</v>
      </c>
    </row>
    <row r="1431">
      <c r="A1431" s="58">
        <v>46023.0</v>
      </c>
      <c r="B1431" s="24" t="s">
        <v>6787</v>
      </c>
      <c r="C1431" s="24" t="s">
        <v>7163</v>
      </c>
      <c r="D1431" s="59">
        <v>1.0</v>
      </c>
      <c r="E1431" s="59">
        <v>1.0</v>
      </c>
      <c r="F1431" s="59">
        <v>1.0</v>
      </c>
      <c r="G1431" s="60">
        <v>1.0</v>
      </c>
      <c r="H1431" s="60">
        <v>1.0</v>
      </c>
      <c r="I1431" s="60">
        <v>0.0</v>
      </c>
      <c r="J1431" s="59">
        <v>1.0</v>
      </c>
      <c r="K1431" s="61">
        <f t="shared" si="1"/>
        <v>1</v>
      </c>
      <c r="L1431" s="62">
        <f t="shared" si="2"/>
        <v>1</v>
      </c>
    </row>
    <row r="1432">
      <c r="A1432" s="58">
        <v>46023.0</v>
      </c>
      <c r="B1432" s="24" t="s">
        <v>6787</v>
      </c>
      <c r="C1432" s="24" t="s">
        <v>7164</v>
      </c>
      <c r="D1432" s="59">
        <v>1.0</v>
      </c>
      <c r="E1432" s="59">
        <v>1.0</v>
      </c>
      <c r="F1432" s="59">
        <v>1.0</v>
      </c>
      <c r="G1432" s="60">
        <v>1.0</v>
      </c>
      <c r="H1432" s="60">
        <v>1.0</v>
      </c>
      <c r="I1432" s="60">
        <v>0.0</v>
      </c>
      <c r="J1432" s="59">
        <v>1.0</v>
      </c>
      <c r="K1432" s="61">
        <f t="shared" si="1"/>
        <v>1</v>
      </c>
      <c r="L1432" s="62">
        <f t="shared" si="2"/>
        <v>1</v>
      </c>
    </row>
    <row r="1433">
      <c r="A1433" s="58">
        <v>46023.0</v>
      </c>
      <c r="B1433" s="24" t="s">
        <v>6787</v>
      </c>
      <c r="C1433" s="24" t="s">
        <v>7093</v>
      </c>
      <c r="D1433" s="59">
        <v>1.0</v>
      </c>
      <c r="E1433" s="59">
        <v>1.0</v>
      </c>
      <c r="F1433" s="59">
        <v>1.0</v>
      </c>
      <c r="G1433" s="60">
        <v>1.0</v>
      </c>
      <c r="H1433" s="60">
        <v>1.0</v>
      </c>
      <c r="I1433" s="60">
        <v>0.0</v>
      </c>
      <c r="J1433" s="59">
        <v>1.0</v>
      </c>
      <c r="K1433" s="61">
        <f t="shared" si="1"/>
        <v>1</v>
      </c>
      <c r="L1433" s="62">
        <f t="shared" si="2"/>
        <v>1</v>
      </c>
    </row>
    <row r="1434">
      <c r="A1434" s="58">
        <v>46023.0</v>
      </c>
      <c r="B1434" s="24" t="s">
        <v>6789</v>
      </c>
      <c r="C1434" s="24" t="s">
        <v>7094</v>
      </c>
      <c r="D1434" s="59">
        <v>1.0</v>
      </c>
      <c r="E1434" s="59">
        <v>1.0</v>
      </c>
      <c r="F1434" s="59">
        <v>1.0</v>
      </c>
      <c r="G1434" s="60">
        <v>1.0</v>
      </c>
      <c r="H1434" s="60">
        <v>1.0</v>
      </c>
      <c r="I1434" s="60">
        <v>0.0</v>
      </c>
      <c r="J1434" s="59">
        <v>1.0</v>
      </c>
      <c r="K1434" s="61">
        <f t="shared" si="1"/>
        <v>1</v>
      </c>
      <c r="L1434" s="62">
        <f t="shared" si="2"/>
        <v>1</v>
      </c>
    </row>
    <row r="1435">
      <c r="A1435" s="58">
        <v>46023.0</v>
      </c>
      <c r="B1435" s="24" t="s">
        <v>6787</v>
      </c>
      <c r="C1435" s="24" t="s">
        <v>7165</v>
      </c>
      <c r="D1435" s="59">
        <v>1.0</v>
      </c>
      <c r="E1435" s="59">
        <v>1.0</v>
      </c>
      <c r="F1435" s="59">
        <v>1.0</v>
      </c>
      <c r="G1435" s="60">
        <v>1.0</v>
      </c>
      <c r="H1435" s="60">
        <v>1.0</v>
      </c>
      <c r="I1435" s="60">
        <v>0.0</v>
      </c>
      <c r="J1435" s="59">
        <v>1.0</v>
      </c>
      <c r="K1435" s="61">
        <f t="shared" si="1"/>
        <v>1</v>
      </c>
      <c r="L1435" s="62">
        <f t="shared" si="2"/>
        <v>1</v>
      </c>
    </row>
    <row r="1436">
      <c r="A1436" s="58">
        <v>46023.0</v>
      </c>
      <c r="B1436" s="24" t="s">
        <v>6787</v>
      </c>
      <c r="C1436" s="24" t="s">
        <v>7136</v>
      </c>
      <c r="D1436" s="59">
        <v>1.0</v>
      </c>
      <c r="E1436" s="59">
        <v>1.0</v>
      </c>
      <c r="F1436" s="59">
        <v>1.0</v>
      </c>
      <c r="G1436" s="60">
        <v>1.0</v>
      </c>
      <c r="H1436" s="60">
        <v>1.0</v>
      </c>
      <c r="I1436" s="60">
        <v>0.0</v>
      </c>
      <c r="J1436" s="59">
        <v>1.0</v>
      </c>
      <c r="K1436" s="61">
        <f t="shared" si="1"/>
        <v>1</v>
      </c>
      <c r="L1436" s="62">
        <f t="shared" si="2"/>
        <v>1</v>
      </c>
    </row>
    <row r="1437">
      <c r="A1437" s="58">
        <v>46023.0</v>
      </c>
      <c r="B1437" s="24" t="s">
        <v>6789</v>
      </c>
      <c r="C1437" s="24" t="s">
        <v>7166</v>
      </c>
      <c r="D1437" s="59">
        <v>1.0</v>
      </c>
      <c r="E1437" s="59">
        <v>2.0</v>
      </c>
      <c r="F1437" s="59">
        <v>1.0</v>
      </c>
      <c r="G1437" s="60">
        <v>2.0</v>
      </c>
      <c r="H1437" s="60">
        <v>0.5</v>
      </c>
      <c r="I1437" s="60">
        <v>13.262387</v>
      </c>
      <c r="J1437" s="59">
        <v>2.0</v>
      </c>
      <c r="K1437" s="61">
        <f t="shared" si="1"/>
        <v>0.5</v>
      </c>
      <c r="L1437" s="62">
        <f t="shared" si="2"/>
        <v>1</v>
      </c>
    </row>
    <row r="1438">
      <c r="A1438" s="58">
        <v>46023.0</v>
      </c>
      <c r="B1438" s="24" t="s">
        <v>6787</v>
      </c>
      <c r="C1438" s="24" t="s">
        <v>7167</v>
      </c>
      <c r="D1438" s="59">
        <v>1.0</v>
      </c>
      <c r="E1438" s="59">
        <v>1.0</v>
      </c>
      <c r="F1438" s="59">
        <v>1.0</v>
      </c>
      <c r="G1438" s="60">
        <v>1.0</v>
      </c>
      <c r="H1438" s="60">
        <v>1.0</v>
      </c>
      <c r="I1438" s="60">
        <v>0.0</v>
      </c>
      <c r="J1438" s="59">
        <v>1.0</v>
      </c>
      <c r="K1438" s="61">
        <f t="shared" si="1"/>
        <v>1</v>
      </c>
      <c r="L1438" s="62">
        <f t="shared" si="2"/>
        <v>1</v>
      </c>
    </row>
    <row r="1439">
      <c r="A1439" s="58">
        <v>46023.0</v>
      </c>
      <c r="B1439" s="24" t="s">
        <v>6787</v>
      </c>
      <c r="C1439" s="24" t="s">
        <v>7168</v>
      </c>
      <c r="D1439" s="59">
        <v>1.0</v>
      </c>
      <c r="E1439" s="59">
        <v>1.0</v>
      </c>
      <c r="F1439" s="59">
        <v>1.0</v>
      </c>
      <c r="G1439" s="60">
        <v>1.0</v>
      </c>
      <c r="H1439" s="60">
        <v>1.0</v>
      </c>
      <c r="I1439" s="60">
        <v>0.0</v>
      </c>
      <c r="J1439" s="59">
        <v>1.0</v>
      </c>
      <c r="K1439" s="61">
        <f t="shared" si="1"/>
        <v>1</v>
      </c>
      <c r="L1439" s="62">
        <f t="shared" si="2"/>
        <v>1</v>
      </c>
    </row>
    <row r="1440">
      <c r="A1440" s="58">
        <v>46023.0</v>
      </c>
      <c r="B1440" s="24" t="s">
        <v>155</v>
      </c>
      <c r="C1440" s="24" t="s">
        <v>7096</v>
      </c>
      <c r="D1440" s="59">
        <v>1.0</v>
      </c>
      <c r="E1440" s="59">
        <v>1.0</v>
      </c>
      <c r="F1440" s="59">
        <v>1.0</v>
      </c>
      <c r="G1440" s="60">
        <v>1.0</v>
      </c>
      <c r="H1440" s="60">
        <v>0.0</v>
      </c>
      <c r="I1440" s="60">
        <v>111.558179</v>
      </c>
      <c r="J1440" s="59">
        <v>1.0</v>
      </c>
      <c r="K1440" s="61">
        <f t="shared" si="1"/>
        <v>1</v>
      </c>
      <c r="L1440" s="62">
        <f t="shared" si="2"/>
        <v>1</v>
      </c>
    </row>
    <row r="1441">
      <c r="A1441" s="58">
        <v>46023.0</v>
      </c>
      <c r="B1441" s="24" t="s">
        <v>6787</v>
      </c>
      <c r="C1441" s="24" t="s">
        <v>7097</v>
      </c>
      <c r="D1441" s="59">
        <v>1.0</v>
      </c>
      <c r="E1441" s="59">
        <v>1.0</v>
      </c>
      <c r="F1441" s="59">
        <v>1.0</v>
      </c>
      <c r="G1441" s="60">
        <v>1.0</v>
      </c>
      <c r="H1441" s="60">
        <v>0.0</v>
      </c>
      <c r="I1441" s="60">
        <v>124.807873</v>
      </c>
      <c r="J1441" s="59">
        <v>2.0</v>
      </c>
      <c r="K1441" s="61">
        <f t="shared" si="1"/>
        <v>1</v>
      </c>
      <c r="L1441" s="62">
        <f t="shared" si="2"/>
        <v>2</v>
      </c>
    </row>
    <row r="1442">
      <c r="A1442" s="58">
        <v>46023.0</v>
      </c>
      <c r="B1442" s="24" t="s">
        <v>6787</v>
      </c>
      <c r="C1442" s="24" t="s">
        <v>7169</v>
      </c>
      <c r="D1442" s="59">
        <v>1.0</v>
      </c>
      <c r="E1442" s="59">
        <v>1.0</v>
      </c>
      <c r="F1442" s="59">
        <v>1.0</v>
      </c>
      <c r="G1442" s="60">
        <v>1.0</v>
      </c>
      <c r="H1442" s="60">
        <v>1.0</v>
      </c>
      <c r="I1442" s="60">
        <v>0.0</v>
      </c>
      <c r="J1442" s="59">
        <v>1.0</v>
      </c>
      <c r="K1442" s="61">
        <f t="shared" si="1"/>
        <v>1</v>
      </c>
      <c r="L1442" s="62">
        <f t="shared" si="2"/>
        <v>1</v>
      </c>
    </row>
    <row r="1443">
      <c r="A1443" s="58">
        <v>46023.0</v>
      </c>
      <c r="B1443" s="24" t="s">
        <v>6787</v>
      </c>
      <c r="C1443" s="24" t="s">
        <v>7099</v>
      </c>
      <c r="D1443" s="59">
        <v>1.0</v>
      </c>
      <c r="E1443" s="59">
        <v>1.0</v>
      </c>
      <c r="F1443" s="59">
        <v>1.0</v>
      </c>
      <c r="G1443" s="60">
        <v>1.0</v>
      </c>
      <c r="H1443" s="60">
        <v>1.0</v>
      </c>
      <c r="I1443" s="60">
        <v>6.497602</v>
      </c>
      <c r="J1443" s="59">
        <v>1.0</v>
      </c>
      <c r="K1443" s="61">
        <f t="shared" si="1"/>
        <v>1</v>
      </c>
      <c r="L1443" s="62">
        <f t="shared" si="2"/>
        <v>1</v>
      </c>
    </row>
    <row r="1444">
      <c r="A1444" s="58">
        <v>46023.0</v>
      </c>
      <c r="B1444" s="24" t="s">
        <v>6787</v>
      </c>
      <c r="C1444" s="24" t="s">
        <v>7170</v>
      </c>
      <c r="D1444" s="59">
        <v>1.0</v>
      </c>
      <c r="E1444" s="59">
        <v>1.0</v>
      </c>
      <c r="F1444" s="59">
        <v>1.0</v>
      </c>
      <c r="G1444" s="60">
        <v>1.0</v>
      </c>
      <c r="H1444" s="60">
        <v>1.0</v>
      </c>
      <c r="I1444" s="60">
        <v>0.0</v>
      </c>
      <c r="J1444" s="59">
        <v>1.0</v>
      </c>
      <c r="K1444" s="61">
        <f t="shared" si="1"/>
        <v>1</v>
      </c>
      <c r="L1444" s="62">
        <f t="shared" si="2"/>
        <v>1</v>
      </c>
    </row>
    <row r="1445">
      <c r="A1445" s="58">
        <v>46023.0</v>
      </c>
      <c r="B1445" s="24" t="s">
        <v>6787</v>
      </c>
      <c r="C1445" s="24" t="s">
        <v>7171</v>
      </c>
      <c r="D1445" s="59">
        <v>1.0</v>
      </c>
      <c r="E1445" s="59">
        <v>1.0</v>
      </c>
      <c r="F1445" s="59">
        <v>1.0</v>
      </c>
      <c r="G1445" s="60">
        <v>1.0</v>
      </c>
      <c r="H1445" s="60">
        <v>1.0</v>
      </c>
      <c r="I1445" s="60">
        <v>2.91825</v>
      </c>
      <c r="J1445" s="59">
        <v>1.0</v>
      </c>
      <c r="K1445" s="61">
        <f t="shared" si="1"/>
        <v>1</v>
      </c>
      <c r="L1445" s="62">
        <f t="shared" si="2"/>
        <v>1</v>
      </c>
    </row>
    <row r="1446">
      <c r="A1446" s="58">
        <v>46023.0</v>
      </c>
      <c r="B1446" s="24" t="s">
        <v>3216</v>
      </c>
      <c r="C1446" s="24" t="s">
        <v>6800</v>
      </c>
      <c r="D1446" s="59">
        <v>1.0</v>
      </c>
      <c r="E1446" s="59">
        <v>1.0</v>
      </c>
      <c r="F1446" s="59">
        <v>0.0</v>
      </c>
      <c r="G1446" s="60">
        <v>1.0</v>
      </c>
      <c r="H1446" s="60">
        <v>0.0</v>
      </c>
      <c r="I1446" s="60">
        <v>21.331757</v>
      </c>
      <c r="J1446" s="59">
        <v>2.0</v>
      </c>
      <c r="K1446" s="61">
        <f t="shared" si="1"/>
        <v>0</v>
      </c>
      <c r="L1446" s="62">
        <f t="shared" si="2"/>
        <v>2</v>
      </c>
    </row>
    <row r="1447">
      <c r="A1447" s="58">
        <v>46023.0</v>
      </c>
      <c r="B1447" s="24" t="s">
        <v>6789</v>
      </c>
      <c r="C1447" s="24" t="s">
        <v>6960</v>
      </c>
      <c r="D1447" s="59">
        <v>1.0</v>
      </c>
      <c r="E1447" s="59">
        <v>1.0</v>
      </c>
      <c r="F1447" s="59">
        <v>0.0</v>
      </c>
      <c r="G1447" s="60">
        <v>1.0</v>
      </c>
      <c r="H1447" s="60">
        <v>0.0</v>
      </c>
      <c r="I1447" s="60">
        <v>16.513446</v>
      </c>
      <c r="J1447" s="59">
        <v>4.0</v>
      </c>
      <c r="K1447" s="61">
        <f t="shared" si="1"/>
        <v>0</v>
      </c>
      <c r="L1447" s="62">
        <f t="shared" si="2"/>
        <v>4</v>
      </c>
    </row>
    <row r="1448">
      <c r="A1448" s="58">
        <v>46023.0</v>
      </c>
      <c r="B1448" s="24" t="s">
        <v>6790</v>
      </c>
      <c r="C1448" s="24" t="s">
        <v>6960</v>
      </c>
      <c r="D1448" s="59">
        <v>1.0</v>
      </c>
      <c r="E1448" s="59">
        <v>1.0</v>
      </c>
      <c r="F1448" s="59">
        <v>0.0</v>
      </c>
      <c r="G1448" s="60">
        <v>1.0</v>
      </c>
      <c r="H1448" s="60">
        <v>1.0</v>
      </c>
      <c r="I1448" s="60">
        <v>6.594457</v>
      </c>
      <c r="J1448" s="59">
        <v>1.0</v>
      </c>
      <c r="K1448" s="61">
        <f t="shared" si="1"/>
        <v>0</v>
      </c>
      <c r="L1448" s="62">
        <f t="shared" si="2"/>
        <v>1</v>
      </c>
    </row>
    <row r="1449">
      <c r="A1449" s="58">
        <v>46023.0</v>
      </c>
      <c r="B1449" s="24" t="s">
        <v>7030</v>
      </c>
      <c r="C1449" s="24" t="s">
        <v>6809</v>
      </c>
      <c r="D1449" s="59">
        <v>1.0</v>
      </c>
      <c r="E1449" s="59">
        <v>1.0</v>
      </c>
      <c r="F1449" s="59">
        <v>0.0</v>
      </c>
      <c r="G1449" s="60">
        <v>1.0</v>
      </c>
      <c r="H1449" s="60">
        <v>1.0</v>
      </c>
      <c r="I1449" s="60">
        <v>4.477598</v>
      </c>
      <c r="J1449" s="59">
        <v>1.0</v>
      </c>
      <c r="K1449" s="61">
        <f t="shared" si="1"/>
        <v>0</v>
      </c>
      <c r="L1449" s="62">
        <f t="shared" si="2"/>
        <v>1</v>
      </c>
    </row>
    <row r="1450">
      <c r="A1450" s="58">
        <v>46023.0</v>
      </c>
      <c r="B1450" s="24" t="s">
        <v>6790</v>
      </c>
      <c r="C1450" s="24" t="s">
        <v>6809</v>
      </c>
      <c r="D1450" s="59">
        <v>1.0</v>
      </c>
      <c r="E1450" s="59">
        <v>1.0</v>
      </c>
      <c r="F1450" s="59">
        <v>1.0</v>
      </c>
      <c r="G1450" s="60">
        <v>1.0</v>
      </c>
      <c r="H1450" s="60">
        <v>0.0</v>
      </c>
      <c r="I1450" s="60">
        <v>91.978346</v>
      </c>
      <c r="J1450" s="59">
        <v>1.0</v>
      </c>
      <c r="K1450" s="61">
        <f t="shared" si="1"/>
        <v>1</v>
      </c>
      <c r="L1450" s="62">
        <f t="shared" si="2"/>
        <v>1</v>
      </c>
    </row>
    <row r="1451">
      <c r="A1451" s="58">
        <v>46023.0</v>
      </c>
      <c r="B1451" s="24" t="s">
        <v>6790</v>
      </c>
      <c r="C1451" s="24" t="s">
        <v>6812</v>
      </c>
      <c r="D1451" s="59">
        <v>1.0</v>
      </c>
      <c r="E1451" s="59">
        <v>1.0</v>
      </c>
      <c r="F1451" s="59">
        <v>0.0</v>
      </c>
      <c r="G1451" s="60">
        <v>0.0</v>
      </c>
      <c r="H1451" s="60">
        <v>1.0</v>
      </c>
      <c r="I1451" s="60">
        <v>0.0</v>
      </c>
      <c r="J1451" s="59">
        <v>1.0</v>
      </c>
      <c r="K1451" s="61">
        <f t="shared" si="1"/>
        <v>0</v>
      </c>
      <c r="L1451" s="62">
        <f t="shared" si="2"/>
        <v>1</v>
      </c>
    </row>
    <row r="1452">
      <c r="A1452" s="58">
        <v>46023.0</v>
      </c>
      <c r="B1452" s="24" t="s">
        <v>6787</v>
      </c>
      <c r="C1452" s="24" t="s">
        <v>7101</v>
      </c>
      <c r="D1452" s="59">
        <v>1.0</v>
      </c>
      <c r="E1452" s="59">
        <v>1.0</v>
      </c>
      <c r="F1452" s="59">
        <v>1.0</v>
      </c>
      <c r="G1452" s="60">
        <v>1.0</v>
      </c>
      <c r="H1452" s="60">
        <v>1.0</v>
      </c>
      <c r="I1452" s="60">
        <v>0.0</v>
      </c>
      <c r="J1452" s="59">
        <v>1.0</v>
      </c>
      <c r="K1452" s="61">
        <f t="shared" si="1"/>
        <v>1</v>
      </c>
      <c r="L1452" s="62">
        <f t="shared" si="2"/>
        <v>1</v>
      </c>
    </row>
    <row r="1453">
      <c r="A1453" s="58">
        <v>46023.0</v>
      </c>
      <c r="B1453" s="24" t="s">
        <v>155</v>
      </c>
      <c r="C1453" s="24" t="s">
        <v>6908</v>
      </c>
      <c r="D1453" s="59">
        <v>1.0</v>
      </c>
      <c r="E1453" s="59">
        <v>1.0</v>
      </c>
      <c r="F1453" s="59">
        <v>0.0</v>
      </c>
      <c r="G1453" s="60">
        <v>1.0</v>
      </c>
      <c r="H1453" s="60">
        <v>1.0</v>
      </c>
      <c r="I1453" s="60">
        <v>1.688485</v>
      </c>
      <c r="J1453" s="59">
        <v>1.0</v>
      </c>
      <c r="K1453" s="61">
        <f t="shared" si="1"/>
        <v>0</v>
      </c>
      <c r="L1453" s="62">
        <f t="shared" si="2"/>
        <v>1</v>
      </c>
    </row>
    <row r="1454">
      <c r="A1454" s="58">
        <v>46023.0</v>
      </c>
      <c r="B1454" s="24" t="s">
        <v>6789</v>
      </c>
      <c r="C1454" s="24" t="s">
        <v>6850</v>
      </c>
      <c r="D1454" s="59">
        <v>1.0</v>
      </c>
      <c r="E1454" s="59">
        <v>1.0</v>
      </c>
      <c r="F1454" s="59">
        <v>0.0</v>
      </c>
      <c r="G1454" s="60">
        <v>1.0</v>
      </c>
      <c r="H1454" s="60">
        <v>0.0</v>
      </c>
      <c r="I1454" s="60">
        <v>30.33728</v>
      </c>
      <c r="J1454" s="59">
        <v>1.0</v>
      </c>
      <c r="K1454" s="61">
        <f t="shared" si="1"/>
        <v>0</v>
      </c>
      <c r="L1454" s="62">
        <f t="shared" si="2"/>
        <v>1</v>
      </c>
    </row>
    <row r="1455">
      <c r="A1455" s="58">
        <v>46023.0</v>
      </c>
      <c r="B1455" s="24" t="s">
        <v>6787</v>
      </c>
      <c r="C1455" s="24" t="s">
        <v>7172</v>
      </c>
      <c r="D1455" s="59">
        <v>1.0</v>
      </c>
      <c r="E1455" s="59">
        <v>1.0</v>
      </c>
      <c r="F1455" s="59">
        <v>1.0</v>
      </c>
      <c r="G1455" s="60">
        <v>1.0</v>
      </c>
      <c r="H1455" s="60">
        <v>1.0</v>
      </c>
      <c r="I1455" s="60">
        <v>8.18409</v>
      </c>
      <c r="J1455" s="59">
        <v>1.0</v>
      </c>
      <c r="K1455" s="61">
        <f t="shared" si="1"/>
        <v>1</v>
      </c>
      <c r="L1455" s="62">
        <f t="shared" si="2"/>
        <v>1</v>
      </c>
    </row>
    <row r="1456">
      <c r="A1456" s="58">
        <v>46023.0</v>
      </c>
      <c r="B1456" s="24" t="s">
        <v>155</v>
      </c>
      <c r="C1456" s="24" t="s">
        <v>6909</v>
      </c>
      <c r="D1456" s="59">
        <v>1.0</v>
      </c>
      <c r="E1456" s="59">
        <v>1.0</v>
      </c>
      <c r="F1456" s="59">
        <v>0.0</v>
      </c>
      <c r="G1456" s="60">
        <v>0.0</v>
      </c>
      <c r="H1456" s="60">
        <v>1.0</v>
      </c>
      <c r="I1456" s="60">
        <v>0.0</v>
      </c>
      <c r="J1456" s="59">
        <v>1.0</v>
      </c>
      <c r="K1456" s="61">
        <f t="shared" si="1"/>
        <v>0</v>
      </c>
      <c r="L1456" s="62">
        <f t="shared" si="2"/>
        <v>1</v>
      </c>
    </row>
    <row r="1457">
      <c r="A1457" s="58">
        <v>46023.0</v>
      </c>
      <c r="B1457" s="24" t="s">
        <v>6789</v>
      </c>
      <c r="C1457" s="24" t="s">
        <v>6813</v>
      </c>
      <c r="D1457" s="59">
        <v>1.0</v>
      </c>
      <c r="E1457" s="59">
        <v>1.0</v>
      </c>
      <c r="F1457" s="59">
        <v>0.0</v>
      </c>
      <c r="G1457" s="60">
        <v>1.0</v>
      </c>
      <c r="H1457" s="60">
        <v>0.0</v>
      </c>
      <c r="I1457" s="60">
        <v>11.133247</v>
      </c>
      <c r="J1457" s="59">
        <v>2.0</v>
      </c>
      <c r="K1457" s="61">
        <f t="shared" si="1"/>
        <v>0</v>
      </c>
      <c r="L1457" s="62">
        <f t="shared" si="2"/>
        <v>2</v>
      </c>
    </row>
    <row r="1458">
      <c r="A1458" s="58">
        <v>46023.0</v>
      </c>
      <c r="B1458" s="24" t="s">
        <v>6791</v>
      </c>
      <c r="C1458" s="24" t="s">
        <v>6910</v>
      </c>
      <c r="D1458" s="59">
        <v>1.0</v>
      </c>
      <c r="E1458" s="59">
        <v>1.0</v>
      </c>
      <c r="F1458" s="59">
        <v>0.0</v>
      </c>
      <c r="G1458" s="60">
        <v>1.0</v>
      </c>
      <c r="H1458" s="60">
        <v>0.0</v>
      </c>
      <c r="I1458" s="60">
        <v>17.5997</v>
      </c>
      <c r="J1458" s="59">
        <v>2.0</v>
      </c>
      <c r="K1458" s="61">
        <f t="shared" si="1"/>
        <v>0</v>
      </c>
      <c r="L1458" s="62">
        <f t="shared" si="2"/>
        <v>2</v>
      </c>
    </row>
    <row r="1459">
      <c r="A1459" s="58">
        <v>46023.0</v>
      </c>
      <c r="B1459" s="24" t="s">
        <v>155</v>
      </c>
      <c r="C1459" s="24" t="s">
        <v>6910</v>
      </c>
      <c r="D1459" s="59">
        <v>1.0</v>
      </c>
      <c r="E1459" s="59">
        <v>1.0</v>
      </c>
      <c r="F1459" s="59">
        <v>0.0</v>
      </c>
      <c r="G1459" s="60">
        <v>1.0</v>
      </c>
      <c r="H1459" s="60">
        <v>0.0</v>
      </c>
      <c r="I1459" s="60">
        <v>91.097501</v>
      </c>
      <c r="J1459" s="59">
        <v>2.0</v>
      </c>
      <c r="K1459" s="61">
        <f t="shared" si="1"/>
        <v>0</v>
      </c>
      <c r="L1459" s="62">
        <f t="shared" si="2"/>
        <v>2</v>
      </c>
    </row>
    <row r="1460">
      <c r="A1460" s="58">
        <v>46023.0</v>
      </c>
      <c r="B1460" s="24" t="s">
        <v>6791</v>
      </c>
      <c r="C1460" s="24" t="s">
        <v>7102</v>
      </c>
      <c r="D1460" s="59">
        <v>1.0</v>
      </c>
      <c r="E1460" s="59">
        <v>1.0</v>
      </c>
      <c r="F1460" s="59">
        <v>0.0</v>
      </c>
      <c r="G1460" s="60">
        <v>0.0</v>
      </c>
      <c r="H1460" s="60">
        <v>1.0</v>
      </c>
      <c r="I1460" s="60">
        <v>0.0</v>
      </c>
      <c r="J1460" s="59">
        <v>1.0</v>
      </c>
      <c r="K1460" s="61">
        <f t="shared" si="1"/>
        <v>0</v>
      </c>
      <c r="L1460" s="62">
        <f t="shared" si="2"/>
        <v>1</v>
      </c>
    </row>
    <row r="1461">
      <c r="A1461" s="58">
        <v>46023.0</v>
      </c>
      <c r="B1461" s="24" t="s">
        <v>155</v>
      </c>
      <c r="C1461" s="24" t="s">
        <v>7102</v>
      </c>
      <c r="D1461" s="59">
        <v>1.0</v>
      </c>
      <c r="E1461" s="59">
        <v>1.0</v>
      </c>
      <c r="F1461" s="59">
        <v>0.0</v>
      </c>
      <c r="G1461" s="60">
        <v>1.0</v>
      </c>
      <c r="H1461" s="60">
        <v>0.0</v>
      </c>
      <c r="I1461" s="60">
        <v>10.450089</v>
      </c>
      <c r="J1461" s="59">
        <v>1.0</v>
      </c>
      <c r="K1461" s="61">
        <f t="shared" si="1"/>
        <v>0</v>
      </c>
      <c r="L1461" s="62">
        <f t="shared" si="2"/>
        <v>1</v>
      </c>
    </row>
    <row r="1462">
      <c r="A1462" s="58">
        <v>46023.0</v>
      </c>
      <c r="B1462" s="24" t="s">
        <v>6789</v>
      </c>
      <c r="C1462" s="24" t="s">
        <v>7104</v>
      </c>
      <c r="D1462" s="59">
        <v>1.0</v>
      </c>
      <c r="E1462" s="59">
        <v>1.0</v>
      </c>
      <c r="F1462" s="59">
        <v>1.0</v>
      </c>
      <c r="G1462" s="60">
        <v>1.0</v>
      </c>
      <c r="H1462" s="60">
        <v>1.0</v>
      </c>
      <c r="I1462" s="60">
        <v>0.0</v>
      </c>
      <c r="J1462" s="59">
        <v>1.0</v>
      </c>
      <c r="K1462" s="61">
        <f t="shared" si="1"/>
        <v>1</v>
      </c>
      <c r="L1462" s="62">
        <f t="shared" si="2"/>
        <v>1</v>
      </c>
    </row>
    <row r="1463">
      <c r="A1463" s="58">
        <v>46023.0</v>
      </c>
      <c r="B1463" s="24" t="s">
        <v>6787</v>
      </c>
      <c r="C1463" s="24" t="s">
        <v>7173</v>
      </c>
      <c r="D1463" s="59">
        <v>1.0</v>
      </c>
      <c r="E1463" s="59">
        <v>1.0</v>
      </c>
      <c r="F1463" s="59">
        <v>1.0</v>
      </c>
      <c r="G1463" s="60">
        <v>1.0</v>
      </c>
      <c r="H1463" s="60">
        <v>1.0</v>
      </c>
      <c r="I1463" s="60">
        <v>0.0</v>
      </c>
      <c r="J1463" s="59">
        <v>1.0</v>
      </c>
      <c r="K1463" s="61">
        <f t="shared" si="1"/>
        <v>1</v>
      </c>
      <c r="L1463" s="62">
        <f t="shared" si="2"/>
        <v>1</v>
      </c>
    </row>
    <row r="1464">
      <c r="A1464" s="58">
        <v>46023.0</v>
      </c>
      <c r="B1464" s="24" t="s">
        <v>6789</v>
      </c>
      <c r="C1464" s="24" t="s">
        <v>7023</v>
      </c>
      <c r="D1464" s="59">
        <v>1.0</v>
      </c>
      <c r="E1464" s="59">
        <v>1.0</v>
      </c>
      <c r="F1464" s="59">
        <v>0.0</v>
      </c>
      <c r="G1464" s="60">
        <v>0.0</v>
      </c>
      <c r="H1464" s="60">
        <v>1.0</v>
      </c>
      <c r="I1464" s="60">
        <v>0.0</v>
      </c>
      <c r="J1464" s="59">
        <v>1.0</v>
      </c>
      <c r="K1464" s="61">
        <f t="shared" si="1"/>
        <v>0</v>
      </c>
      <c r="L1464" s="62">
        <f t="shared" si="2"/>
        <v>1</v>
      </c>
    </row>
    <row r="1465">
      <c r="A1465" s="58">
        <v>46023.0</v>
      </c>
      <c r="B1465" s="24" t="s">
        <v>6789</v>
      </c>
      <c r="C1465" s="24" t="s">
        <v>6912</v>
      </c>
      <c r="D1465" s="59">
        <v>1.0</v>
      </c>
      <c r="E1465" s="59">
        <v>1.0</v>
      </c>
      <c r="F1465" s="59">
        <v>0.0</v>
      </c>
      <c r="G1465" s="60">
        <v>0.0</v>
      </c>
      <c r="H1465" s="60">
        <v>1.0</v>
      </c>
      <c r="I1465" s="60">
        <v>0.0</v>
      </c>
      <c r="J1465" s="59">
        <v>1.0</v>
      </c>
      <c r="K1465" s="61">
        <f t="shared" si="1"/>
        <v>0</v>
      </c>
      <c r="L1465" s="62">
        <f t="shared" si="2"/>
        <v>1</v>
      </c>
    </row>
    <row r="1466">
      <c r="A1466" s="58">
        <v>46023.0</v>
      </c>
      <c r="B1466" s="24" t="s">
        <v>6791</v>
      </c>
      <c r="C1466" s="24" t="s">
        <v>6912</v>
      </c>
      <c r="D1466" s="59">
        <v>1.0</v>
      </c>
      <c r="E1466" s="59">
        <v>1.0</v>
      </c>
      <c r="F1466" s="59">
        <v>0.0</v>
      </c>
      <c r="G1466" s="60">
        <v>0.0</v>
      </c>
      <c r="H1466" s="60">
        <v>1.0</v>
      </c>
      <c r="I1466" s="60">
        <v>0.0</v>
      </c>
      <c r="J1466" s="59">
        <v>1.0</v>
      </c>
      <c r="K1466" s="61">
        <f t="shared" si="1"/>
        <v>0</v>
      </c>
      <c r="L1466" s="62">
        <f t="shared" si="2"/>
        <v>1</v>
      </c>
    </row>
    <row r="1467">
      <c r="A1467" s="58">
        <v>46023.0</v>
      </c>
      <c r="B1467" s="24" t="s">
        <v>6790</v>
      </c>
      <c r="C1467" s="24" t="s">
        <v>7174</v>
      </c>
      <c r="D1467" s="59">
        <v>1.0</v>
      </c>
      <c r="E1467" s="59">
        <v>2.0</v>
      </c>
      <c r="F1467" s="59">
        <v>0.0</v>
      </c>
      <c r="G1467" s="60">
        <v>0.0</v>
      </c>
      <c r="H1467" s="60">
        <v>1.0</v>
      </c>
      <c r="I1467" s="60">
        <v>0.0</v>
      </c>
      <c r="J1467" s="59">
        <v>2.0</v>
      </c>
      <c r="K1467" s="61">
        <f t="shared" si="1"/>
        <v>0</v>
      </c>
      <c r="L1467" s="62">
        <f t="shared" si="2"/>
        <v>1</v>
      </c>
    </row>
    <row r="1468">
      <c r="A1468" s="58">
        <v>46023.0</v>
      </c>
      <c r="B1468" s="24" t="s">
        <v>6787</v>
      </c>
      <c r="C1468" s="24" t="s">
        <v>7175</v>
      </c>
      <c r="D1468" s="59">
        <v>1.0</v>
      </c>
      <c r="E1468" s="59">
        <v>1.0</v>
      </c>
      <c r="F1468" s="59">
        <v>1.0</v>
      </c>
      <c r="G1468" s="60">
        <v>1.0</v>
      </c>
      <c r="H1468" s="60">
        <v>1.0</v>
      </c>
      <c r="I1468" s="60">
        <v>0.0</v>
      </c>
      <c r="J1468" s="59">
        <v>1.0</v>
      </c>
      <c r="K1468" s="61">
        <f t="shared" si="1"/>
        <v>1</v>
      </c>
      <c r="L1468" s="62">
        <f t="shared" si="2"/>
        <v>1</v>
      </c>
    </row>
    <row r="1469">
      <c r="A1469" s="58">
        <v>46023.0</v>
      </c>
      <c r="B1469" s="24" t="s">
        <v>6787</v>
      </c>
      <c r="C1469" s="24" t="s">
        <v>7046</v>
      </c>
      <c r="D1469" s="59">
        <v>1.0</v>
      </c>
      <c r="E1469" s="59">
        <v>1.0</v>
      </c>
      <c r="F1469" s="59">
        <v>1.0</v>
      </c>
      <c r="G1469" s="60">
        <v>1.0</v>
      </c>
      <c r="H1469" s="60">
        <v>1.0</v>
      </c>
      <c r="I1469" s="60">
        <v>5.060315</v>
      </c>
      <c r="J1469" s="59">
        <v>1.0</v>
      </c>
      <c r="K1469" s="61">
        <f t="shared" si="1"/>
        <v>1</v>
      </c>
      <c r="L1469" s="62">
        <f t="shared" si="2"/>
        <v>1</v>
      </c>
    </row>
    <row r="1470">
      <c r="A1470" s="58">
        <v>46023.0</v>
      </c>
      <c r="B1470" s="24" t="s">
        <v>6787</v>
      </c>
      <c r="C1470" s="24" t="s">
        <v>7176</v>
      </c>
      <c r="D1470" s="59">
        <v>1.0</v>
      </c>
      <c r="E1470" s="59">
        <v>1.0</v>
      </c>
      <c r="F1470" s="59">
        <v>1.0</v>
      </c>
      <c r="G1470" s="60">
        <v>1.0</v>
      </c>
      <c r="H1470" s="60">
        <v>1.0</v>
      </c>
      <c r="I1470" s="60">
        <v>0.0</v>
      </c>
      <c r="J1470" s="59">
        <v>1.0</v>
      </c>
      <c r="K1470" s="61">
        <f t="shared" si="1"/>
        <v>1</v>
      </c>
      <c r="L1470" s="62">
        <f t="shared" si="2"/>
        <v>1</v>
      </c>
    </row>
    <row r="1471">
      <c r="A1471" s="58">
        <v>46023.0</v>
      </c>
      <c r="B1471" s="24" t="s">
        <v>6787</v>
      </c>
      <c r="C1471" s="24" t="s">
        <v>7177</v>
      </c>
      <c r="D1471" s="59">
        <v>1.0</v>
      </c>
      <c r="E1471" s="59">
        <v>1.0</v>
      </c>
      <c r="F1471" s="59">
        <v>1.0</v>
      </c>
      <c r="G1471" s="60">
        <v>1.0</v>
      </c>
      <c r="H1471" s="60">
        <v>1.0</v>
      </c>
      <c r="I1471" s="60">
        <v>0.0</v>
      </c>
      <c r="J1471" s="59">
        <v>1.0</v>
      </c>
      <c r="K1471" s="61">
        <f t="shared" si="1"/>
        <v>1</v>
      </c>
      <c r="L1471" s="62">
        <f t="shared" si="2"/>
        <v>1</v>
      </c>
    </row>
    <row r="1472">
      <c r="A1472" s="58">
        <v>46023.0</v>
      </c>
      <c r="B1472" s="24" t="s">
        <v>6787</v>
      </c>
      <c r="C1472" s="24" t="s">
        <v>7178</v>
      </c>
      <c r="D1472" s="59">
        <v>1.0</v>
      </c>
      <c r="E1472" s="59">
        <v>1.0</v>
      </c>
      <c r="F1472" s="59">
        <v>1.0</v>
      </c>
      <c r="G1472" s="60">
        <v>1.0</v>
      </c>
      <c r="H1472" s="60">
        <v>1.0</v>
      </c>
      <c r="I1472" s="60">
        <v>5.413366</v>
      </c>
      <c r="J1472" s="59">
        <v>1.0</v>
      </c>
      <c r="K1472" s="61">
        <f t="shared" si="1"/>
        <v>1</v>
      </c>
      <c r="L1472" s="62">
        <f t="shared" si="2"/>
        <v>1</v>
      </c>
    </row>
    <row r="1473">
      <c r="A1473" s="58">
        <v>46023.0</v>
      </c>
      <c r="B1473" s="24" t="s">
        <v>6794</v>
      </c>
      <c r="C1473" s="24" t="s">
        <v>7106</v>
      </c>
      <c r="D1473" s="59">
        <v>1.0</v>
      </c>
      <c r="E1473" s="59">
        <v>1.0</v>
      </c>
      <c r="F1473" s="59">
        <v>0.0</v>
      </c>
      <c r="G1473" s="60">
        <v>0.0</v>
      </c>
      <c r="H1473" s="60">
        <v>1.0</v>
      </c>
      <c r="I1473" s="60">
        <v>0.0</v>
      </c>
      <c r="J1473" s="59">
        <v>1.0</v>
      </c>
      <c r="K1473" s="61">
        <f t="shared" si="1"/>
        <v>0</v>
      </c>
      <c r="L1473" s="62">
        <f t="shared" si="2"/>
        <v>1</v>
      </c>
    </row>
    <row r="1474">
      <c r="A1474" s="58">
        <v>46023.0</v>
      </c>
      <c r="B1474" s="24" t="s">
        <v>155</v>
      </c>
      <c r="C1474" s="24" t="s">
        <v>6826</v>
      </c>
      <c r="D1474" s="59">
        <v>1.0</v>
      </c>
      <c r="E1474" s="59">
        <v>1.0</v>
      </c>
      <c r="F1474" s="59">
        <v>0.0</v>
      </c>
      <c r="G1474" s="60">
        <v>1.0</v>
      </c>
      <c r="H1474" s="60">
        <v>0.0</v>
      </c>
      <c r="I1474" s="60">
        <v>35.017286</v>
      </c>
      <c r="J1474" s="59">
        <v>1.0</v>
      </c>
      <c r="K1474" s="61">
        <f t="shared" si="1"/>
        <v>0</v>
      </c>
      <c r="L1474" s="62">
        <f t="shared" si="2"/>
        <v>1</v>
      </c>
    </row>
    <row r="1475">
      <c r="A1475" s="58">
        <v>46023.0</v>
      </c>
      <c r="B1475" s="24" t="s">
        <v>6787</v>
      </c>
      <c r="C1475" s="24" t="s">
        <v>7179</v>
      </c>
      <c r="D1475" s="59">
        <v>1.0</v>
      </c>
      <c r="E1475" s="59">
        <v>1.0</v>
      </c>
      <c r="F1475" s="59">
        <v>1.0</v>
      </c>
      <c r="G1475" s="60">
        <v>1.0</v>
      </c>
      <c r="H1475" s="60">
        <v>0.0</v>
      </c>
      <c r="I1475" s="60">
        <v>72.647224</v>
      </c>
      <c r="J1475" s="59">
        <v>7.0</v>
      </c>
      <c r="K1475" s="61">
        <f t="shared" si="1"/>
        <v>1</v>
      </c>
      <c r="L1475" s="62">
        <f t="shared" si="2"/>
        <v>7</v>
      </c>
    </row>
    <row r="1476">
      <c r="A1476" s="58">
        <v>46023.0</v>
      </c>
      <c r="B1476" s="24" t="s">
        <v>6787</v>
      </c>
      <c r="C1476" s="24" t="s">
        <v>7180</v>
      </c>
      <c r="D1476" s="59">
        <v>1.0</v>
      </c>
      <c r="E1476" s="59">
        <v>1.0</v>
      </c>
      <c r="F1476" s="59">
        <v>1.0</v>
      </c>
      <c r="G1476" s="60">
        <v>1.0</v>
      </c>
      <c r="H1476" s="60">
        <v>1.0</v>
      </c>
      <c r="I1476" s="60">
        <v>0.0</v>
      </c>
      <c r="J1476" s="59">
        <v>1.0</v>
      </c>
      <c r="K1476" s="61">
        <f t="shared" si="1"/>
        <v>1</v>
      </c>
      <c r="L1476" s="62">
        <f t="shared" si="2"/>
        <v>1</v>
      </c>
    </row>
    <row r="1477">
      <c r="A1477" s="58">
        <v>46023.0</v>
      </c>
      <c r="B1477" s="24" t="s">
        <v>155</v>
      </c>
      <c r="C1477" s="24" t="s">
        <v>6815</v>
      </c>
      <c r="D1477" s="59">
        <v>1.0</v>
      </c>
      <c r="E1477" s="59">
        <v>1.0</v>
      </c>
      <c r="F1477" s="59">
        <v>1.0</v>
      </c>
      <c r="G1477" s="60">
        <v>1.0</v>
      </c>
      <c r="H1477" s="60">
        <v>0.0</v>
      </c>
      <c r="I1477" s="60">
        <v>1311.098606</v>
      </c>
      <c r="J1477" s="59">
        <v>3.0</v>
      </c>
      <c r="K1477" s="61">
        <f t="shared" si="1"/>
        <v>1</v>
      </c>
      <c r="L1477" s="62">
        <f t="shared" si="2"/>
        <v>3</v>
      </c>
    </row>
    <row r="1478">
      <c r="A1478" s="58">
        <v>46023.0</v>
      </c>
      <c r="B1478" s="24" t="s">
        <v>6787</v>
      </c>
      <c r="C1478" s="24" t="s">
        <v>7107</v>
      </c>
      <c r="D1478" s="59">
        <v>1.0</v>
      </c>
      <c r="E1478" s="59">
        <v>1.0</v>
      </c>
      <c r="F1478" s="59">
        <v>1.0</v>
      </c>
      <c r="G1478" s="60">
        <v>1.0</v>
      </c>
      <c r="H1478" s="60">
        <v>1.0</v>
      </c>
      <c r="I1478" s="60">
        <v>0.0</v>
      </c>
      <c r="J1478" s="59">
        <v>1.0</v>
      </c>
      <c r="K1478" s="61">
        <f t="shared" si="1"/>
        <v>1</v>
      </c>
      <c r="L1478" s="62">
        <f t="shared" si="2"/>
        <v>1</v>
      </c>
    </row>
    <row r="1479">
      <c r="A1479" s="58">
        <v>46023.0</v>
      </c>
      <c r="B1479" s="24" t="s">
        <v>6787</v>
      </c>
      <c r="C1479" s="24" t="s">
        <v>7108</v>
      </c>
      <c r="D1479" s="59">
        <v>1.0</v>
      </c>
      <c r="E1479" s="59">
        <v>1.0</v>
      </c>
      <c r="F1479" s="59">
        <v>1.0</v>
      </c>
      <c r="G1479" s="60">
        <v>1.0</v>
      </c>
      <c r="H1479" s="60">
        <v>1.0</v>
      </c>
      <c r="I1479" s="60">
        <v>0.0</v>
      </c>
      <c r="J1479" s="59">
        <v>1.0</v>
      </c>
      <c r="K1479" s="61">
        <f t="shared" si="1"/>
        <v>1</v>
      </c>
      <c r="L1479" s="62">
        <f t="shared" si="2"/>
        <v>1</v>
      </c>
    </row>
    <row r="1480">
      <c r="A1480" s="58">
        <v>46023.0</v>
      </c>
      <c r="B1480" s="24" t="s">
        <v>6794</v>
      </c>
      <c r="C1480" s="24" t="s">
        <v>7108</v>
      </c>
      <c r="D1480" s="59">
        <v>1.0</v>
      </c>
      <c r="E1480" s="59">
        <v>1.0</v>
      </c>
      <c r="F1480" s="59">
        <v>0.0</v>
      </c>
      <c r="G1480" s="60">
        <v>0.0</v>
      </c>
      <c r="H1480" s="60">
        <v>1.0</v>
      </c>
      <c r="I1480" s="60">
        <v>0.0</v>
      </c>
      <c r="J1480" s="59">
        <v>1.0</v>
      </c>
      <c r="K1480" s="61">
        <f t="shared" si="1"/>
        <v>0</v>
      </c>
      <c r="L1480" s="62">
        <f t="shared" si="2"/>
        <v>1</v>
      </c>
    </row>
    <row r="1481">
      <c r="A1481" s="58">
        <v>46023.0</v>
      </c>
      <c r="B1481" s="24" t="s">
        <v>6787</v>
      </c>
      <c r="C1481" s="24" t="s">
        <v>7111</v>
      </c>
      <c r="D1481" s="59">
        <v>1.0</v>
      </c>
      <c r="E1481" s="59">
        <v>1.0</v>
      </c>
      <c r="F1481" s="59">
        <v>1.0</v>
      </c>
      <c r="G1481" s="60">
        <v>1.0</v>
      </c>
      <c r="H1481" s="60">
        <v>1.0</v>
      </c>
      <c r="I1481" s="60">
        <v>0.0</v>
      </c>
      <c r="J1481" s="59">
        <v>1.0</v>
      </c>
      <c r="K1481" s="61">
        <f t="shared" si="1"/>
        <v>1</v>
      </c>
      <c r="L1481" s="62">
        <f t="shared" si="2"/>
        <v>1</v>
      </c>
    </row>
    <row r="1482">
      <c r="A1482" s="58">
        <v>46023.0</v>
      </c>
      <c r="B1482" s="24" t="s">
        <v>6794</v>
      </c>
      <c r="C1482" s="24" t="s">
        <v>7112</v>
      </c>
      <c r="D1482" s="59">
        <v>1.0</v>
      </c>
      <c r="E1482" s="59">
        <v>3.0</v>
      </c>
      <c r="F1482" s="59">
        <v>0.0</v>
      </c>
      <c r="G1482" s="60">
        <v>0.0</v>
      </c>
      <c r="H1482" s="60">
        <v>1.0</v>
      </c>
      <c r="I1482" s="60">
        <v>0.0</v>
      </c>
      <c r="J1482" s="59">
        <v>3.0</v>
      </c>
      <c r="K1482" s="61">
        <f t="shared" si="1"/>
        <v>0</v>
      </c>
      <c r="L1482" s="62">
        <f t="shared" si="2"/>
        <v>1</v>
      </c>
    </row>
    <row r="1483">
      <c r="A1483" s="58">
        <v>46023.0</v>
      </c>
      <c r="B1483" s="24" t="s">
        <v>155</v>
      </c>
      <c r="C1483" s="24" t="s">
        <v>6920</v>
      </c>
      <c r="D1483" s="59">
        <v>1.0</v>
      </c>
      <c r="E1483" s="59">
        <v>1.0</v>
      </c>
      <c r="F1483" s="59">
        <v>1.0</v>
      </c>
      <c r="G1483" s="60">
        <v>1.0</v>
      </c>
      <c r="H1483" s="60">
        <v>1.0</v>
      </c>
      <c r="I1483" s="60">
        <v>8.119393</v>
      </c>
      <c r="J1483" s="59">
        <v>1.0</v>
      </c>
      <c r="K1483" s="61">
        <f t="shared" si="1"/>
        <v>1</v>
      </c>
      <c r="L1483" s="62">
        <f t="shared" si="2"/>
        <v>1</v>
      </c>
    </row>
    <row r="1484">
      <c r="A1484" s="58">
        <v>46023.0</v>
      </c>
      <c r="B1484" s="24" t="s">
        <v>6791</v>
      </c>
      <c r="C1484" s="24" t="s">
        <v>6853</v>
      </c>
      <c r="D1484" s="59">
        <v>1.0</v>
      </c>
      <c r="E1484" s="59">
        <v>1.0</v>
      </c>
      <c r="F1484" s="59">
        <v>0.0</v>
      </c>
      <c r="G1484" s="60">
        <v>1.0</v>
      </c>
      <c r="H1484" s="60">
        <v>1.0</v>
      </c>
      <c r="I1484" s="60">
        <v>1.074593</v>
      </c>
      <c r="J1484" s="59">
        <v>1.0</v>
      </c>
      <c r="K1484" s="61">
        <f t="shared" si="1"/>
        <v>0</v>
      </c>
      <c r="L1484" s="62">
        <f t="shared" si="2"/>
        <v>1</v>
      </c>
    </row>
    <row r="1485">
      <c r="A1485" s="58">
        <v>46023.0</v>
      </c>
      <c r="B1485" s="24" t="s">
        <v>155</v>
      </c>
      <c r="C1485" s="24" t="s">
        <v>6853</v>
      </c>
      <c r="D1485" s="59">
        <v>1.0</v>
      </c>
      <c r="E1485" s="59">
        <v>1.0</v>
      </c>
      <c r="F1485" s="59">
        <v>1.0</v>
      </c>
      <c r="G1485" s="60">
        <v>1.0</v>
      </c>
      <c r="H1485" s="60">
        <v>1.0</v>
      </c>
      <c r="I1485" s="60">
        <v>0.0</v>
      </c>
      <c r="J1485" s="59">
        <v>1.0</v>
      </c>
      <c r="K1485" s="61">
        <f t="shared" si="1"/>
        <v>1</v>
      </c>
      <c r="L1485" s="62">
        <f t="shared" si="2"/>
        <v>1</v>
      </c>
    </row>
    <row r="1486">
      <c r="A1486" s="58">
        <v>46023.0</v>
      </c>
      <c r="B1486" s="24" t="s">
        <v>6787</v>
      </c>
      <c r="C1486" s="24" t="s">
        <v>6816</v>
      </c>
      <c r="D1486" s="59">
        <v>1.0</v>
      </c>
      <c r="E1486" s="59">
        <v>1.0</v>
      </c>
      <c r="F1486" s="59">
        <v>1.0</v>
      </c>
      <c r="G1486" s="60">
        <v>1.0</v>
      </c>
      <c r="H1486" s="60">
        <v>0.0</v>
      </c>
      <c r="I1486" s="60">
        <v>30.590101</v>
      </c>
      <c r="J1486" s="59">
        <v>1.0</v>
      </c>
      <c r="K1486" s="61">
        <f t="shared" si="1"/>
        <v>1</v>
      </c>
      <c r="L1486" s="62">
        <f t="shared" si="2"/>
        <v>1</v>
      </c>
    </row>
    <row r="1487">
      <c r="A1487" s="58">
        <v>46023.0</v>
      </c>
      <c r="B1487" s="24" t="s">
        <v>7030</v>
      </c>
      <c r="C1487" s="24" t="s">
        <v>6816</v>
      </c>
      <c r="D1487" s="59">
        <v>1.0</v>
      </c>
      <c r="E1487" s="59">
        <v>1.0</v>
      </c>
      <c r="F1487" s="59">
        <v>0.0</v>
      </c>
      <c r="G1487" s="60">
        <v>1.0</v>
      </c>
      <c r="H1487" s="60">
        <v>1.0</v>
      </c>
      <c r="I1487" s="60">
        <v>7.008994</v>
      </c>
      <c r="J1487" s="59">
        <v>1.0</v>
      </c>
      <c r="K1487" s="61">
        <f t="shared" si="1"/>
        <v>0</v>
      </c>
      <c r="L1487" s="62">
        <f t="shared" si="2"/>
        <v>1</v>
      </c>
    </row>
    <row r="1488">
      <c r="A1488" s="58">
        <v>46023.0</v>
      </c>
      <c r="B1488" s="24" t="s">
        <v>6791</v>
      </c>
      <c r="C1488" s="24" t="s">
        <v>6922</v>
      </c>
      <c r="D1488" s="59">
        <v>1.0</v>
      </c>
      <c r="E1488" s="59">
        <v>2.0</v>
      </c>
      <c r="F1488" s="59">
        <v>0.0</v>
      </c>
      <c r="G1488" s="60">
        <v>0.0</v>
      </c>
      <c r="H1488" s="60">
        <v>1.0</v>
      </c>
      <c r="I1488" s="60">
        <v>0.0</v>
      </c>
      <c r="J1488" s="59">
        <v>2.0</v>
      </c>
      <c r="K1488" s="61">
        <f t="shared" si="1"/>
        <v>0</v>
      </c>
      <c r="L1488" s="62">
        <f t="shared" si="2"/>
        <v>1</v>
      </c>
    </row>
    <row r="1489">
      <c r="A1489" s="58">
        <v>46023.0</v>
      </c>
      <c r="B1489" s="24" t="s">
        <v>6790</v>
      </c>
      <c r="C1489" s="24" t="s">
        <v>6922</v>
      </c>
      <c r="D1489" s="59">
        <v>1.0</v>
      </c>
      <c r="E1489" s="59">
        <v>1.0</v>
      </c>
      <c r="F1489" s="59">
        <v>0.0</v>
      </c>
      <c r="G1489" s="60">
        <v>1.0</v>
      </c>
      <c r="H1489" s="60">
        <v>1.0</v>
      </c>
      <c r="I1489" s="60">
        <v>641.68932</v>
      </c>
      <c r="J1489" s="59">
        <v>3.0</v>
      </c>
      <c r="K1489" s="61">
        <f t="shared" si="1"/>
        <v>0</v>
      </c>
      <c r="L1489" s="62">
        <f t="shared" si="2"/>
        <v>3</v>
      </c>
    </row>
    <row r="1490">
      <c r="A1490" s="58">
        <v>46023.0</v>
      </c>
      <c r="B1490" s="24" t="s">
        <v>155</v>
      </c>
      <c r="C1490" s="24" t="s">
        <v>6797</v>
      </c>
      <c r="D1490" s="59">
        <v>1.0</v>
      </c>
      <c r="E1490" s="59">
        <v>1.0</v>
      </c>
      <c r="F1490" s="59">
        <v>1.0</v>
      </c>
      <c r="G1490" s="60">
        <v>1.0</v>
      </c>
      <c r="H1490" s="60">
        <v>0.0</v>
      </c>
      <c r="I1490" s="60">
        <v>47.98413</v>
      </c>
      <c r="J1490" s="59">
        <v>1.0</v>
      </c>
      <c r="K1490" s="61">
        <f t="shared" si="1"/>
        <v>1</v>
      </c>
      <c r="L1490" s="62">
        <f t="shared" si="2"/>
        <v>1</v>
      </c>
    </row>
    <row r="1491">
      <c r="A1491" s="58">
        <v>46023.0</v>
      </c>
      <c r="B1491" s="24" t="s">
        <v>6787</v>
      </c>
      <c r="C1491" s="24" t="s">
        <v>6923</v>
      </c>
      <c r="D1491" s="59">
        <v>1.0</v>
      </c>
      <c r="E1491" s="59">
        <v>1.0</v>
      </c>
      <c r="F1491" s="59">
        <v>1.0</v>
      </c>
      <c r="G1491" s="60">
        <v>1.0</v>
      </c>
      <c r="H1491" s="60">
        <v>1.0</v>
      </c>
      <c r="I1491" s="60">
        <v>0.0</v>
      </c>
      <c r="J1491" s="59">
        <v>1.0</v>
      </c>
      <c r="K1491" s="61">
        <f t="shared" si="1"/>
        <v>1</v>
      </c>
      <c r="L1491" s="62">
        <f t="shared" si="2"/>
        <v>1</v>
      </c>
    </row>
    <row r="1492">
      <c r="A1492" s="58">
        <v>46023.0</v>
      </c>
      <c r="B1492" s="24" t="s">
        <v>6789</v>
      </c>
      <c r="C1492" s="24" t="s">
        <v>6923</v>
      </c>
      <c r="D1492" s="59">
        <v>1.0</v>
      </c>
      <c r="E1492" s="59">
        <v>1.0</v>
      </c>
      <c r="F1492" s="59">
        <v>0.0</v>
      </c>
      <c r="G1492" s="60">
        <v>1.0</v>
      </c>
      <c r="H1492" s="60">
        <v>0.0</v>
      </c>
      <c r="I1492" s="60">
        <v>1635.894923</v>
      </c>
      <c r="J1492" s="59">
        <v>13.0</v>
      </c>
      <c r="K1492" s="61">
        <f t="shared" si="1"/>
        <v>0</v>
      </c>
      <c r="L1492" s="62">
        <f t="shared" si="2"/>
        <v>13</v>
      </c>
    </row>
    <row r="1493">
      <c r="A1493" s="58">
        <v>46023.0</v>
      </c>
      <c r="B1493" s="24" t="s">
        <v>6787</v>
      </c>
      <c r="C1493" s="24" t="s">
        <v>7113</v>
      </c>
      <c r="D1493" s="59">
        <v>1.0</v>
      </c>
      <c r="E1493" s="59">
        <v>4.0</v>
      </c>
      <c r="F1493" s="59">
        <v>0.0</v>
      </c>
      <c r="G1493" s="60">
        <v>0.0</v>
      </c>
      <c r="H1493" s="60">
        <v>1.0</v>
      </c>
      <c r="I1493" s="60">
        <v>5.196155</v>
      </c>
      <c r="J1493" s="59">
        <v>4.0</v>
      </c>
      <c r="K1493" s="61">
        <f t="shared" si="1"/>
        <v>0</v>
      </c>
      <c r="L1493" s="62">
        <f t="shared" si="2"/>
        <v>1</v>
      </c>
    </row>
    <row r="1494">
      <c r="A1494" s="58">
        <v>46023.0</v>
      </c>
      <c r="B1494" s="24" t="s">
        <v>155</v>
      </c>
      <c r="C1494" s="24" t="s">
        <v>6810</v>
      </c>
      <c r="D1494" s="59">
        <v>1.0</v>
      </c>
      <c r="E1494" s="59">
        <v>1.0</v>
      </c>
      <c r="F1494" s="59">
        <v>1.0</v>
      </c>
      <c r="G1494" s="60">
        <v>1.0</v>
      </c>
      <c r="H1494" s="60">
        <v>0.0</v>
      </c>
      <c r="I1494" s="60">
        <v>20.569985</v>
      </c>
      <c r="J1494" s="59">
        <v>2.0</v>
      </c>
      <c r="K1494" s="61">
        <f t="shared" si="1"/>
        <v>1</v>
      </c>
      <c r="L1494" s="62">
        <f t="shared" si="2"/>
        <v>2</v>
      </c>
    </row>
    <row r="1495">
      <c r="A1495" s="58">
        <v>46023.0</v>
      </c>
      <c r="B1495" s="24" t="s">
        <v>6789</v>
      </c>
      <c r="C1495" s="24" t="s">
        <v>6931</v>
      </c>
      <c r="D1495" s="59">
        <v>1.0</v>
      </c>
      <c r="E1495" s="59">
        <v>1.0</v>
      </c>
      <c r="F1495" s="59">
        <v>1.0</v>
      </c>
      <c r="G1495" s="60">
        <v>1.0</v>
      </c>
      <c r="H1495" s="60">
        <v>0.0</v>
      </c>
      <c r="I1495" s="60">
        <v>125.389783</v>
      </c>
      <c r="J1495" s="59">
        <v>4.0</v>
      </c>
      <c r="K1495" s="61">
        <f t="shared" si="1"/>
        <v>1</v>
      </c>
      <c r="L1495" s="62">
        <f t="shared" si="2"/>
        <v>4</v>
      </c>
    </row>
    <row r="1496">
      <c r="A1496" s="58">
        <v>46023.0</v>
      </c>
      <c r="B1496" s="24" t="s">
        <v>6787</v>
      </c>
      <c r="C1496" s="24" t="s">
        <v>7181</v>
      </c>
      <c r="D1496" s="59">
        <v>1.0</v>
      </c>
      <c r="E1496" s="59">
        <v>1.0</v>
      </c>
      <c r="F1496" s="59">
        <v>1.0</v>
      </c>
      <c r="G1496" s="60">
        <v>1.0</v>
      </c>
      <c r="H1496" s="60">
        <v>1.0</v>
      </c>
      <c r="I1496" s="60">
        <v>4.766235</v>
      </c>
      <c r="J1496" s="59">
        <v>1.0</v>
      </c>
      <c r="K1496" s="61">
        <f t="shared" si="1"/>
        <v>1</v>
      </c>
      <c r="L1496" s="62">
        <f t="shared" si="2"/>
        <v>1</v>
      </c>
    </row>
    <row r="1497">
      <c r="A1497" s="58">
        <v>46023.0</v>
      </c>
      <c r="B1497" s="24" t="s">
        <v>6787</v>
      </c>
      <c r="C1497" s="24" t="s">
        <v>7182</v>
      </c>
      <c r="D1497" s="59">
        <v>1.0</v>
      </c>
      <c r="E1497" s="59">
        <v>1.0</v>
      </c>
      <c r="F1497" s="59">
        <v>1.0</v>
      </c>
      <c r="G1497" s="60">
        <v>1.0</v>
      </c>
      <c r="H1497" s="60">
        <v>1.0</v>
      </c>
      <c r="I1497" s="60">
        <v>6.757</v>
      </c>
      <c r="J1497" s="59">
        <v>1.0</v>
      </c>
      <c r="K1497" s="61">
        <f t="shared" si="1"/>
        <v>1</v>
      </c>
      <c r="L1497" s="62">
        <f t="shared" si="2"/>
        <v>1</v>
      </c>
    </row>
    <row r="1498">
      <c r="A1498" s="58">
        <v>46023.0</v>
      </c>
      <c r="B1498" s="24" t="s">
        <v>6787</v>
      </c>
      <c r="C1498" s="24" t="s">
        <v>7126</v>
      </c>
      <c r="D1498" s="59">
        <v>1.0</v>
      </c>
      <c r="E1498" s="59">
        <v>1.0</v>
      </c>
      <c r="F1498" s="59">
        <v>0.0</v>
      </c>
      <c r="G1498" s="60">
        <v>1.0</v>
      </c>
      <c r="H1498" s="60">
        <v>1.0</v>
      </c>
      <c r="I1498" s="60">
        <v>1.03549</v>
      </c>
      <c r="J1498" s="59">
        <v>1.0</v>
      </c>
      <c r="K1498" s="61">
        <f t="shared" si="1"/>
        <v>0</v>
      </c>
      <c r="L1498" s="62">
        <f t="shared" si="2"/>
        <v>1</v>
      </c>
    </row>
    <row r="1499">
      <c r="A1499" s="58">
        <v>46023.0</v>
      </c>
      <c r="B1499" s="24" t="s">
        <v>6789</v>
      </c>
      <c r="C1499" s="24" t="s">
        <v>7126</v>
      </c>
      <c r="D1499" s="59">
        <v>1.0</v>
      </c>
      <c r="E1499" s="59">
        <v>1.0</v>
      </c>
      <c r="F1499" s="59">
        <v>0.0</v>
      </c>
      <c r="G1499" s="60">
        <v>1.0</v>
      </c>
      <c r="H1499" s="60">
        <v>1.0</v>
      </c>
      <c r="I1499" s="60">
        <v>0.0</v>
      </c>
      <c r="J1499" s="59">
        <v>1.0</v>
      </c>
      <c r="K1499" s="61">
        <f t="shared" si="1"/>
        <v>0</v>
      </c>
      <c r="L1499" s="62">
        <f t="shared" si="2"/>
        <v>1</v>
      </c>
    </row>
    <row r="1500">
      <c r="A1500" s="58">
        <v>46023.0</v>
      </c>
      <c r="B1500" s="24" t="s">
        <v>155</v>
      </c>
      <c r="C1500" s="24" t="s">
        <v>7126</v>
      </c>
      <c r="D1500" s="59">
        <v>1.0</v>
      </c>
      <c r="E1500" s="59">
        <v>2.0</v>
      </c>
      <c r="F1500" s="59">
        <v>0.0</v>
      </c>
      <c r="G1500" s="60">
        <v>2.0</v>
      </c>
      <c r="H1500" s="60">
        <v>1.0</v>
      </c>
      <c r="I1500" s="60">
        <v>1.0143295</v>
      </c>
      <c r="J1500" s="59">
        <v>2.0</v>
      </c>
      <c r="K1500" s="61">
        <f t="shared" si="1"/>
        <v>0</v>
      </c>
      <c r="L1500" s="62">
        <f t="shared" si="2"/>
        <v>1</v>
      </c>
    </row>
    <row r="1501">
      <c r="A1501" s="58">
        <v>46023.0</v>
      </c>
      <c r="B1501" s="24" t="s">
        <v>6787</v>
      </c>
      <c r="C1501" s="24" t="s">
        <v>7118</v>
      </c>
      <c r="D1501" s="59">
        <v>1.0</v>
      </c>
      <c r="E1501" s="59">
        <v>1.0</v>
      </c>
      <c r="F1501" s="59">
        <v>1.0</v>
      </c>
      <c r="G1501" s="60">
        <v>1.0</v>
      </c>
      <c r="H1501" s="60">
        <v>1.0</v>
      </c>
      <c r="I1501" s="60">
        <v>0.0</v>
      </c>
      <c r="J1501" s="59">
        <v>1.0</v>
      </c>
      <c r="K1501" s="61">
        <f t="shared" si="1"/>
        <v>1</v>
      </c>
      <c r="L1501" s="62">
        <f t="shared" si="2"/>
        <v>1</v>
      </c>
    </row>
    <row r="1502">
      <c r="A1502" s="58">
        <v>46023.0</v>
      </c>
      <c r="B1502" s="24" t="s">
        <v>6787</v>
      </c>
      <c r="C1502" s="24" t="s">
        <v>7183</v>
      </c>
      <c r="D1502" s="59">
        <v>1.0</v>
      </c>
      <c r="E1502" s="59">
        <v>1.0</v>
      </c>
      <c r="F1502" s="59">
        <v>1.0</v>
      </c>
      <c r="G1502" s="60">
        <v>1.0</v>
      </c>
      <c r="H1502" s="60">
        <v>1.0</v>
      </c>
      <c r="I1502" s="60">
        <v>0.0</v>
      </c>
      <c r="J1502" s="59">
        <v>1.0</v>
      </c>
      <c r="K1502" s="61">
        <f t="shared" si="1"/>
        <v>1</v>
      </c>
      <c r="L1502" s="62">
        <f t="shared" si="2"/>
        <v>1</v>
      </c>
    </row>
    <row r="1503">
      <c r="A1503" s="58">
        <v>46023.0</v>
      </c>
      <c r="B1503" s="24" t="s">
        <v>6787</v>
      </c>
      <c r="C1503" s="24" t="s">
        <v>6963</v>
      </c>
      <c r="D1503" s="59">
        <v>1.0</v>
      </c>
      <c r="E1503" s="59">
        <v>1.0</v>
      </c>
      <c r="F1503" s="59">
        <v>1.0</v>
      </c>
      <c r="G1503" s="60">
        <v>1.0</v>
      </c>
      <c r="H1503" s="60">
        <v>1.0</v>
      </c>
      <c r="I1503" s="60">
        <v>5.024322</v>
      </c>
      <c r="J1503" s="59">
        <v>1.0</v>
      </c>
      <c r="K1503" s="61">
        <f t="shared" si="1"/>
        <v>1</v>
      </c>
      <c r="L1503" s="62">
        <f t="shared" si="2"/>
        <v>1</v>
      </c>
    </row>
    <row r="1504">
      <c r="A1504" s="58">
        <v>45992.0</v>
      </c>
      <c r="B1504" s="24" t="s">
        <v>6787</v>
      </c>
      <c r="C1504" s="24" t="s">
        <v>6788</v>
      </c>
      <c r="D1504" s="59">
        <v>831.0</v>
      </c>
      <c r="E1504" s="59">
        <v>940.0</v>
      </c>
      <c r="F1504" s="59">
        <v>785.0</v>
      </c>
      <c r="G1504" s="60">
        <v>1.13801452784503</v>
      </c>
      <c r="H1504" s="60">
        <v>0.673404255319148</v>
      </c>
      <c r="I1504" s="60">
        <v>40.2634495446808</v>
      </c>
      <c r="J1504" s="59">
        <v>1083.0</v>
      </c>
      <c r="K1504" s="61">
        <f t="shared" si="1"/>
        <v>0.835106383</v>
      </c>
      <c r="L1504" s="62">
        <f t="shared" si="2"/>
        <v>1.15212766</v>
      </c>
    </row>
    <row r="1505">
      <c r="A1505" s="58">
        <v>45992.0</v>
      </c>
      <c r="B1505" s="24" t="s">
        <v>6789</v>
      </c>
      <c r="C1505" s="24" t="s">
        <v>6788</v>
      </c>
      <c r="D1505" s="59">
        <v>559.0</v>
      </c>
      <c r="E1505" s="59">
        <v>778.0</v>
      </c>
      <c r="F1505" s="59">
        <v>425.0</v>
      </c>
      <c r="G1505" s="60">
        <v>1.45149253731343</v>
      </c>
      <c r="H1505" s="60">
        <v>0.519280205655527</v>
      </c>
      <c r="I1505" s="60">
        <v>177.352368134961</v>
      </c>
      <c r="J1505" s="59">
        <v>1194.0</v>
      </c>
      <c r="K1505" s="61">
        <f t="shared" si="1"/>
        <v>0.5462724936</v>
      </c>
      <c r="L1505" s="62">
        <f t="shared" si="2"/>
        <v>1.53470437</v>
      </c>
    </row>
    <row r="1506">
      <c r="A1506" s="58">
        <v>45992.0</v>
      </c>
      <c r="B1506" s="24" t="s">
        <v>6791</v>
      </c>
      <c r="C1506" s="24" t="s">
        <v>7021</v>
      </c>
      <c r="D1506" s="59">
        <v>226.0</v>
      </c>
      <c r="E1506" s="59">
        <v>268.0</v>
      </c>
      <c r="F1506" s="59">
        <v>186.0</v>
      </c>
      <c r="G1506" s="60">
        <v>1.2072072072072</v>
      </c>
      <c r="H1506" s="60">
        <v>0.514925373134328</v>
      </c>
      <c r="I1506" s="60">
        <v>185.544166395522</v>
      </c>
      <c r="J1506" s="59">
        <v>463.0</v>
      </c>
      <c r="K1506" s="61">
        <f t="shared" si="1"/>
        <v>0.6940298507</v>
      </c>
      <c r="L1506" s="62">
        <f t="shared" si="2"/>
        <v>1.72761194</v>
      </c>
    </row>
    <row r="1507">
      <c r="A1507" s="58">
        <v>45992.0</v>
      </c>
      <c r="B1507" s="24" t="s">
        <v>3216</v>
      </c>
      <c r="C1507" s="24" t="s">
        <v>6827</v>
      </c>
      <c r="D1507" s="59">
        <v>167.0</v>
      </c>
      <c r="E1507" s="59">
        <v>168.0</v>
      </c>
      <c r="F1507" s="59">
        <v>166.0</v>
      </c>
      <c r="G1507" s="60">
        <v>1.00598802395209</v>
      </c>
      <c r="H1507" s="60">
        <v>0.809523809523809</v>
      </c>
      <c r="I1507" s="60">
        <v>27.9691741785714</v>
      </c>
      <c r="J1507" s="59">
        <v>187.0</v>
      </c>
      <c r="K1507" s="61">
        <f t="shared" si="1"/>
        <v>0.9880952381</v>
      </c>
      <c r="L1507" s="62">
        <f t="shared" si="2"/>
        <v>1.113095238</v>
      </c>
    </row>
    <row r="1508">
      <c r="A1508" s="58">
        <v>45992.0</v>
      </c>
      <c r="B1508" s="24" t="s">
        <v>6789</v>
      </c>
      <c r="C1508" s="24" t="s">
        <v>6792</v>
      </c>
      <c r="D1508" s="59">
        <v>140.0</v>
      </c>
      <c r="E1508" s="59">
        <v>165.0</v>
      </c>
      <c r="F1508" s="59">
        <v>0.0</v>
      </c>
      <c r="G1508" s="60">
        <v>1.875</v>
      </c>
      <c r="H1508" s="60">
        <v>0.987878787878787</v>
      </c>
      <c r="I1508" s="60">
        <v>8.47223679393939</v>
      </c>
      <c r="J1508" s="59">
        <v>0.0</v>
      </c>
      <c r="K1508" s="61">
        <f t="shared" si="1"/>
        <v>0</v>
      </c>
      <c r="L1508" s="62">
        <f t="shared" si="2"/>
        <v>0</v>
      </c>
    </row>
    <row r="1509">
      <c r="A1509" s="58">
        <v>45992.0</v>
      </c>
      <c r="B1509" s="24" t="s">
        <v>155</v>
      </c>
      <c r="C1509" s="24" t="s">
        <v>6788</v>
      </c>
      <c r="D1509" s="59">
        <v>124.0</v>
      </c>
      <c r="E1509" s="59">
        <v>302.0</v>
      </c>
      <c r="F1509" s="59">
        <v>64.0</v>
      </c>
      <c r="G1509" s="60">
        <v>2.60344827586206</v>
      </c>
      <c r="H1509" s="60">
        <v>0.711920529801324</v>
      </c>
      <c r="I1509" s="60">
        <v>129.628734761589</v>
      </c>
      <c r="J1509" s="59">
        <v>422.0</v>
      </c>
      <c r="K1509" s="61">
        <f t="shared" si="1"/>
        <v>0.2119205298</v>
      </c>
      <c r="L1509" s="62">
        <f t="shared" si="2"/>
        <v>1.397350993</v>
      </c>
    </row>
    <row r="1510">
      <c r="A1510" s="58">
        <v>45992.0</v>
      </c>
      <c r="B1510" s="24" t="s">
        <v>3216</v>
      </c>
      <c r="C1510" s="24" t="s">
        <v>6835</v>
      </c>
      <c r="D1510" s="59">
        <v>82.0</v>
      </c>
      <c r="E1510" s="59">
        <v>83.0</v>
      </c>
      <c r="F1510" s="59">
        <v>81.0</v>
      </c>
      <c r="G1510" s="60">
        <v>1.01219512195121</v>
      </c>
      <c r="H1510" s="60">
        <v>0.795180722891566</v>
      </c>
      <c r="I1510" s="60">
        <v>11.8466158915662</v>
      </c>
      <c r="J1510" s="59">
        <v>95.0</v>
      </c>
      <c r="K1510" s="61">
        <f t="shared" si="1"/>
        <v>0.9759036145</v>
      </c>
      <c r="L1510" s="62">
        <f t="shared" si="2"/>
        <v>1.144578313</v>
      </c>
    </row>
    <row r="1511">
      <c r="A1511" s="58">
        <v>45992.0</v>
      </c>
      <c r="B1511" s="24" t="s">
        <v>3216</v>
      </c>
      <c r="C1511" s="24" t="s">
        <v>6788</v>
      </c>
      <c r="D1511" s="59">
        <v>80.0</v>
      </c>
      <c r="E1511" s="59">
        <v>80.0</v>
      </c>
      <c r="F1511" s="59">
        <v>79.0</v>
      </c>
      <c r="G1511" s="60">
        <v>1.0126582278481</v>
      </c>
      <c r="H1511" s="60">
        <v>0.5375</v>
      </c>
      <c r="I1511" s="60">
        <v>20.8229742875</v>
      </c>
      <c r="J1511" s="59">
        <v>124.0</v>
      </c>
      <c r="K1511" s="61">
        <f t="shared" si="1"/>
        <v>0.9875</v>
      </c>
      <c r="L1511" s="62">
        <f t="shared" si="2"/>
        <v>1.55</v>
      </c>
    </row>
    <row r="1512">
      <c r="A1512" s="58">
        <v>45992.0</v>
      </c>
      <c r="B1512" s="24" t="s">
        <v>6791</v>
      </c>
      <c r="C1512" s="24" t="s">
        <v>6792</v>
      </c>
      <c r="D1512" s="59">
        <v>65.0</v>
      </c>
      <c r="E1512" s="59">
        <v>74.0</v>
      </c>
      <c r="F1512" s="59">
        <v>0.0</v>
      </c>
      <c r="G1512" s="60">
        <v>2.05555555555555</v>
      </c>
      <c r="H1512" s="60">
        <v>0.972972972972973</v>
      </c>
      <c r="I1512" s="60">
        <v>0.66568927027027</v>
      </c>
      <c r="J1512" s="59">
        <v>0.0</v>
      </c>
      <c r="K1512" s="61">
        <f t="shared" si="1"/>
        <v>0</v>
      </c>
      <c r="L1512" s="62">
        <f t="shared" si="2"/>
        <v>0</v>
      </c>
    </row>
    <row r="1513">
      <c r="A1513" s="58">
        <v>45992.0</v>
      </c>
      <c r="B1513" s="24" t="s">
        <v>6794</v>
      </c>
      <c r="C1513" s="24" t="s">
        <v>6788</v>
      </c>
      <c r="D1513" s="59">
        <v>63.0</v>
      </c>
      <c r="E1513" s="59">
        <v>81.0</v>
      </c>
      <c r="F1513" s="59">
        <v>59.0</v>
      </c>
      <c r="G1513" s="60">
        <v>1.28571428571428</v>
      </c>
      <c r="H1513" s="60">
        <v>0.481481481481481</v>
      </c>
      <c r="I1513" s="60">
        <v>84.1834135802469</v>
      </c>
      <c r="J1513" s="59">
        <v>121.0</v>
      </c>
      <c r="K1513" s="61">
        <f t="shared" si="1"/>
        <v>0.7283950617</v>
      </c>
      <c r="L1513" s="62">
        <f t="shared" si="2"/>
        <v>1.49382716</v>
      </c>
    </row>
    <row r="1514">
      <c r="A1514" s="58">
        <v>45992.0</v>
      </c>
      <c r="B1514" s="24" t="s">
        <v>3216</v>
      </c>
      <c r="C1514" s="24" t="s">
        <v>6915</v>
      </c>
      <c r="D1514" s="59">
        <v>59.0</v>
      </c>
      <c r="E1514" s="59">
        <v>59.0</v>
      </c>
      <c r="F1514" s="59">
        <v>59.0</v>
      </c>
      <c r="G1514" s="60">
        <v>1.0</v>
      </c>
      <c r="H1514" s="60">
        <v>0.745762711864406</v>
      </c>
      <c r="I1514" s="60">
        <v>4.0197890338983</v>
      </c>
      <c r="J1514" s="59">
        <v>78.0</v>
      </c>
      <c r="K1514" s="61">
        <f t="shared" si="1"/>
        <v>1</v>
      </c>
      <c r="L1514" s="62">
        <f t="shared" si="2"/>
        <v>1.322033898</v>
      </c>
    </row>
    <row r="1515">
      <c r="A1515" s="58">
        <v>45992.0</v>
      </c>
      <c r="B1515" s="24" t="s">
        <v>6787</v>
      </c>
      <c r="C1515" s="24" t="s">
        <v>6925</v>
      </c>
      <c r="D1515" s="59">
        <v>55.0</v>
      </c>
      <c r="E1515" s="59">
        <v>55.0</v>
      </c>
      <c r="F1515" s="59">
        <v>55.0</v>
      </c>
      <c r="G1515" s="60">
        <v>1.0</v>
      </c>
      <c r="H1515" s="60">
        <v>0.472727272727272</v>
      </c>
      <c r="I1515" s="60">
        <v>15.5897508</v>
      </c>
      <c r="J1515" s="59">
        <v>55.0</v>
      </c>
      <c r="K1515" s="61">
        <f t="shared" si="1"/>
        <v>1</v>
      </c>
      <c r="L1515" s="62">
        <f t="shared" si="2"/>
        <v>1</v>
      </c>
    </row>
    <row r="1516">
      <c r="A1516" s="58">
        <v>45992.0</v>
      </c>
      <c r="B1516" s="24" t="s">
        <v>6787</v>
      </c>
      <c r="C1516" s="24" t="s">
        <v>6792</v>
      </c>
      <c r="D1516" s="59">
        <v>52.0</v>
      </c>
      <c r="E1516" s="59">
        <v>58.0</v>
      </c>
      <c r="F1516" s="59">
        <v>0.0</v>
      </c>
      <c r="G1516" s="60">
        <v>1.8125</v>
      </c>
      <c r="H1516" s="60">
        <v>1.0</v>
      </c>
      <c r="I1516" s="60">
        <v>0.0225992931034482</v>
      </c>
      <c r="J1516" s="59">
        <v>0.0</v>
      </c>
      <c r="K1516" s="61">
        <f t="shared" si="1"/>
        <v>0</v>
      </c>
      <c r="L1516" s="62">
        <f t="shared" si="2"/>
        <v>0</v>
      </c>
    </row>
    <row r="1517">
      <c r="A1517" s="58">
        <v>45992.0</v>
      </c>
      <c r="B1517" s="24" t="s">
        <v>3216</v>
      </c>
      <c r="C1517" s="24" t="s">
        <v>6832</v>
      </c>
      <c r="D1517" s="59">
        <v>45.0</v>
      </c>
      <c r="E1517" s="59">
        <v>47.0</v>
      </c>
      <c r="F1517" s="59">
        <v>44.0</v>
      </c>
      <c r="G1517" s="60">
        <v>1.04444444444444</v>
      </c>
      <c r="H1517" s="60">
        <v>0.893617021276595</v>
      </c>
      <c r="I1517" s="60">
        <v>4.00322389361702</v>
      </c>
      <c r="J1517" s="59">
        <v>50.0</v>
      </c>
      <c r="K1517" s="61">
        <f t="shared" si="1"/>
        <v>0.9361702128</v>
      </c>
      <c r="L1517" s="62">
        <f t="shared" si="2"/>
        <v>1.063829787</v>
      </c>
    </row>
    <row r="1518">
      <c r="A1518" s="58">
        <v>45992.0</v>
      </c>
      <c r="B1518" s="24" t="s">
        <v>3216</v>
      </c>
      <c r="C1518" s="24" t="s">
        <v>7029</v>
      </c>
      <c r="D1518" s="59">
        <v>40.0</v>
      </c>
      <c r="E1518" s="59">
        <v>41.0</v>
      </c>
      <c r="F1518" s="59">
        <v>40.0</v>
      </c>
      <c r="G1518" s="60">
        <v>1.025</v>
      </c>
      <c r="H1518" s="60">
        <v>0.804878048780487</v>
      </c>
      <c r="I1518" s="60">
        <v>59.6710615365853</v>
      </c>
      <c r="J1518" s="59">
        <v>44.0</v>
      </c>
      <c r="K1518" s="61">
        <f t="shared" si="1"/>
        <v>0.9756097561</v>
      </c>
      <c r="L1518" s="62">
        <f t="shared" si="2"/>
        <v>1.073170732</v>
      </c>
    </row>
    <row r="1519">
      <c r="A1519" s="58">
        <v>45992.0</v>
      </c>
      <c r="B1519" s="24" t="s">
        <v>3216</v>
      </c>
      <c r="C1519" s="24" t="s">
        <v>6995</v>
      </c>
      <c r="D1519" s="59">
        <v>37.0</v>
      </c>
      <c r="E1519" s="59">
        <v>37.0</v>
      </c>
      <c r="F1519" s="59">
        <v>37.0</v>
      </c>
      <c r="G1519" s="60">
        <v>1.0</v>
      </c>
      <c r="H1519" s="60">
        <v>0.945945945945945</v>
      </c>
      <c r="I1519" s="60">
        <v>0.014321081081081</v>
      </c>
      <c r="J1519" s="59">
        <v>41.0</v>
      </c>
      <c r="K1519" s="61">
        <f t="shared" si="1"/>
        <v>1</v>
      </c>
      <c r="L1519" s="62">
        <f t="shared" si="2"/>
        <v>1.108108108</v>
      </c>
    </row>
    <row r="1520">
      <c r="A1520" s="58">
        <v>45992.0</v>
      </c>
      <c r="B1520" s="24" t="s">
        <v>6791</v>
      </c>
      <c r="C1520" s="24" t="s">
        <v>7157</v>
      </c>
      <c r="D1520" s="59">
        <v>36.0</v>
      </c>
      <c r="E1520" s="59">
        <v>38.0</v>
      </c>
      <c r="F1520" s="59">
        <v>36.0</v>
      </c>
      <c r="G1520" s="60">
        <v>1.05555555555555</v>
      </c>
      <c r="H1520" s="60">
        <v>0.421052631578947</v>
      </c>
      <c r="I1520" s="60">
        <v>169.279879421052</v>
      </c>
      <c r="J1520" s="59">
        <v>70.0</v>
      </c>
      <c r="K1520" s="61">
        <f t="shared" si="1"/>
        <v>0.9473684211</v>
      </c>
      <c r="L1520" s="62">
        <f t="shared" si="2"/>
        <v>1.842105263</v>
      </c>
    </row>
    <row r="1521">
      <c r="A1521" s="58">
        <v>45992.0</v>
      </c>
      <c r="B1521" s="24" t="s">
        <v>3216</v>
      </c>
      <c r="C1521" s="24" t="s">
        <v>6875</v>
      </c>
      <c r="D1521" s="59">
        <v>35.0</v>
      </c>
      <c r="E1521" s="59">
        <v>35.0</v>
      </c>
      <c r="F1521" s="59">
        <v>35.0</v>
      </c>
      <c r="G1521" s="60">
        <v>1.0</v>
      </c>
      <c r="H1521" s="60">
        <v>0.914285714285714</v>
      </c>
      <c r="I1521" s="60">
        <v>1.07806059999999</v>
      </c>
      <c r="J1521" s="59">
        <v>36.0</v>
      </c>
      <c r="K1521" s="61">
        <f t="shared" si="1"/>
        <v>1</v>
      </c>
      <c r="L1521" s="62">
        <f t="shared" si="2"/>
        <v>1.028571429</v>
      </c>
    </row>
    <row r="1522">
      <c r="A1522" s="58">
        <v>45992.0</v>
      </c>
      <c r="B1522" s="24" t="s">
        <v>6787</v>
      </c>
      <c r="C1522" s="24" t="s">
        <v>6796</v>
      </c>
      <c r="D1522" s="59">
        <v>32.0</v>
      </c>
      <c r="E1522" s="59">
        <v>32.0</v>
      </c>
      <c r="F1522" s="59">
        <v>31.0</v>
      </c>
      <c r="G1522" s="60">
        <v>1.0</v>
      </c>
      <c r="H1522" s="60">
        <v>0.59375</v>
      </c>
      <c r="I1522" s="60">
        <v>148.900714312499</v>
      </c>
      <c r="J1522" s="59">
        <v>35.0</v>
      </c>
      <c r="K1522" s="61">
        <f t="shared" si="1"/>
        <v>0.96875</v>
      </c>
      <c r="L1522" s="62">
        <f t="shared" si="2"/>
        <v>1.09375</v>
      </c>
    </row>
    <row r="1523">
      <c r="A1523" s="58">
        <v>45992.0</v>
      </c>
      <c r="B1523" s="24" t="s">
        <v>155</v>
      </c>
      <c r="C1523" s="24" t="s">
        <v>6792</v>
      </c>
      <c r="D1523" s="59">
        <v>29.0</v>
      </c>
      <c r="E1523" s="59">
        <v>42.0</v>
      </c>
      <c r="F1523" s="59">
        <v>0.0</v>
      </c>
      <c r="G1523" s="60">
        <v>2.1</v>
      </c>
      <c r="H1523" s="60">
        <v>0.976190476190476</v>
      </c>
      <c r="I1523" s="60">
        <v>0.609430285714285</v>
      </c>
      <c r="J1523" s="59">
        <v>0.0</v>
      </c>
      <c r="K1523" s="61">
        <f t="shared" si="1"/>
        <v>0</v>
      </c>
      <c r="L1523" s="62">
        <f t="shared" si="2"/>
        <v>0</v>
      </c>
    </row>
    <row r="1524">
      <c r="A1524" s="58">
        <v>45992.0</v>
      </c>
      <c r="B1524" s="24" t="s">
        <v>6787</v>
      </c>
      <c r="C1524" s="24" t="s">
        <v>6828</v>
      </c>
      <c r="D1524" s="59">
        <v>29.0</v>
      </c>
      <c r="E1524" s="59">
        <v>29.0</v>
      </c>
      <c r="F1524" s="59">
        <v>29.0</v>
      </c>
      <c r="G1524" s="60">
        <v>1.0</v>
      </c>
      <c r="H1524" s="60">
        <v>0.482758620689655</v>
      </c>
      <c r="I1524" s="60">
        <v>17.8871883103448</v>
      </c>
      <c r="J1524" s="59">
        <v>30.0</v>
      </c>
      <c r="K1524" s="61">
        <f t="shared" si="1"/>
        <v>1</v>
      </c>
      <c r="L1524" s="62">
        <f t="shared" si="2"/>
        <v>1.034482759</v>
      </c>
    </row>
    <row r="1525">
      <c r="A1525" s="58">
        <v>45992.0</v>
      </c>
      <c r="B1525" s="24" t="s">
        <v>6789</v>
      </c>
      <c r="C1525" s="24" t="s">
        <v>6809</v>
      </c>
      <c r="D1525" s="59">
        <v>29.0</v>
      </c>
      <c r="E1525" s="59">
        <v>33.0</v>
      </c>
      <c r="F1525" s="59">
        <v>27.0</v>
      </c>
      <c r="G1525" s="60">
        <v>1.17857142857142</v>
      </c>
      <c r="H1525" s="60">
        <v>0.303030303030303</v>
      </c>
      <c r="I1525" s="60">
        <v>223.280183363636</v>
      </c>
      <c r="J1525" s="59">
        <v>49.0</v>
      </c>
      <c r="K1525" s="61">
        <f t="shared" si="1"/>
        <v>0.8181818182</v>
      </c>
      <c r="L1525" s="62">
        <f t="shared" si="2"/>
        <v>1.484848485</v>
      </c>
    </row>
    <row r="1526">
      <c r="A1526" s="58">
        <v>45992.0</v>
      </c>
      <c r="B1526" s="24" t="s">
        <v>6791</v>
      </c>
      <c r="C1526" s="24" t="s">
        <v>7120</v>
      </c>
      <c r="D1526" s="59">
        <v>28.0</v>
      </c>
      <c r="E1526" s="59">
        <v>29.0</v>
      </c>
      <c r="F1526" s="59">
        <v>27.0</v>
      </c>
      <c r="G1526" s="60">
        <v>1.07407407407407</v>
      </c>
      <c r="H1526" s="60">
        <v>0.413793103448275</v>
      </c>
      <c r="I1526" s="60">
        <v>33.2093324827586</v>
      </c>
      <c r="J1526" s="59">
        <v>37.0</v>
      </c>
      <c r="K1526" s="61">
        <f t="shared" si="1"/>
        <v>0.9310344828</v>
      </c>
      <c r="L1526" s="62">
        <f t="shared" si="2"/>
        <v>1.275862069</v>
      </c>
    </row>
    <row r="1527">
      <c r="A1527" s="58">
        <v>45992.0</v>
      </c>
      <c r="B1527" s="24" t="s">
        <v>6787</v>
      </c>
      <c r="C1527" s="24" t="s">
        <v>6800</v>
      </c>
      <c r="D1527" s="59">
        <v>28.0</v>
      </c>
      <c r="E1527" s="59">
        <v>28.0</v>
      </c>
      <c r="F1527" s="59">
        <v>27.0</v>
      </c>
      <c r="G1527" s="60">
        <v>1.0</v>
      </c>
      <c r="H1527" s="60">
        <v>0.678571428571428</v>
      </c>
      <c r="I1527" s="60">
        <v>15.7811127142857</v>
      </c>
      <c r="J1527" s="59">
        <v>36.0</v>
      </c>
      <c r="K1527" s="61">
        <f t="shared" si="1"/>
        <v>0.9642857143</v>
      </c>
      <c r="L1527" s="62">
        <f t="shared" si="2"/>
        <v>1.285714286</v>
      </c>
    </row>
    <row r="1528">
      <c r="A1528" s="58">
        <v>45992.0</v>
      </c>
      <c r="B1528" s="24" t="s">
        <v>6787</v>
      </c>
      <c r="C1528" s="24" t="s">
        <v>6844</v>
      </c>
      <c r="D1528" s="59">
        <v>27.0</v>
      </c>
      <c r="E1528" s="59">
        <v>27.0</v>
      </c>
      <c r="F1528" s="59">
        <v>27.0</v>
      </c>
      <c r="G1528" s="60">
        <v>1.0</v>
      </c>
      <c r="H1528" s="60">
        <v>0.666666666666666</v>
      </c>
      <c r="I1528" s="60">
        <v>11.8429112962962</v>
      </c>
      <c r="J1528" s="59">
        <v>27.0</v>
      </c>
      <c r="K1528" s="61">
        <f t="shared" si="1"/>
        <v>1</v>
      </c>
      <c r="L1528" s="62">
        <f t="shared" si="2"/>
        <v>1</v>
      </c>
    </row>
    <row r="1529">
      <c r="A1529" s="58">
        <v>45992.0</v>
      </c>
      <c r="B1529" s="24" t="s">
        <v>6787</v>
      </c>
      <c r="C1529" s="24" t="s">
        <v>6811</v>
      </c>
      <c r="D1529" s="59">
        <v>26.0</v>
      </c>
      <c r="E1529" s="59">
        <v>27.0</v>
      </c>
      <c r="F1529" s="59">
        <v>26.0</v>
      </c>
      <c r="G1529" s="60">
        <v>1.03846153846153</v>
      </c>
      <c r="H1529" s="60">
        <v>0.555555555555555</v>
      </c>
      <c r="I1529" s="60">
        <v>17.3561812222222</v>
      </c>
      <c r="J1529" s="59">
        <v>27.0</v>
      </c>
      <c r="K1529" s="61">
        <f t="shared" si="1"/>
        <v>0.962962963</v>
      </c>
      <c r="L1529" s="62">
        <f t="shared" si="2"/>
        <v>1</v>
      </c>
    </row>
    <row r="1530">
      <c r="A1530" s="58">
        <v>45992.0</v>
      </c>
      <c r="B1530" s="24" t="s">
        <v>6791</v>
      </c>
      <c r="C1530" s="24" t="s">
        <v>7119</v>
      </c>
      <c r="D1530" s="59">
        <v>25.0</v>
      </c>
      <c r="E1530" s="59">
        <v>27.0</v>
      </c>
      <c r="F1530" s="59">
        <v>21.0</v>
      </c>
      <c r="G1530" s="60">
        <v>1.08</v>
      </c>
      <c r="H1530" s="60">
        <v>0.222222222222222</v>
      </c>
      <c r="I1530" s="60">
        <v>143.755995296296</v>
      </c>
      <c r="J1530" s="59">
        <v>45.0</v>
      </c>
      <c r="K1530" s="61">
        <f t="shared" si="1"/>
        <v>0.7777777778</v>
      </c>
      <c r="L1530" s="62">
        <f t="shared" si="2"/>
        <v>1.666666667</v>
      </c>
    </row>
    <row r="1531">
      <c r="A1531" s="58">
        <v>45992.0</v>
      </c>
      <c r="B1531" s="24" t="s">
        <v>6787</v>
      </c>
      <c r="C1531" s="24" t="s">
        <v>6799</v>
      </c>
      <c r="D1531" s="59">
        <v>24.0</v>
      </c>
      <c r="E1531" s="59">
        <v>25.0</v>
      </c>
      <c r="F1531" s="59">
        <v>23.0</v>
      </c>
      <c r="G1531" s="60">
        <v>1.04166666666666</v>
      </c>
      <c r="H1531" s="60">
        <v>0.64</v>
      </c>
      <c r="I1531" s="60">
        <v>19.72867468</v>
      </c>
      <c r="J1531" s="59">
        <v>27.0</v>
      </c>
      <c r="K1531" s="61">
        <f t="shared" si="1"/>
        <v>0.92</v>
      </c>
      <c r="L1531" s="62">
        <f t="shared" si="2"/>
        <v>1.08</v>
      </c>
    </row>
    <row r="1532">
      <c r="A1532" s="58">
        <v>45992.0</v>
      </c>
      <c r="B1532" s="24" t="s">
        <v>6789</v>
      </c>
      <c r="C1532" s="24" t="s">
        <v>6808</v>
      </c>
      <c r="D1532" s="59">
        <v>22.0</v>
      </c>
      <c r="E1532" s="59">
        <v>24.0</v>
      </c>
      <c r="F1532" s="59">
        <v>13.0</v>
      </c>
      <c r="G1532" s="60">
        <v>1.2</v>
      </c>
      <c r="H1532" s="60">
        <v>0.375</v>
      </c>
      <c r="I1532" s="60">
        <v>300.352752041666</v>
      </c>
      <c r="J1532" s="59">
        <v>29.0</v>
      </c>
      <c r="K1532" s="61">
        <f t="shared" si="1"/>
        <v>0.5416666667</v>
      </c>
      <c r="L1532" s="62">
        <f t="shared" si="2"/>
        <v>1.208333333</v>
      </c>
    </row>
    <row r="1533">
      <c r="A1533" s="58">
        <v>45992.0</v>
      </c>
      <c r="B1533" s="24" t="s">
        <v>6787</v>
      </c>
      <c r="C1533" s="24" t="s">
        <v>6886</v>
      </c>
      <c r="D1533" s="59">
        <v>21.0</v>
      </c>
      <c r="E1533" s="59">
        <v>25.0</v>
      </c>
      <c r="F1533" s="59">
        <v>19.0</v>
      </c>
      <c r="G1533" s="60">
        <v>1.31578947368421</v>
      </c>
      <c r="H1533" s="60">
        <v>0.36</v>
      </c>
      <c r="I1533" s="60">
        <v>158.1475348</v>
      </c>
      <c r="J1533" s="59">
        <v>38.0</v>
      </c>
      <c r="K1533" s="61">
        <f t="shared" si="1"/>
        <v>0.76</v>
      </c>
      <c r="L1533" s="62">
        <f t="shared" si="2"/>
        <v>1.52</v>
      </c>
    </row>
    <row r="1534">
      <c r="A1534" s="58">
        <v>45992.0</v>
      </c>
      <c r="B1534" s="24" t="s">
        <v>6789</v>
      </c>
      <c r="C1534" s="24" t="s">
        <v>6799</v>
      </c>
      <c r="D1534" s="59">
        <v>21.0</v>
      </c>
      <c r="E1534" s="59">
        <v>21.0</v>
      </c>
      <c r="F1534" s="59">
        <v>14.0</v>
      </c>
      <c r="G1534" s="60">
        <v>1.05</v>
      </c>
      <c r="H1534" s="60">
        <v>0.238095238095238</v>
      </c>
      <c r="I1534" s="60">
        <v>274.67599195238</v>
      </c>
      <c r="J1534" s="59">
        <v>106.0</v>
      </c>
      <c r="K1534" s="61">
        <f t="shared" si="1"/>
        <v>0.6666666667</v>
      </c>
      <c r="L1534" s="62">
        <f t="shared" si="2"/>
        <v>5.047619048</v>
      </c>
    </row>
    <row r="1535">
      <c r="A1535" s="58">
        <v>45992.0</v>
      </c>
      <c r="B1535" s="24" t="s">
        <v>6787</v>
      </c>
      <c r="C1535" s="24" t="s">
        <v>6810</v>
      </c>
      <c r="D1535" s="59">
        <v>21.0</v>
      </c>
      <c r="E1535" s="59">
        <v>22.0</v>
      </c>
      <c r="F1535" s="59">
        <v>21.0</v>
      </c>
      <c r="G1535" s="60">
        <v>1.04761904761904</v>
      </c>
      <c r="H1535" s="60">
        <v>0.59090909090909</v>
      </c>
      <c r="I1535" s="60">
        <v>231.104717772727</v>
      </c>
      <c r="J1535" s="59">
        <v>32.0</v>
      </c>
      <c r="K1535" s="61">
        <f t="shared" si="1"/>
        <v>0.9545454545</v>
      </c>
      <c r="L1535" s="62">
        <f t="shared" si="2"/>
        <v>1.454545455</v>
      </c>
    </row>
    <row r="1536">
      <c r="A1536" s="58">
        <v>45992.0</v>
      </c>
      <c r="B1536" s="24" t="s">
        <v>6787</v>
      </c>
      <c r="C1536" s="24" t="s">
        <v>6820</v>
      </c>
      <c r="D1536" s="59">
        <v>20.0</v>
      </c>
      <c r="E1536" s="59">
        <v>20.0</v>
      </c>
      <c r="F1536" s="59">
        <v>20.0</v>
      </c>
      <c r="G1536" s="60">
        <v>1.0</v>
      </c>
      <c r="H1536" s="60">
        <v>0.6</v>
      </c>
      <c r="I1536" s="60">
        <v>36.7089364499999</v>
      </c>
      <c r="J1536" s="59">
        <v>21.0</v>
      </c>
      <c r="K1536" s="61">
        <f t="shared" si="1"/>
        <v>1</v>
      </c>
      <c r="L1536" s="62">
        <f t="shared" si="2"/>
        <v>1.05</v>
      </c>
    </row>
    <row r="1537">
      <c r="A1537" s="58">
        <v>45992.0</v>
      </c>
      <c r="B1537" s="24" t="s">
        <v>6791</v>
      </c>
      <c r="C1537" s="24" t="s">
        <v>7121</v>
      </c>
      <c r="D1537" s="59">
        <v>20.0</v>
      </c>
      <c r="E1537" s="59">
        <v>20.0</v>
      </c>
      <c r="F1537" s="59">
        <v>20.0</v>
      </c>
      <c r="G1537" s="60">
        <v>1.0</v>
      </c>
      <c r="H1537" s="60">
        <v>0.3</v>
      </c>
      <c r="I1537" s="60">
        <v>60.77255895</v>
      </c>
      <c r="J1537" s="59">
        <v>28.0</v>
      </c>
      <c r="K1537" s="61">
        <f t="shared" si="1"/>
        <v>1</v>
      </c>
      <c r="L1537" s="62">
        <f t="shared" si="2"/>
        <v>1.4</v>
      </c>
    </row>
    <row r="1538">
      <c r="A1538" s="58">
        <v>45992.0</v>
      </c>
      <c r="B1538" s="24" t="s">
        <v>6787</v>
      </c>
      <c r="C1538" s="24" t="s">
        <v>6803</v>
      </c>
      <c r="D1538" s="59">
        <v>19.0</v>
      </c>
      <c r="E1538" s="59">
        <v>19.0</v>
      </c>
      <c r="F1538" s="59">
        <v>19.0</v>
      </c>
      <c r="G1538" s="60">
        <v>1.0</v>
      </c>
      <c r="H1538" s="60">
        <v>0.789473684210526</v>
      </c>
      <c r="I1538" s="60">
        <v>11.2398619473684</v>
      </c>
      <c r="J1538" s="59">
        <v>19.0</v>
      </c>
      <c r="K1538" s="61">
        <f t="shared" si="1"/>
        <v>1</v>
      </c>
      <c r="L1538" s="62">
        <f t="shared" si="2"/>
        <v>1</v>
      </c>
    </row>
    <row r="1539">
      <c r="A1539" s="58">
        <v>45992.0</v>
      </c>
      <c r="B1539" s="24" t="s">
        <v>6787</v>
      </c>
      <c r="C1539" s="24" t="s">
        <v>6806</v>
      </c>
      <c r="D1539" s="59">
        <v>19.0</v>
      </c>
      <c r="E1539" s="59">
        <v>19.0</v>
      </c>
      <c r="F1539" s="59">
        <v>19.0</v>
      </c>
      <c r="G1539" s="60">
        <v>1.0</v>
      </c>
      <c r="H1539" s="60">
        <v>0.736842105263157</v>
      </c>
      <c r="I1539" s="60">
        <v>232.593664631578</v>
      </c>
      <c r="J1539" s="59">
        <v>24.0</v>
      </c>
      <c r="K1539" s="61">
        <f t="shared" si="1"/>
        <v>1</v>
      </c>
      <c r="L1539" s="62">
        <f t="shared" si="2"/>
        <v>1.263157895</v>
      </c>
    </row>
    <row r="1540">
      <c r="A1540" s="58">
        <v>45992.0</v>
      </c>
      <c r="B1540" s="24" t="s">
        <v>6787</v>
      </c>
      <c r="C1540" s="24" t="s">
        <v>7006</v>
      </c>
      <c r="D1540" s="59">
        <v>19.0</v>
      </c>
      <c r="E1540" s="59">
        <v>19.0</v>
      </c>
      <c r="F1540" s="59">
        <v>19.0</v>
      </c>
      <c r="G1540" s="60">
        <v>1.0</v>
      </c>
      <c r="H1540" s="60">
        <v>0.631578947368421</v>
      </c>
      <c r="I1540" s="60">
        <v>16.1077501578947</v>
      </c>
      <c r="J1540" s="59">
        <v>19.0</v>
      </c>
      <c r="K1540" s="61">
        <f t="shared" si="1"/>
        <v>1</v>
      </c>
      <c r="L1540" s="62">
        <f t="shared" si="2"/>
        <v>1</v>
      </c>
    </row>
    <row r="1541">
      <c r="A1541" s="58">
        <v>45992.0</v>
      </c>
      <c r="B1541" s="24" t="s">
        <v>6790</v>
      </c>
      <c r="C1541" s="24" t="s">
        <v>6792</v>
      </c>
      <c r="D1541" s="59">
        <v>18.0</v>
      </c>
      <c r="E1541" s="59">
        <v>18.0</v>
      </c>
      <c r="F1541" s="59">
        <v>0.0</v>
      </c>
      <c r="G1541" s="60">
        <v>1.0</v>
      </c>
      <c r="H1541" s="60">
        <v>1.0</v>
      </c>
      <c r="I1541" s="60">
        <v>0.901439555555555</v>
      </c>
      <c r="J1541" s="59">
        <v>0.0</v>
      </c>
      <c r="K1541" s="61">
        <f t="shared" si="1"/>
        <v>0</v>
      </c>
      <c r="L1541" s="62">
        <f t="shared" si="2"/>
        <v>0</v>
      </c>
    </row>
    <row r="1542">
      <c r="A1542" s="58">
        <v>45992.0</v>
      </c>
      <c r="B1542" s="24" t="s">
        <v>6790</v>
      </c>
      <c r="C1542" s="24" t="s">
        <v>6788</v>
      </c>
      <c r="D1542" s="59">
        <v>18.0</v>
      </c>
      <c r="E1542" s="59">
        <v>21.0</v>
      </c>
      <c r="F1542" s="59">
        <v>13.0</v>
      </c>
      <c r="G1542" s="60">
        <v>1.23529411764705</v>
      </c>
      <c r="H1542" s="60">
        <v>0.571428571428571</v>
      </c>
      <c r="I1542" s="60">
        <v>89.6528201904761</v>
      </c>
      <c r="J1542" s="59">
        <v>22.0</v>
      </c>
      <c r="K1542" s="61">
        <f t="shared" si="1"/>
        <v>0.619047619</v>
      </c>
      <c r="L1542" s="62">
        <f t="shared" si="2"/>
        <v>1.047619048</v>
      </c>
    </row>
    <row r="1543">
      <c r="A1543" s="58">
        <v>45992.0</v>
      </c>
      <c r="B1543" s="24" t="s">
        <v>6787</v>
      </c>
      <c r="C1543" s="24" t="s">
        <v>6898</v>
      </c>
      <c r="D1543" s="59">
        <v>16.0</v>
      </c>
      <c r="E1543" s="59">
        <v>16.0</v>
      </c>
      <c r="F1543" s="59">
        <v>16.0</v>
      </c>
      <c r="G1543" s="60">
        <v>1.0</v>
      </c>
      <c r="H1543" s="60">
        <v>0.625</v>
      </c>
      <c r="I1543" s="60">
        <v>12.97849675</v>
      </c>
      <c r="J1543" s="59">
        <v>16.0</v>
      </c>
      <c r="K1543" s="61">
        <f t="shared" si="1"/>
        <v>1</v>
      </c>
      <c r="L1543" s="62">
        <f t="shared" si="2"/>
        <v>1</v>
      </c>
    </row>
    <row r="1544">
      <c r="A1544" s="58">
        <v>45992.0</v>
      </c>
      <c r="B1544" s="24" t="s">
        <v>6787</v>
      </c>
      <c r="C1544" s="24" t="s">
        <v>6809</v>
      </c>
      <c r="D1544" s="59">
        <v>16.0</v>
      </c>
      <c r="E1544" s="59">
        <v>16.0</v>
      </c>
      <c r="F1544" s="59">
        <v>16.0</v>
      </c>
      <c r="G1544" s="60">
        <v>1.0</v>
      </c>
      <c r="H1544" s="60">
        <v>0.5625</v>
      </c>
      <c r="I1544" s="60">
        <v>78.8358175</v>
      </c>
      <c r="J1544" s="59">
        <v>19.0</v>
      </c>
      <c r="K1544" s="61">
        <f t="shared" si="1"/>
        <v>1</v>
      </c>
      <c r="L1544" s="62">
        <f t="shared" si="2"/>
        <v>1.1875</v>
      </c>
    </row>
    <row r="1545">
      <c r="A1545" s="58">
        <v>45992.0</v>
      </c>
      <c r="B1545" s="24" t="s">
        <v>6787</v>
      </c>
      <c r="C1545" s="24" t="s">
        <v>6931</v>
      </c>
      <c r="D1545" s="59">
        <v>16.0</v>
      </c>
      <c r="E1545" s="59">
        <v>16.0</v>
      </c>
      <c r="F1545" s="59">
        <v>16.0</v>
      </c>
      <c r="G1545" s="60">
        <v>1.0</v>
      </c>
      <c r="H1545" s="60">
        <v>0.625</v>
      </c>
      <c r="I1545" s="60">
        <v>15.2613605</v>
      </c>
      <c r="J1545" s="59">
        <v>16.0</v>
      </c>
      <c r="K1545" s="61">
        <f t="shared" si="1"/>
        <v>1</v>
      </c>
      <c r="L1545" s="62">
        <f t="shared" si="2"/>
        <v>1</v>
      </c>
    </row>
    <row r="1546">
      <c r="A1546" s="58">
        <v>45992.0</v>
      </c>
      <c r="B1546" s="24" t="s">
        <v>6787</v>
      </c>
      <c r="C1546" s="24" t="s">
        <v>6841</v>
      </c>
      <c r="D1546" s="59">
        <v>15.0</v>
      </c>
      <c r="E1546" s="59">
        <v>15.0</v>
      </c>
      <c r="F1546" s="59">
        <v>15.0</v>
      </c>
      <c r="G1546" s="60">
        <v>1.0</v>
      </c>
      <c r="H1546" s="60">
        <v>0.733333333333333</v>
      </c>
      <c r="I1546" s="60">
        <v>35.6091408</v>
      </c>
      <c r="J1546" s="59">
        <v>15.0</v>
      </c>
      <c r="K1546" s="61">
        <f t="shared" si="1"/>
        <v>1</v>
      </c>
      <c r="L1546" s="62">
        <f t="shared" si="2"/>
        <v>1</v>
      </c>
    </row>
    <row r="1547">
      <c r="A1547" s="58">
        <v>45992.0</v>
      </c>
      <c r="B1547" s="24" t="s">
        <v>155</v>
      </c>
      <c r="C1547" s="24" t="s">
        <v>6800</v>
      </c>
      <c r="D1547" s="59">
        <v>15.0</v>
      </c>
      <c r="E1547" s="59">
        <v>15.0</v>
      </c>
      <c r="F1547" s="59">
        <v>15.0</v>
      </c>
      <c r="G1547" s="60">
        <v>1.0</v>
      </c>
      <c r="H1547" s="60">
        <v>0.2</v>
      </c>
      <c r="I1547" s="60">
        <v>33.8375690666666</v>
      </c>
      <c r="J1547" s="59">
        <v>26.0</v>
      </c>
      <c r="K1547" s="61">
        <f t="shared" si="1"/>
        <v>1</v>
      </c>
      <c r="L1547" s="62">
        <f t="shared" si="2"/>
        <v>1.733333333</v>
      </c>
    </row>
    <row r="1548">
      <c r="A1548" s="58">
        <v>45992.0</v>
      </c>
      <c r="B1548" s="24" t="s">
        <v>6787</v>
      </c>
      <c r="C1548" s="24" t="s">
        <v>6909</v>
      </c>
      <c r="D1548" s="59">
        <v>15.0</v>
      </c>
      <c r="E1548" s="59">
        <v>15.0</v>
      </c>
      <c r="F1548" s="59">
        <v>15.0</v>
      </c>
      <c r="G1548" s="60">
        <v>1.0</v>
      </c>
      <c r="H1548" s="60">
        <v>0.4</v>
      </c>
      <c r="I1548" s="60">
        <v>23.6195472666666</v>
      </c>
      <c r="J1548" s="59">
        <v>15.0</v>
      </c>
      <c r="K1548" s="61">
        <f t="shared" si="1"/>
        <v>1</v>
      </c>
      <c r="L1548" s="62">
        <f t="shared" si="2"/>
        <v>1</v>
      </c>
    </row>
    <row r="1549">
      <c r="A1549" s="58">
        <v>45992.0</v>
      </c>
      <c r="B1549" s="24" t="s">
        <v>6787</v>
      </c>
      <c r="C1549" s="24" t="s">
        <v>6910</v>
      </c>
      <c r="D1549" s="59">
        <v>15.0</v>
      </c>
      <c r="E1549" s="59">
        <v>20.0</v>
      </c>
      <c r="F1549" s="59">
        <v>14.0</v>
      </c>
      <c r="G1549" s="60">
        <v>1.33333333333333</v>
      </c>
      <c r="H1549" s="60">
        <v>0.65</v>
      </c>
      <c r="I1549" s="60">
        <v>15.66525665</v>
      </c>
      <c r="J1549" s="59">
        <v>20.0</v>
      </c>
      <c r="K1549" s="61">
        <f t="shared" si="1"/>
        <v>0.7</v>
      </c>
      <c r="L1549" s="62">
        <f t="shared" si="2"/>
        <v>1</v>
      </c>
    </row>
    <row r="1550">
      <c r="A1550" s="58">
        <v>45992.0</v>
      </c>
      <c r="B1550" s="24" t="s">
        <v>6787</v>
      </c>
      <c r="C1550" s="24" t="s">
        <v>7106</v>
      </c>
      <c r="D1550" s="59">
        <v>15.0</v>
      </c>
      <c r="E1550" s="59">
        <v>15.0</v>
      </c>
      <c r="F1550" s="59">
        <v>15.0</v>
      </c>
      <c r="G1550" s="60">
        <v>1.0</v>
      </c>
      <c r="H1550" s="60">
        <v>0.6</v>
      </c>
      <c r="I1550" s="60">
        <v>15.6254036</v>
      </c>
      <c r="J1550" s="59">
        <v>15.0</v>
      </c>
      <c r="K1550" s="61">
        <f t="shared" si="1"/>
        <v>1</v>
      </c>
      <c r="L1550" s="62">
        <f t="shared" si="2"/>
        <v>1</v>
      </c>
    </row>
    <row r="1551">
      <c r="A1551" s="58">
        <v>45992.0</v>
      </c>
      <c r="B1551" s="24" t="s">
        <v>6787</v>
      </c>
      <c r="C1551" s="24" t="s">
        <v>7029</v>
      </c>
      <c r="D1551" s="59">
        <v>14.0</v>
      </c>
      <c r="E1551" s="59">
        <v>14.0</v>
      </c>
      <c r="F1551" s="59">
        <v>14.0</v>
      </c>
      <c r="G1551" s="60">
        <v>1.0</v>
      </c>
      <c r="H1551" s="60">
        <v>0.571428571428571</v>
      </c>
      <c r="I1551" s="60">
        <v>19.1336690714285</v>
      </c>
      <c r="J1551" s="59">
        <v>14.0</v>
      </c>
      <c r="K1551" s="61">
        <f t="shared" si="1"/>
        <v>1</v>
      </c>
      <c r="L1551" s="62">
        <f t="shared" si="2"/>
        <v>1</v>
      </c>
    </row>
    <row r="1552">
      <c r="A1552" s="58">
        <v>45992.0</v>
      </c>
      <c r="B1552" s="24" t="s">
        <v>6787</v>
      </c>
      <c r="C1552" s="24" t="s">
        <v>6903</v>
      </c>
      <c r="D1552" s="59">
        <v>14.0</v>
      </c>
      <c r="E1552" s="59">
        <v>16.0</v>
      </c>
      <c r="F1552" s="59">
        <v>13.0</v>
      </c>
      <c r="G1552" s="60">
        <v>1.23076923076923</v>
      </c>
      <c r="H1552" s="60">
        <v>0.6875</v>
      </c>
      <c r="I1552" s="60">
        <v>15.067508375</v>
      </c>
      <c r="J1552" s="59">
        <v>16.0</v>
      </c>
      <c r="K1552" s="61">
        <f t="shared" si="1"/>
        <v>0.8125</v>
      </c>
      <c r="L1552" s="62">
        <f t="shared" si="2"/>
        <v>1</v>
      </c>
    </row>
    <row r="1553">
      <c r="A1553" s="58">
        <v>45992.0</v>
      </c>
      <c r="B1553" s="24" t="s">
        <v>6787</v>
      </c>
      <c r="C1553" s="24" t="s">
        <v>7043</v>
      </c>
      <c r="D1553" s="59">
        <v>14.0</v>
      </c>
      <c r="E1553" s="59">
        <v>16.0</v>
      </c>
      <c r="F1553" s="59">
        <v>14.0</v>
      </c>
      <c r="G1553" s="60">
        <v>1.14285714285714</v>
      </c>
      <c r="H1553" s="60">
        <v>0.625</v>
      </c>
      <c r="I1553" s="60">
        <v>114.3522329375</v>
      </c>
      <c r="J1553" s="59">
        <v>16.0</v>
      </c>
      <c r="K1553" s="61">
        <f t="shared" si="1"/>
        <v>0.875</v>
      </c>
      <c r="L1553" s="62">
        <f t="shared" si="2"/>
        <v>1</v>
      </c>
    </row>
    <row r="1554">
      <c r="A1554" s="58">
        <v>45992.0</v>
      </c>
      <c r="B1554" s="24" t="s">
        <v>6791</v>
      </c>
      <c r="C1554" s="24" t="s">
        <v>6788</v>
      </c>
      <c r="D1554" s="59">
        <v>13.0</v>
      </c>
      <c r="E1554" s="59">
        <v>55.0</v>
      </c>
      <c r="F1554" s="59">
        <v>1.0</v>
      </c>
      <c r="G1554" s="60">
        <v>4.58333333333333</v>
      </c>
      <c r="H1554" s="60">
        <v>0.527272727272727</v>
      </c>
      <c r="I1554" s="60">
        <v>348.766852763636</v>
      </c>
      <c r="J1554" s="59">
        <v>94.0</v>
      </c>
      <c r="K1554" s="61">
        <f t="shared" si="1"/>
        <v>0.01818181818</v>
      </c>
      <c r="L1554" s="62">
        <f t="shared" si="2"/>
        <v>1.709090909</v>
      </c>
    </row>
    <row r="1555">
      <c r="A1555" s="58">
        <v>45992.0</v>
      </c>
      <c r="B1555" s="24" t="s">
        <v>6787</v>
      </c>
      <c r="C1555" s="24" t="s">
        <v>6862</v>
      </c>
      <c r="D1555" s="59">
        <v>13.0</v>
      </c>
      <c r="E1555" s="59">
        <v>13.0</v>
      </c>
      <c r="F1555" s="59">
        <v>13.0</v>
      </c>
      <c r="G1555" s="60">
        <v>1.0</v>
      </c>
      <c r="H1555" s="60">
        <v>0.692307692307692</v>
      </c>
      <c r="I1555" s="60">
        <v>14.3802433076923</v>
      </c>
      <c r="J1555" s="59">
        <v>13.0</v>
      </c>
      <c r="K1555" s="61">
        <f t="shared" si="1"/>
        <v>1</v>
      </c>
      <c r="L1555" s="62">
        <f t="shared" si="2"/>
        <v>1</v>
      </c>
    </row>
    <row r="1556">
      <c r="A1556" s="58">
        <v>45992.0</v>
      </c>
      <c r="B1556" s="24" t="s">
        <v>6787</v>
      </c>
      <c r="C1556" s="24" t="s">
        <v>6904</v>
      </c>
      <c r="D1556" s="59">
        <v>13.0</v>
      </c>
      <c r="E1556" s="59">
        <v>14.0</v>
      </c>
      <c r="F1556" s="59">
        <v>13.0</v>
      </c>
      <c r="G1556" s="60">
        <v>1.07692307692307</v>
      </c>
      <c r="H1556" s="60">
        <v>0.357142857142857</v>
      </c>
      <c r="I1556" s="60">
        <v>121.216155714285</v>
      </c>
      <c r="J1556" s="59">
        <v>35.0</v>
      </c>
      <c r="K1556" s="61">
        <f t="shared" si="1"/>
        <v>0.9285714286</v>
      </c>
      <c r="L1556" s="62">
        <f t="shared" si="2"/>
        <v>2.5</v>
      </c>
    </row>
    <row r="1557">
      <c r="A1557" s="58">
        <v>45992.0</v>
      </c>
      <c r="B1557" s="24" t="s">
        <v>6787</v>
      </c>
      <c r="C1557" s="24" t="s">
        <v>7026</v>
      </c>
      <c r="D1557" s="59">
        <v>13.0</v>
      </c>
      <c r="E1557" s="59">
        <v>13.0</v>
      </c>
      <c r="F1557" s="59">
        <v>13.0</v>
      </c>
      <c r="G1557" s="60">
        <v>1.0</v>
      </c>
      <c r="H1557" s="60">
        <v>0.538461538461538</v>
      </c>
      <c r="I1557" s="60">
        <v>16.4166649230769</v>
      </c>
      <c r="J1557" s="59">
        <v>13.0</v>
      </c>
      <c r="K1557" s="61">
        <f t="shared" si="1"/>
        <v>1</v>
      </c>
      <c r="L1557" s="62">
        <f t="shared" si="2"/>
        <v>1</v>
      </c>
    </row>
    <row r="1558">
      <c r="A1558" s="58">
        <v>45992.0</v>
      </c>
      <c r="B1558" s="24" t="s">
        <v>6789</v>
      </c>
      <c r="C1558" s="24" t="s">
        <v>6801</v>
      </c>
      <c r="D1558" s="59">
        <v>13.0</v>
      </c>
      <c r="E1558" s="59">
        <v>14.0</v>
      </c>
      <c r="F1558" s="59">
        <v>11.0</v>
      </c>
      <c r="G1558" s="60">
        <v>1.07692307692307</v>
      </c>
      <c r="H1558" s="60">
        <v>0.428571428571428</v>
      </c>
      <c r="I1558" s="60">
        <v>159.286756142857</v>
      </c>
      <c r="J1558" s="59">
        <v>14.0</v>
      </c>
      <c r="K1558" s="61">
        <f t="shared" si="1"/>
        <v>0.7857142857</v>
      </c>
      <c r="L1558" s="62">
        <f t="shared" si="2"/>
        <v>1</v>
      </c>
    </row>
    <row r="1559">
      <c r="A1559" s="58">
        <v>45992.0</v>
      </c>
      <c r="B1559" s="24" t="s">
        <v>6787</v>
      </c>
      <c r="C1559" s="24" t="s">
        <v>6804</v>
      </c>
      <c r="D1559" s="59">
        <v>12.0</v>
      </c>
      <c r="E1559" s="59">
        <v>12.0</v>
      </c>
      <c r="F1559" s="59">
        <v>12.0</v>
      </c>
      <c r="G1559" s="60">
        <v>1.0</v>
      </c>
      <c r="H1559" s="60">
        <v>0.666666666666666</v>
      </c>
      <c r="I1559" s="60">
        <v>14.6707355833333</v>
      </c>
      <c r="J1559" s="59">
        <v>12.0</v>
      </c>
      <c r="K1559" s="61">
        <f t="shared" si="1"/>
        <v>1</v>
      </c>
      <c r="L1559" s="62">
        <f t="shared" si="2"/>
        <v>1</v>
      </c>
    </row>
    <row r="1560">
      <c r="A1560" s="58">
        <v>45992.0</v>
      </c>
      <c r="B1560" s="24" t="s">
        <v>3216</v>
      </c>
      <c r="C1560" s="24" t="s">
        <v>6866</v>
      </c>
      <c r="D1560" s="59">
        <v>12.0</v>
      </c>
      <c r="E1560" s="59">
        <v>12.0</v>
      </c>
      <c r="F1560" s="59">
        <v>12.0</v>
      </c>
      <c r="G1560" s="60">
        <v>1.0</v>
      </c>
      <c r="H1560" s="60">
        <v>1.0</v>
      </c>
      <c r="I1560" s="60">
        <v>0.0</v>
      </c>
      <c r="J1560" s="59">
        <v>12.0</v>
      </c>
      <c r="K1560" s="61">
        <f t="shared" si="1"/>
        <v>1</v>
      </c>
      <c r="L1560" s="62">
        <f t="shared" si="2"/>
        <v>1</v>
      </c>
    </row>
    <row r="1561">
      <c r="A1561" s="58">
        <v>45992.0</v>
      </c>
      <c r="B1561" s="24" t="s">
        <v>6787</v>
      </c>
      <c r="C1561" s="24" t="s">
        <v>6835</v>
      </c>
      <c r="D1561" s="59">
        <v>12.0</v>
      </c>
      <c r="E1561" s="59">
        <v>13.0</v>
      </c>
      <c r="F1561" s="59">
        <v>11.0</v>
      </c>
      <c r="G1561" s="60">
        <v>1.08333333333333</v>
      </c>
      <c r="H1561" s="60">
        <v>0.461538461538461</v>
      </c>
      <c r="I1561" s="60">
        <v>28.7737093076923</v>
      </c>
      <c r="J1561" s="59">
        <v>15.0</v>
      </c>
      <c r="K1561" s="61">
        <f t="shared" si="1"/>
        <v>0.8461538462</v>
      </c>
      <c r="L1561" s="62">
        <f t="shared" si="2"/>
        <v>1.153846154</v>
      </c>
    </row>
    <row r="1562">
      <c r="A1562" s="58">
        <v>45992.0</v>
      </c>
      <c r="B1562" s="24" t="s">
        <v>6789</v>
      </c>
      <c r="C1562" s="24" t="s">
        <v>6841</v>
      </c>
      <c r="D1562" s="59">
        <v>12.0</v>
      </c>
      <c r="E1562" s="59">
        <v>13.0</v>
      </c>
      <c r="F1562" s="59">
        <v>11.0</v>
      </c>
      <c r="G1562" s="60">
        <v>1.08333333333333</v>
      </c>
      <c r="H1562" s="60">
        <v>0.461538461538461</v>
      </c>
      <c r="I1562" s="60">
        <v>146.39200676923</v>
      </c>
      <c r="J1562" s="59">
        <v>13.0</v>
      </c>
      <c r="K1562" s="61">
        <f t="shared" si="1"/>
        <v>0.8461538462</v>
      </c>
      <c r="L1562" s="62">
        <f t="shared" si="2"/>
        <v>1</v>
      </c>
    </row>
    <row r="1563">
      <c r="A1563" s="58">
        <v>45992.0</v>
      </c>
      <c r="B1563" s="24" t="s">
        <v>6787</v>
      </c>
      <c r="C1563" s="24" t="s">
        <v>6899</v>
      </c>
      <c r="D1563" s="59">
        <v>12.0</v>
      </c>
      <c r="E1563" s="59">
        <v>12.0</v>
      </c>
      <c r="F1563" s="59">
        <v>12.0</v>
      </c>
      <c r="G1563" s="60">
        <v>1.0</v>
      </c>
      <c r="H1563" s="60">
        <v>0.583333333333333</v>
      </c>
      <c r="I1563" s="60">
        <v>14.7903506666666</v>
      </c>
      <c r="J1563" s="59">
        <v>12.0</v>
      </c>
      <c r="K1563" s="61">
        <f t="shared" si="1"/>
        <v>1</v>
      </c>
      <c r="L1563" s="62">
        <f t="shared" si="2"/>
        <v>1</v>
      </c>
    </row>
    <row r="1564">
      <c r="A1564" s="58">
        <v>45992.0</v>
      </c>
      <c r="B1564" s="24" t="s">
        <v>6787</v>
      </c>
      <c r="C1564" s="24" t="s">
        <v>6842</v>
      </c>
      <c r="D1564" s="59">
        <v>12.0</v>
      </c>
      <c r="E1564" s="59">
        <v>12.0</v>
      </c>
      <c r="F1564" s="59">
        <v>12.0</v>
      </c>
      <c r="G1564" s="60">
        <v>1.0</v>
      </c>
      <c r="H1564" s="60">
        <v>0.583333333333333</v>
      </c>
      <c r="I1564" s="60">
        <v>20.09967375</v>
      </c>
      <c r="J1564" s="59">
        <v>12.0</v>
      </c>
      <c r="K1564" s="61">
        <f t="shared" si="1"/>
        <v>1</v>
      </c>
      <c r="L1564" s="62">
        <f t="shared" si="2"/>
        <v>1</v>
      </c>
    </row>
    <row r="1565">
      <c r="A1565" s="58">
        <v>45992.0</v>
      </c>
      <c r="B1565" s="24" t="s">
        <v>6787</v>
      </c>
      <c r="C1565" s="24" t="s">
        <v>7007</v>
      </c>
      <c r="D1565" s="59">
        <v>12.0</v>
      </c>
      <c r="E1565" s="59">
        <v>12.0</v>
      </c>
      <c r="F1565" s="59">
        <v>12.0</v>
      </c>
      <c r="G1565" s="60">
        <v>1.0</v>
      </c>
      <c r="H1565" s="60">
        <v>0.583333333333333</v>
      </c>
      <c r="I1565" s="60">
        <v>15.6703110833333</v>
      </c>
      <c r="J1565" s="59">
        <v>12.0</v>
      </c>
      <c r="K1565" s="61">
        <f t="shared" si="1"/>
        <v>1</v>
      </c>
      <c r="L1565" s="62">
        <f t="shared" si="2"/>
        <v>1</v>
      </c>
    </row>
    <row r="1566">
      <c r="A1566" s="58">
        <v>45992.0</v>
      </c>
      <c r="B1566" s="24" t="s">
        <v>6789</v>
      </c>
      <c r="C1566" s="24" t="s">
        <v>6796</v>
      </c>
      <c r="D1566" s="59">
        <v>12.0</v>
      </c>
      <c r="E1566" s="59">
        <v>18.0</v>
      </c>
      <c r="F1566" s="59">
        <v>12.0</v>
      </c>
      <c r="G1566" s="60">
        <v>1.5</v>
      </c>
      <c r="H1566" s="60">
        <v>0.333333333333333</v>
      </c>
      <c r="I1566" s="60">
        <v>308.100128444444</v>
      </c>
      <c r="J1566" s="59">
        <v>29.0</v>
      </c>
      <c r="K1566" s="61">
        <f t="shared" si="1"/>
        <v>0.6666666667</v>
      </c>
      <c r="L1566" s="62">
        <f t="shared" si="2"/>
        <v>1.611111111</v>
      </c>
    </row>
    <row r="1567">
      <c r="A1567" s="58">
        <v>45992.0</v>
      </c>
      <c r="B1567" s="24" t="s">
        <v>6787</v>
      </c>
      <c r="C1567" s="24" t="s">
        <v>7087</v>
      </c>
      <c r="D1567" s="59">
        <v>12.0</v>
      </c>
      <c r="E1567" s="59">
        <v>12.0</v>
      </c>
      <c r="F1567" s="59">
        <v>12.0</v>
      </c>
      <c r="G1567" s="60">
        <v>1.0</v>
      </c>
      <c r="H1567" s="60">
        <v>0.5</v>
      </c>
      <c r="I1567" s="60">
        <v>23.2013256666666</v>
      </c>
      <c r="J1567" s="59">
        <v>14.0</v>
      </c>
      <c r="K1567" s="61">
        <f t="shared" si="1"/>
        <v>1</v>
      </c>
      <c r="L1567" s="62">
        <f t="shared" si="2"/>
        <v>1.166666667</v>
      </c>
    </row>
    <row r="1568">
      <c r="A1568" s="58">
        <v>45992.0</v>
      </c>
      <c r="B1568" s="24" t="s">
        <v>6787</v>
      </c>
      <c r="C1568" s="24" t="s">
        <v>7102</v>
      </c>
      <c r="D1568" s="59">
        <v>12.0</v>
      </c>
      <c r="E1568" s="59">
        <v>14.0</v>
      </c>
      <c r="F1568" s="59">
        <v>11.0</v>
      </c>
      <c r="G1568" s="60">
        <v>1.27272727272727</v>
      </c>
      <c r="H1568" s="60">
        <v>0.5</v>
      </c>
      <c r="I1568" s="60">
        <v>18.9467229285714</v>
      </c>
      <c r="J1568" s="59">
        <v>14.0</v>
      </c>
      <c r="K1568" s="61">
        <f t="shared" si="1"/>
        <v>0.7857142857</v>
      </c>
      <c r="L1568" s="62">
        <f t="shared" si="2"/>
        <v>1</v>
      </c>
    </row>
    <row r="1569">
      <c r="A1569" s="58">
        <v>45992.0</v>
      </c>
      <c r="B1569" s="24" t="s">
        <v>6787</v>
      </c>
      <c r="C1569" s="24" t="s">
        <v>7023</v>
      </c>
      <c r="D1569" s="59">
        <v>12.0</v>
      </c>
      <c r="E1569" s="59">
        <v>12.0</v>
      </c>
      <c r="F1569" s="59">
        <v>12.0</v>
      </c>
      <c r="G1569" s="60">
        <v>1.0</v>
      </c>
      <c r="H1569" s="60">
        <v>0.583333333333333</v>
      </c>
      <c r="I1569" s="60">
        <v>18.5528746666666</v>
      </c>
      <c r="J1569" s="59">
        <v>12.0</v>
      </c>
      <c r="K1569" s="61">
        <f t="shared" si="1"/>
        <v>1</v>
      </c>
      <c r="L1569" s="62">
        <f t="shared" si="2"/>
        <v>1</v>
      </c>
    </row>
    <row r="1570">
      <c r="A1570" s="58">
        <v>45992.0</v>
      </c>
      <c r="B1570" s="24" t="s">
        <v>6787</v>
      </c>
      <c r="C1570" s="24" t="s">
        <v>6863</v>
      </c>
      <c r="D1570" s="59">
        <v>11.0</v>
      </c>
      <c r="E1570" s="59">
        <v>11.0</v>
      </c>
      <c r="F1570" s="59">
        <v>11.0</v>
      </c>
      <c r="G1570" s="60">
        <v>1.0</v>
      </c>
      <c r="H1570" s="60">
        <v>0.545454545454545</v>
      </c>
      <c r="I1570" s="60">
        <v>17.9643274545454</v>
      </c>
      <c r="J1570" s="59">
        <v>11.0</v>
      </c>
      <c r="K1570" s="61">
        <f t="shared" si="1"/>
        <v>1</v>
      </c>
      <c r="L1570" s="62">
        <f t="shared" si="2"/>
        <v>1</v>
      </c>
    </row>
    <row r="1571">
      <c r="A1571" s="58">
        <v>45992.0</v>
      </c>
      <c r="B1571" s="24" t="s">
        <v>6787</v>
      </c>
      <c r="C1571" s="24" t="s">
        <v>7024</v>
      </c>
      <c r="D1571" s="59">
        <v>11.0</v>
      </c>
      <c r="E1571" s="59">
        <v>11.0</v>
      </c>
      <c r="F1571" s="59">
        <v>11.0</v>
      </c>
      <c r="G1571" s="60">
        <v>1.0</v>
      </c>
      <c r="H1571" s="60">
        <v>0.545454545454545</v>
      </c>
      <c r="I1571" s="60">
        <v>23.6859735454545</v>
      </c>
      <c r="J1571" s="59">
        <v>11.0</v>
      </c>
      <c r="K1571" s="61">
        <f t="shared" si="1"/>
        <v>1</v>
      </c>
      <c r="L1571" s="62">
        <f t="shared" si="2"/>
        <v>1</v>
      </c>
    </row>
    <row r="1572">
      <c r="A1572" s="58">
        <v>45992.0</v>
      </c>
      <c r="B1572" s="24" t="s">
        <v>6789</v>
      </c>
      <c r="C1572" s="24" t="s">
        <v>7024</v>
      </c>
      <c r="D1572" s="59">
        <v>11.0</v>
      </c>
      <c r="E1572" s="59">
        <v>12.0</v>
      </c>
      <c r="F1572" s="59">
        <v>11.0</v>
      </c>
      <c r="G1572" s="60">
        <v>1.09090909090909</v>
      </c>
      <c r="H1572" s="60">
        <v>0.416666666666666</v>
      </c>
      <c r="I1572" s="60">
        <v>163.049051416666</v>
      </c>
      <c r="J1572" s="59">
        <v>12.0</v>
      </c>
      <c r="K1572" s="61">
        <f t="shared" si="1"/>
        <v>0.9166666667</v>
      </c>
      <c r="L1572" s="62">
        <f t="shared" si="2"/>
        <v>1</v>
      </c>
    </row>
    <row r="1573">
      <c r="A1573" s="58">
        <v>45992.0</v>
      </c>
      <c r="B1573" s="24" t="s">
        <v>6787</v>
      </c>
      <c r="C1573" s="24" t="s">
        <v>6822</v>
      </c>
      <c r="D1573" s="59">
        <v>11.0</v>
      </c>
      <c r="E1573" s="59">
        <v>11.0</v>
      </c>
      <c r="F1573" s="59">
        <v>11.0</v>
      </c>
      <c r="G1573" s="60">
        <v>1.0</v>
      </c>
      <c r="H1573" s="60">
        <v>0.545454545454545</v>
      </c>
      <c r="I1573" s="60">
        <v>20.8272055454545</v>
      </c>
      <c r="J1573" s="59">
        <v>11.0</v>
      </c>
      <c r="K1573" s="61">
        <f t="shared" si="1"/>
        <v>1</v>
      </c>
      <c r="L1573" s="62">
        <f t="shared" si="2"/>
        <v>1</v>
      </c>
    </row>
    <row r="1574">
      <c r="A1574" s="58">
        <v>45992.0</v>
      </c>
      <c r="B1574" s="24" t="s">
        <v>6787</v>
      </c>
      <c r="C1574" s="24" t="s">
        <v>6813</v>
      </c>
      <c r="D1574" s="59">
        <v>11.0</v>
      </c>
      <c r="E1574" s="59">
        <v>11.0</v>
      </c>
      <c r="F1574" s="59">
        <v>11.0</v>
      </c>
      <c r="G1574" s="60">
        <v>1.0</v>
      </c>
      <c r="H1574" s="60">
        <v>0.454545454545454</v>
      </c>
      <c r="I1574" s="60">
        <v>23.8161621818181</v>
      </c>
      <c r="J1574" s="59">
        <v>11.0</v>
      </c>
      <c r="K1574" s="61">
        <f t="shared" si="1"/>
        <v>1</v>
      </c>
      <c r="L1574" s="62">
        <f t="shared" si="2"/>
        <v>1</v>
      </c>
    </row>
    <row r="1575">
      <c r="A1575" s="58">
        <v>45992.0</v>
      </c>
      <c r="B1575" s="24" t="s">
        <v>6787</v>
      </c>
      <c r="C1575" s="24" t="s">
        <v>6922</v>
      </c>
      <c r="D1575" s="59">
        <v>11.0</v>
      </c>
      <c r="E1575" s="59">
        <v>11.0</v>
      </c>
      <c r="F1575" s="59">
        <v>11.0</v>
      </c>
      <c r="G1575" s="60">
        <v>1.0</v>
      </c>
      <c r="H1575" s="60">
        <v>0.454545454545454</v>
      </c>
      <c r="I1575" s="60">
        <v>127.773719727272</v>
      </c>
      <c r="J1575" s="59">
        <v>15.0</v>
      </c>
      <c r="K1575" s="61">
        <f t="shared" si="1"/>
        <v>1</v>
      </c>
      <c r="L1575" s="62">
        <f t="shared" si="2"/>
        <v>1.363636364</v>
      </c>
    </row>
    <row r="1576">
      <c r="A1576" s="58">
        <v>45992.0</v>
      </c>
      <c r="B1576" s="24" t="s">
        <v>6787</v>
      </c>
      <c r="C1576" s="24" t="s">
        <v>7118</v>
      </c>
      <c r="D1576" s="59">
        <v>11.0</v>
      </c>
      <c r="E1576" s="59">
        <v>11.0</v>
      </c>
      <c r="F1576" s="59">
        <v>11.0</v>
      </c>
      <c r="G1576" s="60">
        <v>1.0</v>
      </c>
      <c r="H1576" s="60">
        <v>0.272727272727272</v>
      </c>
      <c r="I1576" s="60">
        <v>34.0404947272727</v>
      </c>
      <c r="J1576" s="59">
        <v>11.0</v>
      </c>
      <c r="K1576" s="61">
        <f t="shared" si="1"/>
        <v>1</v>
      </c>
      <c r="L1576" s="62">
        <f t="shared" si="2"/>
        <v>1</v>
      </c>
    </row>
    <row r="1577">
      <c r="A1577" s="58">
        <v>45992.0</v>
      </c>
      <c r="B1577" s="24" t="s">
        <v>6787</v>
      </c>
      <c r="C1577" s="24" t="s">
        <v>6827</v>
      </c>
      <c r="D1577" s="59">
        <v>10.0</v>
      </c>
      <c r="E1577" s="59">
        <v>13.0</v>
      </c>
      <c r="F1577" s="59">
        <v>7.0</v>
      </c>
      <c r="G1577" s="60">
        <v>1.44444444444444</v>
      </c>
      <c r="H1577" s="60">
        <v>0.384615384615384</v>
      </c>
      <c r="I1577" s="60">
        <v>53.4969807692307</v>
      </c>
      <c r="J1577" s="59">
        <v>26.0</v>
      </c>
      <c r="K1577" s="61">
        <f t="shared" si="1"/>
        <v>0.5384615385</v>
      </c>
      <c r="L1577" s="62">
        <f t="shared" si="2"/>
        <v>2</v>
      </c>
    </row>
    <row r="1578">
      <c r="A1578" s="58">
        <v>45992.0</v>
      </c>
      <c r="B1578" s="24" t="s">
        <v>6787</v>
      </c>
      <c r="C1578" s="24" t="s">
        <v>6817</v>
      </c>
      <c r="D1578" s="59">
        <v>10.0</v>
      </c>
      <c r="E1578" s="59">
        <v>10.0</v>
      </c>
      <c r="F1578" s="59">
        <v>9.0</v>
      </c>
      <c r="G1578" s="60">
        <v>1.0</v>
      </c>
      <c r="H1578" s="60">
        <v>0.4</v>
      </c>
      <c r="I1578" s="60">
        <v>151.1804438</v>
      </c>
      <c r="J1578" s="59">
        <v>18.0</v>
      </c>
      <c r="K1578" s="61">
        <f t="shared" si="1"/>
        <v>0.9</v>
      </c>
      <c r="L1578" s="62">
        <f t="shared" si="2"/>
        <v>1.8</v>
      </c>
    </row>
    <row r="1579">
      <c r="A1579" s="58">
        <v>45992.0</v>
      </c>
      <c r="B1579" s="24" t="s">
        <v>6787</v>
      </c>
      <c r="C1579" s="24" t="s">
        <v>6858</v>
      </c>
      <c r="D1579" s="59">
        <v>10.0</v>
      </c>
      <c r="E1579" s="59">
        <v>10.0</v>
      </c>
      <c r="F1579" s="59">
        <v>10.0</v>
      </c>
      <c r="G1579" s="60">
        <v>1.0</v>
      </c>
      <c r="H1579" s="60">
        <v>0.4</v>
      </c>
      <c r="I1579" s="60">
        <v>21.5394922</v>
      </c>
      <c r="J1579" s="59">
        <v>10.0</v>
      </c>
      <c r="K1579" s="61">
        <f t="shared" si="1"/>
        <v>1</v>
      </c>
      <c r="L1579" s="62">
        <f t="shared" si="2"/>
        <v>1</v>
      </c>
    </row>
    <row r="1580">
      <c r="A1580" s="58">
        <v>45992.0</v>
      </c>
      <c r="B1580" s="24" t="s">
        <v>6787</v>
      </c>
      <c r="C1580" s="24" t="s">
        <v>6876</v>
      </c>
      <c r="D1580" s="59">
        <v>10.0</v>
      </c>
      <c r="E1580" s="59">
        <v>10.0</v>
      </c>
      <c r="F1580" s="59">
        <v>10.0</v>
      </c>
      <c r="G1580" s="60">
        <v>1.0</v>
      </c>
      <c r="H1580" s="60">
        <v>0.8</v>
      </c>
      <c r="I1580" s="60">
        <v>10.7418508</v>
      </c>
      <c r="J1580" s="59">
        <v>10.0</v>
      </c>
      <c r="K1580" s="61">
        <f t="shared" si="1"/>
        <v>1</v>
      </c>
      <c r="L1580" s="62">
        <f t="shared" si="2"/>
        <v>1</v>
      </c>
    </row>
    <row r="1581">
      <c r="A1581" s="58">
        <v>45992.0</v>
      </c>
      <c r="B1581" s="24" t="s">
        <v>6787</v>
      </c>
      <c r="C1581" s="24" t="s">
        <v>6880</v>
      </c>
      <c r="D1581" s="59">
        <v>10.0</v>
      </c>
      <c r="E1581" s="59">
        <v>10.0</v>
      </c>
      <c r="F1581" s="59">
        <v>10.0</v>
      </c>
      <c r="G1581" s="60">
        <v>1.0</v>
      </c>
      <c r="H1581" s="60">
        <v>0.6</v>
      </c>
      <c r="I1581" s="60">
        <v>21.2102611</v>
      </c>
      <c r="J1581" s="59">
        <v>10.0</v>
      </c>
      <c r="K1581" s="61">
        <f t="shared" si="1"/>
        <v>1</v>
      </c>
      <c r="L1581" s="62">
        <f t="shared" si="2"/>
        <v>1</v>
      </c>
    </row>
    <row r="1582">
      <c r="A1582" s="58">
        <v>45992.0</v>
      </c>
      <c r="B1582" s="24" t="s">
        <v>6787</v>
      </c>
      <c r="C1582" s="24" t="s">
        <v>6888</v>
      </c>
      <c r="D1582" s="59">
        <v>10.0</v>
      </c>
      <c r="E1582" s="59">
        <v>10.0</v>
      </c>
      <c r="F1582" s="59">
        <v>10.0</v>
      </c>
      <c r="G1582" s="60">
        <v>1.0</v>
      </c>
      <c r="H1582" s="60">
        <v>0.5</v>
      </c>
      <c r="I1582" s="60">
        <v>19.7249287</v>
      </c>
      <c r="J1582" s="59">
        <v>10.0</v>
      </c>
      <c r="K1582" s="61">
        <f t="shared" si="1"/>
        <v>1</v>
      </c>
      <c r="L1582" s="62">
        <f t="shared" si="2"/>
        <v>1</v>
      </c>
    </row>
    <row r="1583">
      <c r="A1583" s="58">
        <v>45992.0</v>
      </c>
      <c r="B1583" s="24" t="s">
        <v>6789</v>
      </c>
      <c r="C1583" s="24" t="s">
        <v>6811</v>
      </c>
      <c r="D1583" s="59">
        <v>10.0</v>
      </c>
      <c r="E1583" s="59">
        <v>11.0</v>
      </c>
      <c r="F1583" s="59">
        <v>8.0</v>
      </c>
      <c r="G1583" s="60">
        <v>1.22222222222222</v>
      </c>
      <c r="H1583" s="60">
        <v>0.636363636363636</v>
      </c>
      <c r="I1583" s="60">
        <v>207.773839454545</v>
      </c>
      <c r="J1583" s="59">
        <v>12.0</v>
      </c>
      <c r="K1583" s="61">
        <f t="shared" si="1"/>
        <v>0.7272727273</v>
      </c>
      <c r="L1583" s="62">
        <f t="shared" si="2"/>
        <v>1.090909091</v>
      </c>
    </row>
    <row r="1584">
      <c r="A1584" s="58">
        <v>45992.0</v>
      </c>
      <c r="B1584" s="24" t="s">
        <v>6787</v>
      </c>
      <c r="C1584" s="24" t="s">
        <v>7101</v>
      </c>
      <c r="D1584" s="59">
        <v>10.0</v>
      </c>
      <c r="E1584" s="59">
        <v>10.0</v>
      </c>
      <c r="F1584" s="59">
        <v>10.0</v>
      </c>
      <c r="G1584" s="60">
        <v>1.0</v>
      </c>
      <c r="H1584" s="60">
        <v>0.5</v>
      </c>
      <c r="I1584" s="60">
        <v>24.4716005999999</v>
      </c>
      <c r="J1584" s="59">
        <v>10.0</v>
      </c>
      <c r="K1584" s="61">
        <f t="shared" si="1"/>
        <v>1</v>
      </c>
      <c r="L1584" s="62">
        <f t="shared" si="2"/>
        <v>1</v>
      </c>
    </row>
    <row r="1585">
      <c r="A1585" s="58">
        <v>45992.0</v>
      </c>
      <c r="B1585" s="24" t="s">
        <v>6787</v>
      </c>
      <c r="C1585" s="24" t="s">
        <v>7173</v>
      </c>
      <c r="D1585" s="59">
        <v>10.0</v>
      </c>
      <c r="E1585" s="59">
        <v>10.0</v>
      </c>
      <c r="F1585" s="59">
        <v>9.0</v>
      </c>
      <c r="G1585" s="60">
        <v>1.0</v>
      </c>
      <c r="H1585" s="60">
        <v>0.4</v>
      </c>
      <c r="I1585" s="60">
        <v>29.7806182</v>
      </c>
      <c r="J1585" s="59">
        <v>10.0</v>
      </c>
      <c r="K1585" s="61">
        <f t="shared" si="1"/>
        <v>0.9</v>
      </c>
      <c r="L1585" s="62">
        <f t="shared" si="2"/>
        <v>1</v>
      </c>
    </row>
    <row r="1586">
      <c r="A1586" s="58">
        <v>45992.0</v>
      </c>
      <c r="B1586" s="24" t="s">
        <v>6787</v>
      </c>
      <c r="C1586" s="24" t="s">
        <v>6912</v>
      </c>
      <c r="D1586" s="59">
        <v>10.0</v>
      </c>
      <c r="E1586" s="59">
        <v>10.0</v>
      </c>
      <c r="F1586" s="59">
        <v>10.0</v>
      </c>
      <c r="G1586" s="60">
        <v>1.0</v>
      </c>
      <c r="H1586" s="60">
        <v>0.5</v>
      </c>
      <c r="I1586" s="60">
        <v>40.2698178</v>
      </c>
      <c r="J1586" s="59">
        <v>10.0</v>
      </c>
      <c r="K1586" s="61">
        <f t="shared" si="1"/>
        <v>1</v>
      </c>
      <c r="L1586" s="62">
        <f t="shared" si="2"/>
        <v>1</v>
      </c>
    </row>
    <row r="1587">
      <c r="A1587" s="58">
        <v>45992.0</v>
      </c>
      <c r="B1587" s="24" t="s">
        <v>6787</v>
      </c>
      <c r="C1587" s="24" t="s">
        <v>6917</v>
      </c>
      <c r="D1587" s="59">
        <v>10.0</v>
      </c>
      <c r="E1587" s="59">
        <v>10.0</v>
      </c>
      <c r="F1587" s="59">
        <v>10.0</v>
      </c>
      <c r="G1587" s="60">
        <v>1.0</v>
      </c>
      <c r="H1587" s="60">
        <v>0.7</v>
      </c>
      <c r="I1587" s="60">
        <v>31.6473506</v>
      </c>
      <c r="J1587" s="59">
        <v>10.0</v>
      </c>
      <c r="K1587" s="61">
        <f t="shared" si="1"/>
        <v>1</v>
      </c>
      <c r="L1587" s="62">
        <f t="shared" si="2"/>
        <v>1</v>
      </c>
    </row>
    <row r="1588">
      <c r="A1588" s="58">
        <v>45992.0</v>
      </c>
      <c r="B1588" s="24" t="s">
        <v>6789</v>
      </c>
      <c r="C1588" s="24" t="s">
        <v>6815</v>
      </c>
      <c r="D1588" s="59">
        <v>10.0</v>
      </c>
      <c r="E1588" s="59">
        <v>10.0</v>
      </c>
      <c r="F1588" s="59">
        <v>8.0</v>
      </c>
      <c r="G1588" s="60">
        <v>1.11111111111111</v>
      </c>
      <c r="H1588" s="60">
        <v>0.4</v>
      </c>
      <c r="I1588" s="60">
        <v>39.9924458</v>
      </c>
      <c r="J1588" s="59">
        <v>13.0</v>
      </c>
      <c r="K1588" s="61">
        <f t="shared" si="1"/>
        <v>0.8</v>
      </c>
      <c r="L1588" s="62">
        <f t="shared" si="2"/>
        <v>1.3</v>
      </c>
    </row>
    <row r="1589">
      <c r="A1589" s="58">
        <v>45992.0</v>
      </c>
      <c r="B1589" s="24" t="s">
        <v>6787</v>
      </c>
      <c r="C1589" s="24" t="s">
        <v>7108</v>
      </c>
      <c r="D1589" s="59">
        <v>10.0</v>
      </c>
      <c r="E1589" s="59">
        <v>10.0</v>
      </c>
      <c r="F1589" s="59">
        <v>9.0</v>
      </c>
      <c r="G1589" s="60">
        <v>1.0</v>
      </c>
      <c r="H1589" s="60">
        <v>0.6</v>
      </c>
      <c r="I1589" s="60">
        <v>65.2654199</v>
      </c>
      <c r="J1589" s="59">
        <v>16.0</v>
      </c>
      <c r="K1589" s="61">
        <f t="shared" si="1"/>
        <v>0.9</v>
      </c>
      <c r="L1589" s="62">
        <f t="shared" si="2"/>
        <v>1.6</v>
      </c>
    </row>
    <row r="1590">
      <c r="A1590" s="58">
        <v>45992.0</v>
      </c>
      <c r="B1590" s="24" t="s">
        <v>6787</v>
      </c>
      <c r="C1590" s="24" t="s">
        <v>6802</v>
      </c>
      <c r="D1590" s="59">
        <v>10.0</v>
      </c>
      <c r="E1590" s="59">
        <v>10.0</v>
      </c>
      <c r="F1590" s="59">
        <v>9.0</v>
      </c>
      <c r="G1590" s="60">
        <v>1.0</v>
      </c>
      <c r="H1590" s="60">
        <v>0.1</v>
      </c>
      <c r="I1590" s="60">
        <v>102.154297599999</v>
      </c>
      <c r="J1590" s="59">
        <v>18.0</v>
      </c>
      <c r="K1590" s="61">
        <f t="shared" si="1"/>
        <v>0.9</v>
      </c>
      <c r="L1590" s="62">
        <f t="shared" si="2"/>
        <v>1.8</v>
      </c>
    </row>
    <row r="1591">
      <c r="A1591" s="58">
        <v>45992.0</v>
      </c>
      <c r="B1591" s="24" t="s">
        <v>6787</v>
      </c>
      <c r="C1591" s="24" t="s">
        <v>7147</v>
      </c>
      <c r="D1591" s="59">
        <v>9.0</v>
      </c>
      <c r="E1591" s="59">
        <v>10.0</v>
      </c>
      <c r="F1591" s="59">
        <v>7.0</v>
      </c>
      <c r="G1591" s="60">
        <v>1.25</v>
      </c>
      <c r="H1591" s="60">
        <v>0.3</v>
      </c>
      <c r="I1591" s="60">
        <v>32.4238950999999</v>
      </c>
      <c r="J1591" s="59">
        <v>14.0</v>
      </c>
      <c r="K1591" s="61">
        <f t="shared" si="1"/>
        <v>0.7</v>
      </c>
      <c r="L1591" s="62">
        <f t="shared" si="2"/>
        <v>1.4</v>
      </c>
    </row>
    <row r="1592">
      <c r="A1592" s="58">
        <v>45992.0</v>
      </c>
      <c r="B1592" s="24" t="s">
        <v>6787</v>
      </c>
      <c r="C1592" s="24" t="s">
        <v>6829</v>
      </c>
      <c r="D1592" s="59">
        <v>9.0</v>
      </c>
      <c r="E1592" s="59">
        <v>9.0</v>
      </c>
      <c r="F1592" s="59">
        <v>9.0</v>
      </c>
      <c r="G1592" s="60">
        <v>1.0</v>
      </c>
      <c r="H1592" s="60">
        <v>0.555555555555555</v>
      </c>
      <c r="I1592" s="60">
        <v>26.518276</v>
      </c>
      <c r="J1592" s="59">
        <v>9.0</v>
      </c>
      <c r="K1592" s="61">
        <f t="shared" si="1"/>
        <v>1</v>
      </c>
      <c r="L1592" s="62">
        <f t="shared" si="2"/>
        <v>1</v>
      </c>
    </row>
    <row r="1593">
      <c r="A1593" s="58">
        <v>45992.0</v>
      </c>
      <c r="B1593" s="24" t="s">
        <v>6787</v>
      </c>
      <c r="C1593" s="24" t="s">
        <v>6834</v>
      </c>
      <c r="D1593" s="59">
        <v>9.0</v>
      </c>
      <c r="E1593" s="59">
        <v>9.0</v>
      </c>
      <c r="F1593" s="59">
        <v>9.0</v>
      </c>
      <c r="G1593" s="60">
        <v>1.0</v>
      </c>
      <c r="H1593" s="60">
        <v>0.444444444444444</v>
      </c>
      <c r="I1593" s="60">
        <v>23.9912477777777</v>
      </c>
      <c r="J1593" s="59">
        <v>9.0</v>
      </c>
      <c r="K1593" s="61">
        <f t="shared" si="1"/>
        <v>1</v>
      </c>
      <c r="L1593" s="62">
        <f t="shared" si="2"/>
        <v>1</v>
      </c>
    </row>
    <row r="1594">
      <c r="A1594" s="58">
        <v>45992.0</v>
      </c>
      <c r="B1594" s="24" t="s">
        <v>6789</v>
      </c>
      <c r="C1594" s="24" t="s">
        <v>6876</v>
      </c>
      <c r="D1594" s="59">
        <v>9.0</v>
      </c>
      <c r="E1594" s="59">
        <v>10.0</v>
      </c>
      <c r="F1594" s="59">
        <v>9.0</v>
      </c>
      <c r="G1594" s="60">
        <v>1.11111111111111</v>
      </c>
      <c r="H1594" s="60">
        <v>0.5</v>
      </c>
      <c r="I1594" s="60">
        <v>417.7795677</v>
      </c>
      <c r="J1594" s="59">
        <v>11.0</v>
      </c>
      <c r="K1594" s="61">
        <f t="shared" si="1"/>
        <v>0.9</v>
      </c>
      <c r="L1594" s="62">
        <f t="shared" si="2"/>
        <v>1.1</v>
      </c>
    </row>
    <row r="1595">
      <c r="A1595" s="58">
        <v>45992.0</v>
      </c>
      <c r="B1595" s="24" t="s">
        <v>6787</v>
      </c>
      <c r="C1595" s="24" t="s">
        <v>6878</v>
      </c>
      <c r="D1595" s="59">
        <v>9.0</v>
      </c>
      <c r="E1595" s="59">
        <v>9.0</v>
      </c>
      <c r="F1595" s="59">
        <v>9.0</v>
      </c>
      <c r="G1595" s="60">
        <v>1.0</v>
      </c>
      <c r="H1595" s="60">
        <v>0.777777777777777</v>
      </c>
      <c r="I1595" s="60">
        <v>10.647846</v>
      </c>
      <c r="J1595" s="59">
        <v>9.0</v>
      </c>
      <c r="K1595" s="61">
        <f t="shared" si="1"/>
        <v>1</v>
      </c>
      <c r="L1595" s="62">
        <f t="shared" si="2"/>
        <v>1</v>
      </c>
    </row>
    <row r="1596">
      <c r="A1596" s="58">
        <v>45992.0</v>
      </c>
      <c r="B1596" s="24" t="s">
        <v>6787</v>
      </c>
      <c r="C1596" s="24" t="s">
        <v>6991</v>
      </c>
      <c r="D1596" s="59">
        <v>9.0</v>
      </c>
      <c r="E1596" s="59">
        <v>9.0</v>
      </c>
      <c r="F1596" s="59">
        <v>9.0</v>
      </c>
      <c r="G1596" s="60">
        <v>1.0</v>
      </c>
      <c r="H1596" s="60">
        <v>0.555555555555555</v>
      </c>
      <c r="I1596" s="60">
        <v>20.5531412222222</v>
      </c>
      <c r="J1596" s="59">
        <v>9.0</v>
      </c>
      <c r="K1596" s="61">
        <f t="shared" si="1"/>
        <v>1</v>
      </c>
      <c r="L1596" s="62">
        <f t="shared" si="2"/>
        <v>1</v>
      </c>
    </row>
    <row r="1597">
      <c r="A1597" s="58">
        <v>45992.0</v>
      </c>
      <c r="B1597" s="24" t="s">
        <v>6787</v>
      </c>
      <c r="C1597" s="24" t="s">
        <v>6838</v>
      </c>
      <c r="D1597" s="59">
        <v>9.0</v>
      </c>
      <c r="E1597" s="59">
        <v>9.0</v>
      </c>
      <c r="F1597" s="59">
        <v>9.0</v>
      </c>
      <c r="G1597" s="60">
        <v>1.0</v>
      </c>
      <c r="H1597" s="60">
        <v>0.444444444444444</v>
      </c>
      <c r="I1597" s="60">
        <v>16.3038294444444</v>
      </c>
      <c r="J1597" s="59">
        <v>9.0</v>
      </c>
      <c r="K1597" s="61">
        <f t="shared" si="1"/>
        <v>1</v>
      </c>
      <c r="L1597" s="62">
        <f t="shared" si="2"/>
        <v>1</v>
      </c>
    </row>
    <row r="1598">
      <c r="A1598" s="58">
        <v>45992.0</v>
      </c>
      <c r="B1598" s="24" t="s">
        <v>6787</v>
      </c>
      <c r="C1598" s="24" t="s">
        <v>6840</v>
      </c>
      <c r="D1598" s="59">
        <v>9.0</v>
      </c>
      <c r="E1598" s="59">
        <v>9.0</v>
      </c>
      <c r="F1598" s="59">
        <v>9.0</v>
      </c>
      <c r="G1598" s="60">
        <v>1.0</v>
      </c>
      <c r="H1598" s="60">
        <v>0.444444444444444</v>
      </c>
      <c r="I1598" s="60">
        <v>23.6528224444444</v>
      </c>
      <c r="J1598" s="59">
        <v>11.0</v>
      </c>
      <c r="K1598" s="61">
        <f t="shared" si="1"/>
        <v>1</v>
      </c>
      <c r="L1598" s="62">
        <f t="shared" si="2"/>
        <v>1.222222222</v>
      </c>
    </row>
    <row r="1599">
      <c r="A1599" s="58">
        <v>45992.0</v>
      </c>
      <c r="B1599" s="24" t="s">
        <v>6787</v>
      </c>
      <c r="C1599" s="24" t="s">
        <v>6896</v>
      </c>
      <c r="D1599" s="59">
        <v>9.0</v>
      </c>
      <c r="E1599" s="59">
        <v>10.0</v>
      </c>
      <c r="F1599" s="59">
        <v>6.0</v>
      </c>
      <c r="G1599" s="60">
        <v>1.42857142857142</v>
      </c>
      <c r="H1599" s="60">
        <v>0.6</v>
      </c>
      <c r="I1599" s="60">
        <v>20.3272133</v>
      </c>
      <c r="J1599" s="59">
        <v>10.0</v>
      </c>
      <c r="K1599" s="61">
        <f t="shared" si="1"/>
        <v>0.6</v>
      </c>
      <c r="L1599" s="62">
        <f t="shared" si="2"/>
        <v>1</v>
      </c>
    </row>
    <row r="1600">
      <c r="A1600" s="58">
        <v>45992.0</v>
      </c>
      <c r="B1600" s="24" t="s">
        <v>6787</v>
      </c>
      <c r="C1600" s="24" t="s">
        <v>6823</v>
      </c>
      <c r="D1600" s="59">
        <v>9.0</v>
      </c>
      <c r="E1600" s="59">
        <v>9.0</v>
      </c>
      <c r="F1600" s="59">
        <v>9.0</v>
      </c>
      <c r="G1600" s="60">
        <v>1.0</v>
      </c>
      <c r="H1600" s="60">
        <v>0.333333333333333</v>
      </c>
      <c r="I1600" s="60">
        <v>30.2667646666666</v>
      </c>
      <c r="J1600" s="59">
        <v>9.0</v>
      </c>
      <c r="K1600" s="61">
        <f t="shared" si="1"/>
        <v>1</v>
      </c>
      <c r="L1600" s="62">
        <f t="shared" si="2"/>
        <v>1</v>
      </c>
    </row>
    <row r="1601">
      <c r="A1601" s="58">
        <v>45992.0</v>
      </c>
      <c r="B1601" s="24" t="s">
        <v>6787</v>
      </c>
      <c r="C1601" s="24" t="s">
        <v>6843</v>
      </c>
      <c r="D1601" s="59">
        <v>9.0</v>
      </c>
      <c r="E1601" s="59">
        <v>9.0</v>
      </c>
      <c r="F1601" s="59">
        <v>9.0</v>
      </c>
      <c r="G1601" s="60">
        <v>1.0</v>
      </c>
      <c r="H1601" s="60">
        <v>0.555555555555555</v>
      </c>
      <c r="I1601" s="60">
        <v>22.8490676666666</v>
      </c>
      <c r="J1601" s="59">
        <v>9.0</v>
      </c>
      <c r="K1601" s="61">
        <f t="shared" si="1"/>
        <v>1</v>
      </c>
      <c r="L1601" s="62">
        <f t="shared" si="2"/>
        <v>1</v>
      </c>
    </row>
    <row r="1602">
      <c r="A1602" s="58">
        <v>45992.0</v>
      </c>
      <c r="B1602" s="24" t="s">
        <v>6787</v>
      </c>
      <c r="C1602" s="24" t="s">
        <v>6807</v>
      </c>
      <c r="D1602" s="59">
        <v>9.0</v>
      </c>
      <c r="E1602" s="59">
        <v>9.0</v>
      </c>
      <c r="F1602" s="59">
        <v>9.0</v>
      </c>
      <c r="G1602" s="60">
        <v>1.0</v>
      </c>
      <c r="H1602" s="60">
        <v>0.777777777777777</v>
      </c>
      <c r="I1602" s="60">
        <v>12.2504137777777</v>
      </c>
      <c r="J1602" s="59">
        <v>9.0</v>
      </c>
      <c r="K1602" s="61">
        <f t="shared" si="1"/>
        <v>1</v>
      </c>
      <c r="L1602" s="62">
        <f t="shared" si="2"/>
        <v>1</v>
      </c>
    </row>
    <row r="1603">
      <c r="A1603" s="58">
        <v>45992.0</v>
      </c>
      <c r="B1603" s="24" t="s">
        <v>6787</v>
      </c>
      <c r="C1603" s="24" t="s">
        <v>6947</v>
      </c>
      <c r="D1603" s="59">
        <v>9.0</v>
      </c>
      <c r="E1603" s="59">
        <v>9.0</v>
      </c>
      <c r="F1603" s="59">
        <v>9.0</v>
      </c>
      <c r="G1603" s="60">
        <v>1.0</v>
      </c>
      <c r="H1603" s="60">
        <v>0.666666666666666</v>
      </c>
      <c r="I1603" s="60">
        <v>17.0553376666666</v>
      </c>
      <c r="J1603" s="59">
        <v>9.0</v>
      </c>
      <c r="K1603" s="61">
        <f t="shared" si="1"/>
        <v>1</v>
      </c>
      <c r="L1603" s="62">
        <f t="shared" si="2"/>
        <v>1</v>
      </c>
    </row>
    <row r="1604">
      <c r="A1604" s="58">
        <v>45992.0</v>
      </c>
      <c r="B1604" s="24" t="s">
        <v>6787</v>
      </c>
      <c r="C1604" s="24" t="s">
        <v>7022</v>
      </c>
      <c r="D1604" s="59">
        <v>9.0</v>
      </c>
      <c r="E1604" s="59">
        <v>9.0</v>
      </c>
      <c r="F1604" s="59">
        <v>9.0</v>
      </c>
      <c r="G1604" s="60">
        <v>1.0</v>
      </c>
      <c r="H1604" s="60">
        <v>0.444444444444444</v>
      </c>
      <c r="I1604" s="60">
        <v>27.7082692222222</v>
      </c>
      <c r="J1604" s="59">
        <v>9.0</v>
      </c>
      <c r="K1604" s="61">
        <f t="shared" si="1"/>
        <v>1</v>
      </c>
      <c r="L1604" s="62">
        <f t="shared" si="2"/>
        <v>1</v>
      </c>
    </row>
    <row r="1605">
      <c r="A1605" s="58">
        <v>45992.0</v>
      </c>
      <c r="B1605" s="24" t="s">
        <v>6787</v>
      </c>
      <c r="C1605" s="24" t="s">
        <v>7168</v>
      </c>
      <c r="D1605" s="59">
        <v>9.0</v>
      </c>
      <c r="E1605" s="59">
        <v>9.0</v>
      </c>
      <c r="F1605" s="59">
        <v>9.0</v>
      </c>
      <c r="G1605" s="60">
        <v>1.0</v>
      </c>
      <c r="H1605" s="60">
        <v>0.333333333333333</v>
      </c>
      <c r="I1605" s="60">
        <v>30.0524862222222</v>
      </c>
      <c r="J1605" s="59">
        <v>9.0</v>
      </c>
      <c r="K1605" s="61">
        <f t="shared" si="1"/>
        <v>1</v>
      </c>
      <c r="L1605" s="62">
        <f t="shared" si="2"/>
        <v>1</v>
      </c>
    </row>
    <row r="1606">
      <c r="A1606" s="58">
        <v>45992.0</v>
      </c>
      <c r="B1606" s="24" t="s">
        <v>6787</v>
      </c>
      <c r="C1606" s="24" t="s">
        <v>7044</v>
      </c>
      <c r="D1606" s="59">
        <v>9.0</v>
      </c>
      <c r="E1606" s="59">
        <v>9.0</v>
      </c>
      <c r="F1606" s="59">
        <v>9.0</v>
      </c>
      <c r="G1606" s="60">
        <v>1.0</v>
      </c>
      <c r="H1606" s="60">
        <v>0.333333333333333</v>
      </c>
      <c r="I1606" s="60">
        <v>27.1779253333333</v>
      </c>
      <c r="J1606" s="59">
        <v>9.0</v>
      </c>
      <c r="K1606" s="61">
        <f t="shared" si="1"/>
        <v>1</v>
      </c>
      <c r="L1606" s="62">
        <f t="shared" si="2"/>
        <v>1</v>
      </c>
    </row>
    <row r="1607">
      <c r="A1607" s="58">
        <v>45992.0</v>
      </c>
      <c r="B1607" s="24" t="s">
        <v>6787</v>
      </c>
      <c r="C1607" s="24" t="s">
        <v>6801</v>
      </c>
      <c r="D1607" s="59">
        <v>9.0</v>
      </c>
      <c r="E1607" s="59">
        <v>9.0</v>
      </c>
      <c r="F1607" s="59">
        <v>8.0</v>
      </c>
      <c r="G1607" s="60">
        <v>1.125</v>
      </c>
      <c r="H1607" s="60">
        <v>0.444444444444444</v>
      </c>
      <c r="I1607" s="60">
        <v>32.5930753333333</v>
      </c>
      <c r="J1607" s="59">
        <v>9.0</v>
      </c>
      <c r="K1607" s="61">
        <f t="shared" si="1"/>
        <v>0.8888888889</v>
      </c>
      <c r="L1607" s="62">
        <f t="shared" si="2"/>
        <v>1</v>
      </c>
    </row>
    <row r="1608">
      <c r="A1608" s="58">
        <v>45992.0</v>
      </c>
      <c r="B1608" s="24" t="s">
        <v>6787</v>
      </c>
      <c r="C1608" s="24" t="s">
        <v>6815</v>
      </c>
      <c r="D1608" s="59">
        <v>9.0</v>
      </c>
      <c r="E1608" s="59">
        <v>9.0</v>
      </c>
      <c r="F1608" s="59">
        <v>9.0</v>
      </c>
      <c r="G1608" s="60">
        <v>1.0</v>
      </c>
      <c r="H1608" s="60">
        <v>0.222222222222222</v>
      </c>
      <c r="I1608" s="60">
        <v>62.7246197777777</v>
      </c>
      <c r="J1608" s="59">
        <v>22.0</v>
      </c>
      <c r="K1608" s="61">
        <f t="shared" si="1"/>
        <v>1</v>
      </c>
      <c r="L1608" s="62">
        <f t="shared" si="2"/>
        <v>2.444444444</v>
      </c>
    </row>
    <row r="1609">
      <c r="A1609" s="58">
        <v>45992.0</v>
      </c>
      <c r="B1609" s="24" t="s">
        <v>6787</v>
      </c>
      <c r="C1609" s="24" t="s">
        <v>6953</v>
      </c>
      <c r="D1609" s="59">
        <v>8.0</v>
      </c>
      <c r="E1609" s="59">
        <v>8.0</v>
      </c>
      <c r="F1609" s="59">
        <v>8.0</v>
      </c>
      <c r="G1609" s="60">
        <v>1.0</v>
      </c>
      <c r="H1609" s="60">
        <v>0.375</v>
      </c>
      <c r="I1609" s="60">
        <v>26.3919125</v>
      </c>
      <c r="J1609" s="59">
        <v>8.0</v>
      </c>
      <c r="K1609" s="61">
        <f t="shared" si="1"/>
        <v>1</v>
      </c>
      <c r="L1609" s="62">
        <f t="shared" si="2"/>
        <v>1</v>
      </c>
    </row>
    <row r="1610">
      <c r="A1610" s="58">
        <v>45992.0</v>
      </c>
      <c r="B1610" s="24" t="s">
        <v>6787</v>
      </c>
      <c r="C1610" s="24" t="s">
        <v>6983</v>
      </c>
      <c r="D1610" s="59">
        <v>8.0</v>
      </c>
      <c r="E1610" s="59">
        <v>8.0</v>
      </c>
      <c r="F1610" s="59">
        <v>8.0</v>
      </c>
      <c r="G1610" s="60">
        <v>1.0</v>
      </c>
      <c r="H1610" s="60">
        <v>0.5</v>
      </c>
      <c r="I1610" s="60">
        <v>24.683621</v>
      </c>
      <c r="J1610" s="59">
        <v>8.0</v>
      </c>
      <c r="K1610" s="61">
        <f t="shared" si="1"/>
        <v>1</v>
      </c>
      <c r="L1610" s="62">
        <f t="shared" si="2"/>
        <v>1</v>
      </c>
    </row>
    <row r="1611">
      <c r="A1611" s="58">
        <v>45992.0</v>
      </c>
      <c r="B1611" s="24" t="s">
        <v>6789</v>
      </c>
      <c r="C1611" s="24" t="s">
        <v>6829</v>
      </c>
      <c r="D1611" s="59">
        <v>8.0</v>
      </c>
      <c r="E1611" s="59">
        <v>10.0</v>
      </c>
      <c r="F1611" s="59">
        <v>7.0</v>
      </c>
      <c r="G1611" s="60">
        <v>1.42857142857142</v>
      </c>
      <c r="H1611" s="60">
        <v>0.8</v>
      </c>
      <c r="I1611" s="60">
        <v>10.9605223</v>
      </c>
      <c r="J1611" s="59">
        <v>10.0</v>
      </c>
      <c r="K1611" s="61">
        <f t="shared" si="1"/>
        <v>0.7</v>
      </c>
      <c r="L1611" s="62">
        <f t="shared" si="2"/>
        <v>1</v>
      </c>
    </row>
    <row r="1612">
      <c r="A1612" s="58">
        <v>45992.0</v>
      </c>
      <c r="B1612" s="24" t="s">
        <v>6787</v>
      </c>
      <c r="C1612" s="24" t="s">
        <v>6864</v>
      </c>
      <c r="D1612" s="59">
        <v>8.0</v>
      </c>
      <c r="E1612" s="59">
        <v>8.0</v>
      </c>
      <c r="F1612" s="59">
        <v>8.0</v>
      </c>
      <c r="G1612" s="60">
        <v>1.0</v>
      </c>
      <c r="H1612" s="60">
        <v>0.25</v>
      </c>
      <c r="I1612" s="60">
        <v>29.4572377499999</v>
      </c>
      <c r="J1612" s="59">
        <v>10.0</v>
      </c>
      <c r="K1612" s="61">
        <f t="shared" si="1"/>
        <v>1</v>
      </c>
      <c r="L1612" s="62">
        <f t="shared" si="2"/>
        <v>1.25</v>
      </c>
    </row>
    <row r="1613">
      <c r="A1613" s="58">
        <v>45992.0</v>
      </c>
      <c r="B1613" s="24" t="s">
        <v>6789</v>
      </c>
      <c r="C1613" s="24" t="s">
        <v>6835</v>
      </c>
      <c r="D1613" s="59">
        <v>8.0</v>
      </c>
      <c r="E1613" s="59">
        <v>8.0</v>
      </c>
      <c r="F1613" s="59">
        <v>7.0</v>
      </c>
      <c r="G1613" s="60">
        <v>1.0</v>
      </c>
      <c r="H1613" s="60">
        <v>0.125</v>
      </c>
      <c r="I1613" s="60">
        <v>643.393434375</v>
      </c>
      <c r="J1613" s="59">
        <v>17.0</v>
      </c>
      <c r="K1613" s="61">
        <f t="shared" si="1"/>
        <v>0.875</v>
      </c>
      <c r="L1613" s="62">
        <f t="shared" si="2"/>
        <v>2.125</v>
      </c>
    </row>
    <row r="1614">
      <c r="A1614" s="58">
        <v>45992.0</v>
      </c>
      <c r="B1614" s="24" t="s">
        <v>6787</v>
      </c>
      <c r="C1614" s="24" t="s">
        <v>6997</v>
      </c>
      <c r="D1614" s="59">
        <v>8.0</v>
      </c>
      <c r="E1614" s="59">
        <v>8.0</v>
      </c>
      <c r="F1614" s="59">
        <v>8.0</v>
      </c>
      <c r="G1614" s="60">
        <v>1.0</v>
      </c>
      <c r="H1614" s="60">
        <v>0.625</v>
      </c>
      <c r="I1614" s="60">
        <v>15.253292625</v>
      </c>
      <c r="J1614" s="59">
        <v>8.0</v>
      </c>
      <c r="K1614" s="61">
        <f t="shared" si="1"/>
        <v>1</v>
      </c>
      <c r="L1614" s="62">
        <f t="shared" si="2"/>
        <v>1</v>
      </c>
    </row>
    <row r="1615">
      <c r="A1615" s="58">
        <v>45992.0</v>
      </c>
      <c r="B1615" s="24" t="s">
        <v>6787</v>
      </c>
      <c r="C1615" s="24" t="s">
        <v>7021</v>
      </c>
      <c r="D1615" s="59">
        <v>8.0</v>
      </c>
      <c r="E1615" s="59">
        <v>8.0</v>
      </c>
      <c r="F1615" s="59">
        <v>8.0</v>
      </c>
      <c r="G1615" s="60">
        <v>1.0</v>
      </c>
      <c r="H1615" s="60">
        <v>0.5</v>
      </c>
      <c r="I1615" s="60">
        <v>19.559193</v>
      </c>
      <c r="J1615" s="59">
        <v>10.0</v>
      </c>
      <c r="K1615" s="61">
        <f t="shared" si="1"/>
        <v>1</v>
      </c>
      <c r="L1615" s="62">
        <f t="shared" si="2"/>
        <v>1.25</v>
      </c>
    </row>
    <row r="1616">
      <c r="A1616" s="58">
        <v>45992.0</v>
      </c>
      <c r="B1616" s="24" t="s">
        <v>6787</v>
      </c>
      <c r="C1616" s="24" t="s">
        <v>6891</v>
      </c>
      <c r="D1616" s="59">
        <v>8.0</v>
      </c>
      <c r="E1616" s="59">
        <v>8.0</v>
      </c>
      <c r="F1616" s="59">
        <v>8.0</v>
      </c>
      <c r="G1616" s="60">
        <v>1.0</v>
      </c>
      <c r="H1616" s="60">
        <v>0.625</v>
      </c>
      <c r="I1616" s="60">
        <v>20.280642375</v>
      </c>
      <c r="J1616" s="59">
        <v>8.0</v>
      </c>
      <c r="K1616" s="61">
        <f t="shared" si="1"/>
        <v>1</v>
      </c>
      <c r="L1616" s="62">
        <f t="shared" si="2"/>
        <v>1</v>
      </c>
    </row>
    <row r="1617">
      <c r="A1617" s="58">
        <v>45992.0</v>
      </c>
      <c r="B1617" s="24" t="s">
        <v>6787</v>
      </c>
      <c r="C1617" s="24" t="s">
        <v>6892</v>
      </c>
      <c r="D1617" s="59">
        <v>8.0</v>
      </c>
      <c r="E1617" s="59">
        <v>8.0</v>
      </c>
      <c r="F1617" s="59">
        <v>8.0</v>
      </c>
      <c r="G1617" s="60">
        <v>1.0</v>
      </c>
      <c r="H1617" s="60">
        <v>0.5</v>
      </c>
      <c r="I1617" s="60">
        <v>27.1472029999999</v>
      </c>
      <c r="J1617" s="59">
        <v>8.0</v>
      </c>
      <c r="K1617" s="61">
        <f t="shared" si="1"/>
        <v>1</v>
      </c>
      <c r="L1617" s="62">
        <f t="shared" si="2"/>
        <v>1</v>
      </c>
    </row>
    <row r="1618">
      <c r="A1618" s="58">
        <v>45992.0</v>
      </c>
      <c r="B1618" s="24" t="s">
        <v>6787</v>
      </c>
      <c r="C1618" s="24" t="s">
        <v>7032</v>
      </c>
      <c r="D1618" s="59">
        <v>8.0</v>
      </c>
      <c r="E1618" s="59">
        <v>8.0</v>
      </c>
      <c r="F1618" s="59">
        <v>8.0</v>
      </c>
      <c r="G1618" s="60">
        <v>1.0</v>
      </c>
      <c r="H1618" s="60">
        <v>0.375</v>
      </c>
      <c r="I1618" s="60">
        <v>24.839251625</v>
      </c>
      <c r="J1618" s="59">
        <v>8.0</v>
      </c>
      <c r="K1618" s="61">
        <f t="shared" si="1"/>
        <v>1</v>
      </c>
      <c r="L1618" s="62">
        <f t="shared" si="2"/>
        <v>1</v>
      </c>
    </row>
    <row r="1619">
      <c r="A1619" s="58">
        <v>45992.0</v>
      </c>
      <c r="B1619" s="24" t="s">
        <v>6787</v>
      </c>
      <c r="C1619" s="24" t="s">
        <v>6900</v>
      </c>
      <c r="D1619" s="59">
        <v>8.0</v>
      </c>
      <c r="E1619" s="59">
        <v>8.0</v>
      </c>
      <c r="F1619" s="59">
        <v>8.0</v>
      </c>
      <c r="G1619" s="60">
        <v>1.0</v>
      </c>
      <c r="H1619" s="60">
        <v>0.625</v>
      </c>
      <c r="I1619" s="60">
        <v>21.02939925</v>
      </c>
      <c r="J1619" s="59">
        <v>8.0</v>
      </c>
      <c r="K1619" s="61">
        <f t="shared" si="1"/>
        <v>1</v>
      </c>
      <c r="L1619" s="62">
        <f t="shared" si="2"/>
        <v>1</v>
      </c>
    </row>
    <row r="1620">
      <c r="A1620" s="58">
        <v>45992.0</v>
      </c>
      <c r="B1620" s="24" t="s">
        <v>6787</v>
      </c>
      <c r="C1620" s="24" t="s">
        <v>7083</v>
      </c>
      <c r="D1620" s="59">
        <v>8.0</v>
      </c>
      <c r="E1620" s="59">
        <v>8.0</v>
      </c>
      <c r="F1620" s="59">
        <v>8.0</v>
      </c>
      <c r="G1620" s="60">
        <v>1.0</v>
      </c>
      <c r="H1620" s="60">
        <v>0.5</v>
      </c>
      <c r="I1620" s="60">
        <v>27.16763375</v>
      </c>
      <c r="J1620" s="59">
        <v>8.0</v>
      </c>
      <c r="K1620" s="61">
        <f t="shared" si="1"/>
        <v>1</v>
      </c>
      <c r="L1620" s="62">
        <f t="shared" si="2"/>
        <v>1</v>
      </c>
    </row>
    <row r="1621">
      <c r="A1621" s="58">
        <v>45992.0</v>
      </c>
      <c r="B1621" s="24" t="s">
        <v>6787</v>
      </c>
      <c r="C1621" s="24" t="s">
        <v>7042</v>
      </c>
      <c r="D1621" s="59">
        <v>8.0</v>
      </c>
      <c r="E1621" s="59">
        <v>8.0</v>
      </c>
      <c r="F1621" s="59">
        <v>8.0</v>
      </c>
      <c r="G1621" s="60">
        <v>1.0</v>
      </c>
      <c r="H1621" s="60">
        <v>0.5</v>
      </c>
      <c r="I1621" s="60">
        <v>24.860835375</v>
      </c>
      <c r="J1621" s="59">
        <v>8.0</v>
      </c>
      <c r="K1621" s="61">
        <f t="shared" si="1"/>
        <v>1</v>
      </c>
      <c r="L1621" s="62">
        <f t="shared" si="2"/>
        <v>1</v>
      </c>
    </row>
    <row r="1622">
      <c r="A1622" s="58">
        <v>45992.0</v>
      </c>
      <c r="B1622" s="24" t="s">
        <v>6787</v>
      </c>
      <c r="C1622" s="24" t="s">
        <v>7159</v>
      </c>
      <c r="D1622" s="59">
        <v>8.0</v>
      </c>
      <c r="E1622" s="59">
        <v>8.0</v>
      </c>
      <c r="F1622" s="59">
        <v>8.0</v>
      </c>
      <c r="G1622" s="60">
        <v>1.0</v>
      </c>
      <c r="H1622" s="60">
        <v>0.5</v>
      </c>
      <c r="I1622" s="60">
        <v>24.661622</v>
      </c>
      <c r="J1622" s="59">
        <v>8.0</v>
      </c>
      <c r="K1622" s="61">
        <f t="shared" si="1"/>
        <v>1</v>
      </c>
      <c r="L1622" s="62">
        <f t="shared" si="2"/>
        <v>1</v>
      </c>
    </row>
    <row r="1623">
      <c r="A1623" s="58">
        <v>45992.0</v>
      </c>
      <c r="B1623" s="24" t="s">
        <v>6787</v>
      </c>
      <c r="C1623" s="24" t="s">
        <v>7162</v>
      </c>
      <c r="D1623" s="59">
        <v>8.0</v>
      </c>
      <c r="E1623" s="59">
        <v>8.0</v>
      </c>
      <c r="F1623" s="59">
        <v>8.0</v>
      </c>
      <c r="G1623" s="60">
        <v>1.0</v>
      </c>
      <c r="H1623" s="60">
        <v>0.875</v>
      </c>
      <c r="I1623" s="60">
        <v>6.219572875</v>
      </c>
      <c r="J1623" s="59">
        <v>8.0</v>
      </c>
      <c r="K1623" s="61">
        <f t="shared" si="1"/>
        <v>1</v>
      </c>
      <c r="L1623" s="62">
        <f t="shared" si="2"/>
        <v>1</v>
      </c>
    </row>
    <row r="1624">
      <c r="A1624" s="58">
        <v>45992.0</v>
      </c>
      <c r="B1624" s="24" t="s">
        <v>6787</v>
      </c>
      <c r="C1624" s="24" t="s">
        <v>7167</v>
      </c>
      <c r="D1624" s="59">
        <v>8.0</v>
      </c>
      <c r="E1624" s="59">
        <v>8.0</v>
      </c>
      <c r="F1624" s="59">
        <v>8.0</v>
      </c>
      <c r="G1624" s="60">
        <v>1.0</v>
      </c>
      <c r="H1624" s="60">
        <v>0.5</v>
      </c>
      <c r="I1624" s="60">
        <v>22.8638482499999</v>
      </c>
      <c r="J1624" s="59">
        <v>8.0</v>
      </c>
      <c r="K1624" s="61">
        <f t="shared" si="1"/>
        <v>1</v>
      </c>
      <c r="L1624" s="62">
        <f t="shared" si="2"/>
        <v>1</v>
      </c>
    </row>
    <row r="1625">
      <c r="A1625" s="58">
        <v>45992.0</v>
      </c>
      <c r="B1625" s="24" t="s">
        <v>6787</v>
      </c>
      <c r="C1625" s="24" t="s">
        <v>7137</v>
      </c>
      <c r="D1625" s="59">
        <v>8.0</v>
      </c>
      <c r="E1625" s="59">
        <v>8.0</v>
      </c>
      <c r="F1625" s="59">
        <v>8.0</v>
      </c>
      <c r="G1625" s="60">
        <v>1.0</v>
      </c>
      <c r="H1625" s="60">
        <v>0.5</v>
      </c>
      <c r="I1625" s="60">
        <v>22.969667125</v>
      </c>
      <c r="J1625" s="59">
        <v>8.0</v>
      </c>
      <c r="K1625" s="61">
        <f t="shared" si="1"/>
        <v>1</v>
      </c>
      <c r="L1625" s="62">
        <f t="shared" si="2"/>
        <v>1</v>
      </c>
    </row>
    <row r="1626">
      <c r="A1626" s="58">
        <v>45992.0</v>
      </c>
      <c r="B1626" s="24" t="s">
        <v>6787</v>
      </c>
      <c r="C1626" s="24" t="s">
        <v>7098</v>
      </c>
      <c r="D1626" s="59">
        <v>8.0</v>
      </c>
      <c r="E1626" s="59">
        <v>8.0</v>
      </c>
      <c r="F1626" s="59">
        <v>8.0</v>
      </c>
      <c r="G1626" s="60">
        <v>1.0</v>
      </c>
      <c r="H1626" s="60">
        <v>0.625</v>
      </c>
      <c r="I1626" s="60">
        <v>18.706247875</v>
      </c>
      <c r="J1626" s="59">
        <v>8.0</v>
      </c>
      <c r="K1626" s="61">
        <f t="shared" si="1"/>
        <v>1</v>
      </c>
      <c r="L1626" s="62">
        <f t="shared" si="2"/>
        <v>1</v>
      </c>
    </row>
    <row r="1627">
      <c r="A1627" s="58">
        <v>45992.0</v>
      </c>
      <c r="B1627" s="24" t="s">
        <v>6787</v>
      </c>
      <c r="C1627" s="24" t="s">
        <v>7184</v>
      </c>
      <c r="D1627" s="59">
        <v>8.0</v>
      </c>
      <c r="E1627" s="59">
        <v>8.0</v>
      </c>
      <c r="F1627" s="59">
        <v>8.0</v>
      </c>
      <c r="G1627" s="60">
        <v>1.0</v>
      </c>
      <c r="H1627" s="60">
        <v>0.375</v>
      </c>
      <c r="I1627" s="60">
        <v>29.0415385</v>
      </c>
      <c r="J1627" s="59">
        <v>8.0</v>
      </c>
      <c r="K1627" s="61">
        <f t="shared" si="1"/>
        <v>1</v>
      </c>
      <c r="L1627" s="62">
        <f t="shared" si="2"/>
        <v>1</v>
      </c>
    </row>
    <row r="1628">
      <c r="A1628" s="58">
        <v>45992.0</v>
      </c>
      <c r="B1628" s="24" t="s">
        <v>6787</v>
      </c>
      <c r="C1628" s="24" t="s">
        <v>7013</v>
      </c>
      <c r="D1628" s="59">
        <v>8.0</v>
      </c>
      <c r="E1628" s="59">
        <v>8.0</v>
      </c>
      <c r="F1628" s="59">
        <v>8.0</v>
      </c>
      <c r="G1628" s="60">
        <v>1.0</v>
      </c>
      <c r="H1628" s="60">
        <v>0.25</v>
      </c>
      <c r="I1628" s="60">
        <v>53.323764</v>
      </c>
      <c r="J1628" s="59">
        <v>8.0</v>
      </c>
      <c r="K1628" s="61">
        <f t="shared" si="1"/>
        <v>1</v>
      </c>
      <c r="L1628" s="62">
        <f t="shared" si="2"/>
        <v>1</v>
      </c>
    </row>
    <row r="1629">
      <c r="A1629" s="58">
        <v>45992.0</v>
      </c>
      <c r="B1629" s="24" t="s">
        <v>6789</v>
      </c>
      <c r="C1629" s="24" t="s">
        <v>6851</v>
      </c>
      <c r="D1629" s="59">
        <v>8.0</v>
      </c>
      <c r="E1629" s="59">
        <v>13.0</v>
      </c>
      <c r="F1629" s="59">
        <v>3.0</v>
      </c>
      <c r="G1629" s="60">
        <v>2.16666666666666</v>
      </c>
      <c r="H1629" s="60">
        <v>0.692307692307692</v>
      </c>
      <c r="I1629" s="60">
        <v>113.917306</v>
      </c>
      <c r="J1629" s="59">
        <v>54.0</v>
      </c>
      <c r="K1629" s="61">
        <f t="shared" si="1"/>
        <v>0.2307692308</v>
      </c>
      <c r="L1629" s="62">
        <f t="shared" si="2"/>
        <v>4.153846154</v>
      </c>
    </row>
    <row r="1630">
      <c r="A1630" s="58">
        <v>45992.0</v>
      </c>
      <c r="B1630" s="24" t="s">
        <v>6787</v>
      </c>
      <c r="C1630" s="24" t="s">
        <v>7014</v>
      </c>
      <c r="D1630" s="59">
        <v>8.0</v>
      </c>
      <c r="E1630" s="59">
        <v>8.0</v>
      </c>
      <c r="F1630" s="59">
        <v>8.0</v>
      </c>
      <c r="G1630" s="60">
        <v>1.0</v>
      </c>
      <c r="H1630" s="60">
        <v>0.625</v>
      </c>
      <c r="I1630" s="60">
        <v>19.27255025</v>
      </c>
      <c r="J1630" s="59">
        <v>8.0</v>
      </c>
      <c r="K1630" s="61">
        <f t="shared" si="1"/>
        <v>1</v>
      </c>
      <c r="L1630" s="62">
        <f t="shared" si="2"/>
        <v>1</v>
      </c>
    </row>
    <row r="1631">
      <c r="A1631" s="58">
        <v>45992.0</v>
      </c>
      <c r="B1631" s="24" t="s">
        <v>6787</v>
      </c>
      <c r="C1631" s="24" t="s">
        <v>7112</v>
      </c>
      <c r="D1631" s="59">
        <v>8.0</v>
      </c>
      <c r="E1631" s="59">
        <v>10.0</v>
      </c>
      <c r="F1631" s="59">
        <v>8.0</v>
      </c>
      <c r="G1631" s="60">
        <v>1.25</v>
      </c>
      <c r="H1631" s="60">
        <v>0.3</v>
      </c>
      <c r="I1631" s="60">
        <v>40.5823335</v>
      </c>
      <c r="J1631" s="59">
        <v>11.0</v>
      </c>
      <c r="K1631" s="61">
        <f t="shared" si="1"/>
        <v>0.8</v>
      </c>
      <c r="L1631" s="62">
        <f t="shared" si="2"/>
        <v>1.1</v>
      </c>
    </row>
    <row r="1632">
      <c r="A1632" s="58">
        <v>45992.0</v>
      </c>
      <c r="B1632" s="24" t="s">
        <v>6787</v>
      </c>
      <c r="C1632" s="24" t="s">
        <v>6852</v>
      </c>
      <c r="D1632" s="59">
        <v>8.0</v>
      </c>
      <c r="E1632" s="59">
        <v>8.0</v>
      </c>
      <c r="F1632" s="59">
        <v>8.0</v>
      </c>
      <c r="G1632" s="60">
        <v>1.0</v>
      </c>
      <c r="H1632" s="60">
        <v>0.375</v>
      </c>
      <c r="I1632" s="60">
        <v>61.156981</v>
      </c>
      <c r="J1632" s="59">
        <v>12.0</v>
      </c>
      <c r="K1632" s="61">
        <f t="shared" si="1"/>
        <v>1</v>
      </c>
      <c r="L1632" s="62">
        <f t="shared" si="2"/>
        <v>1.5</v>
      </c>
    </row>
    <row r="1633">
      <c r="A1633" s="58">
        <v>45992.0</v>
      </c>
      <c r="B1633" s="24" t="s">
        <v>6787</v>
      </c>
      <c r="C1633" s="24" t="s">
        <v>6924</v>
      </c>
      <c r="D1633" s="59">
        <v>8.0</v>
      </c>
      <c r="E1633" s="59">
        <v>8.0</v>
      </c>
      <c r="F1633" s="59">
        <v>8.0</v>
      </c>
      <c r="G1633" s="60">
        <v>1.0</v>
      </c>
      <c r="H1633" s="60">
        <v>0.5</v>
      </c>
      <c r="I1633" s="60">
        <v>25.866993875</v>
      </c>
      <c r="J1633" s="59">
        <v>8.0</v>
      </c>
      <c r="K1633" s="61">
        <f t="shared" si="1"/>
        <v>1</v>
      </c>
      <c r="L1633" s="62">
        <f t="shared" si="2"/>
        <v>1</v>
      </c>
    </row>
    <row r="1634">
      <c r="A1634" s="58">
        <v>45992.0</v>
      </c>
      <c r="B1634" s="24" t="s">
        <v>6787</v>
      </c>
      <c r="C1634" s="24" t="s">
        <v>6954</v>
      </c>
      <c r="D1634" s="59">
        <v>7.0</v>
      </c>
      <c r="E1634" s="59">
        <v>7.0</v>
      </c>
      <c r="F1634" s="59">
        <v>7.0</v>
      </c>
      <c r="G1634" s="60">
        <v>1.0</v>
      </c>
      <c r="H1634" s="60">
        <v>0.571428571428571</v>
      </c>
      <c r="I1634" s="60">
        <v>23.8089782857142</v>
      </c>
      <c r="J1634" s="59">
        <v>7.0</v>
      </c>
      <c r="K1634" s="61">
        <f t="shared" si="1"/>
        <v>1</v>
      </c>
      <c r="L1634" s="62">
        <f t="shared" si="2"/>
        <v>1</v>
      </c>
    </row>
    <row r="1635">
      <c r="A1635" s="58">
        <v>45992.0</v>
      </c>
      <c r="B1635" s="24" t="s">
        <v>6787</v>
      </c>
      <c r="C1635" s="24" t="s">
        <v>6861</v>
      </c>
      <c r="D1635" s="59">
        <v>7.0</v>
      </c>
      <c r="E1635" s="59">
        <v>7.0</v>
      </c>
      <c r="F1635" s="59">
        <v>7.0</v>
      </c>
      <c r="G1635" s="60">
        <v>1.0</v>
      </c>
      <c r="H1635" s="60">
        <v>0.571428571428571</v>
      </c>
      <c r="I1635" s="60">
        <v>21.7323067142857</v>
      </c>
      <c r="J1635" s="59">
        <v>7.0</v>
      </c>
      <c r="K1635" s="61">
        <f t="shared" si="1"/>
        <v>1</v>
      </c>
      <c r="L1635" s="62">
        <f t="shared" si="2"/>
        <v>1</v>
      </c>
    </row>
    <row r="1636">
      <c r="A1636" s="58">
        <v>45992.0</v>
      </c>
      <c r="B1636" s="24" t="s">
        <v>6787</v>
      </c>
      <c r="C1636" s="24" t="s">
        <v>7059</v>
      </c>
      <c r="D1636" s="59">
        <v>7.0</v>
      </c>
      <c r="E1636" s="59">
        <v>7.0</v>
      </c>
      <c r="F1636" s="59">
        <v>7.0</v>
      </c>
      <c r="G1636" s="60">
        <v>1.0</v>
      </c>
      <c r="H1636" s="60">
        <v>0.428571428571428</v>
      </c>
      <c r="I1636" s="60">
        <v>28.2672244285714</v>
      </c>
      <c r="J1636" s="59">
        <v>7.0</v>
      </c>
      <c r="K1636" s="61">
        <f t="shared" si="1"/>
        <v>1</v>
      </c>
      <c r="L1636" s="62">
        <f t="shared" si="2"/>
        <v>1</v>
      </c>
    </row>
    <row r="1637">
      <c r="A1637" s="58">
        <v>45992.0</v>
      </c>
      <c r="B1637" s="24" t="s">
        <v>6787</v>
      </c>
      <c r="C1637" s="24" t="s">
        <v>6985</v>
      </c>
      <c r="D1637" s="59">
        <v>7.0</v>
      </c>
      <c r="E1637" s="59">
        <v>7.0</v>
      </c>
      <c r="F1637" s="59">
        <v>7.0</v>
      </c>
      <c r="G1637" s="60">
        <v>1.0</v>
      </c>
      <c r="H1637" s="60">
        <v>0.428571428571428</v>
      </c>
      <c r="I1637" s="60">
        <v>29.3939478571428</v>
      </c>
      <c r="J1637" s="59">
        <v>7.0</v>
      </c>
      <c r="K1637" s="61">
        <f t="shared" si="1"/>
        <v>1</v>
      </c>
      <c r="L1637" s="62">
        <f t="shared" si="2"/>
        <v>1</v>
      </c>
    </row>
    <row r="1638">
      <c r="A1638" s="58">
        <v>45992.0</v>
      </c>
      <c r="B1638" s="24" t="s">
        <v>6787</v>
      </c>
      <c r="C1638" s="24" t="s">
        <v>6927</v>
      </c>
      <c r="D1638" s="59">
        <v>7.0</v>
      </c>
      <c r="E1638" s="59">
        <v>7.0</v>
      </c>
      <c r="F1638" s="59">
        <v>7.0</v>
      </c>
      <c r="G1638" s="60">
        <v>1.0</v>
      </c>
      <c r="H1638" s="60">
        <v>0.714285714285714</v>
      </c>
      <c r="I1638" s="60">
        <v>15.6804634285714</v>
      </c>
      <c r="J1638" s="59">
        <v>7.0</v>
      </c>
      <c r="K1638" s="61">
        <f t="shared" si="1"/>
        <v>1</v>
      </c>
      <c r="L1638" s="62">
        <f t="shared" si="2"/>
        <v>1</v>
      </c>
    </row>
    <row r="1639">
      <c r="A1639" s="58">
        <v>45992.0</v>
      </c>
      <c r="B1639" s="24" t="s">
        <v>6789</v>
      </c>
      <c r="C1639" s="24" t="s">
        <v>6834</v>
      </c>
      <c r="D1639" s="59">
        <v>7.0</v>
      </c>
      <c r="E1639" s="59">
        <v>9.0</v>
      </c>
      <c r="F1639" s="59">
        <v>7.0</v>
      </c>
      <c r="G1639" s="60">
        <v>1.28571428571428</v>
      </c>
      <c r="H1639" s="60">
        <v>0.444444444444444</v>
      </c>
      <c r="I1639" s="60">
        <v>20.179374</v>
      </c>
      <c r="J1639" s="59">
        <v>9.0</v>
      </c>
      <c r="K1639" s="61">
        <f t="shared" si="1"/>
        <v>0.7777777778</v>
      </c>
      <c r="L1639" s="62">
        <f t="shared" si="2"/>
        <v>1</v>
      </c>
    </row>
    <row r="1640">
      <c r="A1640" s="58">
        <v>45992.0</v>
      </c>
      <c r="B1640" s="24" t="s">
        <v>6787</v>
      </c>
      <c r="C1640" s="24" t="s">
        <v>6988</v>
      </c>
      <c r="D1640" s="59">
        <v>7.0</v>
      </c>
      <c r="E1640" s="59">
        <v>7.0</v>
      </c>
      <c r="F1640" s="59">
        <v>7.0</v>
      </c>
      <c r="G1640" s="60">
        <v>1.0</v>
      </c>
      <c r="H1640" s="60">
        <v>0.428571428571428</v>
      </c>
      <c r="I1640" s="60">
        <v>29.5267898571428</v>
      </c>
      <c r="J1640" s="59">
        <v>7.0</v>
      </c>
      <c r="K1640" s="61">
        <f t="shared" si="1"/>
        <v>1</v>
      </c>
      <c r="L1640" s="62">
        <f t="shared" si="2"/>
        <v>1</v>
      </c>
    </row>
    <row r="1641">
      <c r="A1641" s="58">
        <v>45992.0</v>
      </c>
      <c r="B1641" s="24" t="s">
        <v>6787</v>
      </c>
      <c r="C1641" s="24" t="s">
        <v>7063</v>
      </c>
      <c r="D1641" s="59">
        <v>7.0</v>
      </c>
      <c r="E1641" s="59">
        <v>7.0</v>
      </c>
      <c r="F1641" s="59">
        <v>7.0</v>
      </c>
      <c r="G1641" s="60">
        <v>1.0</v>
      </c>
      <c r="H1641" s="60">
        <v>0.571428571428571</v>
      </c>
      <c r="I1641" s="60">
        <v>22.5065714285714</v>
      </c>
      <c r="J1641" s="59">
        <v>7.0</v>
      </c>
      <c r="K1641" s="61">
        <f t="shared" si="1"/>
        <v>1</v>
      </c>
      <c r="L1641" s="62">
        <f t="shared" si="2"/>
        <v>1</v>
      </c>
    </row>
    <row r="1642">
      <c r="A1642" s="58">
        <v>45992.0</v>
      </c>
      <c r="B1642" s="24" t="s">
        <v>6787</v>
      </c>
      <c r="C1642" s="24" t="s">
        <v>6873</v>
      </c>
      <c r="D1642" s="59">
        <v>7.0</v>
      </c>
      <c r="E1642" s="59">
        <v>7.0</v>
      </c>
      <c r="F1642" s="59">
        <v>7.0</v>
      </c>
      <c r="G1642" s="60">
        <v>1.0</v>
      </c>
      <c r="H1642" s="60">
        <v>0.571428571428571</v>
      </c>
      <c r="I1642" s="60">
        <v>21.7274194285714</v>
      </c>
      <c r="J1642" s="59">
        <v>7.0</v>
      </c>
      <c r="K1642" s="61">
        <f t="shared" si="1"/>
        <v>1</v>
      </c>
      <c r="L1642" s="62">
        <f t="shared" si="2"/>
        <v>1</v>
      </c>
    </row>
    <row r="1643">
      <c r="A1643" s="58">
        <v>45992.0</v>
      </c>
      <c r="B1643" s="24" t="s">
        <v>6787</v>
      </c>
      <c r="C1643" s="24" t="s">
        <v>7065</v>
      </c>
      <c r="D1643" s="59">
        <v>7.0</v>
      </c>
      <c r="E1643" s="59">
        <v>7.0</v>
      </c>
      <c r="F1643" s="59">
        <v>7.0</v>
      </c>
      <c r="G1643" s="60">
        <v>1.0</v>
      </c>
      <c r="H1643" s="60">
        <v>0.571428571428571</v>
      </c>
      <c r="I1643" s="60">
        <v>22.3745252857142</v>
      </c>
      <c r="J1643" s="59">
        <v>7.0</v>
      </c>
      <c r="K1643" s="61">
        <f t="shared" si="1"/>
        <v>1</v>
      </c>
      <c r="L1643" s="62">
        <f t="shared" si="2"/>
        <v>1</v>
      </c>
    </row>
    <row r="1644">
      <c r="A1644" s="58">
        <v>45992.0</v>
      </c>
      <c r="B1644" s="24" t="s">
        <v>6787</v>
      </c>
      <c r="C1644" s="24" t="s">
        <v>6877</v>
      </c>
      <c r="D1644" s="59">
        <v>7.0</v>
      </c>
      <c r="E1644" s="59">
        <v>7.0</v>
      </c>
      <c r="F1644" s="59">
        <v>7.0</v>
      </c>
      <c r="G1644" s="60">
        <v>1.0</v>
      </c>
      <c r="H1644" s="60">
        <v>0.428571428571428</v>
      </c>
      <c r="I1644" s="60">
        <v>28.622443</v>
      </c>
      <c r="J1644" s="59">
        <v>7.0</v>
      </c>
      <c r="K1644" s="61">
        <f t="shared" si="1"/>
        <v>1</v>
      </c>
      <c r="L1644" s="62">
        <f t="shared" si="2"/>
        <v>1</v>
      </c>
    </row>
    <row r="1645">
      <c r="A1645" s="58">
        <v>45992.0</v>
      </c>
      <c r="B1645" s="24" t="s">
        <v>6787</v>
      </c>
      <c r="C1645" s="24" t="s">
        <v>6882</v>
      </c>
      <c r="D1645" s="59">
        <v>7.0</v>
      </c>
      <c r="E1645" s="59">
        <v>7.0</v>
      </c>
      <c r="F1645" s="59">
        <v>7.0</v>
      </c>
      <c r="G1645" s="60">
        <v>1.0</v>
      </c>
      <c r="H1645" s="60">
        <v>0.428571428571428</v>
      </c>
      <c r="I1645" s="60">
        <v>27.7427708571428</v>
      </c>
      <c r="J1645" s="59">
        <v>7.0</v>
      </c>
      <c r="K1645" s="61">
        <f t="shared" si="1"/>
        <v>1</v>
      </c>
      <c r="L1645" s="62">
        <f t="shared" si="2"/>
        <v>1</v>
      </c>
    </row>
    <row r="1646">
      <c r="A1646" s="58">
        <v>45992.0</v>
      </c>
      <c r="B1646" s="24" t="s">
        <v>6787</v>
      </c>
      <c r="C1646" s="24" t="s">
        <v>6990</v>
      </c>
      <c r="D1646" s="59">
        <v>7.0</v>
      </c>
      <c r="E1646" s="59">
        <v>7.0</v>
      </c>
      <c r="F1646" s="59">
        <v>8.0</v>
      </c>
      <c r="G1646" s="60">
        <v>1.0</v>
      </c>
      <c r="H1646" s="60">
        <v>0.571428571428571</v>
      </c>
      <c r="I1646" s="60">
        <v>14.5297347142857</v>
      </c>
      <c r="J1646" s="59">
        <v>8.0</v>
      </c>
      <c r="K1646" s="61">
        <f t="shared" si="1"/>
        <v>1.142857143</v>
      </c>
      <c r="L1646" s="62">
        <f t="shared" si="2"/>
        <v>1.142857143</v>
      </c>
    </row>
    <row r="1647">
      <c r="A1647" s="58">
        <v>45992.0</v>
      </c>
      <c r="B1647" s="24" t="s">
        <v>6787</v>
      </c>
      <c r="C1647" s="24" t="s">
        <v>6992</v>
      </c>
      <c r="D1647" s="59">
        <v>7.0</v>
      </c>
      <c r="E1647" s="59">
        <v>7.0</v>
      </c>
      <c r="F1647" s="59">
        <v>7.0</v>
      </c>
      <c r="G1647" s="60">
        <v>1.0</v>
      </c>
      <c r="H1647" s="60">
        <v>0.571428571428571</v>
      </c>
      <c r="I1647" s="60">
        <v>21.5295244285714</v>
      </c>
      <c r="J1647" s="59">
        <v>7.0</v>
      </c>
      <c r="K1647" s="61">
        <f t="shared" si="1"/>
        <v>1</v>
      </c>
      <c r="L1647" s="62">
        <f t="shared" si="2"/>
        <v>1</v>
      </c>
    </row>
    <row r="1648">
      <c r="A1648" s="58">
        <v>45992.0</v>
      </c>
      <c r="B1648" s="24" t="s">
        <v>6787</v>
      </c>
      <c r="C1648" s="24" t="s">
        <v>7071</v>
      </c>
      <c r="D1648" s="59">
        <v>7.0</v>
      </c>
      <c r="E1648" s="59">
        <v>7.0</v>
      </c>
      <c r="F1648" s="59">
        <v>7.0</v>
      </c>
      <c r="G1648" s="60">
        <v>1.0</v>
      </c>
      <c r="H1648" s="60">
        <v>0.714285714285714</v>
      </c>
      <c r="I1648" s="60">
        <v>14.1857022857142</v>
      </c>
      <c r="J1648" s="59">
        <v>7.0</v>
      </c>
      <c r="K1648" s="61">
        <f t="shared" si="1"/>
        <v>1</v>
      </c>
      <c r="L1648" s="62">
        <f t="shared" si="2"/>
        <v>1</v>
      </c>
    </row>
    <row r="1649">
      <c r="A1649" s="58">
        <v>45992.0</v>
      </c>
      <c r="B1649" s="24" t="s">
        <v>6787</v>
      </c>
      <c r="C1649" s="24" t="s">
        <v>6995</v>
      </c>
      <c r="D1649" s="59">
        <v>7.0</v>
      </c>
      <c r="E1649" s="59">
        <v>7.0</v>
      </c>
      <c r="F1649" s="59">
        <v>7.0</v>
      </c>
      <c r="G1649" s="60">
        <v>1.0</v>
      </c>
      <c r="H1649" s="60">
        <v>0.714285714285714</v>
      </c>
      <c r="I1649" s="60">
        <v>14.4380991428571</v>
      </c>
      <c r="J1649" s="59">
        <v>7.0</v>
      </c>
      <c r="K1649" s="61">
        <f t="shared" si="1"/>
        <v>1</v>
      </c>
      <c r="L1649" s="62">
        <f t="shared" si="2"/>
        <v>1</v>
      </c>
    </row>
    <row r="1650">
      <c r="A1650" s="58">
        <v>45992.0</v>
      </c>
      <c r="B1650" s="24" t="s">
        <v>6789</v>
      </c>
      <c r="C1650" s="24" t="s">
        <v>6896</v>
      </c>
      <c r="D1650" s="59">
        <v>7.0</v>
      </c>
      <c r="E1650" s="59">
        <v>7.0</v>
      </c>
      <c r="F1650" s="59">
        <v>1.0</v>
      </c>
      <c r="G1650" s="60">
        <v>1.16666666666666</v>
      </c>
      <c r="H1650" s="60">
        <v>0.571428571428571</v>
      </c>
      <c r="I1650" s="60">
        <v>255.987995285714</v>
      </c>
      <c r="J1650" s="59">
        <v>9.0</v>
      </c>
      <c r="K1650" s="61">
        <f t="shared" si="1"/>
        <v>0.1428571429</v>
      </c>
      <c r="L1650" s="62">
        <f t="shared" si="2"/>
        <v>1.285714286</v>
      </c>
    </row>
    <row r="1651">
      <c r="A1651" s="58">
        <v>45992.0</v>
      </c>
      <c r="B1651" s="24" t="s">
        <v>155</v>
      </c>
      <c r="C1651" s="24" t="s">
        <v>6806</v>
      </c>
      <c r="D1651" s="59">
        <v>7.0</v>
      </c>
      <c r="E1651" s="59">
        <v>7.0</v>
      </c>
      <c r="F1651" s="59">
        <v>6.0</v>
      </c>
      <c r="G1651" s="60">
        <v>1.0</v>
      </c>
      <c r="H1651" s="60">
        <v>0.428571428571428</v>
      </c>
      <c r="I1651" s="60">
        <v>453.653423571428</v>
      </c>
      <c r="J1651" s="59">
        <v>9.0</v>
      </c>
      <c r="K1651" s="61">
        <f t="shared" si="1"/>
        <v>0.8571428571</v>
      </c>
      <c r="L1651" s="62">
        <f t="shared" si="2"/>
        <v>1.285714286</v>
      </c>
    </row>
    <row r="1652">
      <c r="A1652" s="58">
        <v>45992.0</v>
      </c>
      <c r="B1652" s="24" t="s">
        <v>6787</v>
      </c>
      <c r="C1652" s="24" t="s">
        <v>6901</v>
      </c>
      <c r="D1652" s="59">
        <v>7.0</v>
      </c>
      <c r="E1652" s="59">
        <v>7.0</v>
      </c>
      <c r="F1652" s="59">
        <v>7.0</v>
      </c>
      <c r="G1652" s="60">
        <v>1.0</v>
      </c>
      <c r="H1652" s="60">
        <v>0.428571428571428</v>
      </c>
      <c r="I1652" s="60">
        <v>29.7183148571428</v>
      </c>
      <c r="J1652" s="59">
        <v>7.0</v>
      </c>
      <c r="K1652" s="61">
        <f t="shared" si="1"/>
        <v>1</v>
      </c>
      <c r="L1652" s="62">
        <f t="shared" si="2"/>
        <v>1</v>
      </c>
    </row>
    <row r="1653">
      <c r="A1653" s="58">
        <v>45992.0</v>
      </c>
      <c r="B1653" s="24" t="s">
        <v>6787</v>
      </c>
      <c r="C1653" s="24" t="s">
        <v>6946</v>
      </c>
      <c r="D1653" s="59">
        <v>7.0</v>
      </c>
      <c r="E1653" s="59">
        <v>7.0</v>
      </c>
      <c r="F1653" s="59">
        <v>7.0</v>
      </c>
      <c r="G1653" s="60">
        <v>1.0</v>
      </c>
      <c r="H1653" s="60">
        <v>0.142857142857142</v>
      </c>
      <c r="I1653" s="60">
        <v>34.3528065714285</v>
      </c>
      <c r="J1653" s="59">
        <v>7.0</v>
      </c>
      <c r="K1653" s="61">
        <f t="shared" si="1"/>
        <v>1</v>
      </c>
      <c r="L1653" s="62">
        <f t="shared" si="2"/>
        <v>1</v>
      </c>
    </row>
    <row r="1654">
      <c r="A1654" s="58">
        <v>45992.0</v>
      </c>
      <c r="B1654" s="24" t="s">
        <v>6787</v>
      </c>
      <c r="C1654" s="24" t="s">
        <v>7079</v>
      </c>
      <c r="D1654" s="59">
        <v>7.0</v>
      </c>
      <c r="E1654" s="59">
        <v>7.0</v>
      </c>
      <c r="F1654" s="59">
        <v>7.0</v>
      </c>
      <c r="G1654" s="60">
        <v>1.0</v>
      </c>
      <c r="H1654" s="60">
        <v>0.285714285714285</v>
      </c>
      <c r="I1654" s="60">
        <v>32.680204</v>
      </c>
      <c r="J1654" s="59">
        <v>7.0</v>
      </c>
      <c r="K1654" s="61">
        <f t="shared" si="1"/>
        <v>1</v>
      </c>
      <c r="L1654" s="62">
        <f t="shared" si="2"/>
        <v>1</v>
      </c>
    </row>
    <row r="1655">
      <c r="A1655" s="58">
        <v>45992.0</v>
      </c>
      <c r="B1655" s="24" t="s">
        <v>6787</v>
      </c>
      <c r="C1655" s="24" t="s">
        <v>6902</v>
      </c>
      <c r="D1655" s="59">
        <v>7.0</v>
      </c>
      <c r="E1655" s="59">
        <v>7.0</v>
      </c>
      <c r="F1655" s="59">
        <v>7.0</v>
      </c>
      <c r="G1655" s="60">
        <v>1.0</v>
      </c>
      <c r="H1655" s="60">
        <v>0.285714285714285</v>
      </c>
      <c r="I1655" s="60">
        <v>32.3390769999999</v>
      </c>
      <c r="J1655" s="59">
        <v>7.0</v>
      </c>
      <c r="K1655" s="61">
        <f t="shared" si="1"/>
        <v>1</v>
      </c>
      <c r="L1655" s="62">
        <f t="shared" si="2"/>
        <v>1</v>
      </c>
    </row>
    <row r="1656">
      <c r="A1656" s="58">
        <v>45992.0</v>
      </c>
      <c r="B1656" s="24" t="s">
        <v>6787</v>
      </c>
      <c r="C1656" s="24" t="s">
        <v>7134</v>
      </c>
      <c r="D1656" s="59">
        <v>7.0</v>
      </c>
      <c r="E1656" s="59">
        <v>7.0</v>
      </c>
      <c r="F1656" s="59">
        <v>7.0</v>
      </c>
      <c r="G1656" s="60">
        <v>1.0</v>
      </c>
      <c r="H1656" s="60">
        <v>0.285714285714285</v>
      </c>
      <c r="I1656" s="60">
        <v>34.4388937142857</v>
      </c>
      <c r="J1656" s="59">
        <v>7.0</v>
      </c>
      <c r="K1656" s="61">
        <f t="shared" si="1"/>
        <v>1</v>
      </c>
      <c r="L1656" s="62">
        <f t="shared" si="2"/>
        <v>1</v>
      </c>
    </row>
    <row r="1657">
      <c r="A1657" s="58">
        <v>45992.0</v>
      </c>
      <c r="B1657" s="24" t="s">
        <v>6787</v>
      </c>
      <c r="C1657" s="24" t="s">
        <v>6808</v>
      </c>
      <c r="D1657" s="59">
        <v>7.0</v>
      </c>
      <c r="E1657" s="59">
        <v>7.0</v>
      </c>
      <c r="F1657" s="59">
        <v>7.0</v>
      </c>
      <c r="G1657" s="60">
        <v>1.0</v>
      </c>
      <c r="H1657" s="60">
        <v>0.428571428571428</v>
      </c>
      <c r="I1657" s="60">
        <v>23.2671608571428</v>
      </c>
      <c r="J1657" s="59">
        <v>7.0</v>
      </c>
      <c r="K1657" s="61">
        <f t="shared" si="1"/>
        <v>1</v>
      </c>
      <c r="L1657" s="62">
        <f t="shared" si="2"/>
        <v>1</v>
      </c>
    </row>
    <row r="1658">
      <c r="A1658" s="58">
        <v>45992.0</v>
      </c>
      <c r="B1658" s="24" t="s">
        <v>6787</v>
      </c>
      <c r="C1658" s="24" t="s">
        <v>7089</v>
      </c>
      <c r="D1658" s="59">
        <v>7.0</v>
      </c>
      <c r="E1658" s="59">
        <v>7.0</v>
      </c>
      <c r="F1658" s="59">
        <v>7.0</v>
      </c>
      <c r="G1658" s="60">
        <v>1.0</v>
      </c>
      <c r="H1658" s="60">
        <v>0.428571428571428</v>
      </c>
      <c r="I1658" s="60">
        <v>25.2524227142857</v>
      </c>
      <c r="J1658" s="59">
        <v>7.0</v>
      </c>
      <c r="K1658" s="61">
        <f t="shared" si="1"/>
        <v>1</v>
      </c>
      <c r="L1658" s="62">
        <f t="shared" si="2"/>
        <v>1</v>
      </c>
    </row>
    <row r="1659">
      <c r="A1659" s="58">
        <v>45992.0</v>
      </c>
      <c r="B1659" s="24" t="s">
        <v>6787</v>
      </c>
      <c r="C1659" s="24" t="s">
        <v>7090</v>
      </c>
      <c r="D1659" s="59">
        <v>7.0</v>
      </c>
      <c r="E1659" s="59">
        <v>7.0</v>
      </c>
      <c r="F1659" s="59">
        <v>7.0</v>
      </c>
      <c r="G1659" s="60">
        <v>1.0</v>
      </c>
      <c r="H1659" s="60">
        <v>0.428571428571428</v>
      </c>
      <c r="I1659" s="60">
        <v>28.0089794285714</v>
      </c>
      <c r="J1659" s="59">
        <v>7.0</v>
      </c>
      <c r="K1659" s="61">
        <f t="shared" si="1"/>
        <v>1</v>
      </c>
      <c r="L1659" s="62">
        <f t="shared" si="2"/>
        <v>1</v>
      </c>
    </row>
    <row r="1660">
      <c r="A1660" s="58">
        <v>45992.0</v>
      </c>
      <c r="B1660" s="24" t="s">
        <v>6787</v>
      </c>
      <c r="C1660" s="24" t="s">
        <v>7036</v>
      </c>
      <c r="D1660" s="59">
        <v>7.0</v>
      </c>
      <c r="E1660" s="59">
        <v>7.0</v>
      </c>
      <c r="F1660" s="59">
        <v>7.0</v>
      </c>
      <c r="G1660" s="60">
        <v>1.0</v>
      </c>
      <c r="H1660" s="60">
        <v>0.428571428571428</v>
      </c>
      <c r="I1660" s="60">
        <v>27.6321565714285</v>
      </c>
      <c r="J1660" s="59">
        <v>7.0</v>
      </c>
      <c r="K1660" s="61">
        <f t="shared" si="1"/>
        <v>1</v>
      </c>
      <c r="L1660" s="62">
        <f t="shared" si="2"/>
        <v>1</v>
      </c>
    </row>
    <row r="1661">
      <c r="A1661" s="58">
        <v>45992.0</v>
      </c>
      <c r="B1661" s="24" t="s">
        <v>6787</v>
      </c>
      <c r="C1661" s="24" t="s">
        <v>7131</v>
      </c>
      <c r="D1661" s="59">
        <v>7.0</v>
      </c>
      <c r="E1661" s="59">
        <v>7.0</v>
      </c>
      <c r="F1661" s="59">
        <v>7.0</v>
      </c>
      <c r="G1661" s="60">
        <v>1.0</v>
      </c>
      <c r="H1661" s="60">
        <v>0.428571428571428</v>
      </c>
      <c r="I1661" s="60">
        <v>28.3474848571428</v>
      </c>
      <c r="J1661" s="59">
        <v>7.0</v>
      </c>
      <c r="K1661" s="61">
        <f t="shared" si="1"/>
        <v>1</v>
      </c>
      <c r="L1661" s="62">
        <f t="shared" si="2"/>
        <v>1</v>
      </c>
    </row>
    <row r="1662">
      <c r="A1662" s="58">
        <v>45992.0</v>
      </c>
      <c r="B1662" s="24" t="s">
        <v>6787</v>
      </c>
      <c r="C1662" s="24" t="s">
        <v>7185</v>
      </c>
      <c r="D1662" s="59">
        <v>7.0</v>
      </c>
      <c r="E1662" s="59">
        <v>7.0</v>
      </c>
      <c r="F1662" s="59">
        <v>7.0</v>
      </c>
      <c r="G1662" s="60">
        <v>1.0</v>
      </c>
      <c r="H1662" s="60">
        <v>0.428571428571428</v>
      </c>
      <c r="I1662" s="60">
        <v>31.4771974285714</v>
      </c>
      <c r="J1662" s="59">
        <v>7.0</v>
      </c>
      <c r="K1662" s="61">
        <f t="shared" si="1"/>
        <v>1</v>
      </c>
      <c r="L1662" s="62">
        <f t="shared" si="2"/>
        <v>1</v>
      </c>
    </row>
    <row r="1663">
      <c r="A1663" s="58">
        <v>45992.0</v>
      </c>
      <c r="B1663" s="24" t="s">
        <v>6787</v>
      </c>
      <c r="C1663" s="24" t="s">
        <v>6812</v>
      </c>
      <c r="D1663" s="59">
        <v>7.0</v>
      </c>
      <c r="E1663" s="59">
        <v>7.0</v>
      </c>
      <c r="F1663" s="59">
        <v>6.0</v>
      </c>
      <c r="G1663" s="60">
        <v>1.0</v>
      </c>
      <c r="H1663" s="60">
        <v>0.428571428571428</v>
      </c>
      <c r="I1663" s="60">
        <v>30.5615554285714</v>
      </c>
      <c r="J1663" s="59">
        <v>7.0</v>
      </c>
      <c r="K1663" s="61">
        <f t="shared" si="1"/>
        <v>0.8571428571</v>
      </c>
      <c r="L1663" s="62">
        <f t="shared" si="2"/>
        <v>1</v>
      </c>
    </row>
    <row r="1664">
      <c r="A1664" s="58">
        <v>45992.0</v>
      </c>
      <c r="B1664" s="24" t="s">
        <v>6787</v>
      </c>
      <c r="C1664" s="24" t="s">
        <v>6850</v>
      </c>
      <c r="D1664" s="59">
        <v>7.0</v>
      </c>
      <c r="E1664" s="59">
        <v>7.0</v>
      </c>
      <c r="F1664" s="59">
        <v>7.0</v>
      </c>
      <c r="G1664" s="60">
        <v>1.0</v>
      </c>
      <c r="H1664" s="60">
        <v>0.428571428571428</v>
      </c>
      <c r="I1664" s="60">
        <v>33.4422977142857</v>
      </c>
      <c r="J1664" s="59">
        <v>7.0</v>
      </c>
      <c r="K1664" s="61">
        <f t="shared" si="1"/>
        <v>1</v>
      </c>
      <c r="L1664" s="62">
        <f t="shared" si="2"/>
        <v>1</v>
      </c>
    </row>
    <row r="1665">
      <c r="A1665" s="58">
        <v>45992.0</v>
      </c>
      <c r="B1665" s="24" t="s">
        <v>6787</v>
      </c>
      <c r="C1665" s="24" t="s">
        <v>6851</v>
      </c>
      <c r="D1665" s="59">
        <v>7.0</v>
      </c>
      <c r="E1665" s="59">
        <v>7.0</v>
      </c>
      <c r="F1665" s="59">
        <v>7.0</v>
      </c>
      <c r="G1665" s="60">
        <v>1.0</v>
      </c>
      <c r="H1665" s="60">
        <v>0.285714285714285</v>
      </c>
      <c r="I1665" s="60">
        <v>29.9705578571428</v>
      </c>
      <c r="J1665" s="59">
        <v>7.0</v>
      </c>
      <c r="K1665" s="61">
        <f t="shared" si="1"/>
        <v>1</v>
      </c>
      <c r="L1665" s="62">
        <f t="shared" si="2"/>
        <v>1</v>
      </c>
    </row>
    <row r="1666">
      <c r="A1666" s="58">
        <v>45992.0</v>
      </c>
      <c r="B1666" s="24" t="s">
        <v>6787</v>
      </c>
      <c r="C1666" s="24" t="s">
        <v>7107</v>
      </c>
      <c r="D1666" s="59">
        <v>7.0</v>
      </c>
      <c r="E1666" s="59">
        <v>7.0</v>
      </c>
      <c r="F1666" s="59">
        <v>7.0</v>
      </c>
      <c r="G1666" s="60">
        <v>1.0</v>
      </c>
      <c r="H1666" s="60">
        <v>0.571428571428571</v>
      </c>
      <c r="I1666" s="60">
        <v>22.4335617142857</v>
      </c>
      <c r="J1666" s="59">
        <v>7.0</v>
      </c>
      <c r="K1666" s="61">
        <f t="shared" si="1"/>
        <v>1</v>
      </c>
      <c r="L1666" s="62">
        <f t="shared" si="2"/>
        <v>1</v>
      </c>
    </row>
    <row r="1667">
      <c r="A1667" s="58">
        <v>45992.0</v>
      </c>
      <c r="B1667" s="24" t="s">
        <v>6787</v>
      </c>
      <c r="C1667" s="24" t="s">
        <v>7047</v>
      </c>
      <c r="D1667" s="59">
        <v>7.0</v>
      </c>
      <c r="E1667" s="59">
        <v>7.0</v>
      </c>
      <c r="F1667" s="59">
        <v>7.0</v>
      </c>
      <c r="G1667" s="60">
        <v>1.0</v>
      </c>
      <c r="H1667" s="60">
        <v>0.571428571428571</v>
      </c>
      <c r="I1667" s="60">
        <v>21.3945411428571</v>
      </c>
      <c r="J1667" s="59">
        <v>7.0</v>
      </c>
      <c r="K1667" s="61">
        <f t="shared" si="1"/>
        <v>1</v>
      </c>
      <c r="L1667" s="62">
        <f t="shared" si="2"/>
        <v>1</v>
      </c>
    </row>
    <row r="1668">
      <c r="A1668" s="58">
        <v>45992.0</v>
      </c>
      <c r="B1668" s="24" t="s">
        <v>6787</v>
      </c>
      <c r="C1668" s="24" t="s">
        <v>6932</v>
      </c>
      <c r="D1668" s="59">
        <v>6.0</v>
      </c>
      <c r="E1668" s="59">
        <v>6.0</v>
      </c>
      <c r="F1668" s="59">
        <v>6.0</v>
      </c>
      <c r="G1668" s="60">
        <v>1.0</v>
      </c>
      <c r="H1668" s="60">
        <v>0.166666666666666</v>
      </c>
      <c r="I1668" s="60">
        <v>35.5865083333333</v>
      </c>
      <c r="J1668" s="59">
        <v>6.0</v>
      </c>
      <c r="K1668" s="61">
        <f t="shared" si="1"/>
        <v>1</v>
      </c>
      <c r="L1668" s="62">
        <f t="shared" si="2"/>
        <v>1</v>
      </c>
    </row>
    <row r="1669">
      <c r="A1669" s="58">
        <v>45992.0</v>
      </c>
      <c r="B1669" s="24" t="s">
        <v>6787</v>
      </c>
      <c r="C1669" s="24" t="s">
        <v>6955</v>
      </c>
      <c r="D1669" s="59">
        <v>6.0</v>
      </c>
      <c r="E1669" s="59">
        <v>6.0</v>
      </c>
      <c r="F1669" s="59">
        <v>6.0</v>
      </c>
      <c r="G1669" s="60">
        <v>1.0</v>
      </c>
      <c r="H1669" s="60">
        <v>0.333333333333333</v>
      </c>
      <c r="I1669" s="60">
        <v>28.329463</v>
      </c>
      <c r="J1669" s="59">
        <v>6.0</v>
      </c>
      <c r="K1669" s="61">
        <f t="shared" si="1"/>
        <v>1</v>
      </c>
      <c r="L1669" s="62">
        <f t="shared" si="2"/>
        <v>1</v>
      </c>
    </row>
    <row r="1670">
      <c r="A1670" s="58">
        <v>45992.0</v>
      </c>
      <c r="B1670" s="24" t="s">
        <v>6787</v>
      </c>
      <c r="C1670" s="24" t="s">
        <v>6935</v>
      </c>
      <c r="D1670" s="59">
        <v>6.0</v>
      </c>
      <c r="E1670" s="59">
        <v>6.0</v>
      </c>
      <c r="F1670" s="59">
        <v>6.0</v>
      </c>
      <c r="G1670" s="60">
        <v>1.0</v>
      </c>
      <c r="H1670" s="60">
        <v>0.333333333333333</v>
      </c>
      <c r="I1670" s="60">
        <v>33.734584</v>
      </c>
      <c r="J1670" s="59">
        <v>6.0</v>
      </c>
      <c r="K1670" s="61">
        <f t="shared" si="1"/>
        <v>1</v>
      </c>
      <c r="L1670" s="62">
        <f t="shared" si="2"/>
        <v>1</v>
      </c>
    </row>
    <row r="1671">
      <c r="A1671" s="58">
        <v>45992.0</v>
      </c>
      <c r="B1671" s="24" t="s">
        <v>6787</v>
      </c>
      <c r="C1671" s="24" t="s">
        <v>6818</v>
      </c>
      <c r="D1671" s="59">
        <v>6.0</v>
      </c>
      <c r="E1671" s="59">
        <v>6.0</v>
      </c>
      <c r="F1671" s="59">
        <v>6.0</v>
      </c>
      <c r="G1671" s="60">
        <v>1.0</v>
      </c>
      <c r="H1671" s="60">
        <v>0.5</v>
      </c>
      <c r="I1671" s="60">
        <v>24.6727341666666</v>
      </c>
      <c r="J1671" s="59">
        <v>6.0</v>
      </c>
      <c r="K1671" s="61">
        <f t="shared" si="1"/>
        <v>1</v>
      </c>
      <c r="L1671" s="62">
        <f t="shared" si="2"/>
        <v>1</v>
      </c>
    </row>
    <row r="1672">
      <c r="A1672" s="58">
        <v>45992.0</v>
      </c>
      <c r="B1672" s="24" t="s">
        <v>6787</v>
      </c>
      <c r="C1672" s="24" t="s">
        <v>6833</v>
      </c>
      <c r="D1672" s="59">
        <v>6.0</v>
      </c>
      <c r="E1672" s="59">
        <v>6.0</v>
      </c>
      <c r="F1672" s="59">
        <v>6.0</v>
      </c>
      <c r="G1672" s="60">
        <v>1.0</v>
      </c>
      <c r="H1672" s="60">
        <v>0.833333333333333</v>
      </c>
      <c r="I1672" s="60">
        <v>9.88123883333333</v>
      </c>
      <c r="J1672" s="59">
        <v>6.0</v>
      </c>
      <c r="K1672" s="61">
        <f t="shared" si="1"/>
        <v>1</v>
      </c>
      <c r="L1672" s="62">
        <f t="shared" si="2"/>
        <v>1</v>
      </c>
    </row>
    <row r="1673">
      <c r="A1673" s="58">
        <v>45992.0</v>
      </c>
      <c r="B1673" s="24" t="s">
        <v>6787</v>
      </c>
      <c r="C1673" s="24" t="s">
        <v>6819</v>
      </c>
      <c r="D1673" s="59">
        <v>6.0</v>
      </c>
      <c r="E1673" s="59">
        <v>6.0</v>
      </c>
      <c r="F1673" s="59">
        <v>6.0</v>
      </c>
      <c r="G1673" s="60">
        <v>1.0</v>
      </c>
      <c r="H1673" s="60">
        <v>0.333333333333333</v>
      </c>
      <c r="I1673" s="60">
        <v>42.5413045</v>
      </c>
      <c r="J1673" s="59">
        <v>6.0</v>
      </c>
      <c r="K1673" s="61">
        <f t="shared" si="1"/>
        <v>1</v>
      </c>
      <c r="L1673" s="62">
        <f t="shared" si="2"/>
        <v>1</v>
      </c>
    </row>
    <row r="1674">
      <c r="A1674" s="58">
        <v>45992.0</v>
      </c>
      <c r="B1674" s="24" t="s">
        <v>6787</v>
      </c>
      <c r="C1674" s="24" t="s">
        <v>6867</v>
      </c>
      <c r="D1674" s="59">
        <v>6.0</v>
      </c>
      <c r="E1674" s="59">
        <v>6.0</v>
      </c>
      <c r="F1674" s="59">
        <v>6.0</v>
      </c>
      <c r="G1674" s="60">
        <v>1.0</v>
      </c>
      <c r="H1674" s="60">
        <v>0.166666666666666</v>
      </c>
      <c r="I1674" s="60">
        <v>35.7569376666666</v>
      </c>
      <c r="J1674" s="59">
        <v>6.0</v>
      </c>
      <c r="K1674" s="61">
        <f t="shared" si="1"/>
        <v>1</v>
      </c>
      <c r="L1674" s="62">
        <f t="shared" si="2"/>
        <v>1</v>
      </c>
    </row>
    <row r="1675">
      <c r="A1675" s="58">
        <v>45992.0</v>
      </c>
      <c r="B1675" s="24" t="s">
        <v>6787</v>
      </c>
      <c r="C1675" s="24" t="s">
        <v>7040</v>
      </c>
      <c r="D1675" s="59">
        <v>6.0</v>
      </c>
      <c r="E1675" s="59">
        <v>6.0</v>
      </c>
      <c r="F1675" s="59">
        <v>6.0</v>
      </c>
      <c r="G1675" s="60">
        <v>1.0</v>
      </c>
      <c r="H1675" s="60">
        <v>0.333333333333333</v>
      </c>
      <c r="I1675" s="60">
        <v>36.6955205</v>
      </c>
      <c r="J1675" s="59">
        <v>6.0</v>
      </c>
      <c r="K1675" s="61">
        <f t="shared" si="1"/>
        <v>1</v>
      </c>
      <c r="L1675" s="62">
        <f t="shared" si="2"/>
        <v>1</v>
      </c>
    </row>
    <row r="1676">
      <c r="A1676" s="58">
        <v>45992.0</v>
      </c>
      <c r="B1676" s="24" t="s">
        <v>6787</v>
      </c>
      <c r="C1676" s="24" t="s">
        <v>7062</v>
      </c>
      <c r="D1676" s="59">
        <v>6.0</v>
      </c>
      <c r="E1676" s="59">
        <v>6.0</v>
      </c>
      <c r="F1676" s="59">
        <v>6.0</v>
      </c>
      <c r="G1676" s="60">
        <v>1.0</v>
      </c>
      <c r="H1676" s="60">
        <v>0.666666666666666</v>
      </c>
      <c r="I1676" s="60">
        <v>16.6820258333333</v>
      </c>
      <c r="J1676" s="59">
        <v>6.0</v>
      </c>
      <c r="K1676" s="61">
        <f t="shared" si="1"/>
        <v>1</v>
      </c>
      <c r="L1676" s="62">
        <f t="shared" si="2"/>
        <v>1</v>
      </c>
    </row>
    <row r="1677">
      <c r="A1677" s="58">
        <v>45992.0</v>
      </c>
      <c r="B1677" s="24" t="s">
        <v>6787</v>
      </c>
      <c r="C1677" s="24" t="s">
        <v>6872</v>
      </c>
      <c r="D1677" s="59">
        <v>6.0</v>
      </c>
      <c r="E1677" s="59">
        <v>6.0</v>
      </c>
      <c r="F1677" s="59">
        <v>6.0</v>
      </c>
      <c r="G1677" s="60">
        <v>1.0</v>
      </c>
      <c r="H1677" s="60">
        <v>0.5</v>
      </c>
      <c r="I1677" s="60">
        <v>25.4895316666666</v>
      </c>
      <c r="J1677" s="59">
        <v>6.0</v>
      </c>
      <c r="K1677" s="61">
        <f t="shared" si="1"/>
        <v>1</v>
      </c>
      <c r="L1677" s="62">
        <f t="shared" si="2"/>
        <v>1</v>
      </c>
    </row>
    <row r="1678">
      <c r="A1678" s="58">
        <v>45992.0</v>
      </c>
      <c r="B1678" s="24" t="s">
        <v>6787</v>
      </c>
      <c r="C1678" s="24" t="s">
        <v>7064</v>
      </c>
      <c r="D1678" s="59">
        <v>6.0</v>
      </c>
      <c r="E1678" s="59">
        <v>6.0</v>
      </c>
      <c r="F1678" s="59">
        <v>6.0</v>
      </c>
      <c r="G1678" s="60">
        <v>1.0</v>
      </c>
      <c r="H1678" s="60">
        <v>0.833333333333333</v>
      </c>
      <c r="I1678" s="60">
        <v>8.304649</v>
      </c>
      <c r="J1678" s="59">
        <v>6.0</v>
      </c>
      <c r="K1678" s="61">
        <f t="shared" si="1"/>
        <v>1</v>
      </c>
      <c r="L1678" s="62">
        <f t="shared" si="2"/>
        <v>1</v>
      </c>
    </row>
    <row r="1679">
      <c r="A1679" s="58">
        <v>45992.0</v>
      </c>
      <c r="B1679" s="24" t="s">
        <v>6787</v>
      </c>
      <c r="C1679" s="24" t="s">
        <v>6883</v>
      </c>
      <c r="D1679" s="59">
        <v>6.0</v>
      </c>
      <c r="E1679" s="59">
        <v>6.0</v>
      </c>
      <c r="F1679" s="59">
        <v>6.0</v>
      </c>
      <c r="G1679" s="60">
        <v>1.0</v>
      </c>
      <c r="H1679" s="60">
        <v>0.166666666666666</v>
      </c>
      <c r="I1679" s="60">
        <v>40.8317081666666</v>
      </c>
      <c r="J1679" s="59">
        <v>6.0</v>
      </c>
      <c r="K1679" s="61">
        <f t="shared" si="1"/>
        <v>1</v>
      </c>
      <c r="L1679" s="62">
        <f t="shared" si="2"/>
        <v>1</v>
      </c>
    </row>
    <row r="1680">
      <c r="A1680" s="58">
        <v>45992.0</v>
      </c>
      <c r="B1680" s="24" t="s">
        <v>6787</v>
      </c>
      <c r="C1680" s="24" t="s">
        <v>6994</v>
      </c>
      <c r="D1680" s="59">
        <v>6.0</v>
      </c>
      <c r="E1680" s="59">
        <v>6.0</v>
      </c>
      <c r="F1680" s="59">
        <v>6.0</v>
      </c>
      <c r="G1680" s="60">
        <v>1.0</v>
      </c>
      <c r="H1680" s="60">
        <v>0.166666666666666</v>
      </c>
      <c r="I1680" s="60">
        <v>35.507092</v>
      </c>
      <c r="J1680" s="59">
        <v>6.0</v>
      </c>
      <c r="K1680" s="61">
        <f t="shared" si="1"/>
        <v>1</v>
      </c>
      <c r="L1680" s="62">
        <f t="shared" si="2"/>
        <v>1</v>
      </c>
    </row>
    <row r="1681">
      <c r="A1681" s="58">
        <v>45992.0</v>
      </c>
      <c r="B1681" s="24" t="s">
        <v>6787</v>
      </c>
      <c r="C1681" s="24" t="s">
        <v>7074</v>
      </c>
      <c r="D1681" s="59">
        <v>6.0</v>
      </c>
      <c r="E1681" s="59">
        <v>6.0</v>
      </c>
      <c r="F1681" s="59">
        <v>6.0</v>
      </c>
      <c r="G1681" s="60">
        <v>1.0</v>
      </c>
      <c r="H1681" s="60">
        <v>0.5</v>
      </c>
      <c r="I1681" s="60">
        <v>20.9251644999999</v>
      </c>
      <c r="J1681" s="59">
        <v>6.0</v>
      </c>
      <c r="K1681" s="61">
        <f t="shared" si="1"/>
        <v>1</v>
      </c>
      <c r="L1681" s="62">
        <f t="shared" si="2"/>
        <v>1</v>
      </c>
    </row>
    <row r="1682">
      <c r="A1682" s="58">
        <v>45992.0</v>
      </c>
      <c r="B1682" s="24" t="s">
        <v>6787</v>
      </c>
      <c r="C1682" s="24" t="s">
        <v>6890</v>
      </c>
      <c r="D1682" s="59">
        <v>6.0</v>
      </c>
      <c r="E1682" s="59">
        <v>6.0</v>
      </c>
      <c r="F1682" s="59">
        <v>6.0</v>
      </c>
      <c r="G1682" s="60">
        <v>1.0</v>
      </c>
      <c r="H1682" s="60">
        <v>0.166666666666666</v>
      </c>
      <c r="I1682" s="60">
        <v>37.7521281666666</v>
      </c>
      <c r="J1682" s="59">
        <v>6.0</v>
      </c>
      <c r="K1682" s="61">
        <f t="shared" si="1"/>
        <v>1</v>
      </c>
      <c r="L1682" s="62">
        <f t="shared" si="2"/>
        <v>1</v>
      </c>
    </row>
    <row r="1683">
      <c r="A1683" s="58">
        <v>45992.0</v>
      </c>
      <c r="B1683" s="24" t="s">
        <v>6787</v>
      </c>
      <c r="C1683" s="24" t="s">
        <v>6894</v>
      </c>
      <c r="D1683" s="59">
        <v>6.0</v>
      </c>
      <c r="E1683" s="59">
        <v>6.0</v>
      </c>
      <c r="F1683" s="59">
        <v>6.0</v>
      </c>
      <c r="G1683" s="60">
        <v>1.0</v>
      </c>
      <c r="H1683" s="60">
        <v>0.5</v>
      </c>
      <c r="I1683" s="60">
        <v>25.1947568333333</v>
      </c>
      <c r="J1683" s="59">
        <v>6.0</v>
      </c>
      <c r="K1683" s="61">
        <f t="shared" si="1"/>
        <v>1</v>
      </c>
      <c r="L1683" s="62">
        <f t="shared" si="2"/>
        <v>1</v>
      </c>
    </row>
    <row r="1684">
      <c r="A1684" s="58">
        <v>45992.0</v>
      </c>
      <c r="B1684" s="24" t="s">
        <v>6789</v>
      </c>
      <c r="C1684" s="24" t="s">
        <v>6806</v>
      </c>
      <c r="D1684" s="59">
        <v>6.0</v>
      </c>
      <c r="E1684" s="59">
        <v>8.0</v>
      </c>
      <c r="F1684" s="59">
        <v>6.0</v>
      </c>
      <c r="G1684" s="60">
        <v>1.33333333333333</v>
      </c>
      <c r="H1684" s="60">
        <v>0.75</v>
      </c>
      <c r="I1684" s="60">
        <v>224.47389625</v>
      </c>
      <c r="J1684" s="59">
        <v>13.0</v>
      </c>
      <c r="K1684" s="61">
        <f t="shared" si="1"/>
        <v>0.75</v>
      </c>
      <c r="L1684" s="62">
        <f t="shared" si="2"/>
        <v>1.625</v>
      </c>
    </row>
    <row r="1685">
      <c r="A1685" s="58">
        <v>45992.0</v>
      </c>
      <c r="B1685" s="24" t="s">
        <v>6787</v>
      </c>
      <c r="C1685" s="24" t="s">
        <v>7078</v>
      </c>
      <c r="D1685" s="59">
        <v>6.0</v>
      </c>
      <c r="E1685" s="59">
        <v>6.0</v>
      </c>
      <c r="F1685" s="59">
        <v>6.0</v>
      </c>
      <c r="G1685" s="60">
        <v>1.0</v>
      </c>
      <c r="H1685" s="60">
        <v>0.0</v>
      </c>
      <c r="I1685" s="60">
        <v>42.1555983333333</v>
      </c>
      <c r="J1685" s="59">
        <v>6.0</v>
      </c>
      <c r="K1685" s="61">
        <f t="shared" si="1"/>
        <v>1</v>
      </c>
      <c r="L1685" s="62">
        <f t="shared" si="2"/>
        <v>1</v>
      </c>
    </row>
    <row r="1686">
      <c r="A1686" s="58">
        <v>45992.0</v>
      </c>
      <c r="B1686" s="24" t="s">
        <v>6787</v>
      </c>
      <c r="C1686" s="24" t="s">
        <v>7033</v>
      </c>
      <c r="D1686" s="59">
        <v>6.0</v>
      </c>
      <c r="E1686" s="59">
        <v>6.0</v>
      </c>
      <c r="F1686" s="59">
        <v>6.0</v>
      </c>
      <c r="G1686" s="60">
        <v>1.0</v>
      </c>
      <c r="H1686" s="60">
        <v>0.333333333333333</v>
      </c>
      <c r="I1686" s="60">
        <v>30.0367881666666</v>
      </c>
      <c r="J1686" s="59">
        <v>6.0</v>
      </c>
      <c r="K1686" s="61">
        <f t="shared" si="1"/>
        <v>1</v>
      </c>
      <c r="L1686" s="62">
        <f t="shared" si="2"/>
        <v>1</v>
      </c>
    </row>
    <row r="1687">
      <c r="A1687" s="58">
        <v>45992.0</v>
      </c>
      <c r="B1687" s="24" t="s">
        <v>6787</v>
      </c>
      <c r="C1687" s="24" t="s">
        <v>7158</v>
      </c>
      <c r="D1687" s="59">
        <v>6.0</v>
      </c>
      <c r="E1687" s="59">
        <v>6.0</v>
      </c>
      <c r="F1687" s="59">
        <v>6.0</v>
      </c>
      <c r="G1687" s="60">
        <v>1.0</v>
      </c>
      <c r="H1687" s="60">
        <v>0.333333333333333</v>
      </c>
      <c r="I1687" s="60">
        <v>29.7913513333333</v>
      </c>
      <c r="J1687" s="59">
        <v>6.0</v>
      </c>
      <c r="K1687" s="61">
        <f t="shared" si="1"/>
        <v>1</v>
      </c>
      <c r="L1687" s="62">
        <f t="shared" si="2"/>
        <v>1</v>
      </c>
    </row>
    <row r="1688">
      <c r="A1688" s="58">
        <v>45992.0</v>
      </c>
      <c r="B1688" s="24" t="s">
        <v>6787</v>
      </c>
      <c r="C1688" s="24" t="s">
        <v>7088</v>
      </c>
      <c r="D1688" s="59">
        <v>6.0</v>
      </c>
      <c r="E1688" s="59">
        <v>6.0</v>
      </c>
      <c r="F1688" s="59">
        <v>6.0</v>
      </c>
      <c r="G1688" s="60">
        <v>1.0</v>
      </c>
      <c r="H1688" s="60">
        <v>0.166666666666666</v>
      </c>
      <c r="I1688" s="60">
        <v>38.9819325</v>
      </c>
      <c r="J1688" s="59">
        <v>6.0</v>
      </c>
      <c r="K1688" s="61">
        <f t="shared" si="1"/>
        <v>1</v>
      </c>
      <c r="L1688" s="62">
        <f t="shared" si="2"/>
        <v>1</v>
      </c>
    </row>
    <row r="1689">
      <c r="A1689" s="58">
        <v>45992.0</v>
      </c>
      <c r="B1689" s="24" t="s">
        <v>6787</v>
      </c>
      <c r="C1689" s="24" t="s">
        <v>7160</v>
      </c>
      <c r="D1689" s="59">
        <v>6.0</v>
      </c>
      <c r="E1689" s="59">
        <v>6.0</v>
      </c>
      <c r="F1689" s="59">
        <v>6.0</v>
      </c>
      <c r="G1689" s="60">
        <v>1.0</v>
      </c>
      <c r="H1689" s="60">
        <v>0.166666666666666</v>
      </c>
      <c r="I1689" s="60">
        <v>35.3930081666666</v>
      </c>
      <c r="J1689" s="59">
        <v>6.0</v>
      </c>
      <c r="K1689" s="61">
        <f t="shared" si="1"/>
        <v>1</v>
      </c>
      <c r="L1689" s="62">
        <f t="shared" si="2"/>
        <v>1</v>
      </c>
    </row>
    <row r="1690">
      <c r="A1690" s="58">
        <v>45992.0</v>
      </c>
      <c r="B1690" s="24" t="s">
        <v>6787</v>
      </c>
      <c r="C1690" s="24" t="s">
        <v>7135</v>
      </c>
      <c r="D1690" s="59">
        <v>6.0</v>
      </c>
      <c r="E1690" s="59">
        <v>6.0</v>
      </c>
      <c r="F1690" s="59">
        <v>6.0</v>
      </c>
      <c r="G1690" s="60">
        <v>1.0</v>
      </c>
      <c r="H1690" s="60">
        <v>0.333333333333333</v>
      </c>
      <c r="I1690" s="60">
        <v>34.0684078333333</v>
      </c>
      <c r="J1690" s="59">
        <v>6.0</v>
      </c>
      <c r="K1690" s="61">
        <f t="shared" si="1"/>
        <v>1</v>
      </c>
      <c r="L1690" s="62">
        <f t="shared" si="2"/>
        <v>1</v>
      </c>
    </row>
    <row r="1691">
      <c r="A1691" s="58">
        <v>45992.0</v>
      </c>
      <c r="B1691" s="24" t="s">
        <v>6787</v>
      </c>
      <c r="C1691" s="24" t="s">
        <v>7164</v>
      </c>
      <c r="D1691" s="59">
        <v>6.0</v>
      </c>
      <c r="E1691" s="59">
        <v>6.0</v>
      </c>
      <c r="F1691" s="59">
        <v>6.0</v>
      </c>
      <c r="G1691" s="60">
        <v>1.0</v>
      </c>
      <c r="H1691" s="60">
        <v>0.5</v>
      </c>
      <c r="I1691" s="60">
        <v>25.2199986666666</v>
      </c>
      <c r="J1691" s="59">
        <v>6.0</v>
      </c>
      <c r="K1691" s="61">
        <f t="shared" si="1"/>
        <v>1</v>
      </c>
      <c r="L1691" s="62">
        <f t="shared" si="2"/>
        <v>1</v>
      </c>
    </row>
    <row r="1692">
      <c r="A1692" s="58">
        <v>45992.0</v>
      </c>
      <c r="B1692" s="24" t="s">
        <v>6787</v>
      </c>
      <c r="C1692" s="24" t="s">
        <v>7165</v>
      </c>
      <c r="D1692" s="59">
        <v>6.0</v>
      </c>
      <c r="E1692" s="59">
        <v>6.0</v>
      </c>
      <c r="F1692" s="59">
        <v>6.0</v>
      </c>
      <c r="G1692" s="60">
        <v>1.0</v>
      </c>
      <c r="H1692" s="60">
        <v>0.5</v>
      </c>
      <c r="I1692" s="60">
        <v>26.8634648333333</v>
      </c>
      <c r="J1692" s="59">
        <v>6.0</v>
      </c>
      <c r="K1692" s="61">
        <f t="shared" si="1"/>
        <v>1</v>
      </c>
      <c r="L1692" s="62">
        <f t="shared" si="2"/>
        <v>1</v>
      </c>
    </row>
    <row r="1693">
      <c r="A1693" s="58">
        <v>45992.0</v>
      </c>
      <c r="B1693" s="24" t="s">
        <v>6787</v>
      </c>
      <c r="C1693" s="24" t="s">
        <v>7166</v>
      </c>
      <c r="D1693" s="59">
        <v>6.0</v>
      </c>
      <c r="E1693" s="59">
        <v>6.0</v>
      </c>
      <c r="F1693" s="59">
        <v>6.0</v>
      </c>
      <c r="G1693" s="60">
        <v>1.0</v>
      </c>
      <c r="H1693" s="60">
        <v>0.5</v>
      </c>
      <c r="I1693" s="60">
        <v>26.1516888333333</v>
      </c>
      <c r="J1693" s="59">
        <v>6.0</v>
      </c>
      <c r="K1693" s="61">
        <f t="shared" si="1"/>
        <v>1</v>
      </c>
      <c r="L1693" s="62">
        <f t="shared" si="2"/>
        <v>1</v>
      </c>
    </row>
    <row r="1694">
      <c r="A1694" s="58">
        <v>45992.0</v>
      </c>
      <c r="B1694" s="24" t="s">
        <v>6787</v>
      </c>
      <c r="C1694" s="24" t="s">
        <v>7095</v>
      </c>
      <c r="D1694" s="59">
        <v>6.0</v>
      </c>
      <c r="E1694" s="59">
        <v>6.0</v>
      </c>
      <c r="F1694" s="59">
        <v>6.0</v>
      </c>
      <c r="G1694" s="60">
        <v>1.0</v>
      </c>
      <c r="H1694" s="60">
        <v>0.5</v>
      </c>
      <c r="I1694" s="60">
        <v>24.7725985</v>
      </c>
      <c r="J1694" s="59">
        <v>6.0</v>
      </c>
      <c r="K1694" s="61">
        <f t="shared" si="1"/>
        <v>1</v>
      </c>
      <c r="L1694" s="62">
        <f t="shared" si="2"/>
        <v>1</v>
      </c>
    </row>
    <row r="1695">
      <c r="A1695" s="58">
        <v>45992.0</v>
      </c>
      <c r="B1695" s="24" t="s">
        <v>6787</v>
      </c>
      <c r="C1695" s="24" t="s">
        <v>7096</v>
      </c>
      <c r="D1695" s="59">
        <v>6.0</v>
      </c>
      <c r="E1695" s="59">
        <v>6.0</v>
      </c>
      <c r="F1695" s="59">
        <v>6.0</v>
      </c>
      <c r="G1695" s="60">
        <v>1.0</v>
      </c>
      <c r="H1695" s="60">
        <v>0.5</v>
      </c>
      <c r="I1695" s="60">
        <v>24.0057269999999</v>
      </c>
      <c r="J1695" s="59">
        <v>6.0</v>
      </c>
      <c r="K1695" s="61">
        <f t="shared" si="1"/>
        <v>1</v>
      </c>
      <c r="L1695" s="62">
        <f t="shared" si="2"/>
        <v>1</v>
      </c>
    </row>
    <row r="1696">
      <c r="A1696" s="58">
        <v>45992.0</v>
      </c>
      <c r="B1696" s="24" t="s">
        <v>6787</v>
      </c>
      <c r="C1696" s="24" t="s">
        <v>7186</v>
      </c>
      <c r="D1696" s="59">
        <v>6.0</v>
      </c>
      <c r="E1696" s="59">
        <v>6.0</v>
      </c>
      <c r="F1696" s="59">
        <v>6.0</v>
      </c>
      <c r="G1696" s="60">
        <v>1.0</v>
      </c>
      <c r="H1696" s="60">
        <v>0.5</v>
      </c>
      <c r="I1696" s="60">
        <v>25.0102456666666</v>
      </c>
      <c r="J1696" s="59">
        <v>6.0</v>
      </c>
      <c r="K1696" s="61">
        <f t="shared" si="1"/>
        <v>1</v>
      </c>
      <c r="L1696" s="62">
        <f t="shared" si="2"/>
        <v>1</v>
      </c>
    </row>
    <row r="1697">
      <c r="A1697" s="58">
        <v>45992.0</v>
      </c>
      <c r="B1697" s="24" t="s">
        <v>6787</v>
      </c>
      <c r="C1697" s="24" t="s">
        <v>7169</v>
      </c>
      <c r="D1697" s="59">
        <v>6.0</v>
      </c>
      <c r="E1697" s="59">
        <v>6.0</v>
      </c>
      <c r="F1697" s="59">
        <v>6.0</v>
      </c>
      <c r="G1697" s="60">
        <v>1.0</v>
      </c>
      <c r="H1697" s="60">
        <v>0.333333333333333</v>
      </c>
      <c r="I1697" s="60">
        <v>37.3134238333333</v>
      </c>
      <c r="J1697" s="59">
        <v>6.0</v>
      </c>
      <c r="K1697" s="61">
        <f t="shared" si="1"/>
        <v>1</v>
      </c>
      <c r="L1697" s="62">
        <f t="shared" si="2"/>
        <v>1</v>
      </c>
    </row>
    <row r="1698">
      <c r="A1698" s="58">
        <v>45992.0</v>
      </c>
      <c r="B1698" s="24" t="s">
        <v>155</v>
      </c>
      <c r="C1698" s="24" t="s">
        <v>6809</v>
      </c>
      <c r="D1698" s="59">
        <v>6.0</v>
      </c>
      <c r="E1698" s="59">
        <v>6.0</v>
      </c>
      <c r="F1698" s="59">
        <v>5.0</v>
      </c>
      <c r="G1698" s="60">
        <v>1.2</v>
      </c>
      <c r="H1698" s="60">
        <v>0.666666666666666</v>
      </c>
      <c r="I1698" s="60">
        <v>17.0359555</v>
      </c>
      <c r="J1698" s="59">
        <v>8.0</v>
      </c>
      <c r="K1698" s="61">
        <f t="shared" si="1"/>
        <v>0.8333333333</v>
      </c>
      <c r="L1698" s="62">
        <f t="shared" si="2"/>
        <v>1.333333333</v>
      </c>
    </row>
    <row r="1699">
      <c r="A1699" s="58">
        <v>45992.0</v>
      </c>
      <c r="B1699" s="24" t="s">
        <v>6787</v>
      </c>
      <c r="C1699" s="24" t="s">
        <v>6908</v>
      </c>
      <c r="D1699" s="59">
        <v>6.0</v>
      </c>
      <c r="E1699" s="59">
        <v>6.0</v>
      </c>
      <c r="F1699" s="59">
        <v>6.0</v>
      </c>
      <c r="G1699" s="60">
        <v>1.0</v>
      </c>
      <c r="H1699" s="60">
        <v>0.333333333333333</v>
      </c>
      <c r="I1699" s="60">
        <v>33.9806636666666</v>
      </c>
      <c r="J1699" s="59">
        <v>6.0</v>
      </c>
      <c r="K1699" s="61">
        <f t="shared" si="1"/>
        <v>1</v>
      </c>
      <c r="L1699" s="62">
        <f t="shared" si="2"/>
        <v>1</v>
      </c>
    </row>
    <row r="1700">
      <c r="A1700" s="58">
        <v>45992.0</v>
      </c>
      <c r="B1700" s="24" t="s">
        <v>6789</v>
      </c>
      <c r="C1700" s="24" t="s">
        <v>6910</v>
      </c>
      <c r="D1700" s="59">
        <v>6.0</v>
      </c>
      <c r="E1700" s="59">
        <v>8.0</v>
      </c>
      <c r="F1700" s="59">
        <v>3.0</v>
      </c>
      <c r="G1700" s="60">
        <v>1.6</v>
      </c>
      <c r="H1700" s="60">
        <v>0.5</v>
      </c>
      <c r="I1700" s="60">
        <v>152.274751125</v>
      </c>
      <c r="J1700" s="59">
        <v>11.0</v>
      </c>
      <c r="K1700" s="61">
        <f t="shared" si="1"/>
        <v>0.375</v>
      </c>
      <c r="L1700" s="62">
        <f t="shared" si="2"/>
        <v>1.375</v>
      </c>
    </row>
    <row r="1701">
      <c r="A1701" s="58">
        <v>45992.0</v>
      </c>
      <c r="B1701" s="24" t="s">
        <v>6787</v>
      </c>
      <c r="C1701" s="24" t="s">
        <v>6814</v>
      </c>
      <c r="D1701" s="59">
        <v>6.0</v>
      </c>
      <c r="E1701" s="59">
        <v>6.0</v>
      </c>
      <c r="F1701" s="59">
        <v>6.0</v>
      </c>
      <c r="G1701" s="60">
        <v>1.0</v>
      </c>
      <c r="H1701" s="60">
        <v>0.5</v>
      </c>
      <c r="I1701" s="60">
        <v>26.2056758333333</v>
      </c>
      <c r="J1701" s="59">
        <v>6.0</v>
      </c>
      <c r="K1701" s="61">
        <f t="shared" si="1"/>
        <v>1</v>
      </c>
      <c r="L1701" s="62">
        <f t="shared" si="2"/>
        <v>1</v>
      </c>
    </row>
    <row r="1702">
      <c r="A1702" s="58">
        <v>45992.0</v>
      </c>
      <c r="B1702" s="24" t="s">
        <v>6787</v>
      </c>
      <c r="C1702" s="24" t="s">
        <v>6915</v>
      </c>
      <c r="D1702" s="59">
        <v>6.0</v>
      </c>
      <c r="E1702" s="59">
        <v>6.0</v>
      </c>
      <c r="F1702" s="59">
        <v>6.0</v>
      </c>
      <c r="G1702" s="60">
        <v>1.0</v>
      </c>
      <c r="H1702" s="60">
        <v>0.5</v>
      </c>
      <c r="I1702" s="60">
        <v>24.6007695</v>
      </c>
      <c r="J1702" s="59">
        <v>6.0</v>
      </c>
      <c r="K1702" s="61">
        <f t="shared" si="1"/>
        <v>1</v>
      </c>
      <c r="L1702" s="62">
        <f t="shared" si="2"/>
        <v>1</v>
      </c>
    </row>
    <row r="1703">
      <c r="A1703" s="58">
        <v>45992.0</v>
      </c>
      <c r="B1703" s="24" t="s">
        <v>6787</v>
      </c>
      <c r="C1703" s="24" t="s">
        <v>6853</v>
      </c>
      <c r="D1703" s="59">
        <v>6.0</v>
      </c>
      <c r="E1703" s="59">
        <v>6.0</v>
      </c>
      <c r="F1703" s="59">
        <v>5.0</v>
      </c>
      <c r="G1703" s="60">
        <v>1.0</v>
      </c>
      <c r="H1703" s="60">
        <v>0.0</v>
      </c>
      <c r="I1703" s="60">
        <v>93.1700238333333</v>
      </c>
      <c r="J1703" s="59">
        <v>7.0</v>
      </c>
      <c r="K1703" s="61">
        <f t="shared" si="1"/>
        <v>0.8333333333</v>
      </c>
      <c r="L1703" s="62">
        <f t="shared" si="2"/>
        <v>1.166666667</v>
      </c>
    </row>
    <row r="1704">
      <c r="A1704" s="58">
        <v>45992.0</v>
      </c>
      <c r="B1704" s="24" t="s">
        <v>6787</v>
      </c>
      <c r="C1704" s="24" t="s">
        <v>6923</v>
      </c>
      <c r="D1704" s="59">
        <v>6.0</v>
      </c>
      <c r="E1704" s="59">
        <v>6.0</v>
      </c>
      <c r="F1704" s="59">
        <v>6.0</v>
      </c>
      <c r="G1704" s="60">
        <v>1.0</v>
      </c>
      <c r="H1704" s="60">
        <v>0.166666666666666</v>
      </c>
      <c r="I1704" s="60">
        <v>32.7858023333333</v>
      </c>
      <c r="J1704" s="59">
        <v>6.0</v>
      </c>
      <c r="K1704" s="61">
        <f t="shared" si="1"/>
        <v>1</v>
      </c>
      <c r="L1704" s="62">
        <f t="shared" si="2"/>
        <v>1</v>
      </c>
    </row>
    <row r="1705">
      <c r="A1705" s="58">
        <v>45992.0</v>
      </c>
      <c r="B1705" s="24" t="s">
        <v>6787</v>
      </c>
      <c r="C1705" s="24" t="s">
        <v>6941</v>
      </c>
      <c r="D1705" s="59">
        <v>6.0</v>
      </c>
      <c r="E1705" s="59">
        <v>6.0</v>
      </c>
      <c r="F1705" s="59">
        <v>6.0</v>
      </c>
      <c r="G1705" s="60">
        <v>1.0</v>
      </c>
      <c r="H1705" s="60">
        <v>0.166666666666666</v>
      </c>
      <c r="I1705" s="60">
        <v>38.1295863333333</v>
      </c>
      <c r="J1705" s="59">
        <v>6.0</v>
      </c>
      <c r="K1705" s="61">
        <f t="shared" si="1"/>
        <v>1</v>
      </c>
      <c r="L1705" s="62">
        <f t="shared" si="2"/>
        <v>1</v>
      </c>
    </row>
    <row r="1706">
      <c r="A1706" s="58">
        <v>45992.0</v>
      </c>
      <c r="B1706" s="24" t="s">
        <v>6787</v>
      </c>
      <c r="C1706" s="24" t="s">
        <v>6963</v>
      </c>
      <c r="D1706" s="59">
        <v>6.0</v>
      </c>
      <c r="E1706" s="59">
        <v>6.0</v>
      </c>
      <c r="F1706" s="59">
        <v>6.0</v>
      </c>
      <c r="G1706" s="60">
        <v>1.0</v>
      </c>
      <c r="H1706" s="60">
        <v>0.5</v>
      </c>
      <c r="I1706" s="60">
        <v>26.3658283333333</v>
      </c>
      <c r="J1706" s="59">
        <v>6.0</v>
      </c>
      <c r="K1706" s="61">
        <f t="shared" si="1"/>
        <v>1</v>
      </c>
      <c r="L1706" s="62">
        <f t="shared" si="2"/>
        <v>1</v>
      </c>
    </row>
    <row r="1707">
      <c r="A1707" s="58">
        <v>45992.0</v>
      </c>
      <c r="B1707" s="24" t="s">
        <v>6789</v>
      </c>
      <c r="C1707" s="24" t="s">
        <v>6802</v>
      </c>
      <c r="D1707" s="59">
        <v>6.0</v>
      </c>
      <c r="E1707" s="59">
        <v>12.0</v>
      </c>
      <c r="F1707" s="59">
        <v>0.0</v>
      </c>
      <c r="G1707" s="60">
        <v>2.0</v>
      </c>
      <c r="H1707" s="60">
        <v>0.416666666666666</v>
      </c>
      <c r="I1707" s="60">
        <v>189.186505166666</v>
      </c>
      <c r="J1707" s="59">
        <v>18.0</v>
      </c>
      <c r="K1707" s="61">
        <f t="shared" si="1"/>
        <v>0</v>
      </c>
      <c r="L1707" s="62">
        <f t="shared" si="2"/>
        <v>1.5</v>
      </c>
    </row>
    <row r="1708">
      <c r="A1708" s="58">
        <v>45992.0</v>
      </c>
      <c r="B1708" s="24" t="s">
        <v>3216</v>
      </c>
      <c r="C1708" s="24" t="s">
        <v>6792</v>
      </c>
      <c r="D1708" s="59">
        <v>5.0</v>
      </c>
      <c r="E1708" s="59">
        <v>5.0</v>
      </c>
      <c r="F1708" s="59">
        <v>0.0</v>
      </c>
      <c r="G1708" s="60">
        <v>1.66666666666666</v>
      </c>
      <c r="H1708" s="60">
        <v>0.8</v>
      </c>
      <c r="I1708" s="60">
        <v>59.3130374</v>
      </c>
      <c r="J1708" s="59">
        <v>0.0</v>
      </c>
      <c r="K1708" s="61">
        <f t="shared" si="1"/>
        <v>0</v>
      </c>
      <c r="L1708" s="62">
        <f t="shared" si="2"/>
        <v>0</v>
      </c>
    </row>
    <row r="1709">
      <c r="A1709" s="58">
        <v>45992.0</v>
      </c>
      <c r="B1709" s="24" t="s">
        <v>6794</v>
      </c>
      <c r="C1709" s="24" t="s">
        <v>6792</v>
      </c>
      <c r="D1709" s="59">
        <v>5.0</v>
      </c>
      <c r="E1709" s="59">
        <v>8.0</v>
      </c>
      <c r="F1709" s="59">
        <v>0.0</v>
      </c>
      <c r="G1709" s="60">
        <v>2.66666666666666</v>
      </c>
      <c r="H1709" s="60">
        <v>1.0</v>
      </c>
      <c r="I1709" s="60">
        <v>0.0</v>
      </c>
      <c r="J1709" s="59">
        <v>0.0</v>
      </c>
      <c r="K1709" s="61">
        <f t="shared" si="1"/>
        <v>0</v>
      </c>
      <c r="L1709" s="62">
        <f t="shared" si="2"/>
        <v>0</v>
      </c>
    </row>
    <row r="1710">
      <c r="A1710" s="58">
        <v>45992.0</v>
      </c>
      <c r="B1710" s="24" t="s">
        <v>6787</v>
      </c>
      <c r="C1710" s="24" t="s">
        <v>7149</v>
      </c>
      <c r="D1710" s="59">
        <v>5.0</v>
      </c>
      <c r="E1710" s="59">
        <v>5.0</v>
      </c>
      <c r="F1710" s="59">
        <v>5.0</v>
      </c>
      <c r="G1710" s="60">
        <v>1.0</v>
      </c>
      <c r="H1710" s="60">
        <v>0.0</v>
      </c>
      <c r="I1710" s="60">
        <v>42.056974</v>
      </c>
      <c r="J1710" s="59">
        <v>5.0</v>
      </c>
      <c r="K1710" s="61">
        <f t="shared" si="1"/>
        <v>1</v>
      </c>
      <c r="L1710" s="62">
        <f t="shared" si="2"/>
        <v>1</v>
      </c>
    </row>
    <row r="1711">
      <c r="A1711" s="58">
        <v>45992.0</v>
      </c>
      <c r="B1711" s="24" t="s">
        <v>6787</v>
      </c>
      <c r="C1711" s="24" t="s">
        <v>7056</v>
      </c>
      <c r="D1711" s="59">
        <v>5.0</v>
      </c>
      <c r="E1711" s="59">
        <v>5.0</v>
      </c>
      <c r="F1711" s="59">
        <v>5.0</v>
      </c>
      <c r="G1711" s="60">
        <v>1.0</v>
      </c>
      <c r="H1711" s="60">
        <v>0.4</v>
      </c>
      <c r="I1711" s="60">
        <v>30.6349848</v>
      </c>
      <c r="J1711" s="59">
        <v>5.0</v>
      </c>
      <c r="K1711" s="61">
        <f t="shared" si="1"/>
        <v>1</v>
      </c>
      <c r="L1711" s="62">
        <f t="shared" si="2"/>
        <v>1</v>
      </c>
    </row>
    <row r="1712">
      <c r="A1712" s="58">
        <v>45992.0</v>
      </c>
      <c r="B1712" s="24" t="s">
        <v>6787</v>
      </c>
      <c r="C1712" s="24" t="s">
        <v>6943</v>
      </c>
      <c r="D1712" s="59">
        <v>5.0</v>
      </c>
      <c r="E1712" s="59">
        <v>5.0</v>
      </c>
      <c r="F1712" s="59">
        <v>5.0</v>
      </c>
      <c r="G1712" s="60">
        <v>1.0</v>
      </c>
      <c r="H1712" s="60">
        <v>0.2</v>
      </c>
      <c r="I1712" s="60">
        <v>39.7160676</v>
      </c>
      <c r="J1712" s="59">
        <v>5.0</v>
      </c>
      <c r="K1712" s="61">
        <f t="shared" si="1"/>
        <v>1</v>
      </c>
      <c r="L1712" s="62">
        <f t="shared" si="2"/>
        <v>1</v>
      </c>
    </row>
    <row r="1713">
      <c r="A1713" s="58">
        <v>45992.0</v>
      </c>
      <c r="B1713" s="24" t="s">
        <v>6787</v>
      </c>
      <c r="C1713" s="24" t="s">
        <v>7039</v>
      </c>
      <c r="D1713" s="59">
        <v>5.0</v>
      </c>
      <c r="E1713" s="59">
        <v>5.0</v>
      </c>
      <c r="F1713" s="59">
        <v>5.0</v>
      </c>
      <c r="G1713" s="60">
        <v>1.0</v>
      </c>
      <c r="H1713" s="60">
        <v>0.6</v>
      </c>
      <c r="I1713" s="60">
        <v>19.7809439999999</v>
      </c>
      <c r="J1713" s="59">
        <v>5.0</v>
      </c>
      <c r="K1713" s="61">
        <f t="shared" si="1"/>
        <v>1</v>
      </c>
      <c r="L1713" s="62">
        <f t="shared" si="2"/>
        <v>1</v>
      </c>
    </row>
    <row r="1714">
      <c r="A1714" s="58">
        <v>45992.0</v>
      </c>
      <c r="B1714" s="24" t="s">
        <v>6787</v>
      </c>
      <c r="C1714" s="24" t="s">
        <v>7187</v>
      </c>
      <c r="D1714" s="59">
        <v>5.0</v>
      </c>
      <c r="E1714" s="59">
        <v>5.0</v>
      </c>
      <c r="F1714" s="59">
        <v>5.0</v>
      </c>
      <c r="G1714" s="60">
        <v>1.0</v>
      </c>
      <c r="H1714" s="60">
        <v>0.4</v>
      </c>
      <c r="I1714" s="60">
        <v>29.598457</v>
      </c>
      <c r="J1714" s="59">
        <v>5.0</v>
      </c>
      <c r="K1714" s="61">
        <f t="shared" si="1"/>
        <v>1</v>
      </c>
      <c r="L1714" s="62">
        <f t="shared" si="2"/>
        <v>1</v>
      </c>
    </row>
    <row r="1715">
      <c r="A1715" s="58">
        <v>45992.0</v>
      </c>
      <c r="B1715" s="24" t="s">
        <v>6787</v>
      </c>
      <c r="C1715" s="24" t="s">
        <v>6830</v>
      </c>
      <c r="D1715" s="59">
        <v>5.0</v>
      </c>
      <c r="E1715" s="59">
        <v>5.0</v>
      </c>
      <c r="F1715" s="59">
        <v>5.0</v>
      </c>
      <c r="G1715" s="60">
        <v>1.0</v>
      </c>
      <c r="H1715" s="60">
        <v>0.2</v>
      </c>
      <c r="I1715" s="60">
        <v>41.427426</v>
      </c>
      <c r="J1715" s="59">
        <v>5.0</v>
      </c>
      <c r="K1715" s="61">
        <f t="shared" si="1"/>
        <v>1</v>
      </c>
      <c r="L1715" s="62">
        <f t="shared" si="2"/>
        <v>1</v>
      </c>
    </row>
    <row r="1716">
      <c r="A1716" s="58">
        <v>45992.0</v>
      </c>
      <c r="B1716" s="24" t="s">
        <v>3216</v>
      </c>
      <c r="C1716" s="24" t="s">
        <v>6830</v>
      </c>
      <c r="D1716" s="59">
        <v>5.0</v>
      </c>
      <c r="E1716" s="59">
        <v>5.0</v>
      </c>
      <c r="F1716" s="59">
        <v>5.0</v>
      </c>
      <c r="G1716" s="60">
        <v>1.0</v>
      </c>
      <c r="H1716" s="60">
        <v>0.8</v>
      </c>
      <c r="I1716" s="60">
        <v>3.2639644</v>
      </c>
      <c r="J1716" s="59">
        <v>5.0</v>
      </c>
      <c r="K1716" s="61">
        <f t="shared" si="1"/>
        <v>1</v>
      </c>
      <c r="L1716" s="62">
        <f t="shared" si="2"/>
        <v>1</v>
      </c>
    </row>
    <row r="1717">
      <c r="A1717" s="58">
        <v>45992.0</v>
      </c>
      <c r="B1717" s="24" t="s">
        <v>6787</v>
      </c>
      <c r="C1717" s="24" t="s">
        <v>6986</v>
      </c>
      <c r="D1717" s="59">
        <v>5.0</v>
      </c>
      <c r="E1717" s="59">
        <v>5.0</v>
      </c>
      <c r="F1717" s="59">
        <v>5.0</v>
      </c>
      <c r="G1717" s="60">
        <v>1.0</v>
      </c>
      <c r="H1717" s="60">
        <v>0.6</v>
      </c>
      <c r="I1717" s="60">
        <v>20.6300748</v>
      </c>
      <c r="J1717" s="59">
        <v>5.0</v>
      </c>
      <c r="K1717" s="61">
        <f t="shared" si="1"/>
        <v>1</v>
      </c>
      <c r="L1717" s="62">
        <f t="shared" si="2"/>
        <v>1</v>
      </c>
    </row>
    <row r="1718">
      <c r="A1718" s="58">
        <v>45992.0</v>
      </c>
      <c r="B1718" s="24" t="s">
        <v>6787</v>
      </c>
      <c r="C1718" s="24" t="s">
        <v>7061</v>
      </c>
      <c r="D1718" s="59">
        <v>5.0</v>
      </c>
      <c r="E1718" s="59">
        <v>5.0</v>
      </c>
      <c r="F1718" s="59">
        <v>5.0</v>
      </c>
      <c r="G1718" s="60">
        <v>1.0</v>
      </c>
      <c r="H1718" s="60">
        <v>0.4</v>
      </c>
      <c r="I1718" s="60">
        <v>29.8019962</v>
      </c>
      <c r="J1718" s="59">
        <v>5.0</v>
      </c>
      <c r="K1718" s="61">
        <f t="shared" si="1"/>
        <v>1</v>
      </c>
      <c r="L1718" s="62">
        <f t="shared" si="2"/>
        <v>1</v>
      </c>
    </row>
    <row r="1719">
      <c r="A1719" s="58">
        <v>45992.0</v>
      </c>
      <c r="B1719" s="24" t="s">
        <v>6787</v>
      </c>
      <c r="C1719" s="24" t="s">
        <v>6868</v>
      </c>
      <c r="D1719" s="59">
        <v>5.0</v>
      </c>
      <c r="E1719" s="59">
        <v>5.0</v>
      </c>
      <c r="F1719" s="59">
        <v>5.0</v>
      </c>
      <c r="G1719" s="60">
        <v>1.0</v>
      </c>
      <c r="H1719" s="60">
        <v>0.0</v>
      </c>
      <c r="I1719" s="60">
        <v>62.8450433999999</v>
      </c>
      <c r="J1719" s="59">
        <v>5.0</v>
      </c>
      <c r="K1719" s="61">
        <f t="shared" si="1"/>
        <v>1</v>
      </c>
      <c r="L1719" s="62">
        <f t="shared" si="2"/>
        <v>1</v>
      </c>
    </row>
    <row r="1720">
      <c r="A1720" s="58">
        <v>45992.0</v>
      </c>
      <c r="B1720" s="24" t="s">
        <v>6787</v>
      </c>
      <c r="C1720" s="24" t="s">
        <v>6870</v>
      </c>
      <c r="D1720" s="59">
        <v>5.0</v>
      </c>
      <c r="E1720" s="59">
        <v>5.0</v>
      </c>
      <c r="F1720" s="59">
        <v>5.0</v>
      </c>
      <c r="G1720" s="60">
        <v>1.0</v>
      </c>
      <c r="H1720" s="60">
        <v>0.4</v>
      </c>
      <c r="I1720" s="60">
        <v>29.9440244</v>
      </c>
      <c r="J1720" s="59">
        <v>5.0</v>
      </c>
      <c r="K1720" s="61">
        <f t="shared" si="1"/>
        <v>1</v>
      </c>
      <c r="L1720" s="62">
        <f t="shared" si="2"/>
        <v>1</v>
      </c>
    </row>
    <row r="1721">
      <c r="A1721" s="58">
        <v>45992.0</v>
      </c>
      <c r="B1721" s="24" t="s">
        <v>6787</v>
      </c>
      <c r="C1721" s="24" t="s">
        <v>6875</v>
      </c>
      <c r="D1721" s="59">
        <v>5.0</v>
      </c>
      <c r="E1721" s="59">
        <v>5.0</v>
      </c>
      <c r="F1721" s="59">
        <v>5.0</v>
      </c>
      <c r="G1721" s="60">
        <v>1.0</v>
      </c>
      <c r="H1721" s="60">
        <v>0.2</v>
      </c>
      <c r="I1721" s="60">
        <v>259.1319888</v>
      </c>
      <c r="J1721" s="59">
        <v>6.0</v>
      </c>
      <c r="K1721" s="61">
        <f t="shared" si="1"/>
        <v>1</v>
      </c>
      <c r="L1721" s="62">
        <f t="shared" si="2"/>
        <v>1.2</v>
      </c>
    </row>
    <row r="1722">
      <c r="A1722" s="58">
        <v>45992.0</v>
      </c>
      <c r="B1722" s="24" t="s">
        <v>6787</v>
      </c>
      <c r="C1722" s="24" t="s">
        <v>6989</v>
      </c>
      <c r="D1722" s="59">
        <v>5.0</v>
      </c>
      <c r="E1722" s="59">
        <v>5.0</v>
      </c>
      <c r="F1722" s="59">
        <v>5.0</v>
      </c>
      <c r="G1722" s="60">
        <v>1.0</v>
      </c>
      <c r="H1722" s="60">
        <v>0.6</v>
      </c>
      <c r="I1722" s="60">
        <v>20.0538412</v>
      </c>
      <c r="J1722" s="59">
        <v>5.0</v>
      </c>
      <c r="K1722" s="61">
        <f t="shared" si="1"/>
        <v>1</v>
      </c>
      <c r="L1722" s="62">
        <f t="shared" si="2"/>
        <v>1</v>
      </c>
    </row>
    <row r="1723">
      <c r="A1723" s="58">
        <v>45992.0</v>
      </c>
      <c r="B1723" s="24" t="s">
        <v>6787</v>
      </c>
      <c r="C1723" s="24" t="s">
        <v>6836</v>
      </c>
      <c r="D1723" s="59">
        <v>5.0</v>
      </c>
      <c r="E1723" s="59">
        <v>5.0</v>
      </c>
      <c r="F1723" s="59">
        <v>5.0</v>
      </c>
      <c r="G1723" s="60">
        <v>1.0</v>
      </c>
      <c r="H1723" s="60">
        <v>0.4</v>
      </c>
      <c r="I1723" s="60">
        <v>30.4820066</v>
      </c>
      <c r="J1723" s="59">
        <v>5.0</v>
      </c>
      <c r="K1723" s="61">
        <f t="shared" si="1"/>
        <v>1</v>
      </c>
      <c r="L1723" s="62">
        <f t="shared" si="2"/>
        <v>1</v>
      </c>
    </row>
    <row r="1724">
      <c r="A1724" s="58">
        <v>45992.0</v>
      </c>
      <c r="B1724" s="24" t="s">
        <v>6787</v>
      </c>
      <c r="C1724" s="24" t="s">
        <v>7070</v>
      </c>
      <c r="D1724" s="59">
        <v>5.0</v>
      </c>
      <c r="E1724" s="59">
        <v>5.0</v>
      </c>
      <c r="F1724" s="59">
        <v>5.0</v>
      </c>
      <c r="G1724" s="60">
        <v>1.0</v>
      </c>
      <c r="H1724" s="60">
        <v>0.2</v>
      </c>
      <c r="I1724" s="60">
        <v>56.0958614</v>
      </c>
      <c r="J1724" s="59">
        <v>5.0</v>
      </c>
      <c r="K1724" s="61">
        <f t="shared" si="1"/>
        <v>1</v>
      </c>
      <c r="L1724" s="62">
        <f t="shared" si="2"/>
        <v>1</v>
      </c>
    </row>
    <row r="1725">
      <c r="A1725" s="58">
        <v>45992.0</v>
      </c>
      <c r="B1725" s="24" t="s">
        <v>6787</v>
      </c>
      <c r="C1725" s="24" t="s">
        <v>7072</v>
      </c>
      <c r="D1725" s="59">
        <v>5.0</v>
      </c>
      <c r="E1725" s="59">
        <v>5.0</v>
      </c>
      <c r="F1725" s="59">
        <v>5.0</v>
      </c>
      <c r="G1725" s="60">
        <v>1.0</v>
      </c>
      <c r="H1725" s="60">
        <v>0.4</v>
      </c>
      <c r="I1725" s="60">
        <v>30.321688</v>
      </c>
      <c r="J1725" s="59">
        <v>5.0</v>
      </c>
      <c r="K1725" s="61">
        <f t="shared" si="1"/>
        <v>1</v>
      </c>
      <c r="L1725" s="62">
        <f t="shared" si="2"/>
        <v>1</v>
      </c>
    </row>
    <row r="1726">
      <c r="A1726" s="58">
        <v>45992.0</v>
      </c>
      <c r="B1726" s="24" t="s">
        <v>6787</v>
      </c>
      <c r="C1726" s="24" t="s">
        <v>6945</v>
      </c>
      <c r="D1726" s="59">
        <v>5.0</v>
      </c>
      <c r="E1726" s="59">
        <v>5.0</v>
      </c>
      <c r="F1726" s="59">
        <v>5.0</v>
      </c>
      <c r="G1726" s="60">
        <v>1.0</v>
      </c>
      <c r="H1726" s="60">
        <v>0.6</v>
      </c>
      <c r="I1726" s="60">
        <v>21.6306755999999</v>
      </c>
      <c r="J1726" s="59">
        <v>5.0</v>
      </c>
      <c r="K1726" s="61">
        <f t="shared" si="1"/>
        <v>1</v>
      </c>
      <c r="L1726" s="62">
        <f t="shared" si="2"/>
        <v>1</v>
      </c>
    </row>
    <row r="1727">
      <c r="A1727" s="58">
        <v>45992.0</v>
      </c>
      <c r="B1727" s="24" t="s">
        <v>6787</v>
      </c>
      <c r="C1727" s="24" t="s">
        <v>6930</v>
      </c>
      <c r="D1727" s="59">
        <v>5.0</v>
      </c>
      <c r="E1727" s="59">
        <v>5.0</v>
      </c>
      <c r="F1727" s="59">
        <v>5.0</v>
      </c>
      <c r="G1727" s="60">
        <v>1.0</v>
      </c>
      <c r="H1727" s="60">
        <v>0.2</v>
      </c>
      <c r="I1727" s="60">
        <v>40.1975846</v>
      </c>
      <c r="J1727" s="59">
        <v>5.0</v>
      </c>
      <c r="K1727" s="61">
        <f t="shared" si="1"/>
        <v>1</v>
      </c>
      <c r="L1727" s="62">
        <f t="shared" si="2"/>
        <v>1</v>
      </c>
    </row>
    <row r="1728">
      <c r="A1728" s="58">
        <v>45992.0</v>
      </c>
      <c r="B1728" s="24" t="s">
        <v>6787</v>
      </c>
      <c r="C1728" s="24" t="s">
        <v>6999</v>
      </c>
      <c r="D1728" s="59">
        <v>5.0</v>
      </c>
      <c r="E1728" s="59">
        <v>5.0</v>
      </c>
      <c r="F1728" s="59">
        <v>5.0</v>
      </c>
      <c r="G1728" s="60">
        <v>1.0</v>
      </c>
      <c r="H1728" s="60">
        <v>0.2</v>
      </c>
      <c r="I1728" s="60">
        <v>39.2987928</v>
      </c>
      <c r="J1728" s="59">
        <v>5.0</v>
      </c>
      <c r="K1728" s="61">
        <f t="shared" si="1"/>
        <v>1</v>
      </c>
      <c r="L1728" s="62">
        <f t="shared" si="2"/>
        <v>1</v>
      </c>
    </row>
    <row r="1729">
      <c r="A1729" s="58">
        <v>45992.0</v>
      </c>
      <c r="B1729" s="24" t="s">
        <v>6787</v>
      </c>
      <c r="C1729" s="24" t="s">
        <v>7002</v>
      </c>
      <c r="D1729" s="59">
        <v>5.0</v>
      </c>
      <c r="E1729" s="59">
        <v>5.0</v>
      </c>
      <c r="F1729" s="59">
        <v>5.0</v>
      </c>
      <c r="G1729" s="60">
        <v>1.0</v>
      </c>
      <c r="H1729" s="60">
        <v>0.2</v>
      </c>
      <c r="I1729" s="60">
        <v>39.172919</v>
      </c>
      <c r="J1729" s="59">
        <v>5.0</v>
      </c>
      <c r="K1729" s="61">
        <f t="shared" si="1"/>
        <v>1</v>
      </c>
      <c r="L1729" s="62">
        <f t="shared" si="2"/>
        <v>1</v>
      </c>
    </row>
    <row r="1730">
      <c r="A1730" s="58">
        <v>45992.0</v>
      </c>
      <c r="B1730" s="24" t="s">
        <v>6789</v>
      </c>
      <c r="C1730" s="24" t="s">
        <v>6844</v>
      </c>
      <c r="D1730" s="59">
        <v>5.0</v>
      </c>
      <c r="E1730" s="59">
        <v>5.0</v>
      </c>
      <c r="F1730" s="59">
        <v>4.0</v>
      </c>
      <c r="G1730" s="60">
        <v>1.0</v>
      </c>
      <c r="H1730" s="60">
        <v>0.6</v>
      </c>
      <c r="I1730" s="60">
        <v>18.5369898</v>
      </c>
      <c r="J1730" s="59">
        <v>5.0</v>
      </c>
      <c r="K1730" s="61">
        <f t="shared" si="1"/>
        <v>0.8</v>
      </c>
      <c r="L1730" s="62">
        <f t="shared" si="2"/>
        <v>1</v>
      </c>
    </row>
    <row r="1731">
      <c r="A1731" s="58">
        <v>45992.0</v>
      </c>
      <c r="B1731" s="24" t="s">
        <v>6789</v>
      </c>
      <c r="C1731" s="24" t="s">
        <v>6903</v>
      </c>
      <c r="D1731" s="59">
        <v>5.0</v>
      </c>
      <c r="E1731" s="59">
        <v>5.0</v>
      </c>
      <c r="F1731" s="59">
        <v>5.0</v>
      </c>
      <c r="G1731" s="60">
        <v>1.0</v>
      </c>
      <c r="H1731" s="60">
        <v>0.4</v>
      </c>
      <c r="I1731" s="60">
        <v>243.672008</v>
      </c>
      <c r="J1731" s="59">
        <v>5.0</v>
      </c>
      <c r="K1731" s="61">
        <f t="shared" si="1"/>
        <v>1</v>
      </c>
      <c r="L1731" s="62">
        <f t="shared" si="2"/>
        <v>1</v>
      </c>
    </row>
    <row r="1732">
      <c r="A1732" s="58">
        <v>45992.0</v>
      </c>
      <c r="B1732" s="24" t="s">
        <v>6787</v>
      </c>
      <c r="C1732" s="24" t="s">
        <v>7188</v>
      </c>
      <c r="D1732" s="59">
        <v>5.0</v>
      </c>
      <c r="E1732" s="59">
        <v>5.0</v>
      </c>
      <c r="F1732" s="59">
        <v>5.0</v>
      </c>
      <c r="G1732" s="60">
        <v>1.0</v>
      </c>
      <c r="H1732" s="60">
        <v>0.4</v>
      </c>
      <c r="I1732" s="60">
        <v>30.5612286</v>
      </c>
      <c r="J1732" s="59">
        <v>5.0</v>
      </c>
      <c r="K1732" s="61">
        <f t="shared" si="1"/>
        <v>1</v>
      </c>
      <c r="L1732" s="62">
        <f t="shared" si="2"/>
        <v>1</v>
      </c>
    </row>
    <row r="1733">
      <c r="A1733" s="58">
        <v>45992.0</v>
      </c>
      <c r="B1733" s="24" t="s">
        <v>6791</v>
      </c>
      <c r="C1733" s="24" t="s">
        <v>7041</v>
      </c>
      <c r="D1733" s="59">
        <v>5.0</v>
      </c>
      <c r="E1733" s="59">
        <v>5.0</v>
      </c>
      <c r="F1733" s="59">
        <v>5.0</v>
      </c>
      <c r="G1733" s="60">
        <v>1.0</v>
      </c>
      <c r="H1733" s="60">
        <v>0.4</v>
      </c>
      <c r="I1733" s="60">
        <v>30.334405</v>
      </c>
      <c r="J1733" s="59">
        <v>5.0</v>
      </c>
      <c r="K1733" s="61">
        <f t="shared" si="1"/>
        <v>1</v>
      </c>
      <c r="L1733" s="62">
        <f t="shared" si="2"/>
        <v>1</v>
      </c>
    </row>
    <row r="1734">
      <c r="A1734" s="58">
        <v>45992.0</v>
      </c>
      <c r="B1734" s="24" t="s">
        <v>6787</v>
      </c>
      <c r="C1734" s="24" t="s">
        <v>6907</v>
      </c>
      <c r="D1734" s="59">
        <v>5.0</v>
      </c>
      <c r="E1734" s="59">
        <v>5.0</v>
      </c>
      <c r="F1734" s="59">
        <v>5.0</v>
      </c>
      <c r="G1734" s="60">
        <v>1.0</v>
      </c>
      <c r="H1734" s="60">
        <v>0.2</v>
      </c>
      <c r="I1734" s="60">
        <v>41.5747328</v>
      </c>
      <c r="J1734" s="59">
        <v>5.0</v>
      </c>
      <c r="K1734" s="61">
        <f t="shared" si="1"/>
        <v>1</v>
      </c>
      <c r="L1734" s="62">
        <f t="shared" si="2"/>
        <v>1</v>
      </c>
    </row>
    <row r="1735">
      <c r="A1735" s="58">
        <v>45992.0</v>
      </c>
      <c r="B1735" s="24" t="s">
        <v>6787</v>
      </c>
      <c r="C1735" s="24" t="s">
        <v>7189</v>
      </c>
      <c r="D1735" s="59">
        <v>5.0</v>
      </c>
      <c r="E1735" s="59">
        <v>5.0</v>
      </c>
      <c r="F1735" s="59">
        <v>5.0</v>
      </c>
      <c r="G1735" s="60">
        <v>1.0</v>
      </c>
      <c r="H1735" s="60">
        <v>0.4</v>
      </c>
      <c r="I1735" s="60">
        <v>29.9938227999999</v>
      </c>
      <c r="J1735" s="59">
        <v>5.0</v>
      </c>
      <c r="K1735" s="61">
        <f t="shared" si="1"/>
        <v>1</v>
      </c>
      <c r="L1735" s="62">
        <f t="shared" si="2"/>
        <v>1</v>
      </c>
    </row>
    <row r="1736">
      <c r="A1736" s="58">
        <v>45992.0</v>
      </c>
      <c r="B1736" s="24" t="s">
        <v>6787</v>
      </c>
      <c r="C1736" s="24" t="s">
        <v>7190</v>
      </c>
      <c r="D1736" s="59">
        <v>5.0</v>
      </c>
      <c r="E1736" s="59">
        <v>5.0</v>
      </c>
      <c r="F1736" s="59">
        <v>5.0</v>
      </c>
      <c r="G1736" s="60">
        <v>1.0</v>
      </c>
      <c r="H1736" s="60">
        <v>0.0</v>
      </c>
      <c r="I1736" s="60">
        <v>46.5894446</v>
      </c>
      <c r="J1736" s="59">
        <v>5.0</v>
      </c>
      <c r="K1736" s="61">
        <f t="shared" si="1"/>
        <v>1</v>
      </c>
      <c r="L1736" s="62">
        <f t="shared" si="2"/>
        <v>1</v>
      </c>
    </row>
    <row r="1737">
      <c r="A1737" s="58">
        <v>45992.0</v>
      </c>
      <c r="B1737" s="24" t="s">
        <v>6787</v>
      </c>
      <c r="C1737" s="24" t="s">
        <v>7191</v>
      </c>
      <c r="D1737" s="59">
        <v>5.0</v>
      </c>
      <c r="E1737" s="59">
        <v>5.0</v>
      </c>
      <c r="F1737" s="59">
        <v>5.0</v>
      </c>
      <c r="G1737" s="60">
        <v>1.0</v>
      </c>
      <c r="H1737" s="60">
        <v>0.2</v>
      </c>
      <c r="I1737" s="60">
        <v>40.3490768</v>
      </c>
      <c r="J1737" s="59">
        <v>5.0</v>
      </c>
      <c r="K1737" s="61">
        <f t="shared" si="1"/>
        <v>1</v>
      </c>
      <c r="L1737" s="62">
        <f t="shared" si="2"/>
        <v>1</v>
      </c>
    </row>
    <row r="1738">
      <c r="A1738" s="58">
        <v>45992.0</v>
      </c>
      <c r="B1738" s="24" t="s">
        <v>6787</v>
      </c>
      <c r="C1738" s="24" t="s">
        <v>7130</v>
      </c>
      <c r="D1738" s="59">
        <v>5.0</v>
      </c>
      <c r="E1738" s="59">
        <v>5.0</v>
      </c>
      <c r="F1738" s="59">
        <v>5.0</v>
      </c>
      <c r="G1738" s="60">
        <v>1.0</v>
      </c>
      <c r="H1738" s="60">
        <v>0.4</v>
      </c>
      <c r="I1738" s="60">
        <v>29.1177774</v>
      </c>
      <c r="J1738" s="59">
        <v>5.0</v>
      </c>
      <c r="K1738" s="61">
        <f t="shared" si="1"/>
        <v>1</v>
      </c>
      <c r="L1738" s="62">
        <f t="shared" si="2"/>
        <v>1</v>
      </c>
    </row>
    <row r="1739">
      <c r="A1739" s="58">
        <v>45992.0</v>
      </c>
      <c r="B1739" s="24" t="s">
        <v>6787</v>
      </c>
      <c r="C1739" s="24" t="s">
        <v>7163</v>
      </c>
      <c r="D1739" s="59">
        <v>5.0</v>
      </c>
      <c r="E1739" s="59">
        <v>5.0</v>
      </c>
      <c r="F1739" s="59">
        <v>5.0</v>
      </c>
      <c r="G1739" s="60">
        <v>1.0</v>
      </c>
      <c r="H1739" s="60">
        <v>0.2</v>
      </c>
      <c r="I1739" s="60">
        <v>39.8970482</v>
      </c>
      <c r="J1739" s="59">
        <v>5.0</v>
      </c>
      <c r="K1739" s="61">
        <f t="shared" si="1"/>
        <v>1</v>
      </c>
      <c r="L1739" s="62">
        <f t="shared" si="2"/>
        <v>1</v>
      </c>
    </row>
    <row r="1740">
      <c r="A1740" s="58">
        <v>45992.0</v>
      </c>
      <c r="B1740" s="24" t="s">
        <v>6787</v>
      </c>
      <c r="C1740" s="24" t="s">
        <v>7092</v>
      </c>
      <c r="D1740" s="59">
        <v>5.0</v>
      </c>
      <c r="E1740" s="59">
        <v>5.0</v>
      </c>
      <c r="F1740" s="59">
        <v>5.0</v>
      </c>
      <c r="G1740" s="60">
        <v>1.0</v>
      </c>
      <c r="H1740" s="60">
        <v>0.2</v>
      </c>
      <c r="I1740" s="60">
        <v>38.7159548</v>
      </c>
      <c r="J1740" s="59">
        <v>5.0</v>
      </c>
      <c r="K1740" s="61">
        <f t="shared" si="1"/>
        <v>1</v>
      </c>
      <c r="L1740" s="62">
        <f t="shared" si="2"/>
        <v>1</v>
      </c>
    </row>
    <row r="1741">
      <c r="A1741" s="58">
        <v>45992.0</v>
      </c>
      <c r="B1741" s="24" t="s">
        <v>6787</v>
      </c>
      <c r="C1741" s="24" t="s">
        <v>7093</v>
      </c>
      <c r="D1741" s="59">
        <v>5.0</v>
      </c>
      <c r="E1741" s="59">
        <v>5.0</v>
      </c>
      <c r="F1741" s="59">
        <v>5.0</v>
      </c>
      <c r="G1741" s="60">
        <v>1.0</v>
      </c>
      <c r="H1741" s="60">
        <v>0.2</v>
      </c>
      <c r="I1741" s="60">
        <v>39.8166328</v>
      </c>
      <c r="J1741" s="59">
        <v>5.0</v>
      </c>
      <c r="K1741" s="61">
        <f t="shared" si="1"/>
        <v>1</v>
      </c>
      <c r="L1741" s="62">
        <f t="shared" si="2"/>
        <v>1</v>
      </c>
    </row>
    <row r="1742">
      <c r="A1742" s="58">
        <v>45992.0</v>
      </c>
      <c r="B1742" s="24" t="s">
        <v>6787</v>
      </c>
      <c r="C1742" s="24" t="s">
        <v>7094</v>
      </c>
      <c r="D1742" s="59">
        <v>5.0</v>
      </c>
      <c r="E1742" s="59">
        <v>5.0</v>
      </c>
      <c r="F1742" s="59">
        <v>5.0</v>
      </c>
      <c r="G1742" s="60">
        <v>1.0</v>
      </c>
      <c r="H1742" s="60">
        <v>0.2</v>
      </c>
      <c r="I1742" s="60">
        <v>40.5073198</v>
      </c>
      <c r="J1742" s="59">
        <v>5.0</v>
      </c>
      <c r="K1742" s="61">
        <f t="shared" si="1"/>
        <v>1</v>
      </c>
      <c r="L1742" s="62">
        <f t="shared" si="2"/>
        <v>1</v>
      </c>
    </row>
    <row r="1743">
      <c r="A1743" s="58">
        <v>45992.0</v>
      </c>
      <c r="B1743" s="24" t="s">
        <v>6787</v>
      </c>
      <c r="C1743" s="24" t="s">
        <v>7136</v>
      </c>
      <c r="D1743" s="59">
        <v>5.0</v>
      </c>
      <c r="E1743" s="59">
        <v>5.0</v>
      </c>
      <c r="F1743" s="59">
        <v>5.0</v>
      </c>
      <c r="G1743" s="60">
        <v>1.0</v>
      </c>
      <c r="H1743" s="60">
        <v>0.4</v>
      </c>
      <c r="I1743" s="60">
        <v>29.3331976</v>
      </c>
      <c r="J1743" s="59">
        <v>5.0</v>
      </c>
      <c r="K1743" s="61">
        <f t="shared" si="1"/>
        <v>1</v>
      </c>
      <c r="L1743" s="62">
        <f t="shared" si="2"/>
        <v>1</v>
      </c>
    </row>
    <row r="1744">
      <c r="A1744" s="58">
        <v>45992.0</v>
      </c>
      <c r="B1744" s="24" t="s">
        <v>6787</v>
      </c>
      <c r="C1744" s="24" t="s">
        <v>7097</v>
      </c>
      <c r="D1744" s="59">
        <v>5.0</v>
      </c>
      <c r="E1744" s="59">
        <v>5.0</v>
      </c>
      <c r="F1744" s="59">
        <v>5.0</v>
      </c>
      <c r="G1744" s="60">
        <v>1.0</v>
      </c>
      <c r="H1744" s="60">
        <v>0.4</v>
      </c>
      <c r="I1744" s="60">
        <v>27.5444328</v>
      </c>
      <c r="J1744" s="59">
        <v>5.0</v>
      </c>
      <c r="K1744" s="61">
        <f t="shared" si="1"/>
        <v>1</v>
      </c>
      <c r="L1744" s="62">
        <f t="shared" si="2"/>
        <v>1</v>
      </c>
    </row>
    <row r="1745">
      <c r="A1745" s="58">
        <v>45992.0</v>
      </c>
      <c r="B1745" s="24" t="s">
        <v>6787</v>
      </c>
      <c r="C1745" s="24" t="s">
        <v>7099</v>
      </c>
      <c r="D1745" s="59">
        <v>5.0</v>
      </c>
      <c r="E1745" s="59">
        <v>5.0</v>
      </c>
      <c r="F1745" s="59">
        <v>5.0</v>
      </c>
      <c r="G1745" s="60">
        <v>1.0</v>
      </c>
      <c r="H1745" s="60">
        <v>0.4</v>
      </c>
      <c r="I1745" s="60">
        <v>44.0170308</v>
      </c>
      <c r="J1745" s="59">
        <v>5.0</v>
      </c>
      <c r="K1745" s="61">
        <f t="shared" si="1"/>
        <v>1</v>
      </c>
      <c r="L1745" s="62">
        <f t="shared" si="2"/>
        <v>1</v>
      </c>
    </row>
    <row r="1746">
      <c r="A1746" s="58">
        <v>45992.0</v>
      </c>
      <c r="B1746" s="24" t="s">
        <v>6787</v>
      </c>
      <c r="C1746" s="24" t="s">
        <v>7170</v>
      </c>
      <c r="D1746" s="59">
        <v>5.0</v>
      </c>
      <c r="E1746" s="59">
        <v>5.0</v>
      </c>
      <c r="F1746" s="59">
        <v>5.0</v>
      </c>
      <c r="G1746" s="60">
        <v>1.0</v>
      </c>
      <c r="H1746" s="60">
        <v>0.0</v>
      </c>
      <c r="I1746" s="60">
        <v>42.9752044</v>
      </c>
      <c r="J1746" s="59">
        <v>5.0</v>
      </c>
      <c r="K1746" s="61">
        <f t="shared" si="1"/>
        <v>1</v>
      </c>
      <c r="L1746" s="62">
        <f t="shared" si="2"/>
        <v>1</v>
      </c>
    </row>
    <row r="1747">
      <c r="A1747" s="58">
        <v>45992.0</v>
      </c>
      <c r="B1747" s="24" t="s">
        <v>6789</v>
      </c>
      <c r="C1747" s="24" t="s">
        <v>6812</v>
      </c>
      <c r="D1747" s="59">
        <v>5.0</v>
      </c>
      <c r="E1747" s="59">
        <v>6.0</v>
      </c>
      <c r="F1747" s="59">
        <v>5.0</v>
      </c>
      <c r="G1747" s="60">
        <v>1.2</v>
      </c>
      <c r="H1747" s="60">
        <v>0.5</v>
      </c>
      <c r="I1747" s="60">
        <v>278.157260333333</v>
      </c>
      <c r="J1747" s="59">
        <v>10.0</v>
      </c>
      <c r="K1747" s="61">
        <f t="shared" si="1"/>
        <v>0.8333333333</v>
      </c>
      <c r="L1747" s="62">
        <f t="shared" si="2"/>
        <v>1.666666667</v>
      </c>
    </row>
    <row r="1748">
      <c r="A1748" s="58">
        <v>45992.0</v>
      </c>
      <c r="B1748" s="24" t="s">
        <v>6787</v>
      </c>
      <c r="C1748" s="24" t="s">
        <v>6849</v>
      </c>
      <c r="D1748" s="59">
        <v>5.0</v>
      </c>
      <c r="E1748" s="59">
        <v>6.0</v>
      </c>
      <c r="F1748" s="59">
        <v>4.0</v>
      </c>
      <c r="G1748" s="60">
        <v>1.2</v>
      </c>
      <c r="H1748" s="60">
        <v>0.5</v>
      </c>
      <c r="I1748" s="60">
        <v>25.5000828333333</v>
      </c>
      <c r="J1748" s="59">
        <v>6.0</v>
      </c>
      <c r="K1748" s="61">
        <f t="shared" si="1"/>
        <v>0.6666666667</v>
      </c>
      <c r="L1748" s="62">
        <f t="shared" si="2"/>
        <v>1</v>
      </c>
    </row>
    <row r="1749">
      <c r="A1749" s="58">
        <v>45992.0</v>
      </c>
      <c r="B1749" s="24" t="s">
        <v>6787</v>
      </c>
      <c r="C1749" s="24" t="s">
        <v>7174</v>
      </c>
      <c r="D1749" s="59">
        <v>5.0</v>
      </c>
      <c r="E1749" s="59">
        <v>5.0</v>
      </c>
      <c r="F1749" s="59">
        <v>5.0</v>
      </c>
      <c r="G1749" s="60">
        <v>1.0</v>
      </c>
      <c r="H1749" s="60">
        <v>0.2</v>
      </c>
      <c r="I1749" s="60">
        <v>39.2182676</v>
      </c>
      <c r="J1749" s="59">
        <v>5.0</v>
      </c>
      <c r="K1749" s="61">
        <f t="shared" si="1"/>
        <v>1</v>
      </c>
      <c r="L1749" s="62">
        <f t="shared" si="2"/>
        <v>1</v>
      </c>
    </row>
    <row r="1750">
      <c r="A1750" s="58">
        <v>45992.0</v>
      </c>
      <c r="B1750" s="24" t="s">
        <v>6787</v>
      </c>
      <c r="C1750" s="24" t="s">
        <v>7192</v>
      </c>
      <c r="D1750" s="59">
        <v>5.0</v>
      </c>
      <c r="E1750" s="59">
        <v>5.0</v>
      </c>
      <c r="F1750" s="59">
        <v>5.0</v>
      </c>
      <c r="G1750" s="60">
        <v>1.0</v>
      </c>
      <c r="H1750" s="60">
        <v>0.4</v>
      </c>
      <c r="I1750" s="60">
        <v>29.801398</v>
      </c>
      <c r="J1750" s="59">
        <v>5.0</v>
      </c>
      <c r="K1750" s="61">
        <f t="shared" si="1"/>
        <v>1</v>
      </c>
      <c r="L1750" s="62">
        <f t="shared" si="2"/>
        <v>1</v>
      </c>
    </row>
    <row r="1751">
      <c r="A1751" s="58">
        <v>45992.0</v>
      </c>
      <c r="B1751" s="24" t="s">
        <v>6787</v>
      </c>
      <c r="C1751" s="24" t="s">
        <v>7178</v>
      </c>
      <c r="D1751" s="59">
        <v>5.0</v>
      </c>
      <c r="E1751" s="59">
        <v>5.0</v>
      </c>
      <c r="F1751" s="59">
        <v>5.0</v>
      </c>
      <c r="G1751" s="60">
        <v>1.0</v>
      </c>
      <c r="H1751" s="60">
        <v>1.0</v>
      </c>
      <c r="I1751" s="60">
        <v>6.0069858</v>
      </c>
      <c r="J1751" s="59">
        <v>5.0</v>
      </c>
      <c r="K1751" s="61">
        <f t="shared" si="1"/>
        <v>1</v>
      </c>
      <c r="L1751" s="62">
        <f t="shared" si="2"/>
        <v>1</v>
      </c>
    </row>
    <row r="1752">
      <c r="A1752" s="58">
        <v>45992.0</v>
      </c>
      <c r="B1752" s="24" t="s">
        <v>6787</v>
      </c>
      <c r="C1752" s="24" t="s">
        <v>6826</v>
      </c>
      <c r="D1752" s="59">
        <v>5.0</v>
      </c>
      <c r="E1752" s="59">
        <v>6.0</v>
      </c>
      <c r="F1752" s="59">
        <v>5.0</v>
      </c>
      <c r="G1752" s="60">
        <v>1.2</v>
      </c>
      <c r="H1752" s="60">
        <v>0.333333333333333</v>
      </c>
      <c r="I1752" s="60">
        <v>33.9363408333333</v>
      </c>
      <c r="J1752" s="59">
        <v>6.0</v>
      </c>
      <c r="K1752" s="61">
        <f t="shared" si="1"/>
        <v>0.8333333333</v>
      </c>
      <c r="L1752" s="62">
        <f t="shared" si="2"/>
        <v>1</v>
      </c>
    </row>
    <row r="1753">
      <c r="A1753" s="58">
        <v>45992.0</v>
      </c>
      <c r="B1753" s="24" t="s">
        <v>6787</v>
      </c>
      <c r="C1753" s="24" t="s">
        <v>6920</v>
      </c>
      <c r="D1753" s="59">
        <v>5.0</v>
      </c>
      <c r="E1753" s="59">
        <v>5.0</v>
      </c>
      <c r="F1753" s="59">
        <v>5.0</v>
      </c>
      <c r="G1753" s="60">
        <v>1.0</v>
      </c>
      <c r="H1753" s="60">
        <v>0.2</v>
      </c>
      <c r="I1753" s="60">
        <v>41.5570158</v>
      </c>
      <c r="J1753" s="59">
        <v>5.0</v>
      </c>
      <c r="K1753" s="61">
        <f t="shared" si="1"/>
        <v>1</v>
      </c>
      <c r="L1753" s="62">
        <f t="shared" si="2"/>
        <v>1</v>
      </c>
    </row>
    <row r="1754">
      <c r="A1754" s="58">
        <v>45992.0</v>
      </c>
      <c r="B1754" s="24" t="s">
        <v>6787</v>
      </c>
      <c r="C1754" s="24" t="s">
        <v>6921</v>
      </c>
      <c r="D1754" s="59">
        <v>5.0</v>
      </c>
      <c r="E1754" s="59">
        <v>5.0</v>
      </c>
      <c r="F1754" s="59">
        <v>5.0</v>
      </c>
      <c r="G1754" s="60">
        <v>1.0</v>
      </c>
      <c r="H1754" s="60">
        <v>0.2</v>
      </c>
      <c r="I1754" s="60">
        <v>40.4352756</v>
      </c>
      <c r="J1754" s="59">
        <v>5.0</v>
      </c>
      <c r="K1754" s="61">
        <f t="shared" si="1"/>
        <v>1</v>
      </c>
      <c r="L1754" s="62">
        <f t="shared" si="2"/>
        <v>1</v>
      </c>
    </row>
    <row r="1755">
      <c r="A1755" s="58">
        <v>45992.0</v>
      </c>
      <c r="B1755" s="24" t="s">
        <v>6789</v>
      </c>
      <c r="C1755" s="24" t="s">
        <v>6853</v>
      </c>
      <c r="D1755" s="59">
        <v>5.0</v>
      </c>
      <c r="E1755" s="59">
        <v>5.0</v>
      </c>
      <c r="F1755" s="59">
        <v>3.0</v>
      </c>
      <c r="G1755" s="60">
        <v>1.0</v>
      </c>
      <c r="H1755" s="60">
        <v>0.2</v>
      </c>
      <c r="I1755" s="60">
        <v>125.0395334</v>
      </c>
      <c r="J1755" s="59">
        <v>16.0</v>
      </c>
      <c r="K1755" s="61">
        <f t="shared" si="1"/>
        <v>0.6</v>
      </c>
      <c r="L1755" s="62">
        <f t="shared" si="2"/>
        <v>3.2</v>
      </c>
    </row>
    <row r="1756">
      <c r="A1756" s="58">
        <v>45992.0</v>
      </c>
      <c r="B1756" s="24" t="s">
        <v>6787</v>
      </c>
      <c r="C1756" s="24" t="s">
        <v>6816</v>
      </c>
      <c r="D1756" s="59">
        <v>5.0</v>
      </c>
      <c r="E1756" s="59">
        <v>5.0</v>
      </c>
      <c r="F1756" s="59">
        <v>5.0</v>
      </c>
      <c r="G1756" s="60">
        <v>1.0</v>
      </c>
      <c r="H1756" s="60">
        <v>0.6</v>
      </c>
      <c r="I1756" s="60">
        <v>19.7873922</v>
      </c>
      <c r="J1756" s="59">
        <v>5.0</v>
      </c>
      <c r="K1756" s="61">
        <f t="shared" si="1"/>
        <v>1</v>
      </c>
      <c r="L1756" s="62">
        <f t="shared" si="2"/>
        <v>1</v>
      </c>
    </row>
    <row r="1757">
      <c r="A1757" s="58">
        <v>45992.0</v>
      </c>
      <c r="B1757" s="24" t="s">
        <v>6787</v>
      </c>
      <c r="C1757" s="24" t="s">
        <v>6797</v>
      </c>
      <c r="D1757" s="59">
        <v>5.0</v>
      </c>
      <c r="E1757" s="59">
        <v>5.0</v>
      </c>
      <c r="F1757" s="59">
        <v>5.0</v>
      </c>
      <c r="G1757" s="60">
        <v>1.0</v>
      </c>
      <c r="H1757" s="60">
        <v>0.4</v>
      </c>
      <c r="I1757" s="60">
        <v>30.9768982</v>
      </c>
      <c r="J1757" s="59">
        <v>5.0</v>
      </c>
      <c r="K1757" s="61">
        <f t="shared" si="1"/>
        <v>1</v>
      </c>
      <c r="L1757" s="62">
        <f t="shared" si="2"/>
        <v>1</v>
      </c>
    </row>
    <row r="1758">
      <c r="A1758" s="58">
        <v>45992.0</v>
      </c>
      <c r="B1758" s="24" t="s">
        <v>6789</v>
      </c>
      <c r="C1758" s="24" t="s">
        <v>6797</v>
      </c>
      <c r="D1758" s="59">
        <v>5.0</v>
      </c>
      <c r="E1758" s="59">
        <v>5.0</v>
      </c>
      <c r="F1758" s="59">
        <v>1.0</v>
      </c>
      <c r="G1758" s="60">
        <v>1.66666666666666</v>
      </c>
      <c r="H1758" s="60">
        <v>1.0</v>
      </c>
      <c r="I1758" s="60">
        <v>0.9434108</v>
      </c>
      <c r="J1758" s="59">
        <v>5.0</v>
      </c>
      <c r="K1758" s="61">
        <f t="shared" si="1"/>
        <v>0.2</v>
      </c>
      <c r="L1758" s="62">
        <f t="shared" si="2"/>
        <v>1</v>
      </c>
    </row>
    <row r="1759">
      <c r="A1759" s="58">
        <v>45992.0</v>
      </c>
      <c r="B1759" s="24" t="s">
        <v>6790</v>
      </c>
      <c r="C1759" s="24" t="s">
        <v>7126</v>
      </c>
      <c r="D1759" s="59">
        <v>5.0</v>
      </c>
      <c r="E1759" s="59">
        <v>5.0</v>
      </c>
      <c r="F1759" s="59">
        <v>5.0</v>
      </c>
      <c r="G1759" s="60">
        <v>1.0</v>
      </c>
      <c r="H1759" s="60">
        <v>1.0</v>
      </c>
      <c r="I1759" s="60">
        <v>0.0</v>
      </c>
      <c r="J1759" s="59">
        <v>5.0</v>
      </c>
      <c r="K1759" s="61">
        <f t="shared" si="1"/>
        <v>1</v>
      </c>
      <c r="L1759" s="62">
        <f t="shared" si="2"/>
        <v>1</v>
      </c>
    </row>
    <row r="1760">
      <c r="A1760" s="58">
        <v>45992.0</v>
      </c>
      <c r="B1760" s="24" t="s">
        <v>6787</v>
      </c>
      <c r="C1760" s="24" t="s">
        <v>6854</v>
      </c>
      <c r="D1760" s="59">
        <v>5.0</v>
      </c>
      <c r="E1760" s="59">
        <v>5.0</v>
      </c>
      <c r="F1760" s="59">
        <v>5.0</v>
      </c>
      <c r="G1760" s="60">
        <v>1.0</v>
      </c>
      <c r="H1760" s="60">
        <v>0.2</v>
      </c>
      <c r="I1760" s="60">
        <v>40.4979444</v>
      </c>
      <c r="J1760" s="59">
        <v>5.0</v>
      </c>
      <c r="K1760" s="61">
        <f t="shared" si="1"/>
        <v>1</v>
      </c>
      <c r="L1760" s="62">
        <f t="shared" si="2"/>
        <v>1</v>
      </c>
    </row>
    <row r="1761">
      <c r="A1761" s="58">
        <v>45992.0</v>
      </c>
      <c r="B1761" s="24" t="s">
        <v>6787</v>
      </c>
      <c r="C1761" s="24" t="s">
        <v>7193</v>
      </c>
      <c r="D1761" s="59">
        <v>4.0</v>
      </c>
      <c r="E1761" s="59">
        <v>4.0</v>
      </c>
      <c r="F1761" s="59">
        <v>4.0</v>
      </c>
      <c r="G1761" s="60">
        <v>1.0</v>
      </c>
      <c r="H1761" s="60">
        <v>0.0</v>
      </c>
      <c r="I1761" s="60">
        <v>48.821494</v>
      </c>
      <c r="J1761" s="59">
        <v>4.0</v>
      </c>
      <c r="K1761" s="61">
        <f t="shared" si="1"/>
        <v>1</v>
      </c>
      <c r="L1761" s="62">
        <f t="shared" si="2"/>
        <v>1</v>
      </c>
    </row>
    <row r="1762">
      <c r="A1762" s="58">
        <v>45992.0</v>
      </c>
      <c r="B1762" s="24" t="s">
        <v>6787</v>
      </c>
      <c r="C1762" s="24" t="s">
        <v>7194</v>
      </c>
      <c r="D1762" s="59">
        <v>4.0</v>
      </c>
      <c r="E1762" s="59">
        <v>4.0</v>
      </c>
      <c r="F1762" s="59">
        <v>4.0</v>
      </c>
      <c r="G1762" s="60">
        <v>1.0</v>
      </c>
      <c r="H1762" s="60">
        <v>0.0</v>
      </c>
      <c r="I1762" s="60">
        <v>49.01277475</v>
      </c>
      <c r="J1762" s="59">
        <v>4.0</v>
      </c>
      <c r="K1762" s="61">
        <f t="shared" si="1"/>
        <v>1</v>
      </c>
      <c r="L1762" s="62">
        <f t="shared" si="2"/>
        <v>1</v>
      </c>
    </row>
    <row r="1763">
      <c r="A1763" s="58">
        <v>45992.0</v>
      </c>
      <c r="B1763" s="24" t="s">
        <v>6787</v>
      </c>
      <c r="C1763" s="24" t="s">
        <v>7055</v>
      </c>
      <c r="D1763" s="59">
        <v>4.0</v>
      </c>
      <c r="E1763" s="59">
        <v>4.0</v>
      </c>
      <c r="F1763" s="59">
        <v>4.0</v>
      </c>
      <c r="G1763" s="60">
        <v>1.0</v>
      </c>
      <c r="H1763" s="60">
        <v>0.0</v>
      </c>
      <c r="I1763" s="60">
        <v>50.08909475</v>
      </c>
      <c r="J1763" s="59">
        <v>4.0</v>
      </c>
      <c r="K1763" s="61">
        <f t="shared" si="1"/>
        <v>1</v>
      </c>
      <c r="L1763" s="62">
        <f t="shared" si="2"/>
        <v>1</v>
      </c>
    </row>
    <row r="1764">
      <c r="A1764" s="58">
        <v>45992.0</v>
      </c>
      <c r="B1764" s="24" t="s">
        <v>6789</v>
      </c>
      <c r="C1764" s="24" t="s">
        <v>6828</v>
      </c>
      <c r="D1764" s="59">
        <v>4.0</v>
      </c>
      <c r="E1764" s="59">
        <v>4.0</v>
      </c>
      <c r="F1764" s="59">
        <v>4.0</v>
      </c>
      <c r="G1764" s="60">
        <v>1.0</v>
      </c>
      <c r="H1764" s="60">
        <v>0.25</v>
      </c>
      <c r="I1764" s="60">
        <v>24.6638595</v>
      </c>
      <c r="J1764" s="59">
        <v>4.0</v>
      </c>
      <c r="K1764" s="61">
        <f t="shared" si="1"/>
        <v>1</v>
      </c>
      <c r="L1764" s="62">
        <f t="shared" si="2"/>
        <v>1</v>
      </c>
    </row>
    <row r="1765">
      <c r="A1765" s="58">
        <v>45992.0</v>
      </c>
      <c r="B1765" s="24" t="s">
        <v>6787</v>
      </c>
      <c r="C1765" s="24" t="s">
        <v>6984</v>
      </c>
      <c r="D1765" s="59">
        <v>4.0</v>
      </c>
      <c r="E1765" s="59">
        <v>4.0</v>
      </c>
      <c r="F1765" s="59">
        <v>4.0</v>
      </c>
      <c r="G1765" s="60">
        <v>1.0</v>
      </c>
      <c r="H1765" s="60">
        <v>0.5</v>
      </c>
      <c r="I1765" s="60">
        <v>24.309795</v>
      </c>
      <c r="J1765" s="59">
        <v>4.0</v>
      </c>
      <c r="K1765" s="61">
        <f t="shared" si="1"/>
        <v>1</v>
      </c>
      <c r="L1765" s="62">
        <f t="shared" si="2"/>
        <v>1</v>
      </c>
    </row>
    <row r="1766">
      <c r="A1766" s="58">
        <v>45992.0</v>
      </c>
      <c r="B1766" s="24" t="s">
        <v>6787</v>
      </c>
      <c r="C1766" s="24" t="s">
        <v>6956</v>
      </c>
      <c r="D1766" s="59">
        <v>4.0</v>
      </c>
      <c r="E1766" s="59">
        <v>4.0</v>
      </c>
      <c r="F1766" s="59">
        <v>4.0</v>
      </c>
      <c r="G1766" s="60">
        <v>1.0</v>
      </c>
      <c r="H1766" s="60">
        <v>0.0</v>
      </c>
      <c r="I1766" s="60">
        <v>49.36866825</v>
      </c>
      <c r="J1766" s="59">
        <v>4.0</v>
      </c>
      <c r="K1766" s="61">
        <f t="shared" si="1"/>
        <v>1</v>
      </c>
      <c r="L1766" s="62">
        <f t="shared" si="2"/>
        <v>1</v>
      </c>
    </row>
    <row r="1767">
      <c r="A1767" s="58">
        <v>45992.0</v>
      </c>
      <c r="B1767" s="24" t="s">
        <v>6787</v>
      </c>
      <c r="C1767" s="24" t="s">
        <v>7057</v>
      </c>
      <c r="D1767" s="59">
        <v>4.0</v>
      </c>
      <c r="E1767" s="59">
        <v>4.0</v>
      </c>
      <c r="F1767" s="59">
        <v>4.0</v>
      </c>
      <c r="G1767" s="60">
        <v>1.0</v>
      </c>
      <c r="H1767" s="60">
        <v>0.0</v>
      </c>
      <c r="I1767" s="60">
        <v>50.12686425</v>
      </c>
      <c r="J1767" s="59">
        <v>4.0</v>
      </c>
      <c r="K1767" s="61">
        <f t="shared" si="1"/>
        <v>1</v>
      </c>
      <c r="L1767" s="62">
        <f t="shared" si="2"/>
        <v>1</v>
      </c>
    </row>
    <row r="1768">
      <c r="A1768" s="58">
        <v>45992.0</v>
      </c>
      <c r="B1768" s="24" t="s">
        <v>6787</v>
      </c>
      <c r="C1768" s="24" t="s">
        <v>7058</v>
      </c>
      <c r="D1768" s="59">
        <v>4.0</v>
      </c>
      <c r="E1768" s="59">
        <v>4.0</v>
      </c>
      <c r="F1768" s="59">
        <v>4.0</v>
      </c>
      <c r="G1768" s="60">
        <v>1.0</v>
      </c>
      <c r="H1768" s="60">
        <v>0.0</v>
      </c>
      <c r="I1768" s="60">
        <v>49.900727</v>
      </c>
      <c r="J1768" s="59">
        <v>4.0</v>
      </c>
      <c r="K1768" s="61">
        <f t="shared" si="1"/>
        <v>1</v>
      </c>
      <c r="L1768" s="62">
        <f t="shared" si="2"/>
        <v>1</v>
      </c>
    </row>
    <row r="1769">
      <c r="A1769" s="58">
        <v>45992.0</v>
      </c>
      <c r="B1769" s="24" t="s">
        <v>6787</v>
      </c>
      <c r="C1769" s="24" t="s">
        <v>6865</v>
      </c>
      <c r="D1769" s="59">
        <v>4.0</v>
      </c>
      <c r="E1769" s="59">
        <v>4.0</v>
      </c>
      <c r="F1769" s="59">
        <v>4.0</v>
      </c>
      <c r="G1769" s="60">
        <v>1.0</v>
      </c>
      <c r="H1769" s="60">
        <v>0.0</v>
      </c>
      <c r="I1769" s="60">
        <v>50.03101225</v>
      </c>
      <c r="J1769" s="59">
        <v>4.0</v>
      </c>
      <c r="K1769" s="61">
        <f t="shared" si="1"/>
        <v>1</v>
      </c>
      <c r="L1769" s="62">
        <f t="shared" si="2"/>
        <v>1</v>
      </c>
    </row>
    <row r="1770">
      <c r="A1770" s="58">
        <v>45992.0</v>
      </c>
      <c r="B1770" s="24" t="s">
        <v>6787</v>
      </c>
      <c r="C1770" s="24" t="s">
        <v>6831</v>
      </c>
      <c r="D1770" s="59">
        <v>4.0</v>
      </c>
      <c r="E1770" s="59">
        <v>4.0</v>
      </c>
      <c r="F1770" s="59">
        <v>4.0</v>
      </c>
      <c r="G1770" s="60">
        <v>1.0</v>
      </c>
      <c r="H1770" s="60">
        <v>0.25</v>
      </c>
      <c r="I1770" s="60">
        <v>37.5153405</v>
      </c>
      <c r="J1770" s="59">
        <v>4.0</v>
      </c>
      <c r="K1770" s="61">
        <f t="shared" si="1"/>
        <v>1</v>
      </c>
      <c r="L1770" s="62">
        <f t="shared" si="2"/>
        <v>1</v>
      </c>
    </row>
    <row r="1771">
      <c r="A1771" s="58">
        <v>45992.0</v>
      </c>
      <c r="B1771" s="24" t="s">
        <v>6787</v>
      </c>
      <c r="C1771" s="24" t="s">
        <v>6866</v>
      </c>
      <c r="D1771" s="59">
        <v>4.0</v>
      </c>
      <c r="E1771" s="59">
        <v>4.0</v>
      </c>
      <c r="F1771" s="59">
        <v>4.0</v>
      </c>
      <c r="G1771" s="60">
        <v>1.0</v>
      </c>
      <c r="H1771" s="60">
        <v>0.5</v>
      </c>
      <c r="I1771" s="60">
        <v>24.9145845</v>
      </c>
      <c r="J1771" s="59">
        <v>4.0</v>
      </c>
      <c r="K1771" s="61">
        <f t="shared" si="1"/>
        <v>1</v>
      </c>
      <c r="L1771" s="62">
        <f t="shared" si="2"/>
        <v>1</v>
      </c>
    </row>
    <row r="1772">
      <c r="A1772" s="58">
        <v>45992.0</v>
      </c>
      <c r="B1772" s="24" t="s">
        <v>6787</v>
      </c>
      <c r="C1772" s="24" t="s">
        <v>6832</v>
      </c>
      <c r="D1772" s="59">
        <v>4.0</v>
      </c>
      <c r="E1772" s="59">
        <v>4.0</v>
      </c>
      <c r="F1772" s="59">
        <v>4.0</v>
      </c>
      <c r="G1772" s="60">
        <v>1.0</v>
      </c>
      <c r="H1772" s="60">
        <v>0.5</v>
      </c>
      <c r="I1772" s="60">
        <v>25.1413565</v>
      </c>
      <c r="J1772" s="59">
        <v>4.0</v>
      </c>
      <c r="K1772" s="61">
        <f t="shared" si="1"/>
        <v>1</v>
      </c>
      <c r="L1772" s="62">
        <f t="shared" si="2"/>
        <v>1</v>
      </c>
    </row>
    <row r="1773">
      <c r="A1773" s="58">
        <v>45992.0</v>
      </c>
      <c r="B1773" s="24" t="s">
        <v>6789</v>
      </c>
      <c r="C1773" s="24" t="s">
        <v>6927</v>
      </c>
      <c r="D1773" s="59">
        <v>4.0</v>
      </c>
      <c r="E1773" s="59">
        <v>4.0</v>
      </c>
      <c r="F1773" s="59">
        <v>4.0</v>
      </c>
      <c r="G1773" s="60">
        <v>1.0</v>
      </c>
      <c r="H1773" s="60">
        <v>0.5</v>
      </c>
      <c r="I1773" s="60">
        <v>36.0916585</v>
      </c>
      <c r="J1773" s="59">
        <v>4.0</v>
      </c>
      <c r="K1773" s="61">
        <f t="shared" si="1"/>
        <v>1</v>
      </c>
      <c r="L1773" s="62">
        <f t="shared" si="2"/>
        <v>1</v>
      </c>
    </row>
    <row r="1774">
      <c r="A1774" s="58">
        <v>45992.0</v>
      </c>
      <c r="B1774" s="24" t="s">
        <v>6787</v>
      </c>
      <c r="C1774" s="24" t="s">
        <v>7066</v>
      </c>
      <c r="D1774" s="59">
        <v>4.0</v>
      </c>
      <c r="E1774" s="59">
        <v>4.0</v>
      </c>
      <c r="F1774" s="59">
        <v>4.0</v>
      </c>
      <c r="G1774" s="60">
        <v>1.0</v>
      </c>
      <c r="H1774" s="60">
        <v>0.0</v>
      </c>
      <c r="I1774" s="60">
        <v>60.7941525</v>
      </c>
      <c r="J1774" s="59">
        <v>4.0</v>
      </c>
      <c r="K1774" s="61">
        <f t="shared" si="1"/>
        <v>1</v>
      </c>
      <c r="L1774" s="62">
        <f t="shared" si="2"/>
        <v>1</v>
      </c>
    </row>
    <row r="1775">
      <c r="A1775" s="58">
        <v>45992.0</v>
      </c>
      <c r="B1775" s="24" t="s">
        <v>6787</v>
      </c>
      <c r="C1775" s="24" t="s">
        <v>6881</v>
      </c>
      <c r="D1775" s="59">
        <v>4.0</v>
      </c>
      <c r="E1775" s="59">
        <v>4.0</v>
      </c>
      <c r="F1775" s="59">
        <v>4.0</v>
      </c>
      <c r="G1775" s="60">
        <v>1.0</v>
      </c>
      <c r="H1775" s="60">
        <v>0.25</v>
      </c>
      <c r="I1775" s="60">
        <v>43.11978025</v>
      </c>
      <c r="J1775" s="59">
        <v>4.0</v>
      </c>
      <c r="K1775" s="61">
        <f t="shared" si="1"/>
        <v>1</v>
      </c>
      <c r="L1775" s="62">
        <f t="shared" si="2"/>
        <v>1</v>
      </c>
    </row>
    <row r="1776">
      <c r="A1776" s="58">
        <v>45992.0</v>
      </c>
      <c r="B1776" s="24" t="s">
        <v>6787</v>
      </c>
      <c r="C1776" s="24" t="s">
        <v>7067</v>
      </c>
      <c r="D1776" s="59">
        <v>4.0</v>
      </c>
      <c r="E1776" s="59">
        <v>4.0</v>
      </c>
      <c r="F1776" s="59">
        <v>4.0</v>
      </c>
      <c r="G1776" s="60">
        <v>1.0</v>
      </c>
      <c r="H1776" s="60">
        <v>0.0</v>
      </c>
      <c r="I1776" s="60">
        <v>50.85405</v>
      </c>
      <c r="J1776" s="59">
        <v>4.0</v>
      </c>
      <c r="K1776" s="61">
        <f t="shared" si="1"/>
        <v>1</v>
      </c>
      <c r="L1776" s="62">
        <f t="shared" si="2"/>
        <v>1</v>
      </c>
    </row>
    <row r="1777">
      <c r="A1777" s="58">
        <v>45992.0</v>
      </c>
      <c r="B1777" s="24" t="s">
        <v>6787</v>
      </c>
      <c r="C1777" s="24" t="s">
        <v>7073</v>
      </c>
      <c r="D1777" s="59">
        <v>4.0</v>
      </c>
      <c r="E1777" s="59">
        <v>4.0</v>
      </c>
      <c r="F1777" s="59">
        <v>4.0</v>
      </c>
      <c r="G1777" s="60">
        <v>1.0</v>
      </c>
      <c r="H1777" s="60">
        <v>0.75</v>
      </c>
      <c r="I1777" s="60">
        <v>12.395268</v>
      </c>
      <c r="J1777" s="59">
        <v>4.0</v>
      </c>
      <c r="K1777" s="61">
        <f t="shared" si="1"/>
        <v>1</v>
      </c>
      <c r="L1777" s="62">
        <f t="shared" si="2"/>
        <v>1</v>
      </c>
    </row>
    <row r="1778">
      <c r="A1778" s="58">
        <v>45992.0</v>
      </c>
      <c r="B1778" s="24" t="s">
        <v>6789</v>
      </c>
      <c r="C1778" s="24" t="s">
        <v>6886</v>
      </c>
      <c r="D1778" s="59">
        <v>4.0</v>
      </c>
      <c r="E1778" s="59">
        <v>5.0</v>
      </c>
      <c r="F1778" s="59">
        <v>1.0</v>
      </c>
      <c r="G1778" s="60">
        <v>1.66666666666666</v>
      </c>
      <c r="H1778" s="60">
        <v>0.6</v>
      </c>
      <c r="I1778" s="60">
        <v>350.9774874</v>
      </c>
      <c r="J1778" s="59">
        <v>12.0</v>
      </c>
      <c r="K1778" s="61">
        <f t="shared" si="1"/>
        <v>0.2</v>
      </c>
      <c r="L1778" s="62">
        <f t="shared" si="2"/>
        <v>2.4</v>
      </c>
    </row>
    <row r="1779">
      <c r="A1779" s="58">
        <v>45992.0</v>
      </c>
      <c r="B1779" s="24" t="s">
        <v>6789</v>
      </c>
      <c r="C1779" s="24" t="s">
        <v>7021</v>
      </c>
      <c r="D1779" s="59">
        <v>4.0</v>
      </c>
      <c r="E1779" s="59">
        <v>4.0</v>
      </c>
      <c r="F1779" s="59">
        <v>1.0</v>
      </c>
      <c r="G1779" s="60">
        <v>1.33333333333333</v>
      </c>
      <c r="H1779" s="60">
        <v>0.25</v>
      </c>
      <c r="I1779" s="60">
        <v>628.860330499999</v>
      </c>
      <c r="J1779" s="59">
        <v>9.0</v>
      </c>
      <c r="K1779" s="61">
        <f t="shared" si="1"/>
        <v>0.25</v>
      </c>
      <c r="L1779" s="62">
        <f t="shared" si="2"/>
        <v>2.25</v>
      </c>
    </row>
    <row r="1780">
      <c r="A1780" s="58">
        <v>45992.0</v>
      </c>
      <c r="B1780" s="24" t="s">
        <v>6787</v>
      </c>
      <c r="C1780" s="24" t="s">
        <v>7195</v>
      </c>
      <c r="D1780" s="59">
        <v>4.0</v>
      </c>
      <c r="E1780" s="59">
        <v>4.0</v>
      </c>
      <c r="F1780" s="59">
        <v>4.0</v>
      </c>
      <c r="G1780" s="60">
        <v>1.0</v>
      </c>
      <c r="H1780" s="60">
        <v>0.25</v>
      </c>
      <c r="I1780" s="60">
        <v>37.7807635</v>
      </c>
      <c r="J1780" s="59">
        <v>4.0</v>
      </c>
      <c r="K1780" s="61">
        <f t="shared" si="1"/>
        <v>1</v>
      </c>
      <c r="L1780" s="62">
        <f t="shared" si="2"/>
        <v>1</v>
      </c>
    </row>
    <row r="1781">
      <c r="A1781" s="58">
        <v>45992.0</v>
      </c>
      <c r="B1781" s="24" t="s">
        <v>6787</v>
      </c>
      <c r="C1781" s="24" t="s">
        <v>6897</v>
      </c>
      <c r="D1781" s="59">
        <v>4.0</v>
      </c>
      <c r="E1781" s="59">
        <v>4.0</v>
      </c>
      <c r="F1781" s="59">
        <v>4.0</v>
      </c>
      <c r="G1781" s="60">
        <v>1.0</v>
      </c>
      <c r="H1781" s="60">
        <v>0.25</v>
      </c>
      <c r="I1781" s="60">
        <v>37.1326165</v>
      </c>
      <c r="J1781" s="59">
        <v>4.0</v>
      </c>
      <c r="K1781" s="61">
        <f t="shared" si="1"/>
        <v>1</v>
      </c>
      <c r="L1781" s="62">
        <f t="shared" si="2"/>
        <v>1</v>
      </c>
    </row>
    <row r="1782">
      <c r="A1782" s="58">
        <v>45992.0</v>
      </c>
      <c r="B1782" s="24" t="s">
        <v>6787</v>
      </c>
      <c r="C1782" s="24" t="s">
        <v>7081</v>
      </c>
      <c r="D1782" s="59">
        <v>4.0</v>
      </c>
      <c r="E1782" s="59">
        <v>4.0</v>
      </c>
      <c r="F1782" s="59">
        <v>4.0</v>
      </c>
      <c r="G1782" s="60">
        <v>1.0</v>
      </c>
      <c r="H1782" s="60">
        <v>0.0</v>
      </c>
      <c r="I1782" s="60">
        <v>50.52252875</v>
      </c>
      <c r="J1782" s="59">
        <v>4.0</v>
      </c>
      <c r="K1782" s="61">
        <f t="shared" si="1"/>
        <v>1</v>
      </c>
      <c r="L1782" s="62">
        <f t="shared" si="2"/>
        <v>1</v>
      </c>
    </row>
    <row r="1783">
      <c r="A1783" s="58">
        <v>45992.0</v>
      </c>
      <c r="B1783" s="24" t="s">
        <v>6787</v>
      </c>
      <c r="C1783" s="24" t="s">
        <v>7010</v>
      </c>
      <c r="D1783" s="59">
        <v>4.0</v>
      </c>
      <c r="E1783" s="59">
        <v>4.0</v>
      </c>
      <c r="F1783" s="59">
        <v>5.0</v>
      </c>
      <c r="G1783" s="60">
        <v>1.0</v>
      </c>
      <c r="H1783" s="60">
        <v>0.5</v>
      </c>
      <c r="I1783" s="60">
        <v>11.70614025</v>
      </c>
      <c r="J1783" s="59">
        <v>5.0</v>
      </c>
      <c r="K1783" s="61">
        <f t="shared" si="1"/>
        <v>1.25</v>
      </c>
      <c r="L1783" s="62">
        <f t="shared" si="2"/>
        <v>1.25</v>
      </c>
    </row>
    <row r="1784">
      <c r="A1784" s="58">
        <v>45992.0</v>
      </c>
      <c r="B1784" s="24" t="s">
        <v>6790</v>
      </c>
      <c r="C1784" s="24" t="s">
        <v>6808</v>
      </c>
      <c r="D1784" s="59">
        <v>4.0</v>
      </c>
      <c r="E1784" s="59">
        <v>4.0</v>
      </c>
      <c r="F1784" s="59">
        <v>3.0</v>
      </c>
      <c r="G1784" s="60">
        <v>1.0</v>
      </c>
      <c r="H1784" s="60">
        <v>0.5</v>
      </c>
      <c r="I1784" s="60">
        <v>117.82172725</v>
      </c>
      <c r="J1784" s="59">
        <v>5.0</v>
      </c>
      <c r="K1784" s="61">
        <f t="shared" si="1"/>
        <v>0.75</v>
      </c>
      <c r="L1784" s="62">
        <f t="shared" si="2"/>
        <v>1.25</v>
      </c>
    </row>
    <row r="1785">
      <c r="A1785" s="58">
        <v>45992.0</v>
      </c>
      <c r="B1785" s="24" t="s">
        <v>6787</v>
      </c>
      <c r="C1785" s="24" t="s">
        <v>7035</v>
      </c>
      <c r="D1785" s="59">
        <v>4.0</v>
      </c>
      <c r="E1785" s="59">
        <v>4.0</v>
      </c>
      <c r="F1785" s="59">
        <v>4.0</v>
      </c>
      <c r="G1785" s="60">
        <v>1.0</v>
      </c>
      <c r="H1785" s="60">
        <v>0.0</v>
      </c>
      <c r="I1785" s="60">
        <v>49.43606825</v>
      </c>
      <c r="J1785" s="59">
        <v>4.0</v>
      </c>
      <c r="K1785" s="61">
        <f t="shared" si="1"/>
        <v>1</v>
      </c>
      <c r="L1785" s="62">
        <f t="shared" si="2"/>
        <v>1</v>
      </c>
    </row>
    <row r="1786">
      <c r="A1786" s="58">
        <v>45992.0</v>
      </c>
      <c r="B1786" s="24" t="s">
        <v>6787</v>
      </c>
      <c r="C1786" s="24" t="s">
        <v>7091</v>
      </c>
      <c r="D1786" s="59">
        <v>4.0</v>
      </c>
      <c r="E1786" s="59">
        <v>4.0</v>
      </c>
      <c r="F1786" s="59">
        <v>4.0</v>
      </c>
      <c r="G1786" s="60">
        <v>1.0</v>
      </c>
      <c r="H1786" s="60">
        <v>0.25</v>
      </c>
      <c r="I1786" s="60">
        <v>28.9794465</v>
      </c>
      <c r="J1786" s="59">
        <v>4.0</v>
      </c>
      <c r="K1786" s="61">
        <f t="shared" si="1"/>
        <v>1</v>
      </c>
      <c r="L1786" s="62">
        <f t="shared" si="2"/>
        <v>1</v>
      </c>
    </row>
    <row r="1787">
      <c r="A1787" s="58">
        <v>45992.0</v>
      </c>
      <c r="B1787" s="24" t="s">
        <v>6789</v>
      </c>
      <c r="C1787" s="24" t="s">
        <v>7091</v>
      </c>
      <c r="D1787" s="59">
        <v>4.0</v>
      </c>
      <c r="E1787" s="59">
        <v>4.0</v>
      </c>
      <c r="F1787" s="59">
        <v>4.0</v>
      </c>
      <c r="G1787" s="60">
        <v>1.0</v>
      </c>
      <c r="H1787" s="60">
        <v>0.25</v>
      </c>
      <c r="I1787" s="60">
        <v>41.542489</v>
      </c>
      <c r="J1787" s="59">
        <v>4.0</v>
      </c>
      <c r="K1787" s="61">
        <f t="shared" si="1"/>
        <v>1</v>
      </c>
      <c r="L1787" s="62">
        <f t="shared" si="2"/>
        <v>1</v>
      </c>
    </row>
    <row r="1788">
      <c r="A1788" s="58">
        <v>45992.0</v>
      </c>
      <c r="B1788" s="24" t="s">
        <v>6787</v>
      </c>
      <c r="C1788" s="24" t="s">
        <v>7161</v>
      </c>
      <c r="D1788" s="59">
        <v>4.0</v>
      </c>
      <c r="E1788" s="59">
        <v>4.0</v>
      </c>
      <c r="F1788" s="59">
        <v>4.0</v>
      </c>
      <c r="G1788" s="60">
        <v>1.0</v>
      </c>
      <c r="H1788" s="60">
        <v>0.25</v>
      </c>
      <c r="I1788" s="60">
        <v>31.79795725</v>
      </c>
      <c r="J1788" s="59">
        <v>4.0</v>
      </c>
      <c r="K1788" s="61">
        <f t="shared" si="1"/>
        <v>1</v>
      </c>
      <c r="L1788" s="62">
        <f t="shared" si="2"/>
        <v>1</v>
      </c>
    </row>
    <row r="1789">
      <c r="A1789" s="58">
        <v>45992.0</v>
      </c>
      <c r="B1789" s="24" t="s">
        <v>6787</v>
      </c>
      <c r="C1789" s="24" t="s">
        <v>7138</v>
      </c>
      <c r="D1789" s="59">
        <v>4.0</v>
      </c>
      <c r="E1789" s="59">
        <v>4.0</v>
      </c>
      <c r="F1789" s="59">
        <v>4.0</v>
      </c>
      <c r="G1789" s="60">
        <v>1.0</v>
      </c>
      <c r="H1789" s="60">
        <v>0.25</v>
      </c>
      <c r="I1789" s="60">
        <v>37.24354075</v>
      </c>
      <c r="J1789" s="59">
        <v>4.0</v>
      </c>
      <c r="K1789" s="61">
        <f t="shared" si="1"/>
        <v>1</v>
      </c>
      <c r="L1789" s="62">
        <f t="shared" si="2"/>
        <v>1</v>
      </c>
    </row>
    <row r="1790">
      <c r="A1790" s="58">
        <v>45992.0</v>
      </c>
      <c r="B1790" s="24" t="s">
        <v>6787</v>
      </c>
      <c r="C1790" s="24" t="s">
        <v>6960</v>
      </c>
      <c r="D1790" s="59">
        <v>4.0</v>
      </c>
      <c r="E1790" s="59">
        <v>4.0</v>
      </c>
      <c r="F1790" s="59">
        <v>4.0</v>
      </c>
      <c r="G1790" s="60">
        <v>1.0</v>
      </c>
      <c r="H1790" s="60">
        <v>0.25</v>
      </c>
      <c r="I1790" s="60">
        <v>37.545225</v>
      </c>
      <c r="J1790" s="59">
        <v>4.0</v>
      </c>
      <c r="K1790" s="61">
        <f t="shared" si="1"/>
        <v>1</v>
      </c>
      <c r="L1790" s="62">
        <f t="shared" si="2"/>
        <v>1</v>
      </c>
    </row>
    <row r="1791">
      <c r="A1791" s="58">
        <v>45992.0</v>
      </c>
      <c r="B1791" s="24" t="s">
        <v>6787</v>
      </c>
      <c r="C1791" s="24" t="s">
        <v>7104</v>
      </c>
      <c r="D1791" s="59">
        <v>4.0</v>
      </c>
      <c r="E1791" s="59">
        <v>4.0</v>
      </c>
      <c r="F1791" s="59">
        <v>4.0</v>
      </c>
      <c r="G1791" s="60">
        <v>1.0</v>
      </c>
      <c r="H1791" s="60">
        <v>0.25</v>
      </c>
      <c r="I1791" s="60">
        <v>37.366704</v>
      </c>
      <c r="J1791" s="59">
        <v>4.0</v>
      </c>
      <c r="K1791" s="61">
        <f t="shared" si="1"/>
        <v>1</v>
      </c>
      <c r="L1791" s="62">
        <f t="shared" si="2"/>
        <v>1</v>
      </c>
    </row>
    <row r="1792">
      <c r="A1792" s="58">
        <v>45992.0</v>
      </c>
      <c r="B1792" s="24" t="s">
        <v>6794</v>
      </c>
      <c r="C1792" s="24" t="s">
        <v>7196</v>
      </c>
      <c r="D1792" s="59">
        <v>4.0</v>
      </c>
      <c r="E1792" s="59">
        <v>4.0</v>
      </c>
      <c r="F1792" s="59">
        <v>2.0</v>
      </c>
      <c r="G1792" s="60">
        <v>1.33333333333333</v>
      </c>
      <c r="H1792" s="60">
        <v>0.75</v>
      </c>
      <c r="I1792" s="60">
        <v>8.56504875</v>
      </c>
      <c r="J1792" s="59">
        <v>4.0</v>
      </c>
      <c r="K1792" s="61">
        <f t="shared" si="1"/>
        <v>0.5</v>
      </c>
      <c r="L1792" s="62">
        <f t="shared" si="2"/>
        <v>1</v>
      </c>
    </row>
    <row r="1793">
      <c r="A1793" s="58">
        <v>45992.0</v>
      </c>
      <c r="B1793" s="24" t="s">
        <v>6787</v>
      </c>
      <c r="C1793" s="24" t="s">
        <v>7197</v>
      </c>
      <c r="D1793" s="59">
        <v>3.0</v>
      </c>
      <c r="E1793" s="59">
        <v>3.0</v>
      </c>
      <c r="F1793" s="59">
        <v>3.0</v>
      </c>
      <c r="G1793" s="60">
        <v>1.0</v>
      </c>
      <c r="H1793" s="60">
        <v>0.333333333333333</v>
      </c>
      <c r="I1793" s="60">
        <v>83.928369</v>
      </c>
      <c r="J1793" s="59">
        <v>3.0</v>
      </c>
      <c r="K1793" s="61">
        <f t="shared" si="1"/>
        <v>1</v>
      </c>
      <c r="L1793" s="62">
        <f t="shared" si="2"/>
        <v>1</v>
      </c>
    </row>
    <row r="1794">
      <c r="A1794" s="58">
        <v>45992.0</v>
      </c>
      <c r="B1794" s="24" t="s">
        <v>6787</v>
      </c>
      <c r="C1794" s="24" t="s">
        <v>7198</v>
      </c>
      <c r="D1794" s="59">
        <v>3.0</v>
      </c>
      <c r="E1794" s="59">
        <v>3.0</v>
      </c>
      <c r="F1794" s="59">
        <v>3.0</v>
      </c>
      <c r="G1794" s="60">
        <v>1.0</v>
      </c>
      <c r="H1794" s="60">
        <v>0.666666666666666</v>
      </c>
      <c r="I1794" s="60">
        <v>4.51004566666666</v>
      </c>
      <c r="J1794" s="59">
        <v>3.0</v>
      </c>
      <c r="K1794" s="61">
        <f t="shared" si="1"/>
        <v>1</v>
      </c>
      <c r="L1794" s="62">
        <f t="shared" si="2"/>
        <v>1</v>
      </c>
    </row>
    <row r="1795">
      <c r="A1795" s="58">
        <v>45992.0</v>
      </c>
      <c r="B1795" s="24" t="s">
        <v>6789</v>
      </c>
      <c r="C1795" s="24" t="s">
        <v>6827</v>
      </c>
      <c r="D1795" s="59">
        <v>3.0</v>
      </c>
      <c r="E1795" s="59">
        <v>7.0</v>
      </c>
      <c r="F1795" s="59">
        <v>0.0</v>
      </c>
      <c r="G1795" s="60">
        <v>2.33333333333333</v>
      </c>
      <c r="H1795" s="60">
        <v>0.0</v>
      </c>
      <c r="I1795" s="60">
        <v>533.208006857142</v>
      </c>
      <c r="J1795" s="59">
        <v>30.0</v>
      </c>
      <c r="K1795" s="61">
        <f t="shared" si="1"/>
        <v>0</v>
      </c>
      <c r="L1795" s="62">
        <f t="shared" si="2"/>
        <v>4.285714286</v>
      </c>
    </row>
    <row r="1796">
      <c r="A1796" s="58">
        <v>45992.0</v>
      </c>
      <c r="B1796" s="24" t="s">
        <v>6789</v>
      </c>
      <c r="C1796" s="24" t="s">
        <v>6803</v>
      </c>
      <c r="D1796" s="59">
        <v>3.0</v>
      </c>
      <c r="E1796" s="59">
        <v>3.0</v>
      </c>
      <c r="F1796" s="59">
        <v>2.0</v>
      </c>
      <c r="G1796" s="60">
        <v>1.5</v>
      </c>
      <c r="H1796" s="60">
        <v>0.333333333333333</v>
      </c>
      <c r="I1796" s="60">
        <v>591.013892</v>
      </c>
      <c r="J1796" s="59">
        <v>3.0</v>
      </c>
      <c r="K1796" s="61">
        <f t="shared" si="1"/>
        <v>0.6666666667</v>
      </c>
      <c r="L1796" s="62">
        <f t="shared" si="2"/>
        <v>1</v>
      </c>
    </row>
    <row r="1797">
      <c r="A1797" s="58">
        <v>45992.0</v>
      </c>
      <c r="B1797" s="24" t="s">
        <v>6789</v>
      </c>
      <c r="C1797" s="24" t="s">
        <v>6804</v>
      </c>
      <c r="D1797" s="59">
        <v>3.0</v>
      </c>
      <c r="E1797" s="59">
        <v>4.0</v>
      </c>
      <c r="F1797" s="59">
        <v>3.0</v>
      </c>
      <c r="G1797" s="60">
        <v>1.33333333333333</v>
      </c>
      <c r="H1797" s="60">
        <v>0.5</v>
      </c>
      <c r="I1797" s="60">
        <v>40.29826825</v>
      </c>
      <c r="J1797" s="59">
        <v>4.0</v>
      </c>
      <c r="K1797" s="61">
        <f t="shared" si="1"/>
        <v>0.75</v>
      </c>
      <c r="L1797" s="62">
        <f t="shared" si="2"/>
        <v>1</v>
      </c>
    </row>
    <row r="1798">
      <c r="A1798" s="58">
        <v>45992.0</v>
      </c>
      <c r="B1798" s="24" t="s">
        <v>6787</v>
      </c>
      <c r="C1798" s="24" t="s">
        <v>6860</v>
      </c>
      <c r="D1798" s="59">
        <v>3.0</v>
      </c>
      <c r="E1798" s="59">
        <v>3.0</v>
      </c>
      <c r="F1798" s="59">
        <v>2.0</v>
      </c>
      <c r="G1798" s="60">
        <v>1.5</v>
      </c>
      <c r="H1798" s="60">
        <v>1.0</v>
      </c>
      <c r="I1798" s="60">
        <v>1.98098533333333</v>
      </c>
      <c r="J1798" s="59">
        <v>3.0</v>
      </c>
      <c r="K1798" s="61">
        <f t="shared" si="1"/>
        <v>0.6666666667</v>
      </c>
      <c r="L1798" s="62">
        <f t="shared" si="2"/>
        <v>1</v>
      </c>
    </row>
    <row r="1799">
      <c r="A1799" s="58">
        <v>45992.0</v>
      </c>
      <c r="B1799" s="24" t="s">
        <v>3216</v>
      </c>
      <c r="C1799" s="24" t="s">
        <v>6935</v>
      </c>
      <c r="D1799" s="59">
        <v>3.0</v>
      </c>
      <c r="E1799" s="59">
        <v>3.0</v>
      </c>
      <c r="F1799" s="59">
        <v>3.0</v>
      </c>
      <c r="G1799" s="60">
        <v>1.0</v>
      </c>
      <c r="H1799" s="60">
        <v>1.0</v>
      </c>
      <c r="I1799" s="60">
        <v>1.59259666666666</v>
      </c>
      <c r="J1799" s="59">
        <v>3.0</v>
      </c>
      <c r="K1799" s="61">
        <f t="shared" si="1"/>
        <v>1</v>
      </c>
      <c r="L1799" s="62">
        <f t="shared" si="2"/>
        <v>1</v>
      </c>
    </row>
    <row r="1800">
      <c r="A1800" s="58">
        <v>45992.0</v>
      </c>
      <c r="B1800" s="24" t="s">
        <v>6789</v>
      </c>
      <c r="C1800" s="24" t="s">
        <v>6819</v>
      </c>
      <c r="D1800" s="59">
        <v>3.0</v>
      </c>
      <c r="E1800" s="59">
        <v>5.0</v>
      </c>
      <c r="F1800" s="59">
        <v>3.0</v>
      </c>
      <c r="G1800" s="60">
        <v>1.66666666666666</v>
      </c>
      <c r="H1800" s="60">
        <v>1.0</v>
      </c>
      <c r="I1800" s="60">
        <v>1.228495</v>
      </c>
      <c r="J1800" s="59">
        <v>5.0</v>
      </c>
      <c r="K1800" s="61">
        <f t="shared" si="1"/>
        <v>0.6</v>
      </c>
      <c r="L1800" s="62">
        <f t="shared" si="2"/>
        <v>1</v>
      </c>
    </row>
    <row r="1801">
      <c r="A1801" s="58">
        <v>45992.0</v>
      </c>
      <c r="B1801" s="24" t="s">
        <v>6787</v>
      </c>
      <c r="C1801" s="24" t="s">
        <v>6871</v>
      </c>
      <c r="D1801" s="59">
        <v>3.0</v>
      </c>
      <c r="E1801" s="59">
        <v>3.0</v>
      </c>
      <c r="F1801" s="59">
        <v>3.0</v>
      </c>
      <c r="G1801" s="60">
        <v>1.0</v>
      </c>
      <c r="H1801" s="60">
        <v>1.0</v>
      </c>
      <c r="I1801" s="60">
        <v>0.0</v>
      </c>
      <c r="J1801" s="59">
        <v>3.0</v>
      </c>
      <c r="K1801" s="61">
        <f t="shared" si="1"/>
        <v>1</v>
      </c>
      <c r="L1801" s="62">
        <f t="shared" si="2"/>
        <v>1</v>
      </c>
    </row>
    <row r="1802">
      <c r="A1802" s="58">
        <v>45992.0</v>
      </c>
      <c r="B1802" s="24" t="s">
        <v>6789</v>
      </c>
      <c r="C1802" s="24" t="s">
        <v>6882</v>
      </c>
      <c r="D1802" s="59">
        <v>3.0</v>
      </c>
      <c r="E1802" s="59">
        <v>3.0</v>
      </c>
      <c r="F1802" s="59">
        <v>2.0</v>
      </c>
      <c r="G1802" s="60">
        <v>1.0</v>
      </c>
      <c r="H1802" s="60">
        <v>0.666666666666666</v>
      </c>
      <c r="I1802" s="60">
        <v>15.8585053333333</v>
      </c>
      <c r="J1802" s="59">
        <v>4.0</v>
      </c>
      <c r="K1802" s="61">
        <f t="shared" si="1"/>
        <v>0.6666666667</v>
      </c>
      <c r="L1802" s="62">
        <f t="shared" si="2"/>
        <v>1.333333333</v>
      </c>
    </row>
    <row r="1803">
      <c r="A1803" s="58">
        <v>45992.0</v>
      </c>
      <c r="B1803" s="24" t="s">
        <v>155</v>
      </c>
      <c r="C1803" s="24" t="s">
        <v>6886</v>
      </c>
      <c r="D1803" s="59">
        <v>3.0</v>
      </c>
      <c r="E1803" s="59">
        <v>4.0</v>
      </c>
      <c r="F1803" s="59">
        <v>1.0</v>
      </c>
      <c r="G1803" s="60">
        <v>1.33333333333333</v>
      </c>
      <c r="H1803" s="60">
        <v>0.75</v>
      </c>
      <c r="I1803" s="60">
        <v>8.24871275</v>
      </c>
      <c r="J1803" s="59">
        <v>4.0</v>
      </c>
      <c r="K1803" s="61">
        <f t="shared" si="1"/>
        <v>0.25</v>
      </c>
      <c r="L1803" s="62">
        <f t="shared" si="2"/>
        <v>1</v>
      </c>
    </row>
    <row r="1804">
      <c r="A1804" s="58">
        <v>45992.0</v>
      </c>
      <c r="B1804" s="24" t="s">
        <v>6787</v>
      </c>
      <c r="C1804" s="24" t="s">
        <v>7199</v>
      </c>
      <c r="D1804" s="59">
        <v>3.0</v>
      </c>
      <c r="E1804" s="59">
        <v>3.0</v>
      </c>
      <c r="F1804" s="59">
        <v>3.0</v>
      </c>
      <c r="G1804" s="60">
        <v>1.0</v>
      </c>
      <c r="H1804" s="60">
        <v>0.666666666666666</v>
      </c>
      <c r="I1804" s="60">
        <v>9.76605766666666</v>
      </c>
      <c r="J1804" s="59">
        <v>3.0</v>
      </c>
      <c r="K1804" s="61">
        <f t="shared" si="1"/>
        <v>1</v>
      </c>
      <c r="L1804" s="62">
        <f t="shared" si="2"/>
        <v>1</v>
      </c>
    </row>
    <row r="1805">
      <c r="A1805" s="58">
        <v>45992.0</v>
      </c>
      <c r="B1805" s="24" t="s">
        <v>6789</v>
      </c>
      <c r="C1805" s="24" t="s">
        <v>6822</v>
      </c>
      <c r="D1805" s="59">
        <v>3.0</v>
      </c>
      <c r="E1805" s="59">
        <v>3.0</v>
      </c>
      <c r="F1805" s="59">
        <v>1.0</v>
      </c>
      <c r="G1805" s="60">
        <v>1.0</v>
      </c>
      <c r="H1805" s="60">
        <v>0.0</v>
      </c>
      <c r="I1805" s="60">
        <v>491.657822</v>
      </c>
      <c r="J1805" s="59">
        <v>5.0</v>
      </c>
      <c r="K1805" s="61">
        <f t="shared" si="1"/>
        <v>0.3333333333</v>
      </c>
      <c r="L1805" s="62">
        <f t="shared" si="2"/>
        <v>1.666666667</v>
      </c>
    </row>
    <row r="1806">
      <c r="A1806" s="58">
        <v>45992.0</v>
      </c>
      <c r="B1806" s="24" t="s">
        <v>6789</v>
      </c>
      <c r="C1806" s="24" t="s">
        <v>6898</v>
      </c>
      <c r="D1806" s="59">
        <v>3.0</v>
      </c>
      <c r="E1806" s="59">
        <v>4.0</v>
      </c>
      <c r="F1806" s="59">
        <v>2.0</v>
      </c>
      <c r="G1806" s="60">
        <v>2.0</v>
      </c>
      <c r="H1806" s="60">
        <v>0.5</v>
      </c>
      <c r="I1806" s="60">
        <v>194.911661249999</v>
      </c>
      <c r="J1806" s="59">
        <v>5.0</v>
      </c>
      <c r="K1806" s="61">
        <f t="shared" si="1"/>
        <v>0.5</v>
      </c>
      <c r="L1806" s="62">
        <f t="shared" si="2"/>
        <v>1.25</v>
      </c>
    </row>
    <row r="1807">
      <c r="A1807" s="58">
        <v>45992.0</v>
      </c>
      <c r="B1807" s="24" t="s">
        <v>6787</v>
      </c>
      <c r="C1807" s="24" t="s">
        <v>7077</v>
      </c>
      <c r="D1807" s="59">
        <v>3.0</v>
      </c>
      <c r="E1807" s="59">
        <v>3.0</v>
      </c>
      <c r="F1807" s="59">
        <v>3.0</v>
      </c>
      <c r="G1807" s="60">
        <v>1.0</v>
      </c>
      <c r="H1807" s="60">
        <v>1.0</v>
      </c>
      <c r="I1807" s="60">
        <v>5.049572</v>
      </c>
      <c r="J1807" s="59">
        <v>3.0</v>
      </c>
      <c r="K1807" s="61">
        <f t="shared" si="1"/>
        <v>1</v>
      </c>
      <c r="L1807" s="62">
        <f t="shared" si="2"/>
        <v>1</v>
      </c>
    </row>
    <row r="1808">
      <c r="A1808" s="58">
        <v>45992.0</v>
      </c>
      <c r="B1808" s="24" t="s">
        <v>155</v>
      </c>
      <c r="C1808" s="24" t="s">
        <v>6903</v>
      </c>
      <c r="D1808" s="59">
        <v>3.0</v>
      </c>
      <c r="E1808" s="59">
        <v>3.0</v>
      </c>
      <c r="F1808" s="59">
        <v>3.0</v>
      </c>
      <c r="G1808" s="60">
        <v>1.0</v>
      </c>
      <c r="H1808" s="60">
        <v>0.333333333333333</v>
      </c>
      <c r="I1808" s="60">
        <v>378.376018</v>
      </c>
      <c r="J1808" s="59">
        <v>3.0</v>
      </c>
      <c r="K1808" s="61">
        <f t="shared" si="1"/>
        <v>1</v>
      </c>
      <c r="L1808" s="62">
        <f t="shared" si="2"/>
        <v>1</v>
      </c>
    </row>
    <row r="1809">
      <c r="A1809" s="58">
        <v>45992.0</v>
      </c>
      <c r="B1809" s="24" t="s">
        <v>6787</v>
      </c>
      <c r="C1809" s="24" t="s">
        <v>7082</v>
      </c>
      <c r="D1809" s="59">
        <v>3.0</v>
      </c>
      <c r="E1809" s="59">
        <v>3.0</v>
      </c>
      <c r="F1809" s="59">
        <v>3.0</v>
      </c>
      <c r="G1809" s="60">
        <v>1.0</v>
      </c>
      <c r="H1809" s="60">
        <v>0.333333333333333</v>
      </c>
      <c r="I1809" s="60">
        <v>33.4136213333333</v>
      </c>
      <c r="J1809" s="59">
        <v>3.0</v>
      </c>
      <c r="K1809" s="61">
        <f t="shared" si="1"/>
        <v>1</v>
      </c>
      <c r="L1809" s="62">
        <f t="shared" si="2"/>
        <v>1</v>
      </c>
    </row>
    <row r="1810">
      <c r="A1810" s="58">
        <v>45992.0</v>
      </c>
      <c r="B1810" s="24" t="s">
        <v>6789</v>
      </c>
      <c r="C1810" s="24" t="s">
        <v>7121</v>
      </c>
      <c r="D1810" s="59">
        <v>3.0</v>
      </c>
      <c r="E1810" s="59">
        <v>3.0</v>
      </c>
      <c r="F1810" s="59">
        <v>1.0</v>
      </c>
      <c r="G1810" s="60">
        <v>1.0</v>
      </c>
      <c r="H1810" s="60">
        <v>0.666666666666666</v>
      </c>
      <c r="I1810" s="60">
        <v>8.92346933333333</v>
      </c>
      <c r="J1810" s="59">
        <v>4.0</v>
      </c>
      <c r="K1810" s="61">
        <f t="shared" si="1"/>
        <v>0.3333333333</v>
      </c>
      <c r="L1810" s="62">
        <f t="shared" si="2"/>
        <v>1.333333333</v>
      </c>
    </row>
    <row r="1811">
      <c r="A1811" s="58">
        <v>45992.0</v>
      </c>
      <c r="B1811" s="24" t="s">
        <v>6942</v>
      </c>
      <c r="C1811" s="24" t="s">
        <v>7121</v>
      </c>
      <c r="D1811" s="59">
        <v>3.0</v>
      </c>
      <c r="E1811" s="59">
        <v>3.0</v>
      </c>
      <c r="F1811" s="59">
        <v>3.0</v>
      </c>
      <c r="G1811" s="60">
        <v>1.0</v>
      </c>
      <c r="H1811" s="60">
        <v>1.0</v>
      </c>
      <c r="I1811" s="60">
        <v>0.0</v>
      </c>
      <c r="J1811" s="59">
        <v>3.0</v>
      </c>
      <c r="K1811" s="61">
        <f t="shared" si="1"/>
        <v>1</v>
      </c>
      <c r="L1811" s="62">
        <f t="shared" si="2"/>
        <v>1</v>
      </c>
    </row>
    <row r="1812">
      <c r="A1812" s="58">
        <v>45992.0</v>
      </c>
      <c r="B1812" s="24" t="s">
        <v>6789</v>
      </c>
      <c r="C1812" s="24" t="s">
        <v>6947</v>
      </c>
      <c r="D1812" s="59">
        <v>3.0</v>
      </c>
      <c r="E1812" s="59">
        <v>3.0</v>
      </c>
      <c r="F1812" s="59">
        <v>2.0</v>
      </c>
      <c r="G1812" s="60">
        <v>1.0</v>
      </c>
      <c r="H1812" s="60">
        <v>0.0</v>
      </c>
      <c r="I1812" s="60">
        <v>40.923243</v>
      </c>
      <c r="J1812" s="59">
        <v>5.0</v>
      </c>
      <c r="K1812" s="61">
        <f t="shared" si="1"/>
        <v>0.6666666667</v>
      </c>
      <c r="L1812" s="62">
        <f t="shared" si="2"/>
        <v>1.666666667</v>
      </c>
    </row>
    <row r="1813">
      <c r="A1813" s="58">
        <v>45992.0</v>
      </c>
      <c r="B1813" s="24" t="s">
        <v>6789</v>
      </c>
      <c r="C1813" s="24" t="s">
        <v>6907</v>
      </c>
      <c r="D1813" s="59">
        <v>3.0</v>
      </c>
      <c r="E1813" s="59">
        <v>6.0</v>
      </c>
      <c r="F1813" s="59">
        <v>1.0</v>
      </c>
      <c r="G1813" s="60">
        <v>2.0</v>
      </c>
      <c r="H1813" s="60">
        <v>0.5</v>
      </c>
      <c r="I1813" s="60">
        <v>375.082501666666</v>
      </c>
      <c r="J1813" s="59">
        <v>9.0</v>
      </c>
      <c r="K1813" s="61">
        <f t="shared" si="1"/>
        <v>0.1666666667</v>
      </c>
      <c r="L1813" s="62">
        <f t="shared" si="2"/>
        <v>1.5</v>
      </c>
    </row>
    <row r="1814">
      <c r="A1814" s="58">
        <v>45992.0</v>
      </c>
      <c r="B1814" s="24" t="s">
        <v>155</v>
      </c>
      <c r="C1814" s="24" t="s">
        <v>6808</v>
      </c>
      <c r="D1814" s="59">
        <v>3.0</v>
      </c>
      <c r="E1814" s="59">
        <v>5.0</v>
      </c>
      <c r="F1814" s="59">
        <v>1.0</v>
      </c>
      <c r="G1814" s="60">
        <v>1.66666666666666</v>
      </c>
      <c r="H1814" s="60">
        <v>0.0</v>
      </c>
      <c r="I1814" s="60">
        <v>752.585161199999</v>
      </c>
      <c r="J1814" s="59">
        <v>21.0</v>
      </c>
      <c r="K1814" s="61">
        <f t="shared" si="1"/>
        <v>0.2</v>
      </c>
      <c r="L1814" s="62">
        <f t="shared" si="2"/>
        <v>4.2</v>
      </c>
    </row>
    <row r="1815">
      <c r="A1815" s="58">
        <v>45992.0</v>
      </c>
      <c r="B1815" s="24" t="s">
        <v>6789</v>
      </c>
      <c r="C1815" s="24" t="s">
        <v>7184</v>
      </c>
      <c r="D1815" s="59">
        <v>3.0</v>
      </c>
      <c r="E1815" s="59">
        <v>3.0</v>
      </c>
      <c r="F1815" s="59">
        <v>3.0</v>
      </c>
      <c r="G1815" s="60">
        <v>1.0</v>
      </c>
      <c r="H1815" s="60">
        <v>0.333333333333333</v>
      </c>
      <c r="I1815" s="60">
        <v>16.092279</v>
      </c>
      <c r="J1815" s="59">
        <v>3.0</v>
      </c>
      <c r="K1815" s="61">
        <f t="shared" si="1"/>
        <v>1</v>
      </c>
      <c r="L1815" s="62">
        <f t="shared" si="2"/>
        <v>1</v>
      </c>
    </row>
    <row r="1816">
      <c r="A1816" s="58">
        <v>45992.0</v>
      </c>
      <c r="B1816" s="24" t="s">
        <v>6789</v>
      </c>
      <c r="C1816" s="24" t="s">
        <v>6800</v>
      </c>
      <c r="D1816" s="59">
        <v>3.0</v>
      </c>
      <c r="E1816" s="59">
        <v>5.0</v>
      </c>
      <c r="F1816" s="59">
        <v>1.0</v>
      </c>
      <c r="G1816" s="60">
        <v>1.66666666666666</v>
      </c>
      <c r="H1816" s="60">
        <v>0.0</v>
      </c>
      <c r="I1816" s="60">
        <v>501.330825</v>
      </c>
      <c r="J1816" s="59">
        <v>9.0</v>
      </c>
      <c r="K1816" s="61">
        <f t="shared" si="1"/>
        <v>0.2</v>
      </c>
      <c r="L1816" s="62">
        <f t="shared" si="2"/>
        <v>1.8</v>
      </c>
    </row>
    <row r="1817">
      <c r="A1817" s="58">
        <v>45992.0</v>
      </c>
      <c r="B1817" s="24" t="s">
        <v>6789</v>
      </c>
      <c r="C1817" s="24" t="s">
        <v>7102</v>
      </c>
      <c r="D1817" s="59">
        <v>3.0</v>
      </c>
      <c r="E1817" s="59">
        <v>3.0</v>
      </c>
      <c r="F1817" s="59">
        <v>3.0</v>
      </c>
      <c r="G1817" s="60">
        <v>1.0</v>
      </c>
      <c r="H1817" s="60">
        <v>0.333333333333333</v>
      </c>
      <c r="I1817" s="60">
        <v>12.9288256666666</v>
      </c>
      <c r="J1817" s="59">
        <v>3.0</v>
      </c>
      <c r="K1817" s="61">
        <f t="shared" si="1"/>
        <v>1</v>
      </c>
      <c r="L1817" s="62">
        <f t="shared" si="2"/>
        <v>1</v>
      </c>
    </row>
    <row r="1818">
      <c r="A1818" s="58">
        <v>45992.0</v>
      </c>
      <c r="B1818" s="24" t="s">
        <v>6790</v>
      </c>
      <c r="C1818" s="24" t="s">
        <v>6915</v>
      </c>
      <c r="D1818" s="59">
        <v>3.0</v>
      </c>
      <c r="E1818" s="59">
        <v>3.0</v>
      </c>
      <c r="F1818" s="59">
        <v>2.0</v>
      </c>
      <c r="G1818" s="60">
        <v>1.0</v>
      </c>
      <c r="H1818" s="60">
        <v>0.666666666666666</v>
      </c>
      <c r="I1818" s="60">
        <v>39.1977916666666</v>
      </c>
      <c r="J1818" s="59">
        <v>3.0</v>
      </c>
      <c r="K1818" s="61">
        <f t="shared" si="1"/>
        <v>0.6666666667</v>
      </c>
      <c r="L1818" s="62">
        <f t="shared" si="2"/>
        <v>1</v>
      </c>
    </row>
    <row r="1819">
      <c r="A1819" s="58">
        <v>45992.0</v>
      </c>
      <c r="B1819" s="24" t="s">
        <v>6789</v>
      </c>
      <c r="C1819" s="24" t="s">
        <v>6917</v>
      </c>
      <c r="D1819" s="59">
        <v>3.0</v>
      </c>
      <c r="E1819" s="59">
        <v>3.0</v>
      </c>
      <c r="F1819" s="59">
        <v>2.0</v>
      </c>
      <c r="G1819" s="60">
        <v>1.0</v>
      </c>
      <c r="H1819" s="60">
        <v>0.333333333333333</v>
      </c>
      <c r="I1819" s="60">
        <v>54.7160693333333</v>
      </c>
      <c r="J1819" s="59">
        <v>6.0</v>
      </c>
      <c r="K1819" s="61">
        <f t="shared" si="1"/>
        <v>0.6666666667</v>
      </c>
      <c r="L1819" s="62">
        <f t="shared" si="2"/>
        <v>2</v>
      </c>
    </row>
    <row r="1820">
      <c r="A1820" s="58">
        <v>45992.0</v>
      </c>
      <c r="B1820" s="24" t="s">
        <v>6789</v>
      </c>
      <c r="C1820" s="24" t="s">
        <v>6852</v>
      </c>
      <c r="D1820" s="59">
        <v>3.0</v>
      </c>
      <c r="E1820" s="59">
        <v>3.0</v>
      </c>
      <c r="F1820" s="59">
        <v>1.0</v>
      </c>
      <c r="G1820" s="60">
        <v>1.0</v>
      </c>
      <c r="H1820" s="60">
        <v>0.0</v>
      </c>
      <c r="I1820" s="60">
        <v>130.7695</v>
      </c>
      <c r="J1820" s="59">
        <v>6.0</v>
      </c>
      <c r="K1820" s="61">
        <f t="shared" si="1"/>
        <v>0.3333333333</v>
      </c>
      <c r="L1820" s="62">
        <f t="shared" si="2"/>
        <v>2</v>
      </c>
    </row>
    <row r="1821">
      <c r="A1821" s="58">
        <v>45992.0</v>
      </c>
      <c r="B1821" s="24" t="s">
        <v>6787</v>
      </c>
      <c r="C1821" s="24" t="s">
        <v>7196</v>
      </c>
      <c r="D1821" s="59">
        <v>3.0</v>
      </c>
      <c r="E1821" s="59">
        <v>6.0</v>
      </c>
      <c r="F1821" s="59">
        <v>2.0</v>
      </c>
      <c r="G1821" s="60">
        <v>2.0</v>
      </c>
      <c r="H1821" s="60">
        <v>0.333333333333333</v>
      </c>
      <c r="I1821" s="60">
        <v>460.156461833333</v>
      </c>
      <c r="J1821" s="59">
        <v>8.0</v>
      </c>
      <c r="K1821" s="61">
        <f t="shared" si="1"/>
        <v>0.3333333333</v>
      </c>
      <c r="L1821" s="62">
        <f t="shared" si="2"/>
        <v>1.333333333</v>
      </c>
    </row>
    <row r="1822">
      <c r="A1822" s="58">
        <v>45992.0</v>
      </c>
      <c r="B1822" s="24" t="s">
        <v>6789</v>
      </c>
      <c r="C1822" s="24" t="s">
        <v>6854</v>
      </c>
      <c r="D1822" s="59">
        <v>3.0</v>
      </c>
      <c r="E1822" s="59">
        <v>3.0</v>
      </c>
      <c r="F1822" s="59">
        <v>0.0</v>
      </c>
      <c r="G1822" s="60">
        <v>1.0</v>
      </c>
      <c r="H1822" s="60">
        <v>0.0</v>
      </c>
      <c r="I1822" s="60">
        <v>960.445896666666</v>
      </c>
      <c r="J1822" s="59">
        <v>15.0</v>
      </c>
      <c r="K1822" s="61">
        <f t="shared" si="1"/>
        <v>0</v>
      </c>
      <c r="L1822" s="62">
        <f t="shared" si="2"/>
        <v>5</v>
      </c>
    </row>
    <row r="1823">
      <c r="A1823" s="58">
        <v>45992.0</v>
      </c>
      <c r="B1823" s="24" t="s">
        <v>6791</v>
      </c>
      <c r="C1823" s="24" t="s">
        <v>6802</v>
      </c>
      <c r="D1823" s="59">
        <v>3.0</v>
      </c>
      <c r="E1823" s="59">
        <v>8.0</v>
      </c>
      <c r="F1823" s="59">
        <v>0.0</v>
      </c>
      <c r="G1823" s="60">
        <v>4.0</v>
      </c>
      <c r="H1823" s="60">
        <v>0.875</v>
      </c>
      <c r="I1823" s="60">
        <v>41.7292755</v>
      </c>
      <c r="J1823" s="59">
        <v>8.0</v>
      </c>
      <c r="K1823" s="61">
        <f t="shared" si="1"/>
        <v>0</v>
      </c>
      <c r="L1823" s="62">
        <f t="shared" si="2"/>
        <v>1</v>
      </c>
    </row>
    <row r="1824">
      <c r="A1824" s="58">
        <v>45992.0</v>
      </c>
      <c r="B1824" s="24" t="s">
        <v>155</v>
      </c>
      <c r="C1824" s="24" t="s">
        <v>6802</v>
      </c>
      <c r="D1824" s="59">
        <v>3.0</v>
      </c>
      <c r="E1824" s="59">
        <v>3.0</v>
      </c>
      <c r="F1824" s="59">
        <v>0.0</v>
      </c>
      <c r="G1824" s="60">
        <v>1.5</v>
      </c>
      <c r="H1824" s="60">
        <v>0.333333333333333</v>
      </c>
      <c r="I1824" s="60">
        <v>1635.29156599999</v>
      </c>
      <c r="J1824" s="59">
        <v>29.0</v>
      </c>
      <c r="K1824" s="61">
        <f t="shared" si="1"/>
        <v>0</v>
      </c>
      <c r="L1824" s="62">
        <f t="shared" si="2"/>
        <v>9.666666667</v>
      </c>
    </row>
    <row r="1825">
      <c r="A1825" s="58">
        <v>45992.0</v>
      </c>
      <c r="B1825" s="24" t="s">
        <v>6789</v>
      </c>
      <c r="C1825" s="24" t="s">
        <v>7200</v>
      </c>
      <c r="D1825" s="59">
        <v>2.0</v>
      </c>
      <c r="E1825" s="59">
        <v>2.0</v>
      </c>
      <c r="F1825" s="59">
        <v>2.0</v>
      </c>
      <c r="G1825" s="60">
        <v>1.0</v>
      </c>
      <c r="H1825" s="60">
        <v>1.0</v>
      </c>
      <c r="I1825" s="60">
        <v>3.861073</v>
      </c>
      <c r="J1825" s="59">
        <v>2.0</v>
      </c>
      <c r="K1825" s="61">
        <f t="shared" si="1"/>
        <v>1</v>
      </c>
      <c r="L1825" s="62">
        <f t="shared" si="2"/>
        <v>1</v>
      </c>
    </row>
    <row r="1826">
      <c r="A1826" s="58">
        <v>45992.0</v>
      </c>
      <c r="B1826" s="24" t="s">
        <v>6787</v>
      </c>
      <c r="C1826" s="24" t="s">
        <v>7201</v>
      </c>
      <c r="D1826" s="59">
        <v>2.0</v>
      </c>
      <c r="E1826" s="59">
        <v>2.0</v>
      </c>
      <c r="F1826" s="59">
        <v>1.0</v>
      </c>
      <c r="G1826" s="60">
        <v>1.0</v>
      </c>
      <c r="H1826" s="60">
        <v>0.0</v>
      </c>
      <c r="I1826" s="60">
        <v>215.4163375</v>
      </c>
      <c r="J1826" s="59">
        <v>10.0</v>
      </c>
      <c r="K1826" s="61">
        <f t="shared" si="1"/>
        <v>0.5</v>
      </c>
      <c r="L1826" s="62">
        <f t="shared" si="2"/>
        <v>5</v>
      </c>
    </row>
    <row r="1827">
      <c r="A1827" s="58">
        <v>45992.0</v>
      </c>
      <c r="B1827" s="24" t="s">
        <v>6787</v>
      </c>
      <c r="C1827" s="24" t="s">
        <v>7031</v>
      </c>
      <c r="D1827" s="59">
        <v>2.0</v>
      </c>
      <c r="E1827" s="59">
        <v>2.0</v>
      </c>
      <c r="F1827" s="59">
        <v>2.0</v>
      </c>
      <c r="G1827" s="60">
        <v>1.0</v>
      </c>
      <c r="H1827" s="60">
        <v>1.0</v>
      </c>
      <c r="I1827" s="60">
        <v>2.9762405</v>
      </c>
      <c r="J1827" s="59">
        <v>2.0</v>
      </c>
      <c r="K1827" s="61">
        <f t="shared" si="1"/>
        <v>1</v>
      </c>
      <c r="L1827" s="62">
        <f t="shared" si="2"/>
        <v>1</v>
      </c>
    </row>
    <row r="1828">
      <c r="A1828" s="58">
        <v>45992.0</v>
      </c>
      <c r="B1828" s="24" t="s">
        <v>155</v>
      </c>
      <c r="C1828" s="24" t="s">
        <v>6827</v>
      </c>
      <c r="D1828" s="59">
        <v>2.0</v>
      </c>
      <c r="E1828" s="59">
        <v>24.0</v>
      </c>
      <c r="F1828" s="59">
        <v>0.0</v>
      </c>
      <c r="G1828" s="60">
        <v>12.0</v>
      </c>
      <c r="H1828" s="60">
        <v>0.333333333333333</v>
      </c>
      <c r="I1828" s="60">
        <v>428.45166475</v>
      </c>
      <c r="J1828" s="59">
        <v>103.0</v>
      </c>
      <c r="K1828" s="61">
        <f t="shared" si="1"/>
        <v>0</v>
      </c>
      <c r="L1828" s="62">
        <f t="shared" si="2"/>
        <v>4.291666667</v>
      </c>
    </row>
    <row r="1829">
      <c r="A1829" s="58">
        <v>45992.0</v>
      </c>
      <c r="B1829" s="24" t="s">
        <v>6789</v>
      </c>
      <c r="C1829" s="24" t="s">
        <v>7147</v>
      </c>
      <c r="D1829" s="59">
        <v>2.0</v>
      </c>
      <c r="E1829" s="59">
        <v>4.0</v>
      </c>
      <c r="F1829" s="59">
        <v>0.0</v>
      </c>
      <c r="G1829" s="60">
        <v>2.0</v>
      </c>
      <c r="H1829" s="60">
        <v>0.0</v>
      </c>
      <c r="I1829" s="60">
        <v>1444.0783515</v>
      </c>
      <c r="J1829" s="59">
        <v>30.0</v>
      </c>
      <c r="K1829" s="61">
        <f t="shared" si="1"/>
        <v>0</v>
      </c>
      <c r="L1829" s="62">
        <f t="shared" si="2"/>
        <v>7.5</v>
      </c>
    </row>
    <row r="1830">
      <c r="A1830" s="58">
        <v>45992.0</v>
      </c>
      <c r="B1830" s="24" t="s">
        <v>155</v>
      </c>
      <c r="C1830" s="24" t="s">
        <v>7147</v>
      </c>
      <c r="D1830" s="59">
        <v>2.0</v>
      </c>
      <c r="E1830" s="59">
        <v>2.0</v>
      </c>
      <c r="F1830" s="59">
        <v>0.0</v>
      </c>
      <c r="G1830" s="60">
        <v>1.0</v>
      </c>
      <c r="H1830" s="60">
        <v>0.5</v>
      </c>
      <c r="I1830" s="60">
        <v>12.3998409999999</v>
      </c>
      <c r="J1830" s="59">
        <v>4.0</v>
      </c>
      <c r="K1830" s="61">
        <f t="shared" si="1"/>
        <v>0</v>
      </c>
      <c r="L1830" s="62">
        <f t="shared" si="2"/>
        <v>2</v>
      </c>
    </row>
    <row r="1831">
      <c r="A1831" s="58">
        <v>45992.0</v>
      </c>
      <c r="B1831" s="24" t="s">
        <v>6787</v>
      </c>
      <c r="C1831" s="24" t="s">
        <v>7202</v>
      </c>
      <c r="D1831" s="59">
        <v>2.0</v>
      </c>
      <c r="E1831" s="59">
        <v>2.0</v>
      </c>
      <c r="F1831" s="59">
        <v>2.0</v>
      </c>
      <c r="G1831" s="60">
        <v>1.0</v>
      </c>
      <c r="H1831" s="60">
        <v>0.5</v>
      </c>
      <c r="I1831" s="60">
        <v>12.693051</v>
      </c>
      <c r="J1831" s="59">
        <v>6.0</v>
      </c>
      <c r="K1831" s="61">
        <f t="shared" si="1"/>
        <v>1</v>
      </c>
      <c r="L1831" s="62">
        <f t="shared" si="2"/>
        <v>3</v>
      </c>
    </row>
    <row r="1832">
      <c r="A1832" s="58">
        <v>45992.0</v>
      </c>
      <c r="B1832" s="24" t="s">
        <v>155</v>
      </c>
      <c r="C1832" s="24" t="s">
        <v>6803</v>
      </c>
      <c r="D1832" s="59">
        <v>2.0</v>
      </c>
      <c r="E1832" s="59">
        <v>2.0</v>
      </c>
      <c r="F1832" s="59">
        <v>2.0</v>
      </c>
      <c r="G1832" s="60">
        <v>1.0</v>
      </c>
      <c r="H1832" s="60">
        <v>0.5</v>
      </c>
      <c r="I1832" s="60">
        <v>13.0204755</v>
      </c>
      <c r="J1832" s="59">
        <v>3.0</v>
      </c>
      <c r="K1832" s="61">
        <f t="shared" si="1"/>
        <v>1</v>
      </c>
      <c r="L1832" s="62">
        <f t="shared" si="2"/>
        <v>1.5</v>
      </c>
    </row>
    <row r="1833">
      <c r="A1833" s="58">
        <v>45992.0</v>
      </c>
      <c r="B1833" s="24" t="s">
        <v>6789</v>
      </c>
      <c r="C1833" s="24" t="s">
        <v>6817</v>
      </c>
      <c r="D1833" s="59">
        <v>2.0</v>
      </c>
      <c r="E1833" s="59">
        <v>2.0</v>
      </c>
      <c r="F1833" s="59">
        <v>0.0</v>
      </c>
      <c r="G1833" s="60">
        <v>1.0</v>
      </c>
      <c r="H1833" s="60">
        <v>0.0</v>
      </c>
      <c r="I1833" s="60">
        <v>592.2650055</v>
      </c>
      <c r="J1833" s="59">
        <v>8.0</v>
      </c>
      <c r="K1833" s="61">
        <f t="shared" si="1"/>
        <v>0</v>
      </c>
      <c r="L1833" s="62">
        <f t="shared" si="2"/>
        <v>4</v>
      </c>
    </row>
    <row r="1834">
      <c r="A1834" s="58">
        <v>45992.0</v>
      </c>
      <c r="B1834" s="24" t="s">
        <v>6790</v>
      </c>
      <c r="C1834" s="24" t="s">
        <v>6804</v>
      </c>
      <c r="D1834" s="59">
        <v>2.0</v>
      </c>
      <c r="E1834" s="59">
        <v>2.0</v>
      </c>
      <c r="F1834" s="59">
        <v>2.0</v>
      </c>
      <c r="G1834" s="60">
        <v>1.0</v>
      </c>
      <c r="H1834" s="60">
        <v>0.0</v>
      </c>
      <c r="I1834" s="60">
        <v>103.3115535</v>
      </c>
      <c r="J1834" s="59">
        <v>2.0</v>
      </c>
      <c r="K1834" s="61">
        <f t="shared" si="1"/>
        <v>1</v>
      </c>
      <c r="L1834" s="62">
        <f t="shared" si="2"/>
        <v>1</v>
      </c>
    </row>
    <row r="1835">
      <c r="A1835" s="58">
        <v>45992.0</v>
      </c>
      <c r="B1835" s="24" t="s">
        <v>6789</v>
      </c>
      <c r="C1835" s="24" t="s">
        <v>6883</v>
      </c>
      <c r="D1835" s="59">
        <v>2.0</v>
      </c>
      <c r="E1835" s="59">
        <v>2.0</v>
      </c>
      <c r="F1835" s="59">
        <v>2.0</v>
      </c>
      <c r="G1835" s="60">
        <v>1.0</v>
      </c>
      <c r="H1835" s="60">
        <v>0.0</v>
      </c>
      <c r="I1835" s="60">
        <v>130.620639999999</v>
      </c>
      <c r="J1835" s="59">
        <v>3.0</v>
      </c>
      <c r="K1835" s="61">
        <f t="shared" si="1"/>
        <v>1</v>
      </c>
      <c r="L1835" s="62">
        <f t="shared" si="2"/>
        <v>1.5</v>
      </c>
    </row>
    <row r="1836">
      <c r="A1836" s="58">
        <v>45992.0</v>
      </c>
      <c r="B1836" s="24" t="s">
        <v>6787</v>
      </c>
      <c r="C1836" s="24" t="s">
        <v>7068</v>
      </c>
      <c r="D1836" s="59">
        <v>2.0</v>
      </c>
      <c r="E1836" s="59">
        <v>2.0</v>
      </c>
      <c r="F1836" s="59">
        <v>2.0</v>
      </c>
      <c r="G1836" s="60">
        <v>1.0</v>
      </c>
      <c r="H1836" s="60">
        <v>1.0</v>
      </c>
      <c r="I1836" s="60">
        <v>6.9490235</v>
      </c>
      <c r="J1836" s="59">
        <v>2.0</v>
      </c>
      <c r="K1836" s="61">
        <f t="shared" si="1"/>
        <v>1</v>
      </c>
      <c r="L1836" s="62">
        <f t="shared" si="2"/>
        <v>1</v>
      </c>
    </row>
    <row r="1837">
      <c r="A1837" s="58">
        <v>45992.0</v>
      </c>
      <c r="B1837" s="24" t="s">
        <v>6790</v>
      </c>
      <c r="C1837" s="24" t="s">
        <v>6835</v>
      </c>
      <c r="D1837" s="59">
        <v>2.0</v>
      </c>
      <c r="E1837" s="59">
        <v>3.0</v>
      </c>
      <c r="F1837" s="59">
        <v>2.0</v>
      </c>
      <c r="G1837" s="60">
        <v>1.5</v>
      </c>
      <c r="H1837" s="60">
        <v>0.333333333333333</v>
      </c>
      <c r="I1837" s="60">
        <v>377.935105999999</v>
      </c>
      <c r="J1837" s="59">
        <v>3.0</v>
      </c>
      <c r="K1837" s="61">
        <f t="shared" si="1"/>
        <v>0.6666666667</v>
      </c>
      <c r="L1837" s="62">
        <f t="shared" si="2"/>
        <v>1</v>
      </c>
    </row>
    <row r="1838">
      <c r="A1838" s="58">
        <v>45992.0</v>
      </c>
      <c r="B1838" s="24" t="s">
        <v>6789</v>
      </c>
      <c r="C1838" s="24" t="s">
        <v>7029</v>
      </c>
      <c r="D1838" s="59">
        <v>2.0</v>
      </c>
      <c r="E1838" s="59">
        <v>3.0</v>
      </c>
      <c r="F1838" s="59">
        <v>2.0</v>
      </c>
      <c r="G1838" s="60">
        <v>1.5</v>
      </c>
      <c r="H1838" s="60">
        <v>0.666666666666666</v>
      </c>
      <c r="I1838" s="60">
        <v>48.3936706666666</v>
      </c>
      <c r="J1838" s="59">
        <v>3.0</v>
      </c>
      <c r="K1838" s="61">
        <f t="shared" si="1"/>
        <v>0.6666666667</v>
      </c>
      <c r="L1838" s="62">
        <f t="shared" si="2"/>
        <v>1</v>
      </c>
    </row>
    <row r="1839">
      <c r="A1839" s="58">
        <v>45992.0</v>
      </c>
      <c r="B1839" s="24" t="s">
        <v>6789</v>
      </c>
      <c r="C1839" s="24" t="s">
        <v>6994</v>
      </c>
      <c r="D1839" s="59">
        <v>2.0</v>
      </c>
      <c r="E1839" s="59">
        <v>2.0</v>
      </c>
      <c r="F1839" s="59">
        <v>2.0</v>
      </c>
      <c r="G1839" s="60">
        <v>1.0</v>
      </c>
      <c r="H1839" s="60">
        <v>0.0</v>
      </c>
      <c r="I1839" s="60">
        <v>613.839518</v>
      </c>
      <c r="J1839" s="59">
        <v>6.0</v>
      </c>
      <c r="K1839" s="61">
        <f t="shared" si="1"/>
        <v>1</v>
      </c>
      <c r="L1839" s="62">
        <f t="shared" si="2"/>
        <v>3</v>
      </c>
    </row>
    <row r="1840">
      <c r="A1840" s="58">
        <v>45992.0</v>
      </c>
      <c r="B1840" s="24" t="s">
        <v>6789</v>
      </c>
      <c r="C1840" s="24" t="s">
        <v>6997</v>
      </c>
      <c r="D1840" s="59">
        <v>2.0</v>
      </c>
      <c r="E1840" s="59">
        <v>2.0</v>
      </c>
      <c r="F1840" s="59">
        <v>2.0</v>
      </c>
      <c r="G1840" s="60">
        <v>1.0</v>
      </c>
      <c r="H1840" s="60">
        <v>0.5</v>
      </c>
      <c r="I1840" s="60">
        <v>7.95628849999999</v>
      </c>
      <c r="J1840" s="59">
        <v>2.0</v>
      </c>
      <c r="K1840" s="61">
        <f t="shared" si="1"/>
        <v>1</v>
      </c>
      <c r="L1840" s="62">
        <f t="shared" si="2"/>
        <v>1</v>
      </c>
    </row>
    <row r="1841">
      <c r="A1841" s="58">
        <v>45992.0</v>
      </c>
      <c r="B1841" s="24" t="s">
        <v>6791</v>
      </c>
      <c r="C1841" s="24" t="s">
        <v>6822</v>
      </c>
      <c r="D1841" s="59">
        <v>2.0</v>
      </c>
      <c r="E1841" s="59">
        <v>3.0</v>
      </c>
      <c r="F1841" s="59">
        <v>0.0</v>
      </c>
      <c r="G1841" s="60">
        <v>3.0</v>
      </c>
      <c r="H1841" s="60">
        <v>0.333333333333333</v>
      </c>
      <c r="I1841" s="60">
        <v>26.5870149999999</v>
      </c>
      <c r="J1841" s="59">
        <v>5.0</v>
      </c>
      <c r="K1841" s="61">
        <f t="shared" si="1"/>
        <v>0</v>
      </c>
      <c r="L1841" s="62">
        <f t="shared" si="2"/>
        <v>1.666666667</v>
      </c>
    </row>
    <row r="1842">
      <c r="A1842" s="58">
        <v>45992.0</v>
      </c>
      <c r="B1842" s="24" t="s">
        <v>6789</v>
      </c>
      <c r="C1842" s="24" t="s">
        <v>7203</v>
      </c>
      <c r="D1842" s="59">
        <v>2.0</v>
      </c>
      <c r="E1842" s="59">
        <v>4.0</v>
      </c>
      <c r="F1842" s="59">
        <v>1.0</v>
      </c>
      <c r="G1842" s="60">
        <v>2.0</v>
      </c>
      <c r="H1842" s="60">
        <v>0.25</v>
      </c>
      <c r="I1842" s="60">
        <v>15.40020575</v>
      </c>
      <c r="J1842" s="59">
        <v>20.0</v>
      </c>
      <c r="K1842" s="61">
        <f t="shared" si="1"/>
        <v>0.25</v>
      </c>
      <c r="L1842" s="62">
        <f t="shared" si="2"/>
        <v>5</v>
      </c>
    </row>
    <row r="1843">
      <c r="A1843" s="58">
        <v>45992.0</v>
      </c>
      <c r="B1843" s="24" t="s">
        <v>6790</v>
      </c>
      <c r="C1843" s="24" t="s">
        <v>6841</v>
      </c>
      <c r="D1843" s="59">
        <v>2.0</v>
      </c>
      <c r="E1843" s="59">
        <v>2.0</v>
      </c>
      <c r="F1843" s="59">
        <v>1.0</v>
      </c>
      <c r="G1843" s="60">
        <v>1.0</v>
      </c>
      <c r="H1843" s="60">
        <v>1.0</v>
      </c>
      <c r="I1843" s="60">
        <v>22.1177335</v>
      </c>
      <c r="J1843" s="59">
        <v>5.0</v>
      </c>
      <c r="K1843" s="61">
        <f t="shared" si="1"/>
        <v>0.5</v>
      </c>
      <c r="L1843" s="62">
        <f t="shared" si="2"/>
        <v>2.5</v>
      </c>
    </row>
    <row r="1844">
      <c r="A1844" s="58">
        <v>45992.0</v>
      </c>
      <c r="B1844" s="24" t="s">
        <v>6789</v>
      </c>
      <c r="C1844" s="24" t="s">
        <v>6843</v>
      </c>
      <c r="D1844" s="59">
        <v>2.0</v>
      </c>
      <c r="E1844" s="59">
        <v>2.0</v>
      </c>
      <c r="F1844" s="59">
        <v>2.0</v>
      </c>
      <c r="G1844" s="60">
        <v>1.0</v>
      </c>
      <c r="H1844" s="60">
        <v>1.0</v>
      </c>
      <c r="I1844" s="60">
        <v>0.0</v>
      </c>
      <c r="J1844" s="59">
        <v>2.0</v>
      </c>
      <c r="K1844" s="61">
        <f t="shared" si="1"/>
        <v>1</v>
      </c>
      <c r="L1844" s="62">
        <f t="shared" si="2"/>
        <v>1</v>
      </c>
    </row>
    <row r="1845">
      <c r="A1845" s="58">
        <v>45992.0</v>
      </c>
      <c r="B1845" s="24" t="s">
        <v>155</v>
      </c>
      <c r="C1845" s="24" t="s">
        <v>6796</v>
      </c>
      <c r="D1845" s="59">
        <v>2.0</v>
      </c>
      <c r="E1845" s="59">
        <v>2.0</v>
      </c>
      <c r="F1845" s="59">
        <v>2.0</v>
      </c>
      <c r="G1845" s="60">
        <v>1.0</v>
      </c>
      <c r="H1845" s="60">
        <v>0.5</v>
      </c>
      <c r="I1845" s="60">
        <v>57.822308</v>
      </c>
      <c r="J1845" s="59">
        <v>2.0</v>
      </c>
      <c r="K1845" s="61">
        <f t="shared" si="1"/>
        <v>1</v>
      </c>
      <c r="L1845" s="62">
        <f t="shared" si="2"/>
        <v>1</v>
      </c>
    </row>
    <row r="1846">
      <c r="A1846" s="58">
        <v>45992.0</v>
      </c>
      <c r="B1846" s="24" t="s">
        <v>6789</v>
      </c>
      <c r="C1846" s="24" t="s">
        <v>6904</v>
      </c>
      <c r="D1846" s="59">
        <v>2.0</v>
      </c>
      <c r="E1846" s="59">
        <v>2.0</v>
      </c>
      <c r="F1846" s="59">
        <v>1.0</v>
      </c>
      <c r="G1846" s="60">
        <v>1.0</v>
      </c>
      <c r="H1846" s="60">
        <v>1.0</v>
      </c>
      <c r="I1846" s="60">
        <v>2.241096</v>
      </c>
      <c r="J1846" s="59">
        <v>2.0</v>
      </c>
      <c r="K1846" s="61">
        <f t="shared" si="1"/>
        <v>0.5</v>
      </c>
      <c r="L1846" s="62">
        <f t="shared" si="2"/>
        <v>1</v>
      </c>
    </row>
    <row r="1847">
      <c r="A1847" s="58">
        <v>45992.0</v>
      </c>
      <c r="B1847" s="24" t="s">
        <v>6791</v>
      </c>
      <c r="C1847" s="24" t="s">
        <v>6904</v>
      </c>
      <c r="D1847" s="59">
        <v>2.0</v>
      </c>
      <c r="E1847" s="59">
        <v>2.0</v>
      </c>
      <c r="F1847" s="59">
        <v>0.0</v>
      </c>
      <c r="G1847" s="60">
        <v>2.0</v>
      </c>
      <c r="H1847" s="60">
        <v>1.0</v>
      </c>
      <c r="I1847" s="60">
        <v>0.945803</v>
      </c>
      <c r="J1847" s="59">
        <v>2.0</v>
      </c>
      <c r="K1847" s="61">
        <f t="shared" si="1"/>
        <v>0</v>
      </c>
      <c r="L1847" s="62">
        <f t="shared" si="2"/>
        <v>1</v>
      </c>
    </row>
    <row r="1848">
      <c r="A1848" s="58">
        <v>45992.0</v>
      </c>
      <c r="B1848" s="24" t="s">
        <v>6787</v>
      </c>
      <c r="C1848" s="24" t="s">
        <v>7204</v>
      </c>
      <c r="D1848" s="59">
        <v>2.0</v>
      </c>
      <c r="E1848" s="59">
        <v>2.0</v>
      </c>
      <c r="F1848" s="59">
        <v>2.0</v>
      </c>
      <c r="G1848" s="60">
        <v>1.0</v>
      </c>
      <c r="H1848" s="60">
        <v>1.0</v>
      </c>
      <c r="I1848" s="60">
        <v>9.23156949999999</v>
      </c>
      <c r="J1848" s="59">
        <v>2.0</v>
      </c>
      <c r="K1848" s="61">
        <f t="shared" si="1"/>
        <v>1</v>
      </c>
      <c r="L1848" s="62">
        <f t="shared" si="2"/>
        <v>1</v>
      </c>
    </row>
    <row r="1849">
      <c r="A1849" s="58">
        <v>45992.0</v>
      </c>
      <c r="B1849" s="24" t="s">
        <v>6789</v>
      </c>
      <c r="C1849" s="24" t="s">
        <v>7157</v>
      </c>
      <c r="D1849" s="59">
        <v>2.0</v>
      </c>
      <c r="E1849" s="59">
        <v>2.0</v>
      </c>
      <c r="F1849" s="59">
        <v>2.0</v>
      </c>
      <c r="G1849" s="60">
        <v>1.0</v>
      </c>
      <c r="H1849" s="60">
        <v>1.0</v>
      </c>
      <c r="I1849" s="60">
        <v>0.0</v>
      </c>
      <c r="J1849" s="59">
        <v>2.0</v>
      </c>
      <c r="K1849" s="61">
        <f t="shared" si="1"/>
        <v>1</v>
      </c>
      <c r="L1849" s="62">
        <f t="shared" si="2"/>
        <v>1</v>
      </c>
    </row>
    <row r="1850">
      <c r="A1850" s="58">
        <v>45992.0</v>
      </c>
      <c r="B1850" s="24" t="s">
        <v>6942</v>
      </c>
      <c r="C1850" s="24" t="s">
        <v>7157</v>
      </c>
      <c r="D1850" s="59">
        <v>2.0</v>
      </c>
      <c r="E1850" s="59">
        <v>2.0</v>
      </c>
      <c r="F1850" s="59">
        <v>2.0</v>
      </c>
      <c r="G1850" s="60">
        <v>1.0</v>
      </c>
      <c r="H1850" s="60">
        <v>1.0</v>
      </c>
      <c r="I1850" s="60">
        <v>0.0</v>
      </c>
      <c r="J1850" s="59">
        <v>2.0</v>
      </c>
      <c r="K1850" s="61">
        <f t="shared" si="1"/>
        <v>1</v>
      </c>
      <c r="L1850" s="62">
        <f t="shared" si="2"/>
        <v>1</v>
      </c>
    </row>
    <row r="1851">
      <c r="A1851" s="58">
        <v>45992.0</v>
      </c>
      <c r="B1851" s="24" t="s">
        <v>6789</v>
      </c>
      <c r="C1851" s="24" t="s">
        <v>7123</v>
      </c>
      <c r="D1851" s="59">
        <v>2.0</v>
      </c>
      <c r="E1851" s="59">
        <v>4.0</v>
      </c>
      <c r="F1851" s="59">
        <v>0.0</v>
      </c>
      <c r="G1851" s="60">
        <v>2.0</v>
      </c>
      <c r="H1851" s="60">
        <v>0.25</v>
      </c>
      <c r="I1851" s="60">
        <v>448.78860225</v>
      </c>
      <c r="J1851" s="59">
        <v>9.0</v>
      </c>
      <c r="K1851" s="61">
        <f t="shared" si="1"/>
        <v>0</v>
      </c>
      <c r="L1851" s="62">
        <f t="shared" si="2"/>
        <v>2.25</v>
      </c>
    </row>
    <row r="1852">
      <c r="A1852" s="58">
        <v>45992.0</v>
      </c>
      <c r="B1852" s="24" t="s">
        <v>6789</v>
      </c>
      <c r="C1852" s="24" t="s">
        <v>7082</v>
      </c>
      <c r="D1852" s="59">
        <v>2.0</v>
      </c>
      <c r="E1852" s="59">
        <v>2.0</v>
      </c>
      <c r="F1852" s="59">
        <v>0.0</v>
      </c>
      <c r="G1852" s="60">
        <v>1.0</v>
      </c>
      <c r="H1852" s="60">
        <v>1.0</v>
      </c>
      <c r="I1852" s="60">
        <v>0.0</v>
      </c>
      <c r="J1852" s="59">
        <v>2.0</v>
      </c>
      <c r="K1852" s="61">
        <f t="shared" si="1"/>
        <v>0</v>
      </c>
      <c r="L1852" s="62">
        <f t="shared" si="2"/>
        <v>1</v>
      </c>
    </row>
    <row r="1853">
      <c r="A1853" s="58">
        <v>45992.0</v>
      </c>
      <c r="B1853" s="24" t="s">
        <v>6791</v>
      </c>
      <c r="C1853" s="24" t="s">
        <v>7205</v>
      </c>
      <c r="D1853" s="59">
        <v>2.0</v>
      </c>
      <c r="E1853" s="59">
        <v>2.0</v>
      </c>
      <c r="F1853" s="59">
        <v>2.0</v>
      </c>
      <c r="G1853" s="60">
        <v>1.0</v>
      </c>
      <c r="H1853" s="60">
        <v>0.5</v>
      </c>
      <c r="I1853" s="60">
        <v>46.660879</v>
      </c>
      <c r="J1853" s="59">
        <v>2.0</v>
      </c>
      <c r="K1853" s="61">
        <f t="shared" si="1"/>
        <v>1</v>
      </c>
      <c r="L1853" s="62">
        <f t="shared" si="2"/>
        <v>1</v>
      </c>
    </row>
    <row r="1854">
      <c r="A1854" s="58">
        <v>45992.0</v>
      </c>
      <c r="B1854" s="24" t="s">
        <v>6787</v>
      </c>
      <c r="C1854" s="24" t="s">
        <v>7206</v>
      </c>
      <c r="D1854" s="59">
        <v>2.0</v>
      </c>
      <c r="E1854" s="59">
        <v>2.0</v>
      </c>
      <c r="F1854" s="59">
        <v>2.0</v>
      </c>
      <c r="G1854" s="60">
        <v>1.0</v>
      </c>
      <c r="H1854" s="60">
        <v>1.0</v>
      </c>
      <c r="I1854" s="60">
        <v>1.428749</v>
      </c>
      <c r="J1854" s="59">
        <v>2.0</v>
      </c>
      <c r="K1854" s="61">
        <f t="shared" si="1"/>
        <v>1</v>
      </c>
      <c r="L1854" s="62">
        <f t="shared" si="2"/>
        <v>1</v>
      </c>
    </row>
    <row r="1855">
      <c r="A1855" s="58">
        <v>45992.0</v>
      </c>
      <c r="B1855" s="24" t="s">
        <v>6787</v>
      </c>
      <c r="C1855" s="24" t="s">
        <v>7207</v>
      </c>
      <c r="D1855" s="59">
        <v>2.0</v>
      </c>
      <c r="E1855" s="59">
        <v>2.0</v>
      </c>
      <c r="F1855" s="59">
        <v>2.0</v>
      </c>
      <c r="G1855" s="60">
        <v>1.0</v>
      </c>
      <c r="H1855" s="60">
        <v>1.0</v>
      </c>
      <c r="I1855" s="60">
        <v>3.8079265</v>
      </c>
      <c r="J1855" s="59">
        <v>2.0</v>
      </c>
      <c r="K1855" s="61">
        <f t="shared" si="1"/>
        <v>1</v>
      </c>
      <c r="L1855" s="62">
        <f t="shared" si="2"/>
        <v>1</v>
      </c>
    </row>
    <row r="1856">
      <c r="A1856" s="58">
        <v>45992.0</v>
      </c>
      <c r="B1856" s="24" t="s">
        <v>6791</v>
      </c>
      <c r="C1856" s="24" t="s">
        <v>6808</v>
      </c>
      <c r="D1856" s="59">
        <v>2.0</v>
      </c>
      <c r="E1856" s="59">
        <v>2.0</v>
      </c>
      <c r="F1856" s="59">
        <v>0.0</v>
      </c>
      <c r="G1856" s="60">
        <v>1.0</v>
      </c>
      <c r="H1856" s="60">
        <v>0.5</v>
      </c>
      <c r="I1856" s="60">
        <v>3.579771</v>
      </c>
      <c r="J1856" s="59">
        <v>3.0</v>
      </c>
      <c r="K1856" s="61">
        <f t="shared" si="1"/>
        <v>0</v>
      </c>
      <c r="L1856" s="62">
        <f t="shared" si="2"/>
        <v>1.5</v>
      </c>
    </row>
    <row r="1857">
      <c r="A1857" s="58">
        <v>45992.0</v>
      </c>
      <c r="B1857" s="24" t="s">
        <v>6789</v>
      </c>
      <c r="C1857" s="24" t="s">
        <v>7026</v>
      </c>
      <c r="D1857" s="59">
        <v>2.0</v>
      </c>
      <c r="E1857" s="59">
        <v>2.0</v>
      </c>
      <c r="F1857" s="59">
        <v>1.0</v>
      </c>
      <c r="G1857" s="60">
        <v>1.0</v>
      </c>
      <c r="H1857" s="60">
        <v>0.0</v>
      </c>
      <c r="I1857" s="60">
        <v>17.1024115</v>
      </c>
      <c r="J1857" s="59">
        <v>2.0</v>
      </c>
      <c r="K1857" s="61">
        <f t="shared" si="1"/>
        <v>0.5</v>
      </c>
      <c r="L1857" s="62">
        <f t="shared" si="2"/>
        <v>1</v>
      </c>
    </row>
    <row r="1858">
      <c r="A1858" s="58">
        <v>45992.0</v>
      </c>
      <c r="B1858" s="24" t="s">
        <v>155</v>
      </c>
      <c r="C1858" s="24" t="s">
        <v>7089</v>
      </c>
      <c r="D1858" s="59">
        <v>2.0</v>
      </c>
      <c r="E1858" s="59">
        <v>2.0</v>
      </c>
      <c r="F1858" s="59">
        <v>0.0</v>
      </c>
      <c r="G1858" s="60">
        <v>1.0</v>
      </c>
      <c r="H1858" s="60">
        <v>0.5</v>
      </c>
      <c r="I1858" s="60">
        <v>63.7231595</v>
      </c>
      <c r="J1858" s="59">
        <v>4.0</v>
      </c>
      <c r="K1858" s="61">
        <f t="shared" si="1"/>
        <v>0</v>
      </c>
      <c r="L1858" s="62">
        <f t="shared" si="2"/>
        <v>2</v>
      </c>
    </row>
    <row r="1859">
      <c r="A1859" s="58">
        <v>45992.0</v>
      </c>
      <c r="B1859" s="24" t="s">
        <v>6789</v>
      </c>
      <c r="C1859" s="24" t="s">
        <v>7090</v>
      </c>
      <c r="D1859" s="59">
        <v>2.0</v>
      </c>
      <c r="E1859" s="59">
        <v>2.0</v>
      </c>
      <c r="F1859" s="59">
        <v>2.0</v>
      </c>
      <c r="G1859" s="60">
        <v>1.0</v>
      </c>
      <c r="H1859" s="60">
        <v>1.0</v>
      </c>
      <c r="I1859" s="60">
        <v>3.9643495</v>
      </c>
      <c r="J1859" s="59">
        <v>2.0</v>
      </c>
      <c r="K1859" s="61">
        <f t="shared" si="1"/>
        <v>1</v>
      </c>
      <c r="L1859" s="62">
        <f t="shared" si="2"/>
        <v>1</v>
      </c>
    </row>
    <row r="1860">
      <c r="A1860" s="58">
        <v>45992.0</v>
      </c>
      <c r="B1860" s="24" t="s">
        <v>6789</v>
      </c>
      <c r="C1860" s="24" t="s">
        <v>7094</v>
      </c>
      <c r="D1860" s="59">
        <v>2.0</v>
      </c>
      <c r="E1860" s="59">
        <v>2.0</v>
      </c>
      <c r="F1860" s="59">
        <v>2.0</v>
      </c>
      <c r="G1860" s="60">
        <v>1.0</v>
      </c>
      <c r="H1860" s="60">
        <v>0.0</v>
      </c>
      <c r="I1860" s="60">
        <v>512.629131</v>
      </c>
      <c r="J1860" s="59">
        <v>2.0</v>
      </c>
      <c r="K1860" s="61">
        <f t="shared" si="1"/>
        <v>1</v>
      </c>
      <c r="L1860" s="62">
        <f t="shared" si="2"/>
        <v>1</v>
      </c>
    </row>
    <row r="1861">
      <c r="A1861" s="58">
        <v>45992.0</v>
      </c>
      <c r="B1861" s="24" t="s">
        <v>6789</v>
      </c>
      <c r="C1861" s="24" t="s">
        <v>7013</v>
      </c>
      <c r="D1861" s="59">
        <v>2.0</v>
      </c>
      <c r="E1861" s="59">
        <v>2.0</v>
      </c>
      <c r="F1861" s="59">
        <v>2.0</v>
      </c>
      <c r="G1861" s="60">
        <v>1.0</v>
      </c>
      <c r="H1861" s="60">
        <v>0.5</v>
      </c>
      <c r="I1861" s="60">
        <v>717.180041</v>
      </c>
      <c r="J1861" s="59">
        <v>2.0</v>
      </c>
      <c r="K1861" s="61">
        <f t="shared" si="1"/>
        <v>1</v>
      </c>
      <c r="L1861" s="62">
        <f t="shared" si="2"/>
        <v>1</v>
      </c>
    </row>
    <row r="1862">
      <c r="A1862" s="58">
        <v>45992.0</v>
      </c>
      <c r="B1862" s="24" t="s">
        <v>6789</v>
      </c>
      <c r="C1862" s="24" t="s">
        <v>6960</v>
      </c>
      <c r="D1862" s="59">
        <v>2.0</v>
      </c>
      <c r="E1862" s="59">
        <v>2.0</v>
      </c>
      <c r="F1862" s="59">
        <v>0.0</v>
      </c>
      <c r="G1862" s="60">
        <v>1.0</v>
      </c>
      <c r="H1862" s="60">
        <v>0.0</v>
      </c>
      <c r="I1862" s="60">
        <v>603.4150175</v>
      </c>
      <c r="J1862" s="59">
        <v>6.0</v>
      </c>
      <c r="K1862" s="61">
        <f t="shared" si="1"/>
        <v>0</v>
      </c>
      <c r="L1862" s="62">
        <f t="shared" si="2"/>
        <v>3</v>
      </c>
    </row>
    <row r="1863">
      <c r="A1863" s="58">
        <v>45992.0</v>
      </c>
      <c r="B1863" s="24" t="s">
        <v>6789</v>
      </c>
      <c r="C1863" s="24" t="s">
        <v>6849</v>
      </c>
      <c r="D1863" s="59">
        <v>2.0</v>
      </c>
      <c r="E1863" s="59">
        <v>2.0</v>
      </c>
      <c r="F1863" s="59">
        <v>1.0</v>
      </c>
      <c r="G1863" s="60">
        <v>2.0</v>
      </c>
      <c r="H1863" s="60">
        <v>1.0</v>
      </c>
      <c r="I1863" s="60">
        <v>0.0</v>
      </c>
      <c r="J1863" s="59">
        <v>2.0</v>
      </c>
      <c r="K1863" s="61">
        <f t="shared" si="1"/>
        <v>0.5</v>
      </c>
      <c r="L1863" s="62">
        <f t="shared" si="2"/>
        <v>1</v>
      </c>
    </row>
    <row r="1864">
      <c r="A1864" s="58">
        <v>45992.0</v>
      </c>
      <c r="B1864" s="24" t="s">
        <v>6791</v>
      </c>
      <c r="C1864" s="24" t="s">
        <v>6849</v>
      </c>
      <c r="D1864" s="59">
        <v>2.0</v>
      </c>
      <c r="E1864" s="59">
        <v>2.0</v>
      </c>
      <c r="F1864" s="59">
        <v>0.0</v>
      </c>
      <c r="G1864" s="60">
        <v>1.0</v>
      </c>
      <c r="H1864" s="60">
        <v>0.0</v>
      </c>
      <c r="I1864" s="60">
        <v>1292.07675849999</v>
      </c>
      <c r="J1864" s="59">
        <v>4.0</v>
      </c>
      <c r="K1864" s="61">
        <f t="shared" si="1"/>
        <v>0</v>
      </c>
      <c r="L1864" s="62">
        <f t="shared" si="2"/>
        <v>2</v>
      </c>
    </row>
    <row r="1865">
      <c r="A1865" s="58">
        <v>45992.0</v>
      </c>
      <c r="B1865" s="24" t="s">
        <v>6789</v>
      </c>
      <c r="C1865" s="24" t="s">
        <v>7044</v>
      </c>
      <c r="D1865" s="59">
        <v>2.0</v>
      </c>
      <c r="E1865" s="59">
        <v>2.0</v>
      </c>
      <c r="F1865" s="59">
        <v>0.0</v>
      </c>
      <c r="G1865" s="60">
        <v>1.0</v>
      </c>
      <c r="H1865" s="60">
        <v>0.5</v>
      </c>
      <c r="I1865" s="60">
        <v>43.9884165</v>
      </c>
      <c r="J1865" s="59">
        <v>4.0</v>
      </c>
      <c r="K1865" s="61">
        <f t="shared" si="1"/>
        <v>0</v>
      </c>
      <c r="L1865" s="62">
        <f t="shared" si="2"/>
        <v>2</v>
      </c>
    </row>
    <row r="1866">
      <c r="A1866" s="58">
        <v>45992.0</v>
      </c>
      <c r="B1866" s="24" t="s">
        <v>6787</v>
      </c>
      <c r="C1866" s="24" t="s">
        <v>7172</v>
      </c>
      <c r="D1866" s="59">
        <v>2.0</v>
      </c>
      <c r="E1866" s="59">
        <v>2.0</v>
      </c>
      <c r="F1866" s="59">
        <v>2.0</v>
      </c>
      <c r="G1866" s="60">
        <v>1.0</v>
      </c>
      <c r="H1866" s="60">
        <v>1.0</v>
      </c>
      <c r="I1866" s="60">
        <v>0.0</v>
      </c>
      <c r="J1866" s="59">
        <v>2.0</v>
      </c>
      <c r="K1866" s="61">
        <f t="shared" si="1"/>
        <v>1</v>
      </c>
      <c r="L1866" s="62">
        <f t="shared" si="2"/>
        <v>1</v>
      </c>
    </row>
    <row r="1867">
      <c r="A1867" s="58">
        <v>45992.0</v>
      </c>
      <c r="B1867" s="24" t="s">
        <v>6791</v>
      </c>
      <c r="C1867" s="24" t="s">
        <v>6910</v>
      </c>
      <c r="D1867" s="59">
        <v>2.0</v>
      </c>
      <c r="E1867" s="59">
        <v>2.0</v>
      </c>
      <c r="F1867" s="59">
        <v>0.0</v>
      </c>
      <c r="G1867" s="60">
        <v>1.0</v>
      </c>
      <c r="H1867" s="60">
        <v>0.5</v>
      </c>
      <c r="I1867" s="60">
        <v>122.189564</v>
      </c>
      <c r="J1867" s="59">
        <v>3.0</v>
      </c>
      <c r="K1867" s="61">
        <f t="shared" si="1"/>
        <v>0</v>
      </c>
      <c r="L1867" s="62">
        <f t="shared" si="2"/>
        <v>1.5</v>
      </c>
    </row>
    <row r="1868">
      <c r="A1868" s="58">
        <v>45992.0</v>
      </c>
      <c r="B1868" s="24" t="s">
        <v>155</v>
      </c>
      <c r="C1868" s="24" t="s">
        <v>6910</v>
      </c>
      <c r="D1868" s="59">
        <v>2.0</v>
      </c>
      <c r="E1868" s="59">
        <v>2.0</v>
      </c>
      <c r="F1868" s="59">
        <v>2.0</v>
      </c>
      <c r="G1868" s="60">
        <v>1.0</v>
      </c>
      <c r="H1868" s="60">
        <v>0.5</v>
      </c>
      <c r="I1868" s="60">
        <v>93.216529</v>
      </c>
      <c r="J1868" s="59">
        <v>6.0</v>
      </c>
      <c r="K1868" s="61">
        <f t="shared" si="1"/>
        <v>1</v>
      </c>
      <c r="L1868" s="62">
        <f t="shared" si="2"/>
        <v>3</v>
      </c>
    </row>
    <row r="1869">
      <c r="A1869" s="58">
        <v>45992.0</v>
      </c>
      <c r="B1869" s="24" t="s">
        <v>155</v>
      </c>
      <c r="C1869" s="24" t="s">
        <v>6801</v>
      </c>
      <c r="D1869" s="59">
        <v>2.0</v>
      </c>
      <c r="E1869" s="59">
        <v>2.0</v>
      </c>
      <c r="F1869" s="59">
        <v>2.0</v>
      </c>
      <c r="G1869" s="60">
        <v>1.0</v>
      </c>
      <c r="H1869" s="60">
        <v>0.5</v>
      </c>
      <c r="I1869" s="60">
        <v>673.384428</v>
      </c>
      <c r="J1869" s="59">
        <v>2.0</v>
      </c>
      <c r="K1869" s="61">
        <f t="shared" si="1"/>
        <v>1</v>
      </c>
      <c r="L1869" s="62">
        <f t="shared" si="2"/>
        <v>1</v>
      </c>
    </row>
    <row r="1870">
      <c r="A1870" s="58">
        <v>45992.0</v>
      </c>
      <c r="B1870" s="24" t="s">
        <v>6787</v>
      </c>
      <c r="C1870" s="24" t="s">
        <v>7046</v>
      </c>
      <c r="D1870" s="59">
        <v>2.0</v>
      </c>
      <c r="E1870" s="59">
        <v>2.0</v>
      </c>
      <c r="F1870" s="59">
        <v>2.0</v>
      </c>
      <c r="G1870" s="60">
        <v>1.0</v>
      </c>
      <c r="H1870" s="60">
        <v>1.0</v>
      </c>
      <c r="I1870" s="60">
        <v>2.9409075</v>
      </c>
      <c r="J1870" s="59">
        <v>2.0</v>
      </c>
      <c r="K1870" s="61">
        <f t="shared" si="1"/>
        <v>1</v>
      </c>
      <c r="L1870" s="62">
        <f t="shared" si="2"/>
        <v>1</v>
      </c>
    </row>
    <row r="1871">
      <c r="A1871" s="58">
        <v>45992.0</v>
      </c>
      <c r="B1871" s="24" t="s">
        <v>6789</v>
      </c>
      <c r="C1871" s="24" t="s">
        <v>6915</v>
      </c>
      <c r="D1871" s="59">
        <v>2.0</v>
      </c>
      <c r="E1871" s="59">
        <v>3.0</v>
      </c>
      <c r="F1871" s="59">
        <v>1.0</v>
      </c>
      <c r="G1871" s="60">
        <v>1.5</v>
      </c>
      <c r="H1871" s="60">
        <v>0.333333333333333</v>
      </c>
      <c r="I1871" s="60">
        <v>187.310924666666</v>
      </c>
      <c r="J1871" s="59">
        <v>3.0</v>
      </c>
      <c r="K1871" s="61">
        <f t="shared" si="1"/>
        <v>0.3333333333</v>
      </c>
      <c r="L1871" s="62">
        <f t="shared" si="2"/>
        <v>1</v>
      </c>
    </row>
    <row r="1872">
      <c r="A1872" s="58">
        <v>45992.0</v>
      </c>
      <c r="B1872" s="24" t="s">
        <v>6787</v>
      </c>
      <c r="C1872" s="24" t="s">
        <v>7111</v>
      </c>
      <c r="D1872" s="59">
        <v>2.0</v>
      </c>
      <c r="E1872" s="59">
        <v>2.0</v>
      </c>
      <c r="F1872" s="59">
        <v>2.0</v>
      </c>
      <c r="G1872" s="60">
        <v>1.0</v>
      </c>
      <c r="H1872" s="60">
        <v>1.0</v>
      </c>
      <c r="I1872" s="60">
        <v>5.47494</v>
      </c>
      <c r="J1872" s="59">
        <v>2.0</v>
      </c>
      <c r="K1872" s="61">
        <f t="shared" si="1"/>
        <v>1</v>
      </c>
      <c r="L1872" s="62">
        <f t="shared" si="2"/>
        <v>1</v>
      </c>
    </row>
    <row r="1873">
      <c r="A1873" s="58">
        <v>45992.0</v>
      </c>
      <c r="B1873" s="24" t="s">
        <v>6791</v>
      </c>
      <c r="C1873" s="24" t="s">
        <v>6852</v>
      </c>
      <c r="D1873" s="59">
        <v>2.0</v>
      </c>
      <c r="E1873" s="59">
        <v>3.0</v>
      </c>
      <c r="F1873" s="59">
        <v>0.0</v>
      </c>
      <c r="G1873" s="60">
        <v>1.5</v>
      </c>
      <c r="H1873" s="60">
        <v>0.333333333333333</v>
      </c>
      <c r="I1873" s="60">
        <v>63.3991386666666</v>
      </c>
      <c r="J1873" s="59">
        <v>6.0</v>
      </c>
      <c r="K1873" s="61">
        <f t="shared" si="1"/>
        <v>0</v>
      </c>
      <c r="L1873" s="62">
        <f t="shared" si="2"/>
        <v>2</v>
      </c>
    </row>
    <row r="1874">
      <c r="A1874" s="58">
        <v>45992.0</v>
      </c>
      <c r="B1874" s="24" t="s">
        <v>6789</v>
      </c>
      <c r="C1874" s="24" t="s">
        <v>6922</v>
      </c>
      <c r="D1874" s="59">
        <v>2.0</v>
      </c>
      <c r="E1874" s="59">
        <v>2.0</v>
      </c>
      <c r="F1874" s="59">
        <v>1.0</v>
      </c>
      <c r="G1874" s="60">
        <v>1.0</v>
      </c>
      <c r="H1874" s="60">
        <v>0.0</v>
      </c>
      <c r="I1874" s="60">
        <v>22.9720185</v>
      </c>
      <c r="J1874" s="59">
        <v>3.0</v>
      </c>
      <c r="K1874" s="61">
        <f t="shared" si="1"/>
        <v>0.5</v>
      </c>
      <c r="L1874" s="62">
        <f t="shared" si="2"/>
        <v>1.5</v>
      </c>
    </row>
    <row r="1875">
      <c r="A1875" s="58">
        <v>45992.0</v>
      </c>
      <c r="B1875" s="24" t="s">
        <v>6791</v>
      </c>
      <c r="C1875" s="24" t="s">
        <v>6797</v>
      </c>
      <c r="D1875" s="59">
        <v>2.0</v>
      </c>
      <c r="E1875" s="59">
        <v>3.0</v>
      </c>
      <c r="F1875" s="59">
        <v>0.0</v>
      </c>
      <c r="G1875" s="60">
        <v>1.5</v>
      </c>
      <c r="H1875" s="60">
        <v>1.0</v>
      </c>
      <c r="I1875" s="60">
        <v>0.0</v>
      </c>
      <c r="J1875" s="59">
        <v>3.0</v>
      </c>
      <c r="K1875" s="61">
        <f t="shared" si="1"/>
        <v>0</v>
      </c>
      <c r="L1875" s="62">
        <f t="shared" si="2"/>
        <v>1</v>
      </c>
    </row>
    <row r="1876">
      <c r="A1876" s="58">
        <v>45992.0</v>
      </c>
      <c r="B1876" s="24" t="s">
        <v>6789</v>
      </c>
      <c r="C1876" s="24" t="s">
        <v>6923</v>
      </c>
      <c r="D1876" s="59">
        <v>2.0</v>
      </c>
      <c r="E1876" s="59">
        <v>2.0</v>
      </c>
      <c r="F1876" s="59">
        <v>1.0</v>
      </c>
      <c r="G1876" s="60">
        <v>1.0</v>
      </c>
      <c r="H1876" s="60">
        <v>0.0</v>
      </c>
      <c r="I1876" s="60">
        <v>112.1521845</v>
      </c>
      <c r="J1876" s="59">
        <v>4.0</v>
      </c>
      <c r="K1876" s="61">
        <f t="shared" si="1"/>
        <v>0.5</v>
      </c>
      <c r="L1876" s="62">
        <f t="shared" si="2"/>
        <v>2</v>
      </c>
    </row>
    <row r="1877">
      <c r="A1877" s="58">
        <v>45992.0</v>
      </c>
      <c r="B1877" s="24" t="s">
        <v>155</v>
      </c>
      <c r="C1877" s="24" t="s">
        <v>7196</v>
      </c>
      <c r="D1877" s="59">
        <v>2.0</v>
      </c>
      <c r="E1877" s="59">
        <v>3.0</v>
      </c>
      <c r="F1877" s="59">
        <v>1.0</v>
      </c>
      <c r="G1877" s="60">
        <v>1.5</v>
      </c>
      <c r="H1877" s="60">
        <v>0.333333333333333</v>
      </c>
      <c r="I1877" s="60">
        <v>548.720644666666</v>
      </c>
      <c r="J1877" s="59">
        <v>4.0</v>
      </c>
      <c r="K1877" s="61">
        <f t="shared" si="1"/>
        <v>0.3333333333</v>
      </c>
      <c r="L1877" s="62">
        <f t="shared" si="2"/>
        <v>1.333333333</v>
      </c>
    </row>
    <row r="1878">
      <c r="A1878" s="58">
        <v>45992.0</v>
      </c>
      <c r="B1878" s="24" t="s">
        <v>6787</v>
      </c>
      <c r="C1878" s="24" t="s">
        <v>7208</v>
      </c>
      <c r="D1878" s="59">
        <v>2.0</v>
      </c>
      <c r="E1878" s="59">
        <v>2.0</v>
      </c>
      <c r="F1878" s="59">
        <v>2.0</v>
      </c>
      <c r="G1878" s="60">
        <v>1.0</v>
      </c>
      <c r="H1878" s="60">
        <v>0.0</v>
      </c>
      <c r="I1878" s="60">
        <v>5.9380465</v>
      </c>
      <c r="J1878" s="59">
        <v>2.0</v>
      </c>
      <c r="K1878" s="61">
        <f t="shared" si="1"/>
        <v>1</v>
      </c>
      <c r="L1878" s="62">
        <f t="shared" si="2"/>
        <v>1</v>
      </c>
    </row>
    <row r="1879">
      <c r="A1879" s="58">
        <v>45992.0</v>
      </c>
      <c r="B1879" s="24" t="s">
        <v>6790</v>
      </c>
      <c r="C1879" s="24" t="s">
        <v>6802</v>
      </c>
      <c r="D1879" s="59">
        <v>2.0</v>
      </c>
      <c r="E1879" s="59">
        <v>2.0</v>
      </c>
      <c r="F1879" s="59">
        <v>0.0</v>
      </c>
      <c r="G1879" s="60">
        <v>1.0</v>
      </c>
      <c r="H1879" s="60">
        <v>1.0</v>
      </c>
      <c r="I1879" s="60">
        <v>0.0</v>
      </c>
      <c r="J1879" s="59">
        <v>2.0</v>
      </c>
      <c r="K1879" s="61">
        <f t="shared" si="1"/>
        <v>0</v>
      </c>
      <c r="L1879" s="62">
        <f t="shared" si="2"/>
        <v>1</v>
      </c>
    </row>
    <row r="1880">
      <c r="A1880" s="58">
        <v>45992.0</v>
      </c>
      <c r="B1880" s="24" t="s">
        <v>7030</v>
      </c>
      <c r="C1880" s="24" t="s">
        <v>6792</v>
      </c>
      <c r="D1880" s="59">
        <v>1.0</v>
      </c>
      <c r="E1880" s="59">
        <v>1.0</v>
      </c>
      <c r="F1880" s="59">
        <v>0.0</v>
      </c>
      <c r="G1880" s="60">
        <v>0.0</v>
      </c>
      <c r="H1880" s="60">
        <v>1.0</v>
      </c>
      <c r="I1880" s="60">
        <v>0.0</v>
      </c>
      <c r="J1880" s="59">
        <v>0.0</v>
      </c>
      <c r="K1880" s="61">
        <f t="shared" si="1"/>
        <v>0</v>
      </c>
      <c r="L1880" s="62">
        <f t="shared" si="2"/>
        <v>0</v>
      </c>
    </row>
    <row r="1881">
      <c r="A1881" s="58">
        <v>45992.0</v>
      </c>
      <c r="B1881" s="24" t="s">
        <v>6787</v>
      </c>
      <c r="C1881" s="24" t="s">
        <v>7209</v>
      </c>
      <c r="D1881" s="59">
        <v>1.0</v>
      </c>
      <c r="E1881" s="59">
        <v>1.0</v>
      </c>
      <c r="F1881" s="59">
        <v>1.0</v>
      </c>
      <c r="G1881" s="60">
        <v>1.0</v>
      </c>
      <c r="H1881" s="60">
        <v>1.0</v>
      </c>
      <c r="I1881" s="60">
        <v>0.0</v>
      </c>
      <c r="J1881" s="59">
        <v>1.0</v>
      </c>
      <c r="K1881" s="61">
        <f t="shared" si="1"/>
        <v>1</v>
      </c>
      <c r="L1881" s="62">
        <f t="shared" si="2"/>
        <v>1</v>
      </c>
    </row>
    <row r="1882">
      <c r="A1882" s="58">
        <v>45992.0</v>
      </c>
      <c r="B1882" s="24" t="s">
        <v>6787</v>
      </c>
      <c r="C1882" s="24" t="s">
        <v>7210</v>
      </c>
      <c r="D1882" s="59">
        <v>1.0</v>
      </c>
      <c r="E1882" s="59">
        <v>1.0</v>
      </c>
      <c r="F1882" s="59">
        <v>1.0</v>
      </c>
      <c r="G1882" s="60">
        <v>1.0</v>
      </c>
      <c r="H1882" s="60">
        <v>1.0</v>
      </c>
      <c r="I1882" s="60">
        <v>0.0</v>
      </c>
      <c r="J1882" s="59">
        <v>1.0</v>
      </c>
      <c r="K1882" s="61">
        <f t="shared" si="1"/>
        <v>1</v>
      </c>
      <c r="L1882" s="62">
        <f t="shared" si="2"/>
        <v>1</v>
      </c>
    </row>
    <row r="1883">
      <c r="A1883" s="58">
        <v>45992.0</v>
      </c>
      <c r="B1883" s="24" t="s">
        <v>6787</v>
      </c>
      <c r="C1883" s="24" t="s">
        <v>7211</v>
      </c>
      <c r="D1883" s="59">
        <v>1.0</v>
      </c>
      <c r="E1883" s="59">
        <v>1.0</v>
      </c>
      <c r="F1883" s="59">
        <v>1.0</v>
      </c>
      <c r="G1883" s="60">
        <v>1.0</v>
      </c>
      <c r="H1883" s="60">
        <v>1.0</v>
      </c>
      <c r="I1883" s="60">
        <v>0.0</v>
      </c>
      <c r="J1883" s="59">
        <v>1.0</v>
      </c>
      <c r="K1883" s="61">
        <f t="shared" si="1"/>
        <v>1</v>
      </c>
      <c r="L1883" s="62">
        <f t="shared" si="2"/>
        <v>1</v>
      </c>
    </row>
    <row r="1884">
      <c r="A1884" s="58">
        <v>45992.0</v>
      </c>
      <c r="B1884" s="24" t="s">
        <v>6787</v>
      </c>
      <c r="C1884" s="24" t="s">
        <v>7212</v>
      </c>
      <c r="D1884" s="59">
        <v>1.0</v>
      </c>
      <c r="E1884" s="59">
        <v>1.0</v>
      </c>
      <c r="F1884" s="59">
        <v>1.0</v>
      </c>
      <c r="G1884" s="60">
        <v>1.0</v>
      </c>
      <c r="H1884" s="60">
        <v>1.0</v>
      </c>
      <c r="I1884" s="60">
        <v>0.0</v>
      </c>
      <c r="J1884" s="59">
        <v>1.0</v>
      </c>
      <c r="K1884" s="61">
        <f t="shared" si="1"/>
        <v>1</v>
      </c>
      <c r="L1884" s="62">
        <f t="shared" si="2"/>
        <v>1</v>
      </c>
    </row>
    <row r="1885">
      <c r="A1885" s="58">
        <v>45992.0</v>
      </c>
      <c r="B1885" s="24" t="s">
        <v>6787</v>
      </c>
      <c r="C1885" s="24" t="s">
        <v>7213</v>
      </c>
      <c r="D1885" s="59">
        <v>1.0</v>
      </c>
      <c r="E1885" s="59">
        <v>1.0</v>
      </c>
      <c r="F1885" s="59">
        <v>1.0</v>
      </c>
      <c r="G1885" s="60">
        <v>1.0</v>
      </c>
      <c r="H1885" s="60">
        <v>1.0</v>
      </c>
      <c r="I1885" s="60">
        <v>0.0</v>
      </c>
      <c r="J1885" s="59">
        <v>1.0</v>
      </c>
      <c r="K1885" s="61">
        <f t="shared" si="1"/>
        <v>1</v>
      </c>
      <c r="L1885" s="62">
        <f t="shared" si="2"/>
        <v>1</v>
      </c>
    </row>
    <row r="1886">
      <c r="A1886" s="58">
        <v>45992.0</v>
      </c>
      <c r="B1886" s="24" t="s">
        <v>6787</v>
      </c>
      <c r="C1886" s="24" t="s">
        <v>7214</v>
      </c>
      <c r="D1886" s="59">
        <v>1.0</v>
      </c>
      <c r="E1886" s="59">
        <v>1.0</v>
      </c>
      <c r="F1886" s="59">
        <v>1.0</v>
      </c>
      <c r="G1886" s="60">
        <v>1.0</v>
      </c>
      <c r="H1886" s="60">
        <v>1.0</v>
      </c>
      <c r="I1886" s="60">
        <v>0.0</v>
      </c>
      <c r="J1886" s="59">
        <v>1.0</v>
      </c>
      <c r="K1886" s="61">
        <f t="shared" si="1"/>
        <v>1</v>
      </c>
      <c r="L1886" s="62">
        <f t="shared" si="2"/>
        <v>1</v>
      </c>
    </row>
    <row r="1887">
      <c r="A1887" s="58">
        <v>45992.0</v>
      </c>
      <c r="B1887" s="24" t="s">
        <v>6787</v>
      </c>
      <c r="C1887" s="24" t="s">
        <v>7215</v>
      </c>
      <c r="D1887" s="59">
        <v>1.0</v>
      </c>
      <c r="E1887" s="59">
        <v>1.0</v>
      </c>
      <c r="F1887" s="59">
        <v>1.0</v>
      </c>
      <c r="G1887" s="60">
        <v>1.0</v>
      </c>
      <c r="H1887" s="60">
        <v>1.0</v>
      </c>
      <c r="I1887" s="60">
        <v>0.0</v>
      </c>
      <c r="J1887" s="59">
        <v>1.0</v>
      </c>
      <c r="K1887" s="61">
        <f t="shared" si="1"/>
        <v>1</v>
      </c>
      <c r="L1887" s="62">
        <f t="shared" si="2"/>
        <v>1</v>
      </c>
    </row>
    <row r="1888">
      <c r="A1888" s="58">
        <v>45992.0</v>
      </c>
      <c r="B1888" s="24" t="s">
        <v>6787</v>
      </c>
      <c r="C1888" s="24" t="s">
        <v>7216</v>
      </c>
      <c r="D1888" s="59">
        <v>1.0</v>
      </c>
      <c r="E1888" s="59">
        <v>1.0</v>
      </c>
      <c r="F1888" s="59">
        <v>1.0</v>
      </c>
      <c r="G1888" s="60">
        <v>1.0</v>
      </c>
      <c r="H1888" s="60">
        <v>1.0</v>
      </c>
      <c r="I1888" s="60">
        <v>0.0</v>
      </c>
      <c r="J1888" s="59">
        <v>1.0</v>
      </c>
      <c r="K1888" s="61">
        <f t="shared" si="1"/>
        <v>1</v>
      </c>
      <c r="L1888" s="62">
        <f t="shared" si="2"/>
        <v>1</v>
      </c>
    </row>
    <row r="1889">
      <c r="A1889" s="58">
        <v>45992.0</v>
      </c>
      <c r="B1889" s="24" t="s">
        <v>6787</v>
      </c>
      <c r="C1889" s="24" t="s">
        <v>7217</v>
      </c>
      <c r="D1889" s="59">
        <v>1.0</v>
      </c>
      <c r="E1889" s="59">
        <v>1.0</v>
      </c>
      <c r="F1889" s="59">
        <v>1.0</v>
      </c>
      <c r="G1889" s="60">
        <v>1.0</v>
      </c>
      <c r="H1889" s="60">
        <v>1.0</v>
      </c>
      <c r="I1889" s="60">
        <v>0.0</v>
      </c>
      <c r="J1889" s="59">
        <v>1.0</v>
      </c>
      <c r="K1889" s="61">
        <f t="shared" si="1"/>
        <v>1</v>
      </c>
      <c r="L1889" s="62">
        <f t="shared" si="2"/>
        <v>1</v>
      </c>
    </row>
    <row r="1890">
      <c r="A1890" s="58">
        <v>45992.0</v>
      </c>
      <c r="B1890" s="24" t="s">
        <v>6787</v>
      </c>
      <c r="C1890" s="24" t="s">
        <v>7218</v>
      </c>
      <c r="D1890" s="59">
        <v>1.0</v>
      </c>
      <c r="E1890" s="59">
        <v>1.0</v>
      </c>
      <c r="F1890" s="59">
        <v>1.0</v>
      </c>
      <c r="G1890" s="60">
        <v>1.0</v>
      </c>
      <c r="H1890" s="60">
        <v>1.0</v>
      </c>
      <c r="I1890" s="60">
        <v>0.0</v>
      </c>
      <c r="J1890" s="59">
        <v>1.0</v>
      </c>
      <c r="K1890" s="61">
        <f t="shared" si="1"/>
        <v>1</v>
      </c>
      <c r="L1890" s="62">
        <f t="shared" si="2"/>
        <v>1</v>
      </c>
    </row>
    <row r="1891">
      <c r="A1891" s="58">
        <v>45992.0</v>
      </c>
      <c r="B1891" s="24" t="s">
        <v>6789</v>
      </c>
      <c r="C1891" s="24" t="s">
        <v>7201</v>
      </c>
      <c r="D1891" s="59">
        <v>1.0</v>
      </c>
      <c r="E1891" s="59">
        <v>2.0</v>
      </c>
      <c r="F1891" s="59">
        <v>0.0</v>
      </c>
      <c r="G1891" s="60">
        <v>2.0</v>
      </c>
      <c r="H1891" s="60">
        <v>0.0</v>
      </c>
      <c r="I1891" s="60">
        <v>64.277824</v>
      </c>
      <c r="J1891" s="59">
        <v>5.0</v>
      </c>
      <c r="K1891" s="61">
        <f t="shared" si="1"/>
        <v>0</v>
      </c>
      <c r="L1891" s="62">
        <f t="shared" si="2"/>
        <v>2.5</v>
      </c>
    </row>
    <row r="1892">
      <c r="A1892" s="58">
        <v>45992.0</v>
      </c>
      <c r="B1892" s="24" t="s">
        <v>6787</v>
      </c>
      <c r="C1892" s="24" t="s">
        <v>7219</v>
      </c>
      <c r="D1892" s="59">
        <v>1.0</v>
      </c>
      <c r="E1892" s="59">
        <v>1.0</v>
      </c>
      <c r="F1892" s="59">
        <v>0.0</v>
      </c>
      <c r="G1892" s="60">
        <v>1.0</v>
      </c>
      <c r="H1892" s="60">
        <v>0.0</v>
      </c>
      <c r="I1892" s="60">
        <v>49.386065</v>
      </c>
      <c r="J1892" s="59">
        <v>2.0</v>
      </c>
      <c r="K1892" s="61">
        <f t="shared" si="1"/>
        <v>0</v>
      </c>
      <c r="L1892" s="62">
        <f t="shared" si="2"/>
        <v>2</v>
      </c>
    </row>
    <row r="1893">
      <c r="A1893" s="58">
        <v>45992.0</v>
      </c>
      <c r="B1893" s="24" t="s">
        <v>6789</v>
      </c>
      <c r="C1893" s="24" t="s">
        <v>7219</v>
      </c>
      <c r="D1893" s="59">
        <v>1.0</v>
      </c>
      <c r="E1893" s="59">
        <v>4.0</v>
      </c>
      <c r="F1893" s="59">
        <v>0.0</v>
      </c>
      <c r="G1893" s="60">
        <v>4.0</v>
      </c>
      <c r="H1893" s="60">
        <v>0.0</v>
      </c>
      <c r="I1893" s="60">
        <v>317.5407475</v>
      </c>
      <c r="J1893" s="59">
        <v>19.0</v>
      </c>
      <c r="K1893" s="61">
        <f t="shared" si="1"/>
        <v>0</v>
      </c>
      <c r="L1893" s="62">
        <f t="shared" si="2"/>
        <v>4.75</v>
      </c>
    </row>
    <row r="1894">
      <c r="A1894" s="58">
        <v>45992.0</v>
      </c>
      <c r="B1894" s="24" t="s">
        <v>6791</v>
      </c>
      <c r="C1894" s="24" t="s">
        <v>6827</v>
      </c>
      <c r="D1894" s="59">
        <v>1.0</v>
      </c>
      <c r="E1894" s="59">
        <v>1.0</v>
      </c>
      <c r="F1894" s="59">
        <v>0.0</v>
      </c>
      <c r="G1894" s="60">
        <v>0.0</v>
      </c>
      <c r="H1894" s="60">
        <v>1.0</v>
      </c>
      <c r="I1894" s="60">
        <v>0.0</v>
      </c>
      <c r="J1894" s="59">
        <v>1.0</v>
      </c>
      <c r="K1894" s="61">
        <f t="shared" si="1"/>
        <v>0</v>
      </c>
      <c r="L1894" s="62">
        <f t="shared" si="2"/>
        <v>1</v>
      </c>
    </row>
    <row r="1895">
      <c r="A1895" s="58">
        <v>45992.0</v>
      </c>
      <c r="B1895" s="24" t="s">
        <v>6789</v>
      </c>
      <c r="C1895" s="24" t="s">
        <v>7193</v>
      </c>
      <c r="D1895" s="59">
        <v>1.0</v>
      </c>
      <c r="E1895" s="59">
        <v>1.0</v>
      </c>
      <c r="F1895" s="59">
        <v>1.0</v>
      </c>
      <c r="G1895" s="60">
        <v>1.0</v>
      </c>
      <c r="H1895" s="60">
        <v>0.0</v>
      </c>
      <c r="I1895" s="60">
        <v>183.866259</v>
      </c>
      <c r="J1895" s="59">
        <v>1.0</v>
      </c>
      <c r="K1895" s="61">
        <f t="shared" si="1"/>
        <v>1</v>
      </c>
      <c r="L1895" s="62">
        <f t="shared" si="2"/>
        <v>1</v>
      </c>
    </row>
    <row r="1896">
      <c r="A1896" s="58">
        <v>45992.0</v>
      </c>
      <c r="B1896" s="24" t="s">
        <v>155</v>
      </c>
      <c r="C1896" s="24" t="s">
        <v>7193</v>
      </c>
      <c r="D1896" s="59">
        <v>1.0</v>
      </c>
      <c r="E1896" s="59">
        <v>1.0</v>
      </c>
      <c r="F1896" s="59">
        <v>0.0</v>
      </c>
      <c r="G1896" s="60">
        <v>1.0</v>
      </c>
      <c r="H1896" s="60">
        <v>0.0</v>
      </c>
      <c r="I1896" s="60">
        <v>296.471003</v>
      </c>
      <c r="J1896" s="59">
        <v>4.0</v>
      </c>
      <c r="K1896" s="61">
        <f t="shared" si="1"/>
        <v>0</v>
      </c>
      <c r="L1896" s="62">
        <f t="shared" si="2"/>
        <v>4</v>
      </c>
    </row>
    <row r="1897">
      <c r="A1897" s="58">
        <v>45992.0</v>
      </c>
      <c r="B1897" s="24" t="s">
        <v>155</v>
      </c>
      <c r="C1897" s="24" t="s">
        <v>6951</v>
      </c>
      <c r="D1897" s="59">
        <v>1.0</v>
      </c>
      <c r="E1897" s="59">
        <v>1.0</v>
      </c>
      <c r="F1897" s="59">
        <v>0.0</v>
      </c>
      <c r="G1897" s="60">
        <v>1.0</v>
      </c>
      <c r="H1897" s="60">
        <v>0.0</v>
      </c>
      <c r="I1897" s="60">
        <v>202.876721</v>
      </c>
      <c r="J1897" s="59">
        <v>9.0</v>
      </c>
      <c r="K1897" s="61">
        <f t="shared" si="1"/>
        <v>0</v>
      </c>
      <c r="L1897" s="62">
        <f t="shared" si="2"/>
        <v>9</v>
      </c>
    </row>
    <row r="1898">
      <c r="A1898" s="58">
        <v>45992.0</v>
      </c>
      <c r="B1898" s="24" t="s">
        <v>155</v>
      </c>
      <c r="C1898" s="24" t="s">
        <v>7052</v>
      </c>
      <c r="D1898" s="59">
        <v>1.0</v>
      </c>
      <c r="E1898" s="59">
        <v>2.0</v>
      </c>
      <c r="F1898" s="59">
        <v>0.0</v>
      </c>
      <c r="G1898" s="60">
        <v>2.0</v>
      </c>
      <c r="H1898" s="60">
        <v>0.5</v>
      </c>
      <c r="I1898" s="60">
        <v>4.0430415</v>
      </c>
      <c r="J1898" s="59">
        <v>3.0</v>
      </c>
      <c r="K1898" s="61">
        <f t="shared" si="1"/>
        <v>0</v>
      </c>
      <c r="L1898" s="62">
        <f t="shared" si="2"/>
        <v>1.5</v>
      </c>
    </row>
    <row r="1899">
      <c r="A1899" s="58">
        <v>45992.0</v>
      </c>
      <c r="B1899" s="24" t="s">
        <v>6789</v>
      </c>
      <c r="C1899" s="24" t="s">
        <v>7148</v>
      </c>
      <c r="D1899" s="59">
        <v>1.0</v>
      </c>
      <c r="E1899" s="59">
        <v>1.0</v>
      </c>
      <c r="F1899" s="59">
        <v>1.0</v>
      </c>
      <c r="G1899" s="60">
        <v>1.0</v>
      </c>
      <c r="H1899" s="60">
        <v>1.0</v>
      </c>
      <c r="I1899" s="60">
        <v>8.026425</v>
      </c>
      <c r="J1899" s="59">
        <v>1.0</v>
      </c>
      <c r="K1899" s="61">
        <f t="shared" si="1"/>
        <v>1</v>
      </c>
      <c r="L1899" s="62">
        <f t="shared" si="2"/>
        <v>1</v>
      </c>
    </row>
    <row r="1900">
      <c r="A1900" s="58">
        <v>45992.0</v>
      </c>
      <c r="B1900" s="24" t="s">
        <v>6789</v>
      </c>
      <c r="C1900" s="24" t="s">
        <v>7220</v>
      </c>
      <c r="D1900" s="59">
        <v>1.0</v>
      </c>
      <c r="E1900" s="59">
        <v>1.0</v>
      </c>
      <c r="F1900" s="59">
        <v>0.0</v>
      </c>
      <c r="G1900" s="60">
        <v>1.0</v>
      </c>
      <c r="H1900" s="60">
        <v>0.0</v>
      </c>
      <c r="I1900" s="60">
        <v>46.879761</v>
      </c>
      <c r="J1900" s="59">
        <v>3.0</v>
      </c>
      <c r="K1900" s="61">
        <f t="shared" si="1"/>
        <v>0</v>
      </c>
      <c r="L1900" s="62">
        <f t="shared" si="2"/>
        <v>3</v>
      </c>
    </row>
    <row r="1901">
      <c r="A1901" s="58">
        <v>45992.0</v>
      </c>
      <c r="B1901" s="24" t="s">
        <v>6789</v>
      </c>
      <c r="C1901" s="24" t="s">
        <v>7221</v>
      </c>
      <c r="D1901" s="59">
        <v>1.0</v>
      </c>
      <c r="E1901" s="59">
        <v>1.0</v>
      </c>
      <c r="F1901" s="59">
        <v>0.0</v>
      </c>
      <c r="G1901" s="60">
        <v>1.0</v>
      </c>
      <c r="H1901" s="60">
        <v>0.0</v>
      </c>
      <c r="I1901" s="60">
        <v>6810.254433</v>
      </c>
      <c r="J1901" s="59">
        <v>28.0</v>
      </c>
      <c r="K1901" s="61">
        <f t="shared" si="1"/>
        <v>0</v>
      </c>
      <c r="L1901" s="62">
        <f t="shared" si="2"/>
        <v>28</v>
      </c>
    </row>
    <row r="1902">
      <c r="A1902" s="58">
        <v>45992.0</v>
      </c>
      <c r="B1902" s="24" t="s">
        <v>6789</v>
      </c>
      <c r="C1902" s="24" t="s">
        <v>7054</v>
      </c>
      <c r="D1902" s="59">
        <v>1.0</v>
      </c>
      <c r="E1902" s="59">
        <v>1.0</v>
      </c>
      <c r="F1902" s="59">
        <v>0.0</v>
      </c>
      <c r="G1902" s="60">
        <v>1.0</v>
      </c>
      <c r="H1902" s="60">
        <v>0.0</v>
      </c>
      <c r="I1902" s="60">
        <v>230.315694</v>
      </c>
      <c r="J1902" s="59">
        <v>2.0</v>
      </c>
      <c r="K1902" s="61">
        <f t="shared" si="1"/>
        <v>0</v>
      </c>
      <c r="L1902" s="62">
        <f t="shared" si="2"/>
        <v>2</v>
      </c>
    </row>
    <row r="1903">
      <c r="A1903" s="58">
        <v>45992.0</v>
      </c>
      <c r="B1903" s="24" t="s">
        <v>155</v>
      </c>
      <c r="C1903" s="24" t="s">
        <v>7054</v>
      </c>
      <c r="D1903" s="59">
        <v>1.0</v>
      </c>
      <c r="E1903" s="59">
        <v>1.0</v>
      </c>
      <c r="F1903" s="59">
        <v>0.0</v>
      </c>
      <c r="G1903" s="60">
        <v>1.0</v>
      </c>
      <c r="H1903" s="60">
        <v>0.0</v>
      </c>
      <c r="I1903" s="60">
        <v>218.904748</v>
      </c>
      <c r="J1903" s="59">
        <v>1.0</v>
      </c>
      <c r="K1903" s="61">
        <f t="shared" si="1"/>
        <v>0</v>
      </c>
      <c r="L1903" s="62">
        <f t="shared" si="2"/>
        <v>1</v>
      </c>
    </row>
    <row r="1904">
      <c r="A1904" s="58">
        <v>45992.0</v>
      </c>
      <c r="B1904" s="24" t="s">
        <v>6794</v>
      </c>
      <c r="C1904" s="24" t="s">
        <v>7149</v>
      </c>
      <c r="D1904" s="59">
        <v>1.0</v>
      </c>
      <c r="E1904" s="59">
        <v>3.0</v>
      </c>
      <c r="F1904" s="59">
        <v>0.0</v>
      </c>
      <c r="G1904" s="60">
        <v>3.0</v>
      </c>
      <c r="H1904" s="60">
        <v>0.666666666666666</v>
      </c>
      <c r="I1904" s="60">
        <v>469.554210333333</v>
      </c>
      <c r="J1904" s="59">
        <v>4.0</v>
      </c>
      <c r="K1904" s="61">
        <f t="shared" si="1"/>
        <v>0</v>
      </c>
      <c r="L1904" s="62">
        <f t="shared" si="2"/>
        <v>1.333333333</v>
      </c>
    </row>
    <row r="1905">
      <c r="A1905" s="58">
        <v>45992.0</v>
      </c>
      <c r="B1905" s="24" t="s">
        <v>155</v>
      </c>
      <c r="C1905" s="24" t="s">
        <v>6817</v>
      </c>
      <c r="D1905" s="59">
        <v>1.0</v>
      </c>
      <c r="E1905" s="59">
        <v>2.0</v>
      </c>
      <c r="F1905" s="59">
        <v>0.0</v>
      </c>
      <c r="G1905" s="60">
        <v>2.0</v>
      </c>
      <c r="H1905" s="60">
        <v>0.0</v>
      </c>
      <c r="I1905" s="60">
        <v>52.0620305</v>
      </c>
      <c r="J1905" s="59">
        <v>3.0</v>
      </c>
      <c r="K1905" s="61">
        <f t="shared" si="1"/>
        <v>0</v>
      </c>
      <c r="L1905" s="62">
        <f t="shared" si="2"/>
        <v>1.5</v>
      </c>
    </row>
    <row r="1906">
      <c r="A1906" s="58">
        <v>45992.0</v>
      </c>
      <c r="B1906" s="24" t="s">
        <v>6789</v>
      </c>
      <c r="C1906" s="24" t="s">
        <v>6953</v>
      </c>
      <c r="D1906" s="59">
        <v>1.0</v>
      </c>
      <c r="E1906" s="59">
        <v>1.0</v>
      </c>
      <c r="F1906" s="59">
        <v>0.0</v>
      </c>
      <c r="G1906" s="60">
        <v>0.0</v>
      </c>
      <c r="H1906" s="60">
        <v>1.0</v>
      </c>
      <c r="I1906" s="60">
        <v>0.0</v>
      </c>
      <c r="J1906" s="59">
        <v>1.0</v>
      </c>
      <c r="K1906" s="61">
        <f t="shared" si="1"/>
        <v>0</v>
      </c>
      <c r="L1906" s="62">
        <f t="shared" si="2"/>
        <v>1</v>
      </c>
    </row>
    <row r="1907">
      <c r="A1907" s="58">
        <v>45992.0</v>
      </c>
      <c r="B1907" s="24" t="s">
        <v>6789</v>
      </c>
      <c r="C1907" s="24" t="s">
        <v>7056</v>
      </c>
      <c r="D1907" s="59">
        <v>1.0</v>
      </c>
      <c r="E1907" s="59">
        <v>1.0</v>
      </c>
      <c r="F1907" s="59">
        <v>1.0</v>
      </c>
      <c r="G1907" s="60">
        <v>1.0</v>
      </c>
      <c r="H1907" s="60">
        <v>0.0</v>
      </c>
      <c r="I1907" s="60">
        <v>431.210555</v>
      </c>
      <c r="J1907" s="59">
        <v>1.0</v>
      </c>
      <c r="K1907" s="61">
        <f t="shared" si="1"/>
        <v>1</v>
      </c>
      <c r="L1907" s="62">
        <f t="shared" si="2"/>
        <v>1</v>
      </c>
    </row>
    <row r="1908">
      <c r="A1908" s="58">
        <v>45992.0</v>
      </c>
      <c r="B1908" s="24" t="s">
        <v>6790</v>
      </c>
      <c r="C1908" s="24" t="s">
        <v>6983</v>
      </c>
      <c r="D1908" s="59">
        <v>1.0</v>
      </c>
      <c r="E1908" s="59">
        <v>1.0</v>
      </c>
      <c r="F1908" s="59">
        <v>0.0</v>
      </c>
      <c r="G1908" s="60">
        <v>0.0</v>
      </c>
      <c r="H1908" s="60">
        <v>1.0</v>
      </c>
      <c r="I1908" s="60">
        <v>0.0</v>
      </c>
      <c r="J1908" s="59">
        <v>1.0</v>
      </c>
      <c r="K1908" s="61">
        <f t="shared" si="1"/>
        <v>0</v>
      </c>
      <c r="L1908" s="62">
        <f t="shared" si="2"/>
        <v>1</v>
      </c>
    </row>
    <row r="1909">
      <c r="A1909" s="58">
        <v>45992.0</v>
      </c>
      <c r="B1909" s="24" t="s">
        <v>155</v>
      </c>
      <c r="C1909" s="24" t="s">
        <v>6828</v>
      </c>
      <c r="D1909" s="59">
        <v>1.0</v>
      </c>
      <c r="E1909" s="59">
        <v>2.0</v>
      </c>
      <c r="F1909" s="59">
        <v>1.0</v>
      </c>
      <c r="G1909" s="60">
        <v>2.0</v>
      </c>
      <c r="H1909" s="60">
        <v>1.0</v>
      </c>
      <c r="I1909" s="60">
        <v>0.0</v>
      </c>
      <c r="J1909" s="59">
        <v>2.0</v>
      </c>
      <c r="K1909" s="61">
        <f t="shared" si="1"/>
        <v>0.5</v>
      </c>
      <c r="L1909" s="62">
        <f t="shared" si="2"/>
        <v>1</v>
      </c>
    </row>
    <row r="1910">
      <c r="A1910" s="58">
        <v>45992.0</v>
      </c>
      <c r="B1910" s="24" t="s">
        <v>6789</v>
      </c>
      <c r="C1910" s="24" t="s">
        <v>6858</v>
      </c>
      <c r="D1910" s="59">
        <v>1.0</v>
      </c>
      <c r="E1910" s="59">
        <v>1.0</v>
      </c>
      <c r="F1910" s="59">
        <v>0.0</v>
      </c>
      <c r="G1910" s="60">
        <v>1.0</v>
      </c>
      <c r="H1910" s="60">
        <v>0.0</v>
      </c>
      <c r="I1910" s="60">
        <v>10.642075</v>
      </c>
      <c r="J1910" s="59">
        <v>1.0</v>
      </c>
      <c r="K1910" s="61">
        <f t="shared" si="1"/>
        <v>0</v>
      </c>
      <c r="L1910" s="62">
        <f t="shared" si="2"/>
        <v>1</v>
      </c>
    </row>
    <row r="1911">
      <c r="A1911" s="58">
        <v>45992.0</v>
      </c>
      <c r="B1911" s="24" t="s">
        <v>155</v>
      </c>
      <c r="C1911" s="24" t="s">
        <v>6804</v>
      </c>
      <c r="D1911" s="59">
        <v>1.0</v>
      </c>
      <c r="E1911" s="59">
        <v>1.0</v>
      </c>
      <c r="F1911" s="59">
        <v>1.0</v>
      </c>
      <c r="G1911" s="60">
        <v>1.0</v>
      </c>
      <c r="H1911" s="60">
        <v>1.0</v>
      </c>
      <c r="I1911" s="60">
        <v>0.0</v>
      </c>
      <c r="J1911" s="59">
        <v>1.0</v>
      </c>
      <c r="K1911" s="61">
        <f t="shared" si="1"/>
        <v>1</v>
      </c>
      <c r="L1911" s="62">
        <f t="shared" si="2"/>
        <v>1</v>
      </c>
    </row>
    <row r="1912">
      <c r="A1912" s="58">
        <v>45992.0</v>
      </c>
      <c r="B1912" s="24" t="s">
        <v>155</v>
      </c>
      <c r="C1912" s="24" t="s">
        <v>6829</v>
      </c>
      <c r="D1912" s="59">
        <v>1.0</v>
      </c>
      <c r="E1912" s="59">
        <v>2.0</v>
      </c>
      <c r="F1912" s="59">
        <v>1.0</v>
      </c>
      <c r="G1912" s="60">
        <v>2.0</v>
      </c>
      <c r="H1912" s="60">
        <v>1.0</v>
      </c>
      <c r="I1912" s="60">
        <v>0.0</v>
      </c>
      <c r="J1912" s="59">
        <v>2.0</v>
      </c>
      <c r="K1912" s="61">
        <f t="shared" si="1"/>
        <v>0.5</v>
      </c>
      <c r="L1912" s="62">
        <f t="shared" si="2"/>
        <v>1</v>
      </c>
    </row>
    <row r="1913">
      <c r="A1913" s="58">
        <v>45992.0</v>
      </c>
      <c r="B1913" s="24" t="s">
        <v>6789</v>
      </c>
      <c r="C1913" s="24" t="s">
        <v>7039</v>
      </c>
      <c r="D1913" s="59">
        <v>1.0</v>
      </c>
      <c r="E1913" s="59">
        <v>1.0</v>
      </c>
      <c r="F1913" s="59">
        <v>0.0</v>
      </c>
      <c r="G1913" s="60">
        <v>1.0</v>
      </c>
      <c r="H1913" s="60">
        <v>0.0</v>
      </c>
      <c r="I1913" s="60">
        <v>129.718601</v>
      </c>
      <c r="J1913" s="59">
        <v>2.0</v>
      </c>
      <c r="K1913" s="61">
        <f t="shared" si="1"/>
        <v>0</v>
      </c>
      <c r="L1913" s="62">
        <f t="shared" si="2"/>
        <v>2</v>
      </c>
    </row>
    <row r="1914">
      <c r="A1914" s="58">
        <v>45992.0</v>
      </c>
      <c r="B1914" s="24" t="s">
        <v>6789</v>
      </c>
      <c r="C1914" s="24" t="s">
        <v>6861</v>
      </c>
      <c r="D1914" s="59">
        <v>1.0</v>
      </c>
      <c r="E1914" s="59">
        <v>1.0</v>
      </c>
      <c r="F1914" s="59">
        <v>1.0</v>
      </c>
      <c r="G1914" s="60">
        <v>1.0</v>
      </c>
      <c r="H1914" s="60">
        <v>1.0</v>
      </c>
      <c r="I1914" s="60">
        <v>9.644465</v>
      </c>
      <c r="J1914" s="59">
        <v>1.0</v>
      </c>
      <c r="K1914" s="61">
        <f t="shared" si="1"/>
        <v>1</v>
      </c>
      <c r="L1914" s="62">
        <f t="shared" si="2"/>
        <v>1</v>
      </c>
    </row>
    <row r="1915">
      <c r="A1915" s="58">
        <v>45992.0</v>
      </c>
      <c r="B1915" s="24" t="s">
        <v>6789</v>
      </c>
      <c r="C1915" s="24" t="s">
        <v>6830</v>
      </c>
      <c r="D1915" s="59">
        <v>1.0</v>
      </c>
      <c r="E1915" s="59">
        <v>1.0</v>
      </c>
      <c r="F1915" s="59">
        <v>1.0</v>
      </c>
      <c r="G1915" s="60">
        <v>1.0</v>
      </c>
      <c r="H1915" s="60">
        <v>0.0</v>
      </c>
      <c r="I1915" s="60">
        <v>157.020207</v>
      </c>
      <c r="J1915" s="59">
        <v>2.0</v>
      </c>
      <c r="K1915" s="61">
        <f t="shared" si="1"/>
        <v>1</v>
      </c>
      <c r="L1915" s="62">
        <f t="shared" si="2"/>
        <v>2</v>
      </c>
    </row>
    <row r="1916">
      <c r="A1916" s="58">
        <v>45992.0</v>
      </c>
      <c r="B1916" s="24" t="s">
        <v>6787</v>
      </c>
      <c r="C1916" s="24" t="s">
        <v>7060</v>
      </c>
      <c r="D1916" s="59">
        <v>1.0</v>
      </c>
      <c r="E1916" s="59">
        <v>1.0</v>
      </c>
      <c r="F1916" s="59">
        <v>1.0</v>
      </c>
      <c r="G1916" s="60">
        <v>1.0</v>
      </c>
      <c r="H1916" s="60">
        <v>1.0</v>
      </c>
      <c r="I1916" s="60">
        <v>7.251251</v>
      </c>
      <c r="J1916" s="59">
        <v>1.0</v>
      </c>
      <c r="K1916" s="61">
        <f t="shared" si="1"/>
        <v>1</v>
      </c>
      <c r="L1916" s="62">
        <f t="shared" si="2"/>
        <v>1</v>
      </c>
    </row>
    <row r="1917">
      <c r="A1917" s="58">
        <v>45992.0</v>
      </c>
      <c r="B1917" s="24" t="s">
        <v>6789</v>
      </c>
      <c r="C1917" s="24" t="s">
        <v>6864</v>
      </c>
      <c r="D1917" s="59">
        <v>1.0</v>
      </c>
      <c r="E1917" s="59">
        <v>2.0</v>
      </c>
      <c r="F1917" s="59">
        <v>0.0</v>
      </c>
      <c r="G1917" s="60">
        <v>2.0</v>
      </c>
      <c r="H1917" s="60">
        <v>0.0</v>
      </c>
      <c r="I1917" s="60">
        <v>39.1453065</v>
      </c>
      <c r="J1917" s="59">
        <v>4.0</v>
      </c>
      <c r="K1917" s="61">
        <f t="shared" si="1"/>
        <v>0</v>
      </c>
      <c r="L1917" s="62">
        <f t="shared" si="2"/>
        <v>2</v>
      </c>
    </row>
    <row r="1918">
      <c r="A1918" s="58">
        <v>45992.0</v>
      </c>
      <c r="B1918" s="24" t="s">
        <v>6789</v>
      </c>
      <c r="C1918" s="24" t="s">
        <v>6985</v>
      </c>
      <c r="D1918" s="59">
        <v>1.0</v>
      </c>
      <c r="E1918" s="59">
        <v>1.0</v>
      </c>
      <c r="F1918" s="59">
        <v>1.0</v>
      </c>
      <c r="G1918" s="60">
        <v>1.0</v>
      </c>
      <c r="H1918" s="60">
        <v>0.0</v>
      </c>
      <c r="I1918" s="60">
        <v>123.030856</v>
      </c>
      <c r="J1918" s="59">
        <v>6.0</v>
      </c>
      <c r="K1918" s="61">
        <f t="shared" si="1"/>
        <v>1</v>
      </c>
      <c r="L1918" s="62">
        <f t="shared" si="2"/>
        <v>6</v>
      </c>
    </row>
    <row r="1919">
      <c r="A1919" s="58">
        <v>45992.0</v>
      </c>
      <c r="B1919" s="24" t="s">
        <v>6790</v>
      </c>
      <c r="C1919" s="24" t="s">
        <v>6927</v>
      </c>
      <c r="D1919" s="59">
        <v>1.0</v>
      </c>
      <c r="E1919" s="59">
        <v>1.0</v>
      </c>
      <c r="F1919" s="59">
        <v>1.0</v>
      </c>
      <c r="G1919" s="60">
        <v>1.0</v>
      </c>
      <c r="H1919" s="60">
        <v>0.0</v>
      </c>
      <c r="I1919" s="60">
        <v>1576.160213</v>
      </c>
      <c r="J1919" s="59">
        <v>1.0</v>
      </c>
      <c r="K1919" s="61">
        <f t="shared" si="1"/>
        <v>1</v>
      </c>
      <c r="L1919" s="62">
        <f t="shared" si="2"/>
        <v>1</v>
      </c>
    </row>
    <row r="1920">
      <c r="A1920" s="58">
        <v>45992.0</v>
      </c>
      <c r="B1920" s="24" t="s">
        <v>6789</v>
      </c>
      <c r="C1920" s="24" t="s">
        <v>6986</v>
      </c>
      <c r="D1920" s="59">
        <v>1.0</v>
      </c>
      <c r="E1920" s="59">
        <v>1.0</v>
      </c>
      <c r="F1920" s="59">
        <v>1.0</v>
      </c>
      <c r="G1920" s="60">
        <v>1.0</v>
      </c>
      <c r="H1920" s="60">
        <v>0.0</v>
      </c>
      <c r="I1920" s="60">
        <v>19.038916</v>
      </c>
      <c r="J1920" s="59">
        <v>1.0</v>
      </c>
      <c r="K1920" s="61">
        <f t="shared" si="1"/>
        <v>1</v>
      </c>
      <c r="L1920" s="62">
        <f t="shared" si="2"/>
        <v>1</v>
      </c>
    </row>
    <row r="1921">
      <c r="A1921" s="58">
        <v>45992.0</v>
      </c>
      <c r="B1921" s="24" t="s">
        <v>6789</v>
      </c>
      <c r="C1921" s="24" t="s">
        <v>6868</v>
      </c>
      <c r="D1921" s="59">
        <v>1.0</v>
      </c>
      <c r="E1921" s="59">
        <v>1.0</v>
      </c>
      <c r="F1921" s="59">
        <v>1.0</v>
      </c>
      <c r="G1921" s="60">
        <v>1.0</v>
      </c>
      <c r="H1921" s="60">
        <v>1.0</v>
      </c>
      <c r="I1921" s="60">
        <v>0.0</v>
      </c>
      <c r="J1921" s="59">
        <v>1.0</v>
      </c>
      <c r="K1921" s="61">
        <f t="shared" si="1"/>
        <v>1</v>
      </c>
      <c r="L1921" s="62">
        <f t="shared" si="2"/>
        <v>1</v>
      </c>
    </row>
    <row r="1922">
      <c r="A1922" s="58">
        <v>45992.0</v>
      </c>
      <c r="B1922" s="24" t="s">
        <v>6789</v>
      </c>
      <c r="C1922" s="24" t="s">
        <v>7040</v>
      </c>
      <c r="D1922" s="59">
        <v>1.0</v>
      </c>
      <c r="E1922" s="59">
        <v>1.0</v>
      </c>
      <c r="F1922" s="59">
        <v>1.0</v>
      </c>
      <c r="G1922" s="60">
        <v>1.0</v>
      </c>
      <c r="H1922" s="60">
        <v>1.0</v>
      </c>
      <c r="I1922" s="60">
        <v>0.0</v>
      </c>
      <c r="J1922" s="59">
        <v>1.0</v>
      </c>
      <c r="K1922" s="61">
        <f t="shared" si="1"/>
        <v>1</v>
      </c>
      <c r="L1922" s="62">
        <f t="shared" si="2"/>
        <v>1</v>
      </c>
    </row>
    <row r="1923">
      <c r="A1923" s="58">
        <v>45992.0</v>
      </c>
      <c r="B1923" s="24" t="s">
        <v>6789</v>
      </c>
      <c r="C1923" s="24" t="s">
        <v>7062</v>
      </c>
      <c r="D1923" s="59">
        <v>1.0</v>
      </c>
      <c r="E1923" s="59">
        <v>1.0</v>
      </c>
      <c r="F1923" s="59">
        <v>1.0</v>
      </c>
      <c r="G1923" s="60">
        <v>1.0</v>
      </c>
      <c r="H1923" s="60">
        <v>0.0</v>
      </c>
      <c r="I1923" s="60">
        <v>24.744991</v>
      </c>
      <c r="J1923" s="59">
        <v>1.0</v>
      </c>
      <c r="K1923" s="61">
        <f t="shared" si="1"/>
        <v>1</v>
      </c>
      <c r="L1923" s="62">
        <f t="shared" si="2"/>
        <v>1</v>
      </c>
    </row>
    <row r="1924">
      <c r="A1924" s="58">
        <v>45992.0</v>
      </c>
      <c r="B1924" s="24" t="s">
        <v>155</v>
      </c>
      <c r="C1924" s="24" t="s">
        <v>7222</v>
      </c>
      <c r="D1924" s="59">
        <v>1.0</v>
      </c>
      <c r="E1924" s="59">
        <v>1.0</v>
      </c>
      <c r="F1924" s="59">
        <v>0.0</v>
      </c>
      <c r="G1924" s="60">
        <v>1.0</v>
      </c>
      <c r="H1924" s="60">
        <v>1.0</v>
      </c>
      <c r="I1924" s="60">
        <v>1.506183</v>
      </c>
      <c r="J1924" s="59">
        <v>1.0</v>
      </c>
      <c r="K1924" s="61">
        <f t="shared" si="1"/>
        <v>0</v>
      </c>
      <c r="L1924" s="62">
        <f t="shared" si="2"/>
        <v>1</v>
      </c>
    </row>
    <row r="1925">
      <c r="A1925" s="58">
        <v>45992.0</v>
      </c>
      <c r="B1925" s="24" t="s">
        <v>155</v>
      </c>
      <c r="C1925" s="24" t="s">
        <v>7024</v>
      </c>
      <c r="D1925" s="59">
        <v>1.0</v>
      </c>
      <c r="E1925" s="59">
        <v>1.0</v>
      </c>
      <c r="F1925" s="59">
        <v>1.0</v>
      </c>
      <c r="G1925" s="60">
        <v>1.0</v>
      </c>
      <c r="H1925" s="60">
        <v>0.0</v>
      </c>
      <c r="I1925" s="60">
        <v>471.743191</v>
      </c>
      <c r="J1925" s="59">
        <v>2.0</v>
      </c>
      <c r="K1925" s="61">
        <f t="shared" si="1"/>
        <v>1</v>
      </c>
      <c r="L1925" s="62">
        <f t="shared" si="2"/>
        <v>2</v>
      </c>
    </row>
    <row r="1926">
      <c r="A1926" s="58">
        <v>45992.0</v>
      </c>
      <c r="B1926" s="24" t="s">
        <v>6789</v>
      </c>
      <c r="C1926" s="24" t="s">
        <v>6875</v>
      </c>
      <c r="D1926" s="59">
        <v>1.0</v>
      </c>
      <c r="E1926" s="59">
        <v>1.0</v>
      </c>
      <c r="F1926" s="59">
        <v>1.0</v>
      </c>
      <c r="G1926" s="60">
        <v>1.0</v>
      </c>
      <c r="H1926" s="60">
        <v>0.0</v>
      </c>
      <c r="I1926" s="60">
        <v>862.493786</v>
      </c>
      <c r="J1926" s="59">
        <v>3.0</v>
      </c>
      <c r="K1926" s="61">
        <f t="shared" si="1"/>
        <v>1</v>
      </c>
      <c r="L1926" s="62">
        <f t="shared" si="2"/>
        <v>3</v>
      </c>
    </row>
    <row r="1927">
      <c r="A1927" s="58">
        <v>45992.0</v>
      </c>
      <c r="B1927" s="24" t="s">
        <v>6790</v>
      </c>
      <c r="C1927" s="24" t="s">
        <v>6876</v>
      </c>
      <c r="D1927" s="59">
        <v>1.0</v>
      </c>
      <c r="E1927" s="59">
        <v>1.0</v>
      </c>
      <c r="F1927" s="59">
        <v>1.0</v>
      </c>
      <c r="G1927" s="60">
        <v>1.0</v>
      </c>
      <c r="H1927" s="60">
        <v>1.0</v>
      </c>
      <c r="I1927" s="60">
        <v>0.0</v>
      </c>
      <c r="J1927" s="59">
        <v>1.0</v>
      </c>
      <c r="K1927" s="61">
        <f t="shared" si="1"/>
        <v>1</v>
      </c>
      <c r="L1927" s="62">
        <f t="shared" si="2"/>
        <v>1</v>
      </c>
    </row>
    <row r="1928">
      <c r="A1928" s="58">
        <v>45992.0</v>
      </c>
      <c r="B1928" s="24" t="s">
        <v>6789</v>
      </c>
      <c r="C1928" s="24" t="s">
        <v>6877</v>
      </c>
      <c r="D1928" s="59">
        <v>1.0</v>
      </c>
      <c r="E1928" s="59">
        <v>1.0</v>
      </c>
      <c r="F1928" s="59">
        <v>1.0</v>
      </c>
      <c r="G1928" s="60">
        <v>1.0</v>
      </c>
      <c r="H1928" s="60">
        <v>1.0</v>
      </c>
      <c r="I1928" s="60">
        <v>4.372461</v>
      </c>
      <c r="J1928" s="59">
        <v>1.0</v>
      </c>
      <c r="K1928" s="61">
        <f t="shared" si="1"/>
        <v>1</v>
      </c>
      <c r="L1928" s="62">
        <f t="shared" si="2"/>
        <v>1</v>
      </c>
    </row>
    <row r="1929">
      <c r="A1929" s="58">
        <v>45992.0</v>
      </c>
      <c r="B1929" s="24" t="s">
        <v>7030</v>
      </c>
      <c r="C1929" s="24" t="s">
        <v>6882</v>
      </c>
      <c r="D1929" s="59">
        <v>1.0</v>
      </c>
      <c r="E1929" s="59">
        <v>1.0</v>
      </c>
      <c r="F1929" s="59">
        <v>1.0</v>
      </c>
      <c r="G1929" s="60">
        <v>1.0</v>
      </c>
      <c r="H1929" s="60">
        <v>0.0</v>
      </c>
      <c r="I1929" s="60">
        <v>194.369186</v>
      </c>
      <c r="J1929" s="59">
        <v>2.0</v>
      </c>
      <c r="K1929" s="61">
        <f t="shared" si="1"/>
        <v>1</v>
      </c>
      <c r="L1929" s="62">
        <f t="shared" si="2"/>
        <v>2</v>
      </c>
    </row>
    <row r="1930">
      <c r="A1930" s="58">
        <v>45992.0</v>
      </c>
      <c r="B1930" s="24" t="s">
        <v>3216</v>
      </c>
      <c r="C1930" s="24" t="s">
        <v>6883</v>
      </c>
      <c r="D1930" s="59">
        <v>1.0</v>
      </c>
      <c r="E1930" s="59">
        <v>2.0</v>
      </c>
      <c r="F1930" s="59">
        <v>0.0</v>
      </c>
      <c r="G1930" s="60">
        <v>0.0</v>
      </c>
      <c r="H1930" s="60">
        <v>1.0</v>
      </c>
      <c r="I1930" s="60">
        <v>0.0</v>
      </c>
      <c r="J1930" s="59">
        <v>2.0</v>
      </c>
      <c r="K1930" s="61">
        <f t="shared" si="1"/>
        <v>0</v>
      </c>
      <c r="L1930" s="62">
        <f t="shared" si="2"/>
        <v>1</v>
      </c>
    </row>
    <row r="1931">
      <c r="A1931" s="58">
        <v>45992.0</v>
      </c>
      <c r="B1931" s="24" t="s">
        <v>155</v>
      </c>
      <c r="C1931" s="24" t="s">
        <v>6835</v>
      </c>
      <c r="D1931" s="59">
        <v>1.0</v>
      </c>
      <c r="E1931" s="59">
        <v>1.0</v>
      </c>
      <c r="F1931" s="59">
        <v>1.0</v>
      </c>
      <c r="G1931" s="60">
        <v>1.0</v>
      </c>
      <c r="H1931" s="60">
        <v>0.0</v>
      </c>
      <c r="I1931" s="60">
        <v>51.393816</v>
      </c>
      <c r="J1931" s="59">
        <v>1.0</v>
      </c>
      <c r="K1931" s="61">
        <f t="shared" si="1"/>
        <v>1</v>
      </c>
      <c r="L1931" s="62">
        <f t="shared" si="2"/>
        <v>1</v>
      </c>
    </row>
    <row r="1932">
      <c r="A1932" s="58">
        <v>45992.0</v>
      </c>
      <c r="B1932" s="24" t="s">
        <v>155</v>
      </c>
      <c r="C1932" s="24" t="s">
        <v>7029</v>
      </c>
      <c r="D1932" s="59">
        <v>1.0</v>
      </c>
      <c r="E1932" s="59">
        <v>1.0</v>
      </c>
      <c r="F1932" s="59">
        <v>0.0</v>
      </c>
      <c r="G1932" s="60">
        <v>1.0</v>
      </c>
      <c r="H1932" s="60">
        <v>0.0</v>
      </c>
      <c r="I1932" s="60">
        <v>13.398936</v>
      </c>
      <c r="J1932" s="59">
        <v>2.0</v>
      </c>
      <c r="K1932" s="61">
        <f t="shared" si="1"/>
        <v>0</v>
      </c>
      <c r="L1932" s="62">
        <f t="shared" si="2"/>
        <v>2</v>
      </c>
    </row>
    <row r="1933">
      <c r="A1933" s="58">
        <v>45992.0</v>
      </c>
      <c r="B1933" s="24" t="s">
        <v>6789</v>
      </c>
      <c r="C1933" s="24" t="s">
        <v>6930</v>
      </c>
      <c r="D1933" s="59">
        <v>1.0</v>
      </c>
      <c r="E1933" s="59">
        <v>1.0</v>
      </c>
      <c r="F1933" s="59">
        <v>1.0</v>
      </c>
      <c r="G1933" s="60">
        <v>1.0</v>
      </c>
      <c r="H1933" s="60">
        <v>1.0</v>
      </c>
      <c r="I1933" s="60">
        <v>0.0</v>
      </c>
      <c r="J1933" s="59">
        <v>1.0</v>
      </c>
      <c r="K1933" s="61">
        <f t="shared" si="1"/>
        <v>1</v>
      </c>
      <c r="L1933" s="62">
        <f t="shared" si="2"/>
        <v>1</v>
      </c>
    </row>
    <row r="1934">
      <c r="A1934" s="58">
        <v>45992.0</v>
      </c>
      <c r="B1934" s="24" t="s">
        <v>3216</v>
      </c>
      <c r="C1934" s="24" t="s">
        <v>6886</v>
      </c>
      <c r="D1934" s="59">
        <v>1.0</v>
      </c>
      <c r="E1934" s="59">
        <v>1.0</v>
      </c>
      <c r="F1934" s="59">
        <v>0.0</v>
      </c>
      <c r="G1934" s="60">
        <v>1.0</v>
      </c>
      <c r="H1934" s="60">
        <v>0.0</v>
      </c>
      <c r="I1934" s="60">
        <v>20.723581</v>
      </c>
      <c r="J1934" s="59">
        <v>1.0</v>
      </c>
      <c r="K1934" s="61">
        <f t="shared" si="1"/>
        <v>0</v>
      </c>
      <c r="L1934" s="62">
        <f t="shared" si="2"/>
        <v>1</v>
      </c>
    </row>
    <row r="1935">
      <c r="A1935" s="58">
        <v>45992.0</v>
      </c>
      <c r="B1935" s="24" t="s">
        <v>6791</v>
      </c>
      <c r="C1935" s="24" t="s">
        <v>6886</v>
      </c>
      <c r="D1935" s="59">
        <v>1.0</v>
      </c>
      <c r="E1935" s="59">
        <v>1.0</v>
      </c>
      <c r="F1935" s="59">
        <v>0.0</v>
      </c>
      <c r="G1935" s="60">
        <v>0.0</v>
      </c>
      <c r="H1935" s="60">
        <v>1.0</v>
      </c>
      <c r="I1935" s="60">
        <v>0.0</v>
      </c>
      <c r="J1935" s="59">
        <v>1.0</v>
      </c>
      <c r="K1935" s="61">
        <f t="shared" si="1"/>
        <v>0</v>
      </c>
      <c r="L1935" s="62">
        <f t="shared" si="2"/>
        <v>1</v>
      </c>
    </row>
    <row r="1936">
      <c r="A1936" s="58">
        <v>45992.0</v>
      </c>
      <c r="B1936" s="24" t="s">
        <v>6794</v>
      </c>
      <c r="C1936" s="24" t="s">
        <v>6799</v>
      </c>
      <c r="D1936" s="59">
        <v>1.0</v>
      </c>
      <c r="E1936" s="59">
        <v>1.0</v>
      </c>
      <c r="F1936" s="59">
        <v>0.0</v>
      </c>
      <c r="G1936" s="60">
        <v>1.0</v>
      </c>
      <c r="H1936" s="60">
        <v>0.0</v>
      </c>
      <c r="I1936" s="60">
        <v>20.0234</v>
      </c>
      <c r="J1936" s="59">
        <v>1.0</v>
      </c>
      <c r="K1936" s="61">
        <f t="shared" si="1"/>
        <v>0</v>
      </c>
      <c r="L1936" s="62">
        <f t="shared" si="2"/>
        <v>1</v>
      </c>
    </row>
    <row r="1937">
      <c r="A1937" s="58">
        <v>45992.0</v>
      </c>
      <c r="B1937" s="24" t="s">
        <v>6789</v>
      </c>
      <c r="C1937" s="24" t="s">
        <v>6820</v>
      </c>
      <c r="D1937" s="59">
        <v>1.0</v>
      </c>
      <c r="E1937" s="59">
        <v>1.0</v>
      </c>
      <c r="F1937" s="59">
        <v>0.0</v>
      </c>
      <c r="G1937" s="60">
        <v>1.0</v>
      </c>
      <c r="H1937" s="60">
        <v>0.0</v>
      </c>
      <c r="I1937" s="60">
        <v>200.570325</v>
      </c>
      <c r="J1937" s="59">
        <v>2.0</v>
      </c>
      <c r="K1937" s="61">
        <f t="shared" si="1"/>
        <v>0</v>
      </c>
      <c r="L1937" s="62">
        <f t="shared" si="2"/>
        <v>2</v>
      </c>
    </row>
    <row r="1938">
      <c r="A1938" s="58">
        <v>45992.0</v>
      </c>
      <c r="B1938" s="24" t="s">
        <v>6789</v>
      </c>
      <c r="C1938" s="24" t="s">
        <v>6838</v>
      </c>
      <c r="D1938" s="59">
        <v>1.0</v>
      </c>
      <c r="E1938" s="59">
        <v>1.0</v>
      </c>
      <c r="F1938" s="59">
        <v>1.0</v>
      </c>
      <c r="G1938" s="60">
        <v>1.0</v>
      </c>
      <c r="H1938" s="60">
        <v>0.0</v>
      </c>
      <c r="I1938" s="60">
        <v>505.719244</v>
      </c>
      <c r="J1938" s="59">
        <v>3.0</v>
      </c>
      <c r="K1938" s="61">
        <f t="shared" si="1"/>
        <v>1</v>
      </c>
      <c r="L1938" s="62">
        <f t="shared" si="2"/>
        <v>3</v>
      </c>
    </row>
    <row r="1939">
      <c r="A1939" s="58">
        <v>45992.0</v>
      </c>
      <c r="B1939" s="24" t="s">
        <v>155</v>
      </c>
      <c r="C1939" s="24" t="s">
        <v>6838</v>
      </c>
      <c r="D1939" s="59">
        <v>1.0</v>
      </c>
      <c r="E1939" s="59">
        <v>1.0</v>
      </c>
      <c r="F1939" s="59">
        <v>1.0</v>
      </c>
      <c r="G1939" s="60">
        <v>1.0</v>
      </c>
      <c r="H1939" s="60">
        <v>0.0</v>
      </c>
      <c r="I1939" s="60">
        <v>138.344676</v>
      </c>
      <c r="J1939" s="59">
        <v>2.0</v>
      </c>
      <c r="K1939" s="61">
        <f t="shared" si="1"/>
        <v>1</v>
      </c>
      <c r="L1939" s="62">
        <f t="shared" si="2"/>
        <v>2</v>
      </c>
    </row>
    <row r="1940">
      <c r="A1940" s="58">
        <v>45992.0</v>
      </c>
      <c r="B1940" s="24" t="s">
        <v>3216</v>
      </c>
      <c r="C1940" s="24" t="s">
        <v>6894</v>
      </c>
      <c r="D1940" s="59">
        <v>1.0</v>
      </c>
      <c r="E1940" s="59">
        <v>1.0</v>
      </c>
      <c r="F1940" s="59">
        <v>1.0</v>
      </c>
      <c r="G1940" s="60">
        <v>1.0</v>
      </c>
      <c r="H1940" s="60">
        <v>1.0</v>
      </c>
      <c r="I1940" s="60">
        <v>0.0</v>
      </c>
      <c r="J1940" s="59">
        <v>1.0</v>
      </c>
      <c r="K1940" s="61">
        <f t="shared" si="1"/>
        <v>1</v>
      </c>
      <c r="L1940" s="62">
        <f t="shared" si="2"/>
        <v>1</v>
      </c>
    </row>
    <row r="1941">
      <c r="A1941" s="58">
        <v>45992.0</v>
      </c>
      <c r="B1941" s="24" t="s">
        <v>6791</v>
      </c>
      <c r="C1941" s="24" t="s">
        <v>6894</v>
      </c>
      <c r="D1941" s="59">
        <v>1.0</v>
      </c>
      <c r="E1941" s="59">
        <v>1.0</v>
      </c>
      <c r="F1941" s="59">
        <v>0.0</v>
      </c>
      <c r="G1941" s="60">
        <v>0.0</v>
      </c>
      <c r="H1941" s="60">
        <v>1.0</v>
      </c>
      <c r="I1941" s="60">
        <v>0.0</v>
      </c>
      <c r="J1941" s="59">
        <v>1.0</v>
      </c>
      <c r="K1941" s="61">
        <f t="shared" si="1"/>
        <v>0</v>
      </c>
      <c r="L1941" s="62">
        <f t="shared" si="2"/>
        <v>1</v>
      </c>
    </row>
    <row r="1942">
      <c r="A1942" s="58">
        <v>45992.0</v>
      </c>
      <c r="B1942" s="24" t="s">
        <v>6789</v>
      </c>
      <c r="C1942" s="24" t="s">
        <v>7032</v>
      </c>
      <c r="D1942" s="59">
        <v>1.0</v>
      </c>
      <c r="E1942" s="59">
        <v>1.0</v>
      </c>
      <c r="F1942" s="59">
        <v>1.0</v>
      </c>
      <c r="G1942" s="60">
        <v>1.0</v>
      </c>
      <c r="H1942" s="60">
        <v>1.0</v>
      </c>
      <c r="I1942" s="60">
        <v>0.0</v>
      </c>
      <c r="J1942" s="59">
        <v>1.0</v>
      </c>
      <c r="K1942" s="61">
        <f t="shared" si="1"/>
        <v>1</v>
      </c>
      <c r="L1942" s="62">
        <f t="shared" si="2"/>
        <v>1</v>
      </c>
    </row>
    <row r="1943">
      <c r="A1943" s="58">
        <v>45992.0</v>
      </c>
      <c r="B1943" s="24" t="s">
        <v>155</v>
      </c>
      <c r="C1943" s="24" t="s">
        <v>6896</v>
      </c>
      <c r="D1943" s="59">
        <v>1.0</v>
      </c>
      <c r="E1943" s="59">
        <v>1.0</v>
      </c>
      <c r="F1943" s="59">
        <v>0.0</v>
      </c>
      <c r="G1943" s="60">
        <v>0.0</v>
      </c>
      <c r="H1943" s="60">
        <v>1.0</v>
      </c>
      <c r="I1943" s="60">
        <v>0.0</v>
      </c>
      <c r="J1943" s="59">
        <v>1.0</v>
      </c>
      <c r="K1943" s="61">
        <f t="shared" si="1"/>
        <v>0</v>
      </c>
      <c r="L1943" s="62">
        <f t="shared" si="2"/>
        <v>1</v>
      </c>
    </row>
    <row r="1944">
      <c r="A1944" s="58">
        <v>45992.0</v>
      </c>
      <c r="B1944" s="24" t="s">
        <v>6794</v>
      </c>
      <c r="C1944" s="24" t="s">
        <v>7223</v>
      </c>
      <c r="D1944" s="59">
        <v>1.0</v>
      </c>
      <c r="E1944" s="59">
        <v>1.0</v>
      </c>
      <c r="F1944" s="59">
        <v>1.0</v>
      </c>
      <c r="G1944" s="60">
        <v>1.0</v>
      </c>
      <c r="H1944" s="60">
        <v>0.0</v>
      </c>
      <c r="I1944" s="60">
        <v>43.689127</v>
      </c>
      <c r="J1944" s="59">
        <v>1.0</v>
      </c>
      <c r="K1944" s="61">
        <f t="shared" si="1"/>
        <v>1</v>
      </c>
      <c r="L1944" s="62">
        <f t="shared" si="2"/>
        <v>1</v>
      </c>
    </row>
    <row r="1945">
      <c r="A1945" s="58">
        <v>45992.0</v>
      </c>
      <c r="B1945" s="24" t="s">
        <v>6787</v>
      </c>
      <c r="C1945" s="24" t="s">
        <v>7203</v>
      </c>
      <c r="D1945" s="59">
        <v>1.0</v>
      </c>
      <c r="E1945" s="59">
        <v>1.0</v>
      </c>
      <c r="F1945" s="59">
        <v>1.0</v>
      </c>
      <c r="G1945" s="60">
        <v>1.0</v>
      </c>
      <c r="H1945" s="60">
        <v>1.0</v>
      </c>
      <c r="I1945" s="60">
        <v>1.698415</v>
      </c>
      <c r="J1945" s="59">
        <v>1.0</v>
      </c>
      <c r="K1945" s="61">
        <f t="shared" si="1"/>
        <v>1</v>
      </c>
      <c r="L1945" s="62">
        <f t="shared" si="2"/>
        <v>1</v>
      </c>
    </row>
    <row r="1946">
      <c r="A1946" s="58">
        <v>45992.0</v>
      </c>
      <c r="B1946" s="24" t="s">
        <v>155</v>
      </c>
      <c r="C1946" s="24" t="s">
        <v>7203</v>
      </c>
      <c r="D1946" s="59">
        <v>1.0</v>
      </c>
      <c r="E1946" s="59">
        <v>1.0</v>
      </c>
      <c r="F1946" s="59">
        <v>0.0</v>
      </c>
      <c r="G1946" s="60">
        <v>1.0</v>
      </c>
      <c r="H1946" s="60">
        <v>0.0</v>
      </c>
      <c r="I1946" s="60">
        <v>27.445205</v>
      </c>
      <c r="J1946" s="59">
        <v>1.0</v>
      </c>
      <c r="K1946" s="61">
        <f t="shared" si="1"/>
        <v>0</v>
      </c>
      <c r="L1946" s="62">
        <f t="shared" si="2"/>
        <v>1</v>
      </c>
    </row>
    <row r="1947">
      <c r="A1947" s="58">
        <v>45992.0</v>
      </c>
      <c r="B1947" s="24" t="s">
        <v>6789</v>
      </c>
      <c r="C1947" s="24" t="s">
        <v>6897</v>
      </c>
      <c r="D1947" s="59">
        <v>1.0</v>
      </c>
      <c r="E1947" s="59">
        <v>1.0</v>
      </c>
      <c r="F1947" s="59">
        <v>0.0</v>
      </c>
      <c r="G1947" s="60">
        <v>1.0</v>
      </c>
      <c r="H1947" s="60">
        <v>0.0</v>
      </c>
      <c r="I1947" s="60">
        <v>32.029416</v>
      </c>
      <c r="J1947" s="59">
        <v>2.0</v>
      </c>
      <c r="K1947" s="61">
        <f t="shared" si="1"/>
        <v>0</v>
      </c>
      <c r="L1947" s="62">
        <f t="shared" si="2"/>
        <v>2</v>
      </c>
    </row>
    <row r="1948">
      <c r="A1948" s="58">
        <v>45992.0</v>
      </c>
      <c r="B1948" s="24" t="s">
        <v>155</v>
      </c>
      <c r="C1948" s="24" t="s">
        <v>6841</v>
      </c>
      <c r="D1948" s="59">
        <v>1.0</v>
      </c>
      <c r="E1948" s="59">
        <v>1.0</v>
      </c>
      <c r="F1948" s="59">
        <v>1.0</v>
      </c>
      <c r="G1948" s="60">
        <v>1.0</v>
      </c>
      <c r="H1948" s="60">
        <v>1.0</v>
      </c>
      <c r="I1948" s="60">
        <v>0.0</v>
      </c>
      <c r="J1948" s="59">
        <v>1.0</v>
      </c>
      <c r="K1948" s="61">
        <f t="shared" si="1"/>
        <v>1</v>
      </c>
      <c r="L1948" s="62">
        <f t="shared" si="2"/>
        <v>1</v>
      </c>
    </row>
    <row r="1949">
      <c r="A1949" s="58">
        <v>45992.0</v>
      </c>
      <c r="B1949" s="24" t="s">
        <v>155</v>
      </c>
      <c r="C1949" s="24" t="s">
        <v>6898</v>
      </c>
      <c r="D1949" s="59">
        <v>1.0</v>
      </c>
      <c r="E1949" s="59">
        <v>1.0</v>
      </c>
      <c r="F1949" s="59">
        <v>0.0</v>
      </c>
      <c r="G1949" s="60">
        <v>1.0</v>
      </c>
      <c r="H1949" s="60">
        <v>1.0</v>
      </c>
      <c r="I1949" s="60">
        <v>0.0</v>
      </c>
      <c r="J1949" s="59">
        <v>1.0</v>
      </c>
      <c r="K1949" s="61">
        <f t="shared" si="1"/>
        <v>0</v>
      </c>
      <c r="L1949" s="62">
        <f t="shared" si="2"/>
        <v>1</v>
      </c>
    </row>
    <row r="1950">
      <c r="A1950" s="58">
        <v>45992.0</v>
      </c>
      <c r="B1950" s="24" t="s">
        <v>6787</v>
      </c>
      <c r="C1950" s="24" t="s">
        <v>7224</v>
      </c>
      <c r="D1950" s="59">
        <v>1.0</v>
      </c>
      <c r="E1950" s="59">
        <v>1.0</v>
      </c>
      <c r="F1950" s="59">
        <v>1.0</v>
      </c>
      <c r="G1950" s="60">
        <v>1.0</v>
      </c>
      <c r="H1950" s="60">
        <v>1.0</v>
      </c>
      <c r="I1950" s="60">
        <v>0.0</v>
      </c>
      <c r="J1950" s="59">
        <v>1.0</v>
      </c>
      <c r="K1950" s="61">
        <f t="shared" si="1"/>
        <v>1</v>
      </c>
      <c r="L1950" s="62">
        <f t="shared" si="2"/>
        <v>1</v>
      </c>
    </row>
    <row r="1951">
      <c r="A1951" s="58">
        <v>45992.0</v>
      </c>
      <c r="B1951" s="24" t="s">
        <v>6789</v>
      </c>
      <c r="C1951" s="24" t="s">
        <v>6842</v>
      </c>
      <c r="D1951" s="59">
        <v>1.0</v>
      </c>
      <c r="E1951" s="59">
        <v>1.0</v>
      </c>
      <c r="F1951" s="59">
        <v>1.0</v>
      </c>
      <c r="G1951" s="60">
        <v>1.0</v>
      </c>
      <c r="H1951" s="60">
        <v>0.0</v>
      </c>
      <c r="I1951" s="60">
        <v>78.899916</v>
      </c>
      <c r="J1951" s="59">
        <v>1.0</v>
      </c>
      <c r="K1951" s="61">
        <f t="shared" si="1"/>
        <v>1</v>
      </c>
      <c r="L1951" s="62">
        <f t="shared" si="2"/>
        <v>1</v>
      </c>
    </row>
    <row r="1952">
      <c r="A1952" s="58">
        <v>45992.0</v>
      </c>
      <c r="B1952" s="24" t="s">
        <v>155</v>
      </c>
      <c r="C1952" s="24" t="s">
        <v>6811</v>
      </c>
      <c r="D1952" s="59">
        <v>1.0</v>
      </c>
      <c r="E1952" s="59">
        <v>1.0</v>
      </c>
      <c r="F1952" s="59">
        <v>0.0</v>
      </c>
      <c r="G1952" s="60">
        <v>1.0</v>
      </c>
      <c r="H1952" s="60">
        <v>0.0</v>
      </c>
      <c r="I1952" s="60">
        <v>1472.356742</v>
      </c>
      <c r="J1952" s="59">
        <v>1.0</v>
      </c>
      <c r="K1952" s="61">
        <f t="shared" si="1"/>
        <v>0</v>
      </c>
      <c r="L1952" s="62">
        <f t="shared" si="2"/>
        <v>1</v>
      </c>
    </row>
    <row r="1953">
      <c r="A1953" s="58">
        <v>45992.0</v>
      </c>
      <c r="B1953" s="24" t="s">
        <v>6789</v>
      </c>
      <c r="C1953" s="24" t="s">
        <v>6807</v>
      </c>
      <c r="D1953" s="59">
        <v>1.0</v>
      </c>
      <c r="E1953" s="59">
        <v>1.0</v>
      </c>
      <c r="F1953" s="59">
        <v>0.0</v>
      </c>
      <c r="G1953" s="60">
        <v>1.0</v>
      </c>
      <c r="H1953" s="60">
        <v>0.0</v>
      </c>
      <c r="I1953" s="60">
        <v>100.513439</v>
      </c>
      <c r="J1953" s="59">
        <v>2.0</v>
      </c>
      <c r="K1953" s="61">
        <f t="shared" si="1"/>
        <v>0</v>
      </c>
      <c r="L1953" s="62">
        <f t="shared" si="2"/>
        <v>2</v>
      </c>
    </row>
    <row r="1954">
      <c r="A1954" s="58">
        <v>45992.0</v>
      </c>
      <c r="B1954" s="24" t="s">
        <v>155</v>
      </c>
      <c r="C1954" s="24" t="s">
        <v>6807</v>
      </c>
      <c r="D1954" s="59">
        <v>1.0</v>
      </c>
      <c r="E1954" s="59">
        <v>1.0</v>
      </c>
      <c r="F1954" s="59">
        <v>1.0</v>
      </c>
      <c r="G1954" s="60">
        <v>1.0</v>
      </c>
      <c r="H1954" s="60">
        <v>0.0</v>
      </c>
      <c r="I1954" s="60">
        <v>325.613721</v>
      </c>
      <c r="J1954" s="59">
        <v>2.0</v>
      </c>
      <c r="K1954" s="61">
        <f t="shared" si="1"/>
        <v>1</v>
      </c>
      <c r="L1954" s="62">
        <f t="shared" si="2"/>
        <v>2</v>
      </c>
    </row>
    <row r="1955">
      <c r="A1955" s="58">
        <v>45992.0</v>
      </c>
      <c r="B1955" s="24" t="s">
        <v>6789</v>
      </c>
      <c r="C1955" s="24" t="s">
        <v>7033</v>
      </c>
      <c r="D1955" s="59">
        <v>1.0</v>
      </c>
      <c r="E1955" s="59">
        <v>1.0</v>
      </c>
      <c r="F1955" s="59">
        <v>1.0</v>
      </c>
      <c r="G1955" s="60">
        <v>1.0</v>
      </c>
      <c r="H1955" s="60">
        <v>1.0</v>
      </c>
      <c r="I1955" s="60">
        <v>2.682961</v>
      </c>
      <c r="J1955" s="59">
        <v>1.0</v>
      </c>
      <c r="K1955" s="61">
        <f t="shared" si="1"/>
        <v>1</v>
      </c>
      <c r="L1955" s="62">
        <f t="shared" si="2"/>
        <v>1</v>
      </c>
    </row>
    <row r="1956">
      <c r="A1956" s="58">
        <v>45992.0</v>
      </c>
      <c r="B1956" s="24" t="s">
        <v>6787</v>
      </c>
      <c r="C1956" s="24" t="s">
        <v>7009</v>
      </c>
      <c r="D1956" s="59">
        <v>1.0</v>
      </c>
      <c r="E1956" s="59">
        <v>1.0</v>
      </c>
      <c r="F1956" s="59">
        <v>1.0</v>
      </c>
      <c r="G1956" s="60">
        <v>1.0</v>
      </c>
      <c r="H1956" s="60">
        <v>0.0</v>
      </c>
      <c r="I1956" s="60">
        <v>28.065159</v>
      </c>
      <c r="J1956" s="59">
        <v>1.0</v>
      </c>
      <c r="K1956" s="61">
        <f t="shared" si="1"/>
        <v>1</v>
      </c>
      <c r="L1956" s="62">
        <f t="shared" si="2"/>
        <v>1</v>
      </c>
    </row>
    <row r="1957">
      <c r="A1957" s="58">
        <v>45992.0</v>
      </c>
      <c r="B1957" s="24" t="s">
        <v>6789</v>
      </c>
      <c r="C1957" s="24" t="s">
        <v>7009</v>
      </c>
      <c r="D1957" s="59">
        <v>1.0</v>
      </c>
      <c r="E1957" s="59">
        <v>1.0</v>
      </c>
      <c r="F1957" s="59">
        <v>0.0</v>
      </c>
      <c r="G1957" s="60">
        <v>1.0</v>
      </c>
      <c r="H1957" s="60">
        <v>0.0</v>
      </c>
      <c r="I1957" s="60">
        <v>24.478962</v>
      </c>
      <c r="J1957" s="59">
        <v>1.0</v>
      </c>
      <c r="K1957" s="61">
        <f t="shared" si="1"/>
        <v>0</v>
      </c>
      <c r="L1957" s="62">
        <f t="shared" si="2"/>
        <v>1</v>
      </c>
    </row>
    <row r="1958">
      <c r="A1958" s="58">
        <v>45992.0</v>
      </c>
      <c r="B1958" s="24" t="s">
        <v>155</v>
      </c>
      <c r="C1958" s="24" t="s">
        <v>6904</v>
      </c>
      <c r="D1958" s="59">
        <v>1.0</v>
      </c>
      <c r="E1958" s="59">
        <v>1.0</v>
      </c>
      <c r="F1958" s="59">
        <v>0.0</v>
      </c>
      <c r="G1958" s="60">
        <v>1.0</v>
      </c>
      <c r="H1958" s="60">
        <v>0.0</v>
      </c>
      <c r="I1958" s="60">
        <v>1088.704826</v>
      </c>
      <c r="J1958" s="59">
        <v>2.0</v>
      </c>
      <c r="K1958" s="61">
        <f t="shared" si="1"/>
        <v>0</v>
      </c>
      <c r="L1958" s="62">
        <f t="shared" si="2"/>
        <v>2</v>
      </c>
    </row>
    <row r="1959">
      <c r="A1959" s="58">
        <v>45992.0</v>
      </c>
      <c r="B1959" s="24" t="s">
        <v>155</v>
      </c>
      <c r="C1959" s="24" t="s">
        <v>7034</v>
      </c>
      <c r="D1959" s="59">
        <v>1.0</v>
      </c>
      <c r="E1959" s="59">
        <v>1.0</v>
      </c>
      <c r="F1959" s="59">
        <v>1.0</v>
      </c>
      <c r="G1959" s="60">
        <v>1.0</v>
      </c>
      <c r="H1959" s="60">
        <v>1.0</v>
      </c>
      <c r="I1959" s="60">
        <v>0.0</v>
      </c>
      <c r="J1959" s="59">
        <v>1.0</v>
      </c>
      <c r="K1959" s="61">
        <f t="shared" si="1"/>
        <v>1</v>
      </c>
      <c r="L1959" s="62">
        <f t="shared" si="2"/>
        <v>1</v>
      </c>
    </row>
    <row r="1960">
      <c r="A1960" s="58">
        <v>45992.0</v>
      </c>
      <c r="B1960" s="24" t="s">
        <v>6787</v>
      </c>
      <c r="C1960" s="24" t="s">
        <v>7225</v>
      </c>
      <c r="D1960" s="59">
        <v>1.0</v>
      </c>
      <c r="E1960" s="59">
        <v>1.0</v>
      </c>
      <c r="F1960" s="59">
        <v>1.0</v>
      </c>
      <c r="G1960" s="60">
        <v>1.0</v>
      </c>
      <c r="H1960" s="60">
        <v>1.0</v>
      </c>
      <c r="I1960" s="60">
        <v>0.0</v>
      </c>
      <c r="J1960" s="59">
        <v>1.0</v>
      </c>
      <c r="K1960" s="61">
        <f t="shared" si="1"/>
        <v>1</v>
      </c>
      <c r="L1960" s="62">
        <f t="shared" si="2"/>
        <v>1</v>
      </c>
    </row>
    <row r="1961">
      <c r="A1961" s="58">
        <v>45992.0</v>
      </c>
      <c r="B1961" s="24" t="s">
        <v>6787</v>
      </c>
      <c r="C1961" s="24" t="s">
        <v>7120</v>
      </c>
      <c r="D1961" s="59">
        <v>1.0</v>
      </c>
      <c r="E1961" s="59">
        <v>1.0</v>
      </c>
      <c r="F1961" s="59">
        <v>1.0</v>
      </c>
      <c r="G1961" s="60">
        <v>1.0</v>
      </c>
      <c r="H1961" s="60">
        <v>1.0</v>
      </c>
      <c r="I1961" s="60">
        <v>0.0</v>
      </c>
      <c r="J1961" s="59">
        <v>1.0</v>
      </c>
      <c r="K1961" s="61">
        <f t="shared" si="1"/>
        <v>1</v>
      </c>
      <c r="L1961" s="62">
        <f t="shared" si="2"/>
        <v>1</v>
      </c>
    </row>
    <row r="1962">
      <c r="A1962" s="58">
        <v>45992.0</v>
      </c>
      <c r="B1962" s="24" t="s">
        <v>6789</v>
      </c>
      <c r="C1962" s="24" t="s">
        <v>7120</v>
      </c>
      <c r="D1962" s="59">
        <v>1.0</v>
      </c>
      <c r="E1962" s="59">
        <v>1.0</v>
      </c>
      <c r="F1962" s="59">
        <v>1.0</v>
      </c>
      <c r="G1962" s="60">
        <v>1.0</v>
      </c>
      <c r="H1962" s="60">
        <v>1.0</v>
      </c>
      <c r="I1962" s="60">
        <v>0.0</v>
      </c>
      <c r="J1962" s="59">
        <v>1.0</v>
      </c>
      <c r="K1962" s="61">
        <f t="shared" si="1"/>
        <v>1</v>
      </c>
      <c r="L1962" s="62">
        <f t="shared" si="2"/>
        <v>1</v>
      </c>
    </row>
    <row r="1963">
      <c r="A1963" s="58">
        <v>45992.0</v>
      </c>
      <c r="B1963" s="24" t="s">
        <v>6787</v>
      </c>
      <c r="C1963" s="24" t="s">
        <v>7157</v>
      </c>
      <c r="D1963" s="59">
        <v>1.0</v>
      </c>
      <c r="E1963" s="59">
        <v>1.0</v>
      </c>
      <c r="F1963" s="59">
        <v>1.0</v>
      </c>
      <c r="G1963" s="60">
        <v>1.0</v>
      </c>
      <c r="H1963" s="60">
        <v>1.0</v>
      </c>
      <c r="I1963" s="60">
        <v>0.0</v>
      </c>
      <c r="J1963" s="59">
        <v>1.0</v>
      </c>
      <c r="K1963" s="61">
        <f t="shared" si="1"/>
        <v>1</v>
      </c>
      <c r="L1963" s="62">
        <f t="shared" si="2"/>
        <v>1</v>
      </c>
    </row>
    <row r="1964">
      <c r="A1964" s="58">
        <v>45992.0</v>
      </c>
      <c r="B1964" s="24" t="s">
        <v>6787</v>
      </c>
      <c r="C1964" s="24" t="s">
        <v>7123</v>
      </c>
      <c r="D1964" s="59">
        <v>1.0</v>
      </c>
      <c r="E1964" s="59">
        <v>1.0</v>
      </c>
      <c r="F1964" s="59">
        <v>1.0</v>
      </c>
      <c r="G1964" s="60">
        <v>1.0</v>
      </c>
      <c r="H1964" s="60">
        <v>1.0</v>
      </c>
      <c r="I1964" s="60">
        <v>0.0</v>
      </c>
      <c r="J1964" s="59">
        <v>1.0</v>
      </c>
      <c r="K1964" s="61">
        <f t="shared" si="1"/>
        <v>1</v>
      </c>
      <c r="L1964" s="62">
        <f t="shared" si="2"/>
        <v>1</v>
      </c>
    </row>
    <row r="1965">
      <c r="A1965" s="58">
        <v>45992.0</v>
      </c>
      <c r="B1965" s="24" t="s">
        <v>6791</v>
      </c>
      <c r="C1965" s="24" t="s">
        <v>7123</v>
      </c>
      <c r="D1965" s="59">
        <v>1.0</v>
      </c>
      <c r="E1965" s="59">
        <v>1.0</v>
      </c>
      <c r="F1965" s="59">
        <v>1.0</v>
      </c>
      <c r="G1965" s="60">
        <v>1.0</v>
      </c>
      <c r="H1965" s="60">
        <v>1.0</v>
      </c>
      <c r="I1965" s="60">
        <v>3.830176</v>
      </c>
      <c r="J1965" s="59">
        <v>1.0</v>
      </c>
      <c r="K1965" s="61">
        <f t="shared" si="1"/>
        <v>1</v>
      </c>
      <c r="L1965" s="62">
        <f t="shared" si="2"/>
        <v>1</v>
      </c>
    </row>
    <row r="1966">
      <c r="A1966" s="58">
        <v>45992.0</v>
      </c>
      <c r="B1966" s="24" t="s">
        <v>155</v>
      </c>
      <c r="C1966" s="24" t="s">
        <v>7123</v>
      </c>
      <c r="D1966" s="59">
        <v>1.0</v>
      </c>
      <c r="E1966" s="59">
        <v>2.0</v>
      </c>
      <c r="F1966" s="59">
        <v>0.0</v>
      </c>
      <c r="G1966" s="60">
        <v>2.0</v>
      </c>
      <c r="H1966" s="60">
        <v>0.5</v>
      </c>
      <c r="I1966" s="60">
        <v>186.552874</v>
      </c>
      <c r="J1966" s="59">
        <v>5.0</v>
      </c>
      <c r="K1966" s="61">
        <f t="shared" si="1"/>
        <v>0</v>
      </c>
      <c r="L1966" s="62">
        <f t="shared" si="2"/>
        <v>2.5</v>
      </c>
    </row>
    <row r="1967">
      <c r="A1967" s="58">
        <v>45992.0</v>
      </c>
      <c r="B1967" s="24" t="s">
        <v>6787</v>
      </c>
      <c r="C1967" s="24" t="s">
        <v>7119</v>
      </c>
      <c r="D1967" s="59">
        <v>1.0</v>
      </c>
      <c r="E1967" s="59">
        <v>1.0</v>
      </c>
      <c r="F1967" s="59">
        <v>1.0</v>
      </c>
      <c r="G1967" s="60">
        <v>1.0</v>
      </c>
      <c r="H1967" s="60">
        <v>0.0</v>
      </c>
      <c r="I1967" s="60">
        <v>33.450876</v>
      </c>
      <c r="J1967" s="59">
        <v>1.0</v>
      </c>
      <c r="K1967" s="61">
        <f t="shared" si="1"/>
        <v>1</v>
      </c>
      <c r="L1967" s="62">
        <f t="shared" si="2"/>
        <v>1</v>
      </c>
    </row>
    <row r="1968">
      <c r="A1968" s="58">
        <v>45992.0</v>
      </c>
      <c r="B1968" s="24" t="s">
        <v>6787</v>
      </c>
      <c r="C1968" s="24" t="s">
        <v>7226</v>
      </c>
      <c r="D1968" s="59">
        <v>1.0</v>
      </c>
      <c r="E1968" s="59">
        <v>1.0</v>
      </c>
      <c r="F1968" s="59">
        <v>1.0</v>
      </c>
      <c r="G1968" s="60">
        <v>1.0</v>
      </c>
      <c r="H1968" s="60">
        <v>1.0</v>
      </c>
      <c r="I1968" s="60">
        <v>0.0</v>
      </c>
      <c r="J1968" s="59">
        <v>1.0</v>
      </c>
      <c r="K1968" s="61">
        <f t="shared" si="1"/>
        <v>1</v>
      </c>
      <c r="L1968" s="62">
        <f t="shared" si="2"/>
        <v>1</v>
      </c>
    </row>
    <row r="1969">
      <c r="A1969" s="58">
        <v>45992.0</v>
      </c>
      <c r="B1969" s="24" t="s">
        <v>6791</v>
      </c>
      <c r="C1969" s="24" t="s">
        <v>7226</v>
      </c>
      <c r="D1969" s="59">
        <v>1.0</v>
      </c>
      <c r="E1969" s="59">
        <v>1.0</v>
      </c>
      <c r="F1969" s="59">
        <v>1.0</v>
      </c>
      <c r="G1969" s="60">
        <v>1.0</v>
      </c>
      <c r="H1969" s="60">
        <v>0.0</v>
      </c>
      <c r="I1969" s="60">
        <v>117.176158</v>
      </c>
      <c r="J1969" s="59">
        <v>1.0</v>
      </c>
      <c r="K1969" s="61">
        <f t="shared" si="1"/>
        <v>1</v>
      </c>
      <c r="L1969" s="62">
        <f t="shared" si="2"/>
        <v>1</v>
      </c>
    </row>
    <row r="1970">
      <c r="A1970" s="58">
        <v>45992.0</v>
      </c>
      <c r="B1970" s="24" t="s">
        <v>6855</v>
      </c>
      <c r="C1970" s="24" t="s">
        <v>7121</v>
      </c>
      <c r="D1970" s="59">
        <v>1.0</v>
      </c>
      <c r="E1970" s="59">
        <v>1.0</v>
      </c>
      <c r="F1970" s="59">
        <v>1.0</v>
      </c>
      <c r="G1970" s="60">
        <v>1.0</v>
      </c>
      <c r="H1970" s="60">
        <v>1.0</v>
      </c>
      <c r="I1970" s="60">
        <v>0.0</v>
      </c>
      <c r="J1970" s="59">
        <v>1.0</v>
      </c>
      <c r="K1970" s="61">
        <f t="shared" si="1"/>
        <v>1</v>
      </c>
      <c r="L1970" s="62">
        <f t="shared" si="2"/>
        <v>1</v>
      </c>
    </row>
    <row r="1971">
      <c r="A1971" s="58">
        <v>45992.0</v>
      </c>
      <c r="B1971" s="24" t="s">
        <v>6787</v>
      </c>
      <c r="C1971" s="24" t="s">
        <v>7227</v>
      </c>
      <c r="D1971" s="59">
        <v>1.0</v>
      </c>
      <c r="E1971" s="59">
        <v>1.0</v>
      </c>
      <c r="F1971" s="59">
        <v>1.0</v>
      </c>
      <c r="G1971" s="60">
        <v>1.0</v>
      </c>
      <c r="H1971" s="60">
        <v>0.0</v>
      </c>
      <c r="I1971" s="60">
        <v>13.315823</v>
      </c>
      <c r="J1971" s="59">
        <v>1.0</v>
      </c>
      <c r="K1971" s="61">
        <f t="shared" si="1"/>
        <v>1</v>
      </c>
      <c r="L1971" s="62">
        <f t="shared" si="2"/>
        <v>1</v>
      </c>
    </row>
    <row r="1972">
      <c r="A1972" s="58">
        <v>45992.0</v>
      </c>
      <c r="B1972" s="24" t="s">
        <v>6787</v>
      </c>
      <c r="C1972" s="24" t="s">
        <v>7228</v>
      </c>
      <c r="D1972" s="59">
        <v>1.0</v>
      </c>
      <c r="E1972" s="59">
        <v>1.0</v>
      </c>
      <c r="F1972" s="59">
        <v>1.0</v>
      </c>
      <c r="G1972" s="60">
        <v>1.0</v>
      </c>
      <c r="H1972" s="60">
        <v>0.0</v>
      </c>
      <c r="I1972" s="60">
        <v>11.369108</v>
      </c>
      <c r="J1972" s="59">
        <v>1.0</v>
      </c>
      <c r="K1972" s="61">
        <f t="shared" si="1"/>
        <v>1</v>
      </c>
      <c r="L1972" s="62">
        <f t="shared" si="2"/>
        <v>1</v>
      </c>
    </row>
    <row r="1973">
      <c r="A1973" s="58">
        <v>45992.0</v>
      </c>
      <c r="B1973" s="24" t="s">
        <v>155</v>
      </c>
      <c r="C1973" s="24" t="s">
        <v>7087</v>
      </c>
      <c r="D1973" s="59">
        <v>1.0</v>
      </c>
      <c r="E1973" s="59">
        <v>2.0</v>
      </c>
      <c r="F1973" s="59">
        <v>0.0</v>
      </c>
      <c r="G1973" s="60">
        <v>2.0</v>
      </c>
      <c r="H1973" s="60">
        <v>0.0</v>
      </c>
      <c r="I1973" s="60">
        <v>147.594814</v>
      </c>
      <c r="J1973" s="59">
        <v>5.0</v>
      </c>
      <c r="K1973" s="61">
        <f t="shared" si="1"/>
        <v>0</v>
      </c>
      <c r="L1973" s="62">
        <f t="shared" si="2"/>
        <v>2.5</v>
      </c>
    </row>
    <row r="1974">
      <c r="A1974" s="58">
        <v>45992.0</v>
      </c>
      <c r="B1974" s="24" t="s">
        <v>6789</v>
      </c>
      <c r="C1974" s="24" t="s">
        <v>7035</v>
      </c>
      <c r="D1974" s="59">
        <v>1.0</v>
      </c>
      <c r="E1974" s="59">
        <v>1.0</v>
      </c>
      <c r="F1974" s="59">
        <v>1.0</v>
      </c>
      <c r="G1974" s="60">
        <v>1.0</v>
      </c>
      <c r="H1974" s="60">
        <v>0.0</v>
      </c>
      <c r="I1974" s="60">
        <v>170.30242</v>
      </c>
      <c r="J1974" s="59">
        <v>2.0</v>
      </c>
      <c r="K1974" s="61">
        <f t="shared" si="1"/>
        <v>1</v>
      </c>
      <c r="L1974" s="62">
        <f t="shared" si="2"/>
        <v>2</v>
      </c>
    </row>
    <row r="1975">
      <c r="A1975" s="58">
        <v>45992.0</v>
      </c>
      <c r="B1975" s="24" t="s">
        <v>6789</v>
      </c>
      <c r="C1975" s="24" t="s">
        <v>7088</v>
      </c>
      <c r="D1975" s="59">
        <v>1.0</v>
      </c>
      <c r="E1975" s="59">
        <v>1.0</v>
      </c>
      <c r="F1975" s="59">
        <v>1.0</v>
      </c>
      <c r="G1975" s="60">
        <v>1.0</v>
      </c>
      <c r="H1975" s="60">
        <v>0.0</v>
      </c>
      <c r="I1975" s="60">
        <v>68.326342</v>
      </c>
      <c r="J1975" s="59">
        <v>1.0</v>
      </c>
      <c r="K1975" s="61">
        <f t="shared" si="1"/>
        <v>1</v>
      </c>
      <c r="L1975" s="62">
        <f t="shared" si="2"/>
        <v>1</v>
      </c>
    </row>
    <row r="1976">
      <c r="A1976" s="58">
        <v>45992.0</v>
      </c>
      <c r="B1976" s="24" t="s">
        <v>6789</v>
      </c>
      <c r="C1976" s="24" t="s">
        <v>7159</v>
      </c>
      <c r="D1976" s="59">
        <v>1.0</v>
      </c>
      <c r="E1976" s="59">
        <v>1.0</v>
      </c>
      <c r="F1976" s="59">
        <v>0.0</v>
      </c>
      <c r="G1976" s="60">
        <v>0.0</v>
      </c>
      <c r="H1976" s="60">
        <v>1.0</v>
      </c>
      <c r="I1976" s="60">
        <v>0.0</v>
      </c>
      <c r="J1976" s="59">
        <v>1.0</v>
      </c>
      <c r="K1976" s="61">
        <f t="shared" si="1"/>
        <v>0</v>
      </c>
      <c r="L1976" s="62">
        <f t="shared" si="2"/>
        <v>1</v>
      </c>
    </row>
    <row r="1977">
      <c r="A1977" s="58">
        <v>45992.0</v>
      </c>
      <c r="B1977" s="24" t="s">
        <v>6789</v>
      </c>
      <c r="C1977" s="24" t="s">
        <v>7160</v>
      </c>
      <c r="D1977" s="59">
        <v>1.0</v>
      </c>
      <c r="E1977" s="59">
        <v>1.0</v>
      </c>
      <c r="F1977" s="59">
        <v>1.0</v>
      </c>
      <c r="G1977" s="60">
        <v>1.0</v>
      </c>
      <c r="H1977" s="60">
        <v>0.0</v>
      </c>
      <c r="I1977" s="60">
        <v>62.289523</v>
      </c>
      <c r="J1977" s="59">
        <v>1.0</v>
      </c>
      <c r="K1977" s="61">
        <f t="shared" si="1"/>
        <v>1</v>
      </c>
      <c r="L1977" s="62">
        <f t="shared" si="2"/>
        <v>1</v>
      </c>
    </row>
    <row r="1978">
      <c r="A1978" s="58">
        <v>45992.0</v>
      </c>
      <c r="B1978" s="24" t="s">
        <v>6789</v>
      </c>
      <c r="C1978" s="24" t="s">
        <v>7022</v>
      </c>
      <c r="D1978" s="59">
        <v>1.0</v>
      </c>
      <c r="E1978" s="59">
        <v>8.0</v>
      </c>
      <c r="F1978" s="59">
        <v>0.0</v>
      </c>
      <c r="G1978" s="60">
        <v>8.0</v>
      </c>
      <c r="H1978" s="60">
        <v>0.875</v>
      </c>
      <c r="I1978" s="60">
        <v>23.2494815</v>
      </c>
      <c r="J1978" s="59">
        <v>9.0</v>
      </c>
      <c r="K1978" s="61">
        <f t="shared" si="1"/>
        <v>0</v>
      </c>
      <c r="L1978" s="62">
        <f t="shared" si="2"/>
        <v>1.125</v>
      </c>
    </row>
    <row r="1979">
      <c r="A1979" s="58">
        <v>45992.0</v>
      </c>
      <c r="B1979" s="24" t="s">
        <v>6789</v>
      </c>
      <c r="C1979" s="24" t="s">
        <v>7092</v>
      </c>
      <c r="D1979" s="59">
        <v>1.0</v>
      </c>
      <c r="E1979" s="59">
        <v>1.0</v>
      </c>
      <c r="F1979" s="59">
        <v>1.0</v>
      </c>
      <c r="G1979" s="60">
        <v>1.0</v>
      </c>
      <c r="H1979" s="60">
        <v>0.0</v>
      </c>
      <c r="I1979" s="60">
        <v>30.647363</v>
      </c>
      <c r="J1979" s="59">
        <v>1.0</v>
      </c>
      <c r="K1979" s="61">
        <f t="shared" si="1"/>
        <v>1</v>
      </c>
      <c r="L1979" s="62">
        <f t="shared" si="2"/>
        <v>1</v>
      </c>
    </row>
    <row r="1980">
      <c r="A1980" s="58">
        <v>45992.0</v>
      </c>
      <c r="B1980" s="24" t="s">
        <v>6789</v>
      </c>
      <c r="C1980" s="24" t="s">
        <v>7093</v>
      </c>
      <c r="D1980" s="59">
        <v>1.0</v>
      </c>
      <c r="E1980" s="59">
        <v>1.0</v>
      </c>
      <c r="F1980" s="59">
        <v>0.0</v>
      </c>
      <c r="G1980" s="60">
        <v>1.0</v>
      </c>
      <c r="H1980" s="60">
        <v>0.0</v>
      </c>
      <c r="I1980" s="60">
        <v>227.677471</v>
      </c>
      <c r="J1980" s="59">
        <v>17.0</v>
      </c>
      <c r="K1980" s="61">
        <f t="shared" si="1"/>
        <v>0</v>
      </c>
      <c r="L1980" s="62">
        <f t="shared" si="2"/>
        <v>17</v>
      </c>
    </row>
    <row r="1981">
      <c r="A1981" s="58">
        <v>45992.0</v>
      </c>
      <c r="B1981" s="24" t="s">
        <v>6789</v>
      </c>
      <c r="C1981" s="24" t="s">
        <v>7097</v>
      </c>
      <c r="D1981" s="59">
        <v>1.0</v>
      </c>
      <c r="E1981" s="59">
        <v>1.0</v>
      </c>
      <c r="F1981" s="59">
        <v>1.0</v>
      </c>
      <c r="G1981" s="60">
        <v>1.0</v>
      </c>
      <c r="H1981" s="60">
        <v>1.0</v>
      </c>
      <c r="I1981" s="60">
        <v>0.0</v>
      </c>
      <c r="J1981" s="59">
        <v>1.0</v>
      </c>
      <c r="K1981" s="61">
        <f t="shared" si="1"/>
        <v>1</v>
      </c>
      <c r="L1981" s="62">
        <f t="shared" si="2"/>
        <v>1</v>
      </c>
    </row>
    <row r="1982">
      <c r="A1982" s="58">
        <v>45992.0</v>
      </c>
      <c r="B1982" s="24" t="s">
        <v>6789</v>
      </c>
      <c r="C1982" s="24" t="s">
        <v>7098</v>
      </c>
      <c r="D1982" s="59">
        <v>1.0</v>
      </c>
      <c r="E1982" s="59">
        <v>1.0</v>
      </c>
      <c r="F1982" s="59">
        <v>1.0</v>
      </c>
      <c r="G1982" s="60">
        <v>1.0</v>
      </c>
      <c r="H1982" s="60">
        <v>1.0</v>
      </c>
      <c r="I1982" s="60">
        <v>0.0</v>
      </c>
      <c r="J1982" s="59">
        <v>1.0</v>
      </c>
      <c r="K1982" s="61">
        <f t="shared" si="1"/>
        <v>1</v>
      </c>
      <c r="L1982" s="62">
        <f t="shared" si="2"/>
        <v>1</v>
      </c>
    </row>
    <row r="1983">
      <c r="A1983" s="58">
        <v>45992.0</v>
      </c>
      <c r="B1983" s="24" t="s">
        <v>155</v>
      </c>
      <c r="C1983" s="24" t="s">
        <v>7013</v>
      </c>
      <c r="D1983" s="59">
        <v>1.0</v>
      </c>
      <c r="E1983" s="59">
        <v>3.0</v>
      </c>
      <c r="F1983" s="59">
        <v>1.0</v>
      </c>
      <c r="G1983" s="60">
        <v>3.0</v>
      </c>
      <c r="H1983" s="60">
        <v>1.0</v>
      </c>
      <c r="I1983" s="60">
        <v>0.0</v>
      </c>
      <c r="J1983" s="59">
        <v>3.0</v>
      </c>
      <c r="K1983" s="61">
        <f t="shared" si="1"/>
        <v>0.3333333333</v>
      </c>
      <c r="L1983" s="62">
        <f t="shared" si="2"/>
        <v>1</v>
      </c>
    </row>
    <row r="1984">
      <c r="A1984" s="58">
        <v>45992.0</v>
      </c>
      <c r="B1984" s="24" t="s">
        <v>6791</v>
      </c>
      <c r="C1984" s="24" t="s">
        <v>6960</v>
      </c>
      <c r="D1984" s="59">
        <v>1.0</v>
      </c>
      <c r="E1984" s="59">
        <v>1.0</v>
      </c>
      <c r="F1984" s="59">
        <v>0.0</v>
      </c>
      <c r="G1984" s="60">
        <v>1.0</v>
      </c>
      <c r="H1984" s="60">
        <v>1.0</v>
      </c>
      <c r="I1984" s="60">
        <v>0.956444</v>
      </c>
      <c r="J1984" s="59">
        <v>1.0</v>
      </c>
      <c r="K1984" s="61">
        <f t="shared" si="1"/>
        <v>0</v>
      </c>
      <c r="L1984" s="62">
        <f t="shared" si="2"/>
        <v>1</v>
      </c>
    </row>
    <row r="1985">
      <c r="A1985" s="58">
        <v>45992.0</v>
      </c>
      <c r="B1985" s="24" t="s">
        <v>155</v>
      </c>
      <c r="C1985" s="24" t="s">
        <v>6960</v>
      </c>
      <c r="D1985" s="59">
        <v>1.0</v>
      </c>
      <c r="E1985" s="59">
        <v>2.0</v>
      </c>
      <c r="F1985" s="59">
        <v>0.0</v>
      </c>
      <c r="G1985" s="60">
        <v>2.0</v>
      </c>
      <c r="H1985" s="60">
        <v>0.0</v>
      </c>
      <c r="I1985" s="60">
        <v>147.8555455</v>
      </c>
      <c r="J1985" s="59">
        <v>3.0</v>
      </c>
      <c r="K1985" s="61">
        <f t="shared" si="1"/>
        <v>0</v>
      </c>
      <c r="L1985" s="62">
        <f t="shared" si="2"/>
        <v>1.5</v>
      </c>
    </row>
    <row r="1986">
      <c r="A1986" s="58">
        <v>45992.0</v>
      </c>
      <c r="B1986" s="24" t="s">
        <v>6794</v>
      </c>
      <c r="C1986" s="24" t="s">
        <v>6809</v>
      </c>
      <c r="D1986" s="59">
        <v>1.0</v>
      </c>
      <c r="E1986" s="59">
        <v>1.0</v>
      </c>
      <c r="F1986" s="59">
        <v>0.0</v>
      </c>
      <c r="G1986" s="60">
        <v>1.0</v>
      </c>
      <c r="H1986" s="60">
        <v>0.0</v>
      </c>
      <c r="I1986" s="60">
        <v>418.681036</v>
      </c>
      <c r="J1986" s="59">
        <v>9.0</v>
      </c>
      <c r="K1986" s="61">
        <f t="shared" si="1"/>
        <v>0</v>
      </c>
      <c r="L1986" s="62">
        <f t="shared" si="2"/>
        <v>9</v>
      </c>
    </row>
    <row r="1987">
      <c r="A1987" s="58">
        <v>45992.0</v>
      </c>
      <c r="B1987" s="24" t="s">
        <v>6790</v>
      </c>
      <c r="C1987" s="24" t="s">
        <v>6809</v>
      </c>
      <c r="D1987" s="59">
        <v>1.0</v>
      </c>
      <c r="E1987" s="59">
        <v>1.0</v>
      </c>
      <c r="F1987" s="59">
        <v>1.0</v>
      </c>
      <c r="G1987" s="60">
        <v>1.0</v>
      </c>
      <c r="H1987" s="60">
        <v>0.0</v>
      </c>
      <c r="I1987" s="60">
        <v>10.640777</v>
      </c>
      <c r="J1987" s="59">
        <v>1.0</v>
      </c>
      <c r="K1987" s="61">
        <f t="shared" si="1"/>
        <v>1</v>
      </c>
      <c r="L1987" s="62">
        <f t="shared" si="2"/>
        <v>1</v>
      </c>
    </row>
    <row r="1988">
      <c r="A1988" s="58">
        <v>45992.0</v>
      </c>
      <c r="B1988" s="24" t="s">
        <v>6789</v>
      </c>
      <c r="C1988" s="24" t="s">
        <v>6908</v>
      </c>
      <c r="D1988" s="59">
        <v>1.0</v>
      </c>
      <c r="E1988" s="59">
        <v>2.0</v>
      </c>
      <c r="F1988" s="59">
        <v>0.0</v>
      </c>
      <c r="G1988" s="60">
        <v>0.0</v>
      </c>
      <c r="H1988" s="60">
        <v>1.0</v>
      </c>
      <c r="I1988" s="60">
        <v>0.0</v>
      </c>
      <c r="J1988" s="59">
        <v>2.0</v>
      </c>
      <c r="K1988" s="61">
        <f t="shared" si="1"/>
        <v>0</v>
      </c>
      <c r="L1988" s="62">
        <f t="shared" si="2"/>
        <v>1</v>
      </c>
    </row>
    <row r="1989">
      <c r="A1989" s="58">
        <v>45992.0</v>
      </c>
      <c r="B1989" s="24" t="s">
        <v>155</v>
      </c>
      <c r="C1989" s="24" t="s">
        <v>6908</v>
      </c>
      <c r="D1989" s="59">
        <v>1.0</v>
      </c>
      <c r="E1989" s="59">
        <v>1.0</v>
      </c>
      <c r="F1989" s="59">
        <v>0.0</v>
      </c>
      <c r="G1989" s="60">
        <v>1.0</v>
      </c>
      <c r="H1989" s="60">
        <v>1.0</v>
      </c>
      <c r="I1989" s="60">
        <v>3.657936</v>
      </c>
      <c r="J1989" s="59">
        <v>1.0</v>
      </c>
      <c r="K1989" s="61">
        <f t="shared" si="1"/>
        <v>0</v>
      </c>
      <c r="L1989" s="62">
        <f t="shared" si="2"/>
        <v>1</v>
      </c>
    </row>
    <row r="1990">
      <c r="A1990" s="58">
        <v>45992.0</v>
      </c>
      <c r="B1990" s="24" t="s">
        <v>6789</v>
      </c>
      <c r="C1990" s="24" t="s">
        <v>6909</v>
      </c>
      <c r="D1990" s="59">
        <v>1.0</v>
      </c>
      <c r="E1990" s="59">
        <v>1.0</v>
      </c>
      <c r="F1990" s="59">
        <v>0.0</v>
      </c>
      <c r="G1990" s="60">
        <v>1.0</v>
      </c>
      <c r="H1990" s="60">
        <v>0.0</v>
      </c>
      <c r="I1990" s="60">
        <v>692.298784</v>
      </c>
      <c r="J1990" s="59">
        <v>4.0</v>
      </c>
      <c r="K1990" s="61">
        <f t="shared" si="1"/>
        <v>0</v>
      </c>
      <c r="L1990" s="62">
        <f t="shared" si="2"/>
        <v>4</v>
      </c>
    </row>
    <row r="1991">
      <c r="A1991" s="58">
        <v>45992.0</v>
      </c>
      <c r="B1991" s="24" t="s">
        <v>6791</v>
      </c>
      <c r="C1991" s="24" t="s">
        <v>6909</v>
      </c>
      <c r="D1991" s="59">
        <v>1.0</v>
      </c>
      <c r="E1991" s="59">
        <v>1.0</v>
      </c>
      <c r="F1991" s="59">
        <v>0.0</v>
      </c>
      <c r="G1991" s="60">
        <v>1.0</v>
      </c>
      <c r="H1991" s="60">
        <v>1.0</v>
      </c>
      <c r="I1991" s="60">
        <v>0.0</v>
      </c>
      <c r="J1991" s="59">
        <v>1.0</v>
      </c>
      <c r="K1991" s="61">
        <f t="shared" si="1"/>
        <v>0</v>
      </c>
      <c r="L1991" s="62">
        <f t="shared" si="2"/>
        <v>1</v>
      </c>
    </row>
    <row r="1992">
      <c r="A1992" s="58">
        <v>45992.0</v>
      </c>
      <c r="B1992" s="24" t="s">
        <v>6789</v>
      </c>
      <c r="C1992" s="24" t="s">
        <v>6813</v>
      </c>
      <c r="D1992" s="59">
        <v>1.0</v>
      </c>
      <c r="E1992" s="59">
        <v>1.0</v>
      </c>
      <c r="F1992" s="59">
        <v>1.0</v>
      </c>
      <c r="G1992" s="60">
        <v>1.0</v>
      </c>
      <c r="H1992" s="60">
        <v>1.0</v>
      </c>
      <c r="I1992" s="60">
        <v>1.395917</v>
      </c>
      <c r="J1992" s="59">
        <v>1.0</v>
      </c>
      <c r="K1992" s="61">
        <f t="shared" si="1"/>
        <v>1</v>
      </c>
      <c r="L1992" s="62">
        <f t="shared" si="2"/>
        <v>1</v>
      </c>
    </row>
    <row r="1993">
      <c r="A1993" s="58">
        <v>45992.0</v>
      </c>
      <c r="B1993" s="24" t="s">
        <v>6791</v>
      </c>
      <c r="C1993" s="24" t="s">
        <v>6813</v>
      </c>
      <c r="D1993" s="59">
        <v>1.0</v>
      </c>
      <c r="E1993" s="59">
        <v>2.0</v>
      </c>
      <c r="F1993" s="59">
        <v>0.0</v>
      </c>
      <c r="G1993" s="60">
        <v>2.0</v>
      </c>
      <c r="H1993" s="60">
        <v>0.5</v>
      </c>
      <c r="I1993" s="60">
        <v>99.842083</v>
      </c>
      <c r="J1993" s="59">
        <v>2.0</v>
      </c>
      <c r="K1993" s="61">
        <f t="shared" si="1"/>
        <v>0</v>
      </c>
      <c r="L1993" s="62">
        <f t="shared" si="2"/>
        <v>1</v>
      </c>
    </row>
    <row r="1994">
      <c r="A1994" s="58">
        <v>45992.0</v>
      </c>
      <c r="B1994" s="24" t="s">
        <v>6790</v>
      </c>
      <c r="C1994" s="24" t="s">
        <v>6910</v>
      </c>
      <c r="D1994" s="59">
        <v>1.0</v>
      </c>
      <c r="E1994" s="59">
        <v>1.0</v>
      </c>
      <c r="F1994" s="59">
        <v>1.0</v>
      </c>
      <c r="G1994" s="60">
        <v>1.0</v>
      </c>
      <c r="H1994" s="60">
        <v>0.0</v>
      </c>
      <c r="I1994" s="60">
        <v>219.795422</v>
      </c>
      <c r="J1994" s="59">
        <v>6.0</v>
      </c>
      <c r="K1994" s="61">
        <f t="shared" si="1"/>
        <v>1</v>
      </c>
      <c r="L1994" s="62">
        <f t="shared" si="2"/>
        <v>6</v>
      </c>
    </row>
    <row r="1995">
      <c r="A1995" s="58">
        <v>45992.0</v>
      </c>
      <c r="B1995" s="24" t="s">
        <v>6790</v>
      </c>
      <c r="C1995" s="24" t="s">
        <v>6801</v>
      </c>
      <c r="D1995" s="59">
        <v>1.0</v>
      </c>
      <c r="E1995" s="59">
        <v>1.0</v>
      </c>
      <c r="F1995" s="59">
        <v>1.0</v>
      </c>
      <c r="G1995" s="60">
        <v>1.0</v>
      </c>
      <c r="H1995" s="60">
        <v>0.0</v>
      </c>
      <c r="I1995" s="60">
        <v>110.335516</v>
      </c>
      <c r="J1995" s="59">
        <v>1.0</v>
      </c>
      <c r="K1995" s="61">
        <f t="shared" si="1"/>
        <v>1</v>
      </c>
      <c r="L1995" s="62">
        <f t="shared" si="2"/>
        <v>1</v>
      </c>
    </row>
    <row r="1996">
      <c r="A1996" s="58">
        <v>45992.0</v>
      </c>
      <c r="B1996" s="24" t="s">
        <v>155</v>
      </c>
      <c r="C1996" s="24" t="s">
        <v>7104</v>
      </c>
      <c r="D1996" s="59">
        <v>1.0</v>
      </c>
      <c r="E1996" s="59">
        <v>1.0</v>
      </c>
      <c r="F1996" s="59">
        <v>1.0</v>
      </c>
      <c r="G1996" s="60">
        <v>1.0</v>
      </c>
      <c r="H1996" s="60">
        <v>0.0</v>
      </c>
      <c r="I1996" s="60">
        <v>67.262526</v>
      </c>
      <c r="J1996" s="59">
        <v>2.0</v>
      </c>
      <c r="K1996" s="61">
        <f t="shared" si="1"/>
        <v>1</v>
      </c>
      <c r="L1996" s="62">
        <f t="shared" si="2"/>
        <v>2</v>
      </c>
    </row>
    <row r="1997">
      <c r="A1997" s="58">
        <v>45992.0</v>
      </c>
      <c r="B1997" s="24" t="s">
        <v>6791</v>
      </c>
      <c r="C1997" s="24" t="s">
        <v>7173</v>
      </c>
      <c r="D1997" s="59">
        <v>1.0</v>
      </c>
      <c r="E1997" s="59">
        <v>1.0</v>
      </c>
      <c r="F1997" s="59">
        <v>0.0</v>
      </c>
      <c r="G1997" s="60">
        <v>1.0</v>
      </c>
      <c r="H1997" s="60">
        <v>0.0</v>
      </c>
      <c r="I1997" s="60">
        <v>83.380854</v>
      </c>
      <c r="J1997" s="59">
        <v>2.0</v>
      </c>
      <c r="K1997" s="61">
        <f t="shared" si="1"/>
        <v>0</v>
      </c>
      <c r="L1997" s="62">
        <f t="shared" si="2"/>
        <v>2</v>
      </c>
    </row>
    <row r="1998">
      <c r="A1998" s="58">
        <v>45992.0</v>
      </c>
      <c r="B1998" s="24" t="s">
        <v>6791</v>
      </c>
      <c r="C1998" s="24" t="s">
        <v>6912</v>
      </c>
      <c r="D1998" s="59">
        <v>1.0</v>
      </c>
      <c r="E1998" s="59">
        <v>1.0</v>
      </c>
      <c r="F1998" s="59">
        <v>0.0</v>
      </c>
      <c r="G1998" s="60">
        <v>1.0</v>
      </c>
      <c r="H1998" s="60">
        <v>0.0</v>
      </c>
      <c r="I1998" s="60">
        <v>67.078217</v>
      </c>
      <c r="J1998" s="59">
        <v>2.0</v>
      </c>
      <c r="K1998" s="61">
        <f t="shared" si="1"/>
        <v>0</v>
      </c>
      <c r="L1998" s="62">
        <f t="shared" si="2"/>
        <v>2</v>
      </c>
    </row>
    <row r="1999">
      <c r="A1999" s="58">
        <v>45992.0</v>
      </c>
      <c r="B1999" s="24" t="s">
        <v>155</v>
      </c>
      <c r="C1999" s="24" t="s">
        <v>6912</v>
      </c>
      <c r="D1999" s="59">
        <v>1.0</v>
      </c>
      <c r="E1999" s="59">
        <v>1.0</v>
      </c>
      <c r="F1999" s="59">
        <v>0.0</v>
      </c>
      <c r="G1999" s="60">
        <v>1.0</v>
      </c>
      <c r="H1999" s="60">
        <v>0.0</v>
      </c>
      <c r="I1999" s="60">
        <v>1880.5018</v>
      </c>
      <c r="J1999" s="59">
        <v>10.0</v>
      </c>
      <c r="K1999" s="61">
        <f t="shared" si="1"/>
        <v>0</v>
      </c>
      <c r="L1999" s="62">
        <f t="shared" si="2"/>
        <v>10</v>
      </c>
    </row>
    <row r="2000">
      <c r="A2000" s="58">
        <v>45992.0</v>
      </c>
      <c r="B2000" s="24" t="s">
        <v>6790</v>
      </c>
      <c r="C2000" s="24" t="s">
        <v>7174</v>
      </c>
      <c r="D2000" s="59">
        <v>1.0</v>
      </c>
      <c r="E2000" s="59">
        <v>1.0</v>
      </c>
      <c r="F2000" s="59">
        <v>1.0</v>
      </c>
      <c r="G2000" s="60">
        <v>1.0</v>
      </c>
      <c r="H2000" s="60">
        <v>1.0</v>
      </c>
      <c r="I2000" s="60">
        <v>0.0</v>
      </c>
      <c r="J2000" s="59">
        <v>1.0</v>
      </c>
      <c r="K2000" s="61">
        <f t="shared" si="1"/>
        <v>1</v>
      </c>
      <c r="L2000" s="62">
        <f t="shared" si="2"/>
        <v>1</v>
      </c>
    </row>
    <row r="2001">
      <c r="A2001" s="58">
        <v>45992.0</v>
      </c>
      <c r="B2001" s="24" t="s">
        <v>6789</v>
      </c>
      <c r="C2001" s="24" t="s">
        <v>7106</v>
      </c>
      <c r="D2001" s="59">
        <v>1.0</v>
      </c>
      <c r="E2001" s="59">
        <v>1.0</v>
      </c>
      <c r="F2001" s="59">
        <v>1.0</v>
      </c>
      <c r="G2001" s="60">
        <v>1.0</v>
      </c>
      <c r="H2001" s="60">
        <v>0.0</v>
      </c>
      <c r="I2001" s="60">
        <v>27.413143</v>
      </c>
      <c r="J2001" s="59">
        <v>1.0</v>
      </c>
      <c r="K2001" s="61">
        <f t="shared" si="1"/>
        <v>1</v>
      </c>
      <c r="L2001" s="62">
        <f t="shared" si="2"/>
        <v>1</v>
      </c>
    </row>
    <row r="2002">
      <c r="A2002" s="58">
        <v>45992.0</v>
      </c>
      <c r="B2002" s="24" t="s">
        <v>6794</v>
      </c>
      <c r="C2002" s="24" t="s">
        <v>7106</v>
      </c>
      <c r="D2002" s="59">
        <v>1.0</v>
      </c>
      <c r="E2002" s="59">
        <v>8.0</v>
      </c>
      <c r="F2002" s="59">
        <v>0.0</v>
      </c>
      <c r="G2002" s="60">
        <v>8.0</v>
      </c>
      <c r="H2002" s="60">
        <v>0.625</v>
      </c>
      <c r="I2002" s="60">
        <v>5.6640865</v>
      </c>
      <c r="J2002" s="59">
        <v>8.0</v>
      </c>
      <c r="K2002" s="61">
        <f t="shared" si="1"/>
        <v>0</v>
      </c>
      <c r="L2002" s="62">
        <f t="shared" si="2"/>
        <v>1</v>
      </c>
    </row>
    <row r="2003">
      <c r="A2003" s="58">
        <v>45992.0</v>
      </c>
      <c r="B2003" s="24" t="s">
        <v>6789</v>
      </c>
      <c r="C2003" s="24" t="s">
        <v>6826</v>
      </c>
      <c r="D2003" s="59">
        <v>1.0</v>
      </c>
      <c r="E2003" s="59">
        <v>1.0</v>
      </c>
      <c r="F2003" s="59">
        <v>0.0</v>
      </c>
      <c r="G2003" s="60">
        <v>1.0</v>
      </c>
      <c r="H2003" s="60">
        <v>0.0</v>
      </c>
      <c r="I2003" s="60">
        <v>2435.162062</v>
      </c>
      <c r="J2003" s="59">
        <v>3.0</v>
      </c>
      <c r="K2003" s="61">
        <f t="shared" si="1"/>
        <v>0</v>
      </c>
      <c r="L2003" s="62">
        <f t="shared" si="2"/>
        <v>3</v>
      </c>
    </row>
    <row r="2004">
      <c r="A2004" s="58">
        <v>45992.0</v>
      </c>
      <c r="B2004" s="24" t="s">
        <v>155</v>
      </c>
      <c r="C2004" s="24" t="s">
        <v>6917</v>
      </c>
      <c r="D2004" s="59">
        <v>1.0</v>
      </c>
      <c r="E2004" s="59">
        <v>1.0</v>
      </c>
      <c r="F2004" s="59">
        <v>0.0</v>
      </c>
      <c r="G2004" s="60">
        <v>1.0</v>
      </c>
      <c r="H2004" s="60">
        <v>0.0</v>
      </c>
      <c r="I2004" s="60">
        <v>13.606687</v>
      </c>
      <c r="J2004" s="59">
        <v>1.0</v>
      </c>
      <c r="K2004" s="61">
        <f t="shared" si="1"/>
        <v>0</v>
      </c>
      <c r="L2004" s="62">
        <f t="shared" si="2"/>
        <v>1</v>
      </c>
    </row>
    <row r="2005">
      <c r="A2005" s="58">
        <v>45992.0</v>
      </c>
      <c r="B2005" s="24" t="s">
        <v>6794</v>
      </c>
      <c r="C2005" s="24" t="s">
        <v>6815</v>
      </c>
      <c r="D2005" s="59">
        <v>1.0</v>
      </c>
      <c r="E2005" s="59">
        <v>2.0</v>
      </c>
      <c r="F2005" s="59">
        <v>0.0</v>
      </c>
      <c r="G2005" s="60">
        <v>2.0</v>
      </c>
      <c r="H2005" s="60">
        <v>0.5</v>
      </c>
      <c r="I2005" s="60">
        <v>60.5001789999999</v>
      </c>
      <c r="J2005" s="59">
        <v>2.0</v>
      </c>
      <c r="K2005" s="61">
        <f t="shared" si="1"/>
        <v>0</v>
      </c>
      <c r="L2005" s="62">
        <f t="shared" si="2"/>
        <v>1</v>
      </c>
    </row>
    <row r="2006">
      <c r="A2006" s="58">
        <v>45992.0</v>
      </c>
      <c r="B2006" s="24" t="s">
        <v>155</v>
      </c>
      <c r="C2006" s="24" t="s">
        <v>6815</v>
      </c>
      <c r="D2006" s="59">
        <v>1.0</v>
      </c>
      <c r="E2006" s="59">
        <v>1.0</v>
      </c>
      <c r="F2006" s="59">
        <v>1.0</v>
      </c>
      <c r="G2006" s="60">
        <v>1.0</v>
      </c>
      <c r="H2006" s="60">
        <v>0.0</v>
      </c>
      <c r="I2006" s="60">
        <v>644.821982</v>
      </c>
      <c r="J2006" s="59">
        <v>5.0</v>
      </c>
      <c r="K2006" s="61">
        <f t="shared" si="1"/>
        <v>1</v>
      </c>
      <c r="L2006" s="62">
        <f t="shared" si="2"/>
        <v>5</v>
      </c>
    </row>
    <row r="2007">
      <c r="A2007" s="58">
        <v>45992.0</v>
      </c>
      <c r="B2007" s="24" t="s">
        <v>6789</v>
      </c>
      <c r="C2007" s="24" t="s">
        <v>7108</v>
      </c>
      <c r="D2007" s="59">
        <v>1.0</v>
      </c>
      <c r="E2007" s="59">
        <v>1.0</v>
      </c>
      <c r="F2007" s="59">
        <v>0.0</v>
      </c>
      <c r="G2007" s="60">
        <v>1.0</v>
      </c>
      <c r="H2007" s="60">
        <v>0.0</v>
      </c>
      <c r="I2007" s="60">
        <v>1797.175998</v>
      </c>
      <c r="J2007" s="59">
        <v>1.0</v>
      </c>
      <c r="K2007" s="61">
        <f t="shared" si="1"/>
        <v>0</v>
      </c>
      <c r="L2007" s="62">
        <f t="shared" si="2"/>
        <v>1</v>
      </c>
    </row>
    <row r="2008">
      <c r="A2008" s="58">
        <v>45992.0</v>
      </c>
      <c r="B2008" s="24" t="s">
        <v>6794</v>
      </c>
      <c r="C2008" s="24" t="s">
        <v>7112</v>
      </c>
      <c r="D2008" s="59">
        <v>1.0</v>
      </c>
      <c r="E2008" s="59">
        <v>3.0</v>
      </c>
      <c r="F2008" s="59">
        <v>0.0</v>
      </c>
      <c r="G2008" s="60">
        <v>3.0</v>
      </c>
      <c r="H2008" s="60">
        <v>1.0</v>
      </c>
      <c r="I2008" s="60">
        <v>3.30461133333333</v>
      </c>
      <c r="J2008" s="59">
        <v>3.0</v>
      </c>
      <c r="K2008" s="61">
        <f t="shared" si="1"/>
        <v>0</v>
      </c>
      <c r="L2008" s="62">
        <f t="shared" si="2"/>
        <v>1</v>
      </c>
    </row>
    <row r="2009">
      <c r="A2009" s="58">
        <v>45992.0</v>
      </c>
      <c r="B2009" s="24" t="s">
        <v>6789</v>
      </c>
      <c r="C2009" s="24" t="s">
        <v>6920</v>
      </c>
      <c r="D2009" s="59">
        <v>1.0</v>
      </c>
      <c r="E2009" s="59">
        <v>1.0</v>
      </c>
      <c r="F2009" s="59">
        <v>1.0</v>
      </c>
      <c r="G2009" s="60">
        <v>1.0</v>
      </c>
      <c r="H2009" s="60">
        <v>0.0</v>
      </c>
      <c r="I2009" s="60">
        <v>2.00678</v>
      </c>
      <c r="J2009" s="59">
        <v>2.0</v>
      </c>
      <c r="K2009" s="61">
        <f t="shared" si="1"/>
        <v>1</v>
      </c>
      <c r="L2009" s="62">
        <f t="shared" si="2"/>
        <v>2</v>
      </c>
    </row>
    <row r="2010">
      <c r="A2010" s="58">
        <v>45992.0</v>
      </c>
      <c r="B2010" s="24" t="s">
        <v>6789</v>
      </c>
      <c r="C2010" s="24" t="s">
        <v>6921</v>
      </c>
      <c r="D2010" s="59">
        <v>1.0</v>
      </c>
      <c r="E2010" s="59">
        <v>1.0</v>
      </c>
      <c r="F2010" s="59">
        <v>0.0</v>
      </c>
      <c r="G2010" s="60">
        <v>1.0</v>
      </c>
      <c r="H2010" s="60">
        <v>0.0</v>
      </c>
      <c r="I2010" s="60">
        <v>3258.811663</v>
      </c>
      <c r="J2010" s="59">
        <v>4.0</v>
      </c>
      <c r="K2010" s="61">
        <f t="shared" si="1"/>
        <v>0</v>
      </c>
      <c r="L2010" s="62">
        <f t="shared" si="2"/>
        <v>4</v>
      </c>
    </row>
    <row r="2011">
      <c r="A2011" s="58">
        <v>45992.0</v>
      </c>
      <c r="B2011" s="24" t="s">
        <v>6790</v>
      </c>
      <c r="C2011" s="24" t="s">
        <v>6853</v>
      </c>
      <c r="D2011" s="59">
        <v>1.0</v>
      </c>
      <c r="E2011" s="59">
        <v>1.0</v>
      </c>
      <c r="F2011" s="59">
        <v>0.0</v>
      </c>
      <c r="G2011" s="60">
        <v>1.0</v>
      </c>
      <c r="H2011" s="60">
        <v>1.0</v>
      </c>
      <c r="I2011" s="60">
        <v>0.0</v>
      </c>
      <c r="J2011" s="59">
        <v>1.0</v>
      </c>
      <c r="K2011" s="61">
        <f t="shared" si="1"/>
        <v>0</v>
      </c>
      <c r="L2011" s="62">
        <f t="shared" si="2"/>
        <v>1</v>
      </c>
    </row>
    <row r="2012">
      <c r="A2012" s="58">
        <v>45992.0</v>
      </c>
      <c r="B2012" s="24" t="s">
        <v>3216</v>
      </c>
      <c r="C2012" s="24" t="s">
        <v>6797</v>
      </c>
      <c r="D2012" s="59">
        <v>1.0</v>
      </c>
      <c r="E2012" s="59">
        <v>1.0</v>
      </c>
      <c r="F2012" s="59">
        <v>1.0</v>
      </c>
      <c r="G2012" s="60">
        <v>1.0</v>
      </c>
      <c r="H2012" s="60">
        <v>0.0</v>
      </c>
      <c r="I2012" s="60">
        <v>9.843804</v>
      </c>
      <c r="J2012" s="59">
        <v>2.0</v>
      </c>
      <c r="K2012" s="61">
        <f t="shared" si="1"/>
        <v>1</v>
      </c>
      <c r="L2012" s="62">
        <f t="shared" si="2"/>
        <v>2</v>
      </c>
    </row>
    <row r="2013">
      <c r="A2013" s="58">
        <v>45992.0</v>
      </c>
      <c r="B2013" s="24" t="s">
        <v>155</v>
      </c>
      <c r="C2013" s="24" t="s">
        <v>6797</v>
      </c>
      <c r="D2013" s="59">
        <v>1.0</v>
      </c>
      <c r="E2013" s="59">
        <v>1.0</v>
      </c>
      <c r="F2013" s="59">
        <v>0.0</v>
      </c>
      <c r="G2013" s="60">
        <v>1.0</v>
      </c>
      <c r="H2013" s="60">
        <v>0.0</v>
      </c>
      <c r="I2013" s="60">
        <v>104.359252</v>
      </c>
      <c r="J2013" s="59">
        <v>1.0</v>
      </c>
      <c r="K2013" s="61">
        <f t="shared" si="1"/>
        <v>0</v>
      </c>
      <c r="L2013" s="62">
        <f t="shared" si="2"/>
        <v>1</v>
      </c>
    </row>
    <row r="2014">
      <c r="A2014" s="58">
        <v>45992.0</v>
      </c>
      <c r="B2014" s="24" t="s">
        <v>6787</v>
      </c>
      <c r="C2014" s="24" t="s">
        <v>7229</v>
      </c>
      <c r="D2014" s="59">
        <v>1.0</v>
      </c>
      <c r="E2014" s="59">
        <v>1.0</v>
      </c>
      <c r="F2014" s="59">
        <v>1.0</v>
      </c>
      <c r="G2014" s="60">
        <v>1.0</v>
      </c>
      <c r="H2014" s="60">
        <v>0.0</v>
      </c>
      <c r="I2014" s="60">
        <v>388.047093</v>
      </c>
      <c r="J2014" s="59">
        <v>4.0</v>
      </c>
      <c r="K2014" s="61">
        <f t="shared" si="1"/>
        <v>1</v>
      </c>
      <c r="L2014" s="62">
        <f t="shared" si="2"/>
        <v>4</v>
      </c>
    </row>
    <row r="2015">
      <c r="A2015" s="58">
        <v>45992.0</v>
      </c>
      <c r="B2015" s="24" t="s">
        <v>155</v>
      </c>
      <c r="C2015" s="24" t="s">
        <v>6923</v>
      </c>
      <c r="D2015" s="59">
        <v>1.0</v>
      </c>
      <c r="E2015" s="59">
        <v>1.0</v>
      </c>
      <c r="F2015" s="59">
        <v>0.0</v>
      </c>
      <c r="G2015" s="60">
        <v>1.0</v>
      </c>
      <c r="H2015" s="60">
        <v>0.0</v>
      </c>
      <c r="I2015" s="60">
        <v>211.878396</v>
      </c>
      <c r="J2015" s="59">
        <v>2.0</v>
      </c>
      <c r="K2015" s="61">
        <f t="shared" si="1"/>
        <v>0</v>
      </c>
      <c r="L2015" s="62">
        <f t="shared" si="2"/>
        <v>2</v>
      </c>
    </row>
    <row r="2016">
      <c r="A2016" s="58">
        <v>45992.0</v>
      </c>
      <c r="B2016" s="24" t="s">
        <v>6789</v>
      </c>
      <c r="C2016" s="24" t="s">
        <v>7196</v>
      </c>
      <c r="D2016" s="59">
        <v>1.0</v>
      </c>
      <c r="E2016" s="59">
        <v>3.0</v>
      </c>
      <c r="F2016" s="59">
        <v>1.0</v>
      </c>
      <c r="G2016" s="60">
        <v>3.0</v>
      </c>
      <c r="H2016" s="60">
        <v>1.0</v>
      </c>
      <c r="I2016" s="60">
        <v>3.19071333333333</v>
      </c>
      <c r="J2016" s="59">
        <v>3.0</v>
      </c>
      <c r="K2016" s="61">
        <f t="shared" si="1"/>
        <v>0.3333333333</v>
      </c>
      <c r="L2016" s="62">
        <f t="shared" si="2"/>
        <v>1</v>
      </c>
    </row>
    <row r="2017">
      <c r="A2017" s="58">
        <v>45992.0</v>
      </c>
      <c r="B2017" s="24" t="s">
        <v>6942</v>
      </c>
      <c r="C2017" s="24" t="s">
        <v>7196</v>
      </c>
      <c r="D2017" s="59">
        <v>1.0</v>
      </c>
      <c r="E2017" s="59">
        <v>1.0</v>
      </c>
      <c r="F2017" s="59">
        <v>0.0</v>
      </c>
      <c r="G2017" s="60">
        <v>1.0</v>
      </c>
      <c r="H2017" s="60">
        <v>1.0</v>
      </c>
      <c r="I2017" s="60">
        <v>5.845691</v>
      </c>
      <c r="J2017" s="59">
        <v>1.0</v>
      </c>
      <c r="K2017" s="61">
        <f t="shared" si="1"/>
        <v>0</v>
      </c>
      <c r="L2017" s="62">
        <f t="shared" si="2"/>
        <v>1</v>
      </c>
    </row>
    <row r="2018">
      <c r="A2018" s="58">
        <v>45992.0</v>
      </c>
      <c r="B2018" s="24" t="s">
        <v>6787</v>
      </c>
      <c r="C2018" s="24" t="s">
        <v>7113</v>
      </c>
      <c r="D2018" s="59">
        <v>1.0</v>
      </c>
      <c r="E2018" s="59">
        <v>1.0</v>
      </c>
      <c r="F2018" s="59">
        <v>0.0</v>
      </c>
      <c r="G2018" s="60">
        <v>0.0</v>
      </c>
      <c r="H2018" s="60">
        <v>1.0</v>
      </c>
      <c r="I2018" s="60">
        <v>5.528376</v>
      </c>
      <c r="J2018" s="59">
        <v>1.0</v>
      </c>
      <c r="K2018" s="61">
        <f t="shared" si="1"/>
        <v>0</v>
      </c>
      <c r="L2018" s="62">
        <f t="shared" si="2"/>
        <v>1</v>
      </c>
    </row>
    <row r="2019">
      <c r="A2019" s="58">
        <v>45992.0</v>
      </c>
      <c r="B2019" s="24" t="s">
        <v>6789</v>
      </c>
      <c r="C2019" s="24" t="s">
        <v>7113</v>
      </c>
      <c r="D2019" s="59">
        <v>1.0</v>
      </c>
      <c r="E2019" s="59">
        <v>5.0</v>
      </c>
      <c r="F2019" s="59">
        <v>0.0</v>
      </c>
      <c r="G2019" s="60">
        <v>5.0</v>
      </c>
      <c r="H2019" s="60">
        <v>0.8</v>
      </c>
      <c r="I2019" s="60">
        <v>475.2274092</v>
      </c>
      <c r="J2019" s="59">
        <v>13.0</v>
      </c>
      <c r="K2019" s="61">
        <f t="shared" si="1"/>
        <v>0</v>
      </c>
      <c r="L2019" s="62">
        <f t="shared" si="2"/>
        <v>2.6</v>
      </c>
    </row>
    <row r="2020">
      <c r="A2020" s="58">
        <v>45992.0</v>
      </c>
      <c r="B2020" s="24" t="s">
        <v>6789</v>
      </c>
      <c r="C2020" s="24" t="s">
        <v>6810</v>
      </c>
      <c r="D2020" s="59">
        <v>1.0</v>
      </c>
      <c r="E2020" s="59">
        <v>1.0</v>
      </c>
      <c r="F2020" s="59">
        <v>0.0</v>
      </c>
      <c r="G2020" s="60">
        <v>1.0</v>
      </c>
      <c r="H2020" s="60">
        <v>0.0</v>
      </c>
      <c r="I2020" s="60">
        <v>512.551774</v>
      </c>
      <c r="J2020" s="59">
        <v>2.0</v>
      </c>
      <c r="K2020" s="61">
        <f t="shared" si="1"/>
        <v>0</v>
      </c>
      <c r="L2020" s="62">
        <f t="shared" si="2"/>
        <v>2</v>
      </c>
    </row>
    <row r="2021">
      <c r="A2021" s="58">
        <v>45992.0</v>
      </c>
      <c r="B2021" s="24" t="s">
        <v>6789</v>
      </c>
      <c r="C2021" s="24" t="s">
        <v>6931</v>
      </c>
      <c r="D2021" s="59">
        <v>1.0</v>
      </c>
      <c r="E2021" s="59">
        <v>1.0</v>
      </c>
      <c r="F2021" s="59">
        <v>0.0</v>
      </c>
      <c r="G2021" s="60">
        <v>1.0</v>
      </c>
      <c r="H2021" s="60">
        <v>0.0</v>
      </c>
      <c r="I2021" s="60">
        <v>23.291093</v>
      </c>
      <c r="J2021" s="59">
        <v>1.0</v>
      </c>
      <c r="K2021" s="61">
        <f t="shared" si="1"/>
        <v>0</v>
      </c>
      <c r="L2021" s="62">
        <f t="shared" si="2"/>
        <v>1</v>
      </c>
    </row>
    <row r="2022">
      <c r="A2022" s="58">
        <v>45992.0</v>
      </c>
      <c r="B2022" s="24" t="s">
        <v>155</v>
      </c>
      <c r="C2022" s="24" t="s">
        <v>6931</v>
      </c>
      <c r="D2022" s="59">
        <v>1.0</v>
      </c>
      <c r="E2022" s="59">
        <v>1.0</v>
      </c>
      <c r="F2022" s="59">
        <v>1.0</v>
      </c>
      <c r="G2022" s="60">
        <v>1.0</v>
      </c>
      <c r="H2022" s="60">
        <v>0.0</v>
      </c>
      <c r="I2022" s="60">
        <v>19.66672</v>
      </c>
      <c r="J2022" s="59">
        <v>1.0</v>
      </c>
      <c r="K2022" s="61">
        <f t="shared" si="1"/>
        <v>1</v>
      </c>
      <c r="L2022" s="62">
        <f t="shared" si="2"/>
        <v>1</v>
      </c>
    </row>
    <row r="2023">
      <c r="A2023" s="58">
        <v>45992.0</v>
      </c>
      <c r="B2023" s="24" t="s">
        <v>6789</v>
      </c>
      <c r="C2023" s="24" t="s">
        <v>6962</v>
      </c>
      <c r="D2023" s="59">
        <v>1.0</v>
      </c>
      <c r="E2023" s="59">
        <v>1.0</v>
      </c>
      <c r="F2023" s="59">
        <v>0.0</v>
      </c>
      <c r="G2023" s="60">
        <v>1.0</v>
      </c>
      <c r="H2023" s="60">
        <v>0.0</v>
      </c>
      <c r="I2023" s="60">
        <v>41.022931</v>
      </c>
      <c r="J2023" s="59">
        <v>2.0</v>
      </c>
      <c r="K2023" s="61">
        <f t="shared" si="1"/>
        <v>0</v>
      </c>
      <c r="L2023" s="62">
        <f t="shared" si="2"/>
        <v>2</v>
      </c>
    </row>
    <row r="2024">
      <c r="A2024" s="58">
        <v>45992.0</v>
      </c>
      <c r="B2024" s="24" t="s">
        <v>6789</v>
      </c>
      <c r="C2024" s="24" t="s">
        <v>7126</v>
      </c>
      <c r="D2024" s="59">
        <v>1.0</v>
      </c>
      <c r="E2024" s="59">
        <v>2.0</v>
      </c>
      <c r="F2024" s="59">
        <v>0.0</v>
      </c>
      <c r="G2024" s="60">
        <v>2.0</v>
      </c>
      <c r="H2024" s="60">
        <v>0.5</v>
      </c>
      <c r="I2024" s="60">
        <v>8.947229</v>
      </c>
      <c r="J2024" s="59">
        <v>3.0</v>
      </c>
      <c r="K2024" s="61">
        <f t="shared" si="1"/>
        <v>0</v>
      </c>
      <c r="L2024" s="62">
        <f t="shared" si="2"/>
        <v>1.5</v>
      </c>
    </row>
    <row r="2025">
      <c r="A2025" s="58">
        <v>45992.0</v>
      </c>
      <c r="B2025" s="24" t="s">
        <v>6789</v>
      </c>
      <c r="C2025" s="24" t="s">
        <v>7118</v>
      </c>
      <c r="D2025" s="59">
        <v>1.0</v>
      </c>
      <c r="E2025" s="59">
        <v>1.0</v>
      </c>
      <c r="F2025" s="59">
        <v>0.0</v>
      </c>
      <c r="G2025" s="60">
        <v>1.0</v>
      </c>
      <c r="H2025" s="60">
        <v>1.0</v>
      </c>
      <c r="I2025" s="60">
        <v>0.0</v>
      </c>
      <c r="J2025" s="59">
        <v>1.0</v>
      </c>
      <c r="K2025" s="61">
        <f t="shared" si="1"/>
        <v>0</v>
      </c>
      <c r="L2025" s="62">
        <f t="shared" si="2"/>
        <v>1</v>
      </c>
    </row>
    <row r="2026">
      <c r="A2026" s="58">
        <v>45992.0</v>
      </c>
      <c r="B2026" s="24" t="s">
        <v>155</v>
      </c>
      <c r="C2026" s="24" t="s">
        <v>6854</v>
      </c>
      <c r="D2026" s="59">
        <v>1.0</v>
      </c>
      <c r="E2026" s="59">
        <v>1.0</v>
      </c>
      <c r="F2026" s="59">
        <v>0.0</v>
      </c>
      <c r="G2026" s="60">
        <v>1.0</v>
      </c>
      <c r="H2026" s="60">
        <v>0.0</v>
      </c>
      <c r="I2026" s="60">
        <v>1326.305463</v>
      </c>
      <c r="J2026" s="59">
        <v>4.0</v>
      </c>
      <c r="K2026" s="61">
        <f t="shared" si="1"/>
        <v>0</v>
      </c>
      <c r="L2026" s="62">
        <f t="shared" si="2"/>
        <v>4</v>
      </c>
    </row>
    <row r="2027">
      <c r="A2027" s="58">
        <v>45992.0</v>
      </c>
      <c r="B2027" s="24" t="s">
        <v>6794</v>
      </c>
      <c r="C2027" s="24" t="s">
        <v>6963</v>
      </c>
      <c r="D2027" s="59">
        <v>1.0</v>
      </c>
      <c r="E2027" s="59">
        <v>1.0</v>
      </c>
      <c r="F2027" s="59">
        <v>1.0</v>
      </c>
      <c r="G2027" s="60">
        <v>1.0</v>
      </c>
      <c r="H2027" s="60">
        <v>1.0</v>
      </c>
      <c r="I2027" s="60">
        <v>5.601754</v>
      </c>
      <c r="J2027" s="59">
        <v>1.0</v>
      </c>
      <c r="K2027" s="61">
        <f t="shared" si="1"/>
        <v>1</v>
      </c>
      <c r="L2027" s="62">
        <f t="shared" si="2"/>
        <v>1</v>
      </c>
    </row>
    <row r="2028">
      <c r="A2028" s="58">
        <v>45992.0</v>
      </c>
      <c r="B2028" s="24" t="s">
        <v>3216</v>
      </c>
      <c r="C2028" s="24" t="s">
        <v>6802</v>
      </c>
      <c r="D2028" s="59">
        <v>1.0</v>
      </c>
      <c r="E2028" s="59">
        <v>1.0</v>
      </c>
      <c r="F2028" s="59">
        <v>0.0</v>
      </c>
      <c r="G2028" s="60">
        <v>0.0</v>
      </c>
      <c r="H2028" s="60">
        <v>1.0</v>
      </c>
      <c r="I2028" s="60">
        <v>0.0</v>
      </c>
      <c r="J2028" s="59">
        <v>1.0</v>
      </c>
      <c r="K2028" s="61">
        <f t="shared" si="1"/>
        <v>0</v>
      </c>
      <c r="L2028" s="62">
        <f t="shared" si="2"/>
        <v>1</v>
      </c>
    </row>
    <row r="2029">
      <c r="A2029" s="58">
        <v>45962.0</v>
      </c>
      <c r="B2029" s="24" t="s">
        <v>6787</v>
      </c>
      <c r="C2029" s="24" t="s">
        <v>6788</v>
      </c>
      <c r="D2029" s="59">
        <v>1081.0</v>
      </c>
      <c r="E2029" s="59">
        <v>1178.0</v>
      </c>
      <c r="F2029" s="59">
        <v>1045.0</v>
      </c>
      <c r="G2029" s="60">
        <v>1.09888059701492</v>
      </c>
      <c r="H2029" s="60">
        <v>0.720713073005093</v>
      </c>
      <c r="I2029" s="60">
        <v>33.4476251477079</v>
      </c>
      <c r="J2029" s="59">
        <v>1402.0</v>
      </c>
      <c r="K2029" s="61">
        <f t="shared" si="1"/>
        <v>0.8870967742</v>
      </c>
      <c r="L2029" s="62">
        <f t="shared" si="2"/>
        <v>1.190152801</v>
      </c>
    </row>
    <row r="2030">
      <c r="A2030" s="58">
        <v>45962.0</v>
      </c>
      <c r="B2030" s="24" t="s">
        <v>6789</v>
      </c>
      <c r="C2030" s="24" t="s">
        <v>6788</v>
      </c>
      <c r="D2030" s="59">
        <v>561.0</v>
      </c>
      <c r="E2030" s="59">
        <v>815.0</v>
      </c>
      <c r="F2030" s="59">
        <v>439.0</v>
      </c>
      <c r="G2030" s="60">
        <v>1.47644927536231</v>
      </c>
      <c r="H2030" s="60">
        <v>0.550920245398773</v>
      </c>
      <c r="I2030" s="60">
        <v>167.462315734969</v>
      </c>
      <c r="J2030" s="59">
        <v>1256.0</v>
      </c>
      <c r="K2030" s="61">
        <f t="shared" si="1"/>
        <v>0.5386503067</v>
      </c>
      <c r="L2030" s="62">
        <f t="shared" si="2"/>
        <v>1.541104294</v>
      </c>
    </row>
    <row r="2031">
      <c r="A2031" s="58">
        <v>45962.0</v>
      </c>
      <c r="B2031" s="24" t="s">
        <v>6791</v>
      </c>
      <c r="C2031" s="24" t="s">
        <v>7021</v>
      </c>
      <c r="D2031" s="59">
        <v>257.0</v>
      </c>
      <c r="E2031" s="59">
        <v>291.0</v>
      </c>
      <c r="F2031" s="59">
        <v>209.0</v>
      </c>
      <c r="G2031" s="60">
        <v>1.1547619047619</v>
      </c>
      <c r="H2031" s="60">
        <v>0.505154639175257</v>
      </c>
      <c r="I2031" s="60">
        <v>173.963669288659</v>
      </c>
      <c r="J2031" s="59">
        <v>510.0</v>
      </c>
      <c r="K2031" s="61">
        <f t="shared" si="1"/>
        <v>0.7182130584</v>
      </c>
      <c r="L2031" s="62">
        <f t="shared" si="2"/>
        <v>1.75257732</v>
      </c>
    </row>
    <row r="2032">
      <c r="A2032" s="58">
        <v>45962.0</v>
      </c>
      <c r="B2032" s="24" t="s">
        <v>155</v>
      </c>
      <c r="C2032" s="24" t="s">
        <v>6788</v>
      </c>
      <c r="D2032" s="59">
        <v>168.0</v>
      </c>
      <c r="E2032" s="59">
        <v>392.0</v>
      </c>
      <c r="F2032" s="59">
        <v>103.0</v>
      </c>
      <c r="G2032" s="60">
        <v>2.37575757575757</v>
      </c>
      <c r="H2032" s="60">
        <v>0.724489795918367</v>
      </c>
      <c r="I2032" s="60">
        <v>110.997665308673</v>
      </c>
      <c r="J2032" s="59">
        <v>505.0</v>
      </c>
      <c r="K2032" s="61">
        <f t="shared" si="1"/>
        <v>0.262755102</v>
      </c>
      <c r="L2032" s="62">
        <f t="shared" si="2"/>
        <v>1.288265306</v>
      </c>
    </row>
    <row r="2033">
      <c r="A2033" s="58">
        <v>45962.0</v>
      </c>
      <c r="B2033" s="24" t="s">
        <v>6789</v>
      </c>
      <c r="C2033" s="24" t="s">
        <v>6792</v>
      </c>
      <c r="D2033" s="59">
        <v>131.0</v>
      </c>
      <c r="E2033" s="59">
        <v>166.0</v>
      </c>
      <c r="F2033" s="59">
        <v>0.0</v>
      </c>
      <c r="G2033" s="60">
        <v>2.10126582278481</v>
      </c>
      <c r="H2033" s="60">
        <v>0.987951807228915</v>
      </c>
      <c r="I2033" s="60">
        <v>0.196127289156626</v>
      </c>
      <c r="J2033" s="59">
        <v>0.0</v>
      </c>
      <c r="K2033" s="61">
        <f t="shared" si="1"/>
        <v>0</v>
      </c>
      <c r="L2033" s="62">
        <f t="shared" si="2"/>
        <v>0</v>
      </c>
    </row>
    <row r="2034">
      <c r="A2034" s="58">
        <v>45962.0</v>
      </c>
      <c r="B2034" s="24" t="s">
        <v>6790</v>
      </c>
      <c r="C2034" s="24" t="s">
        <v>6792</v>
      </c>
      <c r="D2034" s="59">
        <v>114.0</v>
      </c>
      <c r="E2034" s="59">
        <v>114.0</v>
      </c>
      <c r="F2034" s="59">
        <v>0.0</v>
      </c>
      <c r="G2034" s="60">
        <v>1.01785714285714</v>
      </c>
      <c r="H2034" s="60">
        <v>1.0</v>
      </c>
      <c r="I2034" s="60">
        <v>0.293736385964912</v>
      </c>
      <c r="J2034" s="59">
        <v>0.0</v>
      </c>
      <c r="K2034" s="61">
        <f t="shared" si="1"/>
        <v>0</v>
      </c>
      <c r="L2034" s="62">
        <f t="shared" si="2"/>
        <v>0</v>
      </c>
    </row>
    <row r="2035">
      <c r="A2035" s="58">
        <v>45962.0</v>
      </c>
      <c r="B2035" s="24" t="s">
        <v>6787</v>
      </c>
      <c r="C2035" s="24" t="s">
        <v>6844</v>
      </c>
      <c r="D2035" s="59">
        <v>89.0</v>
      </c>
      <c r="E2035" s="59">
        <v>89.0</v>
      </c>
      <c r="F2035" s="59">
        <v>90.0</v>
      </c>
      <c r="G2035" s="60">
        <v>1.0</v>
      </c>
      <c r="H2035" s="60">
        <v>0.550561797752809</v>
      </c>
      <c r="I2035" s="60">
        <v>16.0741748202247</v>
      </c>
      <c r="J2035" s="59">
        <v>90.0</v>
      </c>
      <c r="K2035" s="61">
        <f t="shared" si="1"/>
        <v>1.011235955</v>
      </c>
      <c r="L2035" s="62">
        <f t="shared" si="2"/>
        <v>1.011235955</v>
      </c>
    </row>
    <row r="2036">
      <c r="A2036" s="58">
        <v>45962.0</v>
      </c>
      <c r="B2036" s="24" t="s">
        <v>3216</v>
      </c>
      <c r="C2036" s="24" t="s">
        <v>6817</v>
      </c>
      <c r="D2036" s="59">
        <v>85.0</v>
      </c>
      <c r="E2036" s="59">
        <v>85.0</v>
      </c>
      <c r="F2036" s="59">
        <v>85.0</v>
      </c>
      <c r="G2036" s="60">
        <v>1.0</v>
      </c>
      <c r="H2036" s="60">
        <v>0.811764705882352</v>
      </c>
      <c r="I2036" s="60">
        <v>5.48254474117647</v>
      </c>
      <c r="J2036" s="59">
        <v>110.0</v>
      </c>
      <c r="K2036" s="61">
        <f t="shared" si="1"/>
        <v>1</v>
      </c>
      <c r="L2036" s="62">
        <f t="shared" si="2"/>
        <v>1.294117647</v>
      </c>
    </row>
    <row r="2037">
      <c r="A2037" s="58">
        <v>45962.0</v>
      </c>
      <c r="B2037" s="24" t="s">
        <v>6794</v>
      </c>
      <c r="C2037" s="24" t="s">
        <v>6788</v>
      </c>
      <c r="D2037" s="59">
        <v>83.0</v>
      </c>
      <c r="E2037" s="59">
        <v>90.0</v>
      </c>
      <c r="F2037" s="59">
        <v>76.0</v>
      </c>
      <c r="G2037" s="60">
        <v>1.09756097560975</v>
      </c>
      <c r="H2037" s="60">
        <v>0.355555555555555</v>
      </c>
      <c r="I2037" s="60">
        <v>138.4340274</v>
      </c>
      <c r="J2037" s="59">
        <v>177.0</v>
      </c>
      <c r="K2037" s="61">
        <f t="shared" si="1"/>
        <v>0.8444444444</v>
      </c>
      <c r="L2037" s="62">
        <f t="shared" si="2"/>
        <v>1.966666667</v>
      </c>
    </row>
    <row r="2038">
      <c r="A2038" s="58">
        <v>45962.0</v>
      </c>
      <c r="B2038" s="24" t="s">
        <v>6787</v>
      </c>
      <c r="C2038" s="24" t="s">
        <v>6894</v>
      </c>
      <c r="D2038" s="59">
        <v>63.0</v>
      </c>
      <c r="E2038" s="59">
        <v>63.0</v>
      </c>
      <c r="F2038" s="59">
        <v>63.0</v>
      </c>
      <c r="G2038" s="60">
        <v>1.0</v>
      </c>
      <c r="H2038" s="60">
        <v>0.825396825396825</v>
      </c>
      <c r="I2038" s="60">
        <v>3.71490646031746</v>
      </c>
      <c r="J2038" s="59">
        <v>79.0</v>
      </c>
      <c r="K2038" s="61">
        <f t="shared" si="1"/>
        <v>1</v>
      </c>
      <c r="L2038" s="62">
        <f t="shared" si="2"/>
        <v>1.253968254</v>
      </c>
    </row>
    <row r="2039">
      <c r="A2039" s="58">
        <v>45962.0</v>
      </c>
      <c r="B2039" s="24" t="s">
        <v>6787</v>
      </c>
      <c r="C2039" s="24" t="s">
        <v>6890</v>
      </c>
      <c r="D2039" s="59">
        <v>59.0</v>
      </c>
      <c r="E2039" s="59">
        <v>59.0</v>
      </c>
      <c r="F2039" s="59">
        <v>59.0</v>
      </c>
      <c r="G2039" s="60">
        <v>1.0</v>
      </c>
      <c r="H2039" s="60">
        <v>0.830508474576271</v>
      </c>
      <c r="I2039" s="60">
        <v>3.12646993220339</v>
      </c>
      <c r="J2039" s="59">
        <v>76.0</v>
      </c>
      <c r="K2039" s="61">
        <f t="shared" si="1"/>
        <v>1</v>
      </c>
      <c r="L2039" s="62">
        <f t="shared" si="2"/>
        <v>1.288135593</v>
      </c>
    </row>
    <row r="2040">
      <c r="A2040" s="58">
        <v>45962.0</v>
      </c>
      <c r="B2040" s="24" t="s">
        <v>3216</v>
      </c>
      <c r="C2040" s="24" t="s">
        <v>6788</v>
      </c>
      <c r="D2040" s="59">
        <v>45.0</v>
      </c>
      <c r="E2040" s="59">
        <v>45.0</v>
      </c>
      <c r="F2040" s="59">
        <v>45.0</v>
      </c>
      <c r="G2040" s="60">
        <v>1.0</v>
      </c>
      <c r="H2040" s="60">
        <v>0.444444444444444</v>
      </c>
      <c r="I2040" s="60">
        <v>5.64511848888888</v>
      </c>
      <c r="J2040" s="59">
        <v>67.0</v>
      </c>
      <c r="K2040" s="61">
        <f t="shared" si="1"/>
        <v>1</v>
      </c>
      <c r="L2040" s="62">
        <f t="shared" si="2"/>
        <v>1.488888889</v>
      </c>
    </row>
    <row r="2041">
      <c r="A2041" s="58">
        <v>45962.0</v>
      </c>
      <c r="B2041" s="24" t="s">
        <v>6791</v>
      </c>
      <c r="C2041" s="24" t="s">
        <v>6792</v>
      </c>
      <c r="D2041" s="59">
        <v>43.0</v>
      </c>
      <c r="E2041" s="59">
        <v>49.0</v>
      </c>
      <c r="F2041" s="59">
        <v>0.0</v>
      </c>
      <c r="G2041" s="60">
        <v>1.75</v>
      </c>
      <c r="H2041" s="60">
        <v>1.0</v>
      </c>
      <c r="I2041" s="60">
        <v>0.0</v>
      </c>
      <c r="J2041" s="59">
        <v>0.0</v>
      </c>
      <c r="K2041" s="61">
        <f t="shared" si="1"/>
        <v>0</v>
      </c>
      <c r="L2041" s="62">
        <f t="shared" si="2"/>
        <v>0</v>
      </c>
    </row>
    <row r="2042">
      <c r="A2042" s="58">
        <v>45962.0</v>
      </c>
      <c r="B2042" s="24" t="s">
        <v>6787</v>
      </c>
      <c r="C2042" s="24" t="s">
        <v>6792</v>
      </c>
      <c r="D2042" s="59">
        <v>42.0</v>
      </c>
      <c r="E2042" s="59">
        <v>46.0</v>
      </c>
      <c r="F2042" s="59">
        <v>0.0</v>
      </c>
      <c r="G2042" s="60">
        <v>2.09090909090909</v>
      </c>
      <c r="H2042" s="60">
        <v>1.0</v>
      </c>
      <c r="I2042" s="60">
        <v>0.0</v>
      </c>
      <c r="J2042" s="59">
        <v>0.0</v>
      </c>
      <c r="K2042" s="61">
        <f t="shared" si="1"/>
        <v>0</v>
      </c>
      <c r="L2042" s="62">
        <f t="shared" si="2"/>
        <v>0</v>
      </c>
    </row>
    <row r="2043">
      <c r="A2043" s="58">
        <v>45962.0</v>
      </c>
      <c r="B2043" s="24" t="s">
        <v>6787</v>
      </c>
      <c r="C2043" s="24" t="s">
        <v>6820</v>
      </c>
      <c r="D2043" s="59">
        <v>42.0</v>
      </c>
      <c r="E2043" s="59">
        <v>42.0</v>
      </c>
      <c r="F2043" s="59">
        <v>42.0</v>
      </c>
      <c r="G2043" s="60">
        <v>1.0</v>
      </c>
      <c r="H2043" s="60">
        <v>0.69047619047619</v>
      </c>
      <c r="I2043" s="60">
        <v>7.3202074047619</v>
      </c>
      <c r="J2043" s="59">
        <v>42.0</v>
      </c>
      <c r="K2043" s="61">
        <f t="shared" si="1"/>
        <v>1</v>
      </c>
      <c r="L2043" s="62">
        <f t="shared" si="2"/>
        <v>1</v>
      </c>
    </row>
    <row r="2044">
      <c r="A2044" s="58">
        <v>45962.0</v>
      </c>
      <c r="B2044" s="24" t="s">
        <v>6787</v>
      </c>
      <c r="C2044" s="24" t="s">
        <v>6841</v>
      </c>
      <c r="D2044" s="59">
        <v>40.0</v>
      </c>
      <c r="E2044" s="59">
        <v>40.0</v>
      </c>
      <c r="F2044" s="59">
        <v>40.0</v>
      </c>
      <c r="G2044" s="60">
        <v>1.0</v>
      </c>
      <c r="H2044" s="60">
        <v>0.5</v>
      </c>
      <c r="I2044" s="60">
        <v>16.9464718</v>
      </c>
      <c r="J2044" s="59">
        <v>40.0</v>
      </c>
      <c r="K2044" s="61">
        <f t="shared" si="1"/>
        <v>1</v>
      </c>
      <c r="L2044" s="62">
        <f t="shared" si="2"/>
        <v>1</v>
      </c>
    </row>
    <row r="2045">
      <c r="A2045" s="58">
        <v>45962.0</v>
      </c>
      <c r="B2045" s="24" t="s">
        <v>6787</v>
      </c>
      <c r="C2045" s="24" t="s">
        <v>6909</v>
      </c>
      <c r="D2045" s="59">
        <v>40.0</v>
      </c>
      <c r="E2045" s="59">
        <v>42.0</v>
      </c>
      <c r="F2045" s="59">
        <v>40.0</v>
      </c>
      <c r="G2045" s="60">
        <v>1.05</v>
      </c>
      <c r="H2045" s="60">
        <v>0.738095238095238</v>
      </c>
      <c r="I2045" s="60">
        <v>9.1210905</v>
      </c>
      <c r="J2045" s="59">
        <v>42.0</v>
      </c>
      <c r="K2045" s="61">
        <f t="shared" si="1"/>
        <v>0.9523809524</v>
      </c>
      <c r="L2045" s="62">
        <f t="shared" si="2"/>
        <v>1</v>
      </c>
    </row>
    <row r="2046">
      <c r="A2046" s="58">
        <v>45962.0</v>
      </c>
      <c r="B2046" s="24" t="s">
        <v>6787</v>
      </c>
      <c r="C2046" s="24" t="s">
        <v>6931</v>
      </c>
      <c r="D2046" s="59">
        <v>38.0</v>
      </c>
      <c r="E2046" s="59">
        <v>38.0</v>
      </c>
      <c r="F2046" s="59">
        <v>38.0</v>
      </c>
      <c r="G2046" s="60">
        <v>1.0</v>
      </c>
      <c r="H2046" s="60">
        <v>0.631578947368421</v>
      </c>
      <c r="I2046" s="60">
        <v>8.19561063157894</v>
      </c>
      <c r="J2046" s="59">
        <v>38.0</v>
      </c>
      <c r="K2046" s="61">
        <f t="shared" si="1"/>
        <v>1</v>
      </c>
      <c r="L2046" s="62">
        <f t="shared" si="2"/>
        <v>1</v>
      </c>
    </row>
    <row r="2047">
      <c r="A2047" s="58">
        <v>45962.0</v>
      </c>
      <c r="B2047" s="24" t="s">
        <v>6787</v>
      </c>
      <c r="C2047" s="24" t="s">
        <v>6813</v>
      </c>
      <c r="D2047" s="59">
        <v>36.0</v>
      </c>
      <c r="E2047" s="59">
        <v>36.0</v>
      </c>
      <c r="F2047" s="59">
        <v>35.0</v>
      </c>
      <c r="G2047" s="60">
        <v>1.02857142857142</v>
      </c>
      <c r="H2047" s="60">
        <v>0.888888888888888</v>
      </c>
      <c r="I2047" s="60">
        <v>4.13844463888888</v>
      </c>
      <c r="J2047" s="59">
        <v>36.0</v>
      </c>
      <c r="K2047" s="61">
        <f t="shared" si="1"/>
        <v>0.9722222222</v>
      </c>
      <c r="L2047" s="62">
        <f t="shared" si="2"/>
        <v>1</v>
      </c>
    </row>
    <row r="2048">
      <c r="A2048" s="58">
        <v>45962.0</v>
      </c>
      <c r="B2048" s="24" t="s">
        <v>155</v>
      </c>
      <c r="C2048" s="24" t="s">
        <v>6792</v>
      </c>
      <c r="D2048" s="59">
        <v>35.0</v>
      </c>
      <c r="E2048" s="59">
        <v>47.0</v>
      </c>
      <c r="F2048" s="59">
        <v>0.0</v>
      </c>
      <c r="G2048" s="60">
        <v>1.88</v>
      </c>
      <c r="H2048" s="60">
        <v>0.957446808510638</v>
      </c>
      <c r="I2048" s="60">
        <v>0.963436042553191</v>
      </c>
      <c r="J2048" s="59">
        <v>0.0</v>
      </c>
      <c r="K2048" s="61">
        <f t="shared" si="1"/>
        <v>0</v>
      </c>
      <c r="L2048" s="62">
        <f t="shared" si="2"/>
        <v>0</v>
      </c>
    </row>
    <row r="2049">
      <c r="A2049" s="58">
        <v>45962.0</v>
      </c>
      <c r="B2049" s="24" t="s">
        <v>6791</v>
      </c>
      <c r="C2049" s="24" t="s">
        <v>7120</v>
      </c>
      <c r="D2049" s="59">
        <v>34.0</v>
      </c>
      <c r="E2049" s="59">
        <v>34.0</v>
      </c>
      <c r="F2049" s="59">
        <v>34.0</v>
      </c>
      <c r="G2049" s="60">
        <v>1.0</v>
      </c>
      <c r="H2049" s="60">
        <v>0.558823529411764</v>
      </c>
      <c r="I2049" s="60">
        <v>47.3624588235294</v>
      </c>
      <c r="J2049" s="59">
        <v>51.0</v>
      </c>
      <c r="K2049" s="61">
        <f t="shared" si="1"/>
        <v>1</v>
      </c>
      <c r="L2049" s="62">
        <f t="shared" si="2"/>
        <v>1.5</v>
      </c>
    </row>
    <row r="2050">
      <c r="A2050" s="58">
        <v>45962.0</v>
      </c>
      <c r="B2050" s="24" t="s">
        <v>3216</v>
      </c>
      <c r="C2050" s="24" t="s">
        <v>6832</v>
      </c>
      <c r="D2050" s="59">
        <v>33.0</v>
      </c>
      <c r="E2050" s="59">
        <v>35.0</v>
      </c>
      <c r="F2050" s="59">
        <v>33.0</v>
      </c>
      <c r="G2050" s="60">
        <v>1.06060606060606</v>
      </c>
      <c r="H2050" s="60">
        <v>0.828571428571428</v>
      </c>
      <c r="I2050" s="60">
        <v>37.1953317428571</v>
      </c>
      <c r="J2050" s="59">
        <v>38.0</v>
      </c>
      <c r="K2050" s="61">
        <f t="shared" si="1"/>
        <v>0.9428571429</v>
      </c>
      <c r="L2050" s="62">
        <f t="shared" si="2"/>
        <v>1.085714286</v>
      </c>
    </row>
    <row r="2051">
      <c r="A2051" s="58">
        <v>45962.0</v>
      </c>
      <c r="B2051" s="24" t="s">
        <v>6787</v>
      </c>
      <c r="C2051" s="24" t="s">
        <v>6811</v>
      </c>
      <c r="D2051" s="59">
        <v>32.0</v>
      </c>
      <c r="E2051" s="59">
        <v>32.0</v>
      </c>
      <c r="F2051" s="59">
        <v>32.0</v>
      </c>
      <c r="G2051" s="60">
        <v>1.0</v>
      </c>
      <c r="H2051" s="60">
        <v>0.59375</v>
      </c>
      <c r="I2051" s="60">
        <v>7.71265359375</v>
      </c>
      <c r="J2051" s="59">
        <v>32.0</v>
      </c>
      <c r="K2051" s="61">
        <f t="shared" si="1"/>
        <v>1</v>
      </c>
      <c r="L2051" s="62">
        <f t="shared" si="2"/>
        <v>1</v>
      </c>
    </row>
    <row r="2052">
      <c r="A2052" s="58">
        <v>45962.0</v>
      </c>
      <c r="B2052" s="24" t="s">
        <v>6787</v>
      </c>
      <c r="C2052" s="24" t="s">
        <v>7026</v>
      </c>
      <c r="D2052" s="59">
        <v>31.0</v>
      </c>
      <c r="E2052" s="59">
        <v>31.0</v>
      </c>
      <c r="F2052" s="59">
        <v>30.0</v>
      </c>
      <c r="G2052" s="60">
        <v>1.0</v>
      </c>
      <c r="H2052" s="60">
        <v>0.64516129032258</v>
      </c>
      <c r="I2052" s="60">
        <v>81.6091896451613</v>
      </c>
      <c r="J2052" s="59">
        <v>37.0</v>
      </c>
      <c r="K2052" s="61">
        <f t="shared" si="1"/>
        <v>0.9677419355</v>
      </c>
      <c r="L2052" s="62">
        <f t="shared" si="2"/>
        <v>1.193548387</v>
      </c>
    </row>
    <row r="2053">
      <c r="A2053" s="58">
        <v>45962.0</v>
      </c>
      <c r="B2053" s="24" t="s">
        <v>6787</v>
      </c>
      <c r="C2053" s="24" t="s">
        <v>6799</v>
      </c>
      <c r="D2053" s="59">
        <v>30.0</v>
      </c>
      <c r="E2053" s="59">
        <v>31.0</v>
      </c>
      <c r="F2053" s="59">
        <v>29.0</v>
      </c>
      <c r="G2053" s="60">
        <v>1.03333333333333</v>
      </c>
      <c r="H2053" s="60">
        <v>0.548387096774193</v>
      </c>
      <c r="I2053" s="60">
        <v>42.0614466451613</v>
      </c>
      <c r="J2053" s="59">
        <v>34.0</v>
      </c>
      <c r="K2053" s="61">
        <f t="shared" si="1"/>
        <v>0.935483871</v>
      </c>
      <c r="L2053" s="62">
        <f t="shared" si="2"/>
        <v>1.096774194</v>
      </c>
    </row>
    <row r="2054">
      <c r="A2054" s="58">
        <v>45962.0</v>
      </c>
      <c r="B2054" s="24" t="s">
        <v>6790</v>
      </c>
      <c r="C2054" s="24" t="s">
        <v>6788</v>
      </c>
      <c r="D2054" s="59">
        <v>29.0</v>
      </c>
      <c r="E2054" s="59">
        <v>41.0</v>
      </c>
      <c r="F2054" s="59">
        <v>24.0</v>
      </c>
      <c r="G2054" s="60">
        <v>1.41379310344827</v>
      </c>
      <c r="H2054" s="60">
        <v>0.585365853658536</v>
      </c>
      <c r="I2054" s="60">
        <v>298.238133170731</v>
      </c>
      <c r="J2054" s="59">
        <v>231.0</v>
      </c>
      <c r="K2054" s="61">
        <f t="shared" si="1"/>
        <v>0.5853658537</v>
      </c>
      <c r="L2054" s="62">
        <f t="shared" si="2"/>
        <v>5.634146341</v>
      </c>
    </row>
    <row r="2055">
      <c r="A2055" s="58">
        <v>45962.0</v>
      </c>
      <c r="B2055" s="24" t="s">
        <v>6787</v>
      </c>
      <c r="C2055" s="24" t="s">
        <v>7106</v>
      </c>
      <c r="D2055" s="59">
        <v>29.0</v>
      </c>
      <c r="E2055" s="59">
        <v>29.0</v>
      </c>
      <c r="F2055" s="59">
        <v>29.0</v>
      </c>
      <c r="G2055" s="60">
        <v>1.0</v>
      </c>
      <c r="H2055" s="60">
        <v>0.517241379310344</v>
      </c>
      <c r="I2055" s="60">
        <v>17.8118621034482</v>
      </c>
      <c r="J2055" s="59">
        <v>29.0</v>
      </c>
      <c r="K2055" s="61">
        <f t="shared" si="1"/>
        <v>1</v>
      </c>
      <c r="L2055" s="62">
        <f t="shared" si="2"/>
        <v>1</v>
      </c>
    </row>
    <row r="2056">
      <c r="A2056" s="58">
        <v>45962.0</v>
      </c>
      <c r="B2056" s="24" t="s">
        <v>3216</v>
      </c>
      <c r="C2056" s="24" t="s">
        <v>6835</v>
      </c>
      <c r="D2056" s="59">
        <v>26.0</v>
      </c>
      <c r="E2056" s="59">
        <v>26.0</v>
      </c>
      <c r="F2056" s="59">
        <v>26.0</v>
      </c>
      <c r="G2056" s="60">
        <v>1.0</v>
      </c>
      <c r="H2056" s="60">
        <v>0.884615384615384</v>
      </c>
      <c r="I2056" s="60">
        <v>39.8579693076923</v>
      </c>
      <c r="J2056" s="59">
        <v>30.0</v>
      </c>
      <c r="K2056" s="61">
        <f t="shared" si="1"/>
        <v>1</v>
      </c>
      <c r="L2056" s="62">
        <f t="shared" si="2"/>
        <v>1.153846154</v>
      </c>
    </row>
    <row r="2057">
      <c r="A2057" s="58">
        <v>45962.0</v>
      </c>
      <c r="B2057" s="24" t="s">
        <v>6787</v>
      </c>
      <c r="C2057" s="24" t="s">
        <v>7102</v>
      </c>
      <c r="D2057" s="59">
        <v>25.0</v>
      </c>
      <c r="E2057" s="59">
        <v>25.0</v>
      </c>
      <c r="F2057" s="59">
        <v>25.0</v>
      </c>
      <c r="G2057" s="60">
        <v>1.0</v>
      </c>
      <c r="H2057" s="60">
        <v>0.8</v>
      </c>
      <c r="I2057" s="60">
        <v>5.64111432</v>
      </c>
      <c r="J2057" s="59">
        <v>25.0</v>
      </c>
      <c r="K2057" s="61">
        <f t="shared" si="1"/>
        <v>1</v>
      </c>
      <c r="L2057" s="62">
        <f t="shared" si="2"/>
        <v>1</v>
      </c>
    </row>
    <row r="2058">
      <c r="A2058" s="58">
        <v>45962.0</v>
      </c>
      <c r="B2058" s="24" t="s">
        <v>6789</v>
      </c>
      <c r="C2058" s="24" t="s">
        <v>6799</v>
      </c>
      <c r="D2058" s="59">
        <v>24.0</v>
      </c>
      <c r="E2058" s="59">
        <v>26.0</v>
      </c>
      <c r="F2058" s="59">
        <v>16.0</v>
      </c>
      <c r="G2058" s="60">
        <v>1.13043478260869</v>
      </c>
      <c r="H2058" s="60">
        <v>0.153846153846153</v>
      </c>
      <c r="I2058" s="60">
        <v>211.317818115384</v>
      </c>
      <c r="J2058" s="59">
        <v>39.0</v>
      </c>
      <c r="K2058" s="61">
        <f t="shared" si="1"/>
        <v>0.6153846154</v>
      </c>
      <c r="L2058" s="62">
        <f t="shared" si="2"/>
        <v>1.5</v>
      </c>
    </row>
    <row r="2059">
      <c r="A2059" s="58">
        <v>45962.0</v>
      </c>
      <c r="B2059" s="24" t="s">
        <v>6787</v>
      </c>
      <c r="C2059" s="24" t="s">
        <v>6802</v>
      </c>
      <c r="D2059" s="59">
        <v>24.0</v>
      </c>
      <c r="E2059" s="59">
        <v>27.0</v>
      </c>
      <c r="F2059" s="59">
        <v>23.0</v>
      </c>
      <c r="G2059" s="60">
        <v>1.125</v>
      </c>
      <c r="H2059" s="60">
        <v>0.74074074074074</v>
      </c>
      <c r="I2059" s="60">
        <v>126.683661148148</v>
      </c>
      <c r="J2059" s="59">
        <v>33.0</v>
      </c>
      <c r="K2059" s="61">
        <f t="shared" si="1"/>
        <v>0.8518518519</v>
      </c>
      <c r="L2059" s="62">
        <f t="shared" si="2"/>
        <v>1.222222222</v>
      </c>
    </row>
    <row r="2060">
      <c r="A2060" s="58">
        <v>45962.0</v>
      </c>
      <c r="B2060" s="24" t="s">
        <v>6789</v>
      </c>
      <c r="C2060" s="24" t="s">
        <v>6808</v>
      </c>
      <c r="D2060" s="59">
        <v>21.0</v>
      </c>
      <c r="E2060" s="59">
        <v>24.0</v>
      </c>
      <c r="F2060" s="59">
        <v>11.0</v>
      </c>
      <c r="G2060" s="60">
        <v>1.26315789473684</v>
      </c>
      <c r="H2060" s="60">
        <v>0.458333333333333</v>
      </c>
      <c r="I2060" s="60">
        <v>55.77785</v>
      </c>
      <c r="J2060" s="59">
        <v>30.0</v>
      </c>
      <c r="K2060" s="61">
        <f t="shared" si="1"/>
        <v>0.4583333333</v>
      </c>
      <c r="L2060" s="62">
        <f t="shared" si="2"/>
        <v>1.25</v>
      </c>
    </row>
    <row r="2061">
      <c r="A2061" s="58">
        <v>45962.0</v>
      </c>
      <c r="B2061" s="24" t="s">
        <v>6787</v>
      </c>
      <c r="C2061" s="24" t="s">
        <v>6854</v>
      </c>
      <c r="D2061" s="59">
        <v>21.0</v>
      </c>
      <c r="E2061" s="59">
        <v>22.0</v>
      </c>
      <c r="F2061" s="59">
        <v>21.0</v>
      </c>
      <c r="G2061" s="60">
        <v>1.04761904761904</v>
      </c>
      <c r="H2061" s="60">
        <v>0.727272727272727</v>
      </c>
      <c r="I2061" s="60">
        <v>81.0352786818181</v>
      </c>
      <c r="J2061" s="59">
        <v>24.0</v>
      </c>
      <c r="K2061" s="61">
        <f t="shared" si="1"/>
        <v>0.9545454545</v>
      </c>
      <c r="L2061" s="62">
        <f t="shared" si="2"/>
        <v>1.090909091</v>
      </c>
    </row>
    <row r="2062">
      <c r="A2062" s="58">
        <v>45962.0</v>
      </c>
      <c r="B2062" s="24" t="s">
        <v>6787</v>
      </c>
      <c r="C2062" s="24" t="s">
        <v>6898</v>
      </c>
      <c r="D2062" s="59">
        <v>20.0</v>
      </c>
      <c r="E2062" s="59">
        <v>20.0</v>
      </c>
      <c r="F2062" s="59">
        <v>21.0</v>
      </c>
      <c r="G2062" s="60">
        <v>1.0</v>
      </c>
      <c r="H2062" s="60">
        <v>0.8</v>
      </c>
      <c r="I2062" s="60">
        <v>6.9700419</v>
      </c>
      <c r="J2062" s="59">
        <v>21.0</v>
      </c>
      <c r="K2062" s="61">
        <f t="shared" si="1"/>
        <v>1.05</v>
      </c>
      <c r="L2062" s="62">
        <f t="shared" si="2"/>
        <v>1.05</v>
      </c>
    </row>
    <row r="2063">
      <c r="A2063" s="58">
        <v>45962.0</v>
      </c>
      <c r="B2063" s="24" t="s">
        <v>6787</v>
      </c>
      <c r="C2063" s="24" t="s">
        <v>6809</v>
      </c>
      <c r="D2063" s="59">
        <v>20.0</v>
      </c>
      <c r="E2063" s="59">
        <v>20.0</v>
      </c>
      <c r="F2063" s="59">
        <v>19.0</v>
      </c>
      <c r="G2063" s="60">
        <v>1.05263157894736</v>
      </c>
      <c r="H2063" s="60">
        <v>0.8</v>
      </c>
      <c r="I2063" s="60">
        <v>8.4254746</v>
      </c>
      <c r="J2063" s="59">
        <v>21.0</v>
      </c>
      <c r="K2063" s="61">
        <f t="shared" si="1"/>
        <v>0.95</v>
      </c>
      <c r="L2063" s="62">
        <f t="shared" si="2"/>
        <v>1.05</v>
      </c>
    </row>
    <row r="2064">
      <c r="A2064" s="58">
        <v>45962.0</v>
      </c>
      <c r="B2064" s="24" t="s">
        <v>6787</v>
      </c>
      <c r="C2064" s="24" t="s">
        <v>6849</v>
      </c>
      <c r="D2064" s="59">
        <v>20.0</v>
      </c>
      <c r="E2064" s="59">
        <v>20.0</v>
      </c>
      <c r="F2064" s="59">
        <v>20.0</v>
      </c>
      <c r="G2064" s="60">
        <v>1.0</v>
      </c>
      <c r="H2064" s="60">
        <v>0.9</v>
      </c>
      <c r="I2064" s="60">
        <v>2.23604715</v>
      </c>
      <c r="J2064" s="59">
        <v>20.0</v>
      </c>
      <c r="K2064" s="61">
        <f t="shared" si="1"/>
        <v>1</v>
      </c>
      <c r="L2064" s="62">
        <f t="shared" si="2"/>
        <v>1</v>
      </c>
    </row>
    <row r="2065">
      <c r="A2065" s="58">
        <v>45962.0</v>
      </c>
      <c r="B2065" s="24" t="s">
        <v>3216</v>
      </c>
      <c r="C2065" s="24" t="s">
        <v>6830</v>
      </c>
      <c r="D2065" s="59">
        <v>19.0</v>
      </c>
      <c r="E2065" s="59">
        <v>19.0</v>
      </c>
      <c r="F2065" s="59">
        <v>19.0</v>
      </c>
      <c r="G2065" s="60">
        <v>1.0</v>
      </c>
      <c r="H2065" s="60">
        <v>1.0</v>
      </c>
      <c r="I2065" s="60">
        <v>0.139194</v>
      </c>
      <c r="J2065" s="59">
        <v>19.0</v>
      </c>
      <c r="K2065" s="61">
        <f t="shared" si="1"/>
        <v>1</v>
      </c>
      <c r="L2065" s="62">
        <f t="shared" si="2"/>
        <v>1</v>
      </c>
    </row>
    <row r="2066">
      <c r="A2066" s="58">
        <v>45962.0</v>
      </c>
      <c r="B2066" s="24" t="s">
        <v>6789</v>
      </c>
      <c r="C2066" s="24" t="s">
        <v>6809</v>
      </c>
      <c r="D2066" s="59">
        <v>19.0</v>
      </c>
      <c r="E2066" s="59">
        <v>21.0</v>
      </c>
      <c r="F2066" s="59">
        <v>13.0</v>
      </c>
      <c r="G2066" s="60">
        <v>1.16666666666666</v>
      </c>
      <c r="H2066" s="60">
        <v>0.476190476190476</v>
      </c>
      <c r="I2066" s="60">
        <v>430.830041142857</v>
      </c>
      <c r="J2066" s="59">
        <v>47.0</v>
      </c>
      <c r="K2066" s="61">
        <f t="shared" si="1"/>
        <v>0.619047619</v>
      </c>
      <c r="L2066" s="62">
        <f t="shared" si="2"/>
        <v>2.238095238</v>
      </c>
    </row>
    <row r="2067">
      <c r="A2067" s="58">
        <v>45962.0</v>
      </c>
      <c r="B2067" s="24" t="s">
        <v>6787</v>
      </c>
      <c r="C2067" s="24" t="s">
        <v>6908</v>
      </c>
      <c r="D2067" s="59">
        <v>19.0</v>
      </c>
      <c r="E2067" s="59">
        <v>19.0</v>
      </c>
      <c r="F2067" s="59">
        <v>20.0</v>
      </c>
      <c r="G2067" s="60">
        <v>1.0</v>
      </c>
      <c r="H2067" s="60">
        <v>0.842105263157894</v>
      </c>
      <c r="I2067" s="60">
        <v>2.65644926315789</v>
      </c>
      <c r="J2067" s="59">
        <v>20.0</v>
      </c>
      <c r="K2067" s="61">
        <f t="shared" si="1"/>
        <v>1.052631579</v>
      </c>
      <c r="L2067" s="62">
        <f t="shared" si="2"/>
        <v>1.052631579</v>
      </c>
    </row>
    <row r="2068">
      <c r="A2068" s="58">
        <v>45962.0</v>
      </c>
      <c r="B2068" s="24" t="s">
        <v>6787</v>
      </c>
      <c r="C2068" s="24" t="s">
        <v>6834</v>
      </c>
      <c r="D2068" s="59">
        <v>18.0</v>
      </c>
      <c r="E2068" s="59">
        <v>18.0</v>
      </c>
      <c r="F2068" s="59">
        <v>18.0</v>
      </c>
      <c r="G2068" s="60">
        <v>1.0</v>
      </c>
      <c r="H2068" s="60">
        <v>0.611111111111111</v>
      </c>
      <c r="I2068" s="60">
        <v>10.6114577222222</v>
      </c>
      <c r="J2068" s="59">
        <v>18.0</v>
      </c>
      <c r="K2068" s="61">
        <f t="shared" si="1"/>
        <v>1</v>
      </c>
      <c r="L2068" s="62">
        <f t="shared" si="2"/>
        <v>1</v>
      </c>
    </row>
    <row r="2069">
      <c r="A2069" s="58">
        <v>45962.0</v>
      </c>
      <c r="B2069" s="24" t="s">
        <v>6787</v>
      </c>
      <c r="C2069" s="24" t="s">
        <v>6796</v>
      </c>
      <c r="D2069" s="59">
        <v>17.0</v>
      </c>
      <c r="E2069" s="59">
        <v>18.0</v>
      </c>
      <c r="F2069" s="59">
        <v>16.0</v>
      </c>
      <c r="G2069" s="60">
        <v>1.05882352941176</v>
      </c>
      <c r="H2069" s="60">
        <v>0.777777777777777</v>
      </c>
      <c r="I2069" s="60">
        <v>68.3702433333333</v>
      </c>
      <c r="J2069" s="59">
        <v>20.0</v>
      </c>
      <c r="K2069" s="61">
        <f t="shared" si="1"/>
        <v>0.8888888889</v>
      </c>
      <c r="L2069" s="62">
        <f t="shared" si="2"/>
        <v>1.111111111</v>
      </c>
    </row>
    <row r="2070">
      <c r="A2070" s="58">
        <v>45962.0</v>
      </c>
      <c r="B2070" s="24" t="s">
        <v>6787</v>
      </c>
      <c r="C2070" s="24" t="s">
        <v>6850</v>
      </c>
      <c r="D2070" s="59">
        <v>17.0</v>
      </c>
      <c r="E2070" s="59">
        <v>17.0</v>
      </c>
      <c r="F2070" s="59">
        <v>17.0</v>
      </c>
      <c r="G2070" s="60">
        <v>1.0</v>
      </c>
      <c r="H2070" s="60">
        <v>0.823529411764705</v>
      </c>
      <c r="I2070" s="60">
        <v>3.51813417647058</v>
      </c>
      <c r="J2070" s="59">
        <v>17.0</v>
      </c>
      <c r="K2070" s="61">
        <f t="shared" si="1"/>
        <v>1</v>
      </c>
      <c r="L2070" s="62">
        <f t="shared" si="2"/>
        <v>1</v>
      </c>
    </row>
    <row r="2071">
      <c r="A2071" s="58">
        <v>45962.0</v>
      </c>
      <c r="B2071" s="24" t="s">
        <v>6787</v>
      </c>
      <c r="C2071" s="24" t="s">
        <v>6851</v>
      </c>
      <c r="D2071" s="59">
        <v>17.0</v>
      </c>
      <c r="E2071" s="59">
        <v>17.0</v>
      </c>
      <c r="F2071" s="59">
        <v>17.0</v>
      </c>
      <c r="G2071" s="60">
        <v>1.0</v>
      </c>
      <c r="H2071" s="60">
        <v>0.88235294117647</v>
      </c>
      <c r="I2071" s="60">
        <v>14.1677907647058</v>
      </c>
      <c r="J2071" s="59">
        <v>21.0</v>
      </c>
      <c r="K2071" s="61">
        <f t="shared" si="1"/>
        <v>1</v>
      </c>
      <c r="L2071" s="62">
        <f t="shared" si="2"/>
        <v>1.235294118</v>
      </c>
    </row>
    <row r="2072">
      <c r="A2072" s="58">
        <v>45962.0</v>
      </c>
      <c r="B2072" s="24" t="s">
        <v>6789</v>
      </c>
      <c r="C2072" s="24" t="s">
        <v>6815</v>
      </c>
      <c r="D2072" s="59">
        <v>17.0</v>
      </c>
      <c r="E2072" s="59">
        <v>17.0</v>
      </c>
      <c r="F2072" s="59">
        <v>15.0</v>
      </c>
      <c r="G2072" s="60">
        <v>1.0625</v>
      </c>
      <c r="H2072" s="60">
        <v>0.294117647058823</v>
      </c>
      <c r="I2072" s="60">
        <v>175.128515529411</v>
      </c>
      <c r="J2072" s="59">
        <v>29.0</v>
      </c>
      <c r="K2072" s="61">
        <f t="shared" si="1"/>
        <v>0.8823529412</v>
      </c>
      <c r="L2072" s="62">
        <f t="shared" si="2"/>
        <v>1.705882353</v>
      </c>
    </row>
    <row r="2073">
      <c r="A2073" s="58">
        <v>45962.0</v>
      </c>
      <c r="B2073" s="24" t="s">
        <v>3216</v>
      </c>
      <c r="C2073" s="24" t="s">
        <v>6866</v>
      </c>
      <c r="D2073" s="59">
        <v>16.0</v>
      </c>
      <c r="E2073" s="59">
        <v>16.0</v>
      </c>
      <c r="F2073" s="59">
        <v>16.0</v>
      </c>
      <c r="G2073" s="60">
        <v>1.0</v>
      </c>
      <c r="H2073" s="60">
        <v>0.9375</v>
      </c>
      <c r="I2073" s="60">
        <v>0.768214</v>
      </c>
      <c r="J2073" s="59">
        <v>17.0</v>
      </c>
      <c r="K2073" s="61">
        <f t="shared" si="1"/>
        <v>1</v>
      </c>
      <c r="L2073" s="62">
        <f t="shared" si="2"/>
        <v>1.0625</v>
      </c>
    </row>
    <row r="2074">
      <c r="A2074" s="58">
        <v>45962.0</v>
      </c>
      <c r="B2074" s="24" t="s">
        <v>6787</v>
      </c>
      <c r="C2074" s="24" t="s">
        <v>7196</v>
      </c>
      <c r="D2074" s="59">
        <v>16.0</v>
      </c>
      <c r="E2074" s="59">
        <v>20.0</v>
      </c>
      <c r="F2074" s="59">
        <v>16.0</v>
      </c>
      <c r="G2074" s="60">
        <v>1.25</v>
      </c>
      <c r="H2074" s="60">
        <v>0.55</v>
      </c>
      <c r="I2074" s="60">
        <v>14.3497934999999</v>
      </c>
      <c r="J2074" s="59">
        <v>20.0</v>
      </c>
      <c r="K2074" s="61">
        <f t="shared" si="1"/>
        <v>0.8</v>
      </c>
      <c r="L2074" s="62">
        <f t="shared" si="2"/>
        <v>1</v>
      </c>
    </row>
    <row r="2075">
      <c r="A2075" s="58">
        <v>45962.0</v>
      </c>
      <c r="B2075" s="24" t="s">
        <v>6787</v>
      </c>
      <c r="C2075" s="24" t="s">
        <v>6954</v>
      </c>
      <c r="D2075" s="59">
        <v>15.0</v>
      </c>
      <c r="E2075" s="59">
        <v>15.0</v>
      </c>
      <c r="F2075" s="59">
        <v>15.0</v>
      </c>
      <c r="G2075" s="60">
        <v>1.0</v>
      </c>
      <c r="H2075" s="60">
        <v>0.6</v>
      </c>
      <c r="I2075" s="60">
        <v>7.76849219999999</v>
      </c>
      <c r="J2075" s="59">
        <v>15.0</v>
      </c>
      <c r="K2075" s="61">
        <f t="shared" si="1"/>
        <v>1</v>
      </c>
      <c r="L2075" s="62">
        <f t="shared" si="2"/>
        <v>1</v>
      </c>
    </row>
    <row r="2076">
      <c r="A2076" s="58">
        <v>45962.0</v>
      </c>
      <c r="B2076" s="24" t="s">
        <v>6789</v>
      </c>
      <c r="C2076" s="24" t="s">
        <v>6876</v>
      </c>
      <c r="D2076" s="59">
        <v>15.0</v>
      </c>
      <c r="E2076" s="59">
        <v>16.0</v>
      </c>
      <c r="F2076" s="59">
        <v>13.0</v>
      </c>
      <c r="G2076" s="60">
        <v>1.06666666666666</v>
      </c>
      <c r="H2076" s="60">
        <v>0.3125</v>
      </c>
      <c r="I2076" s="60">
        <v>98.63158725</v>
      </c>
      <c r="J2076" s="59">
        <v>26.0</v>
      </c>
      <c r="K2076" s="61">
        <f t="shared" si="1"/>
        <v>0.8125</v>
      </c>
      <c r="L2076" s="62">
        <f t="shared" si="2"/>
        <v>1.625</v>
      </c>
    </row>
    <row r="2077">
      <c r="A2077" s="58">
        <v>45962.0</v>
      </c>
      <c r="B2077" s="24" t="s">
        <v>6787</v>
      </c>
      <c r="C2077" s="24" t="s">
        <v>6864</v>
      </c>
      <c r="D2077" s="59">
        <v>14.0</v>
      </c>
      <c r="E2077" s="59">
        <v>14.0</v>
      </c>
      <c r="F2077" s="59">
        <v>14.0</v>
      </c>
      <c r="G2077" s="60">
        <v>1.0</v>
      </c>
      <c r="H2077" s="60">
        <v>0.642857142857142</v>
      </c>
      <c r="I2077" s="60">
        <v>7.65290985714285</v>
      </c>
      <c r="J2077" s="59">
        <v>14.0</v>
      </c>
      <c r="K2077" s="61">
        <f t="shared" si="1"/>
        <v>1</v>
      </c>
      <c r="L2077" s="62">
        <f t="shared" si="2"/>
        <v>1</v>
      </c>
    </row>
    <row r="2078">
      <c r="A2078" s="58">
        <v>45962.0</v>
      </c>
      <c r="B2078" s="24" t="s">
        <v>6789</v>
      </c>
      <c r="C2078" s="24" t="s">
        <v>7024</v>
      </c>
      <c r="D2078" s="59">
        <v>14.0</v>
      </c>
      <c r="E2078" s="59">
        <v>15.0</v>
      </c>
      <c r="F2078" s="59">
        <v>14.0</v>
      </c>
      <c r="G2078" s="60">
        <v>1.07142857142857</v>
      </c>
      <c r="H2078" s="60">
        <v>0.6</v>
      </c>
      <c r="I2078" s="60">
        <v>46.7608508</v>
      </c>
      <c r="J2078" s="59">
        <v>16.0</v>
      </c>
      <c r="K2078" s="61">
        <f t="shared" si="1"/>
        <v>0.9333333333</v>
      </c>
      <c r="L2078" s="62">
        <f t="shared" si="2"/>
        <v>1.066666667</v>
      </c>
    </row>
    <row r="2079">
      <c r="A2079" s="58">
        <v>45962.0</v>
      </c>
      <c r="B2079" s="24" t="s">
        <v>6789</v>
      </c>
      <c r="C2079" s="24" t="s">
        <v>6841</v>
      </c>
      <c r="D2079" s="59">
        <v>14.0</v>
      </c>
      <c r="E2079" s="59">
        <v>15.0</v>
      </c>
      <c r="F2079" s="59">
        <v>12.0</v>
      </c>
      <c r="G2079" s="60">
        <v>1.07142857142857</v>
      </c>
      <c r="H2079" s="60">
        <v>0.6</v>
      </c>
      <c r="I2079" s="60">
        <v>158.735276866666</v>
      </c>
      <c r="J2079" s="59">
        <v>21.0</v>
      </c>
      <c r="K2079" s="61">
        <f t="shared" si="1"/>
        <v>0.8</v>
      </c>
      <c r="L2079" s="62">
        <f t="shared" si="2"/>
        <v>1.4</v>
      </c>
    </row>
    <row r="2080">
      <c r="A2080" s="58">
        <v>45962.0</v>
      </c>
      <c r="B2080" s="24" t="s">
        <v>6787</v>
      </c>
      <c r="C2080" s="24" t="s">
        <v>7111</v>
      </c>
      <c r="D2080" s="59">
        <v>14.0</v>
      </c>
      <c r="E2080" s="59">
        <v>14.0</v>
      </c>
      <c r="F2080" s="59">
        <v>14.0</v>
      </c>
      <c r="G2080" s="60">
        <v>1.0</v>
      </c>
      <c r="H2080" s="60">
        <v>0.928571428571428</v>
      </c>
      <c r="I2080" s="60">
        <v>5.46687885714285</v>
      </c>
      <c r="J2080" s="59">
        <v>14.0</v>
      </c>
      <c r="K2080" s="61">
        <f t="shared" si="1"/>
        <v>1</v>
      </c>
      <c r="L2080" s="62">
        <f t="shared" si="2"/>
        <v>1</v>
      </c>
    </row>
    <row r="2081">
      <c r="A2081" s="58">
        <v>45962.0</v>
      </c>
      <c r="B2081" s="24" t="s">
        <v>6787</v>
      </c>
      <c r="C2081" s="24" t="s">
        <v>6840</v>
      </c>
      <c r="D2081" s="59">
        <v>13.0</v>
      </c>
      <c r="E2081" s="59">
        <v>13.0</v>
      </c>
      <c r="F2081" s="59">
        <v>12.0</v>
      </c>
      <c r="G2081" s="60">
        <v>1.08333333333333</v>
      </c>
      <c r="H2081" s="60">
        <v>0.692307692307692</v>
      </c>
      <c r="I2081" s="60">
        <v>34.620558</v>
      </c>
      <c r="J2081" s="59">
        <v>25.0</v>
      </c>
      <c r="K2081" s="61">
        <f t="shared" si="1"/>
        <v>0.9230769231</v>
      </c>
      <c r="L2081" s="62">
        <f t="shared" si="2"/>
        <v>1.923076923</v>
      </c>
    </row>
    <row r="2082">
      <c r="A2082" s="58">
        <v>45962.0</v>
      </c>
      <c r="B2082" s="24" t="s">
        <v>6791</v>
      </c>
      <c r="C2082" s="24" t="s">
        <v>7119</v>
      </c>
      <c r="D2082" s="59">
        <v>13.0</v>
      </c>
      <c r="E2082" s="59">
        <v>13.0</v>
      </c>
      <c r="F2082" s="59">
        <v>11.0</v>
      </c>
      <c r="G2082" s="60">
        <v>1.08333333333333</v>
      </c>
      <c r="H2082" s="60">
        <v>0.384615384615384</v>
      </c>
      <c r="I2082" s="60">
        <v>155.176356</v>
      </c>
      <c r="J2082" s="59">
        <v>21.0</v>
      </c>
      <c r="K2082" s="61">
        <f t="shared" si="1"/>
        <v>0.8461538462</v>
      </c>
      <c r="L2082" s="62">
        <f t="shared" si="2"/>
        <v>1.615384615</v>
      </c>
    </row>
    <row r="2083">
      <c r="A2083" s="58">
        <v>45962.0</v>
      </c>
      <c r="B2083" s="24" t="s">
        <v>6787</v>
      </c>
      <c r="C2083" s="24" t="s">
        <v>6910</v>
      </c>
      <c r="D2083" s="59">
        <v>13.0</v>
      </c>
      <c r="E2083" s="59">
        <v>13.0</v>
      </c>
      <c r="F2083" s="59">
        <v>13.0</v>
      </c>
      <c r="G2083" s="60">
        <v>1.0</v>
      </c>
      <c r="H2083" s="60">
        <v>0.692307692307692</v>
      </c>
      <c r="I2083" s="60">
        <v>7.16646153846153</v>
      </c>
      <c r="J2083" s="59">
        <v>13.0</v>
      </c>
      <c r="K2083" s="61">
        <f t="shared" si="1"/>
        <v>1</v>
      </c>
      <c r="L2083" s="62">
        <f t="shared" si="2"/>
        <v>1</v>
      </c>
    </row>
    <row r="2084">
      <c r="A2084" s="58">
        <v>45962.0</v>
      </c>
      <c r="B2084" s="24" t="s">
        <v>6787</v>
      </c>
      <c r="C2084" s="24" t="s">
        <v>6810</v>
      </c>
      <c r="D2084" s="59">
        <v>13.0</v>
      </c>
      <c r="E2084" s="59">
        <v>13.0</v>
      </c>
      <c r="F2084" s="59">
        <v>13.0</v>
      </c>
      <c r="G2084" s="60">
        <v>1.0</v>
      </c>
      <c r="H2084" s="60">
        <v>0.538461538461538</v>
      </c>
      <c r="I2084" s="60">
        <v>102.862811538461</v>
      </c>
      <c r="J2084" s="59">
        <v>13.0</v>
      </c>
      <c r="K2084" s="61">
        <f t="shared" si="1"/>
        <v>1</v>
      </c>
      <c r="L2084" s="62">
        <f t="shared" si="2"/>
        <v>1</v>
      </c>
    </row>
    <row r="2085">
      <c r="A2085" s="58">
        <v>45962.0</v>
      </c>
      <c r="B2085" s="24" t="s">
        <v>6794</v>
      </c>
      <c r="C2085" s="24" t="s">
        <v>6792</v>
      </c>
      <c r="D2085" s="59">
        <v>12.0</v>
      </c>
      <c r="E2085" s="59">
        <v>14.0</v>
      </c>
      <c r="F2085" s="59">
        <v>0.0</v>
      </c>
      <c r="G2085" s="60">
        <v>1.75</v>
      </c>
      <c r="H2085" s="60">
        <v>1.0</v>
      </c>
      <c r="I2085" s="60">
        <v>0.0</v>
      </c>
      <c r="J2085" s="59">
        <v>0.0</v>
      </c>
      <c r="K2085" s="61">
        <f t="shared" si="1"/>
        <v>0</v>
      </c>
      <c r="L2085" s="62">
        <f t="shared" si="2"/>
        <v>0</v>
      </c>
    </row>
    <row r="2086">
      <c r="A2086" s="58">
        <v>45962.0</v>
      </c>
      <c r="B2086" s="24" t="s">
        <v>6787</v>
      </c>
      <c r="C2086" s="24" t="s">
        <v>6903</v>
      </c>
      <c r="D2086" s="59">
        <v>12.0</v>
      </c>
      <c r="E2086" s="59">
        <v>14.0</v>
      </c>
      <c r="F2086" s="59">
        <v>12.0</v>
      </c>
      <c r="G2086" s="60">
        <v>1.16666666666666</v>
      </c>
      <c r="H2086" s="60">
        <v>0.785714285714285</v>
      </c>
      <c r="I2086" s="60">
        <v>128.011589357142</v>
      </c>
      <c r="J2086" s="59">
        <v>15.0</v>
      </c>
      <c r="K2086" s="61">
        <f t="shared" si="1"/>
        <v>0.8571428571</v>
      </c>
      <c r="L2086" s="62">
        <f t="shared" si="2"/>
        <v>1.071428571</v>
      </c>
    </row>
    <row r="2087">
      <c r="A2087" s="58">
        <v>45962.0</v>
      </c>
      <c r="B2087" s="24" t="s">
        <v>6789</v>
      </c>
      <c r="C2087" s="24" t="s">
        <v>6796</v>
      </c>
      <c r="D2087" s="59">
        <v>12.0</v>
      </c>
      <c r="E2087" s="59">
        <v>12.0</v>
      </c>
      <c r="F2087" s="59">
        <v>10.0</v>
      </c>
      <c r="G2087" s="60">
        <v>1.0</v>
      </c>
      <c r="H2087" s="60">
        <v>0.0833333333333333</v>
      </c>
      <c r="I2087" s="60">
        <v>151.463079</v>
      </c>
      <c r="J2087" s="59">
        <v>23.0</v>
      </c>
      <c r="K2087" s="61">
        <f t="shared" si="1"/>
        <v>0.8333333333</v>
      </c>
      <c r="L2087" s="62">
        <f t="shared" si="2"/>
        <v>1.916666667</v>
      </c>
    </row>
    <row r="2088">
      <c r="A2088" s="58">
        <v>45962.0</v>
      </c>
      <c r="B2088" s="24" t="s">
        <v>6791</v>
      </c>
      <c r="C2088" s="24" t="s">
        <v>6788</v>
      </c>
      <c r="D2088" s="59">
        <v>11.0</v>
      </c>
      <c r="E2088" s="59">
        <v>67.0</v>
      </c>
      <c r="F2088" s="59">
        <v>0.0</v>
      </c>
      <c r="G2088" s="60">
        <v>7.44444444444444</v>
      </c>
      <c r="H2088" s="60">
        <v>0.656716417910447</v>
      </c>
      <c r="I2088" s="60">
        <v>311.468406283582</v>
      </c>
      <c r="J2088" s="59">
        <v>111.0</v>
      </c>
      <c r="K2088" s="61">
        <f t="shared" si="1"/>
        <v>0</v>
      </c>
      <c r="L2088" s="62">
        <f t="shared" si="2"/>
        <v>1.656716418</v>
      </c>
    </row>
    <row r="2089">
      <c r="A2089" s="58">
        <v>45962.0</v>
      </c>
      <c r="B2089" s="24" t="s">
        <v>6787</v>
      </c>
      <c r="C2089" s="24" t="s">
        <v>6822</v>
      </c>
      <c r="D2089" s="59">
        <v>11.0</v>
      </c>
      <c r="E2089" s="59">
        <v>11.0</v>
      </c>
      <c r="F2089" s="59">
        <v>10.0</v>
      </c>
      <c r="G2089" s="60">
        <v>1.0</v>
      </c>
      <c r="H2089" s="60">
        <v>0.363636363636363</v>
      </c>
      <c r="I2089" s="60">
        <v>233.188654181818</v>
      </c>
      <c r="J2089" s="59">
        <v>15.0</v>
      </c>
      <c r="K2089" s="61">
        <f t="shared" si="1"/>
        <v>0.9090909091</v>
      </c>
      <c r="L2089" s="62">
        <f t="shared" si="2"/>
        <v>1.363636364</v>
      </c>
    </row>
    <row r="2090">
      <c r="A2090" s="58">
        <v>45962.0</v>
      </c>
      <c r="B2090" s="24" t="s">
        <v>6787</v>
      </c>
      <c r="C2090" s="24" t="s">
        <v>6800</v>
      </c>
      <c r="D2090" s="59">
        <v>11.0</v>
      </c>
      <c r="E2090" s="59">
        <v>11.0</v>
      </c>
      <c r="F2090" s="59">
        <v>11.0</v>
      </c>
      <c r="G2090" s="60">
        <v>1.0</v>
      </c>
      <c r="H2090" s="60">
        <v>0.727272727272727</v>
      </c>
      <c r="I2090" s="60">
        <v>36.2365741818181</v>
      </c>
      <c r="J2090" s="59">
        <v>11.0</v>
      </c>
      <c r="K2090" s="61">
        <f t="shared" si="1"/>
        <v>1</v>
      </c>
      <c r="L2090" s="62">
        <f t="shared" si="2"/>
        <v>1</v>
      </c>
    </row>
    <row r="2091">
      <c r="A2091" s="58">
        <v>45962.0</v>
      </c>
      <c r="B2091" s="24" t="s">
        <v>6787</v>
      </c>
      <c r="C2091" s="24" t="s">
        <v>6960</v>
      </c>
      <c r="D2091" s="59">
        <v>11.0</v>
      </c>
      <c r="E2091" s="59">
        <v>12.0</v>
      </c>
      <c r="F2091" s="59">
        <v>10.0</v>
      </c>
      <c r="G2091" s="60">
        <v>1.09090909090909</v>
      </c>
      <c r="H2091" s="60">
        <v>0.75</v>
      </c>
      <c r="I2091" s="60">
        <v>225.235388333333</v>
      </c>
      <c r="J2091" s="59">
        <v>12.0</v>
      </c>
      <c r="K2091" s="61">
        <f t="shared" si="1"/>
        <v>0.8333333333</v>
      </c>
      <c r="L2091" s="62">
        <f t="shared" si="2"/>
        <v>1</v>
      </c>
    </row>
    <row r="2092">
      <c r="A2092" s="58">
        <v>45962.0</v>
      </c>
      <c r="B2092" s="24" t="s">
        <v>6787</v>
      </c>
      <c r="C2092" s="24" t="s">
        <v>6817</v>
      </c>
      <c r="D2092" s="59">
        <v>10.0</v>
      </c>
      <c r="E2092" s="59">
        <v>10.0</v>
      </c>
      <c r="F2092" s="59">
        <v>10.0</v>
      </c>
      <c r="G2092" s="60">
        <v>1.0</v>
      </c>
      <c r="H2092" s="60">
        <v>0.6</v>
      </c>
      <c r="I2092" s="60">
        <v>12.6091932999999</v>
      </c>
      <c r="J2092" s="59">
        <v>10.0</v>
      </c>
      <c r="K2092" s="61">
        <f t="shared" si="1"/>
        <v>1</v>
      </c>
      <c r="L2092" s="62">
        <f t="shared" si="2"/>
        <v>1</v>
      </c>
    </row>
    <row r="2093">
      <c r="A2093" s="58">
        <v>45962.0</v>
      </c>
      <c r="B2093" s="24" t="s">
        <v>6787</v>
      </c>
      <c r="C2093" s="24" t="s">
        <v>6828</v>
      </c>
      <c r="D2093" s="59">
        <v>10.0</v>
      </c>
      <c r="E2093" s="59">
        <v>10.0</v>
      </c>
      <c r="F2093" s="59">
        <v>10.0</v>
      </c>
      <c r="G2093" s="60">
        <v>1.0</v>
      </c>
      <c r="H2093" s="60">
        <v>0.7</v>
      </c>
      <c r="I2093" s="60">
        <v>5.5952542</v>
      </c>
      <c r="J2093" s="59">
        <v>10.0</v>
      </c>
      <c r="K2093" s="61">
        <f t="shared" si="1"/>
        <v>1</v>
      </c>
      <c r="L2093" s="62">
        <f t="shared" si="2"/>
        <v>1</v>
      </c>
    </row>
    <row r="2094">
      <c r="A2094" s="58">
        <v>45962.0</v>
      </c>
      <c r="B2094" s="24" t="s">
        <v>3216</v>
      </c>
      <c r="C2094" s="24" t="s">
        <v>6935</v>
      </c>
      <c r="D2094" s="59">
        <v>10.0</v>
      </c>
      <c r="E2094" s="59">
        <v>10.0</v>
      </c>
      <c r="F2094" s="59">
        <v>10.0</v>
      </c>
      <c r="G2094" s="60">
        <v>1.0</v>
      </c>
      <c r="H2094" s="60">
        <v>1.0</v>
      </c>
      <c r="I2094" s="60">
        <v>0.3081398</v>
      </c>
      <c r="J2094" s="59">
        <v>10.0</v>
      </c>
      <c r="K2094" s="61">
        <f t="shared" si="1"/>
        <v>1</v>
      </c>
      <c r="L2094" s="62">
        <f t="shared" si="2"/>
        <v>1</v>
      </c>
    </row>
    <row r="2095">
      <c r="A2095" s="58">
        <v>45962.0</v>
      </c>
      <c r="B2095" s="24" t="s">
        <v>3216</v>
      </c>
      <c r="C2095" s="24" t="s">
        <v>6995</v>
      </c>
      <c r="D2095" s="59">
        <v>10.0</v>
      </c>
      <c r="E2095" s="59">
        <v>11.0</v>
      </c>
      <c r="F2095" s="59">
        <v>10.0</v>
      </c>
      <c r="G2095" s="60">
        <v>1.1</v>
      </c>
      <c r="H2095" s="60">
        <v>0.909090909090909</v>
      </c>
      <c r="I2095" s="60">
        <v>6.99414881818181</v>
      </c>
      <c r="J2095" s="59">
        <v>12.0</v>
      </c>
      <c r="K2095" s="61">
        <f t="shared" si="1"/>
        <v>0.9090909091</v>
      </c>
      <c r="L2095" s="62">
        <f t="shared" si="2"/>
        <v>1.090909091</v>
      </c>
    </row>
    <row r="2096">
      <c r="A2096" s="58">
        <v>45962.0</v>
      </c>
      <c r="B2096" s="24" t="s">
        <v>6791</v>
      </c>
      <c r="C2096" s="24" t="s">
        <v>7121</v>
      </c>
      <c r="D2096" s="59">
        <v>10.0</v>
      </c>
      <c r="E2096" s="59">
        <v>10.0</v>
      </c>
      <c r="F2096" s="59">
        <v>10.0</v>
      </c>
      <c r="G2096" s="60">
        <v>1.0</v>
      </c>
      <c r="H2096" s="60">
        <v>0.4</v>
      </c>
      <c r="I2096" s="60">
        <v>130.555269</v>
      </c>
      <c r="J2096" s="59">
        <v>21.0</v>
      </c>
      <c r="K2096" s="61">
        <f t="shared" si="1"/>
        <v>1</v>
      </c>
      <c r="L2096" s="62">
        <f t="shared" si="2"/>
        <v>2.1</v>
      </c>
    </row>
    <row r="2097">
      <c r="A2097" s="58">
        <v>45962.0</v>
      </c>
      <c r="B2097" s="24" t="s">
        <v>6789</v>
      </c>
      <c r="C2097" s="24" t="s">
        <v>6801</v>
      </c>
      <c r="D2097" s="59">
        <v>10.0</v>
      </c>
      <c r="E2097" s="59">
        <v>10.0</v>
      </c>
      <c r="F2097" s="59">
        <v>6.0</v>
      </c>
      <c r="G2097" s="60">
        <v>1.11111111111111</v>
      </c>
      <c r="H2097" s="60">
        <v>0.3</v>
      </c>
      <c r="I2097" s="60">
        <v>40.3109401</v>
      </c>
      <c r="J2097" s="59">
        <v>11.0</v>
      </c>
      <c r="K2097" s="61">
        <f t="shared" si="1"/>
        <v>0.6</v>
      </c>
      <c r="L2097" s="62">
        <f t="shared" si="2"/>
        <v>1.1</v>
      </c>
    </row>
    <row r="2098">
      <c r="A2098" s="58">
        <v>45962.0</v>
      </c>
      <c r="B2098" s="24" t="s">
        <v>6787</v>
      </c>
      <c r="C2098" s="24" t="s">
        <v>6803</v>
      </c>
      <c r="D2098" s="59">
        <v>9.0</v>
      </c>
      <c r="E2098" s="59">
        <v>9.0</v>
      </c>
      <c r="F2098" s="59">
        <v>8.0</v>
      </c>
      <c r="G2098" s="60">
        <v>1.125</v>
      </c>
      <c r="H2098" s="60">
        <v>0.444444444444444</v>
      </c>
      <c r="I2098" s="60">
        <v>25.5596802222222</v>
      </c>
      <c r="J2098" s="59">
        <v>10.0</v>
      </c>
      <c r="K2098" s="61">
        <f t="shared" si="1"/>
        <v>0.8888888889</v>
      </c>
      <c r="L2098" s="62">
        <f t="shared" si="2"/>
        <v>1.111111111</v>
      </c>
    </row>
    <row r="2099">
      <c r="A2099" s="58">
        <v>45962.0</v>
      </c>
      <c r="B2099" s="24" t="s">
        <v>6789</v>
      </c>
      <c r="C2099" s="24" t="s">
        <v>6835</v>
      </c>
      <c r="D2099" s="59">
        <v>9.0</v>
      </c>
      <c r="E2099" s="59">
        <v>9.0</v>
      </c>
      <c r="F2099" s="59">
        <v>9.0</v>
      </c>
      <c r="G2099" s="60">
        <v>1.0</v>
      </c>
      <c r="H2099" s="60">
        <v>0.222222222222222</v>
      </c>
      <c r="I2099" s="60">
        <v>392.978520666666</v>
      </c>
      <c r="J2099" s="59">
        <v>11.0</v>
      </c>
      <c r="K2099" s="61">
        <f t="shared" si="1"/>
        <v>1</v>
      </c>
      <c r="L2099" s="62">
        <f t="shared" si="2"/>
        <v>1.222222222</v>
      </c>
    </row>
    <row r="2100">
      <c r="A2100" s="58">
        <v>45962.0</v>
      </c>
      <c r="B2100" s="24" t="s">
        <v>6787</v>
      </c>
      <c r="C2100" s="24" t="s">
        <v>7006</v>
      </c>
      <c r="D2100" s="59">
        <v>9.0</v>
      </c>
      <c r="E2100" s="59">
        <v>9.0</v>
      </c>
      <c r="F2100" s="59">
        <v>9.0</v>
      </c>
      <c r="G2100" s="60">
        <v>1.0</v>
      </c>
      <c r="H2100" s="60">
        <v>0.666666666666666</v>
      </c>
      <c r="I2100" s="60">
        <v>6.92265011111111</v>
      </c>
      <c r="J2100" s="59">
        <v>9.0</v>
      </c>
      <c r="K2100" s="61">
        <f t="shared" si="1"/>
        <v>1</v>
      </c>
      <c r="L2100" s="62">
        <f t="shared" si="2"/>
        <v>1</v>
      </c>
    </row>
    <row r="2101">
      <c r="A2101" s="58">
        <v>45962.0</v>
      </c>
      <c r="B2101" s="24" t="s">
        <v>6791</v>
      </c>
      <c r="C2101" s="24" t="s">
        <v>7157</v>
      </c>
      <c r="D2101" s="59">
        <v>9.0</v>
      </c>
      <c r="E2101" s="59">
        <v>9.0</v>
      </c>
      <c r="F2101" s="59">
        <v>9.0</v>
      </c>
      <c r="G2101" s="60">
        <v>1.0</v>
      </c>
      <c r="H2101" s="60">
        <v>0.555555555555555</v>
      </c>
      <c r="I2101" s="60">
        <v>78.019128</v>
      </c>
      <c r="J2101" s="59">
        <v>11.0</v>
      </c>
      <c r="K2101" s="61">
        <f t="shared" si="1"/>
        <v>1</v>
      </c>
      <c r="L2101" s="62">
        <f t="shared" si="2"/>
        <v>1.222222222</v>
      </c>
    </row>
    <row r="2102">
      <c r="A2102" s="58">
        <v>45962.0</v>
      </c>
      <c r="B2102" s="24" t="s">
        <v>6787</v>
      </c>
      <c r="C2102" s="24" t="s">
        <v>6912</v>
      </c>
      <c r="D2102" s="59">
        <v>9.0</v>
      </c>
      <c r="E2102" s="59">
        <v>9.0</v>
      </c>
      <c r="F2102" s="59">
        <v>9.0</v>
      </c>
      <c r="G2102" s="60">
        <v>1.0</v>
      </c>
      <c r="H2102" s="60">
        <v>0.666666666666666</v>
      </c>
      <c r="I2102" s="60">
        <v>8.17626533333333</v>
      </c>
      <c r="J2102" s="59">
        <v>9.0</v>
      </c>
      <c r="K2102" s="61">
        <f t="shared" si="1"/>
        <v>1</v>
      </c>
      <c r="L2102" s="62">
        <f t="shared" si="2"/>
        <v>1</v>
      </c>
    </row>
    <row r="2103">
      <c r="A2103" s="58">
        <v>45962.0</v>
      </c>
      <c r="B2103" s="24" t="s">
        <v>6794</v>
      </c>
      <c r="C2103" s="24" t="s">
        <v>7196</v>
      </c>
      <c r="D2103" s="59">
        <v>9.0</v>
      </c>
      <c r="E2103" s="59">
        <v>16.0</v>
      </c>
      <c r="F2103" s="59">
        <v>7.0</v>
      </c>
      <c r="G2103" s="60">
        <v>1.77777777777777</v>
      </c>
      <c r="H2103" s="60">
        <v>0.6875</v>
      </c>
      <c r="I2103" s="60">
        <v>131.9463733125</v>
      </c>
      <c r="J2103" s="59">
        <v>22.0</v>
      </c>
      <c r="K2103" s="61">
        <f t="shared" si="1"/>
        <v>0.4375</v>
      </c>
      <c r="L2103" s="62">
        <f t="shared" si="2"/>
        <v>1.375</v>
      </c>
    </row>
    <row r="2104">
      <c r="A2104" s="58">
        <v>45962.0</v>
      </c>
      <c r="B2104" s="24" t="s">
        <v>6787</v>
      </c>
      <c r="C2104" s="24" t="s">
        <v>6804</v>
      </c>
      <c r="D2104" s="59">
        <v>8.0</v>
      </c>
      <c r="E2104" s="59">
        <v>14.0</v>
      </c>
      <c r="F2104" s="59">
        <v>8.0</v>
      </c>
      <c r="G2104" s="60">
        <v>1.75</v>
      </c>
      <c r="H2104" s="60">
        <v>1.0</v>
      </c>
      <c r="I2104" s="60">
        <v>0.0</v>
      </c>
      <c r="J2104" s="59">
        <v>14.0</v>
      </c>
      <c r="K2104" s="61">
        <f t="shared" si="1"/>
        <v>0.5714285714</v>
      </c>
      <c r="L2104" s="62">
        <f t="shared" si="2"/>
        <v>1</v>
      </c>
    </row>
    <row r="2105">
      <c r="A2105" s="58">
        <v>45962.0</v>
      </c>
      <c r="B2105" s="24" t="s">
        <v>6787</v>
      </c>
      <c r="C2105" s="24" t="s">
        <v>6935</v>
      </c>
      <c r="D2105" s="59">
        <v>8.0</v>
      </c>
      <c r="E2105" s="59">
        <v>8.0</v>
      </c>
      <c r="F2105" s="59">
        <v>7.0</v>
      </c>
      <c r="G2105" s="60">
        <v>1.0</v>
      </c>
      <c r="H2105" s="60">
        <v>0.625</v>
      </c>
      <c r="I2105" s="60">
        <v>43.0406265</v>
      </c>
      <c r="J2105" s="59">
        <v>8.0</v>
      </c>
      <c r="K2105" s="61">
        <f t="shared" si="1"/>
        <v>0.875</v>
      </c>
      <c r="L2105" s="62">
        <f t="shared" si="2"/>
        <v>1</v>
      </c>
    </row>
    <row r="2106">
      <c r="A2106" s="58">
        <v>45962.0</v>
      </c>
      <c r="B2106" s="24" t="s">
        <v>6787</v>
      </c>
      <c r="C2106" s="24" t="s">
        <v>6985</v>
      </c>
      <c r="D2106" s="59">
        <v>8.0</v>
      </c>
      <c r="E2106" s="59">
        <v>8.0</v>
      </c>
      <c r="F2106" s="59">
        <v>8.0</v>
      </c>
      <c r="G2106" s="60">
        <v>1.0</v>
      </c>
      <c r="H2106" s="60">
        <v>0.5</v>
      </c>
      <c r="I2106" s="60">
        <v>10.5090955</v>
      </c>
      <c r="J2106" s="59">
        <v>8.0</v>
      </c>
      <c r="K2106" s="61">
        <f t="shared" si="1"/>
        <v>1</v>
      </c>
      <c r="L2106" s="62">
        <f t="shared" si="2"/>
        <v>1</v>
      </c>
    </row>
    <row r="2107">
      <c r="A2107" s="58">
        <v>45962.0</v>
      </c>
      <c r="B2107" s="24" t="s">
        <v>6787</v>
      </c>
      <c r="C2107" s="24" t="s">
        <v>6886</v>
      </c>
      <c r="D2107" s="59">
        <v>8.0</v>
      </c>
      <c r="E2107" s="59">
        <v>13.0</v>
      </c>
      <c r="F2107" s="59">
        <v>7.0</v>
      </c>
      <c r="G2107" s="60">
        <v>1.85714285714285</v>
      </c>
      <c r="H2107" s="60">
        <v>0.769230769230769</v>
      </c>
      <c r="I2107" s="60">
        <v>121.341696538461</v>
      </c>
      <c r="J2107" s="59">
        <v>16.0</v>
      </c>
      <c r="K2107" s="61">
        <f t="shared" si="1"/>
        <v>0.5384615385</v>
      </c>
      <c r="L2107" s="62">
        <f t="shared" si="2"/>
        <v>1.230769231</v>
      </c>
    </row>
    <row r="2108">
      <c r="A2108" s="58">
        <v>45962.0</v>
      </c>
      <c r="B2108" s="24" t="s">
        <v>6787</v>
      </c>
      <c r="C2108" s="24" t="s">
        <v>7021</v>
      </c>
      <c r="D2108" s="59">
        <v>8.0</v>
      </c>
      <c r="E2108" s="59">
        <v>9.0</v>
      </c>
      <c r="F2108" s="59">
        <v>7.0</v>
      </c>
      <c r="G2108" s="60">
        <v>1.125</v>
      </c>
      <c r="H2108" s="60">
        <v>0.555555555555555</v>
      </c>
      <c r="I2108" s="60">
        <v>47.5767546666666</v>
      </c>
      <c r="J2108" s="59">
        <v>9.0</v>
      </c>
      <c r="K2108" s="61">
        <f t="shared" si="1"/>
        <v>0.7777777778</v>
      </c>
      <c r="L2108" s="62">
        <f t="shared" si="2"/>
        <v>1</v>
      </c>
    </row>
    <row r="2109">
      <c r="A2109" s="58">
        <v>45962.0</v>
      </c>
      <c r="B2109" s="24" t="s">
        <v>6787</v>
      </c>
      <c r="C2109" s="24" t="s">
        <v>6891</v>
      </c>
      <c r="D2109" s="59">
        <v>8.0</v>
      </c>
      <c r="E2109" s="59">
        <v>8.0</v>
      </c>
      <c r="F2109" s="59">
        <v>7.0</v>
      </c>
      <c r="G2109" s="60">
        <v>1.0</v>
      </c>
      <c r="H2109" s="60">
        <v>0.625</v>
      </c>
      <c r="I2109" s="60">
        <v>10.539155375</v>
      </c>
      <c r="J2109" s="59">
        <v>8.0</v>
      </c>
      <c r="K2109" s="61">
        <f t="shared" si="1"/>
        <v>0.875</v>
      </c>
      <c r="L2109" s="62">
        <f t="shared" si="2"/>
        <v>1</v>
      </c>
    </row>
    <row r="2110">
      <c r="A2110" s="58">
        <v>45962.0</v>
      </c>
      <c r="B2110" s="24" t="s">
        <v>6787</v>
      </c>
      <c r="C2110" s="24" t="s">
        <v>6892</v>
      </c>
      <c r="D2110" s="59">
        <v>8.0</v>
      </c>
      <c r="E2110" s="59">
        <v>8.0</v>
      </c>
      <c r="F2110" s="59">
        <v>7.0</v>
      </c>
      <c r="G2110" s="60">
        <v>1.0</v>
      </c>
      <c r="H2110" s="60">
        <v>0.375</v>
      </c>
      <c r="I2110" s="60">
        <v>81.919905125</v>
      </c>
      <c r="J2110" s="59">
        <v>9.0</v>
      </c>
      <c r="K2110" s="61">
        <f t="shared" si="1"/>
        <v>0.875</v>
      </c>
      <c r="L2110" s="62">
        <f t="shared" si="2"/>
        <v>1.125</v>
      </c>
    </row>
    <row r="2111">
      <c r="A2111" s="58">
        <v>45962.0</v>
      </c>
      <c r="B2111" s="24" t="s">
        <v>6787</v>
      </c>
      <c r="C2111" s="24" t="s">
        <v>7230</v>
      </c>
      <c r="D2111" s="59">
        <v>8.0</v>
      </c>
      <c r="E2111" s="59">
        <v>8.0</v>
      </c>
      <c r="F2111" s="59">
        <v>8.0</v>
      </c>
      <c r="G2111" s="60">
        <v>1.0</v>
      </c>
      <c r="H2111" s="60">
        <v>0.625</v>
      </c>
      <c r="I2111" s="60">
        <v>6.1813255</v>
      </c>
      <c r="J2111" s="59">
        <v>8.0</v>
      </c>
      <c r="K2111" s="61">
        <f t="shared" si="1"/>
        <v>1</v>
      </c>
      <c r="L2111" s="62">
        <f t="shared" si="2"/>
        <v>1</v>
      </c>
    </row>
    <row r="2112">
      <c r="A2112" s="58">
        <v>45962.0</v>
      </c>
      <c r="B2112" s="24" t="s">
        <v>6787</v>
      </c>
      <c r="C2112" s="24" t="s">
        <v>6823</v>
      </c>
      <c r="D2112" s="59">
        <v>8.0</v>
      </c>
      <c r="E2112" s="59">
        <v>8.0</v>
      </c>
      <c r="F2112" s="59">
        <v>8.0</v>
      </c>
      <c r="G2112" s="60">
        <v>1.0</v>
      </c>
      <c r="H2112" s="60">
        <v>0.625</v>
      </c>
      <c r="I2112" s="60">
        <v>45.418791875</v>
      </c>
      <c r="J2112" s="59">
        <v>8.0</v>
      </c>
      <c r="K2112" s="61">
        <f t="shared" si="1"/>
        <v>1</v>
      </c>
      <c r="L2112" s="62">
        <f t="shared" si="2"/>
        <v>1</v>
      </c>
    </row>
    <row r="2113">
      <c r="A2113" s="58">
        <v>45962.0</v>
      </c>
      <c r="B2113" s="24" t="s">
        <v>6787</v>
      </c>
      <c r="C2113" s="24" t="s">
        <v>6842</v>
      </c>
      <c r="D2113" s="59">
        <v>8.0</v>
      </c>
      <c r="E2113" s="59">
        <v>8.0</v>
      </c>
      <c r="F2113" s="59">
        <v>7.0</v>
      </c>
      <c r="G2113" s="60">
        <v>1.0</v>
      </c>
      <c r="H2113" s="60">
        <v>0.75</v>
      </c>
      <c r="I2113" s="60">
        <v>179.795949625</v>
      </c>
      <c r="J2113" s="59">
        <v>10.0</v>
      </c>
      <c r="K2113" s="61">
        <f t="shared" si="1"/>
        <v>0.875</v>
      </c>
      <c r="L2113" s="62">
        <f t="shared" si="2"/>
        <v>1.25</v>
      </c>
    </row>
    <row r="2114">
      <c r="A2114" s="58">
        <v>45962.0</v>
      </c>
      <c r="B2114" s="24" t="s">
        <v>6789</v>
      </c>
      <c r="C2114" s="24" t="s">
        <v>6811</v>
      </c>
      <c r="D2114" s="59">
        <v>8.0</v>
      </c>
      <c r="E2114" s="59">
        <v>9.0</v>
      </c>
      <c r="F2114" s="59">
        <v>8.0</v>
      </c>
      <c r="G2114" s="60">
        <v>1.125</v>
      </c>
      <c r="H2114" s="60">
        <v>0.222222222222222</v>
      </c>
      <c r="I2114" s="60">
        <v>199.496121222222</v>
      </c>
      <c r="J2114" s="59">
        <v>30.0</v>
      </c>
      <c r="K2114" s="61">
        <f t="shared" si="1"/>
        <v>0.8888888889</v>
      </c>
      <c r="L2114" s="62">
        <f t="shared" si="2"/>
        <v>3.333333333</v>
      </c>
    </row>
    <row r="2115">
      <c r="A2115" s="58">
        <v>45962.0</v>
      </c>
      <c r="B2115" s="24" t="s">
        <v>6789</v>
      </c>
      <c r="C2115" s="24" t="s">
        <v>6844</v>
      </c>
      <c r="D2115" s="59">
        <v>8.0</v>
      </c>
      <c r="E2115" s="59">
        <v>8.0</v>
      </c>
      <c r="F2115" s="59">
        <v>6.0</v>
      </c>
      <c r="G2115" s="60">
        <v>1.14285714285714</v>
      </c>
      <c r="H2115" s="60">
        <v>0.375</v>
      </c>
      <c r="I2115" s="60">
        <v>98.815156875</v>
      </c>
      <c r="J2115" s="59">
        <v>12.0</v>
      </c>
      <c r="K2115" s="61">
        <f t="shared" si="1"/>
        <v>0.75</v>
      </c>
      <c r="L2115" s="62">
        <f t="shared" si="2"/>
        <v>1.5</v>
      </c>
    </row>
    <row r="2116">
      <c r="A2116" s="58">
        <v>45962.0</v>
      </c>
      <c r="B2116" s="24" t="s">
        <v>6787</v>
      </c>
      <c r="C2116" s="24" t="s">
        <v>6808</v>
      </c>
      <c r="D2116" s="59">
        <v>8.0</v>
      </c>
      <c r="E2116" s="59">
        <v>8.0</v>
      </c>
      <c r="F2116" s="59">
        <v>8.0</v>
      </c>
      <c r="G2116" s="60">
        <v>1.0</v>
      </c>
      <c r="H2116" s="60">
        <v>0.25</v>
      </c>
      <c r="I2116" s="60">
        <v>221.5494715</v>
      </c>
      <c r="J2116" s="59">
        <v>33.0</v>
      </c>
      <c r="K2116" s="61">
        <f t="shared" si="1"/>
        <v>1</v>
      </c>
      <c r="L2116" s="62">
        <f t="shared" si="2"/>
        <v>4.125</v>
      </c>
    </row>
    <row r="2117">
      <c r="A2117" s="58">
        <v>45962.0</v>
      </c>
      <c r="B2117" s="24" t="s">
        <v>6787</v>
      </c>
      <c r="C2117" s="24" t="s">
        <v>6801</v>
      </c>
      <c r="D2117" s="59">
        <v>8.0</v>
      </c>
      <c r="E2117" s="59">
        <v>8.0</v>
      </c>
      <c r="F2117" s="59">
        <v>7.0</v>
      </c>
      <c r="G2117" s="60">
        <v>1.0</v>
      </c>
      <c r="H2117" s="60">
        <v>0.625</v>
      </c>
      <c r="I2117" s="60">
        <v>72.90251825</v>
      </c>
      <c r="J2117" s="59">
        <v>9.0</v>
      </c>
      <c r="K2117" s="61">
        <f t="shared" si="1"/>
        <v>0.875</v>
      </c>
      <c r="L2117" s="62">
        <f t="shared" si="2"/>
        <v>1.125</v>
      </c>
    </row>
    <row r="2118">
      <c r="A2118" s="58">
        <v>45962.0</v>
      </c>
      <c r="B2118" s="24" t="s">
        <v>6787</v>
      </c>
      <c r="C2118" s="24" t="s">
        <v>6991</v>
      </c>
      <c r="D2118" s="59">
        <v>7.0</v>
      </c>
      <c r="E2118" s="59">
        <v>7.0</v>
      </c>
      <c r="F2118" s="59">
        <v>8.0</v>
      </c>
      <c r="G2118" s="60">
        <v>1.0</v>
      </c>
      <c r="H2118" s="60">
        <v>0.428571428571428</v>
      </c>
      <c r="I2118" s="60">
        <v>13.1011281428571</v>
      </c>
      <c r="J2118" s="59">
        <v>8.0</v>
      </c>
      <c r="K2118" s="61">
        <f t="shared" si="1"/>
        <v>1.142857143</v>
      </c>
      <c r="L2118" s="62">
        <f t="shared" si="2"/>
        <v>1.142857143</v>
      </c>
    </row>
    <row r="2119">
      <c r="A2119" s="58">
        <v>45962.0</v>
      </c>
      <c r="B2119" s="24" t="s">
        <v>6787</v>
      </c>
      <c r="C2119" s="24" t="s">
        <v>6838</v>
      </c>
      <c r="D2119" s="59">
        <v>7.0</v>
      </c>
      <c r="E2119" s="59">
        <v>7.0</v>
      </c>
      <c r="F2119" s="59">
        <v>7.0</v>
      </c>
      <c r="G2119" s="60">
        <v>1.0</v>
      </c>
      <c r="H2119" s="60">
        <v>0.857142857142857</v>
      </c>
      <c r="I2119" s="60">
        <v>5.05182242857142</v>
      </c>
      <c r="J2119" s="59">
        <v>7.0</v>
      </c>
      <c r="K2119" s="61">
        <f t="shared" si="1"/>
        <v>1</v>
      </c>
      <c r="L2119" s="62">
        <f t="shared" si="2"/>
        <v>1</v>
      </c>
    </row>
    <row r="2120">
      <c r="A2120" s="58">
        <v>45962.0</v>
      </c>
      <c r="B2120" s="24" t="s">
        <v>6787</v>
      </c>
      <c r="C2120" s="24" t="s">
        <v>7043</v>
      </c>
      <c r="D2120" s="59">
        <v>7.0</v>
      </c>
      <c r="E2120" s="59">
        <v>8.0</v>
      </c>
      <c r="F2120" s="59">
        <v>7.0</v>
      </c>
      <c r="G2120" s="60">
        <v>1.14285714285714</v>
      </c>
      <c r="H2120" s="60">
        <v>0.625</v>
      </c>
      <c r="I2120" s="60">
        <v>293.606857875</v>
      </c>
      <c r="J2120" s="59">
        <v>10.0</v>
      </c>
      <c r="K2120" s="61">
        <f t="shared" si="1"/>
        <v>0.875</v>
      </c>
      <c r="L2120" s="62">
        <f t="shared" si="2"/>
        <v>1.25</v>
      </c>
    </row>
    <row r="2121">
      <c r="A2121" s="58">
        <v>45962.0</v>
      </c>
      <c r="B2121" s="24" t="s">
        <v>155</v>
      </c>
      <c r="C2121" s="24" t="s">
        <v>6800</v>
      </c>
      <c r="D2121" s="59">
        <v>7.0</v>
      </c>
      <c r="E2121" s="59">
        <v>7.0</v>
      </c>
      <c r="F2121" s="59">
        <v>7.0</v>
      </c>
      <c r="G2121" s="60">
        <v>1.0</v>
      </c>
      <c r="H2121" s="60">
        <v>0.0</v>
      </c>
      <c r="I2121" s="60">
        <v>42.780127</v>
      </c>
      <c r="J2121" s="59">
        <v>14.0</v>
      </c>
      <c r="K2121" s="61">
        <f t="shared" si="1"/>
        <v>1</v>
      </c>
      <c r="L2121" s="62">
        <f t="shared" si="2"/>
        <v>2</v>
      </c>
    </row>
    <row r="2122">
      <c r="A2122" s="58">
        <v>45962.0</v>
      </c>
      <c r="B2122" s="24" t="s">
        <v>6789</v>
      </c>
      <c r="C2122" s="24" t="s">
        <v>6812</v>
      </c>
      <c r="D2122" s="59">
        <v>7.0</v>
      </c>
      <c r="E2122" s="59">
        <v>7.0</v>
      </c>
      <c r="F2122" s="59">
        <v>6.0</v>
      </c>
      <c r="G2122" s="60">
        <v>1.16666666666666</v>
      </c>
      <c r="H2122" s="60">
        <v>0.428571428571428</v>
      </c>
      <c r="I2122" s="60">
        <v>327.906665285714</v>
      </c>
      <c r="J2122" s="59">
        <v>14.0</v>
      </c>
      <c r="K2122" s="61">
        <f t="shared" si="1"/>
        <v>0.8571428571</v>
      </c>
      <c r="L2122" s="62">
        <f t="shared" si="2"/>
        <v>2</v>
      </c>
    </row>
    <row r="2123">
      <c r="A2123" s="58">
        <v>45962.0</v>
      </c>
      <c r="B2123" s="24" t="s">
        <v>6789</v>
      </c>
      <c r="C2123" s="24" t="s">
        <v>6910</v>
      </c>
      <c r="D2123" s="59">
        <v>7.0</v>
      </c>
      <c r="E2123" s="59">
        <v>7.0</v>
      </c>
      <c r="F2123" s="59">
        <v>5.0</v>
      </c>
      <c r="G2123" s="60">
        <v>1.16666666666666</v>
      </c>
      <c r="H2123" s="60">
        <v>0.571428571428571</v>
      </c>
      <c r="I2123" s="60">
        <v>100.462394</v>
      </c>
      <c r="J2123" s="59">
        <v>11.0</v>
      </c>
      <c r="K2123" s="61">
        <f t="shared" si="1"/>
        <v>0.7142857143</v>
      </c>
      <c r="L2123" s="62">
        <f t="shared" si="2"/>
        <v>1.571428571</v>
      </c>
    </row>
    <row r="2124">
      <c r="A2124" s="58">
        <v>45962.0</v>
      </c>
      <c r="B2124" s="24" t="s">
        <v>6787</v>
      </c>
      <c r="C2124" s="24" t="s">
        <v>6922</v>
      </c>
      <c r="D2124" s="59">
        <v>7.0</v>
      </c>
      <c r="E2124" s="59">
        <v>7.0</v>
      </c>
      <c r="F2124" s="59">
        <v>7.0</v>
      </c>
      <c r="G2124" s="60">
        <v>1.0</v>
      </c>
      <c r="H2124" s="60">
        <v>0.714285714285714</v>
      </c>
      <c r="I2124" s="60">
        <v>5.895416</v>
      </c>
      <c r="J2124" s="59">
        <v>7.0</v>
      </c>
      <c r="K2124" s="61">
        <f t="shared" si="1"/>
        <v>1</v>
      </c>
      <c r="L2124" s="62">
        <f t="shared" si="2"/>
        <v>1</v>
      </c>
    </row>
    <row r="2125">
      <c r="A2125" s="58">
        <v>45962.0</v>
      </c>
      <c r="B2125" s="24" t="s">
        <v>6787</v>
      </c>
      <c r="C2125" s="24" t="s">
        <v>6797</v>
      </c>
      <c r="D2125" s="59">
        <v>7.0</v>
      </c>
      <c r="E2125" s="59">
        <v>7.0</v>
      </c>
      <c r="F2125" s="59">
        <v>7.0</v>
      </c>
      <c r="G2125" s="60">
        <v>1.0</v>
      </c>
      <c r="H2125" s="60">
        <v>0.571428571428571</v>
      </c>
      <c r="I2125" s="60">
        <v>20.1665958571428</v>
      </c>
      <c r="J2125" s="59">
        <v>8.0</v>
      </c>
      <c r="K2125" s="61">
        <f t="shared" si="1"/>
        <v>1</v>
      </c>
      <c r="L2125" s="62">
        <f t="shared" si="2"/>
        <v>1.142857143</v>
      </c>
    </row>
    <row r="2126">
      <c r="A2126" s="58">
        <v>45962.0</v>
      </c>
      <c r="B2126" s="24" t="s">
        <v>6790</v>
      </c>
      <c r="C2126" s="24" t="s">
        <v>7126</v>
      </c>
      <c r="D2126" s="59">
        <v>7.0</v>
      </c>
      <c r="E2126" s="59">
        <v>10.0</v>
      </c>
      <c r="F2126" s="59">
        <v>6.0</v>
      </c>
      <c r="G2126" s="60">
        <v>1.42857142857142</v>
      </c>
      <c r="H2126" s="60">
        <v>0.8</v>
      </c>
      <c r="I2126" s="60">
        <v>45.2164609999999</v>
      </c>
      <c r="J2126" s="59">
        <v>11.0</v>
      </c>
      <c r="K2126" s="61">
        <f t="shared" si="1"/>
        <v>0.6</v>
      </c>
      <c r="L2126" s="62">
        <f t="shared" si="2"/>
        <v>1.1</v>
      </c>
    </row>
    <row r="2127">
      <c r="A2127" s="58">
        <v>45962.0</v>
      </c>
      <c r="B2127" s="24" t="s">
        <v>6789</v>
      </c>
      <c r="C2127" s="24" t="s">
        <v>6803</v>
      </c>
      <c r="D2127" s="59">
        <v>6.0</v>
      </c>
      <c r="E2127" s="59">
        <v>9.0</v>
      </c>
      <c r="F2127" s="59">
        <v>5.0</v>
      </c>
      <c r="G2127" s="60">
        <v>1.5</v>
      </c>
      <c r="H2127" s="60">
        <v>0.111111111111111</v>
      </c>
      <c r="I2127" s="60">
        <v>450.546372222222</v>
      </c>
      <c r="J2127" s="59">
        <v>18.0</v>
      </c>
      <c r="K2127" s="61">
        <f t="shared" si="1"/>
        <v>0.5555555556</v>
      </c>
      <c r="L2127" s="62">
        <f t="shared" si="2"/>
        <v>2</v>
      </c>
    </row>
    <row r="2128">
      <c r="A2128" s="58">
        <v>45962.0</v>
      </c>
      <c r="B2128" s="24" t="s">
        <v>6787</v>
      </c>
      <c r="C2128" s="24" t="s">
        <v>6882</v>
      </c>
      <c r="D2128" s="59">
        <v>6.0</v>
      </c>
      <c r="E2128" s="59">
        <v>6.0</v>
      </c>
      <c r="F2128" s="59">
        <v>6.0</v>
      </c>
      <c r="G2128" s="60">
        <v>1.0</v>
      </c>
      <c r="H2128" s="60">
        <v>0.666666666666666</v>
      </c>
      <c r="I2128" s="60">
        <v>50.3132673333333</v>
      </c>
      <c r="J2128" s="59">
        <v>6.0</v>
      </c>
      <c r="K2128" s="61">
        <f t="shared" si="1"/>
        <v>1</v>
      </c>
      <c r="L2128" s="62">
        <f t="shared" si="2"/>
        <v>1</v>
      </c>
    </row>
    <row r="2129">
      <c r="A2129" s="58">
        <v>45962.0</v>
      </c>
      <c r="B2129" s="24" t="s">
        <v>6787</v>
      </c>
      <c r="C2129" s="24" t="s">
        <v>7029</v>
      </c>
      <c r="D2129" s="59">
        <v>6.0</v>
      </c>
      <c r="E2129" s="59">
        <v>6.0</v>
      </c>
      <c r="F2129" s="59">
        <v>6.0</v>
      </c>
      <c r="G2129" s="60">
        <v>1.0</v>
      </c>
      <c r="H2129" s="60">
        <v>0.666666666666666</v>
      </c>
      <c r="I2129" s="60">
        <v>8.00279933333333</v>
      </c>
      <c r="J2129" s="59">
        <v>6.0</v>
      </c>
      <c r="K2129" s="61">
        <f t="shared" si="1"/>
        <v>1</v>
      </c>
      <c r="L2129" s="62">
        <f t="shared" si="2"/>
        <v>1</v>
      </c>
    </row>
    <row r="2130">
      <c r="A2130" s="58">
        <v>45962.0</v>
      </c>
      <c r="B2130" s="24" t="s">
        <v>6787</v>
      </c>
      <c r="C2130" s="24" t="s">
        <v>6896</v>
      </c>
      <c r="D2130" s="59">
        <v>6.0</v>
      </c>
      <c r="E2130" s="59">
        <v>6.0</v>
      </c>
      <c r="F2130" s="59">
        <v>6.0</v>
      </c>
      <c r="G2130" s="60">
        <v>1.0</v>
      </c>
      <c r="H2130" s="60">
        <v>0.333333333333333</v>
      </c>
      <c r="I2130" s="60">
        <v>71.2628776666666</v>
      </c>
      <c r="J2130" s="59">
        <v>6.0</v>
      </c>
      <c r="K2130" s="61">
        <f t="shared" si="1"/>
        <v>1</v>
      </c>
      <c r="L2130" s="62">
        <f t="shared" si="2"/>
        <v>1</v>
      </c>
    </row>
    <row r="2131">
      <c r="A2131" s="58">
        <v>45962.0</v>
      </c>
      <c r="B2131" s="24" t="s">
        <v>6789</v>
      </c>
      <c r="C2131" s="24" t="s">
        <v>6806</v>
      </c>
      <c r="D2131" s="59">
        <v>6.0</v>
      </c>
      <c r="E2131" s="59">
        <v>6.0</v>
      </c>
      <c r="F2131" s="59">
        <v>6.0</v>
      </c>
      <c r="G2131" s="60">
        <v>1.0</v>
      </c>
      <c r="H2131" s="60">
        <v>0.833333333333333</v>
      </c>
      <c r="I2131" s="60">
        <v>34.4088211666666</v>
      </c>
      <c r="J2131" s="59">
        <v>7.0</v>
      </c>
      <c r="K2131" s="61">
        <f t="shared" si="1"/>
        <v>1</v>
      </c>
      <c r="L2131" s="62">
        <f t="shared" si="2"/>
        <v>1.166666667</v>
      </c>
    </row>
    <row r="2132">
      <c r="A2132" s="58">
        <v>45962.0</v>
      </c>
      <c r="B2132" s="24" t="s">
        <v>6791</v>
      </c>
      <c r="C2132" s="24" t="s">
        <v>7041</v>
      </c>
      <c r="D2132" s="59">
        <v>6.0</v>
      </c>
      <c r="E2132" s="59">
        <v>6.0</v>
      </c>
      <c r="F2132" s="59">
        <v>6.0</v>
      </c>
      <c r="G2132" s="60">
        <v>1.0</v>
      </c>
      <c r="H2132" s="60">
        <v>0.333333333333333</v>
      </c>
      <c r="I2132" s="60">
        <v>41.6251075</v>
      </c>
      <c r="J2132" s="59">
        <v>7.0</v>
      </c>
      <c r="K2132" s="61">
        <f t="shared" si="1"/>
        <v>1</v>
      </c>
      <c r="L2132" s="62">
        <f t="shared" si="2"/>
        <v>1.166666667</v>
      </c>
    </row>
    <row r="2133">
      <c r="A2133" s="58">
        <v>45962.0</v>
      </c>
      <c r="B2133" s="24" t="s">
        <v>6787</v>
      </c>
      <c r="C2133" s="24" t="s">
        <v>7206</v>
      </c>
      <c r="D2133" s="59">
        <v>6.0</v>
      </c>
      <c r="E2133" s="59">
        <v>6.0</v>
      </c>
      <c r="F2133" s="59">
        <v>7.0</v>
      </c>
      <c r="G2133" s="60">
        <v>1.0</v>
      </c>
      <c r="H2133" s="60">
        <v>0.5</v>
      </c>
      <c r="I2133" s="60">
        <v>9.142339</v>
      </c>
      <c r="J2133" s="59">
        <v>7.0</v>
      </c>
      <c r="K2133" s="61">
        <f t="shared" si="1"/>
        <v>1.166666667</v>
      </c>
      <c r="L2133" s="62">
        <f t="shared" si="2"/>
        <v>1.166666667</v>
      </c>
    </row>
    <row r="2134">
      <c r="A2134" s="58">
        <v>45962.0</v>
      </c>
      <c r="B2134" s="24" t="s">
        <v>6787</v>
      </c>
      <c r="C2134" s="24" t="s">
        <v>7231</v>
      </c>
      <c r="D2134" s="59">
        <v>6.0</v>
      </c>
      <c r="E2134" s="59">
        <v>6.0</v>
      </c>
      <c r="F2134" s="59">
        <v>7.0</v>
      </c>
      <c r="G2134" s="60">
        <v>1.0</v>
      </c>
      <c r="H2134" s="60">
        <v>0.333333333333333</v>
      </c>
      <c r="I2134" s="60">
        <v>13.5719883333333</v>
      </c>
      <c r="J2134" s="59">
        <v>8.0</v>
      </c>
      <c r="K2134" s="61">
        <f t="shared" si="1"/>
        <v>1.166666667</v>
      </c>
      <c r="L2134" s="62">
        <f t="shared" si="2"/>
        <v>1.333333333</v>
      </c>
    </row>
    <row r="2135">
      <c r="A2135" s="58">
        <v>45962.0</v>
      </c>
      <c r="B2135" s="24" t="s">
        <v>6787</v>
      </c>
      <c r="C2135" s="24" t="s">
        <v>7232</v>
      </c>
      <c r="D2135" s="59">
        <v>6.0</v>
      </c>
      <c r="E2135" s="59">
        <v>6.0</v>
      </c>
      <c r="F2135" s="59">
        <v>7.0</v>
      </c>
      <c r="G2135" s="60">
        <v>1.0</v>
      </c>
      <c r="H2135" s="60">
        <v>0.666666666666666</v>
      </c>
      <c r="I2135" s="60">
        <v>7.86380033333333</v>
      </c>
      <c r="J2135" s="59">
        <v>7.0</v>
      </c>
      <c r="K2135" s="61">
        <f t="shared" si="1"/>
        <v>1.166666667</v>
      </c>
      <c r="L2135" s="62">
        <f t="shared" si="2"/>
        <v>1.166666667</v>
      </c>
    </row>
    <row r="2136">
      <c r="A2136" s="58">
        <v>45962.0</v>
      </c>
      <c r="B2136" s="24" t="s">
        <v>6787</v>
      </c>
      <c r="C2136" s="24" t="s">
        <v>6907</v>
      </c>
      <c r="D2136" s="59">
        <v>6.0</v>
      </c>
      <c r="E2136" s="59">
        <v>6.0</v>
      </c>
      <c r="F2136" s="59">
        <v>6.0</v>
      </c>
      <c r="G2136" s="60">
        <v>1.0</v>
      </c>
      <c r="H2136" s="60">
        <v>0.666666666666666</v>
      </c>
      <c r="I2136" s="60">
        <v>9.9720035</v>
      </c>
      <c r="J2136" s="59">
        <v>6.0</v>
      </c>
      <c r="K2136" s="61">
        <f t="shared" si="1"/>
        <v>1</v>
      </c>
      <c r="L2136" s="62">
        <f t="shared" si="2"/>
        <v>1</v>
      </c>
    </row>
    <row r="2137">
      <c r="A2137" s="58">
        <v>45962.0</v>
      </c>
      <c r="B2137" s="24" t="s">
        <v>6789</v>
      </c>
      <c r="C2137" s="24" t="s">
        <v>6851</v>
      </c>
      <c r="D2137" s="59">
        <v>6.0</v>
      </c>
      <c r="E2137" s="59">
        <v>6.0</v>
      </c>
      <c r="F2137" s="59">
        <v>3.0</v>
      </c>
      <c r="G2137" s="60">
        <v>1.2</v>
      </c>
      <c r="H2137" s="60">
        <v>0.666666666666666</v>
      </c>
      <c r="I2137" s="60">
        <v>5.22180183333333</v>
      </c>
      <c r="J2137" s="59">
        <v>8.0</v>
      </c>
      <c r="K2137" s="61">
        <f t="shared" si="1"/>
        <v>0.5</v>
      </c>
      <c r="L2137" s="62">
        <f t="shared" si="2"/>
        <v>1.333333333</v>
      </c>
    </row>
    <row r="2138">
      <c r="A2138" s="58">
        <v>45962.0</v>
      </c>
      <c r="B2138" s="24" t="s">
        <v>6787</v>
      </c>
      <c r="C2138" s="24" t="s">
        <v>7023</v>
      </c>
      <c r="D2138" s="59">
        <v>6.0</v>
      </c>
      <c r="E2138" s="59">
        <v>6.0</v>
      </c>
      <c r="F2138" s="59">
        <v>6.0</v>
      </c>
      <c r="G2138" s="60">
        <v>1.0</v>
      </c>
      <c r="H2138" s="60">
        <v>0.666666666666666</v>
      </c>
      <c r="I2138" s="60">
        <v>8.34342383333333</v>
      </c>
      <c r="J2138" s="59">
        <v>6.0</v>
      </c>
      <c r="K2138" s="61">
        <f t="shared" si="1"/>
        <v>1</v>
      </c>
      <c r="L2138" s="62">
        <f t="shared" si="2"/>
        <v>1</v>
      </c>
    </row>
    <row r="2139">
      <c r="A2139" s="58">
        <v>45962.0</v>
      </c>
      <c r="B2139" s="24" t="s">
        <v>6787</v>
      </c>
      <c r="C2139" s="24" t="s">
        <v>7126</v>
      </c>
      <c r="D2139" s="59">
        <v>6.0</v>
      </c>
      <c r="E2139" s="59">
        <v>12.0</v>
      </c>
      <c r="F2139" s="59">
        <v>4.0</v>
      </c>
      <c r="G2139" s="60">
        <v>2.4</v>
      </c>
      <c r="H2139" s="60">
        <v>0.583333333333333</v>
      </c>
      <c r="I2139" s="60">
        <v>259.830029666666</v>
      </c>
      <c r="J2139" s="59">
        <v>14.0</v>
      </c>
      <c r="K2139" s="61">
        <f t="shared" si="1"/>
        <v>0.3333333333</v>
      </c>
      <c r="L2139" s="62">
        <f t="shared" si="2"/>
        <v>1.166666667</v>
      </c>
    </row>
    <row r="2140">
      <c r="A2140" s="58">
        <v>45962.0</v>
      </c>
      <c r="B2140" s="24" t="s">
        <v>6789</v>
      </c>
      <c r="C2140" s="24" t="s">
        <v>7126</v>
      </c>
      <c r="D2140" s="59">
        <v>6.0</v>
      </c>
      <c r="E2140" s="59">
        <v>18.0</v>
      </c>
      <c r="F2140" s="59">
        <v>0.0</v>
      </c>
      <c r="G2140" s="60">
        <v>3.0</v>
      </c>
      <c r="H2140" s="60">
        <v>0.222222222222222</v>
      </c>
      <c r="I2140" s="60">
        <v>686.704363388889</v>
      </c>
      <c r="J2140" s="59">
        <v>48.0</v>
      </c>
      <c r="K2140" s="61">
        <f t="shared" si="1"/>
        <v>0</v>
      </c>
      <c r="L2140" s="62">
        <f t="shared" si="2"/>
        <v>2.666666667</v>
      </c>
    </row>
    <row r="2141">
      <c r="A2141" s="58">
        <v>45962.0</v>
      </c>
      <c r="B2141" s="24" t="s">
        <v>6789</v>
      </c>
      <c r="C2141" s="24" t="s">
        <v>6817</v>
      </c>
      <c r="D2141" s="59">
        <v>5.0</v>
      </c>
      <c r="E2141" s="59">
        <v>6.0</v>
      </c>
      <c r="F2141" s="59">
        <v>3.0</v>
      </c>
      <c r="G2141" s="60">
        <v>1.2</v>
      </c>
      <c r="H2141" s="60">
        <v>0.166666666666666</v>
      </c>
      <c r="I2141" s="60">
        <v>769.029342333333</v>
      </c>
      <c r="J2141" s="59">
        <v>17.0</v>
      </c>
      <c r="K2141" s="61">
        <f t="shared" si="1"/>
        <v>0.5</v>
      </c>
      <c r="L2141" s="62">
        <f t="shared" si="2"/>
        <v>2.833333333</v>
      </c>
    </row>
    <row r="2142">
      <c r="A2142" s="58">
        <v>45962.0</v>
      </c>
      <c r="B2142" s="24" t="s">
        <v>6789</v>
      </c>
      <c r="C2142" s="24" t="s">
        <v>6829</v>
      </c>
      <c r="D2142" s="59">
        <v>5.0</v>
      </c>
      <c r="E2142" s="59">
        <v>7.0</v>
      </c>
      <c r="F2142" s="59">
        <v>5.0</v>
      </c>
      <c r="G2142" s="60">
        <v>1.4</v>
      </c>
      <c r="H2142" s="60">
        <v>0.714285714285714</v>
      </c>
      <c r="I2142" s="60">
        <v>67.5152082857142</v>
      </c>
      <c r="J2142" s="59">
        <v>7.0</v>
      </c>
      <c r="K2142" s="61">
        <f t="shared" si="1"/>
        <v>0.7142857143</v>
      </c>
      <c r="L2142" s="62">
        <f t="shared" si="2"/>
        <v>1</v>
      </c>
    </row>
    <row r="2143">
      <c r="A2143" s="58">
        <v>45962.0</v>
      </c>
      <c r="B2143" s="24" t="s">
        <v>6787</v>
      </c>
      <c r="C2143" s="24" t="s">
        <v>7059</v>
      </c>
      <c r="D2143" s="59">
        <v>5.0</v>
      </c>
      <c r="E2143" s="59">
        <v>5.0</v>
      </c>
      <c r="F2143" s="59">
        <v>6.0</v>
      </c>
      <c r="G2143" s="60">
        <v>1.0</v>
      </c>
      <c r="H2143" s="60">
        <v>0.6</v>
      </c>
      <c r="I2143" s="60">
        <v>7.9637014</v>
      </c>
      <c r="J2143" s="59">
        <v>6.0</v>
      </c>
      <c r="K2143" s="61">
        <f t="shared" si="1"/>
        <v>1.2</v>
      </c>
      <c r="L2143" s="62">
        <f t="shared" si="2"/>
        <v>1.2</v>
      </c>
    </row>
    <row r="2144">
      <c r="A2144" s="58">
        <v>45962.0</v>
      </c>
      <c r="B2144" s="24" t="s">
        <v>6787</v>
      </c>
      <c r="C2144" s="24" t="s">
        <v>6862</v>
      </c>
      <c r="D2144" s="59">
        <v>5.0</v>
      </c>
      <c r="E2144" s="59">
        <v>5.0</v>
      </c>
      <c r="F2144" s="59">
        <v>5.0</v>
      </c>
      <c r="G2144" s="60">
        <v>1.0</v>
      </c>
      <c r="H2144" s="60">
        <v>0.6</v>
      </c>
      <c r="I2144" s="60">
        <v>10.5802298</v>
      </c>
      <c r="J2144" s="59">
        <v>5.0</v>
      </c>
      <c r="K2144" s="61">
        <f t="shared" si="1"/>
        <v>1</v>
      </c>
      <c r="L2144" s="62">
        <f t="shared" si="2"/>
        <v>1</v>
      </c>
    </row>
    <row r="2145">
      <c r="A2145" s="58">
        <v>45962.0</v>
      </c>
      <c r="B2145" s="24" t="s">
        <v>6787</v>
      </c>
      <c r="C2145" s="24" t="s">
        <v>6868</v>
      </c>
      <c r="D2145" s="59">
        <v>5.0</v>
      </c>
      <c r="E2145" s="59">
        <v>5.0</v>
      </c>
      <c r="F2145" s="59">
        <v>5.0</v>
      </c>
      <c r="G2145" s="60">
        <v>1.0</v>
      </c>
      <c r="H2145" s="60">
        <v>0.8</v>
      </c>
      <c r="I2145" s="60">
        <v>5.7026916</v>
      </c>
      <c r="J2145" s="59">
        <v>5.0</v>
      </c>
      <c r="K2145" s="61">
        <f t="shared" si="1"/>
        <v>1</v>
      </c>
      <c r="L2145" s="62">
        <f t="shared" si="2"/>
        <v>1</v>
      </c>
    </row>
    <row r="2146">
      <c r="A2146" s="58">
        <v>45962.0</v>
      </c>
      <c r="B2146" s="24" t="s">
        <v>6789</v>
      </c>
      <c r="C2146" s="24" t="s">
        <v>6834</v>
      </c>
      <c r="D2146" s="59">
        <v>5.0</v>
      </c>
      <c r="E2146" s="59">
        <v>5.0</v>
      </c>
      <c r="F2146" s="59">
        <v>5.0</v>
      </c>
      <c r="G2146" s="60">
        <v>1.0</v>
      </c>
      <c r="H2146" s="60">
        <v>0.4</v>
      </c>
      <c r="I2146" s="60">
        <v>25.4129763999999</v>
      </c>
      <c r="J2146" s="59">
        <v>5.0</v>
      </c>
      <c r="K2146" s="61">
        <f t="shared" si="1"/>
        <v>1</v>
      </c>
      <c r="L2146" s="62">
        <f t="shared" si="2"/>
        <v>1</v>
      </c>
    </row>
    <row r="2147">
      <c r="A2147" s="58">
        <v>45962.0</v>
      </c>
      <c r="B2147" s="24" t="s">
        <v>6787</v>
      </c>
      <c r="C2147" s="24" t="s">
        <v>6872</v>
      </c>
      <c r="D2147" s="59">
        <v>5.0</v>
      </c>
      <c r="E2147" s="59">
        <v>5.0</v>
      </c>
      <c r="F2147" s="59">
        <v>5.0</v>
      </c>
      <c r="G2147" s="60">
        <v>1.0</v>
      </c>
      <c r="H2147" s="60">
        <v>0.6</v>
      </c>
      <c r="I2147" s="60">
        <v>8.0975418</v>
      </c>
      <c r="J2147" s="59">
        <v>5.0</v>
      </c>
      <c r="K2147" s="61">
        <f t="shared" si="1"/>
        <v>1</v>
      </c>
      <c r="L2147" s="62">
        <f t="shared" si="2"/>
        <v>1</v>
      </c>
    </row>
    <row r="2148">
      <c r="A2148" s="58">
        <v>45962.0</v>
      </c>
      <c r="B2148" s="24" t="s">
        <v>6787</v>
      </c>
      <c r="C2148" s="24" t="s">
        <v>6875</v>
      </c>
      <c r="D2148" s="59">
        <v>5.0</v>
      </c>
      <c r="E2148" s="59">
        <v>5.0</v>
      </c>
      <c r="F2148" s="59">
        <v>5.0</v>
      </c>
      <c r="G2148" s="60">
        <v>1.0</v>
      </c>
      <c r="H2148" s="60">
        <v>0.6</v>
      </c>
      <c r="I2148" s="60">
        <v>9.3791286</v>
      </c>
      <c r="J2148" s="59">
        <v>5.0</v>
      </c>
      <c r="K2148" s="61">
        <f t="shared" si="1"/>
        <v>1</v>
      </c>
      <c r="L2148" s="62">
        <f t="shared" si="2"/>
        <v>1</v>
      </c>
    </row>
    <row r="2149">
      <c r="A2149" s="58">
        <v>45962.0</v>
      </c>
      <c r="B2149" s="24" t="s">
        <v>6787</v>
      </c>
      <c r="C2149" s="24" t="s">
        <v>6876</v>
      </c>
      <c r="D2149" s="59">
        <v>5.0</v>
      </c>
      <c r="E2149" s="59">
        <v>5.0</v>
      </c>
      <c r="F2149" s="59">
        <v>5.0</v>
      </c>
      <c r="G2149" s="60">
        <v>1.0</v>
      </c>
      <c r="H2149" s="60">
        <v>1.0</v>
      </c>
      <c r="I2149" s="60">
        <v>1.4808922</v>
      </c>
      <c r="J2149" s="59">
        <v>5.0</v>
      </c>
      <c r="K2149" s="61">
        <f t="shared" si="1"/>
        <v>1</v>
      </c>
      <c r="L2149" s="62">
        <f t="shared" si="2"/>
        <v>1</v>
      </c>
    </row>
    <row r="2150">
      <c r="A2150" s="58">
        <v>45962.0</v>
      </c>
      <c r="B2150" s="24" t="s">
        <v>6789</v>
      </c>
      <c r="C2150" s="24" t="s">
        <v>7021</v>
      </c>
      <c r="D2150" s="59">
        <v>5.0</v>
      </c>
      <c r="E2150" s="59">
        <v>5.0</v>
      </c>
      <c r="F2150" s="59">
        <v>2.0</v>
      </c>
      <c r="G2150" s="60">
        <v>1.25</v>
      </c>
      <c r="H2150" s="60">
        <v>0.6</v>
      </c>
      <c r="I2150" s="60">
        <v>359.1580958</v>
      </c>
      <c r="J2150" s="59">
        <v>9.0</v>
      </c>
      <c r="K2150" s="61">
        <f t="shared" si="1"/>
        <v>0.4</v>
      </c>
      <c r="L2150" s="62">
        <f t="shared" si="2"/>
        <v>1.8</v>
      </c>
    </row>
    <row r="2151">
      <c r="A2151" s="58">
        <v>45962.0</v>
      </c>
      <c r="B2151" s="24" t="s">
        <v>6787</v>
      </c>
      <c r="C2151" s="24" t="s">
        <v>6806</v>
      </c>
      <c r="D2151" s="59">
        <v>5.0</v>
      </c>
      <c r="E2151" s="59">
        <v>7.0</v>
      </c>
      <c r="F2151" s="59">
        <v>5.0</v>
      </c>
      <c r="G2151" s="60">
        <v>1.4</v>
      </c>
      <c r="H2151" s="60">
        <v>0.857142857142857</v>
      </c>
      <c r="I2151" s="60">
        <v>12.6515694285714</v>
      </c>
      <c r="J2151" s="59">
        <v>7.0</v>
      </c>
      <c r="K2151" s="61">
        <f t="shared" si="1"/>
        <v>0.7142857143</v>
      </c>
      <c r="L2151" s="62">
        <f t="shared" si="2"/>
        <v>1</v>
      </c>
    </row>
    <row r="2152">
      <c r="A2152" s="58">
        <v>45962.0</v>
      </c>
      <c r="B2152" s="24" t="s">
        <v>6787</v>
      </c>
      <c r="C2152" s="24" t="s">
        <v>6904</v>
      </c>
      <c r="D2152" s="59">
        <v>5.0</v>
      </c>
      <c r="E2152" s="59">
        <v>5.0</v>
      </c>
      <c r="F2152" s="59">
        <v>6.0</v>
      </c>
      <c r="G2152" s="60">
        <v>1.0</v>
      </c>
      <c r="H2152" s="60">
        <v>0.6</v>
      </c>
      <c r="I2152" s="60">
        <v>8.752638</v>
      </c>
      <c r="J2152" s="59">
        <v>7.0</v>
      </c>
      <c r="K2152" s="61">
        <f t="shared" si="1"/>
        <v>1.2</v>
      </c>
      <c r="L2152" s="62">
        <f t="shared" si="2"/>
        <v>1.4</v>
      </c>
    </row>
    <row r="2153">
      <c r="A2153" s="58">
        <v>45962.0</v>
      </c>
      <c r="B2153" s="24" t="s">
        <v>6787</v>
      </c>
      <c r="C2153" s="24" t="s">
        <v>6905</v>
      </c>
      <c r="D2153" s="59">
        <v>5.0</v>
      </c>
      <c r="E2153" s="59">
        <v>5.0</v>
      </c>
      <c r="F2153" s="59">
        <v>5.0</v>
      </c>
      <c r="G2153" s="60">
        <v>1.0</v>
      </c>
      <c r="H2153" s="60">
        <v>0.6</v>
      </c>
      <c r="I2153" s="60">
        <v>31.133647</v>
      </c>
      <c r="J2153" s="59">
        <v>5.0</v>
      </c>
      <c r="K2153" s="61">
        <f t="shared" si="1"/>
        <v>1</v>
      </c>
      <c r="L2153" s="62">
        <f t="shared" si="2"/>
        <v>1</v>
      </c>
    </row>
    <row r="2154">
      <c r="A2154" s="58">
        <v>45962.0</v>
      </c>
      <c r="B2154" s="24" t="s">
        <v>6787</v>
      </c>
      <c r="C2154" s="24" t="s">
        <v>7083</v>
      </c>
      <c r="D2154" s="59">
        <v>5.0</v>
      </c>
      <c r="E2154" s="59">
        <v>5.0</v>
      </c>
      <c r="F2154" s="59">
        <v>5.0</v>
      </c>
      <c r="G2154" s="60">
        <v>1.0</v>
      </c>
      <c r="H2154" s="60">
        <v>1.0</v>
      </c>
      <c r="I2154" s="60">
        <v>0.0</v>
      </c>
      <c r="J2154" s="59">
        <v>5.0</v>
      </c>
      <c r="K2154" s="61">
        <f t="shared" si="1"/>
        <v>1</v>
      </c>
      <c r="L2154" s="62">
        <f t="shared" si="2"/>
        <v>1</v>
      </c>
    </row>
    <row r="2155">
      <c r="A2155" s="58">
        <v>45962.0</v>
      </c>
      <c r="B2155" s="24" t="s">
        <v>6787</v>
      </c>
      <c r="C2155" s="24" t="s">
        <v>7233</v>
      </c>
      <c r="D2155" s="59">
        <v>5.0</v>
      </c>
      <c r="E2155" s="59">
        <v>5.0</v>
      </c>
      <c r="F2155" s="59">
        <v>4.0</v>
      </c>
      <c r="G2155" s="60">
        <v>1.0</v>
      </c>
      <c r="H2155" s="60">
        <v>0.8</v>
      </c>
      <c r="I2155" s="60">
        <v>5.8637132</v>
      </c>
      <c r="J2155" s="59">
        <v>5.0</v>
      </c>
      <c r="K2155" s="61">
        <f t="shared" si="1"/>
        <v>0.8</v>
      </c>
      <c r="L2155" s="62">
        <f t="shared" si="2"/>
        <v>1</v>
      </c>
    </row>
    <row r="2156">
      <c r="A2156" s="58">
        <v>45962.0</v>
      </c>
      <c r="B2156" s="24" t="s">
        <v>6787</v>
      </c>
      <c r="C2156" s="24" t="s">
        <v>7234</v>
      </c>
      <c r="D2156" s="59">
        <v>5.0</v>
      </c>
      <c r="E2156" s="59">
        <v>5.0</v>
      </c>
      <c r="F2156" s="59">
        <v>5.0</v>
      </c>
      <c r="G2156" s="60">
        <v>1.0</v>
      </c>
      <c r="H2156" s="60">
        <v>0.6</v>
      </c>
      <c r="I2156" s="60">
        <v>7.8292632</v>
      </c>
      <c r="J2156" s="59">
        <v>5.0</v>
      </c>
      <c r="K2156" s="61">
        <f t="shared" si="1"/>
        <v>1</v>
      </c>
      <c r="L2156" s="62">
        <f t="shared" si="2"/>
        <v>1</v>
      </c>
    </row>
    <row r="2157">
      <c r="A2157" s="58">
        <v>45962.0</v>
      </c>
      <c r="B2157" s="24" t="s">
        <v>6789</v>
      </c>
      <c r="C2157" s="24" t="s">
        <v>6849</v>
      </c>
      <c r="D2157" s="59">
        <v>5.0</v>
      </c>
      <c r="E2157" s="59">
        <v>6.0</v>
      </c>
      <c r="F2157" s="59">
        <v>3.0</v>
      </c>
      <c r="G2157" s="60">
        <v>1.5</v>
      </c>
      <c r="H2157" s="60">
        <v>0.5</v>
      </c>
      <c r="I2157" s="60">
        <v>8.18203983333333</v>
      </c>
      <c r="J2157" s="59">
        <v>9.0</v>
      </c>
      <c r="K2157" s="61">
        <f t="shared" si="1"/>
        <v>0.5</v>
      </c>
      <c r="L2157" s="62">
        <f t="shared" si="2"/>
        <v>1.5</v>
      </c>
    </row>
    <row r="2158">
      <c r="A2158" s="58">
        <v>45962.0</v>
      </c>
      <c r="B2158" s="24" t="s">
        <v>6787</v>
      </c>
      <c r="C2158" s="24" t="s">
        <v>6814</v>
      </c>
      <c r="D2158" s="59">
        <v>5.0</v>
      </c>
      <c r="E2158" s="59">
        <v>5.0</v>
      </c>
      <c r="F2158" s="59">
        <v>5.0</v>
      </c>
      <c r="G2158" s="60">
        <v>1.0</v>
      </c>
      <c r="H2158" s="60">
        <v>0.4</v>
      </c>
      <c r="I2158" s="60">
        <v>12.456813</v>
      </c>
      <c r="J2158" s="59">
        <v>5.0</v>
      </c>
      <c r="K2158" s="61">
        <f t="shared" si="1"/>
        <v>1</v>
      </c>
      <c r="L2158" s="62">
        <f t="shared" si="2"/>
        <v>1</v>
      </c>
    </row>
    <row r="2159">
      <c r="A2159" s="58">
        <v>45962.0</v>
      </c>
      <c r="B2159" s="24" t="s">
        <v>6787</v>
      </c>
      <c r="C2159" s="24" t="s">
        <v>7192</v>
      </c>
      <c r="D2159" s="59">
        <v>5.0</v>
      </c>
      <c r="E2159" s="59">
        <v>5.0</v>
      </c>
      <c r="F2159" s="59">
        <v>4.0</v>
      </c>
      <c r="G2159" s="60">
        <v>1.0</v>
      </c>
      <c r="H2159" s="60">
        <v>0.4</v>
      </c>
      <c r="I2159" s="60">
        <v>15.2191958</v>
      </c>
      <c r="J2159" s="59">
        <v>5.0</v>
      </c>
      <c r="K2159" s="61">
        <f t="shared" si="1"/>
        <v>0.8</v>
      </c>
      <c r="L2159" s="62">
        <f t="shared" si="2"/>
        <v>1</v>
      </c>
    </row>
    <row r="2160">
      <c r="A2160" s="58">
        <v>45962.0</v>
      </c>
      <c r="B2160" s="24" t="s">
        <v>6787</v>
      </c>
      <c r="C2160" s="24" t="s">
        <v>7014</v>
      </c>
      <c r="D2160" s="59">
        <v>5.0</v>
      </c>
      <c r="E2160" s="59">
        <v>5.0</v>
      </c>
      <c r="F2160" s="59">
        <v>5.0</v>
      </c>
      <c r="G2160" s="60">
        <v>1.0</v>
      </c>
      <c r="H2160" s="60">
        <v>0.6</v>
      </c>
      <c r="I2160" s="60">
        <v>10.8509598</v>
      </c>
      <c r="J2160" s="59">
        <v>5.0</v>
      </c>
      <c r="K2160" s="61">
        <f t="shared" si="1"/>
        <v>1</v>
      </c>
      <c r="L2160" s="62">
        <f t="shared" si="2"/>
        <v>1</v>
      </c>
    </row>
    <row r="2161">
      <c r="A2161" s="58">
        <v>45962.0</v>
      </c>
      <c r="B2161" s="24" t="s">
        <v>6787</v>
      </c>
      <c r="C2161" s="24" t="s">
        <v>6917</v>
      </c>
      <c r="D2161" s="59">
        <v>5.0</v>
      </c>
      <c r="E2161" s="59">
        <v>6.0</v>
      </c>
      <c r="F2161" s="59">
        <v>5.0</v>
      </c>
      <c r="G2161" s="60">
        <v>1.2</v>
      </c>
      <c r="H2161" s="60">
        <v>0.5</v>
      </c>
      <c r="I2161" s="60">
        <v>17.230033</v>
      </c>
      <c r="J2161" s="59">
        <v>6.0</v>
      </c>
      <c r="K2161" s="61">
        <f t="shared" si="1"/>
        <v>0.8333333333</v>
      </c>
      <c r="L2161" s="62">
        <f t="shared" si="2"/>
        <v>1</v>
      </c>
    </row>
    <row r="2162">
      <c r="A2162" s="58">
        <v>45962.0</v>
      </c>
      <c r="B2162" s="24" t="s">
        <v>6789</v>
      </c>
      <c r="C2162" s="24" t="s">
        <v>6797</v>
      </c>
      <c r="D2162" s="59">
        <v>5.0</v>
      </c>
      <c r="E2162" s="59">
        <v>7.0</v>
      </c>
      <c r="F2162" s="59">
        <v>1.0</v>
      </c>
      <c r="G2162" s="60">
        <v>1.75</v>
      </c>
      <c r="H2162" s="60">
        <v>0.857142857142857</v>
      </c>
      <c r="I2162" s="60">
        <v>5.12576157142857</v>
      </c>
      <c r="J2162" s="59">
        <v>8.0</v>
      </c>
      <c r="K2162" s="61">
        <f t="shared" si="1"/>
        <v>0.1428571429</v>
      </c>
      <c r="L2162" s="62">
        <f t="shared" si="2"/>
        <v>1.142857143</v>
      </c>
    </row>
    <row r="2163">
      <c r="A2163" s="58">
        <v>45962.0</v>
      </c>
      <c r="B2163" s="24" t="s">
        <v>6789</v>
      </c>
      <c r="C2163" s="24" t="s">
        <v>7235</v>
      </c>
      <c r="D2163" s="59">
        <v>5.0</v>
      </c>
      <c r="E2163" s="59">
        <v>8.0</v>
      </c>
      <c r="F2163" s="59">
        <v>0.0</v>
      </c>
      <c r="G2163" s="60">
        <v>1.6</v>
      </c>
      <c r="H2163" s="60">
        <v>0.5</v>
      </c>
      <c r="I2163" s="60">
        <v>575.738831124999</v>
      </c>
      <c r="J2163" s="59">
        <v>22.0</v>
      </c>
      <c r="K2163" s="61">
        <f t="shared" si="1"/>
        <v>0</v>
      </c>
      <c r="L2163" s="62">
        <f t="shared" si="2"/>
        <v>2.75</v>
      </c>
    </row>
    <row r="2164">
      <c r="A2164" s="58">
        <v>45962.0</v>
      </c>
      <c r="B2164" s="24" t="s">
        <v>6787</v>
      </c>
      <c r="C2164" s="24" t="s">
        <v>7118</v>
      </c>
      <c r="D2164" s="59">
        <v>5.0</v>
      </c>
      <c r="E2164" s="59">
        <v>5.0</v>
      </c>
      <c r="F2164" s="59">
        <v>5.0</v>
      </c>
      <c r="G2164" s="60">
        <v>1.0</v>
      </c>
      <c r="H2164" s="60">
        <v>1.0</v>
      </c>
      <c r="I2164" s="60">
        <v>2.50082859999999</v>
      </c>
      <c r="J2164" s="59">
        <v>5.0</v>
      </c>
      <c r="K2164" s="61">
        <f t="shared" si="1"/>
        <v>1</v>
      </c>
      <c r="L2164" s="62">
        <f t="shared" si="2"/>
        <v>1</v>
      </c>
    </row>
    <row r="2165">
      <c r="A2165" s="58">
        <v>45962.0</v>
      </c>
      <c r="B2165" s="24" t="s">
        <v>6789</v>
      </c>
      <c r="C2165" s="24" t="s">
        <v>6802</v>
      </c>
      <c r="D2165" s="59">
        <v>5.0</v>
      </c>
      <c r="E2165" s="59">
        <v>11.0</v>
      </c>
      <c r="F2165" s="59">
        <v>1.0</v>
      </c>
      <c r="G2165" s="60">
        <v>2.75</v>
      </c>
      <c r="H2165" s="60">
        <v>0.636363636363636</v>
      </c>
      <c r="I2165" s="60">
        <v>229.289047454545</v>
      </c>
      <c r="J2165" s="59">
        <v>14.0</v>
      </c>
      <c r="K2165" s="61">
        <f t="shared" si="1"/>
        <v>0.09090909091</v>
      </c>
      <c r="L2165" s="62">
        <f t="shared" si="2"/>
        <v>1.272727273</v>
      </c>
    </row>
    <row r="2166">
      <c r="A2166" s="58">
        <v>45962.0</v>
      </c>
      <c r="B2166" s="24" t="s">
        <v>6787</v>
      </c>
      <c r="C2166" s="24" t="s">
        <v>6818</v>
      </c>
      <c r="D2166" s="59">
        <v>4.0</v>
      </c>
      <c r="E2166" s="59">
        <v>4.0</v>
      </c>
      <c r="F2166" s="59">
        <v>4.0</v>
      </c>
      <c r="G2166" s="60">
        <v>1.0</v>
      </c>
      <c r="H2166" s="60">
        <v>1.0</v>
      </c>
      <c r="I2166" s="60">
        <v>1.78722325</v>
      </c>
      <c r="J2166" s="59">
        <v>4.0</v>
      </c>
      <c r="K2166" s="61">
        <f t="shared" si="1"/>
        <v>1</v>
      </c>
      <c r="L2166" s="62">
        <f t="shared" si="2"/>
        <v>1</v>
      </c>
    </row>
    <row r="2167">
      <c r="A2167" s="58">
        <v>45962.0</v>
      </c>
      <c r="B2167" s="24" t="s">
        <v>6787</v>
      </c>
      <c r="C2167" s="24" t="s">
        <v>6866</v>
      </c>
      <c r="D2167" s="59">
        <v>4.0</v>
      </c>
      <c r="E2167" s="59">
        <v>4.0</v>
      </c>
      <c r="F2167" s="59">
        <v>4.0</v>
      </c>
      <c r="G2167" s="60">
        <v>1.0</v>
      </c>
      <c r="H2167" s="60">
        <v>0.75</v>
      </c>
      <c r="I2167" s="60">
        <v>4.859501</v>
      </c>
      <c r="J2167" s="59">
        <v>4.0</v>
      </c>
      <c r="K2167" s="61">
        <f t="shared" si="1"/>
        <v>1</v>
      </c>
      <c r="L2167" s="62">
        <f t="shared" si="2"/>
        <v>1</v>
      </c>
    </row>
    <row r="2168">
      <c r="A2168" s="58">
        <v>45962.0</v>
      </c>
      <c r="B2168" s="24" t="s">
        <v>6787</v>
      </c>
      <c r="C2168" s="24" t="s">
        <v>7062</v>
      </c>
      <c r="D2168" s="59">
        <v>4.0</v>
      </c>
      <c r="E2168" s="59">
        <v>4.0</v>
      </c>
      <c r="F2168" s="59">
        <v>4.0</v>
      </c>
      <c r="G2168" s="60">
        <v>1.0</v>
      </c>
      <c r="H2168" s="60">
        <v>0.75</v>
      </c>
      <c r="I2168" s="60">
        <v>8.05546275</v>
      </c>
      <c r="J2168" s="59">
        <v>4.0</v>
      </c>
      <c r="K2168" s="61">
        <f t="shared" si="1"/>
        <v>1</v>
      </c>
      <c r="L2168" s="62">
        <f t="shared" si="2"/>
        <v>1</v>
      </c>
    </row>
    <row r="2169">
      <c r="A2169" s="58">
        <v>45962.0</v>
      </c>
      <c r="B2169" s="24" t="s">
        <v>6787</v>
      </c>
      <c r="C2169" s="24" t="s">
        <v>6873</v>
      </c>
      <c r="D2169" s="59">
        <v>4.0</v>
      </c>
      <c r="E2169" s="59">
        <v>4.0</v>
      </c>
      <c r="F2169" s="59">
        <v>4.0</v>
      </c>
      <c r="G2169" s="60">
        <v>1.0</v>
      </c>
      <c r="H2169" s="60">
        <v>0.75</v>
      </c>
      <c r="I2169" s="60">
        <v>3.19874875</v>
      </c>
      <c r="J2169" s="59">
        <v>4.0</v>
      </c>
      <c r="K2169" s="61">
        <f t="shared" si="1"/>
        <v>1</v>
      </c>
      <c r="L2169" s="62">
        <f t="shared" si="2"/>
        <v>1</v>
      </c>
    </row>
    <row r="2170">
      <c r="A2170" s="58">
        <v>45962.0</v>
      </c>
      <c r="B2170" s="24" t="s">
        <v>155</v>
      </c>
      <c r="C2170" s="24" t="s">
        <v>6882</v>
      </c>
      <c r="D2170" s="59">
        <v>4.0</v>
      </c>
      <c r="E2170" s="59">
        <v>4.0</v>
      </c>
      <c r="F2170" s="59">
        <v>4.0</v>
      </c>
      <c r="G2170" s="60">
        <v>1.0</v>
      </c>
      <c r="H2170" s="60">
        <v>0.75</v>
      </c>
      <c r="I2170" s="60">
        <v>28.49618875</v>
      </c>
      <c r="J2170" s="59">
        <v>5.0</v>
      </c>
      <c r="K2170" s="61">
        <f t="shared" si="1"/>
        <v>1</v>
      </c>
      <c r="L2170" s="62">
        <f t="shared" si="2"/>
        <v>1.25</v>
      </c>
    </row>
    <row r="2171">
      <c r="A2171" s="58">
        <v>45962.0</v>
      </c>
      <c r="B2171" s="24" t="s">
        <v>6787</v>
      </c>
      <c r="C2171" s="24" t="s">
        <v>6990</v>
      </c>
      <c r="D2171" s="59">
        <v>4.0</v>
      </c>
      <c r="E2171" s="59">
        <v>4.0</v>
      </c>
      <c r="F2171" s="59">
        <v>4.0</v>
      </c>
      <c r="G2171" s="60">
        <v>1.0</v>
      </c>
      <c r="H2171" s="60">
        <v>0.5</v>
      </c>
      <c r="I2171" s="60">
        <v>10.8859479999999</v>
      </c>
      <c r="J2171" s="59">
        <v>4.0</v>
      </c>
      <c r="K2171" s="61">
        <f t="shared" si="1"/>
        <v>1</v>
      </c>
      <c r="L2171" s="62">
        <f t="shared" si="2"/>
        <v>1</v>
      </c>
    </row>
    <row r="2172">
      <c r="A2172" s="58">
        <v>45962.0</v>
      </c>
      <c r="B2172" s="24" t="s">
        <v>6787</v>
      </c>
      <c r="C2172" s="24" t="s">
        <v>6835</v>
      </c>
      <c r="D2172" s="59">
        <v>4.0</v>
      </c>
      <c r="E2172" s="59">
        <v>4.0</v>
      </c>
      <c r="F2172" s="59">
        <v>4.0</v>
      </c>
      <c r="G2172" s="60">
        <v>1.0</v>
      </c>
      <c r="H2172" s="60">
        <v>0.25</v>
      </c>
      <c r="I2172" s="60">
        <v>384.53342775</v>
      </c>
      <c r="J2172" s="59">
        <v>4.0</v>
      </c>
      <c r="K2172" s="61">
        <f t="shared" si="1"/>
        <v>1</v>
      </c>
      <c r="L2172" s="62">
        <f t="shared" si="2"/>
        <v>1</v>
      </c>
    </row>
    <row r="2173">
      <c r="A2173" s="58">
        <v>45962.0</v>
      </c>
      <c r="B2173" s="24" t="s">
        <v>155</v>
      </c>
      <c r="C2173" s="24" t="s">
        <v>6835</v>
      </c>
      <c r="D2173" s="59">
        <v>4.0</v>
      </c>
      <c r="E2173" s="59">
        <v>5.0</v>
      </c>
      <c r="F2173" s="59">
        <v>3.0</v>
      </c>
      <c r="G2173" s="60">
        <v>1.25</v>
      </c>
      <c r="H2173" s="60">
        <v>0.0</v>
      </c>
      <c r="I2173" s="60">
        <v>517.7887234</v>
      </c>
      <c r="J2173" s="59">
        <v>15.0</v>
      </c>
      <c r="K2173" s="61">
        <f t="shared" si="1"/>
        <v>0.6</v>
      </c>
      <c r="L2173" s="62">
        <f t="shared" si="2"/>
        <v>3</v>
      </c>
    </row>
    <row r="2174">
      <c r="A2174" s="58">
        <v>45962.0</v>
      </c>
      <c r="B2174" s="24" t="s">
        <v>6787</v>
      </c>
      <c r="C2174" s="24" t="s">
        <v>6945</v>
      </c>
      <c r="D2174" s="59">
        <v>4.0</v>
      </c>
      <c r="E2174" s="59">
        <v>4.0</v>
      </c>
      <c r="F2174" s="59">
        <v>4.0</v>
      </c>
      <c r="G2174" s="60">
        <v>1.0</v>
      </c>
      <c r="H2174" s="60">
        <v>0.5</v>
      </c>
      <c r="I2174" s="60">
        <v>9.9734</v>
      </c>
      <c r="J2174" s="59">
        <v>4.0</v>
      </c>
      <c r="K2174" s="61">
        <f t="shared" si="1"/>
        <v>1</v>
      </c>
      <c r="L2174" s="62">
        <f t="shared" si="2"/>
        <v>1</v>
      </c>
    </row>
    <row r="2175">
      <c r="A2175" s="58">
        <v>45962.0</v>
      </c>
      <c r="B2175" s="24" t="s">
        <v>6787</v>
      </c>
      <c r="C2175" s="24" t="s">
        <v>6997</v>
      </c>
      <c r="D2175" s="59">
        <v>4.0</v>
      </c>
      <c r="E2175" s="59">
        <v>4.0</v>
      </c>
      <c r="F2175" s="59">
        <v>4.0</v>
      </c>
      <c r="G2175" s="60">
        <v>1.0</v>
      </c>
      <c r="H2175" s="60">
        <v>0.75</v>
      </c>
      <c r="I2175" s="60">
        <v>10.686789</v>
      </c>
      <c r="J2175" s="59">
        <v>4.0</v>
      </c>
      <c r="K2175" s="61">
        <f t="shared" si="1"/>
        <v>1</v>
      </c>
      <c r="L2175" s="62">
        <f t="shared" si="2"/>
        <v>1</v>
      </c>
    </row>
    <row r="2176">
      <c r="A2176" s="58">
        <v>45962.0</v>
      </c>
      <c r="B2176" s="24" t="s">
        <v>6789</v>
      </c>
      <c r="C2176" s="24" t="s">
        <v>6822</v>
      </c>
      <c r="D2176" s="59">
        <v>4.0</v>
      </c>
      <c r="E2176" s="59">
        <v>5.0</v>
      </c>
      <c r="F2176" s="59">
        <v>0.0</v>
      </c>
      <c r="G2176" s="60">
        <v>1.25</v>
      </c>
      <c r="H2176" s="60">
        <v>0.6</v>
      </c>
      <c r="I2176" s="60">
        <v>482.378482</v>
      </c>
      <c r="J2176" s="59">
        <v>10.0</v>
      </c>
      <c r="K2176" s="61">
        <f t="shared" si="1"/>
        <v>0</v>
      </c>
      <c r="L2176" s="62">
        <f t="shared" si="2"/>
        <v>2</v>
      </c>
    </row>
    <row r="2177">
      <c r="A2177" s="58">
        <v>45962.0</v>
      </c>
      <c r="B2177" s="24" t="s">
        <v>6787</v>
      </c>
      <c r="C2177" s="24" t="s">
        <v>7032</v>
      </c>
      <c r="D2177" s="59">
        <v>4.0</v>
      </c>
      <c r="E2177" s="59">
        <v>4.0</v>
      </c>
      <c r="F2177" s="59">
        <v>4.0</v>
      </c>
      <c r="G2177" s="60">
        <v>1.0</v>
      </c>
      <c r="H2177" s="60">
        <v>1.0</v>
      </c>
      <c r="I2177" s="60">
        <v>3.19165</v>
      </c>
      <c r="J2177" s="59">
        <v>4.0</v>
      </c>
      <c r="K2177" s="61">
        <f t="shared" si="1"/>
        <v>1</v>
      </c>
      <c r="L2177" s="62">
        <f t="shared" si="2"/>
        <v>1</v>
      </c>
    </row>
    <row r="2178">
      <c r="A2178" s="58">
        <v>45962.0</v>
      </c>
      <c r="B2178" s="24" t="s">
        <v>6787</v>
      </c>
      <c r="C2178" s="24" t="s">
        <v>6843</v>
      </c>
      <c r="D2178" s="59">
        <v>4.0</v>
      </c>
      <c r="E2178" s="59">
        <v>4.0</v>
      </c>
      <c r="F2178" s="59">
        <v>4.0</v>
      </c>
      <c r="G2178" s="60">
        <v>1.0</v>
      </c>
      <c r="H2178" s="60">
        <v>0.75</v>
      </c>
      <c r="I2178" s="60">
        <v>5.1646235</v>
      </c>
      <c r="J2178" s="59">
        <v>4.0</v>
      </c>
      <c r="K2178" s="61">
        <f t="shared" si="1"/>
        <v>1</v>
      </c>
      <c r="L2178" s="62">
        <f t="shared" si="2"/>
        <v>1</v>
      </c>
    </row>
    <row r="2179">
      <c r="A2179" s="58">
        <v>45962.0</v>
      </c>
      <c r="B2179" s="24" t="s">
        <v>6787</v>
      </c>
      <c r="C2179" s="24" t="s">
        <v>6807</v>
      </c>
      <c r="D2179" s="59">
        <v>4.0</v>
      </c>
      <c r="E2179" s="59">
        <v>4.0</v>
      </c>
      <c r="F2179" s="59">
        <v>4.0</v>
      </c>
      <c r="G2179" s="60">
        <v>1.0</v>
      </c>
      <c r="H2179" s="60">
        <v>0.75</v>
      </c>
      <c r="I2179" s="60">
        <v>10.1120565</v>
      </c>
      <c r="J2179" s="59">
        <v>4.0</v>
      </c>
      <c r="K2179" s="61">
        <f t="shared" si="1"/>
        <v>1</v>
      </c>
      <c r="L2179" s="62">
        <f t="shared" si="2"/>
        <v>1</v>
      </c>
    </row>
    <row r="2180">
      <c r="A2180" s="58">
        <v>45962.0</v>
      </c>
      <c r="B2180" s="24" t="s">
        <v>155</v>
      </c>
      <c r="C2180" s="24" t="s">
        <v>6844</v>
      </c>
      <c r="D2180" s="59">
        <v>4.0</v>
      </c>
      <c r="E2180" s="59">
        <v>4.0</v>
      </c>
      <c r="F2180" s="59">
        <v>3.0</v>
      </c>
      <c r="G2180" s="60">
        <v>1.0</v>
      </c>
      <c r="H2180" s="60">
        <v>0.25</v>
      </c>
      <c r="I2180" s="60">
        <v>435.809062749999</v>
      </c>
      <c r="J2180" s="59">
        <v>4.0</v>
      </c>
      <c r="K2180" s="61">
        <f t="shared" si="1"/>
        <v>0.75</v>
      </c>
      <c r="L2180" s="62">
        <f t="shared" si="2"/>
        <v>1</v>
      </c>
    </row>
    <row r="2181">
      <c r="A2181" s="58">
        <v>45962.0</v>
      </c>
      <c r="B2181" s="24" t="s">
        <v>6787</v>
      </c>
      <c r="C2181" s="24" t="s">
        <v>7007</v>
      </c>
      <c r="D2181" s="59">
        <v>4.0</v>
      </c>
      <c r="E2181" s="59">
        <v>4.0</v>
      </c>
      <c r="F2181" s="59">
        <v>4.0</v>
      </c>
      <c r="G2181" s="60">
        <v>1.0</v>
      </c>
      <c r="H2181" s="60">
        <v>0.75</v>
      </c>
      <c r="I2181" s="60">
        <v>3.72805999999999</v>
      </c>
      <c r="J2181" s="59">
        <v>4.0</v>
      </c>
      <c r="K2181" s="61">
        <f t="shared" si="1"/>
        <v>1</v>
      </c>
      <c r="L2181" s="62">
        <f t="shared" si="2"/>
        <v>1</v>
      </c>
    </row>
    <row r="2182">
      <c r="A2182" s="58">
        <v>45962.0</v>
      </c>
      <c r="B2182" s="24" t="s">
        <v>6789</v>
      </c>
      <c r="C2182" s="24" t="s">
        <v>6903</v>
      </c>
      <c r="D2182" s="59">
        <v>4.0</v>
      </c>
      <c r="E2182" s="59">
        <v>5.0</v>
      </c>
      <c r="F2182" s="59">
        <v>4.0</v>
      </c>
      <c r="G2182" s="60">
        <v>1.25</v>
      </c>
      <c r="H2182" s="60">
        <v>0.4</v>
      </c>
      <c r="I2182" s="60">
        <v>89.430319</v>
      </c>
      <c r="J2182" s="59">
        <v>5.0</v>
      </c>
      <c r="K2182" s="61">
        <f t="shared" si="1"/>
        <v>0.8</v>
      </c>
      <c r="L2182" s="62">
        <f t="shared" si="2"/>
        <v>1</v>
      </c>
    </row>
    <row r="2183">
      <c r="A2183" s="58">
        <v>45962.0</v>
      </c>
      <c r="B2183" s="24" t="s">
        <v>6787</v>
      </c>
      <c r="C2183" s="24" t="s">
        <v>7119</v>
      </c>
      <c r="D2183" s="59">
        <v>4.0</v>
      </c>
      <c r="E2183" s="59">
        <v>4.0</v>
      </c>
      <c r="F2183" s="59">
        <v>4.0</v>
      </c>
      <c r="G2183" s="60">
        <v>1.0</v>
      </c>
      <c r="H2183" s="60">
        <v>0.5</v>
      </c>
      <c r="I2183" s="60">
        <v>289.7126875</v>
      </c>
      <c r="J2183" s="59">
        <v>9.0</v>
      </c>
      <c r="K2183" s="61">
        <f t="shared" si="1"/>
        <v>1</v>
      </c>
      <c r="L2183" s="62">
        <f t="shared" si="2"/>
        <v>2.25</v>
      </c>
    </row>
    <row r="2184">
      <c r="A2184" s="58">
        <v>45962.0</v>
      </c>
      <c r="B2184" s="24" t="s">
        <v>6787</v>
      </c>
      <c r="C2184" s="24" t="s">
        <v>7236</v>
      </c>
      <c r="D2184" s="59">
        <v>4.0</v>
      </c>
      <c r="E2184" s="59">
        <v>4.0</v>
      </c>
      <c r="F2184" s="59">
        <v>3.0</v>
      </c>
      <c r="G2184" s="60">
        <v>1.0</v>
      </c>
      <c r="H2184" s="60">
        <v>0.25</v>
      </c>
      <c r="I2184" s="60">
        <v>572.5030665</v>
      </c>
      <c r="J2184" s="59">
        <v>11.0</v>
      </c>
      <c r="K2184" s="61">
        <f t="shared" si="1"/>
        <v>0.75</v>
      </c>
      <c r="L2184" s="62">
        <f t="shared" si="2"/>
        <v>2.75</v>
      </c>
    </row>
    <row r="2185">
      <c r="A2185" s="58">
        <v>45962.0</v>
      </c>
      <c r="B2185" s="24" t="s">
        <v>6789</v>
      </c>
      <c r="C2185" s="24" t="s">
        <v>7233</v>
      </c>
      <c r="D2185" s="59">
        <v>4.0</v>
      </c>
      <c r="E2185" s="59">
        <v>5.0</v>
      </c>
      <c r="F2185" s="59">
        <v>3.0</v>
      </c>
      <c r="G2185" s="60">
        <v>1.25</v>
      </c>
      <c r="H2185" s="60">
        <v>0.2</v>
      </c>
      <c r="I2185" s="60">
        <v>348.485495</v>
      </c>
      <c r="J2185" s="59">
        <v>20.0</v>
      </c>
      <c r="K2185" s="61">
        <f t="shared" si="1"/>
        <v>0.6</v>
      </c>
      <c r="L2185" s="62">
        <f t="shared" si="2"/>
        <v>4</v>
      </c>
    </row>
    <row r="2186">
      <c r="A2186" s="58">
        <v>45962.0</v>
      </c>
      <c r="B2186" s="24" t="s">
        <v>6789</v>
      </c>
      <c r="C2186" s="24" t="s">
        <v>6907</v>
      </c>
      <c r="D2186" s="59">
        <v>4.0</v>
      </c>
      <c r="E2186" s="59">
        <v>4.0</v>
      </c>
      <c r="F2186" s="59">
        <v>1.0</v>
      </c>
      <c r="G2186" s="60">
        <v>1.0</v>
      </c>
      <c r="H2186" s="60">
        <v>0.25</v>
      </c>
      <c r="I2186" s="60">
        <v>163.49766125</v>
      </c>
      <c r="J2186" s="59">
        <v>12.0</v>
      </c>
      <c r="K2186" s="61">
        <f t="shared" si="1"/>
        <v>0.25</v>
      </c>
      <c r="L2186" s="62">
        <f t="shared" si="2"/>
        <v>3</v>
      </c>
    </row>
    <row r="2187">
      <c r="A2187" s="58">
        <v>45962.0</v>
      </c>
      <c r="B2187" s="24" t="s">
        <v>6787</v>
      </c>
      <c r="C2187" s="24" t="s">
        <v>7090</v>
      </c>
      <c r="D2187" s="59">
        <v>4.0</v>
      </c>
      <c r="E2187" s="59">
        <v>4.0</v>
      </c>
      <c r="F2187" s="59">
        <v>4.0</v>
      </c>
      <c r="G2187" s="60">
        <v>1.0</v>
      </c>
      <c r="H2187" s="60">
        <v>1.0</v>
      </c>
      <c r="I2187" s="60">
        <v>0.0</v>
      </c>
      <c r="J2187" s="59">
        <v>4.0</v>
      </c>
      <c r="K2187" s="61">
        <f t="shared" si="1"/>
        <v>1</v>
      </c>
      <c r="L2187" s="62">
        <f t="shared" si="2"/>
        <v>1</v>
      </c>
    </row>
    <row r="2188">
      <c r="A2188" s="58">
        <v>45962.0</v>
      </c>
      <c r="B2188" s="24" t="s">
        <v>6789</v>
      </c>
      <c r="C2188" s="24" t="s">
        <v>7090</v>
      </c>
      <c r="D2188" s="59">
        <v>4.0</v>
      </c>
      <c r="E2188" s="59">
        <v>4.0</v>
      </c>
      <c r="F2188" s="59">
        <v>4.0</v>
      </c>
      <c r="G2188" s="60">
        <v>1.0</v>
      </c>
      <c r="H2188" s="60">
        <v>0.25</v>
      </c>
      <c r="I2188" s="60">
        <v>13.261491</v>
      </c>
      <c r="J2188" s="59">
        <v>4.0</v>
      </c>
      <c r="K2188" s="61">
        <f t="shared" si="1"/>
        <v>1</v>
      </c>
      <c r="L2188" s="62">
        <f t="shared" si="2"/>
        <v>1</v>
      </c>
    </row>
    <row r="2189">
      <c r="A2189" s="58">
        <v>45962.0</v>
      </c>
      <c r="B2189" s="24" t="s">
        <v>6787</v>
      </c>
      <c r="C2189" s="24" t="s">
        <v>7166</v>
      </c>
      <c r="D2189" s="59">
        <v>4.0</v>
      </c>
      <c r="E2189" s="59">
        <v>4.0</v>
      </c>
      <c r="F2189" s="59">
        <v>4.0</v>
      </c>
      <c r="G2189" s="60">
        <v>1.0</v>
      </c>
      <c r="H2189" s="60">
        <v>0.75</v>
      </c>
      <c r="I2189" s="60">
        <v>6.374254</v>
      </c>
      <c r="J2189" s="59">
        <v>4.0</v>
      </c>
      <c r="K2189" s="61">
        <f t="shared" si="1"/>
        <v>1</v>
      </c>
      <c r="L2189" s="62">
        <f t="shared" si="2"/>
        <v>1</v>
      </c>
    </row>
    <row r="2190">
      <c r="A2190" s="58">
        <v>45962.0</v>
      </c>
      <c r="B2190" s="24" t="s">
        <v>6787</v>
      </c>
      <c r="C2190" s="24" t="s">
        <v>7237</v>
      </c>
      <c r="D2190" s="59">
        <v>4.0</v>
      </c>
      <c r="E2190" s="59">
        <v>4.0</v>
      </c>
      <c r="F2190" s="59">
        <v>4.0</v>
      </c>
      <c r="G2190" s="60">
        <v>1.0</v>
      </c>
      <c r="H2190" s="60">
        <v>0.75</v>
      </c>
      <c r="I2190" s="60">
        <v>6.065274</v>
      </c>
      <c r="J2190" s="59">
        <v>5.0</v>
      </c>
      <c r="K2190" s="61">
        <f t="shared" si="1"/>
        <v>1</v>
      </c>
      <c r="L2190" s="62">
        <f t="shared" si="2"/>
        <v>1.25</v>
      </c>
    </row>
    <row r="2191">
      <c r="A2191" s="58">
        <v>45962.0</v>
      </c>
      <c r="B2191" s="24" t="s">
        <v>6787</v>
      </c>
      <c r="C2191" s="24" t="s">
        <v>7013</v>
      </c>
      <c r="D2191" s="59">
        <v>4.0</v>
      </c>
      <c r="E2191" s="59">
        <v>4.0</v>
      </c>
      <c r="F2191" s="59">
        <v>4.0</v>
      </c>
      <c r="G2191" s="60">
        <v>1.0</v>
      </c>
      <c r="H2191" s="60">
        <v>0.5</v>
      </c>
      <c r="I2191" s="60">
        <v>6.0600455</v>
      </c>
      <c r="J2191" s="59">
        <v>4.0</v>
      </c>
      <c r="K2191" s="61">
        <f t="shared" si="1"/>
        <v>1</v>
      </c>
      <c r="L2191" s="62">
        <f t="shared" si="2"/>
        <v>1</v>
      </c>
    </row>
    <row r="2192">
      <c r="A2192" s="58">
        <v>45962.0</v>
      </c>
      <c r="B2192" s="24" t="s">
        <v>6787</v>
      </c>
      <c r="C2192" s="24" t="s">
        <v>6812</v>
      </c>
      <c r="D2192" s="59">
        <v>4.0</v>
      </c>
      <c r="E2192" s="59">
        <v>4.0</v>
      </c>
      <c r="F2192" s="59">
        <v>4.0</v>
      </c>
      <c r="G2192" s="60">
        <v>1.0</v>
      </c>
      <c r="H2192" s="60">
        <v>0.5</v>
      </c>
      <c r="I2192" s="60">
        <v>9.4313475</v>
      </c>
      <c r="J2192" s="59">
        <v>5.0</v>
      </c>
      <c r="K2192" s="61">
        <f t="shared" si="1"/>
        <v>1</v>
      </c>
      <c r="L2192" s="62">
        <f t="shared" si="2"/>
        <v>1.25</v>
      </c>
    </row>
    <row r="2193">
      <c r="A2193" s="58">
        <v>45962.0</v>
      </c>
      <c r="B2193" s="24" t="s">
        <v>6794</v>
      </c>
      <c r="C2193" s="24" t="s">
        <v>6815</v>
      </c>
      <c r="D2193" s="59">
        <v>4.0</v>
      </c>
      <c r="E2193" s="59">
        <v>5.0</v>
      </c>
      <c r="F2193" s="59">
        <v>3.0</v>
      </c>
      <c r="G2193" s="60">
        <v>1.25</v>
      </c>
      <c r="H2193" s="60">
        <v>0.0</v>
      </c>
      <c r="I2193" s="60">
        <v>640.6744036</v>
      </c>
      <c r="J2193" s="59">
        <v>9.0</v>
      </c>
      <c r="K2193" s="61">
        <f t="shared" si="1"/>
        <v>0.6</v>
      </c>
      <c r="L2193" s="62">
        <f t="shared" si="2"/>
        <v>1.8</v>
      </c>
    </row>
    <row r="2194">
      <c r="A2194" s="58">
        <v>45962.0</v>
      </c>
      <c r="B2194" s="24" t="s">
        <v>6787</v>
      </c>
      <c r="C2194" s="24" t="s">
        <v>7107</v>
      </c>
      <c r="D2194" s="59">
        <v>4.0</v>
      </c>
      <c r="E2194" s="59">
        <v>4.0</v>
      </c>
      <c r="F2194" s="59">
        <v>4.0</v>
      </c>
      <c r="G2194" s="60">
        <v>1.0</v>
      </c>
      <c r="H2194" s="60">
        <v>0.25</v>
      </c>
      <c r="I2194" s="60">
        <v>12.99957675</v>
      </c>
      <c r="J2194" s="59">
        <v>4.0</v>
      </c>
      <c r="K2194" s="61">
        <f t="shared" si="1"/>
        <v>1</v>
      </c>
      <c r="L2194" s="62">
        <f t="shared" si="2"/>
        <v>1</v>
      </c>
    </row>
    <row r="2195">
      <c r="A2195" s="58">
        <v>45962.0</v>
      </c>
      <c r="B2195" s="24" t="s">
        <v>6787</v>
      </c>
      <c r="C2195" s="24" t="s">
        <v>6852</v>
      </c>
      <c r="D2195" s="59">
        <v>4.0</v>
      </c>
      <c r="E2195" s="59">
        <v>5.0</v>
      </c>
      <c r="F2195" s="59">
        <v>4.0</v>
      </c>
      <c r="G2195" s="60">
        <v>1.25</v>
      </c>
      <c r="H2195" s="60">
        <v>0.8</v>
      </c>
      <c r="I2195" s="60">
        <v>7.5300156</v>
      </c>
      <c r="J2195" s="59">
        <v>5.0</v>
      </c>
      <c r="K2195" s="61">
        <f t="shared" si="1"/>
        <v>0.8</v>
      </c>
      <c r="L2195" s="62">
        <f t="shared" si="2"/>
        <v>1</v>
      </c>
    </row>
    <row r="2196">
      <c r="A2196" s="58">
        <v>45962.0</v>
      </c>
      <c r="B2196" s="24" t="s">
        <v>6791</v>
      </c>
      <c r="C2196" s="24" t="s">
        <v>6962</v>
      </c>
      <c r="D2196" s="59">
        <v>4.0</v>
      </c>
      <c r="E2196" s="59">
        <v>4.0</v>
      </c>
      <c r="F2196" s="59">
        <v>0.0</v>
      </c>
      <c r="G2196" s="60">
        <v>1.0</v>
      </c>
      <c r="H2196" s="60">
        <v>0.0</v>
      </c>
      <c r="I2196" s="60">
        <v>24.4282177499999</v>
      </c>
      <c r="J2196" s="59">
        <v>4.0</v>
      </c>
      <c r="K2196" s="61">
        <f t="shared" si="1"/>
        <v>0</v>
      </c>
      <c r="L2196" s="62">
        <f t="shared" si="2"/>
        <v>1</v>
      </c>
    </row>
    <row r="2197">
      <c r="A2197" s="58">
        <v>45962.0</v>
      </c>
      <c r="B2197" s="24" t="s">
        <v>6787</v>
      </c>
      <c r="C2197" s="24" t="s">
        <v>7208</v>
      </c>
      <c r="D2197" s="59">
        <v>4.0</v>
      </c>
      <c r="E2197" s="59">
        <v>4.0</v>
      </c>
      <c r="F2197" s="59">
        <v>4.0</v>
      </c>
      <c r="G2197" s="60">
        <v>1.0</v>
      </c>
      <c r="H2197" s="60">
        <v>0.0</v>
      </c>
      <c r="I2197" s="60">
        <v>0.85497075</v>
      </c>
      <c r="J2197" s="59">
        <v>4.0</v>
      </c>
      <c r="K2197" s="61">
        <f t="shared" si="1"/>
        <v>1</v>
      </c>
      <c r="L2197" s="62">
        <f t="shared" si="2"/>
        <v>1</v>
      </c>
    </row>
    <row r="2198">
      <c r="A2198" s="58">
        <v>45962.0</v>
      </c>
      <c r="B2198" s="24" t="s">
        <v>6789</v>
      </c>
      <c r="C2198" s="24" t="s">
        <v>6854</v>
      </c>
      <c r="D2198" s="59">
        <v>4.0</v>
      </c>
      <c r="E2198" s="59">
        <v>7.0</v>
      </c>
      <c r="F2198" s="59">
        <v>1.0</v>
      </c>
      <c r="G2198" s="60">
        <v>1.75</v>
      </c>
      <c r="H2198" s="60">
        <v>0.428571428571428</v>
      </c>
      <c r="I2198" s="60">
        <v>171.474330285714</v>
      </c>
      <c r="J2198" s="59">
        <v>14.0</v>
      </c>
      <c r="K2198" s="61">
        <f t="shared" si="1"/>
        <v>0.1428571429</v>
      </c>
      <c r="L2198" s="62">
        <f t="shared" si="2"/>
        <v>2</v>
      </c>
    </row>
    <row r="2199">
      <c r="A2199" s="58">
        <v>45962.0</v>
      </c>
      <c r="B2199" s="24" t="s">
        <v>6791</v>
      </c>
      <c r="C2199" s="24" t="s">
        <v>6802</v>
      </c>
      <c r="D2199" s="59">
        <v>4.0</v>
      </c>
      <c r="E2199" s="59">
        <v>5.0</v>
      </c>
      <c r="F2199" s="59">
        <v>0.0</v>
      </c>
      <c r="G2199" s="60">
        <v>1.25</v>
      </c>
      <c r="H2199" s="60">
        <v>0.8</v>
      </c>
      <c r="I2199" s="60">
        <v>14.3929863999999</v>
      </c>
      <c r="J2199" s="59">
        <v>5.0</v>
      </c>
      <c r="K2199" s="61">
        <f t="shared" si="1"/>
        <v>0</v>
      </c>
      <c r="L2199" s="62">
        <f t="shared" si="2"/>
        <v>1</v>
      </c>
    </row>
    <row r="2200">
      <c r="A2200" s="58">
        <v>45962.0</v>
      </c>
      <c r="B2200" s="24" t="s">
        <v>6787</v>
      </c>
      <c r="C2200" s="24" t="s">
        <v>6983</v>
      </c>
      <c r="D2200" s="59">
        <v>3.0</v>
      </c>
      <c r="E2200" s="59">
        <v>3.0</v>
      </c>
      <c r="F2200" s="59">
        <v>3.0</v>
      </c>
      <c r="G2200" s="60">
        <v>1.0</v>
      </c>
      <c r="H2200" s="60">
        <v>1.0</v>
      </c>
      <c r="I2200" s="60">
        <v>0.0</v>
      </c>
      <c r="J2200" s="59">
        <v>3.0</v>
      </c>
      <c r="K2200" s="61">
        <f t="shared" si="1"/>
        <v>1</v>
      </c>
      <c r="L2200" s="62">
        <f t="shared" si="2"/>
        <v>1</v>
      </c>
    </row>
    <row r="2201">
      <c r="A2201" s="58">
        <v>45962.0</v>
      </c>
      <c r="B2201" s="24" t="s">
        <v>6789</v>
      </c>
      <c r="C2201" s="24" t="s">
        <v>6828</v>
      </c>
      <c r="D2201" s="59">
        <v>3.0</v>
      </c>
      <c r="E2201" s="59">
        <v>3.0</v>
      </c>
      <c r="F2201" s="59">
        <v>3.0</v>
      </c>
      <c r="G2201" s="60">
        <v>1.0</v>
      </c>
      <c r="H2201" s="60">
        <v>0.666666666666666</v>
      </c>
      <c r="I2201" s="60">
        <v>39.8679466666666</v>
      </c>
      <c r="J2201" s="59">
        <v>5.0</v>
      </c>
      <c r="K2201" s="61">
        <f t="shared" si="1"/>
        <v>1</v>
      </c>
      <c r="L2201" s="62">
        <f t="shared" si="2"/>
        <v>1.666666667</v>
      </c>
    </row>
    <row r="2202">
      <c r="A2202" s="58">
        <v>45962.0</v>
      </c>
      <c r="B2202" s="24" t="s">
        <v>6789</v>
      </c>
      <c r="C2202" s="24" t="s">
        <v>6804</v>
      </c>
      <c r="D2202" s="59">
        <v>3.0</v>
      </c>
      <c r="E2202" s="59">
        <v>3.0</v>
      </c>
      <c r="F2202" s="59">
        <v>3.0</v>
      </c>
      <c r="G2202" s="60">
        <v>1.0</v>
      </c>
      <c r="H2202" s="60">
        <v>0.333333333333333</v>
      </c>
      <c r="I2202" s="60">
        <v>545.858175333333</v>
      </c>
      <c r="J2202" s="59">
        <v>3.0</v>
      </c>
      <c r="K2202" s="61">
        <f t="shared" si="1"/>
        <v>1</v>
      </c>
      <c r="L2202" s="62">
        <f t="shared" si="2"/>
        <v>1</v>
      </c>
    </row>
    <row r="2203">
      <c r="A2203" s="58">
        <v>45962.0</v>
      </c>
      <c r="B2203" s="24" t="s">
        <v>6787</v>
      </c>
      <c r="C2203" s="24" t="s">
        <v>7057</v>
      </c>
      <c r="D2203" s="59">
        <v>3.0</v>
      </c>
      <c r="E2203" s="59">
        <v>3.0</v>
      </c>
      <c r="F2203" s="59">
        <v>3.0</v>
      </c>
      <c r="G2203" s="60">
        <v>1.0</v>
      </c>
      <c r="H2203" s="60">
        <v>1.0</v>
      </c>
      <c r="I2203" s="60">
        <v>4.79066299999999</v>
      </c>
      <c r="J2203" s="59">
        <v>3.0</v>
      </c>
      <c r="K2203" s="61">
        <f t="shared" si="1"/>
        <v>1</v>
      </c>
      <c r="L2203" s="62">
        <f t="shared" si="2"/>
        <v>1</v>
      </c>
    </row>
    <row r="2204">
      <c r="A2204" s="58">
        <v>45962.0</v>
      </c>
      <c r="B2204" s="24" t="s">
        <v>6789</v>
      </c>
      <c r="C2204" s="24" t="s">
        <v>7039</v>
      </c>
      <c r="D2204" s="59">
        <v>3.0</v>
      </c>
      <c r="E2204" s="59">
        <v>3.0</v>
      </c>
      <c r="F2204" s="59">
        <v>2.0</v>
      </c>
      <c r="G2204" s="60">
        <v>1.0</v>
      </c>
      <c r="H2204" s="60">
        <v>0.333333333333333</v>
      </c>
      <c r="I2204" s="60">
        <v>858.358646333333</v>
      </c>
      <c r="J2204" s="59">
        <v>5.0</v>
      </c>
      <c r="K2204" s="61">
        <f t="shared" si="1"/>
        <v>0.6666666667</v>
      </c>
      <c r="L2204" s="62">
        <f t="shared" si="2"/>
        <v>1.666666667</v>
      </c>
    </row>
    <row r="2205">
      <c r="A2205" s="58">
        <v>45962.0</v>
      </c>
      <c r="B2205" s="24" t="s">
        <v>6787</v>
      </c>
      <c r="C2205" s="24" t="s">
        <v>6830</v>
      </c>
      <c r="D2205" s="59">
        <v>3.0</v>
      </c>
      <c r="E2205" s="59">
        <v>3.0</v>
      </c>
      <c r="F2205" s="59">
        <v>3.0</v>
      </c>
      <c r="G2205" s="60">
        <v>1.0</v>
      </c>
      <c r="H2205" s="60">
        <v>1.0</v>
      </c>
      <c r="I2205" s="60">
        <v>2.162276</v>
      </c>
      <c r="J2205" s="59">
        <v>3.0</v>
      </c>
      <c r="K2205" s="61">
        <f t="shared" si="1"/>
        <v>1</v>
      </c>
      <c r="L2205" s="62">
        <f t="shared" si="2"/>
        <v>1</v>
      </c>
    </row>
    <row r="2206">
      <c r="A2206" s="58">
        <v>45962.0</v>
      </c>
      <c r="B2206" s="24" t="s">
        <v>6787</v>
      </c>
      <c r="C2206" s="24" t="s">
        <v>7060</v>
      </c>
      <c r="D2206" s="59">
        <v>3.0</v>
      </c>
      <c r="E2206" s="59">
        <v>3.0</v>
      </c>
      <c r="F2206" s="59">
        <v>3.0</v>
      </c>
      <c r="G2206" s="60">
        <v>1.0</v>
      </c>
      <c r="H2206" s="60">
        <v>1.0</v>
      </c>
      <c r="I2206" s="60">
        <v>3.119094</v>
      </c>
      <c r="J2206" s="59">
        <v>3.0</v>
      </c>
      <c r="K2206" s="61">
        <f t="shared" si="1"/>
        <v>1</v>
      </c>
      <c r="L2206" s="62">
        <f t="shared" si="2"/>
        <v>1</v>
      </c>
    </row>
    <row r="2207">
      <c r="A2207" s="58">
        <v>45962.0</v>
      </c>
      <c r="B2207" s="24" t="s">
        <v>6787</v>
      </c>
      <c r="C2207" s="24" t="s">
        <v>6863</v>
      </c>
      <c r="D2207" s="59">
        <v>3.0</v>
      </c>
      <c r="E2207" s="59">
        <v>3.0</v>
      </c>
      <c r="F2207" s="59">
        <v>3.0</v>
      </c>
      <c r="G2207" s="60">
        <v>1.0</v>
      </c>
      <c r="H2207" s="60">
        <v>1.0</v>
      </c>
      <c r="I2207" s="60">
        <v>3.23277033333333</v>
      </c>
      <c r="J2207" s="59">
        <v>3.0</v>
      </c>
      <c r="K2207" s="61">
        <f t="shared" si="1"/>
        <v>1</v>
      </c>
      <c r="L2207" s="62">
        <f t="shared" si="2"/>
        <v>1</v>
      </c>
    </row>
    <row r="2208">
      <c r="A2208" s="58">
        <v>45962.0</v>
      </c>
      <c r="B2208" s="24" t="s">
        <v>6787</v>
      </c>
      <c r="C2208" s="24" t="s">
        <v>6833</v>
      </c>
      <c r="D2208" s="59">
        <v>3.0</v>
      </c>
      <c r="E2208" s="59">
        <v>3.0</v>
      </c>
      <c r="F2208" s="59">
        <v>3.0</v>
      </c>
      <c r="G2208" s="60">
        <v>1.0</v>
      </c>
      <c r="H2208" s="60">
        <v>0.0</v>
      </c>
      <c r="I2208" s="60">
        <v>16.13245</v>
      </c>
      <c r="J2208" s="59">
        <v>3.0</v>
      </c>
      <c r="K2208" s="61">
        <f t="shared" si="1"/>
        <v>1</v>
      </c>
      <c r="L2208" s="62">
        <f t="shared" si="2"/>
        <v>1</v>
      </c>
    </row>
    <row r="2209">
      <c r="A2209" s="58">
        <v>45962.0</v>
      </c>
      <c r="B2209" s="24" t="s">
        <v>6787</v>
      </c>
      <c r="C2209" s="24" t="s">
        <v>6927</v>
      </c>
      <c r="D2209" s="59">
        <v>3.0</v>
      </c>
      <c r="E2209" s="59">
        <v>3.0</v>
      </c>
      <c r="F2209" s="59">
        <v>3.0</v>
      </c>
      <c r="G2209" s="60">
        <v>1.0</v>
      </c>
      <c r="H2209" s="60">
        <v>1.0</v>
      </c>
      <c r="I2209" s="60">
        <v>3.57945933333333</v>
      </c>
      <c r="J2209" s="59">
        <v>3.0</v>
      </c>
      <c r="K2209" s="61">
        <f t="shared" si="1"/>
        <v>1</v>
      </c>
      <c r="L2209" s="62">
        <f t="shared" si="2"/>
        <v>1</v>
      </c>
    </row>
    <row r="2210">
      <c r="A2210" s="58">
        <v>45962.0</v>
      </c>
      <c r="B2210" s="24" t="s">
        <v>6787</v>
      </c>
      <c r="C2210" s="24" t="s">
        <v>6988</v>
      </c>
      <c r="D2210" s="59">
        <v>3.0</v>
      </c>
      <c r="E2210" s="59">
        <v>3.0</v>
      </c>
      <c r="F2210" s="59">
        <v>3.0</v>
      </c>
      <c r="G2210" s="60">
        <v>1.0</v>
      </c>
      <c r="H2210" s="60">
        <v>0.333333333333333</v>
      </c>
      <c r="I2210" s="60">
        <v>11.1161266666666</v>
      </c>
      <c r="J2210" s="59">
        <v>3.0</v>
      </c>
      <c r="K2210" s="61">
        <f t="shared" si="1"/>
        <v>1</v>
      </c>
      <c r="L2210" s="62">
        <f t="shared" si="2"/>
        <v>1</v>
      </c>
    </row>
    <row r="2211">
      <c r="A2211" s="58">
        <v>45962.0</v>
      </c>
      <c r="B2211" s="24" t="s">
        <v>6790</v>
      </c>
      <c r="C2211" s="24" t="s">
        <v>7024</v>
      </c>
      <c r="D2211" s="59">
        <v>3.0</v>
      </c>
      <c r="E2211" s="59">
        <v>3.0</v>
      </c>
      <c r="F2211" s="59">
        <v>3.0</v>
      </c>
      <c r="G2211" s="60">
        <v>1.0</v>
      </c>
      <c r="H2211" s="60">
        <v>0.333333333333333</v>
      </c>
      <c r="I2211" s="60">
        <v>90.7545106666666</v>
      </c>
      <c r="J2211" s="59">
        <v>4.0</v>
      </c>
      <c r="K2211" s="61">
        <f t="shared" si="1"/>
        <v>1</v>
      </c>
      <c r="L2211" s="62">
        <f t="shared" si="2"/>
        <v>1.333333333</v>
      </c>
    </row>
    <row r="2212">
      <c r="A2212" s="58">
        <v>45962.0</v>
      </c>
      <c r="B2212" s="24" t="s">
        <v>6787</v>
      </c>
      <c r="C2212" s="24" t="s">
        <v>6878</v>
      </c>
      <c r="D2212" s="59">
        <v>3.0</v>
      </c>
      <c r="E2212" s="59">
        <v>3.0</v>
      </c>
      <c r="F2212" s="59">
        <v>3.0</v>
      </c>
      <c r="G2212" s="60">
        <v>1.0</v>
      </c>
      <c r="H2212" s="60">
        <v>1.0</v>
      </c>
      <c r="I2212" s="60">
        <v>2.82664166666666</v>
      </c>
      <c r="J2212" s="59">
        <v>3.0</v>
      </c>
      <c r="K2212" s="61">
        <f t="shared" si="1"/>
        <v>1</v>
      </c>
      <c r="L2212" s="62">
        <f t="shared" si="2"/>
        <v>1</v>
      </c>
    </row>
    <row r="2213">
      <c r="A2213" s="58">
        <v>45962.0</v>
      </c>
      <c r="B2213" s="24" t="s">
        <v>6787</v>
      </c>
      <c r="C2213" s="24" t="s">
        <v>6880</v>
      </c>
      <c r="D2213" s="59">
        <v>3.0</v>
      </c>
      <c r="E2213" s="59">
        <v>3.0</v>
      </c>
      <c r="F2213" s="59">
        <v>3.0</v>
      </c>
      <c r="G2213" s="60">
        <v>1.0</v>
      </c>
      <c r="H2213" s="60">
        <v>0.333333333333333</v>
      </c>
      <c r="I2213" s="60">
        <v>10.7690853333333</v>
      </c>
      <c r="J2213" s="59">
        <v>3.0</v>
      </c>
      <c r="K2213" s="61">
        <f t="shared" si="1"/>
        <v>1</v>
      </c>
      <c r="L2213" s="62">
        <f t="shared" si="2"/>
        <v>1</v>
      </c>
    </row>
    <row r="2214">
      <c r="A2214" s="58">
        <v>45962.0</v>
      </c>
      <c r="B2214" s="24" t="s">
        <v>6787</v>
      </c>
      <c r="C2214" s="24" t="s">
        <v>6881</v>
      </c>
      <c r="D2214" s="59">
        <v>3.0</v>
      </c>
      <c r="E2214" s="59">
        <v>3.0</v>
      </c>
      <c r="F2214" s="59">
        <v>3.0</v>
      </c>
      <c r="G2214" s="60">
        <v>1.0</v>
      </c>
      <c r="H2214" s="60">
        <v>1.0</v>
      </c>
      <c r="I2214" s="60">
        <v>4.28697566666666</v>
      </c>
      <c r="J2214" s="59">
        <v>3.0</v>
      </c>
      <c r="K2214" s="61">
        <f t="shared" si="1"/>
        <v>1</v>
      </c>
      <c r="L2214" s="62">
        <f t="shared" si="2"/>
        <v>1</v>
      </c>
    </row>
    <row r="2215">
      <c r="A2215" s="58">
        <v>45962.0</v>
      </c>
      <c r="B2215" s="24" t="s">
        <v>6789</v>
      </c>
      <c r="C2215" s="24" t="s">
        <v>6882</v>
      </c>
      <c r="D2215" s="59">
        <v>3.0</v>
      </c>
      <c r="E2215" s="59">
        <v>3.0</v>
      </c>
      <c r="F2215" s="59">
        <v>2.0</v>
      </c>
      <c r="G2215" s="60">
        <v>1.5</v>
      </c>
      <c r="H2215" s="60">
        <v>0.333333333333333</v>
      </c>
      <c r="I2215" s="60">
        <v>117.452585</v>
      </c>
      <c r="J2215" s="59">
        <v>3.0</v>
      </c>
      <c r="K2215" s="61">
        <f t="shared" si="1"/>
        <v>0.6666666667</v>
      </c>
      <c r="L2215" s="62">
        <f t="shared" si="2"/>
        <v>1</v>
      </c>
    </row>
    <row r="2216">
      <c r="A2216" s="58">
        <v>45962.0</v>
      </c>
      <c r="B2216" s="24" t="s">
        <v>6789</v>
      </c>
      <c r="C2216" s="24" t="s">
        <v>6995</v>
      </c>
      <c r="D2216" s="59">
        <v>3.0</v>
      </c>
      <c r="E2216" s="59">
        <v>4.0</v>
      </c>
      <c r="F2216" s="59">
        <v>2.0</v>
      </c>
      <c r="G2216" s="60">
        <v>1.33333333333333</v>
      </c>
      <c r="H2216" s="60">
        <v>0.5</v>
      </c>
      <c r="I2216" s="60">
        <v>600.8900565</v>
      </c>
      <c r="J2216" s="59">
        <v>13.0</v>
      </c>
      <c r="K2216" s="61">
        <f t="shared" si="1"/>
        <v>0.5</v>
      </c>
      <c r="L2216" s="62">
        <f t="shared" si="2"/>
        <v>3.25</v>
      </c>
    </row>
    <row r="2217">
      <c r="A2217" s="58">
        <v>45962.0</v>
      </c>
      <c r="B2217" s="24" t="s">
        <v>6787</v>
      </c>
      <c r="C2217" s="24" t="s">
        <v>6930</v>
      </c>
      <c r="D2217" s="59">
        <v>3.0</v>
      </c>
      <c r="E2217" s="59">
        <v>3.0</v>
      </c>
      <c r="F2217" s="59">
        <v>2.0</v>
      </c>
      <c r="G2217" s="60">
        <v>1.5</v>
      </c>
      <c r="H2217" s="60">
        <v>1.0</v>
      </c>
      <c r="I2217" s="60">
        <v>2.00220633333333</v>
      </c>
      <c r="J2217" s="59">
        <v>3.0</v>
      </c>
      <c r="K2217" s="61">
        <f t="shared" si="1"/>
        <v>0.6666666667</v>
      </c>
      <c r="L2217" s="62">
        <f t="shared" si="2"/>
        <v>1</v>
      </c>
    </row>
    <row r="2218">
      <c r="A2218" s="58">
        <v>45962.0</v>
      </c>
      <c r="B2218" s="24" t="s">
        <v>6791</v>
      </c>
      <c r="C2218" s="24" t="s">
        <v>6886</v>
      </c>
      <c r="D2218" s="59">
        <v>3.0</v>
      </c>
      <c r="E2218" s="59">
        <v>5.0</v>
      </c>
      <c r="F2218" s="59">
        <v>0.0</v>
      </c>
      <c r="G2218" s="60">
        <v>1.66666666666666</v>
      </c>
      <c r="H2218" s="60">
        <v>0.6</v>
      </c>
      <c r="I2218" s="60">
        <v>5.7892504</v>
      </c>
      <c r="J2218" s="59">
        <v>6.0</v>
      </c>
      <c r="K2218" s="61">
        <f t="shared" si="1"/>
        <v>0</v>
      </c>
      <c r="L2218" s="62">
        <f t="shared" si="2"/>
        <v>1.2</v>
      </c>
    </row>
    <row r="2219">
      <c r="A2219" s="58">
        <v>45962.0</v>
      </c>
      <c r="B2219" s="24" t="s">
        <v>6789</v>
      </c>
      <c r="C2219" s="24" t="s">
        <v>6820</v>
      </c>
      <c r="D2219" s="59">
        <v>3.0</v>
      </c>
      <c r="E2219" s="59">
        <v>3.0</v>
      </c>
      <c r="F2219" s="59">
        <v>0.0</v>
      </c>
      <c r="G2219" s="60">
        <v>1.0</v>
      </c>
      <c r="H2219" s="60">
        <v>0.0</v>
      </c>
      <c r="I2219" s="60">
        <v>116.379297</v>
      </c>
      <c r="J2219" s="59">
        <v>5.0</v>
      </c>
      <c r="K2219" s="61">
        <f t="shared" si="1"/>
        <v>0</v>
      </c>
      <c r="L2219" s="62">
        <f t="shared" si="2"/>
        <v>1.666666667</v>
      </c>
    </row>
    <row r="2220">
      <c r="A2220" s="58">
        <v>45962.0</v>
      </c>
      <c r="B2220" s="24" t="s">
        <v>6789</v>
      </c>
      <c r="C2220" s="24" t="s">
        <v>6838</v>
      </c>
      <c r="D2220" s="59">
        <v>3.0</v>
      </c>
      <c r="E2220" s="59">
        <v>3.0</v>
      </c>
      <c r="F2220" s="59">
        <v>2.0</v>
      </c>
      <c r="G2220" s="60">
        <v>1.0</v>
      </c>
      <c r="H2220" s="60">
        <v>0.333333333333333</v>
      </c>
      <c r="I2220" s="60">
        <v>75.245651</v>
      </c>
      <c r="J2220" s="59">
        <v>4.0</v>
      </c>
      <c r="K2220" s="61">
        <f t="shared" si="1"/>
        <v>0.6666666667</v>
      </c>
      <c r="L2220" s="62">
        <f t="shared" si="2"/>
        <v>1.333333333</v>
      </c>
    </row>
    <row r="2221">
      <c r="A2221" s="58">
        <v>45962.0</v>
      </c>
      <c r="B2221" s="24" t="s">
        <v>6789</v>
      </c>
      <c r="C2221" s="24" t="s">
        <v>6892</v>
      </c>
      <c r="D2221" s="59">
        <v>3.0</v>
      </c>
      <c r="E2221" s="59">
        <v>3.0</v>
      </c>
      <c r="F2221" s="59">
        <v>2.0</v>
      </c>
      <c r="G2221" s="60">
        <v>1.0</v>
      </c>
      <c r="H2221" s="60">
        <v>0.0</v>
      </c>
      <c r="I2221" s="60">
        <v>356.605259333333</v>
      </c>
      <c r="J2221" s="59">
        <v>5.0</v>
      </c>
      <c r="K2221" s="61">
        <f t="shared" si="1"/>
        <v>0.6666666667</v>
      </c>
      <c r="L2221" s="62">
        <f t="shared" si="2"/>
        <v>1.666666667</v>
      </c>
    </row>
    <row r="2222">
      <c r="A2222" s="58">
        <v>45962.0</v>
      </c>
      <c r="B2222" s="24" t="s">
        <v>6787</v>
      </c>
      <c r="C2222" s="24" t="s">
        <v>6899</v>
      </c>
      <c r="D2222" s="59">
        <v>3.0</v>
      </c>
      <c r="E2222" s="59">
        <v>3.0</v>
      </c>
      <c r="F2222" s="59">
        <v>3.0</v>
      </c>
      <c r="G2222" s="60">
        <v>1.0</v>
      </c>
      <c r="H2222" s="60">
        <v>1.0</v>
      </c>
      <c r="I2222" s="60">
        <v>4.06907533333333</v>
      </c>
      <c r="J2222" s="59">
        <v>3.0</v>
      </c>
      <c r="K2222" s="61">
        <f t="shared" si="1"/>
        <v>1</v>
      </c>
      <c r="L2222" s="62">
        <f t="shared" si="2"/>
        <v>1</v>
      </c>
    </row>
    <row r="2223">
      <c r="A2223" s="58">
        <v>45962.0</v>
      </c>
      <c r="B2223" s="24" t="s">
        <v>6787</v>
      </c>
      <c r="C2223" s="24" t="s">
        <v>6900</v>
      </c>
      <c r="D2223" s="59">
        <v>3.0</v>
      </c>
      <c r="E2223" s="59">
        <v>3.0</v>
      </c>
      <c r="F2223" s="59">
        <v>4.0</v>
      </c>
      <c r="G2223" s="60">
        <v>1.0</v>
      </c>
      <c r="H2223" s="60">
        <v>0.333333333333333</v>
      </c>
      <c r="I2223" s="60">
        <v>8.50207566666666</v>
      </c>
      <c r="J2223" s="59">
        <v>4.0</v>
      </c>
      <c r="K2223" s="61">
        <f t="shared" si="1"/>
        <v>1.333333333</v>
      </c>
      <c r="L2223" s="62">
        <f t="shared" si="2"/>
        <v>1.333333333</v>
      </c>
    </row>
    <row r="2224">
      <c r="A2224" s="58">
        <v>45962.0</v>
      </c>
      <c r="B2224" s="24" t="s">
        <v>6789</v>
      </c>
      <c r="C2224" s="24" t="s">
        <v>6843</v>
      </c>
      <c r="D2224" s="59">
        <v>3.0</v>
      </c>
      <c r="E2224" s="59">
        <v>3.0</v>
      </c>
      <c r="F2224" s="59">
        <v>1.0</v>
      </c>
      <c r="G2224" s="60">
        <v>1.5</v>
      </c>
      <c r="H2224" s="60">
        <v>0.333333333333333</v>
      </c>
      <c r="I2224" s="60">
        <v>15.0153393333333</v>
      </c>
      <c r="J2224" s="59">
        <v>3.0</v>
      </c>
      <c r="K2224" s="61">
        <f t="shared" si="1"/>
        <v>0.3333333333</v>
      </c>
      <c r="L2224" s="62">
        <f t="shared" si="2"/>
        <v>1</v>
      </c>
    </row>
    <row r="2225">
      <c r="A2225" s="58">
        <v>45962.0</v>
      </c>
      <c r="B2225" s="24" t="s">
        <v>155</v>
      </c>
      <c r="C2225" s="24" t="s">
        <v>7236</v>
      </c>
      <c r="D2225" s="59">
        <v>3.0</v>
      </c>
      <c r="E2225" s="59">
        <v>3.0</v>
      </c>
      <c r="F2225" s="59">
        <v>0.0</v>
      </c>
      <c r="G2225" s="60">
        <v>1.0</v>
      </c>
      <c r="H2225" s="60">
        <v>0.333333333333333</v>
      </c>
      <c r="I2225" s="60">
        <v>913.717637666666</v>
      </c>
      <c r="J2225" s="59">
        <v>8.0</v>
      </c>
      <c r="K2225" s="61">
        <f t="shared" si="1"/>
        <v>0</v>
      </c>
      <c r="L2225" s="62">
        <f t="shared" si="2"/>
        <v>2.666666667</v>
      </c>
    </row>
    <row r="2226">
      <c r="A2226" s="58">
        <v>45962.0</v>
      </c>
      <c r="B2226" s="24" t="s">
        <v>6787</v>
      </c>
      <c r="C2226" s="24" t="s">
        <v>7121</v>
      </c>
      <c r="D2226" s="59">
        <v>3.0</v>
      </c>
      <c r="E2226" s="59">
        <v>3.0</v>
      </c>
      <c r="F2226" s="59">
        <v>2.0</v>
      </c>
      <c r="G2226" s="60">
        <v>1.0</v>
      </c>
      <c r="H2226" s="60">
        <v>0.666666666666666</v>
      </c>
      <c r="I2226" s="60">
        <v>108.243789666666</v>
      </c>
      <c r="J2226" s="59">
        <v>5.0</v>
      </c>
      <c r="K2226" s="61">
        <f t="shared" si="1"/>
        <v>0.6666666667</v>
      </c>
      <c r="L2226" s="62">
        <f t="shared" si="2"/>
        <v>1.666666667</v>
      </c>
    </row>
    <row r="2227">
      <c r="A2227" s="58">
        <v>45962.0</v>
      </c>
      <c r="B2227" s="24" t="s">
        <v>6787</v>
      </c>
      <c r="C2227" s="24" t="s">
        <v>7227</v>
      </c>
      <c r="D2227" s="59">
        <v>3.0</v>
      </c>
      <c r="E2227" s="59">
        <v>3.0</v>
      </c>
      <c r="F2227" s="59">
        <v>3.0</v>
      </c>
      <c r="G2227" s="60">
        <v>1.0</v>
      </c>
      <c r="H2227" s="60">
        <v>0.666666666666666</v>
      </c>
      <c r="I2227" s="60">
        <v>6.76119733333333</v>
      </c>
      <c r="J2227" s="59">
        <v>3.0</v>
      </c>
      <c r="K2227" s="61">
        <f t="shared" si="1"/>
        <v>1</v>
      </c>
      <c r="L2227" s="62">
        <f t="shared" si="2"/>
        <v>1</v>
      </c>
    </row>
    <row r="2228">
      <c r="A2228" s="58">
        <v>45962.0</v>
      </c>
      <c r="B2228" s="24" t="s">
        <v>6787</v>
      </c>
      <c r="C2228" s="24" t="s">
        <v>7207</v>
      </c>
      <c r="D2228" s="59">
        <v>3.0</v>
      </c>
      <c r="E2228" s="59">
        <v>3.0</v>
      </c>
      <c r="F2228" s="59">
        <v>3.0</v>
      </c>
      <c r="G2228" s="60">
        <v>1.0</v>
      </c>
      <c r="H2228" s="60">
        <v>0.333333333333333</v>
      </c>
      <c r="I2228" s="60">
        <v>10.9970563333333</v>
      </c>
      <c r="J2228" s="59">
        <v>3.0</v>
      </c>
      <c r="K2228" s="61">
        <f t="shared" si="1"/>
        <v>1</v>
      </c>
      <c r="L2228" s="62">
        <f t="shared" si="2"/>
        <v>1</v>
      </c>
    </row>
    <row r="2229">
      <c r="A2229" s="58">
        <v>45962.0</v>
      </c>
      <c r="B2229" s="24" t="s">
        <v>6789</v>
      </c>
      <c r="C2229" s="24" t="s">
        <v>7238</v>
      </c>
      <c r="D2229" s="59">
        <v>3.0</v>
      </c>
      <c r="E2229" s="59">
        <v>3.0</v>
      </c>
      <c r="F2229" s="59">
        <v>1.0</v>
      </c>
      <c r="G2229" s="60">
        <v>1.0</v>
      </c>
      <c r="H2229" s="60">
        <v>0.666666666666666</v>
      </c>
      <c r="I2229" s="60">
        <v>149.975126666666</v>
      </c>
      <c r="J2229" s="59">
        <v>3.0</v>
      </c>
      <c r="K2229" s="61">
        <f t="shared" si="1"/>
        <v>0.3333333333</v>
      </c>
      <c r="L2229" s="62">
        <f t="shared" si="2"/>
        <v>1</v>
      </c>
    </row>
    <row r="2230">
      <c r="A2230" s="58">
        <v>45962.0</v>
      </c>
      <c r="B2230" s="24" t="s">
        <v>6787</v>
      </c>
      <c r="C2230" s="24" t="s">
        <v>7087</v>
      </c>
      <c r="D2230" s="59">
        <v>3.0</v>
      </c>
      <c r="E2230" s="59">
        <v>3.0</v>
      </c>
      <c r="F2230" s="59">
        <v>4.0</v>
      </c>
      <c r="G2230" s="60">
        <v>1.0</v>
      </c>
      <c r="H2230" s="60">
        <v>0.0</v>
      </c>
      <c r="I2230" s="60">
        <v>21.245099</v>
      </c>
      <c r="J2230" s="59">
        <v>4.0</v>
      </c>
      <c r="K2230" s="61">
        <f t="shared" si="1"/>
        <v>1.333333333</v>
      </c>
      <c r="L2230" s="62">
        <f t="shared" si="2"/>
        <v>1.333333333</v>
      </c>
    </row>
    <row r="2231">
      <c r="A2231" s="58">
        <v>45962.0</v>
      </c>
      <c r="B2231" s="24" t="s">
        <v>6787</v>
      </c>
      <c r="C2231" s="24" t="s">
        <v>7035</v>
      </c>
      <c r="D2231" s="59">
        <v>3.0</v>
      </c>
      <c r="E2231" s="59">
        <v>3.0</v>
      </c>
      <c r="F2231" s="59">
        <v>3.0</v>
      </c>
      <c r="G2231" s="60">
        <v>1.0</v>
      </c>
      <c r="H2231" s="60">
        <v>0.333333333333333</v>
      </c>
      <c r="I2231" s="60">
        <v>13.3977256666666</v>
      </c>
      <c r="J2231" s="59">
        <v>3.0</v>
      </c>
      <c r="K2231" s="61">
        <f t="shared" si="1"/>
        <v>1</v>
      </c>
      <c r="L2231" s="62">
        <f t="shared" si="2"/>
        <v>1</v>
      </c>
    </row>
    <row r="2232">
      <c r="A2232" s="58">
        <v>45962.0</v>
      </c>
      <c r="B2232" s="24" t="s">
        <v>6787</v>
      </c>
      <c r="C2232" s="24" t="s">
        <v>7022</v>
      </c>
      <c r="D2232" s="59">
        <v>3.0</v>
      </c>
      <c r="E2232" s="59">
        <v>3.0</v>
      </c>
      <c r="F2232" s="59">
        <v>3.0</v>
      </c>
      <c r="G2232" s="60">
        <v>1.0</v>
      </c>
      <c r="H2232" s="60">
        <v>0.333333333333333</v>
      </c>
      <c r="I2232" s="60">
        <v>14.64913</v>
      </c>
      <c r="J2232" s="59">
        <v>3.0</v>
      </c>
      <c r="K2232" s="61">
        <f t="shared" si="1"/>
        <v>1</v>
      </c>
      <c r="L2232" s="62">
        <f t="shared" si="2"/>
        <v>1</v>
      </c>
    </row>
    <row r="2233">
      <c r="A2233" s="58">
        <v>45962.0</v>
      </c>
      <c r="B2233" s="24" t="s">
        <v>6789</v>
      </c>
      <c r="C2233" s="24" t="s">
        <v>7091</v>
      </c>
      <c r="D2233" s="59">
        <v>3.0</v>
      </c>
      <c r="E2233" s="59">
        <v>3.0</v>
      </c>
      <c r="F2233" s="59">
        <v>3.0</v>
      </c>
      <c r="G2233" s="60">
        <v>1.0</v>
      </c>
      <c r="H2233" s="60">
        <v>0.333333333333333</v>
      </c>
      <c r="I2233" s="60">
        <v>27.0535176666666</v>
      </c>
      <c r="J2233" s="59">
        <v>3.0</v>
      </c>
      <c r="K2233" s="61">
        <f t="shared" si="1"/>
        <v>1</v>
      </c>
      <c r="L2233" s="62">
        <f t="shared" si="2"/>
        <v>1</v>
      </c>
    </row>
    <row r="2234">
      <c r="A2234" s="58">
        <v>45962.0</v>
      </c>
      <c r="B2234" s="24" t="s">
        <v>6787</v>
      </c>
      <c r="C2234" s="24" t="s">
        <v>7131</v>
      </c>
      <c r="D2234" s="59">
        <v>3.0</v>
      </c>
      <c r="E2234" s="59">
        <v>3.0</v>
      </c>
      <c r="F2234" s="59">
        <v>3.0</v>
      </c>
      <c r="G2234" s="60">
        <v>1.0</v>
      </c>
      <c r="H2234" s="60">
        <v>0.666666666666666</v>
      </c>
      <c r="I2234" s="60">
        <v>9.640511</v>
      </c>
      <c r="J2234" s="59">
        <v>3.0</v>
      </c>
      <c r="K2234" s="61">
        <f t="shared" si="1"/>
        <v>1</v>
      </c>
      <c r="L2234" s="62">
        <f t="shared" si="2"/>
        <v>1</v>
      </c>
    </row>
    <row r="2235">
      <c r="A2235" s="58">
        <v>45962.0</v>
      </c>
      <c r="B2235" s="24" t="s">
        <v>6787</v>
      </c>
      <c r="C2235" s="24" t="s">
        <v>7168</v>
      </c>
      <c r="D2235" s="59">
        <v>3.0</v>
      </c>
      <c r="E2235" s="59">
        <v>3.0</v>
      </c>
      <c r="F2235" s="59">
        <v>3.0</v>
      </c>
      <c r="G2235" s="60">
        <v>1.0</v>
      </c>
      <c r="H2235" s="60">
        <v>0.666666666666666</v>
      </c>
      <c r="I2235" s="60">
        <v>16.4895613333333</v>
      </c>
      <c r="J2235" s="59">
        <v>3.0</v>
      </c>
      <c r="K2235" s="61">
        <f t="shared" si="1"/>
        <v>1</v>
      </c>
      <c r="L2235" s="62">
        <f t="shared" si="2"/>
        <v>1</v>
      </c>
    </row>
    <row r="2236">
      <c r="A2236" s="58">
        <v>45962.0</v>
      </c>
      <c r="B2236" s="24" t="s">
        <v>6787</v>
      </c>
      <c r="C2236" s="24" t="s">
        <v>7098</v>
      </c>
      <c r="D2236" s="59">
        <v>3.0</v>
      </c>
      <c r="E2236" s="59">
        <v>3.0</v>
      </c>
      <c r="F2236" s="59">
        <v>3.0</v>
      </c>
      <c r="G2236" s="60">
        <v>1.0</v>
      </c>
      <c r="H2236" s="60">
        <v>1.0</v>
      </c>
      <c r="I2236" s="60">
        <v>0.0</v>
      </c>
      <c r="J2236" s="59">
        <v>3.0</v>
      </c>
      <c r="K2236" s="61">
        <f t="shared" si="1"/>
        <v>1</v>
      </c>
      <c r="L2236" s="62">
        <f t="shared" si="2"/>
        <v>1</v>
      </c>
    </row>
    <row r="2237">
      <c r="A2237" s="58">
        <v>45962.0</v>
      </c>
      <c r="B2237" s="24" t="s">
        <v>6787</v>
      </c>
      <c r="C2237" s="24" t="s">
        <v>7184</v>
      </c>
      <c r="D2237" s="59">
        <v>3.0</v>
      </c>
      <c r="E2237" s="59">
        <v>3.0</v>
      </c>
      <c r="F2237" s="59">
        <v>3.0</v>
      </c>
      <c r="G2237" s="60">
        <v>1.0</v>
      </c>
      <c r="H2237" s="60">
        <v>0.666666666666666</v>
      </c>
      <c r="I2237" s="60">
        <v>5.08935633333333</v>
      </c>
      <c r="J2237" s="59">
        <v>3.0</v>
      </c>
      <c r="K2237" s="61">
        <f t="shared" si="1"/>
        <v>1</v>
      </c>
      <c r="L2237" s="62">
        <f t="shared" si="2"/>
        <v>1</v>
      </c>
    </row>
    <row r="2238">
      <c r="A2238" s="58">
        <v>45962.0</v>
      </c>
      <c r="B2238" s="24" t="s">
        <v>155</v>
      </c>
      <c r="C2238" s="24" t="s">
        <v>6809</v>
      </c>
      <c r="D2238" s="59">
        <v>3.0</v>
      </c>
      <c r="E2238" s="59">
        <v>4.0</v>
      </c>
      <c r="F2238" s="59">
        <v>3.0</v>
      </c>
      <c r="G2238" s="60">
        <v>1.33333333333333</v>
      </c>
      <c r="H2238" s="60">
        <v>0.75</v>
      </c>
      <c r="I2238" s="60">
        <v>11.08673475</v>
      </c>
      <c r="J2238" s="59">
        <v>5.0</v>
      </c>
      <c r="K2238" s="61">
        <f t="shared" si="1"/>
        <v>0.75</v>
      </c>
      <c r="L2238" s="62">
        <f t="shared" si="2"/>
        <v>1.25</v>
      </c>
    </row>
    <row r="2239">
      <c r="A2239" s="58">
        <v>45962.0</v>
      </c>
      <c r="B2239" s="24" t="s">
        <v>6790</v>
      </c>
      <c r="C2239" s="24" t="s">
        <v>6809</v>
      </c>
      <c r="D2239" s="59">
        <v>3.0</v>
      </c>
      <c r="E2239" s="59">
        <v>3.0</v>
      </c>
      <c r="F2239" s="59">
        <v>2.0</v>
      </c>
      <c r="G2239" s="60">
        <v>1.5</v>
      </c>
      <c r="H2239" s="60">
        <v>0.333333333333333</v>
      </c>
      <c r="I2239" s="60">
        <v>42.2474496666666</v>
      </c>
      <c r="J2239" s="59">
        <v>3.0</v>
      </c>
      <c r="K2239" s="61">
        <f t="shared" si="1"/>
        <v>0.6666666667</v>
      </c>
      <c r="L2239" s="62">
        <f t="shared" si="2"/>
        <v>1</v>
      </c>
    </row>
    <row r="2240">
      <c r="A2240" s="58">
        <v>45962.0</v>
      </c>
      <c r="B2240" s="24" t="s">
        <v>6787</v>
      </c>
      <c r="C2240" s="24" t="s">
        <v>7101</v>
      </c>
      <c r="D2240" s="59">
        <v>3.0</v>
      </c>
      <c r="E2240" s="59">
        <v>3.0</v>
      </c>
      <c r="F2240" s="59">
        <v>3.0</v>
      </c>
      <c r="G2240" s="60">
        <v>1.0</v>
      </c>
      <c r="H2240" s="60">
        <v>1.0</v>
      </c>
      <c r="I2240" s="60">
        <v>3.91186766666666</v>
      </c>
      <c r="J2240" s="59">
        <v>3.0</v>
      </c>
      <c r="K2240" s="61">
        <f t="shared" si="1"/>
        <v>1</v>
      </c>
      <c r="L2240" s="62">
        <f t="shared" si="2"/>
        <v>1</v>
      </c>
    </row>
    <row r="2241">
      <c r="A2241" s="58">
        <v>45962.0</v>
      </c>
      <c r="B2241" s="24" t="s">
        <v>6787</v>
      </c>
      <c r="C2241" s="24" t="s">
        <v>7044</v>
      </c>
      <c r="D2241" s="59">
        <v>3.0</v>
      </c>
      <c r="E2241" s="59">
        <v>3.0</v>
      </c>
      <c r="F2241" s="59">
        <v>3.0</v>
      </c>
      <c r="G2241" s="60">
        <v>1.0</v>
      </c>
      <c r="H2241" s="60">
        <v>0.333333333333333</v>
      </c>
      <c r="I2241" s="60">
        <v>10.9073146666666</v>
      </c>
      <c r="J2241" s="59">
        <v>3.0</v>
      </c>
      <c r="K2241" s="61">
        <f t="shared" si="1"/>
        <v>1</v>
      </c>
      <c r="L2241" s="62">
        <f t="shared" si="2"/>
        <v>1</v>
      </c>
    </row>
    <row r="2242">
      <c r="A2242" s="58">
        <v>45962.0</v>
      </c>
      <c r="B2242" s="24" t="s">
        <v>6787</v>
      </c>
      <c r="C2242" s="24" t="s">
        <v>7239</v>
      </c>
      <c r="D2242" s="59">
        <v>3.0</v>
      </c>
      <c r="E2242" s="59">
        <v>3.0</v>
      </c>
      <c r="F2242" s="59">
        <v>4.0</v>
      </c>
      <c r="G2242" s="60">
        <v>1.0</v>
      </c>
      <c r="H2242" s="60">
        <v>0.666666666666666</v>
      </c>
      <c r="I2242" s="60">
        <v>6.72394299999999</v>
      </c>
      <c r="J2242" s="59">
        <v>4.0</v>
      </c>
      <c r="K2242" s="61">
        <f t="shared" si="1"/>
        <v>1.333333333</v>
      </c>
      <c r="L2242" s="62">
        <f t="shared" si="2"/>
        <v>1.333333333</v>
      </c>
    </row>
    <row r="2243">
      <c r="A2243" s="58">
        <v>45962.0</v>
      </c>
      <c r="B2243" s="24" t="s">
        <v>155</v>
      </c>
      <c r="C2243" s="24" t="s">
        <v>6801</v>
      </c>
      <c r="D2243" s="59">
        <v>3.0</v>
      </c>
      <c r="E2243" s="59">
        <v>5.0</v>
      </c>
      <c r="F2243" s="59">
        <v>3.0</v>
      </c>
      <c r="G2243" s="60">
        <v>1.66666666666666</v>
      </c>
      <c r="H2243" s="60">
        <v>0.4</v>
      </c>
      <c r="I2243" s="60">
        <v>440.2022246</v>
      </c>
      <c r="J2243" s="59">
        <v>5.0</v>
      </c>
      <c r="K2243" s="61">
        <f t="shared" si="1"/>
        <v>0.6</v>
      </c>
      <c r="L2243" s="62">
        <f t="shared" si="2"/>
        <v>1</v>
      </c>
    </row>
    <row r="2244">
      <c r="A2244" s="58">
        <v>45962.0</v>
      </c>
      <c r="B2244" s="24" t="s">
        <v>6789</v>
      </c>
      <c r="C2244" s="24" t="s">
        <v>7102</v>
      </c>
      <c r="D2244" s="59">
        <v>3.0</v>
      </c>
      <c r="E2244" s="59">
        <v>3.0</v>
      </c>
      <c r="F2244" s="59">
        <v>3.0</v>
      </c>
      <c r="G2244" s="60">
        <v>1.0</v>
      </c>
      <c r="H2244" s="60">
        <v>0.333333333333333</v>
      </c>
      <c r="I2244" s="60">
        <v>165.778127333333</v>
      </c>
      <c r="J2244" s="59">
        <v>4.0</v>
      </c>
      <c r="K2244" s="61">
        <f t="shared" si="1"/>
        <v>1</v>
      </c>
      <c r="L2244" s="62">
        <f t="shared" si="2"/>
        <v>1.333333333</v>
      </c>
    </row>
    <row r="2245">
      <c r="A2245" s="58">
        <v>45962.0</v>
      </c>
      <c r="B2245" s="24" t="s">
        <v>6787</v>
      </c>
      <c r="C2245" s="24" t="s">
        <v>7104</v>
      </c>
      <c r="D2245" s="59">
        <v>3.0</v>
      </c>
      <c r="E2245" s="59">
        <v>3.0</v>
      </c>
      <c r="F2245" s="59">
        <v>3.0</v>
      </c>
      <c r="G2245" s="60">
        <v>1.0</v>
      </c>
      <c r="H2245" s="60">
        <v>0.666666666666666</v>
      </c>
      <c r="I2245" s="60">
        <v>5.296163</v>
      </c>
      <c r="J2245" s="59">
        <v>3.0</v>
      </c>
      <c r="K2245" s="61">
        <f t="shared" si="1"/>
        <v>1</v>
      </c>
      <c r="L2245" s="62">
        <f t="shared" si="2"/>
        <v>1</v>
      </c>
    </row>
    <row r="2246">
      <c r="A2246" s="58">
        <v>45962.0</v>
      </c>
      <c r="B2246" s="24" t="s">
        <v>6787</v>
      </c>
      <c r="C2246" s="24" t="s">
        <v>7173</v>
      </c>
      <c r="D2246" s="59">
        <v>3.0</v>
      </c>
      <c r="E2246" s="59">
        <v>3.0</v>
      </c>
      <c r="F2246" s="59">
        <v>3.0</v>
      </c>
      <c r="G2246" s="60">
        <v>1.0</v>
      </c>
      <c r="H2246" s="60">
        <v>0.333333333333333</v>
      </c>
      <c r="I2246" s="60">
        <v>17.374038</v>
      </c>
      <c r="J2246" s="59">
        <v>3.0</v>
      </c>
      <c r="K2246" s="61">
        <f t="shared" si="1"/>
        <v>1</v>
      </c>
      <c r="L2246" s="62">
        <f t="shared" si="2"/>
        <v>1</v>
      </c>
    </row>
    <row r="2247">
      <c r="A2247" s="58">
        <v>45962.0</v>
      </c>
      <c r="B2247" s="24" t="s">
        <v>6787</v>
      </c>
      <c r="C2247" s="24" t="s">
        <v>6915</v>
      </c>
      <c r="D2247" s="59">
        <v>3.0</v>
      </c>
      <c r="E2247" s="59">
        <v>3.0</v>
      </c>
      <c r="F2247" s="59">
        <v>3.0</v>
      </c>
      <c r="G2247" s="60">
        <v>1.0</v>
      </c>
      <c r="H2247" s="60">
        <v>0.666666666666666</v>
      </c>
      <c r="I2247" s="60">
        <v>14.4135149999999</v>
      </c>
      <c r="J2247" s="59">
        <v>3.0</v>
      </c>
      <c r="K2247" s="61">
        <f t="shared" si="1"/>
        <v>1</v>
      </c>
      <c r="L2247" s="62">
        <f t="shared" si="2"/>
        <v>1</v>
      </c>
    </row>
    <row r="2248">
      <c r="A2248" s="58">
        <v>45962.0</v>
      </c>
      <c r="B2248" s="24" t="s">
        <v>6787</v>
      </c>
      <c r="C2248" s="24" t="s">
        <v>7180</v>
      </c>
      <c r="D2248" s="59">
        <v>3.0</v>
      </c>
      <c r="E2248" s="59">
        <v>3.0</v>
      </c>
      <c r="F2248" s="59">
        <v>3.0</v>
      </c>
      <c r="G2248" s="60">
        <v>1.0</v>
      </c>
      <c r="H2248" s="60">
        <v>0.0</v>
      </c>
      <c r="I2248" s="60">
        <v>13.54443</v>
      </c>
      <c r="J2248" s="59">
        <v>3.0</v>
      </c>
      <c r="K2248" s="61">
        <f t="shared" si="1"/>
        <v>1</v>
      </c>
      <c r="L2248" s="62">
        <f t="shared" si="2"/>
        <v>1</v>
      </c>
    </row>
    <row r="2249">
      <c r="A2249" s="58">
        <v>45962.0</v>
      </c>
      <c r="B2249" s="24" t="s">
        <v>6787</v>
      </c>
      <c r="C2249" s="24" t="s">
        <v>6815</v>
      </c>
      <c r="D2249" s="59">
        <v>3.0</v>
      </c>
      <c r="E2249" s="59">
        <v>3.0</v>
      </c>
      <c r="F2249" s="59">
        <v>3.0</v>
      </c>
      <c r="G2249" s="60">
        <v>1.0</v>
      </c>
      <c r="H2249" s="60">
        <v>0.333333333333333</v>
      </c>
      <c r="I2249" s="60">
        <v>13.5649716666666</v>
      </c>
      <c r="J2249" s="59">
        <v>3.0</v>
      </c>
      <c r="K2249" s="61">
        <f t="shared" si="1"/>
        <v>1</v>
      </c>
      <c r="L2249" s="62">
        <f t="shared" si="2"/>
        <v>1</v>
      </c>
    </row>
    <row r="2250">
      <c r="A2250" s="58">
        <v>45962.0</v>
      </c>
      <c r="B2250" s="24" t="s">
        <v>6787</v>
      </c>
      <c r="C2250" s="24" t="s">
        <v>7108</v>
      </c>
      <c r="D2250" s="59">
        <v>3.0</v>
      </c>
      <c r="E2250" s="59">
        <v>3.0</v>
      </c>
      <c r="F2250" s="59">
        <v>3.0</v>
      </c>
      <c r="G2250" s="60">
        <v>1.0</v>
      </c>
      <c r="H2250" s="60">
        <v>0.666666666666666</v>
      </c>
      <c r="I2250" s="60">
        <v>5.82548633333333</v>
      </c>
      <c r="J2250" s="59">
        <v>3.0</v>
      </c>
      <c r="K2250" s="61">
        <f t="shared" si="1"/>
        <v>1</v>
      </c>
      <c r="L2250" s="62">
        <f t="shared" si="2"/>
        <v>1</v>
      </c>
    </row>
    <row r="2251">
      <c r="A2251" s="58">
        <v>45962.0</v>
      </c>
      <c r="B2251" s="24" t="s">
        <v>6787</v>
      </c>
      <c r="C2251" s="24" t="s">
        <v>6921</v>
      </c>
      <c r="D2251" s="59">
        <v>3.0</v>
      </c>
      <c r="E2251" s="59">
        <v>3.0</v>
      </c>
      <c r="F2251" s="59">
        <v>3.0</v>
      </c>
      <c r="G2251" s="60">
        <v>1.0</v>
      </c>
      <c r="H2251" s="60">
        <v>0.333333333333333</v>
      </c>
      <c r="I2251" s="60">
        <v>13.755128</v>
      </c>
      <c r="J2251" s="59">
        <v>3.0</v>
      </c>
      <c r="K2251" s="61">
        <f t="shared" si="1"/>
        <v>1</v>
      </c>
      <c r="L2251" s="62">
        <f t="shared" si="2"/>
        <v>1</v>
      </c>
    </row>
    <row r="2252">
      <c r="A2252" s="58">
        <v>45962.0</v>
      </c>
      <c r="B2252" s="24" t="s">
        <v>6789</v>
      </c>
      <c r="C2252" s="24" t="s">
        <v>6922</v>
      </c>
      <c r="D2252" s="59">
        <v>3.0</v>
      </c>
      <c r="E2252" s="59">
        <v>3.0</v>
      </c>
      <c r="F2252" s="59">
        <v>1.0</v>
      </c>
      <c r="G2252" s="60">
        <v>1.5</v>
      </c>
      <c r="H2252" s="60">
        <v>1.0</v>
      </c>
      <c r="I2252" s="60">
        <v>1.59118833333333</v>
      </c>
      <c r="J2252" s="59">
        <v>3.0</v>
      </c>
      <c r="K2252" s="61">
        <f t="shared" si="1"/>
        <v>0.3333333333</v>
      </c>
      <c r="L2252" s="62">
        <f t="shared" si="2"/>
        <v>1</v>
      </c>
    </row>
    <row r="2253">
      <c r="A2253" s="58">
        <v>45962.0</v>
      </c>
      <c r="B2253" s="24" t="s">
        <v>6787</v>
      </c>
      <c r="C2253" s="24" t="s">
        <v>7047</v>
      </c>
      <c r="D2253" s="59">
        <v>3.0</v>
      </c>
      <c r="E2253" s="59">
        <v>3.0</v>
      </c>
      <c r="F2253" s="59">
        <v>3.0</v>
      </c>
      <c r="G2253" s="60">
        <v>1.0</v>
      </c>
      <c r="H2253" s="60">
        <v>0.333333333333333</v>
      </c>
      <c r="I2253" s="60">
        <v>13.4325506666666</v>
      </c>
      <c r="J2253" s="59">
        <v>3.0</v>
      </c>
      <c r="K2253" s="61">
        <f t="shared" si="1"/>
        <v>1</v>
      </c>
      <c r="L2253" s="62">
        <f t="shared" si="2"/>
        <v>1</v>
      </c>
    </row>
    <row r="2254">
      <c r="A2254" s="58">
        <v>45962.0</v>
      </c>
      <c r="B2254" s="24" t="s">
        <v>6789</v>
      </c>
      <c r="C2254" s="24" t="s">
        <v>6962</v>
      </c>
      <c r="D2254" s="59">
        <v>3.0</v>
      </c>
      <c r="E2254" s="59">
        <v>3.0</v>
      </c>
      <c r="F2254" s="59">
        <v>0.0</v>
      </c>
      <c r="G2254" s="60">
        <v>1.0</v>
      </c>
      <c r="H2254" s="60">
        <v>0.0</v>
      </c>
      <c r="I2254" s="60">
        <v>12.5559846666666</v>
      </c>
      <c r="J2254" s="59">
        <v>4.0</v>
      </c>
      <c r="K2254" s="61">
        <f t="shared" si="1"/>
        <v>0</v>
      </c>
      <c r="L2254" s="62">
        <f t="shared" si="2"/>
        <v>1.333333333</v>
      </c>
    </row>
    <row r="2255">
      <c r="A2255" s="58">
        <v>45962.0</v>
      </c>
      <c r="B2255" s="24" t="s">
        <v>155</v>
      </c>
      <c r="C2255" s="24" t="s">
        <v>7126</v>
      </c>
      <c r="D2255" s="59">
        <v>3.0</v>
      </c>
      <c r="E2255" s="59">
        <v>3.0</v>
      </c>
      <c r="F2255" s="59">
        <v>0.0</v>
      </c>
      <c r="G2255" s="60">
        <v>1.0</v>
      </c>
      <c r="H2255" s="60">
        <v>0.333333333333333</v>
      </c>
      <c r="I2255" s="60">
        <v>335.739907333333</v>
      </c>
      <c r="J2255" s="59">
        <v>3.0</v>
      </c>
      <c r="K2255" s="61">
        <f t="shared" si="1"/>
        <v>0</v>
      </c>
      <c r="L2255" s="62">
        <f t="shared" si="2"/>
        <v>1</v>
      </c>
    </row>
    <row r="2256">
      <c r="A2256" s="58">
        <v>45962.0</v>
      </c>
      <c r="B2256" s="24" t="s">
        <v>155</v>
      </c>
      <c r="C2256" s="24" t="s">
        <v>6854</v>
      </c>
      <c r="D2256" s="59">
        <v>3.0</v>
      </c>
      <c r="E2256" s="59">
        <v>4.0</v>
      </c>
      <c r="F2256" s="59">
        <v>2.0</v>
      </c>
      <c r="G2256" s="60">
        <v>1.33333333333333</v>
      </c>
      <c r="H2256" s="60">
        <v>0.5</v>
      </c>
      <c r="I2256" s="60">
        <v>17.12257025</v>
      </c>
      <c r="J2256" s="59">
        <v>4.0</v>
      </c>
      <c r="K2256" s="61">
        <f t="shared" si="1"/>
        <v>0.5</v>
      </c>
      <c r="L2256" s="62">
        <f t="shared" si="2"/>
        <v>1</v>
      </c>
    </row>
    <row r="2257">
      <c r="A2257" s="58">
        <v>45962.0</v>
      </c>
      <c r="B2257" s="24" t="s">
        <v>6787</v>
      </c>
      <c r="C2257" s="24" t="s">
        <v>6941</v>
      </c>
      <c r="D2257" s="59">
        <v>3.0</v>
      </c>
      <c r="E2257" s="59">
        <v>5.0</v>
      </c>
      <c r="F2257" s="59">
        <v>1.0</v>
      </c>
      <c r="G2257" s="60">
        <v>1.66666666666666</v>
      </c>
      <c r="H2257" s="60">
        <v>0.6</v>
      </c>
      <c r="I2257" s="60">
        <v>328.189829</v>
      </c>
      <c r="J2257" s="59">
        <v>8.0</v>
      </c>
      <c r="K2257" s="61">
        <f t="shared" si="1"/>
        <v>0.2</v>
      </c>
      <c r="L2257" s="62">
        <f t="shared" si="2"/>
        <v>1.6</v>
      </c>
    </row>
    <row r="2258">
      <c r="A2258" s="58">
        <v>45962.0</v>
      </c>
      <c r="B2258" s="24" t="s">
        <v>6787</v>
      </c>
      <c r="C2258" s="24" t="s">
        <v>6963</v>
      </c>
      <c r="D2258" s="59">
        <v>3.0</v>
      </c>
      <c r="E2258" s="59">
        <v>3.0</v>
      </c>
      <c r="F2258" s="59">
        <v>3.0</v>
      </c>
      <c r="G2258" s="60">
        <v>1.0</v>
      </c>
      <c r="H2258" s="60">
        <v>1.0</v>
      </c>
      <c r="I2258" s="60">
        <v>1.04037866666666</v>
      </c>
      <c r="J2258" s="59">
        <v>3.0</v>
      </c>
      <c r="K2258" s="61">
        <f t="shared" si="1"/>
        <v>1</v>
      </c>
      <c r="L2258" s="62">
        <f t="shared" si="2"/>
        <v>1</v>
      </c>
    </row>
    <row r="2259">
      <c r="A2259" s="58">
        <v>45962.0</v>
      </c>
      <c r="B2259" s="24" t="s">
        <v>6787</v>
      </c>
      <c r="C2259" s="24" t="s">
        <v>6924</v>
      </c>
      <c r="D2259" s="59">
        <v>3.0</v>
      </c>
      <c r="E2259" s="59">
        <v>3.0</v>
      </c>
      <c r="F2259" s="59">
        <v>3.0</v>
      </c>
      <c r="G2259" s="60">
        <v>1.0</v>
      </c>
      <c r="H2259" s="60">
        <v>1.0</v>
      </c>
      <c r="I2259" s="60">
        <v>1.054077</v>
      </c>
      <c r="J2259" s="59">
        <v>3.0</v>
      </c>
      <c r="K2259" s="61">
        <f t="shared" si="1"/>
        <v>1</v>
      </c>
      <c r="L2259" s="62">
        <f t="shared" si="2"/>
        <v>1</v>
      </c>
    </row>
    <row r="2260">
      <c r="A2260" s="58">
        <v>45962.0</v>
      </c>
      <c r="B2260" s="24" t="s">
        <v>6787</v>
      </c>
      <c r="C2260" s="24" t="s">
        <v>6925</v>
      </c>
      <c r="D2260" s="59">
        <v>2.0</v>
      </c>
      <c r="E2260" s="59">
        <v>2.0</v>
      </c>
      <c r="F2260" s="59">
        <v>2.0</v>
      </c>
      <c r="G2260" s="60">
        <v>1.0</v>
      </c>
      <c r="H2260" s="60">
        <v>0.5</v>
      </c>
      <c r="I2260" s="60">
        <v>15.407929</v>
      </c>
      <c r="J2260" s="59">
        <v>2.0</v>
      </c>
      <c r="K2260" s="61">
        <f t="shared" si="1"/>
        <v>1</v>
      </c>
      <c r="L2260" s="62">
        <f t="shared" si="2"/>
        <v>1</v>
      </c>
    </row>
    <row r="2261">
      <c r="A2261" s="58">
        <v>45962.0</v>
      </c>
      <c r="B2261" s="24" t="s">
        <v>155</v>
      </c>
      <c r="C2261" s="24" t="s">
        <v>6803</v>
      </c>
      <c r="D2261" s="59">
        <v>2.0</v>
      </c>
      <c r="E2261" s="59">
        <v>2.0</v>
      </c>
      <c r="F2261" s="59">
        <v>1.0</v>
      </c>
      <c r="G2261" s="60">
        <v>1.0</v>
      </c>
      <c r="H2261" s="60">
        <v>0.0</v>
      </c>
      <c r="I2261" s="60">
        <v>333.364429999999</v>
      </c>
      <c r="J2261" s="59">
        <v>5.0</v>
      </c>
      <c r="K2261" s="61">
        <f t="shared" si="1"/>
        <v>0.5</v>
      </c>
      <c r="L2261" s="62">
        <f t="shared" si="2"/>
        <v>2.5</v>
      </c>
    </row>
    <row r="2262">
      <c r="A2262" s="58">
        <v>45962.0</v>
      </c>
      <c r="B2262" s="24" t="s">
        <v>6790</v>
      </c>
      <c r="C2262" s="24" t="s">
        <v>6803</v>
      </c>
      <c r="D2262" s="59">
        <v>2.0</v>
      </c>
      <c r="E2262" s="59">
        <v>2.0</v>
      </c>
      <c r="F2262" s="59">
        <v>1.0</v>
      </c>
      <c r="G2262" s="60">
        <v>1.0</v>
      </c>
      <c r="H2262" s="60">
        <v>0.0</v>
      </c>
      <c r="I2262" s="60">
        <v>1110.741329</v>
      </c>
      <c r="J2262" s="59">
        <v>4.0</v>
      </c>
      <c r="K2262" s="61">
        <f t="shared" si="1"/>
        <v>0.5</v>
      </c>
      <c r="L2262" s="62">
        <f t="shared" si="2"/>
        <v>2</v>
      </c>
    </row>
    <row r="2263">
      <c r="A2263" s="58">
        <v>45962.0</v>
      </c>
      <c r="B2263" s="24" t="s">
        <v>155</v>
      </c>
      <c r="C2263" s="24" t="s">
        <v>6817</v>
      </c>
      <c r="D2263" s="59">
        <v>2.0</v>
      </c>
      <c r="E2263" s="59">
        <v>2.0</v>
      </c>
      <c r="F2263" s="59">
        <v>1.0</v>
      </c>
      <c r="G2263" s="60">
        <v>1.0</v>
      </c>
      <c r="H2263" s="60">
        <v>0.0</v>
      </c>
      <c r="I2263" s="60">
        <v>125.2992015</v>
      </c>
      <c r="J2263" s="59">
        <v>3.0</v>
      </c>
      <c r="K2263" s="61">
        <f t="shared" si="1"/>
        <v>0.5</v>
      </c>
      <c r="L2263" s="62">
        <f t="shared" si="2"/>
        <v>1.5</v>
      </c>
    </row>
    <row r="2264">
      <c r="A2264" s="58">
        <v>45962.0</v>
      </c>
      <c r="B2264" s="24" t="s">
        <v>6787</v>
      </c>
      <c r="C2264" s="24" t="s">
        <v>7055</v>
      </c>
      <c r="D2264" s="59">
        <v>2.0</v>
      </c>
      <c r="E2264" s="59">
        <v>2.0</v>
      </c>
      <c r="F2264" s="59">
        <v>2.0</v>
      </c>
      <c r="G2264" s="60">
        <v>1.0</v>
      </c>
      <c r="H2264" s="60">
        <v>0.0</v>
      </c>
      <c r="I2264" s="60">
        <v>19.7588145</v>
      </c>
      <c r="J2264" s="59">
        <v>2.0</v>
      </c>
      <c r="K2264" s="61">
        <f t="shared" si="1"/>
        <v>1</v>
      </c>
      <c r="L2264" s="62">
        <f t="shared" si="2"/>
        <v>1</v>
      </c>
    </row>
    <row r="2265">
      <c r="A2265" s="58">
        <v>45962.0</v>
      </c>
      <c r="B2265" s="24" t="s">
        <v>6787</v>
      </c>
      <c r="C2265" s="24" t="s">
        <v>6953</v>
      </c>
      <c r="D2265" s="59">
        <v>2.0</v>
      </c>
      <c r="E2265" s="59">
        <v>2.0</v>
      </c>
      <c r="F2265" s="59">
        <v>2.0</v>
      </c>
      <c r="G2265" s="60">
        <v>1.0</v>
      </c>
      <c r="H2265" s="60">
        <v>0.5</v>
      </c>
      <c r="I2265" s="60">
        <v>12.994138</v>
      </c>
      <c r="J2265" s="59">
        <v>2.0</v>
      </c>
      <c r="K2265" s="61">
        <f t="shared" si="1"/>
        <v>1</v>
      </c>
      <c r="L2265" s="62">
        <f t="shared" si="2"/>
        <v>1</v>
      </c>
    </row>
    <row r="2266">
      <c r="A2266" s="58">
        <v>45962.0</v>
      </c>
      <c r="B2266" s="24" t="s">
        <v>6789</v>
      </c>
      <c r="C2266" s="24" t="s">
        <v>7056</v>
      </c>
      <c r="D2266" s="59">
        <v>2.0</v>
      </c>
      <c r="E2266" s="59">
        <v>2.0</v>
      </c>
      <c r="F2266" s="59">
        <v>2.0</v>
      </c>
      <c r="G2266" s="60">
        <v>1.0</v>
      </c>
      <c r="H2266" s="60">
        <v>0.5</v>
      </c>
      <c r="I2266" s="60">
        <v>13.8748115</v>
      </c>
      <c r="J2266" s="59">
        <v>2.0</v>
      </c>
      <c r="K2266" s="61">
        <f t="shared" si="1"/>
        <v>1</v>
      </c>
      <c r="L2266" s="62">
        <f t="shared" si="2"/>
        <v>1</v>
      </c>
    </row>
    <row r="2267">
      <c r="A2267" s="58">
        <v>45962.0</v>
      </c>
      <c r="B2267" s="24" t="s">
        <v>155</v>
      </c>
      <c r="C2267" s="24" t="s">
        <v>6828</v>
      </c>
      <c r="D2267" s="59">
        <v>2.0</v>
      </c>
      <c r="E2267" s="59">
        <v>3.0</v>
      </c>
      <c r="F2267" s="59">
        <v>1.0</v>
      </c>
      <c r="G2267" s="60">
        <v>1.5</v>
      </c>
      <c r="H2267" s="60">
        <v>1.0</v>
      </c>
      <c r="I2267" s="60">
        <v>2.200105</v>
      </c>
      <c r="J2267" s="59">
        <v>3.0</v>
      </c>
      <c r="K2267" s="61">
        <f t="shared" si="1"/>
        <v>0.3333333333</v>
      </c>
      <c r="L2267" s="62">
        <f t="shared" si="2"/>
        <v>1</v>
      </c>
    </row>
    <row r="2268">
      <c r="A2268" s="58">
        <v>45962.0</v>
      </c>
      <c r="B2268" s="24" t="s">
        <v>6787</v>
      </c>
      <c r="C2268" s="24" t="s">
        <v>6984</v>
      </c>
      <c r="D2268" s="59">
        <v>2.0</v>
      </c>
      <c r="E2268" s="59">
        <v>2.0</v>
      </c>
      <c r="F2268" s="59">
        <v>2.0</v>
      </c>
      <c r="G2268" s="60">
        <v>1.0</v>
      </c>
      <c r="H2268" s="60">
        <v>0.5</v>
      </c>
      <c r="I2268" s="60">
        <v>8.8779395</v>
      </c>
      <c r="J2268" s="59">
        <v>2.0</v>
      </c>
      <c r="K2268" s="61">
        <f t="shared" si="1"/>
        <v>1</v>
      </c>
      <c r="L2268" s="62">
        <f t="shared" si="2"/>
        <v>1</v>
      </c>
    </row>
    <row r="2269">
      <c r="A2269" s="58">
        <v>45962.0</v>
      </c>
      <c r="B2269" s="24" t="s">
        <v>6787</v>
      </c>
      <c r="C2269" s="24" t="s">
        <v>6955</v>
      </c>
      <c r="D2269" s="59">
        <v>2.0</v>
      </c>
      <c r="E2269" s="59">
        <v>2.0</v>
      </c>
      <c r="F2269" s="59">
        <v>2.0</v>
      </c>
      <c r="G2269" s="60">
        <v>1.0</v>
      </c>
      <c r="H2269" s="60">
        <v>0.5</v>
      </c>
      <c r="I2269" s="60">
        <v>11.669213</v>
      </c>
      <c r="J2269" s="59">
        <v>2.0</v>
      </c>
      <c r="K2269" s="61">
        <f t="shared" si="1"/>
        <v>1</v>
      </c>
      <c r="L2269" s="62">
        <f t="shared" si="2"/>
        <v>1</v>
      </c>
    </row>
    <row r="2270">
      <c r="A2270" s="58">
        <v>45962.0</v>
      </c>
      <c r="B2270" s="24" t="s">
        <v>6787</v>
      </c>
      <c r="C2270" s="24" t="s">
        <v>6829</v>
      </c>
      <c r="D2270" s="59">
        <v>2.0</v>
      </c>
      <c r="E2270" s="59">
        <v>2.0</v>
      </c>
      <c r="F2270" s="59">
        <v>2.0</v>
      </c>
      <c r="G2270" s="60">
        <v>1.0</v>
      </c>
      <c r="H2270" s="60">
        <v>0.5</v>
      </c>
      <c r="I2270" s="60">
        <v>7.4631085</v>
      </c>
      <c r="J2270" s="59">
        <v>2.0</v>
      </c>
      <c r="K2270" s="61">
        <f t="shared" si="1"/>
        <v>1</v>
      </c>
      <c r="L2270" s="62">
        <f t="shared" si="2"/>
        <v>1</v>
      </c>
    </row>
    <row r="2271">
      <c r="A2271" s="58">
        <v>45962.0</v>
      </c>
      <c r="B2271" s="24" t="s">
        <v>6787</v>
      </c>
      <c r="C2271" s="24" t="s">
        <v>7058</v>
      </c>
      <c r="D2271" s="59">
        <v>2.0</v>
      </c>
      <c r="E2271" s="59">
        <v>2.0</v>
      </c>
      <c r="F2271" s="59">
        <v>2.0</v>
      </c>
      <c r="G2271" s="60">
        <v>1.0</v>
      </c>
      <c r="H2271" s="60">
        <v>0.5</v>
      </c>
      <c r="I2271" s="60">
        <v>6.7589285</v>
      </c>
      <c r="J2271" s="59">
        <v>2.0</v>
      </c>
      <c r="K2271" s="61">
        <f t="shared" si="1"/>
        <v>1</v>
      </c>
      <c r="L2271" s="62">
        <f t="shared" si="2"/>
        <v>1</v>
      </c>
    </row>
    <row r="2272">
      <c r="A2272" s="58">
        <v>45962.0</v>
      </c>
      <c r="B2272" s="24" t="s">
        <v>6789</v>
      </c>
      <c r="C2272" s="24" t="s">
        <v>7058</v>
      </c>
      <c r="D2272" s="59">
        <v>2.0</v>
      </c>
      <c r="E2272" s="59">
        <v>2.0</v>
      </c>
      <c r="F2272" s="59">
        <v>2.0</v>
      </c>
      <c r="G2272" s="60">
        <v>1.0</v>
      </c>
      <c r="H2272" s="60">
        <v>0.5</v>
      </c>
      <c r="I2272" s="60">
        <v>34.280288</v>
      </c>
      <c r="J2272" s="59">
        <v>2.0</v>
      </c>
      <c r="K2272" s="61">
        <f t="shared" si="1"/>
        <v>1</v>
      </c>
      <c r="L2272" s="62">
        <f t="shared" si="2"/>
        <v>1</v>
      </c>
    </row>
    <row r="2273">
      <c r="A2273" s="58">
        <v>45962.0</v>
      </c>
      <c r="B2273" s="24" t="s">
        <v>6787</v>
      </c>
      <c r="C2273" s="24" t="s">
        <v>7240</v>
      </c>
      <c r="D2273" s="59">
        <v>2.0</v>
      </c>
      <c r="E2273" s="59">
        <v>2.0</v>
      </c>
      <c r="F2273" s="59">
        <v>2.0</v>
      </c>
      <c r="G2273" s="60">
        <v>1.0</v>
      </c>
      <c r="H2273" s="60">
        <v>1.0</v>
      </c>
      <c r="I2273" s="60">
        <v>6.1748875</v>
      </c>
      <c r="J2273" s="59">
        <v>2.0</v>
      </c>
      <c r="K2273" s="61">
        <f t="shared" si="1"/>
        <v>1</v>
      </c>
      <c r="L2273" s="62">
        <f t="shared" si="2"/>
        <v>1</v>
      </c>
    </row>
    <row r="2274">
      <c r="A2274" s="58">
        <v>45962.0</v>
      </c>
      <c r="B2274" s="24" t="s">
        <v>6789</v>
      </c>
      <c r="C2274" s="24" t="s">
        <v>6830</v>
      </c>
      <c r="D2274" s="59">
        <v>2.0</v>
      </c>
      <c r="E2274" s="59">
        <v>2.0</v>
      </c>
      <c r="F2274" s="59">
        <v>0.0</v>
      </c>
      <c r="G2274" s="60">
        <v>1.0</v>
      </c>
      <c r="H2274" s="60">
        <v>0.0</v>
      </c>
      <c r="I2274" s="60">
        <v>2407.7219815</v>
      </c>
      <c r="J2274" s="59">
        <v>14.0</v>
      </c>
      <c r="K2274" s="61">
        <f t="shared" si="1"/>
        <v>0</v>
      </c>
      <c r="L2274" s="62">
        <f t="shared" si="2"/>
        <v>7</v>
      </c>
    </row>
    <row r="2275">
      <c r="A2275" s="58">
        <v>45962.0</v>
      </c>
      <c r="B2275" s="24" t="s">
        <v>6789</v>
      </c>
      <c r="C2275" s="24" t="s">
        <v>6935</v>
      </c>
      <c r="D2275" s="59">
        <v>2.0</v>
      </c>
      <c r="E2275" s="59">
        <v>4.0</v>
      </c>
      <c r="F2275" s="59">
        <v>0.0</v>
      </c>
      <c r="G2275" s="60">
        <v>2.0</v>
      </c>
      <c r="H2275" s="60">
        <v>0.25</v>
      </c>
      <c r="I2275" s="60">
        <v>656.225927</v>
      </c>
      <c r="J2275" s="59">
        <v>10.0</v>
      </c>
      <c r="K2275" s="61">
        <f t="shared" si="1"/>
        <v>0</v>
      </c>
      <c r="L2275" s="62">
        <f t="shared" si="2"/>
        <v>2.5</v>
      </c>
    </row>
    <row r="2276">
      <c r="A2276" s="58">
        <v>45962.0</v>
      </c>
      <c r="B2276" s="24" t="s">
        <v>6787</v>
      </c>
      <c r="C2276" s="24" t="s">
        <v>6831</v>
      </c>
      <c r="D2276" s="59">
        <v>2.0</v>
      </c>
      <c r="E2276" s="59">
        <v>2.0</v>
      </c>
      <c r="F2276" s="59">
        <v>2.0</v>
      </c>
      <c r="G2276" s="60">
        <v>1.0</v>
      </c>
      <c r="H2276" s="60">
        <v>0.5</v>
      </c>
      <c r="I2276" s="60">
        <v>16.1876775</v>
      </c>
      <c r="J2276" s="59">
        <v>2.0</v>
      </c>
      <c r="K2276" s="61">
        <f t="shared" si="1"/>
        <v>1</v>
      </c>
      <c r="L2276" s="62">
        <f t="shared" si="2"/>
        <v>1</v>
      </c>
    </row>
    <row r="2277">
      <c r="A2277" s="58">
        <v>45962.0</v>
      </c>
      <c r="B2277" s="24" t="s">
        <v>6789</v>
      </c>
      <c r="C2277" s="24" t="s">
        <v>6831</v>
      </c>
      <c r="D2277" s="59">
        <v>2.0</v>
      </c>
      <c r="E2277" s="59">
        <v>2.0</v>
      </c>
      <c r="F2277" s="59">
        <v>1.0</v>
      </c>
      <c r="G2277" s="60">
        <v>1.0</v>
      </c>
      <c r="H2277" s="60">
        <v>0.0</v>
      </c>
      <c r="I2277" s="60">
        <v>654.1942475</v>
      </c>
      <c r="J2277" s="59">
        <v>15.0</v>
      </c>
      <c r="K2277" s="61">
        <f t="shared" si="1"/>
        <v>0.5</v>
      </c>
      <c r="L2277" s="62">
        <f t="shared" si="2"/>
        <v>7.5</v>
      </c>
    </row>
    <row r="2278">
      <c r="A2278" s="58">
        <v>45962.0</v>
      </c>
      <c r="B2278" s="24" t="s">
        <v>6787</v>
      </c>
      <c r="C2278" s="24" t="s">
        <v>6832</v>
      </c>
      <c r="D2278" s="59">
        <v>2.0</v>
      </c>
      <c r="E2278" s="59">
        <v>2.0</v>
      </c>
      <c r="F2278" s="59">
        <v>2.0</v>
      </c>
      <c r="G2278" s="60">
        <v>1.0</v>
      </c>
      <c r="H2278" s="60">
        <v>1.0</v>
      </c>
      <c r="I2278" s="60">
        <v>0.0</v>
      </c>
      <c r="J2278" s="59">
        <v>2.0</v>
      </c>
      <c r="K2278" s="61">
        <f t="shared" si="1"/>
        <v>1</v>
      </c>
      <c r="L2278" s="62">
        <f t="shared" si="2"/>
        <v>1</v>
      </c>
    </row>
    <row r="2279">
      <c r="A2279" s="58">
        <v>45962.0</v>
      </c>
      <c r="B2279" s="24" t="s">
        <v>6789</v>
      </c>
      <c r="C2279" s="24" t="s">
        <v>6819</v>
      </c>
      <c r="D2279" s="59">
        <v>2.0</v>
      </c>
      <c r="E2279" s="59">
        <v>2.0</v>
      </c>
      <c r="F2279" s="59">
        <v>2.0</v>
      </c>
      <c r="G2279" s="60">
        <v>1.0</v>
      </c>
      <c r="H2279" s="60">
        <v>1.0</v>
      </c>
      <c r="I2279" s="60">
        <v>0.0</v>
      </c>
      <c r="J2279" s="59">
        <v>2.0</v>
      </c>
      <c r="K2279" s="61">
        <f t="shared" si="1"/>
        <v>1</v>
      </c>
      <c r="L2279" s="62">
        <f t="shared" si="2"/>
        <v>1</v>
      </c>
    </row>
    <row r="2280">
      <c r="A2280" s="58">
        <v>45962.0</v>
      </c>
      <c r="B2280" s="24" t="s">
        <v>6787</v>
      </c>
      <c r="C2280" s="24" t="s">
        <v>6867</v>
      </c>
      <c r="D2280" s="59">
        <v>2.0</v>
      </c>
      <c r="E2280" s="59">
        <v>2.0</v>
      </c>
      <c r="F2280" s="59">
        <v>2.0</v>
      </c>
      <c r="G2280" s="60">
        <v>1.0</v>
      </c>
      <c r="H2280" s="60">
        <v>0.0</v>
      </c>
      <c r="I2280" s="60">
        <v>16.0980624999999</v>
      </c>
      <c r="J2280" s="59">
        <v>2.0</v>
      </c>
      <c r="K2280" s="61">
        <f t="shared" si="1"/>
        <v>1</v>
      </c>
      <c r="L2280" s="62">
        <f t="shared" si="2"/>
        <v>1</v>
      </c>
    </row>
    <row r="2281">
      <c r="A2281" s="58">
        <v>45962.0</v>
      </c>
      <c r="B2281" s="24" t="s">
        <v>6787</v>
      </c>
      <c r="C2281" s="24" t="s">
        <v>6870</v>
      </c>
      <c r="D2281" s="59">
        <v>2.0</v>
      </c>
      <c r="E2281" s="59">
        <v>2.0</v>
      </c>
      <c r="F2281" s="59">
        <v>2.0</v>
      </c>
      <c r="G2281" s="60">
        <v>1.0</v>
      </c>
      <c r="H2281" s="60">
        <v>1.0</v>
      </c>
      <c r="I2281" s="60">
        <v>2.108033</v>
      </c>
      <c r="J2281" s="59">
        <v>2.0</v>
      </c>
      <c r="K2281" s="61">
        <f t="shared" si="1"/>
        <v>1</v>
      </c>
      <c r="L2281" s="62">
        <f t="shared" si="2"/>
        <v>1</v>
      </c>
    </row>
    <row r="2282">
      <c r="A2282" s="58">
        <v>45962.0</v>
      </c>
      <c r="B2282" s="24" t="s">
        <v>6794</v>
      </c>
      <c r="C2282" s="24" t="s">
        <v>6872</v>
      </c>
      <c r="D2282" s="59">
        <v>2.0</v>
      </c>
      <c r="E2282" s="59">
        <v>3.0</v>
      </c>
      <c r="F2282" s="59">
        <v>1.0</v>
      </c>
      <c r="G2282" s="60">
        <v>1.5</v>
      </c>
      <c r="H2282" s="60">
        <v>0.0</v>
      </c>
      <c r="I2282" s="60">
        <v>462.764065666666</v>
      </c>
      <c r="J2282" s="59">
        <v>21.0</v>
      </c>
      <c r="K2282" s="61">
        <f t="shared" si="1"/>
        <v>0.3333333333</v>
      </c>
      <c r="L2282" s="62">
        <f t="shared" si="2"/>
        <v>7</v>
      </c>
    </row>
    <row r="2283">
      <c r="A2283" s="58">
        <v>45962.0</v>
      </c>
      <c r="B2283" s="24" t="s">
        <v>155</v>
      </c>
      <c r="C2283" s="24" t="s">
        <v>7024</v>
      </c>
      <c r="D2283" s="59">
        <v>2.0</v>
      </c>
      <c r="E2283" s="59">
        <v>2.0</v>
      </c>
      <c r="F2283" s="59">
        <v>1.0</v>
      </c>
      <c r="G2283" s="60">
        <v>1.0</v>
      </c>
      <c r="H2283" s="60">
        <v>0.5</v>
      </c>
      <c r="I2283" s="60">
        <v>414.9277605</v>
      </c>
      <c r="J2283" s="59">
        <v>3.0</v>
      </c>
      <c r="K2283" s="61">
        <f t="shared" si="1"/>
        <v>0.5</v>
      </c>
      <c r="L2283" s="62">
        <f t="shared" si="2"/>
        <v>1.5</v>
      </c>
    </row>
    <row r="2284">
      <c r="A2284" s="58">
        <v>45962.0</v>
      </c>
      <c r="B2284" s="24" t="s">
        <v>6787</v>
      </c>
      <c r="C2284" s="24" t="s">
        <v>7065</v>
      </c>
      <c r="D2284" s="59">
        <v>2.0</v>
      </c>
      <c r="E2284" s="59">
        <v>2.0</v>
      </c>
      <c r="F2284" s="59">
        <v>2.0</v>
      </c>
      <c r="G2284" s="60">
        <v>1.0</v>
      </c>
      <c r="H2284" s="60">
        <v>0.5</v>
      </c>
      <c r="I2284" s="60">
        <v>17.6768065</v>
      </c>
      <c r="J2284" s="59">
        <v>2.0</v>
      </c>
      <c r="K2284" s="61">
        <f t="shared" si="1"/>
        <v>1</v>
      </c>
      <c r="L2284" s="62">
        <f t="shared" si="2"/>
        <v>1</v>
      </c>
    </row>
    <row r="2285">
      <c r="A2285" s="58">
        <v>45962.0</v>
      </c>
      <c r="B2285" s="24" t="s">
        <v>6787</v>
      </c>
      <c r="C2285" s="24" t="s">
        <v>6877</v>
      </c>
      <c r="D2285" s="59">
        <v>2.0</v>
      </c>
      <c r="E2285" s="59">
        <v>2.0</v>
      </c>
      <c r="F2285" s="59">
        <v>2.0</v>
      </c>
      <c r="G2285" s="60">
        <v>1.0</v>
      </c>
      <c r="H2285" s="60">
        <v>0.5</v>
      </c>
      <c r="I2285" s="60">
        <v>9.7705645</v>
      </c>
      <c r="J2285" s="59">
        <v>2.0</v>
      </c>
      <c r="K2285" s="61">
        <f t="shared" si="1"/>
        <v>1</v>
      </c>
      <c r="L2285" s="62">
        <f t="shared" si="2"/>
        <v>1</v>
      </c>
    </row>
    <row r="2286">
      <c r="A2286" s="58">
        <v>45962.0</v>
      </c>
      <c r="B2286" s="24" t="s">
        <v>6787</v>
      </c>
      <c r="C2286" s="24" t="s">
        <v>6989</v>
      </c>
      <c r="D2286" s="59">
        <v>2.0</v>
      </c>
      <c r="E2286" s="59">
        <v>2.0</v>
      </c>
      <c r="F2286" s="59">
        <v>2.0</v>
      </c>
      <c r="G2286" s="60">
        <v>1.0</v>
      </c>
      <c r="H2286" s="60">
        <v>1.0</v>
      </c>
      <c r="I2286" s="60">
        <v>7.4422975</v>
      </c>
      <c r="J2286" s="59">
        <v>2.0</v>
      </c>
      <c r="K2286" s="61">
        <f t="shared" si="1"/>
        <v>1</v>
      </c>
      <c r="L2286" s="62">
        <f t="shared" si="2"/>
        <v>1</v>
      </c>
    </row>
    <row r="2287">
      <c r="A2287" s="58">
        <v>45962.0</v>
      </c>
      <c r="B2287" s="24" t="s">
        <v>6790</v>
      </c>
      <c r="C2287" s="24" t="s">
        <v>6835</v>
      </c>
      <c r="D2287" s="59">
        <v>2.0</v>
      </c>
      <c r="E2287" s="59">
        <v>2.0</v>
      </c>
      <c r="F2287" s="59">
        <v>1.0</v>
      </c>
      <c r="G2287" s="60">
        <v>1.0</v>
      </c>
      <c r="H2287" s="60">
        <v>0.0</v>
      </c>
      <c r="I2287" s="60">
        <v>1631.234988</v>
      </c>
      <c r="J2287" s="59">
        <v>5.0</v>
      </c>
      <c r="K2287" s="61">
        <f t="shared" si="1"/>
        <v>0.5</v>
      </c>
      <c r="L2287" s="62">
        <f t="shared" si="2"/>
        <v>2.5</v>
      </c>
    </row>
    <row r="2288">
      <c r="A2288" s="58">
        <v>45962.0</v>
      </c>
      <c r="B2288" s="24" t="s">
        <v>6787</v>
      </c>
      <c r="C2288" s="24" t="s">
        <v>6992</v>
      </c>
      <c r="D2288" s="59">
        <v>2.0</v>
      </c>
      <c r="E2288" s="59">
        <v>2.0</v>
      </c>
      <c r="F2288" s="59">
        <v>2.0</v>
      </c>
      <c r="G2288" s="60">
        <v>1.0</v>
      </c>
      <c r="H2288" s="60">
        <v>0.0</v>
      </c>
      <c r="I2288" s="60">
        <v>23.8425055</v>
      </c>
      <c r="J2288" s="59">
        <v>2.0</v>
      </c>
      <c r="K2288" s="61">
        <f t="shared" si="1"/>
        <v>1</v>
      </c>
      <c r="L2288" s="62">
        <f t="shared" si="2"/>
        <v>1</v>
      </c>
    </row>
    <row r="2289">
      <c r="A2289" s="58">
        <v>45962.0</v>
      </c>
      <c r="B2289" s="24" t="s">
        <v>6787</v>
      </c>
      <c r="C2289" s="24" t="s">
        <v>6994</v>
      </c>
      <c r="D2289" s="59">
        <v>2.0</v>
      </c>
      <c r="E2289" s="59">
        <v>2.0</v>
      </c>
      <c r="F2289" s="59">
        <v>2.0</v>
      </c>
      <c r="G2289" s="60">
        <v>1.0</v>
      </c>
      <c r="H2289" s="60">
        <v>1.0</v>
      </c>
      <c r="I2289" s="60">
        <v>0.0</v>
      </c>
      <c r="J2289" s="59">
        <v>2.0</v>
      </c>
      <c r="K2289" s="61">
        <f t="shared" si="1"/>
        <v>1</v>
      </c>
      <c r="L2289" s="62">
        <f t="shared" si="2"/>
        <v>1</v>
      </c>
    </row>
    <row r="2290">
      <c r="A2290" s="58">
        <v>45962.0</v>
      </c>
      <c r="B2290" s="24" t="s">
        <v>6790</v>
      </c>
      <c r="C2290" s="24" t="s">
        <v>6994</v>
      </c>
      <c r="D2290" s="59">
        <v>2.0</v>
      </c>
      <c r="E2290" s="59">
        <v>2.0</v>
      </c>
      <c r="F2290" s="59">
        <v>2.0</v>
      </c>
      <c r="G2290" s="60">
        <v>1.0</v>
      </c>
      <c r="H2290" s="60">
        <v>0.5</v>
      </c>
      <c r="I2290" s="60">
        <v>6.8979485</v>
      </c>
      <c r="J2290" s="59">
        <v>2.0</v>
      </c>
      <c r="K2290" s="61">
        <f t="shared" si="1"/>
        <v>1</v>
      </c>
      <c r="L2290" s="62">
        <f t="shared" si="2"/>
        <v>1</v>
      </c>
    </row>
    <row r="2291">
      <c r="A2291" s="58">
        <v>45962.0</v>
      </c>
      <c r="B2291" s="24" t="s">
        <v>6787</v>
      </c>
      <c r="C2291" s="24" t="s">
        <v>7072</v>
      </c>
      <c r="D2291" s="59">
        <v>2.0</v>
      </c>
      <c r="E2291" s="59">
        <v>2.0</v>
      </c>
      <c r="F2291" s="59">
        <v>2.0</v>
      </c>
      <c r="G2291" s="60">
        <v>1.0</v>
      </c>
      <c r="H2291" s="60">
        <v>1.0</v>
      </c>
      <c r="I2291" s="60">
        <v>7.2500485</v>
      </c>
      <c r="J2291" s="59">
        <v>2.0</v>
      </c>
      <c r="K2291" s="61">
        <f t="shared" si="1"/>
        <v>1</v>
      </c>
      <c r="L2291" s="62">
        <f t="shared" si="2"/>
        <v>1</v>
      </c>
    </row>
    <row r="2292">
      <c r="A2292" s="58">
        <v>45962.0</v>
      </c>
      <c r="B2292" s="24" t="s">
        <v>6787</v>
      </c>
      <c r="C2292" s="24" t="s">
        <v>6995</v>
      </c>
      <c r="D2292" s="59">
        <v>2.0</v>
      </c>
      <c r="E2292" s="59">
        <v>2.0</v>
      </c>
      <c r="F2292" s="59">
        <v>2.0</v>
      </c>
      <c r="G2292" s="60">
        <v>1.0</v>
      </c>
      <c r="H2292" s="60">
        <v>1.0</v>
      </c>
      <c r="I2292" s="60">
        <v>3.0138</v>
      </c>
      <c r="J2292" s="59">
        <v>2.0</v>
      </c>
      <c r="K2292" s="61">
        <f t="shared" si="1"/>
        <v>1</v>
      </c>
      <c r="L2292" s="62">
        <f t="shared" si="2"/>
        <v>1</v>
      </c>
    </row>
    <row r="2293">
      <c r="A2293" s="58">
        <v>45962.0</v>
      </c>
      <c r="B2293" s="24" t="s">
        <v>6789</v>
      </c>
      <c r="C2293" s="24" t="s">
        <v>6886</v>
      </c>
      <c r="D2293" s="59">
        <v>2.0</v>
      </c>
      <c r="E2293" s="59">
        <v>2.0</v>
      </c>
      <c r="F2293" s="59">
        <v>1.0</v>
      </c>
      <c r="G2293" s="60">
        <v>1.0</v>
      </c>
      <c r="H2293" s="60">
        <v>1.0</v>
      </c>
      <c r="I2293" s="60">
        <v>0.0</v>
      </c>
      <c r="J2293" s="59">
        <v>2.0</v>
      </c>
      <c r="K2293" s="61">
        <f t="shared" si="1"/>
        <v>0.5</v>
      </c>
      <c r="L2293" s="62">
        <f t="shared" si="2"/>
        <v>1</v>
      </c>
    </row>
    <row r="2294">
      <c r="A2294" s="58">
        <v>45962.0</v>
      </c>
      <c r="B2294" s="24" t="s">
        <v>6787</v>
      </c>
      <c r="C2294" s="24" t="s">
        <v>6888</v>
      </c>
      <c r="D2294" s="59">
        <v>2.0</v>
      </c>
      <c r="E2294" s="59">
        <v>2.0</v>
      </c>
      <c r="F2294" s="59">
        <v>2.0</v>
      </c>
      <c r="G2294" s="60">
        <v>1.0</v>
      </c>
      <c r="H2294" s="60">
        <v>1.0</v>
      </c>
      <c r="I2294" s="60">
        <v>6.8929295</v>
      </c>
      <c r="J2294" s="59">
        <v>2.0</v>
      </c>
      <c r="K2294" s="61">
        <f t="shared" si="1"/>
        <v>1</v>
      </c>
      <c r="L2294" s="62">
        <f t="shared" si="2"/>
        <v>1</v>
      </c>
    </row>
    <row r="2295">
      <c r="A2295" s="58">
        <v>45962.0</v>
      </c>
      <c r="B2295" s="24" t="s">
        <v>6789</v>
      </c>
      <c r="C2295" s="24" t="s">
        <v>6997</v>
      </c>
      <c r="D2295" s="59">
        <v>2.0</v>
      </c>
      <c r="E2295" s="59">
        <v>3.0</v>
      </c>
      <c r="F2295" s="59">
        <v>1.0</v>
      </c>
      <c r="G2295" s="60">
        <v>1.5</v>
      </c>
      <c r="H2295" s="60">
        <v>1.0</v>
      </c>
      <c r="I2295" s="60">
        <v>2.29368266666666</v>
      </c>
      <c r="J2295" s="59">
        <v>3.0</v>
      </c>
      <c r="K2295" s="61">
        <f t="shared" si="1"/>
        <v>0.3333333333</v>
      </c>
      <c r="L2295" s="62">
        <f t="shared" si="2"/>
        <v>1</v>
      </c>
    </row>
    <row r="2296">
      <c r="A2296" s="58">
        <v>45962.0</v>
      </c>
      <c r="B2296" s="24" t="s">
        <v>6794</v>
      </c>
      <c r="C2296" s="24" t="s">
        <v>6997</v>
      </c>
      <c r="D2296" s="59">
        <v>2.0</v>
      </c>
      <c r="E2296" s="59">
        <v>2.0</v>
      </c>
      <c r="F2296" s="59">
        <v>2.0</v>
      </c>
      <c r="G2296" s="60">
        <v>1.0</v>
      </c>
      <c r="H2296" s="60">
        <v>0.5</v>
      </c>
      <c r="I2296" s="60">
        <v>774.7607665</v>
      </c>
      <c r="J2296" s="59">
        <v>3.0</v>
      </c>
      <c r="K2296" s="61">
        <f t="shared" si="1"/>
        <v>1</v>
      </c>
      <c r="L2296" s="62">
        <f t="shared" si="2"/>
        <v>1.5</v>
      </c>
    </row>
    <row r="2297">
      <c r="A2297" s="58">
        <v>45962.0</v>
      </c>
      <c r="B2297" s="24" t="s">
        <v>6942</v>
      </c>
      <c r="C2297" s="24" t="s">
        <v>7021</v>
      </c>
      <c r="D2297" s="59">
        <v>2.0</v>
      </c>
      <c r="E2297" s="59">
        <v>2.0</v>
      </c>
      <c r="F2297" s="59">
        <v>1.0</v>
      </c>
      <c r="G2297" s="60">
        <v>2.0</v>
      </c>
      <c r="H2297" s="60">
        <v>1.0</v>
      </c>
      <c r="I2297" s="60">
        <v>0.0</v>
      </c>
      <c r="J2297" s="59">
        <v>2.0</v>
      </c>
      <c r="K2297" s="61">
        <f t="shared" si="1"/>
        <v>0.5</v>
      </c>
      <c r="L2297" s="62">
        <f t="shared" si="2"/>
        <v>1</v>
      </c>
    </row>
    <row r="2298">
      <c r="A2298" s="58">
        <v>45962.0</v>
      </c>
      <c r="B2298" s="24" t="s">
        <v>6787</v>
      </c>
      <c r="C2298" s="24" t="s">
        <v>6897</v>
      </c>
      <c r="D2298" s="59">
        <v>2.0</v>
      </c>
      <c r="E2298" s="59">
        <v>2.0</v>
      </c>
      <c r="F2298" s="59">
        <v>2.0</v>
      </c>
      <c r="G2298" s="60">
        <v>1.0</v>
      </c>
      <c r="H2298" s="60">
        <v>0.0</v>
      </c>
      <c r="I2298" s="60">
        <v>160.2407915</v>
      </c>
      <c r="J2298" s="59">
        <v>2.0</v>
      </c>
      <c r="K2298" s="61">
        <f t="shared" si="1"/>
        <v>1</v>
      </c>
      <c r="L2298" s="62">
        <f t="shared" si="2"/>
        <v>1</v>
      </c>
    </row>
    <row r="2299">
      <c r="A2299" s="58">
        <v>45962.0</v>
      </c>
      <c r="B2299" s="24" t="s">
        <v>6790</v>
      </c>
      <c r="C2299" s="24" t="s">
        <v>6841</v>
      </c>
      <c r="D2299" s="59">
        <v>2.0</v>
      </c>
      <c r="E2299" s="59">
        <v>2.0</v>
      </c>
      <c r="F2299" s="59">
        <v>2.0</v>
      </c>
      <c r="G2299" s="60">
        <v>1.0</v>
      </c>
      <c r="H2299" s="60">
        <v>0.5</v>
      </c>
      <c r="I2299" s="60">
        <v>31.904956</v>
      </c>
      <c r="J2299" s="59">
        <v>2.0</v>
      </c>
      <c r="K2299" s="61">
        <f t="shared" si="1"/>
        <v>1</v>
      </c>
      <c r="L2299" s="62">
        <f t="shared" si="2"/>
        <v>1</v>
      </c>
    </row>
    <row r="2300">
      <c r="A2300" s="58">
        <v>45962.0</v>
      </c>
      <c r="B2300" s="24" t="s">
        <v>6787</v>
      </c>
      <c r="C2300" s="24" t="s">
        <v>7241</v>
      </c>
      <c r="D2300" s="59">
        <v>2.0</v>
      </c>
      <c r="E2300" s="59">
        <v>2.0</v>
      </c>
      <c r="F2300" s="59">
        <v>2.0</v>
      </c>
      <c r="G2300" s="60">
        <v>1.0</v>
      </c>
      <c r="H2300" s="60">
        <v>1.0</v>
      </c>
      <c r="I2300" s="60">
        <v>1.3742385</v>
      </c>
      <c r="J2300" s="59">
        <v>2.0</v>
      </c>
      <c r="K2300" s="61">
        <f t="shared" si="1"/>
        <v>1</v>
      </c>
      <c r="L2300" s="62">
        <f t="shared" si="2"/>
        <v>1</v>
      </c>
    </row>
    <row r="2301">
      <c r="A2301" s="58">
        <v>45962.0</v>
      </c>
      <c r="B2301" s="24" t="s">
        <v>6789</v>
      </c>
      <c r="C2301" s="24" t="s">
        <v>6898</v>
      </c>
      <c r="D2301" s="59">
        <v>2.0</v>
      </c>
      <c r="E2301" s="59">
        <v>2.0</v>
      </c>
      <c r="F2301" s="59">
        <v>2.0</v>
      </c>
      <c r="G2301" s="60">
        <v>1.0</v>
      </c>
      <c r="H2301" s="60">
        <v>1.0</v>
      </c>
      <c r="I2301" s="60">
        <v>0.0</v>
      </c>
      <c r="J2301" s="59">
        <v>2.0</v>
      </c>
      <c r="K2301" s="61">
        <f t="shared" si="1"/>
        <v>1</v>
      </c>
      <c r="L2301" s="62">
        <f t="shared" si="2"/>
        <v>1</v>
      </c>
    </row>
    <row r="2302">
      <c r="A2302" s="58">
        <v>45962.0</v>
      </c>
      <c r="B2302" s="24" t="s">
        <v>6787</v>
      </c>
      <c r="C2302" s="24" t="s">
        <v>7224</v>
      </c>
      <c r="D2302" s="59">
        <v>2.0</v>
      </c>
      <c r="E2302" s="59">
        <v>2.0</v>
      </c>
      <c r="F2302" s="59">
        <v>2.0</v>
      </c>
      <c r="G2302" s="60">
        <v>1.0</v>
      </c>
      <c r="H2302" s="60">
        <v>0.5</v>
      </c>
      <c r="I2302" s="60">
        <v>8.624428</v>
      </c>
      <c r="J2302" s="59">
        <v>2.0</v>
      </c>
      <c r="K2302" s="61">
        <f t="shared" si="1"/>
        <v>1</v>
      </c>
      <c r="L2302" s="62">
        <f t="shared" si="2"/>
        <v>1</v>
      </c>
    </row>
    <row r="2303">
      <c r="A2303" s="58">
        <v>45962.0</v>
      </c>
      <c r="B2303" s="24" t="s">
        <v>6787</v>
      </c>
      <c r="C2303" s="24" t="s">
        <v>6901</v>
      </c>
      <c r="D2303" s="59">
        <v>2.0</v>
      </c>
      <c r="E2303" s="59">
        <v>2.0</v>
      </c>
      <c r="F2303" s="59">
        <v>2.0</v>
      </c>
      <c r="G2303" s="60">
        <v>1.0</v>
      </c>
      <c r="H2303" s="60">
        <v>1.0</v>
      </c>
      <c r="I2303" s="60">
        <v>3.696671</v>
      </c>
      <c r="J2303" s="59">
        <v>2.0</v>
      </c>
      <c r="K2303" s="61">
        <f t="shared" si="1"/>
        <v>1</v>
      </c>
      <c r="L2303" s="62">
        <f t="shared" si="2"/>
        <v>1</v>
      </c>
    </row>
    <row r="2304">
      <c r="A2304" s="58">
        <v>45962.0</v>
      </c>
      <c r="B2304" s="24" t="s">
        <v>155</v>
      </c>
      <c r="C2304" s="24" t="s">
        <v>6796</v>
      </c>
      <c r="D2304" s="59">
        <v>2.0</v>
      </c>
      <c r="E2304" s="59">
        <v>2.0</v>
      </c>
      <c r="F2304" s="59">
        <v>2.0</v>
      </c>
      <c r="G2304" s="60">
        <v>1.0</v>
      </c>
      <c r="H2304" s="60">
        <v>0.5</v>
      </c>
      <c r="I2304" s="60">
        <v>78.129586</v>
      </c>
      <c r="J2304" s="59">
        <v>2.0</v>
      </c>
      <c r="K2304" s="61">
        <f t="shared" si="1"/>
        <v>1</v>
      </c>
      <c r="L2304" s="62">
        <f t="shared" si="2"/>
        <v>1</v>
      </c>
    </row>
    <row r="2305">
      <c r="A2305" s="58">
        <v>45962.0</v>
      </c>
      <c r="B2305" s="24" t="s">
        <v>6790</v>
      </c>
      <c r="C2305" s="24" t="s">
        <v>6796</v>
      </c>
      <c r="D2305" s="59">
        <v>2.0</v>
      </c>
      <c r="E2305" s="59">
        <v>2.0</v>
      </c>
      <c r="F2305" s="59">
        <v>2.0</v>
      </c>
      <c r="G2305" s="60">
        <v>1.0</v>
      </c>
      <c r="H2305" s="60">
        <v>0.0</v>
      </c>
      <c r="I2305" s="60">
        <v>186.2545205</v>
      </c>
      <c r="J2305" s="59">
        <v>3.0</v>
      </c>
      <c r="K2305" s="61">
        <f t="shared" si="1"/>
        <v>1</v>
      </c>
      <c r="L2305" s="62">
        <f t="shared" si="2"/>
        <v>1.5</v>
      </c>
    </row>
    <row r="2306">
      <c r="A2306" s="58">
        <v>45962.0</v>
      </c>
      <c r="B2306" s="24" t="s">
        <v>155</v>
      </c>
      <c r="C2306" s="24" t="s">
        <v>7009</v>
      </c>
      <c r="D2306" s="59">
        <v>2.0</v>
      </c>
      <c r="E2306" s="59">
        <v>2.0</v>
      </c>
      <c r="F2306" s="59">
        <v>0.0</v>
      </c>
      <c r="G2306" s="60">
        <v>2.0</v>
      </c>
      <c r="H2306" s="60">
        <v>1.0</v>
      </c>
      <c r="I2306" s="60">
        <v>2.8429545</v>
      </c>
      <c r="J2306" s="59">
        <v>2.0</v>
      </c>
      <c r="K2306" s="61">
        <f t="shared" si="1"/>
        <v>0</v>
      </c>
      <c r="L2306" s="62">
        <f t="shared" si="2"/>
        <v>1</v>
      </c>
    </row>
    <row r="2307">
      <c r="A2307" s="58">
        <v>45962.0</v>
      </c>
      <c r="B2307" s="24" t="s">
        <v>6787</v>
      </c>
      <c r="C2307" s="24" t="s">
        <v>7242</v>
      </c>
      <c r="D2307" s="59">
        <v>2.0</v>
      </c>
      <c r="E2307" s="59">
        <v>2.0</v>
      </c>
      <c r="F2307" s="59">
        <v>2.0</v>
      </c>
      <c r="G2307" s="60">
        <v>1.0</v>
      </c>
      <c r="H2307" s="60">
        <v>1.0</v>
      </c>
      <c r="I2307" s="60">
        <v>3.8132645</v>
      </c>
      <c r="J2307" s="59">
        <v>2.0</v>
      </c>
      <c r="K2307" s="61">
        <f t="shared" si="1"/>
        <v>1</v>
      </c>
      <c r="L2307" s="62">
        <f t="shared" si="2"/>
        <v>1</v>
      </c>
    </row>
    <row r="2308">
      <c r="A2308" s="58">
        <v>45962.0</v>
      </c>
      <c r="B2308" s="24" t="s">
        <v>155</v>
      </c>
      <c r="C2308" s="24" t="s">
        <v>7034</v>
      </c>
      <c r="D2308" s="59">
        <v>2.0</v>
      </c>
      <c r="E2308" s="59">
        <v>2.0</v>
      </c>
      <c r="F2308" s="59">
        <v>2.0</v>
      </c>
      <c r="G2308" s="60">
        <v>1.0</v>
      </c>
      <c r="H2308" s="60">
        <v>1.0</v>
      </c>
      <c r="I2308" s="60">
        <v>2.7280065</v>
      </c>
      <c r="J2308" s="59">
        <v>2.0</v>
      </c>
      <c r="K2308" s="61">
        <f t="shared" si="1"/>
        <v>1</v>
      </c>
      <c r="L2308" s="62">
        <f t="shared" si="2"/>
        <v>1</v>
      </c>
    </row>
    <row r="2309">
      <c r="A2309" s="58">
        <v>45962.0</v>
      </c>
      <c r="B2309" s="24" t="s">
        <v>6787</v>
      </c>
      <c r="C2309" s="24" t="s">
        <v>7225</v>
      </c>
      <c r="D2309" s="59">
        <v>2.0</v>
      </c>
      <c r="E2309" s="59">
        <v>2.0</v>
      </c>
      <c r="F2309" s="59">
        <v>2.0</v>
      </c>
      <c r="G2309" s="60">
        <v>1.0</v>
      </c>
      <c r="H2309" s="60">
        <v>0.5</v>
      </c>
      <c r="I2309" s="60">
        <v>15.8156214999999</v>
      </c>
      <c r="J2309" s="59">
        <v>2.0</v>
      </c>
      <c r="K2309" s="61">
        <f t="shared" si="1"/>
        <v>1</v>
      </c>
      <c r="L2309" s="62">
        <f t="shared" si="2"/>
        <v>1</v>
      </c>
    </row>
    <row r="2310">
      <c r="A2310" s="58">
        <v>45962.0</v>
      </c>
      <c r="B2310" s="24" t="s">
        <v>6787</v>
      </c>
      <c r="C2310" s="24" t="s">
        <v>7081</v>
      </c>
      <c r="D2310" s="59">
        <v>2.0</v>
      </c>
      <c r="E2310" s="59">
        <v>2.0</v>
      </c>
      <c r="F2310" s="59">
        <v>1.0</v>
      </c>
      <c r="G2310" s="60">
        <v>1.0</v>
      </c>
      <c r="H2310" s="60">
        <v>0.0</v>
      </c>
      <c r="I2310" s="60">
        <v>53.0275405</v>
      </c>
      <c r="J2310" s="59">
        <v>6.0</v>
      </c>
      <c r="K2310" s="61">
        <f t="shared" si="1"/>
        <v>0.5</v>
      </c>
      <c r="L2310" s="62">
        <f t="shared" si="2"/>
        <v>3</v>
      </c>
    </row>
    <row r="2311">
      <c r="A2311" s="58">
        <v>45962.0</v>
      </c>
      <c r="B2311" s="24" t="s">
        <v>6787</v>
      </c>
      <c r="C2311" s="24" t="s">
        <v>7157</v>
      </c>
      <c r="D2311" s="59">
        <v>2.0</v>
      </c>
      <c r="E2311" s="59">
        <v>2.0</v>
      </c>
      <c r="F2311" s="59">
        <v>1.0</v>
      </c>
      <c r="G2311" s="60">
        <v>1.0</v>
      </c>
      <c r="H2311" s="60">
        <v>0.5</v>
      </c>
      <c r="I2311" s="60">
        <v>697.436521</v>
      </c>
      <c r="J2311" s="59">
        <v>5.0</v>
      </c>
      <c r="K2311" s="61">
        <f t="shared" si="1"/>
        <v>0.5</v>
      </c>
      <c r="L2311" s="62">
        <f t="shared" si="2"/>
        <v>2.5</v>
      </c>
    </row>
    <row r="2312">
      <c r="A2312" s="58">
        <v>45962.0</v>
      </c>
      <c r="B2312" s="24" t="s">
        <v>155</v>
      </c>
      <c r="C2312" s="24" t="s">
        <v>7157</v>
      </c>
      <c r="D2312" s="59">
        <v>2.0</v>
      </c>
      <c r="E2312" s="59">
        <v>2.0</v>
      </c>
      <c r="F2312" s="59">
        <v>0.0</v>
      </c>
      <c r="G2312" s="60">
        <v>1.0</v>
      </c>
      <c r="H2312" s="60">
        <v>0.0</v>
      </c>
      <c r="I2312" s="60">
        <v>770.8136465</v>
      </c>
      <c r="J2312" s="59">
        <v>3.0</v>
      </c>
      <c r="K2312" s="61">
        <f t="shared" si="1"/>
        <v>0</v>
      </c>
      <c r="L2312" s="62">
        <f t="shared" si="2"/>
        <v>1.5</v>
      </c>
    </row>
    <row r="2313">
      <c r="A2313" s="58">
        <v>45962.0</v>
      </c>
      <c r="B2313" s="24" t="s">
        <v>6787</v>
      </c>
      <c r="C2313" s="24" t="s">
        <v>7082</v>
      </c>
      <c r="D2313" s="59">
        <v>2.0</v>
      </c>
      <c r="E2313" s="59">
        <v>2.0</v>
      </c>
      <c r="F2313" s="59">
        <v>0.0</v>
      </c>
      <c r="G2313" s="60">
        <v>1.0</v>
      </c>
      <c r="H2313" s="60">
        <v>0.5</v>
      </c>
      <c r="I2313" s="60">
        <v>16.512513</v>
      </c>
      <c r="J2313" s="59">
        <v>3.0</v>
      </c>
      <c r="K2313" s="61">
        <f t="shared" si="1"/>
        <v>0</v>
      </c>
      <c r="L2313" s="62">
        <f t="shared" si="2"/>
        <v>1.5</v>
      </c>
    </row>
    <row r="2314">
      <c r="A2314" s="58">
        <v>45962.0</v>
      </c>
      <c r="B2314" s="24" t="s">
        <v>6789</v>
      </c>
      <c r="C2314" s="24" t="s">
        <v>7236</v>
      </c>
      <c r="D2314" s="59">
        <v>2.0</v>
      </c>
      <c r="E2314" s="59">
        <v>2.0</v>
      </c>
      <c r="F2314" s="59">
        <v>2.0</v>
      </c>
      <c r="G2314" s="60">
        <v>1.0</v>
      </c>
      <c r="H2314" s="60">
        <v>0.5</v>
      </c>
      <c r="I2314" s="60">
        <v>82.0238365</v>
      </c>
      <c r="J2314" s="59">
        <v>3.0</v>
      </c>
      <c r="K2314" s="61">
        <f t="shared" si="1"/>
        <v>1</v>
      </c>
      <c r="L2314" s="62">
        <f t="shared" si="2"/>
        <v>1.5</v>
      </c>
    </row>
    <row r="2315">
      <c r="A2315" s="58">
        <v>45962.0</v>
      </c>
      <c r="B2315" s="24" t="s">
        <v>6789</v>
      </c>
      <c r="C2315" s="24" t="s">
        <v>7232</v>
      </c>
      <c r="D2315" s="59">
        <v>2.0</v>
      </c>
      <c r="E2315" s="59">
        <v>2.0</v>
      </c>
      <c r="F2315" s="59">
        <v>0.0</v>
      </c>
      <c r="G2315" s="60">
        <v>1.0</v>
      </c>
      <c r="H2315" s="60">
        <v>0.5</v>
      </c>
      <c r="I2315" s="60">
        <v>1421.205974</v>
      </c>
      <c r="J2315" s="59">
        <v>16.0</v>
      </c>
      <c r="K2315" s="61">
        <f t="shared" si="1"/>
        <v>0</v>
      </c>
      <c r="L2315" s="62">
        <f t="shared" si="2"/>
        <v>8</v>
      </c>
    </row>
    <row r="2316">
      <c r="A2316" s="58">
        <v>45962.0</v>
      </c>
      <c r="B2316" s="24" t="s">
        <v>6787</v>
      </c>
      <c r="C2316" s="24" t="s">
        <v>7042</v>
      </c>
      <c r="D2316" s="59">
        <v>2.0</v>
      </c>
      <c r="E2316" s="59">
        <v>2.0</v>
      </c>
      <c r="F2316" s="59">
        <v>2.0</v>
      </c>
      <c r="G2316" s="60">
        <v>1.0</v>
      </c>
      <c r="H2316" s="60">
        <v>1.0</v>
      </c>
      <c r="I2316" s="60">
        <v>3.811204</v>
      </c>
      <c r="J2316" s="59">
        <v>2.0</v>
      </c>
      <c r="K2316" s="61">
        <f t="shared" si="1"/>
        <v>1</v>
      </c>
      <c r="L2316" s="62">
        <f t="shared" si="2"/>
        <v>1</v>
      </c>
    </row>
    <row r="2317">
      <c r="A2317" s="58">
        <v>45962.0</v>
      </c>
      <c r="B2317" s="24" t="s">
        <v>6787</v>
      </c>
      <c r="C2317" s="24" t="s">
        <v>7228</v>
      </c>
      <c r="D2317" s="59">
        <v>2.0</v>
      </c>
      <c r="E2317" s="59">
        <v>2.0</v>
      </c>
      <c r="F2317" s="59">
        <v>3.0</v>
      </c>
      <c r="G2317" s="60">
        <v>1.0</v>
      </c>
      <c r="H2317" s="60">
        <v>0.0</v>
      </c>
      <c r="I2317" s="60">
        <v>11.0171885</v>
      </c>
      <c r="J2317" s="59">
        <v>3.0</v>
      </c>
      <c r="K2317" s="61">
        <f t="shared" si="1"/>
        <v>1.5</v>
      </c>
      <c r="L2317" s="62">
        <f t="shared" si="2"/>
        <v>1.5</v>
      </c>
    </row>
    <row r="2318">
      <c r="A2318" s="58">
        <v>45962.0</v>
      </c>
      <c r="B2318" s="24" t="s">
        <v>155</v>
      </c>
      <c r="C2318" s="24" t="s">
        <v>6808</v>
      </c>
      <c r="D2318" s="59">
        <v>2.0</v>
      </c>
      <c r="E2318" s="59">
        <v>2.0</v>
      </c>
      <c r="F2318" s="59">
        <v>0.0</v>
      </c>
      <c r="G2318" s="60">
        <v>1.0</v>
      </c>
      <c r="H2318" s="60">
        <v>0.0</v>
      </c>
      <c r="I2318" s="60">
        <v>752.234076</v>
      </c>
      <c r="J2318" s="59">
        <v>6.0</v>
      </c>
      <c r="K2318" s="61">
        <f t="shared" si="1"/>
        <v>0</v>
      </c>
      <c r="L2318" s="62">
        <f t="shared" si="2"/>
        <v>3</v>
      </c>
    </row>
    <row r="2319">
      <c r="A2319" s="58">
        <v>45962.0</v>
      </c>
      <c r="B2319" s="24" t="s">
        <v>6787</v>
      </c>
      <c r="C2319" s="24" t="s">
        <v>7158</v>
      </c>
      <c r="D2319" s="59">
        <v>2.0</v>
      </c>
      <c r="E2319" s="59">
        <v>2.0</v>
      </c>
      <c r="F2319" s="59">
        <v>1.0</v>
      </c>
      <c r="G2319" s="60">
        <v>1.0</v>
      </c>
      <c r="H2319" s="60">
        <v>1.0</v>
      </c>
      <c r="I2319" s="60">
        <v>0.0</v>
      </c>
      <c r="J2319" s="59">
        <v>2.0</v>
      </c>
      <c r="K2319" s="61">
        <f t="shared" si="1"/>
        <v>0.5</v>
      </c>
      <c r="L2319" s="62">
        <f t="shared" si="2"/>
        <v>1</v>
      </c>
    </row>
    <row r="2320">
      <c r="A2320" s="58">
        <v>45962.0</v>
      </c>
      <c r="B2320" s="24" t="s">
        <v>6787</v>
      </c>
      <c r="C2320" s="24" t="s">
        <v>7189</v>
      </c>
      <c r="D2320" s="59">
        <v>2.0</v>
      </c>
      <c r="E2320" s="59">
        <v>2.0</v>
      </c>
      <c r="F2320" s="59">
        <v>2.0</v>
      </c>
      <c r="G2320" s="60">
        <v>1.0</v>
      </c>
      <c r="H2320" s="60">
        <v>0.5</v>
      </c>
      <c r="I2320" s="60">
        <v>5.4989185</v>
      </c>
      <c r="J2320" s="59">
        <v>2.0</v>
      </c>
      <c r="K2320" s="61">
        <f t="shared" si="1"/>
        <v>1</v>
      </c>
      <c r="L2320" s="62">
        <f t="shared" si="2"/>
        <v>1</v>
      </c>
    </row>
    <row r="2321">
      <c r="A2321" s="58">
        <v>45962.0</v>
      </c>
      <c r="B2321" s="24" t="s">
        <v>6787</v>
      </c>
      <c r="C2321" s="24" t="s">
        <v>7089</v>
      </c>
      <c r="D2321" s="59">
        <v>2.0</v>
      </c>
      <c r="E2321" s="59">
        <v>2.0</v>
      </c>
      <c r="F2321" s="59">
        <v>2.0</v>
      </c>
      <c r="G2321" s="60">
        <v>1.0</v>
      </c>
      <c r="H2321" s="60">
        <v>1.0</v>
      </c>
      <c r="I2321" s="60">
        <v>5.925599</v>
      </c>
      <c r="J2321" s="59">
        <v>2.0</v>
      </c>
      <c r="K2321" s="61">
        <f t="shared" si="1"/>
        <v>1</v>
      </c>
      <c r="L2321" s="62">
        <f t="shared" si="2"/>
        <v>1</v>
      </c>
    </row>
    <row r="2322">
      <c r="A2322" s="58">
        <v>45962.0</v>
      </c>
      <c r="B2322" s="24" t="s">
        <v>6787</v>
      </c>
      <c r="C2322" s="24" t="s">
        <v>7161</v>
      </c>
      <c r="D2322" s="59">
        <v>2.0</v>
      </c>
      <c r="E2322" s="59">
        <v>2.0</v>
      </c>
      <c r="F2322" s="59">
        <v>2.0</v>
      </c>
      <c r="G2322" s="60">
        <v>1.0</v>
      </c>
      <c r="H2322" s="60">
        <v>0.5</v>
      </c>
      <c r="I2322" s="60">
        <v>9.523308</v>
      </c>
      <c r="J2322" s="59">
        <v>2.0</v>
      </c>
      <c r="K2322" s="61">
        <f t="shared" si="1"/>
        <v>1</v>
      </c>
      <c r="L2322" s="62">
        <f t="shared" si="2"/>
        <v>1</v>
      </c>
    </row>
    <row r="2323">
      <c r="A2323" s="58">
        <v>45962.0</v>
      </c>
      <c r="B2323" s="24" t="s">
        <v>6787</v>
      </c>
      <c r="C2323" s="24" t="s">
        <v>7162</v>
      </c>
      <c r="D2323" s="59">
        <v>2.0</v>
      </c>
      <c r="E2323" s="59">
        <v>2.0</v>
      </c>
      <c r="F2323" s="59">
        <v>2.0</v>
      </c>
      <c r="G2323" s="60">
        <v>1.0</v>
      </c>
      <c r="H2323" s="60">
        <v>1.0</v>
      </c>
      <c r="I2323" s="60">
        <v>0.0</v>
      </c>
      <c r="J2323" s="59">
        <v>2.0</v>
      </c>
      <c r="K2323" s="61">
        <f t="shared" si="1"/>
        <v>1</v>
      </c>
      <c r="L2323" s="62">
        <f t="shared" si="2"/>
        <v>1</v>
      </c>
    </row>
    <row r="2324">
      <c r="A2324" s="58">
        <v>45962.0</v>
      </c>
      <c r="B2324" s="24" t="s">
        <v>6787</v>
      </c>
      <c r="C2324" s="24" t="s">
        <v>7164</v>
      </c>
      <c r="D2324" s="59">
        <v>2.0</v>
      </c>
      <c r="E2324" s="59">
        <v>2.0</v>
      </c>
      <c r="F2324" s="59">
        <v>2.0</v>
      </c>
      <c r="G2324" s="60">
        <v>1.0</v>
      </c>
      <c r="H2324" s="60">
        <v>1.0</v>
      </c>
      <c r="I2324" s="60">
        <v>2.310335</v>
      </c>
      <c r="J2324" s="59">
        <v>2.0</v>
      </c>
      <c r="K2324" s="61">
        <f t="shared" si="1"/>
        <v>1</v>
      </c>
      <c r="L2324" s="62">
        <f t="shared" si="2"/>
        <v>1</v>
      </c>
    </row>
    <row r="2325">
      <c r="A2325" s="58">
        <v>45962.0</v>
      </c>
      <c r="B2325" s="24" t="s">
        <v>6787</v>
      </c>
      <c r="C2325" s="24" t="s">
        <v>7167</v>
      </c>
      <c r="D2325" s="59">
        <v>2.0</v>
      </c>
      <c r="E2325" s="59">
        <v>2.0</v>
      </c>
      <c r="F2325" s="59">
        <v>2.0</v>
      </c>
      <c r="G2325" s="60">
        <v>1.0</v>
      </c>
      <c r="H2325" s="60">
        <v>0.5</v>
      </c>
      <c r="I2325" s="60">
        <v>7.093844</v>
      </c>
      <c r="J2325" s="59">
        <v>2.0</v>
      </c>
      <c r="K2325" s="61">
        <f t="shared" si="1"/>
        <v>1</v>
      </c>
      <c r="L2325" s="62">
        <f t="shared" si="2"/>
        <v>1</v>
      </c>
    </row>
    <row r="2326">
      <c r="A2326" s="58">
        <v>45962.0</v>
      </c>
      <c r="B2326" s="24" t="s">
        <v>6787</v>
      </c>
      <c r="C2326" s="24" t="s">
        <v>7095</v>
      </c>
      <c r="D2326" s="59">
        <v>2.0</v>
      </c>
      <c r="E2326" s="59">
        <v>2.0</v>
      </c>
      <c r="F2326" s="59">
        <v>2.0</v>
      </c>
      <c r="G2326" s="60">
        <v>1.0</v>
      </c>
      <c r="H2326" s="60">
        <v>1.0</v>
      </c>
      <c r="I2326" s="60">
        <v>0.0</v>
      </c>
      <c r="J2326" s="59">
        <v>2.0</v>
      </c>
      <c r="K2326" s="61">
        <f t="shared" si="1"/>
        <v>1</v>
      </c>
      <c r="L2326" s="62">
        <f t="shared" si="2"/>
        <v>1</v>
      </c>
    </row>
    <row r="2327">
      <c r="A2327" s="58">
        <v>45962.0</v>
      </c>
      <c r="B2327" s="24" t="s">
        <v>6787</v>
      </c>
      <c r="C2327" s="24" t="s">
        <v>7137</v>
      </c>
      <c r="D2327" s="59">
        <v>2.0</v>
      </c>
      <c r="E2327" s="59">
        <v>2.0</v>
      </c>
      <c r="F2327" s="59">
        <v>2.0</v>
      </c>
      <c r="G2327" s="60">
        <v>1.0</v>
      </c>
      <c r="H2327" s="60">
        <v>1.0</v>
      </c>
      <c r="I2327" s="60">
        <v>0.0</v>
      </c>
      <c r="J2327" s="59">
        <v>2.0</v>
      </c>
      <c r="K2327" s="61">
        <f t="shared" si="1"/>
        <v>1</v>
      </c>
      <c r="L2327" s="62">
        <f t="shared" si="2"/>
        <v>1</v>
      </c>
    </row>
    <row r="2328">
      <c r="A2328" s="58">
        <v>45962.0</v>
      </c>
      <c r="B2328" s="24" t="s">
        <v>6787</v>
      </c>
      <c r="C2328" s="24" t="s">
        <v>7169</v>
      </c>
      <c r="D2328" s="59">
        <v>2.0</v>
      </c>
      <c r="E2328" s="59">
        <v>2.0</v>
      </c>
      <c r="F2328" s="59">
        <v>2.0</v>
      </c>
      <c r="G2328" s="60">
        <v>1.0</v>
      </c>
      <c r="H2328" s="60">
        <v>1.0</v>
      </c>
      <c r="I2328" s="60">
        <v>5.675E-4</v>
      </c>
      <c r="J2328" s="59">
        <v>2.0</v>
      </c>
      <c r="K2328" s="61">
        <f t="shared" si="1"/>
        <v>1</v>
      </c>
      <c r="L2328" s="62">
        <f t="shared" si="2"/>
        <v>1</v>
      </c>
    </row>
    <row r="2329">
      <c r="A2329" s="58">
        <v>45962.0</v>
      </c>
      <c r="B2329" s="24" t="s">
        <v>6789</v>
      </c>
      <c r="C2329" s="24" t="s">
        <v>7184</v>
      </c>
      <c r="D2329" s="59">
        <v>2.0</v>
      </c>
      <c r="E2329" s="59">
        <v>2.0</v>
      </c>
      <c r="F2329" s="59">
        <v>2.0</v>
      </c>
      <c r="G2329" s="60">
        <v>1.0</v>
      </c>
      <c r="H2329" s="60">
        <v>0.0</v>
      </c>
      <c r="I2329" s="60">
        <v>276.3285925</v>
      </c>
      <c r="J2329" s="59">
        <v>2.0</v>
      </c>
      <c r="K2329" s="61">
        <f t="shared" si="1"/>
        <v>1</v>
      </c>
      <c r="L2329" s="62">
        <f t="shared" si="2"/>
        <v>1</v>
      </c>
    </row>
    <row r="2330">
      <c r="A2330" s="58">
        <v>45962.0</v>
      </c>
      <c r="B2330" s="24" t="s">
        <v>6787</v>
      </c>
      <c r="C2330" s="24" t="s">
        <v>7170</v>
      </c>
      <c r="D2330" s="59">
        <v>2.0</v>
      </c>
      <c r="E2330" s="59">
        <v>2.0</v>
      </c>
      <c r="F2330" s="59">
        <v>2.0</v>
      </c>
      <c r="G2330" s="60">
        <v>1.0</v>
      </c>
      <c r="H2330" s="60">
        <v>0.5</v>
      </c>
      <c r="I2330" s="60">
        <v>7.9279665</v>
      </c>
      <c r="J2330" s="59">
        <v>2.0</v>
      </c>
      <c r="K2330" s="61">
        <f t="shared" si="1"/>
        <v>1</v>
      </c>
      <c r="L2330" s="62">
        <f t="shared" si="2"/>
        <v>1</v>
      </c>
    </row>
    <row r="2331">
      <c r="A2331" s="58">
        <v>45962.0</v>
      </c>
      <c r="B2331" s="24" t="s">
        <v>6789</v>
      </c>
      <c r="C2331" s="24" t="s">
        <v>6960</v>
      </c>
      <c r="D2331" s="59">
        <v>2.0</v>
      </c>
      <c r="E2331" s="59">
        <v>2.0</v>
      </c>
      <c r="F2331" s="59">
        <v>0.0</v>
      </c>
      <c r="G2331" s="60">
        <v>1.0</v>
      </c>
      <c r="H2331" s="60">
        <v>0.5</v>
      </c>
      <c r="I2331" s="60">
        <v>727.6455055</v>
      </c>
      <c r="J2331" s="59">
        <v>3.0</v>
      </c>
      <c r="K2331" s="61">
        <f t="shared" si="1"/>
        <v>0</v>
      </c>
      <c r="L2331" s="62">
        <f t="shared" si="2"/>
        <v>1.5</v>
      </c>
    </row>
    <row r="2332">
      <c r="A2332" s="58">
        <v>45962.0</v>
      </c>
      <c r="B2332" s="24" t="s">
        <v>6789</v>
      </c>
      <c r="C2332" s="24" t="s">
        <v>6908</v>
      </c>
      <c r="D2332" s="59">
        <v>2.0</v>
      </c>
      <c r="E2332" s="59">
        <v>2.0</v>
      </c>
      <c r="F2332" s="59">
        <v>2.0</v>
      </c>
      <c r="G2332" s="60">
        <v>1.0</v>
      </c>
      <c r="H2332" s="60">
        <v>0.5</v>
      </c>
      <c r="I2332" s="60">
        <v>696.054581</v>
      </c>
      <c r="J2332" s="59">
        <v>3.0</v>
      </c>
      <c r="K2332" s="61">
        <f t="shared" si="1"/>
        <v>1</v>
      </c>
      <c r="L2332" s="62">
        <f t="shared" si="2"/>
        <v>1.5</v>
      </c>
    </row>
    <row r="2333">
      <c r="A2333" s="58">
        <v>45962.0</v>
      </c>
      <c r="B2333" s="24" t="s">
        <v>6789</v>
      </c>
      <c r="C2333" s="24" t="s">
        <v>6850</v>
      </c>
      <c r="D2333" s="59">
        <v>2.0</v>
      </c>
      <c r="E2333" s="59">
        <v>2.0</v>
      </c>
      <c r="F2333" s="59">
        <v>1.0</v>
      </c>
      <c r="G2333" s="60">
        <v>1.0</v>
      </c>
      <c r="H2333" s="60">
        <v>0.0</v>
      </c>
      <c r="I2333" s="60">
        <v>703.6959795</v>
      </c>
      <c r="J2333" s="59">
        <v>3.0</v>
      </c>
      <c r="K2333" s="61">
        <f t="shared" si="1"/>
        <v>0.5</v>
      </c>
      <c r="L2333" s="62">
        <f t="shared" si="2"/>
        <v>1.5</v>
      </c>
    </row>
    <row r="2334">
      <c r="A2334" s="58">
        <v>45962.0</v>
      </c>
      <c r="B2334" s="24" t="s">
        <v>6787</v>
      </c>
      <c r="C2334" s="24" t="s">
        <v>7172</v>
      </c>
      <c r="D2334" s="59">
        <v>2.0</v>
      </c>
      <c r="E2334" s="59">
        <v>2.0</v>
      </c>
      <c r="F2334" s="59">
        <v>2.0</v>
      </c>
      <c r="G2334" s="60">
        <v>1.0</v>
      </c>
      <c r="H2334" s="60">
        <v>0.5</v>
      </c>
      <c r="I2334" s="60">
        <v>5.1440015</v>
      </c>
      <c r="J2334" s="59">
        <v>2.0</v>
      </c>
      <c r="K2334" s="61">
        <f t="shared" si="1"/>
        <v>1</v>
      </c>
      <c r="L2334" s="62">
        <f t="shared" si="2"/>
        <v>1</v>
      </c>
    </row>
    <row r="2335">
      <c r="A2335" s="58">
        <v>45962.0</v>
      </c>
      <c r="B2335" s="24" t="s">
        <v>6789</v>
      </c>
      <c r="C2335" s="24" t="s">
        <v>6909</v>
      </c>
      <c r="D2335" s="59">
        <v>2.0</v>
      </c>
      <c r="E2335" s="59">
        <v>2.0</v>
      </c>
      <c r="F2335" s="59">
        <v>0.0</v>
      </c>
      <c r="G2335" s="60">
        <v>1.0</v>
      </c>
      <c r="H2335" s="60">
        <v>0.0</v>
      </c>
      <c r="I2335" s="60">
        <v>10.9877485</v>
      </c>
      <c r="J2335" s="59">
        <v>4.0</v>
      </c>
      <c r="K2335" s="61">
        <f t="shared" si="1"/>
        <v>0</v>
      </c>
      <c r="L2335" s="62">
        <f t="shared" si="2"/>
        <v>2</v>
      </c>
    </row>
    <row r="2336">
      <c r="A2336" s="58">
        <v>45962.0</v>
      </c>
      <c r="B2336" s="24" t="s">
        <v>155</v>
      </c>
      <c r="C2336" s="24" t="s">
        <v>6910</v>
      </c>
      <c r="D2336" s="59">
        <v>2.0</v>
      </c>
      <c r="E2336" s="59">
        <v>2.0</v>
      </c>
      <c r="F2336" s="59">
        <v>1.0</v>
      </c>
      <c r="G2336" s="60">
        <v>1.0</v>
      </c>
      <c r="H2336" s="60">
        <v>1.0</v>
      </c>
      <c r="I2336" s="60">
        <v>2.3697745</v>
      </c>
      <c r="J2336" s="59">
        <v>2.0</v>
      </c>
      <c r="K2336" s="61">
        <f t="shared" si="1"/>
        <v>0.5</v>
      </c>
      <c r="L2336" s="62">
        <f t="shared" si="2"/>
        <v>1</v>
      </c>
    </row>
    <row r="2337">
      <c r="A2337" s="58">
        <v>45962.0</v>
      </c>
      <c r="B2337" s="24" t="s">
        <v>6789</v>
      </c>
      <c r="C2337" s="24" t="s">
        <v>6912</v>
      </c>
      <c r="D2337" s="59">
        <v>2.0</v>
      </c>
      <c r="E2337" s="59">
        <v>2.0</v>
      </c>
      <c r="F2337" s="59">
        <v>2.0</v>
      </c>
      <c r="G2337" s="60">
        <v>1.0</v>
      </c>
      <c r="H2337" s="60">
        <v>0.5</v>
      </c>
      <c r="I2337" s="60">
        <v>9.10345</v>
      </c>
      <c r="J2337" s="59">
        <v>2.0</v>
      </c>
      <c r="K2337" s="61">
        <f t="shared" si="1"/>
        <v>1</v>
      </c>
      <c r="L2337" s="62">
        <f t="shared" si="2"/>
        <v>1</v>
      </c>
    </row>
    <row r="2338">
      <c r="A2338" s="58">
        <v>45962.0</v>
      </c>
      <c r="B2338" s="24" t="s">
        <v>6787</v>
      </c>
      <c r="C2338" s="24" t="s">
        <v>7174</v>
      </c>
      <c r="D2338" s="59">
        <v>2.0</v>
      </c>
      <c r="E2338" s="59">
        <v>2.0</v>
      </c>
      <c r="F2338" s="59">
        <v>2.0</v>
      </c>
      <c r="G2338" s="60">
        <v>1.0</v>
      </c>
      <c r="H2338" s="60">
        <v>0.0</v>
      </c>
      <c r="I2338" s="60">
        <v>21.8155835</v>
      </c>
      <c r="J2338" s="59">
        <v>2.0</v>
      </c>
      <c r="K2338" s="61">
        <f t="shared" si="1"/>
        <v>1</v>
      </c>
      <c r="L2338" s="62">
        <f t="shared" si="2"/>
        <v>1</v>
      </c>
    </row>
    <row r="2339">
      <c r="A2339" s="58">
        <v>45962.0</v>
      </c>
      <c r="B2339" s="24" t="s">
        <v>6787</v>
      </c>
      <c r="C2339" s="24" t="s">
        <v>7046</v>
      </c>
      <c r="D2339" s="59">
        <v>2.0</v>
      </c>
      <c r="E2339" s="59">
        <v>2.0</v>
      </c>
      <c r="F2339" s="59">
        <v>2.0</v>
      </c>
      <c r="G2339" s="60">
        <v>1.0</v>
      </c>
      <c r="H2339" s="60">
        <v>0.5</v>
      </c>
      <c r="I2339" s="60">
        <v>10.0729595</v>
      </c>
      <c r="J2339" s="59">
        <v>2.0</v>
      </c>
      <c r="K2339" s="61">
        <f t="shared" si="1"/>
        <v>1</v>
      </c>
      <c r="L2339" s="62">
        <f t="shared" si="2"/>
        <v>1</v>
      </c>
    </row>
    <row r="2340">
      <c r="A2340" s="58">
        <v>45962.0</v>
      </c>
      <c r="B2340" s="24" t="s">
        <v>6787</v>
      </c>
      <c r="C2340" s="24" t="s">
        <v>7243</v>
      </c>
      <c r="D2340" s="59">
        <v>2.0</v>
      </c>
      <c r="E2340" s="59">
        <v>2.0</v>
      </c>
      <c r="F2340" s="59">
        <v>2.0</v>
      </c>
      <c r="G2340" s="60">
        <v>1.0</v>
      </c>
      <c r="H2340" s="60">
        <v>0.5</v>
      </c>
      <c r="I2340" s="60">
        <v>6.5661765</v>
      </c>
      <c r="J2340" s="59">
        <v>2.0</v>
      </c>
      <c r="K2340" s="61">
        <f t="shared" si="1"/>
        <v>1</v>
      </c>
      <c r="L2340" s="62">
        <f t="shared" si="2"/>
        <v>1</v>
      </c>
    </row>
    <row r="2341">
      <c r="A2341" s="58">
        <v>45962.0</v>
      </c>
      <c r="B2341" s="24" t="s">
        <v>6787</v>
      </c>
      <c r="C2341" s="24" t="s">
        <v>7244</v>
      </c>
      <c r="D2341" s="59">
        <v>2.0</v>
      </c>
      <c r="E2341" s="59">
        <v>2.0</v>
      </c>
      <c r="F2341" s="59">
        <v>2.0</v>
      </c>
      <c r="G2341" s="60">
        <v>1.0</v>
      </c>
      <c r="H2341" s="60">
        <v>1.0</v>
      </c>
      <c r="I2341" s="60">
        <v>6.1670795</v>
      </c>
      <c r="J2341" s="59">
        <v>2.0</v>
      </c>
      <c r="K2341" s="61">
        <f t="shared" si="1"/>
        <v>1</v>
      </c>
      <c r="L2341" s="62">
        <f t="shared" si="2"/>
        <v>1</v>
      </c>
    </row>
    <row r="2342">
      <c r="A2342" s="58">
        <v>45962.0</v>
      </c>
      <c r="B2342" s="24" t="s">
        <v>6787</v>
      </c>
      <c r="C2342" s="24" t="s">
        <v>7245</v>
      </c>
      <c r="D2342" s="59">
        <v>2.0</v>
      </c>
      <c r="E2342" s="59">
        <v>2.0</v>
      </c>
      <c r="F2342" s="59">
        <v>2.0</v>
      </c>
      <c r="G2342" s="60">
        <v>1.0</v>
      </c>
      <c r="H2342" s="60">
        <v>0.5</v>
      </c>
      <c r="I2342" s="60">
        <v>10.1853815</v>
      </c>
      <c r="J2342" s="59">
        <v>2.0</v>
      </c>
      <c r="K2342" s="61">
        <f t="shared" si="1"/>
        <v>1</v>
      </c>
      <c r="L2342" s="62">
        <f t="shared" si="2"/>
        <v>1</v>
      </c>
    </row>
    <row r="2343">
      <c r="A2343" s="58">
        <v>45962.0</v>
      </c>
      <c r="B2343" s="24" t="s">
        <v>6787</v>
      </c>
      <c r="C2343" s="24" t="s">
        <v>7027</v>
      </c>
      <c r="D2343" s="59">
        <v>2.0</v>
      </c>
      <c r="E2343" s="59">
        <v>2.0</v>
      </c>
      <c r="F2343" s="59">
        <v>2.0</v>
      </c>
      <c r="G2343" s="60">
        <v>1.0</v>
      </c>
      <c r="H2343" s="60">
        <v>0.5</v>
      </c>
      <c r="I2343" s="60">
        <v>11.053353</v>
      </c>
      <c r="J2343" s="59">
        <v>2.0</v>
      </c>
      <c r="K2343" s="61">
        <f t="shared" si="1"/>
        <v>1</v>
      </c>
      <c r="L2343" s="62">
        <f t="shared" si="2"/>
        <v>1</v>
      </c>
    </row>
    <row r="2344">
      <c r="A2344" s="58">
        <v>45962.0</v>
      </c>
      <c r="B2344" s="24" t="s">
        <v>6787</v>
      </c>
      <c r="C2344" s="24" t="s">
        <v>6826</v>
      </c>
      <c r="D2344" s="59">
        <v>2.0</v>
      </c>
      <c r="E2344" s="59">
        <v>2.0</v>
      </c>
      <c r="F2344" s="59">
        <v>2.0</v>
      </c>
      <c r="G2344" s="60">
        <v>1.0</v>
      </c>
      <c r="H2344" s="60">
        <v>0.5</v>
      </c>
      <c r="I2344" s="60">
        <v>14.1113495</v>
      </c>
      <c r="J2344" s="59">
        <v>2.0</v>
      </c>
      <c r="K2344" s="61">
        <f t="shared" si="1"/>
        <v>1</v>
      </c>
      <c r="L2344" s="62">
        <f t="shared" si="2"/>
        <v>1</v>
      </c>
    </row>
    <row r="2345">
      <c r="A2345" s="58">
        <v>45962.0</v>
      </c>
      <c r="B2345" s="24" t="s">
        <v>6789</v>
      </c>
      <c r="C2345" s="24" t="s">
        <v>6917</v>
      </c>
      <c r="D2345" s="59">
        <v>2.0</v>
      </c>
      <c r="E2345" s="59">
        <v>3.0</v>
      </c>
      <c r="F2345" s="59">
        <v>2.0</v>
      </c>
      <c r="G2345" s="60">
        <v>1.5</v>
      </c>
      <c r="H2345" s="60">
        <v>0.666666666666666</v>
      </c>
      <c r="I2345" s="60">
        <v>11.3113313333333</v>
      </c>
      <c r="J2345" s="59">
        <v>3.0</v>
      </c>
      <c r="K2345" s="61">
        <f t="shared" si="1"/>
        <v>0.6666666667</v>
      </c>
      <c r="L2345" s="62">
        <f t="shared" si="2"/>
        <v>1</v>
      </c>
    </row>
    <row r="2346">
      <c r="A2346" s="58">
        <v>45962.0</v>
      </c>
      <c r="B2346" s="24" t="s">
        <v>155</v>
      </c>
      <c r="C2346" s="24" t="s">
        <v>6815</v>
      </c>
      <c r="D2346" s="59">
        <v>2.0</v>
      </c>
      <c r="E2346" s="59">
        <v>2.0</v>
      </c>
      <c r="F2346" s="59">
        <v>2.0</v>
      </c>
      <c r="G2346" s="60">
        <v>1.0</v>
      </c>
      <c r="H2346" s="60">
        <v>0.0</v>
      </c>
      <c r="I2346" s="60">
        <v>29.2254215</v>
      </c>
      <c r="J2346" s="59">
        <v>2.0</v>
      </c>
      <c r="K2346" s="61">
        <f t="shared" si="1"/>
        <v>1</v>
      </c>
      <c r="L2346" s="62">
        <f t="shared" si="2"/>
        <v>1</v>
      </c>
    </row>
    <row r="2347">
      <c r="A2347" s="58">
        <v>45962.0</v>
      </c>
      <c r="B2347" s="24" t="s">
        <v>6787</v>
      </c>
      <c r="C2347" s="24" t="s">
        <v>6920</v>
      </c>
      <c r="D2347" s="59">
        <v>2.0</v>
      </c>
      <c r="E2347" s="59">
        <v>2.0</v>
      </c>
      <c r="F2347" s="59">
        <v>2.0</v>
      </c>
      <c r="G2347" s="60">
        <v>1.0</v>
      </c>
      <c r="H2347" s="60">
        <v>1.0</v>
      </c>
      <c r="I2347" s="60">
        <v>0.0</v>
      </c>
      <c r="J2347" s="59">
        <v>2.0</v>
      </c>
      <c r="K2347" s="61">
        <f t="shared" si="1"/>
        <v>1</v>
      </c>
      <c r="L2347" s="62">
        <f t="shared" si="2"/>
        <v>1</v>
      </c>
    </row>
    <row r="2348">
      <c r="A2348" s="58">
        <v>45962.0</v>
      </c>
      <c r="B2348" s="24" t="s">
        <v>6787</v>
      </c>
      <c r="C2348" s="24" t="s">
        <v>6853</v>
      </c>
      <c r="D2348" s="59">
        <v>2.0</v>
      </c>
      <c r="E2348" s="59">
        <v>2.0</v>
      </c>
      <c r="F2348" s="59">
        <v>2.0</v>
      </c>
      <c r="G2348" s="60">
        <v>1.0</v>
      </c>
      <c r="H2348" s="60">
        <v>0.5</v>
      </c>
      <c r="I2348" s="60">
        <v>14.116601</v>
      </c>
      <c r="J2348" s="59">
        <v>2.0</v>
      </c>
      <c r="K2348" s="61">
        <f t="shared" si="1"/>
        <v>1</v>
      </c>
      <c r="L2348" s="62">
        <f t="shared" si="2"/>
        <v>1</v>
      </c>
    </row>
    <row r="2349">
      <c r="A2349" s="58">
        <v>45962.0</v>
      </c>
      <c r="B2349" s="24" t="s">
        <v>6787</v>
      </c>
      <c r="C2349" s="24" t="s">
        <v>6816</v>
      </c>
      <c r="D2349" s="59">
        <v>2.0</v>
      </c>
      <c r="E2349" s="59">
        <v>2.0</v>
      </c>
      <c r="F2349" s="59">
        <v>2.0</v>
      </c>
      <c r="G2349" s="60">
        <v>1.0</v>
      </c>
      <c r="H2349" s="60">
        <v>0.5</v>
      </c>
      <c r="I2349" s="60">
        <v>14.0269475</v>
      </c>
      <c r="J2349" s="59">
        <v>2.0</v>
      </c>
      <c r="K2349" s="61">
        <f t="shared" si="1"/>
        <v>1</v>
      </c>
      <c r="L2349" s="62">
        <f t="shared" si="2"/>
        <v>1</v>
      </c>
    </row>
    <row r="2350">
      <c r="A2350" s="58">
        <v>45962.0</v>
      </c>
      <c r="B2350" s="24" t="s">
        <v>155</v>
      </c>
      <c r="C2350" s="24" t="s">
        <v>6922</v>
      </c>
      <c r="D2350" s="59">
        <v>2.0</v>
      </c>
      <c r="E2350" s="59">
        <v>2.0</v>
      </c>
      <c r="F2350" s="59">
        <v>1.0</v>
      </c>
      <c r="G2350" s="60">
        <v>1.0</v>
      </c>
      <c r="H2350" s="60">
        <v>0.0</v>
      </c>
      <c r="I2350" s="60">
        <v>43.4379255</v>
      </c>
      <c r="J2350" s="59">
        <v>3.0</v>
      </c>
      <c r="K2350" s="61">
        <f t="shared" si="1"/>
        <v>0.5</v>
      </c>
      <c r="L2350" s="62">
        <f t="shared" si="2"/>
        <v>1.5</v>
      </c>
    </row>
    <row r="2351">
      <c r="A2351" s="58">
        <v>45962.0</v>
      </c>
      <c r="B2351" s="24" t="s">
        <v>6787</v>
      </c>
      <c r="C2351" s="24" t="s">
        <v>7246</v>
      </c>
      <c r="D2351" s="59">
        <v>2.0</v>
      </c>
      <c r="E2351" s="59">
        <v>2.0</v>
      </c>
      <c r="F2351" s="59">
        <v>1.0</v>
      </c>
      <c r="G2351" s="60">
        <v>1.0</v>
      </c>
      <c r="H2351" s="60">
        <v>0.0</v>
      </c>
      <c r="I2351" s="60">
        <v>17.6124325</v>
      </c>
      <c r="J2351" s="59">
        <v>4.0</v>
      </c>
      <c r="K2351" s="61">
        <f t="shared" si="1"/>
        <v>0.5</v>
      </c>
      <c r="L2351" s="62">
        <f t="shared" si="2"/>
        <v>2</v>
      </c>
    </row>
    <row r="2352">
      <c r="A2352" s="58">
        <v>45962.0</v>
      </c>
      <c r="B2352" s="24" t="s">
        <v>6789</v>
      </c>
      <c r="C2352" s="24" t="s">
        <v>6810</v>
      </c>
      <c r="D2352" s="59">
        <v>2.0</v>
      </c>
      <c r="E2352" s="59">
        <v>2.0</v>
      </c>
      <c r="F2352" s="59">
        <v>0.0</v>
      </c>
      <c r="G2352" s="60">
        <v>2.0</v>
      </c>
      <c r="H2352" s="60">
        <v>0.5</v>
      </c>
      <c r="I2352" s="60">
        <v>43.9812245</v>
      </c>
      <c r="J2352" s="59">
        <v>2.0</v>
      </c>
      <c r="K2352" s="61">
        <f t="shared" si="1"/>
        <v>0</v>
      </c>
      <c r="L2352" s="62">
        <f t="shared" si="2"/>
        <v>1</v>
      </c>
    </row>
    <row r="2353">
      <c r="A2353" s="58">
        <v>45962.0</v>
      </c>
      <c r="B2353" s="24" t="s">
        <v>155</v>
      </c>
      <c r="C2353" s="24" t="s">
        <v>6810</v>
      </c>
      <c r="D2353" s="59">
        <v>2.0</v>
      </c>
      <c r="E2353" s="59">
        <v>2.0</v>
      </c>
      <c r="F2353" s="59">
        <v>2.0</v>
      </c>
      <c r="G2353" s="60">
        <v>1.0</v>
      </c>
      <c r="H2353" s="60">
        <v>0.5</v>
      </c>
      <c r="I2353" s="60">
        <v>89.8582585</v>
      </c>
      <c r="J2353" s="59">
        <v>2.0</v>
      </c>
      <c r="K2353" s="61">
        <f t="shared" si="1"/>
        <v>1</v>
      </c>
      <c r="L2353" s="62">
        <f t="shared" si="2"/>
        <v>1</v>
      </c>
    </row>
    <row r="2354">
      <c r="A2354" s="58">
        <v>45962.0</v>
      </c>
      <c r="B2354" s="24" t="s">
        <v>155</v>
      </c>
      <c r="C2354" s="24" t="s">
        <v>7235</v>
      </c>
      <c r="D2354" s="59">
        <v>2.0</v>
      </c>
      <c r="E2354" s="59">
        <v>2.0</v>
      </c>
      <c r="F2354" s="59">
        <v>0.0</v>
      </c>
      <c r="G2354" s="60">
        <v>1.0</v>
      </c>
      <c r="H2354" s="60">
        <v>0.0</v>
      </c>
      <c r="I2354" s="60">
        <v>53.110914</v>
      </c>
      <c r="J2354" s="59">
        <v>2.0</v>
      </c>
      <c r="K2354" s="61">
        <f t="shared" si="1"/>
        <v>0</v>
      </c>
      <c r="L2354" s="62">
        <f t="shared" si="2"/>
        <v>1</v>
      </c>
    </row>
    <row r="2355">
      <c r="A2355" s="58">
        <v>45962.0</v>
      </c>
      <c r="B2355" s="24" t="s">
        <v>6787</v>
      </c>
      <c r="C2355" s="24" t="s">
        <v>7183</v>
      </c>
      <c r="D2355" s="59">
        <v>2.0</v>
      </c>
      <c r="E2355" s="59">
        <v>2.0</v>
      </c>
      <c r="F2355" s="59">
        <v>2.0</v>
      </c>
      <c r="G2355" s="60">
        <v>1.0</v>
      </c>
      <c r="H2355" s="60">
        <v>0.5</v>
      </c>
      <c r="I2355" s="60">
        <v>10.5389575</v>
      </c>
      <c r="J2355" s="59">
        <v>2.0</v>
      </c>
      <c r="K2355" s="61">
        <f t="shared" si="1"/>
        <v>1</v>
      </c>
      <c r="L2355" s="62">
        <f t="shared" si="2"/>
        <v>1</v>
      </c>
    </row>
    <row r="2356">
      <c r="A2356" s="58">
        <v>45962.0</v>
      </c>
      <c r="B2356" s="24" t="s">
        <v>6794</v>
      </c>
      <c r="C2356" s="24" t="s">
        <v>6802</v>
      </c>
      <c r="D2356" s="59">
        <v>2.0</v>
      </c>
      <c r="E2356" s="59">
        <v>2.0</v>
      </c>
      <c r="F2356" s="59">
        <v>0.0</v>
      </c>
      <c r="G2356" s="60">
        <v>2.0</v>
      </c>
      <c r="H2356" s="60">
        <v>0.5</v>
      </c>
      <c r="I2356" s="60">
        <v>149.869737</v>
      </c>
      <c r="J2356" s="59">
        <v>5.0</v>
      </c>
      <c r="K2356" s="61">
        <f t="shared" si="1"/>
        <v>0</v>
      </c>
      <c r="L2356" s="62">
        <f t="shared" si="2"/>
        <v>2.5</v>
      </c>
    </row>
    <row r="2357">
      <c r="A2357" s="58">
        <v>45962.0</v>
      </c>
      <c r="B2357" s="24" t="s">
        <v>3216</v>
      </c>
      <c r="C2357" s="24" t="s">
        <v>6792</v>
      </c>
      <c r="D2357" s="59">
        <v>1.0</v>
      </c>
      <c r="E2357" s="59">
        <v>1.0</v>
      </c>
      <c r="F2357" s="59">
        <v>0.0</v>
      </c>
      <c r="G2357" s="60">
        <v>1.0</v>
      </c>
      <c r="H2357" s="60">
        <v>1.0</v>
      </c>
      <c r="I2357" s="60">
        <v>0.0</v>
      </c>
      <c r="J2357" s="59">
        <v>0.0</v>
      </c>
      <c r="K2357" s="61">
        <f t="shared" si="1"/>
        <v>0</v>
      </c>
      <c r="L2357" s="62">
        <f t="shared" si="2"/>
        <v>0</v>
      </c>
    </row>
    <row r="2358">
      <c r="A2358" s="58">
        <v>45962.0</v>
      </c>
      <c r="B2358" s="24" t="s">
        <v>6787</v>
      </c>
      <c r="C2358" s="24" t="s">
        <v>7247</v>
      </c>
      <c r="D2358" s="59">
        <v>1.0</v>
      </c>
      <c r="E2358" s="59">
        <v>1.0</v>
      </c>
      <c r="F2358" s="59">
        <v>1.0</v>
      </c>
      <c r="G2358" s="60">
        <v>1.0</v>
      </c>
      <c r="H2358" s="60">
        <v>1.0</v>
      </c>
      <c r="I2358" s="60">
        <v>0.0</v>
      </c>
      <c r="J2358" s="59">
        <v>1.0</v>
      </c>
      <c r="K2358" s="61">
        <f t="shared" si="1"/>
        <v>1</v>
      </c>
      <c r="L2358" s="62">
        <f t="shared" si="2"/>
        <v>1</v>
      </c>
    </row>
    <row r="2359">
      <c r="A2359" s="58">
        <v>45962.0</v>
      </c>
      <c r="B2359" s="24" t="s">
        <v>6787</v>
      </c>
      <c r="C2359" s="24" t="s">
        <v>7248</v>
      </c>
      <c r="D2359" s="59">
        <v>1.0</v>
      </c>
      <c r="E2359" s="59">
        <v>1.0</v>
      </c>
      <c r="F2359" s="59">
        <v>1.0</v>
      </c>
      <c r="G2359" s="60">
        <v>1.0</v>
      </c>
      <c r="H2359" s="60">
        <v>1.0</v>
      </c>
      <c r="I2359" s="60">
        <v>0.0</v>
      </c>
      <c r="J2359" s="59">
        <v>1.0</v>
      </c>
      <c r="K2359" s="61">
        <f t="shared" si="1"/>
        <v>1</v>
      </c>
      <c r="L2359" s="62">
        <f t="shared" si="2"/>
        <v>1</v>
      </c>
    </row>
    <row r="2360">
      <c r="A2360" s="58">
        <v>45962.0</v>
      </c>
      <c r="B2360" s="24" t="s">
        <v>6787</v>
      </c>
      <c r="C2360" s="24" t="s">
        <v>7249</v>
      </c>
      <c r="D2360" s="59">
        <v>1.0</v>
      </c>
      <c r="E2360" s="59">
        <v>1.0</v>
      </c>
      <c r="F2360" s="59">
        <v>1.0</v>
      </c>
      <c r="G2360" s="60">
        <v>1.0</v>
      </c>
      <c r="H2360" s="60">
        <v>1.0</v>
      </c>
      <c r="I2360" s="60">
        <v>0.0</v>
      </c>
      <c r="J2360" s="59">
        <v>1.0</v>
      </c>
      <c r="K2360" s="61">
        <f t="shared" si="1"/>
        <v>1</v>
      </c>
      <c r="L2360" s="62">
        <f t="shared" si="2"/>
        <v>1</v>
      </c>
    </row>
    <row r="2361">
      <c r="A2361" s="58">
        <v>45962.0</v>
      </c>
      <c r="B2361" s="24" t="s">
        <v>6787</v>
      </c>
      <c r="C2361" s="24" t="s">
        <v>7250</v>
      </c>
      <c r="D2361" s="59">
        <v>1.0</v>
      </c>
      <c r="E2361" s="59">
        <v>1.0</v>
      </c>
      <c r="F2361" s="59">
        <v>1.0</v>
      </c>
      <c r="G2361" s="60">
        <v>1.0</v>
      </c>
      <c r="H2361" s="60">
        <v>1.0</v>
      </c>
      <c r="I2361" s="60">
        <v>0.0</v>
      </c>
      <c r="J2361" s="59">
        <v>1.0</v>
      </c>
      <c r="K2361" s="61">
        <f t="shared" si="1"/>
        <v>1</v>
      </c>
      <c r="L2361" s="62">
        <f t="shared" si="2"/>
        <v>1</v>
      </c>
    </row>
    <row r="2362">
      <c r="A2362" s="58">
        <v>45962.0</v>
      </c>
      <c r="B2362" s="24" t="s">
        <v>6787</v>
      </c>
      <c r="C2362" s="24" t="s">
        <v>6980</v>
      </c>
      <c r="D2362" s="59">
        <v>1.0</v>
      </c>
      <c r="E2362" s="59">
        <v>1.0</v>
      </c>
      <c r="F2362" s="59">
        <v>1.0</v>
      </c>
      <c r="G2362" s="60">
        <v>1.0</v>
      </c>
      <c r="H2362" s="60">
        <v>1.0</v>
      </c>
      <c r="I2362" s="60">
        <v>4.745998</v>
      </c>
      <c r="J2362" s="59">
        <v>1.0</v>
      </c>
      <c r="K2362" s="61">
        <f t="shared" si="1"/>
        <v>1</v>
      </c>
      <c r="L2362" s="62">
        <f t="shared" si="2"/>
        <v>1</v>
      </c>
    </row>
    <row r="2363">
      <c r="A2363" s="58">
        <v>45962.0</v>
      </c>
      <c r="B2363" s="24" t="s">
        <v>6787</v>
      </c>
      <c r="C2363" s="24" t="s">
        <v>7146</v>
      </c>
      <c r="D2363" s="59">
        <v>1.0</v>
      </c>
      <c r="E2363" s="59">
        <v>1.0</v>
      </c>
      <c r="F2363" s="59">
        <v>1.0</v>
      </c>
      <c r="G2363" s="60">
        <v>1.0</v>
      </c>
      <c r="H2363" s="60">
        <v>1.0</v>
      </c>
      <c r="I2363" s="60">
        <v>3.978869</v>
      </c>
      <c r="J2363" s="59">
        <v>1.0</v>
      </c>
      <c r="K2363" s="61">
        <f t="shared" si="1"/>
        <v>1</v>
      </c>
      <c r="L2363" s="62">
        <f t="shared" si="2"/>
        <v>1</v>
      </c>
    </row>
    <row r="2364">
      <c r="A2364" s="58">
        <v>45962.0</v>
      </c>
      <c r="B2364" s="24" t="s">
        <v>6789</v>
      </c>
      <c r="C2364" s="24" t="s">
        <v>7251</v>
      </c>
      <c r="D2364" s="59">
        <v>1.0</v>
      </c>
      <c r="E2364" s="59">
        <v>2.0</v>
      </c>
      <c r="F2364" s="59">
        <v>0.0</v>
      </c>
      <c r="G2364" s="60">
        <v>2.0</v>
      </c>
      <c r="H2364" s="60">
        <v>1.0</v>
      </c>
      <c r="I2364" s="60">
        <v>0.0</v>
      </c>
      <c r="J2364" s="59">
        <v>2.0</v>
      </c>
      <c r="K2364" s="61">
        <f t="shared" si="1"/>
        <v>0</v>
      </c>
      <c r="L2364" s="62">
        <f t="shared" si="2"/>
        <v>1</v>
      </c>
    </row>
    <row r="2365">
      <c r="A2365" s="58">
        <v>45962.0</v>
      </c>
      <c r="B2365" s="24" t="s">
        <v>155</v>
      </c>
      <c r="C2365" s="24" t="s">
        <v>7251</v>
      </c>
      <c r="D2365" s="59">
        <v>1.0</v>
      </c>
      <c r="E2365" s="59">
        <v>1.0</v>
      </c>
      <c r="F2365" s="59">
        <v>0.0</v>
      </c>
      <c r="G2365" s="60">
        <v>1.0</v>
      </c>
      <c r="H2365" s="60">
        <v>0.0</v>
      </c>
      <c r="I2365" s="60">
        <v>1115.034801</v>
      </c>
      <c r="J2365" s="59">
        <v>6.0</v>
      </c>
      <c r="K2365" s="61">
        <f t="shared" si="1"/>
        <v>0</v>
      </c>
      <c r="L2365" s="62">
        <f t="shared" si="2"/>
        <v>6</v>
      </c>
    </row>
    <row r="2366">
      <c r="A2366" s="58">
        <v>45962.0</v>
      </c>
      <c r="B2366" s="24" t="s">
        <v>6787</v>
      </c>
      <c r="C2366" s="24" t="s">
        <v>7149</v>
      </c>
      <c r="D2366" s="59">
        <v>1.0</v>
      </c>
      <c r="E2366" s="59">
        <v>1.0</v>
      </c>
      <c r="F2366" s="59">
        <v>0.0</v>
      </c>
      <c r="G2366" s="60">
        <v>1.0</v>
      </c>
      <c r="H2366" s="60">
        <v>1.0</v>
      </c>
      <c r="I2366" s="60">
        <v>5.032338</v>
      </c>
      <c r="J2366" s="59">
        <v>1.0</v>
      </c>
      <c r="K2366" s="61">
        <f t="shared" si="1"/>
        <v>0</v>
      </c>
      <c r="L2366" s="62">
        <f t="shared" si="2"/>
        <v>1</v>
      </c>
    </row>
    <row r="2367">
      <c r="A2367" s="58">
        <v>45962.0</v>
      </c>
      <c r="B2367" s="24" t="s">
        <v>6789</v>
      </c>
      <c r="C2367" s="24" t="s">
        <v>7149</v>
      </c>
      <c r="D2367" s="59">
        <v>1.0</v>
      </c>
      <c r="E2367" s="59">
        <v>4.0</v>
      </c>
      <c r="F2367" s="59">
        <v>0.0</v>
      </c>
      <c r="G2367" s="60">
        <v>4.0</v>
      </c>
      <c r="H2367" s="60">
        <v>0.5</v>
      </c>
      <c r="I2367" s="60">
        <v>1497.4075075</v>
      </c>
      <c r="J2367" s="59">
        <v>77.0</v>
      </c>
      <c r="K2367" s="61">
        <f t="shared" si="1"/>
        <v>0</v>
      </c>
      <c r="L2367" s="62">
        <f t="shared" si="2"/>
        <v>19.25</v>
      </c>
    </row>
    <row r="2368">
      <c r="A2368" s="58">
        <v>45962.0</v>
      </c>
      <c r="B2368" s="24" t="s">
        <v>155</v>
      </c>
      <c r="C2368" s="24" t="s">
        <v>7149</v>
      </c>
      <c r="D2368" s="59">
        <v>1.0</v>
      </c>
      <c r="E2368" s="59">
        <v>1.0</v>
      </c>
      <c r="F2368" s="59">
        <v>0.0</v>
      </c>
      <c r="G2368" s="60">
        <v>1.0</v>
      </c>
      <c r="H2368" s="60">
        <v>0.0</v>
      </c>
      <c r="I2368" s="60">
        <v>50.16933</v>
      </c>
      <c r="J2368" s="59">
        <v>2.0</v>
      </c>
      <c r="K2368" s="61">
        <f t="shared" si="1"/>
        <v>0</v>
      </c>
      <c r="L2368" s="62">
        <f t="shared" si="2"/>
        <v>2</v>
      </c>
    </row>
    <row r="2369">
      <c r="A2369" s="58">
        <v>45962.0</v>
      </c>
      <c r="B2369" s="24" t="s">
        <v>6790</v>
      </c>
      <c r="C2369" s="24" t="s">
        <v>7149</v>
      </c>
      <c r="D2369" s="59">
        <v>1.0</v>
      </c>
      <c r="E2369" s="59">
        <v>1.0</v>
      </c>
      <c r="F2369" s="59">
        <v>1.0</v>
      </c>
      <c r="G2369" s="60">
        <v>1.0</v>
      </c>
      <c r="H2369" s="60">
        <v>1.0</v>
      </c>
      <c r="I2369" s="60">
        <v>0.0</v>
      </c>
      <c r="J2369" s="59">
        <v>1.0</v>
      </c>
      <c r="K2369" s="61">
        <f t="shared" si="1"/>
        <v>1</v>
      </c>
      <c r="L2369" s="62">
        <f t="shared" si="2"/>
        <v>1</v>
      </c>
    </row>
    <row r="2370">
      <c r="A2370" s="58">
        <v>45962.0</v>
      </c>
      <c r="B2370" s="24" t="s">
        <v>6789</v>
      </c>
      <c r="C2370" s="24" t="s">
        <v>7194</v>
      </c>
      <c r="D2370" s="59">
        <v>1.0</v>
      </c>
      <c r="E2370" s="59">
        <v>1.0</v>
      </c>
      <c r="F2370" s="59">
        <v>0.0</v>
      </c>
      <c r="G2370" s="60">
        <v>1.0</v>
      </c>
      <c r="H2370" s="60">
        <v>0.0</v>
      </c>
      <c r="I2370" s="60">
        <v>23.164106</v>
      </c>
      <c r="J2370" s="59">
        <v>1.0</v>
      </c>
      <c r="K2370" s="61">
        <f t="shared" si="1"/>
        <v>0</v>
      </c>
      <c r="L2370" s="62">
        <f t="shared" si="2"/>
        <v>1</v>
      </c>
    </row>
    <row r="2371">
      <c r="A2371" s="58">
        <v>45962.0</v>
      </c>
      <c r="B2371" s="24" t="s">
        <v>6794</v>
      </c>
      <c r="C2371" s="24" t="s">
        <v>6817</v>
      </c>
      <c r="D2371" s="59">
        <v>1.0</v>
      </c>
      <c r="E2371" s="59">
        <v>1.0</v>
      </c>
      <c r="F2371" s="59">
        <v>0.0</v>
      </c>
      <c r="G2371" s="60">
        <v>1.0</v>
      </c>
      <c r="H2371" s="60">
        <v>1.0</v>
      </c>
      <c r="I2371" s="60">
        <v>5.36098</v>
      </c>
      <c r="J2371" s="59">
        <v>1.0</v>
      </c>
      <c r="K2371" s="61">
        <f t="shared" si="1"/>
        <v>0</v>
      </c>
      <c r="L2371" s="62">
        <f t="shared" si="2"/>
        <v>1</v>
      </c>
    </row>
    <row r="2372">
      <c r="A2372" s="58">
        <v>45962.0</v>
      </c>
      <c r="B2372" s="24" t="s">
        <v>6789</v>
      </c>
      <c r="C2372" s="24" t="s">
        <v>6953</v>
      </c>
      <c r="D2372" s="59">
        <v>1.0</v>
      </c>
      <c r="E2372" s="59">
        <v>1.0</v>
      </c>
      <c r="F2372" s="59">
        <v>1.0</v>
      </c>
      <c r="G2372" s="60">
        <v>1.0</v>
      </c>
      <c r="H2372" s="60">
        <v>0.0</v>
      </c>
      <c r="I2372" s="60">
        <v>66.09449</v>
      </c>
      <c r="J2372" s="59">
        <v>2.0</v>
      </c>
      <c r="K2372" s="61">
        <f t="shared" si="1"/>
        <v>1</v>
      </c>
      <c r="L2372" s="62">
        <f t="shared" si="2"/>
        <v>2</v>
      </c>
    </row>
    <row r="2373">
      <c r="A2373" s="58">
        <v>45962.0</v>
      </c>
      <c r="B2373" s="24" t="s">
        <v>6787</v>
      </c>
      <c r="C2373" s="24" t="s">
        <v>7056</v>
      </c>
      <c r="D2373" s="59">
        <v>1.0</v>
      </c>
      <c r="E2373" s="59">
        <v>1.0</v>
      </c>
      <c r="F2373" s="59">
        <v>1.0</v>
      </c>
      <c r="G2373" s="60">
        <v>1.0</v>
      </c>
      <c r="H2373" s="60">
        <v>1.0</v>
      </c>
      <c r="I2373" s="60">
        <v>0.0</v>
      </c>
      <c r="J2373" s="59">
        <v>1.0</v>
      </c>
      <c r="K2373" s="61">
        <f t="shared" si="1"/>
        <v>1</v>
      </c>
      <c r="L2373" s="62">
        <f t="shared" si="2"/>
        <v>1</v>
      </c>
    </row>
    <row r="2374">
      <c r="A2374" s="58">
        <v>45962.0</v>
      </c>
      <c r="B2374" s="24" t="s">
        <v>6789</v>
      </c>
      <c r="C2374" s="24" t="s">
        <v>6984</v>
      </c>
      <c r="D2374" s="59">
        <v>1.0</v>
      </c>
      <c r="E2374" s="59">
        <v>1.0</v>
      </c>
      <c r="F2374" s="59">
        <v>0.0</v>
      </c>
      <c r="G2374" s="60">
        <v>1.0</v>
      </c>
      <c r="H2374" s="60">
        <v>0.0</v>
      </c>
      <c r="I2374" s="60">
        <v>2057.013726</v>
      </c>
      <c r="J2374" s="59">
        <v>8.0</v>
      </c>
      <c r="K2374" s="61">
        <f t="shared" si="1"/>
        <v>0</v>
      </c>
      <c r="L2374" s="62">
        <f t="shared" si="2"/>
        <v>8</v>
      </c>
    </row>
    <row r="2375">
      <c r="A2375" s="58">
        <v>45962.0</v>
      </c>
      <c r="B2375" s="24" t="s">
        <v>6787</v>
      </c>
      <c r="C2375" s="24" t="s">
        <v>6943</v>
      </c>
      <c r="D2375" s="59">
        <v>1.0</v>
      </c>
      <c r="E2375" s="59">
        <v>1.0</v>
      </c>
      <c r="F2375" s="59">
        <v>1.0</v>
      </c>
      <c r="G2375" s="60">
        <v>1.0</v>
      </c>
      <c r="H2375" s="60">
        <v>1.0</v>
      </c>
      <c r="I2375" s="60">
        <v>0.0</v>
      </c>
      <c r="J2375" s="59">
        <v>1.0</v>
      </c>
      <c r="K2375" s="61">
        <f t="shared" si="1"/>
        <v>1</v>
      </c>
      <c r="L2375" s="62">
        <f t="shared" si="2"/>
        <v>1</v>
      </c>
    </row>
    <row r="2376">
      <c r="A2376" s="58">
        <v>45962.0</v>
      </c>
      <c r="B2376" s="24" t="s">
        <v>155</v>
      </c>
      <c r="C2376" s="24" t="s">
        <v>6804</v>
      </c>
      <c r="D2376" s="59">
        <v>1.0</v>
      </c>
      <c r="E2376" s="59">
        <v>1.0</v>
      </c>
      <c r="F2376" s="59">
        <v>1.0</v>
      </c>
      <c r="G2376" s="60">
        <v>1.0</v>
      </c>
      <c r="H2376" s="60">
        <v>1.0</v>
      </c>
      <c r="I2376" s="60">
        <v>4.971958</v>
      </c>
      <c r="J2376" s="59">
        <v>1.0</v>
      </c>
      <c r="K2376" s="61">
        <f t="shared" si="1"/>
        <v>1</v>
      </c>
      <c r="L2376" s="62">
        <f t="shared" si="2"/>
        <v>1</v>
      </c>
    </row>
    <row r="2377">
      <c r="A2377" s="58">
        <v>45962.0</v>
      </c>
      <c r="B2377" s="24" t="s">
        <v>6787</v>
      </c>
      <c r="C2377" s="24" t="s">
        <v>7252</v>
      </c>
      <c r="D2377" s="59">
        <v>1.0</v>
      </c>
      <c r="E2377" s="59">
        <v>1.0</v>
      </c>
      <c r="F2377" s="59">
        <v>1.0</v>
      </c>
      <c r="G2377" s="60">
        <v>1.0</v>
      </c>
      <c r="H2377" s="60">
        <v>1.0</v>
      </c>
      <c r="I2377" s="60">
        <v>4.119409</v>
      </c>
      <c r="J2377" s="59">
        <v>1.0</v>
      </c>
      <c r="K2377" s="61">
        <f t="shared" si="1"/>
        <v>1</v>
      </c>
      <c r="L2377" s="62">
        <f t="shared" si="2"/>
        <v>1</v>
      </c>
    </row>
    <row r="2378">
      <c r="A2378" s="58">
        <v>45962.0</v>
      </c>
      <c r="B2378" s="24" t="s">
        <v>6790</v>
      </c>
      <c r="C2378" s="24" t="s">
        <v>6829</v>
      </c>
      <c r="D2378" s="59">
        <v>1.0</v>
      </c>
      <c r="E2378" s="59">
        <v>1.0</v>
      </c>
      <c r="F2378" s="59">
        <v>1.0</v>
      </c>
      <c r="G2378" s="60">
        <v>1.0</v>
      </c>
      <c r="H2378" s="60">
        <v>0.0</v>
      </c>
      <c r="I2378" s="60">
        <v>76.427347</v>
      </c>
      <c r="J2378" s="59">
        <v>1.0</v>
      </c>
      <c r="K2378" s="61">
        <f t="shared" si="1"/>
        <v>1</v>
      </c>
      <c r="L2378" s="62">
        <f t="shared" si="2"/>
        <v>1</v>
      </c>
    </row>
    <row r="2379">
      <c r="A2379" s="58">
        <v>45962.0</v>
      </c>
      <c r="B2379" s="24" t="s">
        <v>6787</v>
      </c>
      <c r="C2379" s="24" t="s">
        <v>6956</v>
      </c>
      <c r="D2379" s="59">
        <v>1.0</v>
      </c>
      <c r="E2379" s="59">
        <v>1.0</v>
      </c>
      <c r="F2379" s="59">
        <v>1.0</v>
      </c>
      <c r="G2379" s="60">
        <v>1.0</v>
      </c>
      <c r="H2379" s="60">
        <v>1.0</v>
      </c>
      <c r="I2379" s="60">
        <v>0.0</v>
      </c>
      <c r="J2379" s="59">
        <v>1.0</v>
      </c>
      <c r="K2379" s="61">
        <f t="shared" si="1"/>
        <v>1</v>
      </c>
      <c r="L2379" s="62">
        <f t="shared" si="2"/>
        <v>1</v>
      </c>
    </row>
    <row r="2380">
      <c r="A2380" s="58">
        <v>45962.0</v>
      </c>
      <c r="B2380" s="24" t="s">
        <v>155</v>
      </c>
      <c r="C2380" s="24" t="s">
        <v>7058</v>
      </c>
      <c r="D2380" s="59">
        <v>1.0</v>
      </c>
      <c r="E2380" s="59">
        <v>1.0</v>
      </c>
      <c r="F2380" s="59">
        <v>1.0</v>
      </c>
      <c r="G2380" s="60">
        <v>1.0</v>
      </c>
      <c r="H2380" s="60">
        <v>1.0</v>
      </c>
      <c r="I2380" s="60">
        <v>0.0</v>
      </c>
      <c r="J2380" s="59">
        <v>1.0</v>
      </c>
      <c r="K2380" s="61">
        <f t="shared" si="1"/>
        <v>1</v>
      </c>
      <c r="L2380" s="62">
        <f t="shared" si="2"/>
        <v>1</v>
      </c>
    </row>
    <row r="2381">
      <c r="A2381" s="58">
        <v>45962.0</v>
      </c>
      <c r="B2381" s="24" t="s">
        <v>6787</v>
      </c>
      <c r="C2381" s="24" t="s">
        <v>7253</v>
      </c>
      <c r="D2381" s="59">
        <v>1.0</v>
      </c>
      <c r="E2381" s="59">
        <v>1.0</v>
      </c>
      <c r="F2381" s="59">
        <v>1.0</v>
      </c>
      <c r="G2381" s="60">
        <v>1.0</v>
      </c>
      <c r="H2381" s="60">
        <v>1.0</v>
      </c>
      <c r="I2381" s="60">
        <v>3.924443</v>
      </c>
      <c r="J2381" s="59">
        <v>1.0</v>
      </c>
      <c r="K2381" s="61">
        <f t="shared" si="1"/>
        <v>1</v>
      </c>
      <c r="L2381" s="62">
        <f t="shared" si="2"/>
        <v>1</v>
      </c>
    </row>
    <row r="2382">
      <c r="A2382" s="58">
        <v>45962.0</v>
      </c>
      <c r="B2382" s="24" t="s">
        <v>6787</v>
      </c>
      <c r="C2382" s="24" t="s">
        <v>6861</v>
      </c>
      <c r="D2382" s="59">
        <v>1.0</v>
      </c>
      <c r="E2382" s="59">
        <v>1.0</v>
      </c>
      <c r="F2382" s="59">
        <v>1.0</v>
      </c>
      <c r="G2382" s="60">
        <v>1.0</v>
      </c>
      <c r="H2382" s="60">
        <v>0.0</v>
      </c>
      <c r="I2382" s="60">
        <v>27.279509</v>
      </c>
      <c r="J2382" s="59">
        <v>1.0</v>
      </c>
      <c r="K2382" s="61">
        <f t="shared" si="1"/>
        <v>1</v>
      </c>
      <c r="L2382" s="62">
        <f t="shared" si="2"/>
        <v>1</v>
      </c>
    </row>
    <row r="2383">
      <c r="A2383" s="58">
        <v>45962.0</v>
      </c>
      <c r="B2383" s="24" t="s">
        <v>6791</v>
      </c>
      <c r="C2383" s="24" t="s">
        <v>6830</v>
      </c>
      <c r="D2383" s="59">
        <v>1.0</v>
      </c>
      <c r="E2383" s="59">
        <v>1.0</v>
      </c>
      <c r="F2383" s="59">
        <v>0.0</v>
      </c>
      <c r="G2383" s="60">
        <v>1.0</v>
      </c>
      <c r="H2383" s="60">
        <v>1.0</v>
      </c>
      <c r="I2383" s="60">
        <v>5.118013</v>
      </c>
      <c r="J2383" s="59">
        <v>1.0</v>
      </c>
      <c r="K2383" s="61">
        <f t="shared" si="1"/>
        <v>0</v>
      </c>
      <c r="L2383" s="62">
        <f t="shared" si="2"/>
        <v>1</v>
      </c>
    </row>
    <row r="2384">
      <c r="A2384" s="58">
        <v>45962.0</v>
      </c>
      <c r="B2384" s="24" t="s">
        <v>155</v>
      </c>
      <c r="C2384" s="24" t="s">
        <v>6935</v>
      </c>
      <c r="D2384" s="59">
        <v>1.0</v>
      </c>
      <c r="E2384" s="59">
        <v>1.0</v>
      </c>
      <c r="F2384" s="59">
        <v>0.0</v>
      </c>
      <c r="G2384" s="60">
        <v>1.0</v>
      </c>
      <c r="H2384" s="60">
        <v>1.0</v>
      </c>
      <c r="I2384" s="60">
        <v>3.034308</v>
      </c>
      <c r="J2384" s="59">
        <v>1.0</v>
      </c>
      <c r="K2384" s="61">
        <f t="shared" si="1"/>
        <v>0</v>
      </c>
      <c r="L2384" s="62">
        <f t="shared" si="2"/>
        <v>1</v>
      </c>
    </row>
    <row r="2385">
      <c r="A2385" s="58">
        <v>45962.0</v>
      </c>
      <c r="B2385" s="24" t="s">
        <v>6789</v>
      </c>
      <c r="C2385" s="24" t="s">
        <v>6864</v>
      </c>
      <c r="D2385" s="59">
        <v>1.0</v>
      </c>
      <c r="E2385" s="59">
        <v>4.0</v>
      </c>
      <c r="F2385" s="59">
        <v>0.0</v>
      </c>
      <c r="G2385" s="60">
        <v>4.0</v>
      </c>
      <c r="H2385" s="60">
        <v>0.0</v>
      </c>
      <c r="I2385" s="60">
        <v>942.7475215</v>
      </c>
      <c r="J2385" s="59">
        <v>16.0</v>
      </c>
      <c r="K2385" s="61">
        <f t="shared" si="1"/>
        <v>0</v>
      </c>
      <c r="L2385" s="62">
        <f t="shared" si="2"/>
        <v>4</v>
      </c>
    </row>
    <row r="2386">
      <c r="A2386" s="58">
        <v>45962.0</v>
      </c>
      <c r="B2386" s="24" t="s">
        <v>155</v>
      </c>
      <c r="C2386" s="24" t="s">
        <v>6864</v>
      </c>
      <c r="D2386" s="59">
        <v>1.0</v>
      </c>
      <c r="E2386" s="59">
        <v>4.0</v>
      </c>
      <c r="F2386" s="59">
        <v>0.0</v>
      </c>
      <c r="G2386" s="60">
        <v>4.0</v>
      </c>
      <c r="H2386" s="60">
        <v>0.25</v>
      </c>
      <c r="I2386" s="60">
        <v>684.38901925</v>
      </c>
      <c r="J2386" s="59">
        <v>34.0</v>
      </c>
      <c r="K2386" s="61">
        <f t="shared" si="1"/>
        <v>0</v>
      </c>
      <c r="L2386" s="62">
        <f t="shared" si="2"/>
        <v>8.5</v>
      </c>
    </row>
    <row r="2387">
      <c r="A2387" s="58">
        <v>45962.0</v>
      </c>
      <c r="B2387" s="24" t="s">
        <v>6787</v>
      </c>
      <c r="C2387" s="24" t="s">
        <v>6865</v>
      </c>
      <c r="D2387" s="59">
        <v>1.0</v>
      </c>
      <c r="E2387" s="59">
        <v>1.0</v>
      </c>
      <c r="F2387" s="59">
        <v>1.0</v>
      </c>
      <c r="G2387" s="60">
        <v>1.0</v>
      </c>
      <c r="H2387" s="60">
        <v>1.0</v>
      </c>
      <c r="I2387" s="60">
        <v>0.0</v>
      </c>
      <c r="J2387" s="59">
        <v>1.0</v>
      </c>
      <c r="K2387" s="61">
        <f t="shared" si="1"/>
        <v>1</v>
      </c>
      <c r="L2387" s="62">
        <f t="shared" si="2"/>
        <v>1</v>
      </c>
    </row>
    <row r="2388">
      <c r="A2388" s="58">
        <v>45962.0</v>
      </c>
      <c r="B2388" s="24" t="s">
        <v>3216</v>
      </c>
      <c r="C2388" s="24" t="s">
        <v>6818</v>
      </c>
      <c r="D2388" s="59">
        <v>1.0</v>
      </c>
      <c r="E2388" s="59">
        <v>1.0</v>
      </c>
      <c r="F2388" s="59">
        <v>1.0</v>
      </c>
      <c r="G2388" s="60">
        <v>1.0</v>
      </c>
      <c r="H2388" s="60">
        <v>0.0</v>
      </c>
      <c r="I2388" s="60">
        <v>103.234164</v>
      </c>
      <c r="J2388" s="59">
        <v>2.0</v>
      </c>
      <c r="K2388" s="61">
        <f t="shared" si="1"/>
        <v>1</v>
      </c>
      <c r="L2388" s="62">
        <f t="shared" si="2"/>
        <v>2</v>
      </c>
    </row>
    <row r="2389">
      <c r="A2389" s="58">
        <v>45962.0</v>
      </c>
      <c r="B2389" s="24" t="s">
        <v>6789</v>
      </c>
      <c r="C2389" s="24" t="s">
        <v>6818</v>
      </c>
      <c r="D2389" s="59">
        <v>1.0</v>
      </c>
      <c r="E2389" s="59">
        <v>1.0</v>
      </c>
      <c r="F2389" s="59">
        <v>1.0</v>
      </c>
      <c r="G2389" s="60">
        <v>1.0</v>
      </c>
      <c r="H2389" s="60">
        <v>0.0</v>
      </c>
      <c r="I2389" s="60">
        <v>1289.855022</v>
      </c>
      <c r="J2389" s="59">
        <v>2.0</v>
      </c>
      <c r="K2389" s="61">
        <f t="shared" si="1"/>
        <v>1</v>
      </c>
      <c r="L2389" s="62">
        <f t="shared" si="2"/>
        <v>2</v>
      </c>
    </row>
    <row r="2390">
      <c r="A2390" s="58">
        <v>45962.0</v>
      </c>
      <c r="B2390" s="24" t="s">
        <v>6789</v>
      </c>
      <c r="C2390" s="24" t="s">
        <v>6866</v>
      </c>
      <c r="D2390" s="59">
        <v>1.0</v>
      </c>
      <c r="E2390" s="59">
        <v>1.0</v>
      </c>
      <c r="F2390" s="59">
        <v>1.0</v>
      </c>
      <c r="G2390" s="60">
        <v>1.0</v>
      </c>
      <c r="H2390" s="60">
        <v>0.0</v>
      </c>
      <c r="I2390" s="60">
        <v>61.94701</v>
      </c>
      <c r="J2390" s="59">
        <v>3.0</v>
      </c>
      <c r="K2390" s="61">
        <f t="shared" si="1"/>
        <v>1</v>
      </c>
      <c r="L2390" s="62">
        <f t="shared" si="2"/>
        <v>3</v>
      </c>
    </row>
    <row r="2391">
      <c r="A2391" s="58">
        <v>45962.0</v>
      </c>
      <c r="B2391" s="24" t="s">
        <v>155</v>
      </c>
      <c r="C2391" s="24" t="s">
        <v>6832</v>
      </c>
      <c r="D2391" s="59">
        <v>1.0</v>
      </c>
      <c r="E2391" s="59">
        <v>1.0</v>
      </c>
      <c r="F2391" s="59">
        <v>0.0</v>
      </c>
      <c r="G2391" s="60">
        <v>1.0</v>
      </c>
      <c r="H2391" s="60">
        <v>0.0</v>
      </c>
      <c r="I2391" s="60">
        <v>444.565379</v>
      </c>
      <c r="J2391" s="59">
        <v>10.0</v>
      </c>
      <c r="K2391" s="61">
        <f t="shared" si="1"/>
        <v>0</v>
      </c>
      <c r="L2391" s="62">
        <f t="shared" si="2"/>
        <v>10</v>
      </c>
    </row>
    <row r="2392">
      <c r="A2392" s="58">
        <v>45962.0</v>
      </c>
      <c r="B2392" s="24" t="s">
        <v>155</v>
      </c>
      <c r="C2392" s="24" t="s">
        <v>6833</v>
      </c>
      <c r="D2392" s="59">
        <v>1.0</v>
      </c>
      <c r="E2392" s="59">
        <v>1.0</v>
      </c>
      <c r="F2392" s="59">
        <v>1.0</v>
      </c>
      <c r="G2392" s="60">
        <v>1.0</v>
      </c>
      <c r="H2392" s="60">
        <v>1.0</v>
      </c>
      <c r="I2392" s="60">
        <v>0.0</v>
      </c>
      <c r="J2392" s="59">
        <v>1.0</v>
      </c>
      <c r="K2392" s="61">
        <f t="shared" si="1"/>
        <v>1</v>
      </c>
      <c r="L2392" s="62">
        <f t="shared" si="2"/>
        <v>1</v>
      </c>
    </row>
    <row r="2393">
      <c r="A2393" s="58">
        <v>45962.0</v>
      </c>
      <c r="B2393" s="24" t="s">
        <v>6787</v>
      </c>
      <c r="C2393" s="24" t="s">
        <v>6819</v>
      </c>
      <c r="D2393" s="59">
        <v>1.0</v>
      </c>
      <c r="E2393" s="59">
        <v>1.0</v>
      </c>
      <c r="F2393" s="59">
        <v>1.0</v>
      </c>
      <c r="G2393" s="60">
        <v>1.0</v>
      </c>
      <c r="H2393" s="60">
        <v>1.0</v>
      </c>
      <c r="I2393" s="60">
        <v>0.0</v>
      </c>
      <c r="J2393" s="59">
        <v>1.0</v>
      </c>
      <c r="K2393" s="61">
        <f t="shared" si="1"/>
        <v>1</v>
      </c>
      <c r="L2393" s="62">
        <f t="shared" si="2"/>
        <v>1</v>
      </c>
    </row>
    <row r="2394">
      <c r="A2394" s="58">
        <v>45962.0</v>
      </c>
      <c r="B2394" s="24" t="s">
        <v>6789</v>
      </c>
      <c r="C2394" s="24" t="s">
        <v>6927</v>
      </c>
      <c r="D2394" s="59">
        <v>1.0</v>
      </c>
      <c r="E2394" s="59">
        <v>1.0</v>
      </c>
      <c r="F2394" s="59">
        <v>0.0</v>
      </c>
      <c r="G2394" s="60">
        <v>1.0</v>
      </c>
      <c r="H2394" s="60">
        <v>0.0</v>
      </c>
      <c r="I2394" s="60">
        <v>552.731058</v>
      </c>
      <c r="J2394" s="59">
        <v>1.0</v>
      </c>
      <c r="K2394" s="61">
        <f t="shared" si="1"/>
        <v>0</v>
      </c>
      <c r="L2394" s="62">
        <f t="shared" si="2"/>
        <v>1</v>
      </c>
    </row>
    <row r="2395">
      <c r="A2395" s="58">
        <v>45962.0</v>
      </c>
      <c r="B2395" s="24" t="s">
        <v>6787</v>
      </c>
      <c r="C2395" s="24" t="s">
        <v>6986</v>
      </c>
      <c r="D2395" s="59">
        <v>1.0</v>
      </c>
      <c r="E2395" s="59">
        <v>2.0</v>
      </c>
      <c r="F2395" s="59">
        <v>1.0</v>
      </c>
      <c r="G2395" s="60">
        <v>2.0</v>
      </c>
      <c r="H2395" s="60">
        <v>1.0</v>
      </c>
      <c r="I2395" s="60">
        <v>4.2804625</v>
      </c>
      <c r="J2395" s="59">
        <v>2.0</v>
      </c>
      <c r="K2395" s="61">
        <f t="shared" si="1"/>
        <v>0.5</v>
      </c>
      <c r="L2395" s="62">
        <f t="shared" si="2"/>
        <v>1</v>
      </c>
    </row>
    <row r="2396">
      <c r="A2396" s="58">
        <v>45962.0</v>
      </c>
      <c r="B2396" s="24" t="s">
        <v>6789</v>
      </c>
      <c r="C2396" s="24" t="s">
        <v>6986</v>
      </c>
      <c r="D2396" s="59">
        <v>1.0</v>
      </c>
      <c r="E2396" s="59">
        <v>1.0</v>
      </c>
      <c r="F2396" s="59">
        <v>1.0</v>
      </c>
      <c r="G2396" s="60">
        <v>1.0</v>
      </c>
      <c r="H2396" s="60">
        <v>0.0</v>
      </c>
      <c r="I2396" s="60">
        <v>398.680075</v>
      </c>
      <c r="J2396" s="59">
        <v>3.0</v>
      </c>
      <c r="K2396" s="61">
        <f t="shared" si="1"/>
        <v>1</v>
      </c>
      <c r="L2396" s="62">
        <f t="shared" si="2"/>
        <v>3</v>
      </c>
    </row>
    <row r="2397">
      <c r="A2397" s="58">
        <v>45962.0</v>
      </c>
      <c r="B2397" s="24" t="s">
        <v>6789</v>
      </c>
      <c r="C2397" s="24" t="s">
        <v>6868</v>
      </c>
      <c r="D2397" s="59">
        <v>1.0</v>
      </c>
      <c r="E2397" s="59">
        <v>1.0</v>
      </c>
      <c r="F2397" s="59">
        <v>1.0</v>
      </c>
      <c r="G2397" s="60">
        <v>1.0</v>
      </c>
      <c r="H2397" s="60">
        <v>0.0</v>
      </c>
      <c r="I2397" s="60">
        <v>843.760865</v>
      </c>
      <c r="J2397" s="59">
        <v>9.0</v>
      </c>
      <c r="K2397" s="61">
        <f t="shared" si="1"/>
        <v>1</v>
      </c>
      <c r="L2397" s="62">
        <f t="shared" si="2"/>
        <v>9</v>
      </c>
    </row>
    <row r="2398">
      <c r="A2398" s="58">
        <v>45962.0</v>
      </c>
      <c r="B2398" s="24" t="s">
        <v>155</v>
      </c>
      <c r="C2398" s="24" t="s">
        <v>6868</v>
      </c>
      <c r="D2398" s="59">
        <v>1.0</v>
      </c>
      <c r="E2398" s="59">
        <v>1.0</v>
      </c>
      <c r="F2398" s="59">
        <v>0.0</v>
      </c>
      <c r="G2398" s="60">
        <v>1.0</v>
      </c>
      <c r="H2398" s="60">
        <v>0.0</v>
      </c>
      <c r="I2398" s="60">
        <v>907.807613</v>
      </c>
      <c r="J2398" s="59">
        <v>3.0</v>
      </c>
      <c r="K2398" s="61">
        <f t="shared" si="1"/>
        <v>0</v>
      </c>
      <c r="L2398" s="62">
        <f t="shared" si="2"/>
        <v>3</v>
      </c>
    </row>
    <row r="2399">
      <c r="A2399" s="58">
        <v>45962.0</v>
      </c>
      <c r="B2399" s="24" t="s">
        <v>6787</v>
      </c>
      <c r="C2399" s="24" t="s">
        <v>7040</v>
      </c>
      <c r="D2399" s="59">
        <v>1.0</v>
      </c>
      <c r="E2399" s="59">
        <v>1.0</v>
      </c>
      <c r="F2399" s="59">
        <v>1.0</v>
      </c>
      <c r="G2399" s="60">
        <v>1.0</v>
      </c>
      <c r="H2399" s="60">
        <v>1.0</v>
      </c>
      <c r="I2399" s="60">
        <v>0.0</v>
      </c>
      <c r="J2399" s="59">
        <v>1.0</v>
      </c>
      <c r="K2399" s="61">
        <f t="shared" si="1"/>
        <v>1</v>
      </c>
      <c r="L2399" s="62">
        <f t="shared" si="2"/>
        <v>1</v>
      </c>
    </row>
    <row r="2400">
      <c r="A2400" s="58">
        <v>45962.0</v>
      </c>
      <c r="B2400" s="24" t="s">
        <v>6789</v>
      </c>
      <c r="C2400" s="24" t="s">
        <v>7040</v>
      </c>
      <c r="D2400" s="59">
        <v>1.0</v>
      </c>
      <c r="E2400" s="59">
        <v>1.0</v>
      </c>
      <c r="F2400" s="59">
        <v>1.0</v>
      </c>
      <c r="G2400" s="60">
        <v>1.0</v>
      </c>
      <c r="H2400" s="60">
        <v>0.0</v>
      </c>
      <c r="I2400" s="60">
        <v>18.893062</v>
      </c>
      <c r="J2400" s="59">
        <v>1.0</v>
      </c>
      <c r="K2400" s="61">
        <f t="shared" si="1"/>
        <v>1</v>
      </c>
      <c r="L2400" s="62">
        <f t="shared" si="2"/>
        <v>1</v>
      </c>
    </row>
    <row r="2401">
      <c r="A2401" s="58">
        <v>45962.0</v>
      </c>
      <c r="B2401" s="24" t="s">
        <v>6787</v>
      </c>
      <c r="C2401" s="24" t="s">
        <v>7063</v>
      </c>
      <c r="D2401" s="59">
        <v>1.0</v>
      </c>
      <c r="E2401" s="59">
        <v>1.0</v>
      </c>
      <c r="F2401" s="59">
        <v>1.0</v>
      </c>
      <c r="G2401" s="60">
        <v>1.0</v>
      </c>
      <c r="H2401" s="60">
        <v>0.0</v>
      </c>
      <c r="I2401" s="60">
        <v>21.01294</v>
      </c>
      <c r="J2401" s="59">
        <v>1.0</v>
      </c>
      <c r="K2401" s="61">
        <f t="shared" si="1"/>
        <v>1</v>
      </c>
      <c r="L2401" s="62">
        <f t="shared" si="2"/>
        <v>1</v>
      </c>
    </row>
    <row r="2402">
      <c r="A2402" s="58">
        <v>45962.0</v>
      </c>
      <c r="B2402" s="24" t="s">
        <v>6789</v>
      </c>
      <c r="C2402" s="24" t="s">
        <v>6873</v>
      </c>
      <c r="D2402" s="59">
        <v>1.0</v>
      </c>
      <c r="E2402" s="59">
        <v>1.0</v>
      </c>
      <c r="F2402" s="59">
        <v>1.0</v>
      </c>
      <c r="G2402" s="60">
        <v>1.0</v>
      </c>
      <c r="H2402" s="60">
        <v>0.0</v>
      </c>
      <c r="I2402" s="60">
        <v>17.704995</v>
      </c>
      <c r="J2402" s="59">
        <v>1.0</v>
      </c>
      <c r="K2402" s="61">
        <f t="shared" si="1"/>
        <v>1</v>
      </c>
      <c r="L2402" s="62">
        <f t="shared" si="2"/>
        <v>1</v>
      </c>
    </row>
    <row r="2403">
      <c r="A2403" s="58">
        <v>45962.0</v>
      </c>
      <c r="B2403" s="24" t="s">
        <v>6787</v>
      </c>
      <c r="C2403" s="24" t="s">
        <v>7254</v>
      </c>
      <c r="D2403" s="59">
        <v>1.0</v>
      </c>
      <c r="E2403" s="59">
        <v>1.0</v>
      </c>
      <c r="F2403" s="59">
        <v>1.0</v>
      </c>
      <c r="G2403" s="60">
        <v>1.0</v>
      </c>
      <c r="H2403" s="60">
        <v>0.0</v>
      </c>
      <c r="I2403" s="60">
        <v>10.253134</v>
      </c>
      <c r="J2403" s="59">
        <v>1.0</v>
      </c>
      <c r="K2403" s="61">
        <f t="shared" si="1"/>
        <v>1</v>
      </c>
      <c r="L2403" s="62">
        <f t="shared" si="2"/>
        <v>1</v>
      </c>
    </row>
    <row r="2404">
      <c r="A2404" s="58">
        <v>45962.0</v>
      </c>
      <c r="B2404" s="24" t="s">
        <v>6787</v>
      </c>
      <c r="C2404" s="24" t="s">
        <v>7024</v>
      </c>
      <c r="D2404" s="59">
        <v>1.0</v>
      </c>
      <c r="E2404" s="59">
        <v>1.0</v>
      </c>
      <c r="F2404" s="59">
        <v>1.0</v>
      </c>
      <c r="G2404" s="60">
        <v>1.0</v>
      </c>
      <c r="H2404" s="60">
        <v>0.0</v>
      </c>
      <c r="I2404" s="60">
        <v>58.446525</v>
      </c>
      <c r="J2404" s="59">
        <v>1.0</v>
      </c>
      <c r="K2404" s="61">
        <f t="shared" si="1"/>
        <v>1</v>
      </c>
      <c r="L2404" s="62">
        <f t="shared" si="2"/>
        <v>1</v>
      </c>
    </row>
    <row r="2405">
      <c r="A2405" s="58">
        <v>45962.0</v>
      </c>
      <c r="B2405" s="24" t="s">
        <v>6787</v>
      </c>
      <c r="C2405" s="24" t="s">
        <v>7064</v>
      </c>
      <c r="D2405" s="59">
        <v>1.0</v>
      </c>
      <c r="E2405" s="59">
        <v>1.0</v>
      </c>
      <c r="F2405" s="59">
        <v>1.0</v>
      </c>
      <c r="G2405" s="60">
        <v>1.0</v>
      </c>
      <c r="H2405" s="60">
        <v>1.0</v>
      </c>
      <c r="I2405" s="60">
        <v>0.0</v>
      </c>
      <c r="J2405" s="59">
        <v>1.0</v>
      </c>
      <c r="K2405" s="61">
        <f t="shared" si="1"/>
        <v>1</v>
      </c>
      <c r="L2405" s="62">
        <f t="shared" si="2"/>
        <v>1</v>
      </c>
    </row>
    <row r="2406">
      <c r="A2406" s="58">
        <v>45962.0</v>
      </c>
      <c r="B2406" s="24" t="s">
        <v>155</v>
      </c>
      <c r="C2406" s="24" t="s">
        <v>6876</v>
      </c>
      <c r="D2406" s="59">
        <v>1.0</v>
      </c>
      <c r="E2406" s="59">
        <v>1.0</v>
      </c>
      <c r="F2406" s="59">
        <v>0.0</v>
      </c>
      <c r="G2406" s="60">
        <v>1.0</v>
      </c>
      <c r="H2406" s="60">
        <v>0.0</v>
      </c>
      <c r="I2406" s="60">
        <v>128.21768</v>
      </c>
      <c r="J2406" s="59">
        <v>3.0</v>
      </c>
      <c r="K2406" s="61">
        <f t="shared" si="1"/>
        <v>0</v>
      </c>
      <c r="L2406" s="62">
        <f t="shared" si="2"/>
        <v>3</v>
      </c>
    </row>
    <row r="2407">
      <c r="A2407" s="58">
        <v>45962.0</v>
      </c>
      <c r="B2407" s="24" t="s">
        <v>6787</v>
      </c>
      <c r="C2407" s="24" t="s">
        <v>7066</v>
      </c>
      <c r="D2407" s="59">
        <v>1.0</v>
      </c>
      <c r="E2407" s="59">
        <v>1.0</v>
      </c>
      <c r="F2407" s="59">
        <v>1.0</v>
      </c>
      <c r="G2407" s="60">
        <v>1.0</v>
      </c>
      <c r="H2407" s="60">
        <v>1.0</v>
      </c>
      <c r="I2407" s="60">
        <v>0.0</v>
      </c>
      <c r="J2407" s="59">
        <v>1.0</v>
      </c>
      <c r="K2407" s="61">
        <f t="shared" si="1"/>
        <v>1</v>
      </c>
      <c r="L2407" s="62">
        <f t="shared" si="2"/>
        <v>1</v>
      </c>
    </row>
    <row r="2408">
      <c r="A2408" s="58">
        <v>45962.0</v>
      </c>
      <c r="B2408" s="24" t="s">
        <v>6789</v>
      </c>
      <c r="C2408" s="24" t="s">
        <v>6877</v>
      </c>
      <c r="D2408" s="59">
        <v>1.0</v>
      </c>
      <c r="E2408" s="59">
        <v>1.0</v>
      </c>
      <c r="F2408" s="59">
        <v>0.0</v>
      </c>
      <c r="G2408" s="60">
        <v>1.0</v>
      </c>
      <c r="H2408" s="60">
        <v>0.0</v>
      </c>
      <c r="I2408" s="60">
        <v>298.343973</v>
      </c>
      <c r="J2408" s="59">
        <v>3.0</v>
      </c>
      <c r="K2408" s="61">
        <f t="shared" si="1"/>
        <v>0</v>
      </c>
      <c r="L2408" s="62">
        <f t="shared" si="2"/>
        <v>3</v>
      </c>
    </row>
    <row r="2409">
      <c r="A2409" s="58">
        <v>45962.0</v>
      </c>
      <c r="B2409" s="24" t="s">
        <v>155</v>
      </c>
      <c r="C2409" s="24" t="s">
        <v>6989</v>
      </c>
      <c r="D2409" s="59">
        <v>1.0</v>
      </c>
      <c r="E2409" s="59">
        <v>1.0</v>
      </c>
      <c r="F2409" s="59">
        <v>0.0</v>
      </c>
      <c r="G2409" s="60">
        <v>1.0</v>
      </c>
      <c r="H2409" s="60">
        <v>1.0</v>
      </c>
      <c r="I2409" s="60">
        <v>6.376942</v>
      </c>
      <c r="J2409" s="59">
        <v>1.0</v>
      </c>
      <c r="K2409" s="61">
        <f t="shared" si="1"/>
        <v>0</v>
      </c>
      <c r="L2409" s="62">
        <f t="shared" si="2"/>
        <v>1</v>
      </c>
    </row>
    <row r="2410">
      <c r="A2410" s="58">
        <v>45962.0</v>
      </c>
      <c r="B2410" s="24" t="s">
        <v>6789</v>
      </c>
      <c r="C2410" s="24" t="s">
        <v>6878</v>
      </c>
      <c r="D2410" s="59">
        <v>1.0</v>
      </c>
      <c r="E2410" s="59">
        <v>1.0</v>
      </c>
      <c r="F2410" s="59">
        <v>1.0</v>
      </c>
      <c r="G2410" s="60">
        <v>1.0</v>
      </c>
      <c r="H2410" s="60">
        <v>0.0</v>
      </c>
      <c r="I2410" s="60">
        <v>167.565206</v>
      </c>
      <c r="J2410" s="59">
        <v>1.0</v>
      </c>
      <c r="K2410" s="61">
        <f t="shared" si="1"/>
        <v>1</v>
      </c>
      <c r="L2410" s="62">
        <f t="shared" si="2"/>
        <v>1</v>
      </c>
    </row>
    <row r="2411">
      <c r="A2411" s="58">
        <v>45962.0</v>
      </c>
      <c r="B2411" s="24" t="s">
        <v>155</v>
      </c>
      <c r="C2411" s="24" t="s">
        <v>6878</v>
      </c>
      <c r="D2411" s="59">
        <v>1.0</v>
      </c>
      <c r="E2411" s="59">
        <v>1.0</v>
      </c>
      <c r="F2411" s="59">
        <v>1.0</v>
      </c>
      <c r="G2411" s="60">
        <v>1.0</v>
      </c>
      <c r="H2411" s="60">
        <v>1.0</v>
      </c>
      <c r="I2411" s="60">
        <v>0.0</v>
      </c>
      <c r="J2411" s="59">
        <v>1.0</v>
      </c>
      <c r="K2411" s="61">
        <f t="shared" si="1"/>
        <v>1</v>
      </c>
      <c r="L2411" s="62">
        <f t="shared" si="2"/>
        <v>1</v>
      </c>
    </row>
    <row r="2412">
      <c r="A2412" s="58">
        <v>45962.0</v>
      </c>
      <c r="B2412" s="24" t="s">
        <v>6789</v>
      </c>
      <c r="C2412" s="24" t="s">
        <v>6881</v>
      </c>
      <c r="D2412" s="59">
        <v>1.0</v>
      </c>
      <c r="E2412" s="59">
        <v>1.0</v>
      </c>
      <c r="F2412" s="59">
        <v>1.0</v>
      </c>
      <c r="G2412" s="60">
        <v>1.0</v>
      </c>
      <c r="H2412" s="60">
        <v>0.0</v>
      </c>
      <c r="I2412" s="60">
        <v>104.700629</v>
      </c>
      <c r="J2412" s="59">
        <v>1.0</v>
      </c>
      <c r="K2412" s="61">
        <f t="shared" si="1"/>
        <v>1</v>
      </c>
      <c r="L2412" s="62">
        <f t="shared" si="2"/>
        <v>1</v>
      </c>
    </row>
    <row r="2413">
      <c r="A2413" s="58">
        <v>45962.0</v>
      </c>
      <c r="B2413" s="24" t="s">
        <v>6789</v>
      </c>
      <c r="C2413" s="24" t="s">
        <v>6990</v>
      </c>
      <c r="D2413" s="59">
        <v>1.0</v>
      </c>
      <c r="E2413" s="59">
        <v>1.0</v>
      </c>
      <c r="F2413" s="59">
        <v>1.0</v>
      </c>
      <c r="G2413" s="60">
        <v>1.0</v>
      </c>
      <c r="H2413" s="60">
        <v>0.0</v>
      </c>
      <c r="I2413" s="60">
        <v>38.503908</v>
      </c>
      <c r="J2413" s="59">
        <v>1.0</v>
      </c>
      <c r="K2413" s="61">
        <f t="shared" si="1"/>
        <v>1</v>
      </c>
      <c r="L2413" s="62">
        <f t="shared" si="2"/>
        <v>1</v>
      </c>
    </row>
    <row r="2414">
      <c r="A2414" s="58">
        <v>45962.0</v>
      </c>
      <c r="B2414" s="24" t="s">
        <v>6787</v>
      </c>
      <c r="C2414" s="24" t="s">
        <v>7067</v>
      </c>
      <c r="D2414" s="59">
        <v>1.0</v>
      </c>
      <c r="E2414" s="59">
        <v>1.0</v>
      </c>
      <c r="F2414" s="59">
        <v>1.0</v>
      </c>
      <c r="G2414" s="60">
        <v>1.0</v>
      </c>
      <c r="H2414" s="60">
        <v>1.0</v>
      </c>
      <c r="I2414" s="60">
        <v>0.0</v>
      </c>
      <c r="J2414" s="59">
        <v>1.0</v>
      </c>
      <c r="K2414" s="61">
        <f t="shared" si="1"/>
        <v>1</v>
      </c>
      <c r="L2414" s="62">
        <f t="shared" si="2"/>
        <v>1</v>
      </c>
    </row>
    <row r="2415">
      <c r="A2415" s="58">
        <v>45962.0</v>
      </c>
      <c r="B2415" s="24" t="s">
        <v>6789</v>
      </c>
      <c r="C2415" s="24" t="s">
        <v>7067</v>
      </c>
      <c r="D2415" s="59">
        <v>1.0</v>
      </c>
      <c r="E2415" s="59">
        <v>1.0</v>
      </c>
      <c r="F2415" s="59">
        <v>1.0</v>
      </c>
      <c r="G2415" s="60">
        <v>1.0</v>
      </c>
      <c r="H2415" s="60">
        <v>1.0</v>
      </c>
      <c r="I2415" s="60">
        <v>0.0</v>
      </c>
      <c r="J2415" s="59">
        <v>1.0</v>
      </c>
      <c r="K2415" s="61">
        <f t="shared" si="1"/>
        <v>1</v>
      </c>
      <c r="L2415" s="62">
        <f t="shared" si="2"/>
        <v>1</v>
      </c>
    </row>
    <row r="2416">
      <c r="A2416" s="58">
        <v>45962.0</v>
      </c>
      <c r="B2416" s="24" t="s">
        <v>6787</v>
      </c>
      <c r="C2416" s="24" t="s">
        <v>6883</v>
      </c>
      <c r="D2416" s="59">
        <v>1.0</v>
      </c>
      <c r="E2416" s="59">
        <v>1.0</v>
      </c>
      <c r="F2416" s="59">
        <v>1.0</v>
      </c>
      <c r="G2416" s="60">
        <v>1.0</v>
      </c>
      <c r="H2416" s="60">
        <v>0.0</v>
      </c>
      <c r="I2416" s="60">
        <v>13.497468</v>
      </c>
      <c r="J2416" s="59">
        <v>1.0</v>
      </c>
      <c r="K2416" s="61">
        <f t="shared" si="1"/>
        <v>1</v>
      </c>
      <c r="L2416" s="62">
        <f t="shared" si="2"/>
        <v>1</v>
      </c>
    </row>
    <row r="2417">
      <c r="A2417" s="58">
        <v>45962.0</v>
      </c>
      <c r="B2417" s="24" t="s">
        <v>3216</v>
      </c>
      <c r="C2417" s="24" t="s">
        <v>6883</v>
      </c>
      <c r="D2417" s="59">
        <v>1.0</v>
      </c>
      <c r="E2417" s="59">
        <v>5.0</v>
      </c>
      <c r="F2417" s="59">
        <v>0.0</v>
      </c>
      <c r="G2417" s="60">
        <v>0.0</v>
      </c>
      <c r="H2417" s="60">
        <v>1.0</v>
      </c>
      <c r="I2417" s="60">
        <v>0.0</v>
      </c>
      <c r="J2417" s="59">
        <v>5.0</v>
      </c>
      <c r="K2417" s="61">
        <f t="shared" si="1"/>
        <v>0</v>
      </c>
      <c r="L2417" s="62">
        <f t="shared" si="2"/>
        <v>1</v>
      </c>
    </row>
    <row r="2418">
      <c r="A2418" s="58">
        <v>45962.0</v>
      </c>
      <c r="B2418" s="24" t="s">
        <v>155</v>
      </c>
      <c r="C2418" s="24" t="s">
        <v>6883</v>
      </c>
      <c r="D2418" s="59">
        <v>1.0</v>
      </c>
      <c r="E2418" s="59">
        <v>1.0</v>
      </c>
      <c r="F2418" s="59">
        <v>1.0</v>
      </c>
      <c r="G2418" s="60">
        <v>1.0</v>
      </c>
      <c r="H2418" s="60">
        <v>1.0</v>
      </c>
      <c r="I2418" s="60">
        <v>0.0</v>
      </c>
      <c r="J2418" s="59">
        <v>1.0</v>
      </c>
      <c r="K2418" s="61">
        <f t="shared" si="1"/>
        <v>1</v>
      </c>
      <c r="L2418" s="62">
        <f t="shared" si="2"/>
        <v>1</v>
      </c>
    </row>
    <row r="2419">
      <c r="A2419" s="58">
        <v>45962.0</v>
      </c>
      <c r="B2419" s="24" t="s">
        <v>6790</v>
      </c>
      <c r="C2419" s="24" t="s">
        <v>6883</v>
      </c>
      <c r="D2419" s="59">
        <v>1.0</v>
      </c>
      <c r="E2419" s="59">
        <v>1.0</v>
      </c>
      <c r="F2419" s="59">
        <v>1.0</v>
      </c>
      <c r="G2419" s="60">
        <v>1.0</v>
      </c>
      <c r="H2419" s="60">
        <v>0.0</v>
      </c>
      <c r="I2419" s="60">
        <v>12.612087</v>
      </c>
      <c r="J2419" s="59">
        <v>1.0</v>
      </c>
      <c r="K2419" s="61">
        <f t="shared" si="1"/>
        <v>1</v>
      </c>
      <c r="L2419" s="62">
        <f t="shared" si="2"/>
        <v>1</v>
      </c>
    </row>
    <row r="2420">
      <c r="A2420" s="58">
        <v>45962.0</v>
      </c>
      <c r="B2420" s="24" t="s">
        <v>6787</v>
      </c>
      <c r="C2420" s="24" t="s">
        <v>7068</v>
      </c>
      <c r="D2420" s="59">
        <v>1.0</v>
      </c>
      <c r="E2420" s="59">
        <v>1.0</v>
      </c>
      <c r="F2420" s="59">
        <v>1.0</v>
      </c>
      <c r="G2420" s="60">
        <v>1.0</v>
      </c>
      <c r="H2420" s="60">
        <v>1.0</v>
      </c>
      <c r="I2420" s="60">
        <v>4.049689</v>
      </c>
      <c r="J2420" s="59">
        <v>1.0</v>
      </c>
      <c r="K2420" s="61">
        <f t="shared" si="1"/>
        <v>1</v>
      </c>
      <c r="L2420" s="62">
        <f t="shared" si="2"/>
        <v>1</v>
      </c>
    </row>
    <row r="2421">
      <c r="A2421" s="58">
        <v>45962.0</v>
      </c>
      <c r="B2421" s="24" t="s">
        <v>6789</v>
      </c>
      <c r="C2421" s="24" t="s">
        <v>6992</v>
      </c>
      <c r="D2421" s="59">
        <v>1.0</v>
      </c>
      <c r="E2421" s="59">
        <v>1.0</v>
      </c>
      <c r="F2421" s="59">
        <v>0.0</v>
      </c>
      <c r="G2421" s="60">
        <v>1.0</v>
      </c>
      <c r="H2421" s="60">
        <v>0.0</v>
      </c>
      <c r="I2421" s="60">
        <v>437.200667</v>
      </c>
      <c r="J2421" s="59">
        <v>1.0</v>
      </c>
      <c r="K2421" s="61">
        <f t="shared" si="1"/>
        <v>0</v>
      </c>
      <c r="L2421" s="62">
        <f t="shared" si="2"/>
        <v>1</v>
      </c>
    </row>
    <row r="2422">
      <c r="A2422" s="58">
        <v>45962.0</v>
      </c>
      <c r="B2422" s="24" t="s">
        <v>6787</v>
      </c>
      <c r="C2422" s="24" t="s">
        <v>7070</v>
      </c>
      <c r="D2422" s="59">
        <v>1.0</v>
      </c>
      <c r="E2422" s="59">
        <v>1.0</v>
      </c>
      <c r="F2422" s="59">
        <v>1.0</v>
      </c>
      <c r="G2422" s="60">
        <v>1.0</v>
      </c>
      <c r="H2422" s="60">
        <v>1.0</v>
      </c>
      <c r="I2422" s="60">
        <v>0.0</v>
      </c>
      <c r="J2422" s="59">
        <v>1.0</v>
      </c>
      <c r="K2422" s="61">
        <f t="shared" si="1"/>
        <v>1</v>
      </c>
      <c r="L2422" s="62">
        <f t="shared" si="2"/>
        <v>1</v>
      </c>
    </row>
    <row r="2423">
      <c r="A2423" s="58">
        <v>45962.0</v>
      </c>
      <c r="B2423" s="24" t="s">
        <v>6789</v>
      </c>
      <c r="C2423" s="24" t="s">
        <v>7029</v>
      </c>
      <c r="D2423" s="59">
        <v>1.0</v>
      </c>
      <c r="E2423" s="59">
        <v>1.0</v>
      </c>
      <c r="F2423" s="59">
        <v>1.0</v>
      </c>
      <c r="G2423" s="60">
        <v>1.0</v>
      </c>
      <c r="H2423" s="60">
        <v>1.0</v>
      </c>
      <c r="I2423" s="60">
        <v>0.0</v>
      </c>
      <c r="J2423" s="59">
        <v>1.0</v>
      </c>
      <c r="K2423" s="61">
        <f t="shared" si="1"/>
        <v>1</v>
      </c>
      <c r="L2423" s="62">
        <f t="shared" si="2"/>
        <v>1</v>
      </c>
    </row>
    <row r="2424">
      <c r="A2424" s="58">
        <v>45962.0</v>
      </c>
      <c r="B2424" s="24" t="s">
        <v>155</v>
      </c>
      <c r="C2424" s="24" t="s">
        <v>7029</v>
      </c>
      <c r="D2424" s="59">
        <v>1.0</v>
      </c>
      <c r="E2424" s="59">
        <v>3.0</v>
      </c>
      <c r="F2424" s="59">
        <v>0.0</v>
      </c>
      <c r="G2424" s="60">
        <v>3.0</v>
      </c>
      <c r="H2424" s="60">
        <v>0.333333333333333</v>
      </c>
      <c r="I2424" s="60">
        <v>542.311697333333</v>
      </c>
      <c r="J2424" s="59">
        <v>6.0</v>
      </c>
      <c r="K2424" s="61">
        <f t="shared" si="1"/>
        <v>0</v>
      </c>
      <c r="L2424" s="62">
        <f t="shared" si="2"/>
        <v>2</v>
      </c>
    </row>
    <row r="2425">
      <c r="A2425" s="58">
        <v>45962.0</v>
      </c>
      <c r="B2425" s="24" t="s">
        <v>6787</v>
      </c>
      <c r="C2425" s="24" t="s">
        <v>7071</v>
      </c>
      <c r="D2425" s="59">
        <v>1.0</v>
      </c>
      <c r="E2425" s="59">
        <v>1.0</v>
      </c>
      <c r="F2425" s="59">
        <v>1.0</v>
      </c>
      <c r="G2425" s="60">
        <v>1.0</v>
      </c>
      <c r="H2425" s="60">
        <v>1.0</v>
      </c>
      <c r="I2425" s="60">
        <v>0.0</v>
      </c>
      <c r="J2425" s="59">
        <v>1.0</v>
      </c>
      <c r="K2425" s="61">
        <f t="shared" si="1"/>
        <v>1</v>
      </c>
      <c r="L2425" s="62">
        <f t="shared" si="2"/>
        <v>1</v>
      </c>
    </row>
    <row r="2426">
      <c r="A2426" s="58">
        <v>45962.0</v>
      </c>
      <c r="B2426" s="24" t="s">
        <v>6789</v>
      </c>
      <c r="C2426" s="24" t="s">
        <v>6994</v>
      </c>
      <c r="D2426" s="59">
        <v>1.0</v>
      </c>
      <c r="E2426" s="59">
        <v>1.0</v>
      </c>
      <c r="F2426" s="59">
        <v>1.0</v>
      </c>
      <c r="G2426" s="60">
        <v>1.0</v>
      </c>
      <c r="H2426" s="60">
        <v>1.0</v>
      </c>
      <c r="I2426" s="60">
        <v>0.0</v>
      </c>
      <c r="J2426" s="59">
        <v>1.0</v>
      </c>
      <c r="K2426" s="61">
        <f t="shared" si="1"/>
        <v>1</v>
      </c>
      <c r="L2426" s="62">
        <f t="shared" si="2"/>
        <v>1</v>
      </c>
    </row>
    <row r="2427">
      <c r="A2427" s="58">
        <v>45962.0</v>
      </c>
      <c r="B2427" s="24" t="s">
        <v>155</v>
      </c>
      <c r="C2427" s="24" t="s">
        <v>6994</v>
      </c>
      <c r="D2427" s="59">
        <v>1.0</v>
      </c>
      <c r="E2427" s="59">
        <v>1.0</v>
      </c>
      <c r="F2427" s="59">
        <v>1.0</v>
      </c>
      <c r="G2427" s="60">
        <v>1.0</v>
      </c>
      <c r="H2427" s="60">
        <v>0.0</v>
      </c>
      <c r="I2427" s="60">
        <v>776.338939</v>
      </c>
      <c r="J2427" s="59">
        <v>2.0</v>
      </c>
      <c r="K2427" s="61">
        <f t="shared" si="1"/>
        <v>1</v>
      </c>
      <c r="L2427" s="62">
        <f t="shared" si="2"/>
        <v>2</v>
      </c>
    </row>
    <row r="2428">
      <c r="A2428" s="58">
        <v>45962.0</v>
      </c>
      <c r="B2428" s="24" t="s">
        <v>6787</v>
      </c>
      <c r="C2428" s="24" t="s">
        <v>7074</v>
      </c>
      <c r="D2428" s="59">
        <v>1.0</v>
      </c>
      <c r="E2428" s="59">
        <v>1.0</v>
      </c>
      <c r="F2428" s="59">
        <v>1.0</v>
      </c>
      <c r="G2428" s="60">
        <v>1.0</v>
      </c>
      <c r="H2428" s="60">
        <v>1.0</v>
      </c>
      <c r="I2428" s="60">
        <v>0.0</v>
      </c>
      <c r="J2428" s="59">
        <v>1.0</v>
      </c>
      <c r="K2428" s="61">
        <f t="shared" si="1"/>
        <v>1</v>
      </c>
      <c r="L2428" s="62">
        <f t="shared" si="2"/>
        <v>1</v>
      </c>
    </row>
    <row r="2429">
      <c r="A2429" s="58">
        <v>45962.0</v>
      </c>
      <c r="B2429" s="24" t="s">
        <v>6789</v>
      </c>
      <c r="C2429" s="24" t="s">
        <v>7074</v>
      </c>
      <c r="D2429" s="59">
        <v>1.0</v>
      </c>
      <c r="E2429" s="59">
        <v>1.0</v>
      </c>
      <c r="F2429" s="59">
        <v>1.0</v>
      </c>
      <c r="G2429" s="60">
        <v>1.0</v>
      </c>
      <c r="H2429" s="60">
        <v>1.0</v>
      </c>
      <c r="I2429" s="60">
        <v>8.517223</v>
      </c>
      <c r="J2429" s="59">
        <v>1.0</v>
      </c>
      <c r="K2429" s="61">
        <f t="shared" si="1"/>
        <v>1</v>
      </c>
      <c r="L2429" s="62">
        <f t="shared" si="2"/>
        <v>1</v>
      </c>
    </row>
    <row r="2430">
      <c r="A2430" s="58">
        <v>45962.0</v>
      </c>
      <c r="B2430" s="24" t="s">
        <v>3216</v>
      </c>
      <c r="C2430" s="24" t="s">
        <v>6886</v>
      </c>
      <c r="D2430" s="59">
        <v>1.0</v>
      </c>
      <c r="E2430" s="59">
        <v>1.0</v>
      </c>
      <c r="F2430" s="59">
        <v>0.0</v>
      </c>
      <c r="G2430" s="60">
        <v>0.0</v>
      </c>
      <c r="H2430" s="60">
        <v>1.0</v>
      </c>
      <c r="I2430" s="60">
        <v>0.0</v>
      </c>
      <c r="J2430" s="59">
        <v>1.0</v>
      </c>
      <c r="K2430" s="61">
        <f t="shared" si="1"/>
        <v>0</v>
      </c>
      <c r="L2430" s="62">
        <f t="shared" si="2"/>
        <v>1</v>
      </c>
    </row>
    <row r="2431">
      <c r="A2431" s="58">
        <v>45962.0</v>
      </c>
      <c r="B2431" s="24" t="s">
        <v>155</v>
      </c>
      <c r="C2431" s="24" t="s">
        <v>6886</v>
      </c>
      <c r="D2431" s="59">
        <v>1.0</v>
      </c>
      <c r="E2431" s="59">
        <v>1.0</v>
      </c>
      <c r="F2431" s="59">
        <v>1.0</v>
      </c>
      <c r="G2431" s="60">
        <v>1.0</v>
      </c>
      <c r="H2431" s="60">
        <v>1.0</v>
      </c>
      <c r="I2431" s="60">
        <v>0.0</v>
      </c>
      <c r="J2431" s="59">
        <v>1.0</v>
      </c>
      <c r="K2431" s="61">
        <f t="shared" si="1"/>
        <v>1</v>
      </c>
      <c r="L2431" s="62">
        <f t="shared" si="2"/>
        <v>1</v>
      </c>
    </row>
    <row r="2432">
      <c r="A2432" s="58">
        <v>45962.0</v>
      </c>
      <c r="B2432" s="24" t="s">
        <v>6787</v>
      </c>
      <c r="C2432" s="24" t="s">
        <v>7133</v>
      </c>
      <c r="D2432" s="59">
        <v>1.0</v>
      </c>
      <c r="E2432" s="59">
        <v>1.0</v>
      </c>
      <c r="F2432" s="59">
        <v>2.0</v>
      </c>
      <c r="G2432" s="60">
        <v>1.0</v>
      </c>
      <c r="H2432" s="60">
        <v>0.0</v>
      </c>
      <c r="I2432" s="60">
        <v>3.122605</v>
      </c>
      <c r="J2432" s="59">
        <v>2.0</v>
      </c>
      <c r="K2432" s="61">
        <f t="shared" si="1"/>
        <v>2</v>
      </c>
      <c r="L2432" s="62">
        <f t="shared" si="2"/>
        <v>2</v>
      </c>
    </row>
    <row r="2433">
      <c r="A2433" s="58">
        <v>45962.0</v>
      </c>
      <c r="B2433" s="24" t="s">
        <v>6787</v>
      </c>
      <c r="C2433" s="24" t="s">
        <v>7151</v>
      </c>
      <c r="D2433" s="59">
        <v>1.0</v>
      </c>
      <c r="E2433" s="59">
        <v>1.0</v>
      </c>
      <c r="F2433" s="59">
        <v>1.0</v>
      </c>
      <c r="G2433" s="60">
        <v>1.0</v>
      </c>
      <c r="H2433" s="60">
        <v>1.0</v>
      </c>
      <c r="I2433" s="60">
        <v>4.996933</v>
      </c>
      <c r="J2433" s="59">
        <v>1.0</v>
      </c>
      <c r="K2433" s="61">
        <f t="shared" si="1"/>
        <v>1</v>
      </c>
      <c r="L2433" s="62">
        <f t="shared" si="2"/>
        <v>1</v>
      </c>
    </row>
    <row r="2434">
      <c r="A2434" s="58">
        <v>45962.0</v>
      </c>
      <c r="B2434" s="24" t="s">
        <v>6794</v>
      </c>
      <c r="C2434" s="24" t="s">
        <v>6799</v>
      </c>
      <c r="D2434" s="59">
        <v>1.0</v>
      </c>
      <c r="E2434" s="59">
        <v>1.0</v>
      </c>
      <c r="F2434" s="59">
        <v>0.0</v>
      </c>
      <c r="G2434" s="60">
        <v>1.0</v>
      </c>
      <c r="H2434" s="60">
        <v>1.0</v>
      </c>
      <c r="I2434" s="60">
        <v>0.0</v>
      </c>
      <c r="J2434" s="59">
        <v>1.0</v>
      </c>
      <c r="K2434" s="61">
        <f t="shared" si="1"/>
        <v>0</v>
      </c>
      <c r="L2434" s="62">
        <f t="shared" si="2"/>
        <v>1</v>
      </c>
    </row>
    <row r="2435">
      <c r="A2435" s="58">
        <v>45962.0</v>
      </c>
      <c r="B2435" s="24" t="s">
        <v>155</v>
      </c>
      <c r="C2435" s="24" t="s">
        <v>6799</v>
      </c>
      <c r="D2435" s="59">
        <v>1.0</v>
      </c>
      <c r="E2435" s="59">
        <v>1.0</v>
      </c>
      <c r="F2435" s="59">
        <v>1.0</v>
      </c>
      <c r="G2435" s="60">
        <v>1.0</v>
      </c>
      <c r="H2435" s="60">
        <v>0.0</v>
      </c>
      <c r="I2435" s="60">
        <v>22.137858</v>
      </c>
      <c r="J2435" s="59">
        <v>2.0</v>
      </c>
      <c r="K2435" s="61">
        <f t="shared" si="1"/>
        <v>1</v>
      </c>
      <c r="L2435" s="62">
        <f t="shared" si="2"/>
        <v>2</v>
      </c>
    </row>
    <row r="2436">
      <c r="A2436" s="58">
        <v>45962.0</v>
      </c>
      <c r="B2436" s="24" t="s">
        <v>6787</v>
      </c>
      <c r="C2436" s="24" t="s">
        <v>7255</v>
      </c>
      <c r="D2436" s="59">
        <v>1.0</v>
      </c>
      <c r="E2436" s="59">
        <v>1.0</v>
      </c>
      <c r="F2436" s="59">
        <v>1.0</v>
      </c>
      <c r="G2436" s="60">
        <v>1.0</v>
      </c>
      <c r="H2436" s="60">
        <v>1.0</v>
      </c>
      <c r="I2436" s="60">
        <v>7.020859</v>
      </c>
      <c r="J2436" s="59">
        <v>1.0</v>
      </c>
      <c r="K2436" s="61">
        <f t="shared" si="1"/>
        <v>1</v>
      </c>
      <c r="L2436" s="62">
        <f t="shared" si="2"/>
        <v>1</v>
      </c>
    </row>
    <row r="2437">
      <c r="A2437" s="58">
        <v>45962.0</v>
      </c>
      <c r="B2437" s="24" t="s">
        <v>6855</v>
      </c>
      <c r="C2437" s="24" t="s">
        <v>7021</v>
      </c>
      <c r="D2437" s="59">
        <v>1.0</v>
      </c>
      <c r="E2437" s="59">
        <v>1.0</v>
      </c>
      <c r="F2437" s="59">
        <v>1.0</v>
      </c>
      <c r="G2437" s="60">
        <v>1.0</v>
      </c>
      <c r="H2437" s="60">
        <v>1.0</v>
      </c>
      <c r="I2437" s="60">
        <v>0.0</v>
      </c>
      <c r="J2437" s="59">
        <v>1.0</v>
      </c>
      <c r="K2437" s="61">
        <f t="shared" si="1"/>
        <v>1</v>
      </c>
      <c r="L2437" s="62">
        <f t="shared" si="2"/>
        <v>1</v>
      </c>
    </row>
    <row r="2438">
      <c r="A2438" s="58">
        <v>45962.0</v>
      </c>
      <c r="B2438" s="24" t="s">
        <v>155</v>
      </c>
      <c r="C2438" s="24" t="s">
        <v>7021</v>
      </c>
      <c r="D2438" s="59">
        <v>1.0</v>
      </c>
      <c r="E2438" s="59">
        <v>1.0</v>
      </c>
      <c r="F2438" s="59">
        <v>0.0</v>
      </c>
      <c r="G2438" s="60">
        <v>1.0</v>
      </c>
      <c r="H2438" s="60">
        <v>0.0</v>
      </c>
      <c r="I2438" s="60">
        <v>405.307969</v>
      </c>
      <c r="J2438" s="59">
        <v>2.0</v>
      </c>
      <c r="K2438" s="61">
        <f t="shared" si="1"/>
        <v>0</v>
      </c>
      <c r="L2438" s="62">
        <f t="shared" si="2"/>
        <v>2</v>
      </c>
    </row>
    <row r="2439">
      <c r="A2439" s="58">
        <v>45962.0</v>
      </c>
      <c r="B2439" s="24" t="s">
        <v>155</v>
      </c>
      <c r="C2439" s="24" t="s">
        <v>6822</v>
      </c>
      <c r="D2439" s="59">
        <v>1.0</v>
      </c>
      <c r="E2439" s="59">
        <v>1.0</v>
      </c>
      <c r="F2439" s="59">
        <v>0.0</v>
      </c>
      <c r="G2439" s="60">
        <v>1.0</v>
      </c>
      <c r="H2439" s="60">
        <v>0.0</v>
      </c>
      <c r="I2439" s="60">
        <v>43.442281</v>
      </c>
      <c r="J2439" s="59">
        <v>2.0</v>
      </c>
      <c r="K2439" s="61">
        <f t="shared" si="1"/>
        <v>0</v>
      </c>
      <c r="L2439" s="62">
        <f t="shared" si="2"/>
        <v>2</v>
      </c>
    </row>
    <row r="2440">
      <c r="A2440" s="58">
        <v>45962.0</v>
      </c>
      <c r="B2440" s="24" t="s">
        <v>6790</v>
      </c>
      <c r="C2440" s="24" t="s">
        <v>6890</v>
      </c>
      <c r="D2440" s="59">
        <v>1.0</v>
      </c>
      <c r="E2440" s="59">
        <v>1.0</v>
      </c>
      <c r="F2440" s="59">
        <v>0.0</v>
      </c>
      <c r="G2440" s="60">
        <v>1.0</v>
      </c>
      <c r="H2440" s="60">
        <v>1.0</v>
      </c>
      <c r="I2440" s="60">
        <v>6.02E-4</v>
      </c>
      <c r="J2440" s="59">
        <v>2.0</v>
      </c>
      <c r="K2440" s="61">
        <f t="shared" si="1"/>
        <v>0</v>
      </c>
      <c r="L2440" s="62">
        <f t="shared" si="2"/>
        <v>2</v>
      </c>
    </row>
    <row r="2441">
      <c r="A2441" s="58">
        <v>45962.0</v>
      </c>
      <c r="B2441" s="24" t="s">
        <v>6787</v>
      </c>
      <c r="C2441" s="24" t="s">
        <v>6999</v>
      </c>
      <c r="D2441" s="59">
        <v>1.0</v>
      </c>
      <c r="E2441" s="59">
        <v>1.0</v>
      </c>
      <c r="F2441" s="59">
        <v>1.0</v>
      </c>
      <c r="G2441" s="60">
        <v>1.0</v>
      </c>
      <c r="H2441" s="60">
        <v>0.0</v>
      </c>
      <c r="I2441" s="60">
        <v>28.036383</v>
      </c>
      <c r="J2441" s="59">
        <v>1.0</v>
      </c>
      <c r="K2441" s="61">
        <f t="shared" si="1"/>
        <v>1</v>
      </c>
      <c r="L2441" s="62">
        <f t="shared" si="2"/>
        <v>1</v>
      </c>
    </row>
    <row r="2442">
      <c r="A2442" s="58">
        <v>45962.0</v>
      </c>
      <c r="B2442" s="24" t="s">
        <v>6790</v>
      </c>
      <c r="C2442" s="24" t="s">
        <v>6894</v>
      </c>
      <c r="D2442" s="59">
        <v>1.0</v>
      </c>
      <c r="E2442" s="59">
        <v>1.0</v>
      </c>
      <c r="F2442" s="59">
        <v>0.0</v>
      </c>
      <c r="G2442" s="60">
        <v>1.0</v>
      </c>
      <c r="H2442" s="60">
        <v>0.0</v>
      </c>
      <c r="I2442" s="60">
        <v>102.624615</v>
      </c>
      <c r="J2442" s="59">
        <v>2.0</v>
      </c>
      <c r="K2442" s="61">
        <f t="shared" si="1"/>
        <v>0</v>
      </c>
      <c r="L2442" s="62">
        <f t="shared" si="2"/>
        <v>2</v>
      </c>
    </row>
    <row r="2443">
      <c r="A2443" s="58">
        <v>45962.0</v>
      </c>
      <c r="B2443" s="24" t="s">
        <v>6789</v>
      </c>
      <c r="C2443" s="24" t="s">
        <v>6840</v>
      </c>
      <c r="D2443" s="59">
        <v>1.0</v>
      </c>
      <c r="E2443" s="59">
        <v>1.0</v>
      </c>
      <c r="F2443" s="59">
        <v>0.0</v>
      </c>
      <c r="G2443" s="60">
        <v>1.0</v>
      </c>
      <c r="H2443" s="60">
        <v>0.0</v>
      </c>
      <c r="I2443" s="60">
        <v>12.658399</v>
      </c>
      <c r="J2443" s="59">
        <v>1.0</v>
      </c>
      <c r="K2443" s="61">
        <f t="shared" si="1"/>
        <v>0</v>
      </c>
      <c r="L2443" s="62">
        <f t="shared" si="2"/>
        <v>1</v>
      </c>
    </row>
    <row r="2444">
      <c r="A2444" s="58">
        <v>45962.0</v>
      </c>
      <c r="B2444" s="24" t="s">
        <v>6794</v>
      </c>
      <c r="C2444" s="24" t="s">
        <v>6823</v>
      </c>
      <c r="D2444" s="59">
        <v>1.0</v>
      </c>
      <c r="E2444" s="59">
        <v>1.0</v>
      </c>
      <c r="F2444" s="59">
        <v>0.0</v>
      </c>
      <c r="G2444" s="60">
        <v>1.0</v>
      </c>
      <c r="H2444" s="60">
        <v>0.0</v>
      </c>
      <c r="I2444" s="60">
        <v>4.608104</v>
      </c>
      <c r="J2444" s="59">
        <v>2.0</v>
      </c>
      <c r="K2444" s="61">
        <f t="shared" si="1"/>
        <v>0</v>
      </c>
      <c r="L2444" s="62">
        <f t="shared" si="2"/>
        <v>2</v>
      </c>
    </row>
    <row r="2445">
      <c r="A2445" s="58">
        <v>45962.0</v>
      </c>
      <c r="B2445" s="24" t="s">
        <v>155</v>
      </c>
      <c r="C2445" s="24" t="s">
        <v>6841</v>
      </c>
      <c r="D2445" s="59">
        <v>1.0</v>
      </c>
      <c r="E2445" s="59">
        <v>2.0</v>
      </c>
      <c r="F2445" s="59">
        <v>1.0</v>
      </c>
      <c r="G2445" s="60">
        <v>2.0</v>
      </c>
      <c r="H2445" s="60">
        <v>0.5</v>
      </c>
      <c r="I2445" s="60">
        <v>34.0153815</v>
      </c>
      <c r="J2445" s="59">
        <v>2.0</v>
      </c>
      <c r="K2445" s="61">
        <f t="shared" si="1"/>
        <v>0.5</v>
      </c>
      <c r="L2445" s="62">
        <f t="shared" si="2"/>
        <v>1</v>
      </c>
    </row>
    <row r="2446">
      <c r="A2446" s="58">
        <v>45962.0</v>
      </c>
      <c r="B2446" s="24" t="s">
        <v>6787</v>
      </c>
      <c r="C2446" s="24" t="s">
        <v>7256</v>
      </c>
      <c r="D2446" s="59">
        <v>1.0</v>
      </c>
      <c r="E2446" s="59">
        <v>1.0</v>
      </c>
      <c r="F2446" s="59">
        <v>1.0</v>
      </c>
      <c r="G2446" s="60">
        <v>1.0</v>
      </c>
      <c r="H2446" s="60">
        <v>1.0</v>
      </c>
      <c r="I2446" s="60">
        <v>9.664202</v>
      </c>
      <c r="J2446" s="59">
        <v>1.0</v>
      </c>
      <c r="K2446" s="61">
        <f t="shared" si="1"/>
        <v>1</v>
      </c>
      <c r="L2446" s="62">
        <f t="shared" si="2"/>
        <v>1</v>
      </c>
    </row>
    <row r="2447">
      <c r="A2447" s="58">
        <v>45962.0</v>
      </c>
      <c r="B2447" s="24" t="s">
        <v>155</v>
      </c>
      <c r="C2447" s="24" t="s">
        <v>6811</v>
      </c>
      <c r="D2447" s="59">
        <v>1.0</v>
      </c>
      <c r="E2447" s="59">
        <v>1.0</v>
      </c>
      <c r="F2447" s="59">
        <v>1.0</v>
      </c>
      <c r="G2447" s="60">
        <v>1.0</v>
      </c>
      <c r="H2447" s="60">
        <v>1.0</v>
      </c>
      <c r="I2447" s="60">
        <v>0.0</v>
      </c>
      <c r="J2447" s="59">
        <v>1.0</v>
      </c>
      <c r="K2447" s="61">
        <f t="shared" si="1"/>
        <v>1</v>
      </c>
      <c r="L2447" s="62">
        <f t="shared" si="2"/>
        <v>1</v>
      </c>
    </row>
    <row r="2448">
      <c r="A2448" s="58">
        <v>45962.0</v>
      </c>
      <c r="B2448" s="24" t="s">
        <v>6790</v>
      </c>
      <c r="C2448" s="24" t="s">
        <v>6811</v>
      </c>
      <c r="D2448" s="59">
        <v>1.0</v>
      </c>
      <c r="E2448" s="59">
        <v>1.0</v>
      </c>
      <c r="F2448" s="59">
        <v>0.0</v>
      </c>
      <c r="G2448" s="60">
        <v>1.0</v>
      </c>
      <c r="H2448" s="60">
        <v>0.0</v>
      </c>
      <c r="I2448" s="60">
        <v>753.944945</v>
      </c>
      <c r="J2448" s="59">
        <v>6.0</v>
      </c>
      <c r="K2448" s="61">
        <f t="shared" si="1"/>
        <v>0</v>
      </c>
      <c r="L2448" s="62">
        <f t="shared" si="2"/>
        <v>6</v>
      </c>
    </row>
    <row r="2449">
      <c r="A2449" s="58">
        <v>45962.0</v>
      </c>
      <c r="B2449" s="24" t="s">
        <v>6787</v>
      </c>
      <c r="C2449" s="24" t="s">
        <v>7077</v>
      </c>
      <c r="D2449" s="59">
        <v>1.0</v>
      </c>
      <c r="E2449" s="59">
        <v>1.0</v>
      </c>
      <c r="F2449" s="59">
        <v>1.0</v>
      </c>
      <c r="G2449" s="60">
        <v>1.0</v>
      </c>
      <c r="H2449" s="60">
        <v>0.0</v>
      </c>
      <c r="I2449" s="60">
        <v>11.520213</v>
      </c>
      <c r="J2449" s="59">
        <v>1.0</v>
      </c>
      <c r="K2449" s="61">
        <f t="shared" si="1"/>
        <v>1</v>
      </c>
      <c r="L2449" s="62">
        <f t="shared" si="2"/>
        <v>1</v>
      </c>
    </row>
    <row r="2450">
      <c r="A2450" s="58">
        <v>45962.0</v>
      </c>
      <c r="B2450" s="24" t="s">
        <v>6789</v>
      </c>
      <c r="C2450" s="24" t="s">
        <v>6807</v>
      </c>
      <c r="D2450" s="59">
        <v>1.0</v>
      </c>
      <c r="E2450" s="59">
        <v>1.0</v>
      </c>
      <c r="F2450" s="59">
        <v>0.0</v>
      </c>
      <c r="G2450" s="60">
        <v>1.0</v>
      </c>
      <c r="H2450" s="60">
        <v>0.0</v>
      </c>
      <c r="I2450" s="60">
        <v>742.395315</v>
      </c>
      <c r="J2450" s="59">
        <v>6.0</v>
      </c>
      <c r="K2450" s="61">
        <f t="shared" si="1"/>
        <v>0</v>
      </c>
      <c r="L2450" s="62">
        <f t="shared" si="2"/>
        <v>6</v>
      </c>
    </row>
    <row r="2451">
      <c r="A2451" s="58">
        <v>45962.0</v>
      </c>
      <c r="B2451" s="24" t="s">
        <v>6790</v>
      </c>
      <c r="C2451" s="24" t="s">
        <v>6807</v>
      </c>
      <c r="D2451" s="59">
        <v>1.0</v>
      </c>
      <c r="E2451" s="59">
        <v>1.0</v>
      </c>
      <c r="F2451" s="59">
        <v>1.0</v>
      </c>
      <c r="G2451" s="60">
        <v>1.0</v>
      </c>
      <c r="H2451" s="60">
        <v>0.0</v>
      </c>
      <c r="I2451" s="60">
        <v>11.263451</v>
      </c>
      <c r="J2451" s="59">
        <v>1.0</v>
      </c>
      <c r="K2451" s="61">
        <f t="shared" si="1"/>
        <v>1</v>
      </c>
      <c r="L2451" s="62">
        <f t="shared" si="2"/>
        <v>1</v>
      </c>
    </row>
    <row r="2452">
      <c r="A2452" s="58">
        <v>45962.0</v>
      </c>
      <c r="B2452" s="24" t="s">
        <v>6787</v>
      </c>
      <c r="C2452" s="24" t="s">
        <v>6946</v>
      </c>
      <c r="D2452" s="59">
        <v>1.0</v>
      </c>
      <c r="E2452" s="59">
        <v>1.0</v>
      </c>
      <c r="F2452" s="59">
        <v>1.0</v>
      </c>
      <c r="G2452" s="60">
        <v>1.0</v>
      </c>
      <c r="H2452" s="60">
        <v>1.0</v>
      </c>
      <c r="I2452" s="60">
        <v>0.0</v>
      </c>
      <c r="J2452" s="59">
        <v>1.0</v>
      </c>
      <c r="K2452" s="61">
        <f t="shared" si="1"/>
        <v>1</v>
      </c>
      <c r="L2452" s="62">
        <f t="shared" si="2"/>
        <v>1</v>
      </c>
    </row>
    <row r="2453">
      <c r="A2453" s="58">
        <v>45962.0</v>
      </c>
      <c r="B2453" s="24" t="s">
        <v>6787</v>
      </c>
      <c r="C2453" s="24" t="s">
        <v>7078</v>
      </c>
      <c r="D2453" s="59">
        <v>1.0</v>
      </c>
      <c r="E2453" s="59">
        <v>1.0</v>
      </c>
      <c r="F2453" s="59">
        <v>1.0</v>
      </c>
      <c r="G2453" s="60">
        <v>1.0</v>
      </c>
      <c r="H2453" s="60">
        <v>1.0</v>
      </c>
      <c r="I2453" s="60">
        <v>0.0</v>
      </c>
      <c r="J2453" s="59">
        <v>1.0</v>
      </c>
      <c r="K2453" s="61">
        <f t="shared" si="1"/>
        <v>1</v>
      </c>
      <c r="L2453" s="62">
        <f t="shared" si="2"/>
        <v>1</v>
      </c>
    </row>
    <row r="2454">
      <c r="A2454" s="58">
        <v>45962.0</v>
      </c>
      <c r="B2454" s="24" t="s">
        <v>155</v>
      </c>
      <c r="C2454" s="24" t="s">
        <v>7007</v>
      </c>
      <c r="D2454" s="59">
        <v>1.0</v>
      </c>
      <c r="E2454" s="59">
        <v>1.0</v>
      </c>
      <c r="F2454" s="59">
        <v>0.0</v>
      </c>
      <c r="G2454" s="60">
        <v>1.0</v>
      </c>
      <c r="H2454" s="60">
        <v>1.0</v>
      </c>
      <c r="I2454" s="60">
        <v>0.0</v>
      </c>
      <c r="J2454" s="59">
        <v>1.0</v>
      </c>
      <c r="K2454" s="61">
        <f t="shared" si="1"/>
        <v>0</v>
      </c>
      <c r="L2454" s="62">
        <f t="shared" si="2"/>
        <v>1</v>
      </c>
    </row>
    <row r="2455">
      <c r="A2455" s="58">
        <v>45962.0</v>
      </c>
      <c r="B2455" s="24" t="s">
        <v>6787</v>
      </c>
      <c r="C2455" s="24" t="s">
        <v>6902</v>
      </c>
      <c r="D2455" s="59">
        <v>1.0</v>
      </c>
      <c r="E2455" s="59">
        <v>1.0</v>
      </c>
      <c r="F2455" s="59">
        <v>1.0</v>
      </c>
      <c r="G2455" s="60">
        <v>1.0</v>
      </c>
      <c r="H2455" s="60">
        <v>1.0</v>
      </c>
      <c r="I2455" s="60">
        <v>0.0</v>
      </c>
      <c r="J2455" s="59">
        <v>1.0</v>
      </c>
      <c r="K2455" s="61">
        <f t="shared" si="1"/>
        <v>1</v>
      </c>
      <c r="L2455" s="62">
        <f t="shared" si="2"/>
        <v>1</v>
      </c>
    </row>
    <row r="2456">
      <c r="A2456" s="58">
        <v>45962.0</v>
      </c>
      <c r="B2456" s="24" t="s">
        <v>155</v>
      </c>
      <c r="C2456" s="24" t="s">
        <v>6903</v>
      </c>
      <c r="D2456" s="59">
        <v>1.0</v>
      </c>
      <c r="E2456" s="59">
        <v>1.0</v>
      </c>
      <c r="F2456" s="59">
        <v>1.0</v>
      </c>
      <c r="G2456" s="60">
        <v>1.0</v>
      </c>
      <c r="H2456" s="60">
        <v>0.0</v>
      </c>
      <c r="I2456" s="60">
        <v>11.246286</v>
      </c>
      <c r="J2456" s="59">
        <v>1.0</v>
      </c>
      <c r="K2456" s="61">
        <f t="shared" si="1"/>
        <v>1</v>
      </c>
      <c r="L2456" s="62">
        <f t="shared" si="2"/>
        <v>1</v>
      </c>
    </row>
    <row r="2457">
      <c r="A2457" s="58">
        <v>45962.0</v>
      </c>
      <c r="B2457" s="24" t="s">
        <v>6787</v>
      </c>
      <c r="C2457" s="24" t="s">
        <v>7033</v>
      </c>
      <c r="D2457" s="59">
        <v>1.0</v>
      </c>
      <c r="E2457" s="59">
        <v>1.0</v>
      </c>
      <c r="F2457" s="59">
        <v>1.0</v>
      </c>
      <c r="G2457" s="60">
        <v>1.0</v>
      </c>
      <c r="H2457" s="60">
        <v>1.0</v>
      </c>
      <c r="I2457" s="60">
        <v>6.876123</v>
      </c>
      <c r="J2457" s="59">
        <v>1.0</v>
      </c>
      <c r="K2457" s="61">
        <f t="shared" si="1"/>
        <v>1</v>
      </c>
      <c r="L2457" s="62">
        <f t="shared" si="2"/>
        <v>1</v>
      </c>
    </row>
    <row r="2458">
      <c r="A2458" s="58">
        <v>45962.0</v>
      </c>
      <c r="B2458" s="24" t="s">
        <v>6789</v>
      </c>
      <c r="C2458" s="24" t="s">
        <v>6904</v>
      </c>
      <c r="D2458" s="59">
        <v>1.0</v>
      </c>
      <c r="E2458" s="59">
        <v>2.0</v>
      </c>
      <c r="F2458" s="59">
        <v>0.0</v>
      </c>
      <c r="G2458" s="60">
        <v>2.0</v>
      </c>
      <c r="H2458" s="60">
        <v>0.5</v>
      </c>
      <c r="I2458" s="60">
        <v>348.8847605</v>
      </c>
      <c r="J2458" s="59">
        <v>3.0</v>
      </c>
      <c r="K2458" s="61">
        <f t="shared" si="1"/>
        <v>0</v>
      </c>
      <c r="L2458" s="62">
        <f t="shared" si="2"/>
        <v>1.5</v>
      </c>
    </row>
    <row r="2459">
      <c r="A2459" s="58">
        <v>45962.0</v>
      </c>
      <c r="B2459" s="24" t="s">
        <v>6787</v>
      </c>
      <c r="C2459" s="24" t="s">
        <v>7257</v>
      </c>
      <c r="D2459" s="59">
        <v>1.0</v>
      </c>
      <c r="E2459" s="59">
        <v>1.0</v>
      </c>
      <c r="F2459" s="59">
        <v>2.0</v>
      </c>
      <c r="G2459" s="60">
        <v>1.0</v>
      </c>
      <c r="H2459" s="60">
        <v>0.0</v>
      </c>
      <c r="I2459" s="60">
        <v>4.842214</v>
      </c>
      <c r="J2459" s="59">
        <v>2.0</v>
      </c>
      <c r="K2459" s="61">
        <f t="shared" si="1"/>
        <v>2</v>
      </c>
      <c r="L2459" s="62">
        <f t="shared" si="2"/>
        <v>2</v>
      </c>
    </row>
    <row r="2460">
      <c r="A2460" s="58">
        <v>45962.0</v>
      </c>
      <c r="B2460" s="24" t="s">
        <v>6787</v>
      </c>
      <c r="C2460" s="24" t="s">
        <v>7258</v>
      </c>
      <c r="D2460" s="59">
        <v>1.0</v>
      </c>
      <c r="E2460" s="59">
        <v>1.0</v>
      </c>
      <c r="F2460" s="59">
        <v>1.0</v>
      </c>
      <c r="G2460" s="60">
        <v>1.0</v>
      </c>
      <c r="H2460" s="60">
        <v>0.0</v>
      </c>
      <c r="I2460" s="60">
        <v>21.770264</v>
      </c>
      <c r="J2460" s="59">
        <v>1.0</v>
      </c>
      <c r="K2460" s="61">
        <f t="shared" si="1"/>
        <v>1</v>
      </c>
      <c r="L2460" s="62">
        <f t="shared" si="2"/>
        <v>1</v>
      </c>
    </row>
    <row r="2461">
      <c r="A2461" s="58">
        <v>45962.0</v>
      </c>
      <c r="B2461" s="24" t="s">
        <v>6787</v>
      </c>
      <c r="C2461" s="24" t="s">
        <v>7259</v>
      </c>
      <c r="D2461" s="59">
        <v>1.0</v>
      </c>
      <c r="E2461" s="59">
        <v>1.0</v>
      </c>
      <c r="F2461" s="59">
        <v>1.0</v>
      </c>
      <c r="G2461" s="60">
        <v>1.0</v>
      </c>
      <c r="H2461" s="60">
        <v>0.0</v>
      </c>
      <c r="I2461" s="60">
        <v>12.372892</v>
      </c>
      <c r="J2461" s="59">
        <v>1.0</v>
      </c>
      <c r="K2461" s="61">
        <f t="shared" si="1"/>
        <v>1</v>
      </c>
      <c r="L2461" s="62">
        <f t="shared" si="2"/>
        <v>1</v>
      </c>
    </row>
    <row r="2462">
      <c r="A2462" s="58">
        <v>45962.0</v>
      </c>
      <c r="B2462" s="24" t="s">
        <v>6787</v>
      </c>
      <c r="C2462" s="24" t="s">
        <v>7134</v>
      </c>
      <c r="D2462" s="59">
        <v>1.0</v>
      </c>
      <c r="E2462" s="59">
        <v>1.0</v>
      </c>
      <c r="F2462" s="59">
        <v>1.0</v>
      </c>
      <c r="G2462" s="60">
        <v>1.0</v>
      </c>
      <c r="H2462" s="60">
        <v>1.0</v>
      </c>
      <c r="I2462" s="60">
        <v>0.0</v>
      </c>
      <c r="J2462" s="59">
        <v>1.0</v>
      </c>
      <c r="K2462" s="61">
        <f t="shared" si="1"/>
        <v>1</v>
      </c>
      <c r="L2462" s="62">
        <f t="shared" si="2"/>
        <v>1</v>
      </c>
    </row>
    <row r="2463">
      <c r="A2463" s="58">
        <v>45962.0</v>
      </c>
      <c r="B2463" s="24" t="s">
        <v>6789</v>
      </c>
      <c r="C2463" s="24" t="s">
        <v>7134</v>
      </c>
      <c r="D2463" s="59">
        <v>1.0</v>
      </c>
      <c r="E2463" s="59">
        <v>1.0</v>
      </c>
      <c r="F2463" s="59">
        <v>1.0</v>
      </c>
      <c r="G2463" s="60">
        <v>1.0</v>
      </c>
      <c r="H2463" s="60">
        <v>0.0</v>
      </c>
      <c r="I2463" s="60">
        <v>181.340874</v>
      </c>
      <c r="J2463" s="59">
        <v>1.0</v>
      </c>
      <c r="K2463" s="61">
        <f t="shared" si="1"/>
        <v>1</v>
      </c>
      <c r="L2463" s="62">
        <f t="shared" si="2"/>
        <v>1</v>
      </c>
    </row>
    <row r="2464">
      <c r="A2464" s="58">
        <v>45962.0</v>
      </c>
      <c r="B2464" s="24" t="s">
        <v>155</v>
      </c>
      <c r="C2464" s="24" t="s">
        <v>7134</v>
      </c>
      <c r="D2464" s="59">
        <v>1.0</v>
      </c>
      <c r="E2464" s="59">
        <v>1.0</v>
      </c>
      <c r="F2464" s="59">
        <v>0.0</v>
      </c>
      <c r="G2464" s="60">
        <v>0.0</v>
      </c>
      <c r="H2464" s="60">
        <v>1.0</v>
      </c>
      <c r="I2464" s="60">
        <v>0.0</v>
      </c>
      <c r="J2464" s="59">
        <v>1.0</v>
      </c>
      <c r="K2464" s="61">
        <f t="shared" si="1"/>
        <v>0</v>
      </c>
      <c r="L2464" s="62">
        <f t="shared" si="2"/>
        <v>1</v>
      </c>
    </row>
    <row r="2465">
      <c r="A2465" s="58">
        <v>45962.0</v>
      </c>
      <c r="B2465" s="24" t="s">
        <v>6789</v>
      </c>
      <c r="C2465" s="24" t="s">
        <v>7081</v>
      </c>
      <c r="D2465" s="59">
        <v>1.0</v>
      </c>
      <c r="E2465" s="59">
        <v>2.0</v>
      </c>
      <c r="F2465" s="59">
        <v>0.0</v>
      </c>
      <c r="G2465" s="60">
        <v>2.0</v>
      </c>
      <c r="H2465" s="60">
        <v>0.5</v>
      </c>
      <c r="I2465" s="60">
        <v>35.449059</v>
      </c>
      <c r="J2465" s="59">
        <v>3.0</v>
      </c>
      <c r="K2465" s="61">
        <f t="shared" si="1"/>
        <v>0</v>
      </c>
      <c r="L2465" s="62">
        <f t="shared" si="2"/>
        <v>1.5</v>
      </c>
    </row>
    <row r="2466">
      <c r="A2466" s="58">
        <v>45962.0</v>
      </c>
      <c r="B2466" s="24" t="s">
        <v>7100</v>
      </c>
      <c r="C2466" s="24" t="s">
        <v>7081</v>
      </c>
      <c r="D2466" s="59">
        <v>1.0</v>
      </c>
      <c r="E2466" s="59">
        <v>1.0</v>
      </c>
      <c r="F2466" s="59">
        <v>1.0</v>
      </c>
      <c r="G2466" s="60">
        <v>1.0</v>
      </c>
      <c r="H2466" s="60">
        <v>0.0</v>
      </c>
      <c r="I2466" s="60">
        <v>12.65635</v>
      </c>
      <c r="J2466" s="59">
        <v>1.0</v>
      </c>
      <c r="K2466" s="61">
        <f t="shared" si="1"/>
        <v>1</v>
      </c>
      <c r="L2466" s="62">
        <f t="shared" si="2"/>
        <v>1</v>
      </c>
    </row>
    <row r="2467">
      <c r="A2467" s="58">
        <v>45962.0</v>
      </c>
      <c r="B2467" s="24" t="s">
        <v>6790</v>
      </c>
      <c r="C2467" s="24" t="s">
        <v>7188</v>
      </c>
      <c r="D2467" s="59">
        <v>1.0</v>
      </c>
      <c r="E2467" s="59">
        <v>1.0</v>
      </c>
      <c r="F2467" s="59">
        <v>0.0</v>
      </c>
      <c r="G2467" s="60">
        <v>1.0</v>
      </c>
      <c r="H2467" s="60">
        <v>0.0</v>
      </c>
      <c r="I2467" s="60">
        <v>17.305055</v>
      </c>
      <c r="J2467" s="59">
        <v>3.0</v>
      </c>
      <c r="K2467" s="61">
        <f t="shared" si="1"/>
        <v>0</v>
      </c>
      <c r="L2467" s="62">
        <f t="shared" si="2"/>
        <v>3</v>
      </c>
    </row>
    <row r="2468">
      <c r="A2468" s="58">
        <v>45962.0</v>
      </c>
      <c r="B2468" s="24" t="s">
        <v>155</v>
      </c>
      <c r="C2468" s="24" t="s">
        <v>7120</v>
      </c>
      <c r="D2468" s="59">
        <v>1.0</v>
      </c>
      <c r="E2468" s="59">
        <v>1.0</v>
      </c>
      <c r="F2468" s="59">
        <v>0.0</v>
      </c>
      <c r="G2468" s="60">
        <v>1.0</v>
      </c>
      <c r="H2468" s="60">
        <v>0.0</v>
      </c>
      <c r="I2468" s="60">
        <v>97.074306</v>
      </c>
      <c r="J2468" s="59">
        <v>1.0</v>
      </c>
      <c r="K2468" s="61">
        <f t="shared" si="1"/>
        <v>0</v>
      </c>
      <c r="L2468" s="62">
        <f t="shared" si="2"/>
        <v>1</v>
      </c>
    </row>
    <row r="2469">
      <c r="A2469" s="58">
        <v>45962.0</v>
      </c>
      <c r="B2469" s="24" t="s">
        <v>6789</v>
      </c>
      <c r="C2469" s="24" t="s">
        <v>7157</v>
      </c>
      <c r="D2469" s="59">
        <v>1.0</v>
      </c>
      <c r="E2469" s="59">
        <v>1.0</v>
      </c>
      <c r="F2469" s="59">
        <v>0.0</v>
      </c>
      <c r="G2469" s="60">
        <v>1.0</v>
      </c>
      <c r="H2469" s="60">
        <v>0.0</v>
      </c>
      <c r="I2469" s="60">
        <v>492.367085</v>
      </c>
      <c r="J2469" s="59">
        <v>1.0</v>
      </c>
      <c r="K2469" s="61">
        <f t="shared" si="1"/>
        <v>0</v>
      </c>
      <c r="L2469" s="62">
        <f t="shared" si="2"/>
        <v>1</v>
      </c>
    </row>
    <row r="2470">
      <c r="A2470" s="58">
        <v>45962.0</v>
      </c>
      <c r="B2470" s="24" t="s">
        <v>6789</v>
      </c>
      <c r="C2470" s="24" t="s">
        <v>7125</v>
      </c>
      <c r="D2470" s="59">
        <v>1.0</v>
      </c>
      <c r="E2470" s="59">
        <v>2.0</v>
      </c>
      <c r="F2470" s="59">
        <v>0.0</v>
      </c>
      <c r="G2470" s="60">
        <v>2.0</v>
      </c>
      <c r="H2470" s="60">
        <v>0.0</v>
      </c>
      <c r="I2470" s="60">
        <v>1041.068601</v>
      </c>
      <c r="J2470" s="59">
        <v>7.0</v>
      </c>
      <c r="K2470" s="61">
        <f t="shared" si="1"/>
        <v>0</v>
      </c>
      <c r="L2470" s="62">
        <f t="shared" si="2"/>
        <v>3.5</v>
      </c>
    </row>
    <row r="2471">
      <c r="A2471" s="58">
        <v>45962.0</v>
      </c>
      <c r="B2471" s="24" t="s">
        <v>6789</v>
      </c>
      <c r="C2471" s="24" t="s">
        <v>7082</v>
      </c>
      <c r="D2471" s="59">
        <v>1.0</v>
      </c>
      <c r="E2471" s="59">
        <v>1.0</v>
      </c>
      <c r="F2471" s="59">
        <v>0.0</v>
      </c>
      <c r="G2471" s="60">
        <v>1.0</v>
      </c>
      <c r="H2471" s="60">
        <v>0.0</v>
      </c>
      <c r="I2471" s="60">
        <v>643.076893</v>
      </c>
      <c r="J2471" s="59">
        <v>1.0</v>
      </c>
      <c r="K2471" s="61">
        <f t="shared" si="1"/>
        <v>0</v>
      </c>
      <c r="L2471" s="62">
        <f t="shared" si="2"/>
        <v>1</v>
      </c>
    </row>
    <row r="2472">
      <c r="A2472" s="58">
        <v>45962.0</v>
      </c>
      <c r="B2472" s="24" t="s">
        <v>6787</v>
      </c>
      <c r="C2472" s="24" t="s">
        <v>7260</v>
      </c>
      <c r="D2472" s="59">
        <v>1.0</v>
      </c>
      <c r="E2472" s="59">
        <v>1.0</v>
      </c>
      <c r="F2472" s="59">
        <v>1.0</v>
      </c>
      <c r="G2472" s="60">
        <v>1.0</v>
      </c>
      <c r="H2472" s="60">
        <v>1.0</v>
      </c>
      <c r="I2472" s="60">
        <v>5.943206</v>
      </c>
      <c r="J2472" s="59">
        <v>1.0</v>
      </c>
      <c r="K2472" s="61">
        <f t="shared" si="1"/>
        <v>1</v>
      </c>
      <c r="L2472" s="62">
        <f t="shared" si="2"/>
        <v>1</v>
      </c>
    </row>
    <row r="2473">
      <c r="A2473" s="58">
        <v>45962.0</v>
      </c>
      <c r="B2473" s="24" t="s">
        <v>155</v>
      </c>
      <c r="C2473" s="24" t="s">
        <v>7233</v>
      </c>
      <c r="D2473" s="59">
        <v>1.0</v>
      </c>
      <c r="E2473" s="59">
        <v>3.0</v>
      </c>
      <c r="F2473" s="59">
        <v>0.0</v>
      </c>
      <c r="G2473" s="60">
        <v>3.0</v>
      </c>
      <c r="H2473" s="60">
        <v>0.333333333333333</v>
      </c>
      <c r="I2473" s="60">
        <v>548.038029333333</v>
      </c>
      <c r="J2473" s="59">
        <v>7.0</v>
      </c>
      <c r="K2473" s="61">
        <f t="shared" si="1"/>
        <v>0</v>
      </c>
      <c r="L2473" s="62">
        <f t="shared" si="2"/>
        <v>2.333333333</v>
      </c>
    </row>
    <row r="2474">
      <c r="A2474" s="58">
        <v>45962.0</v>
      </c>
      <c r="B2474" s="24" t="s">
        <v>6789</v>
      </c>
      <c r="C2474" s="24" t="s">
        <v>7226</v>
      </c>
      <c r="D2474" s="59">
        <v>1.0</v>
      </c>
      <c r="E2474" s="59">
        <v>1.0</v>
      </c>
      <c r="F2474" s="59">
        <v>0.0</v>
      </c>
      <c r="G2474" s="60">
        <v>1.0</v>
      </c>
      <c r="H2474" s="60">
        <v>0.0</v>
      </c>
      <c r="I2474" s="60">
        <v>888.430993</v>
      </c>
      <c r="J2474" s="59">
        <v>3.0</v>
      </c>
      <c r="K2474" s="61">
        <f t="shared" si="1"/>
        <v>0</v>
      </c>
      <c r="L2474" s="62">
        <f t="shared" si="2"/>
        <v>3</v>
      </c>
    </row>
    <row r="2475">
      <c r="A2475" s="58">
        <v>45962.0</v>
      </c>
      <c r="B2475" s="24" t="s">
        <v>6791</v>
      </c>
      <c r="C2475" s="24" t="s">
        <v>7084</v>
      </c>
      <c r="D2475" s="59">
        <v>1.0</v>
      </c>
      <c r="E2475" s="59">
        <v>1.0</v>
      </c>
      <c r="F2475" s="59">
        <v>1.0</v>
      </c>
      <c r="G2475" s="60">
        <v>1.0</v>
      </c>
      <c r="H2475" s="60">
        <v>0.0</v>
      </c>
      <c r="I2475" s="60">
        <v>10.011394</v>
      </c>
      <c r="J2475" s="59">
        <v>1.0</v>
      </c>
      <c r="K2475" s="61">
        <f t="shared" si="1"/>
        <v>1</v>
      </c>
      <c r="L2475" s="62">
        <f t="shared" si="2"/>
        <v>1</v>
      </c>
    </row>
    <row r="2476">
      <c r="A2476" s="58">
        <v>45962.0</v>
      </c>
      <c r="B2476" s="24" t="s">
        <v>6789</v>
      </c>
      <c r="C2476" s="24" t="s">
        <v>7121</v>
      </c>
      <c r="D2476" s="59">
        <v>1.0</v>
      </c>
      <c r="E2476" s="59">
        <v>1.0</v>
      </c>
      <c r="F2476" s="59">
        <v>0.0</v>
      </c>
      <c r="G2476" s="60">
        <v>1.0</v>
      </c>
      <c r="H2476" s="60">
        <v>0.0</v>
      </c>
      <c r="I2476" s="60">
        <v>101.260162</v>
      </c>
      <c r="J2476" s="59">
        <v>4.0</v>
      </c>
      <c r="K2476" s="61">
        <f t="shared" si="1"/>
        <v>0</v>
      </c>
      <c r="L2476" s="62">
        <f t="shared" si="2"/>
        <v>4</v>
      </c>
    </row>
    <row r="2477">
      <c r="A2477" s="58">
        <v>45962.0</v>
      </c>
      <c r="B2477" s="24" t="s">
        <v>6942</v>
      </c>
      <c r="C2477" s="24" t="s">
        <v>7121</v>
      </c>
      <c r="D2477" s="59">
        <v>1.0</v>
      </c>
      <c r="E2477" s="59">
        <v>1.0</v>
      </c>
      <c r="F2477" s="59">
        <v>1.0</v>
      </c>
      <c r="G2477" s="60">
        <v>1.0</v>
      </c>
      <c r="H2477" s="60">
        <v>1.0</v>
      </c>
      <c r="I2477" s="60">
        <v>0.0</v>
      </c>
      <c r="J2477" s="59">
        <v>1.0</v>
      </c>
      <c r="K2477" s="61">
        <f t="shared" si="1"/>
        <v>1</v>
      </c>
      <c r="L2477" s="62">
        <f t="shared" si="2"/>
        <v>1</v>
      </c>
    </row>
    <row r="2478">
      <c r="A2478" s="58">
        <v>45962.0</v>
      </c>
      <c r="B2478" s="24" t="s">
        <v>6791</v>
      </c>
      <c r="C2478" s="24" t="s">
        <v>7231</v>
      </c>
      <c r="D2478" s="59">
        <v>1.0</v>
      </c>
      <c r="E2478" s="59">
        <v>1.0</v>
      </c>
      <c r="F2478" s="59">
        <v>0.0</v>
      </c>
      <c r="G2478" s="60">
        <v>1.0</v>
      </c>
      <c r="H2478" s="60">
        <v>1.0</v>
      </c>
      <c r="I2478" s="60">
        <v>0.0</v>
      </c>
      <c r="J2478" s="59">
        <v>1.0</v>
      </c>
      <c r="K2478" s="61">
        <f t="shared" si="1"/>
        <v>0</v>
      </c>
      <c r="L2478" s="62">
        <f t="shared" si="2"/>
        <v>1</v>
      </c>
    </row>
    <row r="2479">
      <c r="A2479" s="58">
        <v>45962.0</v>
      </c>
      <c r="B2479" s="24" t="s">
        <v>6789</v>
      </c>
      <c r="C2479" s="24" t="s">
        <v>7261</v>
      </c>
      <c r="D2479" s="59">
        <v>1.0</v>
      </c>
      <c r="E2479" s="59">
        <v>1.0</v>
      </c>
      <c r="F2479" s="59">
        <v>0.0</v>
      </c>
      <c r="G2479" s="60">
        <v>1.0</v>
      </c>
      <c r="H2479" s="60">
        <v>1.0</v>
      </c>
      <c r="I2479" s="60">
        <v>9.75774</v>
      </c>
      <c r="J2479" s="59">
        <v>1.0</v>
      </c>
      <c r="K2479" s="61">
        <f t="shared" si="1"/>
        <v>0</v>
      </c>
      <c r="L2479" s="62">
        <f t="shared" si="2"/>
        <v>1</v>
      </c>
    </row>
    <row r="2480">
      <c r="A2480" s="58">
        <v>45962.0</v>
      </c>
      <c r="B2480" s="24" t="s">
        <v>155</v>
      </c>
      <c r="C2480" s="24" t="s">
        <v>7261</v>
      </c>
      <c r="D2480" s="59">
        <v>1.0</v>
      </c>
      <c r="E2480" s="59">
        <v>2.0</v>
      </c>
      <c r="F2480" s="59">
        <v>0.0</v>
      </c>
      <c r="G2480" s="60">
        <v>2.0</v>
      </c>
      <c r="H2480" s="60">
        <v>0.0</v>
      </c>
      <c r="I2480" s="60">
        <v>342.675242</v>
      </c>
      <c r="J2480" s="59">
        <v>6.0</v>
      </c>
      <c r="K2480" s="61">
        <f t="shared" si="1"/>
        <v>0</v>
      </c>
      <c r="L2480" s="62">
        <f t="shared" si="2"/>
        <v>3</v>
      </c>
    </row>
    <row r="2481">
      <c r="A2481" s="58">
        <v>45962.0</v>
      </c>
      <c r="B2481" s="24" t="s">
        <v>155</v>
      </c>
      <c r="C2481" s="24" t="s">
        <v>7238</v>
      </c>
      <c r="D2481" s="59">
        <v>1.0</v>
      </c>
      <c r="E2481" s="59">
        <v>2.0</v>
      </c>
      <c r="F2481" s="59">
        <v>0.0</v>
      </c>
      <c r="G2481" s="60">
        <v>2.0</v>
      </c>
      <c r="H2481" s="60">
        <v>1.0</v>
      </c>
      <c r="I2481" s="60">
        <v>0.394944</v>
      </c>
      <c r="J2481" s="59">
        <v>2.0</v>
      </c>
      <c r="K2481" s="61">
        <f t="shared" si="1"/>
        <v>0</v>
      </c>
      <c r="L2481" s="62">
        <f t="shared" si="2"/>
        <v>1</v>
      </c>
    </row>
    <row r="2482">
      <c r="A2482" s="58">
        <v>45962.0</v>
      </c>
      <c r="B2482" s="24" t="s">
        <v>6787</v>
      </c>
      <c r="C2482" s="24" t="s">
        <v>7262</v>
      </c>
      <c r="D2482" s="59">
        <v>1.0</v>
      </c>
      <c r="E2482" s="59">
        <v>1.0</v>
      </c>
      <c r="F2482" s="59">
        <v>1.0</v>
      </c>
      <c r="G2482" s="60">
        <v>1.0</v>
      </c>
      <c r="H2482" s="60">
        <v>1.0</v>
      </c>
      <c r="I2482" s="60">
        <v>7.478798</v>
      </c>
      <c r="J2482" s="59">
        <v>1.0</v>
      </c>
      <c r="K2482" s="61">
        <f t="shared" si="1"/>
        <v>1</v>
      </c>
      <c r="L2482" s="62">
        <f t="shared" si="2"/>
        <v>1</v>
      </c>
    </row>
    <row r="2483">
      <c r="A2483" s="58">
        <v>45962.0</v>
      </c>
      <c r="B2483" s="24" t="s">
        <v>6791</v>
      </c>
      <c r="C2483" s="24" t="s">
        <v>6808</v>
      </c>
      <c r="D2483" s="59">
        <v>1.0</v>
      </c>
      <c r="E2483" s="59">
        <v>1.0</v>
      </c>
      <c r="F2483" s="59">
        <v>0.0</v>
      </c>
      <c r="G2483" s="60">
        <v>1.0</v>
      </c>
      <c r="H2483" s="60">
        <v>1.0</v>
      </c>
      <c r="I2483" s="60">
        <v>5.299883</v>
      </c>
      <c r="J2483" s="59">
        <v>1.0</v>
      </c>
      <c r="K2483" s="61">
        <f t="shared" si="1"/>
        <v>0</v>
      </c>
      <c r="L2483" s="62">
        <f t="shared" si="2"/>
        <v>1</v>
      </c>
    </row>
    <row r="2484">
      <c r="A2484" s="58">
        <v>45962.0</v>
      </c>
      <c r="B2484" s="24" t="s">
        <v>155</v>
      </c>
      <c r="C2484" s="24" t="s">
        <v>7087</v>
      </c>
      <c r="D2484" s="59">
        <v>1.0</v>
      </c>
      <c r="E2484" s="59">
        <v>1.0</v>
      </c>
      <c r="F2484" s="59">
        <v>1.0</v>
      </c>
      <c r="G2484" s="60">
        <v>1.0</v>
      </c>
      <c r="H2484" s="60">
        <v>0.0</v>
      </c>
      <c r="I2484" s="60">
        <v>159.033191</v>
      </c>
      <c r="J2484" s="59">
        <v>3.0</v>
      </c>
      <c r="K2484" s="61">
        <f t="shared" si="1"/>
        <v>1</v>
      </c>
      <c r="L2484" s="62">
        <f t="shared" si="2"/>
        <v>3</v>
      </c>
    </row>
    <row r="2485">
      <c r="A2485" s="58">
        <v>45962.0</v>
      </c>
      <c r="B2485" s="24" t="s">
        <v>6787</v>
      </c>
      <c r="C2485" s="24" t="s">
        <v>7263</v>
      </c>
      <c r="D2485" s="59">
        <v>1.0</v>
      </c>
      <c r="E2485" s="59">
        <v>1.0</v>
      </c>
      <c r="F2485" s="59">
        <v>1.0</v>
      </c>
      <c r="G2485" s="60">
        <v>1.0</v>
      </c>
      <c r="H2485" s="60">
        <v>1.0</v>
      </c>
      <c r="I2485" s="60">
        <v>2.271874</v>
      </c>
      <c r="J2485" s="59">
        <v>1.0</v>
      </c>
      <c r="K2485" s="61">
        <f t="shared" si="1"/>
        <v>1</v>
      </c>
      <c r="L2485" s="62">
        <f t="shared" si="2"/>
        <v>1</v>
      </c>
    </row>
    <row r="2486">
      <c r="A2486" s="58">
        <v>45962.0</v>
      </c>
      <c r="B2486" s="24" t="s">
        <v>6787</v>
      </c>
      <c r="C2486" s="24" t="s">
        <v>7264</v>
      </c>
      <c r="D2486" s="59">
        <v>1.0</v>
      </c>
      <c r="E2486" s="59">
        <v>1.0</v>
      </c>
      <c r="F2486" s="59">
        <v>1.0</v>
      </c>
      <c r="G2486" s="60">
        <v>1.0</v>
      </c>
      <c r="H2486" s="60">
        <v>1.0</v>
      </c>
      <c r="I2486" s="60">
        <v>2.468531</v>
      </c>
      <c r="J2486" s="59">
        <v>1.0</v>
      </c>
      <c r="K2486" s="61">
        <f t="shared" si="1"/>
        <v>1</v>
      </c>
      <c r="L2486" s="62">
        <f t="shared" si="2"/>
        <v>1</v>
      </c>
    </row>
    <row r="2487">
      <c r="A2487" s="58">
        <v>45962.0</v>
      </c>
      <c r="B2487" s="24" t="s">
        <v>6789</v>
      </c>
      <c r="C2487" s="24" t="s">
        <v>7026</v>
      </c>
      <c r="D2487" s="59">
        <v>1.0</v>
      </c>
      <c r="E2487" s="59">
        <v>1.0</v>
      </c>
      <c r="F2487" s="59">
        <v>0.0</v>
      </c>
      <c r="G2487" s="60">
        <v>1.0</v>
      </c>
      <c r="H2487" s="60">
        <v>0.0</v>
      </c>
      <c r="I2487" s="60">
        <v>24.798019</v>
      </c>
      <c r="J2487" s="59">
        <v>1.0</v>
      </c>
      <c r="K2487" s="61">
        <f t="shared" si="1"/>
        <v>0</v>
      </c>
      <c r="L2487" s="62">
        <f t="shared" si="2"/>
        <v>1</v>
      </c>
    </row>
    <row r="2488">
      <c r="A2488" s="58">
        <v>45962.0</v>
      </c>
      <c r="B2488" s="24" t="s">
        <v>6787</v>
      </c>
      <c r="C2488" s="24" t="s">
        <v>7088</v>
      </c>
      <c r="D2488" s="59">
        <v>1.0</v>
      </c>
      <c r="E2488" s="59">
        <v>1.0</v>
      </c>
      <c r="F2488" s="59">
        <v>1.0</v>
      </c>
      <c r="G2488" s="60">
        <v>1.0</v>
      </c>
      <c r="H2488" s="60">
        <v>1.0</v>
      </c>
      <c r="I2488" s="60">
        <v>0.0</v>
      </c>
      <c r="J2488" s="59">
        <v>1.0</v>
      </c>
      <c r="K2488" s="61">
        <f t="shared" si="1"/>
        <v>1</v>
      </c>
      <c r="L2488" s="62">
        <f t="shared" si="2"/>
        <v>1</v>
      </c>
    </row>
    <row r="2489">
      <c r="A2489" s="58">
        <v>45962.0</v>
      </c>
      <c r="B2489" s="24" t="s">
        <v>6787</v>
      </c>
      <c r="C2489" s="24" t="s">
        <v>7265</v>
      </c>
      <c r="D2489" s="59">
        <v>1.0</v>
      </c>
      <c r="E2489" s="59">
        <v>1.0</v>
      </c>
      <c r="F2489" s="59">
        <v>1.0</v>
      </c>
      <c r="G2489" s="60">
        <v>1.0</v>
      </c>
      <c r="H2489" s="60">
        <v>1.0</v>
      </c>
      <c r="I2489" s="60">
        <v>8.701069</v>
      </c>
      <c r="J2489" s="59">
        <v>1.0</v>
      </c>
      <c r="K2489" s="61">
        <f t="shared" si="1"/>
        <v>1</v>
      </c>
      <c r="L2489" s="62">
        <f t="shared" si="2"/>
        <v>1</v>
      </c>
    </row>
    <row r="2490">
      <c r="A2490" s="58">
        <v>45962.0</v>
      </c>
      <c r="B2490" s="24" t="s">
        <v>6789</v>
      </c>
      <c r="C2490" s="24" t="s">
        <v>7189</v>
      </c>
      <c r="D2490" s="59">
        <v>1.0</v>
      </c>
      <c r="E2490" s="59">
        <v>1.0</v>
      </c>
      <c r="F2490" s="59">
        <v>0.0</v>
      </c>
      <c r="G2490" s="60">
        <v>1.0</v>
      </c>
      <c r="H2490" s="60">
        <v>0.0</v>
      </c>
      <c r="I2490" s="60">
        <v>2152.279874</v>
      </c>
      <c r="J2490" s="59">
        <v>4.0</v>
      </c>
      <c r="K2490" s="61">
        <f t="shared" si="1"/>
        <v>0</v>
      </c>
      <c r="L2490" s="62">
        <f t="shared" si="2"/>
        <v>4</v>
      </c>
    </row>
    <row r="2491">
      <c r="A2491" s="58">
        <v>45962.0</v>
      </c>
      <c r="B2491" s="24" t="s">
        <v>6794</v>
      </c>
      <c r="C2491" s="24" t="s">
        <v>7043</v>
      </c>
      <c r="D2491" s="59">
        <v>1.0</v>
      </c>
      <c r="E2491" s="59">
        <v>1.0</v>
      </c>
      <c r="F2491" s="59">
        <v>1.0</v>
      </c>
      <c r="G2491" s="60">
        <v>1.0</v>
      </c>
      <c r="H2491" s="60">
        <v>0.0</v>
      </c>
      <c r="I2491" s="60">
        <v>103.277989</v>
      </c>
      <c r="J2491" s="59">
        <v>4.0</v>
      </c>
      <c r="K2491" s="61">
        <f t="shared" si="1"/>
        <v>1</v>
      </c>
      <c r="L2491" s="62">
        <f t="shared" si="2"/>
        <v>4</v>
      </c>
    </row>
    <row r="2492">
      <c r="A2492" s="58">
        <v>45962.0</v>
      </c>
      <c r="B2492" s="24" t="s">
        <v>6787</v>
      </c>
      <c r="C2492" s="24" t="s">
        <v>7159</v>
      </c>
      <c r="D2492" s="59">
        <v>1.0</v>
      </c>
      <c r="E2492" s="59">
        <v>2.0</v>
      </c>
      <c r="F2492" s="59">
        <v>0.0</v>
      </c>
      <c r="G2492" s="60">
        <v>2.0</v>
      </c>
      <c r="H2492" s="60">
        <v>0.5</v>
      </c>
      <c r="I2492" s="60">
        <v>468.461002</v>
      </c>
      <c r="J2492" s="59">
        <v>2.0</v>
      </c>
      <c r="K2492" s="61">
        <f t="shared" si="1"/>
        <v>0</v>
      </c>
      <c r="L2492" s="62">
        <f t="shared" si="2"/>
        <v>1</v>
      </c>
    </row>
    <row r="2493">
      <c r="A2493" s="58">
        <v>45962.0</v>
      </c>
      <c r="B2493" s="24" t="s">
        <v>6789</v>
      </c>
      <c r="C2493" s="24" t="s">
        <v>7159</v>
      </c>
      <c r="D2493" s="59">
        <v>1.0</v>
      </c>
      <c r="E2493" s="59">
        <v>2.0</v>
      </c>
      <c r="F2493" s="59">
        <v>1.0</v>
      </c>
      <c r="G2493" s="60">
        <v>2.0</v>
      </c>
      <c r="H2493" s="60">
        <v>0.5</v>
      </c>
      <c r="I2493" s="60">
        <v>534.5459845</v>
      </c>
      <c r="J2493" s="59">
        <v>3.0</v>
      </c>
      <c r="K2493" s="61">
        <f t="shared" si="1"/>
        <v>0.5</v>
      </c>
      <c r="L2493" s="62">
        <f t="shared" si="2"/>
        <v>1.5</v>
      </c>
    </row>
    <row r="2494">
      <c r="A2494" s="58">
        <v>45962.0</v>
      </c>
      <c r="B2494" s="24" t="s">
        <v>155</v>
      </c>
      <c r="C2494" s="24" t="s">
        <v>7159</v>
      </c>
      <c r="D2494" s="59">
        <v>1.0</v>
      </c>
      <c r="E2494" s="59">
        <v>1.0</v>
      </c>
      <c r="F2494" s="59">
        <v>0.0</v>
      </c>
      <c r="G2494" s="60">
        <v>1.0</v>
      </c>
      <c r="H2494" s="60">
        <v>0.0</v>
      </c>
      <c r="I2494" s="60">
        <v>818.247563</v>
      </c>
      <c r="J2494" s="59">
        <v>2.0</v>
      </c>
      <c r="K2494" s="61">
        <f t="shared" si="1"/>
        <v>0</v>
      </c>
      <c r="L2494" s="62">
        <f t="shared" si="2"/>
        <v>2</v>
      </c>
    </row>
    <row r="2495">
      <c r="A2495" s="58">
        <v>45962.0</v>
      </c>
      <c r="B2495" s="24" t="s">
        <v>6787</v>
      </c>
      <c r="C2495" s="24" t="s">
        <v>7160</v>
      </c>
      <c r="D2495" s="59">
        <v>1.0</v>
      </c>
      <c r="E2495" s="59">
        <v>1.0</v>
      </c>
      <c r="F2495" s="59">
        <v>1.0</v>
      </c>
      <c r="G2495" s="60">
        <v>1.0</v>
      </c>
      <c r="H2495" s="60">
        <v>0.0</v>
      </c>
      <c r="I2495" s="60">
        <v>12.892526</v>
      </c>
      <c r="J2495" s="59">
        <v>1.0</v>
      </c>
      <c r="K2495" s="61">
        <f t="shared" si="1"/>
        <v>1</v>
      </c>
      <c r="L2495" s="62">
        <f t="shared" si="2"/>
        <v>1</v>
      </c>
    </row>
    <row r="2496">
      <c r="A2496" s="58">
        <v>45962.0</v>
      </c>
      <c r="B2496" s="24" t="s">
        <v>6787</v>
      </c>
      <c r="C2496" s="24" t="s">
        <v>7190</v>
      </c>
      <c r="D2496" s="59">
        <v>1.0</v>
      </c>
      <c r="E2496" s="59">
        <v>1.0</v>
      </c>
      <c r="F2496" s="59">
        <v>1.0</v>
      </c>
      <c r="G2496" s="60">
        <v>1.0</v>
      </c>
      <c r="H2496" s="60">
        <v>1.0</v>
      </c>
      <c r="I2496" s="60">
        <v>0.0</v>
      </c>
      <c r="J2496" s="59">
        <v>1.0</v>
      </c>
      <c r="K2496" s="61">
        <f t="shared" si="1"/>
        <v>1</v>
      </c>
      <c r="L2496" s="62">
        <f t="shared" si="2"/>
        <v>1</v>
      </c>
    </row>
    <row r="2497">
      <c r="A2497" s="58">
        <v>45962.0</v>
      </c>
      <c r="B2497" s="24" t="s">
        <v>6787</v>
      </c>
      <c r="C2497" s="24" t="s">
        <v>7036</v>
      </c>
      <c r="D2497" s="59">
        <v>1.0</v>
      </c>
      <c r="E2497" s="59">
        <v>1.0</v>
      </c>
      <c r="F2497" s="59">
        <v>1.0</v>
      </c>
      <c r="G2497" s="60">
        <v>1.0</v>
      </c>
      <c r="H2497" s="60">
        <v>1.0</v>
      </c>
      <c r="I2497" s="60">
        <v>0.0</v>
      </c>
      <c r="J2497" s="59">
        <v>1.0</v>
      </c>
      <c r="K2497" s="61">
        <f t="shared" si="1"/>
        <v>1</v>
      </c>
      <c r="L2497" s="62">
        <f t="shared" si="2"/>
        <v>1</v>
      </c>
    </row>
    <row r="2498">
      <c r="A2498" s="58">
        <v>45962.0</v>
      </c>
      <c r="B2498" s="24" t="s">
        <v>155</v>
      </c>
      <c r="C2498" s="24" t="s">
        <v>7036</v>
      </c>
      <c r="D2498" s="59">
        <v>1.0</v>
      </c>
      <c r="E2498" s="59">
        <v>1.0</v>
      </c>
      <c r="F2498" s="59">
        <v>0.0</v>
      </c>
      <c r="G2498" s="60">
        <v>1.0</v>
      </c>
      <c r="H2498" s="60">
        <v>0.0</v>
      </c>
      <c r="I2498" s="60">
        <v>1564.845793</v>
      </c>
      <c r="J2498" s="59">
        <v>2.0</v>
      </c>
      <c r="K2498" s="61">
        <f t="shared" si="1"/>
        <v>0</v>
      </c>
      <c r="L2498" s="62">
        <f t="shared" si="2"/>
        <v>2</v>
      </c>
    </row>
    <row r="2499">
      <c r="A2499" s="58">
        <v>45962.0</v>
      </c>
      <c r="B2499" s="24" t="s">
        <v>6787</v>
      </c>
      <c r="C2499" s="24" t="s">
        <v>7135</v>
      </c>
      <c r="D2499" s="59">
        <v>1.0</v>
      </c>
      <c r="E2499" s="59">
        <v>1.0</v>
      </c>
      <c r="F2499" s="59">
        <v>1.0</v>
      </c>
      <c r="G2499" s="60">
        <v>1.0</v>
      </c>
      <c r="H2499" s="60">
        <v>1.0</v>
      </c>
      <c r="I2499" s="60">
        <v>0.0</v>
      </c>
      <c r="J2499" s="59">
        <v>1.0</v>
      </c>
      <c r="K2499" s="61">
        <f t="shared" si="1"/>
        <v>1</v>
      </c>
      <c r="L2499" s="62">
        <f t="shared" si="2"/>
        <v>1</v>
      </c>
    </row>
    <row r="2500">
      <c r="A2500" s="58">
        <v>45962.0</v>
      </c>
      <c r="B2500" s="24" t="s">
        <v>6789</v>
      </c>
      <c r="C2500" s="24" t="s">
        <v>7135</v>
      </c>
      <c r="D2500" s="59">
        <v>1.0</v>
      </c>
      <c r="E2500" s="59">
        <v>1.0</v>
      </c>
      <c r="F2500" s="59">
        <v>0.0</v>
      </c>
      <c r="G2500" s="60">
        <v>1.0</v>
      </c>
      <c r="H2500" s="60">
        <v>1.0</v>
      </c>
      <c r="I2500" s="60">
        <v>0.0</v>
      </c>
      <c r="J2500" s="59">
        <v>1.0</v>
      </c>
      <c r="K2500" s="61">
        <f t="shared" si="1"/>
        <v>0</v>
      </c>
      <c r="L2500" s="62">
        <f t="shared" si="2"/>
        <v>1</v>
      </c>
    </row>
    <row r="2501">
      <c r="A2501" s="58">
        <v>45962.0</v>
      </c>
      <c r="B2501" s="24" t="s">
        <v>6789</v>
      </c>
      <c r="C2501" s="24" t="s">
        <v>7162</v>
      </c>
      <c r="D2501" s="59">
        <v>1.0</v>
      </c>
      <c r="E2501" s="59">
        <v>1.0</v>
      </c>
      <c r="F2501" s="59">
        <v>1.0</v>
      </c>
      <c r="G2501" s="60">
        <v>1.0</v>
      </c>
      <c r="H2501" s="60">
        <v>1.0</v>
      </c>
      <c r="I2501" s="60">
        <v>0.0</v>
      </c>
      <c r="J2501" s="59">
        <v>1.0</v>
      </c>
      <c r="K2501" s="61">
        <f t="shared" si="1"/>
        <v>1</v>
      </c>
      <c r="L2501" s="62">
        <f t="shared" si="2"/>
        <v>1</v>
      </c>
    </row>
    <row r="2502">
      <c r="A2502" s="58">
        <v>45962.0</v>
      </c>
      <c r="B2502" s="24" t="s">
        <v>155</v>
      </c>
      <c r="C2502" s="24" t="s">
        <v>7162</v>
      </c>
      <c r="D2502" s="59">
        <v>1.0</v>
      </c>
      <c r="E2502" s="59">
        <v>1.0</v>
      </c>
      <c r="F2502" s="59">
        <v>0.0</v>
      </c>
      <c r="G2502" s="60">
        <v>1.0</v>
      </c>
      <c r="H2502" s="60">
        <v>1.0</v>
      </c>
      <c r="I2502" s="60">
        <v>0.0</v>
      </c>
      <c r="J2502" s="59">
        <v>1.0</v>
      </c>
      <c r="K2502" s="61">
        <f t="shared" si="1"/>
        <v>0</v>
      </c>
      <c r="L2502" s="62">
        <f t="shared" si="2"/>
        <v>1</v>
      </c>
    </row>
    <row r="2503">
      <c r="A2503" s="58">
        <v>45962.0</v>
      </c>
      <c r="B2503" s="24" t="s">
        <v>6789</v>
      </c>
      <c r="C2503" s="24" t="s">
        <v>7191</v>
      </c>
      <c r="D2503" s="59">
        <v>1.0</v>
      </c>
      <c r="E2503" s="59">
        <v>1.0</v>
      </c>
      <c r="F2503" s="59">
        <v>1.0</v>
      </c>
      <c r="G2503" s="60">
        <v>1.0</v>
      </c>
      <c r="H2503" s="60">
        <v>0.0</v>
      </c>
      <c r="I2503" s="60">
        <v>68.571384</v>
      </c>
      <c r="J2503" s="59">
        <v>1.0</v>
      </c>
      <c r="K2503" s="61">
        <f t="shared" si="1"/>
        <v>1</v>
      </c>
      <c r="L2503" s="62">
        <f t="shared" si="2"/>
        <v>1</v>
      </c>
    </row>
    <row r="2504">
      <c r="A2504" s="58">
        <v>45962.0</v>
      </c>
      <c r="B2504" s="24" t="s">
        <v>6787</v>
      </c>
      <c r="C2504" s="24" t="s">
        <v>7130</v>
      </c>
      <c r="D2504" s="59">
        <v>1.0</v>
      </c>
      <c r="E2504" s="59">
        <v>1.0</v>
      </c>
      <c r="F2504" s="59">
        <v>1.0</v>
      </c>
      <c r="G2504" s="60">
        <v>1.0</v>
      </c>
      <c r="H2504" s="60">
        <v>1.0</v>
      </c>
      <c r="I2504" s="60">
        <v>0.0</v>
      </c>
      <c r="J2504" s="59">
        <v>1.0</v>
      </c>
      <c r="K2504" s="61">
        <f t="shared" si="1"/>
        <v>1</v>
      </c>
      <c r="L2504" s="62">
        <f t="shared" si="2"/>
        <v>1</v>
      </c>
    </row>
    <row r="2505">
      <c r="A2505" s="58">
        <v>45962.0</v>
      </c>
      <c r="B2505" s="24" t="s">
        <v>6789</v>
      </c>
      <c r="C2505" s="24" t="s">
        <v>7092</v>
      </c>
      <c r="D2505" s="59">
        <v>1.0</v>
      </c>
      <c r="E2505" s="59">
        <v>1.0</v>
      </c>
      <c r="F2505" s="59">
        <v>1.0</v>
      </c>
      <c r="G2505" s="60">
        <v>1.0</v>
      </c>
      <c r="H2505" s="60">
        <v>0.0</v>
      </c>
      <c r="I2505" s="60">
        <v>15.96341</v>
      </c>
      <c r="J2505" s="59">
        <v>1.0</v>
      </c>
      <c r="K2505" s="61">
        <f t="shared" si="1"/>
        <v>1</v>
      </c>
      <c r="L2505" s="62">
        <f t="shared" si="2"/>
        <v>1</v>
      </c>
    </row>
    <row r="2506">
      <c r="A2506" s="58">
        <v>45962.0</v>
      </c>
      <c r="B2506" s="24" t="s">
        <v>6787</v>
      </c>
      <c r="C2506" s="24" t="s">
        <v>7094</v>
      </c>
      <c r="D2506" s="59">
        <v>1.0</v>
      </c>
      <c r="E2506" s="59">
        <v>1.0</v>
      </c>
      <c r="F2506" s="59">
        <v>1.0</v>
      </c>
      <c r="G2506" s="60">
        <v>1.0</v>
      </c>
      <c r="H2506" s="60">
        <v>1.0</v>
      </c>
      <c r="I2506" s="60">
        <v>0.0</v>
      </c>
      <c r="J2506" s="59">
        <v>1.0</v>
      </c>
      <c r="K2506" s="61">
        <f t="shared" si="1"/>
        <v>1</v>
      </c>
      <c r="L2506" s="62">
        <f t="shared" si="2"/>
        <v>1</v>
      </c>
    </row>
    <row r="2507">
      <c r="A2507" s="58">
        <v>45962.0</v>
      </c>
      <c r="B2507" s="24" t="s">
        <v>6789</v>
      </c>
      <c r="C2507" s="24" t="s">
        <v>7094</v>
      </c>
      <c r="D2507" s="59">
        <v>1.0</v>
      </c>
      <c r="E2507" s="59">
        <v>1.0</v>
      </c>
      <c r="F2507" s="59">
        <v>1.0</v>
      </c>
      <c r="G2507" s="60">
        <v>1.0</v>
      </c>
      <c r="H2507" s="60">
        <v>1.0</v>
      </c>
      <c r="I2507" s="60">
        <v>0.0</v>
      </c>
      <c r="J2507" s="59">
        <v>1.0</v>
      </c>
      <c r="K2507" s="61">
        <f t="shared" si="1"/>
        <v>1</v>
      </c>
      <c r="L2507" s="62">
        <f t="shared" si="2"/>
        <v>1</v>
      </c>
    </row>
    <row r="2508">
      <c r="A2508" s="58">
        <v>45962.0</v>
      </c>
      <c r="B2508" s="24" t="s">
        <v>6787</v>
      </c>
      <c r="C2508" s="24" t="s">
        <v>7165</v>
      </c>
      <c r="D2508" s="59">
        <v>1.0</v>
      </c>
      <c r="E2508" s="59">
        <v>1.0</v>
      </c>
      <c r="F2508" s="59">
        <v>1.0</v>
      </c>
      <c r="G2508" s="60">
        <v>1.0</v>
      </c>
      <c r="H2508" s="60">
        <v>1.0</v>
      </c>
      <c r="I2508" s="60">
        <v>0.0</v>
      </c>
      <c r="J2508" s="59">
        <v>1.0</v>
      </c>
      <c r="K2508" s="61">
        <f t="shared" si="1"/>
        <v>1</v>
      </c>
      <c r="L2508" s="62">
        <f t="shared" si="2"/>
        <v>1</v>
      </c>
    </row>
    <row r="2509">
      <c r="A2509" s="58">
        <v>45962.0</v>
      </c>
      <c r="B2509" s="24" t="s">
        <v>6787</v>
      </c>
      <c r="C2509" s="24" t="s">
        <v>7136</v>
      </c>
      <c r="D2509" s="59">
        <v>1.0</v>
      </c>
      <c r="E2509" s="59">
        <v>1.0</v>
      </c>
      <c r="F2509" s="59">
        <v>1.0</v>
      </c>
      <c r="G2509" s="60">
        <v>1.0</v>
      </c>
      <c r="H2509" s="60">
        <v>0.0</v>
      </c>
      <c r="I2509" s="60">
        <v>20.88538</v>
      </c>
      <c r="J2509" s="59">
        <v>1.0</v>
      </c>
      <c r="K2509" s="61">
        <f t="shared" si="1"/>
        <v>1</v>
      </c>
      <c r="L2509" s="62">
        <f t="shared" si="2"/>
        <v>1</v>
      </c>
    </row>
    <row r="2510">
      <c r="A2510" s="58">
        <v>45962.0</v>
      </c>
      <c r="B2510" s="24" t="s">
        <v>6789</v>
      </c>
      <c r="C2510" s="24" t="s">
        <v>7166</v>
      </c>
      <c r="D2510" s="59">
        <v>1.0</v>
      </c>
      <c r="E2510" s="59">
        <v>1.0</v>
      </c>
      <c r="F2510" s="59">
        <v>1.0</v>
      </c>
      <c r="G2510" s="60">
        <v>1.0</v>
      </c>
      <c r="H2510" s="60">
        <v>0.0</v>
      </c>
      <c r="I2510" s="60">
        <v>48.36957</v>
      </c>
      <c r="J2510" s="59">
        <v>1.0</v>
      </c>
      <c r="K2510" s="61">
        <f t="shared" si="1"/>
        <v>1</v>
      </c>
      <c r="L2510" s="62">
        <f t="shared" si="2"/>
        <v>1</v>
      </c>
    </row>
    <row r="2511">
      <c r="A2511" s="58">
        <v>45962.0</v>
      </c>
      <c r="B2511" s="24" t="s">
        <v>6789</v>
      </c>
      <c r="C2511" s="24" t="s">
        <v>7167</v>
      </c>
      <c r="D2511" s="59">
        <v>1.0</v>
      </c>
      <c r="E2511" s="59">
        <v>1.0</v>
      </c>
      <c r="F2511" s="59">
        <v>1.0</v>
      </c>
      <c r="G2511" s="60">
        <v>1.0</v>
      </c>
      <c r="H2511" s="60">
        <v>0.0</v>
      </c>
      <c r="I2511" s="60">
        <v>15.775709</v>
      </c>
      <c r="J2511" s="59">
        <v>1.0</v>
      </c>
      <c r="K2511" s="61">
        <f t="shared" si="1"/>
        <v>1</v>
      </c>
      <c r="L2511" s="62">
        <f t="shared" si="2"/>
        <v>1</v>
      </c>
    </row>
    <row r="2512">
      <c r="A2512" s="58">
        <v>45962.0</v>
      </c>
      <c r="B2512" s="24" t="s">
        <v>6787</v>
      </c>
      <c r="C2512" s="24" t="s">
        <v>7185</v>
      </c>
      <c r="D2512" s="59">
        <v>1.0</v>
      </c>
      <c r="E2512" s="59">
        <v>1.0</v>
      </c>
      <c r="F2512" s="59">
        <v>1.0</v>
      </c>
      <c r="G2512" s="60">
        <v>1.0</v>
      </c>
      <c r="H2512" s="60">
        <v>1.0</v>
      </c>
      <c r="I2512" s="60">
        <v>0.0</v>
      </c>
      <c r="J2512" s="59">
        <v>1.0</v>
      </c>
      <c r="K2512" s="61">
        <f t="shared" si="1"/>
        <v>1</v>
      </c>
      <c r="L2512" s="62">
        <f t="shared" si="2"/>
        <v>1</v>
      </c>
    </row>
    <row r="2513">
      <c r="A2513" s="58">
        <v>45962.0</v>
      </c>
      <c r="B2513" s="24" t="s">
        <v>6787</v>
      </c>
      <c r="C2513" s="24" t="s">
        <v>7096</v>
      </c>
      <c r="D2513" s="59">
        <v>1.0</v>
      </c>
      <c r="E2513" s="59">
        <v>1.0</v>
      </c>
      <c r="F2513" s="59">
        <v>1.0</v>
      </c>
      <c r="G2513" s="60">
        <v>1.0</v>
      </c>
      <c r="H2513" s="60">
        <v>1.0</v>
      </c>
      <c r="I2513" s="60">
        <v>0.0</v>
      </c>
      <c r="J2513" s="59">
        <v>1.0</v>
      </c>
      <c r="K2513" s="61">
        <f t="shared" si="1"/>
        <v>1</v>
      </c>
      <c r="L2513" s="62">
        <f t="shared" si="2"/>
        <v>1</v>
      </c>
    </row>
    <row r="2514">
      <c r="A2514" s="58">
        <v>45962.0</v>
      </c>
      <c r="B2514" s="24" t="s">
        <v>155</v>
      </c>
      <c r="C2514" s="24" t="s">
        <v>7096</v>
      </c>
      <c r="D2514" s="59">
        <v>1.0</v>
      </c>
      <c r="E2514" s="59">
        <v>1.0</v>
      </c>
      <c r="F2514" s="59">
        <v>0.0</v>
      </c>
      <c r="G2514" s="60">
        <v>1.0</v>
      </c>
      <c r="H2514" s="60">
        <v>0.0</v>
      </c>
      <c r="I2514" s="60">
        <v>3609.067943</v>
      </c>
      <c r="J2514" s="59">
        <v>49.0</v>
      </c>
      <c r="K2514" s="61">
        <f t="shared" si="1"/>
        <v>0</v>
      </c>
      <c r="L2514" s="62">
        <f t="shared" si="2"/>
        <v>49</v>
      </c>
    </row>
    <row r="2515">
      <c r="A2515" s="58">
        <v>45962.0</v>
      </c>
      <c r="B2515" s="24" t="s">
        <v>6787</v>
      </c>
      <c r="C2515" s="24" t="s">
        <v>7186</v>
      </c>
      <c r="D2515" s="59">
        <v>1.0</v>
      </c>
      <c r="E2515" s="59">
        <v>1.0</v>
      </c>
      <c r="F2515" s="59">
        <v>1.0</v>
      </c>
      <c r="G2515" s="60">
        <v>1.0</v>
      </c>
      <c r="H2515" s="60">
        <v>0.0</v>
      </c>
      <c r="I2515" s="60">
        <v>10.763299</v>
      </c>
      <c r="J2515" s="59">
        <v>1.0</v>
      </c>
      <c r="K2515" s="61">
        <f t="shared" si="1"/>
        <v>1</v>
      </c>
      <c r="L2515" s="62">
        <f t="shared" si="2"/>
        <v>1</v>
      </c>
    </row>
    <row r="2516">
      <c r="A2516" s="58">
        <v>45962.0</v>
      </c>
      <c r="B2516" s="24" t="s">
        <v>6789</v>
      </c>
      <c r="C2516" s="24" t="s">
        <v>7098</v>
      </c>
      <c r="D2516" s="59">
        <v>1.0</v>
      </c>
      <c r="E2516" s="59">
        <v>1.0</v>
      </c>
      <c r="F2516" s="59">
        <v>1.0</v>
      </c>
      <c r="G2516" s="60">
        <v>1.0</v>
      </c>
      <c r="H2516" s="60">
        <v>1.0</v>
      </c>
      <c r="I2516" s="60">
        <v>8.339327</v>
      </c>
      <c r="J2516" s="59">
        <v>1.0</v>
      </c>
      <c r="K2516" s="61">
        <f t="shared" si="1"/>
        <v>1</v>
      </c>
      <c r="L2516" s="62">
        <f t="shared" si="2"/>
        <v>1</v>
      </c>
    </row>
    <row r="2517">
      <c r="A2517" s="58">
        <v>45962.0</v>
      </c>
      <c r="B2517" s="24" t="s">
        <v>6787</v>
      </c>
      <c r="C2517" s="24" t="s">
        <v>7138</v>
      </c>
      <c r="D2517" s="59">
        <v>1.0</v>
      </c>
      <c r="E2517" s="59">
        <v>1.0</v>
      </c>
      <c r="F2517" s="59">
        <v>1.0</v>
      </c>
      <c r="G2517" s="60">
        <v>1.0</v>
      </c>
      <c r="H2517" s="60">
        <v>1.0</v>
      </c>
      <c r="I2517" s="60">
        <v>3.562677</v>
      </c>
      <c r="J2517" s="59">
        <v>1.0</v>
      </c>
      <c r="K2517" s="61">
        <f t="shared" si="1"/>
        <v>1</v>
      </c>
      <c r="L2517" s="62">
        <f t="shared" si="2"/>
        <v>1</v>
      </c>
    </row>
    <row r="2518">
      <c r="A2518" s="58">
        <v>45962.0</v>
      </c>
      <c r="B2518" s="24" t="s">
        <v>6787</v>
      </c>
      <c r="C2518" s="24" t="s">
        <v>7266</v>
      </c>
      <c r="D2518" s="59">
        <v>1.0</v>
      </c>
      <c r="E2518" s="59">
        <v>1.0</v>
      </c>
      <c r="F2518" s="59">
        <v>1.0</v>
      </c>
      <c r="G2518" s="60">
        <v>1.0</v>
      </c>
      <c r="H2518" s="60">
        <v>0.0</v>
      </c>
      <c r="I2518" s="60">
        <v>13.968822</v>
      </c>
      <c r="J2518" s="59">
        <v>1.0</v>
      </c>
      <c r="K2518" s="61">
        <f t="shared" si="1"/>
        <v>1</v>
      </c>
      <c r="L2518" s="62">
        <f t="shared" si="2"/>
        <v>1</v>
      </c>
    </row>
    <row r="2519">
      <c r="A2519" s="58">
        <v>45962.0</v>
      </c>
      <c r="B2519" s="24" t="s">
        <v>6787</v>
      </c>
      <c r="C2519" s="24" t="s">
        <v>7267</v>
      </c>
      <c r="D2519" s="59">
        <v>1.0</v>
      </c>
      <c r="E2519" s="59">
        <v>1.0</v>
      </c>
      <c r="F2519" s="59">
        <v>1.0</v>
      </c>
      <c r="G2519" s="60">
        <v>1.0</v>
      </c>
      <c r="H2519" s="60">
        <v>1.0</v>
      </c>
      <c r="I2519" s="60">
        <v>5.008858</v>
      </c>
      <c r="J2519" s="59">
        <v>1.0</v>
      </c>
      <c r="K2519" s="61">
        <f t="shared" si="1"/>
        <v>1</v>
      </c>
      <c r="L2519" s="62">
        <f t="shared" si="2"/>
        <v>1</v>
      </c>
    </row>
    <row r="2520">
      <c r="A2520" s="58">
        <v>45962.0</v>
      </c>
      <c r="B2520" s="24" t="s">
        <v>6789</v>
      </c>
      <c r="C2520" s="24" t="s">
        <v>6800</v>
      </c>
      <c r="D2520" s="59">
        <v>1.0</v>
      </c>
      <c r="E2520" s="59">
        <v>2.0</v>
      </c>
      <c r="F2520" s="59">
        <v>1.0</v>
      </c>
      <c r="G2520" s="60">
        <v>2.0</v>
      </c>
      <c r="H2520" s="60">
        <v>0.0</v>
      </c>
      <c r="I2520" s="60">
        <v>109.2008495</v>
      </c>
      <c r="J2520" s="59">
        <v>2.0</v>
      </c>
      <c r="K2520" s="61">
        <f t="shared" si="1"/>
        <v>0.5</v>
      </c>
      <c r="L2520" s="62">
        <f t="shared" si="2"/>
        <v>1</v>
      </c>
    </row>
    <row r="2521">
      <c r="A2521" s="58">
        <v>45962.0</v>
      </c>
      <c r="B2521" s="24" t="s">
        <v>6794</v>
      </c>
      <c r="C2521" s="24" t="s">
        <v>6960</v>
      </c>
      <c r="D2521" s="59">
        <v>1.0</v>
      </c>
      <c r="E2521" s="59">
        <v>1.0</v>
      </c>
      <c r="F2521" s="59">
        <v>0.0</v>
      </c>
      <c r="G2521" s="60">
        <v>0.0</v>
      </c>
      <c r="H2521" s="60">
        <v>1.0</v>
      </c>
      <c r="I2521" s="60">
        <v>2.881039</v>
      </c>
      <c r="J2521" s="59">
        <v>1.0</v>
      </c>
      <c r="K2521" s="61">
        <f t="shared" si="1"/>
        <v>0</v>
      </c>
      <c r="L2521" s="62">
        <f t="shared" si="2"/>
        <v>1</v>
      </c>
    </row>
    <row r="2522">
      <c r="A2522" s="58">
        <v>45962.0</v>
      </c>
      <c r="B2522" s="24" t="s">
        <v>6790</v>
      </c>
      <c r="C2522" s="24" t="s">
        <v>6960</v>
      </c>
      <c r="D2522" s="59">
        <v>1.0</v>
      </c>
      <c r="E2522" s="59">
        <v>1.0</v>
      </c>
      <c r="F2522" s="59">
        <v>0.0</v>
      </c>
      <c r="G2522" s="60">
        <v>1.0</v>
      </c>
      <c r="H2522" s="60">
        <v>0.0</v>
      </c>
      <c r="I2522" s="60">
        <v>29.584423</v>
      </c>
      <c r="J2522" s="59">
        <v>1.0</v>
      </c>
      <c r="K2522" s="61">
        <f t="shared" si="1"/>
        <v>0</v>
      </c>
      <c r="L2522" s="62">
        <f t="shared" si="2"/>
        <v>1</v>
      </c>
    </row>
    <row r="2523">
      <c r="A2523" s="58">
        <v>45962.0</v>
      </c>
      <c r="B2523" s="24" t="s">
        <v>155</v>
      </c>
      <c r="C2523" s="24" t="s">
        <v>6812</v>
      </c>
      <c r="D2523" s="59">
        <v>1.0</v>
      </c>
      <c r="E2523" s="59">
        <v>1.0</v>
      </c>
      <c r="F2523" s="59">
        <v>1.0</v>
      </c>
      <c r="G2523" s="60">
        <v>1.0</v>
      </c>
      <c r="H2523" s="60">
        <v>0.0</v>
      </c>
      <c r="I2523" s="60">
        <v>89.791644</v>
      </c>
      <c r="J2523" s="59">
        <v>2.0</v>
      </c>
      <c r="K2523" s="61">
        <f t="shared" si="1"/>
        <v>1</v>
      </c>
      <c r="L2523" s="62">
        <f t="shared" si="2"/>
        <v>2</v>
      </c>
    </row>
    <row r="2524">
      <c r="A2524" s="58">
        <v>45962.0</v>
      </c>
      <c r="B2524" s="24" t="s">
        <v>6789</v>
      </c>
      <c r="C2524" s="24" t="s">
        <v>7101</v>
      </c>
      <c r="D2524" s="59">
        <v>1.0</v>
      </c>
      <c r="E2524" s="59">
        <v>1.0</v>
      </c>
      <c r="F2524" s="59">
        <v>0.0</v>
      </c>
      <c r="G2524" s="60">
        <v>1.0</v>
      </c>
      <c r="H2524" s="60">
        <v>0.0</v>
      </c>
      <c r="I2524" s="60">
        <v>18.434588</v>
      </c>
      <c r="J2524" s="59">
        <v>1.0</v>
      </c>
      <c r="K2524" s="61">
        <f t="shared" si="1"/>
        <v>0</v>
      </c>
      <c r="L2524" s="62">
        <f t="shared" si="2"/>
        <v>1</v>
      </c>
    </row>
    <row r="2525">
      <c r="A2525" s="58">
        <v>45962.0</v>
      </c>
      <c r="B2525" s="24" t="s">
        <v>6791</v>
      </c>
      <c r="C2525" s="24" t="s">
        <v>6849</v>
      </c>
      <c r="D2525" s="59">
        <v>1.0</v>
      </c>
      <c r="E2525" s="59">
        <v>1.0</v>
      </c>
      <c r="F2525" s="59">
        <v>0.0</v>
      </c>
      <c r="G2525" s="60">
        <v>1.0</v>
      </c>
      <c r="H2525" s="60">
        <v>0.0</v>
      </c>
      <c r="I2525" s="60">
        <v>49.203051</v>
      </c>
      <c r="J2525" s="59">
        <v>2.0</v>
      </c>
      <c r="K2525" s="61">
        <f t="shared" si="1"/>
        <v>0</v>
      </c>
      <c r="L2525" s="62">
        <f t="shared" si="2"/>
        <v>2</v>
      </c>
    </row>
    <row r="2526">
      <c r="A2526" s="58">
        <v>45962.0</v>
      </c>
      <c r="B2526" s="24" t="s">
        <v>155</v>
      </c>
      <c r="C2526" s="24" t="s">
        <v>6849</v>
      </c>
      <c r="D2526" s="59">
        <v>1.0</v>
      </c>
      <c r="E2526" s="59">
        <v>1.0</v>
      </c>
      <c r="F2526" s="59">
        <v>1.0</v>
      </c>
      <c r="G2526" s="60">
        <v>1.0</v>
      </c>
      <c r="H2526" s="60">
        <v>0.0</v>
      </c>
      <c r="I2526" s="60">
        <v>4.918936</v>
      </c>
      <c r="J2526" s="59">
        <v>2.0</v>
      </c>
      <c r="K2526" s="61">
        <f t="shared" si="1"/>
        <v>1</v>
      </c>
      <c r="L2526" s="62">
        <f t="shared" si="2"/>
        <v>2</v>
      </c>
    </row>
    <row r="2527">
      <c r="A2527" s="58">
        <v>45962.0</v>
      </c>
      <c r="B2527" s="24" t="s">
        <v>6789</v>
      </c>
      <c r="C2527" s="24" t="s">
        <v>7044</v>
      </c>
      <c r="D2527" s="59">
        <v>1.0</v>
      </c>
      <c r="E2527" s="59">
        <v>1.0</v>
      </c>
      <c r="F2527" s="59">
        <v>0.0</v>
      </c>
      <c r="G2527" s="60">
        <v>1.0</v>
      </c>
      <c r="H2527" s="60">
        <v>0.0</v>
      </c>
      <c r="I2527" s="60">
        <v>39.151547</v>
      </c>
      <c r="J2527" s="59">
        <v>2.0</v>
      </c>
      <c r="K2527" s="61">
        <f t="shared" si="1"/>
        <v>0</v>
      </c>
      <c r="L2527" s="62">
        <f t="shared" si="2"/>
        <v>2</v>
      </c>
    </row>
    <row r="2528">
      <c r="A2528" s="58">
        <v>45962.0</v>
      </c>
      <c r="B2528" s="24" t="s">
        <v>6791</v>
      </c>
      <c r="C2528" s="24" t="s">
        <v>6850</v>
      </c>
      <c r="D2528" s="59">
        <v>1.0</v>
      </c>
      <c r="E2528" s="59">
        <v>1.0</v>
      </c>
      <c r="F2528" s="59">
        <v>0.0</v>
      </c>
      <c r="G2528" s="60">
        <v>0.0</v>
      </c>
      <c r="H2528" s="60">
        <v>1.0</v>
      </c>
      <c r="I2528" s="60">
        <v>0.0</v>
      </c>
      <c r="J2528" s="59">
        <v>1.0</v>
      </c>
      <c r="K2528" s="61">
        <f t="shared" si="1"/>
        <v>0</v>
      </c>
      <c r="L2528" s="62">
        <f t="shared" si="2"/>
        <v>1</v>
      </c>
    </row>
    <row r="2529">
      <c r="A2529" s="58">
        <v>45962.0</v>
      </c>
      <c r="B2529" s="24" t="s">
        <v>6791</v>
      </c>
      <c r="C2529" s="24" t="s">
        <v>6909</v>
      </c>
      <c r="D2529" s="59">
        <v>1.0</v>
      </c>
      <c r="E2529" s="59">
        <v>1.0</v>
      </c>
      <c r="F2529" s="59">
        <v>0.0</v>
      </c>
      <c r="G2529" s="60">
        <v>1.0</v>
      </c>
      <c r="H2529" s="60">
        <v>1.0</v>
      </c>
      <c r="I2529" s="60">
        <v>0.0</v>
      </c>
      <c r="J2529" s="59">
        <v>1.0</v>
      </c>
      <c r="K2529" s="61">
        <f t="shared" si="1"/>
        <v>0</v>
      </c>
      <c r="L2529" s="62">
        <f t="shared" si="2"/>
        <v>1</v>
      </c>
    </row>
    <row r="2530">
      <c r="A2530" s="58">
        <v>45962.0</v>
      </c>
      <c r="B2530" s="24" t="s">
        <v>6791</v>
      </c>
      <c r="C2530" s="24" t="s">
        <v>6910</v>
      </c>
      <c r="D2530" s="59">
        <v>1.0</v>
      </c>
      <c r="E2530" s="59">
        <v>1.0</v>
      </c>
      <c r="F2530" s="59">
        <v>0.0</v>
      </c>
      <c r="G2530" s="60">
        <v>1.0</v>
      </c>
      <c r="H2530" s="60">
        <v>0.0</v>
      </c>
      <c r="I2530" s="60">
        <v>118.91734</v>
      </c>
      <c r="J2530" s="59">
        <v>2.0</v>
      </c>
      <c r="K2530" s="61">
        <f t="shared" si="1"/>
        <v>0</v>
      </c>
      <c r="L2530" s="62">
        <f t="shared" si="2"/>
        <v>2</v>
      </c>
    </row>
    <row r="2531">
      <c r="A2531" s="58">
        <v>45962.0</v>
      </c>
      <c r="B2531" s="24" t="s">
        <v>6794</v>
      </c>
      <c r="C2531" s="24" t="s">
        <v>6851</v>
      </c>
      <c r="D2531" s="59">
        <v>1.0</v>
      </c>
      <c r="E2531" s="59">
        <v>1.0</v>
      </c>
      <c r="F2531" s="59">
        <v>0.0</v>
      </c>
      <c r="G2531" s="60">
        <v>1.0</v>
      </c>
      <c r="H2531" s="60">
        <v>0.0</v>
      </c>
      <c r="I2531" s="60">
        <v>776.224522</v>
      </c>
      <c r="J2531" s="59">
        <v>2.0</v>
      </c>
      <c r="K2531" s="61">
        <f t="shared" si="1"/>
        <v>0</v>
      </c>
      <c r="L2531" s="62">
        <f t="shared" si="2"/>
        <v>2</v>
      </c>
    </row>
    <row r="2532">
      <c r="A2532" s="58">
        <v>45962.0</v>
      </c>
      <c r="B2532" s="24" t="s">
        <v>6791</v>
      </c>
      <c r="C2532" s="24" t="s">
        <v>6851</v>
      </c>
      <c r="D2532" s="59">
        <v>1.0</v>
      </c>
      <c r="E2532" s="59">
        <v>1.0</v>
      </c>
      <c r="F2532" s="59">
        <v>0.0</v>
      </c>
      <c r="G2532" s="60">
        <v>1.0</v>
      </c>
      <c r="H2532" s="60">
        <v>1.0</v>
      </c>
      <c r="I2532" s="60">
        <v>4.959338</v>
      </c>
      <c r="J2532" s="59">
        <v>1.0</v>
      </c>
      <c r="K2532" s="61">
        <f t="shared" si="1"/>
        <v>0</v>
      </c>
      <c r="L2532" s="62">
        <f t="shared" si="2"/>
        <v>1</v>
      </c>
    </row>
    <row r="2533">
      <c r="A2533" s="58">
        <v>45962.0</v>
      </c>
      <c r="B2533" s="24" t="s">
        <v>6790</v>
      </c>
      <c r="C2533" s="24" t="s">
        <v>6801</v>
      </c>
      <c r="D2533" s="59">
        <v>1.0</v>
      </c>
      <c r="E2533" s="59">
        <v>1.0</v>
      </c>
      <c r="F2533" s="59">
        <v>0.0</v>
      </c>
      <c r="G2533" s="60">
        <v>1.0</v>
      </c>
      <c r="H2533" s="60">
        <v>0.0</v>
      </c>
      <c r="I2533" s="60">
        <v>1110.090689</v>
      </c>
      <c r="J2533" s="59">
        <v>1.0</v>
      </c>
      <c r="K2533" s="61">
        <f t="shared" si="1"/>
        <v>0</v>
      </c>
      <c r="L2533" s="62">
        <f t="shared" si="2"/>
        <v>1</v>
      </c>
    </row>
    <row r="2534">
      <c r="A2534" s="58">
        <v>45962.0</v>
      </c>
      <c r="B2534" s="24" t="s">
        <v>6789</v>
      </c>
      <c r="C2534" s="24" t="s">
        <v>7104</v>
      </c>
      <c r="D2534" s="59">
        <v>1.0</v>
      </c>
      <c r="E2534" s="59">
        <v>1.0</v>
      </c>
      <c r="F2534" s="59">
        <v>0.0</v>
      </c>
      <c r="G2534" s="60">
        <v>1.0</v>
      </c>
      <c r="H2534" s="60">
        <v>0.0</v>
      </c>
      <c r="I2534" s="60">
        <v>667.109304</v>
      </c>
      <c r="J2534" s="59">
        <v>1.0</v>
      </c>
      <c r="K2534" s="61">
        <f t="shared" si="1"/>
        <v>0</v>
      </c>
      <c r="L2534" s="62">
        <f t="shared" si="2"/>
        <v>1</v>
      </c>
    </row>
    <row r="2535">
      <c r="A2535" s="58">
        <v>45962.0</v>
      </c>
      <c r="B2535" s="24" t="s">
        <v>6789</v>
      </c>
      <c r="C2535" s="24" t="s">
        <v>7173</v>
      </c>
      <c r="D2535" s="59">
        <v>1.0</v>
      </c>
      <c r="E2535" s="59">
        <v>1.0</v>
      </c>
      <c r="F2535" s="59">
        <v>0.0</v>
      </c>
      <c r="G2535" s="60">
        <v>1.0</v>
      </c>
      <c r="H2535" s="60">
        <v>1.0</v>
      </c>
      <c r="I2535" s="60">
        <v>7.94792</v>
      </c>
      <c r="J2535" s="59">
        <v>1.0</v>
      </c>
      <c r="K2535" s="61">
        <f t="shared" si="1"/>
        <v>0</v>
      </c>
      <c r="L2535" s="62">
        <f t="shared" si="2"/>
        <v>1</v>
      </c>
    </row>
    <row r="2536">
      <c r="A2536" s="58">
        <v>45962.0</v>
      </c>
      <c r="B2536" s="24" t="s">
        <v>6791</v>
      </c>
      <c r="C2536" s="24" t="s">
        <v>7173</v>
      </c>
      <c r="D2536" s="59">
        <v>1.0</v>
      </c>
      <c r="E2536" s="59">
        <v>1.0</v>
      </c>
      <c r="F2536" s="59">
        <v>0.0</v>
      </c>
      <c r="G2536" s="60">
        <v>0.0</v>
      </c>
      <c r="H2536" s="60">
        <v>1.0</v>
      </c>
      <c r="I2536" s="60">
        <v>0.0</v>
      </c>
      <c r="J2536" s="59">
        <v>1.0</v>
      </c>
      <c r="K2536" s="61">
        <f t="shared" si="1"/>
        <v>0</v>
      </c>
      <c r="L2536" s="62">
        <f t="shared" si="2"/>
        <v>1</v>
      </c>
    </row>
    <row r="2537">
      <c r="A2537" s="58">
        <v>45962.0</v>
      </c>
      <c r="B2537" s="24" t="s">
        <v>155</v>
      </c>
      <c r="C2537" s="24" t="s">
        <v>6912</v>
      </c>
      <c r="D2537" s="59">
        <v>1.0</v>
      </c>
      <c r="E2537" s="59">
        <v>1.0</v>
      </c>
      <c r="F2537" s="59">
        <v>0.0</v>
      </c>
      <c r="G2537" s="60">
        <v>1.0</v>
      </c>
      <c r="H2537" s="60">
        <v>1.0</v>
      </c>
      <c r="I2537" s="60">
        <v>5.748701</v>
      </c>
      <c r="J2537" s="59">
        <v>1.0</v>
      </c>
      <c r="K2537" s="61">
        <f t="shared" si="1"/>
        <v>0</v>
      </c>
      <c r="L2537" s="62">
        <f t="shared" si="2"/>
        <v>1</v>
      </c>
    </row>
    <row r="2538">
      <c r="A2538" s="58">
        <v>45962.0</v>
      </c>
      <c r="B2538" s="24" t="s">
        <v>6789</v>
      </c>
      <c r="C2538" s="24" t="s">
        <v>6814</v>
      </c>
      <c r="D2538" s="59">
        <v>1.0</v>
      </c>
      <c r="E2538" s="59">
        <v>1.0</v>
      </c>
      <c r="F2538" s="59">
        <v>1.0</v>
      </c>
      <c r="G2538" s="60">
        <v>1.0</v>
      </c>
      <c r="H2538" s="60">
        <v>1.0</v>
      </c>
      <c r="I2538" s="60">
        <v>0.0</v>
      </c>
      <c r="J2538" s="59">
        <v>1.0</v>
      </c>
      <c r="K2538" s="61">
        <f t="shared" si="1"/>
        <v>1</v>
      </c>
      <c r="L2538" s="62">
        <f t="shared" si="2"/>
        <v>1</v>
      </c>
    </row>
    <row r="2539">
      <c r="A2539" s="58">
        <v>45962.0</v>
      </c>
      <c r="B2539" s="24" t="s">
        <v>155</v>
      </c>
      <c r="C2539" s="24" t="s">
        <v>6814</v>
      </c>
      <c r="D2539" s="59">
        <v>1.0</v>
      </c>
      <c r="E2539" s="59">
        <v>1.0</v>
      </c>
      <c r="F2539" s="59">
        <v>0.0</v>
      </c>
      <c r="G2539" s="60">
        <v>1.0</v>
      </c>
      <c r="H2539" s="60">
        <v>0.0</v>
      </c>
      <c r="I2539" s="60">
        <v>30.951683</v>
      </c>
      <c r="J2539" s="59">
        <v>1.0</v>
      </c>
      <c r="K2539" s="61">
        <f t="shared" si="1"/>
        <v>0</v>
      </c>
      <c r="L2539" s="62">
        <f t="shared" si="2"/>
        <v>1</v>
      </c>
    </row>
    <row r="2540">
      <c r="A2540" s="58">
        <v>45962.0</v>
      </c>
      <c r="B2540" s="24" t="s">
        <v>6790</v>
      </c>
      <c r="C2540" s="24" t="s">
        <v>7174</v>
      </c>
      <c r="D2540" s="59">
        <v>1.0</v>
      </c>
      <c r="E2540" s="59">
        <v>2.0</v>
      </c>
      <c r="F2540" s="59">
        <v>0.0</v>
      </c>
      <c r="G2540" s="60">
        <v>2.0</v>
      </c>
      <c r="H2540" s="60">
        <v>1.0</v>
      </c>
      <c r="I2540" s="60">
        <v>0.636052</v>
      </c>
      <c r="J2540" s="59">
        <v>2.0</v>
      </c>
      <c r="K2540" s="61">
        <f t="shared" si="1"/>
        <v>0</v>
      </c>
      <c r="L2540" s="62">
        <f t="shared" si="2"/>
        <v>1</v>
      </c>
    </row>
    <row r="2541">
      <c r="A2541" s="58">
        <v>45962.0</v>
      </c>
      <c r="B2541" s="24" t="s">
        <v>6787</v>
      </c>
      <c r="C2541" s="24" t="s">
        <v>7175</v>
      </c>
      <c r="D2541" s="59">
        <v>1.0</v>
      </c>
      <c r="E2541" s="59">
        <v>1.0</v>
      </c>
      <c r="F2541" s="59">
        <v>1.0</v>
      </c>
      <c r="G2541" s="60">
        <v>1.0</v>
      </c>
      <c r="H2541" s="60">
        <v>1.0</v>
      </c>
      <c r="I2541" s="60">
        <v>6.171769</v>
      </c>
      <c r="J2541" s="59">
        <v>1.0</v>
      </c>
      <c r="K2541" s="61">
        <f t="shared" si="1"/>
        <v>1</v>
      </c>
      <c r="L2541" s="62">
        <f t="shared" si="2"/>
        <v>1</v>
      </c>
    </row>
    <row r="2542">
      <c r="A2542" s="58">
        <v>45962.0</v>
      </c>
      <c r="B2542" s="24" t="s">
        <v>6789</v>
      </c>
      <c r="C2542" s="24" t="s">
        <v>7192</v>
      </c>
      <c r="D2542" s="59">
        <v>1.0</v>
      </c>
      <c r="E2542" s="59">
        <v>1.0</v>
      </c>
      <c r="F2542" s="59">
        <v>0.0</v>
      </c>
      <c r="G2542" s="60">
        <v>1.0</v>
      </c>
      <c r="H2542" s="60">
        <v>0.0</v>
      </c>
      <c r="I2542" s="60">
        <v>1391.524318</v>
      </c>
      <c r="J2542" s="59">
        <v>6.0</v>
      </c>
      <c r="K2542" s="61">
        <f t="shared" si="1"/>
        <v>0</v>
      </c>
      <c r="L2542" s="62">
        <f t="shared" si="2"/>
        <v>6</v>
      </c>
    </row>
    <row r="2543">
      <c r="A2543" s="58">
        <v>45962.0</v>
      </c>
      <c r="B2543" s="24" t="s">
        <v>6787</v>
      </c>
      <c r="C2543" s="24" t="s">
        <v>7268</v>
      </c>
      <c r="D2543" s="59">
        <v>1.0</v>
      </c>
      <c r="E2543" s="59">
        <v>1.0</v>
      </c>
      <c r="F2543" s="59">
        <v>1.0</v>
      </c>
      <c r="G2543" s="60">
        <v>1.0</v>
      </c>
      <c r="H2543" s="60">
        <v>0.0</v>
      </c>
      <c r="I2543" s="60">
        <v>15.210738</v>
      </c>
      <c r="J2543" s="59">
        <v>1.0</v>
      </c>
      <c r="K2543" s="61">
        <f t="shared" si="1"/>
        <v>1</v>
      </c>
      <c r="L2543" s="62">
        <f t="shared" si="2"/>
        <v>1</v>
      </c>
    </row>
    <row r="2544">
      <c r="A2544" s="58">
        <v>45962.0</v>
      </c>
      <c r="B2544" s="24" t="s">
        <v>6787</v>
      </c>
      <c r="C2544" s="24" t="s">
        <v>7269</v>
      </c>
      <c r="D2544" s="59">
        <v>1.0</v>
      </c>
      <c r="E2544" s="59">
        <v>1.0</v>
      </c>
      <c r="F2544" s="59">
        <v>1.0</v>
      </c>
      <c r="G2544" s="60">
        <v>1.0</v>
      </c>
      <c r="H2544" s="60">
        <v>1.0</v>
      </c>
      <c r="I2544" s="60">
        <v>3.367795</v>
      </c>
      <c r="J2544" s="59">
        <v>1.0</v>
      </c>
      <c r="K2544" s="61">
        <f t="shared" si="1"/>
        <v>1</v>
      </c>
      <c r="L2544" s="62">
        <f t="shared" si="2"/>
        <v>1</v>
      </c>
    </row>
    <row r="2545">
      <c r="A2545" s="58">
        <v>45962.0</v>
      </c>
      <c r="B2545" s="24" t="s">
        <v>6787</v>
      </c>
      <c r="C2545" s="24" t="s">
        <v>7270</v>
      </c>
      <c r="D2545" s="59">
        <v>1.0</v>
      </c>
      <c r="E2545" s="59">
        <v>1.0</v>
      </c>
      <c r="F2545" s="59">
        <v>1.0</v>
      </c>
      <c r="G2545" s="60">
        <v>1.0</v>
      </c>
      <c r="H2545" s="60">
        <v>0.0</v>
      </c>
      <c r="I2545" s="60">
        <v>11.924742</v>
      </c>
      <c r="J2545" s="59">
        <v>1.0</v>
      </c>
      <c r="K2545" s="61">
        <f t="shared" si="1"/>
        <v>1</v>
      </c>
      <c r="L2545" s="62">
        <f t="shared" si="2"/>
        <v>1</v>
      </c>
    </row>
    <row r="2546">
      <c r="A2546" s="58">
        <v>45962.0</v>
      </c>
      <c r="B2546" s="24" t="s">
        <v>6787</v>
      </c>
      <c r="C2546" s="24" t="s">
        <v>7271</v>
      </c>
      <c r="D2546" s="59">
        <v>1.0</v>
      </c>
      <c r="E2546" s="59">
        <v>1.0</v>
      </c>
      <c r="F2546" s="59">
        <v>1.0</v>
      </c>
      <c r="G2546" s="60">
        <v>1.0</v>
      </c>
      <c r="H2546" s="60">
        <v>1.0</v>
      </c>
      <c r="I2546" s="60">
        <v>5.559014</v>
      </c>
      <c r="J2546" s="59">
        <v>1.0</v>
      </c>
      <c r="K2546" s="61">
        <f t="shared" si="1"/>
        <v>1</v>
      </c>
      <c r="L2546" s="62">
        <f t="shared" si="2"/>
        <v>1</v>
      </c>
    </row>
    <row r="2547">
      <c r="A2547" s="58">
        <v>45962.0</v>
      </c>
      <c r="B2547" s="24" t="s">
        <v>6787</v>
      </c>
      <c r="C2547" s="24" t="s">
        <v>7272</v>
      </c>
      <c r="D2547" s="59">
        <v>1.0</v>
      </c>
      <c r="E2547" s="59">
        <v>1.0</v>
      </c>
      <c r="F2547" s="59">
        <v>1.0</v>
      </c>
      <c r="G2547" s="60">
        <v>1.0</v>
      </c>
      <c r="H2547" s="60">
        <v>0.0</v>
      </c>
      <c r="I2547" s="60">
        <v>13.095874</v>
      </c>
      <c r="J2547" s="59">
        <v>1.0</v>
      </c>
      <c r="K2547" s="61">
        <f t="shared" si="1"/>
        <v>1</v>
      </c>
      <c r="L2547" s="62">
        <f t="shared" si="2"/>
        <v>1</v>
      </c>
    </row>
    <row r="2548">
      <c r="A2548" s="58">
        <v>45962.0</v>
      </c>
      <c r="B2548" s="24" t="s">
        <v>6787</v>
      </c>
      <c r="C2548" s="24" t="s">
        <v>7273</v>
      </c>
      <c r="D2548" s="59">
        <v>1.0</v>
      </c>
      <c r="E2548" s="59">
        <v>1.0</v>
      </c>
      <c r="F2548" s="59">
        <v>1.0</v>
      </c>
      <c r="G2548" s="60">
        <v>1.0</v>
      </c>
      <c r="H2548" s="60">
        <v>0.0</v>
      </c>
      <c r="I2548" s="60">
        <v>10.6453</v>
      </c>
      <c r="J2548" s="59">
        <v>1.0</v>
      </c>
      <c r="K2548" s="61">
        <f t="shared" si="1"/>
        <v>1</v>
      </c>
      <c r="L2548" s="62">
        <f t="shared" si="2"/>
        <v>1</v>
      </c>
    </row>
    <row r="2549">
      <c r="A2549" s="58">
        <v>45962.0</v>
      </c>
      <c r="B2549" s="24" t="s">
        <v>6790</v>
      </c>
      <c r="C2549" s="24" t="s">
        <v>7273</v>
      </c>
      <c r="D2549" s="59">
        <v>1.0</v>
      </c>
      <c r="E2549" s="59">
        <v>1.0</v>
      </c>
      <c r="F2549" s="59">
        <v>1.0</v>
      </c>
      <c r="G2549" s="60">
        <v>1.0</v>
      </c>
      <c r="H2549" s="60">
        <v>1.0</v>
      </c>
      <c r="I2549" s="60">
        <v>2.846519</v>
      </c>
      <c r="J2549" s="59">
        <v>1.0</v>
      </c>
      <c r="K2549" s="61">
        <f t="shared" si="1"/>
        <v>1</v>
      </c>
      <c r="L2549" s="62">
        <f t="shared" si="2"/>
        <v>1</v>
      </c>
    </row>
    <row r="2550">
      <c r="A2550" s="58">
        <v>45962.0</v>
      </c>
      <c r="B2550" s="24" t="s">
        <v>6787</v>
      </c>
      <c r="C2550" s="24" t="s">
        <v>6914</v>
      </c>
      <c r="D2550" s="59">
        <v>1.0</v>
      </c>
      <c r="E2550" s="59">
        <v>1.0</v>
      </c>
      <c r="F2550" s="59">
        <v>1.0</v>
      </c>
      <c r="G2550" s="60">
        <v>1.0</v>
      </c>
      <c r="H2550" s="60">
        <v>1.0</v>
      </c>
      <c r="I2550" s="60">
        <v>6.369405</v>
      </c>
      <c r="J2550" s="59">
        <v>1.0</v>
      </c>
      <c r="K2550" s="61">
        <f t="shared" si="1"/>
        <v>1</v>
      </c>
      <c r="L2550" s="62">
        <f t="shared" si="2"/>
        <v>1</v>
      </c>
    </row>
    <row r="2551">
      <c r="A2551" s="58">
        <v>45962.0</v>
      </c>
      <c r="B2551" s="24" t="s">
        <v>6787</v>
      </c>
      <c r="C2551" s="24" t="s">
        <v>7274</v>
      </c>
      <c r="D2551" s="59">
        <v>1.0</v>
      </c>
      <c r="E2551" s="59">
        <v>1.0</v>
      </c>
      <c r="F2551" s="59">
        <v>1.0</v>
      </c>
      <c r="G2551" s="60">
        <v>1.0</v>
      </c>
      <c r="H2551" s="60">
        <v>1.0</v>
      </c>
      <c r="I2551" s="60">
        <v>5.797563</v>
      </c>
      <c r="J2551" s="59">
        <v>1.0</v>
      </c>
      <c r="K2551" s="61">
        <f t="shared" si="1"/>
        <v>1</v>
      </c>
      <c r="L2551" s="62">
        <f t="shared" si="2"/>
        <v>1</v>
      </c>
    </row>
    <row r="2552">
      <c r="A2552" s="58">
        <v>45962.0</v>
      </c>
      <c r="B2552" s="24" t="s">
        <v>6787</v>
      </c>
      <c r="C2552" s="24" t="s">
        <v>7275</v>
      </c>
      <c r="D2552" s="59">
        <v>1.0</v>
      </c>
      <c r="E2552" s="59">
        <v>1.0</v>
      </c>
      <c r="F2552" s="59">
        <v>1.0</v>
      </c>
      <c r="G2552" s="60">
        <v>1.0</v>
      </c>
      <c r="H2552" s="60">
        <v>1.0</v>
      </c>
      <c r="I2552" s="60">
        <v>5.760702</v>
      </c>
      <c r="J2552" s="59">
        <v>1.0</v>
      </c>
      <c r="K2552" s="61">
        <f t="shared" si="1"/>
        <v>1</v>
      </c>
      <c r="L2552" s="62">
        <f t="shared" si="2"/>
        <v>1</v>
      </c>
    </row>
    <row r="2553">
      <c r="A2553" s="58">
        <v>45962.0</v>
      </c>
      <c r="B2553" s="24" t="s">
        <v>6787</v>
      </c>
      <c r="C2553" s="24" t="s">
        <v>7276</v>
      </c>
      <c r="D2553" s="59">
        <v>1.0</v>
      </c>
      <c r="E2553" s="59">
        <v>1.0</v>
      </c>
      <c r="F2553" s="59">
        <v>1.0</v>
      </c>
      <c r="G2553" s="60">
        <v>1.0</v>
      </c>
      <c r="H2553" s="60">
        <v>1.0</v>
      </c>
      <c r="I2553" s="60">
        <v>8.421174</v>
      </c>
      <c r="J2553" s="59">
        <v>1.0</v>
      </c>
      <c r="K2553" s="61">
        <f t="shared" si="1"/>
        <v>1</v>
      </c>
      <c r="L2553" s="62">
        <f t="shared" si="2"/>
        <v>1</v>
      </c>
    </row>
    <row r="2554">
      <c r="A2554" s="58">
        <v>45962.0</v>
      </c>
      <c r="B2554" s="24" t="s">
        <v>6787</v>
      </c>
      <c r="C2554" s="24" t="s">
        <v>7277</v>
      </c>
      <c r="D2554" s="59">
        <v>1.0</v>
      </c>
      <c r="E2554" s="59">
        <v>1.0</v>
      </c>
      <c r="F2554" s="59">
        <v>1.0</v>
      </c>
      <c r="G2554" s="60">
        <v>1.0</v>
      </c>
      <c r="H2554" s="60">
        <v>1.0</v>
      </c>
      <c r="I2554" s="60">
        <v>7.044202</v>
      </c>
      <c r="J2554" s="59">
        <v>1.0</v>
      </c>
      <c r="K2554" s="61">
        <f t="shared" si="1"/>
        <v>1</v>
      </c>
      <c r="L2554" s="62">
        <f t="shared" si="2"/>
        <v>1</v>
      </c>
    </row>
    <row r="2555">
      <c r="A2555" s="58">
        <v>45962.0</v>
      </c>
      <c r="B2555" s="24" t="s">
        <v>6787</v>
      </c>
      <c r="C2555" s="24" t="s">
        <v>7176</v>
      </c>
      <c r="D2555" s="59">
        <v>1.0</v>
      </c>
      <c r="E2555" s="59">
        <v>1.0</v>
      </c>
      <c r="F2555" s="59">
        <v>1.0</v>
      </c>
      <c r="G2555" s="60">
        <v>1.0</v>
      </c>
      <c r="H2555" s="60">
        <v>0.0</v>
      </c>
      <c r="I2555" s="60">
        <v>11.540064</v>
      </c>
      <c r="J2555" s="59">
        <v>1.0</v>
      </c>
      <c r="K2555" s="61">
        <f t="shared" si="1"/>
        <v>1</v>
      </c>
      <c r="L2555" s="62">
        <f t="shared" si="2"/>
        <v>1</v>
      </c>
    </row>
    <row r="2556">
      <c r="A2556" s="58">
        <v>45962.0</v>
      </c>
      <c r="B2556" s="24" t="s">
        <v>6787</v>
      </c>
      <c r="C2556" s="24" t="s">
        <v>7278</v>
      </c>
      <c r="D2556" s="59">
        <v>1.0</v>
      </c>
      <c r="E2556" s="59">
        <v>1.0</v>
      </c>
      <c r="F2556" s="59">
        <v>1.0</v>
      </c>
      <c r="G2556" s="60">
        <v>1.0</v>
      </c>
      <c r="H2556" s="60">
        <v>1.0</v>
      </c>
      <c r="I2556" s="60">
        <v>6.306738</v>
      </c>
      <c r="J2556" s="59">
        <v>1.0</v>
      </c>
      <c r="K2556" s="61">
        <f t="shared" si="1"/>
        <v>1</v>
      </c>
      <c r="L2556" s="62">
        <f t="shared" si="2"/>
        <v>1</v>
      </c>
    </row>
    <row r="2557">
      <c r="A2557" s="58">
        <v>45962.0</v>
      </c>
      <c r="B2557" s="24" t="s">
        <v>6787</v>
      </c>
      <c r="C2557" s="24" t="s">
        <v>7279</v>
      </c>
      <c r="D2557" s="59">
        <v>1.0</v>
      </c>
      <c r="E2557" s="59">
        <v>1.0</v>
      </c>
      <c r="F2557" s="59">
        <v>1.0</v>
      </c>
      <c r="G2557" s="60">
        <v>1.0</v>
      </c>
      <c r="H2557" s="60">
        <v>0.0</v>
      </c>
      <c r="I2557" s="60">
        <v>11.4498</v>
      </c>
      <c r="J2557" s="59">
        <v>1.0</v>
      </c>
      <c r="K2557" s="61">
        <f t="shared" si="1"/>
        <v>1</v>
      </c>
      <c r="L2557" s="62">
        <f t="shared" si="2"/>
        <v>1</v>
      </c>
    </row>
    <row r="2558">
      <c r="A2558" s="58">
        <v>45962.0</v>
      </c>
      <c r="B2558" s="24" t="s">
        <v>6787</v>
      </c>
      <c r="C2558" s="24" t="s">
        <v>7177</v>
      </c>
      <c r="D2558" s="59">
        <v>1.0</v>
      </c>
      <c r="E2558" s="59">
        <v>1.0</v>
      </c>
      <c r="F2558" s="59">
        <v>1.0</v>
      </c>
      <c r="G2558" s="60">
        <v>1.0</v>
      </c>
      <c r="H2558" s="60">
        <v>1.0</v>
      </c>
      <c r="I2558" s="60">
        <v>5.489916</v>
      </c>
      <c r="J2558" s="59">
        <v>1.0</v>
      </c>
      <c r="K2558" s="61">
        <f t="shared" si="1"/>
        <v>1</v>
      </c>
      <c r="L2558" s="62">
        <f t="shared" si="2"/>
        <v>1</v>
      </c>
    </row>
    <row r="2559">
      <c r="A2559" s="58">
        <v>45962.0</v>
      </c>
      <c r="B2559" s="24" t="s">
        <v>6787</v>
      </c>
      <c r="C2559" s="24" t="s">
        <v>7178</v>
      </c>
      <c r="D2559" s="59">
        <v>1.0</v>
      </c>
      <c r="E2559" s="59">
        <v>1.0</v>
      </c>
      <c r="F2559" s="59">
        <v>1.0</v>
      </c>
      <c r="G2559" s="60">
        <v>1.0</v>
      </c>
      <c r="H2559" s="60">
        <v>1.0</v>
      </c>
      <c r="I2559" s="60">
        <v>5.83701</v>
      </c>
      <c r="J2559" s="59">
        <v>1.0</v>
      </c>
      <c r="K2559" s="61">
        <f t="shared" si="1"/>
        <v>1</v>
      </c>
      <c r="L2559" s="62">
        <f t="shared" si="2"/>
        <v>1</v>
      </c>
    </row>
    <row r="2560">
      <c r="A2560" s="58">
        <v>45962.0</v>
      </c>
      <c r="B2560" s="24" t="s">
        <v>6787</v>
      </c>
      <c r="C2560" s="24" t="s">
        <v>7280</v>
      </c>
      <c r="D2560" s="59">
        <v>1.0</v>
      </c>
      <c r="E2560" s="59">
        <v>1.0</v>
      </c>
      <c r="F2560" s="59">
        <v>1.0</v>
      </c>
      <c r="G2560" s="60">
        <v>1.0</v>
      </c>
      <c r="H2560" s="60">
        <v>1.0</v>
      </c>
      <c r="I2560" s="60">
        <v>8.249117</v>
      </c>
      <c r="J2560" s="59">
        <v>1.0</v>
      </c>
      <c r="K2560" s="61">
        <f t="shared" si="1"/>
        <v>1</v>
      </c>
      <c r="L2560" s="62">
        <f t="shared" si="2"/>
        <v>1</v>
      </c>
    </row>
    <row r="2561">
      <c r="A2561" s="58">
        <v>45962.0</v>
      </c>
      <c r="B2561" s="24" t="s">
        <v>155</v>
      </c>
      <c r="C2561" s="24" t="s">
        <v>6915</v>
      </c>
      <c r="D2561" s="59">
        <v>1.0</v>
      </c>
      <c r="E2561" s="59">
        <v>1.0</v>
      </c>
      <c r="F2561" s="59">
        <v>1.0</v>
      </c>
      <c r="G2561" s="60">
        <v>1.0</v>
      </c>
      <c r="H2561" s="60">
        <v>0.0</v>
      </c>
      <c r="I2561" s="60">
        <v>569.719081</v>
      </c>
      <c r="J2561" s="59">
        <v>1.0</v>
      </c>
      <c r="K2561" s="61">
        <f t="shared" si="1"/>
        <v>1</v>
      </c>
      <c r="L2561" s="62">
        <f t="shared" si="2"/>
        <v>1</v>
      </c>
    </row>
    <row r="2562">
      <c r="A2562" s="58">
        <v>45962.0</v>
      </c>
      <c r="B2562" s="24" t="s">
        <v>6790</v>
      </c>
      <c r="C2562" s="24" t="s">
        <v>6915</v>
      </c>
      <c r="D2562" s="59">
        <v>1.0</v>
      </c>
      <c r="E2562" s="59">
        <v>2.0</v>
      </c>
      <c r="F2562" s="59">
        <v>1.0</v>
      </c>
      <c r="G2562" s="60">
        <v>2.0</v>
      </c>
      <c r="H2562" s="60">
        <v>0.0</v>
      </c>
      <c r="I2562" s="60">
        <v>17.8077195</v>
      </c>
      <c r="J2562" s="59">
        <v>2.0</v>
      </c>
      <c r="K2562" s="61">
        <f t="shared" si="1"/>
        <v>0.5</v>
      </c>
      <c r="L2562" s="62">
        <f t="shared" si="2"/>
        <v>1</v>
      </c>
    </row>
    <row r="2563">
      <c r="A2563" s="58">
        <v>45962.0</v>
      </c>
      <c r="B2563" s="24" t="s">
        <v>6787</v>
      </c>
      <c r="C2563" s="24" t="s">
        <v>7281</v>
      </c>
      <c r="D2563" s="59">
        <v>1.0</v>
      </c>
      <c r="E2563" s="59">
        <v>1.0</v>
      </c>
      <c r="F2563" s="59">
        <v>1.0</v>
      </c>
      <c r="G2563" s="60">
        <v>1.0</v>
      </c>
      <c r="H2563" s="60">
        <v>1.0</v>
      </c>
      <c r="I2563" s="60">
        <v>0.38746</v>
      </c>
      <c r="J2563" s="59">
        <v>1.0</v>
      </c>
      <c r="K2563" s="61">
        <f t="shared" si="1"/>
        <v>1</v>
      </c>
      <c r="L2563" s="62">
        <f t="shared" si="2"/>
        <v>1</v>
      </c>
    </row>
    <row r="2564">
      <c r="A2564" s="58">
        <v>45962.0</v>
      </c>
      <c r="B2564" s="24" t="s">
        <v>6789</v>
      </c>
      <c r="C2564" s="24" t="s">
        <v>7106</v>
      </c>
      <c r="D2564" s="59">
        <v>1.0</v>
      </c>
      <c r="E2564" s="59">
        <v>1.0</v>
      </c>
      <c r="F2564" s="59">
        <v>0.0</v>
      </c>
      <c r="G2564" s="60">
        <v>1.0</v>
      </c>
      <c r="H2564" s="60">
        <v>1.0</v>
      </c>
      <c r="I2564" s="60">
        <v>7.903365</v>
      </c>
      <c r="J2564" s="59">
        <v>1.0</v>
      </c>
      <c r="K2564" s="61">
        <f t="shared" si="1"/>
        <v>0</v>
      </c>
      <c r="L2564" s="62">
        <f t="shared" si="2"/>
        <v>1</v>
      </c>
    </row>
    <row r="2565">
      <c r="A2565" s="58">
        <v>45962.0</v>
      </c>
      <c r="B2565" s="24" t="s">
        <v>6794</v>
      </c>
      <c r="C2565" s="24" t="s">
        <v>7106</v>
      </c>
      <c r="D2565" s="59">
        <v>1.0</v>
      </c>
      <c r="E2565" s="59">
        <v>2.0</v>
      </c>
      <c r="F2565" s="59">
        <v>0.0</v>
      </c>
      <c r="G2565" s="60">
        <v>2.0</v>
      </c>
      <c r="H2565" s="60">
        <v>0.0</v>
      </c>
      <c r="I2565" s="60">
        <v>69.1126895</v>
      </c>
      <c r="J2565" s="59">
        <v>6.0</v>
      </c>
      <c r="K2565" s="61">
        <f t="shared" si="1"/>
        <v>0</v>
      </c>
      <c r="L2565" s="62">
        <f t="shared" si="2"/>
        <v>3</v>
      </c>
    </row>
    <row r="2566">
      <c r="A2566" s="58">
        <v>45962.0</v>
      </c>
      <c r="B2566" s="24" t="s">
        <v>155</v>
      </c>
      <c r="C2566" s="24" t="s">
        <v>6917</v>
      </c>
      <c r="D2566" s="59">
        <v>1.0</v>
      </c>
      <c r="E2566" s="59">
        <v>1.0</v>
      </c>
      <c r="F2566" s="59">
        <v>0.0</v>
      </c>
      <c r="G2566" s="60">
        <v>0.0</v>
      </c>
      <c r="H2566" s="60">
        <v>1.0</v>
      </c>
      <c r="I2566" s="60">
        <v>0.0</v>
      </c>
      <c r="J2566" s="59">
        <v>1.0</v>
      </c>
      <c r="K2566" s="61">
        <f t="shared" si="1"/>
        <v>0</v>
      </c>
      <c r="L2566" s="62">
        <f t="shared" si="2"/>
        <v>1</v>
      </c>
    </row>
    <row r="2567">
      <c r="A2567" s="58">
        <v>45962.0</v>
      </c>
      <c r="B2567" s="24" t="s">
        <v>6787</v>
      </c>
      <c r="C2567" s="24" t="s">
        <v>7028</v>
      </c>
      <c r="D2567" s="59">
        <v>1.0</v>
      </c>
      <c r="E2567" s="59">
        <v>1.0</v>
      </c>
      <c r="F2567" s="59">
        <v>1.0</v>
      </c>
      <c r="G2567" s="60">
        <v>1.0</v>
      </c>
      <c r="H2567" s="60">
        <v>1.0</v>
      </c>
      <c r="I2567" s="60">
        <v>6.236991</v>
      </c>
      <c r="J2567" s="59">
        <v>1.0</v>
      </c>
      <c r="K2567" s="61">
        <f t="shared" si="1"/>
        <v>1</v>
      </c>
      <c r="L2567" s="62">
        <f t="shared" si="2"/>
        <v>1</v>
      </c>
    </row>
    <row r="2568">
      <c r="A2568" s="58">
        <v>45962.0</v>
      </c>
      <c r="B2568" s="24" t="s">
        <v>6790</v>
      </c>
      <c r="C2568" s="24" t="s">
        <v>6815</v>
      </c>
      <c r="D2568" s="59">
        <v>1.0</v>
      </c>
      <c r="E2568" s="59">
        <v>1.0</v>
      </c>
      <c r="F2568" s="59">
        <v>1.0</v>
      </c>
      <c r="G2568" s="60">
        <v>1.0</v>
      </c>
      <c r="H2568" s="60">
        <v>0.0</v>
      </c>
      <c r="I2568" s="60">
        <v>169.744512</v>
      </c>
      <c r="J2568" s="59">
        <v>1.0</v>
      </c>
      <c r="K2568" s="61">
        <f t="shared" si="1"/>
        <v>1</v>
      </c>
      <c r="L2568" s="62">
        <f t="shared" si="2"/>
        <v>1</v>
      </c>
    </row>
    <row r="2569">
      <c r="A2569" s="58">
        <v>45962.0</v>
      </c>
      <c r="B2569" s="24" t="s">
        <v>6789</v>
      </c>
      <c r="C2569" s="24" t="s">
        <v>7112</v>
      </c>
      <c r="D2569" s="59">
        <v>1.0</v>
      </c>
      <c r="E2569" s="59">
        <v>2.0</v>
      </c>
      <c r="F2569" s="59">
        <v>0.0</v>
      </c>
      <c r="G2569" s="60">
        <v>2.0</v>
      </c>
      <c r="H2569" s="60">
        <v>0.0</v>
      </c>
      <c r="I2569" s="60">
        <v>942.43334</v>
      </c>
      <c r="J2569" s="59">
        <v>5.0</v>
      </c>
      <c r="K2569" s="61">
        <f t="shared" si="1"/>
        <v>0</v>
      </c>
      <c r="L2569" s="62">
        <f t="shared" si="2"/>
        <v>2.5</v>
      </c>
    </row>
    <row r="2570">
      <c r="A2570" s="58">
        <v>45962.0</v>
      </c>
      <c r="B2570" s="24" t="s">
        <v>6789</v>
      </c>
      <c r="C2570" s="24" t="s">
        <v>6852</v>
      </c>
      <c r="D2570" s="59">
        <v>1.0</v>
      </c>
      <c r="E2570" s="59">
        <v>1.0</v>
      </c>
      <c r="F2570" s="59">
        <v>1.0</v>
      </c>
      <c r="G2570" s="60">
        <v>1.0</v>
      </c>
      <c r="H2570" s="60">
        <v>1.0</v>
      </c>
      <c r="I2570" s="60">
        <v>0.0</v>
      </c>
      <c r="J2570" s="59">
        <v>1.0</v>
      </c>
      <c r="K2570" s="61">
        <f t="shared" si="1"/>
        <v>1</v>
      </c>
      <c r="L2570" s="62">
        <f t="shared" si="2"/>
        <v>1</v>
      </c>
    </row>
    <row r="2571">
      <c r="A2571" s="58">
        <v>45962.0</v>
      </c>
      <c r="B2571" s="24" t="s">
        <v>6789</v>
      </c>
      <c r="C2571" s="24" t="s">
        <v>6920</v>
      </c>
      <c r="D2571" s="59">
        <v>1.0</v>
      </c>
      <c r="E2571" s="59">
        <v>1.0</v>
      </c>
      <c r="F2571" s="59">
        <v>1.0</v>
      </c>
      <c r="G2571" s="60">
        <v>1.0</v>
      </c>
      <c r="H2571" s="60">
        <v>0.0</v>
      </c>
      <c r="I2571" s="60">
        <v>85.182657</v>
      </c>
      <c r="J2571" s="59">
        <v>2.0</v>
      </c>
      <c r="K2571" s="61">
        <f t="shared" si="1"/>
        <v>1</v>
      </c>
      <c r="L2571" s="62">
        <f t="shared" si="2"/>
        <v>2</v>
      </c>
    </row>
    <row r="2572">
      <c r="A2572" s="58">
        <v>45962.0</v>
      </c>
      <c r="B2572" s="24" t="s">
        <v>6790</v>
      </c>
      <c r="C2572" s="24" t="s">
        <v>6920</v>
      </c>
      <c r="D2572" s="59">
        <v>1.0</v>
      </c>
      <c r="E2572" s="59">
        <v>1.0</v>
      </c>
      <c r="F2572" s="59">
        <v>1.0</v>
      </c>
      <c r="G2572" s="60">
        <v>1.0</v>
      </c>
      <c r="H2572" s="60">
        <v>0.0</v>
      </c>
      <c r="I2572" s="60">
        <v>21.673936</v>
      </c>
      <c r="J2572" s="59">
        <v>1.0</v>
      </c>
      <c r="K2572" s="61">
        <f t="shared" si="1"/>
        <v>1</v>
      </c>
      <c r="L2572" s="62">
        <f t="shared" si="2"/>
        <v>1</v>
      </c>
    </row>
    <row r="2573">
      <c r="A2573" s="58">
        <v>45962.0</v>
      </c>
      <c r="B2573" s="24" t="s">
        <v>6791</v>
      </c>
      <c r="C2573" s="24" t="s">
        <v>6922</v>
      </c>
      <c r="D2573" s="59">
        <v>1.0</v>
      </c>
      <c r="E2573" s="59">
        <v>1.0</v>
      </c>
      <c r="F2573" s="59">
        <v>0.0</v>
      </c>
      <c r="G2573" s="60">
        <v>1.0</v>
      </c>
      <c r="H2573" s="60">
        <v>0.0</v>
      </c>
      <c r="I2573" s="60">
        <v>7.478833</v>
      </c>
      <c r="J2573" s="59">
        <v>2.0</v>
      </c>
      <c r="K2573" s="61">
        <f t="shared" si="1"/>
        <v>0</v>
      </c>
      <c r="L2573" s="62">
        <f t="shared" si="2"/>
        <v>2</v>
      </c>
    </row>
    <row r="2574">
      <c r="A2574" s="58">
        <v>45962.0</v>
      </c>
      <c r="B2574" s="24" t="s">
        <v>155</v>
      </c>
      <c r="C2574" s="24" t="s">
        <v>6797</v>
      </c>
      <c r="D2574" s="59">
        <v>1.0</v>
      </c>
      <c r="E2574" s="59">
        <v>1.0</v>
      </c>
      <c r="F2574" s="59">
        <v>0.0</v>
      </c>
      <c r="G2574" s="60">
        <v>1.0</v>
      </c>
      <c r="H2574" s="60">
        <v>0.0</v>
      </c>
      <c r="I2574" s="60">
        <v>48.982237</v>
      </c>
      <c r="J2574" s="59">
        <v>3.0</v>
      </c>
      <c r="K2574" s="61">
        <f t="shared" si="1"/>
        <v>0</v>
      </c>
      <c r="L2574" s="62">
        <f t="shared" si="2"/>
        <v>3</v>
      </c>
    </row>
    <row r="2575">
      <c r="A2575" s="58">
        <v>45962.0</v>
      </c>
      <c r="B2575" s="24" t="s">
        <v>155</v>
      </c>
      <c r="C2575" s="24" t="s">
        <v>7196</v>
      </c>
      <c r="D2575" s="59">
        <v>1.0</v>
      </c>
      <c r="E2575" s="59">
        <v>3.0</v>
      </c>
      <c r="F2575" s="59">
        <v>0.0</v>
      </c>
      <c r="G2575" s="60">
        <v>3.0</v>
      </c>
      <c r="H2575" s="60">
        <v>0.0</v>
      </c>
      <c r="I2575" s="60">
        <v>1424.733411</v>
      </c>
      <c r="J2575" s="59">
        <v>24.0</v>
      </c>
      <c r="K2575" s="61">
        <f t="shared" si="1"/>
        <v>0</v>
      </c>
      <c r="L2575" s="62">
        <f t="shared" si="2"/>
        <v>8</v>
      </c>
    </row>
    <row r="2576">
      <c r="A2576" s="58">
        <v>45962.0</v>
      </c>
      <c r="B2576" s="24" t="s">
        <v>6789</v>
      </c>
      <c r="C2576" s="24" t="s">
        <v>7246</v>
      </c>
      <c r="D2576" s="59">
        <v>1.0</v>
      </c>
      <c r="E2576" s="59">
        <v>6.0</v>
      </c>
      <c r="F2576" s="59">
        <v>0.0</v>
      </c>
      <c r="G2576" s="60">
        <v>6.0</v>
      </c>
      <c r="H2576" s="60">
        <v>0.166666666666666</v>
      </c>
      <c r="I2576" s="60">
        <v>852.7332495</v>
      </c>
      <c r="J2576" s="59">
        <v>30.0</v>
      </c>
      <c r="K2576" s="61">
        <f t="shared" si="1"/>
        <v>0</v>
      </c>
      <c r="L2576" s="62">
        <f t="shared" si="2"/>
        <v>5</v>
      </c>
    </row>
    <row r="2577">
      <c r="A2577" s="58">
        <v>45962.0</v>
      </c>
      <c r="B2577" s="24" t="s">
        <v>6787</v>
      </c>
      <c r="C2577" s="24" t="s">
        <v>7113</v>
      </c>
      <c r="D2577" s="59">
        <v>1.0</v>
      </c>
      <c r="E2577" s="59">
        <v>4.0</v>
      </c>
      <c r="F2577" s="59">
        <v>0.0</v>
      </c>
      <c r="G2577" s="60">
        <v>4.0</v>
      </c>
      <c r="H2577" s="60">
        <v>0.5</v>
      </c>
      <c r="I2577" s="60">
        <v>385.70645225</v>
      </c>
      <c r="J2577" s="59">
        <v>12.0</v>
      </c>
      <c r="K2577" s="61">
        <f t="shared" si="1"/>
        <v>0</v>
      </c>
      <c r="L2577" s="62">
        <f t="shared" si="2"/>
        <v>3</v>
      </c>
    </row>
    <row r="2578">
      <c r="A2578" s="58">
        <v>45962.0</v>
      </c>
      <c r="B2578" s="24" t="s">
        <v>6789</v>
      </c>
      <c r="C2578" s="24" t="s">
        <v>7113</v>
      </c>
      <c r="D2578" s="59">
        <v>1.0</v>
      </c>
      <c r="E2578" s="59">
        <v>8.0</v>
      </c>
      <c r="F2578" s="59">
        <v>0.0</v>
      </c>
      <c r="G2578" s="60">
        <v>8.0</v>
      </c>
      <c r="H2578" s="60">
        <v>0.125</v>
      </c>
      <c r="I2578" s="60">
        <v>749.055823375</v>
      </c>
      <c r="J2578" s="59">
        <v>35.0</v>
      </c>
      <c r="K2578" s="61">
        <f t="shared" si="1"/>
        <v>0</v>
      </c>
      <c r="L2578" s="62">
        <f t="shared" si="2"/>
        <v>4.375</v>
      </c>
    </row>
    <row r="2579">
      <c r="A2579" s="58">
        <v>45962.0</v>
      </c>
      <c r="B2579" s="24" t="s">
        <v>6787</v>
      </c>
      <c r="C2579" s="24" t="s">
        <v>6962</v>
      </c>
      <c r="D2579" s="59">
        <v>1.0</v>
      </c>
      <c r="E2579" s="59">
        <v>1.0</v>
      </c>
      <c r="F2579" s="59">
        <v>1.0</v>
      </c>
      <c r="G2579" s="60">
        <v>1.0</v>
      </c>
      <c r="H2579" s="60">
        <v>0.0</v>
      </c>
      <c r="I2579" s="60">
        <v>10.661668</v>
      </c>
      <c r="J2579" s="59">
        <v>1.0</v>
      </c>
      <c r="K2579" s="61">
        <f t="shared" si="1"/>
        <v>1</v>
      </c>
      <c r="L2579" s="62">
        <f t="shared" si="2"/>
        <v>1</v>
      </c>
    </row>
    <row r="2580">
      <c r="A2580" s="58">
        <v>45962.0</v>
      </c>
      <c r="B2580" s="24" t="s">
        <v>6787</v>
      </c>
      <c r="C2580" s="24" t="s">
        <v>7282</v>
      </c>
      <c r="D2580" s="59">
        <v>1.0</v>
      </c>
      <c r="E2580" s="59">
        <v>1.0</v>
      </c>
      <c r="F2580" s="59">
        <v>1.0</v>
      </c>
      <c r="G2580" s="60">
        <v>1.0</v>
      </c>
      <c r="H2580" s="60">
        <v>0.0</v>
      </c>
      <c r="I2580" s="60">
        <v>4.723066</v>
      </c>
      <c r="J2580" s="59">
        <v>1.0</v>
      </c>
      <c r="K2580" s="61">
        <f t="shared" si="1"/>
        <v>1</v>
      </c>
      <c r="L2580" s="62">
        <f t="shared" si="2"/>
        <v>1</v>
      </c>
    </row>
    <row r="2581">
      <c r="A2581" s="58">
        <v>45962.0</v>
      </c>
      <c r="B2581" s="24" t="s">
        <v>6787</v>
      </c>
      <c r="C2581" s="24" t="s">
        <v>7235</v>
      </c>
      <c r="D2581" s="59">
        <v>1.0</v>
      </c>
      <c r="E2581" s="59">
        <v>1.0</v>
      </c>
      <c r="F2581" s="59">
        <v>0.0</v>
      </c>
      <c r="G2581" s="60">
        <v>0.0</v>
      </c>
      <c r="H2581" s="60">
        <v>1.0</v>
      </c>
      <c r="I2581" s="60">
        <v>0.0</v>
      </c>
      <c r="J2581" s="59">
        <v>1.0</v>
      </c>
      <c r="K2581" s="61">
        <f t="shared" si="1"/>
        <v>0</v>
      </c>
      <c r="L2581" s="62">
        <f t="shared" si="2"/>
        <v>1</v>
      </c>
    </row>
    <row r="2582">
      <c r="A2582" s="58">
        <v>45962.0</v>
      </c>
      <c r="B2582" s="24" t="s">
        <v>6789</v>
      </c>
      <c r="C2582" s="24" t="s">
        <v>7283</v>
      </c>
      <c r="D2582" s="59">
        <v>1.0</v>
      </c>
      <c r="E2582" s="59">
        <v>1.0</v>
      </c>
      <c r="F2582" s="59">
        <v>0.0</v>
      </c>
      <c r="G2582" s="60">
        <v>1.0</v>
      </c>
      <c r="H2582" s="60">
        <v>1.0</v>
      </c>
      <c r="I2582" s="60">
        <v>5.850317</v>
      </c>
      <c r="J2582" s="59">
        <v>1.0</v>
      </c>
      <c r="K2582" s="61">
        <f t="shared" si="1"/>
        <v>0</v>
      </c>
      <c r="L2582" s="62">
        <f t="shared" si="2"/>
        <v>1</v>
      </c>
    </row>
    <row r="2583">
      <c r="A2583" s="58">
        <v>45962.0</v>
      </c>
      <c r="B2583" s="24" t="s">
        <v>6790</v>
      </c>
      <c r="C2583" s="24" t="s">
        <v>7183</v>
      </c>
      <c r="D2583" s="59">
        <v>1.0</v>
      </c>
      <c r="E2583" s="59">
        <v>1.0</v>
      </c>
      <c r="F2583" s="59">
        <v>1.0</v>
      </c>
      <c r="G2583" s="60">
        <v>1.0</v>
      </c>
      <c r="H2583" s="60">
        <v>1.0</v>
      </c>
      <c r="I2583" s="60">
        <v>6.807199</v>
      </c>
      <c r="J2583" s="59">
        <v>1.0</v>
      </c>
      <c r="K2583" s="61">
        <f t="shared" si="1"/>
        <v>1</v>
      </c>
      <c r="L2583" s="62">
        <f t="shared" si="2"/>
        <v>1</v>
      </c>
    </row>
    <row r="2584">
      <c r="A2584" s="58">
        <v>45962.0</v>
      </c>
      <c r="B2584" s="24" t="s">
        <v>6787</v>
      </c>
      <c r="C2584" s="24" t="s">
        <v>7284</v>
      </c>
      <c r="D2584" s="59">
        <v>1.0</v>
      </c>
      <c r="E2584" s="59">
        <v>1.0</v>
      </c>
      <c r="F2584" s="59">
        <v>1.0</v>
      </c>
      <c r="G2584" s="60">
        <v>1.0</v>
      </c>
      <c r="H2584" s="60">
        <v>1.0</v>
      </c>
      <c r="I2584" s="60">
        <v>2.508814</v>
      </c>
      <c r="J2584" s="59">
        <v>1.0</v>
      </c>
      <c r="K2584" s="61">
        <f t="shared" si="1"/>
        <v>1</v>
      </c>
      <c r="L2584" s="62">
        <f t="shared" si="2"/>
        <v>1</v>
      </c>
    </row>
    <row r="2585">
      <c r="A2585" s="58">
        <v>45962.0</v>
      </c>
      <c r="B2585" s="24" t="s">
        <v>6789</v>
      </c>
      <c r="C2585" s="24" t="s">
        <v>6941</v>
      </c>
      <c r="D2585" s="59">
        <v>1.0</v>
      </c>
      <c r="E2585" s="59">
        <v>2.0</v>
      </c>
      <c r="F2585" s="59">
        <v>0.0</v>
      </c>
      <c r="G2585" s="60">
        <v>2.0</v>
      </c>
      <c r="H2585" s="60">
        <v>0.0</v>
      </c>
      <c r="I2585" s="60">
        <v>964.859593</v>
      </c>
      <c r="J2585" s="59">
        <v>11.0</v>
      </c>
      <c r="K2585" s="61">
        <f t="shared" si="1"/>
        <v>0</v>
      </c>
      <c r="L2585" s="62">
        <f t="shared" si="2"/>
        <v>5.5</v>
      </c>
    </row>
    <row r="2586">
      <c r="A2586" s="58">
        <v>45962.0</v>
      </c>
      <c r="B2586" s="24" t="s">
        <v>6942</v>
      </c>
      <c r="C2586" s="24" t="s">
        <v>6941</v>
      </c>
      <c r="D2586" s="59">
        <v>1.0</v>
      </c>
      <c r="E2586" s="59">
        <v>1.0</v>
      </c>
      <c r="F2586" s="59">
        <v>0.0</v>
      </c>
      <c r="G2586" s="60">
        <v>1.0</v>
      </c>
      <c r="H2586" s="60">
        <v>0.0</v>
      </c>
      <c r="I2586" s="60">
        <v>282.94026</v>
      </c>
      <c r="J2586" s="59">
        <v>1.0</v>
      </c>
      <c r="K2586" s="61">
        <f t="shared" si="1"/>
        <v>0</v>
      </c>
      <c r="L2586" s="62">
        <f t="shared" si="2"/>
        <v>1</v>
      </c>
    </row>
    <row r="2587">
      <c r="A2587" s="58">
        <v>45962.0</v>
      </c>
      <c r="B2587" s="24" t="s">
        <v>6794</v>
      </c>
      <c r="C2587" s="24" t="s">
        <v>6924</v>
      </c>
      <c r="D2587" s="59">
        <v>1.0</v>
      </c>
      <c r="E2587" s="59">
        <v>1.0</v>
      </c>
      <c r="F2587" s="59">
        <v>0.0</v>
      </c>
      <c r="G2587" s="60">
        <v>1.0</v>
      </c>
      <c r="H2587" s="60">
        <v>0.0</v>
      </c>
      <c r="I2587" s="60">
        <v>54.181915</v>
      </c>
      <c r="J2587" s="59">
        <v>1.0</v>
      </c>
      <c r="K2587" s="61">
        <f t="shared" si="1"/>
        <v>0</v>
      </c>
      <c r="L2587" s="62">
        <f t="shared" si="2"/>
        <v>1</v>
      </c>
    </row>
    <row r="2588">
      <c r="A2588" s="58">
        <v>45962.0</v>
      </c>
      <c r="B2588" s="24" t="s">
        <v>6787</v>
      </c>
      <c r="C2588" s="24" t="s">
        <v>7285</v>
      </c>
      <c r="D2588" s="59">
        <v>1.0</v>
      </c>
      <c r="E2588" s="59">
        <v>1.0</v>
      </c>
      <c r="F2588" s="59">
        <v>1.0</v>
      </c>
      <c r="G2588" s="60">
        <v>1.0</v>
      </c>
      <c r="H2588" s="60">
        <v>1.0</v>
      </c>
      <c r="I2588" s="60">
        <v>4.89478</v>
      </c>
      <c r="J2588" s="59">
        <v>1.0</v>
      </c>
      <c r="K2588" s="61">
        <f t="shared" si="1"/>
        <v>1</v>
      </c>
      <c r="L2588" s="62">
        <f t="shared" si="2"/>
        <v>1</v>
      </c>
    </row>
    <row r="2589">
      <c r="A2589" s="58">
        <v>45962.0</v>
      </c>
      <c r="B2589" s="24" t="s">
        <v>155</v>
      </c>
      <c r="C2589" s="24" t="s">
        <v>6802</v>
      </c>
      <c r="D2589" s="59">
        <v>1.0</v>
      </c>
      <c r="E2589" s="59">
        <v>1.0</v>
      </c>
      <c r="F2589" s="59">
        <v>1.0</v>
      </c>
      <c r="G2589" s="60">
        <v>1.0</v>
      </c>
      <c r="H2589" s="60">
        <v>1.0</v>
      </c>
      <c r="I2589" s="60">
        <v>0.0</v>
      </c>
      <c r="J2589" s="59">
        <v>1.0</v>
      </c>
      <c r="K2589" s="61">
        <f t="shared" si="1"/>
        <v>1</v>
      </c>
      <c r="L2589" s="62">
        <f t="shared" si="2"/>
        <v>1</v>
      </c>
    </row>
    <row r="2590">
      <c r="A2590" s="58">
        <v>45931.0</v>
      </c>
      <c r="B2590" s="24" t="s">
        <v>6787</v>
      </c>
      <c r="C2590" s="24" t="s">
        <v>6788</v>
      </c>
      <c r="D2590" s="59">
        <v>1201.0</v>
      </c>
      <c r="E2590" s="59">
        <v>1347.0</v>
      </c>
      <c r="F2590" s="59">
        <v>1153.0</v>
      </c>
      <c r="G2590" s="60">
        <v>1.12814070351758</v>
      </c>
      <c r="H2590" s="60">
        <v>0.75946547884187</v>
      </c>
      <c r="I2590" s="60">
        <v>37.6044750801781</v>
      </c>
      <c r="J2590" s="59">
        <v>1603.0</v>
      </c>
      <c r="K2590" s="61">
        <f t="shared" si="1"/>
        <v>0.8559762435</v>
      </c>
      <c r="L2590" s="62">
        <f t="shared" si="2"/>
        <v>1.190051967</v>
      </c>
    </row>
    <row r="2591">
      <c r="A2591" s="58">
        <v>45931.0</v>
      </c>
      <c r="B2591" s="24" t="s">
        <v>6789</v>
      </c>
      <c r="C2591" s="24" t="s">
        <v>6788</v>
      </c>
      <c r="D2591" s="59">
        <v>623.0</v>
      </c>
      <c r="E2591" s="59">
        <v>814.0</v>
      </c>
      <c r="F2591" s="59">
        <v>479.0</v>
      </c>
      <c r="G2591" s="60">
        <v>1.35666666666666</v>
      </c>
      <c r="H2591" s="60">
        <v>0.519656019656019</v>
      </c>
      <c r="I2591" s="60">
        <v>161.874488923832</v>
      </c>
      <c r="J2591" s="59">
        <v>1321.0</v>
      </c>
      <c r="K2591" s="61">
        <f t="shared" si="1"/>
        <v>0.5884520885</v>
      </c>
      <c r="L2591" s="62">
        <f t="shared" si="2"/>
        <v>1.622850123</v>
      </c>
    </row>
    <row r="2592">
      <c r="A2592" s="58">
        <v>45931.0</v>
      </c>
      <c r="B2592" s="24" t="s">
        <v>6791</v>
      </c>
      <c r="C2592" s="24" t="s">
        <v>7021</v>
      </c>
      <c r="D2592" s="59">
        <v>264.0</v>
      </c>
      <c r="E2592" s="59">
        <v>322.0</v>
      </c>
      <c r="F2592" s="59">
        <v>221.0</v>
      </c>
      <c r="G2592" s="60">
        <v>1.24806201550387</v>
      </c>
      <c r="H2592" s="60">
        <v>0.493788819875776</v>
      </c>
      <c r="I2592" s="60">
        <v>169.684182363354</v>
      </c>
      <c r="J2592" s="59">
        <v>593.0</v>
      </c>
      <c r="K2592" s="61">
        <f t="shared" si="1"/>
        <v>0.6863354037</v>
      </c>
      <c r="L2592" s="62">
        <f t="shared" si="2"/>
        <v>1.841614907</v>
      </c>
    </row>
    <row r="2593">
      <c r="A2593" s="58">
        <v>45931.0</v>
      </c>
      <c r="B2593" s="24" t="s">
        <v>155</v>
      </c>
      <c r="C2593" s="24" t="s">
        <v>6788</v>
      </c>
      <c r="D2593" s="59">
        <v>164.0</v>
      </c>
      <c r="E2593" s="59">
        <v>472.0</v>
      </c>
      <c r="F2593" s="59">
        <v>99.0</v>
      </c>
      <c r="G2593" s="60">
        <v>2.91358024691358</v>
      </c>
      <c r="H2593" s="60">
        <v>0.650423728813559</v>
      </c>
      <c r="I2593" s="60">
        <v>130.517458730932</v>
      </c>
      <c r="J2593" s="59">
        <v>677.0</v>
      </c>
      <c r="K2593" s="61">
        <f t="shared" si="1"/>
        <v>0.2097457627</v>
      </c>
      <c r="L2593" s="62">
        <f t="shared" si="2"/>
        <v>1.434322034</v>
      </c>
    </row>
    <row r="2594">
      <c r="A2594" s="58">
        <v>45931.0</v>
      </c>
      <c r="B2594" s="24" t="s">
        <v>6789</v>
      </c>
      <c r="C2594" s="24" t="s">
        <v>6792</v>
      </c>
      <c r="D2594" s="59">
        <v>147.0</v>
      </c>
      <c r="E2594" s="59">
        <v>169.0</v>
      </c>
      <c r="F2594" s="59">
        <v>0.0</v>
      </c>
      <c r="G2594" s="60">
        <v>2.03614457831325</v>
      </c>
      <c r="H2594" s="60">
        <v>0.994082840236686</v>
      </c>
      <c r="I2594" s="60">
        <v>0.146301609467455</v>
      </c>
      <c r="J2594" s="59">
        <v>0.0</v>
      </c>
      <c r="K2594" s="61">
        <f t="shared" si="1"/>
        <v>0</v>
      </c>
      <c r="L2594" s="62">
        <f t="shared" si="2"/>
        <v>0</v>
      </c>
    </row>
    <row r="2595">
      <c r="A2595" s="58">
        <v>45931.0</v>
      </c>
      <c r="B2595" s="24" t="s">
        <v>3216</v>
      </c>
      <c r="C2595" s="24" t="s">
        <v>6817</v>
      </c>
      <c r="D2595" s="59">
        <v>129.0</v>
      </c>
      <c r="E2595" s="59">
        <v>129.0</v>
      </c>
      <c r="F2595" s="59">
        <v>129.0</v>
      </c>
      <c r="G2595" s="60">
        <v>1.0</v>
      </c>
      <c r="H2595" s="60">
        <v>0.697674418604651</v>
      </c>
      <c r="I2595" s="60">
        <v>4.13655815503876</v>
      </c>
      <c r="J2595" s="59">
        <v>208.0</v>
      </c>
      <c r="K2595" s="61">
        <f t="shared" si="1"/>
        <v>1</v>
      </c>
      <c r="L2595" s="62">
        <f t="shared" si="2"/>
        <v>1.612403101</v>
      </c>
    </row>
    <row r="2596">
      <c r="A2596" s="58">
        <v>45931.0</v>
      </c>
      <c r="B2596" s="24" t="s">
        <v>6794</v>
      </c>
      <c r="C2596" s="24" t="s">
        <v>6788</v>
      </c>
      <c r="D2596" s="59">
        <v>76.0</v>
      </c>
      <c r="E2596" s="59">
        <v>78.0</v>
      </c>
      <c r="F2596" s="59">
        <v>70.0</v>
      </c>
      <c r="G2596" s="60">
        <v>1.05405405405405</v>
      </c>
      <c r="H2596" s="60">
        <v>0.358974358974359</v>
      </c>
      <c r="I2596" s="60">
        <v>130.17401525641</v>
      </c>
      <c r="J2596" s="59">
        <v>203.0</v>
      </c>
      <c r="K2596" s="61">
        <f t="shared" si="1"/>
        <v>0.8974358974</v>
      </c>
      <c r="L2596" s="62">
        <f t="shared" si="2"/>
        <v>2.602564103</v>
      </c>
    </row>
    <row r="2597">
      <c r="A2597" s="58">
        <v>45931.0</v>
      </c>
      <c r="B2597" s="24" t="s">
        <v>6791</v>
      </c>
      <c r="C2597" s="24" t="s">
        <v>6792</v>
      </c>
      <c r="D2597" s="59">
        <v>61.0</v>
      </c>
      <c r="E2597" s="59">
        <v>66.0</v>
      </c>
      <c r="F2597" s="59">
        <v>0.0</v>
      </c>
      <c r="G2597" s="60">
        <v>2.0625</v>
      </c>
      <c r="H2597" s="60">
        <v>0.969696969696969</v>
      </c>
      <c r="I2597" s="60">
        <v>18.3345852575757</v>
      </c>
      <c r="J2597" s="59">
        <v>0.0</v>
      </c>
      <c r="K2597" s="61">
        <f t="shared" si="1"/>
        <v>0</v>
      </c>
      <c r="L2597" s="62">
        <f t="shared" si="2"/>
        <v>0</v>
      </c>
    </row>
    <row r="2598">
      <c r="A2598" s="58">
        <v>45931.0</v>
      </c>
      <c r="B2598" s="24" t="s">
        <v>3216</v>
      </c>
      <c r="C2598" s="24" t="s">
        <v>6868</v>
      </c>
      <c r="D2598" s="59">
        <v>59.0</v>
      </c>
      <c r="E2598" s="59">
        <v>59.0</v>
      </c>
      <c r="F2598" s="59">
        <v>58.0</v>
      </c>
      <c r="G2598" s="60">
        <v>1.01724137931034</v>
      </c>
      <c r="H2598" s="60">
        <v>0.915254237288135</v>
      </c>
      <c r="I2598" s="60">
        <v>8.26023150847457</v>
      </c>
      <c r="J2598" s="59">
        <v>61.0</v>
      </c>
      <c r="K2598" s="61">
        <f t="shared" si="1"/>
        <v>0.9830508475</v>
      </c>
      <c r="L2598" s="62">
        <f t="shared" si="2"/>
        <v>1.033898305</v>
      </c>
    </row>
    <row r="2599">
      <c r="A2599" s="58">
        <v>45931.0</v>
      </c>
      <c r="B2599" s="24" t="s">
        <v>3216</v>
      </c>
      <c r="C2599" s="24" t="s">
        <v>6788</v>
      </c>
      <c r="D2599" s="59">
        <v>52.0</v>
      </c>
      <c r="E2599" s="59">
        <v>52.0</v>
      </c>
      <c r="F2599" s="59">
        <v>52.0</v>
      </c>
      <c r="G2599" s="60">
        <v>1.0</v>
      </c>
      <c r="H2599" s="60">
        <v>0.576923076923076</v>
      </c>
      <c r="I2599" s="60">
        <v>3.64696824999999</v>
      </c>
      <c r="J2599" s="59">
        <v>73.0</v>
      </c>
      <c r="K2599" s="61">
        <f t="shared" si="1"/>
        <v>1</v>
      </c>
      <c r="L2599" s="62">
        <f t="shared" si="2"/>
        <v>1.403846154</v>
      </c>
    </row>
    <row r="2600">
      <c r="A2600" s="58">
        <v>45931.0</v>
      </c>
      <c r="B2600" s="24" t="s">
        <v>3216</v>
      </c>
      <c r="C2600" s="24" t="s">
        <v>6886</v>
      </c>
      <c r="D2600" s="59">
        <v>49.0</v>
      </c>
      <c r="E2600" s="59">
        <v>49.0</v>
      </c>
      <c r="F2600" s="59">
        <v>49.0</v>
      </c>
      <c r="G2600" s="60">
        <v>1.0</v>
      </c>
      <c r="H2600" s="60">
        <v>0.897959183673469</v>
      </c>
      <c r="I2600" s="60">
        <v>2.18317695918367</v>
      </c>
      <c r="J2600" s="59">
        <v>55.0</v>
      </c>
      <c r="K2600" s="61">
        <f t="shared" si="1"/>
        <v>1</v>
      </c>
      <c r="L2600" s="62">
        <f t="shared" si="2"/>
        <v>1.12244898</v>
      </c>
    </row>
    <row r="2601">
      <c r="A2601" s="58">
        <v>45931.0</v>
      </c>
      <c r="B2601" s="24" t="s">
        <v>6791</v>
      </c>
      <c r="C2601" s="24" t="s">
        <v>6960</v>
      </c>
      <c r="D2601" s="59">
        <v>44.0</v>
      </c>
      <c r="E2601" s="59">
        <v>45.0</v>
      </c>
      <c r="F2601" s="59">
        <v>42.0</v>
      </c>
      <c r="G2601" s="60">
        <v>1.04651162790697</v>
      </c>
      <c r="H2601" s="60">
        <v>0.6</v>
      </c>
      <c r="I2601" s="60">
        <v>49.9035401111111</v>
      </c>
      <c r="J2601" s="59">
        <v>61.0</v>
      </c>
      <c r="K2601" s="61">
        <f t="shared" si="1"/>
        <v>0.9333333333</v>
      </c>
      <c r="L2601" s="62">
        <f t="shared" si="2"/>
        <v>1.355555556</v>
      </c>
    </row>
    <row r="2602">
      <c r="A2602" s="58">
        <v>45931.0</v>
      </c>
      <c r="B2602" s="24" t="s">
        <v>6787</v>
      </c>
      <c r="C2602" s="24" t="s">
        <v>6792</v>
      </c>
      <c r="D2602" s="59">
        <v>43.0</v>
      </c>
      <c r="E2602" s="59">
        <v>54.0</v>
      </c>
      <c r="F2602" s="59">
        <v>0.0</v>
      </c>
      <c r="G2602" s="60">
        <v>2.45454545454545</v>
      </c>
      <c r="H2602" s="60">
        <v>0.981481481481481</v>
      </c>
      <c r="I2602" s="60">
        <v>1.78628779629629</v>
      </c>
      <c r="J2602" s="59">
        <v>0.0</v>
      </c>
      <c r="K2602" s="61">
        <f t="shared" si="1"/>
        <v>0</v>
      </c>
      <c r="L2602" s="62">
        <f t="shared" si="2"/>
        <v>0</v>
      </c>
    </row>
    <row r="2603">
      <c r="A2603" s="58">
        <v>45931.0</v>
      </c>
      <c r="B2603" s="24" t="s">
        <v>155</v>
      </c>
      <c r="C2603" s="24" t="s">
        <v>6792</v>
      </c>
      <c r="D2603" s="59">
        <v>40.0</v>
      </c>
      <c r="E2603" s="59">
        <v>55.0</v>
      </c>
      <c r="F2603" s="59">
        <v>0.0</v>
      </c>
      <c r="G2603" s="60">
        <v>2.29166666666666</v>
      </c>
      <c r="H2603" s="60">
        <v>0.963636363636363</v>
      </c>
      <c r="I2603" s="60">
        <v>17.0623321454545</v>
      </c>
      <c r="J2603" s="59">
        <v>0.0</v>
      </c>
      <c r="K2603" s="61">
        <f t="shared" si="1"/>
        <v>0</v>
      </c>
      <c r="L2603" s="62">
        <f t="shared" si="2"/>
        <v>0</v>
      </c>
    </row>
    <row r="2604">
      <c r="A2604" s="58">
        <v>45931.0</v>
      </c>
      <c r="B2604" s="24" t="s">
        <v>6791</v>
      </c>
      <c r="C2604" s="24" t="s">
        <v>7120</v>
      </c>
      <c r="D2604" s="59">
        <v>36.0</v>
      </c>
      <c r="E2604" s="59">
        <v>37.0</v>
      </c>
      <c r="F2604" s="59">
        <v>36.0</v>
      </c>
      <c r="G2604" s="60">
        <v>1.02777777777777</v>
      </c>
      <c r="H2604" s="60">
        <v>0.351351351351351</v>
      </c>
      <c r="I2604" s="60">
        <v>197.986733</v>
      </c>
      <c r="J2604" s="59">
        <v>63.0</v>
      </c>
      <c r="K2604" s="61">
        <f t="shared" si="1"/>
        <v>0.972972973</v>
      </c>
      <c r="L2604" s="62">
        <f t="shared" si="2"/>
        <v>1.702702703</v>
      </c>
    </row>
    <row r="2605">
      <c r="A2605" s="58">
        <v>45931.0</v>
      </c>
      <c r="B2605" s="24" t="s">
        <v>3216</v>
      </c>
      <c r="C2605" s="24" t="s">
        <v>6818</v>
      </c>
      <c r="D2605" s="59">
        <v>31.0</v>
      </c>
      <c r="E2605" s="59">
        <v>31.0</v>
      </c>
      <c r="F2605" s="59">
        <v>31.0</v>
      </c>
      <c r="G2605" s="60">
        <v>1.0</v>
      </c>
      <c r="H2605" s="60">
        <v>0.870967741935483</v>
      </c>
      <c r="I2605" s="60">
        <v>5.03523122580645</v>
      </c>
      <c r="J2605" s="59">
        <v>34.0</v>
      </c>
      <c r="K2605" s="61">
        <f t="shared" si="1"/>
        <v>1</v>
      </c>
      <c r="L2605" s="62">
        <f t="shared" si="2"/>
        <v>1.096774194</v>
      </c>
    </row>
    <row r="2606">
      <c r="A2606" s="58">
        <v>45931.0</v>
      </c>
      <c r="B2606" s="24" t="s">
        <v>6787</v>
      </c>
      <c r="C2606" s="24" t="s">
        <v>6799</v>
      </c>
      <c r="D2606" s="59">
        <v>31.0</v>
      </c>
      <c r="E2606" s="59">
        <v>32.0</v>
      </c>
      <c r="F2606" s="59">
        <v>31.0</v>
      </c>
      <c r="G2606" s="60">
        <v>1.03225806451612</v>
      </c>
      <c r="H2606" s="60">
        <v>0.53125</v>
      </c>
      <c r="I2606" s="60">
        <v>74.5234381249999</v>
      </c>
      <c r="J2606" s="59">
        <v>45.0</v>
      </c>
      <c r="K2606" s="61">
        <f t="shared" si="1"/>
        <v>0.96875</v>
      </c>
      <c r="L2606" s="62">
        <f t="shared" si="2"/>
        <v>1.40625</v>
      </c>
    </row>
    <row r="2607">
      <c r="A2607" s="58">
        <v>45931.0</v>
      </c>
      <c r="B2607" s="24" t="s">
        <v>6791</v>
      </c>
      <c r="C2607" s="24" t="s">
        <v>7286</v>
      </c>
      <c r="D2607" s="59">
        <v>29.0</v>
      </c>
      <c r="E2607" s="59">
        <v>29.0</v>
      </c>
      <c r="F2607" s="59">
        <v>29.0</v>
      </c>
      <c r="G2607" s="60">
        <v>1.0</v>
      </c>
      <c r="H2607" s="60">
        <v>0.448275862068965</v>
      </c>
      <c r="I2607" s="60">
        <v>130.550173310344</v>
      </c>
      <c r="J2607" s="59">
        <v>31.0</v>
      </c>
      <c r="K2607" s="61">
        <f t="shared" si="1"/>
        <v>1</v>
      </c>
      <c r="L2607" s="62">
        <f t="shared" si="2"/>
        <v>1.068965517</v>
      </c>
    </row>
    <row r="2608">
      <c r="A2608" s="58">
        <v>45931.0</v>
      </c>
      <c r="B2608" s="24" t="s">
        <v>6791</v>
      </c>
      <c r="C2608" s="24" t="s">
        <v>6788</v>
      </c>
      <c r="D2608" s="59">
        <v>26.0</v>
      </c>
      <c r="E2608" s="59">
        <v>46.0</v>
      </c>
      <c r="F2608" s="59">
        <v>1.0</v>
      </c>
      <c r="G2608" s="60">
        <v>2.09090909090909</v>
      </c>
      <c r="H2608" s="60">
        <v>0.58695652173913</v>
      </c>
      <c r="I2608" s="60">
        <v>189.014209565217</v>
      </c>
      <c r="J2608" s="59">
        <v>66.0</v>
      </c>
      <c r="K2608" s="61">
        <f t="shared" si="1"/>
        <v>0.02173913043</v>
      </c>
      <c r="L2608" s="62">
        <f t="shared" si="2"/>
        <v>1.434782609</v>
      </c>
    </row>
    <row r="2609">
      <c r="A2609" s="58">
        <v>45931.0</v>
      </c>
      <c r="B2609" s="24" t="s">
        <v>6787</v>
      </c>
      <c r="C2609" s="24" t="s">
        <v>6844</v>
      </c>
      <c r="D2609" s="59">
        <v>26.0</v>
      </c>
      <c r="E2609" s="59">
        <v>26.0</v>
      </c>
      <c r="F2609" s="59">
        <v>26.0</v>
      </c>
      <c r="G2609" s="60">
        <v>1.0</v>
      </c>
      <c r="H2609" s="60">
        <v>0.615384615384615</v>
      </c>
      <c r="I2609" s="60">
        <v>13.8811321923076</v>
      </c>
      <c r="J2609" s="59">
        <v>26.0</v>
      </c>
      <c r="K2609" s="61">
        <f t="shared" si="1"/>
        <v>1</v>
      </c>
      <c r="L2609" s="62">
        <f t="shared" si="2"/>
        <v>1</v>
      </c>
    </row>
    <row r="2610">
      <c r="A2610" s="58">
        <v>45931.0</v>
      </c>
      <c r="B2610" s="24" t="s">
        <v>6787</v>
      </c>
      <c r="C2610" s="24" t="s">
        <v>6810</v>
      </c>
      <c r="D2610" s="59">
        <v>25.0</v>
      </c>
      <c r="E2610" s="59">
        <v>25.0</v>
      </c>
      <c r="F2610" s="59">
        <v>25.0</v>
      </c>
      <c r="G2610" s="60">
        <v>1.0</v>
      </c>
      <c r="H2610" s="60">
        <v>0.48</v>
      </c>
      <c r="I2610" s="60">
        <v>62.3455769999999</v>
      </c>
      <c r="J2610" s="59">
        <v>40.0</v>
      </c>
      <c r="K2610" s="61">
        <f t="shared" si="1"/>
        <v>1</v>
      </c>
      <c r="L2610" s="62">
        <f t="shared" si="2"/>
        <v>1.6</v>
      </c>
    </row>
    <row r="2611">
      <c r="A2611" s="58">
        <v>45931.0</v>
      </c>
      <c r="B2611" s="24" t="s">
        <v>6789</v>
      </c>
      <c r="C2611" s="24" t="s">
        <v>6808</v>
      </c>
      <c r="D2611" s="59">
        <v>24.0</v>
      </c>
      <c r="E2611" s="59">
        <v>27.0</v>
      </c>
      <c r="F2611" s="59">
        <v>15.0</v>
      </c>
      <c r="G2611" s="60">
        <v>1.35</v>
      </c>
      <c r="H2611" s="60">
        <v>0.592592592592592</v>
      </c>
      <c r="I2611" s="60">
        <v>48.9255369629629</v>
      </c>
      <c r="J2611" s="59">
        <v>41.0</v>
      </c>
      <c r="K2611" s="61">
        <f t="shared" si="1"/>
        <v>0.5555555556</v>
      </c>
      <c r="L2611" s="62">
        <f t="shared" si="2"/>
        <v>1.518518519</v>
      </c>
    </row>
    <row r="2612">
      <c r="A2612" s="58">
        <v>45931.0</v>
      </c>
      <c r="B2612" s="24" t="s">
        <v>6791</v>
      </c>
      <c r="C2612" s="24" t="s">
        <v>7121</v>
      </c>
      <c r="D2612" s="59">
        <v>23.0</v>
      </c>
      <c r="E2612" s="59">
        <v>23.0</v>
      </c>
      <c r="F2612" s="59">
        <v>23.0</v>
      </c>
      <c r="G2612" s="60">
        <v>1.0</v>
      </c>
      <c r="H2612" s="60">
        <v>0.17391304347826</v>
      </c>
      <c r="I2612" s="60">
        <v>71.3318496086956</v>
      </c>
      <c r="J2612" s="59">
        <v>46.0</v>
      </c>
      <c r="K2612" s="61">
        <f t="shared" si="1"/>
        <v>1</v>
      </c>
      <c r="L2612" s="62">
        <f t="shared" si="2"/>
        <v>2</v>
      </c>
    </row>
    <row r="2613">
      <c r="A2613" s="58">
        <v>45931.0</v>
      </c>
      <c r="B2613" s="24" t="s">
        <v>6787</v>
      </c>
      <c r="C2613" s="24" t="s">
        <v>6909</v>
      </c>
      <c r="D2613" s="59">
        <v>22.0</v>
      </c>
      <c r="E2613" s="59">
        <v>22.0</v>
      </c>
      <c r="F2613" s="59">
        <v>21.0</v>
      </c>
      <c r="G2613" s="60">
        <v>1.0</v>
      </c>
      <c r="H2613" s="60">
        <v>0.909090909090909</v>
      </c>
      <c r="I2613" s="60">
        <v>4.89262895454545</v>
      </c>
      <c r="J2613" s="59">
        <v>22.0</v>
      </c>
      <c r="K2613" s="61">
        <f t="shared" si="1"/>
        <v>0.9545454545</v>
      </c>
      <c r="L2613" s="62">
        <f t="shared" si="2"/>
        <v>1</v>
      </c>
    </row>
    <row r="2614">
      <c r="A2614" s="58">
        <v>45931.0</v>
      </c>
      <c r="B2614" s="24" t="s">
        <v>6787</v>
      </c>
      <c r="C2614" s="24" t="s">
        <v>6823</v>
      </c>
      <c r="D2614" s="59">
        <v>20.0</v>
      </c>
      <c r="E2614" s="59">
        <v>20.0</v>
      </c>
      <c r="F2614" s="59">
        <v>20.0</v>
      </c>
      <c r="G2614" s="60">
        <v>1.0</v>
      </c>
      <c r="H2614" s="60">
        <v>0.9</v>
      </c>
      <c r="I2614" s="60">
        <v>7.07621885</v>
      </c>
      <c r="J2614" s="59">
        <v>20.0</v>
      </c>
      <c r="K2614" s="61">
        <f t="shared" si="1"/>
        <v>1</v>
      </c>
      <c r="L2614" s="62">
        <f t="shared" si="2"/>
        <v>1</v>
      </c>
    </row>
    <row r="2615">
      <c r="A2615" s="58">
        <v>45931.0</v>
      </c>
      <c r="B2615" s="24" t="s">
        <v>6789</v>
      </c>
      <c r="C2615" s="24" t="s">
        <v>6809</v>
      </c>
      <c r="D2615" s="59">
        <v>20.0</v>
      </c>
      <c r="E2615" s="59">
        <v>21.0</v>
      </c>
      <c r="F2615" s="59">
        <v>17.0</v>
      </c>
      <c r="G2615" s="60">
        <v>1.16666666666666</v>
      </c>
      <c r="H2615" s="60">
        <v>0.476190476190476</v>
      </c>
      <c r="I2615" s="60">
        <v>71.6006928571428</v>
      </c>
      <c r="J2615" s="59">
        <v>38.0</v>
      </c>
      <c r="K2615" s="61">
        <f t="shared" si="1"/>
        <v>0.8095238095</v>
      </c>
      <c r="L2615" s="62">
        <f t="shared" si="2"/>
        <v>1.80952381</v>
      </c>
    </row>
    <row r="2616">
      <c r="A2616" s="58">
        <v>45931.0</v>
      </c>
      <c r="B2616" s="24" t="s">
        <v>6787</v>
      </c>
      <c r="C2616" s="24" t="s">
        <v>6813</v>
      </c>
      <c r="D2616" s="59">
        <v>20.0</v>
      </c>
      <c r="E2616" s="59">
        <v>20.0</v>
      </c>
      <c r="F2616" s="59">
        <v>20.0</v>
      </c>
      <c r="G2616" s="60">
        <v>1.0</v>
      </c>
      <c r="H2616" s="60">
        <v>0.8</v>
      </c>
      <c r="I2616" s="60">
        <v>7.19551449999999</v>
      </c>
      <c r="J2616" s="59">
        <v>20.0</v>
      </c>
      <c r="K2616" s="61">
        <f t="shared" si="1"/>
        <v>1</v>
      </c>
      <c r="L2616" s="62">
        <f t="shared" si="2"/>
        <v>1</v>
      </c>
    </row>
    <row r="2617">
      <c r="A2617" s="58">
        <v>45931.0</v>
      </c>
      <c r="B2617" s="24" t="s">
        <v>6791</v>
      </c>
      <c r="C2617" s="24" t="s">
        <v>6809</v>
      </c>
      <c r="D2617" s="59">
        <v>19.0</v>
      </c>
      <c r="E2617" s="59">
        <v>19.0</v>
      </c>
      <c r="F2617" s="59">
        <v>19.0</v>
      </c>
      <c r="G2617" s="60">
        <v>1.0</v>
      </c>
      <c r="H2617" s="60">
        <v>0.421052631578947</v>
      </c>
      <c r="I2617" s="60">
        <v>95.1505874210526</v>
      </c>
      <c r="J2617" s="59">
        <v>33.0</v>
      </c>
      <c r="K2617" s="61">
        <f t="shared" si="1"/>
        <v>1</v>
      </c>
      <c r="L2617" s="62">
        <f t="shared" si="2"/>
        <v>1.736842105</v>
      </c>
    </row>
    <row r="2618">
      <c r="A2618" s="58">
        <v>45931.0</v>
      </c>
      <c r="B2618" s="24" t="s">
        <v>6787</v>
      </c>
      <c r="C2618" s="24" t="s">
        <v>6851</v>
      </c>
      <c r="D2618" s="59">
        <v>19.0</v>
      </c>
      <c r="E2618" s="59">
        <v>19.0</v>
      </c>
      <c r="F2618" s="59">
        <v>18.0</v>
      </c>
      <c r="G2618" s="60">
        <v>1.0</v>
      </c>
      <c r="H2618" s="60">
        <v>0.631578947368421</v>
      </c>
      <c r="I2618" s="60">
        <v>51.942692</v>
      </c>
      <c r="J2618" s="59">
        <v>24.0</v>
      </c>
      <c r="K2618" s="61">
        <f t="shared" si="1"/>
        <v>0.9473684211</v>
      </c>
      <c r="L2618" s="62">
        <f t="shared" si="2"/>
        <v>1.263157895</v>
      </c>
    </row>
    <row r="2619">
      <c r="A2619" s="58">
        <v>45931.0</v>
      </c>
      <c r="B2619" s="24" t="s">
        <v>6789</v>
      </c>
      <c r="C2619" s="24" t="s">
        <v>6799</v>
      </c>
      <c r="D2619" s="59">
        <v>18.0</v>
      </c>
      <c r="E2619" s="59">
        <v>20.0</v>
      </c>
      <c r="F2619" s="59">
        <v>15.0</v>
      </c>
      <c r="G2619" s="60">
        <v>1.11111111111111</v>
      </c>
      <c r="H2619" s="60">
        <v>0.1</v>
      </c>
      <c r="I2619" s="60">
        <v>202.49814405</v>
      </c>
      <c r="J2619" s="59">
        <v>31.0</v>
      </c>
      <c r="K2619" s="61">
        <f t="shared" si="1"/>
        <v>0.75</v>
      </c>
      <c r="L2619" s="62">
        <f t="shared" si="2"/>
        <v>1.55</v>
      </c>
    </row>
    <row r="2620">
      <c r="A2620" s="58">
        <v>45931.0</v>
      </c>
      <c r="B2620" s="24" t="s">
        <v>6787</v>
      </c>
      <c r="C2620" s="24" t="s">
        <v>6811</v>
      </c>
      <c r="D2620" s="59">
        <v>18.0</v>
      </c>
      <c r="E2620" s="59">
        <v>18.0</v>
      </c>
      <c r="F2620" s="59">
        <v>18.0</v>
      </c>
      <c r="G2620" s="60">
        <v>1.05882352941176</v>
      </c>
      <c r="H2620" s="60">
        <v>0.611111111111111</v>
      </c>
      <c r="I2620" s="60">
        <v>10.7601836111111</v>
      </c>
      <c r="J2620" s="59">
        <v>19.0</v>
      </c>
      <c r="K2620" s="61">
        <f t="shared" si="1"/>
        <v>1</v>
      </c>
      <c r="L2620" s="62">
        <f t="shared" si="2"/>
        <v>1.055555556</v>
      </c>
    </row>
    <row r="2621">
      <c r="A2621" s="58">
        <v>45931.0</v>
      </c>
      <c r="B2621" s="24" t="s">
        <v>6787</v>
      </c>
      <c r="C2621" s="24" t="s">
        <v>6809</v>
      </c>
      <c r="D2621" s="59">
        <v>18.0</v>
      </c>
      <c r="E2621" s="59">
        <v>24.0</v>
      </c>
      <c r="F2621" s="59">
        <v>18.0</v>
      </c>
      <c r="G2621" s="60">
        <v>1.33333333333333</v>
      </c>
      <c r="H2621" s="60">
        <v>0.666666666666666</v>
      </c>
      <c r="I2621" s="60">
        <v>84.7981315833333</v>
      </c>
      <c r="J2621" s="59">
        <v>29.0</v>
      </c>
      <c r="K2621" s="61">
        <f t="shared" si="1"/>
        <v>0.75</v>
      </c>
      <c r="L2621" s="62">
        <f t="shared" si="2"/>
        <v>1.208333333</v>
      </c>
    </row>
    <row r="2622">
      <c r="A2622" s="58">
        <v>45931.0</v>
      </c>
      <c r="B2622" s="24" t="s">
        <v>6787</v>
      </c>
      <c r="C2622" s="24" t="s">
        <v>6849</v>
      </c>
      <c r="D2622" s="59">
        <v>18.0</v>
      </c>
      <c r="E2622" s="59">
        <v>18.0</v>
      </c>
      <c r="F2622" s="59">
        <v>18.0</v>
      </c>
      <c r="G2622" s="60">
        <v>1.0</v>
      </c>
      <c r="H2622" s="60">
        <v>0.833333333333333</v>
      </c>
      <c r="I2622" s="60">
        <v>7.03771888888888</v>
      </c>
      <c r="J2622" s="59">
        <v>18.0</v>
      </c>
      <c r="K2622" s="61">
        <f t="shared" si="1"/>
        <v>1</v>
      </c>
      <c r="L2622" s="62">
        <f t="shared" si="2"/>
        <v>1</v>
      </c>
    </row>
    <row r="2623">
      <c r="A2623" s="58">
        <v>45931.0</v>
      </c>
      <c r="B2623" s="24" t="s">
        <v>6787</v>
      </c>
      <c r="C2623" s="24" t="s">
        <v>6820</v>
      </c>
      <c r="D2623" s="59">
        <v>17.0</v>
      </c>
      <c r="E2623" s="59">
        <v>17.0</v>
      </c>
      <c r="F2623" s="59">
        <v>17.0</v>
      </c>
      <c r="G2623" s="60">
        <v>1.0</v>
      </c>
      <c r="H2623" s="60">
        <v>0.823529411764705</v>
      </c>
      <c r="I2623" s="60">
        <v>7.41952570588235</v>
      </c>
      <c r="J2623" s="59">
        <v>18.0</v>
      </c>
      <c r="K2623" s="61">
        <f t="shared" si="1"/>
        <v>1</v>
      </c>
      <c r="L2623" s="62">
        <f t="shared" si="2"/>
        <v>1.058823529</v>
      </c>
    </row>
    <row r="2624">
      <c r="A2624" s="58">
        <v>45931.0</v>
      </c>
      <c r="B2624" s="24" t="s">
        <v>6787</v>
      </c>
      <c r="C2624" s="24" t="s">
        <v>6806</v>
      </c>
      <c r="D2624" s="59">
        <v>17.0</v>
      </c>
      <c r="E2624" s="59">
        <v>18.0</v>
      </c>
      <c r="F2624" s="59">
        <v>17.0</v>
      </c>
      <c r="G2624" s="60">
        <v>1.05882352941176</v>
      </c>
      <c r="H2624" s="60">
        <v>0.666666666666666</v>
      </c>
      <c r="I2624" s="60">
        <v>12.4588313888888</v>
      </c>
      <c r="J2624" s="59">
        <v>18.0</v>
      </c>
      <c r="K2624" s="61">
        <f t="shared" si="1"/>
        <v>0.9444444444</v>
      </c>
      <c r="L2624" s="62">
        <f t="shared" si="2"/>
        <v>1</v>
      </c>
    </row>
    <row r="2625">
      <c r="A2625" s="58">
        <v>45931.0</v>
      </c>
      <c r="B2625" s="24" t="s">
        <v>6787</v>
      </c>
      <c r="C2625" s="24" t="s">
        <v>6796</v>
      </c>
      <c r="D2625" s="59">
        <v>17.0</v>
      </c>
      <c r="E2625" s="59">
        <v>21.0</v>
      </c>
      <c r="F2625" s="59">
        <v>17.0</v>
      </c>
      <c r="G2625" s="60">
        <v>1.23529411764705</v>
      </c>
      <c r="H2625" s="60">
        <v>0.476190476190476</v>
      </c>
      <c r="I2625" s="60">
        <v>123.626418428571</v>
      </c>
      <c r="J2625" s="59">
        <v>28.0</v>
      </c>
      <c r="K2625" s="61">
        <f t="shared" si="1"/>
        <v>0.8095238095</v>
      </c>
      <c r="L2625" s="62">
        <f t="shared" si="2"/>
        <v>1.333333333</v>
      </c>
    </row>
    <row r="2626">
      <c r="A2626" s="58">
        <v>45931.0</v>
      </c>
      <c r="B2626" s="24" t="s">
        <v>6791</v>
      </c>
      <c r="C2626" s="24" t="s">
        <v>7119</v>
      </c>
      <c r="D2626" s="59">
        <v>17.0</v>
      </c>
      <c r="E2626" s="59">
        <v>17.0</v>
      </c>
      <c r="F2626" s="59">
        <v>17.0</v>
      </c>
      <c r="G2626" s="60">
        <v>1.0</v>
      </c>
      <c r="H2626" s="60">
        <v>0.294117647058823</v>
      </c>
      <c r="I2626" s="60">
        <v>77.7760675294117</v>
      </c>
      <c r="J2626" s="59">
        <v>36.0</v>
      </c>
      <c r="K2626" s="61">
        <f t="shared" si="1"/>
        <v>1</v>
      </c>
      <c r="L2626" s="62">
        <f t="shared" si="2"/>
        <v>2.117647059</v>
      </c>
    </row>
    <row r="2627">
      <c r="A2627" s="58">
        <v>45931.0</v>
      </c>
      <c r="B2627" s="24" t="s">
        <v>6787</v>
      </c>
      <c r="C2627" s="24" t="s">
        <v>6908</v>
      </c>
      <c r="D2627" s="59">
        <v>17.0</v>
      </c>
      <c r="E2627" s="59">
        <v>17.0</v>
      </c>
      <c r="F2627" s="59">
        <v>17.0</v>
      </c>
      <c r="G2627" s="60">
        <v>1.0</v>
      </c>
      <c r="H2627" s="60">
        <v>0.764705882352941</v>
      </c>
      <c r="I2627" s="60">
        <v>12.8726458235294</v>
      </c>
      <c r="J2627" s="59">
        <v>19.0</v>
      </c>
      <c r="K2627" s="61">
        <f t="shared" si="1"/>
        <v>1</v>
      </c>
      <c r="L2627" s="62">
        <f t="shared" si="2"/>
        <v>1.117647059</v>
      </c>
    </row>
    <row r="2628">
      <c r="A2628" s="58">
        <v>45931.0</v>
      </c>
      <c r="B2628" s="24" t="s">
        <v>6787</v>
      </c>
      <c r="C2628" s="24" t="s">
        <v>6931</v>
      </c>
      <c r="D2628" s="59">
        <v>17.0</v>
      </c>
      <c r="E2628" s="59">
        <v>17.0</v>
      </c>
      <c r="F2628" s="59">
        <v>17.0</v>
      </c>
      <c r="G2628" s="60">
        <v>1.0</v>
      </c>
      <c r="H2628" s="60">
        <v>0.823529411764705</v>
      </c>
      <c r="I2628" s="60">
        <v>6.88318905882352</v>
      </c>
      <c r="J2628" s="59">
        <v>17.0</v>
      </c>
      <c r="K2628" s="61">
        <f t="shared" si="1"/>
        <v>1</v>
      </c>
      <c r="L2628" s="62">
        <f t="shared" si="2"/>
        <v>1</v>
      </c>
    </row>
    <row r="2629">
      <c r="A2629" s="58">
        <v>45931.0</v>
      </c>
      <c r="B2629" s="24" t="s">
        <v>6787</v>
      </c>
      <c r="C2629" s="24" t="s">
        <v>6854</v>
      </c>
      <c r="D2629" s="59">
        <v>17.0</v>
      </c>
      <c r="E2629" s="59">
        <v>17.0</v>
      </c>
      <c r="F2629" s="59">
        <v>15.0</v>
      </c>
      <c r="G2629" s="60">
        <v>1.0</v>
      </c>
      <c r="H2629" s="60">
        <v>0.764705882352941</v>
      </c>
      <c r="I2629" s="60">
        <v>30.1478313529411</v>
      </c>
      <c r="J2629" s="59">
        <v>29.0</v>
      </c>
      <c r="K2629" s="61">
        <f t="shared" si="1"/>
        <v>0.8823529412</v>
      </c>
      <c r="L2629" s="62">
        <f t="shared" si="2"/>
        <v>1.705882353</v>
      </c>
    </row>
    <row r="2630">
      <c r="A2630" s="58">
        <v>45931.0</v>
      </c>
      <c r="B2630" s="24" t="s">
        <v>6787</v>
      </c>
      <c r="C2630" s="24" t="s">
        <v>6886</v>
      </c>
      <c r="D2630" s="59">
        <v>16.0</v>
      </c>
      <c r="E2630" s="59">
        <v>20.0</v>
      </c>
      <c r="F2630" s="59">
        <v>11.0</v>
      </c>
      <c r="G2630" s="60">
        <v>1.25</v>
      </c>
      <c r="H2630" s="60">
        <v>0.4</v>
      </c>
      <c r="I2630" s="60">
        <v>443.5591647</v>
      </c>
      <c r="J2630" s="59">
        <v>34.0</v>
      </c>
      <c r="K2630" s="61">
        <f t="shared" si="1"/>
        <v>0.55</v>
      </c>
      <c r="L2630" s="62">
        <f t="shared" si="2"/>
        <v>1.7</v>
      </c>
    </row>
    <row r="2631">
      <c r="A2631" s="58">
        <v>45931.0</v>
      </c>
      <c r="B2631" s="24" t="s">
        <v>6791</v>
      </c>
      <c r="C2631" s="24" t="s">
        <v>7041</v>
      </c>
      <c r="D2631" s="59">
        <v>16.0</v>
      </c>
      <c r="E2631" s="59">
        <v>16.0</v>
      </c>
      <c r="F2631" s="59">
        <v>16.0</v>
      </c>
      <c r="G2631" s="60">
        <v>1.0</v>
      </c>
      <c r="H2631" s="60">
        <v>0.375</v>
      </c>
      <c r="I2631" s="60">
        <v>47.7214293749999</v>
      </c>
      <c r="J2631" s="59">
        <v>25.0</v>
      </c>
      <c r="K2631" s="61">
        <f t="shared" si="1"/>
        <v>1</v>
      </c>
      <c r="L2631" s="62">
        <f t="shared" si="2"/>
        <v>1.5625</v>
      </c>
    </row>
    <row r="2632">
      <c r="A2632" s="58">
        <v>45931.0</v>
      </c>
      <c r="B2632" s="24" t="s">
        <v>6789</v>
      </c>
      <c r="C2632" s="24" t="s">
        <v>6801</v>
      </c>
      <c r="D2632" s="59">
        <v>16.0</v>
      </c>
      <c r="E2632" s="59">
        <v>18.0</v>
      </c>
      <c r="F2632" s="59">
        <v>9.0</v>
      </c>
      <c r="G2632" s="60">
        <v>1.2</v>
      </c>
      <c r="H2632" s="60">
        <v>0.166666666666666</v>
      </c>
      <c r="I2632" s="60">
        <v>389.2670125</v>
      </c>
      <c r="J2632" s="59">
        <v>44.0</v>
      </c>
      <c r="K2632" s="61">
        <f t="shared" si="1"/>
        <v>0.5</v>
      </c>
      <c r="L2632" s="62">
        <f t="shared" si="2"/>
        <v>2.444444444</v>
      </c>
    </row>
    <row r="2633">
      <c r="A2633" s="58">
        <v>45931.0</v>
      </c>
      <c r="B2633" s="24" t="s">
        <v>6790</v>
      </c>
      <c r="C2633" s="24" t="s">
        <v>6788</v>
      </c>
      <c r="D2633" s="59">
        <v>15.0</v>
      </c>
      <c r="E2633" s="59">
        <v>17.0</v>
      </c>
      <c r="F2633" s="59">
        <v>8.0</v>
      </c>
      <c r="G2633" s="60">
        <v>1.13333333333333</v>
      </c>
      <c r="H2633" s="60">
        <v>0.588235294117647</v>
      </c>
      <c r="I2633" s="60">
        <v>36.3605670588235</v>
      </c>
      <c r="J2633" s="59">
        <v>20.0</v>
      </c>
      <c r="K2633" s="61">
        <f t="shared" si="1"/>
        <v>0.4705882353</v>
      </c>
      <c r="L2633" s="62">
        <f t="shared" si="2"/>
        <v>1.176470588</v>
      </c>
    </row>
    <row r="2634">
      <c r="A2634" s="58">
        <v>45931.0</v>
      </c>
      <c r="B2634" s="24" t="s">
        <v>6787</v>
      </c>
      <c r="C2634" s="24" t="s">
        <v>7021</v>
      </c>
      <c r="D2634" s="59">
        <v>15.0</v>
      </c>
      <c r="E2634" s="59">
        <v>16.0</v>
      </c>
      <c r="F2634" s="59">
        <v>9.0</v>
      </c>
      <c r="G2634" s="60">
        <v>1.23076923076923</v>
      </c>
      <c r="H2634" s="60">
        <v>0.5</v>
      </c>
      <c r="I2634" s="60">
        <v>360.1953775625</v>
      </c>
      <c r="J2634" s="59">
        <v>23.0</v>
      </c>
      <c r="K2634" s="61">
        <f t="shared" si="1"/>
        <v>0.5625</v>
      </c>
      <c r="L2634" s="62">
        <f t="shared" si="2"/>
        <v>1.4375</v>
      </c>
    </row>
    <row r="2635">
      <c r="A2635" s="58">
        <v>45931.0</v>
      </c>
      <c r="B2635" s="24" t="s">
        <v>6789</v>
      </c>
      <c r="C2635" s="24" t="s">
        <v>6841</v>
      </c>
      <c r="D2635" s="59">
        <v>15.0</v>
      </c>
      <c r="E2635" s="59">
        <v>19.0</v>
      </c>
      <c r="F2635" s="59">
        <v>14.0</v>
      </c>
      <c r="G2635" s="60">
        <v>1.35714285714285</v>
      </c>
      <c r="H2635" s="60">
        <v>0.526315789473684</v>
      </c>
      <c r="I2635" s="60">
        <v>104.063303526315</v>
      </c>
      <c r="J2635" s="59">
        <v>19.0</v>
      </c>
      <c r="K2635" s="61">
        <f t="shared" si="1"/>
        <v>0.7368421053</v>
      </c>
      <c r="L2635" s="62">
        <f t="shared" si="2"/>
        <v>1</v>
      </c>
    </row>
    <row r="2636">
      <c r="A2636" s="58">
        <v>45931.0</v>
      </c>
      <c r="B2636" s="24" t="s">
        <v>6787</v>
      </c>
      <c r="C2636" s="24" t="s">
        <v>6850</v>
      </c>
      <c r="D2636" s="59">
        <v>15.0</v>
      </c>
      <c r="E2636" s="59">
        <v>15.0</v>
      </c>
      <c r="F2636" s="59">
        <v>14.0</v>
      </c>
      <c r="G2636" s="60">
        <v>1.07142857142857</v>
      </c>
      <c r="H2636" s="60">
        <v>0.866666666666666</v>
      </c>
      <c r="I2636" s="60">
        <v>6.03951913333333</v>
      </c>
      <c r="J2636" s="59">
        <v>15.0</v>
      </c>
      <c r="K2636" s="61">
        <f t="shared" si="1"/>
        <v>0.9333333333</v>
      </c>
      <c r="L2636" s="62">
        <f t="shared" si="2"/>
        <v>1</v>
      </c>
    </row>
    <row r="2637">
      <c r="A2637" s="58">
        <v>45931.0</v>
      </c>
      <c r="B2637" s="24" t="s">
        <v>6787</v>
      </c>
      <c r="C2637" s="24" t="s">
        <v>7102</v>
      </c>
      <c r="D2637" s="59">
        <v>14.0</v>
      </c>
      <c r="E2637" s="59">
        <v>14.0</v>
      </c>
      <c r="F2637" s="59">
        <v>13.0</v>
      </c>
      <c r="G2637" s="60">
        <v>1.0</v>
      </c>
      <c r="H2637" s="60">
        <v>0.642857142857142</v>
      </c>
      <c r="I2637" s="60">
        <v>270.706706571428</v>
      </c>
      <c r="J2637" s="59">
        <v>27.0</v>
      </c>
      <c r="K2637" s="61">
        <f t="shared" si="1"/>
        <v>0.9285714286</v>
      </c>
      <c r="L2637" s="62">
        <f t="shared" si="2"/>
        <v>1.928571429</v>
      </c>
    </row>
    <row r="2638">
      <c r="A2638" s="58">
        <v>45931.0</v>
      </c>
      <c r="B2638" s="24" t="s">
        <v>6787</v>
      </c>
      <c r="C2638" s="24" t="s">
        <v>6853</v>
      </c>
      <c r="D2638" s="59">
        <v>14.0</v>
      </c>
      <c r="E2638" s="59">
        <v>14.0</v>
      </c>
      <c r="F2638" s="59">
        <v>14.0</v>
      </c>
      <c r="G2638" s="60">
        <v>1.0</v>
      </c>
      <c r="H2638" s="60">
        <v>0.785714285714285</v>
      </c>
      <c r="I2638" s="60">
        <v>9.03961207142857</v>
      </c>
      <c r="J2638" s="59">
        <v>15.0</v>
      </c>
      <c r="K2638" s="61">
        <f t="shared" si="1"/>
        <v>1</v>
      </c>
      <c r="L2638" s="62">
        <f t="shared" si="2"/>
        <v>1.071428571</v>
      </c>
    </row>
    <row r="2639">
      <c r="A2639" s="58">
        <v>45931.0</v>
      </c>
      <c r="B2639" s="24" t="s">
        <v>6787</v>
      </c>
      <c r="C2639" s="24" t="s">
        <v>6802</v>
      </c>
      <c r="D2639" s="59">
        <v>14.0</v>
      </c>
      <c r="E2639" s="59">
        <v>16.0</v>
      </c>
      <c r="F2639" s="59">
        <v>11.0</v>
      </c>
      <c r="G2639" s="60">
        <v>1.23076923076923</v>
      </c>
      <c r="H2639" s="60">
        <v>0.75</v>
      </c>
      <c r="I2639" s="60">
        <v>19.6490654375</v>
      </c>
      <c r="J2639" s="59">
        <v>25.0</v>
      </c>
      <c r="K2639" s="61">
        <f t="shared" si="1"/>
        <v>0.6875</v>
      </c>
      <c r="L2639" s="62">
        <f t="shared" si="2"/>
        <v>1.5625</v>
      </c>
    </row>
    <row r="2640">
      <c r="A2640" s="58">
        <v>45931.0</v>
      </c>
      <c r="B2640" s="24" t="s">
        <v>6791</v>
      </c>
      <c r="C2640" s="24" t="s">
        <v>6912</v>
      </c>
      <c r="D2640" s="59">
        <v>13.0</v>
      </c>
      <c r="E2640" s="59">
        <v>15.0</v>
      </c>
      <c r="F2640" s="59">
        <v>13.0</v>
      </c>
      <c r="G2640" s="60">
        <v>1.15384615384615</v>
      </c>
      <c r="H2640" s="60">
        <v>0.333333333333333</v>
      </c>
      <c r="I2640" s="60">
        <v>100.107198</v>
      </c>
      <c r="J2640" s="59">
        <v>18.0</v>
      </c>
      <c r="K2640" s="61">
        <f t="shared" si="1"/>
        <v>0.8666666667</v>
      </c>
      <c r="L2640" s="62">
        <f t="shared" si="2"/>
        <v>1.2</v>
      </c>
    </row>
    <row r="2641">
      <c r="A2641" s="58">
        <v>45931.0</v>
      </c>
      <c r="B2641" s="24" t="s">
        <v>6789</v>
      </c>
      <c r="C2641" s="24" t="s">
        <v>6815</v>
      </c>
      <c r="D2641" s="59">
        <v>13.0</v>
      </c>
      <c r="E2641" s="59">
        <v>14.0</v>
      </c>
      <c r="F2641" s="59">
        <v>12.0</v>
      </c>
      <c r="G2641" s="60">
        <v>1.07692307692307</v>
      </c>
      <c r="H2641" s="60">
        <v>0.428571428571428</v>
      </c>
      <c r="I2641" s="60">
        <v>82.3087228571428</v>
      </c>
      <c r="J2641" s="59">
        <v>18.0</v>
      </c>
      <c r="K2641" s="61">
        <f t="shared" si="1"/>
        <v>0.8571428571</v>
      </c>
      <c r="L2641" s="62">
        <f t="shared" si="2"/>
        <v>1.285714286</v>
      </c>
    </row>
    <row r="2642">
      <c r="A2642" s="58">
        <v>45931.0</v>
      </c>
      <c r="B2642" s="24" t="s">
        <v>6787</v>
      </c>
      <c r="C2642" s="24" t="s">
        <v>6841</v>
      </c>
      <c r="D2642" s="59">
        <v>12.0</v>
      </c>
      <c r="E2642" s="59">
        <v>12.0</v>
      </c>
      <c r="F2642" s="59">
        <v>11.0</v>
      </c>
      <c r="G2642" s="60">
        <v>1.0</v>
      </c>
      <c r="H2642" s="60">
        <v>0.5</v>
      </c>
      <c r="I2642" s="60">
        <v>30.1573293333333</v>
      </c>
      <c r="J2642" s="59">
        <v>22.0</v>
      </c>
      <c r="K2642" s="61">
        <f t="shared" si="1"/>
        <v>0.9166666667</v>
      </c>
      <c r="L2642" s="62">
        <f t="shared" si="2"/>
        <v>1.833333333</v>
      </c>
    </row>
    <row r="2643">
      <c r="A2643" s="58">
        <v>45931.0</v>
      </c>
      <c r="B2643" s="24" t="s">
        <v>6787</v>
      </c>
      <c r="C2643" s="24" t="s">
        <v>6807</v>
      </c>
      <c r="D2643" s="59">
        <v>12.0</v>
      </c>
      <c r="E2643" s="59">
        <v>12.0</v>
      </c>
      <c r="F2643" s="59">
        <v>12.0</v>
      </c>
      <c r="G2643" s="60">
        <v>1.0</v>
      </c>
      <c r="H2643" s="60">
        <v>0.916666666666666</v>
      </c>
      <c r="I2643" s="60">
        <v>6.468421</v>
      </c>
      <c r="J2643" s="59">
        <v>12.0</v>
      </c>
      <c r="K2643" s="61">
        <f t="shared" si="1"/>
        <v>1</v>
      </c>
      <c r="L2643" s="62">
        <f t="shared" si="2"/>
        <v>1</v>
      </c>
    </row>
    <row r="2644">
      <c r="A2644" s="58">
        <v>45931.0</v>
      </c>
      <c r="B2644" s="24" t="s">
        <v>6789</v>
      </c>
      <c r="C2644" s="24" t="s">
        <v>6796</v>
      </c>
      <c r="D2644" s="59">
        <v>12.0</v>
      </c>
      <c r="E2644" s="59">
        <v>13.0</v>
      </c>
      <c r="F2644" s="59">
        <v>11.0</v>
      </c>
      <c r="G2644" s="60">
        <v>1.08333333333333</v>
      </c>
      <c r="H2644" s="60">
        <v>0.538461538461538</v>
      </c>
      <c r="I2644" s="60">
        <v>40.0919228461538</v>
      </c>
      <c r="J2644" s="59">
        <v>16.0</v>
      </c>
      <c r="K2644" s="61">
        <f t="shared" si="1"/>
        <v>0.8461538462</v>
      </c>
      <c r="L2644" s="62">
        <f t="shared" si="2"/>
        <v>1.230769231</v>
      </c>
    </row>
    <row r="2645">
      <c r="A2645" s="58">
        <v>45931.0</v>
      </c>
      <c r="B2645" s="24" t="s">
        <v>6791</v>
      </c>
      <c r="C2645" s="24" t="s">
        <v>7125</v>
      </c>
      <c r="D2645" s="59">
        <v>12.0</v>
      </c>
      <c r="E2645" s="59">
        <v>13.0</v>
      </c>
      <c r="F2645" s="59">
        <v>12.0</v>
      </c>
      <c r="G2645" s="60">
        <v>1.08333333333333</v>
      </c>
      <c r="H2645" s="60">
        <v>0.538461538461538</v>
      </c>
      <c r="I2645" s="60">
        <v>82.3910863076923</v>
      </c>
      <c r="J2645" s="59">
        <v>16.0</v>
      </c>
      <c r="K2645" s="61">
        <f t="shared" si="1"/>
        <v>0.9230769231</v>
      </c>
      <c r="L2645" s="62">
        <f t="shared" si="2"/>
        <v>1.230769231</v>
      </c>
    </row>
    <row r="2646">
      <c r="A2646" s="58">
        <v>45931.0</v>
      </c>
      <c r="B2646" s="24" t="s">
        <v>6787</v>
      </c>
      <c r="C2646" s="24" t="s">
        <v>7026</v>
      </c>
      <c r="D2646" s="59">
        <v>12.0</v>
      </c>
      <c r="E2646" s="59">
        <v>12.0</v>
      </c>
      <c r="F2646" s="59">
        <v>12.0</v>
      </c>
      <c r="G2646" s="60">
        <v>1.0</v>
      </c>
      <c r="H2646" s="60">
        <v>0.833333333333333</v>
      </c>
      <c r="I2646" s="60">
        <v>9.25993058333333</v>
      </c>
      <c r="J2646" s="59">
        <v>12.0</v>
      </c>
      <c r="K2646" s="61">
        <f t="shared" si="1"/>
        <v>1</v>
      </c>
      <c r="L2646" s="62">
        <f t="shared" si="2"/>
        <v>1</v>
      </c>
    </row>
    <row r="2647">
      <c r="A2647" s="58">
        <v>45931.0</v>
      </c>
      <c r="B2647" s="24" t="s">
        <v>6787</v>
      </c>
      <c r="C2647" s="24" t="s">
        <v>6803</v>
      </c>
      <c r="D2647" s="59">
        <v>11.0</v>
      </c>
      <c r="E2647" s="59">
        <v>12.0</v>
      </c>
      <c r="F2647" s="59">
        <v>11.0</v>
      </c>
      <c r="G2647" s="60">
        <v>1.09090909090909</v>
      </c>
      <c r="H2647" s="60">
        <v>0.666666666666666</v>
      </c>
      <c r="I2647" s="60">
        <v>36.3624783333333</v>
      </c>
      <c r="J2647" s="59">
        <v>13.0</v>
      </c>
      <c r="K2647" s="61">
        <f t="shared" si="1"/>
        <v>0.9166666667</v>
      </c>
      <c r="L2647" s="62">
        <f t="shared" si="2"/>
        <v>1.083333333</v>
      </c>
    </row>
    <row r="2648">
      <c r="A2648" s="58">
        <v>45931.0</v>
      </c>
      <c r="B2648" s="24" t="s">
        <v>6787</v>
      </c>
      <c r="C2648" s="24" t="s">
        <v>6890</v>
      </c>
      <c r="D2648" s="59">
        <v>11.0</v>
      </c>
      <c r="E2648" s="59">
        <v>11.0</v>
      </c>
      <c r="F2648" s="59">
        <v>11.0</v>
      </c>
      <c r="G2648" s="60">
        <v>1.0</v>
      </c>
      <c r="H2648" s="60">
        <v>0.727272727272727</v>
      </c>
      <c r="I2648" s="60">
        <v>10.048562090909</v>
      </c>
      <c r="J2648" s="59">
        <v>14.0</v>
      </c>
      <c r="K2648" s="61">
        <f t="shared" si="1"/>
        <v>1</v>
      </c>
      <c r="L2648" s="62">
        <f t="shared" si="2"/>
        <v>1.272727273</v>
      </c>
    </row>
    <row r="2649">
      <c r="A2649" s="58">
        <v>45931.0</v>
      </c>
      <c r="B2649" s="24" t="s">
        <v>6787</v>
      </c>
      <c r="C2649" s="24" t="s">
        <v>6898</v>
      </c>
      <c r="D2649" s="59">
        <v>11.0</v>
      </c>
      <c r="E2649" s="59">
        <v>11.0</v>
      </c>
      <c r="F2649" s="59">
        <v>11.0</v>
      </c>
      <c r="G2649" s="60">
        <v>1.0</v>
      </c>
      <c r="H2649" s="60">
        <v>0.727272727272727</v>
      </c>
      <c r="I2649" s="60">
        <v>13.7452635454545</v>
      </c>
      <c r="J2649" s="59">
        <v>11.0</v>
      </c>
      <c r="K2649" s="61">
        <f t="shared" si="1"/>
        <v>1</v>
      </c>
      <c r="L2649" s="62">
        <f t="shared" si="2"/>
        <v>1</v>
      </c>
    </row>
    <row r="2650">
      <c r="A2650" s="58">
        <v>45931.0</v>
      </c>
      <c r="B2650" s="24" t="s">
        <v>6787</v>
      </c>
      <c r="C2650" s="24" t="s">
        <v>7236</v>
      </c>
      <c r="D2650" s="59">
        <v>11.0</v>
      </c>
      <c r="E2650" s="59">
        <v>11.0</v>
      </c>
      <c r="F2650" s="59">
        <v>11.0</v>
      </c>
      <c r="G2650" s="60">
        <v>1.0</v>
      </c>
      <c r="H2650" s="60">
        <v>0.818181818181818</v>
      </c>
      <c r="I2650" s="60">
        <v>8.04313636363636</v>
      </c>
      <c r="J2650" s="59">
        <v>11.0</v>
      </c>
      <c r="K2650" s="61">
        <f t="shared" si="1"/>
        <v>1</v>
      </c>
      <c r="L2650" s="62">
        <f t="shared" si="2"/>
        <v>1</v>
      </c>
    </row>
    <row r="2651">
      <c r="A2651" s="58">
        <v>45931.0</v>
      </c>
      <c r="B2651" s="24" t="s">
        <v>6787</v>
      </c>
      <c r="C2651" s="24" t="s">
        <v>6910</v>
      </c>
      <c r="D2651" s="59">
        <v>11.0</v>
      </c>
      <c r="E2651" s="59">
        <v>12.0</v>
      </c>
      <c r="F2651" s="59">
        <v>10.0</v>
      </c>
      <c r="G2651" s="60">
        <v>1.09090909090909</v>
      </c>
      <c r="H2651" s="60">
        <v>0.583333333333333</v>
      </c>
      <c r="I2651" s="60">
        <v>202.849679</v>
      </c>
      <c r="J2651" s="59">
        <v>12.0</v>
      </c>
      <c r="K2651" s="61">
        <f t="shared" si="1"/>
        <v>0.8333333333</v>
      </c>
      <c r="L2651" s="62">
        <f t="shared" si="2"/>
        <v>1</v>
      </c>
    </row>
    <row r="2652">
      <c r="A2652" s="58">
        <v>45931.0</v>
      </c>
      <c r="B2652" s="24" t="s">
        <v>6787</v>
      </c>
      <c r="C2652" s="24" t="s">
        <v>6917</v>
      </c>
      <c r="D2652" s="59">
        <v>11.0</v>
      </c>
      <c r="E2652" s="59">
        <v>15.0</v>
      </c>
      <c r="F2652" s="59">
        <v>10.0</v>
      </c>
      <c r="G2652" s="60">
        <v>1.36363636363636</v>
      </c>
      <c r="H2652" s="60">
        <v>0.6</v>
      </c>
      <c r="I2652" s="60">
        <v>30.7810921333333</v>
      </c>
      <c r="J2652" s="59">
        <v>16.0</v>
      </c>
      <c r="K2652" s="61">
        <f t="shared" si="1"/>
        <v>0.6666666667</v>
      </c>
      <c r="L2652" s="62">
        <f t="shared" si="2"/>
        <v>1.066666667</v>
      </c>
    </row>
    <row r="2653">
      <c r="A2653" s="58">
        <v>45931.0</v>
      </c>
      <c r="B2653" s="24" t="s">
        <v>6789</v>
      </c>
      <c r="C2653" s="24" t="s">
        <v>6802</v>
      </c>
      <c r="D2653" s="59">
        <v>11.0</v>
      </c>
      <c r="E2653" s="59">
        <v>15.0</v>
      </c>
      <c r="F2653" s="59">
        <v>2.0</v>
      </c>
      <c r="G2653" s="60">
        <v>1.36363636363636</v>
      </c>
      <c r="H2653" s="60">
        <v>0.666666666666666</v>
      </c>
      <c r="I2653" s="60">
        <v>128.4378152</v>
      </c>
      <c r="J2653" s="59">
        <v>22.0</v>
      </c>
      <c r="K2653" s="61">
        <f t="shared" si="1"/>
        <v>0.1333333333</v>
      </c>
      <c r="L2653" s="62">
        <f t="shared" si="2"/>
        <v>1.466666667</v>
      </c>
    </row>
    <row r="2654">
      <c r="A2654" s="58">
        <v>45931.0</v>
      </c>
      <c r="B2654" s="24" t="s">
        <v>6787</v>
      </c>
      <c r="C2654" s="24" t="s">
        <v>6840</v>
      </c>
      <c r="D2654" s="59">
        <v>10.0</v>
      </c>
      <c r="E2654" s="59">
        <v>12.0</v>
      </c>
      <c r="F2654" s="59">
        <v>8.0</v>
      </c>
      <c r="G2654" s="60">
        <v>1.33333333333333</v>
      </c>
      <c r="H2654" s="60">
        <v>0.833333333333333</v>
      </c>
      <c r="I2654" s="60">
        <v>8.0507505</v>
      </c>
      <c r="J2654" s="59">
        <v>12.0</v>
      </c>
      <c r="K2654" s="61">
        <f t="shared" si="1"/>
        <v>0.6666666667</v>
      </c>
      <c r="L2654" s="62">
        <f t="shared" si="2"/>
        <v>1</v>
      </c>
    </row>
    <row r="2655">
      <c r="A2655" s="58">
        <v>45931.0</v>
      </c>
      <c r="B2655" s="24" t="s">
        <v>6791</v>
      </c>
      <c r="C2655" s="24" t="s">
        <v>7226</v>
      </c>
      <c r="D2655" s="59">
        <v>10.0</v>
      </c>
      <c r="E2655" s="59">
        <v>10.0</v>
      </c>
      <c r="F2655" s="59">
        <v>10.0</v>
      </c>
      <c r="G2655" s="60">
        <v>1.0</v>
      </c>
      <c r="H2655" s="60">
        <v>0.7</v>
      </c>
      <c r="I2655" s="60">
        <v>8.961465</v>
      </c>
      <c r="J2655" s="59">
        <v>10.0</v>
      </c>
      <c r="K2655" s="61">
        <f t="shared" si="1"/>
        <v>1</v>
      </c>
      <c r="L2655" s="62">
        <f t="shared" si="2"/>
        <v>1</v>
      </c>
    </row>
    <row r="2656">
      <c r="A2656" s="58">
        <v>45931.0</v>
      </c>
      <c r="B2656" s="24" t="s">
        <v>155</v>
      </c>
      <c r="C2656" s="24" t="s">
        <v>6800</v>
      </c>
      <c r="D2656" s="59">
        <v>10.0</v>
      </c>
      <c r="E2656" s="59">
        <v>10.0</v>
      </c>
      <c r="F2656" s="59">
        <v>10.0</v>
      </c>
      <c r="G2656" s="60">
        <v>1.0</v>
      </c>
      <c r="H2656" s="60">
        <v>0.1</v>
      </c>
      <c r="I2656" s="60">
        <v>34.2500318</v>
      </c>
      <c r="J2656" s="59">
        <v>19.0</v>
      </c>
      <c r="K2656" s="61">
        <f t="shared" si="1"/>
        <v>1</v>
      </c>
      <c r="L2656" s="62">
        <f t="shared" si="2"/>
        <v>1.9</v>
      </c>
    </row>
    <row r="2657">
      <c r="A2657" s="58">
        <v>45931.0</v>
      </c>
      <c r="B2657" s="24" t="s">
        <v>6787</v>
      </c>
      <c r="C2657" s="24" t="s">
        <v>7106</v>
      </c>
      <c r="D2657" s="59">
        <v>10.0</v>
      </c>
      <c r="E2657" s="59">
        <v>10.0</v>
      </c>
      <c r="F2657" s="59">
        <v>10.0</v>
      </c>
      <c r="G2657" s="60">
        <v>1.0</v>
      </c>
      <c r="H2657" s="60">
        <v>0.6</v>
      </c>
      <c r="I2657" s="60">
        <v>12.1056475</v>
      </c>
      <c r="J2657" s="59">
        <v>10.0</v>
      </c>
      <c r="K2657" s="61">
        <f t="shared" si="1"/>
        <v>1</v>
      </c>
      <c r="L2657" s="62">
        <f t="shared" si="2"/>
        <v>1</v>
      </c>
    </row>
    <row r="2658">
      <c r="A2658" s="58">
        <v>45931.0</v>
      </c>
      <c r="B2658" s="24" t="s">
        <v>6787</v>
      </c>
      <c r="C2658" s="24" t="s">
        <v>6804</v>
      </c>
      <c r="D2658" s="59">
        <v>9.0</v>
      </c>
      <c r="E2658" s="59">
        <v>9.0</v>
      </c>
      <c r="F2658" s="59">
        <v>9.0</v>
      </c>
      <c r="G2658" s="60">
        <v>1.0</v>
      </c>
      <c r="H2658" s="60">
        <v>0.666666666666666</v>
      </c>
      <c r="I2658" s="60">
        <v>16.7961547777777</v>
      </c>
      <c r="J2658" s="59">
        <v>9.0</v>
      </c>
      <c r="K2658" s="61">
        <f t="shared" si="1"/>
        <v>1</v>
      </c>
      <c r="L2658" s="62">
        <f t="shared" si="2"/>
        <v>1</v>
      </c>
    </row>
    <row r="2659">
      <c r="A2659" s="58">
        <v>45931.0</v>
      </c>
      <c r="B2659" s="24" t="s">
        <v>6787</v>
      </c>
      <c r="C2659" s="24" t="s">
        <v>6864</v>
      </c>
      <c r="D2659" s="59">
        <v>9.0</v>
      </c>
      <c r="E2659" s="59">
        <v>9.0</v>
      </c>
      <c r="F2659" s="59">
        <v>9.0</v>
      </c>
      <c r="G2659" s="60">
        <v>1.0</v>
      </c>
      <c r="H2659" s="60">
        <v>0.333333333333333</v>
      </c>
      <c r="I2659" s="60">
        <v>62.397859</v>
      </c>
      <c r="J2659" s="59">
        <v>11.0</v>
      </c>
      <c r="K2659" s="61">
        <f t="shared" si="1"/>
        <v>1</v>
      </c>
      <c r="L2659" s="62">
        <f t="shared" si="2"/>
        <v>1.222222222</v>
      </c>
    </row>
    <row r="2660">
      <c r="A2660" s="58">
        <v>45931.0</v>
      </c>
      <c r="B2660" s="24" t="s">
        <v>6787</v>
      </c>
      <c r="C2660" s="24" t="s">
        <v>7024</v>
      </c>
      <c r="D2660" s="59">
        <v>9.0</v>
      </c>
      <c r="E2660" s="59">
        <v>10.0</v>
      </c>
      <c r="F2660" s="59">
        <v>9.0</v>
      </c>
      <c r="G2660" s="60">
        <v>1.11111111111111</v>
      </c>
      <c r="H2660" s="60">
        <v>0.9</v>
      </c>
      <c r="I2660" s="60">
        <v>8.2492795</v>
      </c>
      <c r="J2660" s="59">
        <v>10.0</v>
      </c>
      <c r="K2660" s="61">
        <f t="shared" si="1"/>
        <v>0.9</v>
      </c>
      <c r="L2660" s="62">
        <f t="shared" si="2"/>
        <v>1</v>
      </c>
    </row>
    <row r="2661">
      <c r="A2661" s="58">
        <v>45931.0</v>
      </c>
      <c r="B2661" s="24" t="s">
        <v>6789</v>
      </c>
      <c r="C2661" s="24" t="s">
        <v>7024</v>
      </c>
      <c r="D2661" s="59">
        <v>9.0</v>
      </c>
      <c r="E2661" s="59">
        <v>9.0</v>
      </c>
      <c r="F2661" s="59">
        <v>9.0</v>
      </c>
      <c r="G2661" s="60">
        <v>1.0</v>
      </c>
      <c r="H2661" s="60">
        <v>0.555555555555555</v>
      </c>
      <c r="I2661" s="60">
        <v>234.576460222222</v>
      </c>
      <c r="J2661" s="59">
        <v>12.0</v>
      </c>
      <c r="K2661" s="61">
        <f t="shared" si="1"/>
        <v>1</v>
      </c>
      <c r="L2661" s="62">
        <f t="shared" si="2"/>
        <v>1.333333333</v>
      </c>
    </row>
    <row r="2662">
      <c r="A2662" s="58">
        <v>45931.0</v>
      </c>
      <c r="B2662" s="24" t="s">
        <v>6787</v>
      </c>
      <c r="C2662" s="24" t="s">
        <v>6822</v>
      </c>
      <c r="D2662" s="59">
        <v>9.0</v>
      </c>
      <c r="E2662" s="59">
        <v>9.0</v>
      </c>
      <c r="F2662" s="59">
        <v>9.0</v>
      </c>
      <c r="G2662" s="60">
        <v>1.0</v>
      </c>
      <c r="H2662" s="60">
        <v>0.444444444444444</v>
      </c>
      <c r="I2662" s="60">
        <v>56.7930073333333</v>
      </c>
      <c r="J2662" s="59">
        <v>12.0</v>
      </c>
      <c r="K2662" s="61">
        <f t="shared" si="1"/>
        <v>1</v>
      </c>
      <c r="L2662" s="62">
        <f t="shared" si="2"/>
        <v>1.333333333</v>
      </c>
    </row>
    <row r="2663">
      <c r="A2663" s="58">
        <v>45931.0</v>
      </c>
      <c r="B2663" s="24" t="s">
        <v>6787</v>
      </c>
      <c r="C2663" s="24" t="s">
        <v>6894</v>
      </c>
      <c r="D2663" s="59">
        <v>9.0</v>
      </c>
      <c r="E2663" s="59">
        <v>9.0</v>
      </c>
      <c r="F2663" s="59">
        <v>9.0</v>
      </c>
      <c r="G2663" s="60">
        <v>1.0</v>
      </c>
      <c r="H2663" s="60">
        <v>0.555555555555555</v>
      </c>
      <c r="I2663" s="60">
        <v>10.4788041111111</v>
      </c>
      <c r="J2663" s="59">
        <v>11.0</v>
      </c>
      <c r="K2663" s="61">
        <f t="shared" si="1"/>
        <v>1</v>
      </c>
      <c r="L2663" s="62">
        <f t="shared" si="2"/>
        <v>1.222222222</v>
      </c>
    </row>
    <row r="2664">
      <c r="A2664" s="58">
        <v>45931.0</v>
      </c>
      <c r="B2664" s="24" t="s">
        <v>6787</v>
      </c>
      <c r="C2664" s="24" t="s">
        <v>7006</v>
      </c>
      <c r="D2664" s="59">
        <v>9.0</v>
      </c>
      <c r="E2664" s="59">
        <v>9.0</v>
      </c>
      <c r="F2664" s="59">
        <v>9.0</v>
      </c>
      <c r="G2664" s="60">
        <v>1.0</v>
      </c>
      <c r="H2664" s="60">
        <v>0.888888888888888</v>
      </c>
      <c r="I2664" s="60">
        <v>9.17835966666666</v>
      </c>
      <c r="J2664" s="59">
        <v>9.0</v>
      </c>
      <c r="K2664" s="61">
        <f t="shared" si="1"/>
        <v>1</v>
      </c>
      <c r="L2664" s="62">
        <f t="shared" si="2"/>
        <v>1</v>
      </c>
    </row>
    <row r="2665">
      <c r="A2665" s="58">
        <v>45931.0</v>
      </c>
      <c r="B2665" s="24" t="s">
        <v>6787</v>
      </c>
      <c r="C2665" s="24" t="s">
        <v>6808</v>
      </c>
      <c r="D2665" s="59">
        <v>9.0</v>
      </c>
      <c r="E2665" s="59">
        <v>9.0</v>
      </c>
      <c r="F2665" s="59">
        <v>9.0</v>
      </c>
      <c r="G2665" s="60">
        <v>1.0</v>
      </c>
      <c r="H2665" s="60">
        <v>0.555555555555555</v>
      </c>
      <c r="I2665" s="60">
        <v>14.250233</v>
      </c>
      <c r="J2665" s="59">
        <v>9.0</v>
      </c>
      <c r="K2665" s="61">
        <f t="shared" si="1"/>
        <v>1</v>
      </c>
      <c r="L2665" s="62">
        <f t="shared" si="2"/>
        <v>1</v>
      </c>
    </row>
    <row r="2666">
      <c r="A2666" s="58">
        <v>45931.0</v>
      </c>
      <c r="B2666" s="24" t="s">
        <v>6787</v>
      </c>
      <c r="C2666" s="24" t="s">
        <v>7087</v>
      </c>
      <c r="D2666" s="59">
        <v>9.0</v>
      </c>
      <c r="E2666" s="59">
        <v>9.0</v>
      </c>
      <c r="F2666" s="59">
        <v>9.0</v>
      </c>
      <c r="G2666" s="60">
        <v>1.0</v>
      </c>
      <c r="H2666" s="60">
        <v>0.666666666666666</v>
      </c>
      <c r="I2666" s="60">
        <v>15.9063062222222</v>
      </c>
      <c r="J2666" s="59">
        <v>10.0</v>
      </c>
      <c r="K2666" s="61">
        <f t="shared" si="1"/>
        <v>1</v>
      </c>
      <c r="L2666" s="62">
        <f t="shared" si="2"/>
        <v>1.111111111</v>
      </c>
    </row>
    <row r="2667">
      <c r="A2667" s="58">
        <v>45931.0</v>
      </c>
      <c r="B2667" s="24" t="s">
        <v>6787</v>
      </c>
      <c r="C2667" s="24" t="s">
        <v>6960</v>
      </c>
      <c r="D2667" s="59">
        <v>9.0</v>
      </c>
      <c r="E2667" s="59">
        <v>9.0</v>
      </c>
      <c r="F2667" s="59">
        <v>7.0</v>
      </c>
      <c r="G2667" s="60">
        <v>1.125</v>
      </c>
      <c r="H2667" s="60">
        <v>0.555555555555555</v>
      </c>
      <c r="I2667" s="60">
        <v>32.7926256666666</v>
      </c>
      <c r="J2667" s="59">
        <v>9.0</v>
      </c>
      <c r="K2667" s="61">
        <f t="shared" si="1"/>
        <v>0.7777777778</v>
      </c>
      <c r="L2667" s="62">
        <f t="shared" si="2"/>
        <v>1</v>
      </c>
    </row>
    <row r="2668">
      <c r="A2668" s="58">
        <v>45931.0</v>
      </c>
      <c r="B2668" s="24" t="s">
        <v>6787</v>
      </c>
      <c r="C2668" s="24" t="s">
        <v>6801</v>
      </c>
      <c r="D2668" s="59">
        <v>9.0</v>
      </c>
      <c r="E2668" s="59">
        <v>9.0</v>
      </c>
      <c r="F2668" s="59">
        <v>9.0</v>
      </c>
      <c r="G2668" s="60">
        <v>1.0</v>
      </c>
      <c r="H2668" s="60">
        <v>0.777777777777777</v>
      </c>
      <c r="I2668" s="60">
        <v>54.0318473333333</v>
      </c>
      <c r="J2668" s="59">
        <v>9.0</v>
      </c>
      <c r="K2668" s="61">
        <f t="shared" si="1"/>
        <v>1</v>
      </c>
      <c r="L2668" s="62">
        <f t="shared" si="2"/>
        <v>1</v>
      </c>
    </row>
    <row r="2669">
      <c r="A2669" s="58">
        <v>45931.0</v>
      </c>
      <c r="B2669" s="24" t="s">
        <v>6789</v>
      </c>
      <c r="C2669" s="24" t="s">
        <v>6912</v>
      </c>
      <c r="D2669" s="59">
        <v>9.0</v>
      </c>
      <c r="E2669" s="59">
        <v>9.0</v>
      </c>
      <c r="F2669" s="59">
        <v>7.0</v>
      </c>
      <c r="G2669" s="60">
        <v>1.125</v>
      </c>
      <c r="H2669" s="60">
        <v>0.777777777777777</v>
      </c>
      <c r="I2669" s="60">
        <v>57.6921666666666</v>
      </c>
      <c r="J2669" s="59">
        <v>10.0</v>
      </c>
      <c r="K2669" s="61">
        <f t="shared" si="1"/>
        <v>0.7777777778</v>
      </c>
      <c r="L2669" s="62">
        <f t="shared" si="2"/>
        <v>1.111111111</v>
      </c>
    </row>
    <row r="2670">
      <c r="A2670" s="58">
        <v>45931.0</v>
      </c>
      <c r="B2670" s="24" t="s">
        <v>6790</v>
      </c>
      <c r="C2670" s="24" t="s">
        <v>6792</v>
      </c>
      <c r="D2670" s="59">
        <v>8.0</v>
      </c>
      <c r="E2670" s="59">
        <v>8.0</v>
      </c>
      <c r="F2670" s="59">
        <v>0.0</v>
      </c>
      <c r="G2670" s="60">
        <v>1.0</v>
      </c>
      <c r="H2670" s="60">
        <v>1.0</v>
      </c>
      <c r="I2670" s="60">
        <v>2.63698</v>
      </c>
      <c r="J2670" s="59">
        <v>0.0</v>
      </c>
      <c r="K2670" s="61">
        <f t="shared" si="1"/>
        <v>0</v>
      </c>
      <c r="L2670" s="62">
        <f t="shared" si="2"/>
        <v>0</v>
      </c>
    </row>
    <row r="2671">
      <c r="A2671" s="58">
        <v>45931.0</v>
      </c>
      <c r="B2671" s="24" t="s">
        <v>6787</v>
      </c>
      <c r="C2671" s="24" t="s">
        <v>6953</v>
      </c>
      <c r="D2671" s="59">
        <v>8.0</v>
      </c>
      <c r="E2671" s="59">
        <v>8.0</v>
      </c>
      <c r="F2671" s="59">
        <v>8.0</v>
      </c>
      <c r="G2671" s="60">
        <v>1.0</v>
      </c>
      <c r="H2671" s="60">
        <v>0.625</v>
      </c>
      <c r="I2671" s="60">
        <v>12.268028375</v>
      </c>
      <c r="J2671" s="59">
        <v>8.0</v>
      </c>
      <c r="K2671" s="61">
        <f t="shared" si="1"/>
        <v>1</v>
      </c>
      <c r="L2671" s="62">
        <f t="shared" si="2"/>
        <v>1</v>
      </c>
    </row>
    <row r="2672">
      <c r="A2672" s="58">
        <v>45931.0</v>
      </c>
      <c r="B2672" s="24" t="s">
        <v>6789</v>
      </c>
      <c r="C2672" s="24" t="s">
        <v>6876</v>
      </c>
      <c r="D2672" s="59">
        <v>8.0</v>
      </c>
      <c r="E2672" s="59">
        <v>8.0</v>
      </c>
      <c r="F2672" s="59">
        <v>7.0</v>
      </c>
      <c r="G2672" s="60">
        <v>1.0</v>
      </c>
      <c r="H2672" s="60">
        <v>0.375</v>
      </c>
      <c r="I2672" s="60">
        <v>611.237297125</v>
      </c>
      <c r="J2672" s="59">
        <v>34.0</v>
      </c>
      <c r="K2672" s="61">
        <f t="shared" si="1"/>
        <v>0.875</v>
      </c>
      <c r="L2672" s="62">
        <f t="shared" si="2"/>
        <v>4.25</v>
      </c>
    </row>
    <row r="2673">
      <c r="A2673" s="58">
        <v>45931.0</v>
      </c>
      <c r="B2673" s="24" t="s">
        <v>6789</v>
      </c>
      <c r="C2673" s="24" t="s">
        <v>6882</v>
      </c>
      <c r="D2673" s="59">
        <v>8.0</v>
      </c>
      <c r="E2673" s="59">
        <v>8.0</v>
      </c>
      <c r="F2673" s="59">
        <v>8.0</v>
      </c>
      <c r="G2673" s="60">
        <v>1.0</v>
      </c>
      <c r="H2673" s="60">
        <v>0.75</v>
      </c>
      <c r="I2673" s="60">
        <v>314.581536625</v>
      </c>
      <c r="J2673" s="59">
        <v>18.0</v>
      </c>
      <c r="K2673" s="61">
        <f t="shared" si="1"/>
        <v>1</v>
      </c>
      <c r="L2673" s="62">
        <f t="shared" si="2"/>
        <v>2.25</v>
      </c>
    </row>
    <row r="2674">
      <c r="A2674" s="58">
        <v>45931.0</v>
      </c>
      <c r="B2674" s="24" t="s">
        <v>6789</v>
      </c>
      <c r="C2674" s="24" t="s">
        <v>6811</v>
      </c>
      <c r="D2674" s="59">
        <v>8.0</v>
      </c>
      <c r="E2674" s="59">
        <v>23.0</v>
      </c>
      <c r="F2674" s="59">
        <v>2.0</v>
      </c>
      <c r="G2674" s="60">
        <v>4.6</v>
      </c>
      <c r="H2674" s="60">
        <v>0.913043478260869</v>
      </c>
      <c r="I2674" s="60">
        <v>74.5729963043478</v>
      </c>
      <c r="J2674" s="59">
        <v>26.0</v>
      </c>
      <c r="K2674" s="61">
        <f t="shared" si="1"/>
        <v>0.08695652174</v>
      </c>
      <c r="L2674" s="62">
        <f t="shared" si="2"/>
        <v>1.130434783</v>
      </c>
    </row>
    <row r="2675">
      <c r="A2675" s="58">
        <v>45931.0</v>
      </c>
      <c r="B2675" s="24" t="s">
        <v>6787</v>
      </c>
      <c r="C2675" s="24" t="s">
        <v>6903</v>
      </c>
      <c r="D2675" s="59">
        <v>8.0</v>
      </c>
      <c r="E2675" s="59">
        <v>8.0</v>
      </c>
      <c r="F2675" s="59">
        <v>8.0</v>
      </c>
      <c r="G2675" s="60">
        <v>1.0</v>
      </c>
      <c r="H2675" s="60">
        <v>0.75</v>
      </c>
      <c r="I2675" s="60">
        <v>11.8874435</v>
      </c>
      <c r="J2675" s="59">
        <v>8.0</v>
      </c>
      <c r="K2675" s="61">
        <f t="shared" si="1"/>
        <v>1</v>
      </c>
      <c r="L2675" s="62">
        <f t="shared" si="2"/>
        <v>1</v>
      </c>
    </row>
    <row r="2676">
      <c r="A2676" s="58">
        <v>45931.0</v>
      </c>
      <c r="B2676" s="24" t="s">
        <v>6791</v>
      </c>
      <c r="C2676" s="24" t="s">
        <v>7205</v>
      </c>
      <c r="D2676" s="59">
        <v>8.0</v>
      </c>
      <c r="E2676" s="59">
        <v>8.0</v>
      </c>
      <c r="F2676" s="59">
        <v>8.0</v>
      </c>
      <c r="G2676" s="60">
        <v>1.0</v>
      </c>
      <c r="H2676" s="60">
        <v>0.625</v>
      </c>
      <c r="I2676" s="60">
        <v>26.620006375</v>
      </c>
      <c r="J2676" s="59">
        <v>12.0</v>
      </c>
      <c r="K2676" s="61">
        <f t="shared" si="1"/>
        <v>1</v>
      </c>
      <c r="L2676" s="62">
        <f t="shared" si="2"/>
        <v>1.5</v>
      </c>
    </row>
    <row r="2677">
      <c r="A2677" s="58">
        <v>45931.0</v>
      </c>
      <c r="B2677" s="24" t="s">
        <v>6787</v>
      </c>
      <c r="C2677" s="24" t="s">
        <v>7089</v>
      </c>
      <c r="D2677" s="59">
        <v>8.0</v>
      </c>
      <c r="E2677" s="59">
        <v>8.0</v>
      </c>
      <c r="F2677" s="59">
        <v>8.0</v>
      </c>
      <c r="G2677" s="60">
        <v>1.0</v>
      </c>
      <c r="H2677" s="60">
        <v>0.75</v>
      </c>
      <c r="I2677" s="60">
        <v>29.916663125</v>
      </c>
      <c r="J2677" s="59">
        <v>8.0</v>
      </c>
      <c r="K2677" s="61">
        <f t="shared" si="1"/>
        <v>1</v>
      </c>
      <c r="L2677" s="62">
        <f t="shared" si="2"/>
        <v>1</v>
      </c>
    </row>
    <row r="2678">
      <c r="A2678" s="58">
        <v>45931.0</v>
      </c>
      <c r="B2678" s="24" t="s">
        <v>6787</v>
      </c>
      <c r="C2678" s="24" t="s">
        <v>7162</v>
      </c>
      <c r="D2678" s="59">
        <v>8.0</v>
      </c>
      <c r="E2678" s="59">
        <v>8.0</v>
      </c>
      <c r="F2678" s="59">
        <v>8.0</v>
      </c>
      <c r="G2678" s="60">
        <v>1.0</v>
      </c>
      <c r="H2678" s="60">
        <v>0.375</v>
      </c>
      <c r="I2678" s="60">
        <v>26.44325225</v>
      </c>
      <c r="J2678" s="59">
        <v>8.0</v>
      </c>
      <c r="K2678" s="61">
        <f t="shared" si="1"/>
        <v>1</v>
      </c>
      <c r="L2678" s="62">
        <f t="shared" si="2"/>
        <v>1</v>
      </c>
    </row>
    <row r="2679">
      <c r="A2679" s="58">
        <v>45931.0</v>
      </c>
      <c r="B2679" s="24" t="s">
        <v>6787</v>
      </c>
      <c r="C2679" s="24" t="s">
        <v>7097</v>
      </c>
      <c r="D2679" s="59">
        <v>8.0</v>
      </c>
      <c r="E2679" s="59">
        <v>8.0</v>
      </c>
      <c r="F2679" s="59">
        <v>8.0</v>
      </c>
      <c r="G2679" s="60">
        <v>1.0</v>
      </c>
      <c r="H2679" s="60">
        <v>0.5</v>
      </c>
      <c r="I2679" s="60">
        <v>32.433994</v>
      </c>
      <c r="J2679" s="59">
        <v>8.0</v>
      </c>
      <c r="K2679" s="61">
        <f t="shared" si="1"/>
        <v>1</v>
      </c>
      <c r="L2679" s="62">
        <f t="shared" si="2"/>
        <v>1</v>
      </c>
    </row>
    <row r="2680">
      <c r="A2680" s="58">
        <v>45931.0</v>
      </c>
      <c r="B2680" s="24" t="s">
        <v>6787</v>
      </c>
      <c r="C2680" s="24" t="s">
        <v>6800</v>
      </c>
      <c r="D2680" s="59">
        <v>8.0</v>
      </c>
      <c r="E2680" s="59">
        <v>8.0</v>
      </c>
      <c r="F2680" s="59">
        <v>8.0</v>
      </c>
      <c r="G2680" s="60">
        <v>1.0</v>
      </c>
      <c r="H2680" s="60">
        <v>0.375</v>
      </c>
      <c r="I2680" s="60">
        <v>24.928012</v>
      </c>
      <c r="J2680" s="59">
        <v>11.0</v>
      </c>
      <c r="K2680" s="61">
        <f t="shared" si="1"/>
        <v>1</v>
      </c>
      <c r="L2680" s="62">
        <f t="shared" si="2"/>
        <v>1.375</v>
      </c>
    </row>
    <row r="2681">
      <c r="A2681" s="58">
        <v>45931.0</v>
      </c>
      <c r="B2681" s="24" t="s">
        <v>6787</v>
      </c>
      <c r="C2681" s="24" t="s">
        <v>6922</v>
      </c>
      <c r="D2681" s="59">
        <v>8.0</v>
      </c>
      <c r="E2681" s="59">
        <v>8.0</v>
      </c>
      <c r="F2681" s="59">
        <v>8.0</v>
      </c>
      <c r="G2681" s="60">
        <v>1.0</v>
      </c>
      <c r="H2681" s="60">
        <v>0.625</v>
      </c>
      <c r="I2681" s="60">
        <v>38.600574125</v>
      </c>
      <c r="J2681" s="59">
        <v>11.0</v>
      </c>
      <c r="K2681" s="61">
        <f t="shared" si="1"/>
        <v>1</v>
      </c>
      <c r="L2681" s="62">
        <f t="shared" si="2"/>
        <v>1.375</v>
      </c>
    </row>
    <row r="2682">
      <c r="A2682" s="58">
        <v>45931.0</v>
      </c>
      <c r="B2682" s="24" t="s">
        <v>6794</v>
      </c>
      <c r="C2682" s="24" t="s">
        <v>6792</v>
      </c>
      <c r="D2682" s="59">
        <v>7.0</v>
      </c>
      <c r="E2682" s="59">
        <v>7.0</v>
      </c>
      <c r="F2682" s="59">
        <v>0.0</v>
      </c>
      <c r="G2682" s="60">
        <v>1.4</v>
      </c>
      <c r="H2682" s="60">
        <v>1.0</v>
      </c>
      <c r="I2682" s="60">
        <v>0.0</v>
      </c>
      <c r="J2682" s="59">
        <v>0.0</v>
      </c>
      <c r="K2682" s="61">
        <f t="shared" si="1"/>
        <v>0</v>
      </c>
      <c r="L2682" s="62">
        <f t="shared" si="2"/>
        <v>0</v>
      </c>
    </row>
    <row r="2683">
      <c r="A2683" s="58">
        <v>45931.0</v>
      </c>
      <c r="B2683" s="24" t="s">
        <v>6787</v>
      </c>
      <c r="C2683" s="24" t="s">
        <v>6817</v>
      </c>
      <c r="D2683" s="59">
        <v>7.0</v>
      </c>
      <c r="E2683" s="59">
        <v>8.0</v>
      </c>
      <c r="F2683" s="59">
        <v>7.0</v>
      </c>
      <c r="G2683" s="60">
        <v>1.14285714285714</v>
      </c>
      <c r="H2683" s="60">
        <v>0.5</v>
      </c>
      <c r="I2683" s="60">
        <v>23.7461077499999</v>
      </c>
      <c r="J2683" s="59">
        <v>11.0</v>
      </c>
      <c r="K2683" s="61">
        <f t="shared" si="1"/>
        <v>0.875</v>
      </c>
      <c r="L2683" s="62">
        <f t="shared" si="2"/>
        <v>1.375</v>
      </c>
    </row>
    <row r="2684">
      <c r="A2684" s="58">
        <v>45931.0</v>
      </c>
      <c r="B2684" s="24" t="s">
        <v>6787</v>
      </c>
      <c r="C2684" s="24" t="s">
        <v>6954</v>
      </c>
      <c r="D2684" s="59">
        <v>7.0</v>
      </c>
      <c r="E2684" s="59">
        <v>7.0</v>
      </c>
      <c r="F2684" s="59">
        <v>7.0</v>
      </c>
      <c r="G2684" s="60">
        <v>1.0</v>
      </c>
      <c r="H2684" s="60">
        <v>0.857142857142857</v>
      </c>
      <c r="I2684" s="60">
        <v>12.2282912857142</v>
      </c>
      <c r="J2684" s="59">
        <v>7.0</v>
      </c>
      <c r="K2684" s="61">
        <f t="shared" si="1"/>
        <v>1</v>
      </c>
      <c r="L2684" s="62">
        <f t="shared" si="2"/>
        <v>1</v>
      </c>
    </row>
    <row r="2685">
      <c r="A2685" s="58">
        <v>45931.0</v>
      </c>
      <c r="B2685" s="24" t="s">
        <v>6787</v>
      </c>
      <c r="C2685" s="24" t="s">
        <v>6835</v>
      </c>
      <c r="D2685" s="59">
        <v>7.0</v>
      </c>
      <c r="E2685" s="59">
        <v>8.0</v>
      </c>
      <c r="F2685" s="59">
        <v>7.0</v>
      </c>
      <c r="G2685" s="60">
        <v>1.14285714285714</v>
      </c>
      <c r="H2685" s="60">
        <v>0.625</v>
      </c>
      <c r="I2685" s="60">
        <v>76.7961775</v>
      </c>
      <c r="J2685" s="59">
        <v>8.0</v>
      </c>
      <c r="K2685" s="61">
        <f t="shared" si="1"/>
        <v>0.875</v>
      </c>
      <c r="L2685" s="62">
        <f t="shared" si="2"/>
        <v>1</v>
      </c>
    </row>
    <row r="2686">
      <c r="A2686" s="58">
        <v>45931.0</v>
      </c>
      <c r="B2686" s="24" t="s">
        <v>6789</v>
      </c>
      <c r="C2686" s="24" t="s">
        <v>6886</v>
      </c>
      <c r="D2686" s="59">
        <v>7.0</v>
      </c>
      <c r="E2686" s="59">
        <v>8.0</v>
      </c>
      <c r="F2686" s="59">
        <v>0.0</v>
      </c>
      <c r="G2686" s="60">
        <v>1.14285714285714</v>
      </c>
      <c r="H2686" s="60">
        <v>0.125</v>
      </c>
      <c r="I2686" s="60">
        <v>572.08756225</v>
      </c>
      <c r="J2686" s="59">
        <v>26.0</v>
      </c>
      <c r="K2686" s="61">
        <f t="shared" si="1"/>
        <v>0</v>
      </c>
      <c r="L2686" s="62">
        <f t="shared" si="2"/>
        <v>3.25</v>
      </c>
    </row>
    <row r="2687">
      <c r="A2687" s="58">
        <v>45931.0</v>
      </c>
      <c r="B2687" s="24" t="s">
        <v>6787</v>
      </c>
      <c r="C2687" s="24" t="s">
        <v>6892</v>
      </c>
      <c r="D2687" s="59">
        <v>7.0</v>
      </c>
      <c r="E2687" s="59">
        <v>7.0</v>
      </c>
      <c r="F2687" s="59">
        <v>7.0</v>
      </c>
      <c r="G2687" s="60">
        <v>1.0</v>
      </c>
      <c r="H2687" s="60">
        <v>0.428571428571428</v>
      </c>
      <c r="I2687" s="60">
        <v>18.1482498571428</v>
      </c>
      <c r="J2687" s="59">
        <v>7.0</v>
      </c>
      <c r="K2687" s="61">
        <f t="shared" si="1"/>
        <v>1</v>
      </c>
      <c r="L2687" s="62">
        <f t="shared" si="2"/>
        <v>1</v>
      </c>
    </row>
    <row r="2688">
      <c r="A2688" s="58">
        <v>45931.0</v>
      </c>
      <c r="B2688" s="24" t="s">
        <v>6789</v>
      </c>
      <c r="C2688" s="24" t="s">
        <v>6806</v>
      </c>
      <c r="D2688" s="59">
        <v>7.0</v>
      </c>
      <c r="E2688" s="59">
        <v>8.0</v>
      </c>
      <c r="F2688" s="59">
        <v>7.0</v>
      </c>
      <c r="G2688" s="60">
        <v>1.14285714285714</v>
      </c>
      <c r="H2688" s="60">
        <v>0.875</v>
      </c>
      <c r="I2688" s="60">
        <v>373.33947625</v>
      </c>
      <c r="J2688" s="59">
        <v>14.0</v>
      </c>
      <c r="K2688" s="61">
        <f t="shared" si="1"/>
        <v>0.875</v>
      </c>
      <c r="L2688" s="62">
        <f t="shared" si="2"/>
        <v>1.75</v>
      </c>
    </row>
    <row r="2689">
      <c r="A2689" s="58">
        <v>45931.0</v>
      </c>
      <c r="B2689" s="24" t="s">
        <v>6787</v>
      </c>
      <c r="C2689" s="24" t="s">
        <v>6843</v>
      </c>
      <c r="D2689" s="59">
        <v>7.0</v>
      </c>
      <c r="E2689" s="59">
        <v>7.0</v>
      </c>
      <c r="F2689" s="59">
        <v>7.0</v>
      </c>
      <c r="G2689" s="60">
        <v>1.0</v>
      </c>
      <c r="H2689" s="60">
        <v>0.714285714285714</v>
      </c>
      <c r="I2689" s="60">
        <v>15.5164545714285</v>
      </c>
      <c r="J2689" s="59">
        <v>7.0</v>
      </c>
      <c r="K2689" s="61">
        <f t="shared" si="1"/>
        <v>1</v>
      </c>
      <c r="L2689" s="62">
        <f t="shared" si="2"/>
        <v>1</v>
      </c>
    </row>
    <row r="2690">
      <c r="A2690" s="58">
        <v>45931.0</v>
      </c>
      <c r="B2690" s="24" t="s">
        <v>6787</v>
      </c>
      <c r="C2690" s="24" t="s">
        <v>7009</v>
      </c>
      <c r="D2690" s="59">
        <v>7.0</v>
      </c>
      <c r="E2690" s="59">
        <v>7.0</v>
      </c>
      <c r="F2690" s="59">
        <v>7.0</v>
      </c>
      <c r="G2690" s="60">
        <v>1.0</v>
      </c>
      <c r="H2690" s="60">
        <v>0.857142857142857</v>
      </c>
      <c r="I2690" s="60">
        <v>6.47334671428571</v>
      </c>
      <c r="J2690" s="59">
        <v>7.0</v>
      </c>
      <c r="K2690" s="61">
        <f t="shared" si="1"/>
        <v>1</v>
      </c>
      <c r="L2690" s="62">
        <f t="shared" si="2"/>
        <v>1</v>
      </c>
    </row>
    <row r="2691">
      <c r="A2691" s="58">
        <v>45931.0</v>
      </c>
      <c r="B2691" s="24" t="s">
        <v>6787</v>
      </c>
      <c r="C2691" s="24" t="s">
        <v>7088</v>
      </c>
      <c r="D2691" s="59">
        <v>7.0</v>
      </c>
      <c r="E2691" s="59">
        <v>7.0</v>
      </c>
      <c r="F2691" s="59">
        <v>7.0</v>
      </c>
      <c r="G2691" s="60">
        <v>1.0</v>
      </c>
      <c r="H2691" s="60">
        <v>0.714285714285714</v>
      </c>
      <c r="I2691" s="60">
        <v>18.5626524285714</v>
      </c>
      <c r="J2691" s="59">
        <v>7.0</v>
      </c>
      <c r="K2691" s="61">
        <f t="shared" si="1"/>
        <v>1</v>
      </c>
      <c r="L2691" s="62">
        <f t="shared" si="2"/>
        <v>1</v>
      </c>
    </row>
    <row r="2692">
      <c r="A2692" s="58">
        <v>45931.0</v>
      </c>
      <c r="B2692" s="24" t="s">
        <v>6787</v>
      </c>
      <c r="C2692" s="24" t="s">
        <v>7184</v>
      </c>
      <c r="D2692" s="59">
        <v>7.0</v>
      </c>
      <c r="E2692" s="59">
        <v>7.0</v>
      </c>
      <c r="F2692" s="59">
        <v>7.0</v>
      </c>
      <c r="G2692" s="60">
        <v>1.0</v>
      </c>
      <c r="H2692" s="60">
        <v>0.428571428571428</v>
      </c>
      <c r="I2692" s="60">
        <v>22.7261462857142</v>
      </c>
      <c r="J2692" s="59">
        <v>7.0</v>
      </c>
      <c r="K2692" s="61">
        <f t="shared" si="1"/>
        <v>1</v>
      </c>
      <c r="L2692" s="62">
        <f t="shared" si="2"/>
        <v>1</v>
      </c>
    </row>
    <row r="2693">
      <c r="A2693" s="58">
        <v>45931.0</v>
      </c>
      <c r="B2693" s="24" t="s">
        <v>155</v>
      </c>
      <c r="C2693" s="24" t="s">
        <v>6809</v>
      </c>
      <c r="D2693" s="59">
        <v>7.0</v>
      </c>
      <c r="E2693" s="59">
        <v>8.0</v>
      </c>
      <c r="F2693" s="59">
        <v>6.0</v>
      </c>
      <c r="G2693" s="60">
        <v>1.14285714285714</v>
      </c>
      <c r="H2693" s="60">
        <v>0.25</v>
      </c>
      <c r="I2693" s="60">
        <v>757.7411325</v>
      </c>
      <c r="J2693" s="59">
        <v>27.0</v>
      </c>
      <c r="K2693" s="61">
        <f t="shared" si="1"/>
        <v>0.75</v>
      </c>
      <c r="L2693" s="62">
        <f t="shared" si="2"/>
        <v>3.375</v>
      </c>
    </row>
    <row r="2694">
      <c r="A2694" s="58">
        <v>45931.0</v>
      </c>
      <c r="B2694" s="24" t="s">
        <v>6789</v>
      </c>
      <c r="C2694" s="24" t="s">
        <v>6812</v>
      </c>
      <c r="D2694" s="59">
        <v>7.0</v>
      </c>
      <c r="E2694" s="59">
        <v>9.0</v>
      </c>
      <c r="F2694" s="59">
        <v>3.0</v>
      </c>
      <c r="G2694" s="60">
        <v>1.28571428571428</v>
      </c>
      <c r="H2694" s="60">
        <v>0.444444444444444</v>
      </c>
      <c r="I2694" s="60">
        <v>208.845857888888</v>
      </c>
      <c r="J2694" s="59">
        <v>16.0</v>
      </c>
      <c r="K2694" s="61">
        <f t="shared" si="1"/>
        <v>0.3333333333</v>
      </c>
      <c r="L2694" s="62">
        <f t="shared" si="2"/>
        <v>1.777777778</v>
      </c>
    </row>
    <row r="2695">
      <c r="A2695" s="58">
        <v>45931.0</v>
      </c>
      <c r="B2695" s="24" t="s">
        <v>6787</v>
      </c>
      <c r="C2695" s="24" t="s">
        <v>7044</v>
      </c>
      <c r="D2695" s="59">
        <v>7.0</v>
      </c>
      <c r="E2695" s="59">
        <v>7.0</v>
      </c>
      <c r="F2695" s="59">
        <v>7.0</v>
      </c>
      <c r="G2695" s="60">
        <v>1.0</v>
      </c>
      <c r="H2695" s="60">
        <v>0.714285714285714</v>
      </c>
      <c r="I2695" s="60">
        <v>13.7072831428571</v>
      </c>
      <c r="J2695" s="59">
        <v>7.0</v>
      </c>
      <c r="K2695" s="61">
        <f t="shared" si="1"/>
        <v>1</v>
      </c>
      <c r="L2695" s="62">
        <f t="shared" si="2"/>
        <v>1</v>
      </c>
    </row>
    <row r="2696">
      <c r="A2696" s="58">
        <v>45931.0</v>
      </c>
      <c r="B2696" s="24" t="s">
        <v>6789</v>
      </c>
      <c r="C2696" s="24" t="s">
        <v>6910</v>
      </c>
      <c r="D2696" s="59">
        <v>7.0</v>
      </c>
      <c r="E2696" s="59">
        <v>7.0</v>
      </c>
      <c r="F2696" s="59">
        <v>5.0</v>
      </c>
      <c r="G2696" s="60">
        <v>1.0</v>
      </c>
      <c r="H2696" s="60">
        <v>0.285714285714285</v>
      </c>
      <c r="I2696" s="60">
        <v>68.304103</v>
      </c>
      <c r="J2696" s="59">
        <v>11.0</v>
      </c>
      <c r="K2696" s="61">
        <f t="shared" si="1"/>
        <v>0.7142857143</v>
      </c>
      <c r="L2696" s="62">
        <f t="shared" si="2"/>
        <v>1.571428571</v>
      </c>
    </row>
    <row r="2697">
      <c r="A2697" s="58">
        <v>45931.0</v>
      </c>
      <c r="B2697" s="24" t="s">
        <v>6789</v>
      </c>
      <c r="C2697" s="24" t="s">
        <v>6851</v>
      </c>
      <c r="D2697" s="59">
        <v>7.0</v>
      </c>
      <c r="E2697" s="59">
        <v>7.0</v>
      </c>
      <c r="F2697" s="59">
        <v>3.0</v>
      </c>
      <c r="G2697" s="60">
        <v>1.0</v>
      </c>
      <c r="H2697" s="60">
        <v>0.571428571428571</v>
      </c>
      <c r="I2697" s="60">
        <v>447.901549142857</v>
      </c>
      <c r="J2697" s="59">
        <v>17.0</v>
      </c>
      <c r="K2697" s="61">
        <f t="shared" si="1"/>
        <v>0.4285714286</v>
      </c>
      <c r="L2697" s="62">
        <f t="shared" si="2"/>
        <v>2.428571429</v>
      </c>
    </row>
    <row r="2698">
      <c r="A2698" s="58">
        <v>45931.0</v>
      </c>
      <c r="B2698" s="24" t="s">
        <v>6787</v>
      </c>
      <c r="C2698" s="24" t="s">
        <v>7173</v>
      </c>
      <c r="D2698" s="59">
        <v>7.0</v>
      </c>
      <c r="E2698" s="59">
        <v>7.0</v>
      </c>
      <c r="F2698" s="59">
        <v>7.0</v>
      </c>
      <c r="G2698" s="60">
        <v>1.0</v>
      </c>
      <c r="H2698" s="60">
        <v>0.571428571428571</v>
      </c>
      <c r="I2698" s="60">
        <v>12.2586532857142</v>
      </c>
      <c r="J2698" s="59">
        <v>7.0</v>
      </c>
      <c r="K2698" s="61">
        <f t="shared" si="1"/>
        <v>1</v>
      </c>
      <c r="L2698" s="62">
        <f t="shared" si="2"/>
        <v>1</v>
      </c>
    </row>
    <row r="2699">
      <c r="A2699" s="58">
        <v>45931.0</v>
      </c>
      <c r="B2699" s="24" t="s">
        <v>6791</v>
      </c>
      <c r="C2699" s="24" t="s">
        <v>6852</v>
      </c>
      <c r="D2699" s="59">
        <v>7.0</v>
      </c>
      <c r="E2699" s="59">
        <v>7.0</v>
      </c>
      <c r="F2699" s="59">
        <v>6.0</v>
      </c>
      <c r="G2699" s="60">
        <v>1.0</v>
      </c>
      <c r="H2699" s="60">
        <v>0.428571428571428</v>
      </c>
      <c r="I2699" s="60">
        <v>86.9995655714285</v>
      </c>
      <c r="J2699" s="59">
        <v>7.0</v>
      </c>
      <c r="K2699" s="61">
        <f t="shared" si="1"/>
        <v>0.8571428571</v>
      </c>
      <c r="L2699" s="62">
        <f t="shared" si="2"/>
        <v>1</v>
      </c>
    </row>
    <row r="2700">
      <c r="A2700" s="58">
        <v>45931.0</v>
      </c>
      <c r="B2700" s="24" t="s">
        <v>6787</v>
      </c>
      <c r="C2700" s="24" t="s">
        <v>6983</v>
      </c>
      <c r="D2700" s="59">
        <v>6.0</v>
      </c>
      <c r="E2700" s="59">
        <v>6.0</v>
      </c>
      <c r="F2700" s="59">
        <v>6.0</v>
      </c>
      <c r="G2700" s="60">
        <v>1.0</v>
      </c>
      <c r="H2700" s="60">
        <v>0.5</v>
      </c>
      <c r="I2700" s="60">
        <v>13.7256891666666</v>
      </c>
      <c r="J2700" s="59">
        <v>6.0</v>
      </c>
      <c r="K2700" s="61">
        <f t="shared" si="1"/>
        <v>1</v>
      </c>
      <c r="L2700" s="62">
        <f t="shared" si="2"/>
        <v>1</v>
      </c>
    </row>
    <row r="2701">
      <c r="A2701" s="58">
        <v>45931.0</v>
      </c>
      <c r="B2701" s="24" t="s">
        <v>6787</v>
      </c>
      <c r="C2701" s="24" t="s">
        <v>6956</v>
      </c>
      <c r="D2701" s="59">
        <v>6.0</v>
      </c>
      <c r="E2701" s="59">
        <v>6.0</v>
      </c>
      <c r="F2701" s="59">
        <v>6.0</v>
      </c>
      <c r="G2701" s="60">
        <v>1.0</v>
      </c>
      <c r="H2701" s="60">
        <v>0.5</v>
      </c>
      <c r="I2701" s="60">
        <v>14.8150535</v>
      </c>
      <c r="J2701" s="59">
        <v>6.0</v>
      </c>
      <c r="K2701" s="61">
        <f t="shared" si="1"/>
        <v>1</v>
      </c>
      <c r="L2701" s="62">
        <f t="shared" si="2"/>
        <v>1</v>
      </c>
    </row>
    <row r="2702">
      <c r="A2702" s="58">
        <v>45931.0</v>
      </c>
      <c r="B2702" s="24" t="s">
        <v>6787</v>
      </c>
      <c r="C2702" s="24" t="s">
        <v>7057</v>
      </c>
      <c r="D2702" s="59">
        <v>6.0</v>
      </c>
      <c r="E2702" s="59">
        <v>6.0</v>
      </c>
      <c r="F2702" s="59">
        <v>6.0</v>
      </c>
      <c r="G2702" s="60">
        <v>1.0</v>
      </c>
      <c r="H2702" s="60">
        <v>0.5</v>
      </c>
      <c r="I2702" s="60">
        <v>14.1428813333333</v>
      </c>
      <c r="J2702" s="59">
        <v>6.0</v>
      </c>
      <c r="K2702" s="61">
        <f t="shared" si="1"/>
        <v>1</v>
      </c>
      <c r="L2702" s="62">
        <f t="shared" si="2"/>
        <v>1</v>
      </c>
    </row>
    <row r="2703">
      <c r="A2703" s="58">
        <v>45931.0</v>
      </c>
      <c r="B2703" s="24" t="s">
        <v>6787</v>
      </c>
      <c r="C2703" s="24" t="s">
        <v>6863</v>
      </c>
      <c r="D2703" s="59">
        <v>6.0</v>
      </c>
      <c r="E2703" s="59">
        <v>6.0</v>
      </c>
      <c r="F2703" s="59">
        <v>6.0</v>
      </c>
      <c r="G2703" s="60">
        <v>1.0</v>
      </c>
      <c r="H2703" s="60">
        <v>0.833333333333333</v>
      </c>
      <c r="I2703" s="60">
        <v>8.7461345</v>
      </c>
      <c r="J2703" s="59">
        <v>6.0</v>
      </c>
      <c r="K2703" s="61">
        <f t="shared" si="1"/>
        <v>1</v>
      </c>
      <c r="L2703" s="62">
        <f t="shared" si="2"/>
        <v>1</v>
      </c>
    </row>
    <row r="2704">
      <c r="A2704" s="58">
        <v>45931.0</v>
      </c>
      <c r="B2704" s="24" t="s">
        <v>6787</v>
      </c>
      <c r="C2704" s="24" t="s">
        <v>6985</v>
      </c>
      <c r="D2704" s="59">
        <v>6.0</v>
      </c>
      <c r="E2704" s="59">
        <v>6.0</v>
      </c>
      <c r="F2704" s="59">
        <v>6.0</v>
      </c>
      <c r="G2704" s="60">
        <v>1.0</v>
      </c>
      <c r="H2704" s="60">
        <v>0.5</v>
      </c>
      <c r="I2704" s="60">
        <v>14.6223598333333</v>
      </c>
      <c r="J2704" s="59">
        <v>6.0</v>
      </c>
      <c r="K2704" s="61">
        <f t="shared" si="1"/>
        <v>1</v>
      </c>
      <c r="L2704" s="62">
        <f t="shared" si="2"/>
        <v>1</v>
      </c>
    </row>
    <row r="2705">
      <c r="A2705" s="58">
        <v>45931.0</v>
      </c>
      <c r="B2705" s="24" t="s">
        <v>6789</v>
      </c>
      <c r="C2705" s="24" t="s">
        <v>6819</v>
      </c>
      <c r="D2705" s="59">
        <v>6.0</v>
      </c>
      <c r="E2705" s="59">
        <v>6.0</v>
      </c>
      <c r="F2705" s="59">
        <v>6.0</v>
      </c>
      <c r="G2705" s="60">
        <v>1.0</v>
      </c>
      <c r="H2705" s="60">
        <v>0.333333333333333</v>
      </c>
      <c r="I2705" s="60">
        <v>30.547926</v>
      </c>
      <c r="J2705" s="59">
        <v>6.0</v>
      </c>
      <c r="K2705" s="61">
        <f t="shared" si="1"/>
        <v>1</v>
      </c>
      <c r="L2705" s="62">
        <f t="shared" si="2"/>
        <v>1</v>
      </c>
    </row>
    <row r="2706">
      <c r="A2706" s="58">
        <v>45931.0</v>
      </c>
      <c r="B2706" s="24" t="s">
        <v>6787</v>
      </c>
      <c r="C2706" s="24" t="s">
        <v>6867</v>
      </c>
      <c r="D2706" s="59">
        <v>6.0</v>
      </c>
      <c r="E2706" s="59">
        <v>6.0</v>
      </c>
      <c r="F2706" s="59">
        <v>6.0</v>
      </c>
      <c r="G2706" s="60">
        <v>1.0</v>
      </c>
      <c r="H2706" s="60">
        <v>0.833333333333333</v>
      </c>
      <c r="I2706" s="60">
        <v>10.029248</v>
      </c>
      <c r="J2706" s="59">
        <v>6.0</v>
      </c>
      <c r="K2706" s="61">
        <f t="shared" si="1"/>
        <v>1</v>
      </c>
      <c r="L2706" s="62">
        <f t="shared" si="2"/>
        <v>1</v>
      </c>
    </row>
    <row r="2707">
      <c r="A2707" s="58">
        <v>45931.0</v>
      </c>
      <c r="B2707" s="24" t="s">
        <v>6787</v>
      </c>
      <c r="C2707" s="24" t="s">
        <v>6988</v>
      </c>
      <c r="D2707" s="59">
        <v>6.0</v>
      </c>
      <c r="E2707" s="59">
        <v>6.0</v>
      </c>
      <c r="F2707" s="59">
        <v>6.0</v>
      </c>
      <c r="G2707" s="60">
        <v>1.0</v>
      </c>
      <c r="H2707" s="60">
        <v>0.833333333333333</v>
      </c>
      <c r="I2707" s="60">
        <v>10.0459698333333</v>
      </c>
      <c r="J2707" s="59">
        <v>6.0</v>
      </c>
      <c r="K2707" s="61">
        <f t="shared" si="1"/>
        <v>1</v>
      </c>
      <c r="L2707" s="62">
        <f t="shared" si="2"/>
        <v>1</v>
      </c>
    </row>
    <row r="2708">
      <c r="A2708" s="58">
        <v>45931.0</v>
      </c>
      <c r="B2708" s="24" t="s">
        <v>6787</v>
      </c>
      <c r="C2708" s="24" t="s">
        <v>7120</v>
      </c>
      <c r="D2708" s="59">
        <v>6.0</v>
      </c>
      <c r="E2708" s="59">
        <v>6.0</v>
      </c>
      <c r="F2708" s="59">
        <v>5.0</v>
      </c>
      <c r="G2708" s="60">
        <v>1.0</v>
      </c>
      <c r="H2708" s="60">
        <v>0.166666666666666</v>
      </c>
      <c r="I2708" s="60">
        <v>209.050920333333</v>
      </c>
      <c r="J2708" s="59">
        <v>11.0</v>
      </c>
      <c r="K2708" s="61">
        <f t="shared" si="1"/>
        <v>0.8333333333</v>
      </c>
      <c r="L2708" s="62">
        <f t="shared" si="2"/>
        <v>1.833333333</v>
      </c>
    </row>
    <row r="2709">
      <c r="A2709" s="58">
        <v>45931.0</v>
      </c>
      <c r="B2709" s="24" t="s">
        <v>6942</v>
      </c>
      <c r="C2709" s="24" t="s">
        <v>7120</v>
      </c>
      <c r="D2709" s="59">
        <v>6.0</v>
      </c>
      <c r="E2709" s="59">
        <v>6.0</v>
      </c>
      <c r="F2709" s="59">
        <v>6.0</v>
      </c>
      <c r="G2709" s="60">
        <v>1.0</v>
      </c>
      <c r="H2709" s="60">
        <v>1.0</v>
      </c>
      <c r="I2709" s="60">
        <v>0.0</v>
      </c>
      <c r="J2709" s="59">
        <v>6.0</v>
      </c>
      <c r="K2709" s="61">
        <f t="shared" si="1"/>
        <v>1</v>
      </c>
      <c r="L2709" s="62">
        <f t="shared" si="2"/>
        <v>1</v>
      </c>
    </row>
    <row r="2710">
      <c r="A2710" s="58">
        <v>45931.0</v>
      </c>
      <c r="B2710" s="24" t="s">
        <v>6942</v>
      </c>
      <c r="C2710" s="24" t="s">
        <v>7125</v>
      </c>
      <c r="D2710" s="59">
        <v>6.0</v>
      </c>
      <c r="E2710" s="59">
        <v>6.0</v>
      </c>
      <c r="F2710" s="59">
        <v>6.0</v>
      </c>
      <c r="G2710" s="60">
        <v>1.0</v>
      </c>
      <c r="H2710" s="60">
        <v>1.0</v>
      </c>
      <c r="I2710" s="60">
        <v>0.0</v>
      </c>
      <c r="J2710" s="59">
        <v>6.0</v>
      </c>
      <c r="K2710" s="61">
        <f t="shared" si="1"/>
        <v>1</v>
      </c>
      <c r="L2710" s="62">
        <f t="shared" si="2"/>
        <v>1</v>
      </c>
    </row>
    <row r="2711">
      <c r="A2711" s="58">
        <v>45931.0</v>
      </c>
      <c r="B2711" s="24" t="s">
        <v>6787</v>
      </c>
      <c r="C2711" s="24" t="s">
        <v>7231</v>
      </c>
      <c r="D2711" s="59">
        <v>6.0</v>
      </c>
      <c r="E2711" s="59">
        <v>6.0</v>
      </c>
      <c r="F2711" s="59">
        <v>6.0</v>
      </c>
      <c r="G2711" s="60">
        <v>1.0</v>
      </c>
      <c r="H2711" s="60">
        <v>0.333333333333333</v>
      </c>
      <c r="I2711" s="60">
        <v>27.1279853333333</v>
      </c>
      <c r="J2711" s="59">
        <v>6.0</v>
      </c>
      <c r="K2711" s="61">
        <f t="shared" si="1"/>
        <v>1</v>
      </c>
      <c r="L2711" s="62">
        <f t="shared" si="2"/>
        <v>1</v>
      </c>
    </row>
    <row r="2712">
      <c r="A2712" s="58">
        <v>45931.0</v>
      </c>
      <c r="B2712" s="24" t="s">
        <v>6787</v>
      </c>
      <c r="C2712" s="24" t="s">
        <v>7228</v>
      </c>
      <c r="D2712" s="59">
        <v>6.0</v>
      </c>
      <c r="E2712" s="59">
        <v>6.0</v>
      </c>
      <c r="F2712" s="59">
        <v>6.0</v>
      </c>
      <c r="G2712" s="60">
        <v>1.0</v>
      </c>
      <c r="H2712" s="60">
        <v>0.833333333333333</v>
      </c>
      <c r="I2712" s="60">
        <v>7.346719</v>
      </c>
      <c r="J2712" s="59">
        <v>6.0</v>
      </c>
      <c r="K2712" s="61">
        <f t="shared" si="1"/>
        <v>1</v>
      </c>
      <c r="L2712" s="62">
        <f t="shared" si="2"/>
        <v>1</v>
      </c>
    </row>
    <row r="2713">
      <c r="A2713" s="58">
        <v>45931.0</v>
      </c>
      <c r="B2713" s="24" t="s">
        <v>6787</v>
      </c>
      <c r="C2713" s="24" t="s">
        <v>6907</v>
      </c>
      <c r="D2713" s="59">
        <v>6.0</v>
      </c>
      <c r="E2713" s="59">
        <v>6.0</v>
      </c>
      <c r="F2713" s="59">
        <v>6.0</v>
      </c>
      <c r="G2713" s="60">
        <v>1.0</v>
      </c>
      <c r="H2713" s="60">
        <v>0.5</v>
      </c>
      <c r="I2713" s="60">
        <v>14.5938063333333</v>
      </c>
      <c r="J2713" s="59">
        <v>6.0</v>
      </c>
      <c r="K2713" s="61">
        <f t="shared" si="1"/>
        <v>1</v>
      </c>
      <c r="L2713" s="62">
        <f t="shared" si="2"/>
        <v>1</v>
      </c>
    </row>
    <row r="2714">
      <c r="A2714" s="58">
        <v>45931.0</v>
      </c>
      <c r="B2714" s="24" t="s">
        <v>6787</v>
      </c>
      <c r="C2714" s="24" t="s">
        <v>7035</v>
      </c>
      <c r="D2714" s="59">
        <v>6.0</v>
      </c>
      <c r="E2714" s="59">
        <v>7.0</v>
      </c>
      <c r="F2714" s="59">
        <v>6.0</v>
      </c>
      <c r="G2714" s="60">
        <v>1.16666666666666</v>
      </c>
      <c r="H2714" s="60">
        <v>0.714285714285714</v>
      </c>
      <c r="I2714" s="60">
        <v>12.1321402857142</v>
      </c>
      <c r="J2714" s="59">
        <v>7.0</v>
      </c>
      <c r="K2714" s="61">
        <f t="shared" si="1"/>
        <v>0.8571428571</v>
      </c>
      <c r="L2714" s="62">
        <f t="shared" si="2"/>
        <v>1</v>
      </c>
    </row>
    <row r="2715">
      <c r="A2715" s="58">
        <v>45931.0</v>
      </c>
      <c r="B2715" s="24" t="s">
        <v>6787</v>
      </c>
      <c r="C2715" s="24" t="s">
        <v>7164</v>
      </c>
      <c r="D2715" s="59">
        <v>6.0</v>
      </c>
      <c r="E2715" s="59">
        <v>6.0</v>
      </c>
      <c r="F2715" s="59">
        <v>6.0</v>
      </c>
      <c r="G2715" s="60">
        <v>1.0</v>
      </c>
      <c r="H2715" s="60">
        <v>0.5</v>
      </c>
      <c r="I2715" s="60">
        <v>22.3811406666666</v>
      </c>
      <c r="J2715" s="59">
        <v>6.0</v>
      </c>
      <c r="K2715" s="61">
        <f t="shared" si="1"/>
        <v>1</v>
      </c>
      <c r="L2715" s="62">
        <f t="shared" si="2"/>
        <v>1</v>
      </c>
    </row>
    <row r="2716">
      <c r="A2716" s="58">
        <v>45931.0</v>
      </c>
      <c r="B2716" s="24" t="s">
        <v>6787</v>
      </c>
      <c r="C2716" s="24" t="s">
        <v>7096</v>
      </c>
      <c r="D2716" s="59">
        <v>6.0</v>
      </c>
      <c r="E2716" s="59">
        <v>6.0</v>
      </c>
      <c r="F2716" s="59">
        <v>6.0</v>
      </c>
      <c r="G2716" s="60">
        <v>1.0</v>
      </c>
      <c r="H2716" s="60">
        <v>0.333333333333333</v>
      </c>
      <c r="I2716" s="60">
        <v>29.5667001666666</v>
      </c>
      <c r="J2716" s="59">
        <v>6.0</v>
      </c>
      <c r="K2716" s="61">
        <f t="shared" si="1"/>
        <v>1</v>
      </c>
      <c r="L2716" s="62">
        <f t="shared" si="2"/>
        <v>1</v>
      </c>
    </row>
    <row r="2717">
      <c r="A2717" s="58">
        <v>45931.0</v>
      </c>
      <c r="B2717" s="24" t="s">
        <v>6787</v>
      </c>
      <c r="C2717" s="24" t="s">
        <v>7137</v>
      </c>
      <c r="D2717" s="59">
        <v>6.0</v>
      </c>
      <c r="E2717" s="59">
        <v>6.0</v>
      </c>
      <c r="F2717" s="59">
        <v>6.0</v>
      </c>
      <c r="G2717" s="60">
        <v>1.0</v>
      </c>
      <c r="H2717" s="60">
        <v>0.333333333333333</v>
      </c>
      <c r="I2717" s="60">
        <v>61.604859</v>
      </c>
      <c r="J2717" s="59">
        <v>6.0</v>
      </c>
      <c r="K2717" s="61">
        <f t="shared" si="1"/>
        <v>1</v>
      </c>
      <c r="L2717" s="62">
        <f t="shared" si="2"/>
        <v>1</v>
      </c>
    </row>
    <row r="2718">
      <c r="A2718" s="58">
        <v>45931.0</v>
      </c>
      <c r="B2718" s="24" t="s">
        <v>6787</v>
      </c>
      <c r="C2718" s="24" t="s">
        <v>7013</v>
      </c>
      <c r="D2718" s="59">
        <v>6.0</v>
      </c>
      <c r="E2718" s="59">
        <v>6.0</v>
      </c>
      <c r="F2718" s="59">
        <v>6.0</v>
      </c>
      <c r="G2718" s="60">
        <v>1.0</v>
      </c>
      <c r="H2718" s="60">
        <v>0.666666666666666</v>
      </c>
      <c r="I2718" s="60">
        <v>13.7403658333333</v>
      </c>
      <c r="J2718" s="59">
        <v>6.0</v>
      </c>
      <c r="K2718" s="61">
        <f t="shared" si="1"/>
        <v>1</v>
      </c>
      <c r="L2718" s="62">
        <f t="shared" si="2"/>
        <v>1</v>
      </c>
    </row>
    <row r="2719">
      <c r="A2719" s="58">
        <v>45931.0</v>
      </c>
      <c r="B2719" s="24" t="s">
        <v>6791</v>
      </c>
      <c r="C2719" s="24" t="s">
        <v>6801</v>
      </c>
      <c r="D2719" s="59">
        <v>6.0</v>
      </c>
      <c r="E2719" s="59">
        <v>6.0</v>
      </c>
      <c r="F2719" s="59">
        <v>5.0</v>
      </c>
      <c r="G2719" s="60">
        <v>1.0</v>
      </c>
      <c r="H2719" s="60">
        <v>1.0</v>
      </c>
      <c r="I2719" s="60">
        <v>0.927297666666666</v>
      </c>
      <c r="J2719" s="59">
        <v>6.0</v>
      </c>
      <c r="K2719" s="61">
        <f t="shared" si="1"/>
        <v>0.8333333333</v>
      </c>
      <c r="L2719" s="62">
        <f t="shared" si="2"/>
        <v>1</v>
      </c>
    </row>
    <row r="2720">
      <c r="A2720" s="58">
        <v>45931.0</v>
      </c>
      <c r="B2720" s="24" t="s">
        <v>6787</v>
      </c>
      <c r="C2720" s="24" t="s">
        <v>7287</v>
      </c>
      <c r="D2720" s="59">
        <v>5.0</v>
      </c>
      <c r="E2720" s="59">
        <v>5.0</v>
      </c>
      <c r="F2720" s="59">
        <v>5.0</v>
      </c>
      <c r="G2720" s="60">
        <v>1.0</v>
      </c>
      <c r="H2720" s="60">
        <v>1.0</v>
      </c>
      <c r="I2720" s="60">
        <v>1.256578</v>
      </c>
      <c r="J2720" s="59">
        <v>5.0</v>
      </c>
      <c r="K2720" s="61">
        <f t="shared" si="1"/>
        <v>1</v>
      </c>
      <c r="L2720" s="62">
        <f t="shared" si="2"/>
        <v>1</v>
      </c>
    </row>
    <row r="2721">
      <c r="A2721" s="58">
        <v>45931.0</v>
      </c>
      <c r="B2721" s="24" t="s">
        <v>6787</v>
      </c>
      <c r="C2721" s="24" t="s">
        <v>6829</v>
      </c>
      <c r="D2721" s="59">
        <v>5.0</v>
      </c>
      <c r="E2721" s="59">
        <v>5.0</v>
      </c>
      <c r="F2721" s="59">
        <v>5.0</v>
      </c>
      <c r="G2721" s="60">
        <v>1.0</v>
      </c>
      <c r="H2721" s="60">
        <v>1.0</v>
      </c>
      <c r="I2721" s="60">
        <v>2.0577144</v>
      </c>
      <c r="J2721" s="59">
        <v>5.0</v>
      </c>
      <c r="K2721" s="61">
        <f t="shared" si="1"/>
        <v>1</v>
      </c>
      <c r="L2721" s="62">
        <f t="shared" si="2"/>
        <v>1</v>
      </c>
    </row>
    <row r="2722">
      <c r="A2722" s="58">
        <v>45931.0</v>
      </c>
      <c r="B2722" s="24" t="s">
        <v>6787</v>
      </c>
      <c r="C2722" s="24" t="s">
        <v>6830</v>
      </c>
      <c r="D2722" s="59">
        <v>5.0</v>
      </c>
      <c r="E2722" s="59">
        <v>5.0</v>
      </c>
      <c r="F2722" s="59">
        <v>4.0</v>
      </c>
      <c r="G2722" s="60">
        <v>1.0</v>
      </c>
      <c r="H2722" s="60">
        <v>0.8</v>
      </c>
      <c r="I2722" s="60">
        <v>17.975315</v>
      </c>
      <c r="J2722" s="59">
        <v>5.0</v>
      </c>
      <c r="K2722" s="61">
        <f t="shared" si="1"/>
        <v>0.8</v>
      </c>
      <c r="L2722" s="62">
        <f t="shared" si="2"/>
        <v>1</v>
      </c>
    </row>
    <row r="2723">
      <c r="A2723" s="58">
        <v>45931.0</v>
      </c>
      <c r="B2723" s="24" t="s">
        <v>6787</v>
      </c>
      <c r="C2723" s="24" t="s">
        <v>6862</v>
      </c>
      <c r="D2723" s="59">
        <v>5.0</v>
      </c>
      <c r="E2723" s="59">
        <v>5.0</v>
      </c>
      <c r="F2723" s="59">
        <v>5.0</v>
      </c>
      <c r="G2723" s="60">
        <v>1.0</v>
      </c>
      <c r="H2723" s="60">
        <v>0.8</v>
      </c>
      <c r="I2723" s="60">
        <v>13.3426802</v>
      </c>
      <c r="J2723" s="59">
        <v>5.0</v>
      </c>
      <c r="K2723" s="61">
        <f t="shared" si="1"/>
        <v>1</v>
      </c>
      <c r="L2723" s="62">
        <f t="shared" si="2"/>
        <v>1</v>
      </c>
    </row>
    <row r="2724">
      <c r="A2724" s="58">
        <v>45931.0</v>
      </c>
      <c r="B2724" s="24" t="s">
        <v>6787</v>
      </c>
      <c r="C2724" s="24" t="s">
        <v>6866</v>
      </c>
      <c r="D2724" s="59">
        <v>5.0</v>
      </c>
      <c r="E2724" s="59">
        <v>5.0</v>
      </c>
      <c r="F2724" s="59">
        <v>5.0</v>
      </c>
      <c r="G2724" s="60">
        <v>1.0</v>
      </c>
      <c r="H2724" s="60">
        <v>0.4</v>
      </c>
      <c r="I2724" s="60">
        <v>28.8223448</v>
      </c>
      <c r="J2724" s="59">
        <v>5.0</v>
      </c>
      <c r="K2724" s="61">
        <f t="shared" si="1"/>
        <v>1</v>
      </c>
      <c r="L2724" s="62">
        <f t="shared" si="2"/>
        <v>1</v>
      </c>
    </row>
    <row r="2725">
      <c r="A2725" s="58">
        <v>45931.0</v>
      </c>
      <c r="B2725" s="24" t="s">
        <v>6787</v>
      </c>
      <c r="C2725" s="24" t="s">
        <v>6868</v>
      </c>
      <c r="D2725" s="59">
        <v>5.0</v>
      </c>
      <c r="E2725" s="59">
        <v>5.0</v>
      </c>
      <c r="F2725" s="59">
        <v>5.0</v>
      </c>
      <c r="G2725" s="60">
        <v>1.0</v>
      </c>
      <c r="H2725" s="60">
        <v>0.8</v>
      </c>
      <c r="I2725" s="60">
        <v>11.3628282</v>
      </c>
      <c r="J2725" s="59">
        <v>5.0</v>
      </c>
      <c r="K2725" s="61">
        <f t="shared" si="1"/>
        <v>1</v>
      </c>
      <c r="L2725" s="62">
        <f t="shared" si="2"/>
        <v>1</v>
      </c>
    </row>
    <row r="2726">
      <c r="A2726" s="58">
        <v>45931.0</v>
      </c>
      <c r="B2726" s="24" t="s">
        <v>155</v>
      </c>
      <c r="C2726" s="24" t="s">
        <v>7024</v>
      </c>
      <c r="D2726" s="59">
        <v>5.0</v>
      </c>
      <c r="E2726" s="59">
        <v>7.0</v>
      </c>
      <c r="F2726" s="59">
        <v>5.0</v>
      </c>
      <c r="G2726" s="60">
        <v>1.4</v>
      </c>
      <c r="H2726" s="60">
        <v>0.857142857142857</v>
      </c>
      <c r="I2726" s="60">
        <v>3.65868085714285</v>
      </c>
      <c r="J2726" s="59">
        <v>7.0</v>
      </c>
      <c r="K2726" s="61">
        <f t="shared" si="1"/>
        <v>0.7142857143</v>
      </c>
      <c r="L2726" s="62">
        <f t="shared" si="2"/>
        <v>1</v>
      </c>
    </row>
    <row r="2727">
      <c r="A2727" s="58">
        <v>45931.0</v>
      </c>
      <c r="B2727" s="24" t="s">
        <v>6787</v>
      </c>
      <c r="C2727" s="24" t="s">
        <v>6876</v>
      </c>
      <c r="D2727" s="59">
        <v>5.0</v>
      </c>
      <c r="E2727" s="59">
        <v>5.0</v>
      </c>
      <c r="F2727" s="59">
        <v>5.0</v>
      </c>
      <c r="G2727" s="60">
        <v>1.0</v>
      </c>
      <c r="H2727" s="60">
        <v>0.6</v>
      </c>
      <c r="I2727" s="60">
        <v>50.578759</v>
      </c>
      <c r="J2727" s="59">
        <v>5.0</v>
      </c>
      <c r="K2727" s="61">
        <f t="shared" si="1"/>
        <v>1</v>
      </c>
      <c r="L2727" s="62">
        <f t="shared" si="2"/>
        <v>1</v>
      </c>
    </row>
    <row r="2728">
      <c r="A2728" s="58">
        <v>45931.0</v>
      </c>
      <c r="B2728" s="24" t="s">
        <v>6787</v>
      </c>
      <c r="C2728" s="24" t="s">
        <v>6878</v>
      </c>
      <c r="D2728" s="59">
        <v>5.0</v>
      </c>
      <c r="E2728" s="59">
        <v>5.0</v>
      </c>
      <c r="F2728" s="59">
        <v>5.0</v>
      </c>
      <c r="G2728" s="60">
        <v>1.0</v>
      </c>
      <c r="H2728" s="60">
        <v>0.8</v>
      </c>
      <c r="I2728" s="60">
        <v>9.4132834</v>
      </c>
      <c r="J2728" s="59">
        <v>5.0</v>
      </c>
      <c r="K2728" s="61">
        <f t="shared" si="1"/>
        <v>1</v>
      </c>
      <c r="L2728" s="62">
        <f t="shared" si="2"/>
        <v>1</v>
      </c>
    </row>
    <row r="2729">
      <c r="A2729" s="58">
        <v>45931.0</v>
      </c>
      <c r="B2729" s="24" t="s">
        <v>6787</v>
      </c>
      <c r="C2729" s="24" t="s">
        <v>6882</v>
      </c>
      <c r="D2729" s="59">
        <v>5.0</v>
      </c>
      <c r="E2729" s="59">
        <v>5.0</v>
      </c>
      <c r="F2729" s="59">
        <v>5.0</v>
      </c>
      <c r="G2729" s="60">
        <v>1.0</v>
      </c>
      <c r="H2729" s="60">
        <v>0.8</v>
      </c>
      <c r="I2729" s="60">
        <v>12.5400359999999</v>
      </c>
      <c r="J2729" s="59">
        <v>5.0</v>
      </c>
      <c r="K2729" s="61">
        <f t="shared" si="1"/>
        <v>1</v>
      </c>
      <c r="L2729" s="62">
        <f t="shared" si="2"/>
        <v>1</v>
      </c>
    </row>
    <row r="2730">
      <c r="A2730" s="58">
        <v>45931.0</v>
      </c>
      <c r="B2730" s="24" t="s">
        <v>6789</v>
      </c>
      <c r="C2730" s="24" t="s">
        <v>6835</v>
      </c>
      <c r="D2730" s="59">
        <v>5.0</v>
      </c>
      <c r="E2730" s="59">
        <v>5.0</v>
      </c>
      <c r="F2730" s="59">
        <v>3.0</v>
      </c>
      <c r="G2730" s="60">
        <v>1.25</v>
      </c>
      <c r="H2730" s="60">
        <v>0.6</v>
      </c>
      <c r="I2730" s="60">
        <v>302.4440266</v>
      </c>
      <c r="J2730" s="59">
        <v>10.0</v>
      </c>
      <c r="K2730" s="61">
        <f t="shared" si="1"/>
        <v>0.6</v>
      </c>
      <c r="L2730" s="62">
        <f t="shared" si="2"/>
        <v>2</v>
      </c>
    </row>
    <row r="2731">
      <c r="A2731" s="58">
        <v>45931.0</v>
      </c>
      <c r="B2731" s="24" t="s">
        <v>6787</v>
      </c>
      <c r="C2731" s="24" t="s">
        <v>6991</v>
      </c>
      <c r="D2731" s="59">
        <v>5.0</v>
      </c>
      <c r="E2731" s="59">
        <v>5.0</v>
      </c>
      <c r="F2731" s="59">
        <v>5.0</v>
      </c>
      <c r="G2731" s="60">
        <v>1.0</v>
      </c>
      <c r="H2731" s="60">
        <v>0.6</v>
      </c>
      <c r="I2731" s="60">
        <v>15.3647383999999</v>
      </c>
      <c r="J2731" s="59">
        <v>5.0</v>
      </c>
      <c r="K2731" s="61">
        <f t="shared" si="1"/>
        <v>1</v>
      </c>
      <c r="L2731" s="62">
        <f t="shared" si="2"/>
        <v>1</v>
      </c>
    </row>
    <row r="2732">
      <c r="A2732" s="58">
        <v>45931.0</v>
      </c>
      <c r="B2732" s="24" t="s">
        <v>6787</v>
      </c>
      <c r="C2732" s="24" t="s">
        <v>6930</v>
      </c>
      <c r="D2732" s="59">
        <v>5.0</v>
      </c>
      <c r="E2732" s="59">
        <v>5.0</v>
      </c>
      <c r="F2732" s="59">
        <v>5.0</v>
      </c>
      <c r="G2732" s="60">
        <v>1.0</v>
      </c>
      <c r="H2732" s="60">
        <v>0.4</v>
      </c>
      <c r="I2732" s="60">
        <v>17.3635818</v>
      </c>
      <c r="J2732" s="59">
        <v>5.0</v>
      </c>
      <c r="K2732" s="61">
        <f t="shared" si="1"/>
        <v>1</v>
      </c>
      <c r="L2732" s="62">
        <f t="shared" si="2"/>
        <v>1</v>
      </c>
    </row>
    <row r="2733">
      <c r="A2733" s="58">
        <v>45931.0</v>
      </c>
      <c r="B2733" s="24" t="s">
        <v>6787</v>
      </c>
      <c r="C2733" s="24" t="s">
        <v>6888</v>
      </c>
      <c r="D2733" s="59">
        <v>5.0</v>
      </c>
      <c r="E2733" s="59">
        <v>5.0</v>
      </c>
      <c r="F2733" s="59">
        <v>5.0</v>
      </c>
      <c r="G2733" s="60">
        <v>1.0</v>
      </c>
      <c r="H2733" s="60">
        <v>0.8</v>
      </c>
      <c r="I2733" s="60">
        <v>12.343077</v>
      </c>
      <c r="J2733" s="59">
        <v>5.0</v>
      </c>
      <c r="K2733" s="61">
        <f t="shared" si="1"/>
        <v>1</v>
      </c>
      <c r="L2733" s="62">
        <f t="shared" si="2"/>
        <v>1</v>
      </c>
    </row>
    <row r="2734">
      <c r="A2734" s="58">
        <v>45931.0</v>
      </c>
      <c r="B2734" s="24" t="s">
        <v>6787</v>
      </c>
      <c r="C2734" s="24" t="s">
        <v>6997</v>
      </c>
      <c r="D2734" s="59">
        <v>5.0</v>
      </c>
      <c r="E2734" s="59">
        <v>5.0</v>
      </c>
      <c r="F2734" s="59">
        <v>5.0</v>
      </c>
      <c r="G2734" s="60">
        <v>1.0</v>
      </c>
      <c r="H2734" s="60">
        <v>0.4</v>
      </c>
      <c r="I2734" s="60">
        <v>21.0907682</v>
      </c>
      <c r="J2734" s="59">
        <v>5.0</v>
      </c>
      <c r="K2734" s="61">
        <f t="shared" si="1"/>
        <v>1</v>
      </c>
      <c r="L2734" s="62">
        <f t="shared" si="2"/>
        <v>1</v>
      </c>
    </row>
    <row r="2735">
      <c r="A2735" s="58">
        <v>45931.0</v>
      </c>
      <c r="B2735" s="24" t="s">
        <v>6789</v>
      </c>
      <c r="C2735" s="24" t="s">
        <v>7021</v>
      </c>
      <c r="D2735" s="59">
        <v>5.0</v>
      </c>
      <c r="E2735" s="59">
        <v>5.0</v>
      </c>
      <c r="F2735" s="59">
        <v>1.0</v>
      </c>
      <c r="G2735" s="60">
        <v>1.0</v>
      </c>
      <c r="H2735" s="60">
        <v>0.0</v>
      </c>
      <c r="I2735" s="60">
        <v>1244.0918092</v>
      </c>
      <c r="J2735" s="59">
        <v>20.0</v>
      </c>
      <c r="K2735" s="61">
        <f t="shared" si="1"/>
        <v>0.2</v>
      </c>
      <c r="L2735" s="62">
        <f t="shared" si="2"/>
        <v>4</v>
      </c>
    </row>
    <row r="2736">
      <c r="A2736" s="58">
        <v>45931.0</v>
      </c>
      <c r="B2736" s="24" t="s">
        <v>6787</v>
      </c>
      <c r="C2736" s="24" t="s">
        <v>7032</v>
      </c>
      <c r="D2736" s="59">
        <v>5.0</v>
      </c>
      <c r="E2736" s="59">
        <v>5.0</v>
      </c>
      <c r="F2736" s="59">
        <v>5.0</v>
      </c>
      <c r="G2736" s="60">
        <v>1.0</v>
      </c>
      <c r="H2736" s="60">
        <v>0.6</v>
      </c>
      <c r="I2736" s="60">
        <v>19.0028166</v>
      </c>
      <c r="J2736" s="59">
        <v>5.0</v>
      </c>
      <c r="K2736" s="61">
        <f t="shared" si="1"/>
        <v>1</v>
      </c>
      <c r="L2736" s="62">
        <f t="shared" si="2"/>
        <v>1</v>
      </c>
    </row>
    <row r="2737">
      <c r="A2737" s="58">
        <v>45931.0</v>
      </c>
      <c r="B2737" s="24" t="s">
        <v>155</v>
      </c>
      <c r="C2737" s="24" t="s">
        <v>6841</v>
      </c>
      <c r="D2737" s="59">
        <v>5.0</v>
      </c>
      <c r="E2737" s="59">
        <v>6.0</v>
      </c>
      <c r="F2737" s="59">
        <v>5.0</v>
      </c>
      <c r="G2737" s="60">
        <v>1.2</v>
      </c>
      <c r="H2737" s="60">
        <v>1.0</v>
      </c>
      <c r="I2737" s="60">
        <v>0.0</v>
      </c>
      <c r="J2737" s="59">
        <v>6.0</v>
      </c>
      <c r="K2737" s="61">
        <f t="shared" si="1"/>
        <v>0.8333333333</v>
      </c>
      <c r="L2737" s="62">
        <f t="shared" si="2"/>
        <v>1</v>
      </c>
    </row>
    <row r="2738">
      <c r="A2738" s="58">
        <v>45931.0</v>
      </c>
      <c r="B2738" s="24" t="s">
        <v>6787</v>
      </c>
      <c r="C2738" s="24" t="s">
        <v>6901</v>
      </c>
      <c r="D2738" s="59">
        <v>5.0</v>
      </c>
      <c r="E2738" s="59">
        <v>5.0</v>
      </c>
      <c r="F2738" s="59">
        <v>5.0</v>
      </c>
      <c r="G2738" s="60">
        <v>1.0</v>
      </c>
      <c r="H2738" s="60">
        <v>0.8</v>
      </c>
      <c r="I2738" s="60">
        <v>13.2800154</v>
      </c>
      <c r="J2738" s="59">
        <v>5.0</v>
      </c>
      <c r="K2738" s="61">
        <f t="shared" si="1"/>
        <v>1</v>
      </c>
      <c r="L2738" s="62">
        <f t="shared" si="2"/>
        <v>1</v>
      </c>
    </row>
    <row r="2739">
      <c r="A2739" s="58">
        <v>45931.0</v>
      </c>
      <c r="B2739" s="24" t="s">
        <v>6789</v>
      </c>
      <c r="C2739" s="24" t="s">
        <v>6844</v>
      </c>
      <c r="D2739" s="59">
        <v>5.0</v>
      </c>
      <c r="E2739" s="59">
        <v>5.0</v>
      </c>
      <c r="F2739" s="59">
        <v>4.0</v>
      </c>
      <c r="G2739" s="60">
        <v>1.0</v>
      </c>
      <c r="H2739" s="60">
        <v>0.4</v>
      </c>
      <c r="I2739" s="60">
        <v>102.5362284</v>
      </c>
      <c r="J2739" s="59">
        <v>6.0</v>
      </c>
      <c r="K2739" s="61">
        <f t="shared" si="1"/>
        <v>0.8</v>
      </c>
      <c r="L2739" s="62">
        <f t="shared" si="2"/>
        <v>1.2</v>
      </c>
    </row>
    <row r="2740">
      <c r="A2740" s="58">
        <v>45931.0</v>
      </c>
      <c r="B2740" s="24" t="s">
        <v>6787</v>
      </c>
      <c r="C2740" s="24" t="s">
        <v>6902</v>
      </c>
      <c r="D2740" s="59">
        <v>5.0</v>
      </c>
      <c r="E2740" s="59">
        <v>5.0</v>
      </c>
      <c r="F2740" s="59">
        <v>5.0</v>
      </c>
      <c r="G2740" s="60">
        <v>1.0</v>
      </c>
      <c r="H2740" s="60">
        <v>0.8</v>
      </c>
      <c r="I2740" s="60">
        <v>10.9498166</v>
      </c>
      <c r="J2740" s="59">
        <v>5.0</v>
      </c>
      <c r="K2740" s="61">
        <f t="shared" si="1"/>
        <v>1</v>
      </c>
      <c r="L2740" s="62">
        <f t="shared" si="2"/>
        <v>1</v>
      </c>
    </row>
    <row r="2741">
      <c r="A2741" s="58">
        <v>45931.0</v>
      </c>
      <c r="B2741" s="24" t="s">
        <v>6787</v>
      </c>
      <c r="C2741" s="24" t="s">
        <v>7090</v>
      </c>
      <c r="D2741" s="59">
        <v>5.0</v>
      </c>
      <c r="E2741" s="59">
        <v>5.0</v>
      </c>
      <c r="F2741" s="59">
        <v>5.0</v>
      </c>
      <c r="G2741" s="60">
        <v>1.0</v>
      </c>
      <c r="H2741" s="60">
        <v>0.6</v>
      </c>
      <c r="I2741" s="60">
        <v>15.399699</v>
      </c>
      <c r="J2741" s="59">
        <v>5.0</v>
      </c>
      <c r="K2741" s="61">
        <f t="shared" si="1"/>
        <v>1</v>
      </c>
      <c r="L2741" s="62">
        <f t="shared" si="2"/>
        <v>1</v>
      </c>
    </row>
    <row r="2742">
      <c r="A2742" s="58">
        <v>45931.0</v>
      </c>
      <c r="B2742" s="24" t="s">
        <v>6787</v>
      </c>
      <c r="C2742" s="24" t="s">
        <v>7159</v>
      </c>
      <c r="D2742" s="59">
        <v>5.0</v>
      </c>
      <c r="E2742" s="59">
        <v>5.0</v>
      </c>
      <c r="F2742" s="59">
        <v>5.0</v>
      </c>
      <c r="G2742" s="60">
        <v>1.0</v>
      </c>
      <c r="H2742" s="60">
        <v>0.8</v>
      </c>
      <c r="I2742" s="60">
        <v>15.3054756</v>
      </c>
      <c r="J2742" s="59">
        <v>5.0</v>
      </c>
      <c r="K2742" s="61">
        <f t="shared" si="1"/>
        <v>1</v>
      </c>
      <c r="L2742" s="62">
        <f t="shared" si="2"/>
        <v>1</v>
      </c>
    </row>
    <row r="2743">
      <c r="A2743" s="58">
        <v>45931.0</v>
      </c>
      <c r="B2743" s="24" t="s">
        <v>6787</v>
      </c>
      <c r="C2743" s="24" t="s">
        <v>7190</v>
      </c>
      <c r="D2743" s="59">
        <v>5.0</v>
      </c>
      <c r="E2743" s="59">
        <v>5.0</v>
      </c>
      <c r="F2743" s="59">
        <v>5.0</v>
      </c>
      <c r="G2743" s="60">
        <v>1.0</v>
      </c>
      <c r="H2743" s="60">
        <v>0.8</v>
      </c>
      <c r="I2743" s="60">
        <v>12.4353272</v>
      </c>
      <c r="J2743" s="59">
        <v>5.0</v>
      </c>
      <c r="K2743" s="61">
        <f t="shared" si="1"/>
        <v>1</v>
      </c>
      <c r="L2743" s="62">
        <f t="shared" si="2"/>
        <v>1</v>
      </c>
    </row>
    <row r="2744">
      <c r="A2744" s="58">
        <v>45931.0</v>
      </c>
      <c r="B2744" s="24" t="s">
        <v>6787</v>
      </c>
      <c r="C2744" s="24" t="s">
        <v>7022</v>
      </c>
      <c r="D2744" s="59">
        <v>5.0</v>
      </c>
      <c r="E2744" s="59">
        <v>5.0</v>
      </c>
      <c r="F2744" s="59">
        <v>5.0</v>
      </c>
      <c r="G2744" s="60">
        <v>1.0</v>
      </c>
      <c r="H2744" s="60">
        <v>0.4</v>
      </c>
      <c r="I2744" s="60">
        <v>42.4806998</v>
      </c>
      <c r="J2744" s="59">
        <v>14.0</v>
      </c>
      <c r="K2744" s="61">
        <f t="shared" si="1"/>
        <v>1</v>
      </c>
      <c r="L2744" s="62">
        <f t="shared" si="2"/>
        <v>2.8</v>
      </c>
    </row>
    <row r="2745">
      <c r="A2745" s="58">
        <v>45931.0</v>
      </c>
      <c r="B2745" s="24" t="s">
        <v>6787</v>
      </c>
      <c r="C2745" s="24" t="s">
        <v>7036</v>
      </c>
      <c r="D2745" s="59">
        <v>5.0</v>
      </c>
      <c r="E2745" s="59">
        <v>5.0</v>
      </c>
      <c r="F2745" s="59">
        <v>5.0</v>
      </c>
      <c r="G2745" s="60">
        <v>1.0</v>
      </c>
      <c r="H2745" s="60">
        <v>0.0</v>
      </c>
      <c r="I2745" s="60">
        <v>46.7387207999999</v>
      </c>
      <c r="J2745" s="59">
        <v>5.0</v>
      </c>
      <c r="K2745" s="61">
        <f t="shared" si="1"/>
        <v>1</v>
      </c>
      <c r="L2745" s="62">
        <f t="shared" si="2"/>
        <v>1</v>
      </c>
    </row>
    <row r="2746">
      <c r="A2746" s="58">
        <v>45931.0</v>
      </c>
      <c r="B2746" s="24" t="s">
        <v>6787</v>
      </c>
      <c r="C2746" s="24" t="s">
        <v>7091</v>
      </c>
      <c r="D2746" s="59">
        <v>5.0</v>
      </c>
      <c r="E2746" s="59">
        <v>5.0</v>
      </c>
      <c r="F2746" s="59">
        <v>5.0</v>
      </c>
      <c r="G2746" s="60">
        <v>1.0</v>
      </c>
      <c r="H2746" s="60">
        <v>0.4</v>
      </c>
      <c r="I2746" s="60">
        <v>28.4835616</v>
      </c>
      <c r="J2746" s="59">
        <v>5.0</v>
      </c>
      <c r="K2746" s="61">
        <f t="shared" si="1"/>
        <v>1</v>
      </c>
      <c r="L2746" s="62">
        <f t="shared" si="2"/>
        <v>1</v>
      </c>
    </row>
    <row r="2747">
      <c r="A2747" s="58">
        <v>45931.0</v>
      </c>
      <c r="B2747" s="24" t="s">
        <v>6787</v>
      </c>
      <c r="C2747" s="24" t="s">
        <v>7191</v>
      </c>
      <c r="D2747" s="59">
        <v>5.0</v>
      </c>
      <c r="E2747" s="59">
        <v>5.0</v>
      </c>
      <c r="F2747" s="59">
        <v>5.0</v>
      </c>
      <c r="G2747" s="60">
        <v>1.0</v>
      </c>
      <c r="H2747" s="60">
        <v>0.0</v>
      </c>
      <c r="I2747" s="60">
        <v>40.6490529999999</v>
      </c>
      <c r="J2747" s="59">
        <v>5.0</v>
      </c>
      <c r="K2747" s="61">
        <f t="shared" si="1"/>
        <v>1</v>
      </c>
      <c r="L2747" s="62">
        <f t="shared" si="2"/>
        <v>1</v>
      </c>
    </row>
    <row r="2748">
      <c r="A2748" s="58">
        <v>45931.0</v>
      </c>
      <c r="B2748" s="24" t="s">
        <v>6787</v>
      </c>
      <c r="C2748" s="24" t="s">
        <v>7130</v>
      </c>
      <c r="D2748" s="59">
        <v>5.0</v>
      </c>
      <c r="E2748" s="59">
        <v>5.0</v>
      </c>
      <c r="F2748" s="59">
        <v>5.0</v>
      </c>
      <c r="G2748" s="60">
        <v>1.0</v>
      </c>
      <c r="H2748" s="60">
        <v>0.6</v>
      </c>
      <c r="I2748" s="60">
        <v>22.6066427999999</v>
      </c>
      <c r="J2748" s="59">
        <v>5.0</v>
      </c>
      <c r="K2748" s="61">
        <f t="shared" si="1"/>
        <v>1</v>
      </c>
      <c r="L2748" s="62">
        <f t="shared" si="2"/>
        <v>1</v>
      </c>
    </row>
    <row r="2749">
      <c r="A2749" s="58">
        <v>45931.0</v>
      </c>
      <c r="B2749" s="24" t="s">
        <v>6787</v>
      </c>
      <c r="C2749" s="24" t="s">
        <v>7092</v>
      </c>
      <c r="D2749" s="59">
        <v>5.0</v>
      </c>
      <c r="E2749" s="59">
        <v>5.0</v>
      </c>
      <c r="F2749" s="59">
        <v>5.0</v>
      </c>
      <c r="G2749" s="60">
        <v>1.0</v>
      </c>
      <c r="H2749" s="60">
        <v>0.2</v>
      </c>
      <c r="I2749" s="60">
        <v>44.5793286</v>
      </c>
      <c r="J2749" s="59">
        <v>5.0</v>
      </c>
      <c r="K2749" s="61">
        <f t="shared" si="1"/>
        <v>1</v>
      </c>
      <c r="L2749" s="62">
        <f t="shared" si="2"/>
        <v>1</v>
      </c>
    </row>
    <row r="2750">
      <c r="A2750" s="58">
        <v>45931.0</v>
      </c>
      <c r="B2750" s="24" t="s">
        <v>6787</v>
      </c>
      <c r="C2750" s="24" t="s">
        <v>7136</v>
      </c>
      <c r="D2750" s="59">
        <v>5.0</v>
      </c>
      <c r="E2750" s="59">
        <v>5.0</v>
      </c>
      <c r="F2750" s="59">
        <v>5.0</v>
      </c>
      <c r="G2750" s="60">
        <v>1.0</v>
      </c>
      <c r="H2750" s="60">
        <v>0.2</v>
      </c>
      <c r="I2750" s="60">
        <v>31.5161158</v>
      </c>
      <c r="J2750" s="59">
        <v>5.0</v>
      </c>
      <c r="K2750" s="61">
        <f t="shared" si="1"/>
        <v>1</v>
      </c>
      <c r="L2750" s="62">
        <f t="shared" si="2"/>
        <v>1</v>
      </c>
    </row>
    <row r="2751">
      <c r="A2751" s="58">
        <v>45931.0</v>
      </c>
      <c r="B2751" s="24" t="s">
        <v>6787</v>
      </c>
      <c r="C2751" s="24" t="s">
        <v>7167</v>
      </c>
      <c r="D2751" s="59">
        <v>5.0</v>
      </c>
      <c r="E2751" s="59">
        <v>5.0</v>
      </c>
      <c r="F2751" s="59">
        <v>5.0</v>
      </c>
      <c r="G2751" s="60">
        <v>1.0</v>
      </c>
      <c r="H2751" s="60">
        <v>0.4</v>
      </c>
      <c r="I2751" s="60">
        <v>23.202012</v>
      </c>
      <c r="J2751" s="59">
        <v>5.0</v>
      </c>
      <c r="K2751" s="61">
        <f t="shared" si="1"/>
        <v>1</v>
      </c>
      <c r="L2751" s="62">
        <f t="shared" si="2"/>
        <v>1</v>
      </c>
    </row>
    <row r="2752">
      <c r="A2752" s="58">
        <v>45931.0</v>
      </c>
      <c r="B2752" s="24" t="s">
        <v>6787</v>
      </c>
      <c r="C2752" s="24" t="s">
        <v>7168</v>
      </c>
      <c r="D2752" s="59">
        <v>5.0</v>
      </c>
      <c r="E2752" s="59">
        <v>5.0</v>
      </c>
      <c r="F2752" s="59">
        <v>5.0</v>
      </c>
      <c r="G2752" s="60">
        <v>1.0</v>
      </c>
      <c r="H2752" s="60">
        <v>0.6</v>
      </c>
      <c r="I2752" s="60">
        <v>13.2302611999999</v>
      </c>
      <c r="J2752" s="59">
        <v>5.0</v>
      </c>
      <c r="K2752" s="61">
        <f t="shared" si="1"/>
        <v>1</v>
      </c>
      <c r="L2752" s="62">
        <f t="shared" si="2"/>
        <v>1</v>
      </c>
    </row>
    <row r="2753">
      <c r="A2753" s="58">
        <v>45931.0</v>
      </c>
      <c r="B2753" s="24" t="s">
        <v>6787</v>
      </c>
      <c r="C2753" s="24" t="s">
        <v>7186</v>
      </c>
      <c r="D2753" s="59">
        <v>5.0</v>
      </c>
      <c r="E2753" s="59">
        <v>5.0</v>
      </c>
      <c r="F2753" s="59">
        <v>5.0</v>
      </c>
      <c r="G2753" s="60">
        <v>1.0</v>
      </c>
      <c r="H2753" s="60">
        <v>0.2</v>
      </c>
      <c r="I2753" s="60">
        <v>33.8786112</v>
      </c>
      <c r="J2753" s="59">
        <v>5.0</v>
      </c>
      <c r="K2753" s="61">
        <f t="shared" si="1"/>
        <v>1</v>
      </c>
      <c r="L2753" s="62">
        <f t="shared" si="2"/>
        <v>1</v>
      </c>
    </row>
    <row r="2754">
      <c r="A2754" s="58">
        <v>45931.0</v>
      </c>
      <c r="B2754" s="24" t="s">
        <v>6787</v>
      </c>
      <c r="C2754" s="24" t="s">
        <v>7138</v>
      </c>
      <c r="D2754" s="59">
        <v>5.0</v>
      </c>
      <c r="E2754" s="59">
        <v>5.0</v>
      </c>
      <c r="F2754" s="59">
        <v>5.0</v>
      </c>
      <c r="G2754" s="60">
        <v>1.0</v>
      </c>
      <c r="H2754" s="60">
        <v>0.4</v>
      </c>
      <c r="I2754" s="60">
        <v>27.1704738</v>
      </c>
      <c r="J2754" s="59">
        <v>5.0</v>
      </c>
      <c r="K2754" s="61">
        <f t="shared" si="1"/>
        <v>1</v>
      </c>
      <c r="L2754" s="62">
        <f t="shared" si="2"/>
        <v>1</v>
      </c>
    </row>
    <row r="2755">
      <c r="A2755" s="58">
        <v>45931.0</v>
      </c>
      <c r="B2755" s="24" t="s">
        <v>6787</v>
      </c>
      <c r="C2755" s="24" t="s">
        <v>7170</v>
      </c>
      <c r="D2755" s="59">
        <v>5.0</v>
      </c>
      <c r="E2755" s="59">
        <v>5.0</v>
      </c>
      <c r="F2755" s="59">
        <v>5.0</v>
      </c>
      <c r="G2755" s="60">
        <v>1.0</v>
      </c>
      <c r="H2755" s="60">
        <v>0.2</v>
      </c>
      <c r="I2755" s="60">
        <v>33.1780402</v>
      </c>
      <c r="J2755" s="59">
        <v>5.0</v>
      </c>
      <c r="K2755" s="61">
        <f t="shared" si="1"/>
        <v>1</v>
      </c>
      <c r="L2755" s="62">
        <f t="shared" si="2"/>
        <v>1</v>
      </c>
    </row>
    <row r="2756">
      <c r="A2756" s="58">
        <v>45931.0</v>
      </c>
      <c r="B2756" s="24" t="s">
        <v>6787</v>
      </c>
      <c r="C2756" s="24" t="s">
        <v>7101</v>
      </c>
      <c r="D2756" s="59">
        <v>5.0</v>
      </c>
      <c r="E2756" s="59">
        <v>5.0</v>
      </c>
      <c r="F2756" s="59">
        <v>5.0</v>
      </c>
      <c r="G2756" s="60">
        <v>1.0</v>
      </c>
      <c r="H2756" s="60">
        <v>0.6</v>
      </c>
      <c r="I2756" s="60">
        <v>18.3915546</v>
      </c>
      <c r="J2756" s="59">
        <v>5.0</v>
      </c>
      <c r="K2756" s="61">
        <f t="shared" si="1"/>
        <v>1</v>
      </c>
      <c r="L2756" s="62">
        <f t="shared" si="2"/>
        <v>1</v>
      </c>
    </row>
    <row r="2757">
      <c r="A2757" s="58">
        <v>45931.0</v>
      </c>
      <c r="B2757" s="24" t="s">
        <v>6791</v>
      </c>
      <c r="C2757" s="24" t="s">
        <v>6910</v>
      </c>
      <c r="D2757" s="59">
        <v>5.0</v>
      </c>
      <c r="E2757" s="59">
        <v>5.0</v>
      </c>
      <c r="F2757" s="59">
        <v>5.0</v>
      </c>
      <c r="G2757" s="60">
        <v>1.0</v>
      </c>
      <c r="H2757" s="60">
        <v>0.8</v>
      </c>
      <c r="I2757" s="60">
        <v>335.8985718</v>
      </c>
      <c r="J2757" s="59">
        <v>7.0</v>
      </c>
      <c r="K2757" s="61">
        <f t="shared" si="1"/>
        <v>1</v>
      </c>
      <c r="L2757" s="62">
        <f t="shared" si="2"/>
        <v>1.4</v>
      </c>
    </row>
    <row r="2758">
      <c r="A2758" s="58">
        <v>45931.0</v>
      </c>
      <c r="B2758" s="24" t="s">
        <v>155</v>
      </c>
      <c r="C2758" s="24" t="s">
        <v>6910</v>
      </c>
      <c r="D2758" s="59">
        <v>5.0</v>
      </c>
      <c r="E2758" s="59">
        <v>6.0</v>
      </c>
      <c r="F2758" s="59">
        <v>1.0</v>
      </c>
      <c r="G2758" s="60">
        <v>1.2</v>
      </c>
      <c r="H2758" s="60">
        <v>0.5</v>
      </c>
      <c r="I2758" s="60">
        <v>259.679054499999</v>
      </c>
      <c r="J2758" s="59">
        <v>6.0</v>
      </c>
      <c r="K2758" s="61">
        <f t="shared" si="1"/>
        <v>0.1666666667</v>
      </c>
      <c r="L2758" s="62">
        <f t="shared" si="2"/>
        <v>1</v>
      </c>
    </row>
    <row r="2759">
      <c r="A2759" s="58">
        <v>45931.0</v>
      </c>
      <c r="B2759" s="24" t="s">
        <v>155</v>
      </c>
      <c r="C2759" s="24" t="s">
        <v>6801</v>
      </c>
      <c r="D2759" s="59">
        <v>5.0</v>
      </c>
      <c r="E2759" s="59">
        <v>5.0</v>
      </c>
      <c r="F2759" s="59">
        <v>4.0</v>
      </c>
      <c r="G2759" s="60">
        <v>1.0</v>
      </c>
      <c r="H2759" s="60">
        <v>0.2</v>
      </c>
      <c r="I2759" s="60">
        <v>172.536429</v>
      </c>
      <c r="J2759" s="59">
        <v>9.0</v>
      </c>
      <c r="K2759" s="61">
        <f t="shared" si="1"/>
        <v>0.8</v>
      </c>
      <c r="L2759" s="62">
        <f t="shared" si="2"/>
        <v>1.8</v>
      </c>
    </row>
    <row r="2760">
      <c r="A2760" s="58">
        <v>45931.0</v>
      </c>
      <c r="B2760" s="24" t="s">
        <v>6787</v>
      </c>
      <c r="C2760" s="24" t="s">
        <v>6814</v>
      </c>
      <c r="D2760" s="59">
        <v>5.0</v>
      </c>
      <c r="E2760" s="59">
        <v>5.0</v>
      </c>
      <c r="F2760" s="59">
        <v>5.0</v>
      </c>
      <c r="G2760" s="60">
        <v>1.0</v>
      </c>
      <c r="H2760" s="60">
        <v>0.6</v>
      </c>
      <c r="I2760" s="60">
        <v>15.2533156</v>
      </c>
      <c r="J2760" s="59">
        <v>5.0</v>
      </c>
      <c r="K2760" s="61">
        <f t="shared" si="1"/>
        <v>1</v>
      </c>
      <c r="L2760" s="62">
        <f t="shared" si="2"/>
        <v>1</v>
      </c>
    </row>
    <row r="2761">
      <c r="A2761" s="58">
        <v>45931.0</v>
      </c>
      <c r="B2761" s="24" t="s">
        <v>6787</v>
      </c>
      <c r="C2761" s="24" t="s">
        <v>7192</v>
      </c>
      <c r="D2761" s="59">
        <v>5.0</v>
      </c>
      <c r="E2761" s="59">
        <v>5.0</v>
      </c>
      <c r="F2761" s="59">
        <v>5.0</v>
      </c>
      <c r="G2761" s="60">
        <v>1.0</v>
      </c>
      <c r="H2761" s="60">
        <v>0.4</v>
      </c>
      <c r="I2761" s="60">
        <v>20.9469266</v>
      </c>
      <c r="J2761" s="59">
        <v>5.0</v>
      </c>
      <c r="K2761" s="61">
        <f t="shared" si="1"/>
        <v>1</v>
      </c>
      <c r="L2761" s="62">
        <f t="shared" si="2"/>
        <v>1</v>
      </c>
    </row>
    <row r="2762">
      <c r="A2762" s="58">
        <v>45931.0</v>
      </c>
      <c r="B2762" s="24" t="s">
        <v>6787</v>
      </c>
      <c r="C2762" s="24" t="s">
        <v>7111</v>
      </c>
      <c r="D2762" s="59">
        <v>5.0</v>
      </c>
      <c r="E2762" s="59">
        <v>5.0</v>
      </c>
      <c r="F2762" s="59">
        <v>5.0</v>
      </c>
      <c r="G2762" s="60">
        <v>1.0</v>
      </c>
      <c r="H2762" s="60">
        <v>1.0</v>
      </c>
      <c r="I2762" s="60">
        <v>5.4345956</v>
      </c>
      <c r="J2762" s="59">
        <v>5.0</v>
      </c>
      <c r="K2762" s="61">
        <f t="shared" si="1"/>
        <v>1</v>
      </c>
      <c r="L2762" s="62">
        <f t="shared" si="2"/>
        <v>1</v>
      </c>
    </row>
    <row r="2763">
      <c r="A2763" s="58">
        <v>45931.0</v>
      </c>
      <c r="B2763" s="24" t="s">
        <v>6787</v>
      </c>
      <c r="C2763" s="24" t="s">
        <v>6797</v>
      </c>
      <c r="D2763" s="59">
        <v>5.0</v>
      </c>
      <c r="E2763" s="59">
        <v>5.0</v>
      </c>
      <c r="F2763" s="59">
        <v>5.0</v>
      </c>
      <c r="G2763" s="60">
        <v>1.0</v>
      </c>
      <c r="H2763" s="60">
        <v>0.6</v>
      </c>
      <c r="I2763" s="60">
        <v>18.1427332</v>
      </c>
      <c r="J2763" s="59">
        <v>5.0</v>
      </c>
      <c r="K2763" s="61">
        <f t="shared" si="1"/>
        <v>1</v>
      </c>
      <c r="L2763" s="62">
        <f t="shared" si="2"/>
        <v>1</v>
      </c>
    </row>
    <row r="2764">
      <c r="A2764" s="58">
        <v>45931.0</v>
      </c>
      <c r="B2764" s="24" t="s">
        <v>6787</v>
      </c>
      <c r="C2764" s="24" t="s">
        <v>6924</v>
      </c>
      <c r="D2764" s="59">
        <v>5.0</v>
      </c>
      <c r="E2764" s="59">
        <v>5.0</v>
      </c>
      <c r="F2764" s="59">
        <v>5.0</v>
      </c>
      <c r="G2764" s="60">
        <v>1.0</v>
      </c>
      <c r="H2764" s="60">
        <v>0.6</v>
      </c>
      <c r="I2764" s="60">
        <v>17.7483168</v>
      </c>
      <c r="J2764" s="59">
        <v>5.0</v>
      </c>
      <c r="K2764" s="61">
        <f t="shared" si="1"/>
        <v>1</v>
      </c>
      <c r="L2764" s="62">
        <f t="shared" si="2"/>
        <v>1</v>
      </c>
    </row>
    <row r="2765">
      <c r="A2765" s="58">
        <v>45931.0</v>
      </c>
      <c r="B2765" s="24" t="s">
        <v>6789</v>
      </c>
      <c r="C2765" s="24" t="s">
        <v>6803</v>
      </c>
      <c r="D2765" s="59">
        <v>4.0</v>
      </c>
      <c r="E2765" s="59">
        <v>4.0</v>
      </c>
      <c r="F2765" s="59">
        <v>4.0</v>
      </c>
      <c r="G2765" s="60">
        <v>1.0</v>
      </c>
      <c r="H2765" s="60">
        <v>0.25</v>
      </c>
      <c r="I2765" s="60">
        <v>50.8191524999999</v>
      </c>
      <c r="J2765" s="59">
        <v>6.0</v>
      </c>
      <c r="K2765" s="61">
        <f t="shared" si="1"/>
        <v>1</v>
      </c>
      <c r="L2765" s="62">
        <f t="shared" si="2"/>
        <v>1.5</v>
      </c>
    </row>
    <row r="2766">
      <c r="A2766" s="58">
        <v>45931.0</v>
      </c>
      <c r="B2766" s="24" t="s">
        <v>6787</v>
      </c>
      <c r="C2766" s="24" t="s">
        <v>7056</v>
      </c>
      <c r="D2766" s="59">
        <v>4.0</v>
      </c>
      <c r="E2766" s="59">
        <v>4.0</v>
      </c>
      <c r="F2766" s="59">
        <v>4.0</v>
      </c>
      <c r="G2766" s="60">
        <v>1.0</v>
      </c>
      <c r="H2766" s="60">
        <v>0.25</v>
      </c>
      <c r="I2766" s="60">
        <v>18.691727</v>
      </c>
      <c r="J2766" s="59">
        <v>4.0</v>
      </c>
      <c r="K2766" s="61">
        <f t="shared" si="1"/>
        <v>1</v>
      </c>
      <c r="L2766" s="62">
        <f t="shared" si="2"/>
        <v>1</v>
      </c>
    </row>
    <row r="2767">
      <c r="A2767" s="58">
        <v>45931.0</v>
      </c>
      <c r="B2767" s="24" t="s">
        <v>6789</v>
      </c>
      <c r="C2767" s="24" t="s">
        <v>6804</v>
      </c>
      <c r="D2767" s="59">
        <v>4.0</v>
      </c>
      <c r="E2767" s="59">
        <v>7.0</v>
      </c>
      <c r="F2767" s="59">
        <v>4.0</v>
      </c>
      <c r="G2767" s="60">
        <v>1.75</v>
      </c>
      <c r="H2767" s="60">
        <v>0.571428571428571</v>
      </c>
      <c r="I2767" s="60">
        <v>60.1635227142857</v>
      </c>
      <c r="J2767" s="59">
        <v>8.0</v>
      </c>
      <c r="K2767" s="61">
        <f t="shared" si="1"/>
        <v>0.5714285714</v>
      </c>
      <c r="L2767" s="62">
        <f t="shared" si="2"/>
        <v>1.142857143</v>
      </c>
    </row>
    <row r="2768">
      <c r="A2768" s="58">
        <v>45931.0</v>
      </c>
      <c r="B2768" s="24" t="s">
        <v>6787</v>
      </c>
      <c r="C2768" s="24" t="s">
        <v>6865</v>
      </c>
      <c r="D2768" s="59">
        <v>4.0</v>
      </c>
      <c r="E2768" s="59">
        <v>4.0</v>
      </c>
      <c r="F2768" s="59">
        <v>4.0</v>
      </c>
      <c r="G2768" s="60">
        <v>1.0</v>
      </c>
      <c r="H2768" s="60">
        <v>0.75</v>
      </c>
      <c r="I2768" s="60">
        <v>12.72173075</v>
      </c>
      <c r="J2768" s="59">
        <v>4.0</v>
      </c>
      <c r="K2768" s="61">
        <f t="shared" si="1"/>
        <v>1</v>
      </c>
      <c r="L2768" s="62">
        <f t="shared" si="2"/>
        <v>1</v>
      </c>
    </row>
    <row r="2769">
      <c r="A2769" s="58">
        <v>45931.0</v>
      </c>
      <c r="B2769" s="24" t="s">
        <v>6787</v>
      </c>
      <c r="C2769" s="24" t="s">
        <v>6832</v>
      </c>
      <c r="D2769" s="59">
        <v>4.0</v>
      </c>
      <c r="E2769" s="59">
        <v>4.0</v>
      </c>
      <c r="F2769" s="59">
        <v>4.0</v>
      </c>
      <c r="G2769" s="60">
        <v>1.0</v>
      </c>
      <c r="H2769" s="60">
        <v>1.0</v>
      </c>
      <c r="I2769" s="60">
        <v>4.16307774999999</v>
      </c>
      <c r="J2769" s="59">
        <v>4.0</v>
      </c>
      <c r="K2769" s="61">
        <f t="shared" si="1"/>
        <v>1</v>
      </c>
      <c r="L2769" s="62">
        <f t="shared" si="2"/>
        <v>1</v>
      </c>
    </row>
    <row r="2770">
      <c r="A2770" s="58">
        <v>45931.0</v>
      </c>
      <c r="B2770" s="24" t="s">
        <v>6787</v>
      </c>
      <c r="C2770" s="24" t="s">
        <v>6833</v>
      </c>
      <c r="D2770" s="59">
        <v>4.0</v>
      </c>
      <c r="E2770" s="59">
        <v>4.0</v>
      </c>
      <c r="F2770" s="59">
        <v>4.0</v>
      </c>
      <c r="G2770" s="60">
        <v>1.0</v>
      </c>
      <c r="H2770" s="60">
        <v>0.5</v>
      </c>
      <c r="I2770" s="60">
        <v>19.072607</v>
      </c>
      <c r="J2770" s="59">
        <v>4.0</v>
      </c>
      <c r="K2770" s="61">
        <f t="shared" si="1"/>
        <v>1</v>
      </c>
      <c r="L2770" s="62">
        <f t="shared" si="2"/>
        <v>1</v>
      </c>
    </row>
    <row r="2771">
      <c r="A2771" s="58">
        <v>45931.0</v>
      </c>
      <c r="B2771" s="24" t="s">
        <v>6787</v>
      </c>
      <c r="C2771" s="24" t="s">
        <v>6927</v>
      </c>
      <c r="D2771" s="59">
        <v>4.0</v>
      </c>
      <c r="E2771" s="59">
        <v>4.0</v>
      </c>
      <c r="F2771" s="59">
        <v>4.0</v>
      </c>
      <c r="G2771" s="60">
        <v>1.0</v>
      </c>
      <c r="H2771" s="60">
        <v>1.0</v>
      </c>
      <c r="I2771" s="60">
        <v>2.28278025</v>
      </c>
      <c r="J2771" s="59">
        <v>4.0</v>
      </c>
      <c r="K2771" s="61">
        <f t="shared" si="1"/>
        <v>1</v>
      </c>
      <c r="L2771" s="62">
        <f t="shared" si="2"/>
        <v>1</v>
      </c>
    </row>
    <row r="2772">
      <c r="A2772" s="58">
        <v>45931.0</v>
      </c>
      <c r="B2772" s="24" t="s">
        <v>6787</v>
      </c>
      <c r="C2772" s="24" t="s">
        <v>7040</v>
      </c>
      <c r="D2772" s="59">
        <v>4.0</v>
      </c>
      <c r="E2772" s="59">
        <v>4.0</v>
      </c>
      <c r="F2772" s="59">
        <v>4.0</v>
      </c>
      <c r="G2772" s="60">
        <v>1.0</v>
      </c>
      <c r="H2772" s="60">
        <v>0.5</v>
      </c>
      <c r="I2772" s="60">
        <v>18.02044275</v>
      </c>
      <c r="J2772" s="59">
        <v>4.0</v>
      </c>
      <c r="K2772" s="61">
        <f t="shared" si="1"/>
        <v>1</v>
      </c>
      <c r="L2772" s="62">
        <f t="shared" si="2"/>
        <v>1</v>
      </c>
    </row>
    <row r="2773">
      <c r="A2773" s="58">
        <v>45931.0</v>
      </c>
      <c r="B2773" s="24" t="s">
        <v>6789</v>
      </c>
      <c r="C2773" s="24" t="s">
        <v>6834</v>
      </c>
      <c r="D2773" s="59">
        <v>4.0</v>
      </c>
      <c r="E2773" s="59">
        <v>4.0</v>
      </c>
      <c r="F2773" s="59">
        <v>4.0</v>
      </c>
      <c r="G2773" s="60">
        <v>1.0</v>
      </c>
      <c r="H2773" s="60">
        <v>0.5</v>
      </c>
      <c r="I2773" s="60">
        <v>23.5397155</v>
      </c>
      <c r="J2773" s="59">
        <v>4.0</v>
      </c>
      <c r="K2773" s="61">
        <f t="shared" si="1"/>
        <v>1</v>
      </c>
      <c r="L2773" s="62">
        <f t="shared" si="2"/>
        <v>1</v>
      </c>
    </row>
    <row r="2774">
      <c r="A2774" s="58">
        <v>45931.0</v>
      </c>
      <c r="B2774" s="24" t="s">
        <v>6787</v>
      </c>
      <c r="C2774" s="24" t="s">
        <v>7065</v>
      </c>
      <c r="D2774" s="59">
        <v>4.0</v>
      </c>
      <c r="E2774" s="59">
        <v>4.0</v>
      </c>
      <c r="F2774" s="59">
        <v>4.0</v>
      </c>
      <c r="G2774" s="60">
        <v>1.0</v>
      </c>
      <c r="H2774" s="60">
        <v>0.5</v>
      </c>
      <c r="I2774" s="60">
        <v>18.92429675</v>
      </c>
      <c r="J2774" s="59">
        <v>4.0</v>
      </c>
      <c r="K2774" s="61">
        <f t="shared" si="1"/>
        <v>1</v>
      </c>
      <c r="L2774" s="62">
        <f t="shared" si="2"/>
        <v>1</v>
      </c>
    </row>
    <row r="2775">
      <c r="A2775" s="58">
        <v>45931.0</v>
      </c>
      <c r="B2775" s="24" t="s">
        <v>6787</v>
      </c>
      <c r="C2775" s="24" t="s">
        <v>6877</v>
      </c>
      <c r="D2775" s="59">
        <v>4.0</v>
      </c>
      <c r="E2775" s="59">
        <v>4.0</v>
      </c>
      <c r="F2775" s="59">
        <v>4.0</v>
      </c>
      <c r="G2775" s="60">
        <v>1.0</v>
      </c>
      <c r="H2775" s="60">
        <v>0.75</v>
      </c>
      <c r="I2775" s="60">
        <v>12.17565025</v>
      </c>
      <c r="J2775" s="59">
        <v>4.0</v>
      </c>
      <c r="K2775" s="61">
        <f t="shared" si="1"/>
        <v>1</v>
      </c>
      <c r="L2775" s="62">
        <f t="shared" si="2"/>
        <v>1</v>
      </c>
    </row>
    <row r="2776">
      <c r="A2776" s="58">
        <v>45931.0</v>
      </c>
      <c r="B2776" s="24" t="s">
        <v>6787</v>
      </c>
      <c r="C2776" s="24" t="s">
        <v>6990</v>
      </c>
      <c r="D2776" s="59">
        <v>4.0</v>
      </c>
      <c r="E2776" s="59">
        <v>4.0</v>
      </c>
      <c r="F2776" s="59">
        <v>4.0</v>
      </c>
      <c r="G2776" s="60">
        <v>1.0</v>
      </c>
      <c r="H2776" s="60">
        <v>0.75</v>
      </c>
      <c r="I2776" s="60">
        <v>16.22733925</v>
      </c>
      <c r="J2776" s="59">
        <v>4.0</v>
      </c>
      <c r="K2776" s="61">
        <f t="shared" si="1"/>
        <v>1</v>
      </c>
      <c r="L2776" s="62">
        <f t="shared" si="2"/>
        <v>1</v>
      </c>
    </row>
    <row r="2777">
      <c r="A2777" s="58">
        <v>45931.0</v>
      </c>
      <c r="B2777" s="24" t="s">
        <v>6787</v>
      </c>
      <c r="C2777" s="24" t="s">
        <v>6883</v>
      </c>
      <c r="D2777" s="59">
        <v>4.0</v>
      </c>
      <c r="E2777" s="59">
        <v>4.0</v>
      </c>
      <c r="F2777" s="59">
        <v>4.0</v>
      </c>
      <c r="G2777" s="60">
        <v>1.0</v>
      </c>
      <c r="H2777" s="60">
        <v>0.5</v>
      </c>
      <c r="I2777" s="60">
        <v>16.41945575</v>
      </c>
      <c r="J2777" s="59">
        <v>4.0</v>
      </c>
      <c r="K2777" s="61">
        <f t="shared" si="1"/>
        <v>1</v>
      </c>
      <c r="L2777" s="62">
        <f t="shared" si="2"/>
        <v>1</v>
      </c>
    </row>
    <row r="2778">
      <c r="A2778" s="58">
        <v>45931.0</v>
      </c>
      <c r="B2778" s="24" t="s">
        <v>6787</v>
      </c>
      <c r="C2778" s="24" t="s">
        <v>7073</v>
      </c>
      <c r="D2778" s="59">
        <v>4.0</v>
      </c>
      <c r="E2778" s="59">
        <v>4.0</v>
      </c>
      <c r="F2778" s="59">
        <v>4.0</v>
      </c>
      <c r="G2778" s="60">
        <v>1.0</v>
      </c>
      <c r="H2778" s="60">
        <v>0.75</v>
      </c>
      <c r="I2778" s="60">
        <v>14.29787325</v>
      </c>
      <c r="J2778" s="59">
        <v>4.0</v>
      </c>
      <c r="K2778" s="61">
        <f t="shared" si="1"/>
        <v>1</v>
      </c>
      <c r="L2778" s="62">
        <f t="shared" si="2"/>
        <v>1</v>
      </c>
    </row>
    <row r="2779">
      <c r="A2779" s="58">
        <v>45931.0</v>
      </c>
      <c r="B2779" s="24" t="s">
        <v>6787</v>
      </c>
      <c r="C2779" s="24" t="s">
        <v>6891</v>
      </c>
      <c r="D2779" s="59">
        <v>4.0</v>
      </c>
      <c r="E2779" s="59">
        <v>4.0</v>
      </c>
      <c r="F2779" s="59">
        <v>4.0</v>
      </c>
      <c r="G2779" s="60">
        <v>1.0</v>
      </c>
      <c r="H2779" s="60">
        <v>0.5</v>
      </c>
      <c r="I2779" s="60">
        <v>23.154617</v>
      </c>
      <c r="J2779" s="59">
        <v>4.0</v>
      </c>
      <c r="K2779" s="61">
        <f t="shared" si="1"/>
        <v>1</v>
      </c>
      <c r="L2779" s="62">
        <f t="shared" si="2"/>
        <v>1</v>
      </c>
    </row>
    <row r="2780">
      <c r="A2780" s="58">
        <v>45931.0</v>
      </c>
      <c r="B2780" s="24" t="s">
        <v>6789</v>
      </c>
      <c r="C2780" s="24" t="s">
        <v>6840</v>
      </c>
      <c r="D2780" s="59">
        <v>4.0</v>
      </c>
      <c r="E2780" s="59">
        <v>4.0</v>
      </c>
      <c r="F2780" s="59">
        <v>4.0</v>
      </c>
      <c r="G2780" s="60">
        <v>1.0</v>
      </c>
      <c r="H2780" s="60">
        <v>0.75</v>
      </c>
      <c r="I2780" s="60">
        <v>21.68845825</v>
      </c>
      <c r="J2780" s="59">
        <v>4.0</v>
      </c>
      <c r="K2780" s="61">
        <f t="shared" si="1"/>
        <v>1</v>
      </c>
      <c r="L2780" s="62">
        <f t="shared" si="2"/>
        <v>1</v>
      </c>
    </row>
    <row r="2781">
      <c r="A2781" s="58">
        <v>45931.0</v>
      </c>
      <c r="B2781" s="24" t="s">
        <v>6787</v>
      </c>
      <c r="C2781" s="24" t="s">
        <v>6896</v>
      </c>
      <c r="D2781" s="59">
        <v>4.0</v>
      </c>
      <c r="E2781" s="59">
        <v>4.0</v>
      </c>
      <c r="F2781" s="59">
        <v>4.0</v>
      </c>
      <c r="G2781" s="60">
        <v>1.0</v>
      </c>
      <c r="H2781" s="60">
        <v>0.75</v>
      </c>
      <c r="I2781" s="60">
        <v>10.91243925</v>
      </c>
      <c r="J2781" s="59">
        <v>4.0</v>
      </c>
      <c r="K2781" s="61">
        <f t="shared" si="1"/>
        <v>1</v>
      </c>
      <c r="L2781" s="62">
        <f t="shared" si="2"/>
        <v>1</v>
      </c>
    </row>
    <row r="2782">
      <c r="A2782" s="58">
        <v>45931.0</v>
      </c>
      <c r="B2782" s="24" t="s">
        <v>6787</v>
      </c>
      <c r="C2782" s="24" t="s">
        <v>6897</v>
      </c>
      <c r="D2782" s="59">
        <v>4.0</v>
      </c>
      <c r="E2782" s="59">
        <v>4.0</v>
      </c>
      <c r="F2782" s="59">
        <v>4.0</v>
      </c>
      <c r="G2782" s="60">
        <v>1.0</v>
      </c>
      <c r="H2782" s="60">
        <v>0.5</v>
      </c>
      <c r="I2782" s="60">
        <v>23.3451304999999</v>
      </c>
      <c r="J2782" s="59">
        <v>4.0</v>
      </c>
      <c r="K2782" s="61">
        <f t="shared" si="1"/>
        <v>1</v>
      </c>
      <c r="L2782" s="62">
        <f t="shared" si="2"/>
        <v>1</v>
      </c>
    </row>
    <row r="2783">
      <c r="A2783" s="58">
        <v>45931.0</v>
      </c>
      <c r="B2783" s="24" t="s">
        <v>6787</v>
      </c>
      <c r="C2783" s="24" t="s">
        <v>6899</v>
      </c>
      <c r="D2783" s="59">
        <v>4.0</v>
      </c>
      <c r="E2783" s="59">
        <v>4.0</v>
      </c>
      <c r="F2783" s="59">
        <v>4.0</v>
      </c>
      <c r="G2783" s="60">
        <v>1.0</v>
      </c>
      <c r="H2783" s="60">
        <v>0.75</v>
      </c>
      <c r="I2783" s="60">
        <v>14.4582327499999</v>
      </c>
      <c r="J2783" s="59">
        <v>4.0</v>
      </c>
      <c r="K2783" s="61">
        <f t="shared" si="1"/>
        <v>1</v>
      </c>
      <c r="L2783" s="62">
        <f t="shared" si="2"/>
        <v>1</v>
      </c>
    </row>
    <row r="2784">
      <c r="A2784" s="58">
        <v>45931.0</v>
      </c>
      <c r="B2784" s="24" t="s">
        <v>6787</v>
      </c>
      <c r="C2784" s="24" t="s">
        <v>6842</v>
      </c>
      <c r="D2784" s="59">
        <v>4.0</v>
      </c>
      <c r="E2784" s="59">
        <v>4.0</v>
      </c>
      <c r="F2784" s="59">
        <v>4.0</v>
      </c>
      <c r="G2784" s="60">
        <v>1.0</v>
      </c>
      <c r="H2784" s="60">
        <v>0.25</v>
      </c>
      <c r="I2784" s="60">
        <v>32.8363115</v>
      </c>
      <c r="J2784" s="59">
        <v>4.0</v>
      </c>
      <c r="K2784" s="61">
        <f t="shared" si="1"/>
        <v>1</v>
      </c>
      <c r="L2784" s="62">
        <f t="shared" si="2"/>
        <v>1</v>
      </c>
    </row>
    <row r="2785">
      <c r="A2785" s="58">
        <v>45931.0</v>
      </c>
      <c r="B2785" s="24" t="s">
        <v>6787</v>
      </c>
      <c r="C2785" s="24" t="s">
        <v>6900</v>
      </c>
      <c r="D2785" s="59">
        <v>4.0</v>
      </c>
      <c r="E2785" s="59">
        <v>4.0</v>
      </c>
      <c r="F2785" s="59">
        <v>4.0</v>
      </c>
      <c r="G2785" s="60">
        <v>1.0</v>
      </c>
      <c r="H2785" s="60">
        <v>0.75</v>
      </c>
      <c r="I2785" s="60">
        <v>14.95444575</v>
      </c>
      <c r="J2785" s="59">
        <v>4.0</v>
      </c>
      <c r="K2785" s="61">
        <f t="shared" si="1"/>
        <v>1</v>
      </c>
      <c r="L2785" s="62">
        <f t="shared" si="2"/>
        <v>1</v>
      </c>
    </row>
    <row r="2786">
      <c r="A2786" s="58">
        <v>45931.0</v>
      </c>
      <c r="B2786" s="24" t="s">
        <v>6787</v>
      </c>
      <c r="C2786" s="24" t="s">
        <v>6946</v>
      </c>
      <c r="D2786" s="59">
        <v>4.0</v>
      </c>
      <c r="E2786" s="59">
        <v>4.0</v>
      </c>
      <c r="F2786" s="59">
        <v>4.0</v>
      </c>
      <c r="G2786" s="60">
        <v>1.0</v>
      </c>
      <c r="H2786" s="60">
        <v>0.75</v>
      </c>
      <c r="I2786" s="60">
        <v>13.80466175</v>
      </c>
      <c r="J2786" s="59">
        <v>4.0</v>
      </c>
      <c r="K2786" s="61">
        <f t="shared" si="1"/>
        <v>1</v>
      </c>
      <c r="L2786" s="62">
        <f t="shared" si="2"/>
        <v>1</v>
      </c>
    </row>
    <row r="2787">
      <c r="A2787" s="58">
        <v>45931.0</v>
      </c>
      <c r="B2787" s="24" t="s">
        <v>6789</v>
      </c>
      <c r="C2787" s="24" t="s">
        <v>6903</v>
      </c>
      <c r="D2787" s="59">
        <v>4.0</v>
      </c>
      <c r="E2787" s="59">
        <v>5.0</v>
      </c>
      <c r="F2787" s="59">
        <v>3.0</v>
      </c>
      <c r="G2787" s="60">
        <v>1.66666666666666</v>
      </c>
      <c r="H2787" s="60">
        <v>0.4</v>
      </c>
      <c r="I2787" s="60">
        <v>75.9506495999999</v>
      </c>
      <c r="J2787" s="59">
        <v>5.0</v>
      </c>
      <c r="K2787" s="61">
        <f t="shared" si="1"/>
        <v>0.6</v>
      </c>
      <c r="L2787" s="62">
        <f t="shared" si="2"/>
        <v>1</v>
      </c>
    </row>
    <row r="2788">
      <c r="A2788" s="58">
        <v>45931.0</v>
      </c>
      <c r="B2788" s="24" t="s">
        <v>6789</v>
      </c>
      <c r="C2788" s="24" t="s">
        <v>7120</v>
      </c>
      <c r="D2788" s="59">
        <v>4.0</v>
      </c>
      <c r="E2788" s="59">
        <v>4.0</v>
      </c>
      <c r="F2788" s="59">
        <v>4.0</v>
      </c>
      <c r="G2788" s="60">
        <v>1.0</v>
      </c>
      <c r="H2788" s="60">
        <v>1.0</v>
      </c>
      <c r="I2788" s="60">
        <v>0.0</v>
      </c>
      <c r="J2788" s="59">
        <v>4.0</v>
      </c>
      <c r="K2788" s="61">
        <f t="shared" si="1"/>
        <v>1</v>
      </c>
      <c r="L2788" s="62">
        <f t="shared" si="2"/>
        <v>1</v>
      </c>
    </row>
    <row r="2789">
      <c r="A2789" s="58">
        <v>45931.0</v>
      </c>
      <c r="B2789" s="24" t="s">
        <v>6787</v>
      </c>
      <c r="C2789" s="24" t="s">
        <v>7205</v>
      </c>
      <c r="D2789" s="59">
        <v>4.0</v>
      </c>
      <c r="E2789" s="59">
        <v>4.0</v>
      </c>
      <c r="F2789" s="59">
        <v>3.0</v>
      </c>
      <c r="G2789" s="60">
        <v>1.0</v>
      </c>
      <c r="H2789" s="60">
        <v>0.75</v>
      </c>
      <c r="I2789" s="60">
        <v>1228.1434645</v>
      </c>
      <c r="J2789" s="59">
        <v>13.0</v>
      </c>
      <c r="K2789" s="61">
        <f t="shared" si="1"/>
        <v>0.75</v>
      </c>
      <c r="L2789" s="62">
        <f t="shared" si="2"/>
        <v>3.25</v>
      </c>
    </row>
    <row r="2790">
      <c r="A2790" s="58">
        <v>45931.0</v>
      </c>
      <c r="B2790" s="24" t="s">
        <v>6789</v>
      </c>
      <c r="C2790" s="24" t="s">
        <v>7205</v>
      </c>
      <c r="D2790" s="59">
        <v>4.0</v>
      </c>
      <c r="E2790" s="59">
        <v>4.0</v>
      </c>
      <c r="F2790" s="59">
        <v>4.0</v>
      </c>
      <c r="G2790" s="60">
        <v>1.0</v>
      </c>
      <c r="H2790" s="60">
        <v>1.0</v>
      </c>
      <c r="I2790" s="60">
        <v>0.0</v>
      </c>
      <c r="J2790" s="59">
        <v>4.0</v>
      </c>
      <c r="K2790" s="61">
        <f t="shared" si="1"/>
        <v>1</v>
      </c>
      <c r="L2790" s="62">
        <f t="shared" si="2"/>
        <v>1</v>
      </c>
    </row>
    <row r="2791">
      <c r="A2791" s="58">
        <v>45931.0</v>
      </c>
      <c r="B2791" s="24" t="s">
        <v>6787</v>
      </c>
      <c r="C2791" s="24" t="s">
        <v>7233</v>
      </c>
      <c r="D2791" s="59">
        <v>4.0</v>
      </c>
      <c r="E2791" s="59">
        <v>6.0</v>
      </c>
      <c r="F2791" s="59">
        <v>0.0</v>
      </c>
      <c r="G2791" s="60">
        <v>1.5</v>
      </c>
      <c r="H2791" s="60">
        <v>0.0</v>
      </c>
      <c r="I2791" s="60">
        <v>590.597578166666</v>
      </c>
      <c r="J2791" s="59">
        <v>10.0</v>
      </c>
      <c r="K2791" s="61">
        <f t="shared" si="1"/>
        <v>0</v>
      </c>
      <c r="L2791" s="62">
        <f t="shared" si="2"/>
        <v>1.666666667</v>
      </c>
    </row>
    <row r="2792">
      <c r="A2792" s="58">
        <v>45931.0</v>
      </c>
      <c r="B2792" s="24" t="s">
        <v>6787</v>
      </c>
      <c r="C2792" s="24" t="s">
        <v>7226</v>
      </c>
      <c r="D2792" s="59">
        <v>4.0</v>
      </c>
      <c r="E2792" s="59">
        <v>4.0</v>
      </c>
      <c r="F2792" s="59">
        <v>3.0</v>
      </c>
      <c r="G2792" s="60">
        <v>1.33333333333333</v>
      </c>
      <c r="H2792" s="60">
        <v>0.5</v>
      </c>
      <c r="I2792" s="60">
        <v>16.80120875</v>
      </c>
      <c r="J2792" s="59">
        <v>4.0</v>
      </c>
      <c r="K2792" s="61">
        <f t="shared" si="1"/>
        <v>0.75</v>
      </c>
      <c r="L2792" s="62">
        <f t="shared" si="2"/>
        <v>1</v>
      </c>
    </row>
    <row r="2793">
      <c r="A2793" s="58">
        <v>45931.0</v>
      </c>
      <c r="B2793" s="24" t="s">
        <v>6787</v>
      </c>
      <c r="C2793" s="24" t="s">
        <v>7232</v>
      </c>
      <c r="D2793" s="59">
        <v>4.0</v>
      </c>
      <c r="E2793" s="59">
        <v>4.0</v>
      </c>
      <c r="F2793" s="59">
        <v>4.0</v>
      </c>
      <c r="G2793" s="60">
        <v>1.0</v>
      </c>
      <c r="H2793" s="60">
        <v>0.5</v>
      </c>
      <c r="I2793" s="60">
        <v>17.7256037499999</v>
      </c>
      <c r="J2793" s="59">
        <v>4.0</v>
      </c>
      <c r="K2793" s="61">
        <f t="shared" si="1"/>
        <v>1</v>
      </c>
      <c r="L2793" s="62">
        <f t="shared" si="2"/>
        <v>1</v>
      </c>
    </row>
    <row r="2794">
      <c r="A2794" s="58">
        <v>45931.0</v>
      </c>
      <c r="B2794" s="24" t="s">
        <v>6787</v>
      </c>
      <c r="C2794" s="24" t="s">
        <v>7158</v>
      </c>
      <c r="D2794" s="59">
        <v>4.0</v>
      </c>
      <c r="E2794" s="59">
        <v>4.0</v>
      </c>
      <c r="F2794" s="59">
        <v>4.0</v>
      </c>
      <c r="G2794" s="60">
        <v>1.0</v>
      </c>
      <c r="H2794" s="60">
        <v>0.5</v>
      </c>
      <c r="I2794" s="60">
        <v>17.23823175</v>
      </c>
      <c r="J2794" s="59">
        <v>4.0</v>
      </c>
      <c r="K2794" s="61">
        <f t="shared" si="1"/>
        <v>1</v>
      </c>
      <c r="L2794" s="62">
        <f t="shared" si="2"/>
        <v>1</v>
      </c>
    </row>
    <row r="2795">
      <c r="A2795" s="58">
        <v>45931.0</v>
      </c>
      <c r="B2795" s="24" t="s">
        <v>6787</v>
      </c>
      <c r="C2795" s="24" t="s">
        <v>7189</v>
      </c>
      <c r="D2795" s="59">
        <v>4.0</v>
      </c>
      <c r="E2795" s="59">
        <v>4.0</v>
      </c>
      <c r="F2795" s="59">
        <v>4.0</v>
      </c>
      <c r="G2795" s="60">
        <v>1.0</v>
      </c>
      <c r="H2795" s="60">
        <v>0.75</v>
      </c>
      <c r="I2795" s="60">
        <v>16.35143175</v>
      </c>
      <c r="J2795" s="59">
        <v>4.0</v>
      </c>
      <c r="K2795" s="61">
        <f t="shared" si="1"/>
        <v>1</v>
      </c>
      <c r="L2795" s="62">
        <f t="shared" si="2"/>
        <v>1</v>
      </c>
    </row>
    <row r="2796">
      <c r="A2796" s="58">
        <v>45931.0</v>
      </c>
      <c r="B2796" s="24" t="s">
        <v>6787</v>
      </c>
      <c r="C2796" s="24" t="s">
        <v>7043</v>
      </c>
      <c r="D2796" s="59">
        <v>4.0</v>
      </c>
      <c r="E2796" s="59">
        <v>4.0</v>
      </c>
      <c r="F2796" s="59">
        <v>4.0</v>
      </c>
      <c r="G2796" s="60">
        <v>1.0</v>
      </c>
      <c r="H2796" s="60">
        <v>0.75</v>
      </c>
      <c r="I2796" s="60">
        <v>17.4217235</v>
      </c>
      <c r="J2796" s="59">
        <v>4.0</v>
      </c>
      <c r="K2796" s="61">
        <f t="shared" si="1"/>
        <v>1</v>
      </c>
      <c r="L2796" s="62">
        <f t="shared" si="2"/>
        <v>1</v>
      </c>
    </row>
    <row r="2797">
      <c r="A2797" s="58">
        <v>45931.0</v>
      </c>
      <c r="B2797" s="24" t="s">
        <v>6787</v>
      </c>
      <c r="C2797" s="24" t="s">
        <v>7160</v>
      </c>
      <c r="D2797" s="59">
        <v>4.0</v>
      </c>
      <c r="E2797" s="59">
        <v>4.0</v>
      </c>
      <c r="F2797" s="59">
        <v>4.0</v>
      </c>
      <c r="G2797" s="60">
        <v>1.0</v>
      </c>
      <c r="H2797" s="60">
        <v>0.75</v>
      </c>
      <c r="I2797" s="60">
        <v>14.77430225</v>
      </c>
      <c r="J2797" s="59">
        <v>4.0</v>
      </c>
      <c r="K2797" s="61">
        <f t="shared" si="1"/>
        <v>1</v>
      </c>
      <c r="L2797" s="62">
        <f t="shared" si="2"/>
        <v>1</v>
      </c>
    </row>
    <row r="2798">
      <c r="A2798" s="58">
        <v>45931.0</v>
      </c>
      <c r="B2798" s="24" t="s">
        <v>6787</v>
      </c>
      <c r="C2798" s="24" t="s">
        <v>7135</v>
      </c>
      <c r="D2798" s="59">
        <v>4.0</v>
      </c>
      <c r="E2798" s="59">
        <v>4.0</v>
      </c>
      <c r="F2798" s="59">
        <v>4.0</v>
      </c>
      <c r="G2798" s="60">
        <v>1.0</v>
      </c>
      <c r="H2798" s="60">
        <v>0.0</v>
      </c>
      <c r="I2798" s="60">
        <v>49.92773075</v>
      </c>
      <c r="J2798" s="59">
        <v>4.0</v>
      </c>
      <c r="K2798" s="61">
        <f t="shared" si="1"/>
        <v>1</v>
      </c>
      <c r="L2798" s="62">
        <f t="shared" si="2"/>
        <v>1</v>
      </c>
    </row>
    <row r="2799">
      <c r="A2799" s="58">
        <v>45931.0</v>
      </c>
      <c r="B2799" s="24" t="s">
        <v>6787</v>
      </c>
      <c r="C2799" s="24" t="s">
        <v>7161</v>
      </c>
      <c r="D2799" s="59">
        <v>4.0</v>
      </c>
      <c r="E2799" s="59">
        <v>4.0</v>
      </c>
      <c r="F2799" s="59">
        <v>4.0</v>
      </c>
      <c r="G2799" s="60">
        <v>1.0</v>
      </c>
      <c r="H2799" s="60">
        <v>0.5</v>
      </c>
      <c r="I2799" s="60">
        <v>28.07450275</v>
      </c>
      <c r="J2799" s="59">
        <v>4.0</v>
      </c>
      <c r="K2799" s="61">
        <f t="shared" si="1"/>
        <v>1</v>
      </c>
      <c r="L2799" s="62">
        <f t="shared" si="2"/>
        <v>1</v>
      </c>
    </row>
    <row r="2800">
      <c r="A2800" s="58">
        <v>45931.0</v>
      </c>
      <c r="B2800" s="24" t="s">
        <v>6787</v>
      </c>
      <c r="C2800" s="24" t="s">
        <v>7131</v>
      </c>
      <c r="D2800" s="59">
        <v>4.0</v>
      </c>
      <c r="E2800" s="59">
        <v>4.0</v>
      </c>
      <c r="F2800" s="59">
        <v>4.0</v>
      </c>
      <c r="G2800" s="60">
        <v>1.0</v>
      </c>
      <c r="H2800" s="60">
        <v>0.25</v>
      </c>
      <c r="I2800" s="60">
        <v>39.503637</v>
      </c>
      <c r="J2800" s="59">
        <v>4.0</v>
      </c>
      <c r="K2800" s="61">
        <f t="shared" si="1"/>
        <v>1</v>
      </c>
      <c r="L2800" s="62">
        <f t="shared" si="2"/>
        <v>1</v>
      </c>
    </row>
    <row r="2801">
      <c r="A2801" s="58">
        <v>45931.0</v>
      </c>
      <c r="B2801" s="24" t="s">
        <v>6787</v>
      </c>
      <c r="C2801" s="24" t="s">
        <v>7163</v>
      </c>
      <c r="D2801" s="59">
        <v>4.0</v>
      </c>
      <c r="E2801" s="59">
        <v>4.0</v>
      </c>
      <c r="F2801" s="59">
        <v>4.0</v>
      </c>
      <c r="G2801" s="60">
        <v>1.0</v>
      </c>
      <c r="H2801" s="60">
        <v>0.0</v>
      </c>
      <c r="I2801" s="60">
        <v>66.24763725</v>
      </c>
      <c r="J2801" s="59">
        <v>4.0</v>
      </c>
      <c r="K2801" s="61">
        <f t="shared" si="1"/>
        <v>1</v>
      </c>
      <c r="L2801" s="62">
        <f t="shared" si="2"/>
        <v>1</v>
      </c>
    </row>
    <row r="2802">
      <c r="A2802" s="58">
        <v>45931.0</v>
      </c>
      <c r="B2802" s="24" t="s">
        <v>6787</v>
      </c>
      <c r="C2802" s="24" t="s">
        <v>7094</v>
      </c>
      <c r="D2802" s="59">
        <v>4.0</v>
      </c>
      <c r="E2802" s="59">
        <v>4.0</v>
      </c>
      <c r="F2802" s="59">
        <v>4.0</v>
      </c>
      <c r="G2802" s="60">
        <v>1.0</v>
      </c>
      <c r="H2802" s="60">
        <v>0.0</v>
      </c>
      <c r="I2802" s="60">
        <v>55.6759775</v>
      </c>
      <c r="J2802" s="59">
        <v>4.0</v>
      </c>
      <c r="K2802" s="61">
        <f t="shared" si="1"/>
        <v>1</v>
      </c>
      <c r="L2802" s="62">
        <f t="shared" si="2"/>
        <v>1</v>
      </c>
    </row>
    <row r="2803">
      <c r="A2803" s="58">
        <v>45931.0</v>
      </c>
      <c r="B2803" s="24" t="s">
        <v>6787</v>
      </c>
      <c r="C2803" s="24" t="s">
        <v>7165</v>
      </c>
      <c r="D2803" s="59">
        <v>4.0</v>
      </c>
      <c r="E2803" s="59">
        <v>4.0</v>
      </c>
      <c r="F2803" s="59">
        <v>4.0</v>
      </c>
      <c r="G2803" s="60">
        <v>1.0</v>
      </c>
      <c r="H2803" s="60">
        <v>0.0</v>
      </c>
      <c r="I2803" s="60">
        <v>42.79096825</v>
      </c>
      <c r="J2803" s="59">
        <v>4.0</v>
      </c>
      <c r="K2803" s="61">
        <f t="shared" si="1"/>
        <v>1</v>
      </c>
      <c r="L2803" s="62">
        <f t="shared" si="2"/>
        <v>1</v>
      </c>
    </row>
    <row r="2804">
      <c r="A2804" s="58">
        <v>45931.0</v>
      </c>
      <c r="B2804" s="24" t="s">
        <v>6787</v>
      </c>
      <c r="C2804" s="24" t="s">
        <v>7095</v>
      </c>
      <c r="D2804" s="59">
        <v>4.0</v>
      </c>
      <c r="E2804" s="59">
        <v>4.0</v>
      </c>
      <c r="F2804" s="59">
        <v>4.0</v>
      </c>
      <c r="G2804" s="60">
        <v>1.0</v>
      </c>
      <c r="H2804" s="60">
        <v>0.25</v>
      </c>
      <c r="I2804" s="60">
        <v>24.844804</v>
      </c>
      <c r="J2804" s="59">
        <v>4.0</v>
      </c>
      <c r="K2804" s="61">
        <f t="shared" si="1"/>
        <v>1</v>
      </c>
      <c r="L2804" s="62">
        <f t="shared" si="2"/>
        <v>1</v>
      </c>
    </row>
    <row r="2805">
      <c r="A2805" s="58">
        <v>45931.0</v>
      </c>
      <c r="B2805" s="24" t="s">
        <v>6787</v>
      </c>
      <c r="C2805" s="24" t="s">
        <v>7185</v>
      </c>
      <c r="D2805" s="59">
        <v>4.0</v>
      </c>
      <c r="E2805" s="59">
        <v>4.0</v>
      </c>
      <c r="F2805" s="59">
        <v>4.0</v>
      </c>
      <c r="G2805" s="60">
        <v>1.0</v>
      </c>
      <c r="H2805" s="60">
        <v>0.25</v>
      </c>
      <c r="I2805" s="60">
        <v>43.348095</v>
      </c>
      <c r="J2805" s="59">
        <v>4.0</v>
      </c>
      <c r="K2805" s="61">
        <f t="shared" si="1"/>
        <v>1</v>
      </c>
      <c r="L2805" s="62">
        <f t="shared" si="2"/>
        <v>1</v>
      </c>
    </row>
    <row r="2806">
      <c r="A2806" s="58">
        <v>45931.0</v>
      </c>
      <c r="B2806" s="24" t="s">
        <v>6787</v>
      </c>
      <c r="C2806" s="24" t="s">
        <v>7098</v>
      </c>
      <c r="D2806" s="59">
        <v>4.0</v>
      </c>
      <c r="E2806" s="59">
        <v>4.0</v>
      </c>
      <c r="F2806" s="59">
        <v>4.0</v>
      </c>
      <c r="G2806" s="60">
        <v>1.0</v>
      </c>
      <c r="H2806" s="60">
        <v>0.0</v>
      </c>
      <c r="I2806" s="60">
        <v>60.125309</v>
      </c>
      <c r="J2806" s="59">
        <v>4.0</v>
      </c>
      <c r="K2806" s="61">
        <f t="shared" si="1"/>
        <v>1</v>
      </c>
      <c r="L2806" s="62">
        <f t="shared" si="2"/>
        <v>1</v>
      </c>
    </row>
    <row r="2807">
      <c r="A2807" s="58">
        <v>45931.0</v>
      </c>
      <c r="B2807" s="24" t="s">
        <v>6789</v>
      </c>
      <c r="C2807" s="24" t="s">
        <v>7098</v>
      </c>
      <c r="D2807" s="59">
        <v>4.0</v>
      </c>
      <c r="E2807" s="59">
        <v>5.0</v>
      </c>
      <c r="F2807" s="59">
        <v>4.0</v>
      </c>
      <c r="G2807" s="60">
        <v>1.25</v>
      </c>
      <c r="H2807" s="60">
        <v>0.4</v>
      </c>
      <c r="I2807" s="60">
        <v>249.407463599999</v>
      </c>
      <c r="J2807" s="59">
        <v>6.0</v>
      </c>
      <c r="K2807" s="61">
        <f t="shared" si="1"/>
        <v>0.8</v>
      </c>
      <c r="L2807" s="62">
        <f t="shared" si="2"/>
        <v>1.2</v>
      </c>
    </row>
    <row r="2808">
      <c r="A2808" s="58">
        <v>45931.0</v>
      </c>
      <c r="B2808" s="24" t="s">
        <v>6787</v>
      </c>
      <c r="C2808" s="24" t="s">
        <v>7169</v>
      </c>
      <c r="D2808" s="59">
        <v>4.0</v>
      </c>
      <c r="E2808" s="59">
        <v>4.0</v>
      </c>
      <c r="F2808" s="59">
        <v>4.0</v>
      </c>
      <c r="G2808" s="60">
        <v>1.0</v>
      </c>
      <c r="H2808" s="60">
        <v>0.0</v>
      </c>
      <c r="I2808" s="60">
        <v>43.10850475</v>
      </c>
      <c r="J2808" s="59">
        <v>4.0</v>
      </c>
      <c r="K2808" s="61">
        <f t="shared" si="1"/>
        <v>1</v>
      </c>
      <c r="L2808" s="62">
        <f t="shared" si="2"/>
        <v>1</v>
      </c>
    </row>
    <row r="2809">
      <c r="A2809" s="58">
        <v>45931.0</v>
      </c>
      <c r="B2809" s="24" t="s">
        <v>6787</v>
      </c>
      <c r="C2809" s="24" t="s">
        <v>7099</v>
      </c>
      <c r="D2809" s="59">
        <v>4.0</v>
      </c>
      <c r="E2809" s="59">
        <v>4.0</v>
      </c>
      <c r="F2809" s="59">
        <v>4.0</v>
      </c>
      <c r="G2809" s="60">
        <v>1.0</v>
      </c>
      <c r="H2809" s="60">
        <v>0.0</v>
      </c>
      <c r="I2809" s="60">
        <v>48.373327</v>
      </c>
      <c r="J2809" s="59">
        <v>4.0</v>
      </c>
      <c r="K2809" s="61">
        <f t="shared" si="1"/>
        <v>1</v>
      </c>
      <c r="L2809" s="62">
        <f t="shared" si="2"/>
        <v>1</v>
      </c>
    </row>
    <row r="2810">
      <c r="A2810" s="58">
        <v>45931.0</v>
      </c>
      <c r="B2810" s="24" t="s">
        <v>6789</v>
      </c>
      <c r="C2810" s="24" t="s">
        <v>7102</v>
      </c>
      <c r="D2810" s="59">
        <v>4.0</v>
      </c>
      <c r="E2810" s="59">
        <v>4.0</v>
      </c>
      <c r="F2810" s="59">
        <v>3.0</v>
      </c>
      <c r="G2810" s="60">
        <v>1.0</v>
      </c>
      <c r="H2810" s="60">
        <v>0.0</v>
      </c>
      <c r="I2810" s="60">
        <v>207.35365725</v>
      </c>
      <c r="J2810" s="59">
        <v>8.0</v>
      </c>
      <c r="K2810" s="61">
        <f t="shared" si="1"/>
        <v>0.75</v>
      </c>
      <c r="L2810" s="62">
        <f t="shared" si="2"/>
        <v>2</v>
      </c>
    </row>
    <row r="2811">
      <c r="A2811" s="58">
        <v>45931.0</v>
      </c>
      <c r="B2811" s="24" t="s">
        <v>6787</v>
      </c>
      <c r="C2811" s="24" t="s">
        <v>7104</v>
      </c>
      <c r="D2811" s="59">
        <v>4.0</v>
      </c>
      <c r="E2811" s="59">
        <v>4.0</v>
      </c>
      <c r="F2811" s="59">
        <v>4.0</v>
      </c>
      <c r="G2811" s="60">
        <v>1.0</v>
      </c>
      <c r="H2811" s="60">
        <v>0.5</v>
      </c>
      <c r="I2811" s="60">
        <v>23.119612</v>
      </c>
      <c r="J2811" s="59">
        <v>4.0</v>
      </c>
      <c r="K2811" s="61">
        <f t="shared" si="1"/>
        <v>1</v>
      </c>
      <c r="L2811" s="62">
        <f t="shared" si="2"/>
        <v>1</v>
      </c>
    </row>
    <row r="2812">
      <c r="A2812" s="58">
        <v>45931.0</v>
      </c>
      <c r="B2812" s="24" t="s">
        <v>6787</v>
      </c>
      <c r="C2812" s="24" t="s">
        <v>7023</v>
      </c>
      <c r="D2812" s="59">
        <v>4.0</v>
      </c>
      <c r="E2812" s="59">
        <v>4.0</v>
      </c>
      <c r="F2812" s="59">
        <v>4.0</v>
      </c>
      <c r="G2812" s="60">
        <v>1.0</v>
      </c>
      <c r="H2812" s="60">
        <v>0.5</v>
      </c>
      <c r="I2812" s="60">
        <v>20.74101225</v>
      </c>
      <c r="J2812" s="59">
        <v>4.0</v>
      </c>
      <c r="K2812" s="61">
        <f t="shared" si="1"/>
        <v>1</v>
      </c>
      <c r="L2812" s="62">
        <f t="shared" si="2"/>
        <v>1</v>
      </c>
    </row>
    <row r="2813">
      <c r="A2813" s="58">
        <v>45931.0</v>
      </c>
      <c r="B2813" s="24" t="s">
        <v>6787</v>
      </c>
      <c r="C2813" s="24" t="s">
        <v>6912</v>
      </c>
      <c r="D2813" s="59">
        <v>4.0</v>
      </c>
      <c r="E2813" s="59">
        <v>4.0</v>
      </c>
      <c r="F2813" s="59">
        <v>4.0</v>
      </c>
      <c r="G2813" s="60">
        <v>1.0</v>
      </c>
      <c r="H2813" s="60">
        <v>0.5</v>
      </c>
      <c r="I2813" s="60">
        <v>15.4844239999999</v>
      </c>
      <c r="J2813" s="59">
        <v>4.0</v>
      </c>
      <c r="K2813" s="61">
        <f t="shared" si="1"/>
        <v>1</v>
      </c>
      <c r="L2813" s="62">
        <f t="shared" si="2"/>
        <v>1</v>
      </c>
    </row>
    <row r="2814">
      <c r="A2814" s="58">
        <v>45931.0</v>
      </c>
      <c r="B2814" s="24" t="s">
        <v>6787</v>
      </c>
      <c r="C2814" s="24" t="s">
        <v>6826</v>
      </c>
      <c r="D2814" s="59">
        <v>4.0</v>
      </c>
      <c r="E2814" s="59">
        <v>4.0</v>
      </c>
      <c r="F2814" s="59">
        <v>4.0</v>
      </c>
      <c r="G2814" s="60">
        <v>1.0</v>
      </c>
      <c r="H2814" s="60">
        <v>0.25</v>
      </c>
      <c r="I2814" s="60">
        <v>30.5160195</v>
      </c>
      <c r="J2814" s="59">
        <v>5.0</v>
      </c>
      <c r="K2814" s="61">
        <f t="shared" si="1"/>
        <v>1</v>
      </c>
      <c r="L2814" s="62">
        <f t="shared" si="2"/>
        <v>1.25</v>
      </c>
    </row>
    <row r="2815">
      <c r="A2815" s="58">
        <v>45931.0</v>
      </c>
      <c r="B2815" s="24" t="s">
        <v>6789</v>
      </c>
      <c r="C2815" s="24" t="s">
        <v>6917</v>
      </c>
      <c r="D2815" s="59">
        <v>4.0</v>
      </c>
      <c r="E2815" s="59">
        <v>4.0</v>
      </c>
      <c r="F2815" s="59">
        <v>4.0</v>
      </c>
      <c r="G2815" s="60">
        <v>1.0</v>
      </c>
      <c r="H2815" s="60">
        <v>0.5</v>
      </c>
      <c r="I2815" s="60">
        <v>278.516668</v>
      </c>
      <c r="J2815" s="59">
        <v>4.0</v>
      </c>
      <c r="K2815" s="61">
        <f t="shared" si="1"/>
        <v>1</v>
      </c>
      <c r="L2815" s="62">
        <f t="shared" si="2"/>
        <v>1</v>
      </c>
    </row>
    <row r="2816">
      <c r="A2816" s="58">
        <v>45931.0</v>
      </c>
      <c r="B2816" s="24" t="s">
        <v>6787</v>
      </c>
      <c r="C2816" s="24" t="s">
        <v>6815</v>
      </c>
      <c r="D2816" s="59">
        <v>4.0</v>
      </c>
      <c r="E2816" s="59">
        <v>4.0</v>
      </c>
      <c r="F2816" s="59">
        <v>4.0</v>
      </c>
      <c r="G2816" s="60">
        <v>1.0</v>
      </c>
      <c r="H2816" s="60">
        <v>0.25</v>
      </c>
      <c r="I2816" s="60">
        <v>49.594151</v>
      </c>
      <c r="J2816" s="59">
        <v>4.0</v>
      </c>
      <c r="K2816" s="61">
        <f t="shared" si="1"/>
        <v>1</v>
      </c>
      <c r="L2816" s="62">
        <f t="shared" si="2"/>
        <v>1</v>
      </c>
    </row>
    <row r="2817">
      <c r="A2817" s="58">
        <v>45931.0</v>
      </c>
      <c r="B2817" s="24" t="s">
        <v>155</v>
      </c>
      <c r="C2817" s="24" t="s">
        <v>6815</v>
      </c>
      <c r="D2817" s="59">
        <v>4.0</v>
      </c>
      <c r="E2817" s="59">
        <v>4.0</v>
      </c>
      <c r="F2817" s="59">
        <v>4.0</v>
      </c>
      <c r="G2817" s="60">
        <v>1.0</v>
      </c>
      <c r="H2817" s="60">
        <v>0.5</v>
      </c>
      <c r="I2817" s="60">
        <v>197.82116875</v>
      </c>
      <c r="J2817" s="59">
        <v>4.0</v>
      </c>
      <c r="K2817" s="61">
        <f t="shared" si="1"/>
        <v>1</v>
      </c>
      <c r="L2817" s="62">
        <f t="shared" si="2"/>
        <v>1</v>
      </c>
    </row>
    <row r="2818">
      <c r="A2818" s="58">
        <v>45931.0</v>
      </c>
      <c r="B2818" s="24" t="s">
        <v>6787</v>
      </c>
      <c r="C2818" s="24" t="s">
        <v>7107</v>
      </c>
      <c r="D2818" s="59">
        <v>4.0</v>
      </c>
      <c r="E2818" s="59">
        <v>4.0</v>
      </c>
      <c r="F2818" s="59">
        <v>4.0</v>
      </c>
      <c r="G2818" s="60">
        <v>1.0</v>
      </c>
      <c r="H2818" s="60">
        <v>0.0</v>
      </c>
      <c r="I2818" s="60">
        <v>29.6678714999999</v>
      </c>
      <c r="J2818" s="59">
        <v>4.0</v>
      </c>
      <c r="K2818" s="61">
        <f t="shared" si="1"/>
        <v>1</v>
      </c>
      <c r="L2818" s="62">
        <f t="shared" si="2"/>
        <v>1</v>
      </c>
    </row>
    <row r="2819">
      <c r="A2819" s="58">
        <v>45931.0</v>
      </c>
      <c r="B2819" s="24" t="s">
        <v>6787</v>
      </c>
      <c r="C2819" s="24" t="s">
        <v>6852</v>
      </c>
      <c r="D2819" s="59">
        <v>4.0</v>
      </c>
      <c r="E2819" s="59">
        <v>4.0</v>
      </c>
      <c r="F2819" s="59">
        <v>4.0</v>
      </c>
      <c r="G2819" s="60">
        <v>1.0</v>
      </c>
      <c r="H2819" s="60">
        <v>0.5</v>
      </c>
      <c r="I2819" s="60">
        <v>23.02650075</v>
      </c>
      <c r="J2819" s="59">
        <v>4.0</v>
      </c>
      <c r="K2819" s="61">
        <f t="shared" si="1"/>
        <v>1</v>
      </c>
      <c r="L2819" s="62">
        <f t="shared" si="2"/>
        <v>1</v>
      </c>
    </row>
    <row r="2820">
      <c r="A2820" s="58">
        <v>45931.0</v>
      </c>
      <c r="B2820" s="24" t="s">
        <v>6787</v>
      </c>
      <c r="C2820" s="24" t="s">
        <v>7118</v>
      </c>
      <c r="D2820" s="59">
        <v>4.0</v>
      </c>
      <c r="E2820" s="59">
        <v>4.0</v>
      </c>
      <c r="F2820" s="59">
        <v>4.0</v>
      </c>
      <c r="G2820" s="60">
        <v>1.0</v>
      </c>
      <c r="H2820" s="60">
        <v>0.5</v>
      </c>
      <c r="I2820" s="60">
        <v>15.4115025</v>
      </c>
      <c r="J2820" s="59">
        <v>4.0</v>
      </c>
      <c r="K2820" s="61">
        <f t="shared" si="1"/>
        <v>1</v>
      </c>
      <c r="L2820" s="62">
        <f t="shared" si="2"/>
        <v>1</v>
      </c>
    </row>
    <row r="2821">
      <c r="A2821" s="58">
        <v>45931.0</v>
      </c>
      <c r="B2821" s="24" t="s">
        <v>6791</v>
      </c>
      <c r="C2821" s="24" t="s">
        <v>6802</v>
      </c>
      <c r="D2821" s="59">
        <v>4.0</v>
      </c>
      <c r="E2821" s="59">
        <v>4.0</v>
      </c>
      <c r="F2821" s="59">
        <v>0.0</v>
      </c>
      <c r="G2821" s="60">
        <v>1.0</v>
      </c>
      <c r="H2821" s="60">
        <v>0.5</v>
      </c>
      <c r="I2821" s="60">
        <v>62.02401325</v>
      </c>
      <c r="J2821" s="59">
        <v>5.0</v>
      </c>
      <c r="K2821" s="61">
        <f t="shared" si="1"/>
        <v>0</v>
      </c>
      <c r="L2821" s="62">
        <f t="shared" si="2"/>
        <v>1.25</v>
      </c>
    </row>
    <row r="2822">
      <c r="A2822" s="58">
        <v>45931.0</v>
      </c>
      <c r="B2822" s="24" t="s">
        <v>155</v>
      </c>
      <c r="C2822" s="24" t="s">
        <v>6802</v>
      </c>
      <c r="D2822" s="59">
        <v>4.0</v>
      </c>
      <c r="E2822" s="59">
        <v>4.0</v>
      </c>
      <c r="F2822" s="59">
        <v>1.0</v>
      </c>
      <c r="G2822" s="60">
        <v>1.0</v>
      </c>
      <c r="H2822" s="60">
        <v>0.0</v>
      </c>
      <c r="I2822" s="60">
        <v>363.11959475</v>
      </c>
      <c r="J2822" s="59">
        <v>12.0</v>
      </c>
      <c r="K2822" s="61">
        <f t="shared" si="1"/>
        <v>0.25</v>
      </c>
      <c r="L2822" s="62">
        <f t="shared" si="2"/>
        <v>3</v>
      </c>
    </row>
    <row r="2823">
      <c r="A2823" s="58">
        <v>45931.0</v>
      </c>
      <c r="B2823" s="24" t="s">
        <v>6787</v>
      </c>
      <c r="C2823" s="24" t="s">
        <v>7288</v>
      </c>
      <c r="D2823" s="59">
        <v>3.0</v>
      </c>
      <c r="E2823" s="59">
        <v>3.0</v>
      </c>
      <c r="F2823" s="59">
        <v>3.0</v>
      </c>
      <c r="G2823" s="60">
        <v>1.0</v>
      </c>
      <c r="H2823" s="60">
        <v>0.666666666666666</v>
      </c>
      <c r="I2823" s="60">
        <v>25.0927279999999</v>
      </c>
      <c r="J2823" s="59">
        <v>3.0</v>
      </c>
      <c r="K2823" s="61">
        <f t="shared" si="1"/>
        <v>1</v>
      </c>
      <c r="L2823" s="62">
        <f t="shared" si="2"/>
        <v>1</v>
      </c>
    </row>
    <row r="2824">
      <c r="A2824" s="58">
        <v>45931.0</v>
      </c>
      <c r="B2824" s="24" t="s">
        <v>6790</v>
      </c>
      <c r="C2824" s="24" t="s">
        <v>7149</v>
      </c>
      <c r="D2824" s="59">
        <v>3.0</v>
      </c>
      <c r="E2824" s="59">
        <v>3.0</v>
      </c>
      <c r="F2824" s="59">
        <v>3.0</v>
      </c>
      <c r="G2824" s="60">
        <v>1.0</v>
      </c>
      <c r="H2824" s="60">
        <v>0.666666666666666</v>
      </c>
      <c r="I2824" s="60">
        <v>43.2322403333333</v>
      </c>
      <c r="J2824" s="59">
        <v>3.0</v>
      </c>
      <c r="K2824" s="61">
        <f t="shared" si="1"/>
        <v>1</v>
      </c>
      <c r="L2824" s="62">
        <f t="shared" si="2"/>
        <v>1</v>
      </c>
    </row>
    <row r="2825">
      <c r="A2825" s="58">
        <v>45931.0</v>
      </c>
      <c r="B2825" s="24" t="s">
        <v>6787</v>
      </c>
      <c r="C2825" s="24" t="s">
        <v>7055</v>
      </c>
      <c r="D2825" s="59">
        <v>3.0</v>
      </c>
      <c r="E2825" s="59">
        <v>3.0</v>
      </c>
      <c r="F2825" s="59">
        <v>3.0</v>
      </c>
      <c r="G2825" s="60">
        <v>1.0</v>
      </c>
      <c r="H2825" s="60">
        <v>0.666666666666666</v>
      </c>
      <c r="I2825" s="60">
        <v>19.0676913333333</v>
      </c>
      <c r="J2825" s="59">
        <v>3.0</v>
      </c>
      <c r="K2825" s="61">
        <f t="shared" si="1"/>
        <v>1</v>
      </c>
      <c r="L2825" s="62">
        <f t="shared" si="2"/>
        <v>1</v>
      </c>
    </row>
    <row r="2826">
      <c r="A2826" s="58">
        <v>45931.0</v>
      </c>
      <c r="B2826" s="24" t="s">
        <v>155</v>
      </c>
      <c r="C2826" s="24" t="s">
        <v>6828</v>
      </c>
      <c r="D2826" s="59">
        <v>3.0</v>
      </c>
      <c r="E2826" s="59">
        <v>3.0</v>
      </c>
      <c r="F2826" s="59">
        <v>1.0</v>
      </c>
      <c r="G2826" s="60">
        <v>1.0</v>
      </c>
      <c r="H2826" s="60">
        <v>0.666666666666666</v>
      </c>
      <c r="I2826" s="60">
        <v>602.308875333333</v>
      </c>
      <c r="J2826" s="59">
        <v>7.0</v>
      </c>
      <c r="K2826" s="61">
        <f t="shared" si="1"/>
        <v>0.3333333333</v>
      </c>
      <c r="L2826" s="62">
        <f t="shared" si="2"/>
        <v>2.333333333</v>
      </c>
    </row>
    <row r="2827">
      <c r="A2827" s="58">
        <v>45931.0</v>
      </c>
      <c r="B2827" s="24" t="s">
        <v>6787</v>
      </c>
      <c r="C2827" s="24" t="s">
        <v>6943</v>
      </c>
      <c r="D2827" s="59">
        <v>3.0</v>
      </c>
      <c r="E2827" s="59">
        <v>3.0</v>
      </c>
      <c r="F2827" s="59">
        <v>3.0</v>
      </c>
      <c r="G2827" s="60">
        <v>1.0</v>
      </c>
      <c r="H2827" s="60">
        <v>0.666666666666666</v>
      </c>
      <c r="I2827" s="60">
        <v>15.882154</v>
      </c>
      <c r="J2827" s="59">
        <v>3.0</v>
      </c>
      <c r="K2827" s="61">
        <f t="shared" si="1"/>
        <v>1</v>
      </c>
      <c r="L2827" s="62">
        <f t="shared" si="2"/>
        <v>1</v>
      </c>
    </row>
    <row r="2828">
      <c r="A2828" s="58">
        <v>45931.0</v>
      </c>
      <c r="B2828" s="24" t="s">
        <v>6787</v>
      </c>
      <c r="C2828" s="24" t="s">
        <v>6955</v>
      </c>
      <c r="D2828" s="59">
        <v>3.0</v>
      </c>
      <c r="E2828" s="59">
        <v>3.0</v>
      </c>
      <c r="F2828" s="59">
        <v>3.0</v>
      </c>
      <c r="G2828" s="60">
        <v>1.0</v>
      </c>
      <c r="H2828" s="60">
        <v>0.666666666666666</v>
      </c>
      <c r="I2828" s="60">
        <v>15.7991406666666</v>
      </c>
      <c r="J2828" s="59">
        <v>3.0</v>
      </c>
      <c r="K2828" s="61">
        <f t="shared" si="1"/>
        <v>1</v>
      </c>
      <c r="L2828" s="62">
        <f t="shared" si="2"/>
        <v>1</v>
      </c>
    </row>
    <row r="2829">
      <c r="A2829" s="58">
        <v>45931.0</v>
      </c>
      <c r="B2829" s="24" t="s">
        <v>6789</v>
      </c>
      <c r="C2829" s="24" t="s">
        <v>6829</v>
      </c>
      <c r="D2829" s="59">
        <v>3.0</v>
      </c>
      <c r="E2829" s="59">
        <v>3.0</v>
      </c>
      <c r="F2829" s="59">
        <v>3.0</v>
      </c>
      <c r="G2829" s="60">
        <v>1.0</v>
      </c>
      <c r="H2829" s="60">
        <v>0.0</v>
      </c>
      <c r="I2829" s="60">
        <v>168.104724</v>
      </c>
      <c r="J2829" s="59">
        <v>4.0</v>
      </c>
      <c r="K2829" s="61">
        <f t="shared" si="1"/>
        <v>1</v>
      </c>
      <c r="L2829" s="62">
        <f t="shared" si="2"/>
        <v>1.333333333</v>
      </c>
    </row>
    <row r="2830">
      <c r="A2830" s="58">
        <v>45931.0</v>
      </c>
      <c r="B2830" s="24" t="s">
        <v>6787</v>
      </c>
      <c r="C2830" s="24" t="s">
        <v>6986</v>
      </c>
      <c r="D2830" s="59">
        <v>3.0</v>
      </c>
      <c r="E2830" s="59">
        <v>4.0</v>
      </c>
      <c r="F2830" s="59">
        <v>3.0</v>
      </c>
      <c r="G2830" s="60">
        <v>1.33333333333333</v>
      </c>
      <c r="H2830" s="60">
        <v>1.0</v>
      </c>
      <c r="I2830" s="60">
        <v>3.34098775</v>
      </c>
      <c r="J2830" s="59">
        <v>4.0</v>
      </c>
      <c r="K2830" s="61">
        <f t="shared" si="1"/>
        <v>0.75</v>
      </c>
      <c r="L2830" s="62">
        <f t="shared" si="2"/>
        <v>1</v>
      </c>
    </row>
    <row r="2831">
      <c r="A2831" s="58">
        <v>45931.0</v>
      </c>
      <c r="B2831" s="24" t="s">
        <v>6787</v>
      </c>
      <c r="C2831" s="24" t="s">
        <v>7061</v>
      </c>
      <c r="D2831" s="59">
        <v>3.0</v>
      </c>
      <c r="E2831" s="59">
        <v>3.0</v>
      </c>
      <c r="F2831" s="59">
        <v>3.0</v>
      </c>
      <c r="G2831" s="60">
        <v>1.0</v>
      </c>
      <c r="H2831" s="60">
        <v>0.666666666666666</v>
      </c>
      <c r="I2831" s="60">
        <v>17.3567393333333</v>
      </c>
      <c r="J2831" s="59">
        <v>3.0</v>
      </c>
      <c r="K2831" s="61">
        <f t="shared" si="1"/>
        <v>1</v>
      </c>
      <c r="L2831" s="62">
        <f t="shared" si="2"/>
        <v>1</v>
      </c>
    </row>
    <row r="2832">
      <c r="A2832" s="58">
        <v>45931.0</v>
      </c>
      <c r="B2832" s="24" t="s">
        <v>6789</v>
      </c>
      <c r="C2832" s="24" t="s">
        <v>6868</v>
      </c>
      <c r="D2832" s="59">
        <v>3.0</v>
      </c>
      <c r="E2832" s="59">
        <v>3.0</v>
      </c>
      <c r="F2832" s="59">
        <v>2.0</v>
      </c>
      <c r="G2832" s="60">
        <v>1.0</v>
      </c>
      <c r="H2832" s="60">
        <v>0.333333333333333</v>
      </c>
      <c r="I2832" s="60">
        <v>149.803429333333</v>
      </c>
      <c r="J2832" s="59">
        <v>5.0</v>
      </c>
      <c r="K2832" s="61">
        <f t="shared" si="1"/>
        <v>0.6666666667</v>
      </c>
      <c r="L2832" s="62">
        <f t="shared" si="2"/>
        <v>1.666666667</v>
      </c>
    </row>
    <row r="2833">
      <c r="A2833" s="58">
        <v>45931.0</v>
      </c>
      <c r="B2833" s="24" t="s">
        <v>6787</v>
      </c>
      <c r="C2833" s="24" t="s">
        <v>6834</v>
      </c>
      <c r="D2833" s="59">
        <v>3.0</v>
      </c>
      <c r="E2833" s="59">
        <v>3.0</v>
      </c>
      <c r="F2833" s="59">
        <v>3.0</v>
      </c>
      <c r="G2833" s="60">
        <v>1.0</v>
      </c>
      <c r="H2833" s="60">
        <v>0.666666666666666</v>
      </c>
      <c r="I2833" s="60">
        <v>17.625592</v>
      </c>
      <c r="J2833" s="59">
        <v>3.0</v>
      </c>
      <c r="K2833" s="61">
        <f t="shared" si="1"/>
        <v>1</v>
      </c>
      <c r="L2833" s="62">
        <f t="shared" si="2"/>
        <v>1</v>
      </c>
    </row>
    <row r="2834">
      <c r="A2834" s="58">
        <v>45931.0</v>
      </c>
      <c r="B2834" s="24" t="s">
        <v>6787</v>
      </c>
      <c r="C2834" s="24" t="s">
        <v>6870</v>
      </c>
      <c r="D2834" s="59">
        <v>3.0</v>
      </c>
      <c r="E2834" s="59">
        <v>3.0</v>
      </c>
      <c r="F2834" s="59">
        <v>3.0</v>
      </c>
      <c r="G2834" s="60">
        <v>1.0</v>
      </c>
      <c r="H2834" s="60">
        <v>0.666666666666666</v>
      </c>
      <c r="I2834" s="60">
        <v>17.6131893333333</v>
      </c>
      <c r="J2834" s="59">
        <v>3.0</v>
      </c>
      <c r="K2834" s="61">
        <f t="shared" si="1"/>
        <v>1</v>
      </c>
      <c r="L2834" s="62">
        <f t="shared" si="2"/>
        <v>1</v>
      </c>
    </row>
    <row r="2835">
      <c r="A2835" s="58">
        <v>45931.0</v>
      </c>
      <c r="B2835" s="24" t="s">
        <v>6787</v>
      </c>
      <c r="C2835" s="24" t="s">
        <v>7063</v>
      </c>
      <c r="D2835" s="59">
        <v>3.0</v>
      </c>
      <c r="E2835" s="59">
        <v>3.0</v>
      </c>
      <c r="F2835" s="59">
        <v>3.0</v>
      </c>
      <c r="G2835" s="60">
        <v>1.0</v>
      </c>
      <c r="H2835" s="60">
        <v>0.666666666666666</v>
      </c>
      <c r="I2835" s="60">
        <v>18.6627083333333</v>
      </c>
      <c r="J2835" s="59">
        <v>3.0</v>
      </c>
      <c r="K2835" s="61">
        <f t="shared" si="1"/>
        <v>1</v>
      </c>
      <c r="L2835" s="62">
        <f t="shared" si="2"/>
        <v>1</v>
      </c>
    </row>
    <row r="2836">
      <c r="A2836" s="58">
        <v>45931.0</v>
      </c>
      <c r="B2836" s="24" t="s">
        <v>6787</v>
      </c>
      <c r="C2836" s="24" t="s">
        <v>6872</v>
      </c>
      <c r="D2836" s="59">
        <v>3.0</v>
      </c>
      <c r="E2836" s="59">
        <v>3.0</v>
      </c>
      <c r="F2836" s="59">
        <v>3.0</v>
      </c>
      <c r="G2836" s="60">
        <v>1.0</v>
      </c>
      <c r="H2836" s="60">
        <v>0.666666666666666</v>
      </c>
      <c r="I2836" s="60">
        <v>20.3163956666666</v>
      </c>
      <c r="J2836" s="59">
        <v>3.0</v>
      </c>
      <c r="K2836" s="61">
        <f t="shared" si="1"/>
        <v>1</v>
      </c>
      <c r="L2836" s="62">
        <f t="shared" si="2"/>
        <v>1</v>
      </c>
    </row>
    <row r="2837">
      <c r="A2837" s="58">
        <v>45931.0</v>
      </c>
      <c r="B2837" s="24" t="s">
        <v>6787</v>
      </c>
      <c r="C2837" s="24" t="s">
        <v>6873</v>
      </c>
      <c r="D2837" s="59">
        <v>3.0</v>
      </c>
      <c r="E2837" s="59">
        <v>3.0</v>
      </c>
      <c r="F2837" s="59">
        <v>3.0</v>
      </c>
      <c r="G2837" s="60">
        <v>1.0</v>
      </c>
      <c r="H2837" s="60">
        <v>0.666666666666666</v>
      </c>
      <c r="I2837" s="60">
        <v>17.7352923333333</v>
      </c>
      <c r="J2837" s="59">
        <v>3.0</v>
      </c>
      <c r="K2837" s="61">
        <f t="shared" si="1"/>
        <v>1</v>
      </c>
      <c r="L2837" s="62">
        <f t="shared" si="2"/>
        <v>1</v>
      </c>
    </row>
    <row r="2838">
      <c r="A2838" s="58">
        <v>45931.0</v>
      </c>
      <c r="B2838" s="24" t="s">
        <v>6787</v>
      </c>
      <c r="C2838" s="24" t="s">
        <v>6989</v>
      </c>
      <c r="D2838" s="59">
        <v>3.0</v>
      </c>
      <c r="E2838" s="59">
        <v>3.0</v>
      </c>
      <c r="F2838" s="59">
        <v>3.0</v>
      </c>
      <c r="G2838" s="60">
        <v>1.0</v>
      </c>
      <c r="H2838" s="60">
        <v>0.666666666666666</v>
      </c>
      <c r="I2838" s="60">
        <v>19.0153886666666</v>
      </c>
      <c r="J2838" s="59">
        <v>3.0</v>
      </c>
      <c r="K2838" s="61">
        <f t="shared" si="1"/>
        <v>1</v>
      </c>
      <c r="L2838" s="62">
        <f t="shared" si="2"/>
        <v>1</v>
      </c>
    </row>
    <row r="2839">
      <c r="A2839" s="58">
        <v>45931.0</v>
      </c>
      <c r="B2839" s="24" t="s">
        <v>6787</v>
      </c>
      <c r="C2839" s="24" t="s">
        <v>6880</v>
      </c>
      <c r="D2839" s="59">
        <v>3.0</v>
      </c>
      <c r="E2839" s="59">
        <v>3.0</v>
      </c>
      <c r="F2839" s="59">
        <v>3.0</v>
      </c>
      <c r="G2839" s="60">
        <v>1.0</v>
      </c>
      <c r="H2839" s="60">
        <v>0.333333333333333</v>
      </c>
      <c r="I2839" s="60">
        <v>19.7641213333333</v>
      </c>
      <c r="J2839" s="59">
        <v>3.0</v>
      </c>
      <c r="K2839" s="61">
        <f t="shared" si="1"/>
        <v>1</v>
      </c>
      <c r="L2839" s="62">
        <f t="shared" si="2"/>
        <v>1</v>
      </c>
    </row>
    <row r="2840">
      <c r="A2840" s="58">
        <v>45931.0</v>
      </c>
      <c r="B2840" s="24" t="s">
        <v>6789</v>
      </c>
      <c r="C2840" s="24" t="s">
        <v>6883</v>
      </c>
      <c r="D2840" s="59">
        <v>3.0</v>
      </c>
      <c r="E2840" s="59">
        <v>3.0</v>
      </c>
      <c r="F2840" s="59">
        <v>2.0</v>
      </c>
      <c r="G2840" s="60">
        <v>1.0</v>
      </c>
      <c r="H2840" s="60">
        <v>0.0</v>
      </c>
      <c r="I2840" s="60">
        <v>451.870728666666</v>
      </c>
      <c r="J2840" s="59">
        <v>6.0</v>
      </c>
      <c r="K2840" s="61">
        <f t="shared" si="1"/>
        <v>0.6666666667</v>
      </c>
      <c r="L2840" s="62">
        <f t="shared" si="2"/>
        <v>2</v>
      </c>
    </row>
    <row r="2841">
      <c r="A2841" s="58">
        <v>45931.0</v>
      </c>
      <c r="B2841" s="24" t="s">
        <v>6787</v>
      </c>
      <c r="C2841" s="24" t="s">
        <v>7070</v>
      </c>
      <c r="D2841" s="59">
        <v>3.0</v>
      </c>
      <c r="E2841" s="59">
        <v>3.0</v>
      </c>
      <c r="F2841" s="59">
        <v>3.0</v>
      </c>
      <c r="G2841" s="60">
        <v>1.0</v>
      </c>
      <c r="H2841" s="60">
        <v>0.666666666666666</v>
      </c>
      <c r="I2841" s="60">
        <v>17.995132</v>
      </c>
      <c r="J2841" s="59">
        <v>3.0</v>
      </c>
      <c r="K2841" s="61">
        <f t="shared" si="1"/>
        <v>1</v>
      </c>
      <c r="L2841" s="62">
        <f t="shared" si="2"/>
        <v>1</v>
      </c>
    </row>
    <row r="2842">
      <c r="A2842" s="58">
        <v>45931.0</v>
      </c>
      <c r="B2842" s="24" t="s">
        <v>6787</v>
      </c>
      <c r="C2842" s="24" t="s">
        <v>7074</v>
      </c>
      <c r="D2842" s="59">
        <v>3.0</v>
      </c>
      <c r="E2842" s="59">
        <v>3.0</v>
      </c>
      <c r="F2842" s="59">
        <v>3.0</v>
      </c>
      <c r="G2842" s="60">
        <v>1.0</v>
      </c>
      <c r="H2842" s="60">
        <v>0.666666666666666</v>
      </c>
      <c r="I2842" s="60">
        <v>17.570062</v>
      </c>
      <c r="J2842" s="59">
        <v>3.0</v>
      </c>
      <c r="K2842" s="61">
        <f t="shared" si="1"/>
        <v>1</v>
      </c>
      <c r="L2842" s="62">
        <f t="shared" si="2"/>
        <v>1</v>
      </c>
    </row>
    <row r="2843">
      <c r="A2843" s="58">
        <v>45931.0</v>
      </c>
      <c r="B2843" s="24" t="s">
        <v>155</v>
      </c>
      <c r="C2843" s="24" t="s">
        <v>6886</v>
      </c>
      <c r="D2843" s="59">
        <v>3.0</v>
      </c>
      <c r="E2843" s="59">
        <v>4.0</v>
      </c>
      <c r="F2843" s="59">
        <v>0.0</v>
      </c>
      <c r="G2843" s="60">
        <v>1.33333333333333</v>
      </c>
      <c r="H2843" s="60">
        <v>0.5</v>
      </c>
      <c r="I2843" s="60">
        <v>18.03668475</v>
      </c>
      <c r="J2843" s="59">
        <v>6.0</v>
      </c>
      <c r="K2843" s="61">
        <f t="shared" si="1"/>
        <v>0</v>
      </c>
      <c r="L2843" s="62">
        <f t="shared" si="2"/>
        <v>1.5</v>
      </c>
    </row>
    <row r="2844">
      <c r="A2844" s="58">
        <v>45931.0</v>
      </c>
      <c r="B2844" s="24" t="s">
        <v>6787</v>
      </c>
      <c r="C2844" s="24" t="s">
        <v>6838</v>
      </c>
      <c r="D2844" s="59">
        <v>3.0</v>
      </c>
      <c r="E2844" s="59">
        <v>3.0</v>
      </c>
      <c r="F2844" s="59">
        <v>3.0</v>
      </c>
      <c r="G2844" s="60">
        <v>1.0</v>
      </c>
      <c r="H2844" s="60">
        <v>0.333333333333333</v>
      </c>
      <c r="I2844" s="60">
        <v>26.1364229999999</v>
      </c>
      <c r="J2844" s="59">
        <v>3.0</v>
      </c>
      <c r="K2844" s="61">
        <f t="shared" si="1"/>
        <v>1</v>
      </c>
      <c r="L2844" s="62">
        <f t="shared" si="2"/>
        <v>1</v>
      </c>
    </row>
    <row r="2845">
      <c r="A2845" s="58">
        <v>45931.0</v>
      </c>
      <c r="B2845" s="24" t="s">
        <v>6789</v>
      </c>
      <c r="C2845" s="24" t="s">
        <v>6822</v>
      </c>
      <c r="D2845" s="59">
        <v>3.0</v>
      </c>
      <c r="E2845" s="59">
        <v>4.0</v>
      </c>
      <c r="F2845" s="59">
        <v>1.0</v>
      </c>
      <c r="G2845" s="60">
        <v>2.0</v>
      </c>
      <c r="H2845" s="60">
        <v>1.0</v>
      </c>
      <c r="I2845" s="60">
        <v>0.9961825</v>
      </c>
      <c r="J2845" s="59">
        <v>4.0</v>
      </c>
      <c r="K2845" s="61">
        <f t="shared" si="1"/>
        <v>0.25</v>
      </c>
      <c r="L2845" s="62">
        <f t="shared" si="2"/>
        <v>1</v>
      </c>
    </row>
    <row r="2846">
      <c r="A2846" s="58">
        <v>45931.0</v>
      </c>
      <c r="B2846" s="24" t="s">
        <v>6787</v>
      </c>
      <c r="C2846" s="24" t="s">
        <v>6999</v>
      </c>
      <c r="D2846" s="59">
        <v>3.0</v>
      </c>
      <c r="E2846" s="59">
        <v>3.0</v>
      </c>
      <c r="F2846" s="59">
        <v>3.0</v>
      </c>
      <c r="G2846" s="60">
        <v>1.0</v>
      </c>
      <c r="H2846" s="60">
        <v>0.333333333333333</v>
      </c>
      <c r="I2846" s="60">
        <v>27.9062256666666</v>
      </c>
      <c r="J2846" s="59">
        <v>3.0</v>
      </c>
      <c r="K2846" s="61">
        <f t="shared" si="1"/>
        <v>1</v>
      </c>
      <c r="L2846" s="62">
        <f t="shared" si="2"/>
        <v>1</v>
      </c>
    </row>
    <row r="2847">
      <c r="A2847" s="58">
        <v>45931.0</v>
      </c>
      <c r="B2847" s="24" t="s">
        <v>6789</v>
      </c>
      <c r="C2847" s="24" t="s">
        <v>6896</v>
      </c>
      <c r="D2847" s="59">
        <v>3.0</v>
      </c>
      <c r="E2847" s="59">
        <v>3.0</v>
      </c>
      <c r="F2847" s="59">
        <v>1.0</v>
      </c>
      <c r="G2847" s="60">
        <v>1.0</v>
      </c>
      <c r="H2847" s="60">
        <v>0.0</v>
      </c>
      <c r="I2847" s="60">
        <v>392.2402</v>
      </c>
      <c r="J2847" s="59">
        <v>6.0</v>
      </c>
      <c r="K2847" s="61">
        <f t="shared" si="1"/>
        <v>0.3333333333</v>
      </c>
      <c r="L2847" s="62">
        <f t="shared" si="2"/>
        <v>2</v>
      </c>
    </row>
    <row r="2848">
      <c r="A2848" s="58">
        <v>45931.0</v>
      </c>
      <c r="B2848" s="24" t="s">
        <v>6787</v>
      </c>
      <c r="C2848" s="24" t="s">
        <v>7230</v>
      </c>
      <c r="D2848" s="59">
        <v>3.0</v>
      </c>
      <c r="E2848" s="59">
        <v>3.0</v>
      </c>
      <c r="F2848" s="59">
        <v>3.0</v>
      </c>
      <c r="G2848" s="60">
        <v>1.0</v>
      </c>
      <c r="H2848" s="60">
        <v>0.666666666666666</v>
      </c>
      <c r="I2848" s="60">
        <v>11.389914</v>
      </c>
      <c r="J2848" s="59">
        <v>3.0</v>
      </c>
      <c r="K2848" s="61">
        <f t="shared" si="1"/>
        <v>1</v>
      </c>
      <c r="L2848" s="62">
        <f t="shared" si="2"/>
        <v>1</v>
      </c>
    </row>
    <row r="2849">
      <c r="A2849" s="58">
        <v>45931.0</v>
      </c>
      <c r="B2849" s="24" t="s">
        <v>6789</v>
      </c>
      <c r="C2849" s="24" t="s">
        <v>6901</v>
      </c>
      <c r="D2849" s="59">
        <v>3.0</v>
      </c>
      <c r="E2849" s="59">
        <v>3.0</v>
      </c>
      <c r="F2849" s="59">
        <v>3.0</v>
      </c>
      <c r="G2849" s="60">
        <v>1.0</v>
      </c>
      <c r="H2849" s="60">
        <v>0.333333333333333</v>
      </c>
      <c r="I2849" s="60">
        <v>323.812283</v>
      </c>
      <c r="J2849" s="59">
        <v>3.0</v>
      </c>
      <c r="K2849" s="61">
        <f t="shared" si="1"/>
        <v>1</v>
      </c>
      <c r="L2849" s="62">
        <f t="shared" si="2"/>
        <v>1</v>
      </c>
    </row>
    <row r="2850">
      <c r="A2850" s="58">
        <v>45931.0</v>
      </c>
      <c r="B2850" s="24" t="s">
        <v>6789</v>
      </c>
      <c r="C2850" s="24" t="s">
        <v>6843</v>
      </c>
      <c r="D2850" s="59">
        <v>3.0</v>
      </c>
      <c r="E2850" s="59">
        <v>5.0</v>
      </c>
      <c r="F2850" s="59">
        <v>1.0</v>
      </c>
      <c r="G2850" s="60">
        <v>1.66666666666666</v>
      </c>
      <c r="H2850" s="60">
        <v>0.4</v>
      </c>
      <c r="I2850" s="60">
        <v>201.7213952</v>
      </c>
      <c r="J2850" s="59">
        <v>13.0</v>
      </c>
      <c r="K2850" s="61">
        <f t="shared" si="1"/>
        <v>0.2</v>
      </c>
      <c r="L2850" s="62">
        <f t="shared" si="2"/>
        <v>2.6</v>
      </c>
    </row>
    <row r="2851">
      <c r="A2851" s="58">
        <v>45931.0</v>
      </c>
      <c r="B2851" s="24" t="s">
        <v>6787</v>
      </c>
      <c r="C2851" s="24" t="s">
        <v>7077</v>
      </c>
      <c r="D2851" s="59">
        <v>3.0</v>
      </c>
      <c r="E2851" s="59">
        <v>3.0</v>
      </c>
      <c r="F2851" s="59">
        <v>3.0</v>
      </c>
      <c r="G2851" s="60">
        <v>1.0</v>
      </c>
      <c r="H2851" s="60">
        <v>1.0</v>
      </c>
      <c r="I2851" s="60">
        <v>2.308194</v>
      </c>
      <c r="J2851" s="59">
        <v>3.0</v>
      </c>
      <c r="K2851" s="61">
        <f t="shared" si="1"/>
        <v>1</v>
      </c>
      <c r="L2851" s="62">
        <f t="shared" si="2"/>
        <v>1</v>
      </c>
    </row>
    <row r="2852">
      <c r="A2852" s="58">
        <v>45931.0</v>
      </c>
      <c r="B2852" s="24" t="s">
        <v>6787</v>
      </c>
      <c r="C2852" s="24" t="s">
        <v>7007</v>
      </c>
      <c r="D2852" s="59">
        <v>3.0</v>
      </c>
      <c r="E2852" s="59">
        <v>3.0</v>
      </c>
      <c r="F2852" s="59">
        <v>3.0</v>
      </c>
      <c r="G2852" s="60">
        <v>1.0</v>
      </c>
      <c r="H2852" s="60">
        <v>0.333333333333333</v>
      </c>
      <c r="I2852" s="60">
        <v>20.072557</v>
      </c>
      <c r="J2852" s="59">
        <v>3.0</v>
      </c>
      <c r="K2852" s="61">
        <f t="shared" si="1"/>
        <v>1</v>
      </c>
      <c r="L2852" s="62">
        <f t="shared" si="2"/>
        <v>1</v>
      </c>
    </row>
    <row r="2853">
      <c r="A2853" s="58">
        <v>45931.0</v>
      </c>
      <c r="B2853" s="24" t="s">
        <v>155</v>
      </c>
      <c r="C2853" s="24" t="s">
        <v>6903</v>
      </c>
      <c r="D2853" s="59">
        <v>3.0</v>
      </c>
      <c r="E2853" s="59">
        <v>8.0</v>
      </c>
      <c r="F2853" s="59">
        <v>3.0</v>
      </c>
      <c r="G2853" s="60">
        <v>2.66666666666666</v>
      </c>
      <c r="H2853" s="60">
        <v>0.75</v>
      </c>
      <c r="I2853" s="60">
        <v>184.883141374999</v>
      </c>
      <c r="J2853" s="59">
        <v>9.0</v>
      </c>
      <c r="K2853" s="61">
        <f t="shared" si="1"/>
        <v>0.375</v>
      </c>
      <c r="L2853" s="62">
        <f t="shared" si="2"/>
        <v>1.125</v>
      </c>
    </row>
    <row r="2854">
      <c r="A2854" s="58">
        <v>45931.0</v>
      </c>
      <c r="B2854" s="24" t="s">
        <v>6789</v>
      </c>
      <c r="C2854" s="24" t="s">
        <v>7009</v>
      </c>
      <c r="D2854" s="59">
        <v>3.0</v>
      </c>
      <c r="E2854" s="59">
        <v>3.0</v>
      </c>
      <c r="F2854" s="59">
        <v>0.0</v>
      </c>
      <c r="G2854" s="60">
        <v>1.5</v>
      </c>
      <c r="H2854" s="60">
        <v>0.333333333333333</v>
      </c>
      <c r="I2854" s="60">
        <v>146.168730333333</v>
      </c>
      <c r="J2854" s="59">
        <v>4.0</v>
      </c>
      <c r="K2854" s="61">
        <f t="shared" si="1"/>
        <v>0</v>
      </c>
      <c r="L2854" s="62">
        <f t="shared" si="2"/>
        <v>1.333333333</v>
      </c>
    </row>
    <row r="2855">
      <c r="A2855" s="58">
        <v>45931.0</v>
      </c>
      <c r="B2855" s="24" t="s">
        <v>6787</v>
      </c>
      <c r="C2855" s="24" t="s">
        <v>7204</v>
      </c>
      <c r="D2855" s="59">
        <v>3.0</v>
      </c>
      <c r="E2855" s="59">
        <v>3.0</v>
      </c>
      <c r="F2855" s="59">
        <v>3.0</v>
      </c>
      <c r="G2855" s="60">
        <v>1.0</v>
      </c>
      <c r="H2855" s="60">
        <v>0.333333333333333</v>
      </c>
      <c r="I2855" s="60">
        <v>14.8944323333333</v>
      </c>
      <c r="J2855" s="59">
        <v>3.0</v>
      </c>
      <c r="K2855" s="61">
        <f t="shared" si="1"/>
        <v>1</v>
      </c>
      <c r="L2855" s="62">
        <f t="shared" si="2"/>
        <v>1</v>
      </c>
    </row>
    <row r="2856">
      <c r="A2856" s="58">
        <v>45931.0</v>
      </c>
      <c r="B2856" s="24" t="s">
        <v>6787</v>
      </c>
      <c r="C2856" s="24" t="s">
        <v>7119</v>
      </c>
      <c r="D2856" s="59">
        <v>3.0</v>
      </c>
      <c r="E2856" s="59">
        <v>3.0</v>
      </c>
      <c r="F2856" s="59">
        <v>2.0</v>
      </c>
      <c r="G2856" s="60">
        <v>1.0</v>
      </c>
      <c r="H2856" s="60">
        <v>0.0</v>
      </c>
      <c r="I2856" s="60">
        <v>558.164319666666</v>
      </c>
      <c r="J2856" s="59">
        <v>4.0</v>
      </c>
      <c r="K2856" s="61">
        <f t="shared" si="1"/>
        <v>0.6666666667</v>
      </c>
      <c r="L2856" s="62">
        <f t="shared" si="2"/>
        <v>1.333333333</v>
      </c>
    </row>
    <row r="2857">
      <c r="A2857" s="58">
        <v>45931.0</v>
      </c>
      <c r="B2857" s="24" t="s">
        <v>6789</v>
      </c>
      <c r="C2857" s="24" t="s">
        <v>7236</v>
      </c>
      <c r="D2857" s="59">
        <v>3.0</v>
      </c>
      <c r="E2857" s="59">
        <v>3.0</v>
      </c>
      <c r="F2857" s="59">
        <v>2.0</v>
      </c>
      <c r="G2857" s="60">
        <v>1.0</v>
      </c>
      <c r="H2857" s="60">
        <v>0.0</v>
      </c>
      <c r="I2857" s="60">
        <v>260.03595</v>
      </c>
      <c r="J2857" s="59">
        <v>7.0</v>
      </c>
      <c r="K2857" s="61">
        <f t="shared" si="1"/>
        <v>0.6666666667</v>
      </c>
      <c r="L2857" s="62">
        <f t="shared" si="2"/>
        <v>2.333333333</v>
      </c>
    </row>
    <row r="2858">
      <c r="A2858" s="58">
        <v>45931.0</v>
      </c>
      <c r="B2858" s="24" t="s">
        <v>6942</v>
      </c>
      <c r="C2858" s="24" t="s">
        <v>7205</v>
      </c>
      <c r="D2858" s="59">
        <v>3.0</v>
      </c>
      <c r="E2858" s="59">
        <v>3.0</v>
      </c>
      <c r="F2858" s="59">
        <v>3.0</v>
      </c>
      <c r="G2858" s="60">
        <v>1.0</v>
      </c>
      <c r="H2858" s="60">
        <v>1.0</v>
      </c>
      <c r="I2858" s="60">
        <v>0.0</v>
      </c>
      <c r="J2858" s="59">
        <v>3.0</v>
      </c>
      <c r="K2858" s="61">
        <f t="shared" si="1"/>
        <v>1</v>
      </c>
      <c r="L2858" s="62">
        <f t="shared" si="2"/>
        <v>1</v>
      </c>
    </row>
    <row r="2859">
      <c r="A2859" s="58">
        <v>45931.0</v>
      </c>
      <c r="B2859" s="24" t="s">
        <v>155</v>
      </c>
      <c r="C2859" s="24" t="s">
        <v>7233</v>
      </c>
      <c r="D2859" s="59">
        <v>3.0</v>
      </c>
      <c r="E2859" s="59">
        <v>3.0</v>
      </c>
      <c r="F2859" s="59">
        <v>0.0</v>
      </c>
      <c r="G2859" s="60">
        <v>1.0</v>
      </c>
      <c r="H2859" s="60">
        <v>0.0</v>
      </c>
      <c r="I2859" s="60">
        <v>871.552631333333</v>
      </c>
      <c r="J2859" s="59">
        <v>13.0</v>
      </c>
      <c r="K2859" s="61">
        <f t="shared" si="1"/>
        <v>0</v>
      </c>
      <c r="L2859" s="62">
        <f t="shared" si="2"/>
        <v>4.333333333</v>
      </c>
    </row>
    <row r="2860">
      <c r="A2860" s="58">
        <v>45931.0</v>
      </c>
      <c r="B2860" s="24" t="s">
        <v>6789</v>
      </c>
      <c r="C2860" s="24" t="s">
        <v>7087</v>
      </c>
      <c r="D2860" s="59">
        <v>3.0</v>
      </c>
      <c r="E2860" s="59">
        <v>3.0</v>
      </c>
      <c r="F2860" s="59">
        <v>2.0</v>
      </c>
      <c r="G2860" s="60">
        <v>1.0</v>
      </c>
      <c r="H2860" s="60">
        <v>0.333333333333333</v>
      </c>
      <c r="I2860" s="60">
        <v>767.414167333333</v>
      </c>
      <c r="J2860" s="59">
        <v>9.0</v>
      </c>
      <c r="K2860" s="61">
        <f t="shared" si="1"/>
        <v>0.6666666667</v>
      </c>
      <c r="L2860" s="62">
        <f t="shared" si="2"/>
        <v>3</v>
      </c>
    </row>
    <row r="2861">
      <c r="A2861" s="58">
        <v>45931.0</v>
      </c>
      <c r="B2861" s="24" t="s">
        <v>6789</v>
      </c>
      <c r="C2861" s="24" t="s">
        <v>7092</v>
      </c>
      <c r="D2861" s="59">
        <v>3.0</v>
      </c>
      <c r="E2861" s="59">
        <v>3.0</v>
      </c>
      <c r="F2861" s="59">
        <v>3.0</v>
      </c>
      <c r="G2861" s="60">
        <v>1.0</v>
      </c>
      <c r="H2861" s="60">
        <v>0.666666666666666</v>
      </c>
      <c r="I2861" s="60">
        <v>58.3437733333333</v>
      </c>
      <c r="J2861" s="59">
        <v>5.0</v>
      </c>
      <c r="K2861" s="61">
        <f t="shared" si="1"/>
        <v>1</v>
      </c>
      <c r="L2861" s="62">
        <f t="shared" si="2"/>
        <v>1.666666667</v>
      </c>
    </row>
    <row r="2862">
      <c r="A2862" s="58">
        <v>45931.0</v>
      </c>
      <c r="B2862" s="24" t="s">
        <v>6787</v>
      </c>
      <c r="C2862" s="24" t="s">
        <v>7093</v>
      </c>
      <c r="D2862" s="59">
        <v>3.0</v>
      </c>
      <c r="E2862" s="59">
        <v>3.0</v>
      </c>
      <c r="F2862" s="59">
        <v>3.0</v>
      </c>
      <c r="G2862" s="60">
        <v>1.0</v>
      </c>
      <c r="H2862" s="60">
        <v>0.666666666666666</v>
      </c>
      <c r="I2862" s="60">
        <v>19.0364506666666</v>
      </c>
      <c r="J2862" s="59">
        <v>3.0</v>
      </c>
      <c r="K2862" s="61">
        <f t="shared" si="1"/>
        <v>1</v>
      </c>
      <c r="L2862" s="62">
        <f t="shared" si="2"/>
        <v>1</v>
      </c>
    </row>
    <row r="2863">
      <c r="A2863" s="58">
        <v>45931.0</v>
      </c>
      <c r="B2863" s="24" t="s">
        <v>6787</v>
      </c>
      <c r="C2863" s="24" t="s">
        <v>7166</v>
      </c>
      <c r="D2863" s="59">
        <v>3.0</v>
      </c>
      <c r="E2863" s="59">
        <v>3.0</v>
      </c>
      <c r="F2863" s="59">
        <v>3.0</v>
      </c>
      <c r="G2863" s="60">
        <v>1.0</v>
      </c>
      <c r="H2863" s="60">
        <v>0.666666666666666</v>
      </c>
      <c r="I2863" s="60">
        <v>19.4476576666666</v>
      </c>
      <c r="J2863" s="59">
        <v>3.0</v>
      </c>
      <c r="K2863" s="61">
        <f t="shared" si="1"/>
        <v>1</v>
      </c>
      <c r="L2863" s="62">
        <f t="shared" si="2"/>
        <v>1</v>
      </c>
    </row>
    <row r="2864">
      <c r="A2864" s="58">
        <v>45931.0</v>
      </c>
      <c r="B2864" s="24" t="s">
        <v>6787</v>
      </c>
      <c r="C2864" s="24" t="s">
        <v>7237</v>
      </c>
      <c r="D2864" s="59">
        <v>3.0</v>
      </c>
      <c r="E2864" s="59">
        <v>3.0</v>
      </c>
      <c r="F2864" s="59">
        <v>3.0</v>
      </c>
      <c r="G2864" s="60">
        <v>1.0</v>
      </c>
      <c r="H2864" s="60">
        <v>1.0</v>
      </c>
      <c r="I2864" s="60">
        <v>0.0</v>
      </c>
      <c r="J2864" s="59">
        <v>3.0</v>
      </c>
      <c r="K2864" s="61">
        <f t="shared" si="1"/>
        <v>1</v>
      </c>
      <c r="L2864" s="62">
        <f t="shared" si="2"/>
        <v>1</v>
      </c>
    </row>
    <row r="2865">
      <c r="A2865" s="58">
        <v>45931.0</v>
      </c>
      <c r="B2865" s="24" t="s">
        <v>155</v>
      </c>
      <c r="C2865" s="24" t="s">
        <v>6960</v>
      </c>
      <c r="D2865" s="59">
        <v>3.0</v>
      </c>
      <c r="E2865" s="59">
        <v>3.0</v>
      </c>
      <c r="F2865" s="59">
        <v>2.0</v>
      </c>
      <c r="G2865" s="60">
        <v>1.0</v>
      </c>
      <c r="H2865" s="60">
        <v>0.0</v>
      </c>
      <c r="I2865" s="60">
        <v>1481.53321466666</v>
      </c>
      <c r="J2865" s="59">
        <v>19.0</v>
      </c>
      <c r="K2865" s="61">
        <f t="shared" si="1"/>
        <v>0.6666666667</v>
      </c>
      <c r="L2865" s="62">
        <f t="shared" si="2"/>
        <v>6.333333333</v>
      </c>
    </row>
    <row r="2866">
      <c r="A2866" s="58">
        <v>45931.0</v>
      </c>
      <c r="B2866" s="24" t="s">
        <v>6787</v>
      </c>
      <c r="C2866" s="24" t="s">
        <v>6812</v>
      </c>
      <c r="D2866" s="59">
        <v>3.0</v>
      </c>
      <c r="E2866" s="59">
        <v>3.0</v>
      </c>
      <c r="F2866" s="59">
        <v>3.0</v>
      </c>
      <c r="G2866" s="60">
        <v>1.0</v>
      </c>
      <c r="H2866" s="60">
        <v>0.0</v>
      </c>
      <c r="I2866" s="60">
        <v>34.370703</v>
      </c>
      <c r="J2866" s="59">
        <v>3.0</v>
      </c>
      <c r="K2866" s="61">
        <f t="shared" si="1"/>
        <v>1</v>
      </c>
      <c r="L2866" s="62">
        <f t="shared" si="2"/>
        <v>1</v>
      </c>
    </row>
    <row r="2867">
      <c r="A2867" s="58">
        <v>45931.0</v>
      </c>
      <c r="B2867" s="24" t="s">
        <v>6789</v>
      </c>
      <c r="C2867" s="24" t="s">
        <v>6849</v>
      </c>
      <c r="D2867" s="59">
        <v>3.0</v>
      </c>
      <c r="E2867" s="59">
        <v>3.0</v>
      </c>
      <c r="F2867" s="59">
        <v>2.0</v>
      </c>
      <c r="G2867" s="60">
        <v>1.0</v>
      </c>
      <c r="H2867" s="60">
        <v>0.333333333333333</v>
      </c>
      <c r="I2867" s="60">
        <v>18.9984663333333</v>
      </c>
      <c r="J2867" s="59">
        <v>5.0</v>
      </c>
      <c r="K2867" s="61">
        <f t="shared" si="1"/>
        <v>0.6666666667</v>
      </c>
      <c r="L2867" s="62">
        <f t="shared" si="2"/>
        <v>1.666666667</v>
      </c>
    </row>
    <row r="2868">
      <c r="A2868" s="58">
        <v>45931.0</v>
      </c>
      <c r="B2868" s="24" t="s">
        <v>6789</v>
      </c>
      <c r="C2868" s="24" t="s">
        <v>7023</v>
      </c>
      <c r="D2868" s="59">
        <v>3.0</v>
      </c>
      <c r="E2868" s="59">
        <v>3.0</v>
      </c>
      <c r="F2868" s="59">
        <v>1.0</v>
      </c>
      <c r="G2868" s="60">
        <v>3.0</v>
      </c>
      <c r="H2868" s="60">
        <v>0.666666666666666</v>
      </c>
      <c r="I2868" s="60">
        <v>519.132011</v>
      </c>
      <c r="J2868" s="59">
        <v>8.0</v>
      </c>
      <c r="K2868" s="61">
        <f t="shared" si="1"/>
        <v>0.3333333333</v>
      </c>
      <c r="L2868" s="62">
        <f t="shared" si="2"/>
        <v>2.666666667</v>
      </c>
    </row>
    <row r="2869">
      <c r="A2869" s="58">
        <v>45931.0</v>
      </c>
      <c r="B2869" s="24" t="s">
        <v>6787</v>
      </c>
      <c r="C2869" s="24" t="s">
        <v>6915</v>
      </c>
      <c r="D2869" s="59">
        <v>3.0</v>
      </c>
      <c r="E2869" s="59">
        <v>3.0</v>
      </c>
      <c r="F2869" s="59">
        <v>3.0</v>
      </c>
      <c r="G2869" s="60">
        <v>1.0</v>
      </c>
      <c r="H2869" s="60">
        <v>0.333333333333333</v>
      </c>
      <c r="I2869" s="60">
        <v>31.3768283333333</v>
      </c>
      <c r="J2869" s="59">
        <v>3.0</v>
      </c>
      <c r="K2869" s="61">
        <f t="shared" si="1"/>
        <v>1</v>
      </c>
      <c r="L2869" s="62">
        <f t="shared" si="2"/>
        <v>1</v>
      </c>
    </row>
    <row r="2870">
      <c r="A2870" s="58">
        <v>45931.0</v>
      </c>
      <c r="B2870" s="24" t="s">
        <v>6787</v>
      </c>
      <c r="C2870" s="24" t="s">
        <v>7014</v>
      </c>
      <c r="D2870" s="59">
        <v>3.0</v>
      </c>
      <c r="E2870" s="59">
        <v>3.0</v>
      </c>
      <c r="F2870" s="59">
        <v>3.0</v>
      </c>
      <c r="G2870" s="60">
        <v>1.0</v>
      </c>
      <c r="H2870" s="60">
        <v>0.666666666666666</v>
      </c>
      <c r="I2870" s="60">
        <v>16.3026126666666</v>
      </c>
      <c r="J2870" s="59">
        <v>3.0</v>
      </c>
      <c r="K2870" s="61">
        <f t="shared" si="1"/>
        <v>1</v>
      </c>
      <c r="L2870" s="62">
        <f t="shared" si="2"/>
        <v>1</v>
      </c>
    </row>
    <row r="2871">
      <c r="A2871" s="58">
        <v>45931.0</v>
      </c>
      <c r="B2871" s="24" t="s">
        <v>6787</v>
      </c>
      <c r="C2871" s="24" t="s">
        <v>6920</v>
      </c>
      <c r="D2871" s="59">
        <v>3.0</v>
      </c>
      <c r="E2871" s="59">
        <v>3.0</v>
      </c>
      <c r="F2871" s="59">
        <v>3.0</v>
      </c>
      <c r="G2871" s="60">
        <v>1.0</v>
      </c>
      <c r="H2871" s="60">
        <v>0.333333333333333</v>
      </c>
      <c r="I2871" s="60">
        <v>79.688298</v>
      </c>
      <c r="J2871" s="59">
        <v>5.0</v>
      </c>
      <c r="K2871" s="61">
        <f t="shared" si="1"/>
        <v>1</v>
      </c>
      <c r="L2871" s="62">
        <f t="shared" si="2"/>
        <v>1.666666667</v>
      </c>
    </row>
    <row r="2872">
      <c r="A2872" s="58">
        <v>45931.0</v>
      </c>
      <c r="B2872" s="24" t="s">
        <v>6787</v>
      </c>
      <c r="C2872" s="24" t="s">
        <v>6921</v>
      </c>
      <c r="D2872" s="59">
        <v>3.0</v>
      </c>
      <c r="E2872" s="59">
        <v>3.0</v>
      </c>
      <c r="F2872" s="59">
        <v>3.0</v>
      </c>
      <c r="G2872" s="60">
        <v>1.0</v>
      </c>
      <c r="H2872" s="60">
        <v>0.333333333333333</v>
      </c>
      <c r="I2872" s="60">
        <v>22.3748503333333</v>
      </c>
      <c r="J2872" s="59">
        <v>3.0</v>
      </c>
      <c r="K2872" s="61">
        <f t="shared" si="1"/>
        <v>1</v>
      </c>
      <c r="L2872" s="62">
        <f t="shared" si="2"/>
        <v>1</v>
      </c>
    </row>
    <row r="2873">
      <c r="A2873" s="58">
        <v>45931.0</v>
      </c>
      <c r="B2873" s="24" t="s">
        <v>6787</v>
      </c>
      <c r="C2873" s="24" t="s">
        <v>6816</v>
      </c>
      <c r="D2873" s="59">
        <v>3.0</v>
      </c>
      <c r="E2873" s="59">
        <v>3.0</v>
      </c>
      <c r="F2873" s="59">
        <v>3.0</v>
      </c>
      <c r="G2873" s="60">
        <v>1.0</v>
      </c>
      <c r="H2873" s="60">
        <v>0.666666666666666</v>
      </c>
      <c r="I2873" s="60">
        <v>20.0210373333333</v>
      </c>
      <c r="J2873" s="59">
        <v>3.0</v>
      </c>
      <c r="K2873" s="61">
        <f t="shared" si="1"/>
        <v>1</v>
      </c>
      <c r="L2873" s="62">
        <f t="shared" si="2"/>
        <v>1</v>
      </c>
    </row>
    <row r="2874">
      <c r="A2874" s="58">
        <v>45931.0</v>
      </c>
      <c r="B2874" s="24" t="s">
        <v>6789</v>
      </c>
      <c r="C2874" s="24" t="s">
        <v>6922</v>
      </c>
      <c r="D2874" s="59">
        <v>3.0</v>
      </c>
      <c r="E2874" s="59">
        <v>3.0</v>
      </c>
      <c r="F2874" s="59">
        <v>0.0</v>
      </c>
      <c r="G2874" s="60">
        <v>1.0</v>
      </c>
      <c r="H2874" s="60">
        <v>0.333333333333333</v>
      </c>
      <c r="I2874" s="60">
        <v>411.139121</v>
      </c>
      <c r="J2874" s="59">
        <v>9.0</v>
      </c>
      <c r="K2874" s="61">
        <f t="shared" si="1"/>
        <v>0</v>
      </c>
      <c r="L2874" s="62">
        <f t="shared" si="2"/>
        <v>3</v>
      </c>
    </row>
    <row r="2875">
      <c r="A2875" s="58">
        <v>45931.0</v>
      </c>
      <c r="B2875" s="24" t="s">
        <v>6789</v>
      </c>
      <c r="C2875" s="24" t="s">
        <v>6797</v>
      </c>
      <c r="D2875" s="59">
        <v>3.0</v>
      </c>
      <c r="E2875" s="59">
        <v>3.0</v>
      </c>
      <c r="F2875" s="59">
        <v>2.0</v>
      </c>
      <c r="G2875" s="60">
        <v>1.0</v>
      </c>
      <c r="H2875" s="60">
        <v>0.666666666666666</v>
      </c>
      <c r="I2875" s="60">
        <v>178.520652333333</v>
      </c>
      <c r="J2875" s="59">
        <v>10.0</v>
      </c>
      <c r="K2875" s="61">
        <f t="shared" si="1"/>
        <v>0.6666666667</v>
      </c>
      <c r="L2875" s="62">
        <f t="shared" si="2"/>
        <v>3.333333333</v>
      </c>
    </row>
    <row r="2876">
      <c r="A2876" s="58">
        <v>45931.0</v>
      </c>
      <c r="B2876" s="24" t="s">
        <v>6789</v>
      </c>
      <c r="C2876" s="24" t="s">
        <v>6810</v>
      </c>
      <c r="D2876" s="59">
        <v>3.0</v>
      </c>
      <c r="E2876" s="59">
        <v>4.0</v>
      </c>
      <c r="F2876" s="59">
        <v>3.0</v>
      </c>
      <c r="G2876" s="60">
        <v>1.33333333333333</v>
      </c>
      <c r="H2876" s="60">
        <v>0.25</v>
      </c>
      <c r="I2876" s="60">
        <v>227.755556</v>
      </c>
      <c r="J2876" s="59">
        <v>4.0</v>
      </c>
      <c r="K2876" s="61">
        <f t="shared" si="1"/>
        <v>0.75</v>
      </c>
      <c r="L2876" s="62">
        <f t="shared" si="2"/>
        <v>1</v>
      </c>
    </row>
    <row r="2877">
      <c r="A2877" s="58">
        <v>45931.0</v>
      </c>
      <c r="B2877" s="24" t="s">
        <v>6787</v>
      </c>
      <c r="C2877" s="24" t="s">
        <v>6963</v>
      </c>
      <c r="D2877" s="59">
        <v>3.0</v>
      </c>
      <c r="E2877" s="59">
        <v>3.0</v>
      </c>
      <c r="F2877" s="59">
        <v>3.0</v>
      </c>
      <c r="G2877" s="60">
        <v>1.0</v>
      </c>
      <c r="H2877" s="60">
        <v>0.666666666666666</v>
      </c>
      <c r="I2877" s="60">
        <v>17.5771153333333</v>
      </c>
      <c r="J2877" s="59">
        <v>3.0</v>
      </c>
      <c r="K2877" s="61">
        <f t="shared" si="1"/>
        <v>1</v>
      </c>
      <c r="L2877" s="62">
        <f t="shared" si="2"/>
        <v>1</v>
      </c>
    </row>
    <row r="2878">
      <c r="A2878" s="58">
        <v>45931.0</v>
      </c>
      <c r="B2878" s="24" t="s">
        <v>6787</v>
      </c>
      <c r="C2878" s="24" t="s">
        <v>7289</v>
      </c>
      <c r="D2878" s="59">
        <v>3.0</v>
      </c>
      <c r="E2878" s="59">
        <v>3.0</v>
      </c>
      <c r="F2878" s="59">
        <v>3.0</v>
      </c>
      <c r="G2878" s="60">
        <v>1.0</v>
      </c>
      <c r="H2878" s="60">
        <v>0.666666666666666</v>
      </c>
      <c r="I2878" s="60">
        <v>10.965769</v>
      </c>
      <c r="J2878" s="59">
        <v>6.0</v>
      </c>
      <c r="K2878" s="61">
        <f t="shared" si="1"/>
        <v>1</v>
      </c>
      <c r="L2878" s="62">
        <f t="shared" si="2"/>
        <v>2</v>
      </c>
    </row>
    <row r="2879">
      <c r="A2879" s="58">
        <v>45931.0</v>
      </c>
      <c r="B2879" s="24" t="s">
        <v>6787</v>
      </c>
      <c r="C2879" s="24" t="s">
        <v>7290</v>
      </c>
      <c r="D2879" s="59">
        <v>3.0</v>
      </c>
      <c r="E2879" s="59">
        <v>3.0</v>
      </c>
      <c r="F2879" s="59">
        <v>3.0</v>
      </c>
      <c r="G2879" s="60">
        <v>1.0</v>
      </c>
      <c r="H2879" s="60">
        <v>1.0</v>
      </c>
      <c r="I2879" s="60">
        <v>2.46894033333333</v>
      </c>
      <c r="J2879" s="59">
        <v>3.0</v>
      </c>
      <c r="K2879" s="61">
        <f t="shared" si="1"/>
        <v>1</v>
      </c>
      <c r="L2879" s="62">
        <f t="shared" si="2"/>
        <v>1</v>
      </c>
    </row>
    <row r="2880">
      <c r="A2880" s="58">
        <v>45931.0</v>
      </c>
      <c r="B2880" s="24" t="s">
        <v>6787</v>
      </c>
      <c r="C2880" s="24" t="s">
        <v>7291</v>
      </c>
      <c r="D2880" s="59">
        <v>2.0</v>
      </c>
      <c r="E2880" s="59">
        <v>2.0</v>
      </c>
      <c r="F2880" s="59">
        <v>2.0</v>
      </c>
      <c r="G2880" s="60">
        <v>1.0</v>
      </c>
      <c r="H2880" s="60">
        <v>1.0</v>
      </c>
      <c r="I2880" s="60">
        <v>0.0</v>
      </c>
      <c r="J2880" s="59">
        <v>2.0</v>
      </c>
      <c r="K2880" s="61">
        <f t="shared" si="1"/>
        <v>1</v>
      </c>
      <c r="L2880" s="62">
        <f t="shared" si="2"/>
        <v>1</v>
      </c>
    </row>
    <row r="2881">
      <c r="A2881" s="58">
        <v>45931.0</v>
      </c>
      <c r="B2881" s="24" t="s">
        <v>6787</v>
      </c>
      <c r="C2881" s="24" t="s">
        <v>7292</v>
      </c>
      <c r="D2881" s="59">
        <v>2.0</v>
      </c>
      <c r="E2881" s="59">
        <v>2.0</v>
      </c>
      <c r="F2881" s="59">
        <v>2.0</v>
      </c>
      <c r="G2881" s="60">
        <v>1.0</v>
      </c>
      <c r="H2881" s="60">
        <v>0.5</v>
      </c>
      <c r="I2881" s="60">
        <v>5.573685</v>
      </c>
      <c r="J2881" s="59">
        <v>2.0</v>
      </c>
      <c r="K2881" s="61">
        <f t="shared" si="1"/>
        <v>1</v>
      </c>
      <c r="L2881" s="62">
        <f t="shared" si="2"/>
        <v>1</v>
      </c>
    </row>
    <row r="2882">
      <c r="A2882" s="58">
        <v>45931.0</v>
      </c>
      <c r="B2882" s="24" t="s">
        <v>6787</v>
      </c>
      <c r="C2882" s="24" t="s">
        <v>6980</v>
      </c>
      <c r="D2882" s="59">
        <v>2.0</v>
      </c>
      <c r="E2882" s="59">
        <v>2.0</v>
      </c>
      <c r="F2882" s="59">
        <v>1.0</v>
      </c>
      <c r="G2882" s="60">
        <v>1.0</v>
      </c>
      <c r="H2882" s="60">
        <v>0.5</v>
      </c>
      <c r="I2882" s="60">
        <v>6.7786995</v>
      </c>
      <c r="J2882" s="59">
        <v>4.0</v>
      </c>
      <c r="K2882" s="61">
        <f t="shared" si="1"/>
        <v>0.5</v>
      </c>
      <c r="L2882" s="62">
        <f t="shared" si="2"/>
        <v>2</v>
      </c>
    </row>
    <row r="2883">
      <c r="A2883" s="58">
        <v>45931.0</v>
      </c>
      <c r="B2883" s="24" t="s">
        <v>6787</v>
      </c>
      <c r="C2883" s="24" t="s">
        <v>7194</v>
      </c>
      <c r="D2883" s="59">
        <v>2.0</v>
      </c>
      <c r="E2883" s="59">
        <v>2.0</v>
      </c>
      <c r="F2883" s="59">
        <v>2.0</v>
      </c>
      <c r="G2883" s="60">
        <v>1.0</v>
      </c>
      <c r="H2883" s="60">
        <v>0.0</v>
      </c>
      <c r="I2883" s="60">
        <v>36.274432</v>
      </c>
      <c r="J2883" s="59">
        <v>2.0</v>
      </c>
      <c r="K2883" s="61">
        <f t="shared" si="1"/>
        <v>1</v>
      </c>
      <c r="L2883" s="62">
        <f t="shared" si="2"/>
        <v>1</v>
      </c>
    </row>
    <row r="2884">
      <c r="A2884" s="58">
        <v>45931.0</v>
      </c>
      <c r="B2884" s="24" t="s">
        <v>155</v>
      </c>
      <c r="C2884" s="24" t="s">
        <v>6803</v>
      </c>
      <c r="D2884" s="59">
        <v>2.0</v>
      </c>
      <c r="E2884" s="59">
        <v>2.0</v>
      </c>
      <c r="F2884" s="59">
        <v>2.0</v>
      </c>
      <c r="G2884" s="60">
        <v>1.0</v>
      </c>
      <c r="H2884" s="60">
        <v>0.5</v>
      </c>
      <c r="I2884" s="60">
        <v>65.838022</v>
      </c>
      <c r="J2884" s="59">
        <v>3.0</v>
      </c>
      <c r="K2884" s="61">
        <f t="shared" si="1"/>
        <v>1</v>
      </c>
      <c r="L2884" s="62">
        <f t="shared" si="2"/>
        <v>1.5</v>
      </c>
    </row>
    <row r="2885">
      <c r="A2885" s="58">
        <v>45931.0</v>
      </c>
      <c r="B2885" s="24" t="s">
        <v>6789</v>
      </c>
      <c r="C2885" s="24" t="s">
        <v>6817</v>
      </c>
      <c r="D2885" s="59">
        <v>2.0</v>
      </c>
      <c r="E2885" s="59">
        <v>4.0</v>
      </c>
      <c r="F2885" s="59">
        <v>0.0</v>
      </c>
      <c r="G2885" s="60">
        <v>2.0</v>
      </c>
      <c r="H2885" s="60">
        <v>0.25</v>
      </c>
      <c r="I2885" s="60">
        <v>1505.96594125</v>
      </c>
      <c r="J2885" s="59">
        <v>7.0</v>
      </c>
      <c r="K2885" s="61">
        <f t="shared" si="1"/>
        <v>0</v>
      </c>
      <c r="L2885" s="62">
        <f t="shared" si="2"/>
        <v>1.75</v>
      </c>
    </row>
    <row r="2886">
      <c r="A2886" s="58">
        <v>45931.0</v>
      </c>
      <c r="B2886" s="24" t="s">
        <v>6789</v>
      </c>
      <c r="C2886" s="24" t="s">
        <v>7056</v>
      </c>
      <c r="D2886" s="59">
        <v>2.0</v>
      </c>
      <c r="E2886" s="59">
        <v>2.0</v>
      </c>
      <c r="F2886" s="59">
        <v>2.0</v>
      </c>
      <c r="G2886" s="60">
        <v>1.0</v>
      </c>
      <c r="H2886" s="60">
        <v>0.0</v>
      </c>
      <c r="I2886" s="60">
        <v>193.111395</v>
      </c>
      <c r="J2886" s="59">
        <v>3.0</v>
      </c>
      <c r="K2886" s="61">
        <f t="shared" si="1"/>
        <v>1</v>
      </c>
      <c r="L2886" s="62">
        <f t="shared" si="2"/>
        <v>1.5</v>
      </c>
    </row>
    <row r="2887">
      <c r="A2887" s="58">
        <v>45931.0</v>
      </c>
      <c r="B2887" s="24" t="s">
        <v>6787</v>
      </c>
      <c r="C2887" s="24" t="s">
        <v>6828</v>
      </c>
      <c r="D2887" s="59">
        <v>2.0</v>
      </c>
      <c r="E2887" s="59">
        <v>2.0</v>
      </c>
      <c r="F2887" s="59">
        <v>2.0</v>
      </c>
      <c r="G2887" s="60">
        <v>1.0</v>
      </c>
      <c r="H2887" s="60">
        <v>0.5</v>
      </c>
      <c r="I2887" s="60">
        <v>25.013619</v>
      </c>
      <c r="J2887" s="59">
        <v>2.0</v>
      </c>
      <c r="K2887" s="61">
        <f t="shared" si="1"/>
        <v>1</v>
      </c>
      <c r="L2887" s="62">
        <f t="shared" si="2"/>
        <v>1</v>
      </c>
    </row>
    <row r="2888">
      <c r="A2888" s="58">
        <v>45931.0</v>
      </c>
      <c r="B2888" s="24" t="s">
        <v>6789</v>
      </c>
      <c r="C2888" s="24" t="s">
        <v>6828</v>
      </c>
      <c r="D2888" s="59">
        <v>2.0</v>
      </c>
      <c r="E2888" s="59">
        <v>2.0</v>
      </c>
      <c r="F2888" s="59">
        <v>2.0</v>
      </c>
      <c r="G2888" s="60">
        <v>1.0</v>
      </c>
      <c r="H2888" s="60">
        <v>0.0</v>
      </c>
      <c r="I2888" s="60">
        <v>665.474636</v>
      </c>
      <c r="J2888" s="59">
        <v>3.0</v>
      </c>
      <c r="K2888" s="61">
        <f t="shared" si="1"/>
        <v>1</v>
      </c>
      <c r="L2888" s="62">
        <f t="shared" si="2"/>
        <v>1.5</v>
      </c>
    </row>
    <row r="2889">
      <c r="A2889" s="58">
        <v>45931.0</v>
      </c>
      <c r="B2889" s="24" t="s">
        <v>6787</v>
      </c>
      <c r="C2889" s="24" t="s">
        <v>6984</v>
      </c>
      <c r="D2889" s="59">
        <v>2.0</v>
      </c>
      <c r="E2889" s="59">
        <v>2.0</v>
      </c>
      <c r="F2889" s="59">
        <v>2.0</v>
      </c>
      <c r="G2889" s="60">
        <v>1.0</v>
      </c>
      <c r="H2889" s="60">
        <v>0.5</v>
      </c>
      <c r="I2889" s="60">
        <v>26.449965</v>
      </c>
      <c r="J2889" s="59">
        <v>2.0</v>
      </c>
      <c r="K2889" s="61">
        <f t="shared" si="1"/>
        <v>1</v>
      </c>
      <c r="L2889" s="62">
        <f t="shared" si="2"/>
        <v>1</v>
      </c>
    </row>
    <row r="2890">
      <c r="A2890" s="58">
        <v>45931.0</v>
      </c>
      <c r="B2890" s="24" t="s">
        <v>6789</v>
      </c>
      <c r="C2890" s="24" t="s">
        <v>6943</v>
      </c>
      <c r="D2890" s="59">
        <v>2.0</v>
      </c>
      <c r="E2890" s="59">
        <v>2.0</v>
      </c>
      <c r="F2890" s="59">
        <v>2.0</v>
      </c>
      <c r="G2890" s="60">
        <v>1.0</v>
      </c>
      <c r="H2890" s="60">
        <v>0.0</v>
      </c>
      <c r="I2890" s="60">
        <v>449.8740285</v>
      </c>
      <c r="J2890" s="59">
        <v>3.0</v>
      </c>
      <c r="K2890" s="61">
        <f t="shared" si="1"/>
        <v>1</v>
      </c>
      <c r="L2890" s="62">
        <f t="shared" si="2"/>
        <v>1.5</v>
      </c>
    </row>
    <row r="2891">
      <c r="A2891" s="58">
        <v>45931.0</v>
      </c>
      <c r="B2891" s="24" t="s">
        <v>155</v>
      </c>
      <c r="C2891" s="24" t="s">
        <v>6804</v>
      </c>
      <c r="D2891" s="59">
        <v>2.0</v>
      </c>
      <c r="E2891" s="59">
        <v>3.0</v>
      </c>
      <c r="F2891" s="59">
        <v>2.0</v>
      </c>
      <c r="G2891" s="60">
        <v>1.5</v>
      </c>
      <c r="H2891" s="60">
        <v>1.0</v>
      </c>
      <c r="I2891" s="60">
        <v>0.0</v>
      </c>
      <c r="J2891" s="59">
        <v>3.0</v>
      </c>
      <c r="K2891" s="61">
        <f t="shared" si="1"/>
        <v>0.6666666667</v>
      </c>
      <c r="L2891" s="62">
        <f t="shared" si="2"/>
        <v>1</v>
      </c>
    </row>
    <row r="2892">
      <c r="A2892" s="58">
        <v>45931.0</v>
      </c>
      <c r="B2892" s="24" t="s">
        <v>6787</v>
      </c>
      <c r="C2892" s="24" t="s">
        <v>7058</v>
      </c>
      <c r="D2892" s="59">
        <v>2.0</v>
      </c>
      <c r="E2892" s="59">
        <v>2.0</v>
      </c>
      <c r="F2892" s="59">
        <v>2.0</v>
      </c>
      <c r="G2892" s="60">
        <v>1.0</v>
      </c>
      <c r="H2892" s="60">
        <v>0.0</v>
      </c>
      <c r="I2892" s="60">
        <v>32.376609</v>
      </c>
      <c r="J2892" s="59">
        <v>2.0</v>
      </c>
      <c r="K2892" s="61">
        <f t="shared" si="1"/>
        <v>1</v>
      </c>
      <c r="L2892" s="62">
        <f t="shared" si="2"/>
        <v>1</v>
      </c>
    </row>
    <row r="2893">
      <c r="A2893" s="58">
        <v>45931.0</v>
      </c>
      <c r="B2893" s="24" t="s">
        <v>6787</v>
      </c>
      <c r="C2893" s="24" t="s">
        <v>7039</v>
      </c>
      <c r="D2893" s="59">
        <v>2.0</v>
      </c>
      <c r="E2893" s="59">
        <v>2.0</v>
      </c>
      <c r="F2893" s="59">
        <v>2.0</v>
      </c>
      <c r="G2893" s="60">
        <v>1.0</v>
      </c>
      <c r="H2893" s="60">
        <v>0.5</v>
      </c>
      <c r="I2893" s="60">
        <v>28.213537</v>
      </c>
      <c r="J2893" s="59">
        <v>2.0</v>
      </c>
      <c r="K2893" s="61">
        <f t="shared" si="1"/>
        <v>1</v>
      </c>
      <c r="L2893" s="62">
        <f t="shared" si="2"/>
        <v>1</v>
      </c>
    </row>
    <row r="2894">
      <c r="A2894" s="58">
        <v>45931.0</v>
      </c>
      <c r="B2894" s="24" t="s">
        <v>6787</v>
      </c>
      <c r="C2894" s="24" t="s">
        <v>7187</v>
      </c>
      <c r="D2894" s="59">
        <v>2.0</v>
      </c>
      <c r="E2894" s="59">
        <v>2.0</v>
      </c>
      <c r="F2894" s="59">
        <v>2.0</v>
      </c>
      <c r="G2894" s="60">
        <v>1.0</v>
      </c>
      <c r="H2894" s="60">
        <v>0.5</v>
      </c>
      <c r="I2894" s="60">
        <v>27.346021</v>
      </c>
      <c r="J2894" s="59">
        <v>2.0</v>
      </c>
      <c r="K2894" s="61">
        <f t="shared" si="1"/>
        <v>1</v>
      </c>
      <c r="L2894" s="62">
        <f t="shared" si="2"/>
        <v>1</v>
      </c>
    </row>
    <row r="2895">
      <c r="A2895" s="58">
        <v>45931.0</v>
      </c>
      <c r="B2895" s="24" t="s">
        <v>6787</v>
      </c>
      <c r="C2895" s="24" t="s">
        <v>6861</v>
      </c>
      <c r="D2895" s="59">
        <v>2.0</v>
      </c>
      <c r="E2895" s="59">
        <v>2.0</v>
      </c>
      <c r="F2895" s="59">
        <v>2.0</v>
      </c>
      <c r="G2895" s="60">
        <v>1.0</v>
      </c>
      <c r="H2895" s="60">
        <v>0.5</v>
      </c>
      <c r="I2895" s="60">
        <v>27.708959</v>
      </c>
      <c r="J2895" s="59">
        <v>2.0</v>
      </c>
      <c r="K2895" s="61">
        <f t="shared" si="1"/>
        <v>1</v>
      </c>
      <c r="L2895" s="62">
        <f t="shared" si="2"/>
        <v>1</v>
      </c>
    </row>
    <row r="2896">
      <c r="A2896" s="58">
        <v>45931.0</v>
      </c>
      <c r="B2896" s="24" t="s">
        <v>6789</v>
      </c>
      <c r="C2896" s="24" t="s">
        <v>6861</v>
      </c>
      <c r="D2896" s="59">
        <v>2.0</v>
      </c>
      <c r="E2896" s="59">
        <v>2.0</v>
      </c>
      <c r="F2896" s="59">
        <v>2.0</v>
      </c>
      <c r="G2896" s="60">
        <v>1.0</v>
      </c>
      <c r="H2896" s="60">
        <v>0.5</v>
      </c>
      <c r="I2896" s="60">
        <v>38.253532</v>
      </c>
      <c r="J2896" s="59">
        <v>2.0</v>
      </c>
      <c r="K2896" s="61">
        <f t="shared" si="1"/>
        <v>1</v>
      </c>
      <c r="L2896" s="62">
        <f t="shared" si="2"/>
        <v>1</v>
      </c>
    </row>
    <row r="2897">
      <c r="A2897" s="58">
        <v>45931.0</v>
      </c>
      <c r="B2897" s="24" t="s">
        <v>6787</v>
      </c>
      <c r="C2897" s="24" t="s">
        <v>7059</v>
      </c>
      <c r="D2897" s="59">
        <v>2.0</v>
      </c>
      <c r="E2897" s="59">
        <v>2.0</v>
      </c>
      <c r="F2897" s="59">
        <v>2.0</v>
      </c>
      <c r="G2897" s="60">
        <v>1.0</v>
      </c>
      <c r="H2897" s="60">
        <v>1.0</v>
      </c>
      <c r="I2897" s="60">
        <v>2.9597535</v>
      </c>
      <c r="J2897" s="59">
        <v>2.0</v>
      </c>
      <c r="K2897" s="61">
        <f t="shared" si="1"/>
        <v>1</v>
      </c>
      <c r="L2897" s="62">
        <f t="shared" si="2"/>
        <v>1</v>
      </c>
    </row>
    <row r="2898">
      <c r="A2898" s="58">
        <v>45931.0</v>
      </c>
      <c r="B2898" s="24" t="s">
        <v>6787</v>
      </c>
      <c r="C2898" s="24" t="s">
        <v>6831</v>
      </c>
      <c r="D2898" s="59">
        <v>2.0</v>
      </c>
      <c r="E2898" s="59">
        <v>2.0</v>
      </c>
      <c r="F2898" s="59">
        <v>2.0</v>
      </c>
      <c r="G2898" s="60">
        <v>1.0</v>
      </c>
      <c r="H2898" s="60">
        <v>0.5</v>
      </c>
      <c r="I2898" s="60">
        <v>27.85566</v>
      </c>
      <c r="J2898" s="59">
        <v>2.0</v>
      </c>
      <c r="K2898" s="61">
        <f t="shared" si="1"/>
        <v>1</v>
      </c>
      <c r="L2898" s="62">
        <f t="shared" si="2"/>
        <v>1</v>
      </c>
    </row>
    <row r="2899">
      <c r="A2899" s="58">
        <v>45931.0</v>
      </c>
      <c r="B2899" s="24" t="s">
        <v>6787</v>
      </c>
      <c r="C2899" s="24" t="s">
        <v>6819</v>
      </c>
      <c r="D2899" s="59">
        <v>2.0</v>
      </c>
      <c r="E2899" s="59">
        <v>2.0</v>
      </c>
      <c r="F2899" s="59">
        <v>2.0</v>
      </c>
      <c r="G2899" s="60">
        <v>1.0</v>
      </c>
      <c r="H2899" s="60">
        <v>0.5</v>
      </c>
      <c r="I2899" s="60">
        <v>6.940399</v>
      </c>
      <c r="J2899" s="59">
        <v>2.0</v>
      </c>
      <c r="K2899" s="61">
        <f t="shared" si="1"/>
        <v>1</v>
      </c>
      <c r="L2899" s="62">
        <f t="shared" si="2"/>
        <v>1</v>
      </c>
    </row>
    <row r="2900">
      <c r="A2900" s="58">
        <v>45931.0</v>
      </c>
      <c r="B2900" s="24" t="s">
        <v>155</v>
      </c>
      <c r="C2900" s="24" t="s">
        <v>6927</v>
      </c>
      <c r="D2900" s="59">
        <v>2.0</v>
      </c>
      <c r="E2900" s="59">
        <v>2.0</v>
      </c>
      <c r="F2900" s="59">
        <v>2.0</v>
      </c>
      <c r="G2900" s="60">
        <v>1.0</v>
      </c>
      <c r="H2900" s="60">
        <v>1.0</v>
      </c>
      <c r="I2900" s="60">
        <v>0.0</v>
      </c>
      <c r="J2900" s="59">
        <v>2.0</v>
      </c>
      <c r="K2900" s="61">
        <f t="shared" si="1"/>
        <v>1</v>
      </c>
      <c r="L2900" s="62">
        <f t="shared" si="2"/>
        <v>1</v>
      </c>
    </row>
    <row r="2901">
      <c r="A2901" s="58">
        <v>45931.0</v>
      </c>
      <c r="B2901" s="24" t="s">
        <v>6789</v>
      </c>
      <c r="C2901" s="24" t="s">
        <v>6986</v>
      </c>
      <c r="D2901" s="59">
        <v>2.0</v>
      </c>
      <c r="E2901" s="59">
        <v>6.0</v>
      </c>
      <c r="F2901" s="59">
        <v>1.0</v>
      </c>
      <c r="G2901" s="60">
        <v>3.0</v>
      </c>
      <c r="H2901" s="60">
        <v>1.0</v>
      </c>
      <c r="I2901" s="60">
        <v>2.4685215</v>
      </c>
      <c r="J2901" s="59">
        <v>6.0</v>
      </c>
      <c r="K2901" s="61">
        <f t="shared" si="1"/>
        <v>0.1666666667</v>
      </c>
      <c r="L2901" s="62">
        <f t="shared" si="2"/>
        <v>1</v>
      </c>
    </row>
    <row r="2902">
      <c r="A2902" s="58">
        <v>45931.0</v>
      </c>
      <c r="B2902" s="24" t="s">
        <v>6789</v>
      </c>
      <c r="C2902" s="24" t="s">
        <v>6870</v>
      </c>
      <c r="D2902" s="59">
        <v>2.0</v>
      </c>
      <c r="E2902" s="59">
        <v>3.0</v>
      </c>
      <c r="F2902" s="59">
        <v>0.0</v>
      </c>
      <c r="G2902" s="60">
        <v>1.5</v>
      </c>
      <c r="H2902" s="60">
        <v>0.666666666666666</v>
      </c>
      <c r="I2902" s="60">
        <v>4.543412</v>
      </c>
      <c r="J2902" s="59">
        <v>4.0</v>
      </c>
      <c r="K2902" s="61">
        <f t="shared" si="1"/>
        <v>0</v>
      </c>
      <c r="L2902" s="62">
        <f t="shared" si="2"/>
        <v>1.333333333</v>
      </c>
    </row>
    <row r="2903">
      <c r="A2903" s="58">
        <v>45931.0</v>
      </c>
      <c r="B2903" s="24" t="s">
        <v>6787</v>
      </c>
      <c r="C2903" s="24" t="s">
        <v>7062</v>
      </c>
      <c r="D2903" s="59">
        <v>2.0</v>
      </c>
      <c r="E2903" s="59">
        <v>2.0</v>
      </c>
      <c r="F2903" s="59">
        <v>2.0</v>
      </c>
      <c r="G2903" s="60">
        <v>1.0</v>
      </c>
      <c r="H2903" s="60">
        <v>0.5</v>
      </c>
      <c r="I2903" s="60">
        <v>26.613984</v>
      </c>
      <c r="J2903" s="59">
        <v>2.0</v>
      </c>
      <c r="K2903" s="61">
        <f t="shared" si="1"/>
        <v>1</v>
      </c>
      <c r="L2903" s="62">
        <f t="shared" si="2"/>
        <v>1</v>
      </c>
    </row>
    <row r="2904">
      <c r="A2904" s="58">
        <v>45931.0</v>
      </c>
      <c r="B2904" s="24" t="s">
        <v>6790</v>
      </c>
      <c r="C2904" s="24" t="s">
        <v>7024</v>
      </c>
      <c r="D2904" s="59">
        <v>2.0</v>
      </c>
      <c r="E2904" s="59">
        <v>2.0</v>
      </c>
      <c r="F2904" s="59">
        <v>2.0</v>
      </c>
      <c r="G2904" s="60">
        <v>1.0</v>
      </c>
      <c r="H2904" s="60">
        <v>0.5</v>
      </c>
      <c r="I2904" s="60">
        <v>116.3864715</v>
      </c>
      <c r="J2904" s="59">
        <v>2.0</v>
      </c>
      <c r="K2904" s="61">
        <f t="shared" si="1"/>
        <v>1</v>
      </c>
      <c r="L2904" s="62">
        <f t="shared" si="2"/>
        <v>1</v>
      </c>
    </row>
    <row r="2905">
      <c r="A2905" s="58">
        <v>45931.0</v>
      </c>
      <c r="B2905" s="24" t="s">
        <v>6787</v>
      </c>
      <c r="C2905" s="24" t="s">
        <v>7064</v>
      </c>
      <c r="D2905" s="59">
        <v>2.0</v>
      </c>
      <c r="E2905" s="59">
        <v>2.0</v>
      </c>
      <c r="F2905" s="59">
        <v>2.0</v>
      </c>
      <c r="G2905" s="60">
        <v>1.0</v>
      </c>
      <c r="H2905" s="60">
        <v>0.5</v>
      </c>
      <c r="I2905" s="60">
        <v>26.687327</v>
      </c>
      <c r="J2905" s="59">
        <v>2.0</v>
      </c>
      <c r="K2905" s="61">
        <f t="shared" si="1"/>
        <v>1</v>
      </c>
      <c r="L2905" s="62">
        <f t="shared" si="2"/>
        <v>1</v>
      </c>
    </row>
    <row r="2906">
      <c r="A2906" s="58">
        <v>45931.0</v>
      </c>
      <c r="B2906" s="24" t="s">
        <v>6787</v>
      </c>
      <c r="C2906" s="24" t="s">
        <v>6875</v>
      </c>
      <c r="D2906" s="59">
        <v>2.0</v>
      </c>
      <c r="E2906" s="59">
        <v>2.0</v>
      </c>
      <c r="F2906" s="59">
        <v>2.0</v>
      </c>
      <c r="G2906" s="60">
        <v>1.0</v>
      </c>
      <c r="H2906" s="60">
        <v>0.5</v>
      </c>
      <c r="I2906" s="60">
        <v>25.1540435</v>
      </c>
      <c r="J2906" s="59">
        <v>2.0</v>
      </c>
      <c r="K2906" s="61">
        <f t="shared" si="1"/>
        <v>1</v>
      </c>
      <c r="L2906" s="62">
        <f t="shared" si="2"/>
        <v>1</v>
      </c>
    </row>
    <row r="2907">
      <c r="A2907" s="58">
        <v>45931.0</v>
      </c>
      <c r="B2907" s="24" t="s">
        <v>155</v>
      </c>
      <c r="C2907" s="24" t="s">
        <v>6875</v>
      </c>
      <c r="D2907" s="59">
        <v>2.0</v>
      </c>
      <c r="E2907" s="59">
        <v>3.0</v>
      </c>
      <c r="F2907" s="59">
        <v>2.0</v>
      </c>
      <c r="G2907" s="60">
        <v>1.5</v>
      </c>
      <c r="H2907" s="60">
        <v>0.333333333333333</v>
      </c>
      <c r="I2907" s="60">
        <v>127.566927</v>
      </c>
      <c r="J2907" s="59">
        <v>3.0</v>
      </c>
      <c r="K2907" s="61">
        <f t="shared" si="1"/>
        <v>0.6666666667</v>
      </c>
      <c r="L2907" s="62">
        <f t="shared" si="2"/>
        <v>1</v>
      </c>
    </row>
    <row r="2908">
      <c r="A2908" s="58">
        <v>45931.0</v>
      </c>
      <c r="B2908" s="24" t="s">
        <v>6787</v>
      </c>
      <c r="C2908" s="24" t="s">
        <v>7066</v>
      </c>
      <c r="D2908" s="59">
        <v>2.0</v>
      </c>
      <c r="E2908" s="59">
        <v>2.0</v>
      </c>
      <c r="F2908" s="59">
        <v>2.0</v>
      </c>
      <c r="G2908" s="60">
        <v>1.0</v>
      </c>
      <c r="H2908" s="60">
        <v>1.0</v>
      </c>
      <c r="I2908" s="60">
        <v>0.0</v>
      </c>
      <c r="J2908" s="59">
        <v>2.0</v>
      </c>
      <c r="K2908" s="61">
        <f t="shared" si="1"/>
        <v>1</v>
      </c>
      <c r="L2908" s="62">
        <f t="shared" si="2"/>
        <v>1</v>
      </c>
    </row>
    <row r="2909">
      <c r="A2909" s="58">
        <v>45931.0</v>
      </c>
      <c r="B2909" s="24" t="s">
        <v>6787</v>
      </c>
      <c r="C2909" s="24" t="s">
        <v>6881</v>
      </c>
      <c r="D2909" s="59">
        <v>2.0</v>
      </c>
      <c r="E2909" s="59">
        <v>2.0</v>
      </c>
      <c r="F2909" s="59">
        <v>2.0</v>
      </c>
      <c r="G2909" s="60">
        <v>1.0</v>
      </c>
      <c r="H2909" s="60">
        <v>1.0</v>
      </c>
      <c r="I2909" s="60">
        <v>1.164235</v>
      </c>
      <c r="J2909" s="59">
        <v>2.0</v>
      </c>
      <c r="K2909" s="61">
        <f t="shared" si="1"/>
        <v>1</v>
      </c>
      <c r="L2909" s="62">
        <f t="shared" si="2"/>
        <v>1</v>
      </c>
    </row>
    <row r="2910">
      <c r="A2910" s="58">
        <v>45931.0</v>
      </c>
      <c r="B2910" s="24" t="s">
        <v>155</v>
      </c>
      <c r="C2910" s="24" t="s">
        <v>6881</v>
      </c>
      <c r="D2910" s="59">
        <v>2.0</v>
      </c>
      <c r="E2910" s="59">
        <v>2.0</v>
      </c>
      <c r="F2910" s="59">
        <v>1.0</v>
      </c>
      <c r="G2910" s="60">
        <v>2.0</v>
      </c>
      <c r="H2910" s="60">
        <v>0.5</v>
      </c>
      <c r="I2910" s="60">
        <v>535.4180295</v>
      </c>
      <c r="J2910" s="59">
        <v>2.0</v>
      </c>
      <c r="K2910" s="61">
        <f t="shared" si="1"/>
        <v>0.5</v>
      </c>
      <c r="L2910" s="62">
        <f t="shared" si="2"/>
        <v>1</v>
      </c>
    </row>
    <row r="2911">
      <c r="A2911" s="58">
        <v>45931.0</v>
      </c>
      <c r="B2911" s="24" t="s">
        <v>155</v>
      </c>
      <c r="C2911" s="24" t="s">
        <v>6835</v>
      </c>
      <c r="D2911" s="59">
        <v>2.0</v>
      </c>
      <c r="E2911" s="59">
        <v>2.0</v>
      </c>
      <c r="F2911" s="59">
        <v>2.0</v>
      </c>
      <c r="G2911" s="60">
        <v>1.0</v>
      </c>
      <c r="H2911" s="60">
        <v>0.5</v>
      </c>
      <c r="I2911" s="60">
        <v>161.478245999999</v>
      </c>
      <c r="J2911" s="59">
        <v>3.0</v>
      </c>
      <c r="K2911" s="61">
        <f t="shared" si="1"/>
        <v>1</v>
      </c>
      <c r="L2911" s="62">
        <f t="shared" si="2"/>
        <v>1.5</v>
      </c>
    </row>
    <row r="2912">
      <c r="A2912" s="58">
        <v>45931.0</v>
      </c>
      <c r="B2912" s="24" t="s">
        <v>6787</v>
      </c>
      <c r="C2912" s="24" t="s">
        <v>6992</v>
      </c>
      <c r="D2912" s="59">
        <v>2.0</v>
      </c>
      <c r="E2912" s="59">
        <v>2.0</v>
      </c>
      <c r="F2912" s="59">
        <v>2.0</v>
      </c>
      <c r="G2912" s="60">
        <v>1.0</v>
      </c>
      <c r="H2912" s="60">
        <v>0.0</v>
      </c>
      <c r="I2912" s="60">
        <v>29.9238465</v>
      </c>
      <c r="J2912" s="59">
        <v>2.0</v>
      </c>
      <c r="K2912" s="61">
        <f t="shared" si="1"/>
        <v>1</v>
      </c>
      <c r="L2912" s="62">
        <f t="shared" si="2"/>
        <v>1</v>
      </c>
    </row>
    <row r="2913">
      <c r="A2913" s="58">
        <v>45931.0</v>
      </c>
      <c r="B2913" s="24" t="s">
        <v>6787</v>
      </c>
      <c r="C2913" s="24" t="s">
        <v>6836</v>
      </c>
      <c r="D2913" s="59">
        <v>2.0</v>
      </c>
      <c r="E2913" s="59">
        <v>2.0</v>
      </c>
      <c r="F2913" s="59">
        <v>2.0</v>
      </c>
      <c r="G2913" s="60">
        <v>1.0</v>
      </c>
      <c r="H2913" s="60">
        <v>0.5</v>
      </c>
      <c r="I2913" s="60">
        <v>23.487533</v>
      </c>
      <c r="J2913" s="59">
        <v>2.0</v>
      </c>
      <c r="K2913" s="61">
        <f t="shared" si="1"/>
        <v>1</v>
      </c>
      <c r="L2913" s="62">
        <f t="shared" si="2"/>
        <v>1</v>
      </c>
    </row>
    <row r="2914">
      <c r="A2914" s="58">
        <v>45931.0</v>
      </c>
      <c r="B2914" s="24" t="s">
        <v>6787</v>
      </c>
      <c r="C2914" s="24" t="s">
        <v>7071</v>
      </c>
      <c r="D2914" s="59">
        <v>2.0</v>
      </c>
      <c r="E2914" s="59">
        <v>2.0</v>
      </c>
      <c r="F2914" s="59">
        <v>2.0</v>
      </c>
      <c r="G2914" s="60">
        <v>1.0</v>
      </c>
      <c r="H2914" s="60">
        <v>0.5</v>
      </c>
      <c r="I2914" s="60">
        <v>27.791197</v>
      </c>
      <c r="J2914" s="59">
        <v>2.0</v>
      </c>
      <c r="K2914" s="61">
        <f t="shared" si="1"/>
        <v>1</v>
      </c>
      <c r="L2914" s="62">
        <f t="shared" si="2"/>
        <v>1</v>
      </c>
    </row>
    <row r="2915">
      <c r="A2915" s="58">
        <v>45931.0</v>
      </c>
      <c r="B2915" s="24" t="s">
        <v>6787</v>
      </c>
      <c r="C2915" s="24" t="s">
        <v>7072</v>
      </c>
      <c r="D2915" s="59">
        <v>2.0</v>
      </c>
      <c r="E2915" s="59">
        <v>2.0</v>
      </c>
      <c r="F2915" s="59">
        <v>2.0</v>
      </c>
      <c r="G2915" s="60">
        <v>1.0</v>
      </c>
      <c r="H2915" s="60">
        <v>0.5</v>
      </c>
      <c r="I2915" s="60">
        <v>25.641367</v>
      </c>
      <c r="J2915" s="59">
        <v>2.0</v>
      </c>
      <c r="K2915" s="61">
        <f t="shared" si="1"/>
        <v>1</v>
      </c>
      <c r="L2915" s="62">
        <f t="shared" si="2"/>
        <v>1</v>
      </c>
    </row>
    <row r="2916">
      <c r="A2916" s="58">
        <v>45931.0</v>
      </c>
      <c r="B2916" s="24" t="s">
        <v>6787</v>
      </c>
      <c r="C2916" s="24" t="s">
        <v>6945</v>
      </c>
      <c r="D2916" s="59">
        <v>2.0</v>
      </c>
      <c r="E2916" s="59">
        <v>2.0</v>
      </c>
      <c r="F2916" s="59">
        <v>2.0</v>
      </c>
      <c r="G2916" s="60">
        <v>1.0</v>
      </c>
      <c r="H2916" s="60">
        <v>0.5</v>
      </c>
      <c r="I2916" s="60">
        <v>23.745553</v>
      </c>
      <c r="J2916" s="59">
        <v>2.0</v>
      </c>
      <c r="K2916" s="61">
        <f t="shared" si="1"/>
        <v>1</v>
      </c>
      <c r="L2916" s="62">
        <f t="shared" si="2"/>
        <v>1</v>
      </c>
    </row>
    <row r="2917">
      <c r="A2917" s="58">
        <v>45931.0</v>
      </c>
      <c r="B2917" s="24" t="s">
        <v>6789</v>
      </c>
      <c r="C2917" s="24" t="s">
        <v>7074</v>
      </c>
      <c r="D2917" s="59">
        <v>2.0</v>
      </c>
      <c r="E2917" s="59">
        <v>2.0</v>
      </c>
      <c r="F2917" s="59">
        <v>2.0</v>
      </c>
      <c r="G2917" s="60">
        <v>1.0</v>
      </c>
      <c r="H2917" s="60">
        <v>1.0</v>
      </c>
      <c r="I2917" s="60">
        <v>0.0</v>
      </c>
      <c r="J2917" s="59">
        <v>2.0</v>
      </c>
      <c r="K2917" s="61">
        <f t="shared" si="1"/>
        <v>1</v>
      </c>
      <c r="L2917" s="62">
        <f t="shared" si="2"/>
        <v>1</v>
      </c>
    </row>
    <row r="2918">
      <c r="A2918" s="58">
        <v>45931.0</v>
      </c>
      <c r="B2918" s="24" t="s">
        <v>6791</v>
      </c>
      <c r="C2918" s="24" t="s">
        <v>6886</v>
      </c>
      <c r="D2918" s="59">
        <v>2.0</v>
      </c>
      <c r="E2918" s="59">
        <v>9.0</v>
      </c>
      <c r="F2918" s="59">
        <v>0.0</v>
      </c>
      <c r="G2918" s="60">
        <v>4.5</v>
      </c>
      <c r="H2918" s="60">
        <v>0.777777777777777</v>
      </c>
      <c r="I2918" s="60">
        <v>9.44470422222222</v>
      </c>
      <c r="J2918" s="59">
        <v>9.0</v>
      </c>
      <c r="K2918" s="61">
        <f t="shared" si="1"/>
        <v>0</v>
      </c>
      <c r="L2918" s="62">
        <f t="shared" si="2"/>
        <v>1</v>
      </c>
    </row>
    <row r="2919">
      <c r="A2919" s="58">
        <v>45931.0</v>
      </c>
      <c r="B2919" s="24" t="s">
        <v>155</v>
      </c>
      <c r="C2919" s="24" t="s">
        <v>6799</v>
      </c>
      <c r="D2919" s="59">
        <v>2.0</v>
      </c>
      <c r="E2919" s="59">
        <v>2.0</v>
      </c>
      <c r="F2919" s="59">
        <v>0.0</v>
      </c>
      <c r="G2919" s="60">
        <v>1.0</v>
      </c>
      <c r="H2919" s="60">
        <v>0.0</v>
      </c>
      <c r="I2919" s="60">
        <v>79.424529</v>
      </c>
      <c r="J2919" s="59">
        <v>3.0</v>
      </c>
      <c r="K2919" s="61">
        <f t="shared" si="1"/>
        <v>0</v>
      </c>
      <c r="L2919" s="62">
        <f t="shared" si="2"/>
        <v>1.5</v>
      </c>
    </row>
    <row r="2920">
      <c r="A2920" s="58">
        <v>45931.0</v>
      </c>
      <c r="B2920" s="24" t="s">
        <v>6789</v>
      </c>
      <c r="C2920" s="24" t="s">
        <v>6838</v>
      </c>
      <c r="D2920" s="59">
        <v>2.0</v>
      </c>
      <c r="E2920" s="59">
        <v>2.0</v>
      </c>
      <c r="F2920" s="59">
        <v>1.0</v>
      </c>
      <c r="G2920" s="60">
        <v>1.0</v>
      </c>
      <c r="H2920" s="60">
        <v>0.5</v>
      </c>
      <c r="I2920" s="60">
        <v>5.6114565</v>
      </c>
      <c r="J2920" s="59">
        <v>2.0</v>
      </c>
      <c r="K2920" s="61">
        <f t="shared" si="1"/>
        <v>0.5</v>
      </c>
      <c r="L2920" s="62">
        <f t="shared" si="2"/>
        <v>1</v>
      </c>
    </row>
    <row r="2921">
      <c r="A2921" s="58">
        <v>45931.0</v>
      </c>
      <c r="B2921" s="24" t="s">
        <v>6789</v>
      </c>
      <c r="C2921" s="24" t="s">
        <v>6997</v>
      </c>
      <c r="D2921" s="59">
        <v>2.0</v>
      </c>
      <c r="E2921" s="59">
        <v>2.0</v>
      </c>
      <c r="F2921" s="59">
        <v>2.0</v>
      </c>
      <c r="G2921" s="60">
        <v>1.0</v>
      </c>
      <c r="H2921" s="60">
        <v>1.0</v>
      </c>
      <c r="I2921" s="60">
        <v>0.6267995</v>
      </c>
      <c r="J2921" s="59">
        <v>2.0</v>
      </c>
      <c r="K2921" s="61">
        <f t="shared" si="1"/>
        <v>1</v>
      </c>
      <c r="L2921" s="62">
        <f t="shared" si="2"/>
        <v>1</v>
      </c>
    </row>
    <row r="2922">
      <c r="A2922" s="58">
        <v>45931.0</v>
      </c>
      <c r="B2922" s="24" t="s">
        <v>155</v>
      </c>
      <c r="C2922" s="24" t="s">
        <v>7021</v>
      </c>
      <c r="D2922" s="59">
        <v>2.0</v>
      </c>
      <c r="E2922" s="59">
        <v>3.0</v>
      </c>
      <c r="F2922" s="59">
        <v>0.0</v>
      </c>
      <c r="G2922" s="60">
        <v>1.5</v>
      </c>
      <c r="H2922" s="60">
        <v>0.333333333333333</v>
      </c>
      <c r="I2922" s="60">
        <v>681.94985</v>
      </c>
      <c r="J2922" s="59">
        <v>6.0</v>
      </c>
      <c r="K2922" s="61">
        <f t="shared" si="1"/>
        <v>0</v>
      </c>
      <c r="L2922" s="62">
        <f t="shared" si="2"/>
        <v>2</v>
      </c>
    </row>
    <row r="2923">
      <c r="A2923" s="58">
        <v>45931.0</v>
      </c>
      <c r="B2923" s="24" t="s">
        <v>6787</v>
      </c>
      <c r="C2923" s="24" t="s">
        <v>7153</v>
      </c>
      <c r="D2923" s="59">
        <v>2.0</v>
      </c>
      <c r="E2923" s="59">
        <v>2.0</v>
      </c>
      <c r="F2923" s="59">
        <v>2.0</v>
      </c>
      <c r="G2923" s="60">
        <v>1.0</v>
      </c>
      <c r="H2923" s="60">
        <v>1.0</v>
      </c>
      <c r="I2923" s="60">
        <v>2.3215855</v>
      </c>
      <c r="J2923" s="59">
        <v>2.0</v>
      </c>
      <c r="K2923" s="61">
        <f t="shared" si="1"/>
        <v>1</v>
      </c>
      <c r="L2923" s="62">
        <f t="shared" si="2"/>
        <v>1</v>
      </c>
    </row>
    <row r="2924">
      <c r="A2924" s="58">
        <v>45931.0</v>
      </c>
      <c r="B2924" s="24" t="s">
        <v>6787</v>
      </c>
      <c r="C2924" s="24" t="s">
        <v>7293</v>
      </c>
      <c r="D2924" s="59">
        <v>2.0</v>
      </c>
      <c r="E2924" s="59">
        <v>2.0</v>
      </c>
      <c r="F2924" s="59">
        <v>2.0</v>
      </c>
      <c r="G2924" s="60">
        <v>1.0</v>
      </c>
      <c r="H2924" s="60">
        <v>1.0</v>
      </c>
      <c r="I2924" s="60">
        <v>0.9386615</v>
      </c>
      <c r="J2924" s="59">
        <v>2.0</v>
      </c>
      <c r="K2924" s="61">
        <f t="shared" si="1"/>
        <v>1</v>
      </c>
      <c r="L2924" s="62">
        <f t="shared" si="2"/>
        <v>1</v>
      </c>
    </row>
    <row r="2925">
      <c r="A2925" s="58">
        <v>45931.0</v>
      </c>
      <c r="B2925" s="24" t="s">
        <v>6787</v>
      </c>
      <c r="C2925" s="24" t="s">
        <v>7294</v>
      </c>
      <c r="D2925" s="59">
        <v>2.0</v>
      </c>
      <c r="E2925" s="59">
        <v>2.0</v>
      </c>
      <c r="F2925" s="59">
        <v>2.0</v>
      </c>
      <c r="G2925" s="60">
        <v>1.0</v>
      </c>
      <c r="H2925" s="60">
        <v>0.5</v>
      </c>
      <c r="I2925" s="60">
        <v>20.3764979999999</v>
      </c>
      <c r="J2925" s="59">
        <v>5.0</v>
      </c>
      <c r="K2925" s="61">
        <f t="shared" si="1"/>
        <v>1</v>
      </c>
      <c r="L2925" s="62">
        <f t="shared" si="2"/>
        <v>2.5</v>
      </c>
    </row>
    <row r="2926">
      <c r="A2926" s="58">
        <v>45931.0</v>
      </c>
      <c r="B2926" s="24" t="s">
        <v>6790</v>
      </c>
      <c r="C2926" s="24" t="s">
        <v>6841</v>
      </c>
      <c r="D2926" s="59">
        <v>2.0</v>
      </c>
      <c r="E2926" s="59">
        <v>2.0</v>
      </c>
      <c r="F2926" s="59">
        <v>2.0</v>
      </c>
      <c r="G2926" s="60">
        <v>1.0</v>
      </c>
      <c r="H2926" s="60">
        <v>0.5</v>
      </c>
      <c r="I2926" s="60">
        <v>397.900469</v>
      </c>
      <c r="J2926" s="59">
        <v>2.0</v>
      </c>
      <c r="K2926" s="61">
        <f t="shared" si="1"/>
        <v>1</v>
      </c>
      <c r="L2926" s="62">
        <f t="shared" si="2"/>
        <v>1</v>
      </c>
    </row>
    <row r="2927">
      <c r="A2927" s="58">
        <v>45931.0</v>
      </c>
      <c r="B2927" s="24" t="s">
        <v>6787</v>
      </c>
      <c r="C2927" s="24" t="s">
        <v>7256</v>
      </c>
      <c r="D2927" s="59">
        <v>2.0</v>
      </c>
      <c r="E2927" s="59">
        <v>2.0</v>
      </c>
      <c r="F2927" s="59">
        <v>2.0</v>
      </c>
      <c r="G2927" s="60">
        <v>1.0</v>
      </c>
      <c r="H2927" s="60">
        <v>0.5</v>
      </c>
      <c r="I2927" s="60">
        <v>6.0956935</v>
      </c>
      <c r="J2927" s="59">
        <v>2.0</v>
      </c>
      <c r="K2927" s="61">
        <f t="shared" si="1"/>
        <v>1</v>
      </c>
      <c r="L2927" s="62">
        <f t="shared" si="2"/>
        <v>1</v>
      </c>
    </row>
    <row r="2928">
      <c r="A2928" s="58">
        <v>45931.0</v>
      </c>
      <c r="B2928" s="24" t="s">
        <v>6789</v>
      </c>
      <c r="C2928" s="24" t="s">
        <v>6898</v>
      </c>
      <c r="D2928" s="59">
        <v>2.0</v>
      </c>
      <c r="E2928" s="59">
        <v>2.0</v>
      </c>
      <c r="F2928" s="59">
        <v>1.0</v>
      </c>
      <c r="G2928" s="60">
        <v>1.0</v>
      </c>
      <c r="H2928" s="60">
        <v>0.5</v>
      </c>
      <c r="I2928" s="60">
        <v>2.798842</v>
      </c>
      <c r="J2928" s="59">
        <v>3.0</v>
      </c>
      <c r="K2928" s="61">
        <f t="shared" si="1"/>
        <v>0.5</v>
      </c>
      <c r="L2928" s="62">
        <f t="shared" si="2"/>
        <v>1.5</v>
      </c>
    </row>
    <row r="2929">
      <c r="A2929" s="58">
        <v>45931.0</v>
      </c>
      <c r="B2929" s="24" t="s">
        <v>155</v>
      </c>
      <c r="C2929" s="24" t="s">
        <v>6806</v>
      </c>
      <c r="D2929" s="59">
        <v>2.0</v>
      </c>
      <c r="E2929" s="59">
        <v>2.0</v>
      </c>
      <c r="F2929" s="59">
        <v>2.0</v>
      </c>
      <c r="G2929" s="60">
        <v>1.0</v>
      </c>
      <c r="H2929" s="60">
        <v>0.5</v>
      </c>
      <c r="I2929" s="60">
        <v>54.4144735</v>
      </c>
      <c r="J2929" s="59">
        <v>2.0</v>
      </c>
      <c r="K2929" s="61">
        <f t="shared" si="1"/>
        <v>1</v>
      </c>
      <c r="L2929" s="62">
        <f t="shared" si="2"/>
        <v>1</v>
      </c>
    </row>
    <row r="2930">
      <c r="A2930" s="58">
        <v>45931.0</v>
      </c>
      <c r="B2930" s="24" t="s">
        <v>6789</v>
      </c>
      <c r="C2930" s="24" t="s">
        <v>7006</v>
      </c>
      <c r="D2930" s="59">
        <v>2.0</v>
      </c>
      <c r="E2930" s="59">
        <v>2.0</v>
      </c>
      <c r="F2930" s="59">
        <v>2.0</v>
      </c>
      <c r="G2930" s="60">
        <v>1.0</v>
      </c>
      <c r="H2930" s="60">
        <v>0.0</v>
      </c>
      <c r="I2930" s="60">
        <v>34.014889</v>
      </c>
      <c r="J2930" s="59">
        <v>4.0</v>
      </c>
      <c r="K2930" s="61">
        <f t="shared" si="1"/>
        <v>1</v>
      </c>
      <c r="L2930" s="62">
        <f t="shared" si="2"/>
        <v>2</v>
      </c>
    </row>
    <row r="2931">
      <c r="A2931" s="58">
        <v>45931.0</v>
      </c>
      <c r="B2931" s="24" t="s">
        <v>155</v>
      </c>
      <c r="C2931" s="24" t="s">
        <v>7006</v>
      </c>
      <c r="D2931" s="59">
        <v>2.0</v>
      </c>
      <c r="E2931" s="59">
        <v>2.0</v>
      </c>
      <c r="F2931" s="59">
        <v>1.0</v>
      </c>
      <c r="G2931" s="60">
        <v>1.0</v>
      </c>
      <c r="H2931" s="60">
        <v>0.0</v>
      </c>
      <c r="I2931" s="60">
        <v>27.1771545</v>
      </c>
      <c r="J2931" s="59">
        <v>2.0</v>
      </c>
      <c r="K2931" s="61">
        <f t="shared" si="1"/>
        <v>0.5</v>
      </c>
      <c r="L2931" s="62">
        <f t="shared" si="2"/>
        <v>1</v>
      </c>
    </row>
    <row r="2932">
      <c r="A2932" s="58">
        <v>45931.0</v>
      </c>
      <c r="B2932" s="24" t="s">
        <v>6789</v>
      </c>
      <c r="C2932" s="24" t="s">
        <v>6807</v>
      </c>
      <c r="D2932" s="59">
        <v>2.0</v>
      </c>
      <c r="E2932" s="59">
        <v>4.0</v>
      </c>
      <c r="F2932" s="59">
        <v>1.0</v>
      </c>
      <c r="G2932" s="60">
        <v>2.0</v>
      </c>
      <c r="H2932" s="60">
        <v>0.75</v>
      </c>
      <c r="I2932" s="60">
        <v>8.05475525</v>
      </c>
      <c r="J2932" s="59">
        <v>6.0</v>
      </c>
      <c r="K2932" s="61">
        <f t="shared" si="1"/>
        <v>0.25</v>
      </c>
      <c r="L2932" s="62">
        <f t="shared" si="2"/>
        <v>1.5</v>
      </c>
    </row>
    <row r="2933">
      <c r="A2933" s="58">
        <v>45931.0</v>
      </c>
      <c r="B2933" s="24" t="s">
        <v>6787</v>
      </c>
      <c r="C2933" s="24" t="s">
        <v>7079</v>
      </c>
      <c r="D2933" s="59">
        <v>2.0</v>
      </c>
      <c r="E2933" s="59">
        <v>2.0</v>
      </c>
      <c r="F2933" s="59">
        <v>2.0</v>
      </c>
      <c r="G2933" s="60">
        <v>1.0</v>
      </c>
      <c r="H2933" s="60">
        <v>0.5</v>
      </c>
      <c r="I2933" s="60">
        <v>27.1933385</v>
      </c>
      <c r="J2933" s="59">
        <v>2.0</v>
      </c>
      <c r="K2933" s="61">
        <f t="shared" si="1"/>
        <v>1</v>
      </c>
      <c r="L2933" s="62">
        <f t="shared" si="2"/>
        <v>1</v>
      </c>
    </row>
    <row r="2934">
      <c r="A2934" s="58">
        <v>45931.0</v>
      </c>
      <c r="B2934" s="24" t="s">
        <v>155</v>
      </c>
      <c r="C2934" s="24" t="s">
        <v>6796</v>
      </c>
      <c r="D2934" s="59">
        <v>2.0</v>
      </c>
      <c r="E2934" s="59">
        <v>2.0</v>
      </c>
      <c r="F2934" s="59">
        <v>2.0</v>
      </c>
      <c r="G2934" s="60">
        <v>1.0</v>
      </c>
      <c r="H2934" s="60">
        <v>1.0</v>
      </c>
      <c r="I2934" s="60">
        <v>67.2959405</v>
      </c>
      <c r="J2934" s="59">
        <v>2.0</v>
      </c>
      <c r="K2934" s="61">
        <f t="shared" si="1"/>
        <v>1</v>
      </c>
      <c r="L2934" s="62">
        <f t="shared" si="2"/>
        <v>1</v>
      </c>
    </row>
    <row r="2935">
      <c r="A2935" s="58">
        <v>45931.0</v>
      </c>
      <c r="B2935" s="24" t="s">
        <v>155</v>
      </c>
      <c r="C2935" s="24" t="s">
        <v>7009</v>
      </c>
      <c r="D2935" s="59">
        <v>2.0</v>
      </c>
      <c r="E2935" s="59">
        <v>5.0</v>
      </c>
      <c r="F2935" s="59">
        <v>0.0</v>
      </c>
      <c r="G2935" s="60">
        <v>2.5</v>
      </c>
      <c r="H2935" s="60">
        <v>0.4</v>
      </c>
      <c r="I2935" s="60">
        <v>131.156956399999</v>
      </c>
      <c r="J2935" s="59">
        <v>6.0</v>
      </c>
      <c r="K2935" s="61">
        <f t="shared" si="1"/>
        <v>0</v>
      </c>
      <c r="L2935" s="62">
        <f t="shared" si="2"/>
        <v>1.2</v>
      </c>
    </row>
    <row r="2936">
      <c r="A2936" s="58">
        <v>45931.0</v>
      </c>
      <c r="B2936" s="24" t="s">
        <v>6787</v>
      </c>
      <c r="C2936" s="24" t="s">
        <v>6904</v>
      </c>
      <c r="D2936" s="59">
        <v>2.0</v>
      </c>
      <c r="E2936" s="59">
        <v>2.0</v>
      </c>
      <c r="F2936" s="59">
        <v>2.0</v>
      </c>
      <c r="G2936" s="60">
        <v>1.0</v>
      </c>
      <c r="H2936" s="60">
        <v>1.0</v>
      </c>
      <c r="I2936" s="60">
        <v>1.4286165</v>
      </c>
      <c r="J2936" s="59">
        <v>2.0</v>
      </c>
      <c r="K2936" s="61">
        <f t="shared" si="1"/>
        <v>1</v>
      </c>
      <c r="L2936" s="62">
        <f t="shared" si="2"/>
        <v>1</v>
      </c>
    </row>
    <row r="2937">
      <c r="A2937" s="58">
        <v>45931.0</v>
      </c>
      <c r="B2937" s="24" t="s">
        <v>155</v>
      </c>
      <c r="C2937" s="24" t="s">
        <v>6905</v>
      </c>
      <c r="D2937" s="59">
        <v>2.0</v>
      </c>
      <c r="E2937" s="59">
        <v>2.0</v>
      </c>
      <c r="F2937" s="59">
        <v>0.0</v>
      </c>
      <c r="G2937" s="60">
        <v>1.0</v>
      </c>
      <c r="H2937" s="60">
        <v>0.5</v>
      </c>
      <c r="I2937" s="60">
        <v>11.1500455</v>
      </c>
      <c r="J2937" s="59">
        <v>2.0</v>
      </c>
      <c r="K2937" s="61">
        <f t="shared" si="1"/>
        <v>0</v>
      </c>
      <c r="L2937" s="62">
        <f t="shared" si="2"/>
        <v>1</v>
      </c>
    </row>
    <row r="2938">
      <c r="A2938" s="58">
        <v>45931.0</v>
      </c>
      <c r="B2938" s="24" t="s">
        <v>6790</v>
      </c>
      <c r="C2938" s="24" t="s">
        <v>7125</v>
      </c>
      <c r="D2938" s="59">
        <v>2.0</v>
      </c>
      <c r="E2938" s="59">
        <v>2.0</v>
      </c>
      <c r="F2938" s="59">
        <v>2.0</v>
      </c>
      <c r="G2938" s="60">
        <v>1.0</v>
      </c>
      <c r="H2938" s="60">
        <v>1.0</v>
      </c>
      <c r="I2938" s="60">
        <v>0.0</v>
      </c>
      <c r="J2938" s="59">
        <v>2.0</v>
      </c>
      <c r="K2938" s="61">
        <f t="shared" si="1"/>
        <v>1</v>
      </c>
      <c r="L2938" s="62">
        <f t="shared" si="2"/>
        <v>1</v>
      </c>
    </row>
    <row r="2939">
      <c r="A2939" s="58">
        <v>45931.0</v>
      </c>
      <c r="B2939" s="24" t="s">
        <v>6787</v>
      </c>
      <c r="C2939" s="24" t="s">
        <v>7234</v>
      </c>
      <c r="D2939" s="59">
        <v>2.0</v>
      </c>
      <c r="E2939" s="59">
        <v>2.0</v>
      </c>
      <c r="F2939" s="59">
        <v>2.0</v>
      </c>
      <c r="G2939" s="60">
        <v>1.0</v>
      </c>
      <c r="H2939" s="60">
        <v>0.5</v>
      </c>
      <c r="I2939" s="60">
        <v>27.1485549999999</v>
      </c>
      <c r="J2939" s="59">
        <v>2.0</v>
      </c>
      <c r="K2939" s="61">
        <f t="shared" si="1"/>
        <v>1</v>
      </c>
      <c r="L2939" s="62">
        <f t="shared" si="2"/>
        <v>1</v>
      </c>
    </row>
    <row r="2940">
      <c r="A2940" s="58">
        <v>45931.0</v>
      </c>
      <c r="B2940" s="24" t="s">
        <v>6791</v>
      </c>
      <c r="C2940" s="24" t="s">
        <v>7084</v>
      </c>
      <c r="D2940" s="59">
        <v>2.0</v>
      </c>
      <c r="E2940" s="59">
        <v>2.0</v>
      </c>
      <c r="F2940" s="59">
        <v>2.0</v>
      </c>
      <c r="G2940" s="60">
        <v>1.0</v>
      </c>
      <c r="H2940" s="60">
        <v>0.0</v>
      </c>
      <c r="I2940" s="60">
        <v>20.018012</v>
      </c>
      <c r="J2940" s="59">
        <v>4.0</v>
      </c>
      <c r="K2940" s="61">
        <f t="shared" si="1"/>
        <v>1</v>
      </c>
      <c r="L2940" s="62">
        <f t="shared" si="2"/>
        <v>2</v>
      </c>
    </row>
    <row r="2941">
      <c r="A2941" s="58">
        <v>45931.0</v>
      </c>
      <c r="B2941" s="24" t="s">
        <v>6787</v>
      </c>
      <c r="C2941" s="24" t="s">
        <v>7121</v>
      </c>
      <c r="D2941" s="59">
        <v>2.0</v>
      </c>
      <c r="E2941" s="59">
        <v>3.0</v>
      </c>
      <c r="F2941" s="59">
        <v>1.0</v>
      </c>
      <c r="G2941" s="60">
        <v>1.5</v>
      </c>
      <c r="H2941" s="60">
        <v>0.0</v>
      </c>
      <c r="I2941" s="60">
        <v>726.524985333333</v>
      </c>
      <c r="J2941" s="59">
        <v>15.0</v>
      </c>
      <c r="K2941" s="61">
        <f t="shared" si="1"/>
        <v>0.3333333333</v>
      </c>
      <c r="L2941" s="62">
        <f t="shared" si="2"/>
        <v>5</v>
      </c>
    </row>
    <row r="2942">
      <c r="A2942" s="58">
        <v>45931.0</v>
      </c>
      <c r="B2942" s="24" t="s">
        <v>155</v>
      </c>
      <c r="C2942" s="24" t="s">
        <v>6808</v>
      </c>
      <c r="D2942" s="59">
        <v>2.0</v>
      </c>
      <c r="E2942" s="59">
        <v>3.0</v>
      </c>
      <c r="F2942" s="59">
        <v>0.0</v>
      </c>
      <c r="G2942" s="60">
        <v>1.5</v>
      </c>
      <c r="H2942" s="60">
        <v>0.0</v>
      </c>
      <c r="I2942" s="60">
        <v>561.463572</v>
      </c>
      <c r="J2942" s="59">
        <v>8.0</v>
      </c>
      <c r="K2942" s="61">
        <f t="shared" si="1"/>
        <v>0</v>
      </c>
      <c r="L2942" s="62">
        <f t="shared" si="2"/>
        <v>2.666666667</v>
      </c>
    </row>
    <row r="2943">
      <c r="A2943" s="58">
        <v>45931.0</v>
      </c>
      <c r="B2943" s="24" t="s">
        <v>6789</v>
      </c>
      <c r="C2943" s="24" t="s">
        <v>7088</v>
      </c>
      <c r="D2943" s="59">
        <v>2.0</v>
      </c>
      <c r="E2943" s="59">
        <v>2.0</v>
      </c>
      <c r="F2943" s="59">
        <v>2.0</v>
      </c>
      <c r="G2943" s="60">
        <v>1.0</v>
      </c>
      <c r="H2943" s="60">
        <v>1.0</v>
      </c>
      <c r="I2943" s="60">
        <v>0.0</v>
      </c>
      <c r="J2943" s="59">
        <v>2.0</v>
      </c>
      <c r="K2943" s="61">
        <f t="shared" si="1"/>
        <v>1</v>
      </c>
      <c r="L2943" s="62">
        <f t="shared" si="2"/>
        <v>1</v>
      </c>
    </row>
    <row r="2944">
      <c r="A2944" s="58">
        <v>45931.0</v>
      </c>
      <c r="B2944" s="24" t="s">
        <v>6789</v>
      </c>
      <c r="C2944" s="24" t="s">
        <v>7090</v>
      </c>
      <c r="D2944" s="59">
        <v>2.0</v>
      </c>
      <c r="E2944" s="59">
        <v>2.0</v>
      </c>
      <c r="F2944" s="59">
        <v>2.0</v>
      </c>
      <c r="G2944" s="60">
        <v>1.0</v>
      </c>
      <c r="H2944" s="60">
        <v>0.5</v>
      </c>
      <c r="I2944" s="60">
        <v>5.978482</v>
      </c>
      <c r="J2944" s="59">
        <v>2.0</v>
      </c>
      <c r="K2944" s="61">
        <f t="shared" si="1"/>
        <v>1</v>
      </c>
      <c r="L2944" s="62">
        <f t="shared" si="2"/>
        <v>1</v>
      </c>
    </row>
    <row r="2945">
      <c r="A2945" s="58">
        <v>45931.0</v>
      </c>
      <c r="B2945" s="24" t="s">
        <v>6789</v>
      </c>
      <c r="C2945" s="24" t="s">
        <v>7091</v>
      </c>
      <c r="D2945" s="59">
        <v>2.0</v>
      </c>
      <c r="E2945" s="59">
        <v>2.0</v>
      </c>
      <c r="F2945" s="59">
        <v>2.0</v>
      </c>
      <c r="G2945" s="60">
        <v>1.0</v>
      </c>
      <c r="H2945" s="60">
        <v>0.0</v>
      </c>
      <c r="I2945" s="60">
        <v>517.2578625</v>
      </c>
      <c r="J2945" s="59">
        <v>2.0</v>
      </c>
      <c r="K2945" s="61">
        <f t="shared" si="1"/>
        <v>1</v>
      </c>
      <c r="L2945" s="62">
        <f t="shared" si="2"/>
        <v>1</v>
      </c>
    </row>
    <row r="2946">
      <c r="A2946" s="58">
        <v>45931.0</v>
      </c>
      <c r="B2946" s="24" t="s">
        <v>6789</v>
      </c>
      <c r="C2946" s="24" t="s">
        <v>6960</v>
      </c>
      <c r="D2946" s="59">
        <v>2.0</v>
      </c>
      <c r="E2946" s="59">
        <v>2.0</v>
      </c>
      <c r="F2946" s="59">
        <v>1.0</v>
      </c>
      <c r="G2946" s="60">
        <v>1.0</v>
      </c>
      <c r="H2946" s="60">
        <v>0.5</v>
      </c>
      <c r="I2946" s="60">
        <v>363.308938</v>
      </c>
      <c r="J2946" s="59">
        <v>4.0</v>
      </c>
      <c r="K2946" s="61">
        <f t="shared" si="1"/>
        <v>0.5</v>
      </c>
      <c r="L2946" s="62">
        <f t="shared" si="2"/>
        <v>2</v>
      </c>
    </row>
    <row r="2947">
      <c r="A2947" s="58">
        <v>45931.0</v>
      </c>
      <c r="B2947" s="24" t="s">
        <v>6789</v>
      </c>
      <c r="C2947" s="24" t="s">
        <v>7044</v>
      </c>
      <c r="D2947" s="59">
        <v>2.0</v>
      </c>
      <c r="E2947" s="59">
        <v>2.0</v>
      </c>
      <c r="F2947" s="59">
        <v>1.0</v>
      </c>
      <c r="G2947" s="60">
        <v>1.0</v>
      </c>
      <c r="H2947" s="60">
        <v>0.0</v>
      </c>
      <c r="I2947" s="60">
        <v>112.894687</v>
      </c>
      <c r="J2947" s="59">
        <v>6.0</v>
      </c>
      <c r="K2947" s="61">
        <f t="shared" si="1"/>
        <v>0.5</v>
      </c>
      <c r="L2947" s="62">
        <f t="shared" si="2"/>
        <v>3</v>
      </c>
    </row>
    <row r="2948">
      <c r="A2948" s="58">
        <v>45931.0</v>
      </c>
      <c r="B2948" s="24" t="s">
        <v>6789</v>
      </c>
      <c r="C2948" s="24" t="s">
        <v>6908</v>
      </c>
      <c r="D2948" s="59">
        <v>2.0</v>
      </c>
      <c r="E2948" s="59">
        <v>2.0</v>
      </c>
      <c r="F2948" s="59">
        <v>2.0</v>
      </c>
      <c r="G2948" s="60">
        <v>1.0</v>
      </c>
      <c r="H2948" s="60">
        <v>0.5</v>
      </c>
      <c r="I2948" s="60">
        <v>3.6753455</v>
      </c>
      <c r="J2948" s="59">
        <v>3.0</v>
      </c>
      <c r="K2948" s="61">
        <f t="shared" si="1"/>
        <v>1</v>
      </c>
      <c r="L2948" s="62">
        <f t="shared" si="2"/>
        <v>1.5</v>
      </c>
    </row>
    <row r="2949">
      <c r="A2949" s="58">
        <v>45931.0</v>
      </c>
      <c r="B2949" s="24" t="s">
        <v>155</v>
      </c>
      <c r="C2949" s="24" t="s">
        <v>6850</v>
      </c>
      <c r="D2949" s="59">
        <v>2.0</v>
      </c>
      <c r="E2949" s="59">
        <v>3.0</v>
      </c>
      <c r="F2949" s="59">
        <v>2.0</v>
      </c>
      <c r="G2949" s="60">
        <v>1.5</v>
      </c>
      <c r="H2949" s="60">
        <v>0.333333333333333</v>
      </c>
      <c r="I2949" s="60">
        <v>302.506760666666</v>
      </c>
      <c r="J2949" s="59">
        <v>13.0</v>
      </c>
      <c r="K2949" s="61">
        <f t="shared" si="1"/>
        <v>0.6666666667</v>
      </c>
      <c r="L2949" s="62">
        <f t="shared" si="2"/>
        <v>4.333333333</v>
      </c>
    </row>
    <row r="2950">
      <c r="A2950" s="58">
        <v>45931.0</v>
      </c>
      <c r="B2950" s="24" t="s">
        <v>6790</v>
      </c>
      <c r="C2950" s="24" t="s">
        <v>6910</v>
      </c>
      <c r="D2950" s="59">
        <v>2.0</v>
      </c>
      <c r="E2950" s="59">
        <v>2.0</v>
      </c>
      <c r="F2950" s="59">
        <v>1.0</v>
      </c>
      <c r="G2950" s="60">
        <v>1.0</v>
      </c>
      <c r="H2950" s="60">
        <v>1.0</v>
      </c>
      <c r="I2950" s="60">
        <v>57.106172</v>
      </c>
      <c r="J2950" s="59">
        <v>2.0</v>
      </c>
      <c r="K2950" s="61">
        <f t="shared" si="1"/>
        <v>0.5</v>
      </c>
      <c r="L2950" s="62">
        <f t="shared" si="2"/>
        <v>1</v>
      </c>
    </row>
    <row r="2951">
      <c r="A2951" s="58">
        <v>45931.0</v>
      </c>
      <c r="B2951" s="24" t="s">
        <v>155</v>
      </c>
      <c r="C2951" s="24" t="s">
        <v>6851</v>
      </c>
      <c r="D2951" s="59">
        <v>2.0</v>
      </c>
      <c r="E2951" s="59">
        <v>2.0</v>
      </c>
      <c r="F2951" s="59">
        <v>1.0</v>
      </c>
      <c r="G2951" s="60">
        <v>1.0</v>
      </c>
      <c r="H2951" s="60">
        <v>1.0</v>
      </c>
      <c r="I2951" s="60">
        <v>4.4514215</v>
      </c>
      <c r="J2951" s="59">
        <v>2.0</v>
      </c>
      <c r="K2951" s="61">
        <f t="shared" si="1"/>
        <v>0.5</v>
      </c>
      <c r="L2951" s="62">
        <f t="shared" si="2"/>
        <v>1</v>
      </c>
    </row>
    <row r="2952">
      <c r="A2952" s="58">
        <v>45931.0</v>
      </c>
      <c r="B2952" s="24" t="s">
        <v>6790</v>
      </c>
      <c r="C2952" s="24" t="s">
        <v>6801</v>
      </c>
      <c r="D2952" s="59">
        <v>2.0</v>
      </c>
      <c r="E2952" s="59">
        <v>2.0</v>
      </c>
      <c r="F2952" s="59">
        <v>0.0</v>
      </c>
      <c r="G2952" s="60">
        <v>1.0</v>
      </c>
      <c r="H2952" s="60">
        <v>0.5</v>
      </c>
      <c r="I2952" s="60">
        <v>115.85051</v>
      </c>
      <c r="J2952" s="59">
        <v>2.0</v>
      </c>
      <c r="K2952" s="61">
        <f t="shared" si="1"/>
        <v>0</v>
      </c>
      <c r="L2952" s="62">
        <f t="shared" si="2"/>
        <v>1</v>
      </c>
    </row>
    <row r="2953">
      <c r="A2953" s="58">
        <v>45931.0</v>
      </c>
      <c r="B2953" s="24" t="s">
        <v>6789</v>
      </c>
      <c r="C2953" s="24" t="s">
        <v>7104</v>
      </c>
      <c r="D2953" s="59">
        <v>2.0</v>
      </c>
      <c r="E2953" s="59">
        <v>2.0</v>
      </c>
      <c r="F2953" s="59">
        <v>1.0</v>
      </c>
      <c r="G2953" s="60">
        <v>1.0</v>
      </c>
      <c r="H2953" s="60">
        <v>0.0</v>
      </c>
      <c r="I2953" s="60">
        <v>640.611114</v>
      </c>
      <c r="J2953" s="59">
        <v>6.0</v>
      </c>
      <c r="K2953" s="61">
        <f t="shared" si="1"/>
        <v>0.5</v>
      </c>
      <c r="L2953" s="62">
        <f t="shared" si="2"/>
        <v>3</v>
      </c>
    </row>
    <row r="2954">
      <c r="A2954" s="58">
        <v>45931.0</v>
      </c>
      <c r="B2954" s="24" t="s">
        <v>6787</v>
      </c>
      <c r="C2954" s="24" t="s">
        <v>7174</v>
      </c>
      <c r="D2954" s="59">
        <v>2.0</v>
      </c>
      <c r="E2954" s="59">
        <v>2.0</v>
      </c>
      <c r="F2954" s="59">
        <v>2.0</v>
      </c>
      <c r="G2954" s="60">
        <v>1.0</v>
      </c>
      <c r="H2954" s="60">
        <v>0.0</v>
      </c>
      <c r="I2954" s="60">
        <v>37.1451</v>
      </c>
      <c r="J2954" s="59">
        <v>2.0</v>
      </c>
      <c r="K2954" s="61">
        <f t="shared" si="1"/>
        <v>1</v>
      </c>
      <c r="L2954" s="62">
        <f t="shared" si="2"/>
        <v>1</v>
      </c>
    </row>
    <row r="2955">
      <c r="A2955" s="58">
        <v>45931.0</v>
      </c>
      <c r="B2955" s="24" t="s">
        <v>6789</v>
      </c>
      <c r="C2955" s="24" t="s">
        <v>6915</v>
      </c>
      <c r="D2955" s="59">
        <v>2.0</v>
      </c>
      <c r="E2955" s="59">
        <v>2.0</v>
      </c>
      <c r="F2955" s="59">
        <v>1.0</v>
      </c>
      <c r="G2955" s="60">
        <v>1.0</v>
      </c>
      <c r="H2955" s="60">
        <v>0.0</v>
      </c>
      <c r="I2955" s="60">
        <v>609.6143705</v>
      </c>
      <c r="J2955" s="59">
        <v>3.0</v>
      </c>
      <c r="K2955" s="61">
        <f t="shared" si="1"/>
        <v>0.5</v>
      </c>
      <c r="L2955" s="62">
        <f t="shared" si="2"/>
        <v>1.5</v>
      </c>
    </row>
    <row r="2956">
      <c r="A2956" s="58">
        <v>45931.0</v>
      </c>
      <c r="B2956" s="24" t="s">
        <v>6789</v>
      </c>
      <c r="C2956" s="24" t="s">
        <v>6853</v>
      </c>
      <c r="D2956" s="59">
        <v>2.0</v>
      </c>
      <c r="E2956" s="59">
        <v>2.0</v>
      </c>
      <c r="F2956" s="59">
        <v>1.0</v>
      </c>
      <c r="G2956" s="60">
        <v>1.0</v>
      </c>
      <c r="H2956" s="60">
        <v>0.0</v>
      </c>
      <c r="I2956" s="60">
        <v>516.636834</v>
      </c>
      <c r="J2956" s="59">
        <v>7.0</v>
      </c>
      <c r="K2956" s="61">
        <f t="shared" si="1"/>
        <v>0.5</v>
      </c>
      <c r="L2956" s="62">
        <f t="shared" si="2"/>
        <v>3.5</v>
      </c>
    </row>
    <row r="2957">
      <c r="A2957" s="58">
        <v>45931.0</v>
      </c>
      <c r="B2957" s="24" t="s">
        <v>6787</v>
      </c>
      <c r="C2957" s="24" t="s">
        <v>7047</v>
      </c>
      <c r="D2957" s="59">
        <v>2.0</v>
      </c>
      <c r="E2957" s="59">
        <v>2.0</v>
      </c>
      <c r="F2957" s="59">
        <v>2.0</v>
      </c>
      <c r="G2957" s="60">
        <v>1.0</v>
      </c>
      <c r="H2957" s="60">
        <v>0.5</v>
      </c>
      <c r="I2957" s="60">
        <v>28.553948</v>
      </c>
      <c r="J2957" s="59">
        <v>2.0</v>
      </c>
      <c r="K2957" s="61">
        <f t="shared" si="1"/>
        <v>1</v>
      </c>
      <c r="L2957" s="62">
        <f t="shared" si="2"/>
        <v>1</v>
      </c>
    </row>
    <row r="2958">
      <c r="A2958" s="58">
        <v>45931.0</v>
      </c>
      <c r="B2958" s="24" t="s">
        <v>6787</v>
      </c>
      <c r="C2958" s="24" t="s">
        <v>7246</v>
      </c>
      <c r="D2958" s="59">
        <v>2.0</v>
      </c>
      <c r="E2958" s="59">
        <v>3.0</v>
      </c>
      <c r="F2958" s="59">
        <v>0.0</v>
      </c>
      <c r="G2958" s="60">
        <v>1.5</v>
      </c>
      <c r="H2958" s="60">
        <v>0.333333333333333</v>
      </c>
      <c r="I2958" s="60">
        <v>47.3768833333333</v>
      </c>
      <c r="J2958" s="59">
        <v>5.0</v>
      </c>
      <c r="K2958" s="61">
        <f t="shared" si="1"/>
        <v>0</v>
      </c>
      <c r="L2958" s="62">
        <f t="shared" si="2"/>
        <v>1.666666667</v>
      </c>
    </row>
    <row r="2959">
      <c r="A2959" s="58">
        <v>45931.0</v>
      </c>
      <c r="B2959" s="24" t="s">
        <v>155</v>
      </c>
      <c r="C2959" s="24" t="s">
        <v>6810</v>
      </c>
      <c r="D2959" s="59">
        <v>2.0</v>
      </c>
      <c r="E2959" s="59">
        <v>2.0</v>
      </c>
      <c r="F2959" s="59">
        <v>2.0</v>
      </c>
      <c r="G2959" s="60">
        <v>1.0</v>
      </c>
      <c r="H2959" s="60">
        <v>0.5</v>
      </c>
      <c r="I2959" s="60">
        <v>51.305415</v>
      </c>
      <c r="J2959" s="59">
        <v>2.0</v>
      </c>
      <c r="K2959" s="61">
        <f t="shared" si="1"/>
        <v>1</v>
      </c>
      <c r="L2959" s="62">
        <f t="shared" si="2"/>
        <v>1</v>
      </c>
    </row>
    <row r="2960">
      <c r="A2960" s="58">
        <v>45931.0</v>
      </c>
      <c r="B2960" s="24" t="s">
        <v>155</v>
      </c>
      <c r="C2960" s="24" t="s">
        <v>7235</v>
      </c>
      <c r="D2960" s="59">
        <v>2.0</v>
      </c>
      <c r="E2960" s="59">
        <v>2.0</v>
      </c>
      <c r="F2960" s="59">
        <v>0.0</v>
      </c>
      <c r="G2960" s="60">
        <v>2.0</v>
      </c>
      <c r="H2960" s="60">
        <v>0.5</v>
      </c>
      <c r="I2960" s="60">
        <v>5.9608905</v>
      </c>
      <c r="J2960" s="59">
        <v>2.0</v>
      </c>
      <c r="K2960" s="61">
        <f t="shared" si="1"/>
        <v>0</v>
      </c>
      <c r="L2960" s="62">
        <f t="shared" si="2"/>
        <v>1</v>
      </c>
    </row>
    <row r="2961">
      <c r="A2961" s="58">
        <v>45931.0</v>
      </c>
      <c r="B2961" s="24" t="s">
        <v>6789</v>
      </c>
      <c r="C2961" s="24" t="s">
        <v>6854</v>
      </c>
      <c r="D2961" s="59">
        <v>2.0</v>
      </c>
      <c r="E2961" s="59">
        <v>2.0</v>
      </c>
      <c r="F2961" s="59">
        <v>1.0</v>
      </c>
      <c r="G2961" s="60">
        <v>1.0</v>
      </c>
      <c r="H2961" s="60">
        <v>0.0</v>
      </c>
      <c r="I2961" s="60">
        <v>429.969004</v>
      </c>
      <c r="J2961" s="59">
        <v>8.0</v>
      </c>
      <c r="K2961" s="61">
        <f t="shared" si="1"/>
        <v>0.5</v>
      </c>
      <c r="L2961" s="62">
        <f t="shared" si="2"/>
        <v>4</v>
      </c>
    </row>
    <row r="2962">
      <c r="A2962" s="58">
        <v>45931.0</v>
      </c>
      <c r="B2962" s="24" t="s">
        <v>6787</v>
      </c>
      <c r="C2962" s="24" t="s">
        <v>7295</v>
      </c>
      <c r="D2962" s="59">
        <v>2.0</v>
      </c>
      <c r="E2962" s="59">
        <v>2.0</v>
      </c>
      <c r="F2962" s="59">
        <v>2.0</v>
      </c>
      <c r="G2962" s="60">
        <v>1.0</v>
      </c>
      <c r="H2962" s="60">
        <v>1.0</v>
      </c>
      <c r="I2962" s="60">
        <v>2.74689</v>
      </c>
      <c r="J2962" s="59">
        <v>2.0</v>
      </c>
      <c r="K2962" s="61">
        <f t="shared" si="1"/>
        <v>1</v>
      </c>
      <c r="L2962" s="62">
        <f t="shared" si="2"/>
        <v>1</v>
      </c>
    </row>
    <row r="2963">
      <c r="A2963" s="58">
        <v>45931.0</v>
      </c>
      <c r="B2963" s="24" t="s">
        <v>3216</v>
      </c>
      <c r="C2963" s="24" t="s">
        <v>6792</v>
      </c>
      <c r="D2963" s="59">
        <v>1.0</v>
      </c>
      <c r="E2963" s="59">
        <v>3.0</v>
      </c>
      <c r="F2963" s="59">
        <v>0.0</v>
      </c>
      <c r="G2963" s="60">
        <v>0.0</v>
      </c>
      <c r="H2963" s="60">
        <v>1.0</v>
      </c>
      <c r="I2963" s="60">
        <v>0.0</v>
      </c>
      <c r="J2963" s="59">
        <v>0.0</v>
      </c>
      <c r="K2963" s="61">
        <f t="shared" si="1"/>
        <v>0</v>
      </c>
      <c r="L2963" s="62">
        <f t="shared" si="2"/>
        <v>0</v>
      </c>
    </row>
    <row r="2964">
      <c r="A2964" s="58">
        <v>45931.0</v>
      </c>
      <c r="B2964" s="24" t="s">
        <v>7296</v>
      </c>
      <c r="C2964" s="24" t="s">
        <v>6788</v>
      </c>
      <c r="D2964" s="59">
        <v>1.0</v>
      </c>
      <c r="E2964" s="59">
        <v>1.0</v>
      </c>
      <c r="F2964" s="59">
        <v>1.0</v>
      </c>
      <c r="G2964" s="60">
        <v>1.0</v>
      </c>
      <c r="H2964" s="60">
        <v>0.0</v>
      </c>
      <c r="I2964" s="60">
        <v>24.649846</v>
      </c>
      <c r="J2964" s="59">
        <v>1.0</v>
      </c>
      <c r="K2964" s="61">
        <f t="shared" si="1"/>
        <v>1</v>
      </c>
      <c r="L2964" s="62">
        <f t="shared" si="2"/>
        <v>1</v>
      </c>
    </row>
    <row r="2965">
      <c r="A2965" s="58">
        <v>45931.0</v>
      </c>
      <c r="B2965" s="24" t="s">
        <v>7030</v>
      </c>
      <c r="C2965" s="24" t="s">
        <v>6788</v>
      </c>
      <c r="D2965" s="59">
        <v>1.0</v>
      </c>
      <c r="E2965" s="59">
        <v>1.0</v>
      </c>
      <c r="F2965" s="59">
        <v>1.0</v>
      </c>
      <c r="G2965" s="60">
        <v>1.0</v>
      </c>
      <c r="H2965" s="60">
        <v>0.0</v>
      </c>
      <c r="I2965" s="60">
        <v>19.941631</v>
      </c>
      <c r="J2965" s="59">
        <v>1.0</v>
      </c>
      <c r="K2965" s="61">
        <f t="shared" si="1"/>
        <v>1</v>
      </c>
      <c r="L2965" s="62">
        <f t="shared" si="2"/>
        <v>1</v>
      </c>
    </row>
    <row r="2966">
      <c r="A2966" s="58">
        <v>45931.0</v>
      </c>
      <c r="B2966" s="24" t="s">
        <v>6942</v>
      </c>
      <c r="C2966" s="24" t="s">
        <v>6788</v>
      </c>
      <c r="D2966" s="59">
        <v>1.0</v>
      </c>
      <c r="E2966" s="59">
        <v>3.0</v>
      </c>
      <c r="F2966" s="59">
        <v>0.0</v>
      </c>
      <c r="G2966" s="60">
        <v>3.0</v>
      </c>
      <c r="H2966" s="60">
        <v>0.0</v>
      </c>
      <c r="I2966" s="60">
        <v>813.761924</v>
      </c>
      <c r="J2966" s="59">
        <v>17.0</v>
      </c>
      <c r="K2966" s="61">
        <f t="shared" si="1"/>
        <v>0</v>
      </c>
      <c r="L2966" s="62">
        <f t="shared" si="2"/>
        <v>5.666666667</v>
      </c>
    </row>
    <row r="2967">
      <c r="A2967" s="58">
        <v>45931.0</v>
      </c>
      <c r="B2967" s="24" t="s">
        <v>6787</v>
      </c>
      <c r="C2967" s="24" t="s">
        <v>7297</v>
      </c>
      <c r="D2967" s="59">
        <v>1.0</v>
      </c>
      <c r="E2967" s="59">
        <v>1.0</v>
      </c>
      <c r="F2967" s="59">
        <v>1.0</v>
      </c>
      <c r="G2967" s="60">
        <v>1.0</v>
      </c>
      <c r="H2967" s="60">
        <v>1.0</v>
      </c>
      <c r="I2967" s="60">
        <v>0.0</v>
      </c>
      <c r="J2967" s="59">
        <v>1.0</v>
      </c>
      <c r="K2967" s="61">
        <f t="shared" si="1"/>
        <v>1</v>
      </c>
      <c r="L2967" s="62">
        <f t="shared" si="2"/>
        <v>1</v>
      </c>
    </row>
    <row r="2968">
      <c r="A2968" s="58">
        <v>45931.0</v>
      </c>
      <c r="B2968" s="24" t="s">
        <v>6787</v>
      </c>
      <c r="C2968" s="24" t="s">
        <v>6925</v>
      </c>
      <c r="D2968" s="59">
        <v>1.0</v>
      </c>
      <c r="E2968" s="59">
        <v>1.0</v>
      </c>
      <c r="F2968" s="59">
        <v>1.0</v>
      </c>
      <c r="G2968" s="60">
        <v>1.0</v>
      </c>
      <c r="H2968" s="60">
        <v>0.0</v>
      </c>
      <c r="I2968" s="60">
        <v>41.12994</v>
      </c>
      <c r="J2968" s="59">
        <v>1.0</v>
      </c>
      <c r="K2968" s="61">
        <f t="shared" si="1"/>
        <v>1</v>
      </c>
      <c r="L2968" s="62">
        <f t="shared" si="2"/>
        <v>1</v>
      </c>
    </row>
    <row r="2969">
      <c r="A2969" s="58">
        <v>45931.0</v>
      </c>
      <c r="B2969" s="24" t="s">
        <v>6789</v>
      </c>
      <c r="C2969" s="24" t="s">
        <v>7298</v>
      </c>
      <c r="D2969" s="59">
        <v>1.0</v>
      </c>
      <c r="E2969" s="59">
        <v>1.0</v>
      </c>
      <c r="F2969" s="59">
        <v>0.0</v>
      </c>
      <c r="G2969" s="60">
        <v>1.0</v>
      </c>
      <c r="H2969" s="60">
        <v>0.0</v>
      </c>
      <c r="I2969" s="60">
        <v>24.803138</v>
      </c>
      <c r="J2969" s="59">
        <v>2.0</v>
      </c>
      <c r="K2969" s="61">
        <f t="shared" si="1"/>
        <v>0</v>
      </c>
      <c r="L2969" s="62">
        <f t="shared" si="2"/>
        <v>2</v>
      </c>
    </row>
    <row r="2970">
      <c r="A2970" s="58">
        <v>45931.0</v>
      </c>
      <c r="B2970" s="24" t="s">
        <v>6787</v>
      </c>
      <c r="C2970" s="24" t="s">
        <v>7299</v>
      </c>
      <c r="D2970" s="59">
        <v>1.0</v>
      </c>
      <c r="E2970" s="59">
        <v>1.0</v>
      </c>
      <c r="F2970" s="59">
        <v>0.0</v>
      </c>
      <c r="G2970" s="60">
        <v>1.0</v>
      </c>
      <c r="H2970" s="60">
        <v>0.0</v>
      </c>
      <c r="I2970" s="60">
        <v>150.813242</v>
      </c>
      <c r="J2970" s="59">
        <v>5.0</v>
      </c>
      <c r="K2970" s="61">
        <f t="shared" si="1"/>
        <v>0</v>
      </c>
      <c r="L2970" s="62">
        <f t="shared" si="2"/>
        <v>5</v>
      </c>
    </row>
    <row r="2971">
      <c r="A2971" s="58">
        <v>45931.0</v>
      </c>
      <c r="B2971" s="24" t="s">
        <v>6789</v>
      </c>
      <c r="C2971" s="24" t="s">
        <v>7251</v>
      </c>
      <c r="D2971" s="59">
        <v>1.0</v>
      </c>
      <c r="E2971" s="59">
        <v>1.0</v>
      </c>
      <c r="F2971" s="59">
        <v>0.0</v>
      </c>
      <c r="G2971" s="60">
        <v>1.0</v>
      </c>
      <c r="H2971" s="60">
        <v>0.0</v>
      </c>
      <c r="I2971" s="60">
        <v>29.316941</v>
      </c>
      <c r="J2971" s="59">
        <v>1.0</v>
      </c>
      <c r="K2971" s="61">
        <f t="shared" si="1"/>
        <v>0</v>
      </c>
      <c r="L2971" s="62">
        <f t="shared" si="2"/>
        <v>1</v>
      </c>
    </row>
    <row r="2972">
      <c r="A2972" s="58">
        <v>45931.0</v>
      </c>
      <c r="B2972" s="24" t="s">
        <v>6790</v>
      </c>
      <c r="C2972" s="24" t="s">
        <v>7251</v>
      </c>
      <c r="D2972" s="59">
        <v>1.0</v>
      </c>
      <c r="E2972" s="59">
        <v>1.0</v>
      </c>
      <c r="F2972" s="59">
        <v>0.0</v>
      </c>
      <c r="G2972" s="60">
        <v>1.0</v>
      </c>
      <c r="H2972" s="60">
        <v>0.0</v>
      </c>
      <c r="I2972" s="60">
        <v>51.223281</v>
      </c>
      <c r="J2972" s="59">
        <v>4.0</v>
      </c>
      <c r="K2972" s="61">
        <f t="shared" si="1"/>
        <v>0</v>
      </c>
      <c r="L2972" s="62">
        <f t="shared" si="2"/>
        <v>4</v>
      </c>
    </row>
    <row r="2973">
      <c r="A2973" s="58">
        <v>45931.0</v>
      </c>
      <c r="B2973" s="24" t="s">
        <v>6787</v>
      </c>
      <c r="C2973" s="24" t="s">
        <v>7149</v>
      </c>
      <c r="D2973" s="59">
        <v>1.0</v>
      </c>
      <c r="E2973" s="59">
        <v>1.0</v>
      </c>
      <c r="F2973" s="59">
        <v>1.0</v>
      </c>
      <c r="G2973" s="60">
        <v>1.0</v>
      </c>
      <c r="H2973" s="60">
        <v>0.0</v>
      </c>
      <c r="I2973" s="60">
        <v>48.87754</v>
      </c>
      <c r="J2973" s="59">
        <v>1.0</v>
      </c>
      <c r="K2973" s="61">
        <f t="shared" si="1"/>
        <v>1</v>
      </c>
      <c r="L2973" s="62">
        <f t="shared" si="2"/>
        <v>1</v>
      </c>
    </row>
    <row r="2974">
      <c r="A2974" s="58">
        <v>45931.0</v>
      </c>
      <c r="B2974" s="24" t="s">
        <v>155</v>
      </c>
      <c r="C2974" s="24" t="s">
        <v>6817</v>
      </c>
      <c r="D2974" s="59">
        <v>1.0</v>
      </c>
      <c r="E2974" s="59">
        <v>1.0</v>
      </c>
      <c r="F2974" s="59">
        <v>0.0</v>
      </c>
      <c r="G2974" s="60">
        <v>1.0</v>
      </c>
      <c r="H2974" s="60">
        <v>1.0</v>
      </c>
      <c r="I2974" s="60">
        <v>1.748268</v>
      </c>
      <c r="J2974" s="59">
        <v>1.0</v>
      </c>
      <c r="K2974" s="61">
        <f t="shared" si="1"/>
        <v>0</v>
      </c>
      <c r="L2974" s="62">
        <f t="shared" si="2"/>
        <v>1</v>
      </c>
    </row>
    <row r="2975">
      <c r="A2975" s="58">
        <v>45931.0</v>
      </c>
      <c r="B2975" s="24" t="s">
        <v>6789</v>
      </c>
      <c r="C2975" s="24" t="s">
        <v>6953</v>
      </c>
      <c r="D2975" s="59">
        <v>1.0</v>
      </c>
      <c r="E2975" s="59">
        <v>1.0</v>
      </c>
      <c r="F2975" s="59">
        <v>1.0</v>
      </c>
      <c r="G2975" s="60">
        <v>1.0</v>
      </c>
      <c r="H2975" s="60">
        <v>1.0</v>
      </c>
      <c r="I2975" s="60">
        <v>0.0</v>
      </c>
      <c r="J2975" s="59">
        <v>1.0</v>
      </c>
      <c r="K2975" s="61">
        <f t="shared" si="1"/>
        <v>1</v>
      </c>
      <c r="L2975" s="62">
        <f t="shared" si="2"/>
        <v>1</v>
      </c>
    </row>
    <row r="2976">
      <c r="A2976" s="58">
        <v>45931.0</v>
      </c>
      <c r="B2976" s="24" t="s">
        <v>6789</v>
      </c>
      <c r="C2976" s="24" t="s">
        <v>6984</v>
      </c>
      <c r="D2976" s="59">
        <v>1.0</v>
      </c>
      <c r="E2976" s="59">
        <v>1.0</v>
      </c>
      <c r="F2976" s="59">
        <v>1.0</v>
      </c>
      <c r="G2976" s="60">
        <v>1.0</v>
      </c>
      <c r="H2976" s="60">
        <v>1.0</v>
      </c>
      <c r="I2976" s="60">
        <v>4.923514</v>
      </c>
      <c r="J2976" s="59">
        <v>1.0</v>
      </c>
      <c r="K2976" s="61">
        <f t="shared" si="1"/>
        <v>1</v>
      </c>
      <c r="L2976" s="62">
        <f t="shared" si="2"/>
        <v>1</v>
      </c>
    </row>
    <row r="2977">
      <c r="A2977" s="58">
        <v>45931.0</v>
      </c>
      <c r="B2977" s="24" t="s">
        <v>6790</v>
      </c>
      <c r="C2977" s="24" t="s">
        <v>6804</v>
      </c>
      <c r="D2977" s="59">
        <v>1.0</v>
      </c>
      <c r="E2977" s="59">
        <v>1.0</v>
      </c>
      <c r="F2977" s="59">
        <v>1.0</v>
      </c>
      <c r="G2977" s="60">
        <v>1.0</v>
      </c>
      <c r="H2977" s="60">
        <v>1.0</v>
      </c>
      <c r="I2977" s="60">
        <v>0.0</v>
      </c>
      <c r="J2977" s="59">
        <v>1.0</v>
      </c>
      <c r="K2977" s="61">
        <f t="shared" si="1"/>
        <v>1</v>
      </c>
      <c r="L2977" s="62">
        <f t="shared" si="2"/>
        <v>1</v>
      </c>
    </row>
    <row r="2978">
      <c r="A2978" s="58">
        <v>45931.0</v>
      </c>
      <c r="B2978" s="24" t="s">
        <v>6789</v>
      </c>
      <c r="C2978" s="24" t="s">
        <v>6956</v>
      </c>
      <c r="D2978" s="59">
        <v>1.0</v>
      </c>
      <c r="E2978" s="59">
        <v>1.0</v>
      </c>
      <c r="F2978" s="59">
        <v>1.0</v>
      </c>
      <c r="G2978" s="60">
        <v>1.0</v>
      </c>
      <c r="H2978" s="60">
        <v>1.0</v>
      </c>
      <c r="I2978" s="60">
        <v>1.501745</v>
      </c>
      <c r="J2978" s="59">
        <v>1.0</v>
      </c>
      <c r="K2978" s="61">
        <f t="shared" si="1"/>
        <v>1</v>
      </c>
      <c r="L2978" s="62">
        <f t="shared" si="2"/>
        <v>1</v>
      </c>
    </row>
    <row r="2979">
      <c r="A2979" s="58">
        <v>45931.0</v>
      </c>
      <c r="B2979" s="24" t="s">
        <v>6787</v>
      </c>
      <c r="C2979" s="24" t="s">
        <v>7240</v>
      </c>
      <c r="D2979" s="59">
        <v>1.0</v>
      </c>
      <c r="E2979" s="59">
        <v>1.0</v>
      </c>
      <c r="F2979" s="59">
        <v>1.0</v>
      </c>
      <c r="G2979" s="60">
        <v>1.0</v>
      </c>
      <c r="H2979" s="60">
        <v>1.0</v>
      </c>
      <c r="I2979" s="60">
        <v>4.630929</v>
      </c>
      <c r="J2979" s="59">
        <v>1.0</v>
      </c>
      <c r="K2979" s="61">
        <f t="shared" si="1"/>
        <v>1</v>
      </c>
      <c r="L2979" s="62">
        <f t="shared" si="2"/>
        <v>1</v>
      </c>
    </row>
    <row r="2980">
      <c r="A2980" s="58">
        <v>45931.0</v>
      </c>
      <c r="B2980" s="24" t="s">
        <v>6787</v>
      </c>
      <c r="C2980" s="24" t="s">
        <v>7253</v>
      </c>
      <c r="D2980" s="59">
        <v>1.0</v>
      </c>
      <c r="E2980" s="59">
        <v>1.0</v>
      </c>
      <c r="F2980" s="59">
        <v>1.0</v>
      </c>
      <c r="G2980" s="60">
        <v>1.0</v>
      </c>
      <c r="H2980" s="60">
        <v>1.0</v>
      </c>
      <c r="I2980" s="60">
        <v>4.615625</v>
      </c>
      <c r="J2980" s="59">
        <v>1.0</v>
      </c>
      <c r="K2980" s="61">
        <f t="shared" si="1"/>
        <v>1</v>
      </c>
      <c r="L2980" s="62">
        <f t="shared" si="2"/>
        <v>1</v>
      </c>
    </row>
    <row r="2981">
      <c r="A2981" s="58">
        <v>45931.0</v>
      </c>
      <c r="B2981" s="24" t="s">
        <v>6789</v>
      </c>
      <c r="C2981" s="24" t="s">
        <v>7039</v>
      </c>
      <c r="D2981" s="59">
        <v>1.0</v>
      </c>
      <c r="E2981" s="59">
        <v>1.0</v>
      </c>
      <c r="F2981" s="59">
        <v>1.0</v>
      </c>
      <c r="G2981" s="60">
        <v>1.0</v>
      </c>
      <c r="H2981" s="60">
        <v>0.0</v>
      </c>
      <c r="I2981" s="60">
        <v>1112.59051</v>
      </c>
      <c r="J2981" s="59">
        <v>1.0</v>
      </c>
      <c r="K2981" s="61">
        <f t="shared" si="1"/>
        <v>1</v>
      </c>
      <c r="L2981" s="62">
        <f t="shared" si="2"/>
        <v>1</v>
      </c>
    </row>
    <row r="2982">
      <c r="A2982" s="58">
        <v>45931.0</v>
      </c>
      <c r="B2982" s="24" t="s">
        <v>6789</v>
      </c>
      <c r="C2982" s="24" t="s">
        <v>7059</v>
      </c>
      <c r="D2982" s="59">
        <v>1.0</v>
      </c>
      <c r="E2982" s="59">
        <v>1.0</v>
      </c>
      <c r="F2982" s="59">
        <v>1.0</v>
      </c>
      <c r="G2982" s="60">
        <v>1.0</v>
      </c>
      <c r="H2982" s="60">
        <v>1.0</v>
      </c>
      <c r="I2982" s="60">
        <v>0.0</v>
      </c>
      <c r="J2982" s="59">
        <v>1.0</v>
      </c>
      <c r="K2982" s="61">
        <f t="shared" si="1"/>
        <v>1</v>
      </c>
      <c r="L2982" s="62">
        <f t="shared" si="2"/>
        <v>1</v>
      </c>
    </row>
    <row r="2983">
      <c r="A2983" s="58">
        <v>45931.0</v>
      </c>
      <c r="B2983" s="24" t="s">
        <v>155</v>
      </c>
      <c r="C2983" s="24" t="s">
        <v>6864</v>
      </c>
      <c r="D2983" s="59">
        <v>1.0</v>
      </c>
      <c r="E2983" s="59">
        <v>1.0</v>
      </c>
      <c r="F2983" s="59">
        <v>0.0</v>
      </c>
      <c r="G2983" s="60">
        <v>1.0</v>
      </c>
      <c r="H2983" s="60">
        <v>0.0</v>
      </c>
      <c r="I2983" s="60">
        <v>36.530804</v>
      </c>
      <c r="J2983" s="59">
        <v>1.0</v>
      </c>
      <c r="K2983" s="61">
        <f t="shared" si="1"/>
        <v>0</v>
      </c>
      <c r="L2983" s="62">
        <f t="shared" si="2"/>
        <v>1</v>
      </c>
    </row>
    <row r="2984">
      <c r="A2984" s="58">
        <v>45931.0</v>
      </c>
      <c r="B2984" s="24" t="s">
        <v>6787</v>
      </c>
      <c r="C2984" s="24" t="s">
        <v>6818</v>
      </c>
      <c r="D2984" s="59">
        <v>1.0</v>
      </c>
      <c r="E2984" s="59">
        <v>1.0</v>
      </c>
      <c r="F2984" s="59">
        <v>1.0</v>
      </c>
      <c r="G2984" s="60">
        <v>1.0</v>
      </c>
      <c r="H2984" s="60">
        <v>0.0</v>
      </c>
      <c r="I2984" s="60">
        <v>47.047929</v>
      </c>
      <c r="J2984" s="59">
        <v>1.0</v>
      </c>
      <c r="K2984" s="61">
        <f t="shared" si="1"/>
        <v>1</v>
      </c>
      <c r="L2984" s="62">
        <f t="shared" si="2"/>
        <v>1</v>
      </c>
    </row>
    <row r="2985">
      <c r="A2985" s="58">
        <v>45931.0</v>
      </c>
      <c r="B2985" s="24" t="s">
        <v>6789</v>
      </c>
      <c r="C2985" s="24" t="s">
        <v>6985</v>
      </c>
      <c r="D2985" s="59">
        <v>1.0</v>
      </c>
      <c r="E2985" s="59">
        <v>1.0</v>
      </c>
      <c r="F2985" s="59">
        <v>0.0</v>
      </c>
      <c r="G2985" s="60">
        <v>1.0</v>
      </c>
      <c r="H2985" s="60">
        <v>0.0</v>
      </c>
      <c r="I2985" s="60">
        <v>40.075799</v>
      </c>
      <c r="J2985" s="59">
        <v>2.0</v>
      </c>
      <c r="K2985" s="61">
        <f t="shared" si="1"/>
        <v>0</v>
      </c>
      <c r="L2985" s="62">
        <f t="shared" si="2"/>
        <v>2</v>
      </c>
    </row>
    <row r="2986">
      <c r="A2986" s="58">
        <v>45931.0</v>
      </c>
      <c r="B2986" s="24" t="s">
        <v>6789</v>
      </c>
      <c r="C2986" s="24" t="s">
        <v>6927</v>
      </c>
      <c r="D2986" s="59">
        <v>1.0</v>
      </c>
      <c r="E2986" s="59">
        <v>1.0</v>
      </c>
      <c r="F2986" s="59">
        <v>1.0</v>
      </c>
      <c r="G2986" s="60">
        <v>1.0</v>
      </c>
      <c r="H2986" s="60">
        <v>1.0</v>
      </c>
      <c r="I2986" s="60">
        <v>5.249077</v>
      </c>
      <c r="J2986" s="59">
        <v>1.0</v>
      </c>
      <c r="K2986" s="61">
        <f t="shared" si="1"/>
        <v>1</v>
      </c>
      <c r="L2986" s="62">
        <f t="shared" si="2"/>
        <v>1</v>
      </c>
    </row>
    <row r="2987">
      <c r="A2987" s="58">
        <v>45931.0</v>
      </c>
      <c r="B2987" s="24" t="s">
        <v>155</v>
      </c>
      <c r="C2987" s="24" t="s">
        <v>6986</v>
      </c>
      <c r="D2987" s="59">
        <v>1.0</v>
      </c>
      <c r="E2987" s="59">
        <v>1.0</v>
      </c>
      <c r="F2987" s="59">
        <v>0.0</v>
      </c>
      <c r="G2987" s="60">
        <v>1.0</v>
      </c>
      <c r="H2987" s="60">
        <v>0.0</v>
      </c>
      <c r="I2987" s="60">
        <v>14.766724</v>
      </c>
      <c r="J2987" s="59">
        <v>1.0</v>
      </c>
      <c r="K2987" s="61">
        <f t="shared" si="1"/>
        <v>0</v>
      </c>
      <c r="L2987" s="62">
        <f t="shared" si="2"/>
        <v>1</v>
      </c>
    </row>
    <row r="2988">
      <c r="A2988" s="58">
        <v>45931.0</v>
      </c>
      <c r="B2988" s="24" t="s">
        <v>6789</v>
      </c>
      <c r="C2988" s="24" t="s">
        <v>6867</v>
      </c>
      <c r="D2988" s="59">
        <v>1.0</v>
      </c>
      <c r="E2988" s="59">
        <v>1.0</v>
      </c>
      <c r="F2988" s="59">
        <v>1.0</v>
      </c>
      <c r="G2988" s="60">
        <v>1.0</v>
      </c>
      <c r="H2988" s="60">
        <v>0.0</v>
      </c>
      <c r="I2988" s="60">
        <v>48.726887</v>
      </c>
      <c r="J2988" s="59">
        <v>1.0</v>
      </c>
      <c r="K2988" s="61">
        <f t="shared" si="1"/>
        <v>1</v>
      </c>
      <c r="L2988" s="62">
        <f t="shared" si="2"/>
        <v>1</v>
      </c>
    </row>
    <row r="2989">
      <c r="A2989" s="58">
        <v>45931.0</v>
      </c>
      <c r="B2989" s="24" t="s">
        <v>155</v>
      </c>
      <c r="C2989" s="24" t="s">
        <v>7040</v>
      </c>
      <c r="D2989" s="59">
        <v>1.0</v>
      </c>
      <c r="E2989" s="59">
        <v>1.0</v>
      </c>
      <c r="F2989" s="59">
        <v>1.0</v>
      </c>
      <c r="G2989" s="60">
        <v>1.0</v>
      </c>
      <c r="H2989" s="60">
        <v>0.0</v>
      </c>
      <c r="I2989" s="60">
        <v>275.48059</v>
      </c>
      <c r="J2989" s="59">
        <v>2.0</v>
      </c>
      <c r="K2989" s="61">
        <f t="shared" si="1"/>
        <v>1</v>
      </c>
      <c r="L2989" s="62">
        <f t="shared" si="2"/>
        <v>2</v>
      </c>
    </row>
    <row r="2990">
      <c r="A2990" s="58">
        <v>45931.0</v>
      </c>
      <c r="B2990" s="24" t="s">
        <v>155</v>
      </c>
      <c r="C2990" s="24" t="s">
        <v>6870</v>
      </c>
      <c r="D2990" s="59">
        <v>1.0</v>
      </c>
      <c r="E2990" s="59">
        <v>1.0</v>
      </c>
      <c r="F2990" s="59">
        <v>1.0</v>
      </c>
      <c r="G2990" s="60">
        <v>1.0</v>
      </c>
      <c r="H2990" s="60">
        <v>1.0</v>
      </c>
      <c r="I2990" s="60">
        <v>7.243693</v>
      </c>
      <c r="J2990" s="59">
        <v>1.0</v>
      </c>
      <c r="K2990" s="61">
        <f t="shared" si="1"/>
        <v>1</v>
      </c>
      <c r="L2990" s="62">
        <f t="shared" si="2"/>
        <v>1</v>
      </c>
    </row>
    <row r="2991">
      <c r="A2991" s="58">
        <v>45931.0</v>
      </c>
      <c r="B2991" s="24" t="s">
        <v>6789</v>
      </c>
      <c r="C2991" s="24" t="s">
        <v>7063</v>
      </c>
      <c r="D2991" s="59">
        <v>1.0</v>
      </c>
      <c r="E2991" s="59">
        <v>1.0</v>
      </c>
      <c r="F2991" s="59">
        <v>0.0</v>
      </c>
      <c r="G2991" s="60">
        <v>1.0</v>
      </c>
      <c r="H2991" s="60">
        <v>0.0</v>
      </c>
      <c r="I2991" s="60">
        <v>217.568934</v>
      </c>
      <c r="J2991" s="59">
        <v>5.0</v>
      </c>
      <c r="K2991" s="61">
        <f t="shared" si="1"/>
        <v>0</v>
      </c>
      <c r="L2991" s="62">
        <f t="shared" si="2"/>
        <v>5</v>
      </c>
    </row>
    <row r="2992">
      <c r="A2992" s="58">
        <v>45931.0</v>
      </c>
      <c r="B2992" s="24" t="s">
        <v>6790</v>
      </c>
      <c r="C2992" s="24" t="s">
        <v>6872</v>
      </c>
      <c r="D2992" s="59">
        <v>1.0</v>
      </c>
      <c r="E2992" s="59">
        <v>1.0</v>
      </c>
      <c r="F2992" s="59">
        <v>1.0</v>
      </c>
      <c r="G2992" s="60">
        <v>1.0</v>
      </c>
      <c r="H2992" s="60">
        <v>1.0</v>
      </c>
      <c r="I2992" s="60">
        <v>0.0</v>
      </c>
      <c r="J2992" s="59">
        <v>1.0</v>
      </c>
      <c r="K2992" s="61">
        <f t="shared" si="1"/>
        <v>1</v>
      </c>
      <c r="L2992" s="62">
        <f t="shared" si="2"/>
        <v>1</v>
      </c>
    </row>
    <row r="2993">
      <c r="A2993" s="58">
        <v>45931.0</v>
      </c>
      <c r="B2993" s="24" t="s">
        <v>6789</v>
      </c>
      <c r="C2993" s="24" t="s">
        <v>6873</v>
      </c>
      <c r="D2993" s="59">
        <v>1.0</v>
      </c>
      <c r="E2993" s="59">
        <v>1.0</v>
      </c>
      <c r="F2993" s="59">
        <v>1.0</v>
      </c>
      <c r="G2993" s="60">
        <v>1.0</v>
      </c>
      <c r="H2993" s="60">
        <v>1.0</v>
      </c>
      <c r="I2993" s="60">
        <v>0.0</v>
      </c>
      <c r="J2993" s="59">
        <v>1.0</v>
      </c>
      <c r="K2993" s="61">
        <f t="shared" si="1"/>
        <v>1</v>
      </c>
      <c r="L2993" s="62">
        <f t="shared" si="2"/>
        <v>1</v>
      </c>
    </row>
    <row r="2994">
      <c r="A2994" s="58">
        <v>45931.0</v>
      </c>
      <c r="B2994" s="24" t="s">
        <v>6789</v>
      </c>
      <c r="C2994" s="24" t="s">
        <v>7064</v>
      </c>
      <c r="D2994" s="59">
        <v>1.0</v>
      </c>
      <c r="E2994" s="59">
        <v>1.0</v>
      </c>
      <c r="F2994" s="59">
        <v>1.0</v>
      </c>
      <c r="G2994" s="60">
        <v>1.0</v>
      </c>
      <c r="H2994" s="60">
        <v>0.0</v>
      </c>
      <c r="I2994" s="60">
        <v>69.376612</v>
      </c>
      <c r="J2994" s="59">
        <v>2.0</v>
      </c>
      <c r="K2994" s="61">
        <f t="shared" si="1"/>
        <v>1</v>
      </c>
      <c r="L2994" s="62">
        <f t="shared" si="2"/>
        <v>2</v>
      </c>
    </row>
    <row r="2995">
      <c r="A2995" s="58">
        <v>45931.0</v>
      </c>
      <c r="B2995" s="24" t="s">
        <v>155</v>
      </c>
      <c r="C2995" s="24" t="s">
        <v>6876</v>
      </c>
      <c r="D2995" s="59">
        <v>1.0</v>
      </c>
      <c r="E2995" s="59">
        <v>1.0</v>
      </c>
      <c r="F2995" s="59">
        <v>0.0</v>
      </c>
      <c r="G2995" s="60">
        <v>1.0</v>
      </c>
      <c r="H2995" s="60">
        <v>0.0</v>
      </c>
      <c r="I2995" s="60">
        <v>829.491128</v>
      </c>
      <c r="J2995" s="59">
        <v>3.0</v>
      </c>
      <c r="K2995" s="61">
        <f t="shared" si="1"/>
        <v>0</v>
      </c>
      <c r="L2995" s="62">
        <f t="shared" si="2"/>
        <v>3</v>
      </c>
    </row>
    <row r="2996">
      <c r="A2996" s="58">
        <v>45931.0</v>
      </c>
      <c r="B2996" s="24" t="s">
        <v>6789</v>
      </c>
      <c r="C2996" s="24" t="s">
        <v>6877</v>
      </c>
      <c r="D2996" s="59">
        <v>1.0</v>
      </c>
      <c r="E2996" s="59">
        <v>1.0</v>
      </c>
      <c r="F2996" s="59">
        <v>1.0</v>
      </c>
      <c r="G2996" s="60">
        <v>1.0</v>
      </c>
      <c r="H2996" s="60">
        <v>0.0</v>
      </c>
      <c r="I2996" s="60">
        <v>14.378721</v>
      </c>
      <c r="J2996" s="59">
        <v>1.0</v>
      </c>
      <c r="K2996" s="61">
        <f t="shared" si="1"/>
        <v>1</v>
      </c>
      <c r="L2996" s="62">
        <f t="shared" si="2"/>
        <v>1</v>
      </c>
    </row>
    <row r="2997">
      <c r="A2997" s="58">
        <v>45931.0</v>
      </c>
      <c r="B2997" s="24" t="s">
        <v>6791</v>
      </c>
      <c r="C2997" s="24" t="s">
        <v>6877</v>
      </c>
      <c r="D2997" s="59">
        <v>1.0</v>
      </c>
      <c r="E2997" s="59">
        <v>1.0</v>
      </c>
      <c r="F2997" s="59">
        <v>0.0</v>
      </c>
      <c r="G2997" s="60">
        <v>0.0</v>
      </c>
      <c r="H2997" s="60">
        <v>1.0</v>
      </c>
      <c r="I2997" s="60">
        <v>0.0</v>
      </c>
      <c r="J2997" s="59">
        <v>1.0</v>
      </c>
      <c r="K2997" s="61">
        <f t="shared" si="1"/>
        <v>0</v>
      </c>
      <c r="L2997" s="62">
        <f t="shared" si="2"/>
        <v>1</v>
      </c>
    </row>
    <row r="2998">
      <c r="A2998" s="58">
        <v>45931.0</v>
      </c>
      <c r="B2998" s="24" t="s">
        <v>7030</v>
      </c>
      <c r="C2998" s="24" t="s">
        <v>6882</v>
      </c>
      <c r="D2998" s="59">
        <v>1.0</v>
      </c>
      <c r="E2998" s="59">
        <v>2.0</v>
      </c>
      <c r="F2998" s="59">
        <v>1.0</v>
      </c>
      <c r="G2998" s="60">
        <v>2.0</v>
      </c>
      <c r="H2998" s="60">
        <v>0.0</v>
      </c>
      <c r="I2998" s="60">
        <v>192.844241499999</v>
      </c>
      <c r="J2998" s="59">
        <v>6.0</v>
      </c>
      <c r="K2998" s="61">
        <f t="shared" si="1"/>
        <v>0.5</v>
      </c>
      <c r="L2998" s="62">
        <f t="shared" si="2"/>
        <v>3</v>
      </c>
    </row>
    <row r="2999">
      <c r="A2999" s="58">
        <v>45931.0</v>
      </c>
      <c r="B2999" s="24" t="s">
        <v>155</v>
      </c>
      <c r="C2999" s="24" t="s">
        <v>6882</v>
      </c>
      <c r="D2999" s="59">
        <v>1.0</v>
      </c>
      <c r="E2999" s="59">
        <v>1.0</v>
      </c>
      <c r="F2999" s="59">
        <v>1.0</v>
      </c>
      <c r="G2999" s="60">
        <v>1.0</v>
      </c>
      <c r="H2999" s="60">
        <v>0.0</v>
      </c>
      <c r="I2999" s="60">
        <v>1087.77481</v>
      </c>
      <c r="J2999" s="59">
        <v>1.0</v>
      </c>
      <c r="K2999" s="61">
        <f t="shared" si="1"/>
        <v>1</v>
      </c>
      <c r="L2999" s="62">
        <f t="shared" si="2"/>
        <v>1</v>
      </c>
    </row>
    <row r="3000">
      <c r="A3000" s="58">
        <v>45931.0</v>
      </c>
      <c r="B3000" s="24" t="s">
        <v>6790</v>
      </c>
      <c r="C3000" s="24" t="s">
        <v>6882</v>
      </c>
      <c r="D3000" s="59">
        <v>1.0</v>
      </c>
      <c r="E3000" s="59">
        <v>1.0</v>
      </c>
      <c r="F3000" s="59">
        <v>1.0</v>
      </c>
      <c r="G3000" s="60">
        <v>1.0</v>
      </c>
      <c r="H3000" s="60">
        <v>0.0</v>
      </c>
      <c r="I3000" s="60">
        <v>44.242212</v>
      </c>
      <c r="J3000" s="59">
        <v>1.0</v>
      </c>
      <c r="K3000" s="61">
        <f t="shared" si="1"/>
        <v>1</v>
      </c>
      <c r="L3000" s="62">
        <f t="shared" si="2"/>
        <v>1</v>
      </c>
    </row>
    <row r="3001">
      <c r="A3001" s="58">
        <v>45931.0</v>
      </c>
      <c r="B3001" s="24" t="s">
        <v>6787</v>
      </c>
      <c r="C3001" s="24" t="s">
        <v>7067</v>
      </c>
      <c r="D3001" s="59">
        <v>1.0</v>
      </c>
      <c r="E3001" s="59">
        <v>1.0</v>
      </c>
      <c r="F3001" s="59">
        <v>1.0</v>
      </c>
      <c r="G3001" s="60">
        <v>1.0</v>
      </c>
      <c r="H3001" s="60">
        <v>0.0</v>
      </c>
      <c r="I3001" s="60">
        <v>47.403833</v>
      </c>
      <c r="J3001" s="59">
        <v>1.0</v>
      </c>
      <c r="K3001" s="61">
        <f t="shared" si="1"/>
        <v>1</v>
      </c>
      <c r="L3001" s="62">
        <f t="shared" si="2"/>
        <v>1</v>
      </c>
    </row>
    <row r="3002">
      <c r="A3002" s="58">
        <v>45931.0</v>
      </c>
      <c r="B3002" s="24" t="s">
        <v>3216</v>
      </c>
      <c r="C3002" s="24" t="s">
        <v>6883</v>
      </c>
      <c r="D3002" s="59">
        <v>1.0</v>
      </c>
      <c r="E3002" s="59">
        <v>5.0</v>
      </c>
      <c r="F3002" s="59">
        <v>0.0</v>
      </c>
      <c r="G3002" s="60">
        <v>5.0</v>
      </c>
      <c r="H3002" s="60">
        <v>0.8</v>
      </c>
      <c r="I3002" s="60">
        <v>314.5809018</v>
      </c>
      <c r="J3002" s="59">
        <v>5.0</v>
      </c>
      <c r="K3002" s="61">
        <f t="shared" si="1"/>
        <v>0</v>
      </c>
      <c r="L3002" s="62">
        <f t="shared" si="2"/>
        <v>1</v>
      </c>
    </row>
    <row r="3003">
      <c r="A3003" s="58">
        <v>45931.0</v>
      </c>
      <c r="B3003" s="24" t="s">
        <v>155</v>
      </c>
      <c r="C3003" s="24" t="s">
        <v>6883</v>
      </c>
      <c r="D3003" s="59">
        <v>1.0</v>
      </c>
      <c r="E3003" s="59">
        <v>1.0</v>
      </c>
      <c r="F3003" s="59">
        <v>1.0</v>
      </c>
      <c r="G3003" s="60">
        <v>1.0</v>
      </c>
      <c r="H3003" s="60">
        <v>0.0</v>
      </c>
      <c r="I3003" s="60">
        <v>30.614596</v>
      </c>
      <c r="J3003" s="59">
        <v>1.0</v>
      </c>
      <c r="K3003" s="61">
        <f t="shared" si="1"/>
        <v>1</v>
      </c>
      <c r="L3003" s="62">
        <f t="shared" si="2"/>
        <v>1</v>
      </c>
    </row>
    <row r="3004">
      <c r="A3004" s="58">
        <v>45931.0</v>
      </c>
      <c r="B3004" s="24" t="s">
        <v>6787</v>
      </c>
      <c r="C3004" s="24" t="s">
        <v>7068</v>
      </c>
      <c r="D3004" s="59">
        <v>1.0</v>
      </c>
      <c r="E3004" s="59">
        <v>1.0</v>
      </c>
      <c r="F3004" s="59">
        <v>1.0</v>
      </c>
      <c r="G3004" s="60">
        <v>1.0</v>
      </c>
      <c r="H3004" s="60">
        <v>1.0</v>
      </c>
      <c r="I3004" s="60">
        <v>2.821421</v>
      </c>
      <c r="J3004" s="59">
        <v>1.0</v>
      </c>
      <c r="K3004" s="61">
        <f t="shared" si="1"/>
        <v>1</v>
      </c>
      <c r="L3004" s="62">
        <f t="shared" si="2"/>
        <v>1</v>
      </c>
    </row>
    <row r="3005">
      <c r="A3005" s="58">
        <v>45931.0</v>
      </c>
      <c r="B3005" s="24" t="s">
        <v>6789</v>
      </c>
      <c r="C3005" s="24" t="s">
        <v>7068</v>
      </c>
      <c r="D3005" s="59">
        <v>1.0</v>
      </c>
      <c r="E3005" s="59">
        <v>1.0</v>
      </c>
      <c r="F3005" s="59">
        <v>1.0</v>
      </c>
      <c r="G3005" s="60">
        <v>1.0</v>
      </c>
      <c r="H3005" s="60">
        <v>1.0</v>
      </c>
      <c r="I3005" s="60">
        <v>5.08832</v>
      </c>
      <c r="J3005" s="59">
        <v>1.0</v>
      </c>
      <c r="K3005" s="61">
        <f t="shared" si="1"/>
        <v>1</v>
      </c>
      <c r="L3005" s="62">
        <f t="shared" si="2"/>
        <v>1</v>
      </c>
    </row>
    <row r="3006">
      <c r="A3006" s="58">
        <v>45931.0</v>
      </c>
      <c r="B3006" s="24" t="s">
        <v>155</v>
      </c>
      <c r="C3006" s="24" t="s">
        <v>6836</v>
      </c>
      <c r="D3006" s="59">
        <v>1.0</v>
      </c>
      <c r="E3006" s="59">
        <v>1.0</v>
      </c>
      <c r="F3006" s="59">
        <v>1.0</v>
      </c>
      <c r="G3006" s="60">
        <v>1.0</v>
      </c>
      <c r="H3006" s="60">
        <v>0.0</v>
      </c>
      <c r="I3006" s="60">
        <v>20.000374</v>
      </c>
      <c r="J3006" s="59">
        <v>1.0</v>
      </c>
      <c r="K3006" s="61">
        <f t="shared" si="1"/>
        <v>1</v>
      </c>
      <c r="L3006" s="62">
        <f t="shared" si="2"/>
        <v>1</v>
      </c>
    </row>
    <row r="3007">
      <c r="A3007" s="58">
        <v>45931.0</v>
      </c>
      <c r="B3007" s="24" t="s">
        <v>6787</v>
      </c>
      <c r="C3007" s="24" t="s">
        <v>6994</v>
      </c>
      <c r="D3007" s="59">
        <v>1.0</v>
      </c>
      <c r="E3007" s="59">
        <v>1.0</v>
      </c>
      <c r="F3007" s="59">
        <v>1.0</v>
      </c>
      <c r="G3007" s="60">
        <v>1.0</v>
      </c>
      <c r="H3007" s="60">
        <v>0.0</v>
      </c>
      <c r="I3007" s="60">
        <v>46.886142</v>
      </c>
      <c r="J3007" s="59">
        <v>1.0</v>
      </c>
      <c r="K3007" s="61">
        <f t="shared" si="1"/>
        <v>1</v>
      </c>
      <c r="L3007" s="62">
        <f t="shared" si="2"/>
        <v>1</v>
      </c>
    </row>
    <row r="3008">
      <c r="A3008" s="58">
        <v>45931.0</v>
      </c>
      <c r="B3008" s="24" t="s">
        <v>6789</v>
      </c>
      <c r="C3008" s="24" t="s">
        <v>6994</v>
      </c>
      <c r="D3008" s="59">
        <v>1.0</v>
      </c>
      <c r="E3008" s="59">
        <v>1.0</v>
      </c>
      <c r="F3008" s="59">
        <v>1.0</v>
      </c>
      <c r="G3008" s="60">
        <v>1.0</v>
      </c>
      <c r="H3008" s="60">
        <v>0.0</v>
      </c>
      <c r="I3008" s="60">
        <v>98.302119</v>
      </c>
      <c r="J3008" s="59">
        <v>1.0</v>
      </c>
      <c r="K3008" s="61">
        <f t="shared" si="1"/>
        <v>1</v>
      </c>
      <c r="L3008" s="62">
        <f t="shared" si="2"/>
        <v>1</v>
      </c>
    </row>
    <row r="3009">
      <c r="A3009" s="58">
        <v>45931.0</v>
      </c>
      <c r="B3009" s="24" t="s">
        <v>155</v>
      </c>
      <c r="C3009" s="24" t="s">
        <v>6995</v>
      </c>
      <c r="D3009" s="59">
        <v>1.0</v>
      </c>
      <c r="E3009" s="59">
        <v>1.0</v>
      </c>
      <c r="F3009" s="59">
        <v>0.0</v>
      </c>
      <c r="G3009" s="60">
        <v>1.0</v>
      </c>
      <c r="H3009" s="60">
        <v>0.0</v>
      </c>
      <c r="I3009" s="60">
        <v>1359.335775</v>
      </c>
      <c r="J3009" s="59">
        <v>5.0</v>
      </c>
      <c r="K3009" s="61">
        <f t="shared" si="1"/>
        <v>0</v>
      </c>
      <c r="L3009" s="62">
        <f t="shared" si="2"/>
        <v>5</v>
      </c>
    </row>
    <row r="3010">
      <c r="A3010" s="58">
        <v>45931.0</v>
      </c>
      <c r="B3010" s="24" t="s">
        <v>155</v>
      </c>
      <c r="C3010" s="24" t="s">
        <v>7073</v>
      </c>
      <c r="D3010" s="59">
        <v>1.0</v>
      </c>
      <c r="E3010" s="59">
        <v>1.0</v>
      </c>
      <c r="F3010" s="59">
        <v>1.0</v>
      </c>
      <c r="G3010" s="60">
        <v>1.0</v>
      </c>
      <c r="H3010" s="60">
        <v>0.0</v>
      </c>
      <c r="I3010" s="60">
        <v>106.831875</v>
      </c>
      <c r="J3010" s="59">
        <v>4.0</v>
      </c>
      <c r="K3010" s="61">
        <f t="shared" si="1"/>
        <v>1</v>
      </c>
      <c r="L3010" s="62">
        <f t="shared" si="2"/>
        <v>4</v>
      </c>
    </row>
    <row r="3011">
      <c r="A3011" s="58">
        <v>45931.0</v>
      </c>
      <c r="B3011" s="24" t="s">
        <v>155</v>
      </c>
      <c r="C3011" s="24" t="s">
        <v>6930</v>
      </c>
      <c r="D3011" s="59">
        <v>1.0</v>
      </c>
      <c r="E3011" s="59">
        <v>1.0</v>
      </c>
      <c r="F3011" s="59">
        <v>1.0</v>
      </c>
      <c r="G3011" s="60">
        <v>1.0</v>
      </c>
      <c r="H3011" s="60">
        <v>1.0</v>
      </c>
      <c r="I3011" s="60">
        <v>0.0</v>
      </c>
      <c r="J3011" s="59">
        <v>1.0</v>
      </c>
      <c r="K3011" s="61">
        <f t="shared" si="1"/>
        <v>1</v>
      </c>
      <c r="L3011" s="62">
        <f t="shared" si="2"/>
        <v>1</v>
      </c>
    </row>
    <row r="3012">
      <c r="A3012" s="58">
        <v>45931.0</v>
      </c>
      <c r="B3012" s="24" t="s">
        <v>6791</v>
      </c>
      <c r="C3012" s="24" t="s">
        <v>6799</v>
      </c>
      <c r="D3012" s="59">
        <v>1.0</v>
      </c>
      <c r="E3012" s="59">
        <v>1.0</v>
      </c>
      <c r="F3012" s="59">
        <v>0.0</v>
      </c>
      <c r="G3012" s="60">
        <v>1.0</v>
      </c>
      <c r="H3012" s="60">
        <v>0.0</v>
      </c>
      <c r="I3012" s="60">
        <v>172.682347</v>
      </c>
      <c r="J3012" s="59">
        <v>4.0</v>
      </c>
      <c r="K3012" s="61">
        <f t="shared" si="1"/>
        <v>0</v>
      </c>
      <c r="L3012" s="62">
        <f t="shared" si="2"/>
        <v>4</v>
      </c>
    </row>
    <row r="3013">
      <c r="A3013" s="58">
        <v>45931.0</v>
      </c>
      <c r="B3013" s="24" t="s">
        <v>6789</v>
      </c>
      <c r="C3013" s="24" t="s">
        <v>6820</v>
      </c>
      <c r="D3013" s="59">
        <v>1.0</v>
      </c>
      <c r="E3013" s="59">
        <v>1.0</v>
      </c>
      <c r="F3013" s="59">
        <v>0.0</v>
      </c>
      <c r="G3013" s="60">
        <v>1.0</v>
      </c>
      <c r="H3013" s="60">
        <v>0.0</v>
      </c>
      <c r="I3013" s="60">
        <v>12.507109</v>
      </c>
      <c r="J3013" s="59">
        <v>1.0</v>
      </c>
      <c r="K3013" s="61">
        <f t="shared" si="1"/>
        <v>0</v>
      </c>
      <c r="L3013" s="62">
        <f t="shared" si="2"/>
        <v>1</v>
      </c>
    </row>
    <row r="3014">
      <c r="A3014" s="58">
        <v>45931.0</v>
      </c>
      <c r="B3014" s="24" t="s">
        <v>6791</v>
      </c>
      <c r="C3014" s="24" t="s">
        <v>6820</v>
      </c>
      <c r="D3014" s="59">
        <v>1.0</v>
      </c>
      <c r="E3014" s="59">
        <v>1.0</v>
      </c>
      <c r="F3014" s="59">
        <v>0.0</v>
      </c>
      <c r="G3014" s="60">
        <v>1.0</v>
      </c>
      <c r="H3014" s="60">
        <v>0.0</v>
      </c>
      <c r="I3014" s="60">
        <v>21.73151</v>
      </c>
      <c r="J3014" s="59">
        <v>1.0</v>
      </c>
      <c r="K3014" s="61">
        <f t="shared" si="1"/>
        <v>0</v>
      </c>
      <c r="L3014" s="62">
        <f t="shared" si="2"/>
        <v>1</v>
      </c>
    </row>
    <row r="3015">
      <c r="A3015" s="58">
        <v>45931.0</v>
      </c>
      <c r="B3015" s="24" t="s">
        <v>155</v>
      </c>
      <c r="C3015" s="24" t="s">
        <v>6820</v>
      </c>
      <c r="D3015" s="59">
        <v>1.0</v>
      </c>
      <c r="E3015" s="59">
        <v>1.0</v>
      </c>
      <c r="F3015" s="59">
        <v>0.0</v>
      </c>
      <c r="G3015" s="60">
        <v>1.0</v>
      </c>
      <c r="H3015" s="60">
        <v>0.0</v>
      </c>
      <c r="I3015" s="60">
        <v>11.242926</v>
      </c>
      <c r="J3015" s="59">
        <v>1.0</v>
      </c>
      <c r="K3015" s="61">
        <f t="shared" si="1"/>
        <v>0</v>
      </c>
      <c r="L3015" s="62">
        <f t="shared" si="2"/>
        <v>1</v>
      </c>
    </row>
    <row r="3016">
      <c r="A3016" s="58">
        <v>45931.0</v>
      </c>
      <c r="B3016" s="24" t="s">
        <v>6789</v>
      </c>
      <c r="C3016" s="24" t="s">
        <v>6888</v>
      </c>
      <c r="D3016" s="59">
        <v>1.0</v>
      </c>
      <c r="E3016" s="59">
        <v>1.0</v>
      </c>
      <c r="F3016" s="59">
        <v>0.0</v>
      </c>
      <c r="G3016" s="60">
        <v>1.0</v>
      </c>
      <c r="H3016" s="60">
        <v>0.0</v>
      </c>
      <c r="I3016" s="60">
        <v>1564.250172</v>
      </c>
      <c r="J3016" s="59">
        <v>1.0</v>
      </c>
      <c r="K3016" s="61">
        <f t="shared" si="1"/>
        <v>0</v>
      </c>
      <c r="L3016" s="62">
        <f t="shared" si="2"/>
        <v>1</v>
      </c>
    </row>
    <row r="3017">
      <c r="A3017" s="58">
        <v>45931.0</v>
      </c>
      <c r="B3017" s="24" t="s">
        <v>6855</v>
      </c>
      <c r="C3017" s="24" t="s">
        <v>7021</v>
      </c>
      <c r="D3017" s="59">
        <v>1.0</v>
      </c>
      <c r="E3017" s="59">
        <v>1.0</v>
      </c>
      <c r="F3017" s="59">
        <v>1.0</v>
      </c>
      <c r="G3017" s="60">
        <v>1.0</v>
      </c>
      <c r="H3017" s="60">
        <v>1.0</v>
      </c>
      <c r="I3017" s="60">
        <v>0.0</v>
      </c>
      <c r="J3017" s="59">
        <v>1.0</v>
      </c>
      <c r="K3017" s="61">
        <f t="shared" si="1"/>
        <v>1</v>
      </c>
      <c r="L3017" s="62">
        <f t="shared" si="2"/>
        <v>1</v>
      </c>
    </row>
    <row r="3018">
      <c r="A3018" s="58">
        <v>45931.0</v>
      </c>
      <c r="B3018" s="24" t="s">
        <v>6942</v>
      </c>
      <c r="C3018" s="24" t="s">
        <v>7021</v>
      </c>
      <c r="D3018" s="59">
        <v>1.0</v>
      </c>
      <c r="E3018" s="59">
        <v>1.0</v>
      </c>
      <c r="F3018" s="59">
        <v>1.0</v>
      </c>
      <c r="G3018" s="60">
        <v>1.0</v>
      </c>
      <c r="H3018" s="60">
        <v>1.0</v>
      </c>
      <c r="I3018" s="60">
        <v>0.0</v>
      </c>
      <c r="J3018" s="59">
        <v>1.0</v>
      </c>
      <c r="K3018" s="61">
        <f t="shared" si="1"/>
        <v>1</v>
      </c>
      <c r="L3018" s="62">
        <f t="shared" si="2"/>
        <v>1</v>
      </c>
    </row>
    <row r="3019">
      <c r="A3019" s="58">
        <v>45931.0</v>
      </c>
      <c r="B3019" s="24" t="s">
        <v>6790</v>
      </c>
      <c r="C3019" s="24" t="s">
        <v>7021</v>
      </c>
      <c r="D3019" s="59">
        <v>1.0</v>
      </c>
      <c r="E3019" s="59">
        <v>1.0</v>
      </c>
      <c r="F3019" s="59">
        <v>0.0</v>
      </c>
      <c r="G3019" s="60">
        <v>1.0</v>
      </c>
      <c r="H3019" s="60">
        <v>1.0</v>
      </c>
      <c r="I3019" s="60">
        <v>0.0</v>
      </c>
      <c r="J3019" s="59">
        <v>1.0</v>
      </c>
      <c r="K3019" s="61">
        <f t="shared" si="1"/>
        <v>0</v>
      </c>
      <c r="L3019" s="62">
        <f t="shared" si="2"/>
        <v>1</v>
      </c>
    </row>
    <row r="3020">
      <c r="A3020" s="58">
        <v>45931.0</v>
      </c>
      <c r="B3020" s="24" t="s">
        <v>6789</v>
      </c>
      <c r="C3020" s="24" t="s">
        <v>7300</v>
      </c>
      <c r="D3020" s="59">
        <v>1.0</v>
      </c>
      <c r="E3020" s="59">
        <v>1.0</v>
      </c>
      <c r="F3020" s="59">
        <v>0.0</v>
      </c>
      <c r="G3020" s="60">
        <v>1.0</v>
      </c>
      <c r="H3020" s="60">
        <v>0.0</v>
      </c>
      <c r="I3020" s="60">
        <v>325.980646</v>
      </c>
      <c r="J3020" s="59">
        <v>1.0</v>
      </c>
      <c r="K3020" s="61">
        <f t="shared" si="1"/>
        <v>0</v>
      </c>
      <c r="L3020" s="62">
        <f t="shared" si="2"/>
        <v>1</v>
      </c>
    </row>
    <row r="3021">
      <c r="A3021" s="58">
        <v>45931.0</v>
      </c>
      <c r="B3021" s="24" t="s">
        <v>6787</v>
      </c>
      <c r="C3021" s="24" t="s">
        <v>6998</v>
      </c>
      <c r="D3021" s="59">
        <v>1.0</v>
      </c>
      <c r="E3021" s="59">
        <v>1.0</v>
      </c>
      <c r="F3021" s="59">
        <v>1.0</v>
      </c>
      <c r="G3021" s="60">
        <v>1.0</v>
      </c>
      <c r="H3021" s="60">
        <v>1.0</v>
      </c>
      <c r="I3021" s="60">
        <v>0.0</v>
      </c>
      <c r="J3021" s="59">
        <v>1.0</v>
      </c>
      <c r="K3021" s="61">
        <f t="shared" si="1"/>
        <v>1</v>
      </c>
      <c r="L3021" s="62">
        <f t="shared" si="2"/>
        <v>1</v>
      </c>
    </row>
    <row r="3022">
      <c r="A3022" s="58">
        <v>45931.0</v>
      </c>
      <c r="B3022" s="24" t="s">
        <v>6791</v>
      </c>
      <c r="C3022" s="24" t="s">
        <v>6822</v>
      </c>
      <c r="D3022" s="59">
        <v>1.0</v>
      </c>
      <c r="E3022" s="59">
        <v>1.0</v>
      </c>
      <c r="F3022" s="59">
        <v>0.0</v>
      </c>
      <c r="G3022" s="60">
        <v>1.0</v>
      </c>
      <c r="H3022" s="60">
        <v>0.0</v>
      </c>
      <c r="I3022" s="60">
        <v>9.136548</v>
      </c>
      <c r="J3022" s="59">
        <v>2.0</v>
      </c>
      <c r="K3022" s="61">
        <f t="shared" si="1"/>
        <v>0</v>
      </c>
      <c r="L3022" s="62">
        <f t="shared" si="2"/>
        <v>2</v>
      </c>
    </row>
    <row r="3023">
      <c r="A3023" s="58">
        <v>45931.0</v>
      </c>
      <c r="B3023" s="24" t="s">
        <v>155</v>
      </c>
      <c r="C3023" s="24" t="s">
        <v>6822</v>
      </c>
      <c r="D3023" s="59">
        <v>1.0</v>
      </c>
      <c r="E3023" s="59">
        <v>1.0</v>
      </c>
      <c r="F3023" s="59">
        <v>0.0</v>
      </c>
      <c r="G3023" s="60">
        <v>1.0</v>
      </c>
      <c r="H3023" s="60">
        <v>0.0</v>
      </c>
      <c r="I3023" s="60">
        <v>10.899644</v>
      </c>
      <c r="J3023" s="59">
        <v>2.0</v>
      </c>
      <c r="K3023" s="61">
        <f t="shared" si="1"/>
        <v>0</v>
      </c>
      <c r="L3023" s="62">
        <f t="shared" si="2"/>
        <v>2</v>
      </c>
    </row>
    <row r="3024">
      <c r="A3024" s="58">
        <v>45931.0</v>
      </c>
      <c r="B3024" s="24" t="s">
        <v>6794</v>
      </c>
      <c r="C3024" s="24" t="s">
        <v>6890</v>
      </c>
      <c r="D3024" s="59">
        <v>1.0</v>
      </c>
      <c r="E3024" s="59">
        <v>1.0</v>
      </c>
      <c r="F3024" s="59">
        <v>0.0</v>
      </c>
      <c r="G3024" s="60">
        <v>0.0</v>
      </c>
      <c r="H3024" s="60">
        <v>1.0</v>
      </c>
      <c r="I3024" s="60">
        <v>0.0</v>
      </c>
      <c r="J3024" s="59">
        <v>1.0</v>
      </c>
      <c r="K3024" s="61">
        <f t="shared" si="1"/>
        <v>0</v>
      </c>
      <c r="L3024" s="62">
        <f t="shared" si="2"/>
        <v>1</v>
      </c>
    </row>
    <row r="3025">
      <c r="A3025" s="58">
        <v>45931.0</v>
      </c>
      <c r="B3025" s="24" t="s">
        <v>6789</v>
      </c>
      <c r="C3025" s="24" t="s">
        <v>6891</v>
      </c>
      <c r="D3025" s="59">
        <v>1.0</v>
      </c>
      <c r="E3025" s="59">
        <v>1.0</v>
      </c>
      <c r="F3025" s="59">
        <v>0.0</v>
      </c>
      <c r="G3025" s="60">
        <v>1.0</v>
      </c>
      <c r="H3025" s="60">
        <v>1.0</v>
      </c>
      <c r="I3025" s="60">
        <v>0.0</v>
      </c>
      <c r="J3025" s="59">
        <v>1.0</v>
      </c>
      <c r="K3025" s="61">
        <f t="shared" si="1"/>
        <v>0</v>
      </c>
      <c r="L3025" s="62">
        <f t="shared" si="2"/>
        <v>1</v>
      </c>
    </row>
    <row r="3026">
      <c r="A3026" s="58">
        <v>45931.0</v>
      </c>
      <c r="B3026" s="24" t="s">
        <v>6789</v>
      </c>
      <c r="C3026" s="24" t="s">
        <v>6999</v>
      </c>
      <c r="D3026" s="59">
        <v>1.0</v>
      </c>
      <c r="E3026" s="59">
        <v>1.0</v>
      </c>
      <c r="F3026" s="59">
        <v>1.0</v>
      </c>
      <c r="G3026" s="60">
        <v>1.0</v>
      </c>
      <c r="H3026" s="60">
        <v>0.0</v>
      </c>
      <c r="I3026" s="60">
        <v>13.913765</v>
      </c>
      <c r="J3026" s="59">
        <v>1.0</v>
      </c>
      <c r="K3026" s="61">
        <f t="shared" si="1"/>
        <v>1</v>
      </c>
      <c r="L3026" s="62">
        <f t="shared" si="2"/>
        <v>1</v>
      </c>
    </row>
    <row r="3027">
      <c r="A3027" s="58">
        <v>45931.0</v>
      </c>
      <c r="B3027" s="24" t="s">
        <v>6789</v>
      </c>
      <c r="C3027" s="24" t="s">
        <v>6892</v>
      </c>
      <c r="D3027" s="59">
        <v>1.0</v>
      </c>
      <c r="E3027" s="59">
        <v>1.0</v>
      </c>
      <c r="F3027" s="59">
        <v>1.0</v>
      </c>
      <c r="G3027" s="60">
        <v>1.0</v>
      </c>
      <c r="H3027" s="60">
        <v>0.0</v>
      </c>
      <c r="I3027" s="60">
        <v>843.832249</v>
      </c>
      <c r="J3027" s="59">
        <v>1.0</v>
      </c>
      <c r="K3027" s="61">
        <f t="shared" si="1"/>
        <v>1</v>
      </c>
      <c r="L3027" s="62">
        <f t="shared" si="2"/>
        <v>1</v>
      </c>
    </row>
    <row r="3028">
      <c r="A3028" s="58">
        <v>45931.0</v>
      </c>
      <c r="B3028" s="24" t="s">
        <v>6791</v>
      </c>
      <c r="C3028" s="24" t="s">
        <v>6892</v>
      </c>
      <c r="D3028" s="59">
        <v>1.0</v>
      </c>
      <c r="E3028" s="59">
        <v>1.0</v>
      </c>
      <c r="F3028" s="59">
        <v>0.0</v>
      </c>
      <c r="G3028" s="60">
        <v>1.0</v>
      </c>
      <c r="H3028" s="60">
        <v>0.0</v>
      </c>
      <c r="I3028" s="60">
        <v>911.849063</v>
      </c>
      <c r="J3028" s="59">
        <v>1.0</v>
      </c>
      <c r="K3028" s="61">
        <f t="shared" si="1"/>
        <v>0</v>
      </c>
      <c r="L3028" s="62">
        <f t="shared" si="2"/>
        <v>1</v>
      </c>
    </row>
    <row r="3029">
      <c r="A3029" s="58">
        <v>45931.0</v>
      </c>
      <c r="B3029" s="24" t="s">
        <v>6791</v>
      </c>
      <c r="C3029" s="24" t="s">
        <v>6840</v>
      </c>
      <c r="D3029" s="59">
        <v>1.0</v>
      </c>
      <c r="E3029" s="59">
        <v>5.0</v>
      </c>
      <c r="F3029" s="59">
        <v>0.0</v>
      </c>
      <c r="G3029" s="60">
        <v>5.0</v>
      </c>
      <c r="H3029" s="60">
        <v>0.8</v>
      </c>
      <c r="I3029" s="60">
        <v>45.2690432</v>
      </c>
      <c r="J3029" s="59">
        <v>5.0</v>
      </c>
      <c r="K3029" s="61">
        <f t="shared" si="1"/>
        <v>0</v>
      </c>
      <c r="L3029" s="62">
        <f t="shared" si="2"/>
        <v>1</v>
      </c>
    </row>
    <row r="3030">
      <c r="A3030" s="58">
        <v>45931.0</v>
      </c>
      <c r="B3030" s="24" t="s">
        <v>155</v>
      </c>
      <c r="C3030" s="24" t="s">
        <v>7301</v>
      </c>
      <c r="D3030" s="59">
        <v>1.0</v>
      </c>
      <c r="E3030" s="59">
        <v>1.0</v>
      </c>
      <c r="F3030" s="59">
        <v>0.0</v>
      </c>
      <c r="G3030" s="60">
        <v>1.0</v>
      </c>
      <c r="H3030" s="60">
        <v>1.0</v>
      </c>
      <c r="I3030" s="60">
        <v>5.83502</v>
      </c>
      <c r="J3030" s="59">
        <v>1.0</v>
      </c>
      <c r="K3030" s="61">
        <f t="shared" si="1"/>
        <v>0</v>
      </c>
      <c r="L3030" s="62">
        <f t="shared" si="2"/>
        <v>1</v>
      </c>
    </row>
    <row r="3031">
      <c r="A3031" s="58">
        <v>45931.0</v>
      </c>
      <c r="B3031" s="24" t="s">
        <v>6787</v>
      </c>
      <c r="C3031" s="24" t="s">
        <v>7302</v>
      </c>
      <c r="D3031" s="59">
        <v>1.0</v>
      </c>
      <c r="E3031" s="59">
        <v>1.0</v>
      </c>
      <c r="F3031" s="59">
        <v>1.0</v>
      </c>
      <c r="G3031" s="60">
        <v>1.0</v>
      </c>
      <c r="H3031" s="60">
        <v>1.0</v>
      </c>
      <c r="I3031" s="60">
        <v>0.55158</v>
      </c>
      <c r="J3031" s="59">
        <v>1.0</v>
      </c>
      <c r="K3031" s="61">
        <f t="shared" si="1"/>
        <v>1</v>
      </c>
      <c r="L3031" s="62">
        <f t="shared" si="2"/>
        <v>1</v>
      </c>
    </row>
    <row r="3032">
      <c r="A3032" s="58">
        <v>45931.0</v>
      </c>
      <c r="B3032" s="24" t="s">
        <v>6787</v>
      </c>
      <c r="C3032" s="24" t="s">
        <v>7195</v>
      </c>
      <c r="D3032" s="59">
        <v>1.0</v>
      </c>
      <c r="E3032" s="59">
        <v>1.0</v>
      </c>
      <c r="F3032" s="59">
        <v>1.0</v>
      </c>
      <c r="G3032" s="60">
        <v>1.0</v>
      </c>
      <c r="H3032" s="60">
        <v>0.0</v>
      </c>
      <c r="I3032" s="60">
        <v>47.985406</v>
      </c>
      <c r="J3032" s="59">
        <v>1.0</v>
      </c>
      <c r="K3032" s="61">
        <f t="shared" si="1"/>
        <v>1</v>
      </c>
      <c r="L3032" s="62">
        <f t="shared" si="2"/>
        <v>1</v>
      </c>
    </row>
    <row r="3033">
      <c r="A3033" s="58">
        <v>45931.0</v>
      </c>
      <c r="B3033" s="24" t="s">
        <v>6790</v>
      </c>
      <c r="C3033" s="24" t="s">
        <v>7195</v>
      </c>
      <c r="D3033" s="59">
        <v>1.0</v>
      </c>
      <c r="E3033" s="59">
        <v>1.0</v>
      </c>
      <c r="F3033" s="59">
        <v>0.0</v>
      </c>
      <c r="G3033" s="60">
        <v>1.0</v>
      </c>
      <c r="H3033" s="60">
        <v>1.0</v>
      </c>
      <c r="I3033" s="60">
        <v>1.198716</v>
      </c>
      <c r="J3033" s="59">
        <v>1.0</v>
      </c>
      <c r="K3033" s="61">
        <f t="shared" si="1"/>
        <v>0</v>
      </c>
      <c r="L3033" s="62">
        <f t="shared" si="2"/>
        <v>1</v>
      </c>
    </row>
    <row r="3034">
      <c r="A3034" s="58">
        <v>45931.0</v>
      </c>
      <c r="B3034" s="24" t="s">
        <v>6787</v>
      </c>
      <c r="C3034" s="24" t="s">
        <v>7303</v>
      </c>
      <c r="D3034" s="59">
        <v>1.0</v>
      </c>
      <c r="E3034" s="59">
        <v>1.0</v>
      </c>
      <c r="F3034" s="59">
        <v>1.0</v>
      </c>
      <c r="G3034" s="60">
        <v>1.0</v>
      </c>
      <c r="H3034" s="60">
        <v>1.0</v>
      </c>
      <c r="I3034" s="60">
        <v>1.723561</v>
      </c>
      <c r="J3034" s="59">
        <v>1.0</v>
      </c>
      <c r="K3034" s="61">
        <f t="shared" si="1"/>
        <v>1</v>
      </c>
      <c r="L3034" s="62">
        <f t="shared" si="2"/>
        <v>1</v>
      </c>
    </row>
    <row r="3035">
      <c r="A3035" s="58">
        <v>45931.0</v>
      </c>
      <c r="B3035" s="24" t="s">
        <v>6787</v>
      </c>
      <c r="C3035" s="24" t="s">
        <v>7304</v>
      </c>
      <c r="D3035" s="59">
        <v>1.0</v>
      </c>
      <c r="E3035" s="59">
        <v>1.0</v>
      </c>
      <c r="F3035" s="59">
        <v>1.0</v>
      </c>
      <c r="G3035" s="60">
        <v>1.0</v>
      </c>
      <c r="H3035" s="60">
        <v>1.0</v>
      </c>
      <c r="I3035" s="60">
        <v>3.47894</v>
      </c>
      <c r="J3035" s="59">
        <v>1.0</v>
      </c>
      <c r="K3035" s="61">
        <f t="shared" si="1"/>
        <v>1</v>
      </c>
      <c r="L3035" s="62">
        <f t="shared" si="2"/>
        <v>1</v>
      </c>
    </row>
    <row r="3036">
      <c r="A3036" s="58">
        <v>45931.0</v>
      </c>
      <c r="B3036" s="24" t="s">
        <v>6787</v>
      </c>
      <c r="C3036" s="24" t="s">
        <v>7305</v>
      </c>
      <c r="D3036" s="59">
        <v>1.0</v>
      </c>
      <c r="E3036" s="59">
        <v>1.0</v>
      </c>
      <c r="F3036" s="59">
        <v>1.0</v>
      </c>
      <c r="G3036" s="60">
        <v>1.0</v>
      </c>
      <c r="H3036" s="60">
        <v>1.0</v>
      </c>
      <c r="I3036" s="60">
        <v>0.001019</v>
      </c>
      <c r="J3036" s="59">
        <v>1.0</v>
      </c>
      <c r="K3036" s="61">
        <f t="shared" si="1"/>
        <v>1</v>
      </c>
      <c r="L3036" s="62">
        <f t="shared" si="2"/>
        <v>1</v>
      </c>
    </row>
    <row r="3037">
      <c r="A3037" s="58">
        <v>45931.0</v>
      </c>
      <c r="B3037" s="24" t="s">
        <v>6787</v>
      </c>
      <c r="C3037" s="24" t="s">
        <v>7306</v>
      </c>
      <c r="D3037" s="59">
        <v>1.0</v>
      </c>
      <c r="E3037" s="59">
        <v>1.0</v>
      </c>
      <c r="F3037" s="59">
        <v>1.0</v>
      </c>
      <c r="G3037" s="60">
        <v>1.0</v>
      </c>
      <c r="H3037" s="60">
        <v>1.0</v>
      </c>
      <c r="I3037" s="60">
        <v>0.0</v>
      </c>
      <c r="J3037" s="59">
        <v>1.0</v>
      </c>
      <c r="K3037" s="61">
        <f t="shared" si="1"/>
        <v>1</v>
      </c>
      <c r="L3037" s="62">
        <f t="shared" si="2"/>
        <v>1</v>
      </c>
    </row>
    <row r="3038">
      <c r="A3038" s="58">
        <v>45931.0</v>
      </c>
      <c r="B3038" s="24" t="s">
        <v>6789</v>
      </c>
      <c r="C3038" s="24" t="s">
        <v>6897</v>
      </c>
      <c r="D3038" s="59">
        <v>1.0</v>
      </c>
      <c r="E3038" s="59">
        <v>1.0</v>
      </c>
      <c r="F3038" s="59">
        <v>1.0</v>
      </c>
      <c r="G3038" s="60">
        <v>1.0</v>
      </c>
      <c r="H3038" s="60">
        <v>0.0</v>
      </c>
      <c r="I3038" s="60">
        <v>64.869922</v>
      </c>
      <c r="J3038" s="59">
        <v>4.0</v>
      </c>
      <c r="K3038" s="61">
        <f t="shared" si="1"/>
        <v>1</v>
      </c>
      <c r="L3038" s="62">
        <f t="shared" si="2"/>
        <v>4</v>
      </c>
    </row>
    <row r="3039">
      <c r="A3039" s="58">
        <v>45931.0</v>
      </c>
      <c r="B3039" s="24" t="s">
        <v>155</v>
      </c>
      <c r="C3039" s="24" t="s">
        <v>6897</v>
      </c>
      <c r="D3039" s="59">
        <v>1.0</v>
      </c>
      <c r="E3039" s="59">
        <v>1.0</v>
      </c>
      <c r="F3039" s="59">
        <v>0.0</v>
      </c>
      <c r="G3039" s="60">
        <v>1.0</v>
      </c>
      <c r="H3039" s="60">
        <v>0.0</v>
      </c>
      <c r="I3039" s="60">
        <v>102.969541</v>
      </c>
      <c r="J3039" s="59">
        <v>3.0</v>
      </c>
      <c r="K3039" s="61">
        <f t="shared" si="1"/>
        <v>0</v>
      </c>
      <c r="L3039" s="62">
        <f t="shared" si="2"/>
        <v>3</v>
      </c>
    </row>
    <row r="3040">
      <c r="A3040" s="58">
        <v>45931.0</v>
      </c>
      <c r="B3040" s="24" t="s">
        <v>155</v>
      </c>
      <c r="C3040" s="24" t="s">
        <v>6898</v>
      </c>
      <c r="D3040" s="59">
        <v>1.0</v>
      </c>
      <c r="E3040" s="59">
        <v>2.0</v>
      </c>
      <c r="F3040" s="59">
        <v>0.0</v>
      </c>
      <c r="G3040" s="60">
        <v>2.0</v>
      </c>
      <c r="H3040" s="60">
        <v>0.0</v>
      </c>
      <c r="I3040" s="60">
        <v>1631.5719575</v>
      </c>
      <c r="J3040" s="59">
        <v>6.0</v>
      </c>
      <c r="K3040" s="61">
        <f t="shared" si="1"/>
        <v>0</v>
      </c>
      <c r="L3040" s="62">
        <f t="shared" si="2"/>
        <v>3</v>
      </c>
    </row>
    <row r="3041">
      <c r="A3041" s="58">
        <v>45931.0</v>
      </c>
      <c r="B3041" s="24" t="s">
        <v>6787</v>
      </c>
      <c r="C3041" s="24" t="s">
        <v>7224</v>
      </c>
      <c r="D3041" s="59">
        <v>1.0</v>
      </c>
      <c r="E3041" s="59">
        <v>1.0</v>
      </c>
      <c r="F3041" s="59">
        <v>1.0</v>
      </c>
      <c r="G3041" s="60">
        <v>1.0</v>
      </c>
      <c r="H3041" s="60">
        <v>1.0</v>
      </c>
      <c r="I3041" s="60">
        <v>7.6116</v>
      </c>
      <c r="J3041" s="59">
        <v>1.0</v>
      </c>
      <c r="K3041" s="61">
        <f t="shared" si="1"/>
        <v>1</v>
      </c>
      <c r="L3041" s="62">
        <f t="shared" si="2"/>
        <v>1</v>
      </c>
    </row>
    <row r="3042">
      <c r="A3042" s="58">
        <v>45931.0</v>
      </c>
      <c r="B3042" s="24" t="s">
        <v>155</v>
      </c>
      <c r="C3042" s="24" t="s">
        <v>6811</v>
      </c>
      <c r="D3042" s="59">
        <v>1.0</v>
      </c>
      <c r="E3042" s="59">
        <v>1.0</v>
      </c>
      <c r="F3042" s="59">
        <v>0.0</v>
      </c>
      <c r="G3042" s="60">
        <v>0.0</v>
      </c>
      <c r="H3042" s="60">
        <v>1.0</v>
      </c>
      <c r="I3042" s="60">
        <v>0.0</v>
      </c>
      <c r="J3042" s="59">
        <v>1.0</v>
      </c>
      <c r="K3042" s="61">
        <f t="shared" si="1"/>
        <v>0</v>
      </c>
      <c r="L3042" s="62">
        <f t="shared" si="2"/>
        <v>1</v>
      </c>
    </row>
    <row r="3043">
      <c r="A3043" s="58">
        <v>45931.0</v>
      </c>
      <c r="B3043" s="24" t="s">
        <v>155</v>
      </c>
      <c r="C3043" s="24" t="s">
        <v>6843</v>
      </c>
      <c r="D3043" s="59">
        <v>1.0</v>
      </c>
      <c r="E3043" s="59">
        <v>1.0</v>
      </c>
      <c r="F3043" s="59">
        <v>1.0</v>
      </c>
      <c r="G3043" s="60">
        <v>1.0</v>
      </c>
      <c r="H3043" s="60">
        <v>0.0</v>
      </c>
      <c r="I3043" s="60">
        <v>827.215249</v>
      </c>
      <c r="J3043" s="59">
        <v>1.0</v>
      </c>
      <c r="K3043" s="61">
        <f t="shared" si="1"/>
        <v>1</v>
      </c>
      <c r="L3043" s="62">
        <f t="shared" si="2"/>
        <v>1</v>
      </c>
    </row>
    <row r="3044">
      <c r="A3044" s="58">
        <v>45931.0</v>
      </c>
      <c r="B3044" s="24" t="s">
        <v>6787</v>
      </c>
      <c r="C3044" s="24" t="s">
        <v>7078</v>
      </c>
      <c r="D3044" s="59">
        <v>1.0</v>
      </c>
      <c r="E3044" s="59">
        <v>1.0</v>
      </c>
      <c r="F3044" s="59">
        <v>1.0</v>
      </c>
      <c r="G3044" s="60">
        <v>1.0</v>
      </c>
      <c r="H3044" s="60">
        <v>0.0</v>
      </c>
      <c r="I3044" s="60">
        <v>48.165049</v>
      </c>
      <c r="J3044" s="59">
        <v>1.0</v>
      </c>
      <c r="K3044" s="61">
        <f t="shared" si="1"/>
        <v>1</v>
      </c>
      <c r="L3044" s="62">
        <f t="shared" si="2"/>
        <v>1</v>
      </c>
    </row>
    <row r="3045">
      <c r="A3045" s="58">
        <v>45931.0</v>
      </c>
      <c r="B3045" s="24" t="s">
        <v>155</v>
      </c>
      <c r="C3045" s="24" t="s">
        <v>6844</v>
      </c>
      <c r="D3045" s="59">
        <v>1.0</v>
      </c>
      <c r="E3045" s="59">
        <v>1.0</v>
      </c>
      <c r="F3045" s="59">
        <v>0.0</v>
      </c>
      <c r="G3045" s="60">
        <v>1.0</v>
      </c>
      <c r="H3045" s="60">
        <v>1.0</v>
      </c>
      <c r="I3045" s="60">
        <v>6.172438</v>
      </c>
      <c r="J3045" s="59">
        <v>1.0</v>
      </c>
      <c r="K3045" s="61">
        <f t="shared" si="1"/>
        <v>0</v>
      </c>
      <c r="L3045" s="62">
        <f t="shared" si="2"/>
        <v>1</v>
      </c>
    </row>
    <row r="3046">
      <c r="A3046" s="58">
        <v>45931.0</v>
      </c>
      <c r="B3046" s="24" t="s">
        <v>6787</v>
      </c>
      <c r="C3046" s="24" t="s">
        <v>7307</v>
      </c>
      <c r="D3046" s="59">
        <v>1.0</v>
      </c>
      <c r="E3046" s="59">
        <v>1.0</v>
      </c>
      <c r="F3046" s="59">
        <v>1.0</v>
      </c>
      <c r="G3046" s="60">
        <v>1.0</v>
      </c>
      <c r="H3046" s="60">
        <v>1.0</v>
      </c>
      <c r="I3046" s="60">
        <v>4.04897</v>
      </c>
      <c r="J3046" s="59">
        <v>1.0</v>
      </c>
      <c r="K3046" s="61">
        <f t="shared" si="1"/>
        <v>1</v>
      </c>
      <c r="L3046" s="62">
        <f t="shared" si="2"/>
        <v>1</v>
      </c>
    </row>
    <row r="3047">
      <c r="A3047" s="58">
        <v>45931.0</v>
      </c>
      <c r="B3047" s="24" t="s">
        <v>6787</v>
      </c>
      <c r="C3047" s="24" t="s">
        <v>7308</v>
      </c>
      <c r="D3047" s="59">
        <v>1.0</v>
      </c>
      <c r="E3047" s="59">
        <v>1.0</v>
      </c>
      <c r="F3047" s="59">
        <v>1.0</v>
      </c>
      <c r="G3047" s="60">
        <v>1.0</v>
      </c>
      <c r="H3047" s="60">
        <v>1.0</v>
      </c>
      <c r="I3047" s="60">
        <v>2.28338</v>
      </c>
      <c r="J3047" s="59">
        <v>1.0</v>
      </c>
      <c r="K3047" s="61">
        <f t="shared" si="1"/>
        <v>1</v>
      </c>
      <c r="L3047" s="62">
        <f t="shared" si="2"/>
        <v>1</v>
      </c>
    </row>
    <row r="3048">
      <c r="A3048" s="58">
        <v>45931.0</v>
      </c>
      <c r="B3048" s="24" t="s">
        <v>6791</v>
      </c>
      <c r="C3048" s="24" t="s">
        <v>6904</v>
      </c>
      <c r="D3048" s="59">
        <v>1.0</v>
      </c>
      <c r="E3048" s="59">
        <v>1.0</v>
      </c>
      <c r="F3048" s="59">
        <v>0.0</v>
      </c>
      <c r="G3048" s="60">
        <v>1.0</v>
      </c>
      <c r="H3048" s="60">
        <v>1.0</v>
      </c>
      <c r="I3048" s="60">
        <v>0.0</v>
      </c>
      <c r="J3048" s="59">
        <v>1.0</v>
      </c>
      <c r="K3048" s="61">
        <f t="shared" si="1"/>
        <v>0</v>
      </c>
      <c r="L3048" s="62">
        <f t="shared" si="2"/>
        <v>1</v>
      </c>
    </row>
    <row r="3049">
      <c r="A3049" s="58">
        <v>45931.0</v>
      </c>
      <c r="B3049" s="24" t="s">
        <v>6789</v>
      </c>
      <c r="C3049" s="24" t="s">
        <v>6905</v>
      </c>
      <c r="D3049" s="59">
        <v>1.0</v>
      </c>
      <c r="E3049" s="59">
        <v>1.0</v>
      </c>
      <c r="F3049" s="59">
        <v>0.0</v>
      </c>
      <c r="G3049" s="60">
        <v>1.0</v>
      </c>
      <c r="H3049" s="60">
        <v>0.0</v>
      </c>
      <c r="I3049" s="60">
        <v>63.652702</v>
      </c>
      <c r="J3049" s="59">
        <v>1.0</v>
      </c>
      <c r="K3049" s="61">
        <f t="shared" si="1"/>
        <v>0</v>
      </c>
      <c r="L3049" s="62">
        <f t="shared" si="2"/>
        <v>1</v>
      </c>
    </row>
    <row r="3050">
      <c r="A3050" s="58">
        <v>45931.0</v>
      </c>
      <c r="B3050" s="24" t="s">
        <v>155</v>
      </c>
      <c r="C3050" s="24" t="s">
        <v>7034</v>
      </c>
      <c r="D3050" s="59">
        <v>1.0</v>
      </c>
      <c r="E3050" s="59">
        <v>1.0</v>
      </c>
      <c r="F3050" s="59">
        <v>1.0</v>
      </c>
      <c r="G3050" s="60">
        <v>1.0</v>
      </c>
      <c r="H3050" s="60">
        <v>1.0</v>
      </c>
      <c r="I3050" s="60">
        <v>7.538881</v>
      </c>
      <c r="J3050" s="59">
        <v>1.0</v>
      </c>
      <c r="K3050" s="61">
        <f t="shared" si="1"/>
        <v>1</v>
      </c>
      <c r="L3050" s="62">
        <f t="shared" si="2"/>
        <v>1</v>
      </c>
    </row>
    <row r="3051">
      <c r="A3051" s="58">
        <v>45931.0</v>
      </c>
      <c r="B3051" s="24" t="s">
        <v>6789</v>
      </c>
      <c r="C3051" s="24" t="s">
        <v>7309</v>
      </c>
      <c r="D3051" s="59">
        <v>1.0</v>
      </c>
      <c r="E3051" s="59">
        <v>2.0</v>
      </c>
      <c r="F3051" s="59">
        <v>0.0</v>
      </c>
      <c r="G3051" s="60">
        <v>2.0</v>
      </c>
      <c r="H3051" s="60">
        <v>1.0</v>
      </c>
      <c r="I3051" s="60">
        <v>2.464726</v>
      </c>
      <c r="J3051" s="59">
        <v>2.0</v>
      </c>
      <c r="K3051" s="61">
        <f t="shared" si="1"/>
        <v>0</v>
      </c>
      <c r="L3051" s="62">
        <f t="shared" si="2"/>
        <v>1</v>
      </c>
    </row>
    <row r="3052">
      <c r="A3052" s="58">
        <v>45931.0</v>
      </c>
      <c r="B3052" s="24" t="s">
        <v>155</v>
      </c>
      <c r="C3052" s="24" t="s">
        <v>7120</v>
      </c>
      <c r="D3052" s="59">
        <v>1.0</v>
      </c>
      <c r="E3052" s="59">
        <v>3.0</v>
      </c>
      <c r="F3052" s="59">
        <v>0.0</v>
      </c>
      <c r="G3052" s="60">
        <v>3.0</v>
      </c>
      <c r="H3052" s="60">
        <v>0.0</v>
      </c>
      <c r="I3052" s="60">
        <v>1328.01904266666</v>
      </c>
      <c r="J3052" s="59">
        <v>9.0</v>
      </c>
      <c r="K3052" s="61">
        <f t="shared" si="1"/>
        <v>0</v>
      </c>
      <c r="L3052" s="62">
        <f t="shared" si="2"/>
        <v>3</v>
      </c>
    </row>
    <row r="3053">
      <c r="A3053" s="58">
        <v>45931.0</v>
      </c>
      <c r="B3053" s="24" t="s">
        <v>7100</v>
      </c>
      <c r="C3053" s="24" t="s">
        <v>7125</v>
      </c>
      <c r="D3053" s="59">
        <v>1.0</v>
      </c>
      <c r="E3053" s="59">
        <v>1.0</v>
      </c>
      <c r="F3053" s="59">
        <v>1.0</v>
      </c>
      <c r="G3053" s="60">
        <v>1.0</v>
      </c>
      <c r="H3053" s="60">
        <v>1.0</v>
      </c>
      <c r="I3053" s="60">
        <v>3.729889</v>
      </c>
      <c r="J3053" s="59">
        <v>1.0</v>
      </c>
      <c r="K3053" s="61">
        <f t="shared" si="1"/>
        <v>1</v>
      </c>
      <c r="L3053" s="62">
        <f t="shared" si="2"/>
        <v>1</v>
      </c>
    </row>
    <row r="3054">
      <c r="A3054" s="58">
        <v>45931.0</v>
      </c>
      <c r="B3054" s="24" t="s">
        <v>155</v>
      </c>
      <c r="C3054" s="24" t="s">
        <v>7125</v>
      </c>
      <c r="D3054" s="59">
        <v>1.0</v>
      </c>
      <c r="E3054" s="59">
        <v>1.0</v>
      </c>
      <c r="F3054" s="59">
        <v>0.0</v>
      </c>
      <c r="G3054" s="60">
        <v>1.0</v>
      </c>
      <c r="H3054" s="60">
        <v>0.0</v>
      </c>
      <c r="I3054" s="60">
        <v>4111.128169</v>
      </c>
      <c r="J3054" s="59">
        <v>12.0</v>
      </c>
      <c r="K3054" s="61">
        <f t="shared" si="1"/>
        <v>0</v>
      </c>
      <c r="L3054" s="62">
        <f t="shared" si="2"/>
        <v>12</v>
      </c>
    </row>
    <row r="3055">
      <c r="A3055" s="58">
        <v>45931.0</v>
      </c>
      <c r="B3055" s="24" t="s">
        <v>155</v>
      </c>
      <c r="C3055" s="24" t="s">
        <v>7310</v>
      </c>
      <c r="D3055" s="59">
        <v>1.0</v>
      </c>
      <c r="E3055" s="59">
        <v>1.0</v>
      </c>
      <c r="F3055" s="59">
        <v>0.0</v>
      </c>
      <c r="G3055" s="60">
        <v>1.0</v>
      </c>
      <c r="H3055" s="60">
        <v>0.0</v>
      </c>
      <c r="I3055" s="60">
        <v>447.623228</v>
      </c>
      <c r="J3055" s="59">
        <v>5.0</v>
      </c>
      <c r="K3055" s="61">
        <f t="shared" si="1"/>
        <v>0</v>
      </c>
      <c r="L3055" s="62">
        <f t="shared" si="2"/>
        <v>5</v>
      </c>
    </row>
    <row r="3056">
      <c r="A3056" s="58">
        <v>45931.0</v>
      </c>
      <c r="B3056" s="24" t="s">
        <v>6790</v>
      </c>
      <c r="C3056" s="24" t="s">
        <v>7310</v>
      </c>
      <c r="D3056" s="59">
        <v>1.0</v>
      </c>
      <c r="E3056" s="59">
        <v>1.0</v>
      </c>
      <c r="F3056" s="59">
        <v>1.0</v>
      </c>
      <c r="G3056" s="60">
        <v>1.0</v>
      </c>
      <c r="H3056" s="60">
        <v>1.0</v>
      </c>
      <c r="I3056" s="60">
        <v>0.0</v>
      </c>
      <c r="J3056" s="59">
        <v>1.0</v>
      </c>
      <c r="K3056" s="61">
        <f t="shared" si="1"/>
        <v>1</v>
      </c>
      <c r="L3056" s="62">
        <f t="shared" si="2"/>
        <v>1</v>
      </c>
    </row>
    <row r="3057">
      <c r="A3057" s="58">
        <v>45931.0</v>
      </c>
      <c r="B3057" s="24" t="s">
        <v>6789</v>
      </c>
      <c r="C3057" s="24" t="s">
        <v>7041</v>
      </c>
      <c r="D3057" s="59">
        <v>1.0</v>
      </c>
      <c r="E3057" s="59">
        <v>1.0</v>
      </c>
      <c r="F3057" s="59">
        <v>1.0</v>
      </c>
      <c r="G3057" s="60">
        <v>1.0</v>
      </c>
      <c r="H3057" s="60">
        <v>0.0</v>
      </c>
      <c r="I3057" s="60">
        <v>17.450687</v>
      </c>
      <c r="J3057" s="59">
        <v>1.0</v>
      </c>
      <c r="K3057" s="61">
        <f t="shared" si="1"/>
        <v>1</v>
      </c>
      <c r="L3057" s="62">
        <f t="shared" si="2"/>
        <v>1</v>
      </c>
    </row>
    <row r="3058">
      <c r="A3058" s="58">
        <v>45931.0</v>
      </c>
      <c r="B3058" s="24" t="s">
        <v>6789</v>
      </c>
      <c r="C3058" s="24" t="s">
        <v>7119</v>
      </c>
      <c r="D3058" s="59">
        <v>1.0</v>
      </c>
      <c r="E3058" s="59">
        <v>1.0</v>
      </c>
      <c r="F3058" s="59">
        <v>0.0</v>
      </c>
      <c r="G3058" s="60">
        <v>1.0</v>
      </c>
      <c r="H3058" s="60">
        <v>0.0</v>
      </c>
      <c r="I3058" s="60">
        <v>728.391267</v>
      </c>
      <c r="J3058" s="59">
        <v>4.0</v>
      </c>
      <c r="K3058" s="61">
        <f t="shared" si="1"/>
        <v>0</v>
      </c>
      <c r="L3058" s="62">
        <f t="shared" si="2"/>
        <v>4</v>
      </c>
    </row>
    <row r="3059">
      <c r="A3059" s="58">
        <v>45931.0</v>
      </c>
      <c r="B3059" s="24" t="s">
        <v>6790</v>
      </c>
      <c r="C3059" s="24" t="s">
        <v>7119</v>
      </c>
      <c r="D3059" s="59">
        <v>1.0</v>
      </c>
      <c r="E3059" s="59">
        <v>1.0</v>
      </c>
      <c r="F3059" s="59">
        <v>0.0</v>
      </c>
      <c r="G3059" s="60">
        <v>1.0</v>
      </c>
      <c r="H3059" s="60">
        <v>0.0</v>
      </c>
      <c r="I3059" s="60">
        <v>475.48138</v>
      </c>
      <c r="J3059" s="59">
        <v>1.0</v>
      </c>
      <c r="K3059" s="61">
        <f t="shared" si="1"/>
        <v>0</v>
      </c>
      <c r="L3059" s="62">
        <f t="shared" si="2"/>
        <v>1</v>
      </c>
    </row>
    <row r="3060">
      <c r="A3060" s="58">
        <v>45931.0</v>
      </c>
      <c r="B3060" s="24" t="s">
        <v>155</v>
      </c>
      <c r="C3060" s="24" t="s">
        <v>7236</v>
      </c>
      <c r="D3060" s="59">
        <v>1.0</v>
      </c>
      <c r="E3060" s="59">
        <v>1.0</v>
      </c>
      <c r="F3060" s="59">
        <v>1.0</v>
      </c>
      <c r="G3060" s="60">
        <v>1.0</v>
      </c>
      <c r="H3060" s="60">
        <v>0.0</v>
      </c>
      <c r="I3060" s="60">
        <v>4.335643</v>
      </c>
      <c r="J3060" s="59">
        <v>2.0</v>
      </c>
      <c r="K3060" s="61">
        <f t="shared" si="1"/>
        <v>1</v>
      </c>
      <c r="L3060" s="62">
        <f t="shared" si="2"/>
        <v>2</v>
      </c>
    </row>
    <row r="3061">
      <c r="A3061" s="58">
        <v>45931.0</v>
      </c>
      <c r="B3061" s="24" t="s">
        <v>6787</v>
      </c>
      <c r="C3061" s="24" t="s">
        <v>7083</v>
      </c>
      <c r="D3061" s="59">
        <v>1.0</v>
      </c>
      <c r="E3061" s="59">
        <v>1.0</v>
      </c>
      <c r="F3061" s="59">
        <v>1.0</v>
      </c>
      <c r="G3061" s="60">
        <v>1.0</v>
      </c>
      <c r="H3061" s="60">
        <v>0.0</v>
      </c>
      <c r="I3061" s="60">
        <v>47.485712</v>
      </c>
      <c r="J3061" s="59">
        <v>1.0</v>
      </c>
      <c r="K3061" s="61">
        <f t="shared" si="1"/>
        <v>1</v>
      </c>
      <c r="L3061" s="62">
        <f t="shared" si="2"/>
        <v>1</v>
      </c>
    </row>
    <row r="3062">
      <c r="A3062" s="58">
        <v>45931.0</v>
      </c>
      <c r="B3062" s="24" t="s">
        <v>6789</v>
      </c>
      <c r="C3062" s="24" t="s">
        <v>7083</v>
      </c>
      <c r="D3062" s="59">
        <v>1.0</v>
      </c>
      <c r="E3062" s="59">
        <v>1.0</v>
      </c>
      <c r="F3062" s="59">
        <v>0.0</v>
      </c>
      <c r="G3062" s="60">
        <v>1.0</v>
      </c>
      <c r="H3062" s="60">
        <v>0.0</v>
      </c>
      <c r="I3062" s="60">
        <v>2078.876583</v>
      </c>
      <c r="J3062" s="59">
        <v>3.0</v>
      </c>
      <c r="K3062" s="61">
        <f t="shared" si="1"/>
        <v>0</v>
      </c>
      <c r="L3062" s="62">
        <f t="shared" si="2"/>
        <v>3</v>
      </c>
    </row>
    <row r="3063">
      <c r="A3063" s="58">
        <v>45931.0</v>
      </c>
      <c r="B3063" s="24" t="s">
        <v>6787</v>
      </c>
      <c r="C3063" s="24" t="s">
        <v>7010</v>
      </c>
      <c r="D3063" s="59">
        <v>1.0</v>
      </c>
      <c r="E3063" s="59">
        <v>1.0</v>
      </c>
      <c r="F3063" s="59">
        <v>1.0</v>
      </c>
      <c r="G3063" s="60">
        <v>1.0</v>
      </c>
      <c r="H3063" s="60">
        <v>0.0</v>
      </c>
      <c r="I3063" s="60">
        <v>36.759769</v>
      </c>
      <c r="J3063" s="59">
        <v>1.0</v>
      </c>
      <c r="K3063" s="61">
        <f t="shared" si="1"/>
        <v>1</v>
      </c>
      <c r="L3063" s="62">
        <f t="shared" si="2"/>
        <v>1</v>
      </c>
    </row>
    <row r="3064">
      <c r="A3064" s="58">
        <v>45931.0</v>
      </c>
      <c r="B3064" s="24" t="s">
        <v>6791</v>
      </c>
      <c r="C3064" s="24" t="s">
        <v>7010</v>
      </c>
      <c r="D3064" s="59">
        <v>1.0</v>
      </c>
      <c r="E3064" s="59">
        <v>1.0</v>
      </c>
      <c r="F3064" s="59">
        <v>1.0</v>
      </c>
      <c r="G3064" s="60">
        <v>1.0</v>
      </c>
      <c r="H3064" s="60">
        <v>1.0</v>
      </c>
      <c r="I3064" s="60">
        <v>0.0</v>
      </c>
      <c r="J3064" s="59">
        <v>1.0</v>
      </c>
      <c r="K3064" s="61">
        <f t="shared" si="1"/>
        <v>1</v>
      </c>
      <c r="L3064" s="62">
        <f t="shared" si="2"/>
        <v>1</v>
      </c>
    </row>
    <row r="3065">
      <c r="A3065" s="58">
        <v>45931.0</v>
      </c>
      <c r="B3065" s="24" t="s">
        <v>6789</v>
      </c>
      <c r="C3065" s="24" t="s">
        <v>7233</v>
      </c>
      <c r="D3065" s="59">
        <v>1.0</v>
      </c>
      <c r="E3065" s="59">
        <v>6.0</v>
      </c>
      <c r="F3065" s="59">
        <v>0.0</v>
      </c>
      <c r="G3065" s="60">
        <v>6.0</v>
      </c>
      <c r="H3065" s="60">
        <v>0.333333333333333</v>
      </c>
      <c r="I3065" s="60">
        <v>389.745716166666</v>
      </c>
      <c r="J3065" s="59">
        <v>15.0</v>
      </c>
      <c r="K3065" s="61">
        <f t="shared" si="1"/>
        <v>0</v>
      </c>
      <c r="L3065" s="62">
        <f t="shared" si="2"/>
        <v>2.5</v>
      </c>
    </row>
    <row r="3066">
      <c r="A3066" s="58">
        <v>45931.0</v>
      </c>
      <c r="B3066" s="24" t="s">
        <v>6789</v>
      </c>
      <c r="C3066" s="24" t="s">
        <v>7226</v>
      </c>
      <c r="D3066" s="59">
        <v>1.0</v>
      </c>
      <c r="E3066" s="59">
        <v>1.0</v>
      </c>
      <c r="F3066" s="59">
        <v>0.0</v>
      </c>
      <c r="G3066" s="60">
        <v>1.0</v>
      </c>
      <c r="H3066" s="60">
        <v>0.0</v>
      </c>
      <c r="I3066" s="60">
        <v>71.45253</v>
      </c>
      <c r="J3066" s="59">
        <v>2.0</v>
      </c>
      <c r="K3066" s="61">
        <f t="shared" si="1"/>
        <v>0</v>
      </c>
      <c r="L3066" s="62">
        <f t="shared" si="2"/>
        <v>2</v>
      </c>
    </row>
    <row r="3067">
      <c r="A3067" s="58">
        <v>45931.0</v>
      </c>
      <c r="B3067" s="24" t="s">
        <v>155</v>
      </c>
      <c r="C3067" s="24" t="s">
        <v>7226</v>
      </c>
      <c r="D3067" s="59">
        <v>1.0</v>
      </c>
      <c r="E3067" s="59">
        <v>1.0</v>
      </c>
      <c r="F3067" s="59">
        <v>1.0</v>
      </c>
      <c r="G3067" s="60">
        <v>1.0</v>
      </c>
      <c r="H3067" s="60">
        <v>0.0</v>
      </c>
      <c r="I3067" s="60">
        <v>744.930499</v>
      </c>
      <c r="J3067" s="59">
        <v>12.0</v>
      </c>
      <c r="K3067" s="61">
        <f t="shared" si="1"/>
        <v>1</v>
      </c>
      <c r="L3067" s="62">
        <f t="shared" si="2"/>
        <v>12</v>
      </c>
    </row>
    <row r="3068">
      <c r="A3068" s="58">
        <v>45931.0</v>
      </c>
      <c r="B3068" s="24" t="s">
        <v>6790</v>
      </c>
      <c r="C3068" s="24" t="s">
        <v>7226</v>
      </c>
      <c r="D3068" s="59">
        <v>1.0</v>
      </c>
      <c r="E3068" s="59">
        <v>1.0</v>
      </c>
      <c r="F3068" s="59">
        <v>1.0</v>
      </c>
      <c r="G3068" s="60">
        <v>1.0</v>
      </c>
      <c r="H3068" s="60">
        <v>1.0</v>
      </c>
      <c r="I3068" s="60">
        <v>0.0</v>
      </c>
      <c r="J3068" s="59">
        <v>1.0</v>
      </c>
      <c r="K3068" s="61">
        <f t="shared" si="1"/>
        <v>1</v>
      </c>
      <c r="L3068" s="62">
        <f t="shared" si="2"/>
        <v>1</v>
      </c>
    </row>
    <row r="3069">
      <c r="A3069" s="58">
        <v>45931.0</v>
      </c>
      <c r="B3069" s="24" t="s">
        <v>6787</v>
      </c>
      <c r="C3069" s="24" t="s">
        <v>7206</v>
      </c>
      <c r="D3069" s="59">
        <v>1.0</v>
      </c>
      <c r="E3069" s="59">
        <v>1.0</v>
      </c>
      <c r="F3069" s="59">
        <v>1.0</v>
      </c>
      <c r="G3069" s="60">
        <v>1.0</v>
      </c>
      <c r="H3069" s="60">
        <v>1.0</v>
      </c>
      <c r="I3069" s="60">
        <v>5.120144</v>
      </c>
      <c r="J3069" s="59">
        <v>1.0</v>
      </c>
      <c r="K3069" s="61">
        <f t="shared" si="1"/>
        <v>1</v>
      </c>
      <c r="L3069" s="62">
        <f t="shared" si="2"/>
        <v>1</v>
      </c>
    </row>
    <row r="3070">
      <c r="A3070" s="58">
        <v>45931.0</v>
      </c>
      <c r="B3070" s="24" t="s">
        <v>6789</v>
      </c>
      <c r="C3070" s="24" t="s">
        <v>7121</v>
      </c>
      <c r="D3070" s="59">
        <v>1.0</v>
      </c>
      <c r="E3070" s="59">
        <v>1.0</v>
      </c>
      <c r="F3070" s="59">
        <v>0.0</v>
      </c>
      <c r="G3070" s="60">
        <v>1.0</v>
      </c>
      <c r="H3070" s="60">
        <v>1.0</v>
      </c>
      <c r="I3070" s="60">
        <v>1.244668</v>
      </c>
      <c r="J3070" s="59">
        <v>1.0</v>
      </c>
      <c r="K3070" s="61">
        <f t="shared" si="1"/>
        <v>0</v>
      </c>
      <c r="L3070" s="62">
        <f t="shared" si="2"/>
        <v>1</v>
      </c>
    </row>
    <row r="3071">
      <c r="A3071" s="58">
        <v>45931.0</v>
      </c>
      <c r="B3071" s="24" t="s">
        <v>6942</v>
      </c>
      <c r="C3071" s="24" t="s">
        <v>7121</v>
      </c>
      <c r="D3071" s="59">
        <v>1.0</v>
      </c>
      <c r="E3071" s="59">
        <v>1.0</v>
      </c>
      <c r="F3071" s="59">
        <v>1.0</v>
      </c>
      <c r="G3071" s="60">
        <v>1.0</v>
      </c>
      <c r="H3071" s="60">
        <v>1.0</v>
      </c>
      <c r="I3071" s="60">
        <v>0.0</v>
      </c>
      <c r="J3071" s="59">
        <v>1.0</v>
      </c>
      <c r="K3071" s="61">
        <f t="shared" si="1"/>
        <v>1</v>
      </c>
      <c r="L3071" s="62">
        <f t="shared" si="2"/>
        <v>1</v>
      </c>
    </row>
    <row r="3072">
      <c r="A3072" s="58">
        <v>45931.0</v>
      </c>
      <c r="B3072" s="24" t="s">
        <v>155</v>
      </c>
      <c r="C3072" s="24" t="s">
        <v>7121</v>
      </c>
      <c r="D3072" s="59">
        <v>1.0</v>
      </c>
      <c r="E3072" s="59">
        <v>1.0</v>
      </c>
      <c r="F3072" s="59">
        <v>0.0</v>
      </c>
      <c r="G3072" s="60">
        <v>1.0</v>
      </c>
      <c r="H3072" s="60">
        <v>0.0</v>
      </c>
      <c r="I3072" s="60">
        <v>441.753789</v>
      </c>
      <c r="J3072" s="59">
        <v>2.0</v>
      </c>
      <c r="K3072" s="61">
        <f t="shared" si="1"/>
        <v>0</v>
      </c>
      <c r="L3072" s="62">
        <f t="shared" si="2"/>
        <v>2</v>
      </c>
    </row>
    <row r="3073">
      <c r="A3073" s="58">
        <v>45931.0</v>
      </c>
      <c r="B3073" s="24" t="s">
        <v>6787</v>
      </c>
      <c r="C3073" s="24" t="s">
        <v>7227</v>
      </c>
      <c r="D3073" s="59">
        <v>1.0</v>
      </c>
      <c r="E3073" s="59">
        <v>1.0</v>
      </c>
      <c r="F3073" s="59">
        <v>1.0</v>
      </c>
      <c r="G3073" s="60">
        <v>1.0</v>
      </c>
      <c r="H3073" s="60">
        <v>1.0</v>
      </c>
      <c r="I3073" s="60">
        <v>5.611949</v>
      </c>
      <c r="J3073" s="59">
        <v>1.0</v>
      </c>
      <c r="K3073" s="61">
        <f t="shared" si="1"/>
        <v>1</v>
      </c>
      <c r="L3073" s="62">
        <f t="shared" si="2"/>
        <v>1</v>
      </c>
    </row>
    <row r="3074">
      <c r="A3074" s="58">
        <v>45931.0</v>
      </c>
      <c r="B3074" s="24" t="s">
        <v>6787</v>
      </c>
      <c r="C3074" s="24" t="s">
        <v>7207</v>
      </c>
      <c r="D3074" s="59">
        <v>1.0</v>
      </c>
      <c r="E3074" s="59">
        <v>1.0</v>
      </c>
      <c r="F3074" s="59">
        <v>1.0</v>
      </c>
      <c r="G3074" s="60">
        <v>1.0</v>
      </c>
      <c r="H3074" s="60">
        <v>1.0</v>
      </c>
      <c r="I3074" s="60">
        <v>0.277148</v>
      </c>
      <c r="J3074" s="59">
        <v>1.0</v>
      </c>
      <c r="K3074" s="61">
        <f t="shared" si="1"/>
        <v>1</v>
      </c>
      <c r="L3074" s="62">
        <f t="shared" si="2"/>
        <v>1</v>
      </c>
    </row>
    <row r="3075">
      <c r="A3075" s="58">
        <v>45931.0</v>
      </c>
      <c r="B3075" s="24" t="s">
        <v>6789</v>
      </c>
      <c r="C3075" s="24" t="s">
        <v>7231</v>
      </c>
      <c r="D3075" s="59">
        <v>1.0</v>
      </c>
      <c r="E3075" s="59">
        <v>1.0</v>
      </c>
      <c r="F3075" s="59">
        <v>0.0</v>
      </c>
      <c r="G3075" s="60">
        <v>1.0</v>
      </c>
      <c r="H3075" s="60">
        <v>0.0</v>
      </c>
      <c r="I3075" s="60">
        <v>53.851716</v>
      </c>
      <c r="J3075" s="59">
        <v>3.0</v>
      </c>
      <c r="K3075" s="61">
        <f t="shared" si="1"/>
        <v>0</v>
      </c>
      <c r="L3075" s="62">
        <f t="shared" si="2"/>
        <v>3</v>
      </c>
    </row>
    <row r="3076">
      <c r="A3076" s="58">
        <v>45931.0</v>
      </c>
      <c r="B3076" s="24" t="s">
        <v>6791</v>
      </c>
      <c r="C3076" s="24" t="s">
        <v>7231</v>
      </c>
      <c r="D3076" s="59">
        <v>1.0</v>
      </c>
      <c r="E3076" s="59">
        <v>1.0</v>
      </c>
      <c r="F3076" s="59">
        <v>0.0</v>
      </c>
      <c r="G3076" s="60">
        <v>0.0</v>
      </c>
      <c r="H3076" s="60">
        <v>1.0</v>
      </c>
      <c r="I3076" s="60">
        <v>0.0</v>
      </c>
      <c r="J3076" s="59">
        <v>1.0</v>
      </c>
      <c r="K3076" s="61">
        <f t="shared" si="1"/>
        <v>0</v>
      </c>
      <c r="L3076" s="62">
        <f t="shared" si="2"/>
        <v>1</v>
      </c>
    </row>
    <row r="3077">
      <c r="A3077" s="58">
        <v>45931.0</v>
      </c>
      <c r="B3077" s="24" t="s">
        <v>155</v>
      </c>
      <c r="C3077" s="24" t="s">
        <v>7261</v>
      </c>
      <c r="D3077" s="59">
        <v>1.0</v>
      </c>
      <c r="E3077" s="59">
        <v>2.0</v>
      </c>
      <c r="F3077" s="59">
        <v>0.0</v>
      </c>
      <c r="G3077" s="60">
        <v>2.0</v>
      </c>
      <c r="H3077" s="60">
        <v>0.0</v>
      </c>
      <c r="I3077" s="60">
        <v>27.6113645</v>
      </c>
      <c r="J3077" s="59">
        <v>2.0</v>
      </c>
      <c r="K3077" s="61">
        <f t="shared" si="1"/>
        <v>0</v>
      </c>
      <c r="L3077" s="62">
        <f t="shared" si="2"/>
        <v>1</v>
      </c>
    </row>
    <row r="3078">
      <c r="A3078" s="58">
        <v>45931.0</v>
      </c>
      <c r="B3078" s="24" t="s">
        <v>6787</v>
      </c>
      <c r="C3078" s="24" t="s">
        <v>7042</v>
      </c>
      <c r="D3078" s="59">
        <v>1.0</v>
      </c>
      <c r="E3078" s="59">
        <v>1.0</v>
      </c>
      <c r="F3078" s="59">
        <v>1.0</v>
      </c>
      <c r="G3078" s="60">
        <v>1.0</v>
      </c>
      <c r="H3078" s="60">
        <v>0.0</v>
      </c>
      <c r="I3078" s="60">
        <v>48.037679</v>
      </c>
      <c r="J3078" s="59">
        <v>1.0</v>
      </c>
      <c r="K3078" s="61">
        <f t="shared" si="1"/>
        <v>1</v>
      </c>
      <c r="L3078" s="62">
        <f t="shared" si="2"/>
        <v>1</v>
      </c>
    </row>
    <row r="3079">
      <c r="A3079" s="58">
        <v>45931.0</v>
      </c>
      <c r="B3079" s="24" t="s">
        <v>6789</v>
      </c>
      <c r="C3079" s="24" t="s">
        <v>7042</v>
      </c>
      <c r="D3079" s="59">
        <v>1.0</v>
      </c>
      <c r="E3079" s="59">
        <v>1.0</v>
      </c>
      <c r="F3079" s="59">
        <v>0.0</v>
      </c>
      <c r="G3079" s="60">
        <v>0.0</v>
      </c>
      <c r="H3079" s="60">
        <v>1.0</v>
      </c>
      <c r="I3079" s="60">
        <v>0.0</v>
      </c>
      <c r="J3079" s="59">
        <v>1.0</v>
      </c>
      <c r="K3079" s="61">
        <f t="shared" si="1"/>
        <v>0</v>
      </c>
      <c r="L3079" s="62">
        <f t="shared" si="2"/>
        <v>1</v>
      </c>
    </row>
    <row r="3080">
      <c r="A3080" s="58">
        <v>45931.0</v>
      </c>
      <c r="B3080" s="24" t="s">
        <v>155</v>
      </c>
      <c r="C3080" s="24" t="s">
        <v>7042</v>
      </c>
      <c r="D3080" s="59">
        <v>1.0</v>
      </c>
      <c r="E3080" s="59">
        <v>1.0</v>
      </c>
      <c r="F3080" s="59">
        <v>0.0</v>
      </c>
      <c r="G3080" s="60">
        <v>1.0</v>
      </c>
      <c r="H3080" s="60">
        <v>1.0</v>
      </c>
      <c r="I3080" s="60">
        <v>2.460917</v>
      </c>
      <c r="J3080" s="59">
        <v>1.0</v>
      </c>
      <c r="K3080" s="61">
        <f t="shared" si="1"/>
        <v>0</v>
      </c>
      <c r="L3080" s="62">
        <f t="shared" si="2"/>
        <v>1</v>
      </c>
    </row>
    <row r="3081">
      <c r="A3081" s="58">
        <v>45931.0</v>
      </c>
      <c r="B3081" s="24" t="s">
        <v>6789</v>
      </c>
      <c r="C3081" s="24" t="s">
        <v>6907</v>
      </c>
      <c r="D3081" s="59">
        <v>1.0</v>
      </c>
      <c r="E3081" s="59">
        <v>1.0</v>
      </c>
      <c r="F3081" s="59">
        <v>0.0</v>
      </c>
      <c r="G3081" s="60">
        <v>1.0</v>
      </c>
      <c r="H3081" s="60">
        <v>1.0</v>
      </c>
      <c r="I3081" s="60">
        <v>0.0</v>
      </c>
      <c r="J3081" s="59">
        <v>1.0</v>
      </c>
      <c r="K3081" s="61">
        <f t="shared" si="1"/>
        <v>0</v>
      </c>
      <c r="L3081" s="62">
        <f t="shared" si="2"/>
        <v>1</v>
      </c>
    </row>
    <row r="3082">
      <c r="A3082" s="58">
        <v>45931.0</v>
      </c>
      <c r="B3082" s="24" t="s">
        <v>155</v>
      </c>
      <c r="C3082" s="24" t="s">
        <v>6907</v>
      </c>
      <c r="D3082" s="59">
        <v>1.0</v>
      </c>
      <c r="E3082" s="59">
        <v>1.0</v>
      </c>
      <c r="F3082" s="59">
        <v>0.0</v>
      </c>
      <c r="G3082" s="60">
        <v>1.0</v>
      </c>
      <c r="H3082" s="60">
        <v>0.0</v>
      </c>
      <c r="I3082" s="60">
        <v>1950.168476</v>
      </c>
      <c r="J3082" s="59">
        <v>16.0</v>
      </c>
      <c r="K3082" s="61">
        <f t="shared" si="1"/>
        <v>0</v>
      </c>
      <c r="L3082" s="62">
        <f t="shared" si="2"/>
        <v>16</v>
      </c>
    </row>
    <row r="3083">
      <c r="A3083" s="58">
        <v>45931.0</v>
      </c>
      <c r="B3083" s="24" t="s">
        <v>6791</v>
      </c>
      <c r="C3083" s="24" t="s">
        <v>6808</v>
      </c>
      <c r="D3083" s="59">
        <v>1.0</v>
      </c>
      <c r="E3083" s="59">
        <v>1.0</v>
      </c>
      <c r="F3083" s="59">
        <v>0.0</v>
      </c>
      <c r="G3083" s="60">
        <v>1.0</v>
      </c>
      <c r="H3083" s="60">
        <v>0.0</v>
      </c>
      <c r="I3083" s="60">
        <v>0.685913</v>
      </c>
      <c r="J3083" s="59">
        <v>2.0</v>
      </c>
      <c r="K3083" s="61">
        <f t="shared" si="1"/>
        <v>0</v>
      </c>
      <c r="L3083" s="62">
        <f t="shared" si="2"/>
        <v>2</v>
      </c>
    </row>
    <row r="3084">
      <c r="A3084" s="58">
        <v>45931.0</v>
      </c>
      <c r="B3084" s="24" t="s">
        <v>6789</v>
      </c>
      <c r="C3084" s="24" t="s">
        <v>7035</v>
      </c>
      <c r="D3084" s="59">
        <v>1.0</v>
      </c>
      <c r="E3084" s="59">
        <v>1.0</v>
      </c>
      <c r="F3084" s="59">
        <v>0.0</v>
      </c>
      <c r="G3084" s="60">
        <v>1.0</v>
      </c>
      <c r="H3084" s="60">
        <v>0.0</v>
      </c>
      <c r="I3084" s="60">
        <v>1511.856359</v>
      </c>
      <c r="J3084" s="59">
        <v>1.0</v>
      </c>
      <c r="K3084" s="61">
        <f t="shared" si="1"/>
        <v>0</v>
      </c>
      <c r="L3084" s="62">
        <f t="shared" si="2"/>
        <v>1</v>
      </c>
    </row>
    <row r="3085">
      <c r="A3085" s="58">
        <v>45931.0</v>
      </c>
      <c r="B3085" s="24" t="s">
        <v>155</v>
      </c>
      <c r="C3085" s="24" t="s">
        <v>7026</v>
      </c>
      <c r="D3085" s="59">
        <v>1.0</v>
      </c>
      <c r="E3085" s="59">
        <v>2.0</v>
      </c>
      <c r="F3085" s="59">
        <v>0.0</v>
      </c>
      <c r="G3085" s="60">
        <v>2.0</v>
      </c>
      <c r="H3085" s="60">
        <v>0.5</v>
      </c>
      <c r="I3085" s="60">
        <v>892.621521</v>
      </c>
      <c r="J3085" s="59">
        <v>3.0</v>
      </c>
      <c r="K3085" s="61">
        <f t="shared" si="1"/>
        <v>0</v>
      </c>
      <c r="L3085" s="62">
        <f t="shared" si="2"/>
        <v>1.5</v>
      </c>
    </row>
    <row r="3086">
      <c r="A3086" s="58">
        <v>45931.0</v>
      </c>
      <c r="B3086" s="24" t="s">
        <v>6789</v>
      </c>
      <c r="C3086" s="24" t="s">
        <v>7159</v>
      </c>
      <c r="D3086" s="59">
        <v>1.0</v>
      </c>
      <c r="E3086" s="59">
        <v>1.0</v>
      </c>
      <c r="F3086" s="59">
        <v>1.0</v>
      </c>
      <c r="G3086" s="60">
        <v>1.0</v>
      </c>
      <c r="H3086" s="60">
        <v>1.0</v>
      </c>
      <c r="I3086" s="60">
        <v>0.0</v>
      </c>
      <c r="J3086" s="59">
        <v>1.0</v>
      </c>
      <c r="K3086" s="61">
        <f t="shared" si="1"/>
        <v>1</v>
      </c>
      <c r="L3086" s="62">
        <f t="shared" si="2"/>
        <v>1</v>
      </c>
    </row>
    <row r="3087">
      <c r="A3087" s="58">
        <v>45931.0</v>
      </c>
      <c r="B3087" s="24" t="s">
        <v>155</v>
      </c>
      <c r="C3087" s="24" t="s">
        <v>7159</v>
      </c>
      <c r="D3087" s="59">
        <v>1.0</v>
      </c>
      <c r="E3087" s="59">
        <v>1.0</v>
      </c>
      <c r="F3087" s="59">
        <v>0.0</v>
      </c>
      <c r="G3087" s="60">
        <v>1.0</v>
      </c>
      <c r="H3087" s="60">
        <v>0.0</v>
      </c>
      <c r="I3087" s="60">
        <v>27.645929</v>
      </c>
      <c r="J3087" s="59">
        <v>1.0</v>
      </c>
      <c r="K3087" s="61">
        <f t="shared" si="1"/>
        <v>0</v>
      </c>
      <c r="L3087" s="62">
        <f t="shared" si="2"/>
        <v>1</v>
      </c>
    </row>
    <row r="3088">
      <c r="A3088" s="58">
        <v>45931.0</v>
      </c>
      <c r="B3088" s="24" t="s">
        <v>6789</v>
      </c>
      <c r="C3088" s="24" t="s">
        <v>7160</v>
      </c>
      <c r="D3088" s="59">
        <v>1.0</v>
      </c>
      <c r="E3088" s="59">
        <v>1.0</v>
      </c>
      <c r="F3088" s="59">
        <v>1.0</v>
      </c>
      <c r="G3088" s="60">
        <v>1.0</v>
      </c>
      <c r="H3088" s="60">
        <v>0.0</v>
      </c>
      <c r="I3088" s="60">
        <v>20.159652</v>
      </c>
      <c r="J3088" s="59">
        <v>2.0</v>
      </c>
      <c r="K3088" s="61">
        <f t="shared" si="1"/>
        <v>1</v>
      </c>
      <c r="L3088" s="62">
        <f t="shared" si="2"/>
        <v>2</v>
      </c>
    </row>
    <row r="3089">
      <c r="A3089" s="58">
        <v>45931.0</v>
      </c>
      <c r="B3089" s="24" t="s">
        <v>155</v>
      </c>
      <c r="C3089" s="24" t="s">
        <v>7160</v>
      </c>
      <c r="D3089" s="59">
        <v>1.0</v>
      </c>
      <c r="E3089" s="59">
        <v>1.0</v>
      </c>
      <c r="F3089" s="59">
        <v>1.0</v>
      </c>
      <c r="G3089" s="60">
        <v>1.0</v>
      </c>
      <c r="H3089" s="60">
        <v>1.0</v>
      </c>
      <c r="I3089" s="60">
        <v>0.0</v>
      </c>
      <c r="J3089" s="59">
        <v>1.0</v>
      </c>
      <c r="K3089" s="61">
        <f t="shared" si="1"/>
        <v>1</v>
      </c>
      <c r="L3089" s="62">
        <f t="shared" si="2"/>
        <v>1</v>
      </c>
    </row>
    <row r="3090">
      <c r="A3090" s="58">
        <v>45931.0</v>
      </c>
      <c r="B3090" s="24" t="s">
        <v>155</v>
      </c>
      <c r="C3090" s="24" t="s">
        <v>7190</v>
      </c>
      <c r="D3090" s="59">
        <v>1.0</v>
      </c>
      <c r="E3090" s="59">
        <v>1.0</v>
      </c>
      <c r="F3090" s="59">
        <v>0.0</v>
      </c>
      <c r="G3090" s="60">
        <v>1.0</v>
      </c>
      <c r="H3090" s="60">
        <v>1.0</v>
      </c>
      <c r="I3090" s="60">
        <v>5.989544</v>
      </c>
      <c r="J3090" s="59">
        <v>1.0</v>
      </c>
      <c r="K3090" s="61">
        <f t="shared" si="1"/>
        <v>0</v>
      </c>
      <c r="L3090" s="62">
        <f t="shared" si="2"/>
        <v>1</v>
      </c>
    </row>
    <row r="3091">
      <c r="A3091" s="58">
        <v>45931.0</v>
      </c>
      <c r="B3091" s="24" t="s">
        <v>155</v>
      </c>
      <c r="C3091" s="24" t="s">
        <v>7022</v>
      </c>
      <c r="D3091" s="59">
        <v>1.0</v>
      </c>
      <c r="E3091" s="59">
        <v>1.0</v>
      </c>
      <c r="F3091" s="59">
        <v>1.0</v>
      </c>
      <c r="G3091" s="60">
        <v>1.0</v>
      </c>
      <c r="H3091" s="60">
        <v>0.0</v>
      </c>
      <c r="I3091" s="60">
        <v>11.780088</v>
      </c>
      <c r="J3091" s="59">
        <v>1.0</v>
      </c>
      <c r="K3091" s="61">
        <f t="shared" si="1"/>
        <v>1</v>
      </c>
      <c r="L3091" s="62">
        <f t="shared" si="2"/>
        <v>1</v>
      </c>
    </row>
    <row r="3092">
      <c r="A3092" s="58">
        <v>45931.0</v>
      </c>
      <c r="B3092" s="24" t="s">
        <v>6789</v>
      </c>
      <c r="C3092" s="24" t="s">
        <v>7130</v>
      </c>
      <c r="D3092" s="59">
        <v>1.0</v>
      </c>
      <c r="E3092" s="59">
        <v>1.0</v>
      </c>
      <c r="F3092" s="59">
        <v>1.0</v>
      </c>
      <c r="G3092" s="60">
        <v>1.0</v>
      </c>
      <c r="H3092" s="60">
        <v>1.0</v>
      </c>
      <c r="I3092" s="60">
        <v>4.264876</v>
      </c>
      <c r="J3092" s="59">
        <v>1.0</v>
      </c>
      <c r="K3092" s="61">
        <f t="shared" si="1"/>
        <v>1</v>
      </c>
      <c r="L3092" s="62">
        <f t="shared" si="2"/>
        <v>1</v>
      </c>
    </row>
    <row r="3093">
      <c r="A3093" s="58">
        <v>45931.0</v>
      </c>
      <c r="B3093" s="24" t="s">
        <v>6789</v>
      </c>
      <c r="C3093" s="24" t="s">
        <v>7094</v>
      </c>
      <c r="D3093" s="59">
        <v>1.0</v>
      </c>
      <c r="E3093" s="59">
        <v>1.0</v>
      </c>
      <c r="F3093" s="59">
        <v>1.0</v>
      </c>
      <c r="G3093" s="60">
        <v>1.0</v>
      </c>
      <c r="H3093" s="60">
        <v>0.0</v>
      </c>
      <c r="I3093" s="60">
        <v>65.513807</v>
      </c>
      <c r="J3093" s="59">
        <v>1.0</v>
      </c>
      <c r="K3093" s="61">
        <f t="shared" si="1"/>
        <v>1</v>
      </c>
      <c r="L3093" s="62">
        <f t="shared" si="2"/>
        <v>1</v>
      </c>
    </row>
    <row r="3094">
      <c r="A3094" s="58">
        <v>45931.0</v>
      </c>
      <c r="B3094" s="24" t="s">
        <v>6789</v>
      </c>
      <c r="C3094" s="24" t="s">
        <v>7136</v>
      </c>
      <c r="D3094" s="59">
        <v>1.0</v>
      </c>
      <c r="E3094" s="59">
        <v>1.0</v>
      </c>
      <c r="F3094" s="59">
        <v>0.0</v>
      </c>
      <c r="G3094" s="60">
        <v>1.0</v>
      </c>
      <c r="H3094" s="60">
        <v>0.0</v>
      </c>
      <c r="I3094" s="60">
        <v>40.258113</v>
      </c>
      <c r="J3094" s="59">
        <v>2.0</v>
      </c>
      <c r="K3094" s="61">
        <f t="shared" si="1"/>
        <v>0</v>
      </c>
      <c r="L3094" s="62">
        <f t="shared" si="2"/>
        <v>2</v>
      </c>
    </row>
    <row r="3095">
      <c r="A3095" s="58">
        <v>45931.0</v>
      </c>
      <c r="B3095" s="24" t="s">
        <v>6789</v>
      </c>
      <c r="C3095" s="24" t="s">
        <v>7186</v>
      </c>
      <c r="D3095" s="59">
        <v>1.0</v>
      </c>
      <c r="E3095" s="59">
        <v>1.0</v>
      </c>
      <c r="F3095" s="59">
        <v>1.0</v>
      </c>
      <c r="G3095" s="60">
        <v>1.0</v>
      </c>
      <c r="H3095" s="60">
        <v>1.0</v>
      </c>
      <c r="I3095" s="60">
        <v>3.003113</v>
      </c>
      <c r="J3095" s="59">
        <v>1.0</v>
      </c>
      <c r="K3095" s="61">
        <f t="shared" si="1"/>
        <v>1</v>
      </c>
      <c r="L3095" s="62">
        <f t="shared" si="2"/>
        <v>1</v>
      </c>
    </row>
    <row r="3096">
      <c r="A3096" s="58">
        <v>45931.0</v>
      </c>
      <c r="B3096" s="24" t="s">
        <v>6789</v>
      </c>
      <c r="C3096" s="24" t="s">
        <v>7138</v>
      </c>
      <c r="D3096" s="59">
        <v>1.0</v>
      </c>
      <c r="E3096" s="59">
        <v>1.0</v>
      </c>
      <c r="F3096" s="59">
        <v>1.0</v>
      </c>
      <c r="G3096" s="60">
        <v>1.0</v>
      </c>
      <c r="H3096" s="60">
        <v>1.0</v>
      </c>
      <c r="I3096" s="60">
        <v>0.0</v>
      </c>
      <c r="J3096" s="59">
        <v>1.0</v>
      </c>
      <c r="K3096" s="61">
        <f t="shared" si="1"/>
        <v>1</v>
      </c>
      <c r="L3096" s="62">
        <f t="shared" si="2"/>
        <v>1</v>
      </c>
    </row>
    <row r="3097">
      <c r="A3097" s="58">
        <v>45931.0</v>
      </c>
      <c r="B3097" s="24" t="s">
        <v>6789</v>
      </c>
      <c r="C3097" s="24" t="s">
        <v>7184</v>
      </c>
      <c r="D3097" s="59">
        <v>1.0</v>
      </c>
      <c r="E3097" s="59">
        <v>1.0</v>
      </c>
      <c r="F3097" s="59">
        <v>1.0</v>
      </c>
      <c r="G3097" s="60">
        <v>1.0</v>
      </c>
      <c r="H3097" s="60">
        <v>0.0</v>
      </c>
      <c r="I3097" s="60">
        <v>48.424073</v>
      </c>
      <c r="J3097" s="59">
        <v>1.0</v>
      </c>
      <c r="K3097" s="61">
        <f t="shared" si="1"/>
        <v>1</v>
      </c>
      <c r="L3097" s="62">
        <f t="shared" si="2"/>
        <v>1</v>
      </c>
    </row>
    <row r="3098">
      <c r="A3098" s="58">
        <v>45931.0</v>
      </c>
      <c r="B3098" s="24" t="s">
        <v>155</v>
      </c>
      <c r="C3098" s="24" t="s">
        <v>7170</v>
      </c>
      <c r="D3098" s="59">
        <v>1.0</v>
      </c>
      <c r="E3098" s="59">
        <v>1.0</v>
      </c>
      <c r="F3098" s="59">
        <v>0.0</v>
      </c>
      <c r="G3098" s="60">
        <v>1.0</v>
      </c>
      <c r="H3098" s="60">
        <v>0.0</v>
      </c>
      <c r="I3098" s="60">
        <v>3204.610996</v>
      </c>
      <c r="J3098" s="59">
        <v>38.0</v>
      </c>
      <c r="K3098" s="61">
        <f t="shared" si="1"/>
        <v>0</v>
      </c>
      <c r="L3098" s="62">
        <f t="shared" si="2"/>
        <v>38</v>
      </c>
    </row>
    <row r="3099">
      <c r="A3099" s="58">
        <v>45931.0</v>
      </c>
      <c r="B3099" s="24" t="s">
        <v>6787</v>
      </c>
      <c r="C3099" s="24" t="s">
        <v>7311</v>
      </c>
      <c r="D3099" s="59">
        <v>1.0</v>
      </c>
      <c r="E3099" s="59">
        <v>1.0</v>
      </c>
      <c r="F3099" s="59">
        <v>1.0</v>
      </c>
      <c r="G3099" s="60">
        <v>1.0</v>
      </c>
      <c r="H3099" s="60">
        <v>0.0</v>
      </c>
      <c r="I3099" s="60">
        <v>0.705755</v>
      </c>
      <c r="J3099" s="59">
        <v>2.0</v>
      </c>
      <c r="K3099" s="61">
        <f t="shared" si="1"/>
        <v>1</v>
      </c>
      <c r="L3099" s="62">
        <f t="shared" si="2"/>
        <v>2</v>
      </c>
    </row>
    <row r="3100">
      <c r="A3100" s="58">
        <v>45931.0</v>
      </c>
      <c r="B3100" s="24" t="s">
        <v>6789</v>
      </c>
      <c r="C3100" s="24" t="s">
        <v>7013</v>
      </c>
      <c r="D3100" s="59">
        <v>1.0</v>
      </c>
      <c r="E3100" s="59">
        <v>1.0</v>
      </c>
      <c r="F3100" s="59">
        <v>1.0</v>
      </c>
      <c r="G3100" s="60">
        <v>1.0</v>
      </c>
      <c r="H3100" s="60">
        <v>1.0</v>
      </c>
      <c r="I3100" s="60">
        <v>0.0</v>
      </c>
      <c r="J3100" s="59">
        <v>1.0</v>
      </c>
      <c r="K3100" s="61">
        <f t="shared" si="1"/>
        <v>1</v>
      </c>
      <c r="L3100" s="62">
        <f t="shared" si="2"/>
        <v>1</v>
      </c>
    </row>
    <row r="3101">
      <c r="A3101" s="58">
        <v>45931.0</v>
      </c>
      <c r="B3101" s="24" t="s">
        <v>6787</v>
      </c>
      <c r="C3101" s="24" t="s">
        <v>7312</v>
      </c>
      <c r="D3101" s="59">
        <v>1.0</v>
      </c>
      <c r="E3101" s="59">
        <v>1.0</v>
      </c>
      <c r="F3101" s="59">
        <v>1.0</v>
      </c>
      <c r="G3101" s="60">
        <v>1.0</v>
      </c>
      <c r="H3101" s="60">
        <v>1.0</v>
      </c>
      <c r="I3101" s="60">
        <v>5.006984</v>
      </c>
      <c r="J3101" s="59">
        <v>1.0</v>
      </c>
      <c r="K3101" s="61">
        <f t="shared" si="1"/>
        <v>1</v>
      </c>
      <c r="L3101" s="62">
        <f t="shared" si="2"/>
        <v>1</v>
      </c>
    </row>
    <row r="3102">
      <c r="A3102" s="58">
        <v>45931.0</v>
      </c>
      <c r="B3102" s="24" t="s">
        <v>6790</v>
      </c>
      <c r="C3102" s="24" t="s">
        <v>6960</v>
      </c>
      <c r="D3102" s="59">
        <v>1.0</v>
      </c>
      <c r="E3102" s="59">
        <v>1.0</v>
      </c>
      <c r="F3102" s="59">
        <v>1.0</v>
      </c>
      <c r="G3102" s="60">
        <v>1.0</v>
      </c>
      <c r="H3102" s="60">
        <v>0.0</v>
      </c>
      <c r="I3102" s="60">
        <v>37.256839</v>
      </c>
      <c r="J3102" s="59">
        <v>1.0</v>
      </c>
      <c r="K3102" s="61">
        <f t="shared" si="1"/>
        <v>1</v>
      </c>
      <c r="L3102" s="62">
        <f t="shared" si="2"/>
        <v>1</v>
      </c>
    </row>
    <row r="3103">
      <c r="A3103" s="58">
        <v>45931.0</v>
      </c>
      <c r="B3103" s="24" t="s">
        <v>6790</v>
      </c>
      <c r="C3103" s="24" t="s">
        <v>6809</v>
      </c>
      <c r="D3103" s="59">
        <v>1.0</v>
      </c>
      <c r="E3103" s="59">
        <v>1.0</v>
      </c>
      <c r="F3103" s="59">
        <v>1.0</v>
      </c>
      <c r="G3103" s="60">
        <v>1.0</v>
      </c>
      <c r="H3103" s="60">
        <v>0.0</v>
      </c>
      <c r="I3103" s="60">
        <v>21.526015</v>
      </c>
      <c r="J3103" s="59">
        <v>1.0</v>
      </c>
      <c r="K3103" s="61">
        <f t="shared" si="1"/>
        <v>1</v>
      </c>
      <c r="L3103" s="62">
        <f t="shared" si="2"/>
        <v>1</v>
      </c>
    </row>
    <row r="3104">
      <c r="A3104" s="58">
        <v>45931.0</v>
      </c>
      <c r="B3104" s="24" t="s">
        <v>6791</v>
      </c>
      <c r="C3104" s="24" t="s">
        <v>6812</v>
      </c>
      <c r="D3104" s="59">
        <v>1.0</v>
      </c>
      <c r="E3104" s="59">
        <v>1.0</v>
      </c>
      <c r="F3104" s="59">
        <v>0.0</v>
      </c>
      <c r="G3104" s="60">
        <v>1.0</v>
      </c>
      <c r="H3104" s="60">
        <v>0.0</v>
      </c>
      <c r="I3104" s="60">
        <v>72.417208</v>
      </c>
      <c r="J3104" s="59">
        <v>3.0</v>
      </c>
      <c r="K3104" s="61">
        <f t="shared" si="1"/>
        <v>0</v>
      </c>
      <c r="L3104" s="62">
        <f t="shared" si="2"/>
        <v>3</v>
      </c>
    </row>
    <row r="3105">
      <c r="A3105" s="58">
        <v>45931.0</v>
      </c>
      <c r="B3105" s="24" t="s">
        <v>155</v>
      </c>
      <c r="C3105" s="24" t="s">
        <v>6812</v>
      </c>
      <c r="D3105" s="59">
        <v>1.0</v>
      </c>
      <c r="E3105" s="59">
        <v>1.0</v>
      </c>
      <c r="F3105" s="59">
        <v>0.0</v>
      </c>
      <c r="G3105" s="60">
        <v>1.0</v>
      </c>
      <c r="H3105" s="60">
        <v>0.0</v>
      </c>
      <c r="I3105" s="60">
        <v>1515.231377</v>
      </c>
      <c r="J3105" s="59">
        <v>7.0</v>
      </c>
      <c r="K3105" s="61">
        <f t="shared" si="1"/>
        <v>0</v>
      </c>
      <c r="L3105" s="62">
        <f t="shared" si="2"/>
        <v>7</v>
      </c>
    </row>
    <row r="3106">
      <c r="A3106" s="58">
        <v>45931.0</v>
      </c>
      <c r="B3106" s="24" t="s">
        <v>6791</v>
      </c>
      <c r="C3106" s="24" t="s">
        <v>6849</v>
      </c>
      <c r="D3106" s="59">
        <v>1.0</v>
      </c>
      <c r="E3106" s="59">
        <v>1.0</v>
      </c>
      <c r="F3106" s="59">
        <v>0.0</v>
      </c>
      <c r="G3106" s="60">
        <v>1.0</v>
      </c>
      <c r="H3106" s="60">
        <v>0.0</v>
      </c>
      <c r="I3106" s="60">
        <v>986.247836</v>
      </c>
      <c r="J3106" s="59">
        <v>7.0</v>
      </c>
      <c r="K3106" s="61">
        <f t="shared" si="1"/>
        <v>0</v>
      </c>
      <c r="L3106" s="62">
        <f t="shared" si="2"/>
        <v>7</v>
      </c>
    </row>
    <row r="3107">
      <c r="A3107" s="58">
        <v>45931.0</v>
      </c>
      <c r="B3107" s="24" t="s">
        <v>155</v>
      </c>
      <c r="C3107" s="24" t="s">
        <v>6849</v>
      </c>
      <c r="D3107" s="59">
        <v>1.0</v>
      </c>
      <c r="E3107" s="59">
        <v>1.0</v>
      </c>
      <c r="F3107" s="59">
        <v>0.0</v>
      </c>
      <c r="G3107" s="60">
        <v>1.0</v>
      </c>
      <c r="H3107" s="60">
        <v>0.0</v>
      </c>
      <c r="I3107" s="60">
        <v>35.218479</v>
      </c>
      <c r="J3107" s="59">
        <v>10.0</v>
      </c>
      <c r="K3107" s="61">
        <f t="shared" si="1"/>
        <v>0</v>
      </c>
      <c r="L3107" s="62">
        <f t="shared" si="2"/>
        <v>10</v>
      </c>
    </row>
    <row r="3108">
      <c r="A3108" s="58">
        <v>45931.0</v>
      </c>
      <c r="B3108" s="24" t="s">
        <v>6790</v>
      </c>
      <c r="C3108" s="24" t="s">
        <v>6908</v>
      </c>
      <c r="D3108" s="59">
        <v>1.0</v>
      </c>
      <c r="E3108" s="59">
        <v>1.0</v>
      </c>
      <c r="F3108" s="59">
        <v>1.0</v>
      </c>
      <c r="G3108" s="60">
        <v>1.0</v>
      </c>
      <c r="H3108" s="60">
        <v>0.0</v>
      </c>
      <c r="I3108" s="60">
        <v>1499.26559</v>
      </c>
      <c r="J3108" s="59">
        <v>1.0</v>
      </c>
      <c r="K3108" s="61">
        <f t="shared" si="1"/>
        <v>1</v>
      </c>
      <c r="L3108" s="62">
        <f t="shared" si="2"/>
        <v>1</v>
      </c>
    </row>
    <row r="3109">
      <c r="A3109" s="58">
        <v>45931.0</v>
      </c>
      <c r="B3109" s="24" t="s">
        <v>6787</v>
      </c>
      <c r="C3109" s="24" t="s">
        <v>7172</v>
      </c>
      <c r="D3109" s="59">
        <v>1.0</v>
      </c>
      <c r="E3109" s="59">
        <v>1.0</v>
      </c>
      <c r="F3109" s="59">
        <v>1.0</v>
      </c>
      <c r="G3109" s="60">
        <v>1.0</v>
      </c>
      <c r="H3109" s="60">
        <v>1.0</v>
      </c>
      <c r="I3109" s="60">
        <v>5.977025</v>
      </c>
      <c r="J3109" s="59">
        <v>1.0</v>
      </c>
      <c r="K3109" s="61">
        <f t="shared" si="1"/>
        <v>1</v>
      </c>
      <c r="L3109" s="62">
        <f t="shared" si="2"/>
        <v>1</v>
      </c>
    </row>
    <row r="3110">
      <c r="A3110" s="58">
        <v>45931.0</v>
      </c>
      <c r="B3110" s="24" t="s">
        <v>6789</v>
      </c>
      <c r="C3110" s="24" t="s">
        <v>6909</v>
      </c>
      <c r="D3110" s="59">
        <v>1.0</v>
      </c>
      <c r="E3110" s="59">
        <v>1.0</v>
      </c>
      <c r="F3110" s="59">
        <v>0.0</v>
      </c>
      <c r="G3110" s="60">
        <v>1.0</v>
      </c>
      <c r="H3110" s="60">
        <v>0.0</v>
      </c>
      <c r="I3110" s="60">
        <v>32.424957</v>
      </c>
      <c r="J3110" s="59">
        <v>2.0</v>
      </c>
      <c r="K3110" s="61">
        <f t="shared" si="1"/>
        <v>0</v>
      </c>
      <c r="L3110" s="62">
        <f t="shared" si="2"/>
        <v>2</v>
      </c>
    </row>
    <row r="3111">
      <c r="A3111" s="58">
        <v>45931.0</v>
      </c>
      <c r="B3111" s="24" t="s">
        <v>155</v>
      </c>
      <c r="C3111" s="24" t="s">
        <v>6909</v>
      </c>
      <c r="D3111" s="59">
        <v>1.0</v>
      </c>
      <c r="E3111" s="59">
        <v>1.0</v>
      </c>
      <c r="F3111" s="59">
        <v>1.0</v>
      </c>
      <c r="G3111" s="60">
        <v>1.0</v>
      </c>
      <c r="H3111" s="60">
        <v>0.0</v>
      </c>
      <c r="I3111" s="60">
        <v>54.621746</v>
      </c>
      <c r="J3111" s="59">
        <v>2.0</v>
      </c>
      <c r="K3111" s="61">
        <f t="shared" si="1"/>
        <v>1</v>
      </c>
      <c r="L3111" s="62">
        <f t="shared" si="2"/>
        <v>2</v>
      </c>
    </row>
    <row r="3112">
      <c r="A3112" s="58">
        <v>45931.0</v>
      </c>
      <c r="B3112" s="24" t="s">
        <v>6789</v>
      </c>
      <c r="C3112" s="24" t="s">
        <v>6813</v>
      </c>
      <c r="D3112" s="59">
        <v>1.0</v>
      </c>
      <c r="E3112" s="59">
        <v>1.0</v>
      </c>
      <c r="F3112" s="59">
        <v>1.0</v>
      </c>
      <c r="G3112" s="60">
        <v>1.0</v>
      </c>
      <c r="H3112" s="60">
        <v>1.0</v>
      </c>
      <c r="I3112" s="60">
        <v>2.842291</v>
      </c>
      <c r="J3112" s="59">
        <v>1.0</v>
      </c>
      <c r="K3112" s="61">
        <f t="shared" si="1"/>
        <v>1</v>
      </c>
      <c r="L3112" s="62">
        <f t="shared" si="2"/>
        <v>1</v>
      </c>
    </row>
    <row r="3113">
      <c r="A3113" s="58">
        <v>45931.0</v>
      </c>
      <c r="B3113" s="24" t="s">
        <v>6787</v>
      </c>
      <c r="C3113" s="24" t="s">
        <v>7313</v>
      </c>
      <c r="D3113" s="59">
        <v>1.0</v>
      </c>
      <c r="E3113" s="59">
        <v>1.0</v>
      </c>
      <c r="F3113" s="59">
        <v>1.0</v>
      </c>
      <c r="G3113" s="60">
        <v>1.0</v>
      </c>
      <c r="H3113" s="60">
        <v>1.0</v>
      </c>
      <c r="I3113" s="60">
        <v>5.612856</v>
      </c>
      <c r="J3113" s="59">
        <v>1.0</v>
      </c>
      <c r="K3113" s="61">
        <f t="shared" si="1"/>
        <v>1</v>
      </c>
      <c r="L3113" s="62">
        <f t="shared" si="2"/>
        <v>1</v>
      </c>
    </row>
    <row r="3114">
      <c r="A3114" s="58">
        <v>45931.0</v>
      </c>
      <c r="B3114" s="24" t="s">
        <v>7030</v>
      </c>
      <c r="C3114" s="24" t="s">
        <v>6910</v>
      </c>
      <c r="D3114" s="59">
        <v>1.0</v>
      </c>
      <c r="E3114" s="59">
        <v>1.0</v>
      </c>
      <c r="F3114" s="59">
        <v>0.0</v>
      </c>
      <c r="G3114" s="60">
        <v>1.0</v>
      </c>
      <c r="H3114" s="60">
        <v>0.0</v>
      </c>
      <c r="I3114" s="60">
        <v>141.11663</v>
      </c>
      <c r="J3114" s="59">
        <v>1.0</v>
      </c>
      <c r="K3114" s="61">
        <f t="shared" si="1"/>
        <v>0</v>
      </c>
      <c r="L3114" s="62">
        <f t="shared" si="2"/>
        <v>1</v>
      </c>
    </row>
    <row r="3115">
      <c r="A3115" s="58">
        <v>45931.0</v>
      </c>
      <c r="B3115" s="24" t="s">
        <v>6791</v>
      </c>
      <c r="C3115" s="24" t="s">
        <v>6851</v>
      </c>
      <c r="D3115" s="59">
        <v>1.0</v>
      </c>
      <c r="E3115" s="59">
        <v>1.0</v>
      </c>
      <c r="F3115" s="59">
        <v>0.0</v>
      </c>
      <c r="G3115" s="60">
        <v>1.0</v>
      </c>
      <c r="H3115" s="60">
        <v>1.0</v>
      </c>
      <c r="I3115" s="60">
        <v>5.557801</v>
      </c>
      <c r="J3115" s="59">
        <v>1.0</v>
      </c>
      <c r="K3115" s="61">
        <f t="shared" si="1"/>
        <v>0</v>
      </c>
      <c r="L3115" s="62">
        <f t="shared" si="2"/>
        <v>1</v>
      </c>
    </row>
    <row r="3116">
      <c r="A3116" s="58">
        <v>45931.0</v>
      </c>
      <c r="B3116" s="24" t="s">
        <v>155</v>
      </c>
      <c r="C3116" s="24" t="s">
        <v>7102</v>
      </c>
      <c r="D3116" s="59">
        <v>1.0</v>
      </c>
      <c r="E3116" s="59">
        <v>1.0</v>
      </c>
      <c r="F3116" s="59">
        <v>1.0</v>
      </c>
      <c r="G3116" s="60">
        <v>1.0</v>
      </c>
      <c r="H3116" s="60">
        <v>0.0</v>
      </c>
      <c r="I3116" s="60">
        <v>342.772916</v>
      </c>
      <c r="J3116" s="59">
        <v>2.0</v>
      </c>
      <c r="K3116" s="61">
        <f t="shared" si="1"/>
        <v>1</v>
      </c>
      <c r="L3116" s="62">
        <f t="shared" si="2"/>
        <v>2</v>
      </c>
    </row>
    <row r="3117">
      <c r="A3117" s="58">
        <v>45931.0</v>
      </c>
      <c r="B3117" s="24" t="s">
        <v>6789</v>
      </c>
      <c r="C3117" s="24" t="s">
        <v>7173</v>
      </c>
      <c r="D3117" s="59">
        <v>1.0</v>
      </c>
      <c r="E3117" s="59">
        <v>1.0</v>
      </c>
      <c r="F3117" s="59">
        <v>0.0</v>
      </c>
      <c r="G3117" s="60">
        <v>1.0</v>
      </c>
      <c r="H3117" s="60">
        <v>0.0</v>
      </c>
      <c r="I3117" s="60">
        <v>31.319294</v>
      </c>
      <c r="J3117" s="59">
        <v>2.0</v>
      </c>
      <c r="K3117" s="61">
        <f t="shared" si="1"/>
        <v>0</v>
      </c>
      <c r="L3117" s="62">
        <f t="shared" si="2"/>
        <v>2</v>
      </c>
    </row>
    <row r="3118">
      <c r="A3118" s="58">
        <v>45931.0</v>
      </c>
      <c r="B3118" s="24" t="s">
        <v>6790</v>
      </c>
      <c r="C3118" s="24" t="s">
        <v>6912</v>
      </c>
      <c r="D3118" s="59">
        <v>1.0</v>
      </c>
      <c r="E3118" s="59">
        <v>1.0</v>
      </c>
      <c r="F3118" s="59">
        <v>1.0</v>
      </c>
      <c r="G3118" s="60">
        <v>1.0</v>
      </c>
      <c r="H3118" s="60">
        <v>0.0</v>
      </c>
      <c r="I3118" s="60">
        <v>35.832711</v>
      </c>
      <c r="J3118" s="59">
        <v>1.0</v>
      </c>
      <c r="K3118" s="61">
        <f t="shared" si="1"/>
        <v>1</v>
      </c>
      <c r="L3118" s="62">
        <f t="shared" si="2"/>
        <v>1</v>
      </c>
    </row>
    <row r="3119">
      <c r="A3119" s="58">
        <v>45931.0</v>
      </c>
      <c r="B3119" s="24" t="s">
        <v>6790</v>
      </c>
      <c r="C3119" s="24" t="s">
        <v>7174</v>
      </c>
      <c r="D3119" s="59">
        <v>1.0</v>
      </c>
      <c r="E3119" s="59">
        <v>1.0</v>
      </c>
      <c r="F3119" s="59">
        <v>1.0</v>
      </c>
      <c r="G3119" s="60">
        <v>1.0</v>
      </c>
      <c r="H3119" s="60">
        <v>1.0</v>
      </c>
      <c r="I3119" s="60">
        <v>5.807838</v>
      </c>
      <c r="J3119" s="59">
        <v>1.0</v>
      </c>
      <c r="K3119" s="61">
        <f t="shared" si="1"/>
        <v>1</v>
      </c>
      <c r="L3119" s="62">
        <f t="shared" si="2"/>
        <v>1</v>
      </c>
    </row>
    <row r="3120">
      <c r="A3120" s="58">
        <v>45931.0</v>
      </c>
      <c r="B3120" s="24" t="s">
        <v>155</v>
      </c>
      <c r="C3120" s="24" t="s">
        <v>6915</v>
      </c>
      <c r="D3120" s="59">
        <v>1.0</v>
      </c>
      <c r="E3120" s="59">
        <v>1.0</v>
      </c>
      <c r="F3120" s="59">
        <v>0.0</v>
      </c>
      <c r="G3120" s="60">
        <v>1.0</v>
      </c>
      <c r="H3120" s="60">
        <v>1.0</v>
      </c>
      <c r="I3120" s="60">
        <v>8.591914</v>
      </c>
      <c r="J3120" s="59">
        <v>1.0</v>
      </c>
      <c r="K3120" s="61">
        <f t="shared" si="1"/>
        <v>0</v>
      </c>
      <c r="L3120" s="62">
        <f t="shared" si="2"/>
        <v>1</v>
      </c>
    </row>
    <row r="3121">
      <c r="A3121" s="58">
        <v>45931.0</v>
      </c>
      <c r="B3121" s="24" t="s">
        <v>6790</v>
      </c>
      <c r="C3121" s="24" t="s">
        <v>6815</v>
      </c>
      <c r="D3121" s="59">
        <v>1.0</v>
      </c>
      <c r="E3121" s="59">
        <v>1.0</v>
      </c>
      <c r="F3121" s="59">
        <v>1.0</v>
      </c>
      <c r="G3121" s="60">
        <v>1.0</v>
      </c>
      <c r="H3121" s="60">
        <v>1.0</v>
      </c>
      <c r="I3121" s="60">
        <v>8.31224</v>
      </c>
      <c r="J3121" s="59">
        <v>1.0</v>
      </c>
      <c r="K3121" s="61">
        <f t="shared" si="1"/>
        <v>1</v>
      </c>
      <c r="L3121" s="62">
        <f t="shared" si="2"/>
        <v>1</v>
      </c>
    </row>
    <row r="3122">
      <c r="A3122" s="58">
        <v>45931.0</v>
      </c>
      <c r="B3122" s="24" t="s">
        <v>6789</v>
      </c>
      <c r="C3122" s="24" t="s">
        <v>6852</v>
      </c>
      <c r="D3122" s="59">
        <v>1.0</v>
      </c>
      <c r="E3122" s="59">
        <v>1.0</v>
      </c>
      <c r="F3122" s="59">
        <v>0.0</v>
      </c>
      <c r="G3122" s="60">
        <v>1.0</v>
      </c>
      <c r="H3122" s="60">
        <v>0.0</v>
      </c>
      <c r="I3122" s="60">
        <v>348.251896</v>
      </c>
      <c r="J3122" s="59">
        <v>2.0</v>
      </c>
      <c r="K3122" s="61">
        <f t="shared" si="1"/>
        <v>0</v>
      </c>
      <c r="L3122" s="62">
        <f t="shared" si="2"/>
        <v>2</v>
      </c>
    </row>
    <row r="3123">
      <c r="A3123" s="58">
        <v>45931.0</v>
      </c>
      <c r="B3123" s="24" t="s">
        <v>6789</v>
      </c>
      <c r="C3123" s="24" t="s">
        <v>6920</v>
      </c>
      <c r="D3123" s="59">
        <v>1.0</v>
      </c>
      <c r="E3123" s="59">
        <v>1.0</v>
      </c>
      <c r="F3123" s="59">
        <v>1.0</v>
      </c>
      <c r="G3123" s="60">
        <v>1.0</v>
      </c>
      <c r="H3123" s="60">
        <v>0.0</v>
      </c>
      <c r="I3123" s="60">
        <v>326.4684</v>
      </c>
      <c r="J3123" s="59">
        <v>3.0</v>
      </c>
      <c r="K3123" s="61">
        <f t="shared" si="1"/>
        <v>1</v>
      </c>
      <c r="L3123" s="62">
        <f t="shared" si="2"/>
        <v>3</v>
      </c>
    </row>
    <row r="3124">
      <c r="A3124" s="58">
        <v>45931.0</v>
      </c>
      <c r="B3124" s="24" t="s">
        <v>155</v>
      </c>
      <c r="C3124" s="24" t="s">
        <v>6920</v>
      </c>
      <c r="D3124" s="59">
        <v>1.0</v>
      </c>
      <c r="E3124" s="59">
        <v>1.0</v>
      </c>
      <c r="F3124" s="59">
        <v>1.0</v>
      </c>
      <c r="G3124" s="60">
        <v>1.0</v>
      </c>
      <c r="H3124" s="60">
        <v>0.0</v>
      </c>
      <c r="I3124" s="60">
        <v>51.283607</v>
      </c>
      <c r="J3124" s="59">
        <v>4.0</v>
      </c>
      <c r="K3124" s="61">
        <f t="shared" si="1"/>
        <v>1</v>
      </c>
      <c r="L3124" s="62">
        <f t="shared" si="2"/>
        <v>4</v>
      </c>
    </row>
    <row r="3125">
      <c r="A3125" s="58">
        <v>45931.0</v>
      </c>
      <c r="B3125" s="24" t="s">
        <v>6789</v>
      </c>
      <c r="C3125" s="24" t="s">
        <v>6921</v>
      </c>
      <c r="D3125" s="59">
        <v>1.0</v>
      </c>
      <c r="E3125" s="59">
        <v>2.0</v>
      </c>
      <c r="F3125" s="59">
        <v>0.0</v>
      </c>
      <c r="G3125" s="60">
        <v>2.0</v>
      </c>
      <c r="H3125" s="60">
        <v>1.0</v>
      </c>
      <c r="I3125" s="60">
        <v>0.0</v>
      </c>
      <c r="J3125" s="59">
        <v>2.0</v>
      </c>
      <c r="K3125" s="61">
        <f t="shared" si="1"/>
        <v>0</v>
      </c>
      <c r="L3125" s="62">
        <f t="shared" si="2"/>
        <v>1</v>
      </c>
    </row>
    <row r="3126">
      <c r="A3126" s="58">
        <v>45931.0</v>
      </c>
      <c r="B3126" s="24" t="s">
        <v>155</v>
      </c>
      <c r="C3126" s="24" t="s">
        <v>6853</v>
      </c>
      <c r="D3126" s="59">
        <v>1.0</v>
      </c>
      <c r="E3126" s="59">
        <v>1.0</v>
      </c>
      <c r="F3126" s="59">
        <v>0.0</v>
      </c>
      <c r="G3126" s="60">
        <v>1.0</v>
      </c>
      <c r="H3126" s="60">
        <v>0.0</v>
      </c>
      <c r="I3126" s="60">
        <v>1488.838719</v>
      </c>
      <c r="J3126" s="59">
        <v>7.0</v>
      </c>
      <c r="K3126" s="61">
        <f t="shared" si="1"/>
        <v>0</v>
      </c>
      <c r="L3126" s="62">
        <f t="shared" si="2"/>
        <v>7</v>
      </c>
    </row>
    <row r="3127">
      <c r="A3127" s="58">
        <v>45931.0</v>
      </c>
      <c r="B3127" s="24" t="s">
        <v>6791</v>
      </c>
      <c r="C3127" s="24" t="s">
        <v>6922</v>
      </c>
      <c r="D3127" s="59">
        <v>1.0</v>
      </c>
      <c r="E3127" s="59">
        <v>1.0</v>
      </c>
      <c r="F3127" s="59">
        <v>0.0</v>
      </c>
      <c r="G3127" s="60">
        <v>1.0</v>
      </c>
      <c r="H3127" s="60">
        <v>0.0</v>
      </c>
      <c r="I3127" s="60">
        <v>99.818608</v>
      </c>
      <c r="J3127" s="59">
        <v>2.0</v>
      </c>
      <c r="K3127" s="61">
        <f t="shared" si="1"/>
        <v>0</v>
      </c>
      <c r="L3127" s="62">
        <f t="shared" si="2"/>
        <v>2</v>
      </c>
    </row>
    <row r="3128">
      <c r="A3128" s="58">
        <v>45931.0</v>
      </c>
      <c r="B3128" s="24" t="s">
        <v>6789</v>
      </c>
      <c r="C3128" s="24" t="s">
        <v>7047</v>
      </c>
      <c r="D3128" s="59">
        <v>1.0</v>
      </c>
      <c r="E3128" s="59">
        <v>1.0</v>
      </c>
      <c r="F3128" s="59">
        <v>1.0</v>
      </c>
      <c r="G3128" s="60">
        <v>1.0</v>
      </c>
      <c r="H3128" s="60">
        <v>1.0</v>
      </c>
      <c r="I3128" s="60">
        <v>0.0</v>
      </c>
      <c r="J3128" s="59">
        <v>1.0</v>
      </c>
      <c r="K3128" s="61">
        <f t="shared" si="1"/>
        <v>1</v>
      </c>
      <c r="L3128" s="62">
        <f t="shared" si="2"/>
        <v>1</v>
      </c>
    </row>
    <row r="3129">
      <c r="A3129" s="58">
        <v>45931.0</v>
      </c>
      <c r="B3129" s="24" t="s">
        <v>3216</v>
      </c>
      <c r="C3129" s="24" t="s">
        <v>6797</v>
      </c>
      <c r="D3129" s="59">
        <v>1.0</v>
      </c>
      <c r="E3129" s="59">
        <v>1.0</v>
      </c>
      <c r="F3129" s="59">
        <v>0.0</v>
      </c>
      <c r="G3129" s="60">
        <v>1.0</v>
      </c>
      <c r="H3129" s="60">
        <v>0.0</v>
      </c>
      <c r="I3129" s="60">
        <v>17.994156</v>
      </c>
      <c r="J3129" s="59">
        <v>1.0</v>
      </c>
      <c r="K3129" s="61">
        <f t="shared" si="1"/>
        <v>0</v>
      </c>
      <c r="L3129" s="62">
        <f t="shared" si="2"/>
        <v>1</v>
      </c>
    </row>
    <row r="3130">
      <c r="A3130" s="58">
        <v>45931.0</v>
      </c>
      <c r="B3130" s="24" t="s">
        <v>6794</v>
      </c>
      <c r="C3130" s="24" t="s">
        <v>6797</v>
      </c>
      <c r="D3130" s="59">
        <v>1.0</v>
      </c>
      <c r="E3130" s="59">
        <v>4.0</v>
      </c>
      <c r="F3130" s="59">
        <v>1.0</v>
      </c>
      <c r="G3130" s="60">
        <v>4.0</v>
      </c>
      <c r="H3130" s="60">
        <v>0.75</v>
      </c>
      <c r="I3130" s="60">
        <v>25.8149855</v>
      </c>
      <c r="J3130" s="59">
        <v>4.0</v>
      </c>
      <c r="K3130" s="61">
        <f t="shared" si="1"/>
        <v>0.25</v>
      </c>
      <c r="L3130" s="62">
        <f t="shared" si="2"/>
        <v>1</v>
      </c>
    </row>
    <row r="3131">
      <c r="A3131" s="58">
        <v>45931.0</v>
      </c>
      <c r="B3131" s="24" t="s">
        <v>6789</v>
      </c>
      <c r="C3131" s="24" t="s">
        <v>7246</v>
      </c>
      <c r="D3131" s="59">
        <v>1.0</v>
      </c>
      <c r="E3131" s="59">
        <v>2.0</v>
      </c>
      <c r="F3131" s="59">
        <v>0.0</v>
      </c>
      <c r="G3131" s="60">
        <v>2.0</v>
      </c>
      <c r="H3131" s="60">
        <v>0.5</v>
      </c>
      <c r="I3131" s="60">
        <v>338.014598</v>
      </c>
      <c r="J3131" s="59">
        <v>4.0</v>
      </c>
      <c r="K3131" s="61">
        <f t="shared" si="1"/>
        <v>0</v>
      </c>
      <c r="L3131" s="62">
        <f t="shared" si="2"/>
        <v>2</v>
      </c>
    </row>
    <row r="3132">
      <c r="A3132" s="58">
        <v>45931.0</v>
      </c>
      <c r="B3132" s="24" t="s">
        <v>155</v>
      </c>
      <c r="C3132" s="24" t="s">
        <v>6962</v>
      </c>
      <c r="D3132" s="59">
        <v>1.0</v>
      </c>
      <c r="E3132" s="59">
        <v>1.0</v>
      </c>
      <c r="F3132" s="59">
        <v>0.0</v>
      </c>
      <c r="G3132" s="60">
        <v>1.0</v>
      </c>
      <c r="H3132" s="60">
        <v>0.0</v>
      </c>
      <c r="I3132" s="60">
        <v>294.423077</v>
      </c>
      <c r="J3132" s="59">
        <v>2.0</v>
      </c>
      <c r="K3132" s="61">
        <f t="shared" si="1"/>
        <v>0</v>
      </c>
      <c r="L3132" s="62">
        <f t="shared" si="2"/>
        <v>2</v>
      </c>
    </row>
    <row r="3133">
      <c r="A3133" s="58">
        <v>45931.0</v>
      </c>
      <c r="B3133" s="24" t="s">
        <v>6787</v>
      </c>
      <c r="C3133" s="24" t="s">
        <v>7235</v>
      </c>
      <c r="D3133" s="59">
        <v>1.0</v>
      </c>
      <c r="E3133" s="59">
        <v>1.0</v>
      </c>
      <c r="F3133" s="59">
        <v>0.0</v>
      </c>
      <c r="G3133" s="60">
        <v>1.0</v>
      </c>
      <c r="H3133" s="60">
        <v>1.0</v>
      </c>
      <c r="I3133" s="60">
        <v>4.890971</v>
      </c>
      <c r="J3133" s="59">
        <v>1.0</v>
      </c>
      <c r="K3133" s="61">
        <f t="shared" si="1"/>
        <v>0</v>
      </c>
      <c r="L3133" s="62">
        <f t="shared" si="2"/>
        <v>1</v>
      </c>
    </row>
    <row r="3134">
      <c r="A3134" s="58">
        <v>45931.0</v>
      </c>
      <c r="B3134" s="24" t="s">
        <v>6790</v>
      </c>
      <c r="C3134" s="24" t="s">
        <v>6854</v>
      </c>
      <c r="D3134" s="59">
        <v>1.0</v>
      </c>
      <c r="E3134" s="59">
        <v>1.0</v>
      </c>
      <c r="F3134" s="59">
        <v>0.0</v>
      </c>
      <c r="G3134" s="60">
        <v>1.0</v>
      </c>
      <c r="H3134" s="60">
        <v>1.0</v>
      </c>
      <c r="I3134" s="60">
        <v>36.316928</v>
      </c>
      <c r="J3134" s="59">
        <v>3.0</v>
      </c>
      <c r="K3134" s="61">
        <f t="shared" si="1"/>
        <v>0</v>
      </c>
      <c r="L3134" s="62">
        <f t="shared" si="2"/>
        <v>3</v>
      </c>
    </row>
    <row r="3135">
      <c r="A3135" s="58">
        <v>45931.0</v>
      </c>
      <c r="B3135" s="24" t="s">
        <v>6787</v>
      </c>
      <c r="C3135" s="24" t="s">
        <v>7183</v>
      </c>
      <c r="D3135" s="59">
        <v>1.0</v>
      </c>
      <c r="E3135" s="59">
        <v>1.0</v>
      </c>
      <c r="F3135" s="59">
        <v>1.0</v>
      </c>
      <c r="G3135" s="60">
        <v>1.0</v>
      </c>
      <c r="H3135" s="60">
        <v>1.0</v>
      </c>
      <c r="I3135" s="60">
        <v>4.275793</v>
      </c>
      <c r="J3135" s="59">
        <v>1.0</v>
      </c>
      <c r="K3135" s="61">
        <f t="shared" si="1"/>
        <v>1</v>
      </c>
      <c r="L3135" s="62">
        <f t="shared" si="2"/>
        <v>1</v>
      </c>
    </row>
    <row r="3136">
      <c r="A3136" s="58">
        <v>45931.0</v>
      </c>
      <c r="B3136" s="24" t="s">
        <v>155</v>
      </c>
      <c r="C3136" s="24" t="s">
        <v>6924</v>
      </c>
      <c r="D3136" s="59">
        <v>1.0</v>
      </c>
      <c r="E3136" s="59">
        <v>1.0</v>
      </c>
      <c r="F3136" s="59">
        <v>1.0</v>
      </c>
      <c r="G3136" s="60">
        <v>1.0</v>
      </c>
      <c r="H3136" s="60">
        <v>0.0</v>
      </c>
      <c r="I3136" s="60">
        <v>102.8177</v>
      </c>
      <c r="J3136" s="59">
        <v>3.0</v>
      </c>
      <c r="K3136" s="61">
        <f t="shared" si="1"/>
        <v>1</v>
      </c>
      <c r="L3136" s="62">
        <f t="shared" si="2"/>
        <v>3</v>
      </c>
    </row>
    <row r="3137">
      <c r="A3137" s="58">
        <v>45931.0</v>
      </c>
      <c r="B3137" s="24" t="s">
        <v>6794</v>
      </c>
      <c r="C3137" s="24" t="s">
        <v>6802</v>
      </c>
      <c r="D3137" s="59">
        <v>1.0</v>
      </c>
      <c r="E3137" s="59">
        <v>1.0</v>
      </c>
      <c r="F3137" s="59">
        <v>0.0</v>
      </c>
      <c r="G3137" s="60">
        <v>1.0</v>
      </c>
      <c r="H3137" s="60">
        <v>0.0</v>
      </c>
      <c r="I3137" s="60">
        <v>310.231016</v>
      </c>
      <c r="J3137" s="59">
        <v>3.0</v>
      </c>
      <c r="K3137" s="61">
        <f t="shared" si="1"/>
        <v>0</v>
      </c>
      <c r="L3137" s="62">
        <f t="shared" si="2"/>
        <v>3</v>
      </c>
    </row>
    <row r="3138">
      <c r="A3138" s="58">
        <v>45931.0</v>
      </c>
      <c r="B3138" s="24" t="s">
        <v>6787</v>
      </c>
      <c r="C3138" s="24" t="s">
        <v>7314</v>
      </c>
      <c r="D3138" s="59">
        <v>1.0</v>
      </c>
      <c r="E3138" s="59">
        <v>1.0</v>
      </c>
      <c r="F3138" s="59">
        <v>1.0</v>
      </c>
      <c r="G3138" s="60">
        <v>1.0</v>
      </c>
      <c r="H3138" s="60">
        <v>0.0</v>
      </c>
      <c r="I3138" s="60">
        <v>27.871312</v>
      </c>
      <c r="J3138" s="59">
        <v>5.0</v>
      </c>
      <c r="K3138" s="61">
        <f t="shared" si="1"/>
        <v>1</v>
      </c>
      <c r="L3138" s="62">
        <f t="shared" si="2"/>
        <v>5</v>
      </c>
    </row>
    <row r="3139">
      <c r="A3139" s="58">
        <v>45931.0</v>
      </c>
      <c r="B3139" s="24" t="s">
        <v>6787</v>
      </c>
      <c r="C3139" s="24" t="s">
        <v>7315</v>
      </c>
      <c r="D3139" s="59">
        <v>1.0</v>
      </c>
      <c r="E3139" s="59">
        <v>1.0</v>
      </c>
      <c r="F3139" s="59">
        <v>1.0</v>
      </c>
      <c r="G3139" s="60">
        <v>1.0</v>
      </c>
      <c r="H3139" s="60">
        <v>1.0</v>
      </c>
      <c r="I3139" s="60">
        <v>1.635786</v>
      </c>
      <c r="J3139" s="59">
        <v>1.0</v>
      </c>
      <c r="K3139" s="61">
        <f t="shared" si="1"/>
        <v>1</v>
      </c>
      <c r="L3139" s="62">
        <f t="shared" si="2"/>
        <v>1</v>
      </c>
    </row>
    <row r="3140">
      <c r="A3140" s="58">
        <v>45931.0</v>
      </c>
      <c r="B3140" s="24" t="s">
        <v>6787</v>
      </c>
      <c r="C3140" s="24" t="s">
        <v>7316</v>
      </c>
      <c r="D3140" s="59">
        <v>1.0</v>
      </c>
      <c r="E3140" s="59">
        <v>1.0</v>
      </c>
      <c r="F3140" s="59">
        <v>1.0</v>
      </c>
      <c r="G3140" s="60">
        <v>1.0</v>
      </c>
      <c r="H3140" s="60">
        <v>1.0</v>
      </c>
      <c r="I3140" s="60">
        <v>2.155804</v>
      </c>
      <c r="J3140" s="59">
        <v>1.0</v>
      </c>
      <c r="K3140" s="61">
        <f t="shared" si="1"/>
        <v>1</v>
      </c>
      <c r="L3140" s="62">
        <f t="shared" si="2"/>
        <v>1</v>
      </c>
    </row>
    <row r="3141">
      <c r="A3141" s="58">
        <v>45931.0</v>
      </c>
      <c r="B3141" s="24" t="s">
        <v>6787</v>
      </c>
      <c r="C3141" s="24" t="s">
        <v>7317</v>
      </c>
      <c r="D3141" s="59">
        <v>1.0</v>
      </c>
      <c r="E3141" s="59">
        <v>1.0</v>
      </c>
      <c r="F3141" s="59">
        <v>1.0</v>
      </c>
      <c r="G3141" s="60">
        <v>1.0</v>
      </c>
      <c r="H3141" s="60">
        <v>1.0</v>
      </c>
      <c r="I3141" s="60">
        <v>6.204768</v>
      </c>
      <c r="J3141" s="59">
        <v>1.0</v>
      </c>
      <c r="K3141" s="61">
        <f t="shared" si="1"/>
        <v>1</v>
      </c>
      <c r="L3141" s="62">
        <f t="shared" si="2"/>
        <v>1</v>
      </c>
    </row>
    <row r="3142">
      <c r="A3142" s="58">
        <v>45931.0</v>
      </c>
      <c r="B3142" s="24" t="s">
        <v>6787</v>
      </c>
      <c r="C3142" s="24" t="s">
        <v>7318</v>
      </c>
      <c r="D3142" s="59">
        <v>1.0</v>
      </c>
      <c r="E3142" s="59">
        <v>1.0</v>
      </c>
      <c r="F3142" s="59">
        <v>1.0</v>
      </c>
      <c r="G3142" s="60">
        <v>1.0</v>
      </c>
      <c r="H3142" s="60">
        <v>1.0</v>
      </c>
      <c r="I3142" s="60">
        <v>1.774138</v>
      </c>
      <c r="J3142" s="59">
        <v>1.0</v>
      </c>
      <c r="K3142" s="61">
        <f t="shared" si="1"/>
        <v>1</v>
      </c>
      <c r="L3142" s="62">
        <f t="shared" si="2"/>
        <v>1</v>
      </c>
    </row>
    <row r="3143">
      <c r="A3143" s="58">
        <v>45931.0</v>
      </c>
      <c r="B3143" s="24" t="s">
        <v>6787</v>
      </c>
      <c r="C3143" s="24" t="s">
        <v>7319</v>
      </c>
      <c r="D3143" s="59">
        <v>1.0</v>
      </c>
      <c r="E3143" s="59">
        <v>1.0</v>
      </c>
      <c r="F3143" s="59">
        <v>1.0</v>
      </c>
      <c r="G3143" s="60">
        <v>1.0</v>
      </c>
      <c r="H3143" s="60">
        <v>1.0</v>
      </c>
      <c r="I3143" s="60">
        <v>6.078043</v>
      </c>
      <c r="J3143" s="59">
        <v>1.0</v>
      </c>
      <c r="K3143" s="61">
        <f t="shared" si="1"/>
        <v>1</v>
      </c>
      <c r="L3143" s="62">
        <f t="shared" si="2"/>
        <v>1</v>
      </c>
    </row>
    <row r="3144">
      <c r="A3144" s="58">
        <v>45901.0</v>
      </c>
      <c r="B3144" s="24" t="s">
        <v>6789</v>
      </c>
      <c r="C3144" s="24" t="s">
        <v>6788</v>
      </c>
      <c r="D3144" s="59">
        <v>836.0</v>
      </c>
      <c r="E3144" s="59">
        <v>1113.0</v>
      </c>
      <c r="F3144" s="59">
        <v>694.0</v>
      </c>
      <c r="G3144" s="60">
        <v>1.36397058823529</v>
      </c>
      <c r="H3144" s="60">
        <v>0.50314465408805</v>
      </c>
      <c r="I3144" s="60">
        <v>179.651377320754</v>
      </c>
      <c r="J3144" s="59">
        <v>1861.0</v>
      </c>
      <c r="K3144" s="61">
        <f t="shared" si="1"/>
        <v>0.623539982</v>
      </c>
      <c r="L3144" s="62">
        <f t="shared" si="2"/>
        <v>1.672057502</v>
      </c>
    </row>
    <row r="3145">
      <c r="A3145" s="58">
        <v>45901.0</v>
      </c>
      <c r="B3145" s="24" t="s">
        <v>6787</v>
      </c>
      <c r="C3145" s="24" t="s">
        <v>6788</v>
      </c>
      <c r="D3145" s="59">
        <v>809.0</v>
      </c>
      <c r="E3145" s="59">
        <v>1008.0</v>
      </c>
      <c r="F3145" s="59">
        <v>754.0</v>
      </c>
      <c r="G3145" s="60">
        <v>1.25529265255292</v>
      </c>
      <c r="H3145" s="60">
        <v>0.680555555555555</v>
      </c>
      <c r="I3145" s="60">
        <v>61.9547118462301</v>
      </c>
      <c r="J3145" s="59">
        <v>1413.0</v>
      </c>
      <c r="K3145" s="61">
        <f t="shared" si="1"/>
        <v>0.748015873</v>
      </c>
      <c r="L3145" s="62">
        <f t="shared" si="2"/>
        <v>1.401785714</v>
      </c>
    </row>
    <row r="3146">
      <c r="A3146" s="58">
        <v>45901.0</v>
      </c>
      <c r="B3146" s="24" t="s">
        <v>6789</v>
      </c>
      <c r="C3146" s="24" t="s">
        <v>6792</v>
      </c>
      <c r="D3146" s="59">
        <v>204.0</v>
      </c>
      <c r="E3146" s="59">
        <v>243.0</v>
      </c>
      <c r="F3146" s="59">
        <v>0.0</v>
      </c>
      <c r="G3146" s="60">
        <v>1.91338582677165</v>
      </c>
      <c r="H3146" s="60">
        <v>0.983539094650205</v>
      </c>
      <c r="I3146" s="60">
        <v>5.3162216419753</v>
      </c>
      <c r="J3146" s="59">
        <v>0.0</v>
      </c>
      <c r="K3146" s="61">
        <f t="shared" si="1"/>
        <v>0</v>
      </c>
      <c r="L3146" s="62">
        <f t="shared" si="2"/>
        <v>0</v>
      </c>
    </row>
    <row r="3147">
      <c r="A3147" s="58">
        <v>45901.0</v>
      </c>
      <c r="B3147" s="24" t="s">
        <v>6791</v>
      </c>
      <c r="C3147" s="24" t="s">
        <v>7021</v>
      </c>
      <c r="D3147" s="59">
        <v>181.0</v>
      </c>
      <c r="E3147" s="59">
        <v>202.0</v>
      </c>
      <c r="F3147" s="59">
        <v>141.0</v>
      </c>
      <c r="G3147" s="60">
        <v>1.12849162011173</v>
      </c>
      <c r="H3147" s="60">
        <v>0.455445544554455</v>
      </c>
      <c r="I3147" s="60">
        <v>165.494778816831</v>
      </c>
      <c r="J3147" s="59">
        <v>354.0</v>
      </c>
      <c r="K3147" s="61">
        <f t="shared" si="1"/>
        <v>0.698019802</v>
      </c>
      <c r="L3147" s="62">
        <f t="shared" si="2"/>
        <v>1.752475248</v>
      </c>
    </row>
    <row r="3148">
      <c r="A3148" s="58">
        <v>45901.0</v>
      </c>
      <c r="B3148" s="24" t="s">
        <v>155</v>
      </c>
      <c r="C3148" s="24" t="s">
        <v>6788</v>
      </c>
      <c r="D3148" s="59">
        <v>170.0</v>
      </c>
      <c r="E3148" s="59">
        <v>361.0</v>
      </c>
      <c r="F3148" s="59">
        <v>108.0</v>
      </c>
      <c r="G3148" s="60">
        <v>2.17469879518072</v>
      </c>
      <c r="H3148" s="60">
        <v>0.648199445983379</v>
      </c>
      <c r="I3148" s="60">
        <v>85.9340713047091</v>
      </c>
      <c r="J3148" s="59">
        <v>484.0</v>
      </c>
      <c r="K3148" s="61">
        <f t="shared" si="1"/>
        <v>0.2991689751</v>
      </c>
      <c r="L3148" s="62">
        <f t="shared" si="2"/>
        <v>1.340720222</v>
      </c>
    </row>
    <row r="3149">
      <c r="A3149" s="58">
        <v>45901.0</v>
      </c>
      <c r="B3149" s="24" t="s">
        <v>6794</v>
      </c>
      <c r="C3149" s="24" t="s">
        <v>6788</v>
      </c>
      <c r="D3149" s="59">
        <v>109.0</v>
      </c>
      <c r="E3149" s="59">
        <v>121.0</v>
      </c>
      <c r="F3149" s="59">
        <v>100.0</v>
      </c>
      <c r="G3149" s="60">
        <v>1.14150943396226</v>
      </c>
      <c r="H3149" s="60">
        <v>0.388429752066115</v>
      </c>
      <c r="I3149" s="60">
        <v>129.845191016528</v>
      </c>
      <c r="J3149" s="59">
        <v>208.0</v>
      </c>
      <c r="K3149" s="61">
        <f t="shared" si="1"/>
        <v>0.826446281</v>
      </c>
      <c r="L3149" s="62">
        <f t="shared" si="2"/>
        <v>1.719008264</v>
      </c>
    </row>
    <row r="3150">
      <c r="A3150" s="58">
        <v>45901.0</v>
      </c>
      <c r="B3150" s="24" t="s">
        <v>6787</v>
      </c>
      <c r="C3150" s="24" t="s">
        <v>6792</v>
      </c>
      <c r="D3150" s="59">
        <v>61.0</v>
      </c>
      <c r="E3150" s="59">
        <v>82.0</v>
      </c>
      <c r="F3150" s="59">
        <v>0.0</v>
      </c>
      <c r="G3150" s="60">
        <v>1.90697674418604</v>
      </c>
      <c r="H3150" s="60">
        <v>0.98780487804878</v>
      </c>
      <c r="I3150" s="60">
        <v>17.4941752804878</v>
      </c>
      <c r="J3150" s="59">
        <v>0.0</v>
      </c>
      <c r="K3150" s="61">
        <f t="shared" si="1"/>
        <v>0</v>
      </c>
      <c r="L3150" s="62">
        <f t="shared" si="2"/>
        <v>0</v>
      </c>
    </row>
    <row r="3151">
      <c r="A3151" s="58">
        <v>45901.0</v>
      </c>
      <c r="B3151" s="24" t="s">
        <v>6787</v>
      </c>
      <c r="C3151" s="24" t="s">
        <v>6886</v>
      </c>
      <c r="D3151" s="59">
        <v>52.0</v>
      </c>
      <c r="E3151" s="59">
        <v>56.0</v>
      </c>
      <c r="F3151" s="59">
        <v>50.0</v>
      </c>
      <c r="G3151" s="60">
        <v>1.07692307692307</v>
      </c>
      <c r="H3151" s="60">
        <v>0.678571428571428</v>
      </c>
      <c r="I3151" s="60">
        <v>75.2296330714285</v>
      </c>
      <c r="J3151" s="59">
        <v>69.0</v>
      </c>
      <c r="K3151" s="61">
        <f t="shared" si="1"/>
        <v>0.8928571429</v>
      </c>
      <c r="L3151" s="62">
        <f t="shared" si="2"/>
        <v>1.232142857</v>
      </c>
    </row>
    <row r="3152">
      <c r="A3152" s="58">
        <v>45901.0</v>
      </c>
      <c r="B3152" s="24" t="s">
        <v>3216</v>
      </c>
      <c r="C3152" s="24" t="s">
        <v>6883</v>
      </c>
      <c r="D3152" s="59">
        <v>50.0</v>
      </c>
      <c r="E3152" s="59">
        <v>51.0</v>
      </c>
      <c r="F3152" s="59">
        <v>48.0</v>
      </c>
      <c r="G3152" s="60">
        <v>1.04081632653061</v>
      </c>
      <c r="H3152" s="60">
        <v>0.784313725490196</v>
      </c>
      <c r="I3152" s="60">
        <v>48.9499800392156</v>
      </c>
      <c r="J3152" s="59">
        <v>71.0</v>
      </c>
      <c r="K3152" s="61">
        <f t="shared" si="1"/>
        <v>0.9411764706</v>
      </c>
      <c r="L3152" s="62">
        <f t="shared" si="2"/>
        <v>1.392156863</v>
      </c>
    </row>
    <row r="3153">
      <c r="A3153" s="58">
        <v>45901.0</v>
      </c>
      <c r="B3153" s="24" t="s">
        <v>3216</v>
      </c>
      <c r="C3153" s="24" t="s">
        <v>6862</v>
      </c>
      <c r="D3153" s="59">
        <v>44.0</v>
      </c>
      <c r="E3153" s="59">
        <v>44.0</v>
      </c>
      <c r="F3153" s="59">
        <v>43.0</v>
      </c>
      <c r="G3153" s="60">
        <v>1.0</v>
      </c>
      <c r="H3153" s="60">
        <v>0.795454545454545</v>
      </c>
      <c r="I3153" s="60">
        <v>9.58606336363636</v>
      </c>
      <c r="J3153" s="59">
        <v>55.0</v>
      </c>
      <c r="K3153" s="61">
        <f t="shared" si="1"/>
        <v>0.9772727273</v>
      </c>
      <c r="L3153" s="62">
        <f t="shared" si="2"/>
        <v>1.25</v>
      </c>
    </row>
    <row r="3154">
      <c r="A3154" s="58">
        <v>45901.0</v>
      </c>
      <c r="B3154" s="24" t="s">
        <v>155</v>
      </c>
      <c r="C3154" s="24" t="s">
        <v>6792</v>
      </c>
      <c r="D3154" s="59">
        <v>42.0</v>
      </c>
      <c r="E3154" s="59">
        <v>52.0</v>
      </c>
      <c r="F3154" s="59">
        <v>0.0</v>
      </c>
      <c r="G3154" s="60">
        <v>1.92592592592592</v>
      </c>
      <c r="H3154" s="60">
        <v>1.0</v>
      </c>
      <c r="I3154" s="60">
        <v>0.170464173076923</v>
      </c>
      <c r="J3154" s="59">
        <v>0.0</v>
      </c>
      <c r="K3154" s="61">
        <f t="shared" si="1"/>
        <v>0</v>
      </c>
      <c r="L3154" s="62">
        <f t="shared" si="2"/>
        <v>0</v>
      </c>
    </row>
    <row r="3155">
      <c r="A3155" s="58">
        <v>45901.0</v>
      </c>
      <c r="B3155" s="24" t="s">
        <v>6791</v>
      </c>
      <c r="C3155" s="24" t="s">
        <v>6792</v>
      </c>
      <c r="D3155" s="59">
        <v>39.0</v>
      </c>
      <c r="E3155" s="59">
        <v>41.0</v>
      </c>
      <c r="F3155" s="59">
        <v>0.0</v>
      </c>
      <c r="G3155" s="60">
        <v>1.51851851851851</v>
      </c>
      <c r="H3155" s="60">
        <v>0.975609756097561</v>
      </c>
      <c r="I3155" s="60">
        <v>2.34176095121951</v>
      </c>
      <c r="J3155" s="59">
        <v>0.0</v>
      </c>
      <c r="K3155" s="61">
        <f t="shared" si="1"/>
        <v>0</v>
      </c>
      <c r="L3155" s="62">
        <f t="shared" si="2"/>
        <v>0</v>
      </c>
    </row>
    <row r="3156">
      <c r="A3156" s="58">
        <v>45901.0</v>
      </c>
      <c r="B3156" s="24" t="s">
        <v>6791</v>
      </c>
      <c r="C3156" s="24" t="s">
        <v>7125</v>
      </c>
      <c r="D3156" s="59">
        <v>35.0</v>
      </c>
      <c r="E3156" s="59">
        <v>42.0</v>
      </c>
      <c r="F3156" s="59">
        <v>33.0</v>
      </c>
      <c r="G3156" s="60">
        <v>1.2</v>
      </c>
      <c r="H3156" s="60">
        <v>0.595238095238095</v>
      </c>
      <c r="I3156" s="60">
        <v>222.230678357142</v>
      </c>
      <c r="J3156" s="59">
        <v>65.0</v>
      </c>
      <c r="K3156" s="61">
        <f t="shared" si="1"/>
        <v>0.7857142857</v>
      </c>
      <c r="L3156" s="62">
        <f t="shared" si="2"/>
        <v>1.547619048</v>
      </c>
    </row>
    <row r="3157">
      <c r="A3157" s="58">
        <v>45901.0</v>
      </c>
      <c r="B3157" s="24" t="s">
        <v>3216</v>
      </c>
      <c r="C3157" s="24" t="s">
        <v>6817</v>
      </c>
      <c r="D3157" s="59">
        <v>34.0</v>
      </c>
      <c r="E3157" s="59">
        <v>34.0</v>
      </c>
      <c r="F3157" s="59">
        <v>33.0</v>
      </c>
      <c r="G3157" s="60">
        <v>1.03030303030303</v>
      </c>
      <c r="H3157" s="60">
        <v>0.558823529411764</v>
      </c>
      <c r="I3157" s="60">
        <v>5.06476997058823</v>
      </c>
      <c r="J3157" s="59">
        <v>64.0</v>
      </c>
      <c r="K3157" s="61">
        <f t="shared" si="1"/>
        <v>0.9705882353</v>
      </c>
      <c r="L3157" s="62">
        <f t="shared" si="2"/>
        <v>1.882352941</v>
      </c>
    </row>
    <row r="3158">
      <c r="A3158" s="58">
        <v>45901.0</v>
      </c>
      <c r="B3158" s="24" t="s">
        <v>6787</v>
      </c>
      <c r="C3158" s="24" t="s">
        <v>6917</v>
      </c>
      <c r="D3158" s="59">
        <v>32.0</v>
      </c>
      <c r="E3158" s="59">
        <v>33.0</v>
      </c>
      <c r="F3158" s="59">
        <v>32.0</v>
      </c>
      <c r="G3158" s="60">
        <v>1.03125</v>
      </c>
      <c r="H3158" s="60">
        <v>0.545454545454545</v>
      </c>
      <c r="I3158" s="60">
        <v>11.3125854848484</v>
      </c>
      <c r="J3158" s="59">
        <v>54.0</v>
      </c>
      <c r="K3158" s="61">
        <f t="shared" si="1"/>
        <v>0.9696969697</v>
      </c>
      <c r="L3158" s="62">
        <f t="shared" si="2"/>
        <v>1.636363636</v>
      </c>
    </row>
    <row r="3159">
      <c r="A3159" s="58">
        <v>45901.0</v>
      </c>
      <c r="B3159" s="24" t="s">
        <v>6789</v>
      </c>
      <c r="C3159" s="24" t="s">
        <v>6809</v>
      </c>
      <c r="D3159" s="59">
        <v>30.0</v>
      </c>
      <c r="E3159" s="59">
        <v>34.0</v>
      </c>
      <c r="F3159" s="59">
        <v>26.0</v>
      </c>
      <c r="G3159" s="60">
        <v>1.21428571428571</v>
      </c>
      <c r="H3159" s="60">
        <v>0.441176470588235</v>
      </c>
      <c r="I3159" s="60">
        <v>60.9881248529411</v>
      </c>
      <c r="J3159" s="59">
        <v>49.0</v>
      </c>
      <c r="K3159" s="61">
        <f t="shared" si="1"/>
        <v>0.7647058824</v>
      </c>
      <c r="L3159" s="62">
        <f t="shared" si="2"/>
        <v>1.441176471</v>
      </c>
    </row>
    <row r="3160">
      <c r="A3160" s="58">
        <v>45901.0</v>
      </c>
      <c r="B3160" s="24" t="s">
        <v>6789</v>
      </c>
      <c r="C3160" s="24" t="s">
        <v>6815</v>
      </c>
      <c r="D3160" s="59">
        <v>30.0</v>
      </c>
      <c r="E3160" s="59">
        <v>32.0</v>
      </c>
      <c r="F3160" s="59">
        <v>29.0</v>
      </c>
      <c r="G3160" s="60">
        <v>1.06666666666666</v>
      </c>
      <c r="H3160" s="60">
        <v>0.28125</v>
      </c>
      <c r="I3160" s="60">
        <v>105.05032315625</v>
      </c>
      <c r="J3160" s="59">
        <v>38.0</v>
      </c>
      <c r="K3160" s="61">
        <f t="shared" si="1"/>
        <v>0.90625</v>
      </c>
      <c r="L3160" s="62">
        <f t="shared" si="2"/>
        <v>1.1875</v>
      </c>
    </row>
    <row r="3161">
      <c r="A3161" s="58">
        <v>45901.0</v>
      </c>
      <c r="B3161" s="24" t="s">
        <v>6787</v>
      </c>
      <c r="C3161" s="24" t="s">
        <v>6799</v>
      </c>
      <c r="D3161" s="59">
        <v>23.0</v>
      </c>
      <c r="E3161" s="59">
        <v>26.0</v>
      </c>
      <c r="F3161" s="59">
        <v>22.0</v>
      </c>
      <c r="G3161" s="60">
        <v>1.13043478260869</v>
      </c>
      <c r="H3161" s="60">
        <v>0.461538461538461</v>
      </c>
      <c r="I3161" s="60">
        <v>27.0786339999999</v>
      </c>
      <c r="J3161" s="59">
        <v>28.0</v>
      </c>
      <c r="K3161" s="61">
        <f t="shared" si="1"/>
        <v>0.8461538462</v>
      </c>
      <c r="L3161" s="62">
        <f t="shared" si="2"/>
        <v>1.076923077</v>
      </c>
    </row>
    <row r="3162">
      <c r="A3162" s="58">
        <v>45901.0</v>
      </c>
      <c r="B3162" s="24" t="s">
        <v>6789</v>
      </c>
      <c r="C3162" s="24" t="s">
        <v>6799</v>
      </c>
      <c r="D3162" s="59">
        <v>23.0</v>
      </c>
      <c r="E3162" s="59">
        <v>29.0</v>
      </c>
      <c r="F3162" s="59">
        <v>18.0</v>
      </c>
      <c r="G3162" s="60">
        <v>1.31818181818181</v>
      </c>
      <c r="H3162" s="60">
        <v>0.379310344827586</v>
      </c>
      <c r="I3162" s="60">
        <v>284.708958310344</v>
      </c>
      <c r="J3162" s="59">
        <v>50.0</v>
      </c>
      <c r="K3162" s="61">
        <f t="shared" si="1"/>
        <v>0.6206896552</v>
      </c>
      <c r="L3162" s="62">
        <f t="shared" si="2"/>
        <v>1.724137931</v>
      </c>
    </row>
    <row r="3163">
      <c r="A3163" s="58">
        <v>45901.0</v>
      </c>
      <c r="B3163" s="24" t="s">
        <v>6789</v>
      </c>
      <c r="C3163" s="24" t="s">
        <v>6808</v>
      </c>
      <c r="D3163" s="59">
        <v>20.0</v>
      </c>
      <c r="E3163" s="59">
        <v>25.0</v>
      </c>
      <c r="F3163" s="59">
        <v>7.0</v>
      </c>
      <c r="G3163" s="60">
        <v>1.38888888888888</v>
      </c>
      <c r="H3163" s="60">
        <v>0.52</v>
      </c>
      <c r="I3163" s="60">
        <v>275.23960912</v>
      </c>
      <c r="J3163" s="59">
        <v>33.0</v>
      </c>
      <c r="K3163" s="61">
        <f t="shared" si="1"/>
        <v>0.28</v>
      </c>
      <c r="L3163" s="62">
        <f t="shared" si="2"/>
        <v>1.32</v>
      </c>
    </row>
    <row r="3164">
      <c r="A3164" s="58">
        <v>45901.0</v>
      </c>
      <c r="B3164" s="24" t="s">
        <v>6791</v>
      </c>
      <c r="C3164" s="24" t="s">
        <v>6809</v>
      </c>
      <c r="D3164" s="59">
        <v>20.0</v>
      </c>
      <c r="E3164" s="59">
        <v>20.0</v>
      </c>
      <c r="F3164" s="59">
        <v>18.0</v>
      </c>
      <c r="G3164" s="60">
        <v>1.0</v>
      </c>
      <c r="H3164" s="60">
        <v>0.35</v>
      </c>
      <c r="I3164" s="60">
        <v>168.82834665</v>
      </c>
      <c r="J3164" s="59">
        <v>31.0</v>
      </c>
      <c r="K3164" s="61">
        <f t="shared" si="1"/>
        <v>0.9</v>
      </c>
      <c r="L3164" s="62">
        <f t="shared" si="2"/>
        <v>1.55</v>
      </c>
    </row>
    <row r="3165">
      <c r="A3165" s="58">
        <v>45901.0</v>
      </c>
      <c r="B3165" s="24" t="s">
        <v>6787</v>
      </c>
      <c r="C3165" s="24" t="s">
        <v>7021</v>
      </c>
      <c r="D3165" s="59">
        <v>19.0</v>
      </c>
      <c r="E3165" s="59">
        <v>28.0</v>
      </c>
      <c r="F3165" s="59">
        <v>13.0</v>
      </c>
      <c r="G3165" s="60">
        <v>1.47368421052631</v>
      </c>
      <c r="H3165" s="60">
        <v>0.535714285714285</v>
      </c>
      <c r="I3165" s="60">
        <v>783.338870357142</v>
      </c>
      <c r="J3165" s="59">
        <v>115.0</v>
      </c>
      <c r="K3165" s="61">
        <f t="shared" si="1"/>
        <v>0.4642857143</v>
      </c>
      <c r="L3165" s="62">
        <f t="shared" si="2"/>
        <v>4.107142857</v>
      </c>
    </row>
    <row r="3166">
      <c r="A3166" s="58">
        <v>45901.0</v>
      </c>
      <c r="B3166" s="24" t="s">
        <v>6791</v>
      </c>
      <c r="C3166" s="24" t="s">
        <v>7310</v>
      </c>
      <c r="D3166" s="59">
        <v>19.0</v>
      </c>
      <c r="E3166" s="59">
        <v>19.0</v>
      </c>
      <c r="F3166" s="59">
        <v>19.0</v>
      </c>
      <c r="G3166" s="60">
        <v>1.0</v>
      </c>
      <c r="H3166" s="60">
        <v>0.526315789473684</v>
      </c>
      <c r="I3166" s="60">
        <v>97.0723228421052</v>
      </c>
      <c r="J3166" s="59">
        <v>24.0</v>
      </c>
      <c r="K3166" s="61">
        <f t="shared" si="1"/>
        <v>1</v>
      </c>
      <c r="L3166" s="62">
        <f t="shared" si="2"/>
        <v>1.263157895</v>
      </c>
    </row>
    <row r="3167">
      <c r="A3167" s="58">
        <v>45901.0</v>
      </c>
      <c r="B3167" s="24" t="s">
        <v>6794</v>
      </c>
      <c r="C3167" s="24" t="s">
        <v>6792</v>
      </c>
      <c r="D3167" s="59">
        <v>18.0</v>
      </c>
      <c r="E3167" s="59">
        <v>19.0</v>
      </c>
      <c r="F3167" s="59">
        <v>0.0</v>
      </c>
      <c r="G3167" s="60">
        <v>2.11111111111111</v>
      </c>
      <c r="H3167" s="60">
        <v>1.0</v>
      </c>
      <c r="I3167" s="60">
        <v>0.0</v>
      </c>
      <c r="J3167" s="59">
        <v>0.0</v>
      </c>
      <c r="K3167" s="61">
        <f t="shared" si="1"/>
        <v>0</v>
      </c>
      <c r="L3167" s="62">
        <f t="shared" si="2"/>
        <v>0</v>
      </c>
    </row>
    <row r="3168">
      <c r="A3168" s="58">
        <v>45901.0</v>
      </c>
      <c r="B3168" s="24" t="s">
        <v>3216</v>
      </c>
      <c r="C3168" s="24" t="s">
        <v>6886</v>
      </c>
      <c r="D3168" s="59">
        <v>18.0</v>
      </c>
      <c r="E3168" s="59">
        <v>20.0</v>
      </c>
      <c r="F3168" s="59">
        <v>17.0</v>
      </c>
      <c r="G3168" s="60">
        <v>1.11111111111111</v>
      </c>
      <c r="H3168" s="60">
        <v>0.85</v>
      </c>
      <c r="I3168" s="60">
        <v>7.8801254</v>
      </c>
      <c r="J3168" s="59">
        <v>21.0</v>
      </c>
      <c r="K3168" s="61">
        <f t="shared" si="1"/>
        <v>0.85</v>
      </c>
      <c r="L3168" s="62">
        <f t="shared" si="2"/>
        <v>1.05</v>
      </c>
    </row>
    <row r="3169">
      <c r="A3169" s="58">
        <v>45901.0</v>
      </c>
      <c r="B3169" s="24" t="s">
        <v>6787</v>
      </c>
      <c r="C3169" s="24" t="s">
        <v>6806</v>
      </c>
      <c r="D3169" s="59">
        <v>18.0</v>
      </c>
      <c r="E3169" s="59">
        <v>25.0</v>
      </c>
      <c r="F3169" s="59">
        <v>16.0</v>
      </c>
      <c r="G3169" s="60">
        <v>1.38888888888888</v>
      </c>
      <c r="H3169" s="60">
        <v>1.0</v>
      </c>
      <c r="I3169" s="60">
        <v>0.69338908</v>
      </c>
      <c r="J3169" s="59">
        <v>25.0</v>
      </c>
      <c r="K3169" s="61">
        <f t="shared" si="1"/>
        <v>0.64</v>
      </c>
      <c r="L3169" s="62">
        <f t="shared" si="2"/>
        <v>1</v>
      </c>
    </row>
    <row r="3170">
      <c r="A3170" s="58">
        <v>45901.0</v>
      </c>
      <c r="B3170" s="24" t="s">
        <v>6789</v>
      </c>
      <c r="C3170" s="24" t="s">
        <v>7024</v>
      </c>
      <c r="D3170" s="59">
        <v>17.0</v>
      </c>
      <c r="E3170" s="59">
        <v>19.0</v>
      </c>
      <c r="F3170" s="59">
        <v>16.0</v>
      </c>
      <c r="G3170" s="60">
        <v>1.11764705882352</v>
      </c>
      <c r="H3170" s="60">
        <v>0.368421052631578</v>
      </c>
      <c r="I3170" s="60">
        <v>155.473464105263</v>
      </c>
      <c r="J3170" s="59">
        <v>23.0</v>
      </c>
      <c r="K3170" s="61">
        <f t="shared" si="1"/>
        <v>0.8421052632</v>
      </c>
      <c r="L3170" s="62">
        <f t="shared" si="2"/>
        <v>1.210526316</v>
      </c>
    </row>
    <row r="3171">
      <c r="A3171" s="58">
        <v>45901.0</v>
      </c>
      <c r="B3171" s="24" t="s">
        <v>6789</v>
      </c>
      <c r="C3171" s="24" t="s">
        <v>6806</v>
      </c>
      <c r="D3171" s="59">
        <v>16.0</v>
      </c>
      <c r="E3171" s="59">
        <v>18.0</v>
      </c>
      <c r="F3171" s="59">
        <v>16.0</v>
      </c>
      <c r="G3171" s="60">
        <v>1.125</v>
      </c>
      <c r="H3171" s="60">
        <v>0.611111111111111</v>
      </c>
      <c r="I3171" s="60">
        <v>314.849802277777</v>
      </c>
      <c r="J3171" s="59">
        <v>19.0</v>
      </c>
      <c r="K3171" s="61">
        <f t="shared" si="1"/>
        <v>0.8888888889</v>
      </c>
      <c r="L3171" s="62">
        <f t="shared" si="2"/>
        <v>1.055555556</v>
      </c>
    </row>
    <row r="3172">
      <c r="A3172" s="58">
        <v>45901.0</v>
      </c>
      <c r="B3172" s="24" t="s">
        <v>6789</v>
      </c>
      <c r="C3172" s="24" t="s">
        <v>6811</v>
      </c>
      <c r="D3172" s="59">
        <v>16.0</v>
      </c>
      <c r="E3172" s="59">
        <v>20.0</v>
      </c>
      <c r="F3172" s="59">
        <v>15.0</v>
      </c>
      <c r="G3172" s="60">
        <v>1.33333333333333</v>
      </c>
      <c r="H3172" s="60">
        <v>0.6</v>
      </c>
      <c r="I3172" s="60">
        <v>212.52065605</v>
      </c>
      <c r="J3172" s="59">
        <v>30.0</v>
      </c>
      <c r="K3172" s="61">
        <f t="shared" si="1"/>
        <v>0.75</v>
      </c>
      <c r="L3172" s="62">
        <f t="shared" si="2"/>
        <v>1.5</v>
      </c>
    </row>
    <row r="3173">
      <c r="A3173" s="58">
        <v>45901.0</v>
      </c>
      <c r="B3173" s="24" t="s">
        <v>6791</v>
      </c>
      <c r="C3173" s="24" t="s">
        <v>6960</v>
      </c>
      <c r="D3173" s="59">
        <v>16.0</v>
      </c>
      <c r="E3173" s="59">
        <v>16.0</v>
      </c>
      <c r="F3173" s="59">
        <v>16.0</v>
      </c>
      <c r="G3173" s="60">
        <v>1.0</v>
      </c>
      <c r="H3173" s="60">
        <v>0.3125</v>
      </c>
      <c r="I3173" s="60">
        <v>172.2430411875</v>
      </c>
      <c r="J3173" s="59">
        <v>21.0</v>
      </c>
      <c r="K3173" s="61">
        <f t="shared" si="1"/>
        <v>1</v>
      </c>
      <c r="L3173" s="62">
        <f t="shared" si="2"/>
        <v>1.3125</v>
      </c>
    </row>
    <row r="3174">
      <c r="A3174" s="58">
        <v>45901.0</v>
      </c>
      <c r="B3174" s="24" t="s">
        <v>6789</v>
      </c>
      <c r="C3174" s="24" t="s">
        <v>6910</v>
      </c>
      <c r="D3174" s="59">
        <v>16.0</v>
      </c>
      <c r="E3174" s="59">
        <v>20.0</v>
      </c>
      <c r="F3174" s="59">
        <v>7.0</v>
      </c>
      <c r="G3174" s="60">
        <v>1.33333333333333</v>
      </c>
      <c r="H3174" s="60">
        <v>0.65</v>
      </c>
      <c r="I3174" s="60">
        <v>492.643679449999</v>
      </c>
      <c r="J3174" s="59">
        <v>47.0</v>
      </c>
      <c r="K3174" s="61">
        <f t="shared" si="1"/>
        <v>0.35</v>
      </c>
      <c r="L3174" s="62">
        <f t="shared" si="2"/>
        <v>2.35</v>
      </c>
    </row>
    <row r="3175">
      <c r="A3175" s="58">
        <v>45901.0</v>
      </c>
      <c r="B3175" s="24" t="s">
        <v>6789</v>
      </c>
      <c r="C3175" s="24" t="s">
        <v>6796</v>
      </c>
      <c r="D3175" s="59">
        <v>15.0</v>
      </c>
      <c r="E3175" s="59">
        <v>17.0</v>
      </c>
      <c r="F3175" s="59">
        <v>11.0</v>
      </c>
      <c r="G3175" s="60">
        <v>1.21428571428571</v>
      </c>
      <c r="H3175" s="60">
        <v>0.470588235294117</v>
      </c>
      <c r="I3175" s="60">
        <v>97.5106828235294</v>
      </c>
      <c r="J3175" s="59">
        <v>32.0</v>
      </c>
      <c r="K3175" s="61">
        <f t="shared" si="1"/>
        <v>0.6470588235</v>
      </c>
      <c r="L3175" s="62">
        <f t="shared" si="2"/>
        <v>1.882352941</v>
      </c>
    </row>
    <row r="3176">
      <c r="A3176" s="58">
        <v>45901.0</v>
      </c>
      <c r="B3176" s="24" t="s">
        <v>6790</v>
      </c>
      <c r="C3176" s="24" t="s">
        <v>6788</v>
      </c>
      <c r="D3176" s="59">
        <v>14.0</v>
      </c>
      <c r="E3176" s="59">
        <v>17.0</v>
      </c>
      <c r="F3176" s="59">
        <v>7.0</v>
      </c>
      <c r="G3176" s="60">
        <v>1.21428571428571</v>
      </c>
      <c r="H3176" s="60">
        <v>0.470588235294117</v>
      </c>
      <c r="I3176" s="60">
        <v>62.9069709411764</v>
      </c>
      <c r="J3176" s="59">
        <v>27.0</v>
      </c>
      <c r="K3176" s="61">
        <f t="shared" si="1"/>
        <v>0.4117647059</v>
      </c>
      <c r="L3176" s="62">
        <f t="shared" si="2"/>
        <v>1.588235294</v>
      </c>
    </row>
    <row r="3177">
      <c r="A3177" s="58">
        <v>45901.0</v>
      </c>
      <c r="B3177" s="24" t="s">
        <v>155</v>
      </c>
      <c r="C3177" s="24" t="s">
        <v>6800</v>
      </c>
      <c r="D3177" s="59">
        <v>14.0</v>
      </c>
      <c r="E3177" s="59">
        <v>14.0</v>
      </c>
      <c r="F3177" s="59">
        <v>13.0</v>
      </c>
      <c r="G3177" s="60">
        <v>1.0</v>
      </c>
      <c r="H3177" s="60">
        <v>0.0</v>
      </c>
      <c r="I3177" s="60">
        <v>35.1276164285714</v>
      </c>
      <c r="J3177" s="59">
        <v>28.0</v>
      </c>
      <c r="K3177" s="61">
        <f t="shared" si="1"/>
        <v>0.9285714286</v>
      </c>
      <c r="L3177" s="62">
        <f t="shared" si="2"/>
        <v>2</v>
      </c>
    </row>
    <row r="3178">
      <c r="A3178" s="58">
        <v>45901.0</v>
      </c>
      <c r="B3178" s="24" t="s">
        <v>6787</v>
      </c>
      <c r="C3178" s="24" t="s">
        <v>6862</v>
      </c>
      <c r="D3178" s="59">
        <v>12.0</v>
      </c>
      <c r="E3178" s="59">
        <v>12.0</v>
      </c>
      <c r="F3178" s="59">
        <v>12.0</v>
      </c>
      <c r="G3178" s="60">
        <v>1.0</v>
      </c>
      <c r="H3178" s="60">
        <v>0.666666666666666</v>
      </c>
      <c r="I3178" s="60">
        <v>7.88248275</v>
      </c>
      <c r="J3178" s="59">
        <v>12.0</v>
      </c>
      <c r="K3178" s="61">
        <f t="shared" si="1"/>
        <v>1</v>
      </c>
      <c r="L3178" s="62">
        <f t="shared" si="2"/>
        <v>1</v>
      </c>
    </row>
    <row r="3179">
      <c r="A3179" s="58">
        <v>45901.0</v>
      </c>
      <c r="B3179" s="24" t="s">
        <v>6789</v>
      </c>
      <c r="C3179" s="24" t="s">
        <v>6844</v>
      </c>
      <c r="D3179" s="59">
        <v>12.0</v>
      </c>
      <c r="E3179" s="59">
        <v>12.0</v>
      </c>
      <c r="F3179" s="59">
        <v>12.0</v>
      </c>
      <c r="G3179" s="60">
        <v>1.0</v>
      </c>
      <c r="H3179" s="60">
        <v>0.333333333333333</v>
      </c>
      <c r="I3179" s="60">
        <v>266.688557083333</v>
      </c>
      <c r="J3179" s="59">
        <v>15.0</v>
      </c>
      <c r="K3179" s="61">
        <f t="shared" si="1"/>
        <v>1</v>
      </c>
      <c r="L3179" s="62">
        <f t="shared" si="2"/>
        <v>1.25</v>
      </c>
    </row>
    <row r="3180">
      <c r="A3180" s="58">
        <v>45901.0</v>
      </c>
      <c r="B3180" s="24" t="s">
        <v>6787</v>
      </c>
      <c r="C3180" s="24" t="s">
        <v>6817</v>
      </c>
      <c r="D3180" s="59">
        <v>11.0</v>
      </c>
      <c r="E3180" s="59">
        <v>18.0</v>
      </c>
      <c r="F3180" s="59">
        <v>9.0</v>
      </c>
      <c r="G3180" s="60">
        <v>1.63636363636363</v>
      </c>
      <c r="H3180" s="60">
        <v>0.555555555555555</v>
      </c>
      <c r="I3180" s="60">
        <v>133.474964222222</v>
      </c>
      <c r="J3180" s="59">
        <v>26.0</v>
      </c>
      <c r="K3180" s="61">
        <f t="shared" si="1"/>
        <v>0.5</v>
      </c>
      <c r="L3180" s="62">
        <f t="shared" si="2"/>
        <v>1.444444444</v>
      </c>
    </row>
    <row r="3181">
      <c r="A3181" s="58">
        <v>45901.0</v>
      </c>
      <c r="B3181" s="24" t="s">
        <v>6791</v>
      </c>
      <c r="C3181" s="24" t="s">
        <v>6788</v>
      </c>
      <c r="D3181" s="59">
        <v>10.0</v>
      </c>
      <c r="E3181" s="59">
        <v>29.0</v>
      </c>
      <c r="F3181" s="59">
        <v>1.0</v>
      </c>
      <c r="G3181" s="60">
        <v>3.22222222222222</v>
      </c>
      <c r="H3181" s="60">
        <v>0.482758620689655</v>
      </c>
      <c r="I3181" s="60">
        <v>468.417759275862</v>
      </c>
      <c r="J3181" s="59">
        <v>96.0</v>
      </c>
      <c r="K3181" s="61">
        <f t="shared" si="1"/>
        <v>0.03448275862</v>
      </c>
      <c r="L3181" s="62">
        <f t="shared" si="2"/>
        <v>3.310344828</v>
      </c>
    </row>
    <row r="3182">
      <c r="A3182" s="58">
        <v>45901.0</v>
      </c>
      <c r="B3182" s="24" t="s">
        <v>6789</v>
      </c>
      <c r="C3182" s="24" t="s">
        <v>6960</v>
      </c>
      <c r="D3182" s="59">
        <v>10.0</v>
      </c>
      <c r="E3182" s="59">
        <v>10.0</v>
      </c>
      <c r="F3182" s="59">
        <v>6.0</v>
      </c>
      <c r="G3182" s="60">
        <v>1.0</v>
      </c>
      <c r="H3182" s="60">
        <v>0.7</v>
      </c>
      <c r="I3182" s="60">
        <v>21.7030308</v>
      </c>
      <c r="J3182" s="59">
        <v>10.0</v>
      </c>
      <c r="K3182" s="61">
        <f t="shared" si="1"/>
        <v>0.6</v>
      </c>
      <c r="L3182" s="62">
        <f t="shared" si="2"/>
        <v>1</v>
      </c>
    </row>
    <row r="3183">
      <c r="A3183" s="58">
        <v>45901.0</v>
      </c>
      <c r="B3183" s="24" t="s">
        <v>6789</v>
      </c>
      <c r="C3183" s="24" t="s">
        <v>6801</v>
      </c>
      <c r="D3183" s="59">
        <v>10.0</v>
      </c>
      <c r="E3183" s="59">
        <v>13.0</v>
      </c>
      <c r="F3183" s="59">
        <v>10.0</v>
      </c>
      <c r="G3183" s="60">
        <v>1.3</v>
      </c>
      <c r="H3183" s="60">
        <v>0.461538461538461</v>
      </c>
      <c r="I3183" s="60">
        <v>36.9765337692307</v>
      </c>
      <c r="J3183" s="59">
        <v>14.0</v>
      </c>
      <c r="K3183" s="61">
        <f t="shared" si="1"/>
        <v>0.7692307692</v>
      </c>
      <c r="L3183" s="62">
        <f t="shared" si="2"/>
        <v>1.076923077</v>
      </c>
    </row>
    <row r="3184">
      <c r="A3184" s="58">
        <v>45901.0</v>
      </c>
      <c r="B3184" s="24" t="s">
        <v>6791</v>
      </c>
      <c r="C3184" s="24" t="s">
        <v>6912</v>
      </c>
      <c r="D3184" s="59">
        <v>10.0</v>
      </c>
      <c r="E3184" s="59">
        <v>10.0</v>
      </c>
      <c r="F3184" s="59">
        <v>9.0</v>
      </c>
      <c r="G3184" s="60">
        <v>1.0</v>
      </c>
      <c r="H3184" s="60">
        <v>0.3</v>
      </c>
      <c r="I3184" s="60">
        <v>30.1254658</v>
      </c>
      <c r="J3184" s="59">
        <v>13.0</v>
      </c>
      <c r="K3184" s="61">
        <f t="shared" si="1"/>
        <v>0.9</v>
      </c>
      <c r="L3184" s="62">
        <f t="shared" si="2"/>
        <v>1.3</v>
      </c>
    </row>
    <row r="3185">
      <c r="A3185" s="58">
        <v>45901.0</v>
      </c>
      <c r="B3185" s="24" t="s">
        <v>6789</v>
      </c>
      <c r="C3185" s="24" t="s">
        <v>6835</v>
      </c>
      <c r="D3185" s="59">
        <v>9.0</v>
      </c>
      <c r="E3185" s="59">
        <v>13.0</v>
      </c>
      <c r="F3185" s="59">
        <v>9.0</v>
      </c>
      <c r="G3185" s="60">
        <v>1.44444444444444</v>
      </c>
      <c r="H3185" s="60">
        <v>0.538461538461538</v>
      </c>
      <c r="I3185" s="60">
        <v>228.687274846153</v>
      </c>
      <c r="J3185" s="59">
        <v>14.0</v>
      </c>
      <c r="K3185" s="61">
        <f t="shared" si="1"/>
        <v>0.6923076923</v>
      </c>
      <c r="L3185" s="62">
        <f t="shared" si="2"/>
        <v>1.076923077</v>
      </c>
    </row>
    <row r="3186">
      <c r="A3186" s="58">
        <v>45901.0</v>
      </c>
      <c r="B3186" s="24" t="s">
        <v>6789</v>
      </c>
      <c r="C3186" s="24" t="s">
        <v>7021</v>
      </c>
      <c r="D3186" s="59">
        <v>9.0</v>
      </c>
      <c r="E3186" s="59">
        <v>10.0</v>
      </c>
      <c r="F3186" s="59">
        <v>3.0</v>
      </c>
      <c r="G3186" s="60">
        <v>1.11111111111111</v>
      </c>
      <c r="H3186" s="60">
        <v>0.5</v>
      </c>
      <c r="I3186" s="60">
        <v>41.4684506</v>
      </c>
      <c r="J3186" s="59">
        <v>19.0</v>
      </c>
      <c r="K3186" s="61">
        <f t="shared" si="1"/>
        <v>0.3</v>
      </c>
      <c r="L3186" s="62">
        <f t="shared" si="2"/>
        <v>1.9</v>
      </c>
    </row>
    <row r="3187">
      <c r="A3187" s="58">
        <v>45901.0</v>
      </c>
      <c r="B3187" s="24" t="s">
        <v>6789</v>
      </c>
      <c r="C3187" s="24" t="s">
        <v>6841</v>
      </c>
      <c r="D3187" s="59">
        <v>9.0</v>
      </c>
      <c r="E3187" s="59">
        <v>11.0</v>
      </c>
      <c r="F3187" s="59">
        <v>9.0</v>
      </c>
      <c r="G3187" s="60">
        <v>1.22222222222222</v>
      </c>
      <c r="H3187" s="60">
        <v>0.636363636363636</v>
      </c>
      <c r="I3187" s="60">
        <v>59.2817116363636</v>
      </c>
      <c r="J3187" s="59">
        <v>12.0</v>
      </c>
      <c r="K3187" s="61">
        <f t="shared" si="1"/>
        <v>0.8181818182</v>
      </c>
      <c r="L3187" s="62">
        <f t="shared" si="2"/>
        <v>1.090909091</v>
      </c>
    </row>
    <row r="3188">
      <c r="A3188" s="58">
        <v>45901.0</v>
      </c>
      <c r="B3188" s="24" t="s">
        <v>6787</v>
      </c>
      <c r="C3188" s="24" t="s">
        <v>6796</v>
      </c>
      <c r="D3188" s="59">
        <v>9.0</v>
      </c>
      <c r="E3188" s="59">
        <v>9.0</v>
      </c>
      <c r="F3188" s="59">
        <v>8.0</v>
      </c>
      <c r="G3188" s="60">
        <v>1.0</v>
      </c>
      <c r="H3188" s="60">
        <v>0.333333333333333</v>
      </c>
      <c r="I3188" s="60">
        <v>117.994175</v>
      </c>
      <c r="J3188" s="59">
        <v>13.0</v>
      </c>
      <c r="K3188" s="61">
        <f t="shared" si="1"/>
        <v>0.8888888889</v>
      </c>
      <c r="L3188" s="62">
        <f t="shared" si="2"/>
        <v>1.444444444</v>
      </c>
    </row>
    <row r="3189">
      <c r="A3189" s="58">
        <v>45901.0</v>
      </c>
      <c r="B3189" s="24" t="s">
        <v>6791</v>
      </c>
      <c r="C3189" s="24" t="s">
        <v>7041</v>
      </c>
      <c r="D3189" s="59">
        <v>9.0</v>
      </c>
      <c r="E3189" s="59">
        <v>9.0</v>
      </c>
      <c r="F3189" s="59">
        <v>9.0</v>
      </c>
      <c r="G3189" s="60">
        <v>1.0</v>
      </c>
      <c r="H3189" s="60">
        <v>0.111111111111111</v>
      </c>
      <c r="I3189" s="60">
        <v>227.297772666666</v>
      </c>
      <c r="J3189" s="59">
        <v>12.0</v>
      </c>
      <c r="K3189" s="61">
        <f t="shared" si="1"/>
        <v>1</v>
      </c>
      <c r="L3189" s="62">
        <f t="shared" si="2"/>
        <v>1.333333333</v>
      </c>
    </row>
    <row r="3190">
      <c r="A3190" s="58">
        <v>45901.0</v>
      </c>
      <c r="B3190" s="24" t="s">
        <v>6787</v>
      </c>
      <c r="C3190" s="24" t="s">
        <v>7237</v>
      </c>
      <c r="D3190" s="59">
        <v>9.0</v>
      </c>
      <c r="E3190" s="59">
        <v>9.0</v>
      </c>
      <c r="F3190" s="59">
        <v>9.0</v>
      </c>
      <c r="G3190" s="60">
        <v>1.0</v>
      </c>
      <c r="H3190" s="60">
        <v>1.0</v>
      </c>
      <c r="I3190" s="60">
        <v>2.127762</v>
      </c>
      <c r="J3190" s="59">
        <v>9.0</v>
      </c>
      <c r="K3190" s="61">
        <f t="shared" si="1"/>
        <v>1</v>
      </c>
      <c r="L3190" s="62">
        <f t="shared" si="2"/>
        <v>1</v>
      </c>
    </row>
    <row r="3191">
      <c r="A3191" s="58">
        <v>45901.0</v>
      </c>
      <c r="B3191" s="24" t="s">
        <v>6787</v>
      </c>
      <c r="C3191" s="24" t="s">
        <v>6800</v>
      </c>
      <c r="D3191" s="59">
        <v>9.0</v>
      </c>
      <c r="E3191" s="59">
        <v>9.0</v>
      </c>
      <c r="F3191" s="59">
        <v>9.0</v>
      </c>
      <c r="G3191" s="60">
        <v>1.0</v>
      </c>
      <c r="H3191" s="60">
        <v>0.555555555555555</v>
      </c>
      <c r="I3191" s="60">
        <v>16.6482486666666</v>
      </c>
      <c r="J3191" s="59">
        <v>12.0</v>
      </c>
      <c r="K3191" s="61">
        <f t="shared" si="1"/>
        <v>1</v>
      </c>
      <c r="L3191" s="62">
        <f t="shared" si="2"/>
        <v>1.333333333</v>
      </c>
    </row>
    <row r="3192">
      <c r="A3192" s="58">
        <v>45901.0</v>
      </c>
      <c r="B3192" s="24" t="s">
        <v>6791</v>
      </c>
      <c r="C3192" s="24" t="s">
        <v>6910</v>
      </c>
      <c r="D3192" s="59">
        <v>9.0</v>
      </c>
      <c r="E3192" s="59">
        <v>9.0</v>
      </c>
      <c r="F3192" s="59">
        <v>8.0</v>
      </c>
      <c r="G3192" s="60">
        <v>1.0</v>
      </c>
      <c r="H3192" s="60">
        <v>0.333333333333333</v>
      </c>
      <c r="I3192" s="60">
        <v>622.040266777777</v>
      </c>
      <c r="J3192" s="59">
        <v>18.0</v>
      </c>
      <c r="K3192" s="61">
        <f t="shared" si="1"/>
        <v>0.8888888889</v>
      </c>
      <c r="L3192" s="62">
        <f t="shared" si="2"/>
        <v>2</v>
      </c>
    </row>
    <row r="3193">
      <c r="A3193" s="58">
        <v>45901.0</v>
      </c>
      <c r="B3193" s="24" t="s">
        <v>6787</v>
      </c>
      <c r="C3193" s="24" t="s">
        <v>6810</v>
      </c>
      <c r="D3193" s="59">
        <v>9.0</v>
      </c>
      <c r="E3193" s="59">
        <v>9.0</v>
      </c>
      <c r="F3193" s="59">
        <v>9.0</v>
      </c>
      <c r="G3193" s="60">
        <v>1.0</v>
      </c>
      <c r="H3193" s="60">
        <v>0.666666666666666</v>
      </c>
      <c r="I3193" s="60">
        <v>143.922754111111</v>
      </c>
      <c r="J3193" s="59">
        <v>12.0</v>
      </c>
      <c r="K3193" s="61">
        <f t="shared" si="1"/>
        <v>1</v>
      </c>
      <c r="L3193" s="62">
        <f t="shared" si="2"/>
        <v>1.333333333</v>
      </c>
    </row>
    <row r="3194">
      <c r="A3194" s="58">
        <v>45901.0</v>
      </c>
      <c r="B3194" s="24" t="s">
        <v>6789</v>
      </c>
      <c r="C3194" s="24" t="s">
        <v>6802</v>
      </c>
      <c r="D3194" s="59">
        <v>9.0</v>
      </c>
      <c r="E3194" s="59">
        <v>11.0</v>
      </c>
      <c r="F3194" s="59">
        <v>1.0</v>
      </c>
      <c r="G3194" s="60">
        <v>1.375</v>
      </c>
      <c r="H3194" s="60">
        <v>0.545454545454545</v>
      </c>
      <c r="I3194" s="60">
        <v>71.6115049090909</v>
      </c>
      <c r="J3194" s="59">
        <v>29.0</v>
      </c>
      <c r="K3194" s="61">
        <f t="shared" si="1"/>
        <v>0.09090909091</v>
      </c>
      <c r="L3194" s="62">
        <f t="shared" si="2"/>
        <v>2.636363636</v>
      </c>
    </row>
    <row r="3195">
      <c r="A3195" s="58">
        <v>45901.0</v>
      </c>
      <c r="B3195" s="24" t="s">
        <v>6789</v>
      </c>
      <c r="C3195" s="24" t="s">
        <v>6876</v>
      </c>
      <c r="D3195" s="59">
        <v>8.0</v>
      </c>
      <c r="E3195" s="59">
        <v>9.0</v>
      </c>
      <c r="F3195" s="59">
        <v>8.0</v>
      </c>
      <c r="G3195" s="60">
        <v>1.125</v>
      </c>
      <c r="H3195" s="60">
        <v>0.555555555555555</v>
      </c>
      <c r="I3195" s="60">
        <v>124.889071555555</v>
      </c>
      <c r="J3195" s="59">
        <v>9.0</v>
      </c>
      <c r="K3195" s="61">
        <f t="shared" si="1"/>
        <v>0.8888888889</v>
      </c>
      <c r="L3195" s="62">
        <f t="shared" si="2"/>
        <v>1</v>
      </c>
    </row>
    <row r="3196">
      <c r="A3196" s="58">
        <v>45901.0</v>
      </c>
      <c r="B3196" s="24" t="s">
        <v>6787</v>
      </c>
      <c r="C3196" s="24" t="s">
        <v>6903</v>
      </c>
      <c r="D3196" s="59">
        <v>8.0</v>
      </c>
      <c r="E3196" s="59">
        <v>10.0</v>
      </c>
      <c r="F3196" s="59">
        <v>8.0</v>
      </c>
      <c r="G3196" s="60">
        <v>1.25</v>
      </c>
      <c r="H3196" s="60">
        <v>0.8</v>
      </c>
      <c r="I3196" s="60">
        <v>39.631584</v>
      </c>
      <c r="J3196" s="59">
        <v>11.0</v>
      </c>
      <c r="K3196" s="61">
        <f t="shared" si="1"/>
        <v>0.8</v>
      </c>
      <c r="L3196" s="62">
        <f t="shared" si="2"/>
        <v>1.1</v>
      </c>
    </row>
    <row r="3197">
      <c r="A3197" s="58">
        <v>45901.0</v>
      </c>
      <c r="B3197" s="24" t="s">
        <v>6787</v>
      </c>
      <c r="C3197" s="24" t="s">
        <v>6809</v>
      </c>
      <c r="D3197" s="59">
        <v>8.0</v>
      </c>
      <c r="E3197" s="59">
        <v>8.0</v>
      </c>
      <c r="F3197" s="59">
        <v>7.0</v>
      </c>
      <c r="G3197" s="60">
        <v>1.0</v>
      </c>
      <c r="H3197" s="60">
        <v>0.75</v>
      </c>
      <c r="I3197" s="60">
        <v>15.49141825</v>
      </c>
      <c r="J3197" s="59">
        <v>9.0</v>
      </c>
      <c r="K3197" s="61">
        <f t="shared" si="1"/>
        <v>0.875</v>
      </c>
      <c r="L3197" s="62">
        <f t="shared" si="2"/>
        <v>1.125</v>
      </c>
    </row>
    <row r="3198">
      <c r="A3198" s="58">
        <v>45901.0</v>
      </c>
      <c r="B3198" s="24" t="s">
        <v>6787</v>
      </c>
      <c r="C3198" s="24" t="s">
        <v>6802</v>
      </c>
      <c r="D3198" s="59">
        <v>8.0</v>
      </c>
      <c r="E3198" s="59">
        <v>8.0</v>
      </c>
      <c r="F3198" s="59">
        <v>6.0</v>
      </c>
      <c r="G3198" s="60">
        <v>1.0</v>
      </c>
      <c r="H3198" s="60">
        <v>0.5</v>
      </c>
      <c r="I3198" s="60">
        <v>191.674866375</v>
      </c>
      <c r="J3198" s="59">
        <v>11.0</v>
      </c>
      <c r="K3198" s="61">
        <f t="shared" si="1"/>
        <v>0.75</v>
      </c>
      <c r="L3198" s="62">
        <f t="shared" si="2"/>
        <v>1.375</v>
      </c>
    </row>
    <row r="3199">
      <c r="A3199" s="58">
        <v>45901.0</v>
      </c>
      <c r="B3199" s="24" t="s">
        <v>6787</v>
      </c>
      <c r="C3199" s="24" t="s">
        <v>6803</v>
      </c>
      <c r="D3199" s="59">
        <v>7.0</v>
      </c>
      <c r="E3199" s="59">
        <v>7.0</v>
      </c>
      <c r="F3199" s="59">
        <v>6.0</v>
      </c>
      <c r="G3199" s="60">
        <v>1.0</v>
      </c>
      <c r="H3199" s="60">
        <v>0.428571428571428</v>
      </c>
      <c r="I3199" s="60">
        <v>56.1485694285714</v>
      </c>
      <c r="J3199" s="59">
        <v>7.0</v>
      </c>
      <c r="K3199" s="61">
        <f t="shared" si="1"/>
        <v>0.8571428571</v>
      </c>
      <c r="L3199" s="62">
        <f t="shared" si="2"/>
        <v>1</v>
      </c>
    </row>
    <row r="3200">
      <c r="A3200" s="58">
        <v>45901.0</v>
      </c>
      <c r="B3200" s="24" t="s">
        <v>6789</v>
      </c>
      <c r="C3200" s="24" t="s">
        <v>6804</v>
      </c>
      <c r="D3200" s="59">
        <v>7.0</v>
      </c>
      <c r="E3200" s="59">
        <v>8.0</v>
      </c>
      <c r="F3200" s="59">
        <v>6.0</v>
      </c>
      <c r="G3200" s="60">
        <v>1.14285714285714</v>
      </c>
      <c r="H3200" s="60">
        <v>0.25</v>
      </c>
      <c r="I3200" s="60">
        <v>418.891322499999</v>
      </c>
      <c r="J3200" s="59">
        <v>13.0</v>
      </c>
      <c r="K3200" s="61">
        <f t="shared" si="1"/>
        <v>0.75</v>
      </c>
      <c r="L3200" s="62">
        <f t="shared" si="2"/>
        <v>1.625</v>
      </c>
    </row>
    <row r="3201">
      <c r="A3201" s="58">
        <v>45901.0</v>
      </c>
      <c r="B3201" s="24" t="s">
        <v>155</v>
      </c>
      <c r="C3201" s="24" t="s">
        <v>6806</v>
      </c>
      <c r="D3201" s="59">
        <v>7.0</v>
      </c>
      <c r="E3201" s="59">
        <v>7.0</v>
      </c>
      <c r="F3201" s="59">
        <v>6.0</v>
      </c>
      <c r="G3201" s="60">
        <v>1.16666666666666</v>
      </c>
      <c r="H3201" s="60">
        <v>0.285714285714285</v>
      </c>
      <c r="I3201" s="60">
        <v>378.452018285714</v>
      </c>
      <c r="J3201" s="59">
        <v>11.0</v>
      </c>
      <c r="K3201" s="61">
        <f t="shared" si="1"/>
        <v>0.8571428571</v>
      </c>
      <c r="L3201" s="62">
        <f t="shared" si="2"/>
        <v>1.571428571</v>
      </c>
    </row>
    <row r="3202">
      <c r="A3202" s="58">
        <v>45901.0</v>
      </c>
      <c r="B3202" s="24" t="s">
        <v>6791</v>
      </c>
      <c r="C3202" s="24" t="s">
        <v>6796</v>
      </c>
      <c r="D3202" s="59">
        <v>7.0</v>
      </c>
      <c r="E3202" s="59">
        <v>7.0</v>
      </c>
      <c r="F3202" s="59">
        <v>7.0</v>
      </c>
      <c r="G3202" s="60">
        <v>1.0</v>
      </c>
      <c r="H3202" s="60">
        <v>0.285714285714285</v>
      </c>
      <c r="I3202" s="60">
        <v>28.6249705714285</v>
      </c>
      <c r="J3202" s="59">
        <v>16.0</v>
      </c>
      <c r="K3202" s="61">
        <f t="shared" si="1"/>
        <v>1</v>
      </c>
      <c r="L3202" s="62">
        <f t="shared" si="2"/>
        <v>2.285714286</v>
      </c>
    </row>
    <row r="3203">
      <c r="A3203" s="58">
        <v>45901.0</v>
      </c>
      <c r="B3203" s="24" t="s">
        <v>6942</v>
      </c>
      <c r="C3203" s="24" t="s">
        <v>7125</v>
      </c>
      <c r="D3203" s="59">
        <v>7.0</v>
      </c>
      <c r="E3203" s="59">
        <v>7.0</v>
      </c>
      <c r="F3203" s="59">
        <v>6.0</v>
      </c>
      <c r="G3203" s="60">
        <v>1.0</v>
      </c>
      <c r="H3203" s="60">
        <v>0.857142857142857</v>
      </c>
      <c r="I3203" s="60">
        <v>217.315351428571</v>
      </c>
      <c r="J3203" s="59">
        <v>12.0</v>
      </c>
      <c r="K3203" s="61">
        <f t="shared" si="1"/>
        <v>0.8571428571</v>
      </c>
      <c r="L3203" s="62">
        <f t="shared" si="2"/>
        <v>1.714285714</v>
      </c>
    </row>
    <row r="3204">
      <c r="A3204" s="58">
        <v>45901.0</v>
      </c>
      <c r="B3204" s="24" t="s">
        <v>6790</v>
      </c>
      <c r="C3204" s="24" t="s">
        <v>7083</v>
      </c>
      <c r="D3204" s="59">
        <v>7.0</v>
      </c>
      <c r="E3204" s="59">
        <v>7.0</v>
      </c>
      <c r="F3204" s="59">
        <v>7.0</v>
      </c>
      <c r="G3204" s="60">
        <v>1.0</v>
      </c>
      <c r="H3204" s="60">
        <v>1.0</v>
      </c>
      <c r="I3204" s="60">
        <v>0.0</v>
      </c>
      <c r="J3204" s="59">
        <v>7.0</v>
      </c>
      <c r="K3204" s="61">
        <f t="shared" si="1"/>
        <v>1</v>
      </c>
      <c r="L3204" s="62">
        <f t="shared" si="2"/>
        <v>1</v>
      </c>
    </row>
    <row r="3205">
      <c r="A3205" s="58">
        <v>45901.0</v>
      </c>
      <c r="B3205" s="24" t="s">
        <v>3216</v>
      </c>
      <c r="C3205" s="24" t="s">
        <v>6788</v>
      </c>
      <c r="D3205" s="59">
        <v>6.0</v>
      </c>
      <c r="E3205" s="59">
        <v>6.0</v>
      </c>
      <c r="F3205" s="59">
        <v>6.0</v>
      </c>
      <c r="G3205" s="60">
        <v>1.0</v>
      </c>
      <c r="H3205" s="60">
        <v>0.5</v>
      </c>
      <c r="I3205" s="60">
        <v>6.3368595</v>
      </c>
      <c r="J3205" s="59">
        <v>10.0</v>
      </c>
      <c r="K3205" s="61">
        <f t="shared" si="1"/>
        <v>1</v>
      </c>
      <c r="L3205" s="62">
        <f t="shared" si="2"/>
        <v>1.666666667</v>
      </c>
    </row>
    <row r="3206">
      <c r="A3206" s="58">
        <v>45901.0</v>
      </c>
      <c r="B3206" s="24" t="s">
        <v>6787</v>
      </c>
      <c r="C3206" s="24" t="s">
        <v>6804</v>
      </c>
      <c r="D3206" s="59">
        <v>6.0</v>
      </c>
      <c r="E3206" s="59">
        <v>6.0</v>
      </c>
      <c r="F3206" s="59">
        <v>6.0</v>
      </c>
      <c r="G3206" s="60">
        <v>1.0</v>
      </c>
      <c r="H3206" s="60">
        <v>0.333333333333333</v>
      </c>
      <c r="I3206" s="60">
        <v>42.707173</v>
      </c>
      <c r="J3206" s="59">
        <v>7.0</v>
      </c>
      <c r="K3206" s="61">
        <f t="shared" si="1"/>
        <v>1</v>
      </c>
      <c r="L3206" s="62">
        <f t="shared" si="2"/>
        <v>1.166666667</v>
      </c>
    </row>
    <row r="3207">
      <c r="A3207" s="58">
        <v>45901.0</v>
      </c>
      <c r="B3207" s="24" t="s">
        <v>6787</v>
      </c>
      <c r="C3207" s="24" t="s">
        <v>7320</v>
      </c>
      <c r="D3207" s="59">
        <v>6.0</v>
      </c>
      <c r="E3207" s="59">
        <v>6.0</v>
      </c>
      <c r="F3207" s="59">
        <v>6.0</v>
      </c>
      <c r="G3207" s="60">
        <v>1.0</v>
      </c>
      <c r="H3207" s="60">
        <v>0.333333333333333</v>
      </c>
      <c r="I3207" s="60">
        <v>43.8717048333333</v>
      </c>
      <c r="J3207" s="59">
        <v>17.0</v>
      </c>
      <c r="K3207" s="61">
        <f t="shared" si="1"/>
        <v>1</v>
      </c>
      <c r="L3207" s="62">
        <f t="shared" si="2"/>
        <v>2.833333333</v>
      </c>
    </row>
    <row r="3208">
      <c r="A3208" s="58">
        <v>45901.0</v>
      </c>
      <c r="B3208" s="24" t="s">
        <v>155</v>
      </c>
      <c r="C3208" s="24" t="s">
        <v>6811</v>
      </c>
      <c r="D3208" s="59">
        <v>6.0</v>
      </c>
      <c r="E3208" s="59">
        <v>9.0</v>
      </c>
      <c r="F3208" s="59">
        <v>2.0</v>
      </c>
      <c r="G3208" s="60">
        <v>2.25</v>
      </c>
      <c r="H3208" s="60">
        <v>0.666666666666666</v>
      </c>
      <c r="I3208" s="60">
        <v>12.9821423333333</v>
      </c>
      <c r="J3208" s="59">
        <v>9.0</v>
      </c>
      <c r="K3208" s="61">
        <f t="shared" si="1"/>
        <v>0.2222222222</v>
      </c>
      <c r="L3208" s="62">
        <f t="shared" si="2"/>
        <v>1</v>
      </c>
    </row>
    <row r="3209">
      <c r="A3209" s="58">
        <v>45901.0</v>
      </c>
      <c r="B3209" s="24" t="s">
        <v>6789</v>
      </c>
      <c r="C3209" s="24" t="s">
        <v>7236</v>
      </c>
      <c r="D3209" s="59">
        <v>6.0</v>
      </c>
      <c r="E3209" s="59">
        <v>6.0</v>
      </c>
      <c r="F3209" s="59">
        <v>5.0</v>
      </c>
      <c r="G3209" s="60">
        <v>1.0</v>
      </c>
      <c r="H3209" s="60">
        <v>0.5</v>
      </c>
      <c r="I3209" s="60">
        <v>62.3223915</v>
      </c>
      <c r="J3209" s="59">
        <v>8.0</v>
      </c>
      <c r="K3209" s="61">
        <f t="shared" si="1"/>
        <v>0.8333333333</v>
      </c>
      <c r="L3209" s="62">
        <f t="shared" si="2"/>
        <v>1.333333333</v>
      </c>
    </row>
    <row r="3210">
      <c r="A3210" s="58">
        <v>45901.0</v>
      </c>
      <c r="B3210" s="24" t="s">
        <v>6787</v>
      </c>
      <c r="C3210" s="24" t="s">
        <v>6909</v>
      </c>
      <c r="D3210" s="59">
        <v>6.0</v>
      </c>
      <c r="E3210" s="59">
        <v>6.0</v>
      </c>
      <c r="F3210" s="59">
        <v>4.0</v>
      </c>
      <c r="G3210" s="60">
        <v>1.0</v>
      </c>
      <c r="H3210" s="60">
        <v>0.333333333333333</v>
      </c>
      <c r="I3210" s="60">
        <v>88.0391795</v>
      </c>
      <c r="J3210" s="59">
        <v>19.0</v>
      </c>
      <c r="K3210" s="61">
        <f t="shared" si="1"/>
        <v>0.6666666667</v>
      </c>
      <c r="L3210" s="62">
        <f t="shared" si="2"/>
        <v>3.166666667</v>
      </c>
    </row>
    <row r="3211">
      <c r="A3211" s="58">
        <v>45901.0</v>
      </c>
      <c r="B3211" s="24" t="s">
        <v>6787</v>
      </c>
      <c r="C3211" s="24" t="s">
        <v>6801</v>
      </c>
      <c r="D3211" s="59">
        <v>6.0</v>
      </c>
      <c r="E3211" s="59">
        <v>6.0</v>
      </c>
      <c r="F3211" s="59">
        <v>4.0</v>
      </c>
      <c r="G3211" s="60">
        <v>1.0</v>
      </c>
      <c r="H3211" s="60">
        <v>0.666666666666666</v>
      </c>
      <c r="I3211" s="60">
        <v>210.809559666666</v>
      </c>
      <c r="J3211" s="59">
        <v>15.0</v>
      </c>
      <c r="K3211" s="61">
        <f t="shared" si="1"/>
        <v>0.6666666667</v>
      </c>
      <c r="L3211" s="62">
        <f t="shared" si="2"/>
        <v>2.5</v>
      </c>
    </row>
    <row r="3212">
      <c r="A3212" s="58">
        <v>45901.0</v>
      </c>
      <c r="B3212" s="24" t="s">
        <v>6789</v>
      </c>
      <c r="C3212" s="24" t="s">
        <v>6912</v>
      </c>
      <c r="D3212" s="59">
        <v>6.0</v>
      </c>
      <c r="E3212" s="59">
        <v>6.0</v>
      </c>
      <c r="F3212" s="59">
        <v>4.0</v>
      </c>
      <c r="G3212" s="60">
        <v>1.0</v>
      </c>
      <c r="H3212" s="60">
        <v>0.666666666666666</v>
      </c>
      <c r="I3212" s="60">
        <v>263.766174833333</v>
      </c>
      <c r="J3212" s="59">
        <v>6.0</v>
      </c>
      <c r="K3212" s="61">
        <f t="shared" si="1"/>
        <v>0.6666666667</v>
      </c>
      <c r="L3212" s="62">
        <f t="shared" si="2"/>
        <v>1</v>
      </c>
    </row>
    <row r="3213">
      <c r="A3213" s="58">
        <v>45901.0</v>
      </c>
      <c r="B3213" s="24" t="s">
        <v>6790</v>
      </c>
      <c r="C3213" s="24" t="s">
        <v>6792</v>
      </c>
      <c r="D3213" s="59">
        <v>5.0</v>
      </c>
      <c r="E3213" s="59">
        <v>6.0</v>
      </c>
      <c r="F3213" s="59">
        <v>0.0</v>
      </c>
      <c r="G3213" s="60">
        <v>2.0</v>
      </c>
      <c r="H3213" s="60">
        <v>1.0</v>
      </c>
      <c r="I3213" s="60">
        <v>8.44500216666666</v>
      </c>
      <c r="J3213" s="59">
        <v>0.0</v>
      </c>
      <c r="K3213" s="61">
        <f t="shared" si="1"/>
        <v>0</v>
      </c>
      <c r="L3213" s="62">
        <f t="shared" si="2"/>
        <v>0</v>
      </c>
    </row>
    <row r="3214">
      <c r="A3214" s="58">
        <v>45901.0</v>
      </c>
      <c r="B3214" s="24" t="s">
        <v>6789</v>
      </c>
      <c r="C3214" s="24" t="s">
        <v>6803</v>
      </c>
      <c r="D3214" s="59">
        <v>5.0</v>
      </c>
      <c r="E3214" s="59">
        <v>5.0</v>
      </c>
      <c r="F3214" s="59">
        <v>3.0</v>
      </c>
      <c r="G3214" s="60">
        <v>1.0</v>
      </c>
      <c r="H3214" s="60">
        <v>0.4</v>
      </c>
      <c r="I3214" s="60">
        <v>35.8758744</v>
      </c>
      <c r="J3214" s="59">
        <v>6.0</v>
      </c>
      <c r="K3214" s="61">
        <f t="shared" si="1"/>
        <v>0.6</v>
      </c>
      <c r="L3214" s="62">
        <f t="shared" si="2"/>
        <v>1.2</v>
      </c>
    </row>
    <row r="3215">
      <c r="A3215" s="58">
        <v>45901.0</v>
      </c>
      <c r="B3215" s="24" t="s">
        <v>6789</v>
      </c>
      <c r="C3215" s="24" t="s">
        <v>6817</v>
      </c>
      <c r="D3215" s="59">
        <v>5.0</v>
      </c>
      <c r="E3215" s="59">
        <v>7.0</v>
      </c>
      <c r="F3215" s="59">
        <v>2.0</v>
      </c>
      <c r="G3215" s="60">
        <v>1.4</v>
      </c>
      <c r="H3215" s="60">
        <v>0.428571428571428</v>
      </c>
      <c r="I3215" s="60">
        <v>331.022778285714</v>
      </c>
      <c r="J3215" s="59">
        <v>16.0</v>
      </c>
      <c r="K3215" s="61">
        <f t="shared" si="1"/>
        <v>0.2857142857</v>
      </c>
      <c r="L3215" s="62">
        <f t="shared" si="2"/>
        <v>2.285714286</v>
      </c>
    </row>
    <row r="3216">
      <c r="A3216" s="58">
        <v>45901.0</v>
      </c>
      <c r="B3216" s="24" t="s">
        <v>155</v>
      </c>
      <c r="C3216" s="24" t="s">
        <v>6804</v>
      </c>
      <c r="D3216" s="59">
        <v>5.0</v>
      </c>
      <c r="E3216" s="59">
        <v>5.0</v>
      </c>
      <c r="F3216" s="59">
        <v>5.0</v>
      </c>
      <c r="G3216" s="60">
        <v>1.0</v>
      </c>
      <c r="H3216" s="60">
        <v>0.6</v>
      </c>
      <c r="I3216" s="60">
        <v>55.1807657999999</v>
      </c>
      <c r="J3216" s="59">
        <v>5.0</v>
      </c>
      <c r="K3216" s="61">
        <f t="shared" si="1"/>
        <v>1</v>
      </c>
      <c r="L3216" s="62">
        <f t="shared" si="2"/>
        <v>1</v>
      </c>
    </row>
    <row r="3217">
      <c r="A3217" s="58">
        <v>45901.0</v>
      </c>
      <c r="B3217" s="24" t="s">
        <v>6787</v>
      </c>
      <c r="C3217" s="24" t="s">
        <v>6829</v>
      </c>
      <c r="D3217" s="59">
        <v>5.0</v>
      </c>
      <c r="E3217" s="59">
        <v>5.0</v>
      </c>
      <c r="F3217" s="59">
        <v>5.0</v>
      </c>
      <c r="G3217" s="60">
        <v>1.0</v>
      </c>
      <c r="H3217" s="60">
        <v>0.8</v>
      </c>
      <c r="I3217" s="60">
        <v>27.3901408</v>
      </c>
      <c r="J3217" s="59">
        <v>5.0</v>
      </c>
      <c r="K3217" s="61">
        <f t="shared" si="1"/>
        <v>1</v>
      </c>
      <c r="L3217" s="62">
        <f t="shared" si="2"/>
        <v>1</v>
      </c>
    </row>
    <row r="3218">
      <c r="A3218" s="58">
        <v>45901.0</v>
      </c>
      <c r="B3218" s="24" t="s">
        <v>3216</v>
      </c>
      <c r="C3218" s="24" t="s">
        <v>7070</v>
      </c>
      <c r="D3218" s="59">
        <v>5.0</v>
      </c>
      <c r="E3218" s="59">
        <v>5.0</v>
      </c>
      <c r="F3218" s="59">
        <v>5.0</v>
      </c>
      <c r="G3218" s="60">
        <v>1.0</v>
      </c>
      <c r="H3218" s="60">
        <v>1.0</v>
      </c>
      <c r="I3218" s="60">
        <v>1.7267602</v>
      </c>
      <c r="J3218" s="59">
        <v>5.0</v>
      </c>
      <c r="K3218" s="61">
        <f t="shared" si="1"/>
        <v>1</v>
      </c>
      <c r="L3218" s="62">
        <f t="shared" si="2"/>
        <v>1</v>
      </c>
    </row>
    <row r="3219">
      <c r="A3219" s="58">
        <v>45901.0</v>
      </c>
      <c r="B3219" s="24" t="s">
        <v>6789</v>
      </c>
      <c r="C3219" s="24" t="s">
        <v>6886</v>
      </c>
      <c r="D3219" s="59">
        <v>5.0</v>
      </c>
      <c r="E3219" s="59">
        <v>5.0</v>
      </c>
      <c r="F3219" s="59">
        <v>3.0</v>
      </c>
      <c r="G3219" s="60">
        <v>1.66666666666666</v>
      </c>
      <c r="H3219" s="60">
        <v>1.0</v>
      </c>
      <c r="I3219" s="60">
        <v>0.860237799999999</v>
      </c>
      <c r="J3219" s="59">
        <v>5.0</v>
      </c>
      <c r="K3219" s="61">
        <f t="shared" si="1"/>
        <v>0.6</v>
      </c>
      <c r="L3219" s="62">
        <f t="shared" si="2"/>
        <v>1</v>
      </c>
    </row>
    <row r="3220">
      <c r="A3220" s="58">
        <v>45901.0</v>
      </c>
      <c r="B3220" s="24" t="s">
        <v>6789</v>
      </c>
      <c r="C3220" s="24" t="s">
        <v>6898</v>
      </c>
      <c r="D3220" s="59">
        <v>5.0</v>
      </c>
      <c r="E3220" s="59">
        <v>5.0</v>
      </c>
      <c r="F3220" s="59">
        <v>4.0</v>
      </c>
      <c r="G3220" s="60">
        <v>1.0</v>
      </c>
      <c r="H3220" s="60">
        <v>0.4</v>
      </c>
      <c r="I3220" s="60">
        <v>251.711375</v>
      </c>
      <c r="J3220" s="59">
        <v>6.0</v>
      </c>
      <c r="K3220" s="61">
        <f t="shared" si="1"/>
        <v>0.8</v>
      </c>
      <c r="L3220" s="62">
        <f t="shared" si="2"/>
        <v>1.2</v>
      </c>
    </row>
    <row r="3221">
      <c r="A3221" s="58">
        <v>45901.0</v>
      </c>
      <c r="B3221" s="24" t="s">
        <v>6787</v>
      </c>
      <c r="C3221" s="24" t="s">
        <v>6844</v>
      </c>
      <c r="D3221" s="59">
        <v>5.0</v>
      </c>
      <c r="E3221" s="59">
        <v>5.0</v>
      </c>
      <c r="F3221" s="59">
        <v>5.0</v>
      </c>
      <c r="G3221" s="60">
        <v>1.0</v>
      </c>
      <c r="H3221" s="60">
        <v>0.6</v>
      </c>
      <c r="I3221" s="60">
        <v>25.8794644</v>
      </c>
      <c r="J3221" s="59">
        <v>5.0</v>
      </c>
      <c r="K3221" s="61">
        <f t="shared" si="1"/>
        <v>1</v>
      </c>
      <c r="L3221" s="62">
        <f t="shared" si="2"/>
        <v>1</v>
      </c>
    </row>
    <row r="3222">
      <c r="A3222" s="58">
        <v>45901.0</v>
      </c>
      <c r="B3222" s="24" t="s">
        <v>6789</v>
      </c>
      <c r="C3222" s="24" t="s">
        <v>6903</v>
      </c>
      <c r="D3222" s="59">
        <v>5.0</v>
      </c>
      <c r="E3222" s="59">
        <v>5.0</v>
      </c>
      <c r="F3222" s="59">
        <v>5.0</v>
      </c>
      <c r="G3222" s="60">
        <v>1.0</v>
      </c>
      <c r="H3222" s="60">
        <v>0.4</v>
      </c>
      <c r="I3222" s="60">
        <v>163.2108564</v>
      </c>
      <c r="J3222" s="59">
        <v>9.0</v>
      </c>
      <c r="K3222" s="61">
        <f t="shared" si="1"/>
        <v>1</v>
      </c>
      <c r="L3222" s="62">
        <f t="shared" si="2"/>
        <v>1.8</v>
      </c>
    </row>
    <row r="3223">
      <c r="A3223" s="58">
        <v>45901.0</v>
      </c>
      <c r="B3223" s="24" t="s">
        <v>6787</v>
      </c>
      <c r="C3223" s="24" t="s">
        <v>7125</v>
      </c>
      <c r="D3223" s="59">
        <v>5.0</v>
      </c>
      <c r="E3223" s="59">
        <v>8.0</v>
      </c>
      <c r="F3223" s="59">
        <v>1.0</v>
      </c>
      <c r="G3223" s="60">
        <v>2.0</v>
      </c>
      <c r="H3223" s="60">
        <v>0.375</v>
      </c>
      <c r="I3223" s="60">
        <v>423.544762125</v>
      </c>
      <c r="J3223" s="59">
        <v>12.0</v>
      </c>
      <c r="K3223" s="61">
        <f t="shared" si="1"/>
        <v>0.125</v>
      </c>
      <c r="L3223" s="62">
        <f t="shared" si="2"/>
        <v>1.5</v>
      </c>
    </row>
    <row r="3224">
      <c r="A3224" s="58">
        <v>45901.0</v>
      </c>
      <c r="B3224" s="24" t="s">
        <v>6789</v>
      </c>
      <c r="C3224" s="24" t="s">
        <v>6800</v>
      </c>
      <c r="D3224" s="59">
        <v>5.0</v>
      </c>
      <c r="E3224" s="59">
        <v>6.0</v>
      </c>
      <c r="F3224" s="59">
        <v>5.0</v>
      </c>
      <c r="G3224" s="60">
        <v>1.2</v>
      </c>
      <c r="H3224" s="60">
        <v>0.166666666666666</v>
      </c>
      <c r="I3224" s="60">
        <v>224.249917333333</v>
      </c>
      <c r="J3224" s="59">
        <v>9.0</v>
      </c>
      <c r="K3224" s="61">
        <f t="shared" si="1"/>
        <v>0.8333333333</v>
      </c>
      <c r="L3224" s="62">
        <f t="shared" si="2"/>
        <v>1.5</v>
      </c>
    </row>
    <row r="3225">
      <c r="A3225" s="58">
        <v>45901.0</v>
      </c>
      <c r="B3225" s="24" t="s">
        <v>155</v>
      </c>
      <c r="C3225" s="24" t="s">
        <v>6809</v>
      </c>
      <c r="D3225" s="59">
        <v>5.0</v>
      </c>
      <c r="E3225" s="59">
        <v>5.0</v>
      </c>
      <c r="F3225" s="59">
        <v>3.0</v>
      </c>
      <c r="G3225" s="60">
        <v>1.0</v>
      </c>
      <c r="H3225" s="60">
        <v>0.4</v>
      </c>
      <c r="I3225" s="60">
        <v>341.6783518</v>
      </c>
      <c r="J3225" s="59">
        <v>17.0</v>
      </c>
      <c r="K3225" s="61">
        <f t="shared" si="1"/>
        <v>0.6</v>
      </c>
      <c r="L3225" s="62">
        <f t="shared" si="2"/>
        <v>3.4</v>
      </c>
    </row>
    <row r="3226">
      <c r="A3226" s="58">
        <v>45901.0</v>
      </c>
      <c r="B3226" s="24" t="s">
        <v>6787</v>
      </c>
      <c r="C3226" s="24" t="s">
        <v>6812</v>
      </c>
      <c r="D3226" s="59">
        <v>5.0</v>
      </c>
      <c r="E3226" s="59">
        <v>5.0</v>
      </c>
      <c r="F3226" s="59">
        <v>5.0</v>
      </c>
      <c r="G3226" s="60">
        <v>1.0</v>
      </c>
      <c r="H3226" s="60">
        <v>0.8</v>
      </c>
      <c r="I3226" s="60">
        <v>10.5831559999999</v>
      </c>
      <c r="J3226" s="59">
        <v>7.0</v>
      </c>
      <c r="K3226" s="61">
        <f t="shared" si="1"/>
        <v>1</v>
      </c>
      <c r="L3226" s="62">
        <f t="shared" si="2"/>
        <v>1.4</v>
      </c>
    </row>
    <row r="3227">
      <c r="A3227" s="58">
        <v>45901.0</v>
      </c>
      <c r="B3227" s="24" t="s">
        <v>6789</v>
      </c>
      <c r="C3227" s="24" t="s">
        <v>6849</v>
      </c>
      <c r="D3227" s="59">
        <v>5.0</v>
      </c>
      <c r="E3227" s="59">
        <v>6.0</v>
      </c>
      <c r="F3227" s="59">
        <v>1.0</v>
      </c>
      <c r="G3227" s="60">
        <v>1.2</v>
      </c>
      <c r="H3227" s="60">
        <v>0.666666666666666</v>
      </c>
      <c r="I3227" s="60">
        <v>76.5491648333333</v>
      </c>
      <c r="J3227" s="59">
        <v>9.0</v>
      </c>
      <c r="K3227" s="61">
        <f t="shared" si="1"/>
        <v>0.1666666667</v>
      </c>
      <c r="L3227" s="62">
        <f t="shared" si="2"/>
        <v>1.5</v>
      </c>
    </row>
    <row r="3228">
      <c r="A3228" s="58">
        <v>45901.0</v>
      </c>
      <c r="B3228" s="24" t="s">
        <v>6789</v>
      </c>
      <c r="C3228" s="24" t="s">
        <v>6909</v>
      </c>
      <c r="D3228" s="59">
        <v>5.0</v>
      </c>
      <c r="E3228" s="59">
        <v>5.0</v>
      </c>
      <c r="F3228" s="59">
        <v>4.0</v>
      </c>
      <c r="G3228" s="60">
        <v>1.0</v>
      </c>
      <c r="H3228" s="60">
        <v>0.6</v>
      </c>
      <c r="I3228" s="60">
        <v>9.0701654</v>
      </c>
      <c r="J3228" s="59">
        <v>5.0</v>
      </c>
      <c r="K3228" s="61">
        <f t="shared" si="1"/>
        <v>0.8</v>
      </c>
      <c r="L3228" s="62">
        <f t="shared" si="2"/>
        <v>1</v>
      </c>
    </row>
    <row r="3229">
      <c r="A3229" s="58">
        <v>45901.0</v>
      </c>
      <c r="B3229" s="24" t="s">
        <v>6787</v>
      </c>
      <c r="C3229" s="24" t="s">
        <v>6912</v>
      </c>
      <c r="D3229" s="59">
        <v>5.0</v>
      </c>
      <c r="E3229" s="59">
        <v>6.0</v>
      </c>
      <c r="F3229" s="59">
        <v>5.0</v>
      </c>
      <c r="G3229" s="60">
        <v>1.2</v>
      </c>
      <c r="H3229" s="60">
        <v>0.833333333333333</v>
      </c>
      <c r="I3229" s="60">
        <v>18.9528171666666</v>
      </c>
      <c r="J3229" s="59">
        <v>7.0</v>
      </c>
      <c r="K3229" s="61">
        <f t="shared" si="1"/>
        <v>0.8333333333</v>
      </c>
      <c r="L3229" s="62">
        <f t="shared" si="2"/>
        <v>1.166666667</v>
      </c>
    </row>
    <row r="3230">
      <c r="A3230" s="58">
        <v>45901.0</v>
      </c>
      <c r="B3230" s="24" t="s">
        <v>6787</v>
      </c>
      <c r="C3230" s="24" t="s">
        <v>7106</v>
      </c>
      <c r="D3230" s="59">
        <v>5.0</v>
      </c>
      <c r="E3230" s="59">
        <v>5.0</v>
      </c>
      <c r="F3230" s="59">
        <v>5.0</v>
      </c>
      <c r="G3230" s="60">
        <v>1.0</v>
      </c>
      <c r="H3230" s="60">
        <v>0.6</v>
      </c>
      <c r="I3230" s="60">
        <v>73.6224096</v>
      </c>
      <c r="J3230" s="59">
        <v>6.0</v>
      </c>
      <c r="K3230" s="61">
        <f t="shared" si="1"/>
        <v>1</v>
      </c>
      <c r="L3230" s="62">
        <f t="shared" si="2"/>
        <v>1.2</v>
      </c>
    </row>
    <row r="3231">
      <c r="A3231" s="58">
        <v>45901.0</v>
      </c>
      <c r="B3231" s="24" t="s">
        <v>6787</v>
      </c>
      <c r="C3231" s="24" t="s">
        <v>6852</v>
      </c>
      <c r="D3231" s="59">
        <v>5.0</v>
      </c>
      <c r="E3231" s="59">
        <v>5.0</v>
      </c>
      <c r="F3231" s="59">
        <v>5.0</v>
      </c>
      <c r="G3231" s="60">
        <v>1.0</v>
      </c>
      <c r="H3231" s="60">
        <v>0.8</v>
      </c>
      <c r="I3231" s="60">
        <v>6.2264848</v>
      </c>
      <c r="J3231" s="59">
        <v>5.0</v>
      </c>
      <c r="K3231" s="61">
        <f t="shared" si="1"/>
        <v>1</v>
      </c>
      <c r="L3231" s="62">
        <f t="shared" si="2"/>
        <v>1</v>
      </c>
    </row>
    <row r="3232">
      <c r="A3232" s="58">
        <v>45901.0</v>
      </c>
      <c r="B3232" s="24" t="s">
        <v>6787</v>
      </c>
      <c r="C3232" s="24" t="s">
        <v>6922</v>
      </c>
      <c r="D3232" s="59">
        <v>5.0</v>
      </c>
      <c r="E3232" s="59">
        <v>5.0</v>
      </c>
      <c r="F3232" s="59">
        <v>4.0</v>
      </c>
      <c r="G3232" s="60">
        <v>1.0</v>
      </c>
      <c r="H3232" s="60">
        <v>0.6</v>
      </c>
      <c r="I3232" s="60">
        <v>7.1366046</v>
      </c>
      <c r="J3232" s="59">
        <v>5.0</v>
      </c>
      <c r="K3232" s="61">
        <f t="shared" si="1"/>
        <v>0.8</v>
      </c>
      <c r="L3232" s="62">
        <f t="shared" si="2"/>
        <v>1</v>
      </c>
    </row>
    <row r="3233">
      <c r="A3233" s="58">
        <v>45901.0</v>
      </c>
      <c r="B3233" s="24" t="s">
        <v>6787</v>
      </c>
      <c r="C3233" s="24" t="s">
        <v>7321</v>
      </c>
      <c r="D3233" s="59">
        <v>4.0</v>
      </c>
      <c r="E3233" s="59">
        <v>4.0</v>
      </c>
      <c r="F3233" s="59">
        <v>4.0</v>
      </c>
      <c r="G3233" s="60">
        <v>1.0</v>
      </c>
      <c r="H3233" s="60">
        <v>0.5</v>
      </c>
      <c r="I3233" s="60">
        <v>60.68035075</v>
      </c>
      <c r="J3233" s="59">
        <v>4.0</v>
      </c>
      <c r="K3233" s="61">
        <f t="shared" si="1"/>
        <v>1</v>
      </c>
      <c r="L3233" s="62">
        <f t="shared" si="2"/>
        <v>1</v>
      </c>
    </row>
    <row r="3234">
      <c r="A3234" s="58">
        <v>45901.0</v>
      </c>
      <c r="B3234" s="24" t="s">
        <v>6789</v>
      </c>
      <c r="C3234" s="24" t="s">
        <v>6829</v>
      </c>
      <c r="D3234" s="59">
        <v>4.0</v>
      </c>
      <c r="E3234" s="59">
        <v>4.0</v>
      </c>
      <c r="F3234" s="59">
        <v>3.0</v>
      </c>
      <c r="G3234" s="60">
        <v>1.0</v>
      </c>
      <c r="H3234" s="60">
        <v>0.25</v>
      </c>
      <c r="I3234" s="60">
        <v>467.850756</v>
      </c>
      <c r="J3234" s="59">
        <v>7.0</v>
      </c>
      <c r="K3234" s="61">
        <f t="shared" si="1"/>
        <v>0.75</v>
      </c>
      <c r="L3234" s="62">
        <f t="shared" si="2"/>
        <v>1.75</v>
      </c>
    </row>
    <row r="3235">
      <c r="A3235" s="58">
        <v>45901.0</v>
      </c>
      <c r="B3235" s="24" t="s">
        <v>6789</v>
      </c>
      <c r="C3235" s="24" t="s">
        <v>6986</v>
      </c>
      <c r="D3235" s="59">
        <v>4.0</v>
      </c>
      <c r="E3235" s="59">
        <v>8.0</v>
      </c>
      <c r="F3235" s="59">
        <v>4.0</v>
      </c>
      <c r="G3235" s="60">
        <v>2.0</v>
      </c>
      <c r="H3235" s="60">
        <v>0.5</v>
      </c>
      <c r="I3235" s="60">
        <v>30.546807875</v>
      </c>
      <c r="J3235" s="59">
        <v>8.0</v>
      </c>
      <c r="K3235" s="61">
        <f t="shared" si="1"/>
        <v>0.5</v>
      </c>
      <c r="L3235" s="62">
        <f t="shared" si="2"/>
        <v>1</v>
      </c>
    </row>
    <row r="3236">
      <c r="A3236" s="58">
        <v>45901.0</v>
      </c>
      <c r="B3236" s="24" t="s">
        <v>6789</v>
      </c>
      <c r="C3236" s="24" t="s">
        <v>6838</v>
      </c>
      <c r="D3236" s="59">
        <v>4.0</v>
      </c>
      <c r="E3236" s="59">
        <v>4.0</v>
      </c>
      <c r="F3236" s="59">
        <v>4.0</v>
      </c>
      <c r="G3236" s="60">
        <v>1.0</v>
      </c>
      <c r="H3236" s="60">
        <v>0.75</v>
      </c>
      <c r="I3236" s="60">
        <v>49.25997225</v>
      </c>
      <c r="J3236" s="59">
        <v>4.0</v>
      </c>
      <c r="K3236" s="61">
        <f t="shared" si="1"/>
        <v>1</v>
      </c>
      <c r="L3236" s="62">
        <f t="shared" si="2"/>
        <v>1</v>
      </c>
    </row>
    <row r="3237">
      <c r="A3237" s="58">
        <v>45901.0</v>
      </c>
      <c r="B3237" s="24" t="s">
        <v>6789</v>
      </c>
      <c r="C3237" s="24" t="s">
        <v>6822</v>
      </c>
      <c r="D3237" s="59">
        <v>4.0</v>
      </c>
      <c r="E3237" s="59">
        <v>4.0</v>
      </c>
      <c r="F3237" s="59">
        <v>2.0</v>
      </c>
      <c r="G3237" s="60">
        <v>1.0</v>
      </c>
      <c r="H3237" s="60">
        <v>0.0</v>
      </c>
      <c r="I3237" s="60">
        <v>251.4760265</v>
      </c>
      <c r="J3237" s="59">
        <v>7.0</v>
      </c>
      <c r="K3237" s="61">
        <f t="shared" si="1"/>
        <v>0.5</v>
      </c>
      <c r="L3237" s="62">
        <f t="shared" si="2"/>
        <v>1.75</v>
      </c>
    </row>
    <row r="3238">
      <c r="A3238" s="58">
        <v>45901.0</v>
      </c>
      <c r="B3238" s="24" t="s">
        <v>6789</v>
      </c>
      <c r="C3238" s="24" t="s">
        <v>7041</v>
      </c>
      <c r="D3238" s="59">
        <v>4.0</v>
      </c>
      <c r="E3238" s="59">
        <v>4.0</v>
      </c>
      <c r="F3238" s="59">
        <v>4.0</v>
      </c>
      <c r="G3238" s="60">
        <v>1.0</v>
      </c>
      <c r="H3238" s="60">
        <v>1.0</v>
      </c>
      <c r="I3238" s="60">
        <v>0.0</v>
      </c>
      <c r="J3238" s="59">
        <v>4.0</v>
      </c>
      <c r="K3238" s="61">
        <f t="shared" si="1"/>
        <v>1</v>
      </c>
      <c r="L3238" s="62">
        <f t="shared" si="2"/>
        <v>1</v>
      </c>
    </row>
    <row r="3239">
      <c r="A3239" s="58">
        <v>45901.0</v>
      </c>
      <c r="B3239" s="24" t="s">
        <v>6787</v>
      </c>
      <c r="C3239" s="24" t="s">
        <v>7083</v>
      </c>
      <c r="D3239" s="59">
        <v>4.0</v>
      </c>
      <c r="E3239" s="59">
        <v>4.0</v>
      </c>
      <c r="F3239" s="59">
        <v>4.0</v>
      </c>
      <c r="G3239" s="60">
        <v>1.0</v>
      </c>
      <c r="H3239" s="60">
        <v>0.0</v>
      </c>
      <c r="I3239" s="60">
        <v>69.3167027499999</v>
      </c>
      <c r="J3239" s="59">
        <v>4.0</v>
      </c>
      <c r="K3239" s="61">
        <f t="shared" si="1"/>
        <v>1</v>
      </c>
      <c r="L3239" s="62">
        <f t="shared" si="2"/>
        <v>1</v>
      </c>
    </row>
    <row r="3240">
      <c r="A3240" s="58">
        <v>45901.0</v>
      </c>
      <c r="B3240" s="24" t="s">
        <v>6794</v>
      </c>
      <c r="C3240" s="24" t="s">
        <v>7083</v>
      </c>
      <c r="D3240" s="59">
        <v>4.0</v>
      </c>
      <c r="E3240" s="59">
        <v>4.0</v>
      </c>
      <c r="F3240" s="59">
        <v>3.0</v>
      </c>
      <c r="G3240" s="60">
        <v>1.0</v>
      </c>
      <c r="H3240" s="60">
        <v>0.5</v>
      </c>
      <c r="I3240" s="60">
        <v>265.887956</v>
      </c>
      <c r="J3240" s="59">
        <v>5.0</v>
      </c>
      <c r="K3240" s="61">
        <f t="shared" si="1"/>
        <v>0.75</v>
      </c>
      <c r="L3240" s="62">
        <f t="shared" si="2"/>
        <v>1.25</v>
      </c>
    </row>
    <row r="3241">
      <c r="A3241" s="58">
        <v>45901.0</v>
      </c>
      <c r="B3241" s="24" t="s">
        <v>6787</v>
      </c>
      <c r="C3241" s="24" t="s">
        <v>7322</v>
      </c>
      <c r="D3241" s="59">
        <v>4.0</v>
      </c>
      <c r="E3241" s="59">
        <v>6.0</v>
      </c>
      <c r="F3241" s="59">
        <v>1.0</v>
      </c>
      <c r="G3241" s="60">
        <v>1.5</v>
      </c>
      <c r="H3241" s="60">
        <v>0.333333333333333</v>
      </c>
      <c r="I3241" s="60">
        <v>290.9206025</v>
      </c>
      <c r="J3241" s="59">
        <v>12.0</v>
      </c>
      <c r="K3241" s="61">
        <f t="shared" si="1"/>
        <v>0.1666666667</v>
      </c>
      <c r="L3241" s="62">
        <f t="shared" si="2"/>
        <v>2</v>
      </c>
    </row>
    <row r="3242">
      <c r="A3242" s="58">
        <v>45901.0</v>
      </c>
      <c r="B3242" s="24" t="s">
        <v>6789</v>
      </c>
      <c r="C3242" s="24" t="s">
        <v>7094</v>
      </c>
      <c r="D3242" s="59">
        <v>4.0</v>
      </c>
      <c r="E3242" s="59">
        <v>4.0</v>
      </c>
      <c r="F3242" s="59">
        <v>4.0</v>
      </c>
      <c r="G3242" s="60">
        <v>1.0</v>
      </c>
      <c r="H3242" s="60">
        <v>0.25</v>
      </c>
      <c r="I3242" s="60">
        <v>173.2952415</v>
      </c>
      <c r="J3242" s="59">
        <v>4.0</v>
      </c>
      <c r="K3242" s="61">
        <f t="shared" si="1"/>
        <v>1</v>
      </c>
      <c r="L3242" s="62">
        <f t="shared" si="2"/>
        <v>1</v>
      </c>
    </row>
    <row r="3243">
      <c r="A3243" s="58">
        <v>45901.0</v>
      </c>
      <c r="B3243" s="24" t="s">
        <v>6787</v>
      </c>
      <c r="C3243" s="24" t="s">
        <v>7184</v>
      </c>
      <c r="D3243" s="59">
        <v>4.0</v>
      </c>
      <c r="E3243" s="59">
        <v>4.0</v>
      </c>
      <c r="F3243" s="59">
        <v>4.0</v>
      </c>
      <c r="G3243" s="60">
        <v>1.0</v>
      </c>
      <c r="H3243" s="60">
        <v>1.0</v>
      </c>
      <c r="I3243" s="60">
        <v>0.0</v>
      </c>
      <c r="J3243" s="59">
        <v>4.0</v>
      </c>
      <c r="K3243" s="61">
        <f t="shared" si="1"/>
        <v>1</v>
      </c>
      <c r="L3243" s="62">
        <f t="shared" si="2"/>
        <v>1</v>
      </c>
    </row>
    <row r="3244">
      <c r="A3244" s="58">
        <v>45901.0</v>
      </c>
      <c r="B3244" s="24" t="s">
        <v>6942</v>
      </c>
      <c r="C3244" s="24" t="s">
        <v>6960</v>
      </c>
      <c r="D3244" s="59">
        <v>4.0</v>
      </c>
      <c r="E3244" s="59">
        <v>4.0</v>
      </c>
      <c r="F3244" s="59">
        <v>4.0</v>
      </c>
      <c r="G3244" s="60">
        <v>1.0</v>
      </c>
      <c r="H3244" s="60">
        <v>1.0</v>
      </c>
      <c r="I3244" s="60">
        <v>0.0</v>
      </c>
      <c r="J3244" s="59">
        <v>4.0</v>
      </c>
      <c r="K3244" s="61">
        <f t="shared" si="1"/>
        <v>1</v>
      </c>
      <c r="L3244" s="62">
        <f t="shared" si="2"/>
        <v>1</v>
      </c>
    </row>
    <row r="3245">
      <c r="A3245" s="58">
        <v>45901.0</v>
      </c>
      <c r="B3245" s="24" t="s">
        <v>6790</v>
      </c>
      <c r="C3245" s="24" t="s">
        <v>6809</v>
      </c>
      <c r="D3245" s="59">
        <v>4.0</v>
      </c>
      <c r="E3245" s="59">
        <v>4.0</v>
      </c>
      <c r="F3245" s="59">
        <v>4.0</v>
      </c>
      <c r="G3245" s="60">
        <v>1.0</v>
      </c>
      <c r="H3245" s="60">
        <v>0.5</v>
      </c>
      <c r="I3245" s="60">
        <v>343.64230125</v>
      </c>
      <c r="J3245" s="59">
        <v>8.0</v>
      </c>
      <c r="K3245" s="61">
        <f t="shared" si="1"/>
        <v>1</v>
      </c>
      <c r="L3245" s="62">
        <f t="shared" si="2"/>
        <v>2</v>
      </c>
    </row>
    <row r="3246">
      <c r="A3246" s="58">
        <v>45901.0</v>
      </c>
      <c r="B3246" s="24" t="s">
        <v>6789</v>
      </c>
      <c r="C3246" s="24" t="s">
        <v>6812</v>
      </c>
      <c r="D3246" s="59">
        <v>4.0</v>
      </c>
      <c r="E3246" s="59">
        <v>5.0</v>
      </c>
      <c r="F3246" s="59">
        <v>2.0</v>
      </c>
      <c r="G3246" s="60">
        <v>1.66666666666666</v>
      </c>
      <c r="H3246" s="60">
        <v>0.4</v>
      </c>
      <c r="I3246" s="60">
        <v>740.6114392</v>
      </c>
      <c r="J3246" s="59">
        <v>8.0</v>
      </c>
      <c r="K3246" s="61">
        <f t="shared" si="1"/>
        <v>0.4</v>
      </c>
      <c r="L3246" s="62">
        <f t="shared" si="2"/>
        <v>1.6</v>
      </c>
    </row>
    <row r="3247">
      <c r="A3247" s="58">
        <v>45901.0</v>
      </c>
      <c r="B3247" s="24" t="s">
        <v>6789</v>
      </c>
      <c r="C3247" s="24" t="s">
        <v>7102</v>
      </c>
      <c r="D3247" s="59">
        <v>4.0</v>
      </c>
      <c r="E3247" s="59">
        <v>4.0</v>
      </c>
      <c r="F3247" s="59">
        <v>3.0</v>
      </c>
      <c r="G3247" s="60">
        <v>1.0</v>
      </c>
      <c r="H3247" s="60">
        <v>0.5</v>
      </c>
      <c r="I3247" s="60">
        <v>17.66546775</v>
      </c>
      <c r="J3247" s="59">
        <v>6.0</v>
      </c>
      <c r="K3247" s="61">
        <f t="shared" si="1"/>
        <v>0.75</v>
      </c>
      <c r="L3247" s="62">
        <f t="shared" si="2"/>
        <v>1.5</v>
      </c>
    </row>
    <row r="3248">
      <c r="A3248" s="58">
        <v>45901.0</v>
      </c>
      <c r="B3248" s="24" t="s">
        <v>6787</v>
      </c>
      <c r="C3248" s="24" t="s">
        <v>7173</v>
      </c>
      <c r="D3248" s="59">
        <v>4.0</v>
      </c>
      <c r="E3248" s="59">
        <v>4.0</v>
      </c>
      <c r="F3248" s="59">
        <v>4.0</v>
      </c>
      <c r="G3248" s="60">
        <v>1.0</v>
      </c>
      <c r="H3248" s="60">
        <v>1.0</v>
      </c>
      <c r="I3248" s="60">
        <v>0.0</v>
      </c>
      <c r="J3248" s="59">
        <v>4.0</v>
      </c>
      <c r="K3248" s="61">
        <f t="shared" si="1"/>
        <v>1</v>
      </c>
      <c r="L3248" s="62">
        <f t="shared" si="2"/>
        <v>1</v>
      </c>
    </row>
    <row r="3249">
      <c r="A3249" s="58">
        <v>45901.0</v>
      </c>
      <c r="B3249" s="24" t="s">
        <v>6789</v>
      </c>
      <c r="C3249" s="24" t="s">
        <v>6915</v>
      </c>
      <c r="D3249" s="59">
        <v>4.0</v>
      </c>
      <c r="E3249" s="59">
        <v>4.0</v>
      </c>
      <c r="F3249" s="59">
        <v>3.0</v>
      </c>
      <c r="G3249" s="60">
        <v>1.33333333333333</v>
      </c>
      <c r="H3249" s="60">
        <v>0.75</v>
      </c>
      <c r="I3249" s="60">
        <v>14.72303025</v>
      </c>
      <c r="J3249" s="59">
        <v>4.0</v>
      </c>
      <c r="K3249" s="61">
        <f t="shared" si="1"/>
        <v>0.75</v>
      </c>
      <c r="L3249" s="62">
        <f t="shared" si="2"/>
        <v>1</v>
      </c>
    </row>
    <row r="3250">
      <c r="A3250" s="58">
        <v>45901.0</v>
      </c>
      <c r="B3250" s="24" t="s">
        <v>6787</v>
      </c>
      <c r="C3250" s="24" t="s">
        <v>6815</v>
      </c>
      <c r="D3250" s="59">
        <v>4.0</v>
      </c>
      <c r="E3250" s="59">
        <v>4.0</v>
      </c>
      <c r="F3250" s="59">
        <v>4.0</v>
      </c>
      <c r="G3250" s="60">
        <v>1.0</v>
      </c>
      <c r="H3250" s="60">
        <v>0.0</v>
      </c>
      <c r="I3250" s="60">
        <v>43.20911175</v>
      </c>
      <c r="J3250" s="59">
        <v>5.0</v>
      </c>
      <c r="K3250" s="61">
        <f t="shared" si="1"/>
        <v>1</v>
      </c>
      <c r="L3250" s="62">
        <f t="shared" si="2"/>
        <v>1.25</v>
      </c>
    </row>
    <row r="3251">
      <c r="A3251" s="58">
        <v>45901.0</v>
      </c>
      <c r="B3251" s="24" t="s">
        <v>6787</v>
      </c>
      <c r="C3251" s="24" t="s">
        <v>7323</v>
      </c>
      <c r="D3251" s="59">
        <v>4.0</v>
      </c>
      <c r="E3251" s="59">
        <v>5.0</v>
      </c>
      <c r="F3251" s="59">
        <v>3.0</v>
      </c>
      <c r="G3251" s="60">
        <v>1.25</v>
      </c>
      <c r="H3251" s="60">
        <v>0.2</v>
      </c>
      <c r="I3251" s="60">
        <v>53.1160256</v>
      </c>
      <c r="J3251" s="59">
        <v>7.0</v>
      </c>
      <c r="K3251" s="61">
        <f t="shared" si="1"/>
        <v>0.6</v>
      </c>
      <c r="L3251" s="62">
        <f t="shared" si="2"/>
        <v>1.4</v>
      </c>
    </row>
    <row r="3252">
      <c r="A3252" s="58">
        <v>45901.0</v>
      </c>
      <c r="B3252" s="24" t="s">
        <v>6789</v>
      </c>
      <c r="C3252" s="24" t="s">
        <v>6922</v>
      </c>
      <c r="D3252" s="59">
        <v>4.0</v>
      </c>
      <c r="E3252" s="59">
        <v>5.0</v>
      </c>
      <c r="F3252" s="59">
        <v>1.0</v>
      </c>
      <c r="G3252" s="60">
        <v>1.66666666666666</v>
      </c>
      <c r="H3252" s="60">
        <v>0.6</v>
      </c>
      <c r="I3252" s="60">
        <v>142.895833999999</v>
      </c>
      <c r="J3252" s="59">
        <v>5.0</v>
      </c>
      <c r="K3252" s="61">
        <f t="shared" si="1"/>
        <v>0.2</v>
      </c>
      <c r="L3252" s="62">
        <f t="shared" si="2"/>
        <v>1</v>
      </c>
    </row>
    <row r="3253">
      <c r="A3253" s="58">
        <v>45901.0</v>
      </c>
      <c r="B3253" s="24" t="s">
        <v>7030</v>
      </c>
      <c r="C3253" s="24" t="s">
        <v>6788</v>
      </c>
      <c r="D3253" s="59">
        <v>3.0</v>
      </c>
      <c r="E3253" s="59">
        <v>3.0</v>
      </c>
      <c r="F3253" s="59">
        <v>3.0</v>
      </c>
      <c r="G3253" s="60">
        <v>1.0</v>
      </c>
      <c r="H3253" s="60">
        <v>1.0</v>
      </c>
      <c r="I3253" s="60">
        <v>2.975081</v>
      </c>
      <c r="J3253" s="59">
        <v>3.0</v>
      </c>
      <c r="K3253" s="61">
        <f t="shared" si="1"/>
        <v>1</v>
      </c>
      <c r="L3253" s="62">
        <f t="shared" si="2"/>
        <v>1</v>
      </c>
    </row>
    <row r="3254">
      <c r="A3254" s="58">
        <v>45901.0</v>
      </c>
      <c r="B3254" s="24" t="s">
        <v>6787</v>
      </c>
      <c r="C3254" s="24" t="s">
        <v>7324</v>
      </c>
      <c r="D3254" s="59">
        <v>3.0</v>
      </c>
      <c r="E3254" s="59">
        <v>3.0</v>
      </c>
      <c r="F3254" s="59">
        <v>3.0</v>
      </c>
      <c r="G3254" s="60">
        <v>1.0</v>
      </c>
      <c r="H3254" s="60">
        <v>1.0</v>
      </c>
      <c r="I3254" s="60">
        <v>0.0</v>
      </c>
      <c r="J3254" s="59">
        <v>3.0</v>
      </c>
      <c r="K3254" s="61">
        <f t="shared" si="1"/>
        <v>1</v>
      </c>
      <c r="L3254" s="62">
        <f t="shared" si="2"/>
        <v>1</v>
      </c>
    </row>
    <row r="3255">
      <c r="A3255" s="58">
        <v>45901.0</v>
      </c>
      <c r="B3255" s="24" t="s">
        <v>6787</v>
      </c>
      <c r="C3255" s="24" t="s">
        <v>6980</v>
      </c>
      <c r="D3255" s="59">
        <v>3.0</v>
      </c>
      <c r="E3255" s="59">
        <v>3.0</v>
      </c>
      <c r="F3255" s="59">
        <v>3.0</v>
      </c>
      <c r="G3255" s="60">
        <v>1.0</v>
      </c>
      <c r="H3255" s="60">
        <v>1.0</v>
      </c>
      <c r="I3255" s="60">
        <v>3.09647433333333</v>
      </c>
      <c r="J3255" s="59">
        <v>3.0</v>
      </c>
      <c r="K3255" s="61">
        <f t="shared" si="1"/>
        <v>1</v>
      </c>
      <c r="L3255" s="62">
        <f t="shared" si="2"/>
        <v>1</v>
      </c>
    </row>
    <row r="3256">
      <c r="A3256" s="58">
        <v>45901.0</v>
      </c>
      <c r="B3256" s="24" t="s">
        <v>6787</v>
      </c>
      <c r="C3256" s="24" t="s">
        <v>7298</v>
      </c>
      <c r="D3256" s="59">
        <v>3.0</v>
      </c>
      <c r="E3256" s="59">
        <v>5.0</v>
      </c>
      <c r="F3256" s="59">
        <v>0.0</v>
      </c>
      <c r="G3256" s="60">
        <v>1.66666666666666</v>
      </c>
      <c r="H3256" s="60">
        <v>0.0</v>
      </c>
      <c r="I3256" s="60">
        <v>232.4676362</v>
      </c>
      <c r="J3256" s="59">
        <v>13.0</v>
      </c>
      <c r="K3256" s="61">
        <f t="shared" si="1"/>
        <v>0</v>
      </c>
      <c r="L3256" s="62">
        <f t="shared" si="2"/>
        <v>2.6</v>
      </c>
    </row>
    <row r="3257">
      <c r="A3257" s="58">
        <v>45901.0</v>
      </c>
      <c r="B3257" s="24" t="s">
        <v>6787</v>
      </c>
      <c r="C3257" s="24" t="s">
        <v>7149</v>
      </c>
      <c r="D3257" s="59">
        <v>3.0</v>
      </c>
      <c r="E3257" s="59">
        <v>4.0</v>
      </c>
      <c r="F3257" s="59">
        <v>1.0</v>
      </c>
      <c r="G3257" s="60">
        <v>2.0</v>
      </c>
      <c r="H3257" s="60">
        <v>0.75</v>
      </c>
      <c r="I3257" s="60">
        <v>4.2952015</v>
      </c>
      <c r="J3257" s="59">
        <v>4.0</v>
      </c>
      <c r="K3257" s="61">
        <f t="shared" si="1"/>
        <v>0.25</v>
      </c>
      <c r="L3257" s="62">
        <f t="shared" si="2"/>
        <v>1</v>
      </c>
    </row>
    <row r="3258">
      <c r="A3258" s="58">
        <v>45901.0</v>
      </c>
      <c r="B3258" s="24" t="s">
        <v>6789</v>
      </c>
      <c r="C3258" s="24" t="s">
        <v>7149</v>
      </c>
      <c r="D3258" s="59">
        <v>3.0</v>
      </c>
      <c r="E3258" s="59">
        <v>5.0</v>
      </c>
      <c r="F3258" s="59">
        <v>0.0</v>
      </c>
      <c r="G3258" s="60">
        <v>2.5</v>
      </c>
      <c r="H3258" s="60">
        <v>0.6</v>
      </c>
      <c r="I3258" s="60">
        <v>695.7829826</v>
      </c>
      <c r="J3258" s="59">
        <v>14.0</v>
      </c>
      <c r="K3258" s="61">
        <f t="shared" si="1"/>
        <v>0</v>
      </c>
      <c r="L3258" s="62">
        <f t="shared" si="2"/>
        <v>2.8</v>
      </c>
    </row>
    <row r="3259">
      <c r="A3259" s="58">
        <v>45901.0</v>
      </c>
      <c r="B3259" s="24" t="s">
        <v>6789</v>
      </c>
      <c r="C3259" s="24" t="s">
        <v>6943</v>
      </c>
      <c r="D3259" s="59">
        <v>3.0</v>
      </c>
      <c r="E3259" s="59">
        <v>3.0</v>
      </c>
      <c r="F3259" s="59">
        <v>2.0</v>
      </c>
      <c r="G3259" s="60">
        <v>1.0</v>
      </c>
      <c r="H3259" s="60">
        <v>0.333333333333333</v>
      </c>
      <c r="I3259" s="60">
        <v>165.829976333333</v>
      </c>
      <c r="J3259" s="59">
        <v>4.0</v>
      </c>
      <c r="K3259" s="61">
        <f t="shared" si="1"/>
        <v>0.6666666667</v>
      </c>
      <c r="L3259" s="62">
        <f t="shared" si="2"/>
        <v>1.333333333</v>
      </c>
    </row>
    <row r="3260">
      <c r="A3260" s="58">
        <v>45901.0</v>
      </c>
      <c r="B3260" s="24" t="s">
        <v>6789</v>
      </c>
      <c r="C3260" s="24" t="s">
        <v>7058</v>
      </c>
      <c r="D3260" s="59">
        <v>3.0</v>
      </c>
      <c r="E3260" s="59">
        <v>3.0</v>
      </c>
      <c r="F3260" s="59">
        <v>3.0</v>
      </c>
      <c r="G3260" s="60">
        <v>1.0</v>
      </c>
      <c r="H3260" s="60">
        <v>0.666666666666666</v>
      </c>
      <c r="I3260" s="60">
        <v>255.259808666666</v>
      </c>
      <c r="J3260" s="59">
        <v>3.0</v>
      </c>
      <c r="K3260" s="61">
        <f t="shared" si="1"/>
        <v>1</v>
      </c>
      <c r="L3260" s="62">
        <f t="shared" si="2"/>
        <v>1</v>
      </c>
    </row>
    <row r="3261">
      <c r="A3261" s="58">
        <v>45901.0</v>
      </c>
      <c r="B3261" s="24" t="s">
        <v>6787</v>
      </c>
      <c r="C3261" s="24" t="s">
        <v>7039</v>
      </c>
      <c r="D3261" s="59">
        <v>3.0</v>
      </c>
      <c r="E3261" s="59">
        <v>3.0</v>
      </c>
      <c r="F3261" s="59">
        <v>2.0</v>
      </c>
      <c r="G3261" s="60">
        <v>1.0</v>
      </c>
      <c r="H3261" s="60">
        <v>0.333333333333333</v>
      </c>
      <c r="I3261" s="60">
        <v>82.6527436666666</v>
      </c>
      <c r="J3261" s="59">
        <v>16.0</v>
      </c>
      <c r="K3261" s="61">
        <f t="shared" si="1"/>
        <v>0.6666666667</v>
      </c>
      <c r="L3261" s="62">
        <f t="shared" si="2"/>
        <v>5.333333333</v>
      </c>
    </row>
    <row r="3262">
      <c r="A3262" s="58">
        <v>45901.0</v>
      </c>
      <c r="B3262" s="24" t="s">
        <v>6787</v>
      </c>
      <c r="C3262" s="24" t="s">
        <v>6927</v>
      </c>
      <c r="D3262" s="59">
        <v>3.0</v>
      </c>
      <c r="E3262" s="59">
        <v>3.0</v>
      </c>
      <c r="F3262" s="59">
        <v>3.0</v>
      </c>
      <c r="G3262" s="60">
        <v>1.0</v>
      </c>
      <c r="H3262" s="60">
        <v>0.666666666666666</v>
      </c>
      <c r="I3262" s="60">
        <v>28.4056946666666</v>
      </c>
      <c r="J3262" s="59">
        <v>3.0</v>
      </c>
      <c r="K3262" s="61">
        <f t="shared" si="1"/>
        <v>1</v>
      </c>
      <c r="L3262" s="62">
        <f t="shared" si="2"/>
        <v>1</v>
      </c>
    </row>
    <row r="3263">
      <c r="A3263" s="58">
        <v>45901.0</v>
      </c>
      <c r="B3263" s="24" t="s">
        <v>155</v>
      </c>
      <c r="C3263" s="24" t="s">
        <v>6927</v>
      </c>
      <c r="D3263" s="59">
        <v>3.0</v>
      </c>
      <c r="E3263" s="59">
        <v>3.0</v>
      </c>
      <c r="F3263" s="59">
        <v>3.0</v>
      </c>
      <c r="G3263" s="60">
        <v>1.0</v>
      </c>
      <c r="H3263" s="60">
        <v>0.666666666666666</v>
      </c>
      <c r="I3263" s="60">
        <v>129.435950666666</v>
      </c>
      <c r="J3263" s="59">
        <v>4.0</v>
      </c>
      <c r="K3263" s="61">
        <f t="shared" si="1"/>
        <v>1</v>
      </c>
      <c r="L3263" s="62">
        <f t="shared" si="2"/>
        <v>1.333333333</v>
      </c>
    </row>
    <row r="3264">
      <c r="A3264" s="58">
        <v>45901.0</v>
      </c>
      <c r="B3264" s="24" t="s">
        <v>6789</v>
      </c>
      <c r="C3264" s="24" t="s">
        <v>6875</v>
      </c>
      <c r="D3264" s="59">
        <v>3.0</v>
      </c>
      <c r="E3264" s="59">
        <v>3.0</v>
      </c>
      <c r="F3264" s="59">
        <v>3.0</v>
      </c>
      <c r="G3264" s="60">
        <v>1.0</v>
      </c>
      <c r="H3264" s="60">
        <v>0.0</v>
      </c>
      <c r="I3264" s="60">
        <v>110.344218333333</v>
      </c>
      <c r="J3264" s="59">
        <v>12.0</v>
      </c>
      <c r="K3264" s="61">
        <f t="shared" si="1"/>
        <v>1</v>
      </c>
      <c r="L3264" s="62">
        <f t="shared" si="2"/>
        <v>4</v>
      </c>
    </row>
    <row r="3265">
      <c r="A3265" s="58">
        <v>45901.0</v>
      </c>
      <c r="B3265" s="24" t="s">
        <v>6787</v>
      </c>
      <c r="C3265" s="24" t="s">
        <v>6876</v>
      </c>
      <c r="D3265" s="59">
        <v>3.0</v>
      </c>
      <c r="E3265" s="59">
        <v>3.0</v>
      </c>
      <c r="F3265" s="59">
        <v>3.0</v>
      </c>
      <c r="G3265" s="60">
        <v>1.0</v>
      </c>
      <c r="H3265" s="60">
        <v>0.666666666666666</v>
      </c>
      <c r="I3265" s="60">
        <v>10.1949646666666</v>
      </c>
      <c r="J3265" s="59">
        <v>3.0</v>
      </c>
      <c r="K3265" s="61">
        <f t="shared" si="1"/>
        <v>1</v>
      </c>
      <c r="L3265" s="62">
        <f t="shared" si="2"/>
        <v>1</v>
      </c>
    </row>
    <row r="3266">
      <c r="A3266" s="58">
        <v>45901.0</v>
      </c>
      <c r="B3266" s="24" t="s">
        <v>6787</v>
      </c>
      <c r="C3266" s="24" t="s">
        <v>6882</v>
      </c>
      <c r="D3266" s="59">
        <v>3.0</v>
      </c>
      <c r="E3266" s="59">
        <v>3.0</v>
      </c>
      <c r="F3266" s="59">
        <v>3.0</v>
      </c>
      <c r="G3266" s="60">
        <v>1.0</v>
      </c>
      <c r="H3266" s="60">
        <v>0.333333333333333</v>
      </c>
      <c r="I3266" s="60">
        <v>412.923618</v>
      </c>
      <c r="J3266" s="59">
        <v>3.0</v>
      </c>
      <c r="K3266" s="61">
        <f t="shared" si="1"/>
        <v>1</v>
      </c>
      <c r="L3266" s="62">
        <f t="shared" si="2"/>
        <v>1</v>
      </c>
    </row>
    <row r="3267">
      <c r="A3267" s="58">
        <v>45901.0</v>
      </c>
      <c r="B3267" s="24" t="s">
        <v>6787</v>
      </c>
      <c r="C3267" s="24" t="s">
        <v>6835</v>
      </c>
      <c r="D3267" s="59">
        <v>3.0</v>
      </c>
      <c r="E3267" s="59">
        <v>3.0</v>
      </c>
      <c r="F3267" s="59">
        <v>3.0</v>
      </c>
      <c r="G3267" s="60">
        <v>1.0</v>
      </c>
      <c r="H3267" s="60">
        <v>0.333333333333333</v>
      </c>
      <c r="I3267" s="60">
        <v>24.821363</v>
      </c>
      <c r="J3267" s="59">
        <v>4.0</v>
      </c>
      <c r="K3267" s="61">
        <f t="shared" si="1"/>
        <v>1</v>
      </c>
      <c r="L3267" s="62">
        <f t="shared" si="2"/>
        <v>1.333333333</v>
      </c>
    </row>
    <row r="3268">
      <c r="A3268" s="58">
        <v>45901.0</v>
      </c>
      <c r="B3268" s="24" t="s">
        <v>6787</v>
      </c>
      <c r="C3268" s="24" t="s">
        <v>6945</v>
      </c>
      <c r="D3268" s="59">
        <v>3.0</v>
      </c>
      <c r="E3268" s="59">
        <v>3.0</v>
      </c>
      <c r="F3268" s="59">
        <v>3.0</v>
      </c>
      <c r="G3268" s="60">
        <v>1.0</v>
      </c>
      <c r="H3268" s="60">
        <v>1.0</v>
      </c>
      <c r="I3268" s="60">
        <v>1.76861766666666</v>
      </c>
      <c r="J3268" s="59">
        <v>3.0</v>
      </c>
      <c r="K3268" s="61">
        <f t="shared" si="1"/>
        <v>1</v>
      </c>
      <c r="L3268" s="62">
        <f t="shared" si="2"/>
        <v>1</v>
      </c>
    </row>
    <row r="3269">
      <c r="A3269" s="58">
        <v>45901.0</v>
      </c>
      <c r="B3269" s="24" t="s">
        <v>6787</v>
      </c>
      <c r="C3269" s="24" t="s">
        <v>7151</v>
      </c>
      <c r="D3269" s="59">
        <v>3.0</v>
      </c>
      <c r="E3269" s="59">
        <v>3.0</v>
      </c>
      <c r="F3269" s="59">
        <v>3.0</v>
      </c>
      <c r="G3269" s="60">
        <v>1.0</v>
      </c>
      <c r="H3269" s="60">
        <v>1.0</v>
      </c>
      <c r="I3269" s="60">
        <v>1.58771766666666</v>
      </c>
      <c r="J3269" s="59">
        <v>3.0</v>
      </c>
      <c r="K3269" s="61">
        <f t="shared" si="1"/>
        <v>1</v>
      </c>
      <c r="L3269" s="62">
        <f t="shared" si="2"/>
        <v>1</v>
      </c>
    </row>
    <row r="3270">
      <c r="A3270" s="58">
        <v>45901.0</v>
      </c>
      <c r="B3270" s="24" t="s">
        <v>6789</v>
      </c>
      <c r="C3270" s="24" t="s">
        <v>6997</v>
      </c>
      <c r="D3270" s="59">
        <v>3.0</v>
      </c>
      <c r="E3270" s="59">
        <v>3.0</v>
      </c>
      <c r="F3270" s="59">
        <v>3.0</v>
      </c>
      <c r="G3270" s="60">
        <v>1.0</v>
      </c>
      <c r="H3270" s="60">
        <v>0.333333333333333</v>
      </c>
      <c r="I3270" s="60">
        <v>13.2582963333333</v>
      </c>
      <c r="J3270" s="59">
        <v>4.0</v>
      </c>
      <c r="K3270" s="61">
        <f t="shared" si="1"/>
        <v>1</v>
      </c>
      <c r="L3270" s="62">
        <f t="shared" si="2"/>
        <v>1.333333333</v>
      </c>
    </row>
    <row r="3271">
      <c r="A3271" s="58">
        <v>45901.0</v>
      </c>
      <c r="B3271" s="24" t="s">
        <v>6789</v>
      </c>
      <c r="C3271" s="24" t="s">
        <v>6840</v>
      </c>
      <c r="D3271" s="59">
        <v>3.0</v>
      </c>
      <c r="E3271" s="59">
        <v>3.0</v>
      </c>
      <c r="F3271" s="59">
        <v>3.0</v>
      </c>
      <c r="G3271" s="60">
        <v>1.0</v>
      </c>
      <c r="H3271" s="60">
        <v>0.333333333333333</v>
      </c>
      <c r="I3271" s="60">
        <v>398.468119</v>
      </c>
      <c r="J3271" s="59">
        <v>3.0</v>
      </c>
      <c r="K3271" s="61">
        <f t="shared" si="1"/>
        <v>1</v>
      </c>
      <c r="L3271" s="62">
        <f t="shared" si="2"/>
        <v>1</v>
      </c>
    </row>
    <row r="3272">
      <c r="A3272" s="58">
        <v>45901.0</v>
      </c>
      <c r="B3272" s="24" t="s">
        <v>6789</v>
      </c>
      <c r="C3272" s="24" t="s">
        <v>6896</v>
      </c>
      <c r="D3272" s="59">
        <v>3.0</v>
      </c>
      <c r="E3272" s="59">
        <v>4.0</v>
      </c>
      <c r="F3272" s="59">
        <v>2.0</v>
      </c>
      <c r="G3272" s="60">
        <v>1.33333333333333</v>
      </c>
      <c r="H3272" s="60">
        <v>0.5</v>
      </c>
      <c r="I3272" s="60">
        <v>197.364156999999</v>
      </c>
      <c r="J3272" s="59">
        <v>5.0</v>
      </c>
      <c r="K3272" s="61">
        <f t="shared" si="1"/>
        <v>0.5</v>
      </c>
      <c r="L3272" s="62">
        <f t="shared" si="2"/>
        <v>1.25</v>
      </c>
    </row>
    <row r="3273">
      <c r="A3273" s="58">
        <v>45901.0</v>
      </c>
      <c r="B3273" s="24" t="s">
        <v>6789</v>
      </c>
      <c r="C3273" s="24" t="s">
        <v>6897</v>
      </c>
      <c r="D3273" s="59">
        <v>3.0</v>
      </c>
      <c r="E3273" s="59">
        <v>3.0</v>
      </c>
      <c r="F3273" s="59">
        <v>1.0</v>
      </c>
      <c r="G3273" s="60">
        <v>1.5</v>
      </c>
      <c r="H3273" s="60">
        <v>0.333333333333333</v>
      </c>
      <c r="I3273" s="60">
        <v>491.284872</v>
      </c>
      <c r="J3273" s="59">
        <v>4.0</v>
      </c>
      <c r="K3273" s="61">
        <f t="shared" si="1"/>
        <v>0.3333333333</v>
      </c>
      <c r="L3273" s="62">
        <f t="shared" si="2"/>
        <v>1.333333333</v>
      </c>
    </row>
    <row r="3274">
      <c r="A3274" s="58">
        <v>45901.0</v>
      </c>
      <c r="B3274" s="24" t="s">
        <v>6787</v>
      </c>
      <c r="C3274" s="24" t="s">
        <v>6841</v>
      </c>
      <c r="D3274" s="59">
        <v>3.0</v>
      </c>
      <c r="E3274" s="59">
        <v>5.0</v>
      </c>
      <c r="F3274" s="59">
        <v>3.0</v>
      </c>
      <c r="G3274" s="60">
        <v>1.66666666666666</v>
      </c>
      <c r="H3274" s="60">
        <v>0.6</v>
      </c>
      <c r="I3274" s="60">
        <v>144.054749599999</v>
      </c>
      <c r="J3274" s="59">
        <v>9.0</v>
      </c>
      <c r="K3274" s="61">
        <f t="shared" si="1"/>
        <v>0.6</v>
      </c>
      <c r="L3274" s="62">
        <f t="shared" si="2"/>
        <v>1.8</v>
      </c>
    </row>
    <row r="3275">
      <c r="A3275" s="58">
        <v>45901.0</v>
      </c>
      <c r="B3275" s="24" t="s">
        <v>155</v>
      </c>
      <c r="C3275" s="24" t="s">
        <v>6841</v>
      </c>
      <c r="D3275" s="59">
        <v>3.0</v>
      </c>
      <c r="E3275" s="59">
        <v>3.0</v>
      </c>
      <c r="F3275" s="59">
        <v>3.0</v>
      </c>
      <c r="G3275" s="60">
        <v>1.0</v>
      </c>
      <c r="H3275" s="60">
        <v>0.666666666666666</v>
      </c>
      <c r="I3275" s="60">
        <v>351.971688</v>
      </c>
      <c r="J3275" s="59">
        <v>7.0</v>
      </c>
      <c r="K3275" s="61">
        <f t="shared" si="1"/>
        <v>1</v>
      </c>
      <c r="L3275" s="62">
        <f t="shared" si="2"/>
        <v>2.333333333</v>
      </c>
    </row>
    <row r="3276">
      <c r="A3276" s="58">
        <v>45901.0</v>
      </c>
      <c r="B3276" s="24" t="s">
        <v>155</v>
      </c>
      <c r="C3276" s="24" t="s">
        <v>6844</v>
      </c>
      <c r="D3276" s="59">
        <v>3.0</v>
      </c>
      <c r="E3276" s="59">
        <v>4.0</v>
      </c>
      <c r="F3276" s="59">
        <v>2.0</v>
      </c>
      <c r="G3276" s="60">
        <v>2.0</v>
      </c>
      <c r="H3276" s="60">
        <v>0.5</v>
      </c>
      <c r="I3276" s="60">
        <v>407.9940175</v>
      </c>
      <c r="J3276" s="59">
        <v>4.0</v>
      </c>
      <c r="K3276" s="61">
        <f t="shared" si="1"/>
        <v>0.5</v>
      </c>
      <c r="L3276" s="62">
        <f t="shared" si="2"/>
        <v>1</v>
      </c>
    </row>
    <row r="3277">
      <c r="A3277" s="58">
        <v>45901.0</v>
      </c>
      <c r="B3277" s="24" t="s">
        <v>6787</v>
      </c>
      <c r="C3277" s="24" t="s">
        <v>7080</v>
      </c>
      <c r="D3277" s="59">
        <v>3.0</v>
      </c>
      <c r="E3277" s="59">
        <v>8.0</v>
      </c>
      <c r="F3277" s="59">
        <v>0.0</v>
      </c>
      <c r="G3277" s="60">
        <v>2.66666666666666</v>
      </c>
      <c r="H3277" s="60">
        <v>0.25</v>
      </c>
      <c r="I3277" s="60">
        <v>39.902793125</v>
      </c>
      <c r="J3277" s="59">
        <v>14.0</v>
      </c>
      <c r="K3277" s="61">
        <f t="shared" si="1"/>
        <v>0</v>
      </c>
      <c r="L3277" s="62">
        <f t="shared" si="2"/>
        <v>1.75</v>
      </c>
    </row>
    <row r="3278">
      <c r="A3278" s="58">
        <v>45901.0</v>
      </c>
      <c r="B3278" s="24" t="s">
        <v>6787</v>
      </c>
      <c r="C3278" s="24" t="s">
        <v>7325</v>
      </c>
      <c r="D3278" s="59">
        <v>3.0</v>
      </c>
      <c r="E3278" s="59">
        <v>3.0</v>
      </c>
      <c r="F3278" s="59">
        <v>0.0</v>
      </c>
      <c r="G3278" s="60">
        <v>1.0</v>
      </c>
      <c r="H3278" s="60">
        <v>0.0</v>
      </c>
      <c r="I3278" s="60">
        <v>29.8718866666666</v>
      </c>
      <c r="J3278" s="59">
        <v>6.0</v>
      </c>
      <c r="K3278" s="61">
        <f t="shared" si="1"/>
        <v>0</v>
      </c>
      <c r="L3278" s="62">
        <f t="shared" si="2"/>
        <v>2</v>
      </c>
    </row>
    <row r="3279">
      <c r="A3279" s="58">
        <v>45901.0</v>
      </c>
      <c r="B3279" s="24" t="s">
        <v>6787</v>
      </c>
      <c r="C3279" s="24" t="s">
        <v>6904</v>
      </c>
      <c r="D3279" s="59">
        <v>3.0</v>
      </c>
      <c r="E3279" s="59">
        <v>3.0</v>
      </c>
      <c r="F3279" s="59">
        <v>3.0</v>
      </c>
      <c r="G3279" s="60">
        <v>1.0</v>
      </c>
      <c r="H3279" s="60">
        <v>0.333333333333333</v>
      </c>
      <c r="I3279" s="60">
        <v>11.9777476666666</v>
      </c>
      <c r="J3279" s="59">
        <v>5.0</v>
      </c>
      <c r="K3279" s="61">
        <f t="shared" si="1"/>
        <v>1</v>
      </c>
      <c r="L3279" s="62">
        <f t="shared" si="2"/>
        <v>1.666666667</v>
      </c>
    </row>
    <row r="3280">
      <c r="A3280" s="58">
        <v>45901.0</v>
      </c>
      <c r="B3280" s="24" t="s">
        <v>6789</v>
      </c>
      <c r="C3280" s="24" t="s">
        <v>7234</v>
      </c>
      <c r="D3280" s="59">
        <v>3.0</v>
      </c>
      <c r="E3280" s="59">
        <v>3.0</v>
      </c>
      <c r="F3280" s="59">
        <v>1.0</v>
      </c>
      <c r="G3280" s="60">
        <v>1.0</v>
      </c>
      <c r="H3280" s="60">
        <v>0.0</v>
      </c>
      <c r="I3280" s="60">
        <v>108.766939333333</v>
      </c>
      <c r="J3280" s="59">
        <v>7.0</v>
      </c>
      <c r="K3280" s="61">
        <f t="shared" si="1"/>
        <v>0.3333333333</v>
      </c>
      <c r="L3280" s="62">
        <f t="shared" si="2"/>
        <v>2.333333333</v>
      </c>
    </row>
    <row r="3281">
      <c r="A3281" s="58">
        <v>45901.0</v>
      </c>
      <c r="B3281" s="24" t="s">
        <v>6787</v>
      </c>
      <c r="C3281" s="24" t="s">
        <v>7090</v>
      </c>
      <c r="D3281" s="59">
        <v>3.0</v>
      </c>
      <c r="E3281" s="59">
        <v>3.0</v>
      </c>
      <c r="F3281" s="59">
        <v>3.0</v>
      </c>
      <c r="G3281" s="60">
        <v>1.0</v>
      </c>
      <c r="H3281" s="60">
        <v>0.666666666666666</v>
      </c>
      <c r="I3281" s="60">
        <v>5.38071666666666</v>
      </c>
      <c r="J3281" s="59">
        <v>3.0</v>
      </c>
      <c r="K3281" s="61">
        <f t="shared" si="1"/>
        <v>1</v>
      </c>
      <c r="L3281" s="62">
        <f t="shared" si="2"/>
        <v>1</v>
      </c>
    </row>
    <row r="3282">
      <c r="A3282" s="58">
        <v>45901.0</v>
      </c>
      <c r="B3282" s="24" t="s">
        <v>6787</v>
      </c>
      <c r="C3282" s="24" t="s">
        <v>7013</v>
      </c>
      <c r="D3282" s="59">
        <v>3.0</v>
      </c>
      <c r="E3282" s="59">
        <v>3.0</v>
      </c>
      <c r="F3282" s="59">
        <v>3.0</v>
      </c>
      <c r="G3282" s="60">
        <v>1.0</v>
      </c>
      <c r="H3282" s="60">
        <v>1.0</v>
      </c>
      <c r="I3282" s="60">
        <v>1.933537</v>
      </c>
      <c r="J3282" s="59">
        <v>3.0</v>
      </c>
      <c r="K3282" s="61">
        <f t="shared" si="1"/>
        <v>1</v>
      </c>
      <c r="L3282" s="62">
        <f t="shared" si="2"/>
        <v>1</v>
      </c>
    </row>
    <row r="3283">
      <c r="A3283" s="58">
        <v>45901.0</v>
      </c>
      <c r="B3283" s="24" t="s">
        <v>6789</v>
      </c>
      <c r="C3283" s="24" t="s">
        <v>6851</v>
      </c>
      <c r="D3283" s="59">
        <v>3.0</v>
      </c>
      <c r="E3283" s="59">
        <v>5.0</v>
      </c>
      <c r="F3283" s="59">
        <v>0.0</v>
      </c>
      <c r="G3283" s="60">
        <v>1.66666666666666</v>
      </c>
      <c r="H3283" s="60">
        <v>0.0</v>
      </c>
      <c r="I3283" s="60">
        <v>618.9134438</v>
      </c>
      <c r="J3283" s="59">
        <v>10.0</v>
      </c>
      <c r="K3283" s="61">
        <f t="shared" si="1"/>
        <v>0</v>
      </c>
      <c r="L3283" s="62">
        <f t="shared" si="2"/>
        <v>2</v>
      </c>
    </row>
    <row r="3284">
      <c r="A3284" s="58">
        <v>45901.0</v>
      </c>
      <c r="B3284" s="24" t="s">
        <v>155</v>
      </c>
      <c r="C3284" s="24" t="s">
        <v>6801</v>
      </c>
      <c r="D3284" s="59">
        <v>3.0</v>
      </c>
      <c r="E3284" s="59">
        <v>4.0</v>
      </c>
      <c r="F3284" s="59">
        <v>3.0</v>
      </c>
      <c r="G3284" s="60">
        <v>1.33333333333333</v>
      </c>
      <c r="H3284" s="60">
        <v>0.0</v>
      </c>
      <c r="I3284" s="60">
        <v>597.56172225</v>
      </c>
      <c r="J3284" s="59">
        <v>6.0</v>
      </c>
      <c r="K3284" s="61">
        <f t="shared" si="1"/>
        <v>0.75</v>
      </c>
      <c r="L3284" s="62">
        <f t="shared" si="2"/>
        <v>1.5</v>
      </c>
    </row>
    <row r="3285">
      <c r="A3285" s="58">
        <v>45901.0</v>
      </c>
      <c r="B3285" s="24" t="s">
        <v>155</v>
      </c>
      <c r="C3285" s="24" t="s">
        <v>6815</v>
      </c>
      <c r="D3285" s="59">
        <v>3.0</v>
      </c>
      <c r="E3285" s="59">
        <v>4.0</v>
      </c>
      <c r="F3285" s="59">
        <v>3.0</v>
      </c>
      <c r="G3285" s="60">
        <v>1.33333333333333</v>
      </c>
      <c r="H3285" s="60">
        <v>0.75</v>
      </c>
      <c r="I3285" s="60">
        <v>28.87670125</v>
      </c>
      <c r="J3285" s="59">
        <v>4.0</v>
      </c>
      <c r="K3285" s="61">
        <f t="shared" si="1"/>
        <v>0.75</v>
      </c>
      <c r="L3285" s="62">
        <f t="shared" si="2"/>
        <v>1</v>
      </c>
    </row>
    <row r="3286">
      <c r="A3286" s="58">
        <v>45901.0</v>
      </c>
      <c r="B3286" s="24" t="s">
        <v>6787</v>
      </c>
      <c r="C3286" s="24" t="s">
        <v>7107</v>
      </c>
      <c r="D3286" s="59">
        <v>3.0</v>
      </c>
      <c r="E3286" s="59">
        <v>3.0</v>
      </c>
      <c r="F3286" s="59">
        <v>2.0</v>
      </c>
      <c r="G3286" s="60">
        <v>1.0</v>
      </c>
      <c r="H3286" s="60">
        <v>1.0</v>
      </c>
      <c r="I3286" s="60">
        <v>0.0</v>
      </c>
      <c r="J3286" s="59">
        <v>3.0</v>
      </c>
      <c r="K3286" s="61">
        <f t="shared" si="1"/>
        <v>0.6666666667</v>
      </c>
      <c r="L3286" s="62">
        <f t="shared" si="2"/>
        <v>1</v>
      </c>
    </row>
    <row r="3287">
      <c r="A3287" s="58">
        <v>45901.0</v>
      </c>
      <c r="B3287" s="24" t="s">
        <v>155</v>
      </c>
      <c r="C3287" s="24" t="s">
        <v>7323</v>
      </c>
      <c r="D3287" s="59">
        <v>3.0</v>
      </c>
      <c r="E3287" s="59">
        <v>12.0</v>
      </c>
      <c r="F3287" s="59">
        <v>1.0</v>
      </c>
      <c r="G3287" s="60">
        <v>4.0</v>
      </c>
      <c r="H3287" s="60">
        <v>0.583333333333333</v>
      </c>
      <c r="I3287" s="60">
        <v>318.10255925</v>
      </c>
      <c r="J3287" s="59">
        <v>22.0</v>
      </c>
      <c r="K3287" s="61">
        <f t="shared" si="1"/>
        <v>0.08333333333</v>
      </c>
      <c r="L3287" s="62">
        <f t="shared" si="2"/>
        <v>1.833333333</v>
      </c>
    </row>
    <row r="3288">
      <c r="A3288" s="58">
        <v>45901.0</v>
      </c>
      <c r="B3288" s="24" t="s">
        <v>6787</v>
      </c>
      <c r="C3288" s="24" t="s">
        <v>6919</v>
      </c>
      <c r="D3288" s="59">
        <v>3.0</v>
      </c>
      <c r="E3288" s="59">
        <v>3.0</v>
      </c>
      <c r="F3288" s="59">
        <v>3.0</v>
      </c>
      <c r="G3288" s="60">
        <v>1.0</v>
      </c>
      <c r="H3288" s="60">
        <v>1.0</v>
      </c>
      <c r="I3288" s="60">
        <v>4.447062</v>
      </c>
      <c r="J3288" s="59">
        <v>3.0</v>
      </c>
      <c r="K3288" s="61">
        <f t="shared" si="1"/>
        <v>1</v>
      </c>
      <c r="L3288" s="62">
        <f t="shared" si="2"/>
        <v>1</v>
      </c>
    </row>
    <row r="3289">
      <c r="A3289" s="58">
        <v>45901.0</v>
      </c>
      <c r="B3289" s="24" t="s">
        <v>6789</v>
      </c>
      <c r="C3289" s="24" t="s">
        <v>6797</v>
      </c>
      <c r="D3289" s="59">
        <v>3.0</v>
      </c>
      <c r="E3289" s="59">
        <v>3.0</v>
      </c>
      <c r="F3289" s="59">
        <v>1.0</v>
      </c>
      <c r="G3289" s="60">
        <v>1.5</v>
      </c>
      <c r="H3289" s="60">
        <v>0.666666666666666</v>
      </c>
      <c r="I3289" s="60">
        <v>761.297708999999</v>
      </c>
      <c r="J3289" s="59">
        <v>11.0</v>
      </c>
      <c r="K3289" s="61">
        <f t="shared" si="1"/>
        <v>0.3333333333</v>
      </c>
      <c r="L3289" s="62">
        <f t="shared" si="2"/>
        <v>3.666666667</v>
      </c>
    </row>
    <row r="3290">
      <c r="A3290" s="58">
        <v>45901.0</v>
      </c>
      <c r="B3290" s="24" t="s">
        <v>6789</v>
      </c>
      <c r="C3290" s="24" t="s">
        <v>6810</v>
      </c>
      <c r="D3290" s="59">
        <v>3.0</v>
      </c>
      <c r="E3290" s="59">
        <v>4.0</v>
      </c>
      <c r="F3290" s="59">
        <v>2.0</v>
      </c>
      <c r="G3290" s="60">
        <v>1.33333333333333</v>
      </c>
      <c r="H3290" s="60">
        <v>0.5</v>
      </c>
      <c r="I3290" s="60">
        <v>17.40557025</v>
      </c>
      <c r="J3290" s="59">
        <v>4.0</v>
      </c>
      <c r="K3290" s="61">
        <f t="shared" si="1"/>
        <v>0.5</v>
      </c>
      <c r="L3290" s="62">
        <f t="shared" si="2"/>
        <v>1</v>
      </c>
    </row>
    <row r="3291">
      <c r="A3291" s="58">
        <v>45901.0</v>
      </c>
      <c r="B3291" s="24" t="s">
        <v>6787</v>
      </c>
      <c r="C3291" s="24" t="s">
        <v>6854</v>
      </c>
      <c r="D3291" s="59">
        <v>3.0</v>
      </c>
      <c r="E3291" s="59">
        <v>3.0</v>
      </c>
      <c r="F3291" s="59">
        <v>3.0</v>
      </c>
      <c r="G3291" s="60">
        <v>1.0</v>
      </c>
      <c r="H3291" s="60">
        <v>0.0</v>
      </c>
      <c r="I3291" s="60">
        <v>42.1309963333333</v>
      </c>
      <c r="J3291" s="59">
        <v>4.0</v>
      </c>
      <c r="K3291" s="61">
        <f t="shared" si="1"/>
        <v>1</v>
      </c>
      <c r="L3291" s="62">
        <f t="shared" si="2"/>
        <v>1.333333333</v>
      </c>
    </row>
    <row r="3292">
      <c r="A3292" s="58">
        <v>45901.0</v>
      </c>
      <c r="B3292" s="24" t="s">
        <v>6789</v>
      </c>
      <c r="C3292" s="24" t="s">
        <v>6854</v>
      </c>
      <c r="D3292" s="59">
        <v>3.0</v>
      </c>
      <c r="E3292" s="59">
        <v>4.0</v>
      </c>
      <c r="F3292" s="59">
        <v>1.0</v>
      </c>
      <c r="G3292" s="60">
        <v>1.33333333333333</v>
      </c>
      <c r="H3292" s="60">
        <v>0.0</v>
      </c>
      <c r="I3292" s="60">
        <v>227.0768865</v>
      </c>
      <c r="J3292" s="59">
        <v>7.0</v>
      </c>
      <c r="K3292" s="61">
        <f t="shared" si="1"/>
        <v>0.25</v>
      </c>
      <c r="L3292" s="62">
        <f t="shared" si="2"/>
        <v>1.75</v>
      </c>
    </row>
    <row r="3293">
      <c r="A3293" s="58">
        <v>45901.0</v>
      </c>
      <c r="B3293" s="24" t="s">
        <v>6791</v>
      </c>
      <c r="C3293" s="24" t="s">
        <v>6802</v>
      </c>
      <c r="D3293" s="59">
        <v>3.0</v>
      </c>
      <c r="E3293" s="59">
        <v>4.0</v>
      </c>
      <c r="F3293" s="59">
        <v>0.0</v>
      </c>
      <c r="G3293" s="60">
        <v>1.33333333333333</v>
      </c>
      <c r="H3293" s="60">
        <v>0.25</v>
      </c>
      <c r="I3293" s="60">
        <v>155.63948925</v>
      </c>
      <c r="J3293" s="59">
        <v>9.0</v>
      </c>
      <c r="K3293" s="61">
        <f t="shared" si="1"/>
        <v>0</v>
      </c>
      <c r="L3293" s="62">
        <f t="shared" si="2"/>
        <v>2.25</v>
      </c>
    </row>
    <row r="3294">
      <c r="A3294" s="58">
        <v>45901.0</v>
      </c>
      <c r="B3294" s="24" t="s">
        <v>155</v>
      </c>
      <c r="C3294" s="24" t="s">
        <v>6802</v>
      </c>
      <c r="D3294" s="59">
        <v>3.0</v>
      </c>
      <c r="E3294" s="59">
        <v>4.0</v>
      </c>
      <c r="F3294" s="59">
        <v>0.0</v>
      </c>
      <c r="G3294" s="60">
        <v>2.0</v>
      </c>
      <c r="H3294" s="60">
        <v>0.75</v>
      </c>
      <c r="I3294" s="60">
        <v>5.48013175</v>
      </c>
      <c r="J3294" s="59">
        <v>4.0</v>
      </c>
      <c r="K3294" s="61">
        <f t="shared" si="1"/>
        <v>0</v>
      </c>
      <c r="L3294" s="62">
        <f t="shared" si="2"/>
        <v>1</v>
      </c>
    </row>
    <row r="3295">
      <c r="A3295" s="58">
        <v>45901.0</v>
      </c>
      <c r="B3295" s="24" t="s">
        <v>3216</v>
      </c>
      <c r="C3295" s="24" t="s">
        <v>6792</v>
      </c>
      <c r="D3295" s="59">
        <v>2.0</v>
      </c>
      <c r="E3295" s="59">
        <v>2.0</v>
      </c>
      <c r="F3295" s="59">
        <v>0.0</v>
      </c>
      <c r="G3295" s="60">
        <v>0.0</v>
      </c>
      <c r="H3295" s="60">
        <v>1.0</v>
      </c>
      <c r="I3295" s="60">
        <v>0.0</v>
      </c>
      <c r="J3295" s="59">
        <v>0.0</v>
      </c>
      <c r="K3295" s="61">
        <f t="shared" si="1"/>
        <v>0</v>
      </c>
      <c r="L3295" s="62">
        <f t="shared" si="2"/>
        <v>0</v>
      </c>
    </row>
    <row r="3296">
      <c r="A3296" s="58">
        <v>45901.0</v>
      </c>
      <c r="B3296" s="24" t="s">
        <v>6787</v>
      </c>
      <c r="C3296" s="24" t="s">
        <v>7326</v>
      </c>
      <c r="D3296" s="59">
        <v>2.0</v>
      </c>
      <c r="E3296" s="59">
        <v>2.0</v>
      </c>
      <c r="F3296" s="59">
        <v>2.0</v>
      </c>
      <c r="G3296" s="60">
        <v>1.0</v>
      </c>
      <c r="H3296" s="60">
        <v>1.0</v>
      </c>
      <c r="I3296" s="60">
        <v>1.738768</v>
      </c>
      <c r="J3296" s="59">
        <v>2.0</v>
      </c>
      <c r="K3296" s="61">
        <f t="shared" si="1"/>
        <v>1</v>
      </c>
      <c r="L3296" s="62">
        <f t="shared" si="2"/>
        <v>1</v>
      </c>
    </row>
    <row r="3297">
      <c r="A3297" s="58">
        <v>45901.0</v>
      </c>
      <c r="B3297" s="24" t="s">
        <v>6791</v>
      </c>
      <c r="C3297" s="24" t="s">
        <v>6817</v>
      </c>
      <c r="D3297" s="59">
        <v>2.0</v>
      </c>
      <c r="E3297" s="59">
        <v>4.0</v>
      </c>
      <c r="F3297" s="59">
        <v>0.0</v>
      </c>
      <c r="G3297" s="60">
        <v>2.0</v>
      </c>
      <c r="H3297" s="60">
        <v>0.0</v>
      </c>
      <c r="I3297" s="60">
        <v>729.39383825</v>
      </c>
      <c r="J3297" s="59">
        <v>25.0</v>
      </c>
      <c r="K3297" s="61">
        <f t="shared" si="1"/>
        <v>0</v>
      </c>
      <c r="L3297" s="62">
        <f t="shared" si="2"/>
        <v>6.25</v>
      </c>
    </row>
    <row r="3298">
      <c r="A3298" s="58">
        <v>45901.0</v>
      </c>
      <c r="B3298" s="24" t="s">
        <v>155</v>
      </c>
      <c r="C3298" s="24" t="s">
        <v>6817</v>
      </c>
      <c r="D3298" s="59">
        <v>2.0</v>
      </c>
      <c r="E3298" s="59">
        <v>4.0</v>
      </c>
      <c r="F3298" s="59">
        <v>0.0</v>
      </c>
      <c r="G3298" s="60">
        <v>2.0</v>
      </c>
      <c r="H3298" s="60">
        <v>0.25</v>
      </c>
      <c r="I3298" s="60">
        <v>349.24551225</v>
      </c>
      <c r="J3298" s="59">
        <v>12.0</v>
      </c>
      <c r="K3298" s="61">
        <f t="shared" si="1"/>
        <v>0</v>
      </c>
      <c r="L3298" s="62">
        <f t="shared" si="2"/>
        <v>3</v>
      </c>
    </row>
    <row r="3299">
      <c r="A3299" s="58">
        <v>45901.0</v>
      </c>
      <c r="B3299" s="24" t="s">
        <v>6787</v>
      </c>
      <c r="C3299" s="24" t="s">
        <v>6828</v>
      </c>
      <c r="D3299" s="59">
        <v>2.0</v>
      </c>
      <c r="E3299" s="59">
        <v>2.0</v>
      </c>
      <c r="F3299" s="59">
        <v>2.0</v>
      </c>
      <c r="G3299" s="60">
        <v>1.0</v>
      </c>
      <c r="H3299" s="60">
        <v>0.5</v>
      </c>
      <c r="I3299" s="60">
        <v>9.844266</v>
      </c>
      <c r="J3299" s="59">
        <v>3.0</v>
      </c>
      <c r="K3299" s="61">
        <f t="shared" si="1"/>
        <v>1</v>
      </c>
      <c r="L3299" s="62">
        <f t="shared" si="2"/>
        <v>1.5</v>
      </c>
    </row>
    <row r="3300">
      <c r="A3300" s="58">
        <v>45901.0</v>
      </c>
      <c r="B3300" s="24" t="s">
        <v>6789</v>
      </c>
      <c r="C3300" s="24" t="s">
        <v>6828</v>
      </c>
      <c r="D3300" s="59">
        <v>2.0</v>
      </c>
      <c r="E3300" s="59">
        <v>2.0</v>
      </c>
      <c r="F3300" s="59">
        <v>2.0</v>
      </c>
      <c r="G3300" s="60">
        <v>1.0</v>
      </c>
      <c r="H3300" s="60">
        <v>0.5</v>
      </c>
      <c r="I3300" s="60">
        <v>17.1732255</v>
      </c>
      <c r="J3300" s="59">
        <v>5.0</v>
      </c>
      <c r="K3300" s="61">
        <f t="shared" si="1"/>
        <v>1</v>
      </c>
      <c r="L3300" s="62">
        <f t="shared" si="2"/>
        <v>2.5</v>
      </c>
    </row>
    <row r="3301">
      <c r="A3301" s="58">
        <v>45901.0</v>
      </c>
      <c r="B3301" s="24" t="s">
        <v>6787</v>
      </c>
      <c r="C3301" s="24" t="s">
        <v>7058</v>
      </c>
      <c r="D3301" s="59">
        <v>2.0</v>
      </c>
      <c r="E3301" s="59">
        <v>2.0</v>
      </c>
      <c r="F3301" s="59">
        <v>2.0</v>
      </c>
      <c r="G3301" s="60">
        <v>1.0</v>
      </c>
      <c r="H3301" s="60">
        <v>0.5</v>
      </c>
      <c r="I3301" s="60">
        <v>7.340119</v>
      </c>
      <c r="J3301" s="59">
        <v>2.0</v>
      </c>
      <c r="K3301" s="61">
        <f t="shared" si="1"/>
        <v>1</v>
      </c>
      <c r="L3301" s="62">
        <f t="shared" si="2"/>
        <v>1</v>
      </c>
    </row>
    <row r="3302">
      <c r="A3302" s="58">
        <v>45901.0</v>
      </c>
      <c r="B3302" s="24" t="s">
        <v>6789</v>
      </c>
      <c r="C3302" s="24" t="s">
        <v>7039</v>
      </c>
      <c r="D3302" s="59">
        <v>2.0</v>
      </c>
      <c r="E3302" s="59">
        <v>2.0</v>
      </c>
      <c r="F3302" s="59">
        <v>2.0</v>
      </c>
      <c r="G3302" s="60">
        <v>1.0</v>
      </c>
      <c r="H3302" s="60">
        <v>0.5</v>
      </c>
      <c r="I3302" s="60">
        <v>187.815647499999</v>
      </c>
      <c r="J3302" s="59">
        <v>6.0</v>
      </c>
      <c r="K3302" s="61">
        <f t="shared" si="1"/>
        <v>1</v>
      </c>
      <c r="L3302" s="62">
        <f t="shared" si="2"/>
        <v>3</v>
      </c>
    </row>
    <row r="3303">
      <c r="A3303" s="58">
        <v>45901.0</v>
      </c>
      <c r="B3303" s="24" t="s">
        <v>6787</v>
      </c>
      <c r="C3303" s="24" t="s">
        <v>7059</v>
      </c>
      <c r="D3303" s="59">
        <v>2.0</v>
      </c>
      <c r="E3303" s="59">
        <v>2.0</v>
      </c>
      <c r="F3303" s="59">
        <v>2.0</v>
      </c>
      <c r="G3303" s="60">
        <v>1.0</v>
      </c>
      <c r="H3303" s="60">
        <v>0.5</v>
      </c>
      <c r="I3303" s="60">
        <v>11.4079945</v>
      </c>
      <c r="J3303" s="59">
        <v>2.0</v>
      </c>
      <c r="K3303" s="61">
        <f t="shared" si="1"/>
        <v>1</v>
      </c>
      <c r="L3303" s="62">
        <f t="shared" si="2"/>
        <v>1</v>
      </c>
    </row>
    <row r="3304">
      <c r="A3304" s="58">
        <v>45901.0</v>
      </c>
      <c r="B3304" s="24" t="s">
        <v>6787</v>
      </c>
      <c r="C3304" s="24" t="s">
        <v>6865</v>
      </c>
      <c r="D3304" s="59">
        <v>2.0</v>
      </c>
      <c r="E3304" s="59">
        <v>2.0</v>
      </c>
      <c r="F3304" s="59">
        <v>2.0</v>
      </c>
      <c r="G3304" s="60">
        <v>1.0</v>
      </c>
      <c r="H3304" s="60">
        <v>0.5</v>
      </c>
      <c r="I3304" s="60">
        <v>12.871916</v>
      </c>
      <c r="J3304" s="59">
        <v>2.0</v>
      </c>
      <c r="K3304" s="61">
        <f t="shared" si="1"/>
        <v>1</v>
      </c>
      <c r="L3304" s="62">
        <f t="shared" si="2"/>
        <v>1</v>
      </c>
    </row>
    <row r="3305">
      <c r="A3305" s="58">
        <v>45901.0</v>
      </c>
      <c r="B3305" s="24" t="s">
        <v>6787</v>
      </c>
      <c r="C3305" s="24" t="s">
        <v>6818</v>
      </c>
      <c r="D3305" s="59">
        <v>2.0</v>
      </c>
      <c r="E3305" s="59">
        <v>2.0</v>
      </c>
      <c r="F3305" s="59">
        <v>2.0</v>
      </c>
      <c r="G3305" s="60">
        <v>1.0</v>
      </c>
      <c r="H3305" s="60">
        <v>0.5</v>
      </c>
      <c r="I3305" s="60">
        <v>5.1514285</v>
      </c>
      <c r="J3305" s="59">
        <v>2.0</v>
      </c>
      <c r="K3305" s="61">
        <f t="shared" si="1"/>
        <v>1</v>
      </c>
      <c r="L3305" s="62">
        <f t="shared" si="2"/>
        <v>1</v>
      </c>
    </row>
    <row r="3306">
      <c r="A3306" s="58">
        <v>45901.0</v>
      </c>
      <c r="B3306" s="24" t="s">
        <v>6789</v>
      </c>
      <c r="C3306" s="24" t="s">
        <v>6833</v>
      </c>
      <c r="D3306" s="59">
        <v>2.0</v>
      </c>
      <c r="E3306" s="59">
        <v>4.0</v>
      </c>
      <c r="F3306" s="59">
        <v>1.0</v>
      </c>
      <c r="G3306" s="60">
        <v>2.0</v>
      </c>
      <c r="H3306" s="60">
        <v>0.5</v>
      </c>
      <c r="I3306" s="60">
        <v>19.37434325</v>
      </c>
      <c r="J3306" s="59">
        <v>5.0</v>
      </c>
      <c r="K3306" s="61">
        <f t="shared" si="1"/>
        <v>0.25</v>
      </c>
      <c r="L3306" s="62">
        <f t="shared" si="2"/>
        <v>1.25</v>
      </c>
    </row>
    <row r="3307">
      <c r="A3307" s="58">
        <v>45901.0</v>
      </c>
      <c r="B3307" s="24" t="s">
        <v>6789</v>
      </c>
      <c r="C3307" s="24" t="s">
        <v>6819</v>
      </c>
      <c r="D3307" s="59">
        <v>2.0</v>
      </c>
      <c r="E3307" s="59">
        <v>2.0</v>
      </c>
      <c r="F3307" s="59">
        <v>2.0</v>
      </c>
      <c r="G3307" s="60">
        <v>1.0</v>
      </c>
      <c r="H3307" s="60">
        <v>0.5</v>
      </c>
      <c r="I3307" s="60">
        <v>22.4040675</v>
      </c>
      <c r="J3307" s="59">
        <v>2.0</v>
      </c>
      <c r="K3307" s="61">
        <f t="shared" si="1"/>
        <v>1</v>
      </c>
      <c r="L3307" s="62">
        <f t="shared" si="2"/>
        <v>1</v>
      </c>
    </row>
    <row r="3308">
      <c r="A3308" s="58">
        <v>45901.0</v>
      </c>
      <c r="B3308" s="24" t="s">
        <v>6789</v>
      </c>
      <c r="C3308" s="24" t="s">
        <v>7061</v>
      </c>
      <c r="D3308" s="59">
        <v>2.0</v>
      </c>
      <c r="E3308" s="59">
        <v>2.0</v>
      </c>
      <c r="F3308" s="59">
        <v>1.0</v>
      </c>
      <c r="G3308" s="60">
        <v>2.0</v>
      </c>
      <c r="H3308" s="60">
        <v>1.0</v>
      </c>
      <c r="I3308" s="60">
        <v>0.0</v>
      </c>
      <c r="J3308" s="59">
        <v>2.0</v>
      </c>
      <c r="K3308" s="61">
        <f t="shared" si="1"/>
        <v>0.5</v>
      </c>
      <c r="L3308" s="62">
        <f t="shared" si="2"/>
        <v>1</v>
      </c>
    </row>
    <row r="3309">
      <c r="A3309" s="58">
        <v>45901.0</v>
      </c>
      <c r="B3309" s="24" t="s">
        <v>6787</v>
      </c>
      <c r="C3309" s="24" t="s">
        <v>7040</v>
      </c>
      <c r="D3309" s="59">
        <v>2.0</v>
      </c>
      <c r="E3309" s="59">
        <v>3.0</v>
      </c>
      <c r="F3309" s="59">
        <v>1.0</v>
      </c>
      <c r="G3309" s="60">
        <v>1.5</v>
      </c>
      <c r="H3309" s="60">
        <v>0.666666666666666</v>
      </c>
      <c r="I3309" s="60">
        <v>6.32279166666666</v>
      </c>
      <c r="J3309" s="59">
        <v>4.0</v>
      </c>
      <c r="K3309" s="61">
        <f t="shared" si="1"/>
        <v>0.3333333333</v>
      </c>
      <c r="L3309" s="62">
        <f t="shared" si="2"/>
        <v>1.333333333</v>
      </c>
    </row>
    <row r="3310">
      <c r="A3310" s="58">
        <v>45901.0</v>
      </c>
      <c r="B3310" s="24" t="s">
        <v>6787</v>
      </c>
      <c r="C3310" s="24" t="s">
        <v>6834</v>
      </c>
      <c r="D3310" s="59">
        <v>2.0</v>
      </c>
      <c r="E3310" s="59">
        <v>2.0</v>
      </c>
      <c r="F3310" s="59">
        <v>1.0</v>
      </c>
      <c r="G3310" s="60">
        <v>1.0</v>
      </c>
      <c r="H3310" s="60">
        <v>0.5</v>
      </c>
      <c r="I3310" s="60">
        <v>18.861992</v>
      </c>
      <c r="J3310" s="59">
        <v>3.0</v>
      </c>
      <c r="K3310" s="61">
        <f t="shared" si="1"/>
        <v>0.5</v>
      </c>
      <c r="L3310" s="62">
        <f t="shared" si="2"/>
        <v>1.5</v>
      </c>
    </row>
    <row r="3311">
      <c r="A3311" s="58">
        <v>45901.0</v>
      </c>
      <c r="B3311" s="24" t="s">
        <v>6789</v>
      </c>
      <c r="C3311" s="24" t="s">
        <v>6834</v>
      </c>
      <c r="D3311" s="59">
        <v>2.0</v>
      </c>
      <c r="E3311" s="59">
        <v>2.0</v>
      </c>
      <c r="F3311" s="59">
        <v>2.0</v>
      </c>
      <c r="G3311" s="60">
        <v>1.0</v>
      </c>
      <c r="H3311" s="60">
        <v>0.5</v>
      </c>
      <c r="I3311" s="60">
        <v>8.630163</v>
      </c>
      <c r="J3311" s="59">
        <v>2.0</v>
      </c>
      <c r="K3311" s="61">
        <f t="shared" si="1"/>
        <v>1</v>
      </c>
      <c r="L3311" s="62">
        <f t="shared" si="2"/>
        <v>1</v>
      </c>
    </row>
    <row r="3312">
      <c r="A3312" s="58">
        <v>45901.0</v>
      </c>
      <c r="B3312" s="24" t="s">
        <v>155</v>
      </c>
      <c r="C3312" s="24" t="s">
        <v>7024</v>
      </c>
      <c r="D3312" s="59">
        <v>2.0</v>
      </c>
      <c r="E3312" s="59">
        <v>4.0</v>
      </c>
      <c r="F3312" s="59">
        <v>2.0</v>
      </c>
      <c r="G3312" s="60">
        <v>2.0</v>
      </c>
      <c r="H3312" s="60">
        <v>0.5</v>
      </c>
      <c r="I3312" s="60">
        <v>17.47906</v>
      </c>
      <c r="J3312" s="59">
        <v>6.0</v>
      </c>
      <c r="K3312" s="61">
        <f t="shared" si="1"/>
        <v>0.5</v>
      </c>
      <c r="L3312" s="62">
        <f t="shared" si="2"/>
        <v>1.5</v>
      </c>
    </row>
    <row r="3313">
      <c r="A3313" s="58">
        <v>45901.0</v>
      </c>
      <c r="B3313" s="24" t="s">
        <v>6789</v>
      </c>
      <c r="C3313" s="24" t="s">
        <v>6882</v>
      </c>
      <c r="D3313" s="59">
        <v>2.0</v>
      </c>
      <c r="E3313" s="59">
        <v>2.0</v>
      </c>
      <c r="F3313" s="59">
        <v>2.0</v>
      </c>
      <c r="G3313" s="60">
        <v>1.0</v>
      </c>
      <c r="H3313" s="60">
        <v>0.5</v>
      </c>
      <c r="I3313" s="60">
        <v>211.891751</v>
      </c>
      <c r="J3313" s="59">
        <v>4.0</v>
      </c>
      <c r="K3313" s="61">
        <f t="shared" si="1"/>
        <v>1</v>
      </c>
      <c r="L3313" s="62">
        <f t="shared" si="2"/>
        <v>2</v>
      </c>
    </row>
    <row r="3314">
      <c r="A3314" s="58">
        <v>45901.0</v>
      </c>
      <c r="B3314" s="24" t="s">
        <v>6787</v>
      </c>
      <c r="C3314" s="24" t="s">
        <v>6990</v>
      </c>
      <c r="D3314" s="59">
        <v>2.0</v>
      </c>
      <c r="E3314" s="59">
        <v>2.0</v>
      </c>
      <c r="F3314" s="59">
        <v>2.0</v>
      </c>
      <c r="G3314" s="60">
        <v>1.0</v>
      </c>
      <c r="H3314" s="60">
        <v>0.5</v>
      </c>
      <c r="I3314" s="60">
        <v>91.809791</v>
      </c>
      <c r="J3314" s="59">
        <v>2.0</v>
      </c>
      <c r="K3314" s="61">
        <f t="shared" si="1"/>
        <v>1</v>
      </c>
      <c r="L3314" s="62">
        <f t="shared" si="2"/>
        <v>1</v>
      </c>
    </row>
    <row r="3315">
      <c r="A3315" s="58">
        <v>45901.0</v>
      </c>
      <c r="B3315" s="24" t="s">
        <v>6787</v>
      </c>
      <c r="C3315" s="24" t="s">
        <v>6883</v>
      </c>
      <c r="D3315" s="59">
        <v>2.0</v>
      </c>
      <c r="E3315" s="59">
        <v>2.0</v>
      </c>
      <c r="F3315" s="59">
        <v>1.0</v>
      </c>
      <c r="G3315" s="60">
        <v>1.0</v>
      </c>
      <c r="H3315" s="60">
        <v>0.5</v>
      </c>
      <c r="I3315" s="60">
        <v>17.447796</v>
      </c>
      <c r="J3315" s="59">
        <v>3.0</v>
      </c>
      <c r="K3315" s="61">
        <f t="shared" si="1"/>
        <v>0.5</v>
      </c>
      <c r="L3315" s="62">
        <f t="shared" si="2"/>
        <v>1.5</v>
      </c>
    </row>
    <row r="3316">
      <c r="A3316" s="58">
        <v>45901.0</v>
      </c>
      <c r="B3316" s="24" t="s">
        <v>155</v>
      </c>
      <c r="C3316" s="24" t="s">
        <v>6835</v>
      </c>
      <c r="D3316" s="59">
        <v>2.0</v>
      </c>
      <c r="E3316" s="59">
        <v>3.0</v>
      </c>
      <c r="F3316" s="59">
        <v>1.0</v>
      </c>
      <c r="G3316" s="60">
        <v>3.0</v>
      </c>
      <c r="H3316" s="60">
        <v>0.333333333333333</v>
      </c>
      <c r="I3316" s="60">
        <v>40.9847353333333</v>
      </c>
      <c r="J3316" s="59">
        <v>3.0</v>
      </c>
      <c r="K3316" s="61">
        <f t="shared" si="1"/>
        <v>0.3333333333</v>
      </c>
      <c r="L3316" s="62">
        <f t="shared" si="2"/>
        <v>1</v>
      </c>
    </row>
    <row r="3317">
      <c r="A3317" s="58">
        <v>45901.0</v>
      </c>
      <c r="B3317" s="24" t="s">
        <v>6787</v>
      </c>
      <c r="C3317" s="24" t="s">
        <v>6991</v>
      </c>
      <c r="D3317" s="59">
        <v>2.0</v>
      </c>
      <c r="E3317" s="59">
        <v>2.0</v>
      </c>
      <c r="F3317" s="59">
        <v>2.0</v>
      </c>
      <c r="G3317" s="60">
        <v>1.0</v>
      </c>
      <c r="H3317" s="60">
        <v>1.0</v>
      </c>
      <c r="I3317" s="60">
        <v>0.0</v>
      </c>
      <c r="J3317" s="59">
        <v>2.0</v>
      </c>
      <c r="K3317" s="61">
        <f t="shared" si="1"/>
        <v>1</v>
      </c>
      <c r="L3317" s="62">
        <f t="shared" si="2"/>
        <v>1</v>
      </c>
    </row>
    <row r="3318">
      <c r="A3318" s="58">
        <v>45901.0</v>
      </c>
      <c r="B3318" s="24" t="s">
        <v>6787</v>
      </c>
      <c r="C3318" s="24" t="s">
        <v>7071</v>
      </c>
      <c r="D3318" s="59">
        <v>2.0</v>
      </c>
      <c r="E3318" s="59">
        <v>2.0</v>
      </c>
      <c r="F3318" s="59">
        <v>1.0</v>
      </c>
      <c r="G3318" s="60">
        <v>1.0</v>
      </c>
      <c r="H3318" s="60">
        <v>0.5</v>
      </c>
      <c r="I3318" s="60">
        <v>530.73058</v>
      </c>
      <c r="J3318" s="59">
        <v>12.0</v>
      </c>
      <c r="K3318" s="61">
        <f t="shared" si="1"/>
        <v>0.5</v>
      </c>
      <c r="L3318" s="62">
        <f t="shared" si="2"/>
        <v>6</v>
      </c>
    </row>
    <row r="3319">
      <c r="A3319" s="58">
        <v>45901.0</v>
      </c>
      <c r="B3319" s="24" t="s">
        <v>6791</v>
      </c>
      <c r="C3319" s="24" t="s">
        <v>6886</v>
      </c>
      <c r="D3319" s="59">
        <v>2.0</v>
      </c>
      <c r="E3319" s="59">
        <v>9.0</v>
      </c>
      <c r="F3319" s="59">
        <v>0.0</v>
      </c>
      <c r="G3319" s="60">
        <v>4.5</v>
      </c>
      <c r="H3319" s="60">
        <v>0.888888888888888</v>
      </c>
      <c r="I3319" s="60">
        <v>35.5846403333333</v>
      </c>
      <c r="J3319" s="59">
        <v>10.0</v>
      </c>
      <c r="K3319" s="61">
        <f t="shared" si="1"/>
        <v>0</v>
      </c>
      <c r="L3319" s="62">
        <f t="shared" si="2"/>
        <v>1.111111111</v>
      </c>
    </row>
    <row r="3320">
      <c r="A3320" s="58">
        <v>45901.0</v>
      </c>
      <c r="B3320" s="24" t="s">
        <v>6791</v>
      </c>
      <c r="C3320" s="24" t="s">
        <v>6799</v>
      </c>
      <c r="D3320" s="59">
        <v>2.0</v>
      </c>
      <c r="E3320" s="59">
        <v>2.0</v>
      </c>
      <c r="F3320" s="59">
        <v>0.0</v>
      </c>
      <c r="G3320" s="60">
        <v>1.0</v>
      </c>
      <c r="H3320" s="60">
        <v>1.0</v>
      </c>
      <c r="I3320" s="60">
        <v>7.16164949999999</v>
      </c>
      <c r="J3320" s="59">
        <v>2.0</v>
      </c>
      <c r="K3320" s="61">
        <f t="shared" si="1"/>
        <v>0</v>
      </c>
      <c r="L3320" s="62">
        <f t="shared" si="2"/>
        <v>1</v>
      </c>
    </row>
    <row r="3321">
      <c r="A3321" s="58">
        <v>45901.0</v>
      </c>
      <c r="B3321" s="24" t="s">
        <v>6787</v>
      </c>
      <c r="C3321" s="24" t="s">
        <v>6820</v>
      </c>
      <c r="D3321" s="59">
        <v>2.0</v>
      </c>
      <c r="E3321" s="59">
        <v>2.0</v>
      </c>
      <c r="F3321" s="59">
        <v>2.0</v>
      </c>
      <c r="G3321" s="60">
        <v>1.0</v>
      </c>
      <c r="H3321" s="60">
        <v>1.0</v>
      </c>
      <c r="I3321" s="60">
        <v>0.0</v>
      </c>
      <c r="J3321" s="59">
        <v>2.0</v>
      </c>
      <c r="K3321" s="61">
        <f t="shared" si="1"/>
        <v>1</v>
      </c>
      <c r="L3321" s="62">
        <f t="shared" si="2"/>
        <v>1</v>
      </c>
    </row>
    <row r="3322">
      <c r="A3322" s="58">
        <v>45901.0</v>
      </c>
      <c r="B3322" s="24" t="s">
        <v>6787</v>
      </c>
      <c r="C3322" s="24" t="s">
        <v>6999</v>
      </c>
      <c r="D3322" s="59">
        <v>2.0</v>
      </c>
      <c r="E3322" s="59">
        <v>4.0</v>
      </c>
      <c r="F3322" s="59">
        <v>2.0</v>
      </c>
      <c r="G3322" s="60">
        <v>2.0</v>
      </c>
      <c r="H3322" s="60">
        <v>1.0</v>
      </c>
      <c r="I3322" s="60">
        <v>0.0</v>
      </c>
      <c r="J3322" s="59">
        <v>4.0</v>
      </c>
      <c r="K3322" s="61">
        <f t="shared" si="1"/>
        <v>0.5</v>
      </c>
      <c r="L3322" s="62">
        <f t="shared" si="2"/>
        <v>1</v>
      </c>
    </row>
    <row r="3323">
      <c r="A3323" s="58">
        <v>45901.0</v>
      </c>
      <c r="B3323" s="24" t="s">
        <v>155</v>
      </c>
      <c r="C3323" s="24" t="s">
        <v>6840</v>
      </c>
      <c r="D3323" s="59">
        <v>2.0</v>
      </c>
      <c r="E3323" s="59">
        <v>2.0</v>
      </c>
      <c r="F3323" s="59">
        <v>1.0</v>
      </c>
      <c r="G3323" s="60">
        <v>1.0</v>
      </c>
      <c r="H3323" s="60">
        <v>0.5</v>
      </c>
      <c r="I3323" s="60">
        <v>394.224448</v>
      </c>
      <c r="J3323" s="59">
        <v>3.0</v>
      </c>
      <c r="K3323" s="61">
        <f t="shared" si="1"/>
        <v>0.5</v>
      </c>
      <c r="L3323" s="62">
        <f t="shared" si="2"/>
        <v>1.5</v>
      </c>
    </row>
    <row r="3324">
      <c r="A3324" s="58">
        <v>45901.0</v>
      </c>
      <c r="B3324" s="24" t="s">
        <v>6787</v>
      </c>
      <c r="C3324" s="24" t="s">
        <v>6823</v>
      </c>
      <c r="D3324" s="59">
        <v>2.0</v>
      </c>
      <c r="E3324" s="59">
        <v>2.0</v>
      </c>
      <c r="F3324" s="59">
        <v>2.0</v>
      </c>
      <c r="G3324" s="60">
        <v>1.0</v>
      </c>
      <c r="H3324" s="60">
        <v>1.0</v>
      </c>
      <c r="I3324" s="60">
        <v>0.0</v>
      </c>
      <c r="J3324" s="59">
        <v>2.0</v>
      </c>
      <c r="K3324" s="61">
        <f t="shared" si="1"/>
        <v>1</v>
      </c>
      <c r="L3324" s="62">
        <f t="shared" si="2"/>
        <v>1</v>
      </c>
    </row>
    <row r="3325">
      <c r="A3325" s="58">
        <v>45901.0</v>
      </c>
      <c r="B3325" s="24" t="s">
        <v>6787</v>
      </c>
      <c r="C3325" s="24" t="s">
        <v>6811</v>
      </c>
      <c r="D3325" s="59">
        <v>2.0</v>
      </c>
      <c r="E3325" s="59">
        <v>2.0</v>
      </c>
      <c r="F3325" s="59">
        <v>2.0</v>
      </c>
      <c r="G3325" s="60">
        <v>1.0</v>
      </c>
      <c r="H3325" s="60">
        <v>1.0</v>
      </c>
      <c r="I3325" s="60">
        <v>0.0</v>
      </c>
      <c r="J3325" s="59">
        <v>2.0</v>
      </c>
      <c r="K3325" s="61">
        <f t="shared" si="1"/>
        <v>1</v>
      </c>
      <c r="L3325" s="62">
        <f t="shared" si="2"/>
        <v>1</v>
      </c>
    </row>
    <row r="3326">
      <c r="A3326" s="58">
        <v>45901.0</v>
      </c>
      <c r="B3326" s="24" t="s">
        <v>6789</v>
      </c>
      <c r="C3326" s="24" t="s">
        <v>7006</v>
      </c>
      <c r="D3326" s="59">
        <v>2.0</v>
      </c>
      <c r="E3326" s="59">
        <v>2.0</v>
      </c>
      <c r="F3326" s="59">
        <v>2.0</v>
      </c>
      <c r="G3326" s="60">
        <v>1.0</v>
      </c>
      <c r="H3326" s="60">
        <v>0.5</v>
      </c>
      <c r="I3326" s="60">
        <v>95.2844425</v>
      </c>
      <c r="J3326" s="59">
        <v>6.0</v>
      </c>
      <c r="K3326" s="61">
        <f t="shared" si="1"/>
        <v>1</v>
      </c>
      <c r="L3326" s="62">
        <f t="shared" si="2"/>
        <v>3</v>
      </c>
    </row>
    <row r="3327">
      <c r="A3327" s="58">
        <v>45901.0</v>
      </c>
      <c r="B3327" s="24" t="s">
        <v>6789</v>
      </c>
      <c r="C3327" s="24" t="s">
        <v>6843</v>
      </c>
      <c r="D3327" s="59">
        <v>2.0</v>
      </c>
      <c r="E3327" s="59">
        <v>3.0</v>
      </c>
      <c r="F3327" s="59">
        <v>2.0</v>
      </c>
      <c r="G3327" s="60">
        <v>1.5</v>
      </c>
      <c r="H3327" s="60">
        <v>0.666666666666666</v>
      </c>
      <c r="I3327" s="60">
        <v>5.31752066666666</v>
      </c>
      <c r="J3327" s="59">
        <v>3.0</v>
      </c>
      <c r="K3327" s="61">
        <f t="shared" si="1"/>
        <v>0.6666666667</v>
      </c>
      <c r="L3327" s="62">
        <f t="shared" si="2"/>
        <v>1</v>
      </c>
    </row>
    <row r="3328">
      <c r="A3328" s="58">
        <v>45901.0</v>
      </c>
      <c r="B3328" s="24" t="s">
        <v>6789</v>
      </c>
      <c r="C3328" s="24" t="s">
        <v>6807</v>
      </c>
      <c r="D3328" s="59">
        <v>2.0</v>
      </c>
      <c r="E3328" s="59">
        <v>2.0</v>
      </c>
      <c r="F3328" s="59">
        <v>2.0</v>
      </c>
      <c r="G3328" s="60">
        <v>1.0</v>
      </c>
      <c r="H3328" s="60">
        <v>0.5</v>
      </c>
      <c r="I3328" s="60">
        <v>7.865974</v>
      </c>
      <c r="J3328" s="59">
        <v>2.0</v>
      </c>
      <c r="K3328" s="61">
        <f t="shared" si="1"/>
        <v>1</v>
      </c>
      <c r="L3328" s="62">
        <f t="shared" si="2"/>
        <v>1</v>
      </c>
    </row>
    <row r="3329">
      <c r="A3329" s="58">
        <v>45901.0</v>
      </c>
      <c r="B3329" s="24" t="s">
        <v>6942</v>
      </c>
      <c r="C3329" s="24" t="s">
        <v>6796</v>
      </c>
      <c r="D3329" s="59">
        <v>2.0</v>
      </c>
      <c r="E3329" s="59">
        <v>2.0</v>
      </c>
      <c r="F3329" s="59">
        <v>2.0</v>
      </c>
      <c r="G3329" s="60">
        <v>1.0</v>
      </c>
      <c r="H3329" s="60">
        <v>1.0</v>
      </c>
      <c r="I3329" s="60">
        <v>0.0</v>
      </c>
      <c r="J3329" s="59">
        <v>2.0</v>
      </c>
      <c r="K3329" s="61">
        <f t="shared" si="1"/>
        <v>1</v>
      </c>
      <c r="L3329" s="62">
        <f t="shared" si="2"/>
        <v>1</v>
      </c>
    </row>
    <row r="3330">
      <c r="A3330" s="58">
        <v>45901.0</v>
      </c>
      <c r="B3330" s="24" t="s">
        <v>155</v>
      </c>
      <c r="C3330" s="24" t="s">
        <v>6796</v>
      </c>
      <c r="D3330" s="59">
        <v>2.0</v>
      </c>
      <c r="E3330" s="59">
        <v>2.0</v>
      </c>
      <c r="F3330" s="59">
        <v>1.0</v>
      </c>
      <c r="G3330" s="60">
        <v>1.0</v>
      </c>
      <c r="H3330" s="60">
        <v>0.5</v>
      </c>
      <c r="I3330" s="60">
        <v>24.3973615</v>
      </c>
      <c r="J3330" s="59">
        <v>2.0</v>
      </c>
      <c r="K3330" s="61">
        <f t="shared" si="1"/>
        <v>0.5</v>
      </c>
      <c r="L3330" s="62">
        <f t="shared" si="2"/>
        <v>1</v>
      </c>
    </row>
    <row r="3331">
      <c r="A3331" s="58">
        <v>45901.0</v>
      </c>
      <c r="B3331" s="24" t="s">
        <v>6789</v>
      </c>
      <c r="C3331" s="24" t="s">
        <v>7125</v>
      </c>
      <c r="D3331" s="59">
        <v>2.0</v>
      </c>
      <c r="E3331" s="59">
        <v>2.0</v>
      </c>
      <c r="F3331" s="59">
        <v>0.0</v>
      </c>
      <c r="G3331" s="60">
        <v>1.0</v>
      </c>
      <c r="H3331" s="60">
        <v>0.0</v>
      </c>
      <c r="I3331" s="60">
        <v>252.5133385</v>
      </c>
      <c r="J3331" s="59">
        <v>6.0</v>
      </c>
      <c r="K3331" s="61">
        <f t="shared" si="1"/>
        <v>0</v>
      </c>
      <c r="L3331" s="62">
        <f t="shared" si="2"/>
        <v>3</v>
      </c>
    </row>
    <row r="3332">
      <c r="A3332" s="58">
        <v>45901.0</v>
      </c>
      <c r="B3332" s="24" t="s">
        <v>6789</v>
      </c>
      <c r="C3332" s="24" t="s">
        <v>7083</v>
      </c>
      <c r="D3332" s="59">
        <v>2.0</v>
      </c>
      <c r="E3332" s="59">
        <v>2.0</v>
      </c>
      <c r="F3332" s="59">
        <v>0.0</v>
      </c>
      <c r="G3332" s="60">
        <v>1.0</v>
      </c>
      <c r="H3332" s="60">
        <v>0.5</v>
      </c>
      <c r="I3332" s="60">
        <v>101.096816999999</v>
      </c>
      <c r="J3332" s="59">
        <v>3.0</v>
      </c>
      <c r="K3332" s="61">
        <f t="shared" si="1"/>
        <v>0</v>
      </c>
      <c r="L3332" s="62">
        <f t="shared" si="2"/>
        <v>1.5</v>
      </c>
    </row>
    <row r="3333">
      <c r="A3333" s="58">
        <v>45901.0</v>
      </c>
      <c r="B3333" s="24" t="s">
        <v>155</v>
      </c>
      <c r="C3333" s="24" t="s">
        <v>7231</v>
      </c>
      <c r="D3333" s="59">
        <v>2.0</v>
      </c>
      <c r="E3333" s="59">
        <v>3.0</v>
      </c>
      <c r="F3333" s="59">
        <v>0.0</v>
      </c>
      <c r="G3333" s="60">
        <v>1.5</v>
      </c>
      <c r="H3333" s="60">
        <v>0.333333333333333</v>
      </c>
      <c r="I3333" s="60">
        <v>101.946604333333</v>
      </c>
      <c r="J3333" s="59">
        <v>3.0</v>
      </c>
      <c r="K3333" s="61">
        <f t="shared" si="1"/>
        <v>0</v>
      </c>
      <c r="L3333" s="62">
        <f t="shared" si="2"/>
        <v>1</v>
      </c>
    </row>
    <row r="3334">
      <c r="A3334" s="58">
        <v>45901.0</v>
      </c>
      <c r="B3334" s="24" t="s">
        <v>6787</v>
      </c>
      <c r="C3334" s="24" t="s">
        <v>6808</v>
      </c>
      <c r="D3334" s="59">
        <v>2.0</v>
      </c>
      <c r="E3334" s="59">
        <v>2.0</v>
      </c>
      <c r="F3334" s="59">
        <v>1.0</v>
      </c>
      <c r="G3334" s="60">
        <v>1.0</v>
      </c>
      <c r="H3334" s="60">
        <v>0.0</v>
      </c>
      <c r="I3334" s="60">
        <v>153.971472</v>
      </c>
      <c r="J3334" s="59">
        <v>5.0</v>
      </c>
      <c r="K3334" s="61">
        <f t="shared" si="1"/>
        <v>0.5</v>
      </c>
      <c r="L3334" s="62">
        <f t="shared" si="2"/>
        <v>2.5</v>
      </c>
    </row>
    <row r="3335">
      <c r="A3335" s="58">
        <v>45901.0</v>
      </c>
      <c r="B3335" s="24" t="s">
        <v>155</v>
      </c>
      <c r="C3335" s="24" t="s">
        <v>6808</v>
      </c>
      <c r="D3335" s="59">
        <v>2.0</v>
      </c>
      <c r="E3335" s="59">
        <v>2.0</v>
      </c>
      <c r="F3335" s="59">
        <v>0.0</v>
      </c>
      <c r="G3335" s="60">
        <v>1.0</v>
      </c>
      <c r="H3335" s="60">
        <v>0.5</v>
      </c>
      <c r="I3335" s="60">
        <v>49.4587944999999</v>
      </c>
      <c r="J3335" s="59">
        <v>3.0</v>
      </c>
      <c r="K3335" s="61">
        <f t="shared" si="1"/>
        <v>0</v>
      </c>
      <c r="L3335" s="62">
        <f t="shared" si="2"/>
        <v>1.5</v>
      </c>
    </row>
    <row r="3336">
      <c r="A3336" s="58">
        <v>45901.0</v>
      </c>
      <c r="B3336" s="24" t="s">
        <v>6787</v>
      </c>
      <c r="C3336" s="24" t="s">
        <v>7327</v>
      </c>
      <c r="D3336" s="59">
        <v>2.0</v>
      </c>
      <c r="E3336" s="59">
        <v>2.0</v>
      </c>
      <c r="F3336" s="59">
        <v>0.0</v>
      </c>
      <c r="G3336" s="60">
        <v>1.0</v>
      </c>
      <c r="H3336" s="60">
        <v>0.0</v>
      </c>
      <c r="I3336" s="60">
        <v>434.717554</v>
      </c>
      <c r="J3336" s="59">
        <v>6.0</v>
      </c>
      <c r="K3336" s="61">
        <f t="shared" si="1"/>
        <v>0</v>
      </c>
      <c r="L3336" s="62">
        <f t="shared" si="2"/>
        <v>3</v>
      </c>
    </row>
    <row r="3337">
      <c r="A3337" s="58">
        <v>45901.0</v>
      </c>
      <c r="B3337" s="24" t="s">
        <v>6787</v>
      </c>
      <c r="C3337" s="24" t="s">
        <v>7035</v>
      </c>
      <c r="D3337" s="59">
        <v>2.0</v>
      </c>
      <c r="E3337" s="59">
        <v>2.0</v>
      </c>
      <c r="F3337" s="59">
        <v>2.0</v>
      </c>
      <c r="G3337" s="60">
        <v>1.0</v>
      </c>
      <c r="H3337" s="60">
        <v>0.5</v>
      </c>
      <c r="I3337" s="60">
        <v>41.4885265</v>
      </c>
      <c r="J3337" s="59">
        <v>4.0</v>
      </c>
      <c r="K3337" s="61">
        <f t="shared" si="1"/>
        <v>1</v>
      </c>
      <c r="L3337" s="62">
        <f t="shared" si="2"/>
        <v>2</v>
      </c>
    </row>
    <row r="3338">
      <c r="A3338" s="58">
        <v>45901.0</v>
      </c>
      <c r="B3338" s="24" t="s">
        <v>6789</v>
      </c>
      <c r="C3338" s="24" t="s">
        <v>7026</v>
      </c>
      <c r="D3338" s="59">
        <v>2.0</v>
      </c>
      <c r="E3338" s="59">
        <v>2.0</v>
      </c>
      <c r="F3338" s="59">
        <v>2.0</v>
      </c>
      <c r="G3338" s="60">
        <v>1.0</v>
      </c>
      <c r="H3338" s="60">
        <v>0.5</v>
      </c>
      <c r="I3338" s="60">
        <v>34.588837</v>
      </c>
      <c r="J3338" s="59">
        <v>3.0</v>
      </c>
      <c r="K3338" s="61">
        <f t="shared" si="1"/>
        <v>1</v>
      </c>
      <c r="L3338" s="62">
        <f t="shared" si="2"/>
        <v>1.5</v>
      </c>
    </row>
    <row r="3339">
      <c r="A3339" s="58">
        <v>45901.0</v>
      </c>
      <c r="B3339" s="24" t="s">
        <v>6787</v>
      </c>
      <c r="C3339" s="24" t="s">
        <v>7130</v>
      </c>
      <c r="D3339" s="59">
        <v>2.0</v>
      </c>
      <c r="E3339" s="59">
        <v>2.0</v>
      </c>
      <c r="F3339" s="59">
        <v>2.0</v>
      </c>
      <c r="G3339" s="60">
        <v>1.0</v>
      </c>
      <c r="H3339" s="60">
        <v>1.0</v>
      </c>
      <c r="I3339" s="60">
        <v>3.85215</v>
      </c>
      <c r="J3339" s="59">
        <v>2.0</v>
      </c>
      <c r="K3339" s="61">
        <f t="shared" si="1"/>
        <v>1</v>
      </c>
      <c r="L3339" s="62">
        <f t="shared" si="2"/>
        <v>1</v>
      </c>
    </row>
    <row r="3340">
      <c r="A3340" s="58">
        <v>45901.0</v>
      </c>
      <c r="B3340" s="24" t="s">
        <v>6787</v>
      </c>
      <c r="C3340" s="24" t="s">
        <v>7328</v>
      </c>
      <c r="D3340" s="59">
        <v>2.0</v>
      </c>
      <c r="E3340" s="59">
        <v>2.0</v>
      </c>
      <c r="F3340" s="59">
        <v>2.0</v>
      </c>
      <c r="G3340" s="60">
        <v>1.0</v>
      </c>
      <c r="H3340" s="60">
        <v>1.0</v>
      </c>
      <c r="I3340" s="60">
        <v>2.562727</v>
      </c>
      <c r="J3340" s="59">
        <v>2.0</v>
      </c>
      <c r="K3340" s="61">
        <f t="shared" si="1"/>
        <v>1</v>
      </c>
      <c r="L3340" s="62">
        <f t="shared" si="2"/>
        <v>1</v>
      </c>
    </row>
    <row r="3341">
      <c r="A3341" s="58">
        <v>45901.0</v>
      </c>
      <c r="B3341" s="24" t="s">
        <v>155</v>
      </c>
      <c r="C3341" s="24" t="s">
        <v>6960</v>
      </c>
      <c r="D3341" s="59">
        <v>2.0</v>
      </c>
      <c r="E3341" s="59">
        <v>2.0</v>
      </c>
      <c r="F3341" s="59">
        <v>2.0</v>
      </c>
      <c r="G3341" s="60">
        <v>1.0</v>
      </c>
      <c r="H3341" s="60">
        <v>0.0</v>
      </c>
      <c r="I3341" s="60">
        <v>803.5226835</v>
      </c>
      <c r="J3341" s="59">
        <v>2.0</v>
      </c>
      <c r="K3341" s="61">
        <f t="shared" si="1"/>
        <v>1</v>
      </c>
      <c r="L3341" s="62">
        <f t="shared" si="2"/>
        <v>1</v>
      </c>
    </row>
    <row r="3342">
      <c r="A3342" s="58">
        <v>45901.0</v>
      </c>
      <c r="B3342" s="24" t="s">
        <v>6790</v>
      </c>
      <c r="C3342" s="24" t="s">
        <v>6960</v>
      </c>
      <c r="D3342" s="59">
        <v>2.0</v>
      </c>
      <c r="E3342" s="59">
        <v>2.0</v>
      </c>
      <c r="F3342" s="59">
        <v>2.0</v>
      </c>
      <c r="G3342" s="60">
        <v>1.0</v>
      </c>
      <c r="H3342" s="60">
        <v>1.0</v>
      </c>
      <c r="I3342" s="60">
        <v>0.0</v>
      </c>
      <c r="J3342" s="59">
        <v>2.0</v>
      </c>
      <c r="K3342" s="61">
        <f t="shared" si="1"/>
        <v>1</v>
      </c>
      <c r="L3342" s="62">
        <f t="shared" si="2"/>
        <v>1</v>
      </c>
    </row>
    <row r="3343">
      <c r="A3343" s="58">
        <v>45901.0</v>
      </c>
      <c r="B3343" s="24" t="s">
        <v>6942</v>
      </c>
      <c r="C3343" s="24" t="s">
        <v>6809</v>
      </c>
      <c r="D3343" s="59">
        <v>2.0</v>
      </c>
      <c r="E3343" s="59">
        <v>2.0</v>
      </c>
      <c r="F3343" s="59">
        <v>2.0</v>
      </c>
      <c r="G3343" s="60">
        <v>1.0</v>
      </c>
      <c r="H3343" s="60">
        <v>1.0</v>
      </c>
      <c r="I3343" s="60">
        <v>0.0</v>
      </c>
      <c r="J3343" s="59">
        <v>2.0</v>
      </c>
      <c r="K3343" s="61">
        <f t="shared" si="1"/>
        <v>1</v>
      </c>
      <c r="L3343" s="62">
        <f t="shared" si="2"/>
        <v>1</v>
      </c>
    </row>
    <row r="3344">
      <c r="A3344" s="58">
        <v>45901.0</v>
      </c>
      <c r="B3344" s="24" t="s">
        <v>6787</v>
      </c>
      <c r="C3344" s="24" t="s">
        <v>6849</v>
      </c>
      <c r="D3344" s="59">
        <v>2.0</v>
      </c>
      <c r="E3344" s="59">
        <v>2.0</v>
      </c>
      <c r="F3344" s="59">
        <v>1.0</v>
      </c>
      <c r="G3344" s="60">
        <v>1.0</v>
      </c>
      <c r="H3344" s="60">
        <v>0.5</v>
      </c>
      <c r="I3344" s="60">
        <v>70.332566</v>
      </c>
      <c r="J3344" s="59">
        <v>11.0</v>
      </c>
      <c r="K3344" s="61">
        <f t="shared" si="1"/>
        <v>0.5</v>
      </c>
      <c r="L3344" s="62">
        <f t="shared" si="2"/>
        <v>5.5</v>
      </c>
    </row>
    <row r="3345">
      <c r="A3345" s="58">
        <v>45901.0</v>
      </c>
      <c r="B3345" s="24" t="s">
        <v>6787</v>
      </c>
      <c r="C3345" s="24" t="s">
        <v>6851</v>
      </c>
      <c r="D3345" s="59">
        <v>2.0</v>
      </c>
      <c r="E3345" s="59">
        <v>3.0</v>
      </c>
      <c r="F3345" s="59">
        <v>2.0</v>
      </c>
      <c r="G3345" s="60">
        <v>1.5</v>
      </c>
      <c r="H3345" s="60">
        <v>0.0</v>
      </c>
      <c r="I3345" s="60">
        <v>15.078974</v>
      </c>
      <c r="J3345" s="59">
        <v>5.0</v>
      </c>
      <c r="K3345" s="61">
        <f t="shared" si="1"/>
        <v>0.6666666667</v>
      </c>
      <c r="L3345" s="62">
        <f t="shared" si="2"/>
        <v>1.666666667</v>
      </c>
    </row>
    <row r="3346">
      <c r="A3346" s="58">
        <v>45901.0</v>
      </c>
      <c r="B3346" s="24" t="s">
        <v>6794</v>
      </c>
      <c r="C3346" s="24" t="s">
        <v>6851</v>
      </c>
      <c r="D3346" s="59">
        <v>2.0</v>
      </c>
      <c r="E3346" s="59">
        <v>2.0</v>
      </c>
      <c r="F3346" s="59">
        <v>2.0</v>
      </c>
      <c r="G3346" s="60">
        <v>1.0</v>
      </c>
      <c r="H3346" s="60">
        <v>1.0</v>
      </c>
      <c r="I3346" s="60">
        <v>2.219482</v>
      </c>
      <c r="J3346" s="59">
        <v>2.0</v>
      </c>
      <c r="K3346" s="61">
        <f t="shared" si="1"/>
        <v>1</v>
      </c>
      <c r="L3346" s="62">
        <f t="shared" si="2"/>
        <v>1</v>
      </c>
    </row>
    <row r="3347">
      <c r="A3347" s="58">
        <v>45901.0</v>
      </c>
      <c r="B3347" s="24" t="s">
        <v>155</v>
      </c>
      <c r="C3347" s="24" t="s">
        <v>6851</v>
      </c>
      <c r="D3347" s="59">
        <v>2.0</v>
      </c>
      <c r="E3347" s="59">
        <v>2.0</v>
      </c>
      <c r="F3347" s="59">
        <v>2.0</v>
      </c>
      <c r="G3347" s="60">
        <v>1.0</v>
      </c>
      <c r="H3347" s="60">
        <v>0.0</v>
      </c>
      <c r="I3347" s="60">
        <v>109.696662</v>
      </c>
      <c r="J3347" s="59">
        <v>5.0</v>
      </c>
      <c r="K3347" s="61">
        <f t="shared" si="1"/>
        <v>1</v>
      </c>
      <c r="L3347" s="62">
        <f t="shared" si="2"/>
        <v>2.5</v>
      </c>
    </row>
    <row r="3348">
      <c r="A3348" s="58">
        <v>45901.0</v>
      </c>
      <c r="B3348" s="24" t="s">
        <v>6791</v>
      </c>
      <c r="C3348" s="24" t="s">
        <v>6801</v>
      </c>
      <c r="D3348" s="59">
        <v>2.0</v>
      </c>
      <c r="E3348" s="59">
        <v>2.0</v>
      </c>
      <c r="F3348" s="59">
        <v>2.0</v>
      </c>
      <c r="G3348" s="60">
        <v>1.0</v>
      </c>
      <c r="H3348" s="60">
        <v>0.0</v>
      </c>
      <c r="I3348" s="60">
        <v>21.326952</v>
      </c>
      <c r="J3348" s="59">
        <v>2.0</v>
      </c>
      <c r="K3348" s="61">
        <f t="shared" si="1"/>
        <v>1</v>
      </c>
      <c r="L3348" s="62">
        <f t="shared" si="2"/>
        <v>1</v>
      </c>
    </row>
    <row r="3349">
      <c r="A3349" s="58">
        <v>45901.0</v>
      </c>
      <c r="B3349" s="24" t="s">
        <v>6787</v>
      </c>
      <c r="C3349" s="24" t="s">
        <v>7104</v>
      </c>
      <c r="D3349" s="59">
        <v>2.0</v>
      </c>
      <c r="E3349" s="59">
        <v>2.0</v>
      </c>
      <c r="F3349" s="59">
        <v>2.0</v>
      </c>
      <c r="G3349" s="60">
        <v>1.0</v>
      </c>
      <c r="H3349" s="60">
        <v>1.0</v>
      </c>
      <c r="I3349" s="60">
        <v>3.495783</v>
      </c>
      <c r="J3349" s="59">
        <v>2.0</v>
      </c>
      <c r="K3349" s="61">
        <f t="shared" si="1"/>
        <v>1</v>
      </c>
      <c r="L3349" s="62">
        <f t="shared" si="2"/>
        <v>1</v>
      </c>
    </row>
    <row r="3350">
      <c r="A3350" s="58">
        <v>45901.0</v>
      </c>
      <c r="B3350" s="24" t="s">
        <v>6787</v>
      </c>
      <c r="C3350" s="24" t="s">
        <v>7023</v>
      </c>
      <c r="D3350" s="59">
        <v>2.0</v>
      </c>
      <c r="E3350" s="59">
        <v>2.0</v>
      </c>
      <c r="F3350" s="59">
        <v>2.0</v>
      </c>
      <c r="G3350" s="60">
        <v>1.0</v>
      </c>
      <c r="H3350" s="60">
        <v>0.5</v>
      </c>
      <c r="I3350" s="60">
        <v>6.01991</v>
      </c>
      <c r="J3350" s="59">
        <v>2.0</v>
      </c>
      <c r="K3350" s="61">
        <f t="shared" si="1"/>
        <v>1</v>
      </c>
      <c r="L3350" s="62">
        <f t="shared" si="2"/>
        <v>1</v>
      </c>
    </row>
    <row r="3351">
      <c r="A3351" s="58">
        <v>45901.0</v>
      </c>
      <c r="B3351" s="24" t="s">
        <v>6787</v>
      </c>
      <c r="C3351" s="24" t="s">
        <v>6814</v>
      </c>
      <c r="D3351" s="59">
        <v>2.0</v>
      </c>
      <c r="E3351" s="59">
        <v>2.0</v>
      </c>
      <c r="F3351" s="59">
        <v>1.0</v>
      </c>
      <c r="G3351" s="60">
        <v>1.0</v>
      </c>
      <c r="H3351" s="60">
        <v>0.5</v>
      </c>
      <c r="I3351" s="60">
        <v>896.030586</v>
      </c>
      <c r="J3351" s="59">
        <v>3.0</v>
      </c>
      <c r="K3351" s="61">
        <f t="shared" si="1"/>
        <v>0.5</v>
      </c>
      <c r="L3351" s="62">
        <f t="shared" si="2"/>
        <v>1.5</v>
      </c>
    </row>
    <row r="3352">
      <c r="A3352" s="58">
        <v>45901.0</v>
      </c>
      <c r="B3352" s="24" t="s">
        <v>6789</v>
      </c>
      <c r="C3352" s="24" t="s">
        <v>6814</v>
      </c>
      <c r="D3352" s="59">
        <v>2.0</v>
      </c>
      <c r="E3352" s="59">
        <v>3.0</v>
      </c>
      <c r="F3352" s="59">
        <v>1.0</v>
      </c>
      <c r="G3352" s="60">
        <v>1.5</v>
      </c>
      <c r="H3352" s="60">
        <v>0.666666666666666</v>
      </c>
      <c r="I3352" s="60">
        <v>72.4071823333333</v>
      </c>
      <c r="J3352" s="59">
        <v>3.0</v>
      </c>
      <c r="K3352" s="61">
        <f t="shared" si="1"/>
        <v>0.3333333333</v>
      </c>
      <c r="L3352" s="62">
        <f t="shared" si="2"/>
        <v>1</v>
      </c>
    </row>
    <row r="3353">
      <c r="A3353" s="58">
        <v>45901.0</v>
      </c>
      <c r="B3353" s="24" t="s">
        <v>6787</v>
      </c>
      <c r="C3353" s="24" t="s">
        <v>7192</v>
      </c>
      <c r="D3353" s="59">
        <v>2.0</v>
      </c>
      <c r="E3353" s="59">
        <v>2.0</v>
      </c>
      <c r="F3353" s="59">
        <v>2.0</v>
      </c>
      <c r="G3353" s="60">
        <v>1.0</v>
      </c>
      <c r="H3353" s="60">
        <v>0.5</v>
      </c>
      <c r="I3353" s="60">
        <v>7.5562995</v>
      </c>
      <c r="J3353" s="59">
        <v>3.0</v>
      </c>
      <c r="K3353" s="61">
        <f t="shared" si="1"/>
        <v>1</v>
      </c>
      <c r="L3353" s="62">
        <f t="shared" si="2"/>
        <v>1.5</v>
      </c>
    </row>
    <row r="3354">
      <c r="A3354" s="58">
        <v>45901.0</v>
      </c>
      <c r="B3354" s="24" t="s">
        <v>6787</v>
      </c>
      <c r="C3354" s="24" t="s">
        <v>7014</v>
      </c>
      <c r="D3354" s="59">
        <v>2.0</v>
      </c>
      <c r="E3354" s="59">
        <v>2.0</v>
      </c>
      <c r="F3354" s="59">
        <v>2.0</v>
      </c>
      <c r="G3354" s="60">
        <v>1.0</v>
      </c>
      <c r="H3354" s="60">
        <v>0.5</v>
      </c>
      <c r="I3354" s="60">
        <v>40.824206</v>
      </c>
      <c r="J3354" s="59">
        <v>4.0</v>
      </c>
      <c r="K3354" s="61">
        <f t="shared" si="1"/>
        <v>1</v>
      </c>
      <c r="L3354" s="62">
        <f t="shared" si="2"/>
        <v>2</v>
      </c>
    </row>
    <row r="3355">
      <c r="A3355" s="58">
        <v>45901.0</v>
      </c>
      <c r="B3355" s="24" t="s">
        <v>6790</v>
      </c>
      <c r="C3355" s="24" t="s">
        <v>6815</v>
      </c>
      <c r="D3355" s="59">
        <v>2.0</v>
      </c>
      <c r="E3355" s="59">
        <v>2.0</v>
      </c>
      <c r="F3355" s="59">
        <v>2.0</v>
      </c>
      <c r="G3355" s="60">
        <v>1.0</v>
      </c>
      <c r="H3355" s="60">
        <v>0.5</v>
      </c>
      <c r="I3355" s="60">
        <v>47.980989</v>
      </c>
      <c r="J3355" s="59">
        <v>4.0</v>
      </c>
      <c r="K3355" s="61">
        <f t="shared" si="1"/>
        <v>1</v>
      </c>
      <c r="L3355" s="62">
        <f t="shared" si="2"/>
        <v>2</v>
      </c>
    </row>
    <row r="3356">
      <c r="A3356" s="58">
        <v>45901.0</v>
      </c>
      <c r="B3356" s="24" t="s">
        <v>6791</v>
      </c>
      <c r="C3356" s="24" t="s">
        <v>6852</v>
      </c>
      <c r="D3356" s="59">
        <v>2.0</v>
      </c>
      <c r="E3356" s="59">
        <v>2.0</v>
      </c>
      <c r="F3356" s="59">
        <v>2.0</v>
      </c>
      <c r="G3356" s="60">
        <v>1.0</v>
      </c>
      <c r="H3356" s="60">
        <v>0.5</v>
      </c>
      <c r="I3356" s="60">
        <v>13.9030215</v>
      </c>
      <c r="J3356" s="59">
        <v>2.0</v>
      </c>
      <c r="K3356" s="61">
        <f t="shared" si="1"/>
        <v>1</v>
      </c>
      <c r="L3356" s="62">
        <f t="shared" si="2"/>
        <v>1</v>
      </c>
    </row>
    <row r="3357">
      <c r="A3357" s="58">
        <v>45901.0</v>
      </c>
      <c r="B3357" s="24" t="s">
        <v>6787</v>
      </c>
      <c r="C3357" s="24" t="s">
        <v>6853</v>
      </c>
      <c r="D3357" s="59">
        <v>2.0</v>
      </c>
      <c r="E3357" s="59">
        <v>2.0</v>
      </c>
      <c r="F3357" s="59">
        <v>2.0</v>
      </c>
      <c r="G3357" s="60">
        <v>1.0</v>
      </c>
      <c r="H3357" s="60">
        <v>0.5</v>
      </c>
      <c r="I3357" s="60">
        <v>64.2108355</v>
      </c>
      <c r="J3357" s="59">
        <v>11.0</v>
      </c>
      <c r="K3357" s="61">
        <f t="shared" si="1"/>
        <v>1</v>
      </c>
      <c r="L3357" s="62">
        <f t="shared" si="2"/>
        <v>5.5</v>
      </c>
    </row>
    <row r="3358">
      <c r="A3358" s="58">
        <v>45901.0</v>
      </c>
      <c r="B3358" s="24" t="s">
        <v>6789</v>
      </c>
      <c r="C3358" s="24" t="s">
        <v>6853</v>
      </c>
      <c r="D3358" s="59">
        <v>2.0</v>
      </c>
      <c r="E3358" s="59">
        <v>2.0</v>
      </c>
      <c r="F3358" s="59">
        <v>1.0</v>
      </c>
      <c r="G3358" s="60">
        <v>1.0</v>
      </c>
      <c r="H3358" s="60">
        <v>0.5</v>
      </c>
      <c r="I3358" s="60">
        <v>31.845099</v>
      </c>
      <c r="J3358" s="59">
        <v>2.0</v>
      </c>
      <c r="K3358" s="61">
        <f t="shared" si="1"/>
        <v>0.5</v>
      </c>
      <c r="L3358" s="62">
        <f t="shared" si="2"/>
        <v>1</v>
      </c>
    </row>
    <row r="3359">
      <c r="A3359" s="58">
        <v>45901.0</v>
      </c>
      <c r="B3359" s="24" t="s">
        <v>6789</v>
      </c>
      <c r="C3359" s="24" t="s">
        <v>6816</v>
      </c>
      <c r="D3359" s="59">
        <v>2.0</v>
      </c>
      <c r="E3359" s="59">
        <v>2.0</v>
      </c>
      <c r="F3359" s="59">
        <v>1.0</v>
      </c>
      <c r="G3359" s="60">
        <v>1.0</v>
      </c>
      <c r="H3359" s="60">
        <v>0.5</v>
      </c>
      <c r="I3359" s="60">
        <v>15.9056765</v>
      </c>
      <c r="J3359" s="59">
        <v>2.0</v>
      </c>
      <c r="K3359" s="61">
        <f t="shared" si="1"/>
        <v>0.5</v>
      </c>
      <c r="L3359" s="62">
        <f t="shared" si="2"/>
        <v>1</v>
      </c>
    </row>
    <row r="3360">
      <c r="A3360" s="58">
        <v>45901.0</v>
      </c>
      <c r="B3360" s="24" t="s">
        <v>6794</v>
      </c>
      <c r="C3360" s="24" t="s">
        <v>6922</v>
      </c>
      <c r="D3360" s="59">
        <v>2.0</v>
      </c>
      <c r="E3360" s="59">
        <v>3.0</v>
      </c>
      <c r="F3360" s="59">
        <v>0.0</v>
      </c>
      <c r="G3360" s="60">
        <v>1.5</v>
      </c>
      <c r="H3360" s="60">
        <v>1.0</v>
      </c>
      <c r="I3360" s="60">
        <v>2.648337</v>
      </c>
      <c r="J3360" s="59">
        <v>3.0</v>
      </c>
      <c r="K3360" s="61">
        <f t="shared" si="1"/>
        <v>0</v>
      </c>
      <c r="L3360" s="62">
        <f t="shared" si="2"/>
        <v>1</v>
      </c>
    </row>
    <row r="3361">
      <c r="A3361" s="58">
        <v>45901.0</v>
      </c>
      <c r="B3361" s="24" t="s">
        <v>6787</v>
      </c>
      <c r="C3361" s="24" t="s">
        <v>6962</v>
      </c>
      <c r="D3361" s="59">
        <v>2.0</v>
      </c>
      <c r="E3361" s="59">
        <v>2.0</v>
      </c>
      <c r="F3361" s="59">
        <v>1.0</v>
      </c>
      <c r="G3361" s="60">
        <v>1.0</v>
      </c>
      <c r="H3361" s="60">
        <v>0.0</v>
      </c>
      <c r="I3361" s="60">
        <v>2.2277945</v>
      </c>
      <c r="J3361" s="59">
        <v>2.0</v>
      </c>
      <c r="K3361" s="61">
        <f t="shared" si="1"/>
        <v>0.5</v>
      </c>
      <c r="L3361" s="62">
        <f t="shared" si="2"/>
        <v>1</v>
      </c>
    </row>
    <row r="3362">
      <c r="A3362" s="58">
        <v>45901.0</v>
      </c>
      <c r="B3362" s="24" t="s">
        <v>6787</v>
      </c>
      <c r="C3362" s="24" t="s">
        <v>6963</v>
      </c>
      <c r="D3362" s="59">
        <v>2.0</v>
      </c>
      <c r="E3362" s="59">
        <v>2.0</v>
      </c>
      <c r="F3362" s="59">
        <v>2.0</v>
      </c>
      <c r="G3362" s="60">
        <v>1.0</v>
      </c>
      <c r="H3362" s="60">
        <v>0.5</v>
      </c>
      <c r="I3362" s="60">
        <v>61.9949585</v>
      </c>
      <c r="J3362" s="59">
        <v>11.0</v>
      </c>
      <c r="K3362" s="61">
        <f t="shared" si="1"/>
        <v>1</v>
      </c>
      <c r="L3362" s="62">
        <f t="shared" si="2"/>
        <v>5.5</v>
      </c>
    </row>
    <row r="3363">
      <c r="A3363" s="58">
        <v>45901.0</v>
      </c>
      <c r="B3363" s="24" t="s">
        <v>6787</v>
      </c>
      <c r="C3363" s="24" t="s">
        <v>6924</v>
      </c>
      <c r="D3363" s="59">
        <v>2.0</v>
      </c>
      <c r="E3363" s="59">
        <v>2.0</v>
      </c>
      <c r="F3363" s="59">
        <v>1.0</v>
      </c>
      <c r="G3363" s="60">
        <v>1.0</v>
      </c>
      <c r="H3363" s="60">
        <v>0.5</v>
      </c>
      <c r="I3363" s="60">
        <v>178.7209895</v>
      </c>
      <c r="J3363" s="59">
        <v>3.0</v>
      </c>
      <c r="K3363" s="61">
        <f t="shared" si="1"/>
        <v>0.5</v>
      </c>
      <c r="L3363" s="62">
        <f t="shared" si="2"/>
        <v>1.5</v>
      </c>
    </row>
    <row r="3364">
      <c r="A3364" s="58">
        <v>45901.0</v>
      </c>
      <c r="B3364" s="24" t="s">
        <v>6787</v>
      </c>
      <c r="C3364" s="24" t="s">
        <v>7289</v>
      </c>
      <c r="D3364" s="59">
        <v>2.0</v>
      </c>
      <c r="E3364" s="59">
        <v>2.0</v>
      </c>
      <c r="F3364" s="59">
        <v>2.0</v>
      </c>
      <c r="G3364" s="60">
        <v>1.0</v>
      </c>
      <c r="H3364" s="60">
        <v>0.5</v>
      </c>
      <c r="I3364" s="60">
        <v>18.3327585</v>
      </c>
      <c r="J3364" s="59">
        <v>5.0</v>
      </c>
      <c r="K3364" s="61">
        <f t="shared" si="1"/>
        <v>1</v>
      </c>
      <c r="L3364" s="62">
        <f t="shared" si="2"/>
        <v>2.5</v>
      </c>
    </row>
    <row r="3365">
      <c r="A3365" s="58">
        <v>45901.0</v>
      </c>
      <c r="B3365" s="24" t="s">
        <v>6787</v>
      </c>
      <c r="C3365" s="24" t="s">
        <v>7315</v>
      </c>
      <c r="D3365" s="59">
        <v>2.0</v>
      </c>
      <c r="E3365" s="59">
        <v>2.0</v>
      </c>
      <c r="F3365" s="59">
        <v>2.0</v>
      </c>
      <c r="G3365" s="60">
        <v>1.0</v>
      </c>
      <c r="H3365" s="60">
        <v>0.0</v>
      </c>
      <c r="I3365" s="60">
        <v>20.2732805</v>
      </c>
      <c r="J3365" s="59">
        <v>6.0</v>
      </c>
      <c r="K3365" s="61">
        <f t="shared" si="1"/>
        <v>1</v>
      </c>
      <c r="L3365" s="62">
        <f t="shared" si="2"/>
        <v>3</v>
      </c>
    </row>
    <row r="3366">
      <c r="A3366" s="58">
        <v>45901.0</v>
      </c>
      <c r="B3366" s="24" t="s">
        <v>7030</v>
      </c>
      <c r="C3366" s="24" t="s">
        <v>6792</v>
      </c>
      <c r="D3366" s="59">
        <v>1.0</v>
      </c>
      <c r="E3366" s="59">
        <v>1.0</v>
      </c>
      <c r="F3366" s="59">
        <v>0.0</v>
      </c>
      <c r="G3366" s="60">
        <v>0.0</v>
      </c>
      <c r="H3366" s="60">
        <v>1.0</v>
      </c>
      <c r="I3366" s="60">
        <v>0.0</v>
      </c>
      <c r="J3366" s="59">
        <v>0.0</v>
      </c>
      <c r="K3366" s="61">
        <f t="shared" si="1"/>
        <v>0</v>
      </c>
      <c r="L3366" s="62">
        <f t="shared" si="2"/>
        <v>0</v>
      </c>
    </row>
    <row r="3367">
      <c r="A3367" s="58">
        <v>45901.0</v>
      </c>
      <c r="B3367" s="24" t="s">
        <v>6942</v>
      </c>
      <c r="C3367" s="24" t="s">
        <v>6792</v>
      </c>
      <c r="D3367" s="59">
        <v>1.0</v>
      </c>
      <c r="E3367" s="59">
        <v>1.0</v>
      </c>
      <c r="F3367" s="59">
        <v>0.0</v>
      </c>
      <c r="G3367" s="60">
        <v>0.0</v>
      </c>
      <c r="H3367" s="60">
        <v>1.0</v>
      </c>
      <c r="I3367" s="60">
        <v>0.0</v>
      </c>
      <c r="J3367" s="59">
        <v>0.0</v>
      </c>
      <c r="K3367" s="61">
        <f t="shared" si="1"/>
        <v>0</v>
      </c>
      <c r="L3367" s="62">
        <f t="shared" si="2"/>
        <v>0</v>
      </c>
    </row>
    <row r="3368">
      <c r="A3368" s="58">
        <v>45901.0</v>
      </c>
      <c r="B3368" s="24" t="s">
        <v>6942</v>
      </c>
      <c r="C3368" s="24" t="s">
        <v>6788</v>
      </c>
      <c r="D3368" s="59">
        <v>1.0</v>
      </c>
      <c r="E3368" s="59">
        <v>1.0</v>
      </c>
      <c r="F3368" s="59">
        <v>0.0</v>
      </c>
      <c r="G3368" s="60">
        <v>0.0</v>
      </c>
      <c r="H3368" s="60">
        <v>1.0</v>
      </c>
      <c r="I3368" s="60">
        <v>0.0</v>
      </c>
      <c r="J3368" s="59">
        <v>1.0</v>
      </c>
      <c r="K3368" s="61">
        <f t="shared" si="1"/>
        <v>0</v>
      </c>
      <c r="L3368" s="62">
        <f t="shared" si="2"/>
        <v>1</v>
      </c>
    </row>
    <row r="3369">
      <c r="A3369" s="58">
        <v>45901.0</v>
      </c>
      <c r="B3369" s="24" t="s">
        <v>6787</v>
      </c>
      <c r="C3369" s="24" t="s">
        <v>7329</v>
      </c>
      <c r="D3369" s="59">
        <v>1.0</v>
      </c>
      <c r="E3369" s="59">
        <v>1.0</v>
      </c>
      <c r="F3369" s="59">
        <v>1.0</v>
      </c>
      <c r="G3369" s="60">
        <v>1.0</v>
      </c>
      <c r="H3369" s="60">
        <v>1.0</v>
      </c>
      <c r="I3369" s="60">
        <v>0.0</v>
      </c>
      <c r="J3369" s="59">
        <v>1.0</v>
      </c>
      <c r="K3369" s="61">
        <f t="shared" si="1"/>
        <v>1</v>
      </c>
      <c r="L3369" s="62">
        <f t="shared" si="2"/>
        <v>1</v>
      </c>
    </row>
    <row r="3370">
      <c r="A3370" s="58">
        <v>45901.0</v>
      </c>
      <c r="B3370" s="24" t="s">
        <v>6787</v>
      </c>
      <c r="C3370" s="24" t="s">
        <v>7330</v>
      </c>
      <c r="D3370" s="59">
        <v>1.0</v>
      </c>
      <c r="E3370" s="59">
        <v>1.0</v>
      </c>
      <c r="F3370" s="59">
        <v>1.0</v>
      </c>
      <c r="G3370" s="60">
        <v>1.0</v>
      </c>
      <c r="H3370" s="60">
        <v>1.0</v>
      </c>
      <c r="I3370" s="60">
        <v>0.0</v>
      </c>
      <c r="J3370" s="59">
        <v>1.0</v>
      </c>
      <c r="K3370" s="61">
        <f t="shared" si="1"/>
        <v>1</v>
      </c>
      <c r="L3370" s="62">
        <f t="shared" si="2"/>
        <v>1</v>
      </c>
    </row>
    <row r="3371">
      <c r="A3371" s="58">
        <v>45901.0</v>
      </c>
      <c r="B3371" s="24" t="s">
        <v>6787</v>
      </c>
      <c r="C3371" s="24" t="s">
        <v>7331</v>
      </c>
      <c r="D3371" s="59">
        <v>1.0</v>
      </c>
      <c r="E3371" s="59">
        <v>1.0</v>
      </c>
      <c r="F3371" s="59">
        <v>1.0</v>
      </c>
      <c r="G3371" s="60">
        <v>1.0</v>
      </c>
      <c r="H3371" s="60">
        <v>1.0</v>
      </c>
      <c r="I3371" s="60">
        <v>0.0</v>
      </c>
      <c r="J3371" s="59">
        <v>1.0</v>
      </c>
      <c r="K3371" s="61">
        <f t="shared" si="1"/>
        <v>1</v>
      </c>
      <c r="L3371" s="62">
        <f t="shared" si="2"/>
        <v>1</v>
      </c>
    </row>
    <row r="3372">
      <c r="A3372" s="58">
        <v>45901.0</v>
      </c>
      <c r="B3372" s="24" t="s">
        <v>6787</v>
      </c>
      <c r="C3372" s="24" t="s">
        <v>7332</v>
      </c>
      <c r="D3372" s="59">
        <v>1.0</v>
      </c>
      <c r="E3372" s="59">
        <v>1.0</v>
      </c>
      <c r="F3372" s="59">
        <v>1.0</v>
      </c>
      <c r="G3372" s="60">
        <v>1.0</v>
      </c>
      <c r="H3372" s="60">
        <v>1.0</v>
      </c>
      <c r="I3372" s="60">
        <v>0.0</v>
      </c>
      <c r="J3372" s="59">
        <v>1.0</v>
      </c>
      <c r="K3372" s="61">
        <f t="shared" si="1"/>
        <v>1</v>
      </c>
      <c r="L3372" s="62">
        <f t="shared" si="2"/>
        <v>1</v>
      </c>
    </row>
    <row r="3373">
      <c r="A3373" s="58">
        <v>45901.0</v>
      </c>
      <c r="B3373" s="24" t="s">
        <v>6787</v>
      </c>
      <c r="C3373" s="24" t="s">
        <v>7333</v>
      </c>
      <c r="D3373" s="59">
        <v>1.0</v>
      </c>
      <c r="E3373" s="59">
        <v>1.0</v>
      </c>
      <c r="F3373" s="59">
        <v>1.0</v>
      </c>
      <c r="G3373" s="60">
        <v>1.0</v>
      </c>
      <c r="H3373" s="60">
        <v>1.0</v>
      </c>
      <c r="I3373" s="60">
        <v>0.0</v>
      </c>
      <c r="J3373" s="59">
        <v>1.0</v>
      </c>
      <c r="K3373" s="61">
        <f t="shared" si="1"/>
        <v>1</v>
      </c>
      <c r="L3373" s="62">
        <f t="shared" si="2"/>
        <v>1</v>
      </c>
    </row>
    <row r="3374">
      <c r="A3374" s="58">
        <v>45901.0</v>
      </c>
      <c r="B3374" s="24" t="s">
        <v>6787</v>
      </c>
      <c r="C3374" s="24" t="s">
        <v>7334</v>
      </c>
      <c r="D3374" s="59">
        <v>1.0</v>
      </c>
      <c r="E3374" s="59">
        <v>1.0</v>
      </c>
      <c r="F3374" s="59">
        <v>1.0</v>
      </c>
      <c r="G3374" s="60">
        <v>1.0</v>
      </c>
      <c r="H3374" s="60">
        <v>1.0</v>
      </c>
      <c r="I3374" s="60">
        <v>0.0</v>
      </c>
      <c r="J3374" s="59">
        <v>1.0</v>
      </c>
      <c r="K3374" s="61">
        <f t="shared" si="1"/>
        <v>1</v>
      </c>
      <c r="L3374" s="62">
        <f t="shared" si="2"/>
        <v>1</v>
      </c>
    </row>
    <row r="3375">
      <c r="A3375" s="58">
        <v>45901.0</v>
      </c>
      <c r="B3375" s="24" t="s">
        <v>6787</v>
      </c>
      <c r="C3375" s="24" t="s">
        <v>7335</v>
      </c>
      <c r="D3375" s="59">
        <v>1.0</v>
      </c>
      <c r="E3375" s="59">
        <v>1.0</v>
      </c>
      <c r="F3375" s="59">
        <v>1.0</v>
      </c>
      <c r="G3375" s="60">
        <v>1.0</v>
      </c>
      <c r="H3375" s="60">
        <v>1.0</v>
      </c>
      <c r="I3375" s="60">
        <v>0.0</v>
      </c>
      <c r="J3375" s="59">
        <v>1.0</v>
      </c>
      <c r="K3375" s="61">
        <f t="shared" si="1"/>
        <v>1</v>
      </c>
      <c r="L3375" s="62">
        <f t="shared" si="2"/>
        <v>1</v>
      </c>
    </row>
    <row r="3376">
      <c r="A3376" s="58">
        <v>45901.0</v>
      </c>
      <c r="B3376" s="24" t="s">
        <v>6787</v>
      </c>
      <c r="C3376" s="24" t="s">
        <v>7336</v>
      </c>
      <c r="D3376" s="59">
        <v>1.0</v>
      </c>
      <c r="E3376" s="59">
        <v>1.0</v>
      </c>
      <c r="F3376" s="59">
        <v>1.0</v>
      </c>
      <c r="G3376" s="60">
        <v>1.0</v>
      </c>
      <c r="H3376" s="60">
        <v>1.0</v>
      </c>
      <c r="I3376" s="60">
        <v>0.0</v>
      </c>
      <c r="J3376" s="59">
        <v>1.0</v>
      </c>
      <c r="K3376" s="61">
        <f t="shared" si="1"/>
        <v>1</v>
      </c>
      <c r="L3376" s="62">
        <f t="shared" si="2"/>
        <v>1</v>
      </c>
    </row>
    <row r="3377">
      <c r="A3377" s="58">
        <v>45901.0</v>
      </c>
      <c r="B3377" s="24" t="s">
        <v>6787</v>
      </c>
      <c r="C3377" s="24" t="s">
        <v>7337</v>
      </c>
      <c r="D3377" s="59">
        <v>1.0</v>
      </c>
      <c r="E3377" s="59">
        <v>1.0</v>
      </c>
      <c r="F3377" s="59">
        <v>1.0</v>
      </c>
      <c r="G3377" s="60">
        <v>1.0</v>
      </c>
      <c r="H3377" s="60">
        <v>1.0</v>
      </c>
      <c r="I3377" s="60">
        <v>0.0</v>
      </c>
      <c r="J3377" s="59">
        <v>1.0</v>
      </c>
      <c r="K3377" s="61">
        <f t="shared" si="1"/>
        <v>1</v>
      </c>
      <c r="L3377" s="62">
        <f t="shared" si="2"/>
        <v>1</v>
      </c>
    </row>
    <row r="3378">
      <c r="A3378" s="58">
        <v>45901.0</v>
      </c>
      <c r="B3378" s="24" t="s">
        <v>6789</v>
      </c>
      <c r="C3378" s="24" t="s">
        <v>6980</v>
      </c>
      <c r="D3378" s="59">
        <v>1.0</v>
      </c>
      <c r="E3378" s="59">
        <v>1.0</v>
      </c>
      <c r="F3378" s="59">
        <v>0.0</v>
      </c>
      <c r="G3378" s="60">
        <v>1.0</v>
      </c>
      <c r="H3378" s="60">
        <v>0.0</v>
      </c>
      <c r="I3378" s="60">
        <v>56.693598</v>
      </c>
      <c r="J3378" s="59">
        <v>3.0</v>
      </c>
      <c r="K3378" s="61">
        <f t="shared" si="1"/>
        <v>0</v>
      </c>
      <c r="L3378" s="62">
        <f t="shared" si="2"/>
        <v>3</v>
      </c>
    </row>
    <row r="3379">
      <c r="A3379" s="58">
        <v>45901.0</v>
      </c>
      <c r="B3379" s="24" t="s">
        <v>6789</v>
      </c>
      <c r="C3379" s="24" t="s">
        <v>7298</v>
      </c>
      <c r="D3379" s="59">
        <v>1.0</v>
      </c>
      <c r="E3379" s="59">
        <v>4.0</v>
      </c>
      <c r="F3379" s="59">
        <v>0.0</v>
      </c>
      <c r="G3379" s="60">
        <v>4.0</v>
      </c>
      <c r="H3379" s="60">
        <v>0.0</v>
      </c>
      <c r="I3379" s="60">
        <v>1193.45902575</v>
      </c>
      <c r="J3379" s="59">
        <v>14.0</v>
      </c>
      <c r="K3379" s="61">
        <f t="shared" si="1"/>
        <v>0</v>
      </c>
      <c r="L3379" s="62">
        <f t="shared" si="2"/>
        <v>3.5</v>
      </c>
    </row>
    <row r="3380">
      <c r="A3380" s="58">
        <v>45901.0</v>
      </c>
      <c r="B3380" s="24" t="s">
        <v>155</v>
      </c>
      <c r="C3380" s="24" t="s">
        <v>7149</v>
      </c>
      <c r="D3380" s="59">
        <v>1.0</v>
      </c>
      <c r="E3380" s="59">
        <v>4.0</v>
      </c>
      <c r="F3380" s="59">
        <v>0.0</v>
      </c>
      <c r="G3380" s="60">
        <v>4.0</v>
      </c>
      <c r="H3380" s="60">
        <v>0.5</v>
      </c>
      <c r="I3380" s="60">
        <v>28.8688595</v>
      </c>
      <c r="J3380" s="59">
        <v>6.0</v>
      </c>
      <c r="K3380" s="61">
        <f t="shared" si="1"/>
        <v>0</v>
      </c>
      <c r="L3380" s="62">
        <f t="shared" si="2"/>
        <v>1.5</v>
      </c>
    </row>
    <row r="3381">
      <c r="A3381" s="58">
        <v>45901.0</v>
      </c>
      <c r="B3381" s="24" t="s">
        <v>6787</v>
      </c>
      <c r="C3381" s="24" t="s">
        <v>6953</v>
      </c>
      <c r="D3381" s="59">
        <v>1.0</v>
      </c>
      <c r="E3381" s="59">
        <v>1.0</v>
      </c>
      <c r="F3381" s="59">
        <v>1.0</v>
      </c>
      <c r="G3381" s="60">
        <v>1.0</v>
      </c>
      <c r="H3381" s="60">
        <v>1.0</v>
      </c>
      <c r="I3381" s="60">
        <v>8.134435</v>
      </c>
      <c r="J3381" s="59">
        <v>1.0</v>
      </c>
      <c r="K3381" s="61">
        <f t="shared" si="1"/>
        <v>1</v>
      </c>
      <c r="L3381" s="62">
        <f t="shared" si="2"/>
        <v>1</v>
      </c>
    </row>
    <row r="3382">
      <c r="A3382" s="58">
        <v>45901.0</v>
      </c>
      <c r="B3382" s="24" t="s">
        <v>6787</v>
      </c>
      <c r="C3382" s="24" t="s">
        <v>7056</v>
      </c>
      <c r="D3382" s="59">
        <v>1.0</v>
      </c>
      <c r="E3382" s="59">
        <v>1.0</v>
      </c>
      <c r="F3382" s="59">
        <v>1.0</v>
      </c>
      <c r="G3382" s="60">
        <v>1.0</v>
      </c>
      <c r="H3382" s="60">
        <v>1.0</v>
      </c>
      <c r="I3382" s="60">
        <v>8.17453</v>
      </c>
      <c r="J3382" s="59">
        <v>1.0</v>
      </c>
      <c r="K3382" s="61">
        <f t="shared" si="1"/>
        <v>1</v>
      </c>
      <c r="L3382" s="62">
        <f t="shared" si="2"/>
        <v>1</v>
      </c>
    </row>
    <row r="3383">
      <c r="A3383" s="58">
        <v>45901.0</v>
      </c>
      <c r="B3383" s="24" t="s">
        <v>6789</v>
      </c>
      <c r="C3383" s="24" t="s">
        <v>7056</v>
      </c>
      <c r="D3383" s="59">
        <v>1.0</v>
      </c>
      <c r="E3383" s="59">
        <v>2.0</v>
      </c>
      <c r="F3383" s="59">
        <v>1.0</v>
      </c>
      <c r="G3383" s="60">
        <v>2.0</v>
      </c>
      <c r="H3383" s="60">
        <v>1.0</v>
      </c>
      <c r="I3383" s="60">
        <v>1.2346765</v>
      </c>
      <c r="J3383" s="59">
        <v>2.0</v>
      </c>
      <c r="K3383" s="61">
        <f t="shared" si="1"/>
        <v>0.5</v>
      </c>
      <c r="L3383" s="62">
        <f t="shared" si="2"/>
        <v>1</v>
      </c>
    </row>
    <row r="3384">
      <c r="A3384" s="58">
        <v>45901.0</v>
      </c>
      <c r="B3384" s="24" t="s">
        <v>6787</v>
      </c>
      <c r="C3384" s="24" t="s">
        <v>7338</v>
      </c>
      <c r="D3384" s="59">
        <v>1.0</v>
      </c>
      <c r="E3384" s="59">
        <v>1.0</v>
      </c>
      <c r="F3384" s="59">
        <v>0.0</v>
      </c>
      <c r="G3384" s="60">
        <v>1.0</v>
      </c>
      <c r="H3384" s="60">
        <v>0.0</v>
      </c>
      <c r="I3384" s="60">
        <v>21.647728</v>
      </c>
      <c r="J3384" s="59">
        <v>1.0</v>
      </c>
      <c r="K3384" s="61">
        <f t="shared" si="1"/>
        <v>0</v>
      </c>
      <c r="L3384" s="62">
        <f t="shared" si="2"/>
        <v>1</v>
      </c>
    </row>
    <row r="3385">
      <c r="A3385" s="58">
        <v>45901.0</v>
      </c>
      <c r="B3385" s="24" t="s">
        <v>6789</v>
      </c>
      <c r="C3385" s="24" t="s">
        <v>6984</v>
      </c>
      <c r="D3385" s="59">
        <v>1.0</v>
      </c>
      <c r="E3385" s="59">
        <v>1.0</v>
      </c>
      <c r="F3385" s="59">
        <v>1.0</v>
      </c>
      <c r="G3385" s="60">
        <v>1.0</v>
      </c>
      <c r="H3385" s="60">
        <v>1.0</v>
      </c>
      <c r="I3385" s="60">
        <v>0.0</v>
      </c>
      <c r="J3385" s="59">
        <v>1.0</v>
      </c>
      <c r="K3385" s="61">
        <f t="shared" si="1"/>
        <v>1</v>
      </c>
      <c r="L3385" s="62">
        <f t="shared" si="2"/>
        <v>1</v>
      </c>
    </row>
    <row r="3386">
      <c r="A3386" s="58">
        <v>45901.0</v>
      </c>
      <c r="B3386" s="24" t="s">
        <v>6790</v>
      </c>
      <c r="C3386" s="24" t="s">
        <v>6804</v>
      </c>
      <c r="D3386" s="59">
        <v>1.0</v>
      </c>
      <c r="E3386" s="59">
        <v>1.0</v>
      </c>
      <c r="F3386" s="59">
        <v>1.0</v>
      </c>
      <c r="G3386" s="60">
        <v>1.0</v>
      </c>
      <c r="H3386" s="60">
        <v>1.0</v>
      </c>
      <c r="I3386" s="60">
        <v>0.0</v>
      </c>
      <c r="J3386" s="59">
        <v>1.0</v>
      </c>
      <c r="K3386" s="61">
        <f t="shared" si="1"/>
        <v>1</v>
      </c>
      <c r="L3386" s="62">
        <f t="shared" si="2"/>
        <v>1</v>
      </c>
    </row>
    <row r="3387">
      <c r="A3387" s="58">
        <v>45901.0</v>
      </c>
      <c r="B3387" s="24" t="s">
        <v>6787</v>
      </c>
      <c r="C3387" s="24" t="s">
        <v>6955</v>
      </c>
      <c r="D3387" s="59">
        <v>1.0</v>
      </c>
      <c r="E3387" s="59">
        <v>1.0</v>
      </c>
      <c r="F3387" s="59">
        <v>1.0</v>
      </c>
      <c r="G3387" s="60">
        <v>1.0</v>
      </c>
      <c r="H3387" s="60">
        <v>1.0</v>
      </c>
      <c r="I3387" s="60">
        <v>5.840485</v>
      </c>
      <c r="J3387" s="59">
        <v>1.0</v>
      </c>
      <c r="K3387" s="61">
        <f t="shared" si="1"/>
        <v>1</v>
      </c>
      <c r="L3387" s="62">
        <f t="shared" si="2"/>
        <v>1</v>
      </c>
    </row>
    <row r="3388">
      <c r="A3388" s="58">
        <v>45901.0</v>
      </c>
      <c r="B3388" s="24" t="s">
        <v>155</v>
      </c>
      <c r="C3388" s="24" t="s">
        <v>7039</v>
      </c>
      <c r="D3388" s="59">
        <v>1.0</v>
      </c>
      <c r="E3388" s="59">
        <v>1.0</v>
      </c>
      <c r="F3388" s="59">
        <v>1.0</v>
      </c>
      <c r="G3388" s="60">
        <v>1.0</v>
      </c>
      <c r="H3388" s="60">
        <v>1.0</v>
      </c>
      <c r="I3388" s="60">
        <v>0.0</v>
      </c>
      <c r="J3388" s="59">
        <v>1.0</v>
      </c>
      <c r="K3388" s="61">
        <f t="shared" si="1"/>
        <v>1</v>
      </c>
      <c r="L3388" s="62">
        <f t="shared" si="2"/>
        <v>1</v>
      </c>
    </row>
    <row r="3389">
      <c r="A3389" s="58">
        <v>45901.0</v>
      </c>
      <c r="B3389" s="24" t="s">
        <v>6789</v>
      </c>
      <c r="C3389" s="24" t="s">
        <v>7059</v>
      </c>
      <c r="D3389" s="59">
        <v>1.0</v>
      </c>
      <c r="E3389" s="59">
        <v>1.0</v>
      </c>
      <c r="F3389" s="59">
        <v>1.0</v>
      </c>
      <c r="G3389" s="60">
        <v>1.0</v>
      </c>
      <c r="H3389" s="60">
        <v>1.0</v>
      </c>
      <c r="I3389" s="60">
        <v>2.142652</v>
      </c>
      <c r="J3389" s="59">
        <v>1.0</v>
      </c>
      <c r="K3389" s="61">
        <f t="shared" si="1"/>
        <v>1</v>
      </c>
      <c r="L3389" s="62">
        <f t="shared" si="2"/>
        <v>1</v>
      </c>
    </row>
    <row r="3390">
      <c r="A3390" s="58">
        <v>45901.0</v>
      </c>
      <c r="B3390" s="24" t="s">
        <v>155</v>
      </c>
      <c r="C3390" s="24" t="s">
        <v>6862</v>
      </c>
      <c r="D3390" s="59">
        <v>1.0</v>
      </c>
      <c r="E3390" s="59">
        <v>1.0</v>
      </c>
      <c r="F3390" s="59">
        <v>0.0</v>
      </c>
      <c r="G3390" s="60">
        <v>1.0</v>
      </c>
      <c r="H3390" s="60">
        <v>0.0</v>
      </c>
      <c r="I3390" s="60">
        <v>111.939054</v>
      </c>
      <c r="J3390" s="59">
        <v>2.0</v>
      </c>
      <c r="K3390" s="61">
        <f t="shared" si="1"/>
        <v>0</v>
      </c>
      <c r="L3390" s="62">
        <f t="shared" si="2"/>
        <v>2</v>
      </c>
    </row>
    <row r="3391">
      <c r="A3391" s="58">
        <v>45901.0</v>
      </c>
      <c r="B3391" s="24" t="s">
        <v>155</v>
      </c>
      <c r="C3391" s="24" t="s">
        <v>6831</v>
      </c>
      <c r="D3391" s="59">
        <v>1.0</v>
      </c>
      <c r="E3391" s="59">
        <v>1.0</v>
      </c>
      <c r="F3391" s="59">
        <v>1.0</v>
      </c>
      <c r="G3391" s="60">
        <v>1.0</v>
      </c>
      <c r="H3391" s="60">
        <v>1.0</v>
      </c>
      <c r="I3391" s="60">
        <v>0.0</v>
      </c>
      <c r="J3391" s="59">
        <v>1.0</v>
      </c>
      <c r="K3391" s="61">
        <f t="shared" si="1"/>
        <v>1</v>
      </c>
      <c r="L3391" s="62">
        <f t="shared" si="2"/>
        <v>1</v>
      </c>
    </row>
    <row r="3392">
      <c r="A3392" s="58">
        <v>45901.0</v>
      </c>
      <c r="B3392" s="24" t="s">
        <v>6787</v>
      </c>
      <c r="C3392" s="24" t="s">
        <v>6985</v>
      </c>
      <c r="D3392" s="59">
        <v>1.0</v>
      </c>
      <c r="E3392" s="59">
        <v>1.0</v>
      </c>
      <c r="F3392" s="59">
        <v>1.0</v>
      </c>
      <c r="G3392" s="60">
        <v>1.0</v>
      </c>
      <c r="H3392" s="60">
        <v>0.0</v>
      </c>
      <c r="I3392" s="60">
        <v>16.134571</v>
      </c>
      <c r="J3392" s="59">
        <v>1.0</v>
      </c>
      <c r="K3392" s="61">
        <f t="shared" si="1"/>
        <v>1</v>
      </c>
      <c r="L3392" s="62">
        <f t="shared" si="2"/>
        <v>1</v>
      </c>
    </row>
    <row r="3393">
      <c r="A3393" s="58">
        <v>45901.0</v>
      </c>
      <c r="B3393" s="24" t="s">
        <v>155</v>
      </c>
      <c r="C3393" s="24" t="s">
        <v>6833</v>
      </c>
      <c r="D3393" s="59">
        <v>1.0</v>
      </c>
      <c r="E3393" s="59">
        <v>1.0</v>
      </c>
      <c r="F3393" s="59">
        <v>1.0</v>
      </c>
      <c r="G3393" s="60">
        <v>1.0</v>
      </c>
      <c r="H3393" s="60">
        <v>1.0</v>
      </c>
      <c r="I3393" s="60">
        <v>0.0</v>
      </c>
      <c r="J3393" s="59">
        <v>1.0</v>
      </c>
      <c r="K3393" s="61">
        <f t="shared" si="1"/>
        <v>1</v>
      </c>
      <c r="L3393" s="62">
        <f t="shared" si="2"/>
        <v>1</v>
      </c>
    </row>
    <row r="3394">
      <c r="A3394" s="58">
        <v>45901.0</v>
      </c>
      <c r="B3394" s="24" t="s">
        <v>6787</v>
      </c>
      <c r="C3394" s="24" t="s">
        <v>6819</v>
      </c>
      <c r="D3394" s="59">
        <v>1.0</v>
      </c>
      <c r="E3394" s="59">
        <v>1.0</v>
      </c>
      <c r="F3394" s="59">
        <v>1.0</v>
      </c>
      <c r="G3394" s="60">
        <v>1.0</v>
      </c>
      <c r="H3394" s="60">
        <v>0.0</v>
      </c>
      <c r="I3394" s="60">
        <v>18.623218</v>
      </c>
      <c r="J3394" s="59">
        <v>1.0</v>
      </c>
      <c r="K3394" s="61">
        <f t="shared" si="1"/>
        <v>1</v>
      </c>
      <c r="L3394" s="62">
        <f t="shared" si="2"/>
        <v>1</v>
      </c>
    </row>
    <row r="3395">
      <c r="A3395" s="58">
        <v>45901.0</v>
      </c>
      <c r="B3395" s="24" t="s">
        <v>6789</v>
      </c>
      <c r="C3395" s="24" t="s">
        <v>6927</v>
      </c>
      <c r="D3395" s="59">
        <v>1.0</v>
      </c>
      <c r="E3395" s="59">
        <v>1.0</v>
      </c>
      <c r="F3395" s="59">
        <v>1.0</v>
      </c>
      <c r="G3395" s="60">
        <v>1.0</v>
      </c>
      <c r="H3395" s="60">
        <v>1.0</v>
      </c>
      <c r="I3395" s="60">
        <v>0.0</v>
      </c>
      <c r="J3395" s="59">
        <v>1.0</v>
      </c>
      <c r="K3395" s="61">
        <f t="shared" si="1"/>
        <v>1</v>
      </c>
      <c r="L3395" s="62">
        <f t="shared" si="2"/>
        <v>1</v>
      </c>
    </row>
    <row r="3396">
      <c r="A3396" s="58">
        <v>45901.0</v>
      </c>
      <c r="B3396" s="24" t="s">
        <v>6787</v>
      </c>
      <c r="C3396" s="24" t="s">
        <v>6986</v>
      </c>
      <c r="D3396" s="59">
        <v>1.0</v>
      </c>
      <c r="E3396" s="59">
        <v>1.0</v>
      </c>
      <c r="F3396" s="59">
        <v>1.0</v>
      </c>
      <c r="G3396" s="60">
        <v>1.0</v>
      </c>
      <c r="H3396" s="60">
        <v>0.0</v>
      </c>
      <c r="I3396" s="60">
        <v>22.542032</v>
      </c>
      <c r="J3396" s="59">
        <v>1.0</v>
      </c>
      <c r="K3396" s="61">
        <f t="shared" si="1"/>
        <v>1</v>
      </c>
      <c r="L3396" s="62">
        <f t="shared" si="2"/>
        <v>1</v>
      </c>
    </row>
    <row r="3397">
      <c r="A3397" s="58">
        <v>45901.0</v>
      </c>
      <c r="B3397" s="24" t="s">
        <v>6787</v>
      </c>
      <c r="C3397" s="24" t="s">
        <v>7061</v>
      </c>
      <c r="D3397" s="59">
        <v>1.0</v>
      </c>
      <c r="E3397" s="59">
        <v>1.0</v>
      </c>
      <c r="F3397" s="59">
        <v>1.0</v>
      </c>
      <c r="G3397" s="60">
        <v>1.0</v>
      </c>
      <c r="H3397" s="60">
        <v>1.0</v>
      </c>
      <c r="I3397" s="60">
        <v>0.0</v>
      </c>
      <c r="J3397" s="59">
        <v>1.0</v>
      </c>
      <c r="K3397" s="61">
        <f t="shared" si="1"/>
        <v>1</v>
      </c>
      <c r="L3397" s="62">
        <f t="shared" si="2"/>
        <v>1</v>
      </c>
    </row>
    <row r="3398">
      <c r="A3398" s="58">
        <v>45901.0</v>
      </c>
      <c r="B3398" s="24" t="s">
        <v>155</v>
      </c>
      <c r="C3398" s="24" t="s">
        <v>6868</v>
      </c>
      <c r="D3398" s="59">
        <v>1.0</v>
      </c>
      <c r="E3398" s="59">
        <v>1.0</v>
      </c>
      <c r="F3398" s="59">
        <v>0.0</v>
      </c>
      <c r="G3398" s="60">
        <v>1.0</v>
      </c>
      <c r="H3398" s="60">
        <v>0.0</v>
      </c>
      <c r="I3398" s="60">
        <v>104.850005</v>
      </c>
      <c r="J3398" s="59">
        <v>2.0</v>
      </c>
      <c r="K3398" s="61">
        <f t="shared" si="1"/>
        <v>0</v>
      </c>
      <c r="L3398" s="62">
        <f t="shared" si="2"/>
        <v>2</v>
      </c>
    </row>
    <row r="3399">
      <c r="A3399" s="58">
        <v>45901.0</v>
      </c>
      <c r="B3399" s="24" t="s">
        <v>6789</v>
      </c>
      <c r="C3399" s="24" t="s">
        <v>7040</v>
      </c>
      <c r="D3399" s="59">
        <v>1.0</v>
      </c>
      <c r="E3399" s="59">
        <v>1.0</v>
      </c>
      <c r="F3399" s="59">
        <v>1.0</v>
      </c>
      <c r="G3399" s="60">
        <v>1.0</v>
      </c>
      <c r="H3399" s="60">
        <v>1.0</v>
      </c>
      <c r="I3399" s="60">
        <v>0.0</v>
      </c>
      <c r="J3399" s="59">
        <v>1.0</v>
      </c>
      <c r="K3399" s="61">
        <f t="shared" si="1"/>
        <v>1</v>
      </c>
      <c r="L3399" s="62">
        <f t="shared" si="2"/>
        <v>1</v>
      </c>
    </row>
    <row r="3400">
      <c r="A3400" s="58">
        <v>45901.0</v>
      </c>
      <c r="B3400" s="24" t="s">
        <v>6787</v>
      </c>
      <c r="C3400" s="24" t="s">
        <v>6988</v>
      </c>
      <c r="D3400" s="59">
        <v>1.0</v>
      </c>
      <c r="E3400" s="59">
        <v>1.0</v>
      </c>
      <c r="F3400" s="59">
        <v>1.0</v>
      </c>
      <c r="G3400" s="60">
        <v>1.0</v>
      </c>
      <c r="H3400" s="60">
        <v>1.0</v>
      </c>
      <c r="I3400" s="60">
        <v>0.0</v>
      </c>
      <c r="J3400" s="59">
        <v>1.0</v>
      </c>
      <c r="K3400" s="61">
        <f t="shared" si="1"/>
        <v>1</v>
      </c>
      <c r="L3400" s="62">
        <f t="shared" si="2"/>
        <v>1</v>
      </c>
    </row>
    <row r="3401">
      <c r="A3401" s="58">
        <v>45901.0</v>
      </c>
      <c r="B3401" s="24" t="s">
        <v>6794</v>
      </c>
      <c r="C3401" s="24" t="s">
        <v>6872</v>
      </c>
      <c r="D3401" s="59">
        <v>1.0</v>
      </c>
      <c r="E3401" s="59">
        <v>1.0</v>
      </c>
      <c r="F3401" s="59">
        <v>1.0</v>
      </c>
      <c r="G3401" s="60">
        <v>1.0</v>
      </c>
      <c r="H3401" s="60">
        <v>1.0</v>
      </c>
      <c r="I3401" s="60">
        <v>6.093877</v>
      </c>
      <c r="J3401" s="59">
        <v>1.0</v>
      </c>
      <c r="K3401" s="61">
        <f t="shared" si="1"/>
        <v>1</v>
      </c>
      <c r="L3401" s="62">
        <f t="shared" si="2"/>
        <v>1</v>
      </c>
    </row>
    <row r="3402">
      <c r="A3402" s="58">
        <v>45901.0</v>
      </c>
      <c r="B3402" s="24" t="s">
        <v>6787</v>
      </c>
      <c r="C3402" s="24" t="s">
        <v>6873</v>
      </c>
      <c r="D3402" s="59">
        <v>1.0</v>
      </c>
      <c r="E3402" s="59">
        <v>2.0</v>
      </c>
      <c r="F3402" s="59">
        <v>0.0</v>
      </c>
      <c r="G3402" s="60">
        <v>2.0</v>
      </c>
      <c r="H3402" s="60">
        <v>0.0</v>
      </c>
      <c r="I3402" s="60">
        <v>397.1907055</v>
      </c>
      <c r="J3402" s="59">
        <v>8.0</v>
      </c>
      <c r="K3402" s="61">
        <f t="shared" si="1"/>
        <v>0</v>
      </c>
      <c r="L3402" s="62">
        <f t="shared" si="2"/>
        <v>4</v>
      </c>
    </row>
    <row r="3403">
      <c r="A3403" s="58">
        <v>45901.0</v>
      </c>
      <c r="B3403" s="24" t="s">
        <v>6789</v>
      </c>
      <c r="C3403" s="24" t="s">
        <v>6873</v>
      </c>
      <c r="D3403" s="59">
        <v>1.0</v>
      </c>
      <c r="E3403" s="59">
        <v>1.0</v>
      </c>
      <c r="F3403" s="59">
        <v>1.0</v>
      </c>
      <c r="G3403" s="60">
        <v>1.0</v>
      </c>
      <c r="H3403" s="60">
        <v>0.0</v>
      </c>
      <c r="I3403" s="60">
        <v>130.497681</v>
      </c>
      <c r="J3403" s="59">
        <v>2.0</v>
      </c>
      <c r="K3403" s="61">
        <f t="shared" si="1"/>
        <v>1</v>
      </c>
      <c r="L3403" s="62">
        <f t="shared" si="2"/>
        <v>2</v>
      </c>
    </row>
    <row r="3404">
      <c r="A3404" s="58">
        <v>45901.0</v>
      </c>
      <c r="B3404" s="24" t="s">
        <v>155</v>
      </c>
      <c r="C3404" s="24" t="s">
        <v>6873</v>
      </c>
      <c r="D3404" s="59">
        <v>1.0</v>
      </c>
      <c r="E3404" s="59">
        <v>1.0</v>
      </c>
      <c r="F3404" s="59">
        <v>1.0</v>
      </c>
      <c r="G3404" s="60">
        <v>1.0</v>
      </c>
      <c r="H3404" s="60">
        <v>0.0</v>
      </c>
      <c r="I3404" s="60">
        <v>127.531211</v>
      </c>
      <c r="J3404" s="59">
        <v>6.0</v>
      </c>
      <c r="K3404" s="61">
        <f t="shared" si="1"/>
        <v>1</v>
      </c>
      <c r="L3404" s="62">
        <f t="shared" si="2"/>
        <v>6</v>
      </c>
    </row>
    <row r="3405">
      <c r="A3405" s="58">
        <v>45901.0</v>
      </c>
      <c r="B3405" s="24" t="s">
        <v>6787</v>
      </c>
      <c r="C3405" s="24" t="s">
        <v>7024</v>
      </c>
      <c r="D3405" s="59">
        <v>1.0</v>
      </c>
      <c r="E3405" s="59">
        <v>1.0</v>
      </c>
      <c r="F3405" s="59">
        <v>1.0</v>
      </c>
      <c r="G3405" s="60">
        <v>1.0</v>
      </c>
      <c r="H3405" s="60">
        <v>1.0</v>
      </c>
      <c r="I3405" s="60">
        <v>1.169563</v>
      </c>
      <c r="J3405" s="59">
        <v>1.0</v>
      </c>
      <c r="K3405" s="61">
        <f t="shared" si="1"/>
        <v>1</v>
      </c>
      <c r="L3405" s="62">
        <f t="shared" si="2"/>
        <v>1</v>
      </c>
    </row>
    <row r="3406">
      <c r="A3406" s="58">
        <v>45901.0</v>
      </c>
      <c r="B3406" s="24" t="s">
        <v>6790</v>
      </c>
      <c r="C3406" s="24" t="s">
        <v>7024</v>
      </c>
      <c r="D3406" s="59">
        <v>1.0</v>
      </c>
      <c r="E3406" s="59">
        <v>1.0</v>
      </c>
      <c r="F3406" s="59">
        <v>1.0</v>
      </c>
      <c r="G3406" s="60">
        <v>1.0</v>
      </c>
      <c r="H3406" s="60">
        <v>0.0</v>
      </c>
      <c r="I3406" s="60">
        <v>436.456133</v>
      </c>
      <c r="J3406" s="59">
        <v>1.0</v>
      </c>
      <c r="K3406" s="61">
        <f t="shared" si="1"/>
        <v>1</v>
      </c>
      <c r="L3406" s="62">
        <f t="shared" si="2"/>
        <v>1</v>
      </c>
    </row>
    <row r="3407">
      <c r="A3407" s="58">
        <v>45901.0</v>
      </c>
      <c r="B3407" s="24" t="s">
        <v>6787</v>
      </c>
      <c r="C3407" s="24" t="s">
        <v>7065</v>
      </c>
      <c r="D3407" s="59">
        <v>1.0</v>
      </c>
      <c r="E3407" s="59">
        <v>1.0</v>
      </c>
      <c r="F3407" s="59">
        <v>1.0</v>
      </c>
      <c r="G3407" s="60">
        <v>1.0</v>
      </c>
      <c r="H3407" s="60">
        <v>0.0</v>
      </c>
      <c r="I3407" s="60">
        <v>35.998371</v>
      </c>
      <c r="J3407" s="59">
        <v>1.0</v>
      </c>
      <c r="K3407" s="61">
        <f t="shared" si="1"/>
        <v>1</v>
      </c>
      <c r="L3407" s="62">
        <f t="shared" si="2"/>
        <v>1</v>
      </c>
    </row>
    <row r="3408">
      <c r="A3408" s="58">
        <v>45901.0</v>
      </c>
      <c r="B3408" s="24" t="s">
        <v>155</v>
      </c>
      <c r="C3408" s="24" t="s">
        <v>7065</v>
      </c>
      <c r="D3408" s="59">
        <v>1.0</v>
      </c>
      <c r="E3408" s="59">
        <v>1.0</v>
      </c>
      <c r="F3408" s="59">
        <v>0.0</v>
      </c>
      <c r="G3408" s="60">
        <v>0.0</v>
      </c>
      <c r="H3408" s="60">
        <v>1.0</v>
      </c>
      <c r="I3408" s="60">
        <v>0.0</v>
      </c>
      <c r="J3408" s="59">
        <v>1.0</v>
      </c>
      <c r="K3408" s="61">
        <f t="shared" si="1"/>
        <v>0</v>
      </c>
      <c r="L3408" s="62">
        <f t="shared" si="2"/>
        <v>1</v>
      </c>
    </row>
    <row r="3409">
      <c r="A3409" s="58">
        <v>45901.0</v>
      </c>
      <c r="B3409" s="24" t="s">
        <v>6787</v>
      </c>
      <c r="C3409" s="24" t="s">
        <v>6875</v>
      </c>
      <c r="D3409" s="59">
        <v>1.0</v>
      </c>
      <c r="E3409" s="59">
        <v>1.0</v>
      </c>
      <c r="F3409" s="59">
        <v>1.0</v>
      </c>
      <c r="G3409" s="60">
        <v>1.0</v>
      </c>
      <c r="H3409" s="60">
        <v>1.0</v>
      </c>
      <c r="I3409" s="60">
        <v>0.0</v>
      </c>
      <c r="J3409" s="59">
        <v>1.0</v>
      </c>
      <c r="K3409" s="61">
        <f t="shared" si="1"/>
        <v>1</v>
      </c>
      <c r="L3409" s="62">
        <f t="shared" si="2"/>
        <v>1</v>
      </c>
    </row>
    <row r="3410">
      <c r="A3410" s="58">
        <v>45901.0</v>
      </c>
      <c r="B3410" s="24" t="s">
        <v>155</v>
      </c>
      <c r="C3410" s="24" t="s">
        <v>6875</v>
      </c>
      <c r="D3410" s="59">
        <v>1.0</v>
      </c>
      <c r="E3410" s="59">
        <v>1.0</v>
      </c>
      <c r="F3410" s="59">
        <v>0.0</v>
      </c>
      <c r="G3410" s="60">
        <v>1.0</v>
      </c>
      <c r="H3410" s="60">
        <v>0.0</v>
      </c>
      <c r="I3410" s="60">
        <v>58.978862</v>
      </c>
      <c r="J3410" s="59">
        <v>7.0</v>
      </c>
      <c r="K3410" s="61">
        <f t="shared" si="1"/>
        <v>0</v>
      </c>
      <c r="L3410" s="62">
        <f t="shared" si="2"/>
        <v>7</v>
      </c>
    </row>
    <row r="3411">
      <c r="A3411" s="58">
        <v>45901.0</v>
      </c>
      <c r="B3411" s="24" t="s">
        <v>6787</v>
      </c>
      <c r="C3411" s="24" t="s">
        <v>6877</v>
      </c>
      <c r="D3411" s="59">
        <v>1.0</v>
      </c>
      <c r="E3411" s="59">
        <v>1.0</v>
      </c>
      <c r="F3411" s="59">
        <v>1.0</v>
      </c>
      <c r="G3411" s="60">
        <v>1.0</v>
      </c>
      <c r="H3411" s="60">
        <v>0.0</v>
      </c>
      <c r="I3411" s="60">
        <v>14.557847</v>
      </c>
      <c r="J3411" s="59">
        <v>1.0</v>
      </c>
      <c r="K3411" s="61">
        <f t="shared" si="1"/>
        <v>1</v>
      </c>
      <c r="L3411" s="62">
        <f t="shared" si="2"/>
        <v>1</v>
      </c>
    </row>
    <row r="3412">
      <c r="A3412" s="58">
        <v>45901.0</v>
      </c>
      <c r="B3412" s="24" t="s">
        <v>155</v>
      </c>
      <c r="C3412" s="24" t="s">
        <v>6877</v>
      </c>
      <c r="D3412" s="59">
        <v>1.0</v>
      </c>
      <c r="E3412" s="59">
        <v>1.0</v>
      </c>
      <c r="F3412" s="59">
        <v>1.0</v>
      </c>
      <c r="G3412" s="60">
        <v>1.0</v>
      </c>
      <c r="H3412" s="60">
        <v>0.0</v>
      </c>
      <c r="I3412" s="60">
        <v>695.632617</v>
      </c>
      <c r="J3412" s="59">
        <v>5.0</v>
      </c>
      <c r="K3412" s="61">
        <f t="shared" si="1"/>
        <v>1</v>
      </c>
      <c r="L3412" s="62">
        <f t="shared" si="2"/>
        <v>5</v>
      </c>
    </row>
    <row r="3413">
      <c r="A3413" s="58">
        <v>45901.0</v>
      </c>
      <c r="B3413" s="24" t="s">
        <v>6789</v>
      </c>
      <c r="C3413" s="24" t="s">
        <v>6989</v>
      </c>
      <c r="D3413" s="59">
        <v>1.0</v>
      </c>
      <c r="E3413" s="59">
        <v>1.0</v>
      </c>
      <c r="F3413" s="59">
        <v>1.0</v>
      </c>
      <c r="G3413" s="60">
        <v>1.0</v>
      </c>
      <c r="H3413" s="60">
        <v>0.0</v>
      </c>
      <c r="I3413" s="60">
        <v>110.276997</v>
      </c>
      <c r="J3413" s="59">
        <v>2.0</v>
      </c>
      <c r="K3413" s="61">
        <f t="shared" si="1"/>
        <v>1</v>
      </c>
      <c r="L3413" s="62">
        <f t="shared" si="2"/>
        <v>2</v>
      </c>
    </row>
    <row r="3414">
      <c r="A3414" s="58">
        <v>45901.0</v>
      </c>
      <c r="B3414" s="24" t="s">
        <v>6787</v>
      </c>
      <c r="C3414" s="24" t="s">
        <v>6880</v>
      </c>
      <c r="D3414" s="59">
        <v>1.0</v>
      </c>
      <c r="E3414" s="59">
        <v>1.0</v>
      </c>
      <c r="F3414" s="59">
        <v>1.0</v>
      </c>
      <c r="G3414" s="60">
        <v>1.0</v>
      </c>
      <c r="H3414" s="60">
        <v>0.0</v>
      </c>
      <c r="I3414" s="60">
        <v>14.407607</v>
      </c>
      <c r="J3414" s="59">
        <v>1.0</v>
      </c>
      <c r="K3414" s="61">
        <f t="shared" si="1"/>
        <v>1</v>
      </c>
      <c r="L3414" s="62">
        <f t="shared" si="2"/>
        <v>1</v>
      </c>
    </row>
    <row r="3415">
      <c r="A3415" s="58">
        <v>45901.0</v>
      </c>
      <c r="B3415" s="24" t="s">
        <v>6789</v>
      </c>
      <c r="C3415" s="24" t="s">
        <v>6880</v>
      </c>
      <c r="D3415" s="59">
        <v>1.0</v>
      </c>
      <c r="E3415" s="59">
        <v>1.0</v>
      </c>
      <c r="F3415" s="59">
        <v>1.0</v>
      </c>
      <c r="G3415" s="60">
        <v>1.0</v>
      </c>
      <c r="H3415" s="60">
        <v>0.0</v>
      </c>
      <c r="I3415" s="60">
        <v>86.069356</v>
      </c>
      <c r="J3415" s="59">
        <v>1.0</v>
      </c>
      <c r="K3415" s="61">
        <f t="shared" si="1"/>
        <v>1</v>
      </c>
      <c r="L3415" s="62">
        <f t="shared" si="2"/>
        <v>1</v>
      </c>
    </row>
    <row r="3416">
      <c r="A3416" s="58">
        <v>45901.0</v>
      </c>
      <c r="B3416" s="24" t="s">
        <v>155</v>
      </c>
      <c r="C3416" s="24" t="s">
        <v>6880</v>
      </c>
      <c r="D3416" s="59">
        <v>1.0</v>
      </c>
      <c r="E3416" s="59">
        <v>1.0</v>
      </c>
      <c r="F3416" s="59">
        <v>1.0</v>
      </c>
      <c r="G3416" s="60">
        <v>1.0</v>
      </c>
      <c r="H3416" s="60">
        <v>0.0</v>
      </c>
      <c r="I3416" s="60">
        <v>93.976028</v>
      </c>
      <c r="J3416" s="59">
        <v>1.0</v>
      </c>
      <c r="K3416" s="61">
        <f t="shared" si="1"/>
        <v>1</v>
      </c>
      <c r="L3416" s="62">
        <f t="shared" si="2"/>
        <v>1</v>
      </c>
    </row>
    <row r="3417">
      <c r="A3417" s="58">
        <v>45901.0</v>
      </c>
      <c r="B3417" s="24" t="s">
        <v>6787</v>
      </c>
      <c r="C3417" s="24" t="s">
        <v>6881</v>
      </c>
      <c r="D3417" s="59">
        <v>1.0</v>
      </c>
      <c r="E3417" s="59">
        <v>1.0</v>
      </c>
      <c r="F3417" s="59">
        <v>1.0</v>
      </c>
      <c r="G3417" s="60">
        <v>1.0</v>
      </c>
      <c r="H3417" s="60">
        <v>1.0</v>
      </c>
      <c r="I3417" s="60">
        <v>6.108759</v>
      </c>
      <c r="J3417" s="59">
        <v>1.0</v>
      </c>
      <c r="K3417" s="61">
        <f t="shared" si="1"/>
        <v>1</v>
      </c>
      <c r="L3417" s="62">
        <f t="shared" si="2"/>
        <v>1</v>
      </c>
    </row>
    <row r="3418">
      <c r="A3418" s="58">
        <v>45901.0</v>
      </c>
      <c r="B3418" s="24" t="s">
        <v>155</v>
      </c>
      <c r="C3418" s="24" t="s">
        <v>6882</v>
      </c>
      <c r="D3418" s="59">
        <v>1.0</v>
      </c>
      <c r="E3418" s="59">
        <v>1.0</v>
      </c>
      <c r="F3418" s="59">
        <v>1.0</v>
      </c>
      <c r="G3418" s="60">
        <v>1.0</v>
      </c>
      <c r="H3418" s="60">
        <v>0.0</v>
      </c>
      <c r="I3418" s="60">
        <v>22.935492</v>
      </c>
      <c r="J3418" s="59">
        <v>2.0</v>
      </c>
      <c r="K3418" s="61">
        <f t="shared" si="1"/>
        <v>1</v>
      </c>
      <c r="L3418" s="62">
        <f t="shared" si="2"/>
        <v>2</v>
      </c>
    </row>
    <row r="3419">
      <c r="A3419" s="58">
        <v>45901.0</v>
      </c>
      <c r="B3419" s="24" t="s">
        <v>6787</v>
      </c>
      <c r="C3419" s="24" t="s">
        <v>7067</v>
      </c>
      <c r="D3419" s="59">
        <v>1.0</v>
      </c>
      <c r="E3419" s="59">
        <v>1.0</v>
      </c>
      <c r="F3419" s="59">
        <v>1.0</v>
      </c>
      <c r="G3419" s="60">
        <v>1.0</v>
      </c>
      <c r="H3419" s="60">
        <v>1.0</v>
      </c>
      <c r="I3419" s="60">
        <v>0.0</v>
      </c>
      <c r="J3419" s="59">
        <v>1.0</v>
      </c>
      <c r="K3419" s="61">
        <f t="shared" si="1"/>
        <v>1</v>
      </c>
      <c r="L3419" s="62">
        <f t="shared" si="2"/>
        <v>1</v>
      </c>
    </row>
    <row r="3420">
      <c r="A3420" s="58">
        <v>45901.0</v>
      </c>
      <c r="B3420" s="24" t="s">
        <v>6789</v>
      </c>
      <c r="C3420" s="24" t="s">
        <v>6883</v>
      </c>
      <c r="D3420" s="59">
        <v>1.0</v>
      </c>
      <c r="E3420" s="59">
        <v>1.0</v>
      </c>
      <c r="F3420" s="59">
        <v>1.0</v>
      </c>
      <c r="G3420" s="60">
        <v>1.0</v>
      </c>
      <c r="H3420" s="60">
        <v>0.0</v>
      </c>
      <c r="I3420" s="60">
        <v>68.470547</v>
      </c>
      <c r="J3420" s="59">
        <v>1.0</v>
      </c>
      <c r="K3420" s="61">
        <f t="shared" si="1"/>
        <v>1</v>
      </c>
      <c r="L3420" s="62">
        <f t="shared" si="2"/>
        <v>1</v>
      </c>
    </row>
    <row r="3421">
      <c r="A3421" s="58">
        <v>45901.0</v>
      </c>
      <c r="B3421" s="24" t="s">
        <v>6787</v>
      </c>
      <c r="C3421" s="24" t="s">
        <v>6836</v>
      </c>
      <c r="D3421" s="59">
        <v>1.0</v>
      </c>
      <c r="E3421" s="59">
        <v>2.0</v>
      </c>
      <c r="F3421" s="59">
        <v>1.0</v>
      </c>
      <c r="G3421" s="60">
        <v>2.0</v>
      </c>
      <c r="H3421" s="60">
        <v>0.5</v>
      </c>
      <c r="I3421" s="60">
        <v>198.2302135</v>
      </c>
      <c r="J3421" s="59">
        <v>3.0</v>
      </c>
      <c r="K3421" s="61">
        <f t="shared" si="1"/>
        <v>0.5</v>
      </c>
      <c r="L3421" s="62">
        <f t="shared" si="2"/>
        <v>1.5</v>
      </c>
    </row>
    <row r="3422">
      <c r="A3422" s="58">
        <v>45901.0</v>
      </c>
      <c r="B3422" s="24" t="s">
        <v>6789</v>
      </c>
      <c r="C3422" s="24" t="s">
        <v>6836</v>
      </c>
      <c r="D3422" s="59">
        <v>1.0</v>
      </c>
      <c r="E3422" s="59">
        <v>4.0</v>
      </c>
      <c r="F3422" s="59">
        <v>1.0</v>
      </c>
      <c r="G3422" s="60">
        <v>4.0</v>
      </c>
      <c r="H3422" s="60">
        <v>1.0</v>
      </c>
      <c r="I3422" s="60">
        <v>0.0</v>
      </c>
      <c r="J3422" s="59">
        <v>4.0</v>
      </c>
      <c r="K3422" s="61">
        <f t="shared" si="1"/>
        <v>0.25</v>
      </c>
      <c r="L3422" s="62">
        <f t="shared" si="2"/>
        <v>1</v>
      </c>
    </row>
    <row r="3423">
      <c r="A3423" s="58">
        <v>45901.0</v>
      </c>
      <c r="B3423" s="24" t="s">
        <v>6787</v>
      </c>
      <c r="C3423" s="24" t="s">
        <v>7070</v>
      </c>
      <c r="D3423" s="59">
        <v>1.0</v>
      </c>
      <c r="E3423" s="59">
        <v>1.0</v>
      </c>
      <c r="F3423" s="59">
        <v>1.0</v>
      </c>
      <c r="G3423" s="60">
        <v>1.0</v>
      </c>
      <c r="H3423" s="60">
        <v>1.0</v>
      </c>
      <c r="I3423" s="60">
        <v>0.0</v>
      </c>
      <c r="J3423" s="59">
        <v>1.0</v>
      </c>
      <c r="K3423" s="61">
        <f t="shared" si="1"/>
        <v>1</v>
      </c>
      <c r="L3423" s="62">
        <f t="shared" si="2"/>
        <v>1</v>
      </c>
    </row>
    <row r="3424">
      <c r="A3424" s="58">
        <v>45901.0</v>
      </c>
      <c r="B3424" s="24" t="s">
        <v>155</v>
      </c>
      <c r="C3424" s="24" t="s">
        <v>6994</v>
      </c>
      <c r="D3424" s="59">
        <v>1.0</v>
      </c>
      <c r="E3424" s="59">
        <v>3.0</v>
      </c>
      <c r="F3424" s="59">
        <v>1.0</v>
      </c>
      <c r="G3424" s="60">
        <v>3.0</v>
      </c>
      <c r="H3424" s="60">
        <v>0.666666666666666</v>
      </c>
      <c r="I3424" s="60">
        <v>44.0848146666666</v>
      </c>
      <c r="J3424" s="59">
        <v>5.0</v>
      </c>
      <c r="K3424" s="61">
        <f t="shared" si="1"/>
        <v>0.3333333333</v>
      </c>
      <c r="L3424" s="62">
        <f t="shared" si="2"/>
        <v>1.666666667</v>
      </c>
    </row>
    <row r="3425">
      <c r="A3425" s="58">
        <v>45901.0</v>
      </c>
      <c r="B3425" s="24" t="s">
        <v>6787</v>
      </c>
      <c r="C3425" s="24" t="s">
        <v>7073</v>
      </c>
      <c r="D3425" s="59">
        <v>1.0</v>
      </c>
      <c r="E3425" s="59">
        <v>1.0</v>
      </c>
      <c r="F3425" s="59">
        <v>1.0</v>
      </c>
      <c r="G3425" s="60">
        <v>1.0</v>
      </c>
      <c r="H3425" s="60">
        <v>0.0</v>
      </c>
      <c r="I3425" s="60">
        <v>19.844589</v>
      </c>
      <c r="J3425" s="59">
        <v>1.0</v>
      </c>
      <c r="K3425" s="61">
        <f t="shared" si="1"/>
        <v>1</v>
      </c>
      <c r="L3425" s="62">
        <f t="shared" si="2"/>
        <v>1</v>
      </c>
    </row>
    <row r="3426">
      <c r="A3426" s="58">
        <v>45901.0</v>
      </c>
      <c r="B3426" s="24" t="s">
        <v>6787</v>
      </c>
      <c r="C3426" s="24" t="s">
        <v>6930</v>
      </c>
      <c r="D3426" s="59">
        <v>1.0</v>
      </c>
      <c r="E3426" s="59">
        <v>1.0</v>
      </c>
      <c r="F3426" s="59">
        <v>1.0</v>
      </c>
      <c r="G3426" s="60">
        <v>1.0</v>
      </c>
      <c r="H3426" s="60">
        <v>1.0</v>
      </c>
      <c r="I3426" s="60">
        <v>0.0</v>
      </c>
      <c r="J3426" s="59">
        <v>1.0</v>
      </c>
      <c r="K3426" s="61">
        <f t="shared" si="1"/>
        <v>1</v>
      </c>
      <c r="L3426" s="62">
        <f t="shared" si="2"/>
        <v>1</v>
      </c>
    </row>
    <row r="3427">
      <c r="A3427" s="58">
        <v>45901.0</v>
      </c>
      <c r="B3427" s="24" t="s">
        <v>6787</v>
      </c>
      <c r="C3427" s="24" t="s">
        <v>7074</v>
      </c>
      <c r="D3427" s="59">
        <v>1.0</v>
      </c>
      <c r="E3427" s="59">
        <v>1.0</v>
      </c>
      <c r="F3427" s="59">
        <v>1.0</v>
      </c>
      <c r="G3427" s="60">
        <v>1.0</v>
      </c>
      <c r="H3427" s="60">
        <v>1.0</v>
      </c>
      <c r="I3427" s="60">
        <v>3.558657</v>
      </c>
      <c r="J3427" s="59">
        <v>1.0</v>
      </c>
      <c r="K3427" s="61">
        <f t="shared" si="1"/>
        <v>1</v>
      </c>
      <c r="L3427" s="62">
        <f t="shared" si="2"/>
        <v>1</v>
      </c>
    </row>
    <row r="3428">
      <c r="A3428" s="58">
        <v>45901.0</v>
      </c>
      <c r="B3428" s="24" t="s">
        <v>155</v>
      </c>
      <c r="C3428" s="24" t="s">
        <v>6886</v>
      </c>
      <c r="D3428" s="59">
        <v>1.0</v>
      </c>
      <c r="E3428" s="59">
        <v>1.0</v>
      </c>
      <c r="F3428" s="59">
        <v>0.0</v>
      </c>
      <c r="G3428" s="60">
        <v>1.0</v>
      </c>
      <c r="H3428" s="60">
        <v>1.0</v>
      </c>
      <c r="I3428" s="60">
        <v>0.0</v>
      </c>
      <c r="J3428" s="59">
        <v>1.0</v>
      </c>
      <c r="K3428" s="61">
        <f t="shared" si="1"/>
        <v>0</v>
      </c>
      <c r="L3428" s="62">
        <f t="shared" si="2"/>
        <v>1</v>
      </c>
    </row>
    <row r="3429">
      <c r="A3429" s="58">
        <v>45901.0</v>
      </c>
      <c r="B3429" s="24" t="s">
        <v>6790</v>
      </c>
      <c r="C3429" s="24" t="s">
        <v>6886</v>
      </c>
      <c r="D3429" s="59">
        <v>1.0</v>
      </c>
      <c r="E3429" s="59">
        <v>1.0</v>
      </c>
      <c r="F3429" s="59">
        <v>0.0</v>
      </c>
      <c r="G3429" s="60">
        <v>1.0</v>
      </c>
      <c r="H3429" s="60">
        <v>0.0</v>
      </c>
      <c r="I3429" s="60">
        <v>59.602054</v>
      </c>
      <c r="J3429" s="59">
        <v>2.0</v>
      </c>
      <c r="K3429" s="61">
        <f t="shared" si="1"/>
        <v>0</v>
      </c>
      <c r="L3429" s="62">
        <f t="shared" si="2"/>
        <v>2</v>
      </c>
    </row>
    <row r="3430">
      <c r="A3430" s="58">
        <v>45901.0</v>
      </c>
      <c r="B3430" s="24" t="s">
        <v>6787</v>
      </c>
      <c r="C3430" s="24" t="s">
        <v>6887</v>
      </c>
      <c r="D3430" s="59">
        <v>1.0</v>
      </c>
      <c r="E3430" s="59">
        <v>1.0</v>
      </c>
      <c r="F3430" s="59">
        <v>1.0</v>
      </c>
      <c r="G3430" s="60">
        <v>1.0</v>
      </c>
      <c r="H3430" s="60">
        <v>1.0</v>
      </c>
      <c r="I3430" s="60">
        <v>0.0</v>
      </c>
      <c r="J3430" s="59">
        <v>1.0</v>
      </c>
      <c r="K3430" s="61">
        <f t="shared" si="1"/>
        <v>1</v>
      </c>
      <c r="L3430" s="62">
        <f t="shared" si="2"/>
        <v>1</v>
      </c>
    </row>
    <row r="3431">
      <c r="A3431" s="58">
        <v>45901.0</v>
      </c>
      <c r="B3431" s="24" t="s">
        <v>6794</v>
      </c>
      <c r="C3431" s="24" t="s">
        <v>6799</v>
      </c>
      <c r="D3431" s="59">
        <v>1.0</v>
      </c>
      <c r="E3431" s="59">
        <v>1.0</v>
      </c>
      <c r="F3431" s="59">
        <v>0.0</v>
      </c>
      <c r="G3431" s="60">
        <v>1.0</v>
      </c>
      <c r="H3431" s="60">
        <v>0.0</v>
      </c>
      <c r="I3431" s="60">
        <v>25.960249</v>
      </c>
      <c r="J3431" s="59">
        <v>1.0</v>
      </c>
      <c r="K3431" s="61">
        <f t="shared" si="1"/>
        <v>0</v>
      </c>
      <c r="L3431" s="62">
        <f t="shared" si="2"/>
        <v>1</v>
      </c>
    </row>
    <row r="3432">
      <c r="A3432" s="58">
        <v>45901.0</v>
      </c>
      <c r="B3432" s="24" t="s">
        <v>6794</v>
      </c>
      <c r="C3432" s="24" t="s">
        <v>6820</v>
      </c>
      <c r="D3432" s="59">
        <v>1.0</v>
      </c>
      <c r="E3432" s="59">
        <v>1.0</v>
      </c>
      <c r="F3432" s="59">
        <v>0.0</v>
      </c>
      <c r="G3432" s="60">
        <v>1.0</v>
      </c>
      <c r="H3432" s="60">
        <v>1.0</v>
      </c>
      <c r="I3432" s="60">
        <v>5.699645</v>
      </c>
      <c r="J3432" s="59">
        <v>1.0</v>
      </c>
      <c r="K3432" s="61">
        <f t="shared" si="1"/>
        <v>0</v>
      </c>
      <c r="L3432" s="62">
        <f t="shared" si="2"/>
        <v>1</v>
      </c>
    </row>
    <row r="3433">
      <c r="A3433" s="58">
        <v>45901.0</v>
      </c>
      <c r="B3433" s="24" t="s">
        <v>6787</v>
      </c>
      <c r="C3433" s="24" t="s">
        <v>6888</v>
      </c>
      <c r="D3433" s="59">
        <v>1.0</v>
      </c>
      <c r="E3433" s="59">
        <v>1.0</v>
      </c>
      <c r="F3433" s="59">
        <v>1.0</v>
      </c>
      <c r="G3433" s="60">
        <v>1.0</v>
      </c>
      <c r="H3433" s="60">
        <v>0.0</v>
      </c>
      <c r="I3433" s="60">
        <v>20.298113</v>
      </c>
      <c r="J3433" s="59">
        <v>1.0</v>
      </c>
      <c r="K3433" s="61">
        <f t="shared" si="1"/>
        <v>1</v>
      </c>
      <c r="L3433" s="62">
        <f t="shared" si="2"/>
        <v>1</v>
      </c>
    </row>
    <row r="3434">
      <c r="A3434" s="58">
        <v>45901.0</v>
      </c>
      <c r="B3434" s="24" t="s">
        <v>6787</v>
      </c>
      <c r="C3434" s="24" t="s">
        <v>6838</v>
      </c>
      <c r="D3434" s="59">
        <v>1.0</v>
      </c>
      <c r="E3434" s="59">
        <v>1.0</v>
      </c>
      <c r="F3434" s="59">
        <v>1.0</v>
      </c>
      <c r="G3434" s="60">
        <v>1.0</v>
      </c>
      <c r="H3434" s="60">
        <v>1.0</v>
      </c>
      <c r="I3434" s="60">
        <v>0.0</v>
      </c>
      <c r="J3434" s="59">
        <v>1.0</v>
      </c>
      <c r="K3434" s="61">
        <f t="shared" si="1"/>
        <v>1</v>
      </c>
      <c r="L3434" s="62">
        <f t="shared" si="2"/>
        <v>1</v>
      </c>
    </row>
    <row r="3435">
      <c r="A3435" s="58">
        <v>45901.0</v>
      </c>
      <c r="B3435" s="24" t="s">
        <v>6791</v>
      </c>
      <c r="C3435" s="24" t="s">
        <v>6838</v>
      </c>
      <c r="D3435" s="59">
        <v>1.0</v>
      </c>
      <c r="E3435" s="59">
        <v>1.0</v>
      </c>
      <c r="F3435" s="59">
        <v>0.0</v>
      </c>
      <c r="G3435" s="60">
        <v>0.0</v>
      </c>
      <c r="H3435" s="60">
        <v>1.0</v>
      </c>
      <c r="I3435" s="60">
        <v>0.0</v>
      </c>
      <c r="J3435" s="59">
        <v>1.0</v>
      </c>
      <c r="K3435" s="61">
        <f t="shared" si="1"/>
        <v>0</v>
      </c>
      <c r="L3435" s="62">
        <f t="shared" si="2"/>
        <v>1</v>
      </c>
    </row>
    <row r="3436">
      <c r="A3436" s="58">
        <v>45901.0</v>
      </c>
      <c r="B3436" s="24" t="s">
        <v>6790</v>
      </c>
      <c r="C3436" s="24" t="s">
        <v>6997</v>
      </c>
      <c r="D3436" s="59">
        <v>1.0</v>
      </c>
      <c r="E3436" s="59">
        <v>2.0</v>
      </c>
      <c r="F3436" s="59">
        <v>0.0</v>
      </c>
      <c r="G3436" s="60">
        <v>2.0</v>
      </c>
      <c r="H3436" s="60">
        <v>0.5</v>
      </c>
      <c r="I3436" s="60">
        <v>947.097932</v>
      </c>
      <c r="J3436" s="59">
        <v>4.0</v>
      </c>
      <c r="K3436" s="61">
        <f t="shared" si="1"/>
        <v>0</v>
      </c>
      <c r="L3436" s="62">
        <f t="shared" si="2"/>
        <v>2</v>
      </c>
    </row>
    <row r="3437">
      <c r="A3437" s="58">
        <v>45901.0</v>
      </c>
      <c r="B3437" s="24" t="s">
        <v>155</v>
      </c>
      <c r="C3437" s="24" t="s">
        <v>7021</v>
      </c>
      <c r="D3437" s="59">
        <v>1.0</v>
      </c>
      <c r="E3437" s="59">
        <v>3.0</v>
      </c>
      <c r="F3437" s="59">
        <v>0.0</v>
      </c>
      <c r="G3437" s="60">
        <v>0.0</v>
      </c>
      <c r="H3437" s="60">
        <v>1.0</v>
      </c>
      <c r="I3437" s="60">
        <v>0.0</v>
      </c>
      <c r="J3437" s="59">
        <v>3.0</v>
      </c>
      <c r="K3437" s="61">
        <f t="shared" si="1"/>
        <v>0</v>
      </c>
      <c r="L3437" s="62">
        <f t="shared" si="2"/>
        <v>1</v>
      </c>
    </row>
    <row r="3438">
      <c r="A3438" s="58">
        <v>45901.0</v>
      </c>
      <c r="B3438" s="24" t="s">
        <v>155</v>
      </c>
      <c r="C3438" s="24" t="s">
        <v>7339</v>
      </c>
      <c r="D3438" s="59">
        <v>1.0</v>
      </c>
      <c r="E3438" s="59">
        <v>1.0</v>
      </c>
      <c r="F3438" s="59">
        <v>1.0</v>
      </c>
      <c r="G3438" s="60">
        <v>1.0</v>
      </c>
      <c r="H3438" s="60">
        <v>1.0</v>
      </c>
      <c r="I3438" s="60">
        <v>0.0</v>
      </c>
      <c r="J3438" s="59">
        <v>1.0</v>
      </c>
      <c r="K3438" s="61">
        <f t="shared" si="1"/>
        <v>1</v>
      </c>
      <c r="L3438" s="62">
        <f t="shared" si="2"/>
        <v>1</v>
      </c>
    </row>
    <row r="3439">
      <c r="A3439" s="58">
        <v>45901.0</v>
      </c>
      <c r="B3439" s="24" t="s">
        <v>6787</v>
      </c>
      <c r="C3439" s="24" t="s">
        <v>6839</v>
      </c>
      <c r="D3439" s="59">
        <v>1.0</v>
      </c>
      <c r="E3439" s="59">
        <v>1.0</v>
      </c>
      <c r="F3439" s="59">
        <v>1.0</v>
      </c>
      <c r="G3439" s="60">
        <v>1.0</v>
      </c>
      <c r="H3439" s="60">
        <v>1.0</v>
      </c>
      <c r="I3439" s="60">
        <v>4.627318</v>
      </c>
      <c r="J3439" s="59">
        <v>1.0</v>
      </c>
      <c r="K3439" s="61">
        <f t="shared" si="1"/>
        <v>1</v>
      </c>
      <c r="L3439" s="62">
        <f t="shared" si="2"/>
        <v>1</v>
      </c>
    </row>
    <row r="3440">
      <c r="A3440" s="58">
        <v>45901.0</v>
      </c>
      <c r="B3440" s="24" t="s">
        <v>6787</v>
      </c>
      <c r="C3440" s="24" t="s">
        <v>6822</v>
      </c>
      <c r="D3440" s="59">
        <v>1.0</v>
      </c>
      <c r="E3440" s="59">
        <v>1.0</v>
      </c>
      <c r="F3440" s="59">
        <v>1.0</v>
      </c>
      <c r="G3440" s="60">
        <v>1.0</v>
      </c>
      <c r="H3440" s="60">
        <v>1.0</v>
      </c>
      <c r="I3440" s="60">
        <v>3.025817</v>
      </c>
      <c r="J3440" s="59">
        <v>1.0</v>
      </c>
      <c r="K3440" s="61">
        <f t="shared" si="1"/>
        <v>1</v>
      </c>
      <c r="L3440" s="62">
        <f t="shared" si="2"/>
        <v>1</v>
      </c>
    </row>
    <row r="3441">
      <c r="A3441" s="58">
        <v>45901.0</v>
      </c>
      <c r="B3441" s="24" t="s">
        <v>6791</v>
      </c>
      <c r="C3441" s="24" t="s">
        <v>6822</v>
      </c>
      <c r="D3441" s="59">
        <v>1.0</v>
      </c>
      <c r="E3441" s="59">
        <v>1.0</v>
      </c>
      <c r="F3441" s="59">
        <v>0.0</v>
      </c>
      <c r="G3441" s="60">
        <v>1.0</v>
      </c>
      <c r="H3441" s="60">
        <v>0.0</v>
      </c>
      <c r="I3441" s="60">
        <v>215.684265</v>
      </c>
      <c r="J3441" s="59">
        <v>1.0</v>
      </c>
      <c r="K3441" s="61">
        <f t="shared" si="1"/>
        <v>0</v>
      </c>
      <c r="L3441" s="62">
        <f t="shared" si="2"/>
        <v>1</v>
      </c>
    </row>
    <row r="3442">
      <c r="A3442" s="58">
        <v>45901.0</v>
      </c>
      <c r="B3442" s="24" t="s">
        <v>6790</v>
      </c>
      <c r="C3442" s="24" t="s">
        <v>6822</v>
      </c>
      <c r="D3442" s="59">
        <v>1.0</v>
      </c>
      <c r="E3442" s="59">
        <v>1.0</v>
      </c>
      <c r="F3442" s="59">
        <v>0.0</v>
      </c>
      <c r="G3442" s="60">
        <v>1.0</v>
      </c>
      <c r="H3442" s="60">
        <v>0.0</v>
      </c>
      <c r="I3442" s="60">
        <v>20.126355</v>
      </c>
      <c r="J3442" s="59">
        <v>2.0</v>
      </c>
      <c r="K3442" s="61">
        <f t="shared" si="1"/>
        <v>0</v>
      </c>
      <c r="L3442" s="62">
        <f t="shared" si="2"/>
        <v>2</v>
      </c>
    </row>
    <row r="3443">
      <c r="A3443" s="58">
        <v>45901.0</v>
      </c>
      <c r="B3443" s="24" t="s">
        <v>6789</v>
      </c>
      <c r="C3443" s="24" t="s">
        <v>6891</v>
      </c>
      <c r="D3443" s="59">
        <v>1.0</v>
      </c>
      <c r="E3443" s="59">
        <v>1.0</v>
      </c>
      <c r="F3443" s="59">
        <v>1.0</v>
      </c>
      <c r="G3443" s="60">
        <v>1.0</v>
      </c>
      <c r="H3443" s="60">
        <v>1.0</v>
      </c>
      <c r="I3443" s="60">
        <v>8.306478</v>
      </c>
      <c r="J3443" s="59">
        <v>1.0</v>
      </c>
      <c r="K3443" s="61">
        <f t="shared" si="1"/>
        <v>1</v>
      </c>
      <c r="L3443" s="62">
        <f t="shared" si="2"/>
        <v>1</v>
      </c>
    </row>
    <row r="3444">
      <c r="A3444" s="58">
        <v>45901.0</v>
      </c>
      <c r="B3444" s="24" t="s">
        <v>6789</v>
      </c>
      <c r="C3444" s="24" t="s">
        <v>6892</v>
      </c>
      <c r="D3444" s="59">
        <v>1.0</v>
      </c>
      <c r="E3444" s="59">
        <v>1.0</v>
      </c>
      <c r="F3444" s="59">
        <v>1.0</v>
      </c>
      <c r="G3444" s="60">
        <v>1.0</v>
      </c>
      <c r="H3444" s="60">
        <v>0.0</v>
      </c>
      <c r="I3444" s="60">
        <v>144.633417</v>
      </c>
      <c r="J3444" s="59">
        <v>1.0</v>
      </c>
      <c r="K3444" s="61">
        <f t="shared" si="1"/>
        <v>1</v>
      </c>
      <c r="L3444" s="62">
        <f t="shared" si="2"/>
        <v>1</v>
      </c>
    </row>
    <row r="3445">
      <c r="A3445" s="58">
        <v>45901.0</v>
      </c>
      <c r="B3445" s="24" t="s">
        <v>6787</v>
      </c>
      <c r="C3445" s="24" t="s">
        <v>6894</v>
      </c>
      <c r="D3445" s="59">
        <v>1.0</v>
      </c>
      <c r="E3445" s="59">
        <v>1.0</v>
      </c>
      <c r="F3445" s="59">
        <v>1.0</v>
      </c>
      <c r="G3445" s="60">
        <v>1.0</v>
      </c>
      <c r="H3445" s="60">
        <v>1.0</v>
      </c>
      <c r="I3445" s="60">
        <v>9.889007</v>
      </c>
      <c r="J3445" s="59">
        <v>1.0</v>
      </c>
      <c r="K3445" s="61">
        <f t="shared" si="1"/>
        <v>1</v>
      </c>
      <c r="L3445" s="62">
        <f t="shared" si="2"/>
        <v>1</v>
      </c>
    </row>
    <row r="3446">
      <c r="A3446" s="58">
        <v>45901.0</v>
      </c>
      <c r="B3446" s="24" t="s">
        <v>6789</v>
      </c>
      <c r="C3446" s="24" t="s">
        <v>6894</v>
      </c>
      <c r="D3446" s="59">
        <v>1.0</v>
      </c>
      <c r="E3446" s="59">
        <v>3.0</v>
      </c>
      <c r="F3446" s="59">
        <v>0.0</v>
      </c>
      <c r="G3446" s="60">
        <v>3.0</v>
      </c>
      <c r="H3446" s="60">
        <v>1.0</v>
      </c>
      <c r="I3446" s="60">
        <v>2.859559</v>
      </c>
      <c r="J3446" s="59">
        <v>3.0</v>
      </c>
      <c r="K3446" s="61">
        <f t="shared" si="1"/>
        <v>0</v>
      </c>
      <c r="L3446" s="62">
        <f t="shared" si="2"/>
        <v>1</v>
      </c>
    </row>
    <row r="3447">
      <c r="A3447" s="58">
        <v>45901.0</v>
      </c>
      <c r="B3447" s="24" t="s">
        <v>6787</v>
      </c>
      <c r="C3447" s="24" t="s">
        <v>7340</v>
      </c>
      <c r="D3447" s="59">
        <v>1.0</v>
      </c>
      <c r="E3447" s="59">
        <v>1.0</v>
      </c>
      <c r="F3447" s="59">
        <v>1.0</v>
      </c>
      <c r="G3447" s="60">
        <v>1.0</v>
      </c>
      <c r="H3447" s="60">
        <v>1.0</v>
      </c>
      <c r="I3447" s="60">
        <v>4.98888</v>
      </c>
      <c r="J3447" s="59">
        <v>1.0</v>
      </c>
      <c r="K3447" s="61">
        <f t="shared" si="1"/>
        <v>1</v>
      </c>
      <c r="L3447" s="62">
        <f t="shared" si="2"/>
        <v>1</v>
      </c>
    </row>
    <row r="3448">
      <c r="A3448" s="58">
        <v>45901.0</v>
      </c>
      <c r="B3448" s="24" t="s">
        <v>155</v>
      </c>
      <c r="C3448" s="24" t="s">
        <v>7301</v>
      </c>
      <c r="D3448" s="59">
        <v>1.0</v>
      </c>
      <c r="E3448" s="59">
        <v>1.0</v>
      </c>
      <c r="F3448" s="59">
        <v>0.0</v>
      </c>
      <c r="G3448" s="60">
        <v>1.0</v>
      </c>
      <c r="H3448" s="60">
        <v>1.0</v>
      </c>
      <c r="I3448" s="60">
        <v>5.970396</v>
      </c>
      <c r="J3448" s="59">
        <v>1.0</v>
      </c>
      <c r="K3448" s="61">
        <f t="shared" si="1"/>
        <v>0</v>
      </c>
      <c r="L3448" s="62">
        <f t="shared" si="2"/>
        <v>1</v>
      </c>
    </row>
    <row r="3449">
      <c r="A3449" s="58">
        <v>45901.0</v>
      </c>
      <c r="B3449" s="24" t="s">
        <v>6789</v>
      </c>
      <c r="C3449" s="24" t="s">
        <v>6823</v>
      </c>
      <c r="D3449" s="59">
        <v>1.0</v>
      </c>
      <c r="E3449" s="59">
        <v>1.0</v>
      </c>
      <c r="F3449" s="59">
        <v>1.0</v>
      </c>
      <c r="G3449" s="60">
        <v>1.0</v>
      </c>
      <c r="H3449" s="60">
        <v>0.0</v>
      </c>
      <c r="I3449" s="60">
        <v>51.927388</v>
      </c>
      <c r="J3449" s="59">
        <v>1.0</v>
      </c>
      <c r="K3449" s="61">
        <f t="shared" si="1"/>
        <v>1</v>
      </c>
      <c r="L3449" s="62">
        <f t="shared" si="2"/>
        <v>1</v>
      </c>
    </row>
    <row r="3450">
      <c r="A3450" s="58">
        <v>45901.0</v>
      </c>
      <c r="B3450" s="24" t="s">
        <v>6789</v>
      </c>
      <c r="C3450" s="24" t="s">
        <v>7195</v>
      </c>
      <c r="D3450" s="59">
        <v>1.0</v>
      </c>
      <c r="E3450" s="59">
        <v>1.0</v>
      </c>
      <c r="F3450" s="59">
        <v>1.0</v>
      </c>
      <c r="G3450" s="60">
        <v>1.0</v>
      </c>
      <c r="H3450" s="60">
        <v>0.0</v>
      </c>
      <c r="I3450" s="60">
        <v>63.524733</v>
      </c>
      <c r="J3450" s="59">
        <v>1.0</v>
      </c>
      <c r="K3450" s="61">
        <f t="shared" si="1"/>
        <v>1</v>
      </c>
      <c r="L3450" s="62">
        <f t="shared" si="2"/>
        <v>1</v>
      </c>
    </row>
    <row r="3451">
      <c r="A3451" s="58">
        <v>45901.0</v>
      </c>
      <c r="B3451" s="24" t="s">
        <v>6790</v>
      </c>
      <c r="C3451" s="24" t="s">
        <v>7195</v>
      </c>
      <c r="D3451" s="59">
        <v>1.0</v>
      </c>
      <c r="E3451" s="59">
        <v>3.0</v>
      </c>
      <c r="F3451" s="59">
        <v>0.0</v>
      </c>
      <c r="G3451" s="60">
        <v>0.0</v>
      </c>
      <c r="H3451" s="60">
        <v>1.0</v>
      </c>
      <c r="I3451" s="60">
        <v>0.0</v>
      </c>
      <c r="J3451" s="59">
        <v>3.0</v>
      </c>
      <c r="K3451" s="61">
        <f t="shared" si="1"/>
        <v>0</v>
      </c>
      <c r="L3451" s="62">
        <f t="shared" si="2"/>
        <v>1</v>
      </c>
    </row>
    <row r="3452">
      <c r="A3452" s="58">
        <v>45901.0</v>
      </c>
      <c r="B3452" s="24" t="s">
        <v>6787</v>
      </c>
      <c r="C3452" s="24" t="s">
        <v>6898</v>
      </c>
      <c r="D3452" s="59">
        <v>1.0</v>
      </c>
      <c r="E3452" s="59">
        <v>1.0</v>
      </c>
      <c r="F3452" s="59">
        <v>1.0</v>
      </c>
      <c r="G3452" s="60">
        <v>1.0</v>
      </c>
      <c r="H3452" s="60">
        <v>1.0</v>
      </c>
      <c r="I3452" s="60">
        <v>0.0</v>
      </c>
      <c r="J3452" s="59">
        <v>1.0</v>
      </c>
      <c r="K3452" s="61">
        <f t="shared" si="1"/>
        <v>1</v>
      </c>
      <c r="L3452" s="62">
        <f t="shared" si="2"/>
        <v>1</v>
      </c>
    </row>
    <row r="3453">
      <c r="A3453" s="58">
        <v>45901.0</v>
      </c>
      <c r="B3453" s="24" t="s">
        <v>6787</v>
      </c>
      <c r="C3453" s="24" t="s">
        <v>6899</v>
      </c>
      <c r="D3453" s="59">
        <v>1.0</v>
      </c>
      <c r="E3453" s="59">
        <v>1.0</v>
      </c>
      <c r="F3453" s="59">
        <v>1.0</v>
      </c>
      <c r="G3453" s="60">
        <v>1.0</v>
      </c>
      <c r="H3453" s="60">
        <v>0.0</v>
      </c>
      <c r="I3453" s="60">
        <v>120.292339</v>
      </c>
      <c r="J3453" s="59">
        <v>2.0</v>
      </c>
      <c r="K3453" s="61">
        <f t="shared" si="1"/>
        <v>1</v>
      </c>
      <c r="L3453" s="62">
        <f t="shared" si="2"/>
        <v>2</v>
      </c>
    </row>
    <row r="3454">
      <c r="A3454" s="58">
        <v>45901.0</v>
      </c>
      <c r="B3454" s="24" t="s">
        <v>6789</v>
      </c>
      <c r="C3454" s="24" t="s">
        <v>6842</v>
      </c>
      <c r="D3454" s="59">
        <v>1.0</v>
      </c>
      <c r="E3454" s="59">
        <v>1.0</v>
      </c>
      <c r="F3454" s="59">
        <v>0.0</v>
      </c>
      <c r="G3454" s="60">
        <v>1.0</v>
      </c>
      <c r="H3454" s="60">
        <v>0.0</v>
      </c>
      <c r="I3454" s="60">
        <v>174.091888</v>
      </c>
      <c r="J3454" s="59">
        <v>1.0</v>
      </c>
      <c r="K3454" s="61">
        <f t="shared" si="1"/>
        <v>0</v>
      </c>
      <c r="L3454" s="62">
        <f t="shared" si="2"/>
        <v>1</v>
      </c>
    </row>
    <row r="3455">
      <c r="A3455" s="58">
        <v>45901.0</v>
      </c>
      <c r="B3455" s="24" t="s">
        <v>6791</v>
      </c>
      <c r="C3455" s="24" t="s">
        <v>6811</v>
      </c>
      <c r="D3455" s="59">
        <v>1.0</v>
      </c>
      <c r="E3455" s="59">
        <v>1.0</v>
      </c>
      <c r="F3455" s="59">
        <v>0.0</v>
      </c>
      <c r="G3455" s="60">
        <v>1.0</v>
      </c>
      <c r="H3455" s="60">
        <v>0.0</v>
      </c>
      <c r="I3455" s="60">
        <v>448.548284</v>
      </c>
      <c r="J3455" s="59">
        <v>2.0</v>
      </c>
      <c r="K3455" s="61">
        <f t="shared" si="1"/>
        <v>0</v>
      </c>
      <c r="L3455" s="62">
        <f t="shared" si="2"/>
        <v>2</v>
      </c>
    </row>
    <row r="3456">
      <c r="A3456" s="58">
        <v>45901.0</v>
      </c>
      <c r="B3456" s="24" t="s">
        <v>6787</v>
      </c>
      <c r="C3456" s="24" t="s">
        <v>7006</v>
      </c>
      <c r="D3456" s="59">
        <v>1.0</v>
      </c>
      <c r="E3456" s="59">
        <v>1.0</v>
      </c>
      <c r="F3456" s="59">
        <v>1.0</v>
      </c>
      <c r="G3456" s="60">
        <v>1.0</v>
      </c>
      <c r="H3456" s="60">
        <v>1.0</v>
      </c>
      <c r="I3456" s="60">
        <v>0.0</v>
      </c>
      <c r="J3456" s="59">
        <v>1.0</v>
      </c>
      <c r="K3456" s="61">
        <f t="shared" si="1"/>
        <v>1</v>
      </c>
      <c r="L3456" s="62">
        <f t="shared" si="2"/>
        <v>1</v>
      </c>
    </row>
    <row r="3457">
      <c r="A3457" s="58">
        <v>45901.0</v>
      </c>
      <c r="B3457" s="24" t="s">
        <v>155</v>
      </c>
      <c r="C3457" s="24" t="s">
        <v>7006</v>
      </c>
      <c r="D3457" s="59">
        <v>1.0</v>
      </c>
      <c r="E3457" s="59">
        <v>2.0</v>
      </c>
      <c r="F3457" s="59">
        <v>1.0</v>
      </c>
      <c r="G3457" s="60">
        <v>2.0</v>
      </c>
      <c r="H3457" s="60">
        <v>1.0</v>
      </c>
      <c r="I3457" s="60">
        <v>0.0</v>
      </c>
      <c r="J3457" s="59">
        <v>2.0</v>
      </c>
      <c r="K3457" s="61">
        <f t="shared" si="1"/>
        <v>0.5</v>
      </c>
      <c r="L3457" s="62">
        <f t="shared" si="2"/>
        <v>1</v>
      </c>
    </row>
    <row r="3458">
      <c r="A3458" s="58">
        <v>45901.0</v>
      </c>
      <c r="B3458" s="24" t="s">
        <v>6787</v>
      </c>
      <c r="C3458" s="24" t="s">
        <v>6901</v>
      </c>
      <c r="D3458" s="59">
        <v>1.0</v>
      </c>
      <c r="E3458" s="59">
        <v>1.0</v>
      </c>
      <c r="F3458" s="59">
        <v>1.0</v>
      </c>
      <c r="G3458" s="60">
        <v>1.0</v>
      </c>
      <c r="H3458" s="60">
        <v>1.0</v>
      </c>
      <c r="I3458" s="60">
        <v>0.0</v>
      </c>
      <c r="J3458" s="59">
        <v>1.0</v>
      </c>
      <c r="K3458" s="61">
        <f t="shared" si="1"/>
        <v>1</v>
      </c>
      <c r="L3458" s="62">
        <f t="shared" si="2"/>
        <v>1</v>
      </c>
    </row>
    <row r="3459">
      <c r="A3459" s="58">
        <v>45901.0</v>
      </c>
      <c r="B3459" s="24" t="s">
        <v>6787</v>
      </c>
      <c r="C3459" s="24" t="s">
        <v>6843</v>
      </c>
      <c r="D3459" s="59">
        <v>1.0</v>
      </c>
      <c r="E3459" s="59">
        <v>1.0</v>
      </c>
      <c r="F3459" s="59">
        <v>1.0</v>
      </c>
      <c r="G3459" s="60">
        <v>1.0</v>
      </c>
      <c r="H3459" s="60">
        <v>1.0</v>
      </c>
      <c r="I3459" s="60">
        <v>0.0</v>
      </c>
      <c r="J3459" s="59">
        <v>1.0</v>
      </c>
      <c r="K3459" s="61">
        <f t="shared" si="1"/>
        <v>1</v>
      </c>
      <c r="L3459" s="62">
        <f t="shared" si="2"/>
        <v>1</v>
      </c>
    </row>
    <row r="3460">
      <c r="A3460" s="58">
        <v>45901.0</v>
      </c>
      <c r="B3460" s="24" t="s">
        <v>6787</v>
      </c>
      <c r="C3460" s="24" t="s">
        <v>6807</v>
      </c>
      <c r="D3460" s="59">
        <v>1.0</v>
      </c>
      <c r="E3460" s="59">
        <v>1.0</v>
      </c>
      <c r="F3460" s="59">
        <v>1.0</v>
      </c>
      <c r="G3460" s="60">
        <v>1.0</v>
      </c>
      <c r="H3460" s="60">
        <v>0.0</v>
      </c>
      <c r="I3460" s="60">
        <v>346.973908</v>
      </c>
      <c r="J3460" s="59">
        <v>6.0</v>
      </c>
      <c r="K3460" s="61">
        <f t="shared" si="1"/>
        <v>1</v>
      </c>
      <c r="L3460" s="62">
        <f t="shared" si="2"/>
        <v>6</v>
      </c>
    </row>
    <row r="3461">
      <c r="A3461" s="58">
        <v>45901.0</v>
      </c>
      <c r="B3461" s="24" t="s">
        <v>6787</v>
      </c>
      <c r="C3461" s="24" t="s">
        <v>7078</v>
      </c>
      <c r="D3461" s="59">
        <v>1.0</v>
      </c>
      <c r="E3461" s="59">
        <v>1.0</v>
      </c>
      <c r="F3461" s="59">
        <v>1.0</v>
      </c>
      <c r="G3461" s="60">
        <v>1.0</v>
      </c>
      <c r="H3461" s="60">
        <v>1.0</v>
      </c>
      <c r="I3461" s="60">
        <v>0.0</v>
      </c>
      <c r="J3461" s="59">
        <v>1.0</v>
      </c>
      <c r="K3461" s="61">
        <f t="shared" si="1"/>
        <v>1</v>
      </c>
      <c r="L3461" s="62">
        <f t="shared" si="2"/>
        <v>1</v>
      </c>
    </row>
    <row r="3462">
      <c r="A3462" s="58">
        <v>45901.0</v>
      </c>
      <c r="B3462" s="24" t="s">
        <v>6789</v>
      </c>
      <c r="C3462" s="24" t="s">
        <v>7078</v>
      </c>
      <c r="D3462" s="59">
        <v>1.0</v>
      </c>
      <c r="E3462" s="59">
        <v>1.0</v>
      </c>
      <c r="F3462" s="59">
        <v>1.0</v>
      </c>
      <c r="G3462" s="60">
        <v>1.0</v>
      </c>
      <c r="H3462" s="60">
        <v>1.0</v>
      </c>
      <c r="I3462" s="60">
        <v>0.0</v>
      </c>
      <c r="J3462" s="59">
        <v>1.0</v>
      </c>
      <c r="K3462" s="61">
        <f t="shared" si="1"/>
        <v>1</v>
      </c>
      <c r="L3462" s="62">
        <f t="shared" si="2"/>
        <v>1</v>
      </c>
    </row>
    <row r="3463">
      <c r="A3463" s="58">
        <v>45901.0</v>
      </c>
      <c r="B3463" s="24" t="s">
        <v>155</v>
      </c>
      <c r="C3463" s="24" t="s">
        <v>7079</v>
      </c>
      <c r="D3463" s="59">
        <v>1.0</v>
      </c>
      <c r="E3463" s="59">
        <v>1.0</v>
      </c>
      <c r="F3463" s="59">
        <v>1.0</v>
      </c>
      <c r="G3463" s="60">
        <v>1.0</v>
      </c>
      <c r="H3463" s="60">
        <v>1.0</v>
      </c>
      <c r="I3463" s="60">
        <v>0.0</v>
      </c>
      <c r="J3463" s="59">
        <v>1.0</v>
      </c>
      <c r="K3463" s="61">
        <f t="shared" si="1"/>
        <v>1</v>
      </c>
      <c r="L3463" s="62">
        <f t="shared" si="2"/>
        <v>1</v>
      </c>
    </row>
    <row r="3464">
      <c r="A3464" s="58">
        <v>45901.0</v>
      </c>
      <c r="B3464" s="24" t="s">
        <v>6787</v>
      </c>
      <c r="C3464" s="24" t="s">
        <v>7007</v>
      </c>
      <c r="D3464" s="59">
        <v>1.0</v>
      </c>
      <c r="E3464" s="59">
        <v>1.0</v>
      </c>
      <c r="F3464" s="59">
        <v>1.0</v>
      </c>
      <c r="G3464" s="60">
        <v>1.0</v>
      </c>
      <c r="H3464" s="60">
        <v>1.0</v>
      </c>
      <c r="I3464" s="60">
        <v>9.227176</v>
      </c>
      <c r="J3464" s="59">
        <v>1.0</v>
      </c>
      <c r="K3464" s="61">
        <f t="shared" si="1"/>
        <v>1</v>
      </c>
      <c r="L3464" s="62">
        <f t="shared" si="2"/>
        <v>1</v>
      </c>
    </row>
    <row r="3465">
      <c r="A3465" s="58">
        <v>45901.0</v>
      </c>
      <c r="B3465" s="24" t="s">
        <v>6787</v>
      </c>
      <c r="C3465" s="24" t="s">
        <v>6902</v>
      </c>
      <c r="D3465" s="59">
        <v>1.0</v>
      </c>
      <c r="E3465" s="59">
        <v>1.0</v>
      </c>
      <c r="F3465" s="59">
        <v>1.0</v>
      </c>
      <c r="G3465" s="60">
        <v>1.0</v>
      </c>
      <c r="H3465" s="60">
        <v>1.0</v>
      </c>
      <c r="I3465" s="60">
        <v>0.750079</v>
      </c>
      <c r="J3465" s="59">
        <v>1.0</v>
      </c>
      <c r="K3465" s="61">
        <f t="shared" si="1"/>
        <v>1</v>
      </c>
      <c r="L3465" s="62">
        <f t="shared" si="2"/>
        <v>1</v>
      </c>
    </row>
    <row r="3466">
      <c r="A3466" s="58">
        <v>45901.0</v>
      </c>
      <c r="B3466" s="24" t="s">
        <v>6790</v>
      </c>
      <c r="C3466" s="24" t="s">
        <v>6796</v>
      </c>
      <c r="D3466" s="59">
        <v>1.0</v>
      </c>
      <c r="E3466" s="59">
        <v>1.0</v>
      </c>
      <c r="F3466" s="59">
        <v>1.0</v>
      </c>
      <c r="G3466" s="60">
        <v>1.0</v>
      </c>
      <c r="H3466" s="60">
        <v>0.0</v>
      </c>
      <c r="I3466" s="60">
        <v>55.52782</v>
      </c>
      <c r="J3466" s="59">
        <v>1.0</v>
      </c>
      <c r="K3466" s="61">
        <f t="shared" si="1"/>
        <v>1</v>
      </c>
      <c r="L3466" s="62">
        <f t="shared" si="2"/>
        <v>1</v>
      </c>
    </row>
    <row r="3467">
      <c r="A3467" s="58">
        <v>45901.0</v>
      </c>
      <c r="B3467" s="24" t="s">
        <v>6789</v>
      </c>
      <c r="C3467" s="24" t="s">
        <v>7009</v>
      </c>
      <c r="D3467" s="59">
        <v>1.0</v>
      </c>
      <c r="E3467" s="59">
        <v>1.0</v>
      </c>
      <c r="F3467" s="59">
        <v>0.0</v>
      </c>
      <c r="G3467" s="60">
        <v>1.0</v>
      </c>
      <c r="H3467" s="60">
        <v>0.0</v>
      </c>
      <c r="I3467" s="60">
        <v>1106.828139</v>
      </c>
      <c r="J3467" s="59">
        <v>3.0</v>
      </c>
      <c r="K3467" s="61">
        <f t="shared" si="1"/>
        <v>0</v>
      </c>
      <c r="L3467" s="62">
        <f t="shared" si="2"/>
        <v>3</v>
      </c>
    </row>
    <row r="3468">
      <c r="A3468" s="58">
        <v>45901.0</v>
      </c>
      <c r="B3468" s="24" t="s">
        <v>6787</v>
      </c>
      <c r="C3468" s="24" t="s">
        <v>7341</v>
      </c>
      <c r="D3468" s="59">
        <v>1.0</v>
      </c>
      <c r="E3468" s="59">
        <v>1.0</v>
      </c>
      <c r="F3468" s="59">
        <v>1.0</v>
      </c>
      <c r="G3468" s="60">
        <v>1.0</v>
      </c>
      <c r="H3468" s="60">
        <v>1.0</v>
      </c>
      <c r="I3468" s="60">
        <v>4.893845</v>
      </c>
      <c r="J3468" s="59">
        <v>1.0</v>
      </c>
      <c r="K3468" s="61">
        <f t="shared" si="1"/>
        <v>1</v>
      </c>
      <c r="L3468" s="62">
        <f t="shared" si="2"/>
        <v>1</v>
      </c>
    </row>
    <row r="3469">
      <c r="A3469" s="58">
        <v>45901.0</v>
      </c>
      <c r="B3469" s="24" t="s">
        <v>6855</v>
      </c>
      <c r="C3469" s="24" t="s">
        <v>7125</v>
      </c>
      <c r="D3469" s="59">
        <v>1.0</v>
      </c>
      <c r="E3469" s="59">
        <v>1.0</v>
      </c>
      <c r="F3469" s="59">
        <v>1.0</v>
      </c>
      <c r="G3469" s="60">
        <v>1.0</v>
      </c>
      <c r="H3469" s="60">
        <v>0.0</v>
      </c>
      <c r="I3469" s="60">
        <v>298.023716</v>
      </c>
      <c r="J3469" s="59">
        <v>3.0</v>
      </c>
      <c r="K3469" s="61">
        <f t="shared" si="1"/>
        <v>1</v>
      </c>
      <c r="L3469" s="62">
        <f t="shared" si="2"/>
        <v>3</v>
      </c>
    </row>
    <row r="3470">
      <c r="A3470" s="58">
        <v>45901.0</v>
      </c>
      <c r="B3470" s="24" t="s">
        <v>155</v>
      </c>
      <c r="C3470" s="24" t="s">
        <v>7125</v>
      </c>
      <c r="D3470" s="59">
        <v>1.0</v>
      </c>
      <c r="E3470" s="59">
        <v>1.0</v>
      </c>
      <c r="F3470" s="59">
        <v>0.0</v>
      </c>
      <c r="G3470" s="60">
        <v>1.0</v>
      </c>
      <c r="H3470" s="60">
        <v>0.0</v>
      </c>
      <c r="I3470" s="60">
        <v>88.088181</v>
      </c>
      <c r="J3470" s="59">
        <v>2.0</v>
      </c>
      <c r="K3470" s="61">
        <f t="shared" si="1"/>
        <v>0</v>
      </c>
      <c r="L3470" s="62">
        <f t="shared" si="2"/>
        <v>2</v>
      </c>
    </row>
    <row r="3471">
      <c r="A3471" s="58">
        <v>45901.0</v>
      </c>
      <c r="B3471" s="24" t="s">
        <v>6790</v>
      </c>
      <c r="C3471" s="24" t="s">
        <v>7125</v>
      </c>
      <c r="D3471" s="59">
        <v>1.0</v>
      </c>
      <c r="E3471" s="59">
        <v>2.0</v>
      </c>
      <c r="F3471" s="59">
        <v>0.0</v>
      </c>
      <c r="G3471" s="60">
        <v>0.0</v>
      </c>
      <c r="H3471" s="60">
        <v>1.0</v>
      </c>
      <c r="I3471" s="60">
        <v>0.0</v>
      </c>
      <c r="J3471" s="59">
        <v>2.0</v>
      </c>
      <c r="K3471" s="61">
        <f t="shared" si="1"/>
        <v>0</v>
      </c>
      <c r="L3471" s="62">
        <f t="shared" si="2"/>
        <v>1</v>
      </c>
    </row>
    <row r="3472">
      <c r="A3472" s="58">
        <v>45901.0</v>
      </c>
      <c r="B3472" s="24" t="s">
        <v>6790</v>
      </c>
      <c r="C3472" s="24" t="s">
        <v>7310</v>
      </c>
      <c r="D3472" s="59">
        <v>1.0</v>
      </c>
      <c r="E3472" s="59">
        <v>1.0</v>
      </c>
      <c r="F3472" s="59">
        <v>1.0</v>
      </c>
      <c r="G3472" s="60">
        <v>1.0</v>
      </c>
      <c r="H3472" s="60">
        <v>1.0</v>
      </c>
      <c r="I3472" s="60">
        <v>0.0</v>
      </c>
      <c r="J3472" s="59">
        <v>1.0</v>
      </c>
      <c r="K3472" s="61">
        <f t="shared" si="1"/>
        <v>1</v>
      </c>
      <c r="L3472" s="62">
        <f t="shared" si="2"/>
        <v>1</v>
      </c>
    </row>
    <row r="3473">
      <c r="A3473" s="58">
        <v>45901.0</v>
      </c>
      <c r="B3473" s="24" t="s">
        <v>6855</v>
      </c>
      <c r="C3473" s="24" t="s">
        <v>7041</v>
      </c>
      <c r="D3473" s="59">
        <v>1.0</v>
      </c>
      <c r="E3473" s="59">
        <v>1.0</v>
      </c>
      <c r="F3473" s="59">
        <v>1.0</v>
      </c>
      <c r="G3473" s="60">
        <v>1.0</v>
      </c>
      <c r="H3473" s="60">
        <v>0.0</v>
      </c>
      <c r="I3473" s="60">
        <v>695.775169</v>
      </c>
      <c r="J3473" s="59">
        <v>6.0</v>
      </c>
      <c r="K3473" s="61">
        <f t="shared" si="1"/>
        <v>1</v>
      </c>
      <c r="L3473" s="62">
        <f t="shared" si="2"/>
        <v>6</v>
      </c>
    </row>
    <row r="3474">
      <c r="A3474" s="58">
        <v>45901.0</v>
      </c>
      <c r="B3474" s="24" t="s">
        <v>6787</v>
      </c>
      <c r="C3474" s="24" t="s">
        <v>7236</v>
      </c>
      <c r="D3474" s="59">
        <v>1.0</v>
      </c>
      <c r="E3474" s="59">
        <v>1.0</v>
      </c>
      <c r="F3474" s="59">
        <v>1.0</v>
      </c>
      <c r="G3474" s="60">
        <v>1.0</v>
      </c>
      <c r="H3474" s="60">
        <v>1.0</v>
      </c>
      <c r="I3474" s="60">
        <v>7.216056</v>
      </c>
      <c r="J3474" s="59">
        <v>1.0</v>
      </c>
      <c r="K3474" s="61">
        <f t="shared" si="1"/>
        <v>1</v>
      </c>
      <c r="L3474" s="62">
        <f t="shared" si="2"/>
        <v>1</v>
      </c>
    </row>
    <row r="3475">
      <c r="A3475" s="58">
        <v>45901.0</v>
      </c>
      <c r="B3475" s="24" t="s">
        <v>155</v>
      </c>
      <c r="C3475" s="24" t="s">
        <v>7236</v>
      </c>
      <c r="D3475" s="59">
        <v>1.0</v>
      </c>
      <c r="E3475" s="59">
        <v>1.0</v>
      </c>
      <c r="F3475" s="59">
        <v>0.0</v>
      </c>
      <c r="G3475" s="60">
        <v>1.0</v>
      </c>
      <c r="H3475" s="60">
        <v>0.0</v>
      </c>
      <c r="I3475" s="60">
        <v>64.574494</v>
      </c>
      <c r="J3475" s="59">
        <v>1.0</v>
      </c>
      <c r="K3475" s="61">
        <f t="shared" si="1"/>
        <v>0</v>
      </c>
      <c r="L3475" s="62">
        <f t="shared" si="2"/>
        <v>1</v>
      </c>
    </row>
    <row r="3476">
      <c r="A3476" s="58">
        <v>45901.0</v>
      </c>
      <c r="B3476" s="24" t="s">
        <v>6790</v>
      </c>
      <c r="C3476" s="24" t="s">
        <v>7236</v>
      </c>
      <c r="D3476" s="59">
        <v>1.0</v>
      </c>
      <c r="E3476" s="59">
        <v>1.0</v>
      </c>
      <c r="F3476" s="59">
        <v>1.0</v>
      </c>
      <c r="G3476" s="60">
        <v>1.0</v>
      </c>
      <c r="H3476" s="60">
        <v>1.0</v>
      </c>
      <c r="I3476" s="60">
        <v>3.714678</v>
      </c>
      <c r="J3476" s="59">
        <v>1.0</v>
      </c>
      <c r="K3476" s="61">
        <f t="shared" si="1"/>
        <v>1</v>
      </c>
      <c r="L3476" s="62">
        <f t="shared" si="2"/>
        <v>1</v>
      </c>
    </row>
    <row r="3477">
      <c r="A3477" s="58">
        <v>45901.0</v>
      </c>
      <c r="B3477" s="24" t="s">
        <v>6791</v>
      </c>
      <c r="C3477" s="24" t="s">
        <v>7083</v>
      </c>
      <c r="D3477" s="59">
        <v>1.0</v>
      </c>
      <c r="E3477" s="59">
        <v>2.0</v>
      </c>
      <c r="F3477" s="59">
        <v>0.0</v>
      </c>
      <c r="G3477" s="60">
        <v>2.0</v>
      </c>
      <c r="H3477" s="60">
        <v>1.0</v>
      </c>
      <c r="I3477" s="60">
        <v>0.6104745</v>
      </c>
      <c r="J3477" s="59">
        <v>2.0</v>
      </c>
      <c r="K3477" s="61">
        <f t="shared" si="1"/>
        <v>0</v>
      </c>
      <c r="L3477" s="62">
        <f t="shared" si="2"/>
        <v>1</v>
      </c>
    </row>
    <row r="3478">
      <c r="A3478" s="58">
        <v>45901.0</v>
      </c>
      <c r="B3478" s="24" t="s">
        <v>6791</v>
      </c>
      <c r="C3478" s="24" t="s">
        <v>7010</v>
      </c>
      <c r="D3478" s="59">
        <v>1.0</v>
      </c>
      <c r="E3478" s="59">
        <v>1.0</v>
      </c>
      <c r="F3478" s="59">
        <v>1.0</v>
      </c>
      <c r="G3478" s="60">
        <v>1.0</v>
      </c>
      <c r="H3478" s="60">
        <v>1.0</v>
      </c>
      <c r="I3478" s="60">
        <v>7.648544</v>
      </c>
      <c r="J3478" s="59">
        <v>1.0</v>
      </c>
      <c r="K3478" s="61">
        <f t="shared" si="1"/>
        <v>1</v>
      </c>
      <c r="L3478" s="62">
        <f t="shared" si="2"/>
        <v>1</v>
      </c>
    </row>
    <row r="3479">
      <c r="A3479" s="58">
        <v>45901.0</v>
      </c>
      <c r="B3479" s="24" t="s">
        <v>6787</v>
      </c>
      <c r="C3479" s="24" t="s">
        <v>7234</v>
      </c>
      <c r="D3479" s="59">
        <v>1.0</v>
      </c>
      <c r="E3479" s="59">
        <v>1.0</v>
      </c>
      <c r="F3479" s="59">
        <v>1.0</v>
      </c>
      <c r="G3479" s="60">
        <v>1.0</v>
      </c>
      <c r="H3479" s="60">
        <v>1.0</v>
      </c>
      <c r="I3479" s="60">
        <v>0.0</v>
      </c>
      <c r="J3479" s="59">
        <v>1.0</v>
      </c>
      <c r="K3479" s="61">
        <f t="shared" si="1"/>
        <v>1</v>
      </c>
      <c r="L3479" s="62">
        <f t="shared" si="2"/>
        <v>1</v>
      </c>
    </row>
    <row r="3480">
      <c r="A3480" s="58">
        <v>45901.0</v>
      </c>
      <c r="B3480" s="24" t="s">
        <v>155</v>
      </c>
      <c r="C3480" s="24" t="s">
        <v>7234</v>
      </c>
      <c r="D3480" s="59">
        <v>1.0</v>
      </c>
      <c r="E3480" s="59">
        <v>1.0</v>
      </c>
      <c r="F3480" s="59">
        <v>1.0</v>
      </c>
      <c r="G3480" s="60">
        <v>1.0</v>
      </c>
      <c r="H3480" s="60">
        <v>0.0</v>
      </c>
      <c r="I3480" s="60">
        <v>78.370044</v>
      </c>
      <c r="J3480" s="59">
        <v>1.0</v>
      </c>
      <c r="K3480" s="61">
        <f t="shared" si="1"/>
        <v>1</v>
      </c>
      <c r="L3480" s="62">
        <f t="shared" si="2"/>
        <v>1</v>
      </c>
    </row>
    <row r="3481">
      <c r="A3481" s="58">
        <v>45901.0</v>
      </c>
      <c r="B3481" s="24" t="s">
        <v>6787</v>
      </c>
      <c r="C3481" s="24" t="s">
        <v>7231</v>
      </c>
      <c r="D3481" s="59">
        <v>1.0</v>
      </c>
      <c r="E3481" s="59">
        <v>1.0</v>
      </c>
      <c r="F3481" s="59">
        <v>1.0</v>
      </c>
      <c r="G3481" s="60">
        <v>1.0</v>
      </c>
      <c r="H3481" s="60">
        <v>1.0</v>
      </c>
      <c r="I3481" s="60">
        <v>0.0</v>
      </c>
      <c r="J3481" s="59">
        <v>1.0</v>
      </c>
      <c r="K3481" s="61">
        <f t="shared" si="1"/>
        <v>1</v>
      </c>
      <c r="L3481" s="62">
        <f t="shared" si="2"/>
        <v>1</v>
      </c>
    </row>
    <row r="3482">
      <c r="A3482" s="58">
        <v>45901.0</v>
      </c>
      <c r="B3482" s="24" t="s">
        <v>6789</v>
      </c>
      <c r="C3482" s="24" t="s">
        <v>7231</v>
      </c>
      <c r="D3482" s="59">
        <v>1.0</v>
      </c>
      <c r="E3482" s="59">
        <v>1.0</v>
      </c>
      <c r="F3482" s="59">
        <v>1.0</v>
      </c>
      <c r="G3482" s="60">
        <v>1.0</v>
      </c>
      <c r="H3482" s="60">
        <v>0.0</v>
      </c>
      <c r="I3482" s="60">
        <v>13.048575</v>
      </c>
      <c r="J3482" s="59">
        <v>1.0</v>
      </c>
      <c r="K3482" s="61">
        <f t="shared" si="1"/>
        <v>1</v>
      </c>
      <c r="L3482" s="62">
        <f t="shared" si="2"/>
        <v>1</v>
      </c>
    </row>
    <row r="3483">
      <c r="A3483" s="58">
        <v>45901.0</v>
      </c>
      <c r="B3483" s="24" t="s">
        <v>6789</v>
      </c>
      <c r="C3483" s="24" t="s">
        <v>7232</v>
      </c>
      <c r="D3483" s="59">
        <v>1.0</v>
      </c>
      <c r="E3483" s="59">
        <v>1.0</v>
      </c>
      <c r="F3483" s="59">
        <v>1.0</v>
      </c>
      <c r="G3483" s="60">
        <v>1.0</v>
      </c>
      <c r="H3483" s="60">
        <v>0.0</v>
      </c>
      <c r="I3483" s="60">
        <v>675.757416</v>
      </c>
      <c r="J3483" s="59">
        <v>4.0</v>
      </c>
      <c r="K3483" s="61">
        <f t="shared" si="1"/>
        <v>1</v>
      </c>
      <c r="L3483" s="62">
        <f t="shared" si="2"/>
        <v>4</v>
      </c>
    </row>
    <row r="3484">
      <c r="A3484" s="58">
        <v>45901.0</v>
      </c>
      <c r="B3484" s="24" t="s">
        <v>6787</v>
      </c>
      <c r="C3484" s="24" t="s">
        <v>7261</v>
      </c>
      <c r="D3484" s="59">
        <v>1.0</v>
      </c>
      <c r="E3484" s="59">
        <v>1.0</v>
      </c>
      <c r="F3484" s="59">
        <v>1.0</v>
      </c>
      <c r="G3484" s="60">
        <v>1.0</v>
      </c>
      <c r="H3484" s="60">
        <v>1.0</v>
      </c>
      <c r="I3484" s="60">
        <v>0.0</v>
      </c>
      <c r="J3484" s="59">
        <v>1.0</v>
      </c>
      <c r="K3484" s="61">
        <f t="shared" si="1"/>
        <v>1</v>
      </c>
      <c r="L3484" s="62">
        <f t="shared" si="2"/>
        <v>1</v>
      </c>
    </row>
    <row r="3485">
      <c r="A3485" s="58">
        <v>45901.0</v>
      </c>
      <c r="B3485" s="24" t="s">
        <v>6789</v>
      </c>
      <c r="C3485" s="24" t="s">
        <v>6907</v>
      </c>
      <c r="D3485" s="59">
        <v>1.0</v>
      </c>
      <c r="E3485" s="59">
        <v>1.0</v>
      </c>
      <c r="F3485" s="59">
        <v>0.0</v>
      </c>
      <c r="G3485" s="60">
        <v>1.0</v>
      </c>
      <c r="H3485" s="60">
        <v>0.0</v>
      </c>
      <c r="I3485" s="60">
        <v>584.536235</v>
      </c>
      <c r="J3485" s="59">
        <v>2.0</v>
      </c>
      <c r="K3485" s="61">
        <f t="shared" si="1"/>
        <v>0</v>
      </c>
      <c r="L3485" s="62">
        <f t="shared" si="2"/>
        <v>2</v>
      </c>
    </row>
    <row r="3486">
      <c r="A3486" s="58">
        <v>45901.0</v>
      </c>
      <c r="B3486" s="24" t="s">
        <v>6791</v>
      </c>
      <c r="C3486" s="24" t="s">
        <v>6808</v>
      </c>
      <c r="D3486" s="59">
        <v>1.0</v>
      </c>
      <c r="E3486" s="59">
        <v>1.0</v>
      </c>
      <c r="F3486" s="59">
        <v>0.0</v>
      </c>
      <c r="G3486" s="60">
        <v>0.0</v>
      </c>
      <c r="H3486" s="60">
        <v>1.0</v>
      </c>
      <c r="I3486" s="60">
        <v>0.0</v>
      </c>
      <c r="J3486" s="59">
        <v>1.0</v>
      </c>
      <c r="K3486" s="61">
        <f t="shared" si="1"/>
        <v>0</v>
      </c>
      <c r="L3486" s="62">
        <f t="shared" si="2"/>
        <v>1</v>
      </c>
    </row>
    <row r="3487">
      <c r="A3487" s="58">
        <v>45901.0</v>
      </c>
      <c r="B3487" s="24" t="s">
        <v>6787</v>
      </c>
      <c r="C3487" s="24" t="s">
        <v>7342</v>
      </c>
      <c r="D3487" s="59">
        <v>1.0</v>
      </c>
      <c r="E3487" s="59">
        <v>1.0</v>
      </c>
      <c r="F3487" s="59">
        <v>0.0</v>
      </c>
      <c r="G3487" s="60">
        <v>1.0</v>
      </c>
      <c r="H3487" s="60">
        <v>0.0</v>
      </c>
      <c r="I3487" s="60">
        <v>713.359597</v>
      </c>
      <c r="J3487" s="59">
        <v>3.0</v>
      </c>
      <c r="K3487" s="61">
        <f t="shared" si="1"/>
        <v>0</v>
      </c>
      <c r="L3487" s="62">
        <f t="shared" si="2"/>
        <v>3</v>
      </c>
    </row>
    <row r="3488">
      <c r="A3488" s="58">
        <v>45901.0</v>
      </c>
      <c r="B3488" s="24" t="s">
        <v>6789</v>
      </c>
      <c r="C3488" s="24" t="s">
        <v>7327</v>
      </c>
      <c r="D3488" s="59">
        <v>1.0</v>
      </c>
      <c r="E3488" s="59">
        <v>1.0</v>
      </c>
      <c r="F3488" s="59">
        <v>0.0</v>
      </c>
      <c r="G3488" s="60">
        <v>1.0</v>
      </c>
      <c r="H3488" s="60">
        <v>0.0</v>
      </c>
      <c r="I3488" s="60">
        <v>237.127882</v>
      </c>
      <c r="J3488" s="59">
        <v>2.0</v>
      </c>
      <c r="K3488" s="61">
        <f t="shared" si="1"/>
        <v>0</v>
      </c>
      <c r="L3488" s="62">
        <f t="shared" si="2"/>
        <v>2</v>
      </c>
    </row>
    <row r="3489">
      <c r="A3489" s="58">
        <v>45901.0</v>
      </c>
      <c r="B3489" s="24" t="s">
        <v>6787</v>
      </c>
      <c r="C3489" s="24" t="s">
        <v>7026</v>
      </c>
      <c r="D3489" s="59">
        <v>1.0</v>
      </c>
      <c r="E3489" s="59">
        <v>1.0</v>
      </c>
      <c r="F3489" s="59">
        <v>1.0</v>
      </c>
      <c r="G3489" s="60">
        <v>1.0</v>
      </c>
      <c r="H3489" s="60">
        <v>1.0</v>
      </c>
      <c r="I3489" s="60">
        <v>0.0</v>
      </c>
      <c r="J3489" s="59">
        <v>1.0</v>
      </c>
      <c r="K3489" s="61">
        <f t="shared" si="1"/>
        <v>1</v>
      </c>
      <c r="L3489" s="62">
        <f t="shared" si="2"/>
        <v>1</v>
      </c>
    </row>
    <row r="3490">
      <c r="A3490" s="58">
        <v>45901.0</v>
      </c>
      <c r="B3490" s="24" t="s">
        <v>6787</v>
      </c>
      <c r="C3490" s="24" t="s">
        <v>7189</v>
      </c>
      <c r="D3490" s="59">
        <v>1.0</v>
      </c>
      <c r="E3490" s="59">
        <v>1.0</v>
      </c>
      <c r="F3490" s="59">
        <v>1.0</v>
      </c>
      <c r="G3490" s="60">
        <v>1.0</v>
      </c>
      <c r="H3490" s="60">
        <v>0.0</v>
      </c>
      <c r="I3490" s="60">
        <v>16.130693</v>
      </c>
      <c r="J3490" s="59">
        <v>1.0</v>
      </c>
      <c r="K3490" s="61">
        <f t="shared" si="1"/>
        <v>1</v>
      </c>
      <c r="L3490" s="62">
        <f t="shared" si="2"/>
        <v>1</v>
      </c>
    </row>
    <row r="3491">
      <c r="A3491" s="58">
        <v>45901.0</v>
      </c>
      <c r="B3491" s="24" t="s">
        <v>6787</v>
      </c>
      <c r="C3491" s="24" t="s">
        <v>7043</v>
      </c>
      <c r="D3491" s="59">
        <v>1.0</v>
      </c>
      <c r="E3491" s="59">
        <v>1.0</v>
      </c>
      <c r="F3491" s="59">
        <v>1.0</v>
      </c>
      <c r="G3491" s="60">
        <v>1.0</v>
      </c>
      <c r="H3491" s="60">
        <v>1.0</v>
      </c>
      <c r="I3491" s="60">
        <v>5.949119</v>
      </c>
      <c r="J3491" s="59">
        <v>1.0</v>
      </c>
      <c r="K3491" s="61">
        <f t="shared" si="1"/>
        <v>1</v>
      </c>
      <c r="L3491" s="62">
        <f t="shared" si="2"/>
        <v>1</v>
      </c>
    </row>
    <row r="3492">
      <c r="A3492" s="58">
        <v>45901.0</v>
      </c>
      <c r="B3492" s="24" t="s">
        <v>6789</v>
      </c>
      <c r="C3492" s="24" t="s">
        <v>7090</v>
      </c>
      <c r="D3492" s="59">
        <v>1.0</v>
      </c>
      <c r="E3492" s="59">
        <v>1.0</v>
      </c>
      <c r="F3492" s="59">
        <v>1.0</v>
      </c>
      <c r="G3492" s="60">
        <v>1.0</v>
      </c>
      <c r="H3492" s="60">
        <v>0.0</v>
      </c>
      <c r="I3492" s="60">
        <v>89.283869</v>
      </c>
      <c r="J3492" s="59">
        <v>1.0</v>
      </c>
      <c r="K3492" s="61">
        <f t="shared" si="1"/>
        <v>1</v>
      </c>
      <c r="L3492" s="62">
        <f t="shared" si="2"/>
        <v>1</v>
      </c>
    </row>
    <row r="3493">
      <c r="A3493" s="58">
        <v>45901.0</v>
      </c>
      <c r="B3493" s="24" t="s">
        <v>6789</v>
      </c>
      <c r="C3493" s="24" t="s">
        <v>7160</v>
      </c>
      <c r="D3493" s="59">
        <v>1.0</v>
      </c>
      <c r="E3493" s="59">
        <v>1.0</v>
      </c>
      <c r="F3493" s="59">
        <v>1.0</v>
      </c>
      <c r="G3493" s="60">
        <v>1.0</v>
      </c>
      <c r="H3493" s="60">
        <v>0.0</v>
      </c>
      <c r="I3493" s="60">
        <v>47.280492</v>
      </c>
      <c r="J3493" s="59">
        <v>2.0</v>
      </c>
      <c r="K3493" s="61">
        <f t="shared" si="1"/>
        <v>1</v>
      </c>
      <c r="L3493" s="62">
        <f t="shared" si="2"/>
        <v>2</v>
      </c>
    </row>
    <row r="3494">
      <c r="A3494" s="58">
        <v>45901.0</v>
      </c>
      <c r="B3494" s="24" t="s">
        <v>155</v>
      </c>
      <c r="C3494" s="24" t="s">
        <v>7022</v>
      </c>
      <c r="D3494" s="59">
        <v>1.0</v>
      </c>
      <c r="E3494" s="59">
        <v>1.0</v>
      </c>
      <c r="F3494" s="59">
        <v>0.0</v>
      </c>
      <c r="G3494" s="60">
        <v>0.0</v>
      </c>
      <c r="H3494" s="60">
        <v>0.0</v>
      </c>
      <c r="I3494" s="60">
        <v>4.61E-4</v>
      </c>
      <c r="J3494" s="59">
        <v>2.0</v>
      </c>
      <c r="K3494" s="61">
        <f t="shared" si="1"/>
        <v>0</v>
      </c>
      <c r="L3494" s="62">
        <f t="shared" si="2"/>
        <v>2</v>
      </c>
    </row>
    <row r="3495">
      <c r="A3495" s="58">
        <v>45901.0</v>
      </c>
      <c r="B3495" s="24" t="s">
        <v>6787</v>
      </c>
      <c r="C3495" s="24" t="s">
        <v>7164</v>
      </c>
      <c r="D3495" s="59">
        <v>1.0</v>
      </c>
      <c r="E3495" s="59">
        <v>1.0</v>
      </c>
      <c r="F3495" s="59">
        <v>1.0</v>
      </c>
      <c r="G3495" s="60">
        <v>1.0</v>
      </c>
      <c r="H3495" s="60">
        <v>1.0</v>
      </c>
      <c r="I3495" s="60">
        <v>0.0</v>
      </c>
      <c r="J3495" s="59">
        <v>1.0</v>
      </c>
      <c r="K3495" s="61">
        <f t="shared" si="1"/>
        <v>1</v>
      </c>
      <c r="L3495" s="62">
        <f t="shared" si="2"/>
        <v>1</v>
      </c>
    </row>
    <row r="3496">
      <c r="A3496" s="58">
        <v>45901.0</v>
      </c>
      <c r="B3496" s="24" t="s">
        <v>6789</v>
      </c>
      <c r="C3496" s="24" t="s">
        <v>7092</v>
      </c>
      <c r="D3496" s="59">
        <v>1.0</v>
      </c>
      <c r="E3496" s="59">
        <v>1.0</v>
      </c>
      <c r="F3496" s="59">
        <v>1.0</v>
      </c>
      <c r="G3496" s="60">
        <v>1.0</v>
      </c>
      <c r="H3496" s="60">
        <v>0.0</v>
      </c>
      <c r="I3496" s="60">
        <v>871.411929</v>
      </c>
      <c r="J3496" s="59">
        <v>2.0</v>
      </c>
      <c r="K3496" s="61">
        <f t="shared" si="1"/>
        <v>1</v>
      </c>
      <c r="L3496" s="62">
        <f t="shared" si="2"/>
        <v>2</v>
      </c>
    </row>
    <row r="3497">
      <c r="A3497" s="58">
        <v>45901.0</v>
      </c>
      <c r="B3497" s="24" t="s">
        <v>6787</v>
      </c>
      <c r="C3497" s="24" t="s">
        <v>7165</v>
      </c>
      <c r="D3497" s="59">
        <v>1.0</v>
      </c>
      <c r="E3497" s="59">
        <v>1.0</v>
      </c>
      <c r="F3497" s="59">
        <v>1.0</v>
      </c>
      <c r="G3497" s="60">
        <v>1.0</v>
      </c>
      <c r="H3497" s="60">
        <v>1.0</v>
      </c>
      <c r="I3497" s="60">
        <v>0.0</v>
      </c>
      <c r="J3497" s="59">
        <v>1.0</v>
      </c>
      <c r="K3497" s="61">
        <f t="shared" si="1"/>
        <v>1</v>
      </c>
      <c r="L3497" s="62">
        <f t="shared" si="2"/>
        <v>1</v>
      </c>
    </row>
    <row r="3498">
      <c r="A3498" s="58">
        <v>45901.0</v>
      </c>
      <c r="B3498" s="24" t="s">
        <v>6787</v>
      </c>
      <c r="C3498" s="24" t="s">
        <v>7166</v>
      </c>
      <c r="D3498" s="59">
        <v>1.0</v>
      </c>
      <c r="E3498" s="59">
        <v>1.0</v>
      </c>
      <c r="F3498" s="59">
        <v>1.0</v>
      </c>
      <c r="G3498" s="60">
        <v>1.0</v>
      </c>
      <c r="H3498" s="60">
        <v>1.0</v>
      </c>
      <c r="I3498" s="60">
        <v>4.390045</v>
      </c>
      <c r="J3498" s="59">
        <v>1.0</v>
      </c>
      <c r="K3498" s="61">
        <f t="shared" si="1"/>
        <v>1</v>
      </c>
      <c r="L3498" s="62">
        <f t="shared" si="2"/>
        <v>1</v>
      </c>
    </row>
    <row r="3499">
      <c r="A3499" s="58">
        <v>45901.0</v>
      </c>
      <c r="B3499" s="24" t="s">
        <v>6789</v>
      </c>
      <c r="C3499" s="24" t="s">
        <v>7166</v>
      </c>
      <c r="D3499" s="59">
        <v>1.0</v>
      </c>
      <c r="E3499" s="59">
        <v>1.0</v>
      </c>
      <c r="F3499" s="59">
        <v>1.0</v>
      </c>
      <c r="G3499" s="60">
        <v>1.0</v>
      </c>
      <c r="H3499" s="60">
        <v>1.0</v>
      </c>
      <c r="I3499" s="60">
        <v>0.0</v>
      </c>
      <c r="J3499" s="59">
        <v>1.0</v>
      </c>
      <c r="K3499" s="61">
        <f t="shared" si="1"/>
        <v>1</v>
      </c>
      <c r="L3499" s="62">
        <f t="shared" si="2"/>
        <v>1</v>
      </c>
    </row>
    <row r="3500">
      <c r="A3500" s="58">
        <v>45901.0</v>
      </c>
      <c r="B3500" s="24" t="s">
        <v>6787</v>
      </c>
      <c r="C3500" s="24" t="s">
        <v>7167</v>
      </c>
      <c r="D3500" s="59">
        <v>1.0</v>
      </c>
      <c r="E3500" s="59">
        <v>1.0</v>
      </c>
      <c r="F3500" s="59">
        <v>1.0</v>
      </c>
      <c r="G3500" s="60">
        <v>1.0</v>
      </c>
      <c r="H3500" s="60">
        <v>0.0</v>
      </c>
      <c r="I3500" s="60">
        <v>10.27308</v>
      </c>
      <c r="J3500" s="59">
        <v>1.0</v>
      </c>
      <c r="K3500" s="61">
        <f t="shared" si="1"/>
        <v>1</v>
      </c>
      <c r="L3500" s="62">
        <f t="shared" si="2"/>
        <v>1</v>
      </c>
    </row>
    <row r="3501">
      <c r="A3501" s="58">
        <v>45901.0</v>
      </c>
      <c r="B3501" s="24" t="s">
        <v>6787</v>
      </c>
      <c r="C3501" s="24" t="s">
        <v>7168</v>
      </c>
      <c r="D3501" s="59">
        <v>1.0</v>
      </c>
      <c r="E3501" s="59">
        <v>1.0</v>
      </c>
      <c r="F3501" s="59">
        <v>1.0</v>
      </c>
      <c r="G3501" s="60">
        <v>1.0</v>
      </c>
      <c r="H3501" s="60">
        <v>1.0</v>
      </c>
      <c r="I3501" s="60">
        <v>0.0</v>
      </c>
      <c r="J3501" s="59">
        <v>1.0</v>
      </c>
      <c r="K3501" s="61">
        <f t="shared" si="1"/>
        <v>1</v>
      </c>
      <c r="L3501" s="62">
        <f t="shared" si="2"/>
        <v>1</v>
      </c>
    </row>
    <row r="3502">
      <c r="A3502" s="58">
        <v>45901.0</v>
      </c>
      <c r="B3502" s="24" t="s">
        <v>6787</v>
      </c>
      <c r="C3502" s="24" t="s">
        <v>7185</v>
      </c>
      <c r="D3502" s="59">
        <v>1.0</v>
      </c>
      <c r="E3502" s="59">
        <v>1.0</v>
      </c>
      <c r="F3502" s="59">
        <v>1.0</v>
      </c>
      <c r="G3502" s="60">
        <v>1.0</v>
      </c>
      <c r="H3502" s="60">
        <v>1.0</v>
      </c>
      <c r="I3502" s="60">
        <v>0.0</v>
      </c>
      <c r="J3502" s="59">
        <v>1.0</v>
      </c>
      <c r="K3502" s="61">
        <f t="shared" si="1"/>
        <v>1</v>
      </c>
      <c r="L3502" s="62">
        <f t="shared" si="2"/>
        <v>1</v>
      </c>
    </row>
    <row r="3503">
      <c r="A3503" s="58">
        <v>45901.0</v>
      </c>
      <c r="B3503" s="24" t="s">
        <v>6787</v>
      </c>
      <c r="C3503" s="24" t="s">
        <v>7137</v>
      </c>
      <c r="D3503" s="59">
        <v>1.0</v>
      </c>
      <c r="E3503" s="59">
        <v>1.0</v>
      </c>
      <c r="F3503" s="59">
        <v>1.0</v>
      </c>
      <c r="G3503" s="60">
        <v>1.0</v>
      </c>
      <c r="H3503" s="60">
        <v>1.0</v>
      </c>
      <c r="I3503" s="60">
        <v>0.0</v>
      </c>
      <c r="J3503" s="59">
        <v>1.0</v>
      </c>
      <c r="K3503" s="61">
        <f t="shared" si="1"/>
        <v>1</v>
      </c>
      <c r="L3503" s="62">
        <f t="shared" si="2"/>
        <v>1</v>
      </c>
    </row>
    <row r="3504">
      <c r="A3504" s="58">
        <v>45901.0</v>
      </c>
      <c r="B3504" s="24" t="s">
        <v>6787</v>
      </c>
      <c r="C3504" s="24" t="s">
        <v>7098</v>
      </c>
      <c r="D3504" s="59">
        <v>1.0</v>
      </c>
      <c r="E3504" s="59">
        <v>1.0</v>
      </c>
      <c r="F3504" s="59">
        <v>1.0</v>
      </c>
      <c r="G3504" s="60">
        <v>1.0</v>
      </c>
      <c r="H3504" s="60">
        <v>1.0</v>
      </c>
      <c r="I3504" s="60">
        <v>0.0</v>
      </c>
      <c r="J3504" s="59">
        <v>1.0</v>
      </c>
      <c r="K3504" s="61">
        <f t="shared" si="1"/>
        <v>1</v>
      </c>
      <c r="L3504" s="62">
        <f t="shared" si="2"/>
        <v>1</v>
      </c>
    </row>
    <row r="3505">
      <c r="A3505" s="58">
        <v>45901.0</v>
      </c>
      <c r="B3505" s="24" t="s">
        <v>155</v>
      </c>
      <c r="C3505" s="24" t="s">
        <v>7169</v>
      </c>
      <c r="D3505" s="59">
        <v>1.0</v>
      </c>
      <c r="E3505" s="59">
        <v>1.0</v>
      </c>
      <c r="F3505" s="59">
        <v>1.0</v>
      </c>
      <c r="G3505" s="60">
        <v>1.0</v>
      </c>
      <c r="H3505" s="60">
        <v>0.0</v>
      </c>
      <c r="I3505" s="60">
        <v>45.553016</v>
      </c>
      <c r="J3505" s="59">
        <v>1.0</v>
      </c>
      <c r="K3505" s="61">
        <f t="shared" si="1"/>
        <v>1</v>
      </c>
      <c r="L3505" s="62">
        <f t="shared" si="2"/>
        <v>1</v>
      </c>
    </row>
    <row r="3506">
      <c r="A3506" s="58">
        <v>45901.0</v>
      </c>
      <c r="B3506" s="24" t="s">
        <v>6789</v>
      </c>
      <c r="C3506" s="24" t="s">
        <v>7138</v>
      </c>
      <c r="D3506" s="59">
        <v>1.0</v>
      </c>
      <c r="E3506" s="59">
        <v>1.0</v>
      </c>
      <c r="F3506" s="59">
        <v>1.0</v>
      </c>
      <c r="G3506" s="60">
        <v>1.0</v>
      </c>
      <c r="H3506" s="60">
        <v>1.0</v>
      </c>
      <c r="I3506" s="60">
        <v>8.796588</v>
      </c>
      <c r="J3506" s="59">
        <v>1.0</v>
      </c>
      <c r="K3506" s="61">
        <f t="shared" si="1"/>
        <v>1</v>
      </c>
      <c r="L3506" s="62">
        <f t="shared" si="2"/>
        <v>1</v>
      </c>
    </row>
    <row r="3507">
      <c r="A3507" s="58">
        <v>45901.0</v>
      </c>
      <c r="B3507" s="24" t="s">
        <v>6789</v>
      </c>
      <c r="C3507" s="24" t="s">
        <v>7184</v>
      </c>
      <c r="D3507" s="59">
        <v>1.0</v>
      </c>
      <c r="E3507" s="59">
        <v>1.0</v>
      </c>
      <c r="F3507" s="59">
        <v>1.0</v>
      </c>
      <c r="G3507" s="60">
        <v>1.0</v>
      </c>
      <c r="H3507" s="60">
        <v>0.0</v>
      </c>
      <c r="I3507" s="60">
        <v>606.219255</v>
      </c>
      <c r="J3507" s="59">
        <v>1.0</v>
      </c>
      <c r="K3507" s="61">
        <f t="shared" si="1"/>
        <v>1</v>
      </c>
      <c r="L3507" s="62">
        <f t="shared" si="2"/>
        <v>1</v>
      </c>
    </row>
    <row r="3508">
      <c r="A3508" s="58">
        <v>45901.0</v>
      </c>
      <c r="B3508" s="24" t="s">
        <v>6789</v>
      </c>
      <c r="C3508" s="24" t="s">
        <v>7328</v>
      </c>
      <c r="D3508" s="59">
        <v>1.0</v>
      </c>
      <c r="E3508" s="59">
        <v>1.0</v>
      </c>
      <c r="F3508" s="59">
        <v>0.0</v>
      </c>
      <c r="G3508" s="60">
        <v>1.0</v>
      </c>
      <c r="H3508" s="60">
        <v>1.0</v>
      </c>
      <c r="I3508" s="60">
        <v>1.694579</v>
      </c>
      <c r="J3508" s="59">
        <v>1.0</v>
      </c>
      <c r="K3508" s="61">
        <f t="shared" si="1"/>
        <v>0</v>
      </c>
      <c r="L3508" s="62">
        <f t="shared" si="2"/>
        <v>1</v>
      </c>
    </row>
    <row r="3509">
      <c r="A3509" s="58">
        <v>45901.0</v>
      </c>
      <c r="B3509" s="24" t="s">
        <v>6787</v>
      </c>
      <c r="C3509" s="24" t="s">
        <v>7343</v>
      </c>
      <c r="D3509" s="59">
        <v>1.0</v>
      </c>
      <c r="E3509" s="59">
        <v>1.0</v>
      </c>
      <c r="F3509" s="59">
        <v>1.0</v>
      </c>
      <c r="G3509" s="60">
        <v>1.0</v>
      </c>
      <c r="H3509" s="60">
        <v>1.0</v>
      </c>
      <c r="I3509" s="60">
        <v>6.51E-4</v>
      </c>
      <c r="J3509" s="59">
        <v>1.0</v>
      </c>
      <c r="K3509" s="61">
        <f t="shared" si="1"/>
        <v>1</v>
      </c>
      <c r="L3509" s="62">
        <f t="shared" si="2"/>
        <v>1</v>
      </c>
    </row>
    <row r="3510">
      <c r="A3510" s="58">
        <v>45901.0</v>
      </c>
      <c r="B3510" s="24" t="s">
        <v>6790</v>
      </c>
      <c r="C3510" s="24" t="s">
        <v>7013</v>
      </c>
      <c r="D3510" s="59">
        <v>1.0</v>
      </c>
      <c r="E3510" s="59">
        <v>2.0</v>
      </c>
      <c r="F3510" s="59">
        <v>1.0</v>
      </c>
      <c r="G3510" s="60">
        <v>2.0</v>
      </c>
      <c r="H3510" s="60">
        <v>1.0</v>
      </c>
      <c r="I3510" s="60">
        <v>0.0</v>
      </c>
      <c r="J3510" s="59">
        <v>2.0</v>
      </c>
      <c r="K3510" s="61">
        <f t="shared" si="1"/>
        <v>0.5</v>
      </c>
      <c r="L3510" s="62">
        <f t="shared" si="2"/>
        <v>1</v>
      </c>
    </row>
    <row r="3511">
      <c r="A3511" s="58">
        <v>45901.0</v>
      </c>
      <c r="B3511" s="24" t="s">
        <v>6787</v>
      </c>
      <c r="C3511" s="24" t="s">
        <v>7312</v>
      </c>
      <c r="D3511" s="59">
        <v>1.0</v>
      </c>
      <c r="E3511" s="59">
        <v>1.0</v>
      </c>
      <c r="F3511" s="59">
        <v>1.0</v>
      </c>
      <c r="G3511" s="60">
        <v>1.0</v>
      </c>
      <c r="H3511" s="60">
        <v>1.0</v>
      </c>
      <c r="I3511" s="60">
        <v>0.0</v>
      </c>
      <c r="J3511" s="59">
        <v>1.0</v>
      </c>
      <c r="K3511" s="61">
        <f t="shared" si="1"/>
        <v>1</v>
      </c>
      <c r="L3511" s="62">
        <f t="shared" si="2"/>
        <v>1</v>
      </c>
    </row>
    <row r="3512">
      <c r="A3512" s="58">
        <v>45901.0</v>
      </c>
      <c r="B3512" s="24" t="s">
        <v>6789</v>
      </c>
      <c r="C3512" s="24" t="s">
        <v>7344</v>
      </c>
      <c r="D3512" s="59">
        <v>1.0</v>
      </c>
      <c r="E3512" s="59">
        <v>1.0</v>
      </c>
      <c r="F3512" s="59">
        <v>0.0</v>
      </c>
      <c r="G3512" s="60">
        <v>0.0</v>
      </c>
      <c r="H3512" s="60">
        <v>1.0</v>
      </c>
      <c r="I3512" s="60">
        <v>0.0</v>
      </c>
      <c r="J3512" s="59">
        <v>1.0</v>
      </c>
      <c r="K3512" s="61">
        <f t="shared" si="1"/>
        <v>0</v>
      </c>
      <c r="L3512" s="62">
        <f t="shared" si="2"/>
        <v>1</v>
      </c>
    </row>
    <row r="3513">
      <c r="A3513" s="58">
        <v>45901.0</v>
      </c>
      <c r="B3513" s="24" t="s">
        <v>155</v>
      </c>
      <c r="C3513" s="24" t="s">
        <v>7344</v>
      </c>
      <c r="D3513" s="59">
        <v>1.0</v>
      </c>
      <c r="E3513" s="59">
        <v>1.0</v>
      </c>
      <c r="F3513" s="59">
        <v>0.0</v>
      </c>
      <c r="G3513" s="60">
        <v>1.0</v>
      </c>
      <c r="H3513" s="60">
        <v>0.0</v>
      </c>
      <c r="I3513" s="60">
        <v>989.122508</v>
      </c>
      <c r="J3513" s="59">
        <v>2.0</v>
      </c>
      <c r="K3513" s="61">
        <f t="shared" si="1"/>
        <v>0</v>
      </c>
      <c r="L3513" s="62">
        <f t="shared" si="2"/>
        <v>2</v>
      </c>
    </row>
    <row r="3514">
      <c r="A3514" s="58">
        <v>45901.0</v>
      </c>
      <c r="B3514" s="24" t="s">
        <v>6855</v>
      </c>
      <c r="C3514" s="24" t="s">
        <v>6809</v>
      </c>
      <c r="D3514" s="59">
        <v>1.0</v>
      </c>
      <c r="E3514" s="59">
        <v>1.0</v>
      </c>
      <c r="F3514" s="59">
        <v>1.0</v>
      </c>
      <c r="G3514" s="60">
        <v>1.0</v>
      </c>
      <c r="H3514" s="60">
        <v>0.0</v>
      </c>
      <c r="I3514" s="60">
        <v>297.323859</v>
      </c>
      <c r="J3514" s="59">
        <v>3.0</v>
      </c>
      <c r="K3514" s="61">
        <f t="shared" si="1"/>
        <v>1</v>
      </c>
      <c r="L3514" s="62">
        <f t="shared" si="2"/>
        <v>3</v>
      </c>
    </row>
    <row r="3515">
      <c r="A3515" s="58">
        <v>45901.0</v>
      </c>
      <c r="B3515" s="24" t="s">
        <v>6794</v>
      </c>
      <c r="C3515" s="24" t="s">
        <v>6809</v>
      </c>
      <c r="D3515" s="59">
        <v>1.0</v>
      </c>
      <c r="E3515" s="59">
        <v>2.0</v>
      </c>
      <c r="F3515" s="59">
        <v>1.0</v>
      </c>
      <c r="G3515" s="60">
        <v>2.0</v>
      </c>
      <c r="H3515" s="60">
        <v>0.5</v>
      </c>
      <c r="I3515" s="60">
        <v>6.16835449999999</v>
      </c>
      <c r="J3515" s="59">
        <v>2.0</v>
      </c>
      <c r="K3515" s="61">
        <f t="shared" si="1"/>
        <v>0.5</v>
      </c>
      <c r="L3515" s="62">
        <f t="shared" si="2"/>
        <v>1</v>
      </c>
    </row>
    <row r="3516">
      <c r="A3516" s="58">
        <v>45901.0</v>
      </c>
      <c r="B3516" s="24" t="s">
        <v>6791</v>
      </c>
      <c r="C3516" s="24" t="s">
        <v>6812</v>
      </c>
      <c r="D3516" s="59">
        <v>1.0</v>
      </c>
      <c r="E3516" s="59">
        <v>1.0</v>
      </c>
      <c r="F3516" s="59">
        <v>0.0</v>
      </c>
      <c r="G3516" s="60">
        <v>1.0</v>
      </c>
      <c r="H3516" s="60">
        <v>0.0</v>
      </c>
      <c r="I3516" s="60">
        <v>23.230245</v>
      </c>
      <c r="J3516" s="59">
        <v>2.0</v>
      </c>
      <c r="K3516" s="61">
        <f t="shared" si="1"/>
        <v>0</v>
      </c>
      <c r="L3516" s="62">
        <f t="shared" si="2"/>
        <v>2</v>
      </c>
    </row>
    <row r="3517">
      <c r="A3517" s="58">
        <v>45901.0</v>
      </c>
      <c r="B3517" s="24" t="s">
        <v>6789</v>
      </c>
      <c r="C3517" s="24" t="s">
        <v>7101</v>
      </c>
      <c r="D3517" s="59">
        <v>1.0</v>
      </c>
      <c r="E3517" s="59">
        <v>2.0</v>
      </c>
      <c r="F3517" s="59">
        <v>0.0</v>
      </c>
      <c r="G3517" s="60">
        <v>2.0</v>
      </c>
      <c r="H3517" s="60">
        <v>0.0</v>
      </c>
      <c r="I3517" s="60">
        <v>487.758906</v>
      </c>
      <c r="J3517" s="59">
        <v>4.0</v>
      </c>
      <c r="K3517" s="61">
        <f t="shared" si="1"/>
        <v>0</v>
      </c>
      <c r="L3517" s="62">
        <f t="shared" si="2"/>
        <v>2</v>
      </c>
    </row>
    <row r="3518">
      <c r="A3518" s="58">
        <v>45901.0</v>
      </c>
      <c r="B3518" s="24" t="s">
        <v>6789</v>
      </c>
      <c r="C3518" s="24" t="s">
        <v>7345</v>
      </c>
      <c r="D3518" s="59">
        <v>1.0</v>
      </c>
      <c r="E3518" s="59">
        <v>1.0</v>
      </c>
      <c r="F3518" s="59">
        <v>0.0</v>
      </c>
      <c r="G3518" s="60">
        <v>1.0</v>
      </c>
      <c r="H3518" s="60">
        <v>0.0</v>
      </c>
      <c r="I3518" s="60">
        <v>1847.141777</v>
      </c>
      <c r="J3518" s="59">
        <v>4.0</v>
      </c>
      <c r="K3518" s="61">
        <f t="shared" si="1"/>
        <v>0</v>
      </c>
      <c r="L3518" s="62">
        <f t="shared" si="2"/>
        <v>4</v>
      </c>
    </row>
    <row r="3519">
      <c r="A3519" s="58">
        <v>45901.0</v>
      </c>
      <c r="B3519" s="24" t="s">
        <v>6789</v>
      </c>
      <c r="C3519" s="24" t="s">
        <v>7044</v>
      </c>
      <c r="D3519" s="59">
        <v>1.0</v>
      </c>
      <c r="E3519" s="59">
        <v>1.0</v>
      </c>
      <c r="F3519" s="59">
        <v>1.0</v>
      </c>
      <c r="G3519" s="60">
        <v>1.0</v>
      </c>
      <c r="H3519" s="60">
        <v>0.0</v>
      </c>
      <c r="I3519" s="60">
        <v>12.33686</v>
      </c>
      <c r="J3519" s="59">
        <v>1.0</v>
      </c>
      <c r="K3519" s="61">
        <f t="shared" si="1"/>
        <v>1</v>
      </c>
      <c r="L3519" s="62">
        <f t="shared" si="2"/>
        <v>1</v>
      </c>
    </row>
    <row r="3520">
      <c r="A3520" s="58">
        <v>45901.0</v>
      </c>
      <c r="B3520" s="24" t="s">
        <v>6789</v>
      </c>
      <c r="C3520" s="24" t="s">
        <v>6908</v>
      </c>
      <c r="D3520" s="59">
        <v>1.0</v>
      </c>
      <c r="E3520" s="59">
        <v>1.0</v>
      </c>
      <c r="F3520" s="59">
        <v>1.0</v>
      </c>
      <c r="G3520" s="60">
        <v>1.0</v>
      </c>
      <c r="H3520" s="60">
        <v>0.0</v>
      </c>
      <c r="I3520" s="60">
        <v>337.877259</v>
      </c>
      <c r="J3520" s="59">
        <v>4.0</v>
      </c>
      <c r="K3520" s="61">
        <f t="shared" si="1"/>
        <v>1</v>
      </c>
      <c r="L3520" s="62">
        <f t="shared" si="2"/>
        <v>4</v>
      </c>
    </row>
    <row r="3521">
      <c r="A3521" s="58">
        <v>45901.0</v>
      </c>
      <c r="B3521" s="24" t="s">
        <v>6790</v>
      </c>
      <c r="C3521" s="24" t="s">
        <v>6908</v>
      </c>
      <c r="D3521" s="59">
        <v>1.0</v>
      </c>
      <c r="E3521" s="59">
        <v>1.0</v>
      </c>
      <c r="F3521" s="59">
        <v>1.0</v>
      </c>
      <c r="G3521" s="60">
        <v>1.0</v>
      </c>
      <c r="H3521" s="60">
        <v>1.0</v>
      </c>
      <c r="I3521" s="60">
        <v>0.0</v>
      </c>
      <c r="J3521" s="59">
        <v>1.0</v>
      </c>
      <c r="K3521" s="61">
        <f t="shared" si="1"/>
        <v>1</v>
      </c>
      <c r="L3521" s="62">
        <f t="shared" si="2"/>
        <v>1</v>
      </c>
    </row>
    <row r="3522">
      <c r="A3522" s="58">
        <v>45901.0</v>
      </c>
      <c r="B3522" s="24" t="s">
        <v>6789</v>
      </c>
      <c r="C3522" s="24" t="s">
        <v>6850</v>
      </c>
      <c r="D3522" s="59">
        <v>1.0</v>
      </c>
      <c r="E3522" s="59">
        <v>1.0</v>
      </c>
      <c r="F3522" s="59">
        <v>0.0</v>
      </c>
      <c r="G3522" s="60">
        <v>0.0</v>
      </c>
      <c r="H3522" s="60">
        <v>1.0</v>
      </c>
      <c r="I3522" s="60">
        <v>0.0</v>
      </c>
      <c r="J3522" s="59">
        <v>1.0</v>
      </c>
      <c r="K3522" s="61">
        <f t="shared" si="1"/>
        <v>0</v>
      </c>
      <c r="L3522" s="62">
        <f t="shared" si="2"/>
        <v>1</v>
      </c>
    </row>
    <row r="3523">
      <c r="A3523" s="58">
        <v>45901.0</v>
      </c>
      <c r="B3523" s="24" t="s">
        <v>6789</v>
      </c>
      <c r="C3523" s="24" t="s">
        <v>6813</v>
      </c>
      <c r="D3523" s="59">
        <v>1.0</v>
      </c>
      <c r="E3523" s="59">
        <v>1.0</v>
      </c>
      <c r="F3523" s="59">
        <v>0.0</v>
      </c>
      <c r="G3523" s="60">
        <v>0.0</v>
      </c>
      <c r="H3523" s="60">
        <v>1.0</v>
      </c>
      <c r="I3523" s="60">
        <v>0.0</v>
      </c>
      <c r="J3523" s="59">
        <v>1.0</v>
      </c>
      <c r="K3523" s="61">
        <f t="shared" si="1"/>
        <v>0</v>
      </c>
      <c r="L3523" s="62">
        <f t="shared" si="2"/>
        <v>1</v>
      </c>
    </row>
    <row r="3524">
      <c r="A3524" s="58">
        <v>45901.0</v>
      </c>
      <c r="B3524" s="24" t="s">
        <v>155</v>
      </c>
      <c r="C3524" s="24" t="s">
        <v>6813</v>
      </c>
      <c r="D3524" s="59">
        <v>1.0</v>
      </c>
      <c r="E3524" s="59">
        <v>1.0</v>
      </c>
      <c r="F3524" s="59">
        <v>1.0</v>
      </c>
      <c r="G3524" s="60">
        <v>1.0</v>
      </c>
      <c r="H3524" s="60">
        <v>1.0</v>
      </c>
      <c r="I3524" s="60">
        <v>0.0</v>
      </c>
      <c r="J3524" s="59">
        <v>1.0</v>
      </c>
      <c r="K3524" s="61">
        <f t="shared" si="1"/>
        <v>1</v>
      </c>
      <c r="L3524" s="62">
        <f t="shared" si="2"/>
        <v>1</v>
      </c>
    </row>
    <row r="3525">
      <c r="A3525" s="58">
        <v>45901.0</v>
      </c>
      <c r="B3525" s="24" t="s">
        <v>6787</v>
      </c>
      <c r="C3525" s="24" t="s">
        <v>6910</v>
      </c>
      <c r="D3525" s="59">
        <v>1.0</v>
      </c>
      <c r="E3525" s="59">
        <v>1.0</v>
      </c>
      <c r="F3525" s="59">
        <v>0.0</v>
      </c>
      <c r="G3525" s="60">
        <v>0.0</v>
      </c>
      <c r="H3525" s="60">
        <v>1.0</v>
      </c>
      <c r="I3525" s="60">
        <v>0.0</v>
      </c>
      <c r="J3525" s="59">
        <v>1.0</v>
      </c>
      <c r="K3525" s="61">
        <f t="shared" si="1"/>
        <v>0</v>
      </c>
      <c r="L3525" s="62">
        <f t="shared" si="2"/>
        <v>1</v>
      </c>
    </row>
    <row r="3526">
      <c r="A3526" s="58">
        <v>45901.0</v>
      </c>
      <c r="B3526" s="24" t="s">
        <v>155</v>
      </c>
      <c r="C3526" s="24" t="s">
        <v>6910</v>
      </c>
      <c r="D3526" s="59">
        <v>1.0</v>
      </c>
      <c r="E3526" s="59">
        <v>3.0</v>
      </c>
      <c r="F3526" s="59">
        <v>0.0</v>
      </c>
      <c r="G3526" s="60">
        <v>3.0</v>
      </c>
      <c r="H3526" s="60">
        <v>0.333333333333333</v>
      </c>
      <c r="I3526" s="60">
        <v>376.404209</v>
      </c>
      <c r="J3526" s="59">
        <v>5.0</v>
      </c>
      <c r="K3526" s="61">
        <f t="shared" si="1"/>
        <v>0</v>
      </c>
      <c r="L3526" s="62">
        <f t="shared" si="2"/>
        <v>1.666666667</v>
      </c>
    </row>
    <row r="3527">
      <c r="A3527" s="58">
        <v>45901.0</v>
      </c>
      <c r="B3527" s="24" t="s">
        <v>6790</v>
      </c>
      <c r="C3527" s="24" t="s">
        <v>6910</v>
      </c>
      <c r="D3527" s="59">
        <v>1.0</v>
      </c>
      <c r="E3527" s="59">
        <v>1.0</v>
      </c>
      <c r="F3527" s="59">
        <v>1.0</v>
      </c>
      <c r="G3527" s="60">
        <v>1.0</v>
      </c>
      <c r="H3527" s="60">
        <v>1.0</v>
      </c>
      <c r="I3527" s="60">
        <v>5.782639</v>
      </c>
      <c r="J3527" s="59">
        <v>1.0</v>
      </c>
      <c r="K3527" s="61">
        <f t="shared" si="1"/>
        <v>1</v>
      </c>
      <c r="L3527" s="62">
        <f t="shared" si="2"/>
        <v>1</v>
      </c>
    </row>
    <row r="3528">
      <c r="A3528" s="58">
        <v>45901.0</v>
      </c>
      <c r="B3528" s="24" t="s">
        <v>6789</v>
      </c>
      <c r="C3528" s="24" t="s">
        <v>7023</v>
      </c>
      <c r="D3528" s="59">
        <v>1.0</v>
      </c>
      <c r="E3528" s="59">
        <v>1.0</v>
      </c>
      <c r="F3528" s="59">
        <v>0.0</v>
      </c>
      <c r="G3528" s="60">
        <v>1.0</v>
      </c>
      <c r="H3528" s="60">
        <v>0.0</v>
      </c>
      <c r="I3528" s="60">
        <v>1008.018252</v>
      </c>
      <c r="J3528" s="59">
        <v>1.0</v>
      </c>
      <c r="K3528" s="61">
        <f t="shared" si="1"/>
        <v>0</v>
      </c>
      <c r="L3528" s="62">
        <f t="shared" si="2"/>
        <v>1</v>
      </c>
    </row>
    <row r="3529">
      <c r="A3529" s="58">
        <v>45901.0</v>
      </c>
      <c r="B3529" s="24" t="s">
        <v>155</v>
      </c>
      <c r="C3529" s="24" t="s">
        <v>6912</v>
      </c>
      <c r="D3529" s="59">
        <v>1.0</v>
      </c>
      <c r="E3529" s="59">
        <v>1.0</v>
      </c>
      <c r="F3529" s="59">
        <v>0.0</v>
      </c>
      <c r="G3529" s="60">
        <v>1.0</v>
      </c>
      <c r="H3529" s="60">
        <v>1.0</v>
      </c>
      <c r="I3529" s="60">
        <v>0.0</v>
      </c>
      <c r="J3529" s="59">
        <v>1.0</v>
      </c>
      <c r="K3529" s="61">
        <f t="shared" si="1"/>
        <v>0</v>
      </c>
      <c r="L3529" s="62">
        <f t="shared" si="2"/>
        <v>1</v>
      </c>
    </row>
    <row r="3530">
      <c r="A3530" s="58">
        <v>45901.0</v>
      </c>
      <c r="B3530" s="24" t="s">
        <v>6787</v>
      </c>
      <c r="C3530" s="24" t="s">
        <v>7174</v>
      </c>
      <c r="D3530" s="59">
        <v>1.0</v>
      </c>
      <c r="E3530" s="59">
        <v>1.0</v>
      </c>
      <c r="F3530" s="59">
        <v>1.0</v>
      </c>
      <c r="G3530" s="60">
        <v>1.0</v>
      </c>
      <c r="H3530" s="60">
        <v>1.0</v>
      </c>
      <c r="I3530" s="60">
        <v>0.0</v>
      </c>
      <c r="J3530" s="59">
        <v>1.0</v>
      </c>
      <c r="K3530" s="61">
        <f t="shared" si="1"/>
        <v>1</v>
      </c>
      <c r="L3530" s="62">
        <f t="shared" si="2"/>
        <v>1</v>
      </c>
    </row>
    <row r="3531">
      <c r="A3531" s="58">
        <v>45901.0</v>
      </c>
      <c r="B3531" s="24" t="s">
        <v>6789</v>
      </c>
      <c r="C3531" s="24" t="s">
        <v>6826</v>
      </c>
      <c r="D3531" s="59">
        <v>1.0</v>
      </c>
      <c r="E3531" s="59">
        <v>1.0</v>
      </c>
      <c r="F3531" s="59">
        <v>1.0</v>
      </c>
      <c r="G3531" s="60">
        <v>1.0</v>
      </c>
      <c r="H3531" s="60">
        <v>1.0</v>
      </c>
      <c r="I3531" s="60">
        <v>9.697163</v>
      </c>
      <c r="J3531" s="59">
        <v>1.0</v>
      </c>
      <c r="K3531" s="61">
        <f t="shared" si="1"/>
        <v>1</v>
      </c>
      <c r="L3531" s="62">
        <f t="shared" si="2"/>
        <v>1</v>
      </c>
    </row>
    <row r="3532">
      <c r="A3532" s="58">
        <v>45901.0</v>
      </c>
      <c r="B3532" s="24" t="s">
        <v>6789</v>
      </c>
      <c r="C3532" s="24" t="s">
        <v>6917</v>
      </c>
      <c r="D3532" s="59">
        <v>1.0</v>
      </c>
      <c r="E3532" s="59">
        <v>1.0</v>
      </c>
      <c r="F3532" s="59">
        <v>1.0</v>
      </c>
      <c r="G3532" s="60">
        <v>1.0</v>
      </c>
      <c r="H3532" s="60">
        <v>0.0</v>
      </c>
      <c r="I3532" s="60">
        <v>21.962087</v>
      </c>
      <c r="J3532" s="59">
        <v>2.0</v>
      </c>
      <c r="K3532" s="61">
        <f t="shared" si="1"/>
        <v>1</v>
      </c>
      <c r="L3532" s="62">
        <f t="shared" si="2"/>
        <v>2</v>
      </c>
    </row>
    <row r="3533">
      <c r="A3533" s="58">
        <v>45901.0</v>
      </c>
      <c r="B3533" s="24" t="s">
        <v>155</v>
      </c>
      <c r="C3533" s="24" t="s">
        <v>6917</v>
      </c>
      <c r="D3533" s="59">
        <v>1.0</v>
      </c>
      <c r="E3533" s="59">
        <v>1.0</v>
      </c>
      <c r="F3533" s="59">
        <v>1.0</v>
      </c>
      <c r="G3533" s="60">
        <v>1.0</v>
      </c>
      <c r="H3533" s="60">
        <v>1.0</v>
      </c>
      <c r="I3533" s="60">
        <v>0.0</v>
      </c>
      <c r="J3533" s="59">
        <v>1.0</v>
      </c>
      <c r="K3533" s="61">
        <f t="shared" si="1"/>
        <v>1</v>
      </c>
      <c r="L3533" s="62">
        <f t="shared" si="2"/>
        <v>1</v>
      </c>
    </row>
    <row r="3534">
      <c r="A3534" s="58">
        <v>45901.0</v>
      </c>
      <c r="B3534" s="24" t="s">
        <v>6794</v>
      </c>
      <c r="C3534" s="24" t="s">
        <v>6815</v>
      </c>
      <c r="D3534" s="59">
        <v>1.0</v>
      </c>
      <c r="E3534" s="59">
        <v>3.0</v>
      </c>
      <c r="F3534" s="59">
        <v>1.0</v>
      </c>
      <c r="G3534" s="60">
        <v>3.0</v>
      </c>
      <c r="H3534" s="60">
        <v>0.333333333333333</v>
      </c>
      <c r="I3534" s="60">
        <v>49.4984626666666</v>
      </c>
      <c r="J3534" s="59">
        <v>5.0</v>
      </c>
      <c r="K3534" s="61">
        <f t="shared" si="1"/>
        <v>0.3333333333</v>
      </c>
      <c r="L3534" s="62">
        <f t="shared" si="2"/>
        <v>1.666666667</v>
      </c>
    </row>
    <row r="3535">
      <c r="A3535" s="58">
        <v>45901.0</v>
      </c>
      <c r="B3535" s="24" t="s">
        <v>6789</v>
      </c>
      <c r="C3535" s="24" t="s">
        <v>7107</v>
      </c>
      <c r="D3535" s="59">
        <v>1.0</v>
      </c>
      <c r="E3535" s="59">
        <v>1.0</v>
      </c>
      <c r="F3535" s="59">
        <v>1.0</v>
      </c>
      <c r="G3535" s="60">
        <v>1.0</v>
      </c>
      <c r="H3535" s="60">
        <v>0.0</v>
      </c>
      <c r="I3535" s="60">
        <v>42.636911</v>
      </c>
      <c r="J3535" s="59">
        <v>2.0</v>
      </c>
      <c r="K3535" s="61">
        <f t="shared" si="1"/>
        <v>1</v>
      </c>
      <c r="L3535" s="62">
        <f t="shared" si="2"/>
        <v>2</v>
      </c>
    </row>
    <row r="3536">
      <c r="A3536" s="58">
        <v>45901.0</v>
      </c>
      <c r="B3536" s="24" t="s">
        <v>6789</v>
      </c>
      <c r="C3536" s="24" t="s">
        <v>7323</v>
      </c>
      <c r="D3536" s="59">
        <v>1.0</v>
      </c>
      <c r="E3536" s="59">
        <v>3.0</v>
      </c>
      <c r="F3536" s="59">
        <v>1.0</v>
      </c>
      <c r="G3536" s="60">
        <v>3.0</v>
      </c>
      <c r="H3536" s="60">
        <v>0.666666666666666</v>
      </c>
      <c r="I3536" s="60">
        <v>142.232176</v>
      </c>
      <c r="J3536" s="59">
        <v>7.0</v>
      </c>
      <c r="K3536" s="61">
        <f t="shared" si="1"/>
        <v>0.3333333333</v>
      </c>
      <c r="L3536" s="62">
        <f t="shared" si="2"/>
        <v>2.333333333</v>
      </c>
    </row>
    <row r="3537">
      <c r="A3537" s="58">
        <v>45901.0</v>
      </c>
      <c r="B3537" s="24" t="s">
        <v>6791</v>
      </c>
      <c r="C3537" s="24" t="s">
        <v>7323</v>
      </c>
      <c r="D3537" s="59">
        <v>1.0</v>
      </c>
      <c r="E3537" s="59">
        <v>1.0</v>
      </c>
      <c r="F3537" s="59">
        <v>0.0</v>
      </c>
      <c r="G3537" s="60">
        <v>0.0</v>
      </c>
      <c r="H3537" s="60">
        <v>0.0</v>
      </c>
      <c r="I3537" s="60">
        <v>35.579114</v>
      </c>
      <c r="J3537" s="59">
        <v>1.0</v>
      </c>
      <c r="K3537" s="61">
        <f t="shared" si="1"/>
        <v>0</v>
      </c>
      <c r="L3537" s="62">
        <f t="shared" si="2"/>
        <v>1</v>
      </c>
    </row>
    <row r="3538">
      <c r="A3538" s="58">
        <v>45901.0</v>
      </c>
      <c r="B3538" s="24" t="s">
        <v>6789</v>
      </c>
      <c r="C3538" s="24" t="s">
        <v>6852</v>
      </c>
      <c r="D3538" s="59">
        <v>1.0</v>
      </c>
      <c r="E3538" s="59">
        <v>1.0</v>
      </c>
      <c r="F3538" s="59">
        <v>0.0</v>
      </c>
      <c r="G3538" s="60">
        <v>1.0</v>
      </c>
      <c r="H3538" s="60">
        <v>0.0</v>
      </c>
      <c r="I3538" s="60">
        <v>68.129012</v>
      </c>
      <c r="J3538" s="59">
        <v>2.0</v>
      </c>
      <c r="K3538" s="61">
        <f t="shared" si="1"/>
        <v>0</v>
      </c>
      <c r="L3538" s="62">
        <f t="shared" si="2"/>
        <v>2</v>
      </c>
    </row>
    <row r="3539">
      <c r="A3539" s="58">
        <v>45901.0</v>
      </c>
      <c r="B3539" s="24" t="s">
        <v>6787</v>
      </c>
      <c r="C3539" s="24" t="s">
        <v>6920</v>
      </c>
      <c r="D3539" s="59">
        <v>1.0</v>
      </c>
      <c r="E3539" s="59">
        <v>1.0</v>
      </c>
      <c r="F3539" s="59">
        <v>1.0</v>
      </c>
      <c r="G3539" s="60">
        <v>1.0</v>
      </c>
      <c r="H3539" s="60">
        <v>0.0</v>
      </c>
      <c r="I3539" s="60">
        <v>177.760237</v>
      </c>
      <c r="J3539" s="59">
        <v>5.0</v>
      </c>
      <c r="K3539" s="61">
        <f t="shared" si="1"/>
        <v>1</v>
      </c>
      <c r="L3539" s="62">
        <f t="shared" si="2"/>
        <v>5</v>
      </c>
    </row>
    <row r="3540">
      <c r="A3540" s="58">
        <v>45901.0</v>
      </c>
      <c r="B3540" s="24" t="s">
        <v>6789</v>
      </c>
      <c r="C3540" s="24" t="s">
        <v>6920</v>
      </c>
      <c r="D3540" s="59">
        <v>1.0</v>
      </c>
      <c r="E3540" s="59">
        <v>1.0</v>
      </c>
      <c r="F3540" s="59">
        <v>0.0</v>
      </c>
      <c r="G3540" s="60">
        <v>1.0</v>
      </c>
      <c r="H3540" s="60">
        <v>0.0</v>
      </c>
      <c r="I3540" s="60">
        <v>341.545459</v>
      </c>
      <c r="J3540" s="59">
        <v>2.0</v>
      </c>
      <c r="K3540" s="61">
        <f t="shared" si="1"/>
        <v>0</v>
      </c>
      <c r="L3540" s="62">
        <f t="shared" si="2"/>
        <v>2</v>
      </c>
    </row>
    <row r="3541">
      <c r="A3541" s="58">
        <v>45901.0</v>
      </c>
      <c r="B3541" s="24" t="s">
        <v>6787</v>
      </c>
      <c r="C3541" s="24" t="s">
        <v>6921</v>
      </c>
      <c r="D3541" s="59">
        <v>1.0</v>
      </c>
      <c r="E3541" s="59">
        <v>1.0</v>
      </c>
      <c r="F3541" s="59">
        <v>1.0</v>
      </c>
      <c r="G3541" s="60">
        <v>1.0</v>
      </c>
      <c r="H3541" s="60">
        <v>1.0</v>
      </c>
      <c r="I3541" s="60">
        <v>0.0</v>
      </c>
      <c r="J3541" s="59">
        <v>1.0</v>
      </c>
      <c r="K3541" s="61">
        <f t="shared" si="1"/>
        <v>1</v>
      </c>
      <c r="L3541" s="62">
        <f t="shared" si="2"/>
        <v>1</v>
      </c>
    </row>
    <row r="3542">
      <c r="A3542" s="58">
        <v>45901.0</v>
      </c>
      <c r="B3542" s="24" t="s">
        <v>6789</v>
      </c>
      <c r="C3542" s="24" t="s">
        <v>6921</v>
      </c>
      <c r="D3542" s="59">
        <v>1.0</v>
      </c>
      <c r="E3542" s="59">
        <v>1.0</v>
      </c>
      <c r="F3542" s="59">
        <v>1.0</v>
      </c>
      <c r="G3542" s="60">
        <v>1.0</v>
      </c>
      <c r="H3542" s="60">
        <v>0.0</v>
      </c>
      <c r="I3542" s="60">
        <v>129.761614</v>
      </c>
      <c r="J3542" s="59">
        <v>2.0</v>
      </c>
      <c r="K3542" s="61">
        <f t="shared" si="1"/>
        <v>1</v>
      </c>
      <c r="L3542" s="62">
        <f t="shared" si="2"/>
        <v>2</v>
      </c>
    </row>
    <row r="3543">
      <c r="A3543" s="58">
        <v>45901.0</v>
      </c>
      <c r="B3543" s="24" t="s">
        <v>6791</v>
      </c>
      <c r="C3543" s="24" t="s">
        <v>6853</v>
      </c>
      <c r="D3543" s="59">
        <v>1.0</v>
      </c>
      <c r="E3543" s="59">
        <v>1.0</v>
      </c>
      <c r="F3543" s="59">
        <v>1.0</v>
      </c>
      <c r="G3543" s="60">
        <v>1.0</v>
      </c>
      <c r="H3543" s="60">
        <v>1.0</v>
      </c>
      <c r="I3543" s="60">
        <v>0.0</v>
      </c>
      <c r="J3543" s="59">
        <v>1.0</v>
      </c>
      <c r="K3543" s="61">
        <f t="shared" si="1"/>
        <v>1</v>
      </c>
      <c r="L3543" s="62">
        <f t="shared" si="2"/>
        <v>1</v>
      </c>
    </row>
    <row r="3544">
      <c r="A3544" s="58">
        <v>45901.0</v>
      </c>
      <c r="B3544" s="24" t="s">
        <v>6787</v>
      </c>
      <c r="C3544" s="24" t="s">
        <v>6816</v>
      </c>
      <c r="D3544" s="59">
        <v>1.0</v>
      </c>
      <c r="E3544" s="59">
        <v>1.0</v>
      </c>
      <c r="F3544" s="59">
        <v>1.0</v>
      </c>
      <c r="G3544" s="60">
        <v>1.0</v>
      </c>
      <c r="H3544" s="60">
        <v>1.0</v>
      </c>
      <c r="I3544" s="60">
        <v>0.0</v>
      </c>
      <c r="J3544" s="59">
        <v>1.0</v>
      </c>
      <c r="K3544" s="61">
        <f t="shared" si="1"/>
        <v>1</v>
      </c>
      <c r="L3544" s="62">
        <f t="shared" si="2"/>
        <v>1</v>
      </c>
    </row>
    <row r="3545">
      <c r="A3545" s="58">
        <v>45901.0</v>
      </c>
      <c r="B3545" s="24" t="s">
        <v>6791</v>
      </c>
      <c r="C3545" s="24" t="s">
        <v>6922</v>
      </c>
      <c r="D3545" s="59">
        <v>1.0</v>
      </c>
      <c r="E3545" s="59">
        <v>1.0</v>
      </c>
      <c r="F3545" s="59">
        <v>0.0</v>
      </c>
      <c r="G3545" s="60">
        <v>0.0</v>
      </c>
      <c r="H3545" s="60">
        <v>1.0</v>
      </c>
      <c r="I3545" s="60">
        <v>0.0</v>
      </c>
      <c r="J3545" s="59">
        <v>1.0</v>
      </c>
      <c r="K3545" s="61">
        <f t="shared" si="1"/>
        <v>0</v>
      </c>
      <c r="L3545" s="62">
        <f t="shared" si="2"/>
        <v>1</v>
      </c>
    </row>
    <row r="3546">
      <c r="A3546" s="58">
        <v>45901.0</v>
      </c>
      <c r="B3546" s="24" t="s">
        <v>6787</v>
      </c>
      <c r="C3546" s="24" t="s">
        <v>6797</v>
      </c>
      <c r="D3546" s="59">
        <v>1.0</v>
      </c>
      <c r="E3546" s="59">
        <v>1.0</v>
      </c>
      <c r="F3546" s="59">
        <v>1.0</v>
      </c>
      <c r="G3546" s="60">
        <v>1.0</v>
      </c>
      <c r="H3546" s="60">
        <v>1.0</v>
      </c>
      <c r="I3546" s="60">
        <v>0.0</v>
      </c>
      <c r="J3546" s="59">
        <v>1.0</v>
      </c>
      <c r="K3546" s="61">
        <f t="shared" si="1"/>
        <v>1</v>
      </c>
      <c r="L3546" s="62">
        <f t="shared" si="2"/>
        <v>1</v>
      </c>
    </row>
    <row r="3547">
      <c r="A3547" s="58">
        <v>45901.0</v>
      </c>
      <c r="B3547" s="24" t="s">
        <v>6794</v>
      </c>
      <c r="C3547" s="24" t="s">
        <v>6797</v>
      </c>
      <c r="D3547" s="59">
        <v>1.0</v>
      </c>
      <c r="E3547" s="59">
        <v>6.0</v>
      </c>
      <c r="F3547" s="59">
        <v>0.0</v>
      </c>
      <c r="G3547" s="60">
        <v>0.0</v>
      </c>
      <c r="H3547" s="60">
        <v>1.0</v>
      </c>
      <c r="I3547" s="60">
        <v>0.0</v>
      </c>
      <c r="J3547" s="59">
        <v>6.0</v>
      </c>
      <c r="K3547" s="61">
        <f t="shared" si="1"/>
        <v>0</v>
      </c>
      <c r="L3547" s="62">
        <f t="shared" si="2"/>
        <v>1</v>
      </c>
    </row>
    <row r="3548">
      <c r="A3548" s="58">
        <v>45901.0</v>
      </c>
      <c r="B3548" s="24" t="s">
        <v>155</v>
      </c>
      <c r="C3548" s="24" t="s">
        <v>6797</v>
      </c>
      <c r="D3548" s="59">
        <v>1.0</v>
      </c>
      <c r="E3548" s="59">
        <v>1.0</v>
      </c>
      <c r="F3548" s="59">
        <v>0.0</v>
      </c>
      <c r="G3548" s="60">
        <v>1.0</v>
      </c>
      <c r="H3548" s="60">
        <v>0.0</v>
      </c>
      <c r="I3548" s="60">
        <v>489.097758</v>
      </c>
      <c r="J3548" s="59">
        <v>2.0</v>
      </c>
      <c r="K3548" s="61">
        <f t="shared" si="1"/>
        <v>0</v>
      </c>
      <c r="L3548" s="62">
        <f t="shared" si="2"/>
        <v>2</v>
      </c>
    </row>
    <row r="3549">
      <c r="A3549" s="58">
        <v>45901.0</v>
      </c>
      <c r="B3549" s="24" t="s">
        <v>155</v>
      </c>
      <c r="C3549" s="24" t="s">
        <v>6810</v>
      </c>
      <c r="D3549" s="59">
        <v>1.0</v>
      </c>
      <c r="E3549" s="59">
        <v>1.0</v>
      </c>
      <c r="F3549" s="59">
        <v>1.0</v>
      </c>
      <c r="G3549" s="60">
        <v>1.0</v>
      </c>
      <c r="H3549" s="60">
        <v>0.0</v>
      </c>
      <c r="I3549" s="60">
        <v>1349.238592</v>
      </c>
      <c r="J3549" s="59">
        <v>3.0</v>
      </c>
      <c r="K3549" s="61">
        <f t="shared" si="1"/>
        <v>1</v>
      </c>
      <c r="L3549" s="62">
        <f t="shared" si="2"/>
        <v>3</v>
      </c>
    </row>
    <row r="3550">
      <c r="A3550" s="58">
        <v>45901.0</v>
      </c>
      <c r="B3550" s="24" t="s">
        <v>6787</v>
      </c>
      <c r="C3550" s="24" t="s">
        <v>6931</v>
      </c>
      <c r="D3550" s="59">
        <v>1.0</v>
      </c>
      <c r="E3550" s="59">
        <v>1.0</v>
      </c>
      <c r="F3550" s="59">
        <v>1.0</v>
      </c>
      <c r="G3550" s="60">
        <v>1.0</v>
      </c>
      <c r="H3550" s="60">
        <v>1.0</v>
      </c>
      <c r="I3550" s="60">
        <v>0.0</v>
      </c>
      <c r="J3550" s="59">
        <v>1.0</v>
      </c>
      <c r="K3550" s="61">
        <f t="shared" si="1"/>
        <v>1</v>
      </c>
      <c r="L3550" s="62">
        <f t="shared" si="2"/>
        <v>1</v>
      </c>
    </row>
    <row r="3551">
      <c r="A3551" s="58">
        <v>45901.0</v>
      </c>
      <c r="B3551" s="24" t="s">
        <v>155</v>
      </c>
      <c r="C3551" s="24" t="s">
        <v>6962</v>
      </c>
      <c r="D3551" s="59">
        <v>1.0</v>
      </c>
      <c r="E3551" s="59">
        <v>1.0</v>
      </c>
      <c r="F3551" s="59">
        <v>0.0</v>
      </c>
      <c r="G3551" s="60">
        <v>1.0</v>
      </c>
      <c r="H3551" s="60">
        <v>0.0</v>
      </c>
      <c r="I3551" s="60">
        <v>111.586298</v>
      </c>
      <c r="J3551" s="59">
        <v>1.0</v>
      </c>
      <c r="K3551" s="61">
        <f t="shared" si="1"/>
        <v>0</v>
      </c>
      <c r="L3551" s="62">
        <f t="shared" si="2"/>
        <v>1</v>
      </c>
    </row>
    <row r="3552">
      <c r="A3552" s="58">
        <v>45901.0</v>
      </c>
      <c r="B3552" s="24" t="s">
        <v>6787</v>
      </c>
      <c r="C3552" s="24" t="s">
        <v>7118</v>
      </c>
      <c r="D3552" s="59">
        <v>1.0</v>
      </c>
      <c r="E3552" s="59">
        <v>1.0</v>
      </c>
      <c r="F3552" s="59">
        <v>1.0</v>
      </c>
      <c r="G3552" s="60">
        <v>1.0</v>
      </c>
      <c r="H3552" s="60">
        <v>0.0</v>
      </c>
      <c r="I3552" s="60">
        <v>13.210562</v>
      </c>
      <c r="J3552" s="59">
        <v>1.0</v>
      </c>
      <c r="K3552" s="61">
        <f t="shared" si="1"/>
        <v>1</v>
      </c>
      <c r="L3552" s="62">
        <f t="shared" si="2"/>
        <v>1</v>
      </c>
    </row>
    <row r="3553">
      <c r="A3553" s="58">
        <v>45901.0</v>
      </c>
      <c r="B3553" s="24" t="s">
        <v>155</v>
      </c>
      <c r="C3553" s="24" t="s">
        <v>6854</v>
      </c>
      <c r="D3553" s="59">
        <v>1.0</v>
      </c>
      <c r="E3553" s="59">
        <v>1.0</v>
      </c>
      <c r="F3553" s="59">
        <v>0.0</v>
      </c>
      <c r="G3553" s="60">
        <v>1.0</v>
      </c>
      <c r="H3553" s="60">
        <v>0.0</v>
      </c>
      <c r="I3553" s="60">
        <v>22.582483</v>
      </c>
      <c r="J3553" s="59">
        <v>1.0</v>
      </c>
      <c r="K3553" s="61">
        <f t="shared" si="1"/>
        <v>0</v>
      </c>
      <c r="L3553" s="62">
        <f t="shared" si="2"/>
        <v>1</v>
      </c>
    </row>
    <row r="3554">
      <c r="A3554" s="58">
        <v>45901.0</v>
      </c>
      <c r="B3554" s="24" t="s">
        <v>6794</v>
      </c>
      <c r="C3554" s="24" t="s">
        <v>6963</v>
      </c>
      <c r="D3554" s="59">
        <v>1.0</v>
      </c>
      <c r="E3554" s="59">
        <v>1.0</v>
      </c>
      <c r="F3554" s="59">
        <v>1.0</v>
      </c>
      <c r="G3554" s="60">
        <v>1.0</v>
      </c>
      <c r="H3554" s="60">
        <v>1.0</v>
      </c>
      <c r="I3554" s="60">
        <v>0.0</v>
      </c>
      <c r="J3554" s="59">
        <v>1.0</v>
      </c>
      <c r="K3554" s="61">
        <f t="shared" si="1"/>
        <v>1</v>
      </c>
      <c r="L3554" s="62">
        <f t="shared" si="2"/>
        <v>1</v>
      </c>
    </row>
    <row r="3555">
      <c r="A3555" s="58">
        <v>45901.0</v>
      </c>
      <c r="B3555" s="24" t="s">
        <v>6790</v>
      </c>
      <c r="C3555" s="24" t="s">
        <v>6802</v>
      </c>
      <c r="D3555" s="59">
        <v>1.0</v>
      </c>
      <c r="E3555" s="59">
        <v>1.0</v>
      </c>
      <c r="F3555" s="59">
        <v>0.0</v>
      </c>
      <c r="G3555" s="60">
        <v>1.0</v>
      </c>
      <c r="H3555" s="60">
        <v>0.0</v>
      </c>
      <c r="I3555" s="60">
        <v>33.502843</v>
      </c>
      <c r="J3555" s="59">
        <v>2.0</v>
      </c>
      <c r="K3555" s="61">
        <f t="shared" si="1"/>
        <v>0</v>
      </c>
      <c r="L3555" s="62">
        <f t="shared" si="2"/>
        <v>2</v>
      </c>
    </row>
    <row r="3556">
      <c r="A3556" s="58">
        <v>45901.0</v>
      </c>
      <c r="B3556" s="24" t="s">
        <v>6787</v>
      </c>
      <c r="C3556" s="24" t="s">
        <v>7314</v>
      </c>
      <c r="D3556" s="59">
        <v>1.0</v>
      </c>
      <c r="E3556" s="59">
        <v>1.0</v>
      </c>
      <c r="F3556" s="59">
        <v>1.0</v>
      </c>
      <c r="G3556" s="60">
        <v>1.0</v>
      </c>
      <c r="H3556" s="60">
        <v>1.0</v>
      </c>
      <c r="I3556" s="60">
        <v>4.3E-5</v>
      </c>
      <c r="J3556" s="59">
        <v>1.0</v>
      </c>
      <c r="K3556" s="61">
        <f t="shared" si="1"/>
        <v>1</v>
      </c>
      <c r="L3556" s="62">
        <f t="shared" si="2"/>
        <v>1</v>
      </c>
    </row>
    <row r="3557">
      <c r="A3557" s="58">
        <v>45870.0</v>
      </c>
      <c r="B3557" s="24" t="s">
        <v>6787</v>
      </c>
      <c r="C3557" s="24" t="s">
        <v>6788</v>
      </c>
      <c r="D3557" s="59">
        <v>2110.0</v>
      </c>
      <c r="E3557" s="59">
        <v>2276.0</v>
      </c>
      <c r="F3557" s="59">
        <v>2060.0</v>
      </c>
      <c r="G3557" s="60">
        <v>1.08380952380952</v>
      </c>
      <c r="H3557" s="60">
        <v>0.693321616871704</v>
      </c>
      <c r="I3557" s="60">
        <v>25.3273491230228</v>
      </c>
      <c r="J3557" s="59">
        <v>3315.0</v>
      </c>
      <c r="K3557" s="61">
        <f t="shared" si="1"/>
        <v>0.9050966608</v>
      </c>
      <c r="L3557" s="62">
        <f t="shared" si="2"/>
        <v>1.456502636</v>
      </c>
    </row>
    <row r="3558">
      <c r="A3558" s="58">
        <v>45870.0</v>
      </c>
      <c r="B3558" s="24" t="s">
        <v>6789</v>
      </c>
      <c r="C3558" s="24" t="s">
        <v>6788</v>
      </c>
      <c r="D3558" s="59">
        <v>698.0</v>
      </c>
      <c r="E3558" s="59">
        <v>990.0</v>
      </c>
      <c r="F3558" s="59">
        <v>555.0</v>
      </c>
      <c r="G3558" s="60">
        <v>1.47540983606557</v>
      </c>
      <c r="H3558" s="60">
        <v>0.535353535353535</v>
      </c>
      <c r="I3558" s="60">
        <v>172.712703311111</v>
      </c>
      <c r="J3558" s="59">
        <v>1667.0</v>
      </c>
      <c r="K3558" s="61">
        <f t="shared" si="1"/>
        <v>0.5606060606</v>
      </c>
      <c r="L3558" s="62">
        <f t="shared" si="2"/>
        <v>1.683838384</v>
      </c>
    </row>
    <row r="3559">
      <c r="A3559" s="58">
        <v>45870.0</v>
      </c>
      <c r="B3559" s="24" t="s">
        <v>155</v>
      </c>
      <c r="C3559" s="24" t="s">
        <v>6788</v>
      </c>
      <c r="D3559" s="59">
        <v>170.0</v>
      </c>
      <c r="E3559" s="59">
        <v>375.0</v>
      </c>
      <c r="F3559" s="59">
        <v>118.0</v>
      </c>
      <c r="G3559" s="60">
        <v>2.24550898203592</v>
      </c>
      <c r="H3559" s="60">
        <v>0.666666666666666</v>
      </c>
      <c r="I3559" s="60">
        <v>102.034708301333</v>
      </c>
      <c r="J3559" s="59">
        <v>498.0</v>
      </c>
      <c r="K3559" s="61">
        <f t="shared" si="1"/>
        <v>0.3146666667</v>
      </c>
      <c r="L3559" s="62">
        <f t="shared" si="2"/>
        <v>1.328</v>
      </c>
    </row>
    <row r="3560">
      <c r="A3560" s="58">
        <v>45870.0</v>
      </c>
      <c r="B3560" s="24" t="s">
        <v>6789</v>
      </c>
      <c r="C3560" s="24" t="s">
        <v>6792</v>
      </c>
      <c r="D3560" s="59">
        <v>161.0</v>
      </c>
      <c r="E3560" s="59">
        <v>199.0</v>
      </c>
      <c r="F3560" s="59">
        <v>0.0</v>
      </c>
      <c r="G3560" s="60">
        <v>2.07291666666666</v>
      </c>
      <c r="H3560" s="60">
        <v>0.989949748743718</v>
      </c>
      <c r="I3560" s="60">
        <v>7.22266068844221</v>
      </c>
      <c r="J3560" s="59">
        <v>0.0</v>
      </c>
      <c r="K3560" s="61">
        <f t="shared" si="1"/>
        <v>0</v>
      </c>
      <c r="L3560" s="62">
        <f t="shared" si="2"/>
        <v>0</v>
      </c>
    </row>
    <row r="3561">
      <c r="A3561" s="58">
        <v>45870.0</v>
      </c>
      <c r="B3561" s="24" t="s">
        <v>6787</v>
      </c>
      <c r="C3561" s="24" t="s">
        <v>6817</v>
      </c>
      <c r="D3561" s="59">
        <v>154.0</v>
      </c>
      <c r="E3561" s="59">
        <v>154.0</v>
      </c>
      <c r="F3561" s="59">
        <v>154.0</v>
      </c>
      <c r="G3561" s="60">
        <v>1.0</v>
      </c>
      <c r="H3561" s="60">
        <v>0.363636363636363</v>
      </c>
      <c r="I3561" s="60">
        <v>13.1359487337662</v>
      </c>
      <c r="J3561" s="59">
        <v>331.0</v>
      </c>
      <c r="K3561" s="61">
        <f t="shared" si="1"/>
        <v>1</v>
      </c>
      <c r="L3561" s="62">
        <f t="shared" si="2"/>
        <v>2.149350649</v>
      </c>
    </row>
    <row r="3562">
      <c r="A3562" s="58">
        <v>45870.0</v>
      </c>
      <c r="B3562" s="24" t="s">
        <v>6791</v>
      </c>
      <c r="C3562" s="24" t="s">
        <v>7021</v>
      </c>
      <c r="D3562" s="59">
        <v>148.0</v>
      </c>
      <c r="E3562" s="59">
        <v>181.0</v>
      </c>
      <c r="F3562" s="59">
        <v>117.0</v>
      </c>
      <c r="G3562" s="60">
        <v>1.25694444444444</v>
      </c>
      <c r="H3562" s="60">
        <v>0.524861878453038</v>
      </c>
      <c r="I3562" s="60">
        <v>137.144545248618</v>
      </c>
      <c r="J3562" s="59">
        <v>293.0</v>
      </c>
      <c r="K3562" s="61">
        <f t="shared" si="1"/>
        <v>0.6464088398</v>
      </c>
      <c r="L3562" s="62">
        <f t="shared" si="2"/>
        <v>1.61878453</v>
      </c>
    </row>
    <row r="3563">
      <c r="A3563" s="58">
        <v>45870.0</v>
      </c>
      <c r="B3563" s="24" t="s">
        <v>6787</v>
      </c>
      <c r="C3563" s="24" t="s">
        <v>6886</v>
      </c>
      <c r="D3563" s="59">
        <v>123.0</v>
      </c>
      <c r="E3563" s="59">
        <v>124.0</v>
      </c>
      <c r="F3563" s="59">
        <v>121.0</v>
      </c>
      <c r="G3563" s="60">
        <v>1.00813008130081</v>
      </c>
      <c r="H3563" s="60">
        <v>0.677419354838709</v>
      </c>
      <c r="I3563" s="60">
        <v>19.6078286532258</v>
      </c>
      <c r="J3563" s="59">
        <v>137.0</v>
      </c>
      <c r="K3563" s="61">
        <f t="shared" si="1"/>
        <v>0.9758064516</v>
      </c>
      <c r="L3563" s="62">
        <f t="shared" si="2"/>
        <v>1.10483871</v>
      </c>
    </row>
    <row r="3564">
      <c r="A3564" s="58">
        <v>45870.0</v>
      </c>
      <c r="B3564" s="24" t="s">
        <v>3216</v>
      </c>
      <c r="C3564" s="24" t="s">
        <v>6817</v>
      </c>
      <c r="D3564" s="59">
        <v>116.0</v>
      </c>
      <c r="E3564" s="59">
        <v>116.0</v>
      </c>
      <c r="F3564" s="59">
        <v>115.0</v>
      </c>
      <c r="G3564" s="60">
        <v>1.0</v>
      </c>
      <c r="H3564" s="60">
        <v>0.560344827586206</v>
      </c>
      <c r="I3564" s="60">
        <v>21.9003019482758</v>
      </c>
      <c r="J3564" s="59">
        <v>210.0</v>
      </c>
      <c r="K3564" s="61">
        <f t="shared" si="1"/>
        <v>0.9913793103</v>
      </c>
      <c r="L3564" s="62">
        <f t="shared" si="2"/>
        <v>1.810344828</v>
      </c>
    </row>
    <row r="3565">
      <c r="A3565" s="58">
        <v>45870.0</v>
      </c>
      <c r="B3565" s="24" t="s">
        <v>6787</v>
      </c>
      <c r="C3565" s="24" t="s">
        <v>6810</v>
      </c>
      <c r="D3565" s="59">
        <v>79.0</v>
      </c>
      <c r="E3565" s="59">
        <v>86.0</v>
      </c>
      <c r="F3565" s="59">
        <v>78.0</v>
      </c>
      <c r="G3565" s="60">
        <v>1.0886075949367</v>
      </c>
      <c r="H3565" s="60">
        <v>0.604651162790697</v>
      </c>
      <c r="I3565" s="60">
        <v>27.7315750116279</v>
      </c>
      <c r="J3565" s="59">
        <v>99.0</v>
      </c>
      <c r="K3565" s="61">
        <f t="shared" si="1"/>
        <v>0.9069767442</v>
      </c>
      <c r="L3565" s="62">
        <f t="shared" si="2"/>
        <v>1.151162791</v>
      </c>
    </row>
    <row r="3566">
      <c r="A3566" s="58">
        <v>45870.0</v>
      </c>
      <c r="B3566" s="24" t="s">
        <v>6790</v>
      </c>
      <c r="C3566" s="24" t="s">
        <v>6792</v>
      </c>
      <c r="D3566" s="59">
        <v>78.0</v>
      </c>
      <c r="E3566" s="59">
        <v>6.0</v>
      </c>
      <c r="F3566" s="59">
        <v>74.0</v>
      </c>
      <c r="G3566" s="60">
        <v>0.0779220779220779</v>
      </c>
      <c r="H3566" s="60">
        <v>1.0</v>
      </c>
      <c r="I3566" s="60">
        <v>13.0107478333333</v>
      </c>
      <c r="J3566" s="59">
        <v>2220.0</v>
      </c>
      <c r="K3566" s="61">
        <f t="shared" si="1"/>
        <v>12.33333333</v>
      </c>
      <c r="L3566" s="62">
        <f t="shared" si="2"/>
        <v>370</v>
      </c>
    </row>
    <row r="3567">
      <c r="A3567" s="58">
        <v>45870.0</v>
      </c>
      <c r="B3567" s="24" t="s">
        <v>6794</v>
      </c>
      <c r="C3567" s="24" t="s">
        <v>6788</v>
      </c>
      <c r="D3567" s="59">
        <v>60.0</v>
      </c>
      <c r="E3567" s="59">
        <v>94.0</v>
      </c>
      <c r="F3567" s="59">
        <v>50.0</v>
      </c>
      <c r="G3567" s="60">
        <v>1.56666666666666</v>
      </c>
      <c r="H3567" s="60">
        <v>0.478723404255319</v>
      </c>
      <c r="I3567" s="60">
        <v>135.396535074468</v>
      </c>
      <c r="J3567" s="59">
        <v>158.0</v>
      </c>
      <c r="K3567" s="61">
        <f t="shared" si="1"/>
        <v>0.5319148936</v>
      </c>
      <c r="L3567" s="62">
        <f t="shared" si="2"/>
        <v>1.680851064</v>
      </c>
    </row>
    <row r="3568">
      <c r="A3568" s="58">
        <v>45870.0</v>
      </c>
      <c r="B3568" s="24" t="s">
        <v>6787</v>
      </c>
      <c r="C3568" s="24" t="s">
        <v>7107</v>
      </c>
      <c r="D3568" s="59">
        <v>56.0</v>
      </c>
      <c r="E3568" s="59">
        <v>57.0</v>
      </c>
      <c r="F3568" s="59">
        <v>50.0</v>
      </c>
      <c r="G3568" s="60">
        <v>1.03636363636363</v>
      </c>
      <c r="H3568" s="60">
        <v>0.298245614035087</v>
      </c>
      <c r="I3568" s="60">
        <v>89.9195813333333</v>
      </c>
      <c r="J3568" s="59">
        <v>123.0</v>
      </c>
      <c r="K3568" s="61">
        <f t="shared" si="1"/>
        <v>0.8771929825</v>
      </c>
      <c r="L3568" s="62">
        <f t="shared" si="2"/>
        <v>2.157894737</v>
      </c>
    </row>
    <row r="3569">
      <c r="A3569" s="58">
        <v>45870.0</v>
      </c>
      <c r="B3569" s="24" t="s">
        <v>6787</v>
      </c>
      <c r="C3569" s="24" t="s">
        <v>6792</v>
      </c>
      <c r="D3569" s="59">
        <v>45.0</v>
      </c>
      <c r="E3569" s="59">
        <v>56.0</v>
      </c>
      <c r="F3569" s="59">
        <v>0.0</v>
      </c>
      <c r="G3569" s="60">
        <v>2.43478260869565</v>
      </c>
      <c r="H3569" s="60">
        <v>0.946428571428571</v>
      </c>
      <c r="I3569" s="60">
        <v>0.898273214285714</v>
      </c>
      <c r="J3569" s="59">
        <v>0.0</v>
      </c>
      <c r="K3569" s="61">
        <f t="shared" si="1"/>
        <v>0</v>
      </c>
      <c r="L3569" s="62">
        <f t="shared" si="2"/>
        <v>0</v>
      </c>
    </row>
    <row r="3570">
      <c r="A3570" s="58">
        <v>45870.0</v>
      </c>
      <c r="B3570" s="24" t="s">
        <v>6787</v>
      </c>
      <c r="C3570" s="24" t="s">
        <v>6813</v>
      </c>
      <c r="D3570" s="59">
        <v>44.0</v>
      </c>
      <c r="E3570" s="59">
        <v>44.0</v>
      </c>
      <c r="F3570" s="59">
        <v>39.0</v>
      </c>
      <c r="G3570" s="60">
        <v>1.0</v>
      </c>
      <c r="H3570" s="60">
        <v>0.272727272727272</v>
      </c>
      <c r="I3570" s="60">
        <v>61.4864081590909</v>
      </c>
      <c r="J3570" s="59">
        <v>57.0</v>
      </c>
      <c r="K3570" s="61">
        <f t="shared" si="1"/>
        <v>0.8863636364</v>
      </c>
      <c r="L3570" s="62">
        <f t="shared" si="2"/>
        <v>1.295454545</v>
      </c>
    </row>
    <row r="3571">
      <c r="A3571" s="58">
        <v>45870.0</v>
      </c>
      <c r="B3571" s="24" t="s">
        <v>6787</v>
      </c>
      <c r="C3571" s="24" t="s">
        <v>6799</v>
      </c>
      <c r="D3571" s="59">
        <v>42.0</v>
      </c>
      <c r="E3571" s="59">
        <v>45.0</v>
      </c>
      <c r="F3571" s="59">
        <v>34.0</v>
      </c>
      <c r="G3571" s="60">
        <v>1.09756097560975</v>
      </c>
      <c r="H3571" s="60">
        <v>0.511111111111111</v>
      </c>
      <c r="I3571" s="60">
        <v>57.485175</v>
      </c>
      <c r="J3571" s="59">
        <v>60.0</v>
      </c>
      <c r="K3571" s="61">
        <f t="shared" si="1"/>
        <v>0.7555555556</v>
      </c>
      <c r="L3571" s="62">
        <f t="shared" si="2"/>
        <v>1.333333333</v>
      </c>
    </row>
    <row r="3572">
      <c r="A3572" s="58">
        <v>45870.0</v>
      </c>
      <c r="B3572" s="24" t="s">
        <v>6791</v>
      </c>
      <c r="C3572" s="24" t="s">
        <v>7310</v>
      </c>
      <c r="D3572" s="59">
        <v>39.0</v>
      </c>
      <c r="E3572" s="59">
        <v>39.0</v>
      </c>
      <c r="F3572" s="59">
        <v>39.0</v>
      </c>
      <c r="G3572" s="60">
        <v>1.0</v>
      </c>
      <c r="H3572" s="60">
        <v>0.641025641025641</v>
      </c>
      <c r="I3572" s="60">
        <v>32.161366051282</v>
      </c>
      <c r="J3572" s="59">
        <v>48.0</v>
      </c>
      <c r="K3572" s="61">
        <f t="shared" si="1"/>
        <v>1</v>
      </c>
      <c r="L3572" s="62">
        <f t="shared" si="2"/>
        <v>1.230769231</v>
      </c>
    </row>
    <row r="3573">
      <c r="A3573" s="58">
        <v>45870.0</v>
      </c>
      <c r="B3573" s="24" t="s">
        <v>3216</v>
      </c>
      <c r="C3573" s="24" t="s">
        <v>6863</v>
      </c>
      <c r="D3573" s="59">
        <v>35.0</v>
      </c>
      <c r="E3573" s="59">
        <v>35.0</v>
      </c>
      <c r="F3573" s="59">
        <v>34.0</v>
      </c>
      <c r="G3573" s="60">
        <v>1.0</v>
      </c>
      <c r="H3573" s="60">
        <v>0.771428571428571</v>
      </c>
      <c r="I3573" s="60">
        <v>2.47114411428571</v>
      </c>
      <c r="J3573" s="59">
        <v>49.0</v>
      </c>
      <c r="K3573" s="61">
        <f t="shared" si="1"/>
        <v>0.9714285714</v>
      </c>
      <c r="L3573" s="62">
        <f t="shared" si="2"/>
        <v>1.4</v>
      </c>
    </row>
    <row r="3574">
      <c r="A3574" s="58">
        <v>45870.0</v>
      </c>
      <c r="B3574" s="24" t="s">
        <v>6791</v>
      </c>
      <c r="C3574" s="24" t="s">
        <v>6792</v>
      </c>
      <c r="D3574" s="59">
        <v>33.0</v>
      </c>
      <c r="E3574" s="59">
        <v>33.0</v>
      </c>
      <c r="F3574" s="59">
        <v>0.0</v>
      </c>
      <c r="G3574" s="60">
        <v>1.57142857142857</v>
      </c>
      <c r="H3574" s="60">
        <v>0.969696969696969</v>
      </c>
      <c r="I3574" s="60">
        <v>6.95638348484848</v>
      </c>
      <c r="J3574" s="59">
        <v>0.0</v>
      </c>
      <c r="K3574" s="61">
        <f t="shared" si="1"/>
        <v>0</v>
      </c>
      <c r="L3574" s="62">
        <f t="shared" si="2"/>
        <v>0</v>
      </c>
    </row>
    <row r="3575">
      <c r="A3575" s="58">
        <v>45870.0</v>
      </c>
      <c r="B3575" s="24" t="s">
        <v>6787</v>
      </c>
      <c r="C3575" s="24" t="s">
        <v>7236</v>
      </c>
      <c r="D3575" s="59">
        <v>33.0</v>
      </c>
      <c r="E3575" s="59">
        <v>33.0</v>
      </c>
      <c r="F3575" s="59">
        <v>32.0</v>
      </c>
      <c r="G3575" s="60">
        <v>1.0</v>
      </c>
      <c r="H3575" s="60">
        <v>0.515151515151515</v>
      </c>
      <c r="I3575" s="60">
        <v>57.1182869696969</v>
      </c>
      <c r="J3575" s="59">
        <v>51.0</v>
      </c>
      <c r="K3575" s="61">
        <f t="shared" si="1"/>
        <v>0.9696969697</v>
      </c>
      <c r="L3575" s="62">
        <f t="shared" si="2"/>
        <v>1.545454545</v>
      </c>
    </row>
    <row r="3576">
      <c r="A3576" s="58">
        <v>45870.0</v>
      </c>
      <c r="B3576" s="24" t="s">
        <v>6787</v>
      </c>
      <c r="C3576" s="24" t="s">
        <v>7231</v>
      </c>
      <c r="D3576" s="59">
        <v>33.0</v>
      </c>
      <c r="E3576" s="59">
        <v>34.0</v>
      </c>
      <c r="F3576" s="59">
        <v>29.0</v>
      </c>
      <c r="G3576" s="60">
        <v>1.03030303030303</v>
      </c>
      <c r="H3576" s="60">
        <v>0.470588235294117</v>
      </c>
      <c r="I3576" s="60">
        <v>80.7333374411764</v>
      </c>
      <c r="J3576" s="59">
        <v>57.0</v>
      </c>
      <c r="K3576" s="61">
        <f t="shared" si="1"/>
        <v>0.8529411765</v>
      </c>
      <c r="L3576" s="62">
        <f t="shared" si="2"/>
        <v>1.676470588</v>
      </c>
    </row>
    <row r="3577">
      <c r="A3577" s="58">
        <v>45870.0</v>
      </c>
      <c r="B3577" s="24" t="s">
        <v>6791</v>
      </c>
      <c r="C3577" s="24" t="s">
        <v>7125</v>
      </c>
      <c r="D3577" s="59">
        <v>32.0</v>
      </c>
      <c r="E3577" s="59">
        <v>39.0</v>
      </c>
      <c r="F3577" s="59">
        <v>30.0</v>
      </c>
      <c r="G3577" s="60">
        <v>1.21875</v>
      </c>
      <c r="H3577" s="60">
        <v>0.487179487179487</v>
      </c>
      <c r="I3577" s="60">
        <v>134.339502230769</v>
      </c>
      <c r="J3577" s="59">
        <v>65.0</v>
      </c>
      <c r="K3577" s="61">
        <f t="shared" si="1"/>
        <v>0.7692307692</v>
      </c>
      <c r="L3577" s="62">
        <f t="shared" si="2"/>
        <v>1.666666667</v>
      </c>
    </row>
    <row r="3578">
      <c r="A3578" s="58">
        <v>45870.0</v>
      </c>
      <c r="B3578" s="24" t="s">
        <v>3216</v>
      </c>
      <c r="C3578" s="24" t="s">
        <v>6943</v>
      </c>
      <c r="D3578" s="59">
        <v>31.0</v>
      </c>
      <c r="E3578" s="59">
        <v>32.0</v>
      </c>
      <c r="F3578" s="59">
        <v>31.0</v>
      </c>
      <c r="G3578" s="60">
        <v>1.03225806451612</v>
      </c>
      <c r="H3578" s="60">
        <v>0.84375</v>
      </c>
      <c r="I3578" s="60">
        <v>2.21274246874999</v>
      </c>
      <c r="J3578" s="59">
        <v>45.0</v>
      </c>
      <c r="K3578" s="61">
        <f t="shared" si="1"/>
        <v>0.96875</v>
      </c>
      <c r="L3578" s="62">
        <f t="shared" si="2"/>
        <v>1.40625</v>
      </c>
    </row>
    <row r="3579">
      <c r="A3579" s="58">
        <v>45870.0</v>
      </c>
      <c r="B3579" s="24" t="s">
        <v>6789</v>
      </c>
      <c r="C3579" s="24" t="s">
        <v>6799</v>
      </c>
      <c r="D3579" s="59">
        <v>30.0</v>
      </c>
      <c r="E3579" s="59">
        <v>35.0</v>
      </c>
      <c r="F3579" s="59">
        <v>19.0</v>
      </c>
      <c r="G3579" s="60">
        <v>1.25</v>
      </c>
      <c r="H3579" s="60">
        <v>0.371428571428571</v>
      </c>
      <c r="I3579" s="60">
        <v>169.191268171428</v>
      </c>
      <c r="J3579" s="59">
        <v>58.0</v>
      </c>
      <c r="K3579" s="61">
        <f t="shared" si="1"/>
        <v>0.5428571429</v>
      </c>
      <c r="L3579" s="62">
        <f t="shared" si="2"/>
        <v>1.657142857</v>
      </c>
    </row>
    <row r="3580">
      <c r="A3580" s="58">
        <v>45870.0</v>
      </c>
      <c r="B3580" s="24" t="s">
        <v>6789</v>
      </c>
      <c r="C3580" s="24" t="s">
        <v>6811</v>
      </c>
      <c r="D3580" s="59">
        <v>29.0</v>
      </c>
      <c r="E3580" s="59">
        <v>29.0</v>
      </c>
      <c r="F3580" s="59">
        <v>29.0</v>
      </c>
      <c r="G3580" s="60">
        <v>1.0</v>
      </c>
      <c r="H3580" s="60">
        <v>0.482758620689655</v>
      </c>
      <c r="I3580" s="60">
        <v>165.591983206896</v>
      </c>
      <c r="J3580" s="59">
        <v>43.0</v>
      </c>
      <c r="K3580" s="61">
        <f t="shared" si="1"/>
        <v>1</v>
      </c>
      <c r="L3580" s="62">
        <f t="shared" si="2"/>
        <v>1.482758621</v>
      </c>
    </row>
    <row r="3581">
      <c r="A3581" s="58">
        <v>45870.0</v>
      </c>
      <c r="B3581" s="24" t="s">
        <v>6789</v>
      </c>
      <c r="C3581" s="24" t="s">
        <v>6809</v>
      </c>
      <c r="D3581" s="59">
        <v>29.0</v>
      </c>
      <c r="E3581" s="59">
        <v>35.0</v>
      </c>
      <c r="F3581" s="59">
        <v>26.0</v>
      </c>
      <c r="G3581" s="60">
        <v>1.25</v>
      </c>
      <c r="H3581" s="60">
        <v>0.657142857142857</v>
      </c>
      <c r="I3581" s="60">
        <v>41.9333585714285</v>
      </c>
      <c r="J3581" s="59">
        <v>45.0</v>
      </c>
      <c r="K3581" s="61">
        <f t="shared" si="1"/>
        <v>0.7428571429</v>
      </c>
      <c r="L3581" s="62">
        <f t="shared" si="2"/>
        <v>1.285714286</v>
      </c>
    </row>
    <row r="3582">
      <c r="A3582" s="58">
        <v>45870.0</v>
      </c>
      <c r="B3582" s="24" t="s">
        <v>3216</v>
      </c>
      <c r="C3582" s="24" t="s">
        <v>6886</v>
      </c>
      <c r="D3582" s="59">
        <v>28.0</v>
      </c>
      <c r="E3582" s="59">
        <v>31.0</v>
      </c>
      <c r="F3582" s="59">
        <v>29.0</v>
      </c>
      <c r="G3582" s="60">
        <v>1.10714285714285</v>
      </c>
      <c r="H3582" s="60">
        <v>0.741935483870967</v>
      </c>
      <c r="I3582" s="60">
        <v>21.4495121612903</v>
      </c>
      <c r="J3582" s="59">
        <v>55.0</v>
      </c>
      <c r="K3582" s="61">
        <f t="shared" si="1"/>
        <v>0.935483871</v>
      </c>
      <c r="L3582" s="62">
        <f t="shared" si="2"/>
        <v>1.774193548</v>
      </c>
    </row>
    <row r="3583">
      <c r="A3583" s="58">
        <v>45870.0</v>
      </c>
      <c r="B3583" s="24" t="s">
        <v>155</v>
      </c>
      <c r="C3583" s="24" t="s">
        <v>6792</v>
      </c>
      <c r="D3583" s="59">
        <v>25.0</v>
      </c>
      <c r="E3583" s="59">
        <v>37.0</v>
      </c>
      <c r="F3583" s="59">
        <v>0.0</v>
      </c>
      <c r="G3583" s="60">
        <v>4.11111111111111</v>
      </c>
      <c r="H3583" s="60">
        <v>0.945945945945945</v>
      </c>
      <c r="I3583" s="60">
        <v>35.0510585405405</v>
      </c>
      <c r="J3583" s="59">
        <v>0.0</v>
      </c>
      <c r="K3583" s="61">
        <f t="shared" si="1"/>
        <v>0</v>
      </c>
      <c r="L3583" s="62">
        <f t="shared" si="2"/>
        <v>0</v>
      </c>
    </row>
    <row r="3584">
      <c r="A3584" s="58">
        <v>45870.0</v>
      </c>
      <c r="B3584" s="24" t="s">
        <v>6790</v>
      </c>
      <c r="C3584" s="24" t="s">
        <v>6788</v>
      </c>
      <c r="D3584" s="59">
        <v>22.0</v>
      </c>
      <c r="E3584" s="59">
        <v>24.0</v>
      </c>
      <c r="F3584" s="59">
        <v>15.0</v>
      </c>
      <c r="G3584" s="60">
        <v>1.09090909090909</v>
      </c>
      <c r="H3584" s="60">
        <v>0.666666666666666</v>
      </c>
      <c r="I3584" s="60">
        <v>130.30108475</v>
      </c>
      <c r="J3584" s="59">
        <v>44.0</v>
      </c>
      <c r="K3584" s="61">
        <f t="shared" si="1"/>
        <v>0.625</v>
      </c>
      <c r="L3584" s="62">
        <f t="shared" si="2"/>
        <v>1.833333333</v>
      </c>
    </row>
    <row r="3585">
      <c r="A3585" s="58">
        <v>45870.0</v>
      </c>
      <c r="B3585" s="24" t="s">
        <v>6787</v>
      </c>
      <c r="C3585" s="24" t="s">
        <v>6851</v>
      </c>
      <c r="D3585" s="59">
        <v>22.0</v>
      </c>
      <c r="E3585" s="59">
        <v>22.0</v>
      </c>
      <c r="F3585" s="59">
        <v>22.0</v>
      </c>
      <c r="G3585" s="60">
        <v>1.0</v>
      </c>
      <c r="H3585" s="60">
        <v>0.318181818181818</v>
      </c>
      <c r="I3585" s="60">
        <v>19.0152671363636</v>
      </c>
      <c r="J3585" s="59">
        <v>37.0</v>
      </c>
      <c r="K3585" s="61">
        <f t="shared" si="1"/>
        <v>1</v>
      </c>
      <c r="L3585" s="62">
        <f t="shared" si="2"/>
        <v>1.681818182</v>
      </c>
    </row>
    <row r="3586">
      <c r="A3586" s="58">
        <v>45870.0</v>
      </c>
      <c r="B3586" s="24" t="s">
        <v>3216</v>
      </c>
      <c r="C3586" s="24" t="s">
        <v>6788</v>
      </c>
      <c r="D3586" s="59">
        <v>21.0</v>
      </c>
      <c r="E3586" s="59">
        <v>26.0</v>
      </c>
      <c r="F3586" s="59">
        <v>18.0</v>
      </c>
      <c r="G3586" s="60">
        <v>1.23809523809523</v>
      </c>
      <c r="H3586" s="60">
        <v>0.73076923076923</v>
      </c>
      <c r="I3586" s="60">
        <v>159.677882038461</v>
      </c>
      <c r="J3586" s="59">
        <v>37.0</v>
      </c>
      <c r="K3586" s="61">
        <f t="shared" si="1"/>
        <v>0.6923076923</v>
      </c>
      <c r="L3586" s="62">
        <f t="shared" si="2"/>
        <v>1.423076923</v>
      </c>
    </row>
    <row r="3587">
      <c r="A3587" s="58">
        <v>45870.0</v>
      </c>
      <c r="B3587" s="24" t="s">
        <v>6787</v>
      </c>
      <c r="C3587" s="24" t="s">
        <v>6908</v>
      </c>
      <c r="D3587" s="59">
        <v>21.0</v>
      </c>
      <c r="E3587" s="59">
        <v>21.0</v>
      </c>
      <c r="F3587" s="59">
        <v>19.0</v>
      </c>
      <c r="G3587" s="60">
        <v>1.0</v>
      </c>
      <c r="H3587" s="60">
        <v>0.333333333333333</v>
      </c>
      <c r="I3587" s="60">
        <v>146.975333</v>
      </c>
      <c r="J3587" s="59">
        <v>28.0</v>
      </c>
      <c r="K3587" s="61">
        <f t="shared" si="1"/>
        <v>0.9047619048</v>
      </c>
      <c r="L3587" s="62">
        <f t="shared" si="2"/>
        <v>1.333333333</v>
      </c>
    </row>
    <row r="3588">
      <c r="A3588" s="58">
        <v>45870.0</v>
      </c>
      <c r="B3588" s="24" t="s">
        <v>6787</v>
      </c>
      <c r="C3588" s="24" t="s">
        <v>6960</v>
      </c>
      <c r="D3588" s="59">
        <v>20.0</v>
      </c>
      <c r="E3588" s="59">
        <v>20.0</v>
      </c>
      <c r="F3588" s="59">
        <v>19.0</v>
      </c>
      <c r="G3588" s="60">
        <v>1.0</v>
      </c>
      <c r="H3588" s="60">
        <v>0.25</v>
      </c>
      <c r="I3588" s="60">
        <v>26.1268533</v>
      </c>
      <c r="J3588" s="59">
        <v>44.0</v>
      </c>
      <c r="K3588" s="61">
        <f t="shared" si="1"/>
        <v>0.95</v>
      </c>
      <c r="L3588" s="62">
        <f t="shared" si="2"/>
        <v>2.2</v>
      </c>
    </row>
    <row r="3589">
      <c r="A3589" s="58">
        <v>45870.0</v>
      </c>
      <c r="B3589" s="24" t="s">
        <v>6787</v>
      </c>
      <c r="C3589" s="24" t="s">
        <v>6909</v>
      </c>
      <c r="D3589" s="59">
        <v>20.0</v>
      </c>
      <c r="E3589" s="59">
        <v>20.0</v>
      </c>
      <c r="F3589" s="59">
        <v>19.0</v>
      </c>
      <c r="G3589" s="60">
        <v>1.0</v>
      </c>
      <c r="H3589" s="60">
        <v>0.4</v>
      </c>
      <c r="I3589" s="60">
        <v>106.40048585</v>
      </c>
      <c r="J3589" s="59">
        <v>23.0</v>
      </c>
      <c r="K3589" s="61">
        <f t="shared" si="1"/>
        <v>0.95</v>
      </c>
      <c r="L3589" s="62">
        <f t="shared" si="2"/>
        <v>1.15</v>
      </c>
    </row>
    <row r="3590">
      <c r="A3590" s="58">
        <v>45870.0</v>
      </c>
      <c r="B3590" s="24" t="s">
        <v>6789</v>
      </c>
      <c r="C3590" s="24" t="s">
        <v>6804</v>
      </c>
      <c r="D3590" s="59">
        <v>18.0</v>
      </c>
      <c r="E3590" s="59">
        <v>22.0</v>
      </c>
      <c r="F3590" s="59">
        <v>17.0</v>
      </c>
      <c r="G3590" s="60">
        <v>1.29411764705882</v>
      </c>
      <c r="H3590" s="60">
        <v>0.545454545454545</v>
      </c>
      <c r="I3590" s="60">
        <v>205.601593545454</v>
      </c>
      <c r="J3590" s="59">
        <v>23.0</v>
      </c>
      <c r="K3590" s="61">
        <f t="shared" si="1"/>
        <v>0.7727272727</v>
      </c>
      <c r="L3590" s="62">
        <f t="shared" si="2"/>
        <v>1.045454545</v>
      </c>
    </row>
    <row r="3591">
      <c r="A3591" s="58">
        <v>45870.0</v>
      </c>
      <c r="B3591" s="24" t="s">
        <v>6787</v>
      </c>
      <c r="C3591" s="24" t="s">
        <v>6800</v>
      </c>
      <c r="D3591" s="59">
        <v>18.0</v>
      </c>
      <c r="E3591" s="59">
        <v>19.0</v>
      </c>
      <c r="F3591" s="59">
        <v>17.0</v>
      </c>
      <c r="G3591" s="60">
        <v>1.05555555555555</v>
      </c>
      <c r="H3591" s="60">
        <v>0.421052631578947</v>
      </c>
      <c r="I3591" s="60">
        <v>17.2372399473684</v>
      </c>
      <c r="J3591" s="59">
        <v>28.0</v>
      </c>
      <c r="K3591" s="61">
        <f t="shared" si="1"/>
        <v>0.8947368421</v>
      </c>
      <c r="L3591" s="62">
        <f t="shared" si="2"/>
        <v>1.473684211</v>
      </c>
    </row>
    <row r="3592">
      <c r="A3592" s="58">
        <v>45870.0</v>
      </c>
      <c r="B3592" s="24" t="s">
        <v>6787</v>
      </c>
      <c r="C3592" s="24" t="s">
        <v>6910</v>
      </c>
      <c r="D3592" s="59">
        <v>17.0</v>
      </c>
      <c r="E3592" s="59">
        <v>18.0</v>
      </c>
      <c r="F3592" s="59">
        <v>17.0</v>
      </c>
      <c r="G3592" s="60">
        <v>1.05882352941176</v>
      </c>
      <c r="H3592" s="60">
        <v>0.5</v>
      </c>
      <c r="I3592" s="60">
        <v>77.3500236111111</v>
      </c>
      <c r="J3592" s="59">
        <v>20.0</v>
      </c>
      <c r="K3592" s="61">
        <f t="shared" si="1"/>
        <v>0.9444444444</v>
      </c>
      <c r="L3592" s="62">
        <f t="shared" si="2"/>
        <v>1.111111111</v>
      </c>
    </row>
    <row r="3593">
      <c r="A3593" s="58">
        <v>45870.0</v>
      </c>
      <c r="B3593" s="24" t="s">
        <v>6787</v>
      </c>
      <c r="C3593" s="24" t="s">
        <v>6801</v>
      </c>
      <c r="D3593" s="59">
        <v>17.0</v>
      </c>
      <c r="E3593" s="59">
        <v>17.0</v>
      </c>
      <c r="F3593" s="59">
        <v>15.0</v>
      </c>
      <c r="G3593" s="60">
        <v>1.0625</v>
      </c>
      <c r="H3593" s="60">
        <v>0.352941176470588</v>
      </c>
      <c r="I3593" s="60">
        <v>28.7760086470588</v>
      </c>
      <c r="J3593" s="59">
        <v>25.0</v>
      </c>
      <c r="K3593" s="61">
        <f t="shared" si="1"/>
        <v>0.8823529412</v>
      </c>
      <c r="L3593" s="62">
        <f t="shared" si="2"/>
        <v>1.470588235</v>
      </c>
    </row>
    <row r="3594">
      <c r="A3594" s="58">
        <v>45870.0</v>
      </c>
      <c r="B3594" s="24" t="s">
        <v>6789</v>
      </c>
      <c r="C3594" s="24" t="s">
        <v>6808</v>
      </c>
      <c r="D3594" s="59">
        <v>16.0</v>
      </c>
      <c r="E3594" s="59">
        <v>18.0</v>
      </c>
      <c r="F3594" s="59">
        <v>5.0</v>
      </c>
      <c r="G3594" s="60">
        <v>1.28571428571428</v>
      </c>
      <c r="H3594" s="60">
        <v>0.444444444444444</v>
      </c>
      <c r="I3594" s="60">
        <v>176.597087888888</v>
      </c>
      <c r="J3594" s="59">
        <v>25.0</v>
      </c>
      <c r="K3594" s="61">
        <f t="shared" si="1"/>
        <v>0.2777777778</v>
      </c>
      <c r="L3594" s="62">
        <f t="shared" si="2"/>
        <v>1.388888889</v>
      </c>
    </row>
    <row r="3595">
      <c r="A3595" s="58">
        <v>45870.0</v>
      </c>
      <c r="B3595" s="24" t="s">
        <v>6787</v>
      </c>
      <c r="C3595" s="24" t="s">
        <v>6850</v>
      </c>
      <c r="D3595" s="59">
        <v>16.0</v>
      </c>
      <c r="E3595" s="59">
        <v>16.0</v>
      </c>
      <c r="F3595" s="59">
        <v>16.0</v>
      </c>
      <c r="G3595" s="60">
        <v>1.0</v>
      </c>
      <c r="H3595" s="60">
        <v>0.3125</v>
      </c>
      <c r="I3595" s="60">
        <v>144.3910103125</v>
      </c>
      <c r="J3595" s="59">
        <v>22.0</v>
      </c>
      <c r="K3595" s="61">
        <f t="shared" si="1"/>
        <v>1</v>
      </c>
      <c r="L3595" s="62">
        <f t="shared" si="2"/>
        <v>1.375</v>
      </c>
    </row>
    <row r="3596">
      <c r="A3596" s="58">
        <v>45870.0</v>
      </c>
      <c r="B3596" s="24" t="s">
        <v>6789</v>
      </c>
      <c r="C3596" s="24" t="s">
        <v>6815</v>
      </c>
      <c r="D3596" s="59">
        <v>16.0</v>
      </c>
      <c r="E3596" s="59">
        <v>17.0</v>
      </c>
      <c r="F3596" s="59">
        <v>16.0</v>
      </c>
      <c r="G3596" s="60">
        <v>1.0625</v>
      </c>
      <c r="H3596" s="60">
        <v>0.294117647058823</v>
      </c>
      <c r="I3596" s="60">
        <v>120.630196823529</v>
      </c>
      <c r="J3596" s="59">
        <v>28.0</v>
      </c>
      <c r="K3596" s="61">
        <f t="shared" si="1"/>
        <v>0.9411764706</v>
      </c>
      <c r="L3596" s="62">
        <f t="shared" si="2"/>
        <v>1.647058824</v>
      </c>
    </row>
    <row r="3597">
      <c r="A3597" s="58">
        <v>45870.0</v>
      </c>
      <c r="B3597" s="24" t="s">
        <v>3216</v>
      </c>
      <c r="C3597" s="24" t="s">
        <v>6854</v>
      </c>
      <c r="D3597" s="59">
        <v>16.0</v>
      </c>
      <c r="E3597" s="59">
        <v>16.0</v>
      </c>
      <c r="F3597" s="59">
        <v>16.0</v>
      </c>
      <c r="G3597" s="60">
        <v>1.0</v>
      </c>
      <c r="H3597" s="60">
        <v>0.9375</v>
      </c>
      <c r="I3597" s="60">
        <v>0.835718187499999</v>
      </c>
      <c r="J3597" s="59">
        <v>17.0</v>
      </c>
      <c r="K3597" s="61">
        <f t="shared" si="1"/>
        <v>1</v>
      </c>
      <c r="L3597" s="62">
        <f t="shared" si="2"/>
        <v>1.0625</v>
      </c>
    </row>
    <row r="3598">
      <c r="A3598" s="58">
        <v>45870.0</v>
      </c>
      <c r="B3598" s="24" t="s">
        <v>3216</v>
      </c>
      <c r="C3598" s="24" t="s">
        <v>6797</v>
      </c>
      <c r="D3598" s="59">
        <v>15.0</v>
      </c>
      <c r="E3598" s="59">
        <v>15.0</v>
      </c>
      <c r="F3598" s="59">
        <v>15.0</v>
      </c>
      <c r="G3598" s="60">
        <v>1.0</v>
      </c>
      <c r="H3598" s="60">
        <v>0.866666666666666</v>
      </c>
      <c r="I3598" s="60">
        <v>1.15152486666666</v>
      </c>
      <c r="J3598" s="59">
        <v>21.0</v>
      </c>
      <c r="K3598" s="61">
        <f t="shared" si="1"/>
        <v>1</v>
      </c>
      <c r="L3598" s="62">
        <f t="shared" si="2"/>
        <v>1.4</v>
      </c>
    </row>
    <row r="3599">
      <c r="A3599" s="58">
        <v>45870.0</v>
      </c>
      <c r="B3599" s="24" t="s">
        <v>6794</v>
      </c>
      <c r="C3599" s="24" t="s">
        <v>6792</v>
      </c>
      <c r="D3599" s="59">
        <v>14.0</v>
      </c>
      <c r="E3599" s="59">
        <v>18.0</v>
      </c>
      <c r="F3599" s="59">
        <v>0.0</v>
      </c>
      <c r="G3599" s="60">
        <v>1.8</v>
      </c>
      <c r="H3599" s="60">
        <v>0.944444444444444</v>
      </c>
      <c r="I3599" s="60">
        <v>20.9770400555555</v>
      </c>
      <c r="J3599" s="59">
        <v>0.0</v>
      </c>
      <c r="K3599" s="61">
        <f t="shared" si="1"/>
        <v>0</v>
      </c>
      <c r="L3599" s="62">
        <f t="shared" si="2"/>
        <v>0</v>
      </c>
    </row>
    <row r="3600">
      <c r="A3600" s="58">
        <v>45870.0</v>
      </c>
      <c r="B3600" s="24" t="s">
        <v>6787</v>
      </c>
      <c r="C3600" s="24" t="s">
        <v>6822</v>
      </c>
      <c r="D3600" s="59">
        <v>13.0</v>
      </c>
      <c r="E3600" s="59">
        <v>13.0</v>
      </c>
      <c r="F3600" s="59">
        <v>13.0</v>
      </c>
      <c r="G3600" s="60">
        <v>1.0</v>
      </c>
      <c r="H3600" s="60">
        <v>0.307692307692307</v>
      </c>
      <c r="I3600" s="60">
        <v>60.0754796153846</v>
      </c>
      <c r="J3600" s="59">
        <v>20.0</v>
      </c>
      <c r="K3600" s="61">
        <f t="shared" si="1"/>
        <v>1</v>
      </c>
      <c r="L3600" s="62">
        <f t="shared" si="2"/>
        <v>1.538461538</v>
      </c>
    </row>
    <row r="3601">
      <c r="A3601" s="58">
        <v>45870.0</v>
      </c>
      <c r="B3601" s="24" t="s">
        <v>6789</v>
      </c>
      <c r="C3601" s="24" t="s">
        <v>6806</v>
      </c>
      <c r="D3601" s="59">
        <v>13.0</v>
      </c>
      <c r="E3601" s="59">
        <v>19.0</v>
      </c>
      <c r="F3601" s="59">
        <v>13.0</v>
      </c>
      <c r="G3601" s="60">
        <v>1.46153846153846</v>
      </c>
      <c r="H3601" s="60">
        <v>0.526315789473684</v>
      </c>
      <c r="I3601" s="60">
        <v>133.470865105263</v>
      </c>
      <c r="J3601" s="59">
        <v>21.0</v>
      </c>
      <c r="K3601" s="61">
        <f t="shared" si="1"/>
        <v>0.6842105263</v>
      </c>
      <c r="L3601" s="62">
        <f t="shared" si="2"/>
        <v>1.105263158</v>
      </c>
    </row>
    <row r="3602">
      <c r="A3602" s="58">
        <v>45870.0</v>
      </c>
      <c r="B3602" s="24" t="s">
        <v>155</v>
      </c>
      <c r="C3602" s="24" t="s">
        <v>6800</v>
      </c>
      <c r="D3602" s="59">
        <v>13.0</v>
      </c>
      <c r="E3602" s="59">
        <v>13.0</v>
      </c>
      <c r="F3602" s="59">
        <v>13.0</v>
      </c>
      <c r="G3602" s="60">
        <v>1.0</v>
      </c>
      <c r="H3602" s="60">
        <v>0.23076923076923</v>
      </c>
      <c r="I3602" s="60">
        <v>26.917571</v>
      </c>
      <c r="J3602" s="59">
        <v>23.0</v>
      </c>
      <c r="K3602" s="61">
        <f t="shared" si="1"/>
        <v>1</v>
      </c>
      <c r="L3602" s="62">
        <f t="shared" si="2"/>
        <v>1.769230769</v>
      </c>
    </row>
    <row r="3603">
      <c r="A3603" s="58">
        <v>45870.0</v>
      </c>
      <c r="B3603" s="24" t="s">
        <v>6787</v>
      </c>
      <c r="C3603" s="24" t="s">
        <v>6809</v>
      </c>
      <c r="D3603" s="59">
        <v>13.0</v>
      </c>
      <c r="E3603" s="59">
        <v>16.0</v>
      </c>
      <c r="F3603" s="59">
        <v>12.0</v>
      </c>
      <c r="G3603" s="60">
        <v>1.23076923076923</v>
      </c>
      <c r="H3603" s="60">
        <v>0.5625</v>
      </c>
      <c r="I3603" s="60">
        <v>142.417046875</v>
      </c>
      <c r="J3603" s="59">
        <v>19.0</v>
      </c>
      <c r="K3603" s="61">
        <f t="shared" si="1"/>
        <v>0.75</v>
      </c>
      <c r="L3603" s="62">
        <f t="shared" si="2"/>
        <v>1.1875</v>
      </c>
    </row>
    <row r="3604">
      <c r="A3604" s="58">
        <v>45870.0</v>
      </c>
      <c r="B3604" s="24" t="s">
        <v>6787</v>
      </c>
      <c r="C3604" s="24" t="s">
        <v>6815</v>
      </c>
      <c r="D3604" s="59">
        <v>13.0</v>
      </c>
      <c r="E3604" s="59">
        <v>13.0</v>
      </c>
      <c r="F3604" s="59">
        <v>13.0</v>
      </c>
      <c r="G3604" s="60">
        <v>1.0</v>
      </c>
      <c r="H3604" s="60">
        <v>0.692307692307692</v>
      </c>
      <c r="I3604" s="60">
        <v>45.1293195384615</v>
      </c>
      <c r="J3604" s="59">
        <v>16.0</v>
      </c>
      <c r="K3604" s="61">
        <f t="shared" si="1"/>
        <v>1</v>
      </c>
      <c r="L3604" s="62">
        <f t="shared" si="2"/>
        <v>1.230769231</v>
      </c>
    </row>
    <row r="3605">
      <c r="A3605" s="58">
        <v>45870.0</v>
      </c>
      <c r="B3605" s="24" t="s">
        <v>6789</v>
      </c>
      <c r="C3605" s="24" t="s">
        <v>6876</v>
      </c>
      <c r="D3605" s="59">
        <v>12.0</v>
      </c>
      <c r="E3605" s="59">
        <v>15.0</v>
      </c>
      <c r="F3605" s="59">
        <v>11.0</v>
      </c>
      <c r="G3605" s="60">
        <v>1.25</v>
      </c>
      <c r="H3605" s="60">
        <v>0.533333333333333</v>
      </c>
      <c r="I3605" s="60">
        <v>227.2006342</v>
      </c>
      <c r="J3605" s="59">
        <v>17.0</v>
      </c>
      <c r="K3605" s="61">
        <f t="shared" si="1"/>
        <v>0.7333333333</v>
      </c>
      <c r="L3605" s="62">
        <f t="shared" si="2"/>
        <v>1.133333333</v>
      </c>
    </row>
    <row r="3606">
      <c r="A3606" s="58">
        <v>45870.0</v>
      </c>
      <c r="B3606" s="24" t="s">
        <v>6787</v>
      </c>
      <c r="C3606" s="24" t="s">
        <v>7021</v>
      </c>
      <c r="D3606" s="59">
        <v>12.0</v>
      </c>
      <c r="E3606" s="59">
        <v>12.0</v>
      </c>
      <c r="F3606" s="59">
        <v>11.0</v>
      </c>
      <c r="G3606" s="60">
        <v>1.09090909090909</v>
      </c>
      <c r="H3606" s="60">
        <v>0.75</v>
      </c>
      <c r="I3606" s="60">
        <v>49.25737075</v>
      </c>
      <c r="J3606" s="59">
        <v>21.0</v>
      </c>
      <c r="K3606" s="61">
        <f t="shared" si="1"/>
        <v>0.9166666667</v>
      </c>
      <c r="L3606" s="62">
        <f t="shared" si="2"/>
        <v>1.75</v>
      </c>
    </row>
    <row r="3607">
      <c r="A3607" s="58">
        <v>45870.0</v>
      </c>
      <c r="B3607" s="24" t="s">
        <v>6787</v>
      </c>
      <c r="C3607" s="24" t="s">
        <v>6804</v>
      </c>
      <c r="D3607" s="59">
        <v>11.0</v>
      </c>
      <c r="E3607" s="59">
        <v>11.0</v>
      </c>
      <c r="F3607" s="59">
        <v>11.0</v>
      </c>
      <c r="G3607" s="60">
        <v>1.0</v>
      </c>
      <c r="H3607" s="60">
        <v>0.818181818181818</v>
      </c>
      <c r="I3607" s="60">
        <v>5.4451509090909</v>
      </c>
      <c r="J3607" s="59">
        <v>11.0</v>
      </c>
      <c r="K3607" s="61">
        <f t="shared" si="1"/>
        <v>1</v>
      </c>
      <c r="L3607" s="62">
        <f t="shared" si="2"/>
        <v>1</v>
      </c>
    </row>
    <row r="3608">
      <c r="A3608" s="58">
        <v>45870.0</v>
      </c>
      <c r="B3608" s="24" t="s">
        <v>6789</v>
      </c>
      <c r="C3608" s="24" t="s">
        <v>7024</v>
      </c>
      <c r="D3608" s="59">
        <v>11.0</v>
      </c>
      <c r="E3608" s="59">
        <v>11.0</v>
      </c>
      <c r="F3608" s="59">
        <v>11.0</v>
      </c>
      <c r="G3608" s="60">
        <v>1.0</v>
      </c>
      <c r="H3608" s="60">
        <v>0.545454545454545</v>
      </c>
      <c r="I3608" s="60">
        <v>98.8306464545454</v>
      </c>
      <c r="J3608" s="59">
        <v>15.0</v>
      </c>
      <c r="K3608" s="61">
        <f t="shared" si="1"/>
        <v>1</v>
      </c>
      <c r="L3608" s="62">
        <f t="shared" si="2"/>
        <v>1.363636364</v>
      </c>
    </row>
    <row r="3609">
      <c r="A3609" s="58">
        <v>45870.0</v>
      </c>
      <c r="B3609" s="24" t="s">
        <v>6789</v>
      </c>
      <c r="C3609" s="24" t="s">
        <v>6882</v>
      </c>
      <c r="D3609" s="59">
        <v>11.0</v>
      </c>
      <c r="E3609" s="59">
        <v>12.0</v>
      </c>
      <c r="F3609" s="59">
        <v>8.0</v>
      </c>
      <c r="G3609" s="60">
        <v>1.09090909090909</v>
      </c>
      <c r="H3609" s="60">
        <v>0.583333333333333</v>
      </c>
      <c r="I3609" s="60">
        <v>62.8261185833333</v>
      </c>
      <c r="J3609" s="59">
        <v>15.0</v>
      </c>
      <c r="K3609" s="61">
        <f t="shared" si="1"/>
        <v>0.6666666667</v>
      </c>
      <c r="L3609" s="62">
        <f t="shared" si="2"/>
        <v>1.25</v>
      </c>
    </row>
    <row r="3610">
      <c r="A3610" s="58">
        <v>45870.0</v>
      </c>
      <c r="B3610" s="24" t="s">
        <v>6789</v>
      </c>
      <c r="C3610" s="24" t="s">
        <v>6829</v>
      </c>
      <c r="D3610" s="59">
        <v>10.0</v>
      </c>
      <c r="E3610" s="59">
        <v>11.0</v>
      </c>
      <c r="F3610" s="59">
        <v>9.0</v>
      </c>
      <c r="G3610" s="60">
        <v>1.1</v>
      </c>
      <c r="H3610" s="60">
        <v>0.363636363636363</v>
      </c>
      <c r="I3610" s="60">
        <v>194.228091090909</v>
      </c>
      <c r="J3610" s="59">
        <v>12.0</v>
      </c>
      <c r="K3610" s="61">
        <f t="shared" si="1"/>
        <v>0.8181818182</v>
      </c>
      <c r="L3610" s="62">
        <f t="shared" si="2"/>
        <v>1.090909091</v>
      </c>
    </row>
    <row r="3611">
      <c r="A3611" s="58">
        <v>45870.0</v>
      </c>
      <c r="B3611" s="24" t="s">
        <v>6787</v>
      </c>
      <c r="C3611" s="24" t="s">
        <v>6844</v>
      </c>
      <c r="D3611" s="59">
        <v>10.0</v>
      </c>
      <c r="E3611" s="59">
        <v>10.0</v>
      </c>
      <c r="F3611" s="59">
        <v>10.0</v>
      </c>
      <c r="G3611" s="60">
        <v>1.0</v>
      </c>
      <c r="H3611" s="60">
        <v>0.6</v>
      </c>
      <c r="I3611" s="60">
        <v>35.0531826999999</v>
      </c>
      <c r="J3611" s="59">
        <v>13.0</v>
      </c>
      <c r="K3611" s="61">
        <f t="shared" si="1"/>
        <v>1</v>
      </c>
      <c r="L3611" s="62">
        <f t="shared" si="2"/>
        <v>1.3</v>
      </c>
    </row>
    <row r="3612">
      <c r="A3612" s="58">
        <v>45870.0</v>
      </c>
      <c r="B3612" s="24" t="s">
        <v>6790</v>
      </c>
      <c r="C3612" s="24" t="s">
        <v>7083</v>
      </c>
      <c r="D3612" s="59">
        <v>10.0</v>
      </c>
      <c r="E3612" s="59">
        <v>10.0</v>
      </c>
      <c r="F3612" s="59">
        <v>10.0</v>
      </c>
      <c r="G3612" s="60">
        <v>1.0</v>
      </c>
      <c r="H3612" s="60">
        <v>0.6</v>
      </c>
      <c r="I3612" s="60">
        <v>39.959998</v>
      </c>
      <c r="J3612" s="59">
        <v>11.0</v>
      </c>
      <c r="K3612" s="61">
        <f t="shared" si="1"/>
        <v>1</v>
      </c>
      <c r="L3612" s="62">
        <f t="shared" si="2"/>
        <v>1.1</v>
      </c>
    </row>
    <row r="3613">
      <c r="A3613" s="58">
        <v>45870.0</v>
      </c>
      <c r="B3613" s="24" t="s">
        <v>6787</v>
      </c>
      <c r="C3613" s="24" t="s">
        <v>6808</v>
      </c>
      <c r="D3613" s="59">
        <v>10.0</v>
      </c>
      <c r="E3613" s="59">
        <v>11.0</v>
      </c>
      <c r="F3613" s="59">
        <v>8.0</v>
      </c>
      <c r="G3613" s="60">
        <v>1.1</v>
      </c>
      <c r="H3613" s="60">
        <v>0.818181818181818</v>
      </c>
      <c r="I3613" s="60">
        <v>7.95225309090909</v>
      </c>
      <c r="J3613" s="59">
        <v>15.0</v>
      </c>
      <c r="K3613" s="61">
        <f t="shared" si="1"/>
        <v>0.7272727273</v>
      </c>
      <c r="L3613" s="62">
        <f t="shared" si="2"/>
        <v>1.363636364</v>
      </c>
    </row>
    <row r="3614">
      <c r="A3614" s="58">
        <v>45870.0</v>
      </c>
      <c r="B3614" s="24" t="s">
        <v>6787</v>
      </c>
      <c r="C3614" s="24" t="s">
        <v>6802</v>
      </c>
      <c r="D3614" s="59">
        <v>10.0</v>
      </c>
      <c r="E3614" s="59">
        <v>10.0</v>
      </c>
      <c r="F3614" s="59">
        <v>10.0</v>
      </c>
      <c r="G3614" s="60">
        <v>1.0</v>
      </c>
      <c r="H3614" s="60">
        <v>0.4</v>
      </c>
      <c r="I3614" s="60">
        <v>19.0272942</v>
      </c>
      <c r="J3614" s="59">
        <v>17.0</v>
      </c>
      <c r="K3614" s="61">
        <f t="shared" si="1"/>
        <v>1</v>
      </c>
      <c r="L3614" s="62">
        <f t="shared" si="2"/>
        <v>1.7</v>
      </c>
    </row>
    <row r="3615">
      <c r="A3615" s="58">
        <v>45870.0</v>
      </c>
      <c r="B3615" s="24" t="s">
        <v>6789</v>
      </c>
      <c r="C3615" s="24" t="s">
        <v>6802</v>
      </c>
      <c r="D3615" s="59">
        <v>10.0</v>
      </c>
      <c r="E3615" s="59">
        <v>16.0</v>
      </c>
      <c r="F3615" s="59">
        <v>3.0</v>
      </c>
      <c r="G3615" s="60">
        <v>2.0</v>
      </c>
      <c r="H3615" s="60">
        <v>0.5625</v>
      </c>
      <c r="I3615" s="60">
        <v>357.791591624999</v>
      </c>
      <c r="J3615" s="59">
        <v>27.0</v>
      </c>
      <c r="K3615" s="61">
        <f t="shared" si="1"/>
        <v>0.1875</v>
      </c>
      <c r="L3615" s="62">
        <f t="shared" si="2"/>
        <v>1.6875</v>
      </c>
    </row>
    <row r="3616">
      <c r="A3616" s="58">
        <v>45870.0</v>
      </c>
      <c r="B3616" s="24" t="s">
        <v>6787</v>
      </c>
      <c r="C3616" s="24" t="s">
        <v>7149</v>
      </c>
      <c r="D3616" s="59">
        <v>9.0</v>
      </c>
      <c r="E3616" s="59">
        <v>17.0</v>
      </c>
      <c r="F3616" s="59">
        <v>3.0</v>
      </c>
      <c r="G3616" s="60">
        <v>1.88888888888888</v>
      </c>
      <c r="H3616" s="60">
        <v>0.117647058823529</v>
      </c>
      <c r="I3616" s="60">
        <v>544.756460411764</v>
      </c>
      <c r="J3616" s="59">
        <v>60.0</v>
      </c>
      <c r="K3616" s="61">
        <f t="shared" si="1"/>
        <v>0.1764705882</v>
      </c>
      <c r="L3616" s="62">
        <f t="shared" si="2"/>
        <v>3.529411765</v>
      </c>
    </row>
    <row r="3617">
      <c r="A3617" s="58">
        <v>45870.0</v>
      </c>
      <c r="B3617" s="24" t="s">
        <v>3216</v>
      </c>
      <c r="C3617" s="24" t="s">
        <v>7070</v>
      </c>
      <c r="D3617" s="59">
        <v>9.0</v>
      </c>
      <c r="E3617" s="59">
        <v>9.0</v>
      </c>
      <c r="F3617" s="59">
        <v>9.0</v>
      </c>
      <c r="G3617" s="60">
        <v>1.0</v>
      </c>
      <c r="H3617" s="60">
        <v>1.0</v>
      </c>
      <c r="I3617" s="60">
        <v>0.739155333333333</v>
      </c>
      <c r="J3617" s="59">
        <v>9.0</v>
      </c>
      <c r="K3617" s="61">
        <f t="shared" si="1"/>
        <v>1</v>
      </c>
      <c r="L3617" s="62">
        <f t="shared" si="2"/>
        <v>1</v>
      </c>
    </row>
    <row r="3618">
      <c r="A3618" s="58">
        <v>45870.0</v>
      </c>
      <c r="B3618" s="24" t="s">
        <v>6789</v>
      </c>
      <c r="C3618" s="24" t="s">
        <v>6841</v>
      </c>
      <c r="D3618" s="59">
        <v>9.0</v>
      </c>
      <c r="E3618" s="59">
        <v>11.0</v>
      </c>
      <c r="F3618" s="59">
        <v>9.0</v>
      </c>
      <c r="G3618" s="60">
        <v>1.22222222222222</v>
      </c>
      <c r="H3618" s="60">
        <v>0.636363636363636</v>
      </c>
      <c r="I3618" s="60">
        <v>117.838967454545</v>
      </c>
      <c r="J3618" s="59">
        <v>11.0</v>
      </c>
      <c r="K3618" s="61">
        <f t="shared" si="1"/>
        <v>0.8181818182</v>
      </c>
      <c r="L3618" s="62">
        <f t="shared" si="2"/>
        <v>1</v>
      </c>
    </row>
    <row r="3619">
      <c r="A3619" s="58">
        <v>45870.0</v>
      </c>
      <c r="B3619" s="24" t="s">
        <v>6789</v>
      </c>
      <c r="C3619" s="24" t="s">
        <v>6844</v>
      </c>
      <c r="D3619" s="59">
        <v>9.0</v>
      </c>
      <c r="E3619" s="59">
        <v>9.0</v>
      </c>
      <c r="F3619" s="59">
        <v>7.0</v>
      </c>
      <c r="G3619" s="60">
        <v>1.125</v>
      </c>
      <c r="H3619" s="60">
        <v>0.777777777777777</v>
      </c>
      <c r="I3619" s="60">
        <v>32.1833581111111</v>
      </c>
      <c r="J3619" s="59">
        <v>10.0</v>
      </c>
      <c r="K3619" s="61">
        <f t="shared" si="1"/>
        <v>0.7777777778</v>
      </c>
      <c r="L3619" s="62">
        <f t="shared" si="2"/>
        <v>1.111111111</v>
      </c>
    </row>
    <row r="3620">
      <c r="A3620" s="58">
        <v>45870.0</v>
      </c>
      <c r="B3620" s="24" t="s">
        <v>6789</v>
      </c>
      <c r="C3620" s="24" t="s">
        <v>6796</v>
      </c>
      <c r="D3620" s="59">
        <v>9.0</v>
      </c>
      <c r="E3620" s="59">
        <v>9.0</v>
      </c>
      <c r="F3620" s="59">
        <v>8.0</v>
      </c>
      <c r="G3620" s="60">
        <v>1.0</v>
      </c>
      <c r="H3620" s="60">
        <v>0.555555555555555</v>
      </c>
      <c r="I3620" s="60">
        <v>52.9487739999999</v>
      </c>
      <c r="J3620" s="59">
        <v>13.0</v>
      </c>
      <c r="K3620" s="61">
        <f t="shared" si="1"/>
        <v>0.8888888889</v>
      </c>
      <c r="L3620" s="62">
        <f t="shared" si="2"/>
        <v>1.444444444</v>
      </c>
    </row>
    <row r="3621">
      <c r="A3621" s="58">
        <v>45870.0</v>
      </c>
      <c r="B3621" s="24" t="s">
        <v>6789</v>
      </c>
      <c r="C3621" s="24" t="s">
        <v>6801</v>
      </c>
      <c r="D3621" s="59">
        <v>9.0</v>
      </c>
      <c r="E3621" s="59">
        <v>9.0</v>
      </c>
      <c r="F3621" s="59">
        <v>6.0</v>
      </c>
      <c r="G3621" s="60">
        <v>1.0</v>
      </c>
      <c r="H3621" s="60">
        <v>0.111111111111111</v>
      </c>
      <c r="I3621" s="60">
        <v>128.914797555555</v>
      </c>
      <c r="J3621" s="59">
        <v>25.0</v>
      </c>
      <c r="K3621" s="61">
        <f t="shared" si="1"/>
        <v>0.6666666667</v>
      </c>
      <c r="L3621" s="62">
        <f t="shared" si="2"/>
        <v>2.777777778</v>
      </c>
    </row>
    <row r="3622">
      <c r="A3622" s="58">
        <v>45870.0</v>
      </c>
      <c r="B3622" s="24" t="s">
        <v>3216</v>
      </c>
      <c r="C3622" s="24" t="s">
        <v>6921</v>
      </c>
      <c r="D3622" s="59">
        <v>9.0</v>
      </c>
      <c r="E3622" s="59">
        <v>9.0</v>
      </c>
      <c r="F3622" s="59">
        <v>9.0</v>
      </c>
      <c r="G3622" s="60">
        <v>1.0</v>
      </c>
      <c r="H3622" s="60">
        <v>0.555555555555555</v>
      </c>
      <c r="I3622" s="60">
        <v>4.80465088888888</v>
      </c>
      <c r="J3622" s="59">
        <v>19.0</v>
      </c>
      <c r="K3622" s="61">
        <f t="shared" si="1"/>
        <v>1</v>
      </c>
      <c r="L3622" s="62">
        <f t="shared" si="2"/>
        <v>2.111111111</v>
      </c>
    </row>
    <row r="3623">
      <c r="A3623" s="58">
        <v>45870.0</v>
      </c>
      <c r="B3623" s="24" t="s">
        <v>3216</v>
      </c>
      <c r="C3623" s="24" t="s">
        <v>6922</v>
      </c>
      <c r="D3623" s="59">
        <v>9.0</v>
      </c>
      <c r="E3623" s="59">
        <v>9.0</v>
      </c>
      <c r="F3623" s="59">
        <v>9.0</v>
      </c>
      <c r="G3623" s="60">
        <v>1.0</v>
      </c>
      <c r="H3623" s="60">
        <v>0.666666666666666</v>
      </c>
      <c r="I3623" s="60">
        <v>3.64084044444444</v>
      </c>
      <c r="J3623" s="59">
        <v>15.0</v>
      </c>
      <c r="K3623" s="61">
        <f t="shared" si="1"/>
        <v>1</v>
      </c>
      <c r="L3623" s="62">
        <f t="shared" si="2"/>
        <v>1.666666667</v>
      </c>
    </row>
    <row r="3624">
      <c r="A3624" s="58">
        <v>45870.0</v>
      </c>
      <c r="B3624" s="24" t="s">
        <v>6787</v>
      </c>
      <c r="C3624" s="24" t="s">
        <v>6876</v>
      </c>
      <c r="D3624" s="59">
        <v>8.0</v>
      </c>
      <c r="E3624" s="59">
        <v>8.0</v>
      </c>
      <c r="F3624" s="59">
        <v>7.0</v>
      </c>
      <c r="G3624" s="60">
        <v>1.0</v>
      </c>
      <c r="H3624" s="60">
        <v>0.375</v>
      </c>
      <c r="I3624" s="60">
        <v>151.35623775</v>
      </c>
      <c r="J3624" s="59">
        <v>15.0</v>
      </c>
      <c r="K3624" s="61">
        <f t="shared" si="1"/>
        <v>0.875</v>
      </c>
      <c r="L3624" s="62">
        <f t="shared" si="2"/>
        <v>1.875</v>
      </c>
    </row>
    <row r="3625">
      <c r="A3625" s="58">
        <v>45870.0</v>
      </c>
      <c r="B3625" s="24" t="s">
        <v>6794</v>
      </c>
      <c r="C3625" s="24" t="s">
        <v>7301</v>
      </c>
      <c r="D3625" s="59">
        <v>8.0</v>
      </c>
      <c r="E3625" s="59">
        <v>13.0</v>
      </c>
      <c r="F3625" s="59">
        <v>5.0</v>
      </c>
      <c r="G3625" s="60">
        <v>1.625</v>
      </c>
      <c r="H3625" s="60">
        <v>0.538461538461538</v>
      </c>
      <c r="I3625" s="60">
        <v>27.5941071538461</v>
      </c>
      <c r="J3625" s="59">
        <v>15.0</v>
      </c>
      <c r="K3625" s="61">
        <f t="shared" si="1"/>
        <v>0.3846153846</v>
      </c>
      <c r="L3625" s="62">
        <f t="shared" si="2"/>
        <v>1.153846154</v>
      </c>
    </row>
    <row r="3626">
      <c r="A3626" s="58">
        <v>45870.0</v>
      </c>
      <c r="B3626" s="24" t="s">
        <v>6787</v>
      </c>
      <c r="C3626" s="24" t="s">
        <v>6907</v>
      </c>
      <c r="D3626" s="59">
        <v>8.0</v>
      </c>
      <c r="E3626" s="59">
        <v>8.0</v>
      </c>
      <c r="F3626" s="59">
        <v>8.0</v>
      </c>
      <c r="G3626" s="60">
        <v>1.0</v>
      </c>
      <c r="H3626" s="60">
        <v>1.0</v>
      </c>
      <c r="I3626" s="60">
        <v>0.0</v>
      </c>
      <c r="J3626" s="59">
        <v>8.0</v>
      </c>
      <c r="K3626" s="61">
        <f t="shared" si="1"/>
        <v>1</v>
      </c>
      <c r="L3626" s="62">
        <f t="shared" si="2"/>
        <v>1</v>
      </c>
    </row>
    <row r="3627">
      <c r="A3627" s="58">
        <v>45870.0</v>
      </c>
      <c r="B3627" s="24" t="s">
        <v>6787</v>
      </c>
      <c r="C3627" s="24" t="s">
        <v>6803</v>
      </c>
      <c r="D3627" s="59">
        <v>7.0</v>
      </c>
      <c r="E3627" s="59">
        <v>7.0</v>
      </c>
      <c r="F3627" s="59">
        <v>7.0</v>
      </c>
      <c r="G3627" s="60">
        <v>1.0</v>
      </c>
      <c r="H3627" s="60">
        <v>0.142857142857142</v>
      </c>
      <c r="I3627" s="60">
        <v>285.866487</v>
      </c>
      <c r="J3627" s="59">
        <v>43.0</v>
      </c>
      <c r="K3627" s="61">
        <f t="shared" si="1"/>
        <v>1</v>
      </c>
      <c r="L3627" s="62">
        <f t="shared" si="2"/>
        <v>6.142857143</v>
      </c>
    </row>
    <row r="3628">
      <c r="A3628" s="58">
        <v>45870.0</v>
      </c>
      <c r="B3628" s="24" t="s">
        <v>6787</v>
      </c>
      <c r="C3628" s="24" t="s">
        <v>6890</v>
      </c>
      <c r="D3628" s="59">
        <v>7.0</v>
      </c>
      <c r="E3628" s="59">
        <v>7.0</v>
      </c>
      <c r="F3628" s="59">
        <v>7.0</v>
      </c>
      <c r="G3628" s="60">
        <v>1.0</v>
      </c>
      <c r="H3628" s="60">
        <v>0.714285714285714</v>
      </c>
      <c r="I3628" s="60">
        <v>6.258106</v>
      </c>
      <c r="J3628" s="59">
        <v>7.0</v>
      </c>
      <c r="K3628" s="61">
        <f t="shared" si="1"/>
        <v>1</v>
      </c>
      <c r="L3628" s="62">
        <f t="shared" si="2"/>
        <v>1</v>
      </c>
    </row>
    <row r="3629">
      <c r="A3629" s="58">
        <v>45870.0</v>
      </c>
      <c r="B3629" s="24" t="s">
        <v>6787</v>
      </c>
      <c r="C3629" s="24" t="s">
        <v>6796</v>
      </c>
      <c r="D3629" s="59">
        <v>7.0</v>
      </c>
      <c r="E3629" s="59">
        <v>7.0</v>
      </c>
      <c r="F3629" s="59">
        <v>7.0</v>
      </c>
      <c r="G3629" s="60">
        <v>1.0</v>
      </c>
      <c r="H3629" s="60">
        <v>0.714285714285714</v>
      </c>
      <c r="I3629" s="60">
        <v>217.382970142857</v>
      </c>
      <c r="J3629" s="59">
        <v>9.0</v>
      </c>
      <c r="K3629" s="61">
        <f t="shared" si="1"/>
        <v>1</v>
      </c>
      <c r="L3629" s="62">
        <f t="shared" si="2"/>
        <v>1.285714286</v>
      </c>
    </row>
    <row r="3630">
      <c r="A3630" s="58">
        <v>45870.0</v>
      </c>
      <c r="B3630" s="24" t="s">
        <v>6787</v>
      </c>
      <c r="C3630" s="24" t="s">
        <v>7010</v>
      </c>
      <c r="D3630" s="59">
        <v>7.0</v>
      </c>
      <c r="E3630" s="59">
        <v>13.0</v>
      </c>
      <c r="F3630" s="59">
        <v>2.0</v>
      </c>
      <c r="G3630" s="60">
        <v>1.85714285714285</v>
      </c>
      <c r="H3630" s="60">
        <v>0.461538461538461</v>
      </c>
      <c r="I3630" s="60">
        <v>79.6266085384615</v>
      </c>
      <c r="J3630" s="59">
        <v>28.0</v>
      </c>
      <c r="K3630" s="61">
        <f t="shared" si="1"/>
        <v>0.1538461538</v>
      </c>
      <c r="L3630" s="62">
        <f t="shared" si="2"/>
        <v>2.153846154</v>
      </c>
    </row>
    <row r="3631">
      <c r="A3631" s="58">
        <v>45870.0</v>
      </c>
      <c r="B3631" s="24" t="s">
        <v>6789</v>
      </c>
      <c r="C3631" s="24" t="s">
        <v>6910</v>
      </c>
      <c r="D3631" s="59">
        <v>7.0</v>
      </c>
      <c r="E3631" s="59">
        <v>10.0</v>
      </c>
      <c r="F3631" s="59">
        <v>5.0</v>
      </c>
      <c r="G3631" s="60">
        <v>1.66666666666666</v>
      </c>
      <c r="H3631" s="60">
        <v>0.7</v>
      </c>
      <c r="I3631" s="60">
        <v>19.8737839</v>
      </c>
      <c r="J3631" s="59">
        <v>11.0</v>
      </c>
      <c r="K3631" s="61">
        <f t="shared" si="1"/>
        <v>0.5</v>
      </c>
      <c r="L3631" s="62">
        <f t="shared" si="2"/>
        <v>1.1</v>
      </c>
    </row>
    <row r="3632">
      <c r="A3632" s="58">
        <v>45870.0</v>
      </c>
      <c r="B3632" s="24" t="s">
        <v>6787</v>
      </c>
      <c r="C3632" s="24" t="s">
        <v>6922</v>
      </c>
      <c r="D3632" s="59">
        <v>7.0</v>
      </c>
      <c r="E3632" s="59">
        <v>7.0</v>
      </c>
      <c r="F3632" s="59">
        <v>6.0</v>
      </c>
      <c r="G3632" s="60">
        <v>1.16666666666666</v>
      </c>
      <c r="H3632" s="60">
        <v>0.714285714285714</v>
      </c>
      <c r="I3632" s="60">
        <v>17.3744247142857</v>
      </c>
      <c r="J3632" s="59">
        <v>8.0</v>
      </c>
      <c r="K3632" s="61">
        <f t="shared" si="1"/>
        <v>0.8571428571</v>
      </c>
      <c r="L3632" s="62">
        <f t="shared" si="2"/>
        <v>1.142857143</v>
      </c>
    </row>
    <row r="3633">
      <c r="A3633" s="58">
        <v>45870.0</v>
      </c>
      <c r="B3633" s="24" t="s">
        <v>6787</v>
      </c>
      <c r="C3633" s="24" t="s">
        <v>7346</v>
      </c>
      <c r="D3633" s="59">
        <v>6.0</v>
      </c>
      <c r="E3633" s="59">
        <v>6.0</v>
      </c>
      <c r="F3633" s="59">
        <v>6.0</v>
      </c>
      <c r="G3633" s="60">
        <v>1.0</v>
      </c>
      <c r="H3633" s="60">
        <v>0.833333333333333</v>
      </c>
      <c r="I3633" s="60">
        <v>13.7146604999999</v>
      </c>
      <c r="J3633" s="59">
        <v>6.0</v>
      </c>
      <c r="K3633" s="61">
        <f t="shared" si="1"/>
        <v>1</v>
      </c>
      <c r="L3633" s="62">
        <f t="shared" si="2"/>
        <v>1</v>
      </c>
    </row>
    <row r="3634">
      <c r="A3634" s="58">
        <v>45870.0</v>
      </c>
      <c r="B3634" s="24" t="s">
        <v>6789</v>
      </c>
      <c r="C3634" s="24" t="s">
        <v>6886</v>
      </c>
      <c r="D3634" s="59">
        <v>6.0</v>
      </c>
      <c r="E3634" s="59">
        <v>6.0</v>
      </c>
      <c r="F3634" s="59">
        <v>3.0</v>
      </c>
      <c r="G3634" s="60">
        <v>1.0</v>
      </c>
      <c r="H3634" s="60">
        <v>0.333333333333333</v>
      </c>
      <c r="I3634" s="60">
        <v>79.6475401666666</v>
      </c>
      <c r="J3634" s="59">
        <v>7.0</v>
      </c>
      <c r="K3634" s="61">
        <f t="shared" si="1"/>
        <v>0.5</v>
      </c>
      <c r="L3634" s="62">
        <f t="shared" si="2"/>
        <v>1.166666667</v>
      </c>
    </row>
    <row r="3635">
      <c r="A3635" s="58">
        <v>45870.0</v>
      </c>
      <c r="B3635" s="24" t="s">
        <v>6789</v>
      </c>
      <c r="C3635" s="24" t="s">
        <v>6896</v>
      </c>
      <c r="D3635" s="59">
        <v>6.0</v>
      </c>
      <c r="E3635" s="59">
        <v>6.0</v>
      </c>
      <c r="F3635" s="59">
        <v>5.0</v>
      </c>
      <c r="G3635" s="60">
        <v>1.0</v>
      </c>
      <c r="H3635" s="60">
        <v>0.166666666666666</v>
      </c>
      <c r="I3635" s="60">
        <v>38.2561308333333</v>
      </c>
      <c r="J3635" s="59">
        <v>9.0</v>
      </c>
      <c r="K3635" s="61">
        <f t="shared" si="1"/>
        <v>0.8333333333</v>
      </c>
      <c r="L3635" s="62">
        <f t="shared" si="2"/>
        <v>1.5</v>
      </c>
    </row>
    <row r="3636">
      <c r="A3636" s="58">
        <v>45870.0</v>
      </c>
      <c r="B3636" s="24" t="s">
        <v>6787</v>
      </c>
      <c r="C3636" s="24" t="s">
        <v>6806</v>
      </c>
      <c r="D3636" s="59">
        <v>6.0</v>
      </c>
      <c r="E3636" s="59">
        <v>6.0</v>
      </c>
      <c r="F3636" s="59">
        <v>6.0</v>
      </c>
      <c r="G3636" s="60">
        <v>1.0</v>
      </c>
      <c r="H3636" s="60">
        <v>1.0</v>
      </c>
      <c r="I3636" s="60">
        <v>3.247535</v>
      </c>
      <c r="J3636" s="59">
        <v>6.0</v>
      </c>
      <c r="K3636" s="61">
        <f t="shared" si="1"/>
        <v>1</v>
      </c>
      <c r="L3636" s="62">
        <f t="shared" si="2"/>
        <v>1</v>
      </c>
    </row>
    <row r="3637">
      <c r="A3637" s="58">
        <v>45870.0</v>
      </c>
      <c r="B3637" s="24" t="s">
        <v>155</v>
      </c>
      <c r="C3637" s="24" t="s">
        <v>6806</v>
      </c>
      <c r="D3637" s="59">
        <v>6.0</v>
      </c>
      <c r="E3637" s="59">
        <v>6.0</v>
      </c>
      <c r="F3637" s="59">
        <v>6.0</v>
      </c>
      <c r="G3637" s="60">
        <v>1.0</v>
      </c>
      <c r="H3637" s="60">
        <v>0.5</v>
      </c>
      <c r="I3637" s="60">
        <v>187.3571955</v>
      </c>
      <c r="J3637" s="59">
        <v>7.0</v>
      </c>
      <c r="K3637" s="61">
        <f t="shared" si="1"/>
        <v>1</v>
      </c>
      <c r="L3637" s="62">
        <f t="shared" si="2"/>
        <v>1.166666667</v>
      </c>
    </row>
    <row r="3638">
      <c r="A3638" s="58">
        <v>45870.0</v>
      </c>
      <c r="B3638" s="24" t="s">
        <v>6787</v>
      </c>
      <c r="C3638" s="24" t="s">
        <v>6905</v>
      </c>
      <c r="D3638" s="59">
        <v>6.0</v>
      </c>
      <c r="E3638" s="59">
        <v>6.0</v>
      </c>
      <c r="F3638" s="59">
        <v>5.0</v>
      </c>
      <c r="G3638" s="60">
        <v>1.0</v>
      </c>
      <c r="H3638" s="60">
        <v>1.0</v>
      </c>
      <c r="I3638" s="60">
        <v>0.612715666666666</v>
      </c>
      <c r="J3638" s="59">
        <v>6.0</v>
      </c>
      <c r="K3638" s="61">
        <f t="shared" si="1"/>
        <v>0.8333333333</v>
      </c>
      <c r="L3638" s="62">
        <f t="shared" si="2"/>
        <v>1</v>
      </c>
    </row>
    <row r="3639">
      <c r="A3639" s="58">
        <v>45870.0</v>
      </c>
      <c r="B3639" s="24" t="s">
        <v>6791</v>
      </c>
      <c r="C3639" s="24" t="s">
        <v>7041</v>
      </c>
      <c r="D3639" s="59">
        <v>6.0</v>
      </c>
      <c r="E3639" s="59">
        <v>6.0</v>
      </c>
      <c r="F3639" s="59">
        <v>6.0</v>
      </c>
      <c r="G3639" s="60">
        <v>1.0</v>
      </c>
      <c r="H3639" s="60">
        <v>0.333333333333333</v>
      </c>
      <c r="I3639" s="60">
        <v>15.1406548333333</v>
      </c>
      <c r="J3639" s="59">
        <v>7.0</v>
      </c>
      <c r="K3639" s="61">
        <f t="shared" si="1"/>
        <v>1</v>
      </c>
      <c r="L3639" s="62">
        <f t="shared" si="2"/>
        <v>1.166666667</v>
      </c>
    </row>
    <row r="3640">
      <c r="A3640" s="58">
        <v>45870.0</v>
      </c>
      <c r="B3640" s="24" t="s">
        <v>6789</v>
      </c>
      <c r="C3640" s="24" t="s">
        <v>7091</v>
      </c>
      <c r="D3640" s="59">
        <v>6.0</v>
      </c>
      <c r="E3640" s="59">
        <v>6.0</v>
      </c>
      <c r="F3640" s="59">
        <v>6.0</v>
      </c>
      <c r="G3640" s="60">
        <v>1.0</v>
      </c>
      <c r="H3640" s="60">
        <v>0.0</v>
      </c>
      <c r="I3640" s="60">
        <v>97.123566</v>
      </c>
      <c r="J3640" s="59">
        <v>6.0</v>
      </c>
      <c r="K3640" s="61">
        <f t="shared" si="1"/>
        <v>1</v>
      </c>
      <c r="L3640" s="62">
        <f t="shared" si="2"/>
        <v>1</v>
      </c>
    </row>
    <row r="3641">
      <c r="A3641" s="58">
        <v>45870.0</v>
      </c>
      <c r="B3641" s="24" t="s">
        <v>6787</v>
      </c>
      <c r="C3641" s="24" t="s">
        <v>7237</v>
      </c>
      <c r="D3641" s="59">
        <v>6.0</v>
      </c>
      <c r="E3641" s="59">
        <v>6.0</v>
      </c>
      <c r="F3641" s="59">
        <v>6.0</v>
      </c>
      <c r="G3641" s="60">
        <v>1.0</v>
      </c>
      <c r="H3641" s="60">
        <v>1.0</v>
      </c>
      <c r="I3641" s="60">
        <v>1.69642866666666</v>
      </c>
      <c r="J3641" s="59">
        <v>6.0</v>
      </c>
      <c r="K3641" s="61">
        <f t="shared" si="1"/>
        <v>1</v>
      </c>
      <c r="L3641" s="62">
        <f t="shared" si="2"/>
        <v>1</v>
      </c>
    </row>
    <row r="3642">
      <c r="A3642" s="58">
        <v>45870.0</v>
      </c>
      <c r="B3642" s="24" t="s">
        <v>6787</v>
      </c>
      <c r="C3642" s="24" t="s">
        <v>6912</v>
      </c>
      <c r="D3642" s="59">
        <v>6.0</v>
      </c>
      <c r="E3642" s="59">
        <v>6.0</v>
      </c>
      <c r="F3642" s="59">
        <v>6.0</v>
      </c>
      <c r="G3642" s="60">
        <v>1.0</v>
      </c>
      <c r="H3642" s="60">
        <v>0.0</v>
      </c>
      <c r="I3642" s="60">
        <v>116.711550166666</v>
      </c>
      <c r="J3642" s="59">
        <v>11.0</v>
      </c>
      <c r="K3642" s="61">
        <f t="shared" si="1"/>
        <v>1</v>
      </c>
      <c r="L3642" s="62">
        <f t="shared" si="2"/>
        <v>1.833333333</v>
      </c>
    </row>
    <row r="3643">
      <c r="A3643" s="58">
        <v>45870.0</v>
      </c>
      <c r="B3643" s="24" t="s">
        <v>6789</v>
      </c>
      <c r="C3643" s="24" t="s">
        <v>6817</v>
      </c>
      <c r="D3643" s="59">
        <v>5.0</v>
      </c>
      <c r="E3643" s="59">
        <v>7.0</v>
      </c>
      <c r="F3643" s="59">
        <v>1.0</v>
      </c>
      <c r="G3643" s="60">
        <v>1.4</v>
      </c>
      <c r="H3643" s="60">
        <v>0.285714285714285</v>
      </c>
      <c r="I3643" s="60">
        <v>495.593906142857</v>
      </c>
      <c r="J3643" s="59">
        <v>21.0</v>
      </c>
      <c r="K3643" s="61">
        <f t="shared" si="1"/>
        <v>0.1428571429</v>
      </c>
      <c r="L3643" s="62">
        <f t="shared" si="2"/>
        <v>3</v>
      </c>
    </row>
    <row r="3644">
      <c r="A3644" s="58">
        <v>45870.0</v>
      </c>
      <c r="B3644" s="24" t="s">
        <v>6787</v>
      </c>
      <c r="C3644" s="24" t="s">
        <v>6943</v>
      </c>
      <c r="D3644" s="59">
        <v>5.0</v>
      </c>
      <c r="E3644" s="59">
        <v>5.0</v>
      </c>
      <c r="F3644" s="59">
        <v>4.0</v>
      </c>
      <c r="G3644" s="60">
        <v>1.0</v>
      </c>
      <c r="H3644" s="60">
        <v>0.8</v>
      </c>
      <c r="I3644" s="60">
        <v>11.2221764</v>
      </c>
      <c r="J3644" s="59">
        <v>7.0</v>
      </c>
      <c r="K3644" s="61">
        <f t="shared" si="1"/>
        <v>0.8</v>
      </c>
      <c r="L3644" s="62">
        <f t="shared" si="2"/>
        <v>1.4</v>
      </c>
    </row>
    <row r="3645">
      <c r="A3645" s="58">
        <v>45870.0</v>
      </c>
      <c r="B3645" s="24" t="s">
        <v>6794</v>
      </c>
      <c r="C3645" s="24" t="s">
        <v>6876</v>
      </c>
      <c r="D3645" s="59">
        <v>5.0</v>
      </c>
      <c r="E3645" s="59">
        <v>6.0</v>
      </c>
      <c r="F3645" s="59">
        <v>3.0</v>
      </c>
      <c r="G3645" s="60">
        <v>1.5</v>
      </c>
      <c r="H3645" s="60">
        <v>0.333333333333333</v>
      </c>
      <c r="I3645" s="60">
        <v>50.8659046666666</v>
      </c>
      <c r="J3645" s="59">
        <v>9.0</v>
      </c>
      <c r="K3645" s="61">
        <f t="shared" si="1"/>
        <v>0.5</v>
      </c>
      <c r="L3645" s="62">
        <f t="shared" si="2"/>
        <v>1.5</v>
      </c>
    </row>
    <row r="3646">
      <c r="A3646" s="58">
        <v>45870.0</v>
      </c>
      <c r="B3646" s="24" t="s">
        <v>6789</v>
      </c>
      <c r="C3646" s="24" t="s">
        <v>7021</v>
      </c>
      <c r="D3646" s="59">
        <v>5.0</v>
      </c>
      <c r="E3646" s="59">
        <v>10.0</v>
      </c>
      <c r="F3646" s="59">
        <v>0.0</v>
      </c>
      <c r="G3646" s="60">
        <v>3.33333333333333</v>
      </c>
      <c r="H3646" s="60">
        <v>0.4</v>
      </c>
      <c r="I3646" s="60">
        <v>458.1951896</v>
      </c>
      <c r="J3646" s="59">
        <v>17.0</v>
      </c>
      <c r="K3646" s="61">
        <f t="shared" si="1"/>
        <v>0</v>
      </c>
      <c r="L3646" s="62">
        <f t="shared" si="2"/>
        <v>1.7</v>
      </c>
    </row>
    <row r="3647">
      <c r="A3647" s="58">
        <v>45870.0</v>
      </c>
      <c r="B3647" s="24" t="s">
        <v>6789</v>
      </c>
      <c r="C3647" s="24" t="s">
        <v>6822</v>
      </c>
      <c r="D3647" s="59">
        <v>5.0</v>
      </c>
      <c r="E3647" s="59">
        <v>8.0</v>
      </c>
      <c r="F3647" s="59">
        <v>2.0</v>
      </c>
      <c r="G3647" s="60">
        <v>1.6</v>
      </c>
      <c r="H3647" s="60">
        <v>0.5</v>
      </c>
      <c r="I3647" s="60">
        <v>483.985021</v>
      </c>
      <c r="J3647" s="59">
        <v>33.0</v>
      </c>
      <c r="K3647" s="61">
        <f t="shared" si="1"/>
        <v>0.25</v>
      </c>
      <c r="L3647" s="62">
        <f t="shared" si="2"/>
        <v>4.125</v>
      </c>
    </row>
    <row r="3648">
      <c r="A3648" s="58">
        <v>45870.0</v>
      </c>
      <c r="B3648" s="24" t="s">
        <v>6789</v>
      </c>
      <c r="C3648" s="24" t="s">
        <v>6892</v>
      </c>
      <c r="D3648" s="59">
        <v>5.0</v>
      </c>
      <c r="E3648" s="59">
        <v>5.0</v>
      </c>
      <c r="F3648" s="59">
        <v>1.0</v>
      </c>
      <c r="G3648" s="60">
        <v>1.25</v>
      </c>
      <c r="H3648" s="60">
        <v>0.2</v>
      </c>
      <c r="I3648" s="60">
        <v>226.5354252</v>
      </c>
      <c r="J3648" s="59">
        <v>7.0</v>
      </c>
      <c r="K3648" s="61">
        <f t="shared" si="1"/>
        <v>0.2</v>
      </c>
      <c r="L3648" s="62">
        <f t="shared" si="2"/>
        <v>1.4</v>
      </c>
    </row>
    <row r="3649">
      <c r="A3649" s="58">
        <v>45870.0</v>
      </c>
      <c r="B3649" s="24" t="s">
        <v>6787</v>
      </c>
      <c r="C3649" s="24" t="s">
        <v>6811</v>
      </c>
      <c r="D3649" s="59">
        <v>5.0</v>
      </c>
      <c r="E3649" s="59">
        <v>5.0</v>
      </c>
      <c r="F3649" s="59">
        <v>5.0</v>
      </c>
      <c r="G3649" s="60">
        <v>1.0</v>
      </c>
      <c r="H3649" s="60">
        <v>0.6</v>
      </c>
      <c r="I3649" s="60">
        <v>35.6184176</v>
      </c>
      <c r="J3649" s="59">
        <v>16.0</v>
      </c>
      <c r="K3649" s="61">
        <f t="shared" si="1"/>
        <v>1</v>
      </c>
      <c r="L3649" s="62">
        <f t="shared" si="2"/>
        <v>3.2</v>
      </c>
    </row>
    <row r="3650">
      <c r="A3650" s="58">
        <v>45870.0</v>
      </c>
      <c r="B3650" s="24" t="s">
        <v>6789</v>
      </c>
      <c r="C3650" s="24" t="s">
        <v>6907</v>
      </c>
      <c r="D3650" s="59">
        <v>5.0</v>
      </c>
      <c r="E3650" s="59">
        <v>6.0</v>
      </c>
      <c r="F3650" s="59">
        <v>2.0</v>
      </c>
      <c r="G3650" s="60">
        <v>1.2</v>
      </c>
      <c r="H3650" s="60">
        <v>0.5</v>
      </c>
      <c r="I3650" s="60">
        <v>96.1930796666666</v>
      </c>
      <c r="J3650" s="59">
        <v>8.0</v>
      </c>
      <c r="K3650" s="61">
        <f t="shared" si="1"/>
        <v>0.3333333333</v>
      </c>
      <c r="L3650" s="62">
        <f t="shared" si="2"/>
        <v>1.333333333</v>
      </c>
    </row>
    <row r="3651">
      <c r="A3651" s="58">
        <v>45870.0</v>
      </c>
      <c r="B3651" s="24" t="s">
        <v>6789</v>
      </c>
      <c r="C3651" s="24" t="s">
        <v>6800</v>
      </c>
      <c r="D3651" s="59">
        <v>5.0</v>
      </c>
      <c r="E3651" s="59">
        <v>6.0</v>
      </c>
      <c r="F3651" s="59">
        <v>4.0</v>
      </c>
      <c r="G3651" s="60">
        <v>1.2</v>
      </c>
      <c r="H3651" s="60">
        <v>0.333333333333333</v>
      </c>
      <c r="I3651" s="60">
        <v>287.655592833333</v>
      </c>
      <c r="J3651" s="59">
        <v>8.0</v>
      </c>
      <c r="K3651" s="61">
        <f t="shared" si="1"/>
        <v>0.6666666667</v>
      </c>
      <c r="L3651" s="62">
        <f t="shared" si="2"/>
        <v>1.333333333</v>
      </c>
    </row>
    <row r="3652">
      <c r="A3652" s="58">
        <v>45870.0</v>
      </c>
      <c r="B3652" s="24" t="s">
        <v>6789</v>
      </c>
      <c r="C3652" s="24" t="s">
        <v>6849</v>
      </c>
      <c r="D3652" s="59">
        <v>5.0</v>
      </c>
      <c r="E3652" s="59">
        <v>5.0</v>
      </c>
      <c r="F3652" s="59">
        <v>2.0</v>
      </c>
      <c r="G3652" s="60">
        <v>1.0</v>
      </c>
      <c r="H3652" s="60">
        <v>0.2</v>
      </c>
      <c r="I3652" s="60">
        <v>185.6735718</v>
      </c>
      <c r="J3652" s="59">
        <v>8.0</v>
      </c>
      <c r="K3652" s="61">
        <f t="shared" si="1"/>
        <v>0.4</v>
      </c>
      <c r="L3652" s="62">
        <f t="shared" si="2"/>
        <v>1.6</v>
      </c>
    </row>
    <row r="3653">
      <c r="A3653" s="58">
        <v>45870.0</v>
      </c>
      <c r="B3653" s="24" t="s">
        <v>6787</v>
      </c>
      <c r="C3653" s="24" t="s">
        <v>6814</v>
      </c>
      <c r="D3653" s="59">
        <v>5.0</v>
      </c>
      <c r="E3653" s="59">
        <v>5.0</v>
      </c>
      <c r="F3653" s="59">
        <v>5.0</v>
      </c>
      <c r="G3653" s="60">
        <v>1.0</v>
      </c>
      <c r="H3653" s="60">
        <v>0.4</v>
      </c>
      <c r="I3653" s="60">
        <v>34.2403165999999</v>
      </c>
      <c r="J3653" s="59">
        <v>20.0</v>
      </c>
      <c r="K3653" s="61">
        <f t="shared" si="1"/>
        <v>1</v>
      </c>
      <c r="L3653" s="62">
        <f t="shared" si="2"/>
        <v>4</v>
      </c>
    </row>
    <row r="3654">
      <c r="A3654" s="58">
        <v>45870.0</v>
      </c>
      <c r="B3654" s="24" t="s">
        <v>6790</v>
      </c>
      <c r="C3654" s="24" t="s">
        <v>6915</v>
      </c>
      <c r="D3654" s="59">
        <v>5.0</v>
      </c>
      <c r="E3654" s="59">
        <v>5.0</v>
      </c>
      <c r="F3654" s="59">
        <v>5.0</v>
      </c>
      <c r="G3654" s="60">
        <v>1.0</v>
      </c>
      <c r="H3654" s="60">
        <v>1.0</v>
      </c>
      <c r="I3654" s="60">
        <v>0.0</v>
      </c>
      <c r="J3654" s="59">
        <v>5.0</v>
      </c>
      <c r="K3654" s="61">
        <f t="shared" si="1"/>
        <v>1</v>
      </c>
      <c r="L3654" s="62">
        <f t="shared" si="2"/>
        <v>1</v>
      </c>
    </row>
    <row r="3655">
      <c r="A3655" s="58">
        <v>45870.0</v>
      </c>
      <c r="B3655" s="24" t="s">
        <v>6787</v>
      </c>
      <c r="C3655" s="24" t="s">
        <v>6797</v>
      </c>
      <c r="D3655" s="59">
        <v>5.0</v>
      </c>
      <c r="E3655" s="59">
        <v>5.0</v>
      </c>
      <c r="F3655" s="59">
        <v>5.0</v>
      </c>
      <c r="G3655" s="60">
        <v>1.0</v>
      </c>
      <c r="H3655" s="60">
        <v>0.8</v>
      </c>
      <c r="I3655" s="60">
        <v>2.4997568</v>
      </c>
      <c r="J3655" s="59">
        <v>5.0</v>
      </c>
      <c r="K3655" s="61">
        <f t="shared" si="1"/>
        <v>1</v>
      </c>
      <c r="L3655" s="62">
        <f t="shared" si="2"/>
        <v>1</v>
      </c>
    </row>
    <row r="3656">
      <c r="A3656" s="58">
        <v>45870.0</v>
      </c>
      <c r="B3656" s="24" t="s">
        <v>6789</v>
      </c>
      <c r="C3656" s="24" t="s">
        <v>6810</v>
      </c>
      <c r="D3656" s="59">
        <v>5.0</v>
      </c>
      <c r="E3656" s="59">
        <v>11.0</v>
      </c>
      <c r="F3656" s="59">
        <v>2.0</v>
      </c>
      <c r="G3656" s="60">
        <v>3.66666666666666</v>
      </c>
      <c r="H3656" s="60">
        <v>0.727272727272727</v>
      </c>
      <c r="I3656" s="60">
        <v>201.558251363636</v>
      </c>
      <c r="J3656" s="59">
        <v>13.0</v>
      </c>
      <c r="K3656" s="61">
        <f t="shared" si="1"/>
        <v>0.1818181818</v>
      </c>
      <c r="L3656" s="62">
        <f t="shared" si="2"/>
        <v>1.181818182</v>
      </c>
    </row>
    <row r="3657">
      <c r="A3657" s="58">
        <v>45870.0</v>
      </c>
      <c r="B3657" s="24" t="s">
        <v>6787</v>
      </c>
      <c r="C3657" s="24" t="s">
        <v>6829</v>
      </c>
      <c r="D3657" s="59">
        <v>4.0</v>
      </c>
      <c r="E3657" s="59">
        <v>4.0</v>
      </c>
      <c r="F3657" s="59">
        <v>4.0</v>
      </c>
      <c r="G3657" s="60">
        <v>1.0</v>
      </c>
      <c r="H3657" s="60">
        <v>1.0</v>
      </c>
      <c r="I3657" s="60">
        <v>0.0</v>
      </c>
      <c r="J3657" s="59">
        <v>4.0</v>
      </c>
      <c r="K3657" s="61">
        <f t="shared" si="1"/>
        <v>1</v>
      </c>
      <c r="L3657" s="62">
        <f t="shared" si="2"/>
        <v>1</v>
      </c>
    </row>
    <row r="3658">
      <c r="A3658" s="58">
        <v>45870.0</v>
      </c>
      <c r="B3658" s="24" t="s">
        <v>6787</v>
      </c>
      <c r="C3658" s="24" t="s">
        <v>6861</v>
      </c>
      <c r="D3658" s="59">
        <v>4.0</v>
      </c>
      <c r="E3658" s="59">
        <v>4.0</v>
      </c>
      <c r="F3658" s="59">
        <v>4.0</v>
      </c>
      <c r="G3658" s="60">
        <v>1.0</v>
      </c>
      <c r="H3658" s="60">
        <v>1.0</v>
      </c>
      <c r="I3658" s="60">
        <v>0.0</v>
      </c>
      <c r="J3658" s="59">
        <v>4.0</v>
      </c>
      <c r="K3658" s="61">
        <f t="shared" si="1"/>
        <v>1</v>
      </c>
      <c r="L3658" s="62">
        <f t="shared" si="2"/>
        <v>1</v>
      </c>
    </row>
    <row r="3659">
      <c r="A3659" s="58">
        <v>45870.0</v>
      </c>
      <c r="B3659" s="24" t="s">
        <v>6787</v>
      </c>
      <c r="C3659" s="24" t="s">
        <v>7059</v>
      </c>
      <c r="D3659" s="59">
        <v>4.0</v>
      </c>
      <c r="E3659" s="59">
        <v>4.0</v>
      </c>
      <c r="F3659" s="59">
        <v>4.0</v>
      </c>
      <c r="G3659" s="60">
        <v>1.0</v>
      </c>
      <c r="H3659" s="60">
        <v>1.0</v>
      </c>
      <c r="I3659" s="60">
        <v>0.0</v>
      </c>
      <c r="J3659" s="59">
        <v>4.0</v>
      </c>
      <c r="K3659" s="61">
        <f t="shared" si="1"/>
        <v>1</v>
      </c>
      <c r="L3659" s="62">
        <f t="shared" si="2"/>
        <v>1</v>
      </c>
    </row>
    <row r="3660">
      <c r="A3660" s="58">
        <v>45870.0</v>
      </c>
      <c r="B3660" s="24" t="s">
        <v>6789</v>
      </c>
      <c r="C3660" s="24" t="s">
        <v>6927</v>
      </c>
      <c r="D3660" s="59">
        <v>4.0</v>
      </c>
      <c r="E3660" s="59">
        <v>4.0</v>
      </c>
      <c r="F3660" s="59">
        <v>4.0</v>
      </c>
      <c r="G3660" s="60">
        <v>1.0</v>
      </c>
      <c r="H3660" s="60">
        <v>0.75</v>
      </c>
      <c r="I3660" s="60">
        <v>46.11893275</v>
      </c>
      <c r="J3660" s="59">
        <v>4.0</v>
      </c>
      <c r="K3660" s="61">
        <f t="shared" si="1"/>
        <v>1</v>
      </c>
      <c r="L3660" s="62">
        <f t="shared" si="2"/>
        <v>1</v>
      </c>
    </row>
    <row r="3661">
      <c r="A3661" s="58">
        <v>45870.0</v>
      </c>
      <c r="B3661" s="24" t="s">
        <v>6787</v>
      </c>
      <c r="C3661" s="24" t="s">
        <v>7024</v>
      </c>
      <c r="D3661" s="59">
        <v>4.0</v>
      </c>
      <c r="E3661" s="59">
        <v>4.0</v>
      </c>
      <c r="F3661" s="59">
        <v>4.0</v>
      </c>
      <c r="G3661" s="60">
        <v>1.0</v>
      </c>
      <c r="H3661" s="60">
        <v>0.25</v>
      </c>
      <c r="I3661" s="60">
        <v>253.255421</v>
      </c>
      <c r="J3661" s="59">
        <v>5.0</v>
      </c>
      <c r="K3661" s="61">
        <f t="shared" si="1"/>
        <v>1</v>
      </c>
      <c r="L3661" s="62">
        <f t="shared" si="2"/>
        <v>1.25</v>
      </c>
    </row>
    <row r="3662">
      <c r="A3662" s="58">
        <v>45870.0</v>
      </c>
      <c r="B3662" s="24" t="s">
        <v>6789</v>
      </c>
      <c r="C3662" s="24" t="s">
        <v>6835</v>
      </c>
      <c r="D3662" s="59">
        <v>4.0</v>
      </c>
      <c r="E3662" s="59">
        <v>4.0</v>
      </c>
      <c r="F3662" s="59">
        <v>4.0</v>
      </c>
      <c r="G3662" s="60">
        <v>1.0</v>
      </c>
      <c r="H3662" s="60">
        <v>0.5</v>
      </c>
      <c r="I3662" s="60">
        <v>179.909581</v>
      </c>
      <c r="J3662" s="59">
        <v>4.0</v>
      </c>
      <c r="K3662" s="61">
        <f t="shared" si="1"/>
        <v>1</v>
      </c>
      <c r="L3662" s="62">
        <f t="shared" si="2"/>
        <v>1</v>
      </c>
    </row>
    <row r="3663">
      <c r="A3663" s="58">
        <v>45870.0</v>
      </c>
      <c r="B3663" s="24" t="s">
        <v>6789</v>
      </c>
      <c r="C3663" s="24" t="s">
        <v>6838</v>
      </c>
      <c r="D3663" s="59">
        <v>4.0</v>
      </c>
      <c r="E3663" s="59">
        <v>4.0</v>
      </c>
      <c r="F3663" s="59">
        <v>2.0</v>
      </c>
      <c r="G3663" s="60">
        <v>1.0</v>
      </c>
      <c r="H3663" s="60">
        <v>0.25</v>
      </c>
      <c r="I3663" s="60">
        <v>108.6616195</v>
      </c>
      <c r="J3663" s="59">
        <v>8.0</v>
      </c>
      <c r="K3663" s="61">
        <f t="shared" si="1"/>
        <v>0.5</v>
      </c>
      <c r="L3663" s="62">
        <f t="shared" si="2"/>
        <v>2</v>
      </c>
    </row>
    <row r="3664">
      <c r="A3664" s="58">
        <v>45870.0</v>
      </c>
      <c r="B3664" s="24" t="s">
        <v>6787</v>
      </c>
      <c r="C3664" s="24" t="s">
        <v>7301</v>
      </c>
      <c r="D3664" s="59">
        <v>4.0</v>
      </c>
      <c r="E3664" s="59">
        <v>6.0</v>
      </c>
      <c r="F3664" s="59">
        <v>4.0</v>
      </c>
      <c r="G3664" s="60">
        <v>1.5</v>
      </c>
      <c r="H3664" s="60">
        <v>1.0</v>
      </c>
      <c r="I3664" s="60">
        <v>2.79200433333333</v>
      </c>
      <c r="J3664" s="59">
        <v>6.0</v>
      </c>
      <c r="K3664" s="61">
        <f t="shared" si="1"/>
        <v>0.6666666667</v>
      </c>
      <c r="L3664" s="62">
        <f t="shared" si="2"/>
        <v>1</v>
      </c>
    </row>
    <row r="3665">
      <c r="A3665" s="58">
        <v>45870.0</v>
      </c>
      <c r="B3665" s="24" t="s">
        <v>6789</v>
      </c>
      <c r="C3665" s="24" t="s">
        <v>6898</v>
      </c>
      <c r="D3665" s="59">
        <v>4.0</v>
      </c>
      <c r="E3665" s="59">
        <v>4.0</v>
      </c>
      <c r="F3665" s="59">
        <v>4.0</v>
      </c>
      <c r="G3665" s="60">
        <v>1.0</v>
      </c>
      <c r="H3665" s="60">
        <v>0.75</v>
      </c>
      <c r="I3665" s="60">
        <v>288.61181525</v>
      </c>
      <c r="J3665" s="59">
        <v>7.0</v>
      </c>
      <c r="K3665" s="61">
        <f t="shared" si="1"/>
        <v>1</v>
      </c>
      <c r="L3665" s="62">
        <f t="shared" si="2"/>
        <v>1.75</v>
      </c>
    </row>
    <row r="3666">
      <c r="A3666" s="58">
        <v>45870.0</v>
      </c>
      <c r="B3666" s="24" t="s">
        <v>155</v>
      </c>
      <c r="C3666" s="24" t="s">
        <v>6903</v>
      </c>
      <c r="D3666" s="59">
        <v>4.0</v>
      </c>
      <c r="E3666" s="59">
        <v>4.0</v>
      </c>
      <c r="F3666" s="59">
        <v>4.0</v>
      </c>
      <c r="G3666" s="60">
        <v>1.0</v>
      </c>
      <c r="H3666" s="60">
        <v>0.25</v>
      </c>
      <c r="I3666" s="60">
        <v>88.3394529999999</v>
      </c>
      <c r="J3666" s="59">
        <v>4.0</v>
      </c>
      <c r="K3666" s="61">
        <f t="shared" si="1"/>
        <v>1</v>
      </c>
      <c r="L3666" s="62">
        <f t="shared" si="2"/>
        <v>1</v>
      </c>
    </row>
    <row r="3667">
      <c r="A3667" s="58">
        <v>45870.0</v>
      </c>
      <c r="B3667" s="24" t="s">
        <v>6787</v>
      </c>
      <c r="C3667" s="24" t="s">
        <v>6904</v>
      </c>
      <c r="D3667" s="59">
        <v>4.0</v>
      </c>
      <c r="E3667" s="59">
        <v>4.0</v>
      </c>
      <c r="F3667" s="59">
        <v>4.0</v>
      </c>
      <c r="G3667" s="60">
        <v>1.0</v>
      </c>
      <c r="H3667" s="60">
        <v>0.75</v>
      </c>
      <c r="I3667" s="60">
        <v>9.89869775</v>
      </c>
      <c r="J3667" s="59">
        <v>5.0</v>
      </c>
      <c r="K3667" s="61">
        <f t="shared" si="1"/>
        <v>1</v>
      </c>
      <c r="L3667" s="62">
        <f t="shared" si="2"/>
        <v>1.25</v>
      </c>
    </row>
    <row r="3668">
      <c r="A3668" s="58">
        <v>45870.0</v>
      </c>
      <c r="B3668" s="24" t="s">
        <v>6787</v>
      </c>
      <c r="C3668" s="24" t="s">
        <v>7310</v>
      </c>
      <c r="D3668" s="59">
        <v>4.0</v>
      </c>
      <c r="E3668" s="59">
        <v>4.0</v>
      </c>
      <c r="F3668" s="59">
        <v>4.0</v>
      </c>
      <c r="G3668" s="60">
        <v>1.0</v>
      </c>
      <c r="H3668" s="60">
        <v>0.5</v>
      </c>
      <c r="I3668" s="60">
        <v>9.4164415</v>
      </c>
      <c r="J3668" s="59">
        <v>4.0</v>
      </c>
      <c r="K3668" s="61">
        <f t="shared" si="1"/>
        <v>1</v>
      </c>
      <c r="L3668" s="62">
        <f t="shared" si="2"/>
        <v>1</v>
      </c>
    </row>
    <row r="3669">
      <c r="A3669" s="58">
        <v>45870.0</v>
      </c>
      <c r="B3669" s="24" t="s">
        <v>6942</v>
      </c>
      <c r="C3669" s="24" t="s">
        <v>7310</v>
      </c>
      <c r="D3669" s="59">
        <v>4.0</v>
      </c>
      <c r="E3669" s="59">
        <v>4.0</v>
      </c>
      <c r="F3669" s="59">
        <v>4.0</v>
      </c>
      <c r="G3669" s="60">
        <v>1.0</v>
      </c>
      <c r="H3669" s="60">
        <v>1.0</v>
      </c>
      <c r="I3669" s="60">
        <v>0.0</v>
      </c>
      <c r="J3669" s="59">
        <v>4.0</v>
      </c>
      <c r="K3669" s="61">
        <f t="shared" si="1"/>
        <v>1</v>
      </c>
      <c r="L3669" s="62">
        <f t="shared" si="2"/>
        <v>1</v>
      </c>
    </row>
    <row r="3670">
      <c r="A3670" s="58">
        <v>45870.0</v>
      </c>
      <c r="B3670" s="24" t="s">
        <v>6789</v>
      </c>
      <c r="C3670" s="24" t="s">
        <v>7236</v>
      </c>
      <c r="D3670" s="59">
        <v>4.0</v>
      </c>
      <c r="E3670" s="59">
        <v>4.0</v>
      </c>
      <c r="F3670" s="59">
        <v>2.0</v>
      </c>
      <c r="G3670" s="60">
        <v>1.33333333333333</v>
      </c>
      <c r="H3670" s="60">
        <v>0.5</v>
      </c>
      <c r="I3670" s="60">
        <v>129.16916025</v>
      </c>
      <c r="J3670" s="59">
        <v>5.0</v>
      </c>
      <c r="K3670" s="61">
        <f t="shared" si="1"/>
        <v>0.5</v>
      </c>
      <c r="L3670" s="62">
        <f t="shared" si="2"/>
        <v>1.25</v>
      </c>
    </row>
    <row r="3671">
      <c r="A3671" s="58">
        <v>45870.0</v>
      </c>
      <c r="B3671" s="24" t="s">
        <v>6787</v>
      </c>
      <c r="C3671" s="24" t="s">
        <v>7013</v>
      </c>
      <c r="D3671" s="59">
        <v>4.0</v>
      </c>
      <c r="E3671" s="59">
        <v>4.0</v>
      </c>
      <c r="F3671" s="59">
        <v>4.0</v>
      </c>
      <c r="G3671" s="60">
        <v>1.0</v>
      </c>
      <c r="H3671" s="60">
        <v>0.5</v>
      </c>
      <c r="I3671" s="60">
        <v>46.09702975</v>
      </c>
      <c r="J3671" s="59">
        <v>4.0</v>
      </c>
      <c r="K3671" s="61">
        <f t="shared" si="1"/>
        <v>1</v>
      </c>
      <c r="L3671" s="62">
        <f t="shared" si="2"/>
        <v>1</v>
      </c>
    </row>
    <row r="3672">
      <c r="A3672" s="58">
        <v>45870.0</v>
      </c>
      <c r="B3672" s="24" t="s">
        <v>6787</v>
      </c>
      <c r="C3672" s="24" t="s">
        <v>6812</v>
      </c>
      <c r="D3672" s="59">
        <v>4.0</v>
      </c>
      <c r="E3672" s="59">
        <v>4.0</v>
      </c>
      <c r="F3672" s="59">
        <v>4.0</v>
      </c>
      <c r="G3672" s="60">
        <v>1.0</v>
      </c>
      <c r="H3672" s="60">
        <v>0.75</v>
      </c>
      <c r="I3672" s="60">
        <v>3.81916725</v>
      </c>
      <c r="J3672" s="59">
        <v>4.0</v>
      </c>
      <c r="K3672" s="61">
        <f t="shared" si="1"/>
        <v>1</v>
      </c>
      <c r="L3672" s="62">
        <f t="shared" si="2"/>
        <v>1</v>
      </c>
    </row>
    <row r="3673">
      <c r="A3673" s="58">
        <v>45870.0</v>
      </c>
      <c r="B3673" s="24" t="s">
        <v>6789</v>
      </c>
      <c r="C3673" s="24" t="s">
        <v>6812</v>
      </c>
      <c r="D3673" s="59">
        <v>4.0</v>
      </c>
      <c r="E3673" s="59">
        <v>4.0</v>
      </c>
      <c r="F3673" s="59">
        <v>4.0</v>
      </c>
      <c r="G3673" s="60">
        <v>1.0</v>
      </c>
      <c r="H3673" s="60">
        <v>0.5</v>
      </c>
      <c r="I3673" s="60">
        <v>9.804737</v>
      </c>
      <c r="J3673" s="59">
        <v>5.0</v>
      </c>
      <c r="K3673" s="61">
        <f t="shared" si="1"/>
        <v>1</v>
      </c>
      <c r="L3673" s="62">
        <f t="shared" si="2"/>
        <v>1.25</v>
      </c>
    </row>
    <row r="3674">
      <c r="A3674" s="58">
        <v>45870.0</v>
      </c>
      <c r="B3674" s="24" t="s">
        <v>6787</v>
      </c>
      <c r="C3674" s="24" t="s">
        <v>7101</v>
      </c>
      <c r="D3674" s="59">
        <v>4.0</v>
      </c>
      <c r="E3674" s="59">
        <v>4.0</v>
      </c>
      <c r="F3674" s="59">
        <v>4.0</v>
      </c>
      <c r="G3674" s="60">
        <v>1.0</v>
      </c>
      <c r="H3674" s="60">
        <v>0.75</v>
      </c>
      <c r="I3674" s="60">
        <v>3.28791425</v>
      </c>
      <c r="J3674" s="59">
        <v>4.0</v>
      </c>
      <c r="K3674" s="61">
        <f t="shared" si="1"/>
        <v>1</v>
      </c>
      <c r="L3674" s="62">
        <f t="shared" si="2"/>
        <v>1</v>
      </c>
    </row>
    <row r="3675">
      <c r="A3675" s="58">
        <v>45870.0</v>
      </c>
      <c r="B3675" s="24" t="s">
        <v>6787</v>
      </c>
      <c r="C3675" s="24" t="s">
        <v>7102</v>
      </c>
      <c r="D3675" s="59">
        <v>4.0</v>
      </c>
      <c r="E3675" s="59">
        <v>4.0</v>
      </c>
      <c r="F3675" s="59">
        <v>4.0</v>
      </c>
      <c r="G3675" s="60">
        <v>1.0</v>
      </c>
      <c r="H3675" s="60">
        <v>1.0</v>
      </c>
      <c r="I3675" s="60">
        <v>2.79490275</v>
      </c>
      <c r="J3675" s="59">
        <v>4.0</v>
      </c>
      <c r="K3675" s="61">
        <f t="shared" si="1"/>
        <v>1</v>
      </c>
      <c r="L3675" s="62">
        <f t="shared" si="2"/>
        <v>1</v>
      </c>
    </row>
    <row r="3676">
      <c r="A3676" s="58">
        <v>45870.0</v>
      </c>
      <c r="B3676" s="24" t="s">
        <v>6787</v>
      </c>
      <c r="C3676" s="24" t="s">
        <v>7014</v>
      </c>
      <c r="D3676" s="59">
        <v>4.0</v>
      </c>
      <c r="E3676" s="59">
        <v>4.0</v>
      </c>
      <c r="F3676" s="59">
        <v>4.0</v>
      </c>
      <c r="G3676" s="60">
        <v>1.0</v>
      </c>
      <c r="H3676" s="60">
        <v>0.75</v>
      </c>
      <c r="I3676" s="60">
        <v>7.1145</v>
      </c>
      <c r="J3676" s="59">
        <v>4.0</v>
      </c>
      <c r="K3676" s="61">
        <f t="shared" si="1"/>
        <v>1</v>
      </c>
      <c r="L3676" s="62">
        <f t="shared" si="2"/>
        <v>1</v>
      </c>
    </row>
    <row r="3677">
      <c r="A3677" s="58">
        <v>45870.0</v>
      </c>
      <c r="B3677" s="24" t="s">
        <v>6787</v>
      </c>
      <c r="C3677" s="24" t="s">
        <v>6917</v>
      </c>
      <c r="D3677" s="59">
        <v>4.0</v>
      </c>
      <c r="E3677" s="59">
        <v>4.0</v>
      </c>
      <c r="F3677" s="59">
        <v>4.0</v>
      </c>
      <c r="G3677" s="60">
        <v>1.0</v>
      </c>
      <c r="H3677" s="60">
        <v>1.0</v>
      </c>
      <c r="I3677" s="60">
        <v>1.35760775</v>
      </c>
      <c r="J3677" s="59">
        <v>4.0</v>
      </c>
      <c r="K3677" s="61">
        <f t="shared" si="1"/>
        <v>1</v>
      </c>
      <c r="L3677" s="62">
        <f t="shared" si="2"/>
        <v>1</v>
      </c>
    </row>
    <row r="3678">
      <c r="A3678" s="58">
        <v>45870.0</v>
      </c>
      <c r="B3678" s="24" t="s">
        <v>6787</v>
      </c>
      <c r="C3678" s="24" t="s">
        <v>6853</v>
      </c>
      <c r="D3678" s="59">
        <v>4.0</v>
      </c>
      <c r="E3678" s="59">
        <v>4.0</v>
      </c>
      <c r="F3678" s="59">
        <v>4.0</v>
      </c>
      <c r="G3678" s="60">
        <v>1.0</v>
      </c>
      <c r="H3678" s="60">
        <v>0.5</v>
      </c>
      <c r="I3678" s="60">
        <v>18.4268395</v>
      </c>
      <c r="J3678" s="59">
        <v>5.0</v>
      </c>
      <c r="K3678" s="61">
        <f t="shared" si="1"/>
        <v>1</v>
      </c>
      <c r="L3678" s="62">
        <f t="shared" si="2"/>
        <v>1.25</v>
      </c>
    </row>
    <row r="3679">
      <c r="A3679" s="58">
        <v>45870.0</v>
      </c>
      <c r="B3679" s="24" t="s">
        <v>3216</v>
      </c>
      <c r="C3679" s="24" t="s">
        <v>6792</v>
      </c>
      <c r="D3679" s="59">
        <v>3.0</v>
      </c>
      <c r="E3679" s="59">
        <v>3.0</v>
      </c>
      <c r="F3679" s="59">
        <v>0.0</v>
      </c>
      <c r="G3679" s="60">
        <v>1.5</v>
      </c>
      <c r="H3679" s="60">
        <v>1.0</v>
      </c>
      <c r="I3679" s="60">
        <v>0.0</v>
      </c>
      <c r="J3679" s="59">
        <v>0.0</v>
      </c>
      <c r="K3679" s="61">
        <f t="shared" si="1"/>
        <v>0</v>
      </c>
      <c r="L3679" s="62">
        <f t="shared" si="2"/>
        <v>0</v>
      </c>
    </row>
    <row r="3680">
      <c r="A3680" s="58">
        <v>45870.0</v>
      </c>
      <c r="B3680" s="24" t="s">
        <v>6791</v>
      </c>
      <c r="C3680" s="24" t="s">
        <v>6788</v>
      </c>
      <c r="D3680" s="59">
        <v>3.0</v>
      </c>
      <c r="E3680" s="59">
        <v>3.0</v>
      </c>
      <c r="F3680" s="59">
        <v>0.0</v>
      </c>
      <c r="G3680" s="60">
        <v>1.0</v>
      </c>
      <c r="H3680" s="60">
        <v>0.0</v>
      </c>
      <c r="I3680" s="60">
        <v>304.470366333333</v>
      </c>
      <c r="J3680" s="59">
        <v>8.0</v>
      </c>
      <c r="K3680" s="61">
        <f t="shared" si="1"/>
        <v>0</v>
      </c>
      <c r="L3680" s="62">
        <f t="shared" si="2"/>
        <v>2.666666667</v>
      </c>
    </row>
    <row r="3681">
      <c r="A3681" s="58">
        <v>45870.0</v>
      </c>
      <c r="B3681" s="24" t="s">
        <v>6789</v>
      </c>
      <c r="C3681" s="24" t="s">
        <v>6803</v>
      </c>
      <c r="D3681" s="59">
        <v>3.0</v>
      </c>
      <c r="E3681" s="59">
        <v>4.0</v>
      </c>
      <c r="F3681" s="59">
        <v>2.0</v>
      </c>
      <c r="G3681" s="60">
        <v>1.33333333333333</v>
      </c>
      <c r="H3681" s="60">
        <v>0.75</v>
      </c>
      <c r="I3681" s="60">
        <v>48.3116455</v>
      </c>
      <c r="J3681" s="59">
        <v>4.0</v>
      </c>
      <c r="K3681" s="61">
        <f t="shared" si="1"/>
        <v>0.5</v>
      </c>
      <c r="L3681" s="62">
        <f t="shared" si="2"/>
        <v>1</v>
      </c>
    </row>
    <row r="3682">
      <c r="A3682" s="58">
        <v>45870.0</v>
      </c>
      <c r="B3682" s="24" t="s">
        <v>155</v>
      </c>
      <c r="C3682" s="24" t="s">
        <v>6817</v>
      </c>
      <c r="D3682" s="59">
        <v>3.0</v>
      </c>
      <c r="E3682" s="59">
        <v>7.0</v>
      </c>
      <c r="F3682" s="59">
        <v>1.0</v>
      </c>
      <c r="G3682" s="60">
        <v>2.33333333333333</v>
      </c>
      <c r="H3682" s="60">
        <v>0.571428571428571</v>
      </c>
      <c r="I3682" s="60">
        <v>532.634143428571</v>
      </c>
      <c r="J3682" s="59">
        <v>15.0</v>
      </c>
      <c r="K3682" s="61">
        <f t="shared" si="1"/>
        <v>0.1428571429</v>
      </c>
      <c r="L3682" s="62">
        <f t="shared" si="2"/>
        <v>2.142857143</v>
      </c>
    </row>
    <row r="3683">
      <c r="A3683" s="58">
        <v>45870.0</v>
      </c>
      <c r="B3683" s="24" t="s">
        <v>6787</v>
      </c>
      <c r="C3683" s="24" t="s">
        <v>7347</v>
      </c>
      <c r="D3683" s="59">
        <v>3.0</v>
      </c>
      <c r="E3683" s="59">
        <v>3.0</v>
      </c>
      <c r="F3683" s="59">
        <v>3.0</v>
      </c>
      <c r="G3683" s="60">
        <v>1.0</v>
      </c>
      <c r="H3683" s="60">
        <v>1.0</v>
      </c>
      <c r="I3683" s="60">
        <v>1.10449</v>
      </c>
      <c r="J3683" s="59">
        <v>3.0</v>
      </c>
      <c r="K3683" s="61">
        <f t="shared" si="1"/>
        <v>1</v>
      </c>
      <c r="L3683" s="62">
        <f t="shared" si="2"/>
        <v>1</v>
      </c>
    </row>
    <row r="3684">
      <c r="A3684" s="58">
        <v>45870.0</v>
      </c>
      <c r="B3684" s="24" t="s">
        <v>6787</v>
      </c>
      <c r="C3684" s="24" t="s">
        <v>6954</v>
      </c>
      <c r="D3684" s="59">
        <v>3.0</v>
      </c>
      <c r="E3684" s="59">
        <v>3.0</v>
      </c>
      <c r="F3684" s="59">
        <v>3.0</v>
      </c>
      <c r="G3684" s="60">
        <v>1.0</v>
      </c>
      <c r="H3684" s="60">
        <v>0.666666666666666</v>
      </c>
      <c r="I3684" s="60">
        <v>41.5453563333333</v>
      </c>
      <c r="J3684" s="59">
        <v>3.0</v>
      </c>
      <c r="K3684" s="61">
        <f t="shared" si="1"/>
        <v>1</v>
      </c>
      <c r="L3684" s="62">
        <f t="shared" si="2"/>
        <v>1</v>
      </c>
    </row>
    <row r="3685">
      <c r="A3685" s="58">
        <v>45870.0</v>
      </c>
      <c r="B3685" s="24" t="s">
        <v>155</v>
      </c>
      <c r="C3685" s="24" t="s">
        <v>6804</v>
      </c>
      <c r="D3685" s="59">
        <v>3.0</v>
      </c>
      <c r="E3685" s="59">
        <v>4.0</v>
      </c>
      <c r="F3685" s="59">
        <v>3.0</v>
      </c>
      <c r="G3685" s="60">
        <v>1.33333333333333</v>
      </c>
      <c r="H3685" s="60">
        <v>0.75</v>
      </c>
      <c r="I3685" s="60">
        <v>6.3261995</v>
      </c>
      <c r="J3685" s="59">
        <v>4.0</v>
      </c>
      <c r="K3685" s="61">
        <f t="shared" si="1"/>
        <v>0.75</v>
      </c>
      <c r="L3685" s="62">
        <f t="shared" si="2"/>
        <v>1</v>
      </c>
    </row>
    <row r="3686">
      <c r="A3686" s="58">
        <v>45870.0</v>
      </c>
      <c r="B3686" s="24" t="s">
        <v>6787</v>
      </c>
      <c r="C3686" s="24" t="s">
        <v>7039</v>
      </c>
      <c r="D3686" s="59">
        <v>3.0</v>
      </c>
      <c r="E3686" s="59">
        <v>3.0</v>
      </c>
      <c r="F3686" s="59">
        <v>2.0</v>
      </c>
      <c r="G3686" s="60">
        <v>1.5</v>
      </c>
      <c r="H3686" s="60">
        <v>1.0</v>
      </c>
      <c r="I3686" s="60">
        <v>0.0</v>
      </c>
      <c r="J3686" s="59">
        <v>3.0</v>
      </c>
      <c r="K3686" s="61">
        <f t="shared" si="1"/>
        <v>0.6666666667</v>
      </c>
      <c r="L3686" s="62">
        <f t="shared" si="2"/>
        <v>1</v>
      </c>
    </row>
    <row r="3687">
      <c r="A3687" s="58">
        <v>45870.0</v>
      </c>
      <c r="B3687" s="24" t="s">
        <v>6789</v>
      </c>
      <c r="C3687" s="24" t="s">
        <v>6833</v>
      </c>
      <c r="D3687" s="59">
        <v>3.0</v>
      </c>
      <c r="E3687" s="59">
        <v>3.0</v>
      </c>
      <c r="F3687" s="59">
        <v>3.0</v>
      </c>
      <c r="G3687" s="60">
        <v>1.0</v>
      </c>
      <c r="H3687" s="60">
        <v>0.666666666666666</v>
      </c>
      <c r="I3687" s="60">
        <v>204.522015333333</v>
      </c>
      <c r="J3687" s="59">
        <v>3.0</v>
      </c>
      <c r="K3687" s="61">
        <f t="shared" si="1"/>
        <v>1</v>
      </c>
      <c r="L3687" s="62">
        <f t="shared" si="2"/>
        <v>1</v>
      </c>
    </row>
    <row r="3688">
      <c r="A3688" s="58">
        <v>45870.0</v>
      </c>
      <c r="B3688" s="24" t="s">
        <v>6787</v>
      </c>
      <c r="C3688" s="24" t="s">
        <v>6927</v>
      </c>
      <c r="D3688" s="59">
        <v>3.0</v>
      </c>
      <c r="E3688" s="59">
        <v>3.0</v>
      </c>
      <c r="F3688" s="59">
        <v>3.0</v>
      </c>
      <c r="G3688" s="60">
        <v>1.0</v>
      </c>
      <c r="H3688" s="60">
        <v>1.0</v>
      </c>
      <c r="I3688" s="60">
        <v>2.13822466666666</v>
      </c>
      <c r="J3688" s="59">
        <v>3.0</v>
      </c>
      <c r="K3688" s="61">
        <f t="shared" si="1"/>
        <v>1</v>
      </c>
      <c r="L3688" s="62">
        <f t="shared" si="2"/>
        <v>1</v>
      </c>
    </row>
    <row r="3689">
      <c r="A3689" s="58">
        <v>45870.0</v>
      </c>
      <c r="B3689" s="24" t="s">
        <v>155</v>
      </c>
      <c r="C3689" s="24" t="s">
        <v>6927</v>
      </c>
      <c r="D3689" s="59">
        <v>3.0</v>
      </c>
      <c r="E3689" s="59">
        <v>5.0</v>
      </c>
      <c r="F3689" s="59">
        <v>3.0</v>
      </c>
      <c r="G3689" s="60">
        <v>1.66666666666666</v>
      </c>
      <c r="H3689" s="60">
        <v>0.8</v>
      </c>
      <c r="I3689" s="60">
        <v>129.3024752</v>
      </c>
      <c r="J3689" s="59">
        <v>11.0</v>
      </c>
      <c r="K3689" s="61">
        <f t="shared" si="1"/>
        <v>0.6</v>
      </c>
      <c r="L3689" s="62">
        <f t="shared" si="2"/>
        <v>2.2</v>
      </c>
    </row>
    <row r="3690">
      <c r="A3690" s="58">
        <v>45870.0</v>
      </c>
      <c r="B3690" s="24" t="s">
        <v>6790</v>
      </c>
      <c r="C3690" s="24" t="s">
        <v>7024</v>
      </c>
      <c r="D3690" s="59">
        <v>3.0</v>
      </c>
      <c r="E3690" s="59">
        <v>3.0</v>
      </c>
      <c r="F3690" s="59">
        <v>3.0</v>
      </c>
      <c r="G3690" s="60">
        <v>1.0</v>
      </c>
      <c r="H3690" s="60">
        <v>0.0</v>
      </c>
      <c r="I3690" s="60">
        <v>56.1476463333333</v>
      </c>
      <c r="J3690" s="59">
        <v>3.0</v>
      </c>
      <c r="K3690" s="61">
        <f t="shared" si="1"/>
        <v>1</v>
      </c>
      <c r="L3690" s="62">
        <f t="shared" si="2"/>
        <v>1</v>
      </c>
    </row>
    <row r="3691">
      <c r="A3691" s="58">
        <v>45870.0</v>
      </c>
      <c r="B3691" s="24" t="s">
        <v>6787</v>
      </c>
      <c r="C3691" s="24" t="s">
        <v>6878</v>
      </c>
      <c r="D3691" s="59">
        <v>3.0</v>
      </c>
      <c r="E3691" s="59">
        <v>3.0</v>
      </c>
      <c r="F3691" s="59">
        <v>3.0</v>
      </c>
      <c r="G3691" s="60">
        <v>1.0</v>
      </c>
      <c r="H3691" s="60">
        <v>1.0</v>
      </c>
      <c r="I3691" s="60">
        <v>0.0</v>
      </c>
      <c r="J3691" s="59">
        <v>3.0</v>
      </c>
      <c r="K3691" s="61">
        <f t="shared" si="1"/>
        <v>1</v>
      </c>
      <c r="L3691" s="62">
        <f t="shared" si="2"/>
        <v>1</v>
      </c>
    </row>
    <row r="3692">
      <c r="A3692" s="58">
        <v>45870.0</v>
      </c>
      <c r="B3692" s="24" t="s">
        <v>6787</v>
      </c>
      <c r="C3692" s="24" t="s">
        <v>6882</v>
      </c>
      <c r="D3692" s="59">
        <v>3.0</v>
      </c>
      <c r="E3692" s="59">
        <v>3.0</v>
      </c>
      <c r="F3692" s="59">
        <v>2.0</v>
      </c>
      <c r="G3692" s="60">
        <v>1.0</v>
      </c>
      <c r="H3692" s="60">
        <v>0.666666666666666</v>
      </c>
      <c r="I3692" s="60">
        <v>421.109002</v>
      </c>
      <c r="J3692" s="59">
        <v>4.0</v>
      </c>
      <c r="K3692" s="61">
        <f t="shared" si="1"/>
        <v>0.6666666667</v>
      </c>
      <c r="L3692" s="62">
        <f t="shared" si="2"/>
        <v>1.333333333</v>
      </c>
    </row>
    <row r="3693">
      <c r="A3693" s="58">
        <v>45870.0</v>
      </c>
      <c r="B3693" s="24" t="s">
        <v>155</v>
      </c>
      <c r="C3693" s="24" t="s">
        <v>6835</v>
      </c>
      <c r="D3693" s="59">
        <v>3.0</v>
      </c>
      <c r="E3693" s="59">
        <v>7.0</v>
      </c>
      <c r="F3693" s="59">
        <v>3.0</v>
      </c>
      <c r="G3693" s="60">
        <v>2.33333333333333</v>
      </c>
      <c r="H3693" s="60">
        <v>0.571428571428571</v>
      </c>
      <c r="I3693" s="60">
        <v>27.1179744285714</v>
      </c>
      <c r="J3693" s="59">
        <v>7.0</v>
      </c>
      <c r="K3693" s="61">
        <f t="shared" si="1"/>
        <v>0.4285714286</v>
      </c>
      <c r="L3693" s="62">
        <f t="shared" si="2"/>
        <v>1</v>
      </c>
    </row>
    <row r="3694">
      <c r="A3694" s="58">
        <v>45870.0</v>
      </c>
      <c r="B3694" s="24" t="s">
        <v>6789</v>
      </c>
      <c r="C3694" s="24" t="s">
        <v>6994</v>
      </c>
      <c r="D3694" s="59">
        <v>3.0</v>
      </c>
      <c r="E3694" s="59">
        <v>3.0</v>
      </c>
      <c r="F3694" s="59">
        <v>3.0</v>
      </c>
      <c r="G3694" s="60">
        <v>1.0</v>
      </c>
      <c r="H3694" s="60">
        <v>0.0</v>
      </c>
      <c r="I3694" s="60">
        <v>161.493447333333</v>
      </c>
      <c r="J3694" s="59">
        <v>4.0</v>
      </c>
      <c r="K3694" s="61">
        <f t="shared" si="1"/>
        <v>1</v>
      </c>
      <c r="L3694" s="62">
        <f t="shared" si="2"/>
        <v>1.333333333</v>
      </c>
    </row>
    <row r="3695">
      <c r="A3695" s="58">
        <v>45870.0</v>
      </c>
      <c r="B3695" s="24" t="s">
        <v>6787</v>
      </c>
      <c r="C3695" s="24" t="s">
        <v>6945</v>
      </c>
      <c r="D3695" s="59">
        <v>3.0</v>
      </c>
      <c r="E3695" s="59">
        <v>3.0</v>
      </c>
      <c r="F3695" s="59">
        <v>3.0</v>
      </c>
      <c r="G3695" s="60">
        <v>1.0</v>
      </c>
      <c r="H3695" s="60">
        <v>1.0</v>
      </c>
      <c r="I3695" s="60">
        <v>0.0</v>
      </c>
      <c r="J3695" s="59">
        <v>3.0</v>
      </c>
      <c r="K3695" s="61">
        <f t="shared" si="1"/>
        <v>1</v>
      </c>
      <c r="L3695" s="62">
        <f t="shared" si="2"/>
        <v>1</v>
      </c>
    </row>
    <row r="3696">
      <c r="A3696" s="58">
        <v>45870.0</v>
      </c>
      <c r="B3696" s="24" t="s">
        <v>6787</v>
      </c>
      <c r="C3696" s="24" t="s">
        <v>6820</v>
      </c>
      <c r="D3696" s="59">
        <v>3.0</v>
      </c>
      <c r="E3696" s="59">
        <v>3.0</v>
      </c>
      <c r="F3696" s="59">
        <v>2.0</v>
      </c>
      <c r="G3696" s="60">
        <v>1.0</v>
      </c>
      <c r="H3696" s="60">
        <v>0.666666666666666</v>
      </c>
      <c r="I3696" s="60">
        <v>275.740145666666</v>
      </c>
      <c r="J3696" s="59">
        <v>5.0</v>
      </c>
      <c r="K3696" s="61">
        <f t="shared" si="1"/>
        <v>0.6666666667</v>
      </c>
      <c r="L3696" s="62">
        <f t="shared" si="2"/>
        <v>1.666666667</v>
      </c>
    </row>
    <row r="3697">
      <c r="A3697" s="58">
        <v>45870.0</v>
      </c>
      <c r="B3697" s="24" t="s">
        <v>6789</v>
      </c>
      <c r="C3697" s="24" t="s">
        <v>6997</v>
      </c>
      <c r="D3697" s="59">
        <v>3.0</v>
      </c>
      <c r="E3697" s="59">
        <v>4.0</v>
      </c>
      <c r="F3697" s="59">
        <v>1.0</v>
      </c>
      <c r="G3697" s="60">
        <v>1.33333333333333</v>
      </c>
      <c r="H3697" s="60">
        <v>0.25</v>
      </c>
      <c r="I3697" s="60">
        <v>27.03797275</v>
      </c>
      <c r="J3697" s="59">
        <v>8.0</v>
      </c>
      <c r="K3697" s="61">
        <f t="shared" si="1"/>
        <v>0.25</v>
      </c>
      <c r="L3697" s="62">
        <f t="shared" si="2"/>
        <v>2</v>
      </c>
    </row>
    <row r="3698">
      <c r="A3698" s="58">
        <v>45870.0</v>
      </c>
      <c r="B3698" s="24" t="s">
        <v>6787</v>
      </c>
      <c r="C3698" s="24" t="s">
        <v>6894</v>
      </c>
      <c r="D3698" s="59">
        <v>3.0</v>
      </c>
      <c r="E3698" s="59">
        <v>4.0</v>
      </c>
      <c r="F3698" s="59">
        <v>2.0</v>
      </c>
      <c r="G3698" s="60">
        <v>2.0</v>
      </c>
      <c r="H3698" s="60">
        <v>1.0</v>
      </c>
      <c r="I3698" s="60">
        <v>0.0</v>
      </c>
      <c r="J3698" s="59">
        <v>4.0</v>
      </c>
      <c r="K3698" s="61">
        <f t="shared" si="1"/>
        <v>0.5</v>
      </c>
      <c r="L3698" s="62">
        <f t="shared" si="2"/>
        <v>1</v>
      </c>
    </row>
    <row r="3699">
      <c r="A3699" s="58">
        <v>45870.0</v>
      </c>
      <c r="B3699" s="24" t="s">
        <v>6789</v>
      </c>
      <c r="C3699" s="24" t="s">
        <v>6840</v>
      </c>
      <c r="D3699" s="59">
        <v>3.0</v>
      </c>
      <c r="E3699" s="59">
        <v>4.0</v>
      </c>
      <c r="F3699" s="59">
        <v>3.0</v>
      </c>
      <c r="G3699" s="60">
        <v>1.33333333333333</v>
      </c>
      <c r="H3699" s="60">
        <v>0.25</v>
      </c>
      <c r="I3699" s="60">
        <v>619.737258999999</v>
      </c>
      <c r="J3699" s="59">
        <v>12.0</v>
      </c>
      <c r="K3699" s="61">
        <f t="shared" si="1"/>
        <v>0.75</v>
      </c>
      <c r="L3699" s="62">
        <f t="shared" si="2"/>
        <v>3</v>
      </c>
    </row>
    <row r="3700">
      <c r="A3700" s="58">
        <v>45870.0</v>
      </c>
      <c r="B3700" s="24" t="s">
        <v>6787</v>
      </c>
      <c r="C3700" s="24" t="s">
        <v>6896</v>
      </c>
      <c r="D3700" s="59">
        <v>3.0</v>
      </c>
      <c r="E3700" s="59">
        <v>3.0</v>
      </c>
      <c r="F3700" s="59">
        <v>2.0</v>
      </c>
      <c r="G3700" s="60">
        <v>1.0</v>
      </c>
      <c r="H3700" s="60">
        <v>0.333333333333333</v>
      </c>
      <c r="I3700" s="60">
        <v>29.370459</v>
      </c>
      <c r="J3700" s="59">
        <v>3.0</v>
      </c>
      <c r="K3700" s="61">
        <f t="shared" si="1"/>
        <v>0.6666666667</v>
      </c>
      <c r="L3700" s="62">
        <f t="shared" si="2"/>
        <v>1</v>
      </c>
    </row>
    <row r="3701">
      <c r="A3701" s="58">
        <v>45870.0</v>
      </c>
      <c r="B3701" s="24" t="s">
        <v>6789</v>
      </c>
      <c r="C3701" s="24" t="s">
        <v>7301</v>
      </c>
      <c r="D3701" s="59">
        <v>3.0</v>
      </c>
      <c r="E3701" s="59">
        <v>4.0</v>
      </c>
      <c r="F3701" s="59">
        <v>2.0</v>
      </c>
      <c r="G3701" s="60">
        <v>1.33333333333333</v>
      </c>
      <c r="H3701" s="60">
        <v>0.5</v>
      </c>
      <c r="I3701" s="60">
        <v>17.69925875</v>
      </c>
      <c r="J3701" s="59">
        <v>4.0</v>
      </c>
      <c r="K3701" s="61">
        <f t="shared" si="1"/>
        <v>0.5</v>
      </c>
      <c r="L3701" s="62">
        <f t="shared" si="2"/>
        <v>1</v>
      </c>
    </row>
    <row r="3702">
      <c r="A3702" s="58">
        <v>45870.0</v>
      </c>
      <c r="B3702" s="24" t="s">
        <v>6787</v>
      </c>
      <c r="C3702" s="24" t="s">
        <v>6841</v>
      </c>
      <c r="D3702" s="59">
        <v>3.0</v>
      </c>
      <c r="E3702" s="59">
        <v>3.0</v>
      </c>
      <c r="F3702" s="59">
        <v>3.0</v>
      </c>
      <c r="G3702" s="60">
        <v>1.0</v>
      </c>
      <c r="H3702" s="60">
        <v>0.666666666666666</v>
      </c>
      <c r="I3702" s="60">
        <v>374.563164333333</v>
      </c>
      <c r="J3702" s="59">
        <v>3.0</v>
      </c>
      <c r="K3702" s="61">
        <f t="shared" si="1"/>
        <v>1</v>
      </c>
      <c r="L3702" s="62">
        <f t="shared" si="2"/>
        <v>1</v>
      </c>
    </row>
    <row r="3703">
      <c r="A3703" s="58">
        <v>45870.0</v>
      </c>
      <c r="B3703" s="24" t="s">
        <v>6787</v>
      </c>
      <c r="C3703" s="24" t="s">
        <v>6903</v>
      </c>
      <c r="D3703" s="59">
        <v>3.0</v>
      </c>
      <c r="E3703" s="59">
        <v>3.0</v>
      </c>
      <c r="F3703" s="59">
        <v>3.0</v>
      </c>
      <c r="G3703" s="60">
        <v>1.0</v>
      </c>
      <c r="H3703" s="60">
        <v>0.666666666666666</v>
      </c>
      <c r="I3703" s="60">
        <v>0.988628333333333</v>
      </c>
      <c r="J3703" s="59">
        <v>4.0</v>
      </c>
      <c r="K3703" s="61">
        <f t="shared" si="1"/>
        <v>1</v>
      </c>
      <c r="L3703" s="62">
        <f t="shared" si="2"/>
        <v>1.333333333</v>
      </c>
    </row>
    <row r="3704">
      <c r="A3704" s="58">
        <v>45870.0</v>
      </c>
      <c r="B3704" s="24" t="s">
        <v>6789</v>
      </c>
      <c r="C3704" s="24" t="s">
        <v>6903</v>
      </c>
      <c r="D3704" s="59">
        <v>3.0</v>
      </c>
      <c r="E3704" s="59">
        <v>4.0</v>
      </c>
      <c r="F3704" s="59">
        <v>3.0</v>
      </c>
      <c r="G3704" s="60">
        <v>1.33333333333333</v>
      </c>
      <c r="H3704" s="60">
        <v>1.0</v>
      </c>
      <c r="I3704" s="60">
        <v>3.75031025</v>
      </c>
      <c r="J3704" s="59">
        <v>4.0</v>
      </c>
      <c r="K3704" s="61">
        <f t="shared" si="1"/>
        <v>0.75</v>
      </c>
      <c r="L3704" s="62">
        <f t="shared" si="2"/>
        <v>1</v>
      </c>
    </row>
    <row r="3705">
      <c r="A3705" s="58">
        <v>45870.0</v>
      </c>
      <c r="B3705" s="24" t="s">
        <v>6787</v>
      </c>
      <c r="C3705" s="24" t="s">
        <v>7080</v>
      </c>
      <c r="D3705" s="59">
        <v>3.0</v>
      </c>
      <c r="E3705" s="59">
        <v>6.0</v>
      </c>
      <c r="F3705" s="59">
        <v>0.0</v>
      </c>
      <c r="G3705" s="60">
        <v>2.0</v>
      </c>
      <c r="H3705" s="60">
        <v>0.0</v>
      </c>
      <c r="I3705" s="60">
        <v>1324.79276166666</v>
      </c>
      <c r="J3705" s="59">
        <v>19.0</v>
      </c>
      <c r="K3705" s="61">
        <f t="shared" si="1"/>
        <v>0</v>
      </c>
      <c r="L3705" s="62">
        <f t="shared" si="2"/>
        <v>3.166666667</v>
      </c>
    </row>
    <row r="3706">
      <c r="A3706" s="58">
        <v>45870.0</v>
      </c>
      <c r="B3706" s="24" t="s">
        <v>6942</v>
      </c>
      <c r="C3706" s="24" t="s">
        <v>7125</v>
      </c>
      <c r="D3706" s="59">
        <v>3.0</v>
      </c>
      <c r="E3706" s="59">
        <v>3.0</v>
      </c>
      <c r="F3706" s="59">
        <v>3.0</v>
      </c>
      <c r="G3706" s="60">
        <v>1.0</v>
      </c>
      <c r="H3706" s="60">
        <v>1.0</v>
      </c>
      <c r="I3706" s="60">
        <v>0.0</v>
      </c>
      <c r="J3706" s="59">
        <v>3.0</v>
      </c>
      <c r="K3706" s="61">
        <f t="shared" si="1"/>
        <v>1</v>
      </c>
      <c r="L3706" s="62">
        <f t="shared" si="2"/>
        <v>1</v>
      </c>
    </row>
    <row r="3707">
      <c r="A3707" s="58">
        <v>45870.0</v>
      </c>
      <c r="B3707" s="24" t="s">
        <v>6787</v>
      </c>
      <c r="C3707" s="24" t="s">
        <v>7083</v>
      </c>
      <c r="D3707" s="59">
        <v>3.0</v>
      </c>
      <c r="E3707" s="59">
        <v>3.0</v>
      </c>
      <c r="F3707" s="59">
        <v>3.0</v>
      </c>
      <c r="G3707" s="60">
        <v>1.0</v>
      </c>
      <c r="H3707" s="60">
        <v>1.0</v>
      </c>
      <c r="I3707" s="60">
        <v>0.0</v>
      </c>
      <c r="J3707" s="59">
        <v>3.0</v>
      </c>
      <c r="K3707" s="61">
        <f t="shared" si="1"/>
        <v>1</v>
      </c>
      <c r="L3707" s="62">
        <f t="shared" si="2"/>
        <v>1</v>
      </c>
    </row>
    <row r="3708">
      <c r="A3708" s="58">
        <v>45870.0</v>
      </c>
      <c r="B3708" s="24" t="s">
        <v>6789</v>
      </c>
      <c r="C3708" s="24" t="s">
        <v>7234</v>
      </c>
      <c r="D3708" s="59">
        <v>3.0</v>
      </c>
      <c r="E3708" s="59">
        <v>3.0</v>
      </c>
      <c r="F3708" s="59">
        <v>3.0</v>
      </c>
      <c r="G3708" s="60">
        <v>1.0</v>
      </c>
      <c r="H3708" s="60">
        <v>0.666666666666666</v>
      </c>
      <c r="I3708" s="60">
        <v>139.896638</v>
      </c>
      <c r="J3708" s="59">
        <v>3.0</v>
      </c>
      <c r="K3708" s="61">
        <f t="shared" si="1"/>
        <v>1</v>
      </c>
      <c r="L3708" s="62">
        <f t="shared" si="2"/>
        <v>1</v>
      </c>
    </row>
    <row r="3709">
      <c r="A3709" s="58">
        <v>45870.0</v>
      </c>
      <c r="B3709" s="24" t="s">
        <v>6787</v>
      </c>
      <c r="C3709" s="24" t="s">
        <v>7091</v>
      </c>
      <c r="D3709" s="59">
        <v>3.0</v>
      </c>
      <c r="E3709" s="59">
        <v>3.0</v>
      </c>
      <c r="F3709" s="59">
        <v>3.0</v>
      </c>
      <c r="G3709" s="60">
        <v>1.0</v>
      </c>
      <c r="H3709" s="60">
        <v>1.0</v>
      </c>
      <c r="I3709" s="60">
        <v>0.0</v>
      </c>
      <c r="J3709" s="59">
        <v>3.0</v>
      </c>
      <c r="K3709" s="61">
        <f t="shared" si="1"/>
        <v>1</v>
      </c>
      <c r="L3709" s="62">
        <f t="shared" si="2"/>
        <v>1</v>
      </c>
    </row>
    <row r="3710">
      <c r="A3710" s="58">
        <v>45870.0</v>
      </c>
      <c r="B3710" s="24" t="s">
        <v>6787</v>
      </c>
      <c r="C3710" s="24" t="s">
        <v>7163</v>
      </c>
      <c r="D3710" s="59">
        <v>3.0</v>
      </c>
      <c r="E3710" s="59">
        <v>3.0</v>
      </c>
      <c r="F3710" s="59">
        <v>3.0</v>
      </c>
      <c r="G3710" s="60">
        <v>1.0</v>
      </c>
      <c r="H3710" s="60">
        <v>1.0</v>
      </c>
      <c r="I3710" s="60">
        <v>0.0</v>
      </c>
      <c r="J3710" s="59">
        <v>3.0</v>
      </c>
      <c r="K3710" s="61">
        <f t="shared" si="1"/>
        <v>1</v>
      </c>
      <c r="L3710" s="62">
        <f t="shared" si="2"/>
        <v>1</v>
      </c>
    </row>
    <row r="3711">
      <c r="A3711" s="58">
        <v>45870.0</v>
      </c>
      <c r="B3711" s="24" t="s">
        <v>6789</v>
      </c>
      <c r="C3711" s="24" t="s">
        <v>7092</v>
      </c>
      <c r="D3711" s="59">
        <v>3.0</v>
      </c>
      <c r="E3711" s="59">
        <v>3.0</v>
      </c>
      <c r="F3711" s="59">
        <v>3.0</v>
      </c>
      <c r="G3711" s="60">
        <v>1.0</v>
      </c>
      <c r="H3711" s="60">
        <v>0.333333333333333</v>
      </c>
      <c r="I3711" s="60">
        <v>21.0460123333333</v>
      </c>
      <c r="J3711" s="59">
        <v>7.0</v>
      </c>
      <c r="K3711" s="61">
        <f t="shared" si="1"/>
        <v>1</v>
      </c>
      <c r="L3711" s="62">
        <f t="shared" si="2"/>
        <v>2.333333333</v>
      </c>
    </row>
    <row r="3712">
      <c r="A3712" s="58">
        <v>45870.0</v>
      </c>
      <c r="B3712" s="24" t="s">
        <v>6789</v>
      </c>
      <c r="C3712" s="24" t="s">
        <v>6960</v>
      </c>
      <c r="D3712" s="59">
        <v>3.0</v>
      </c>
      <c r="E3712" s="59">
        <v>3.0</v>
      </c>
      <c r="F3712" s="59">
        <v>2.0</v>
      </c>
      <c r="G3712" s="60">
        <v>1.0</v>
      </c>
      <c r="H3712" s="60">
        <v>1.0</v>
      </c>
      <c r="I3712" s="60">
        <v>1.56601133333333</v>
      </c>
      <c r="J3712" s="59">
        <v>3.0</v>
      </c>
      <c r="K3712" s="61">
        <f t="shared" si="1"/>
        <v>0.6666666667</v>
      </c>
      <c r="L3712" s="62">
        <f t="shared" si="2"/>
        <v>1</v>
      </c>
    </row>
    <row r="3713">
      <c r="A3713" s="58">
        <v>45870.0</v>
      </c>
      <c r="B3713" s="24" t="s">
        <v>155</v>
      </c>
      <c r="C3713" s="24" t="s">
        <v>6809</v>
      </c>
      <c r="D3713" s="59">
        <v>3.0</v>
      </c>
      <c r="E3713" s="59">
        <v>3.0</v>
      </c>
      <c r="F3713" s="59">
        <v>3.0</v>
      </c>
      <c r="G3713" s="60">
        <v>1.0</v>
      </c>
      <c r="H3713" s="60">
        <v>0.333333333333333</v>
      </c>
      <c r="I3713" s="60">
        <v>187.449697666666</v>
      </c>
      <c r="J3713" s="59">
        <v>5.0</v>
      </c>
      <c r="K3713" s="61">
        <f t="shared" si="1"/>
        <v>1</v>
      </c>
      <c r="L3713" s="62">
        <f t="shared" si="2"/>
        <v>1.666666667</v>
      </c>
    </row>
    <row r="3714">
      <c r="A3714" s="58">
        <v>45870.0</v>
      </c>
      <c r="B3714" s="24" t="s">
        <v>6789</v>
      </c>
      <c r="C3714" s="24" t="s">
        <v>6908</v>
      </c>
      <c r="D3714" s="59">
        <v>3.0</v>
      </c>
      <c r="E3714" s="59">
        <v>3.0</v>
      </c>
      <c r="F3714" s="59">
        <v>1.0</v>
      </c>
      <c r="G3714" s="60">
        <v>1.0</v>
      </c>
      <c r="H3714" s="60">
        <v>0.0</v>
      </c>
      <c r="I3714" s="60">
        <v>293.409183666666</v>
      </c>
      <c r="J3714" s="59">
        <v>6.0</v>
      </c>
      <c r="K3714" s="61">
        <f t="shared" si="1"/>
        <v>0.3333333333</v>
      </c>
      <c r="L3714" s="62">
        <f t="shared" si="2"/>
        <v>2</v>
      </c>
    </row>
    <row r="3715">
      <c r="A3715" s="58">
        <v>45870.0</v>
      </c>
      <c r="B3715" s="24" t="s">
        <v>6789</v>
      </c>
      <c r="C3715" s="24" t="s">
        <v>6909</v>
      </c>
      <c r="D3715" s="59">
        <v>3.0</v>
      </c>
      <c r="E3715" s="59">
        <v>3.0</v>
      </c>
      <c r="F3715" s="59">
        <v>1.0</v>
      </c>
      <c r="G3715" s="60">
        <v>1.0</v>
      </c>
      <c r="H3715" s="60">
        <v>0.666666666666666</v>
      </c>
      <c r="I3715" s="60">
        <v>28.45957</v>
      </c>
      <c r="J3715" s="59">
        <v>3.0</v>
      </c>
      <c r="K3715" s="61">
        <f t="shared" si="1"/>
        <v>0.3333333333</v>
      </c>
      <c r="L3715" s="62">
        <f t="shared" si="2"/>
        <v>1</v>
      </c>
    </row>
    <row r="3716">
      <c r="A3716" s="58">
        <v>45870.0</v>
      </c>
      <c r="B3716" s="24" t="s">
        <v>6789</v>
      </c>
      <c r="C3716" s="24" t="s">
        <v>6851</v>
      </c>
      <c r="D3716" s="59">
        <v>3.0</v>
      </c>
      <c r="E3716" s="59">
        <v>5.0</v>
      </c>
      <c r="F3716" s="59">
        <v>3.0</v>
      </c>
      <c r="G3716" s="60">
        <v>1.66666666666666</v>
      </c>
      <c r="H3716" s="60">
        <v>0.4</v>
      </c>
      <c r="I3716" s="60">
        <v>198.5700834</v>
      </c>
      <c r="J3716" s="59">
        <v>13.0</v>
      </c>
      <c r="K3716" s="61">
        <f t="shared" si="1"/>
        <v>0.6</v>
      </c>
      <c r="L3716" s="62">
        <f t="shared" si="2"/>
        <v>2.6</v>
      </c>
    </row>
    <row r="3717">
      <c r="A3717" s="58">
        <v>45870.0</v>
      </c>
      <c r="B3717" s="24" t="s">
        <v>6942</v>
      </c>
      <c r="C3717" s="24" t="s">
        <v>6851</v>
      </c>
      <c r="D3717" s="59">
        <v>3.0</v>
      </c>
      <c r="E3717" s="59">
        <v>3.0</v>
      </c>
      <c r="F3717" s="59">
        <v>3.0</v>
      </c>
      <c r="G3717" s="60">
        <v>1.0</v>
      </c>
      <c r="H3717" s="60">
        <v>1.0</v>
      </c>
      <c r="I3717" s="60">
        <v>0.0</v>
      </c>
      <c r="J3717" s="59">
        <v>3.0</v>
      </c>
      <c r="K3717" s="61">
        <f t="shared" si="1"/>
        <v>1</v>
      </c>
      <c r="L3717" s="62">
        <f t="shared" si="2"/>
        <v>1</v>
      </c>
    </row>
    <row r="3718">
      <c r="A3718" s="58">
        <v>45870.0</v>
      </c>
      <c r="B3718" s="24" t="s">
        <v>6942</v>
      </c>
      <c r="C3718" s="24" t="s">
        <v>6801</v>
      </c>
      <c r="D3718" s="59">
        <v>3.0</v>
      </c>
      <c r="E3718" s="59">
        <v>3.0</v>
      </c>
      <c r="F3718" s="59">
        <v>3.0</v>
      </c>
      <c r="G3718" s="60">
        <v>1.0</v>
      </c>
      <c r="H3718" s="60">
        <v>1.0</v>
      </c>
      <c r="I3718" s="60">
        <v>0.0</v>
      </c>
      <c r="J3718" s="59">
        <v>3.0</v>
      </c>
      <c r="K3718" s="61">
        <f t="shared" si="1"/>
        <v>1</v>
      </c>
      <c r="L3718" s="62">
        <f t="shared" si="2"/>
        <v>1</v>
      </c>
    </row>
    <row r="3719">
      <c r="A3719" s="58">
        <v>45870.0</v>
      </c>
      <c r="B3719" s="24" t="s">
        <v>6787</v>
      </c>
      <c r="C3719" s="24" t="s">
        <v>7104</v>
      </c>
      <c r="D3719" s="59">
        <v>3.0</v>
      </c>
      <c r="E3719" s="59">
        <v>3.0</v>
      </c>
      <c r="F3719" s="59">
        <v>3.0</v>
      </c>
      <c r="G3719" s="60">
        <v>1.0</v>
      </c>
      <c r="H3719" s="60">
        <v>0.666666666666666</v>
      </c>
      <c r="I3719" s="60">
        <v>4.56556333333333</v>
      </c>
      <c r="J3719" s="59">
        <v>3.0</v>
      </c>
      <c r="K3719" s="61">
        <f t="shared" si="1"/>
        <v>1</v>
      </c>
      <c r="L3719" s="62">
        <f t="shared" si="2"/>
        <v>1</v>
      </c>
    </row>
    <row r="3720">
      <c r="A3720" s="58">
        <v>45870.0</v>
      </c>
      <c r="B3720" s="24" t="s">
        <v>6787</v>
      </c>
      <c r="C3720" s="24" t="s">
        <v>7173</v>
      </c>
      <c r="D3720" s="59">
        <v>3.0</v>
      </c>
      <c r="E3720" s="59">
        <v>3.0</v>
      </c>
      <c r="F3720" s="59">
        <v>3.0</v>
      </c>
      <c r="G3720" s="60">
        <v>1.0</v>
      </c>
      <c r="H3720" s="60">
        <v>0.666666666666666</v>
      </c>
      <c r="I3720" s="60">
        <v>4.60769933333333</v>
      </c>
      <c r="J3720" s="59">
        <v>3.0</v>
      </c>
      <c r="K3720" s="61">
        <f t="shared" si="1"/>
        <v>1</v>
      </c>
      <c r="L3720" s="62">
        <f t="shared" si="2"/>
        <v>1</v>
      </c>
    </row>
    <row r="3721">
      <c r="A3721" s="58">
        <v>45870.0</v>
      </c>
      <c r="B3721" s="24" t="s">
        <v>6787</v>
      </c>
      <c r="C3721" s="24" t="s">
        <v>7106</v>
      </c>
      <c r="D3721" s="59">
        <v>3.0</v>
      </c>
      <c r="E3721" s="59">
        <v>4.0</v>
      </c>
      <c r="F3721" s="59">
        <v>3.0</v>
      </c>
      <c r="G3721" s="60">
        <v>1.33333333333333</v>
      </c>
      <c r="H3721" s="60">
        <v>0.75</v>
      </c>
      <c r="I3721" s="60">
        <v>312.9224375</v>
      </c>
      <c r="J3721" s="59">
        <v>4.0</v>
      </c>
      <c r="K3721" s="61">
        <f t="shared" si="1"/>
        <v>0.75</v>
      </c>
      <c r="L3721" s="62">
        <f t="shared" si="2"/>
        <v>1</v>
      </c>
    </row>
    <row r="3722">
      <c r="A3722" s="58">
        <v>45870.0</v>
      </c>
      <c r="B3722" s="24" t="s">
        <v>6789</v>
      </c>
      <c r="C3722" s="24" t="s">
        <v>6826</v>
      </c>
      <c r="D3722" s="59">
        <v>3.0</v>
      </c>
      <c r="E3722" s="59">
        <v>3.0</v>
      </c>
      <c r="F3722" s="59">
        <v>1.0</v>
      </c>
      <c r="G3722" s="60">
        <v>1.0</v>
      </c>
      <c r="H3722" s="60">
        <v>0.333333333333333</v>
      </c>
      <c r="I3722" s="60">
        <v>1432.957147</v>
      </c>
      <c r="J3722" s="59">
        <v>10.0</v>
      </c>
      <c r="K3722" s="61">
        <f t="shared" si="1"/>
        <v>0.3333333333</v>
      </c>
      <c r="L3722" s="62">
        <f t="shared" si="2"/>
        <v>3.333333333</v>
      </c>
    </row>
    <row r="3723">
      <c r="A3723" s="58">
        <v>45870.0</v>
      </c>
      <c r="B3723" s="24" t="s">
        <v>155</v>
      </c>
      <c r="C3723" s="24" t="s">
        <v>6815</v>
      </c>
      <c r="D3723" s="59">
        <v>3.0</v>
      </c>
      <c r="E3723" s="59">
        <v>3.0</v>
      </c>
      <c r="F3723" s="59">
        <v>3.0</v>
      </c>
      <c r="G3723" s="60">
        <v>1.0</v>
      </c>
      <c r="H3723" s="60">
        <v>0.0</v>
      </c>
      <c r="I3723" s="60">
        <v>16.960515</v>
      </c>
      <c r="J3723" s="59">
        <v>6.0</v>
      </c>
      <c r="K3723" s="61">
        <f t="shared" si="1"/>
        <v>1</v>
      </c>
      <c r="L3723" s="62">
        <f t="shared" si="2"/>
        <v>2</v>
      </c>
    </row>
    <row r="3724">
      <c r="A3724" s="58">
        <v>45870.0</v>
      </c>
      <c r="B3724" s="24" t="s">
        <v>6787</v>
      </c>
      <c r="C3724" s="24" t="s">
        <v>7109</v>
      </c>
      <c r="D3724" s="59">
        <v>3.0</v>
      </c>
      <c r="E3724" s="59">
        <v>3.0</v>
      </c>
      <c r="F3724" s="59">
        <v>3.0</v>
      </c>
      <c r="G3724" s="60">
        <v>1.0</v>
      </c>
      <c r="H3724" s="60">
        <v>1.0</v>
      </c>
      <c r="I3724" s="60">
        <v>0.0</v>
      </c>
      <c r="J3724" s="59">
        <v>3.0</v>
      </c>
      <c r="K3724" s="61">
        <f t="shared" si="1"/>
        <v>1</v>
      </c>
      <c r="L3724" s="62">
        <f t="shared" si="2"/>
        <v>1</v>
      </c>
    </row>
    <row r="3725">
      <c r="A3725" s="58">
        <v>45870.0</v>
      </c>
      <c r="B3725" s="24" t="s">
        <v>6787</v>
      </c>
      <c r="C3725" s="24" t="s">
        <v>6919</v>
      </c>
      <c r="D3725" s="59">
        <v>3.0</v>
      </c>
      <c r="E3725" s="59">
        <v>3.0</v>
      </c>
      <c r="F3725" s="59">
        <v>3.0</v>
      </c>
      <c r="G3725" s="60">
        <v>1.0</v>
      </c>
      <c r="H3725" s="60">
        <v>1.0</v>
      </c>
      <c r="I3725" s="60">
        <v>0.0</v>
      </c>
      <c r="J3725" s="59">
        <v>3.0</v>
      </c>
      <c r="K3725" s="61">
        <f t="shared" si="1"/>
        <v>1</v>
      </c>
      <c r="L3725" s="62">
        <f t="shared" si="2"/>
        <v>1</v>
      </c>
    </row>
    <row r="3726">
      <c r="A3726" s="58">
        <v>45870.0</v>
      </c>
      <c r="B3726" s="24" t="s">
        <v>6787</v>
      </c>
      <c r="C3726" s="24" t="s">
        <v>6921</v>
      </c>
      <c r="D3726" s="59">
        <v>3.0</v>
      </c>
      <c r="E3726" s="59">
        <v>3.0</v>
      </c>
      <c r="F3726" s="59">
        <v>3.0</v>
      </c>
      <c r="G3726" s="60">
        <v>1.0</v>
      </c>
      <c r="H3726" s="60">
        <v>1.0</v>
      </c>
      <c r="I3726" s="60">
        <v>2.52067366666666</v>
      </c>
      <c r="J3726" s="59">
        <v>3.0</v>
      </c>
      <c r="K3726" s="61">
        <f t="shared" si="1"/>
        <v>1</v>
      </c>
      <c r="L3726" s="62">
        <f t="shared" si="2"/>
        <v>1</v>
      </c>
    </row>
    <row r="3727">
      <c r="A3727" s="58">
        <v>45870.0</v>
      </c>
      <c r="B3727" s="24" t="s">
        <v>6789</v>
      </c>
      <c r="C3727" s="24" t="s">
        <v>6853</v>
      </c>
      <c r="D3727" s="59">
        <v>3.0</v>
      </c>
      <c r="E3727" s="59">
        <v>3.0</v>
      </c>
      <c r="F3727" s="59">
        <v>2.0</v>
      </c>
      <c r="G3727" s="60">
        <v>1.5</v>
      </c>
      <c r="H3727" s="60">
        <v>1.0</v>
      </c>
      <c r="I3727" s="60">
        <v>0.0</v>
      </c>
      <c r="J3727" s="59">
        <v>3.0</v>
      </c>
      <c r="K3727" s="61">
        <f t="shared" si="1"/>
        <v>0.6666666667</v>
      </c>
      <c r="L3727" s="62">
        <f t="shared" si="2"/>
        <v>1</v>
      </c>
    </row>
    <row r="3728">
      <c r="A3728" s="58">
        <v>45870.0</v>
      </c>
      <c r="B3728" s="24" t="s">
        <v>6789</v>
      </c>
      <c r="C3728" s="24" t="s">
        <v>6922</v>
      </c>
      <c r="D3728" s="59">
        <v>3.0</v>
      </c>
      <c r="E3728" s="59">
        <v>4.0</v>
      </c>
      <c r="F3728" s="59">
        <v>3.0</v>
      </c>
      <c r="G3728" s="60">
        <v>1.33333333333333</v>
      </c>
      <c r="H3728" s="60">
        <v>0.75</v>
      </c>
      <c r="I3728" s="60">
        <v>16.96223525</v>
      </c>
      <c r="J3728" s="59">
        <v>5.0</v>
      </c>
      <c r="K3728" s="61">
        <f t="shared" si="1"/>
        <v>0.75</v>
      </c>
      <c r="L3728" s="62">
        <f t="shared" si="2"/>
        <v>1.25</v>
      </c>
    </row>
    <row r="3729">
      <c r="A3729" s="58">
        <v>45870.0</v>
      </c>
      <c r="B3729" s="24" t="s">
        <v>155</v>
      </c>
      <c r="C3729" s="24" t="s">
        <v>6810</v>
      </c>
      <c r="D3729" s="59">
        <v>3.0</v>
      </c>
      <c r="E3729" s="59">
        <v>4.0</v>
      </c>
      <c r="F3729" s="59">
        <v>3.0</v>
      </c>
      <c r="G3729" s="60">
        <v>1.33333333333333</v>
      </c>
      <c r="H3729" s="60">
        <v>0.25</v>
      </c>
      <c r="I3729" s="60">
        <v>33.82544825</v>
      </c>
      <c r="J3729" s="59">
        <v>5.0</v>
      </c>
      <c r="K3729" s="61">
        <f t="shared" si="1"/>
        <v>0.75</v>
      </c>
      <c r="L3729" s="62">
        <f t="shared" si="2"/>
        <v>1.25</v>
      </c>
    </row>
    <row r="3730">
      <c r="A3730" s="58">
        <v>45870.0</v>
      </c>
      <c r="B3730" s="24" t="s">
        <v>6787</v>
      </c>
      <c r="C3730" s="24" t="s">
        <v>7348</v>
      </c>
      <c r="D3730" s="59">
        <v>3.0</v>
      </c>
      <c r="E3730" s="59">
        <v>3.0</v>
      </c>
      <c r="F3730" s="59">
        <v>3.0</v>
      </c>
      <c r="G3730" s="60">
        <v>1.0</v>
      </c>
      <c r="H3730" s="60">
        <v>0.666666666666666</v>
      </c>
      <c r="I3730" s="60">
        <v>14.052817</v>
      </c>
      <c r="J3730" s="59">
        <v>4.0</v>
      </c>
      <c r="K3730" s="61">
        <f t="shared" si="1"/>
        <v>1</v>
      </c>
      <c r="L3730" s="62">
        <f t="shared" si="2"/>
        <v>1.333333333</v>
      </c>
    </row>
    <row r="3731">
      <c r="A3731" s="58">
        <v>45870.0</v>
      </c>
      <c r="B3731" s="24" t="s">
        <v>6789</v>
      </c>
      <c r="C3731" s="24" t="s">
        <v>6854</v>
      </c>
      <c r="D3731" s="59">
        <v>3.0</v>
      </c>
      <c r="E3731" s="59">
        <v>4.0</v>
      </c>
      <c r="F3731" s="59">
        <v>0.0</v>
      </c>
      <c r="G3731" s="60">
        <v>2.0</v>
      </c>
      <c r="H3731" s="60">
        <v>0.5</v>
      </c>
      <c r="I3731" s="60">
        <v>9.18779225</v>
      </c>
      <c r="J3731" s="59">
        <v>6.0</v>
      </c>
      <c r="K3731" s="61">
        <f t="shared" si="1"/>
        <v>0</v>
      </c>
      <c r="L3731" s="62">
        <f t="shared" si="2"/>
        <v>1.5</v>
      </c>
    </row>
    <row r="3732">
      <c r="A3732" s="58">
        <v>45870.0</v>
      </c>
      <c r="B3732" s="24" t="s">
        <v>6787</v>
      </c>
      <c r="C3732" s="24" t="s">
        <v>6963</v>
      </c>
      <c r="D3732" s="59">
        <v>3.0</v>
      </c>
      <c r="E3732" s="59">
        <v>3.0</v>
      </c>
      <c r="F3732" s="59">
        <v>3.0</v>
      </c>
      <c r="G3732" s="60">
        <v>1.0</v>
      </c>
      <c r="H3732" s="60">
        <v>1.0</v>
      </c>
      <c r="I3732" s="60">
        <v>1.51134266666666</v>
      </c>
      <c r="J3732" s="59">
        <v>3.0</v>
      </c>
      <c r="K3732" s="61">
        <f t="shared" si="1"/>
        <v>1</v>
      </c>
      <c r="L3732" s="62">
        <f t="shared" si="2"/>
        <v>1</v>
      </c>
    </row>
    <row r="3733">
      <c r="A3733" s="58">
        <v>45870.0</v>
      </c>
      <c r="B3733" s="24" t="s">
        <v>7030</v>
      </c>
      <c r="C3733" s="24" t="s">
        <v>6788</v>
      </c>
      <c r="D3733" s="59">
        <v>2.0</v>
      </c>
      <c r="E3733" s="59">
        <v>2.0</v>
      </c>
      <c r="F3733" s="59">
        <v>2.0</v>
      </c>
      <c r="G3733" s="60">
        <v>1.0</v>
      </c>
      <c r="H3733" s="60">
        <v>0.0</v>
      </c>
      <c r="I3733" s="60">
        <v>141.768394</v>
      </c>
      <c r="J3733" s="59">
        <v>2.0</v>
      </c>
      <c r="K3733" s="61">
        <f t="shared" si="1"/>
        <v>1</v>
      </c>
      <c r="L3733" s="62">
        <f t="shared" si="2"/>
        <v>1</v>
      </c>
    </row>
    <row r="3734">
      <c r="A3734" s="58">
        <v>45870.0</v>
      </c>
      <c r="B3734" s="24" t="s">
        <v>6787</v>
      </c>
      <c r="C3734" s="24" t="s">
        <v>7349</v>
      </c>
      <c r="D3734" s="59">
        <v>2.0</v>
      </c>
      <c r="E3734" s="59">
        <v>2.0</v>
      </c>
      <c r="F3734" s="59">
        <v>2.0</v>
      </c>
      <c r="G3734" s="60">
        <v>1.0</v>
      </c>
      <c r="H3734" s="60">
        <v>1.0</v>
      </c>
      <c r="I3734" s="60">
        <v>0.0</v>
      </c>
      <c r="J3734" s="59">
        <v>2.0</v>
      </c>
      <c r="K3734" s="61">
        <f t="shared" si="1"/>
        <v>1</v>
      </c>
      <c r="L3734" s="62">
        <f t="shared" si="2"/>
        <v>1</v>
      </c>
    </row>
    <row r="3735">
      <c r="A3735" s="58">
        <v>45870.0</v>
      </c>
      <c r="B3735" s="24" t="s">
        <v>6787</v>
      </c>
      <c r="C3735" s="24" t="s">
        <v>7326</v>
      </c>
      <c r="D3735" s="59">
        <v>2.0</v>
      </c>
      <c r="E3735" s="59">
        <v>2.0</v>
      </c>
      <c r="F3735" s="59">
        <v>2.0</v>
      </c>
      <c r="G3735" s="60">
        <v>1.0</v>
      </c>
      <c r="H3735" s="60">
        <v>1.0</v>
      </c>
      <c r="I3735" s="60">
        <v>0.0</v>
      </c>
      <c r="J3735" s="59">
        <v>2.0</v>
      </c>
      <c r="K3735" s="61">
        <f t="shared" si="1"/>
        <v>1</v>
      </c>
      <c r="L3735" s="62">
        <f t="shared" si="2"/>
        <v>1</v>
      </c>
    </row>
    <row r="3736">
      <c r="A3736" s="58">
        <v>45870.0</v>
      </c>
      <c r="B3736" s="24" t="s">
        <v>6787</v>
      </c>
      <c r="C3736" s="24" t="s">
        <v>7350</v>
      </c>
      <c r="D3736" s="59">
        <v>2.0</v>
      </c>
      <c r="E3736" s="59">
        <v>2.0</v>
      </c>
      <c r="F3736" s="59">
        <v>2.0</v>
      </c>
      <c r="G3736" s="60">
        <v>1.0</v>
      </c>
      <c r="H3736" s="60">
        <v>1.0</v>
      </c>
      <c r="I3736" s="60">
        <v>0.0</v>
      </c>
      <c r="J3736" s="59">
        <v>2.0</v>
      </c>
      <c r="K3736" s="61">
        <f t="shared" si="1"/>
        <v>1</v>
      </c>
      <c r="L3736" s="62">
        <f t="shared" si="2"/>
        <v>1</v>
      </c>
    </row>
    <row r="3737">
      <c r="A3737" s="58">
        <v>45870.0</v>
      </c>
      <c r="B3737" s="24" t="s">
        <v>6787</v>
      </c>
      <c r="C3737" s="24" t="s">
        <v>7351</v>
      </c>
      <c r="D3737" s="59">
        <v>2.0</v>
      </c>
      <c r="E3737" s="59">
        <v>2.0</v>
      </c>
      <c r="F3737" s="59">
        <v>2.0</v>
      </c>
      <c r="G3737" s="60">
        <v>1.0</v>
      </c>
      <c r="H3737" s="60">
        <v>1.0</v>
      </c>
      <c r="I3737" s="60">
        <v>0.0</v>
      </c>
      <c r="J3737" s="59">
        <v>2.0</v>
      </c>
      <c r="K3737" s="61">
        <f t="shared" si="1"/>
        <v>1</v>
      </c>
      <c r="L3737" s="62">
        <f t="shared" si="2"/>
        <v>1</v>
      </c>
    </row>
    <row r="3738">
      <c r="A3738" s="58">
        <v>45870.0</v>
      </c>
      <c r="B3738" s="24" t="s">
        <v>6787</v>
      </c>
      <c r="C3738" s="24" t="s">
        <v>7352</v>
      </c>
      <c r="D3738" s="59">
        <v>2.0</v>
      </c>
      <c r="E3738" s="59">
        <v>2.0</v>
      </c>
      <c r="F3738" s="59">
        <v>2.0</v>
      </c>
      <c r="G3738" s="60">
        <v>1.0</v>
      </c>
      <c r="H3738" s="60">
        <v>1.0</v>
      </c>
      <c r="I3738" s="60">
        <v>0.0</v>
      </c>
      <c r="J3738" s="59">
        <v>2.0</v>
      </c>
      <c r="K3738" s="61">
        <f t="shared" si="1"/>
        <v>1</v>
      </c>
      <c r="L3738" s="62">
        <f t="shared" si="2"/>
        <v>1</v>
      </c>
    </row>
    <row r="3739">
      <c r="A3739" s="58">
        <v>45870.0</v>
      </c>
      <c r="B3739" s="24" t="s">
        <v>6787</v>
      </c>
      <c r="C3739" s="24" t="s">
        <v>7353</v>
      </c>
      <c r="D3739" s="59">
        <v>2.0</v>
      </c>
      <c r="E3739" s="59">
        <v>2.0</v>
      </c>
      <c r="F3739" s="59">
        <v>2.0</v>
      </c>
      <c r="G3739" s="60">
        <v>1.0</v>
      </c>
      <c r="H3739" s="60">
        <v>1.0</v>
      </c>
      <c r="I3739" s="60">
        <v>0.0</v>
      </c>
      <c r="J3739" s="59">
        <v>2.0</v>
      </c>
      <c r="K3739" s="61">
        <f t="shared" si="1"/>
        <v>1</v>
      </c>
      <c r="L3739" s="62">
        <f t="shared" si="2"/>
        <v>1</v>
      </c>
    </row>
    <row r="3740">
      <c r="A3740" s="58">
        <v>45870.0</v>
      </c>
      <c r="B3740" s="24" t="s">
        <v>6787</v>
      </c>
      <c r="C3740" s="24" t="s">
        <v>7354</v>
      </c>
      <c r="D3740" s="59">
        <v>2.0</v>
      </c>
      <c r="E3740" s="59">
        <v>2.0</v>
      </c>
      <c r="F3740" s="59">
        <v>2.0</v>
      </c>
      <c r="G3740" s="60">
        <v>1.0</v>
      </c>
      <c r="H3740" s="60">
        <v>1.0</v>
      </c>
      <c r="I3740" s="60">
        <v>0.8966915</v>
      </c>
      <c r="J3740" s="59">
        <v>2.0</v>
      </c>
      <c r="K3740" s="61">
        <f t="shared" si="1"/>
        <v>1</v>
      </c>
      <c r="L3740" s="62">
        <f t="shared" si="2"/>
        <v>1</v>
      </c>
    </row>
    <row r="3741">
      <c r="A3741" s="58">
        <v>45870.0</v>
      </c>
      <c r="B3741" s="24" t="s">
        <v>6787</v>
      </c>
      <c r="C3741" s="24" t="s">
        <v>6980</v>
      </c>
      <c r="D3741" s="59">
        <v>2.0</v>
      </c>
      <c r="E3741" s="59">
        <v>2.0</v>
      </c>
      <c r="F3741" s="59">
        <v>2.0</v>
      </c>
      <c r="G3741" s="60">
        <v>1.0</v>
      </c>
      <c r="H3741" s="60">
        <v>0.5</v>
      </c>
      <c r="I3741" s="60">
        <v>294.658881</v>
      </c>
      <c r="J3741" s="59">
        <v>7.0</v>
      </c>
      <c r="K3741" s="61">
        <f t="shared" si="1"/>
        <v>1</v>
      </c>
      <c r="L3741" s="62">
        <f t="shared" si="2"/>
        <v>3.5</v>
      </c>
    </row>
    <row r="3742">
      <c r="A3742" s="58">
        <v>45870.0</v>
      </c>
      <c r="B3742" s="24" t="s">
        <v>6787</v>
      </c>
      <c r="C3742" s="24" t="s">
        <v>7055</v>
      </c>
      <c r="D3742" s="59">
        <v>2.0</v>
      </c>
      <c r="E3742" s="59">
        <v>2.0</v>
      </c>
      <c r="F3742" s="59">
        <v>2.0</v>
      </c>
      <c r="G3742" s="60">
        <v>1.0</v>
      </c>
      <c r="H3742" s="60">
        <v>1.0</v>
      </c>
      <c r="I3742" s="60">
        <v>0.0</v>
      </c>
      <c r="J3742" s="59">
        <v>2.0</v>
      </c>
      <c r="K3742" s="61">
        <f t="shared" si="1"/>
        <v>1</v>
      </c>
      <c r="L3742" s="62">
        <f t="shared" si="2"/>
        <v>1</v>
      </c>
    </row>
    <row r="3743">
      <c r="A3743" s="58">
        <v>45870.0</v>
      </c>
      <c r="B3743" s="24" t="s">
        <v>6787</v>
      </c>
      <c r="C3743" s="24" t="s">
        <v>6983</v>
      </c>
      <c r="D3743" s="59">
        <v>2.0</v>
      </c>
      <c r="E3743" s="59">
        <v>2.0</v>
      </c>
      <c r="F3743" s="59">
        <v>2.0</v>
      </c>
      <c r="G3743" s="60">
        <v>1.0</v>
      </c>
      <c r="H3743" s="60">
        <v>1.0</v>
      </c>
      <c r="I3743" s="60">
        <v>0.0</v>
      </c>
      <c r="J3743" s="59">
        <v>2.0</v>
      </c>
      <c r="K3743" s="61">
        <f t="shared" si="1"/>
        <v>1</v>
      </c>
      <c r="L3743" s="62">
        <f t="shared" si="2"/>
        <v>1</v>
      </c>
    </row>
    <row r="3744">
      <c r="A3744" s="58">
        <v>45870.0</v>
      </c>
      <c r="B3744" s="24" t="s">
        <v>6789</v>
      </c>
      <c r="C3744" s="24" t="s">
        <v>6943</v>
      </c>
      <c r="D3744" s="59">
        <v>2.0</v>
      </c>
      <c r="E3744" s="59">
        <v>2.0</v>
      </c>
      <c r="F3744" s="59">
        <v>2.0</v>
      </c>
      <c r="G3744" s="60">
        <v>1.0</v>
      </c>
      <c r="H3744" s="60">
        <v>0.5</v>
      </c>
      <c r="I3744" s="60">
        <v>63.278206</v>
      </c>
      <c r="J3744" s="59">
        <v>2.0</v>
      </c>
      <c r="K3744" s="61">
        <f t="shared" si="1"/>
        <v>1</v>
      </c>
      <c r="L3744" s="62">
        <f t="shared" si="2"/>
        <v>1</v>
      </c>
    </row>
    <row r="3745">
      <c r="A3745" s="58">
        <v>45870.0</v>
      </c>
      <c r="B3745" s="24" t="s">
        <v>155</v>
      </c>
      <c r="C3745" s="24" t="s">
        <v>6943</v>
      </c>
      <c r="D3745" s="59">
        <v>2.0</v>
      </c>
      <c r="E3745" s="59">
        <v>2.0</v>
      </c>
      <c r="F3745" s="59">
        <v>1.0</v>
      </c>
      <c r="G3745" s="60">
        <v>2.0</v>
      </c>
      <c r="H3745" s="60">
        <v>0.5</v>
      </c>
      <c r="I3745" s="60">
        <v>159.2911</v>
      </c>
      <c r="J3745" s="59">
        <v>2.0</v>
      </c>
      <c r="K3745" s="61">
        <f t="shared" si="1"/>
        <v>0.5</v>
      </c>
      <c r="L3745" s="62">
        <f t="shared" si="2"/>
        <v>1</v>
      </c>
    </row>
    <row r="3746">
      <c r="A3746" s="58">
        <v>45870.0</v>
      </c>
      <c r="B3746" s="24" t="s">
        <v>6790</v>
      </c>
      <c r="C3746" s="24" t="s">
        <v>6829</v>
      </c>
      <c r="D3746" s="59">
        <v>2.0</v>
      </c>
      <c r="E3746" s="59">
        <v>2.0</v>
      </c>
      <c r="F3746" s="59">
        <v>2.0</v>
      </c>
      <c r="G3746" s="60">
        <v>1.0</v>
      </c>
      <c r="H3746" s="60">
        <v>0.0</v>
      </c>
      <c r="I3746" s="60">
        <v>179.110664499999</v>
      </c>
      <c r="J3746" s="59">
        <v>2.0</v>
      </c>
      <c r="K3746" s="61">
        <f t="shared" si="1"/>
        <v>1</v>
      </c>
      <c r="L3746" s="62">
        <f t="shared" si="2"/>
        <v>1</v>
      </c>
    </row>
    <row r="3747">
      <c r="A3747" s="58">
        <v>45870.0</v>
      </c>
      <c r="B3747" s="24" t="s">
        <v>6787</v>
      </c>
      <c r="C3747" s="24" t="s">
        <v>7058</v>
      </c>
      <c r="D3747" s="59">
        <v>2.0</v>
      </c>
      <c r="E3747" s="59">
        <v>2.0</v>
      </c>
      <c r="F3747" s="59">
        <v>2.0</v>
      </c>
      <c r="G3747" s="60">
        <v>1.0</v>
      </c>
      <c r="H3747" s="60">
        <v>1.0</v>
      </c>
      <c r="I3747" s="60">
        <v>0.0</v>
      </c>
      <c r="J3747" s="59">
        <v>2.0</v>
      </c>
      <c r="K3747" s="61">
        <f t="shared" si="1"/>
        <v>1</v>
      </c>
      <c r="L3747" s="62">
        <f t="shared" si="2"/>
        <v>1</v>
      </c>
    </row>
    <row r="3748">
      <c r="A3748" s="58">
        <v>45870.0</v>
      </c>
      <c r="B3748" s="24" t="s">
        <v>6789</v>
      </c>
      <c r="C3748" s="24" t="s">
        <v>7058</v>
      </c>
      <c r="D3748" s="59">
        <v>2.0</v>
      </c>
      <c r="E3748" s="59">
        <v>2.0</v>
      </c>
      <c r="F3748" s="59">
        <v>1.0</v>
      </c>
      <c r="G3748" s="60">
        <v>2.0</v>
      </c>
      <c r="H3748" s="60">
        <v>1.0</v>
      </c>
      <c r="I3748" s="60">
        <v>0.0</v>
      </c>
      <c r="J3748" s="59">
        <v>2.0</v>
      </c>
      <c r="K3748" s="61">
        <f t="shared" si="1"/>
        <v>0.5</v>
      </c>
      <c r="L3748" s="62">
        <f t="shared" si="2"/>
        <v>1</v>
      </c>
    </row>
    <row r="3749">
      <c r="A3749" s="58">
        <v>45870.0</v>
      </c>
      <c r="B3749" s="24" t="s">
        <v>6787</v>
      </c>
      <c r="C3749" s="24" t="s">
        <v>6863</v>
      </c>
      <c r="D3749" s="59">
        <v>2.0</v>
      </c>
      <c r="E3749" s="59">
        <v>2.0</v>
      </c>
      <c r="F3749" s="59">
        <v>2.0</v>
      </c>
      <c r="G3749" s="60">
        <v>1.0</v>
      </c>
      <c r="H3749" s="60">
        <v>0.5</v>
      </c>
      <c r="I3749" s="60">
        <v>8.158112</v>
      </c>
      <c r="J3749" s="59">
        <v>2.0</v>
      </c>
      <c r="K3749" s="61">
        <f t="shared" si="1"/>
        <v>1</v>
      </c>
      <c r="L3749" s="62">
        <f t="shared" si="2"/>
        <v>1</v>
      </c>
    </row>
    <row r="3750">
      <c r="A3750" s="58">
        <v>45870.0</v>
      </c>
      <c r="B3750" s="24" t="s">
        <v>6787</v>
      </c>
      <c r="C3750" s="24" t="s">
        <v>6864</v>
      </c>
      <c r="D3750" s="59">
        <v>2.0</v>
      </c>
      <c r="E3750" s="59">
        <v>2.0</v>
      </c>
      <c r="F3750" s="59">
        <v>2.0</v>
      </c>
      <c r="G3750" s="60">
        <v>1.0</v>
      </c>
      <c r="H3750" s="60">
        <v>1.0</v>
      </c>
      <c r="I3750" s="60">
        <v>0.0</v>
      </c>
      <c r="J3750" s="59">
        <v>2.0</v>
      </c>
      <c r="K3750" s="61">
        <f t="shared" si="1"/>
        <v>1</v>
      </c>
      <c r="L3750" s="62">
        <f t="shared" si="2"/>
        <v>1</v>
      </c>
    </row>
    <row r="3751">
      <c r="A3751" s="58">
        <v>45870.0</v>
      </c>
      <c r="B3751" s="24" t="s">
        <v>6787</v>
      </c>
      <c r="C3751" s="24" t="s">
        <v>6865</v>
      </c>
      <c r="D3751" s="59">
        <v>2.0</v>
      </c>
      <c r="E3751" s="59">
        <v>2.0</v>
      </c>
      <c r="F3751" s="59">
        <v>2.0</v>
      </c>
      <c r="G3751" s="60">
        <v>1.0</v>
      </c>
      <c r="H3751" s="60">
        <v>1.0</v>
      </c>
      <c r="I3751" s="60">
        <v>0.0</v>
      </c>
      <c r="J3751" s="59">
        <v>2.0</v>
      </c>
      <c r="K3751" s="61">
        <f t="shared" si="1"/>
        <v>1</v>
      </c>
      <c r="L3751" s="62">
        <f t="shared" si="2"/>
        <v>1</v>
      </c>
    </row>
    <row r="3752">
      <c r="A3752" s="58">
        <v>45870.0</v>
      </c>
      <c r="B3752" s="24" t="s">
        <v>6789</v>
      </c>
      <c r="C3752" s="24" t="s">
        <v>6831</v>
      </c>
      <c r="D3752" s="59">
        <v>2.0</v>
      </c>
      <c r="E3752" s="59">
        <v>2.0</v>
      </c>
      <c r="F3752" s="59">
        <v>1.0</v>
      </c>
      <c r="G3752" s="60">
        <v>1.0</v>
      </c>
      <c r="H3752" s="60">
        <v>0.5</v>
      </c>
      <c r="I3752" s="60">
        <v>62.7045685</v>
      </c>
      <c r="J3752" s="59">
        <v>3.0</v>
      </c>
      <c r="K3752" s="61">
        <f t="shared" si="1"/>
        <v>0.5</v>
      </c>
      <c r="L3752" s="62">
        <f t="shared" si="2"/>
        <v>1.5</v>
      </c>
    </row>
    <row r="3753">
      <c r="A3753" s="58">
        <v>45870.0</v>
      </c>
      <c r="B3753" s="24" t="s">
        <v>6787</v>
      </c>
      <c r="C3753" s="24" t="s">
        <v>6833</v>
      </c>
      <c r="D3753" s="59">
        <v>2.0</v>
      </c>
      <c r="E3753" s="59">
        <v>2.0</v>
      </c>
      <c r="F3753" s="59">
        <v>2.0</v>
      </c>
      <c r="G3753" s="60">
        <v>1.0</v>
      </c>
      <c r="H3753" s="60">
        <v>1.0</v>
      </c>
      <c r="I3753" s="60">
        <v>2.4937745</v>
      </c>
      <c r="J3753" s="59">
        <v>2.0</v>
      </c>
      <c r="K3753" s="61">
        <f t="shared" si="1"/>
        <v>1</v>
      </c>
      <c r="L3753" s="62">
        <f t="shared" si="2"/>
        <v>1</v>
      </c>
    </row>
    <row r="3754">
      <c r="A3754" s="58">
        <v>45870.0</v>
      </c>
      <c r="B3754" s="24" t="s">
        <v>6787</v>
      </c>
      <c r="C3754" s="24" t="s">
        <v>6986</v>
      </c>
      <c r="D3754" s="59">
        <v>2.0</v>
      </c>
      <c r="E3754" s="59">
        <v>2.0</v>
      </c>
      <c r="F3754" s="59">
        <v>2.0</v>
      </c>
      <c r="G3754" s="60">
        <v>1.0</v>
      </c>
      <c r="H3754" s="60">
        <v>1.0</v>
      </c>
      <c r="I3754" s="60">
        <v>0.0</v>
      </c>
      <c r="J3754" s="59">
        <v>2.0</v>
      </c>
      <c r="K3754" s="61">
        <f t="shared" si="1"/>
        <v>1</v>
      </c>
      <c r="L3754" s="62">
        <f t="shared" si="2"/>
        <v>1</v>
      </c>
    </row>
    <row r="3755">
      <c r="A3755" s="58">
        <v>45870.0</v>
      </c>
      <c r="B3755" s="24" t="s">
        <v>6787</v>
      </c>
      <c r="C3755" s="24" t="s">
        <v>6870</v>
      </c>
      <c r="D3755" s="59">
        <v>2.0</v>
      </c>
      <c r="E3755" s="59">
        <v>2.0</v>
      </c>
      <c r="F3755" s="59">
        <v>2.0</v>
      </c>
      <c r="G3755" s="60">
        <v>1.0</v>
      </c>
      <c r="H3755" s="60">
        <v>1.0</v>
      </c>
      <c r="I3755" s="60">
        <v>0.0</v>
      </c>
      <c r="J3755" s="59">
        <v>2.0</v>
      </c>
      <c r="K3755" s="61">
        <f t="shared" si="1"/>
        <v>1</v>
      </c>
      <c r="L3755" s="62">
        <f t="shared" si="2"/>
        <v>1</v>
      </c>
    </row>
    <row r="3756">
      <c r="A3756" s="58">
        <v>45870.0</v>
      </c>
      <c r="B3756" s="24" t="s">
        <v>6787</v>
      </c>
      <c r="C3756" s="24" t="s">
        <v>7062</v>
      </c>
      <c r="D3756" s="59">
        <v>2.0</v>
      </c>
      <c r="E3756" s="59">
        <v>2.0</v>
      </c>
      <c r="F3756" s="59">
        <v>2.0</v>
      </c>
      <c r="G3756" s="60">
        <v>1.0</v>
      </c>
      <c r="H3756" s="60">
        <v>1.0</v>
      </c>
      <c r="I3756" s="60">
        <v>0.0</v>
      </c>
      <c r="J3756" s="59">
        <v>2.0</v>
      </c>
      <c r="K3756" s="61">
        <f t="shared" si="1"/>
        <v>1</v>
      </c>
      <c r="L3756" s="62">
        <f t="shared" si="2"/>
        <v>1</v>
      </c>
    </row>
    <row r="3757">
      <c r="A3757" s="58">
        <v>45870.0</v>
      </c>
      <c r="B3757" s="24" t="s">
        <v>6787</v>
      </c>
      <c r="C3757" s="24" t="s">
        <v>7063</v>
      </c>
      <c r="D3757" s="59">
        <v>2.0</v>
      </c>
      <c r="E3757" s="59">
        <v>2.0</v>
      </c>
      <c r="F3757" s="59">
        <v>2.0</v>
      </c>
      <c r="G3757" s="60">
        <v>1.0</v>
      </c>
      <c r="H3757" s="60">
        <v>1.0</v>
      </c>
      <c r="I3757" s="60">
        <v>0.0</v>
      </c>
      <c r="J3757" s="59">
        <v>2.0</v>
      </c>
      <c r="K3757" s="61">
        <f t="shared" si="1"/>
        <v>1</v>
      </c>
      <c r="L3757" s="62">
        <f t="shared" si="2"/>
        <v>1</v>
      </c>
    </row>
    <row r="3758">
      <c r="A3758" s="58">
        <v>45870.0</v>
      </c>
      <c r="B3758" s="24" t="s">
        <v>6787</v>
      </c>
      <c r="C3758" s="24" t="s">
        <v>7065</v>
      </c>
      <c r="D3758" s="59">
        <v>2.0</v>
      </c>
      <c r="E3758" s="59">
        <v>2.0</v>
      </c>
      <c r="F3758" s="59">
        <v>2.0</v>
      </c>
      <c r="G3758" s="60">
        <v>1.0</v>
      </c>
      <c r="H3758" s="60">
        <v>1.0</v>
      </c>
      <c r="I3758" s="60">
        <v>0.0</v>
      </c>
      <c r="J3758" s="59">
        <v>2.0</v>
      </c>
      <c r="K3758" s="61">
        <f t="shared" si="1"/>
        <v>1</v>
      </c>
      <c r="L3758" s="62">
        <f t="shared" si="2"/>
        <v>1</v>
      </c>
    </row>
    <row r="3759">
      <c r="A3759" s="58">
        <v>45870.0</v>
      </c>
      <c r="B3759" s="24" t="s">
        <v>6787</v>
      </c>
      <c r="C3759" s="24" t="s">
        <v>6877</v>
      </c>
      <c r="D3759" s="59">
        <v>2.0</v>
      </c>
      <c r="E3759" s="59">
        <v>2.0</v>
      </c>
      <c r="F3759" s="59">
        <v>2.0</v>
      </c>
      <c r="G3759" s="60">
        <v>1.0</v>
      </c>
      <c r="H3759" s="60">
        <v>1.0</v>
      </c>
      <c r="I3759" s="60">
        <v>0.0</v>
      </c>
      <c r="J3759" s="59">
        <v>2.0</v>
      </c>
      <c r="K3759" s="61">
        <f t="shared" si="1"/>
        <v>1</v>
      </c>
      <c r="L3759" s="62">
        <f t="shared" si="2"/>
        <v>1</v>
      </c>
    </row>
    <row r="3760">
      <c r="A3760" s="58">
        <v>45870.0</v>
      </c>
      <c r="B3760" s="24" t="s">
        <v>6789</v>
      </c>
      <c r="C3760" s="24" t="s">
        <v>6877</v>
      </c>
      <c r="D3760" s="59">
        <v>2.0</v>
      </c>
      <c r="E3760" s="59">
        <v>2.0</v>
      </c>
      <c r="F3760" s="59">
        <v>2.0</v>
      </c>
      <c r="G3760" s="60">
        <v>1.0</v>
      </c>
      <c r="H3760" s="60">
        <v>0.5</v>
      </c>
      <c r="I3760" s="60">
        <v>63.5688535</v>
      </c>
      <c r="J3760" s="59">
        <v>2.0</v>
      </c>
      <c r="K3760" s="61">
        <f t="shared" si="1"/>
        <v>1</v>
      </c>
      <c r="L3760" s="62">
        <f t="shared" si="2"/>
        <v>1</v>
      </c>
    </row>
    <row r="3761">
      <c r="A3761" s="58">
        <v>45870.0</v>
      </c>
      <c r="B3761" s="24" t="s">
        <v>6789</v>
      </c>
      <c r="C3761" s="24" t="s">
        <v>6989</v>
      </c>
      <c r="D3761" s="59">
        <v>2.0</v>
      </c>
      <c r="E3761" s="59">
        <v>2.0</v>
      </c>
      <c r="F3761" s="59">
        <v>1.0</v>
      </c>
      <c r="G3761" s="60">
        <v>1.0</v>
      </c>
      <c r="H3761" s="60">
        <v>0.5</v>
      </c>
      <c r="I3761" s="60">
        <v>8.5157085</v>
      </c>
      <c r="J3761" s="59">
        <v>2.0</v>
      </c>
      <c r="K3761" s="61">
        <f t="shared" si="1"/>
        <v>0.5</v>
      </c>
      <c r="L3761" s="62">
        <f t="shared" si="2"/>
        <v>1</v>
      </c>
    </row>
    <row r="3762">
      <c r="A3762" s="58">
        <v>45870.0</v>
      </c>
      <c r="B3762" s="24" t="s">
        <v>6787</v>
      </c>
      <c r="C3762" s="24" t="s">
        <v>6835</v>
      </c>
      <c r="D3762" s="59">
        <v>2.0</v>
      </c>
      <c r="E3762" s="59">
        <v>3.0</v>
      </c>
      <c r="F3762" s="59">
        <v>2.0</v>
      </c>
      <c r="G3762" s="60">
        <v>1.5</v>
      </c>
      <c r="H3762" s="60">
        <v>1.0</v>
      </c>
      <c r="I3762" s="60">
        <v>0.621082</v>
      </c>
      <c r="J3762" s="59">
        <v>3.0</v>
      </c>
      <c r="K3762" s="61">
        <f t="shared" si="1"/>
        <v>0.6666666667</v>
      </c>
      <c r="L3762" s="62">
        <f t="shared" si="2"/>
        <v>1</v>
      </c>
    </row>
    <row r="3763">
      <c r="A3763" s="58">
        <v>45870.0</v>
      </c>
      <c r="B3763" s="24" t="s">
        <v>6790</v>
      </c>
      <c r="C3763" s="24" t="s">
        <v>6835</v>
      </c>
      <c r="D3763" s="59">
        <v>2.0</v>
      </c>
      <c r="E3763" s="59">
        <v>3.0</v>
      </c>
      <c r="F3763" s="59">
        <v>1.0</v>
      </c>
      <c r="G3763" s="60">
        <v>1.5</v>
      </c>
      <c r="H3763" s="60">
        <v>0.666666666666666</v>
      </c>
      <c r="I3763" s="60">
        <v>15.2266529999999</v>
      </c>
      <c r="J3763" s="59">
        <v>3.0</v>
      </c>
      <c r="K3763" s="61">
        <f t="shared" si="1"/>
        <v>0.3333333333</v>
      </c>
      <c r="L3763" s="62">
        <f t="shared" si="2"/>
        <v>1</v>
      </c>
    </row>
    <row r="3764">
      <c r="A3764" s="58">
        <v>45870.0</v>
      </c>
      <c r="B3764" s="24" t="s">
        <v>6787</v>
      </c>
      <c r="C3764" s="24" t="s">
        <v>6991</v>
      </c>
      <c r="D3764" s="59">
        <v>2.0</v>
      </c>
      <c r="E3764" s="59">
        <v>2.0</v>
      </c>
      <c r="F3764" s="59">
        <v>2.0</v>
      </c>
      <c r="G3764" s="60">
        <v>1.0</v>
      </c>
      <c r="H3764" s="60">
        <v>1.0</v>
      </c>
      <c r="I3764" s="60">
        <v>0.0</v>
      </c>
      <c r="J3764" s="59">
        <v>2.0</v>
      </c>
      <c r="K3764" s="61">
        <f t="shared" si="1"/>
        <v>1</v>
      </c>
      <c r="L3764" s="62">
        <f t="shared" si="2"/>
        <v>1</v>
      </c>
    </row>
    <row r="3765">
      <c r="A3765" s="58">
        <v>45870.0</v>
      </c>
      <c r="B3765" s="24" t="s">
        <v>6787</v>
      </c>
      <c r="C3765" s="24" t="s">
        <v>6992</v>
      </c>
      <c r="D3765" s="59">
        <v>2.0</v>
      </c>
      <c r="E3765" s="59">
        <v>2.0</v>
      </c>
      <c r="F3765" s="59">
        <v>2.0</v>
      </c>
      <c r="G3765" s="60">
        <v>1.0</v>
      </c>
      <c r="H3765" s="60">
        <v>1.0</v>
      </c>
      <c r="I3765" s="60">
        <v>0.0</v>
      </c>
      <c r="J3765" s="59">
        <v>2.0</v>
      </c>
      <c r="K3765" s="61">
        <f t="shared" si="1"/>
        <v>1</v>
      </c>
      <c r="L3765" s="62">
        <f t="shared" si="2"/>
        <v>1</v>
      </c>
    </row>
    <row r="3766">
      <c r="A3766" s="58">
        <v>45870.0</v>
      </c>
      <c r="B3766" s="24" t="s">
        <v>6787</v>
      </c>
      <c r="C3766" s="24" t="s">
        <v>6836</v>
      </c>
      <c r="D3766" s="59">
        <v>2.0</v>
      </c>
      <c r="E3766" s="59">
        <v>2.0</v>
      </c>
      <c r="F3766" s="59">
        <v>2.0</v>
      </c>
      <c r="G3766" s="60">
        <v>1.0</v>
      </c>
      <c r="H3766" s="60">
        <v>1.0</v>
      </c>
      <c r="I3766" s="60">
        <v>0.0</v>
      </c>
      <c r="J3766" s="59">
        <v>2.0</v>
      </c>
      <c r="K3766" s="61">
        <f t="shared" si="1"/>
        <v>1</v>
      </c>
      <c r="L3766" s="62">
        <f t="shared" si="2"/>
        <v>1</v>
      </c>
    </row>
    <row r="3767">
      <c r="A3767" s="58">
        <v>45870.0</v>
      </c>
      <c r="B3767" s="24" t="s">
        <v>6789</v>
      </c>
      <c r="C3767" s="24" t="s">
        <v>7070</v>
      </c>
      <c r="D3767" s="59">
        <v>2.0</v>
      </c>
      <c r="E3767" s="59">
        <v>2.0</v>
      </c>
      <c r="F3767" s="59">
        <v>0.0</v>
      </c>
      <c r="G3767" s="60">
        <v>2.0</v>
      </c>
      <c r="H3767" s="60">
        <v>0.5</v>
      </c>
      <c r="I3767" s="60">
        <v>114.141087</v>
      </c>
      <c r="J3767" s="59">
        <v>2.0</v>
      </c>
      <c r="K3767" s="61">
        <f t="shared" si="1"/>
        <v>0</v>
      </c>
      <c r="L3767" s="62">
        <f t="shared" si="2"/>
        <v>1</v>
      </c>
    </row>
    <row r="3768">
      <c r="A3768" s="58">
        <v>45870.0</v>
      </c>
      <c r="B3768" s="24" t="s">
        <v>155</v>
      </c>
      <c r="C3768" s="24" t="s">
        <v>7070</v>
      </c>
      <c r="D3768" s="59">
        <v>2.0</v>
      </c>
      <c r="E3768" s="59">
        <v>2.0</v>
      </c>
      <c r="F3768" s="59">
        <v>1.0</v>
      </c>
      <c r="G3768" s="60">
        <v>1.0</v>
      </c>
      <c r="H3768" s="60">
        <v>1.0</v>
      </c>
      <c r="I3768" s="60">
        <v>0.468299</v>
      </c>
      <c r="J3768" s="59">
        <v>2.0</v>
      </c>
      <c r="K3768" s="61">
        <f t="shared" si="1"/>
        <v>0.5</v>
      </c>
      <c r="L3768" s="62">
        <f t="shared" si="2"/>
        <v>1</v>
      </c>
    </row>
    <row r="3769">
      <c r="A3769" s="58">
        <v>45870.0</v>
      </c>
      <c r="B3769" s="24" t="s">
        <v>6787</v>
      </c>
      <c r="C3769" s="24" t="s">
        <v>7074</v>
      </c>
      <c r="D3769" s="59">
        <v>2.0</v>
      </c>
      <c r="E3769" s="59">
        <v>2.0</v>
      </c>
      <c r="F3769" s="59">
        <v>2.0</v>
      </c>
      <c r="G3769" s="60">
        <v>1.0</v>
      </c>
      <c r="H3769" s="60">
        <v>0.0</v>
      </c>
      <c r="I3769" s="60">
        <v>20.3131195</v>
      </c>
      <c r="J3769" s="59">
        <v>2.0</v>
      </c>
      <c r="K3769" s="61">
        <f t="shared" si="1"/>
        <v>1</v>
      </c>
      <c r="L3769" s="62">
        <f t="shared" si="2"/>
        <v>1</v>
      </c>
    </row>
    <row r="3770">
      <c r="A3770" s="58">
        <v>45870.0</v>
      </c>
      <c r="B3770" s="24" t="s">
        <v>6789</v>
      </c>
      <c r="C3770" s="24" t="s">
        <v>7074</v>
      </c>
      <c r="D3770" s="59">
        <v>2.0</v>
      </c>
      <c r="E3770" s="59">
        <v>3.0</v>
      </c>
      <c r="F3770" s="59">
        <v>2.0</v>
      </c>
      <c r="G3770" s="60">
        <v>1.5</v>
      </c>
      <c r="H3770" s="60">
        <v>0.666666666666666</v>
      </c>
      <c r="I3770" s="60">
        <v>366.322850333333</v>
      </c>
      <c r="J3770" s="59">
        <v>3.0</v>
      </c>
      <c r="K3770" s="61">
        <f t="shared" si="1"/>
        <v>0.6666666667</v>
      </c>
      <c r="L3770" s="62">
        <f t="shared" si="2"/>
        <v>1</v>
      </c>
    </row>
    <row r="3771">
      <c r="A3771" s="58">
        <v>45870.0</v>
      </c>
      <c r="B3771" s="24" t="s">
        <v>155</v>
      </c>
      <c r="C3771" s="24" t="s">
        <v>6886</v>
      </c>
      <c r="D3771" s="59">
        <v>2.0</v>
      </c>
      <c r="E3771" s="59">
        <v>2.0</v>
      </c>
      <c r="F3771" s="59">
        <v>0.0</v>
      </c>
      <c r="G3771" s="60">
        <v>2.0</v>
      </c>
      <c r="H3771" s="60">
        <v>1.0</v>
      </c>
      <c r="I3771" s="60">
        <v>0.0</v>
      </c>
      <c r="J3771" s="59">
        <v>2.0</v>
      </c>
      <c r="K3771" s="61">
        <f t="shared" si="1"/>
        <v>0</v>
      </c>
      <c r="L3771" s="62">
        <f t="shared" si="2"/>
        <v>1</v>
      </c>
    </row>
    <row r="3772">
      <c r="A3772" s="58">
        <v>45870.0</v>
      </c>
      <c r="B3772" s="24" t="s">
        <v>6787</v>
      </c>
      <c r="C3772" s="24" t="s">
        <v>7151</v>
      </c>
      <c r="D3772" s="59">
        <v>2.0</v>
      </c>
      <c r="E3772" s="59">
        <v>2.0</v>
      </c>
      <c r="F3772" s="59">
        <v>2.0</v>
      </c>
      <c r="G3772" s="60">
        <v>1.0</v>
      </c>
      <c r="H3772" s="60">
        <v>1.0</v>
      </c>
      <c r="I3772" s="60">
        <v>4.639694</v>
      </c>
      <c r="J3772" s="59">
        <v>2.0</v>
      </c>
      <c r="K3772" s="61">
        <f t="shared" si="1"/>
        <v>1</v>
      </c>
      <c r="L3772" s="62">
        <f t="shared" si="2"/>
        <v>1</v>
      </c>
    </row>
    <row r="3773">
      <c r="A3773" s="58">
        <v>45870.0</v>
      </c>
      <c r="B3773" s="24" t="s">
        <v>6787</v>
      </c>
      <c r="C3773" s="24" t="s">
        <v>6805</v>
      </c>
      <c r="D3773" s="59">
        <v>2.0</v>
      </c>
      <c r="E3773" s="59">
        <v>2.0</v>
      </c>
      <c r="F3773" s="59">
        <v>2.0</v>
      </c>
      <c r="G3773" s="60">
        <v>1.0</v>
      </c>
      <c r="H3773" s="60">
        <v>0.5</v>
      </c>
      <c r="I3773" s="60">
        <v>51.2125515</v>
      </c>
      <c r="J3773" s="59">
        <v>2.0</v>
      </c>
      <c r="K3773" s="61">
        <f t="shared" si="1"/>
        <v>1</v>
      </c>
      <c r="L3773" s="62">
        <f t="shared" si="2"/>
        <v>1</v>
      </c>
    </row>
    <row r="3774">
      <c r="A3774" s="58">
        <v>45870.0</v>
      </c>
      <c r="B3774" s="24" t="s">
        <v>6791</v>
      </c>
      <c r="C3774" s="24" t="s">
        <v>6799</v>
      </c>
      <c r="D3774" s="59">
        <v>2.0</v>
      </c>
      <c r="E3774" s="59">
        <v>2.0</v>
      </c>
      <c r="F3774" s="59">
        <v>1.0</v>
      </c>
      <c r="G3774" s="60">
        <v>1.0</v>
      </c>
      <c r="H3774" s="60">
        <v>1.0</v>
      </c>
      <c r="I3774" s="60">
        <v>5.54134999999999</v>
      </c>
      <c r="J3774" s="59">
        <v>2.0</v>
      </c>
      <c r="K3774" s="61">
        <f t="shared" si="1"/>
        <v>0.5</v>
      </c>
      <c r="L3774" s="62">
        <f t="shared" si="2"/>
        <v>1</v>
      </c>
    </row>
    <row r="3775">
      <c r="A3775" s="58">
        <v>45870.0</v>
      </c>
      <c r="B3775" s="24" t="s">
        <v>6790</v>
      </c>
      <c r="C3775" s="24" t="s">
        <v>6799</v>
      </c>
      <c r="D3775" s="59">
        <v>2.0</v>
      </c>
      <c r="E3775" s="59">
        <v>2.0</v>
      </c>
      <c r="F3775" s="59">
        <v>2.0</v>
      </c>
      <c r="G3775" s="60">
        <v>1.0</v>
      </c>
      <c r="H3775" s="60">
        <v>0.5</v>
      </c>
      <c r="I3775" s="60">
        <v>29.0448065</v>
      </c>
      <c r="J3775" s="59">
        <v>3.0</v>
      </c>
      <c r="K3775" s="61">
        <f t="shared" si="1"/>
        <v>1</v>
      </c>
      <c r="L3775" s="62">
        <f t="shared" si="2"/>
        <v>1.5</v>
      </c>
    </row>
    <row r="3776">
      <c r="A3776" s="58">
        <v>45870.0</v>
      </c>
      <c r="B3776" s="24" t="s">
        <v>6787</v>
      </c>
      <c r="C3776" s="24" t="s">
        <v>6838</v>
      </c>
      <c r="D3776" s="59">
        <v>2.0</v>
      </c>
      <c r="E3776" s="59">
        <v>2.0</v>
      </c>
      <c r="F3776" s="59">
        <v>2.0</v>
      </c>
      <c r="G3776" s="60">
        <v>1.0</v>
      </c>
      <c r="H3776" s="60">
        <v>0.0</v>
      </c>
      <c r="I3776" s="60">
        <v>141.375935</v>
      </c>
      <c r="J3776" s="59">
        <v>3.0</v>
      </c>
      <c r="K3776" s="61">
        <f t="shared" si="1"/>
        <v>1</v>
      </c>
      <c r="L3776" s="62">
        <f t="shared" si="2"/>
        <v>1.5</v>
      </c>
    </row>
    <row r="3777">
      <c r="A3777" s="58">
        <v>45870.0</v>
      </c>
      <c r="B3777" s="24" t="s">
        <v>6787</v>
      </c>
      <c r="C3777" s="24" t="s">
        <v>7355</v>
      </c>
      <c r="D3777" s="59">
        <v>2.0</v>
      </c>
      <c r="E3777" s="59">
        <v>2.0</v>
      </c>
      <c r="F3777" s="59">
        <v>2.0</v>
      </c>
      <c r="G3777" s="60">
        <v>1.0</v>
      </c>
      <c r="H3777" s="60">
        <v>0.0</v>
      </c>
      <c r="I3777" s="60">
        <v>64.4024255</v>
      </c>
      <c r="J3777" s="59">
        <v>2.0</v>
      </c>
      <c r="K3777" s="61">
        <f t="shared" si="1"/>
        <v>1</v>
      </c>
      <c r="L3777" s="62">
        <f t="shared" si="2"/>
        <v>1</v>
      </c>
    </row>
    <row r="3778">
      <c r="A3778" s="58">
        <v>45870.0</v>
      </c>
      <c r="B3778" s="24" t="s">
        <v>155</v>
      </c>
      <c r="C3778" s="24" t="s">
        <v>6892</v>
      </c>
      <c r="D3778" s="59">
        <v>2.0</v>
      </c>
      <c r="E3778" s="59">
        <v>2.0</v>
      </c>
      <c r="F3778" s="59">
        <v>2.0</v>
      </c>
      <c r="G3778" s="60">
        <v>1.0</v>
      </c>
      <c r="H3778" s="60">
        <v>0.5</v>
      </c>
      <c r="I3778" s="60">
        <v>199.711252</v>
      </c>
      <c r="J3778" s="59">
        <v>2.0</v>
      </c>
      <c r="K3778" s="61">
        <f t="shared" si="1"/>
        <v>1</v>
      </c>
      <c r="L3778" s="62">
        <f t="shared" si="2"/>
        <v>1</v>
      </c>
    </row>
    <row r="3779">
      <c r="A3779" s="58">
        <v>45870.0</v>
      </c>
      <c r="B3779" s="24" t="s">
        <v>6787</v>
      </c>
      <c r="C3779" s="24" t="s">
        <v>6840</v>
      </c>
      <c r="D3779" s="59">
        <v>2.0</v>
      </c>
      <c r="E3779" s="59">
        <v>2.0</v>
      </c>
      <c r="F3779" s="59">
        <v>1.0</v>
      </c>
      <c r="G3779" s="60">
        <v>1.0</v>
      </c>
      <c r="H3779" s="60">
        <v>1.0</v>
      </c>
      <c r="I3779" s="60">
        <v>4.622307</v>
      </c>
      <c r="J3779" s="59">
        <v>2.0</v>
      </c>
      <c r="K3779" s="61">
        <f t="shared" si="1"/>
        <v>0.5</v>
      </c>
      <c r="L3779" s="62">
        <f t="shared" si="2"/>
        <v>1</v>
      </c>
    </row>
    <row r="3780">
      <c r="A3780" s="58">
        <v>45870.0</v>
      </c>
      <c r="B3780" s="24" t="s">
        <v>6789</v>
      </c>
      <c r="C3780" s="24" t="s">
        <v>7032</v>
      </c>
      <c r="D3780" s="59">
        <v>2.0</v>
      </c>
      <c r="E3780" s="59">
        <v>2.0</v>
      </c>
      <c r="F3780" s="59">
        <v>2.0</v>
      </c>
      <c r="G3780" s="60">
        <v>1.0</v>
      </c>
      <c r="H3780" s="60">
        <v>1.0</v>
      </c>
      <c r="I3780" s="60">
        <v>0.0</v>
      </c>
      <c r="J3780" s="59">
        <v>2.0</v>
      </c>
      <c r="K3780" s="61">
        <f t="shared" si="1"/>
        <v>1</v>
      </c>
      <c r="L3780" s="62">
        <f t="shared" si="2"/>
        <v>1</v>
      </c>
    </row>
    <row r="3781">
      <c r="A3781" s="58">
        <v>45870.0</v>
      </c>
      <c r="B3781" s="24" t="s">
        <v>155</v>
      </c>
      <c r="C3781" s="24" t="s">
        <v>7301</v>
      </c>
      <c r="D3781" s="59">
        <v>2.0</v>
      </c>
      <c r="E3781" s="59">
        <v>9.0</v>
      </c>
      <c r="F3781" s="59">
        <v>0.0</v>
      </c>
      <c r="G3781" s="60">
        <v>9.0</v>
      </c>
      <c r="H3781" s="60">
        <v>0.444444444444444</v>
      </c>
      <c r="I3781" s="60">
        <v>442.931410555555</v>
      </c>
      <c r="J3781" s="59">
        <v>12.0</v>
      </c>
      <c r="K3781" s="61">
        <f t="shared" si="1"/>
        <v>0</v>
      </c>
      <c r="L3781" s="62">
        <f t="shared" si="2"/>
        <v>1.333333333</v>
      </c>
    </row>
    <row r="3782">
      <c r="A3782" s="58">
        <v>45870.0</v>
      </c>
      <c r="B3782" s="24" t="s">
        <v>6789</v>
      </c>
      <c r="C3782" s="24" t="s">
        <v>6823</v>
      </c>
      <c r="D3782" s="59">
        <v>2.0</v>
      </c>
      <c r="E3782" s="59">
        <v>2.0</v>
      </c>
      <c r="F3782" s="59">
        <v>2.0</v>
      </c>
      <c r="G3782" s="60">
        <v>1.0</v>
      </c>
      <c r="H3782" s="60">
        <v>0.5</v>
      </c>
      <c r="I3782" s="60">
        <v>14.188339</v>
      </c>
      <c r="J3782" s="59">
        <v>2.0</v>
      </c>
      <c r="K3782" s="61">
        <f t="shared" si="1"/>
        <v>1</v>
      </c>
      <c r="L3782" s="62">
        <f t="shared" si="2"/>
        <v>1</v>
      </c>
    </row>
    <row r="3783">
      <c r="A3783" s="58">
        <v>45870.0</v>
      </c>
      <c r="B3783" s="24" t="s">
        <v>6789</v>
      </c>
      <c r="C3783" s="24" t="s">
        <v>6899</v>
      </c>
      <c r="D3783" s="59">
        <v>2.0</v>
      </c>
      <c r="E3783" s="59">
        <v>2.0</v>
      </c>
      <c r="F3783" s="59">
        <v>2.0</v>
      </c>
      <c r="G3783" s="60">
        <v>1.0</v>
      </c>
      <c r="H3783" s="60">
        <v>0.5</v>
      </c>
      <c r="I3783" s="60">
        <v>17.8556605</v>
      </c>
      <c r="J3783" s="59">
        <v>6.0</v>
      </c>
      <c r="K3783" s="61">
        <f t="shared" si="1"/>
        <v>1</v>
      </c>
      <c r="L3783" s="62">
        <f t="shared" si="2"/>
        <v>3</v>
      </c>
    </row>
    <row r="3784">
      <c r="A3784" s="58">
        <v>45870.0</v>
      </c>
      <c r="B3784" s="24" t="s">
        <v>6787</v>
      </c>
      <c r="C3784" s="24" t="s">
        <v>6842</v>
      </c>
      <c r="D3784" s="59">
        <v>2.0</v>
      </c>
      <c r="E3784" s="59">
        <v>2.0</v>
      </c>
      <c r="F3784" s="59">
        <v>2.0</v>
      </c>
      <c r="G3784" s="60">
        <v>1.0</v>
      </c>
      <c r="H3784" s="60">
        <v>0.0</v>
      </c>
      <c r="I3784" s="60">
        <v>31.185214</v>
      </c>
      <c r="J3784" s="59">
        <v>2.0</v>
      </c>
      <c r="K3784" s="61">
        <f t="shared" si="1"/>
        <v>1</v>
      </c>
      <c r="L3784" s="62">
        <f t="shared" si="2"/>
        <v>1</v>
      </c>
    </row>
    <row r="3785">
      <c r="A3785" s="58">
        <v>45870.0</v>
      </c>
      <c r="B3785" s="24" t="s">
        <v>6789</v>
      </c>
      <c r="C3785" s="24" t="s">
        <v>6842</v>
      </c>
      <c r="D3785" s="59">
        <v>2.0</v>
      </c>
      <c r="E3785" s="59">
        <v>3.0</v>
      </c>
      <c r="F3785" s="59">
        <v>0.0</v>
      </c>
      <c r="G3785" s="60">
        <v>3.0</v>
      </c>
      <c r="H3785" s="60">
        <v>0.666666666666666</v>
      </c>
      <c r="I3785" s="60">
        <v>21.659353</v>
      </c>
      <c r="J3785" s="59">
        <v>5.0</v>
      </c>
      <c r="K3785" s="61">
        <f t="shared" si="1"/>
        <v>0</v>
      </c>
      <c r="L3785" s="62">
        <f t="shared" si="2"/>
        <v>1.666666667</v>
      </c>
    </row>
    <row r="3786">
      <c r="A3786" s="58">
        <v>45870.0</v>
      </c>
      <c r="B3786" s="24" t="s">
        <v>6789</v>
      </c>
      <c r="C3786" s="24" t="s">
        <v>6843</v>
      </c>
      <c r="D3786" s="59">
        <v>2.0</v>
      </c>
      <c r="E3786" s="59">
        <v>3.0</v>
      </c>
      <c r="F3786" s="59">
        <v>2.0</v>
      </c>
      <c r="G3786" s="60">
        <v>1.5</v>
      </c>
      <c r="H3786" s="60">
        <v>0.666666666666666</v>
      </c>
      <c r="I3786" s="60">
        <v>104.511483333333</v>
      </c>
      <c r="J3786" s="59">
        <v>4.0</v>
      </c>
      <c r="K3786" s="61">
        <f t="shared" si="1"/>
        <v>0.6666666667</v>
      </c>
      <c r="L3786" s="62">
        <f t="shared" si="2"/>
        <v>1.333333333</v>
      </c>
    </row>
    <row r="3787">
      <c r="A3787" s="58">
        <v>45870.0</v>
      </c>
      <c r="B3787" s="24" t="s">
        <v>6789</v>
      </c>
      <c r="C3787" s="24" t="s">
        <v>7077</v>
      </c>
      <c r="D3787" s="59">
        <v>2.0</v>
      </c>
      <c r="E3787" s="59">
        <v>2.0</v>
      </c>
      <c r="F3787" s="59">
        <v>1.0</v>
      </c>
      <c r="G3787" s="60">
        <v>1.0</v>
      </c>
      <c r="H3787" s="60">
        <v>0.5</v>
      </c>
      <c r="I3787" s="60">
        <v>450.3000675</v>
      </c>
      <c r="J3787" s="59">
        <v>3.0</v>
      </c>
      <c r="K3787" s="61">
        <f t="shared" si="1"/>
        <v>0.5</v>
      </c>
      <c r="L3787" s="62">
        <f t="shared" si="2"/>
        <v>1.5</v>
      </c>
    </row>
    <row r="3788">
      <c r="A3788" s="58">
        <v>45870.0</v>
      </c>
      <c r="B3788" s="24" t="s">
        <v>6787</v>
      </c>
      <c r="C3788" s="24" t="s">
        <v>6807</v>
      </c>
      <c r="D3788" s="59">
        <v>2.0</v>
      </c>
      <c r="E3788" s="59">
        <v>2.0</v>
      </c>
      <c r="F3788" s="59">
        <v>2.0</v>
      </c>
      <c r="G3788" s="60">
        <v>1.0</v>
      </c>
      <c r="H3788" s="60">
        <v>1.0</v>
      </c>
      <c r="I3788" s="60">
        <v>0.0</v>
      </c>
      <c r="J3788" s="59">
        <v>2.0</v>
      </c>
      <c r="K3788" s="61">
        <f t="shared" si="1"/>
        <v>1</v>
      </c>
      <c r="L3788" s="62">
        <f t="shared" si="2"/>
        <v>1</v>
      </c>
    </row>
    <row r="3789">
      <c r="A3789" s="58">
        <v>45870.0</v>
      </c>
      <c r="B3789" s="24" t="s">
        <v>155</v>
      </c>
      <c r="C3789" s="24" t="s">
        <v>6844</v>
      </c>
      <c r="D3789" s="59">
        <v>2.0</v>
      </c>
      <c r="E3789" s="59">
        <v>2.0</v>
      </c>
      <c r="F3789" s="59">
        <v>2.0</v>
      </c>
      <c r="G3789" s="60">
        <v>1.0</v>
      </c>
      <c r="H3789" s="60">
        <v>0.5</v>
      </c>
      <c r="I3789" s="60">
        <v>112.208999</v>
      </c>
      <c r="J3789" s="59">
        <v>2.0</v>
      </c>
      <c r="K3789" s="61">
        <f t="shared" si="1"/>
        <v>1</v>
      </c>
      <c r="L3789" s="62">
        <f t="shared" si="2"/>
        <v>1</v>
      </c>
    </row>
    <row r="3790">
      <c r="A3790" s="58">
        <v>45870.0</v>
      </c>
      <c r="B3790" s="24" t="s">
        <v>6787</v>
      </c>
      <c r="C3790" s="24" t="s">
        <v>7079</v>
      </c>
      <c r="D3790" s="59">
        <v>2.0</v>
      </c>
      <c r="E3790" s="59">
        <v>2.0</v>
      </c>
      <c r="F3790" s="59">
        <v>2.0</v>
      </c>
      <c r="G3790" s="60">
        <v>1.0</v>
      </c>
      <c r="H3790" s="60">
        <v>1.0</v>
      </c>
      <c r="I3790" s="60">
        <v>0.0</v>
      </c>
      <c r="J3790" s="59">
        <v>2.0</v>
      </c>
      <c r="K3790" s="61">
        <f t="shared" si="1"/>
        <v>1</v>
      </c>
      <c r="L3790" s="62">
        <f t="shared" si="2"/>
        <v>1</v>
      </c>
    </row>
    <row r="3791">
      <c r="A3791" s="58">
        <v>45870.0</v>
      </c>
      <c r="B3791" s="24" t="s">
        <v>6790</v>
      </c>
      <c r="C3791" s="24" t="s">
        <v>6903</v>
      </c>
      <c r="D3791" s="59">
        <v>2.0</v>
      </c>
      <c r="E3791" s="59">
        <v>2.0</v>
      </c>
      <c r="F3791" s="59">
        <v>2.0</v>
      </c>
      <c r="G3791" s="60">
        <v>1.0</v>
      </c>
      <c r="H3791" s="60">
        <v>0.5</v>
      </c>
      <c r="I3791" s="60">
        <v>8.006627</v>
      </c>
      <c r="J3791" s="59">
        <v>2.0</v>
      </c>
      <c r="K3791" s="61">
        <f t="shared" si="1"/>
        <v>1</v>
      </c>
      <c r="L3791" s="62">
        <f t="shared" si="2"/>
        <v>1</v>
      </c>
    </row>
    <row r="3792">
      <c r="A3792" s="58">
        <v>45870.0</v>
      </c>
      <c r="B3792" s="24" t="s">
        <v>155</v>
      </c>
      <c r="C3792" s="24" t="s">
        <v>6796</v>
      </c>
      <c r="D3792" s="59">
        <v>2.0</v>
      </c>
      <c r="E3792" s="59">
        <v>2.0</v>
      </c>
      <c r="F3792" s="59">
        <v>1.0</v>
      </c>
      <c r="G3792" s="60">
        <v>1.0</v>
      </c>
      <c r="H3792" s="60">
        <v>0.5</v>
      </c>
      <c r="I3792" s="60">
        <v>106.226915</v>
      </c>
      <c r="J3792" s="59">
        <v>4.0</v>
      </c>
      <c r="K3792" s="61">
        <f t="shared" si="1"/>
        <v>0.5</v>
      </c>
      <c r="L3792" s="62">
        <f t="shared" si="2"/>
        <v>2</v>
      </c>
    </row>
    <row r="3793">
      <c r="A3793" s="58">
        <v>45870.0</v>
      </c>
      <c r="B3793" s="24" t="s">
        <v>6790</v>
      </c>
      <c r="C3793" s="24" t="s">
        <v>6796</v>
      </c>
      <c r="D3793" s="59">
        <v>2.0</v>
      </c>
      <c r="E3793" s="59">
        <v>4.0</v>
      </c>
      <c r="F3793" s="59">
        <v>1.0</v>
      </c>
      <c r="G3793" s="60">
        <v>4.0</v>
      </c>
      <c r="H3793" s="60">
        <v>0.75</v>
      </c>
      <c r="I3793" s="60">
        <v>9.30153175</v>
      </c>
      <c r="J3793" s="59">
        <v>4.0</v>
      </c>
      <c r="K3793" s="61">
        <f t="shared" si="1"/>
        <v>0.25</v>
      </c>
      <c r="L3793" s="62">
        <f t="shared" si="2"/>
        <v>1</v>
      </c>
    </row>
    <row r="3794">
      <c r="A3794" s="58">
        <v>45870.0</v>
      </c>
      <c r="B3794" s="24" t="s">
        <v>6789</v>
      </c>
      <c r="C3794" s="24" t="s">
        <v>7356</v>
      </c>
      <c r="D3794" s="59">
        <v>2.0</v>
      </c>
      <c r="E3794" s="59">
        <v>3.0</v>
      </c>
      <c r="F3794" s="59">
        <v>1.0</v>
      </c>
      <c r="G3794" s="60">
        <v>1.5</v>
      </c>
      <c r="H3794" s="60">
        <v>0.0</v>
      </c>
      <c r="I3794" s="60">
        <v>398.446404999999</v>
      </c>
      <c r="J3794" s="59">
        <v>6.0</v>
      </c>
      <c r="K3794" s="61">
        <f t="shared" si="1"/>
        <v>0.3333333333</v>
      </c>
      <c r="L3794" s="62">
        <f t="shared" si="2"/>
        <v>2</v>
      </c>
    </row>
    <row r="3795">
      <c r="A3795" s="58">
        <v>45870.0</v>
      </c>
      <c r="B3795" s="24" t="s">
        <v>6789</v>
      </c>
      <c r="C3795" s="24" t="s">
        <v>7010</v>
      </c>
      <c r="D3795" s="59">
        <v>2.0</v>
      </c>
      <c r="E3795" s="59">
        <v>5.0</v>
      </c>
      <c r="F3795" s="59">
        <v>0.0</v>
      </c>
      <c r="G3795" s="60">
        <v>2.5</v>
      </c>
      <c r="H3795" s="60">
        <v>0.4</v>
      </c>
      <c r="I3795" s="60">
        <v>40.9740283999999</v>
      </c>
      <c r="J3795" s="59">
        <v>7.0</v>
      </c>
      <c r="K3795" s="61">
        <f t="shared" si="1"/>
        <v>0</v>
      </c>
      <c r="L3795" s="62">
        <f t="shared" si="2"/>
        <v>1.4</v>
      </c>
    </row>
    <row r="3796">
      <c r="A3796" s="58">
        <v>45870.0</v>
      </c>
      <c r="B3796" s="24" t="s">
        <v>6789</v>
      </c>
      <c r="C3796" s="24" t="s">
        <v>7231</v>
      </c>
      <c r="D3796" s="59">
        <v>2.0</v>
      </c>
      <c r="E3796" s="59">
        <v>2.0</v>
      </c>
      <c r="F3796" s="59">
        <v>1.0</v>
      </c>
      <c r="G3796" s="60">
        <v>1.0</v>
      </c>
      <c r="H3796" s="60">
        <v>0.0</v>
      </c>
      <c r="I3796" s="60">
        <v>561.2580285</v>
      </c>
      <c r="J3796" s="59">
        <v>4.0</v>
      </c>
      <c r="K3796" s="61">
        <f t="shared" si="1"/>
        <v>0.5</v>
      </c>
      <c r="L3796" s="62">
        <f t="shared" si="2"/>
        <v>2</v>
      </c>
    </row>
    <row r="3797">
      <c r="A3797" s="58">
        <v>45870.0</v>
      </c>
      <c r="B3797" s="24" t="s">
        <v>6787</v>
      </c>
      <c r="C3797" s="24" t="s">
        <v>7232</v>
      </c>
      <c r="D3797" s="59">
        <v>2.0</v>
      </c>
      <c r="E3797" s="59">
        <v>2.0</v>
      </c>
      <c r="F3797" s="59">
        <v>0.0</v>
      </c>
      <c r="G3797" s="60">
        <v>1.0</v>
      </c>
      <c r="H3797" s="60">
        <v>0.0</v>
      </c>
      <c r="I3797" s="60">
        <v>370.168817</v>
      </c>
      <c r="J3797" s="59">
        <v>2.0</v>
      </c>
      <c r="K3797" s="61">
        <f t="shared" si="1"/>
        <v>0</v>
      </c>
      <c r="L3797" s="62">
        <f t="shared" si="2"/>
        <v>1</v>
      </c>
    </row>
    <row r="3798">
      <c r="A3798" s="58">
        <v>45870.0</v>
      </c>
      <c r="B3798" s="24" t="s">
        <v>6789</v>
      </c>
      <c r="C3798" s="24" t="s">
        <v>7042</v>
      </c>
      <c r="D3798" s="59">
        <v>2.0</v>
      </c>
      <c r="E3798" s="59">
        <v>2.0</v>
      </c>
      <c r="F3798" s="59">
        <v>0.0</v>
      </c>
      <c r="G3798" s="60">
        <v>1.0</v>
      </c>
      <c r="H3798" s="60">
        <v>0.0</v>
      </c>
      <c r="I3798" s="60">
        <v>93.1273224999999</v>
      </c>
      <c r="J3798" s="59">
        <v>6.0</v>
      </c>
      <c r="K3798" s="61">
        <f t="shared" si="1"/>
        <v>0</v>
      </c>
      <c r="L3798" s="62">
        <f t="shared" si="2"/>
        <v>3</v>
      </c>
    </row>
    <row r="3799">
      <c r="A3799" s="58">
        <v>45870.0</v>
      </c>
      <c r="B3799" s="24" t="s">
        <v>155</v>
      </c>
      <c r="C3799" s="24" t="s">
        <v>6808</v>
      </c>
      <c r="D3799" s="59">
        <v>2.0</v>
      </c>
      <c r="E3799" s="59">
        <v>3.0</v>
      </c>
      <c r="F3799" s="59">
        <v>1.0</v>
      </c>
      <c r="G3799" s="60">
        <v>1.5</v>
      </c>
      <c r="H3799" s="60">
        <v>0.0</v>
      </c>
      <c r="I3799" s="60">
        <v>41.3175836666666</v>
      </c>
      <c r="J3799" s="59">
        <v>7.0</v>
      </c>
      <c r="K3799" s="61">
        <f t="shared" si="1"/>
        <v>0.3333333333</v>
      </c>
      <c r="L3799" s="62">
        <f t="shared" si="2"/>
        <v>2.333333333</v>
      </c>
    </row>
    <row r="3800">
      <c r="A3800" s="58">
        <v>45870.0</v>
      </c>
      <c r="B3800" s="24" t="s">
        <v>6787</v>
      </c>
      <c r="C3800" s="24" t="s">
        <v>7087</v>
      </c>
      <c r="D3800" s="59">
        <v>2.0</v>
      </c>
      <c r="E3800" s="59">
        <v>2.0</v>
      </c>
      <c r="F3800" s="59">
        <v>2.0</v>
      </c>
      <c r="G3800" s="60">
        <v>1.0</v>
      </c>
      <c r="H3800" s="60">
        <v>1.0</v>
      </c>
      <c r="I3800" s="60">
        <v>0.0</v>
      </c>
      <c r="J3800" s="59">
        <v>2.0</v>
      </c>
      <c r="K3800" s="61">
        <f t="shared" si="1"/>
        <v>1</v>
      </c>
      <c r="L3800" s="62">
        <f t="shared" si="2"/>
        <v>1</v>
      </c>
    </row>
    <row r="3801">
      <c r="A3801" s="58">
        <v>45870.0</v>
      </c>
      <c r="B3801" s="24" t="s">
        <v>6787</v>
      </c>
      <c r="C3801" s="24" t="s">
        <v>7090</v>
      </c>
      <c r="D3801" s="59">
        <v>2.0</v>
      </c>
      <c r="E3801" s="59">
        <v>2.0</v>
      </c>
      <c r="F3801" s="59">
        <v>2.0</v>
      </c>
      <c r="G3801" s="60">
        <v>1.0</v>
      </c>
      <c r="H3801" s="60">
        <v>1.0</v>
      </c>
      <c r="I3801" s="60">
        <v>0.0</v>
      </c>
      <c r="J3801" s="59">
        <v>2.0</v>
      </c>
      <c r="K3801" s="61">
        <f t="shared" si="1"/>
        <v>1</v>
      </c>
      <c r="L3801" s="62">
        <f t="shared" si="2"/>
        <v>1</v>
      </c>
    </row>
    <row r="3802">
      <c r="A3802" s="58">
        <v>45870.0</v>
      </c>
      <c r="B3802" s="24" t="s">
        <v>6789</v>
      </c>
      <c r="C3802" s="24" t="s">
        <v>7159</v>
      </c>
      <c r="D3802" s="59">
        <v>2.0</v>
      </c>
      <c r="E3802" s="59">
        <v>2.0</v>
      </c>
      <c r="F3802" s="59">
        <v>2.0</v>
      </c>
      <c r="G3802" s="60">
        <v>1.0</v>
      </c>
      <c r="H3802" s="60">
        <v>0.0</v>
      </c>
      <c r="I3802" s="60">
        <v>13.942028</v>
      </c>
      <c r="J3802" s="59">
        <v>3.0</v>
      </c>
      <c r="K3802" s="61">
        <f t="shared" si="1"/>
        <v>1</v>
      </c>
      <c r="L3802" s="62">
        <f t="shared" si="2"/>
        <v>1.5</v>
      </c>
    </row>
    <row r="3803">
      <c r="A3803" s="58">
        <v>45870.0</v>
      </c>
      <c r="B3803" s="24" t="s">
        <v>6787</v>
      </c>
      <c r="C3803" s="24" t="s">
        <v>7190</v>
      </c>
      <c r="D3803" s="59">
        <v>2.0</v>
      </c>
      <c r="E3803" s="59">
        <v>2.0</v>
      </c>
      <c r="F3803" s="59">
        <v>2.0</v>
      </c>
      <c r="G3803" s="60">
        <v>1.0</v>
      </c>
      <c r="H3803" s="60">
        <v>1.0</v>
      </c>
      <c r="I3803" s="60">
        <v>0.0</v>
      </c>
      <c r="J3803" s="59">
        <v>2.0</v>
      </c>
      <c r="K3803" s="61">
        <f t="shared" si="1"/>
        <v>1</v>
      </c>
      <c r="L3803" s="62">
        <f t="shared" si="2"/>
        <v>1</v>
      </c>
    </row>
    <row r="3804">
      <c r="A3804" s="58">
        <v>45870.0</v>
      </c>
      <c r="B3804" s="24" t="s">
        <v>6787</v>
      </c>
      <c r="C3804" s="24" t="s">
        <v>7165</v>
      </c>
      <c r="D3804" s="59">
        <v>2.0</v>
      </c>
      <c r="E3804" s="59">
        <v>2.0</v>
      </c>
      <c r="F3804" s="59">
        <v>2.0</v>
      </c>
      <c r="G3804" s="60">
        <v>1.0</v>
      </c>
      <c r="H3804" s="60">
        <v>1.0</v>
      </c>
      <c r="I3804" s="60">
        <v>0.0</v>
      </c>
      <c r="J3804" s="59">
        <v>2.0</v>
      </c>
      <c r="K3804" s="61">
        <f t="shared" si="1"/>
        <v>1</v>
      </c>
      <c r="L3804" s="62">
        <f t="shared" si="2"/>
        <v>1</v>
      </c>
    </row>
    <row r="3805">
      <c r="A3805" s="58">
        <v>45870.0</v>
      </c>
      <c r="B3805" s="24" t="s">
        <v>6787</v>
      </c>
      <c r="C3805" s="24" t="s">
        <v>7168</v>
      </c>
      <c r="D3805" s="59">
        <v>2.0</v>
      </c>
      <c r="E3805" s="59">
        <v>2.0</v>
      </c>
      <c r="F3805" s="59">
        <v>2.0</v>
      </c>
      <c r="G3805" s="60">
        <v>1.0</v>
      </c>
      <c r="H3805" s="60">
        <v>1.0</v>
      </c>
      <c r="I3805" s="60">
        <v>0.0</v>
      </c>
      <c r="J3805" s="59">
        <v>2.0</v>
      </c>
      <c r="K3805" s="61">
        <f t="shared" si="1"/>
        <v>1</v>
      </c>
      <c r="L3805" s="62">
        <f t="shared" si="2"/>
        <v>1</v>
      </c>
    </row>
    <row r="3806">
      <c r="A3806" s="58">
        <v>45870.0</v>
      </c>
      <c r="B3806" s="24" t="s">
        <v>6787</v>
      </c>
      <c r="C3806" s="24" t="s">
        <v>7184</v>
      </c>
      <c r="D3806" s="59">
        <v>2.0</v>
      </c>
      <c r="E3806" s="59">
        <v>2.0</v>
      </c>
      <c r="F3806" s="59">
        <v>2.0</v>
      </c>
      <c r="G3806" s="60">
        <v>1.0</v>
      </c>
      <c r="H3806" s="60">
        <v>1.0</v>
      </c>
      <c r="I3806" s="60">
        <v>0.0</v>
      </c>
      <c r="J3806" s="59">
        <v>2.0</v>
      </c>
      <c r="K3806" s="61">
        <f t="shared" si="1"/>
        <v>1</v>
      </c>
      <c r="L3806" s="62">
        <f t="shared" si="2"/>
        <v>1</v>
      </c>
    </row>
    <row r="3807">
      <c r="A3807" s="58">
        <v>45870.0</v>
      </c>
      <c r="B3807" s="24" t="s">
        <v>7100</v>
      </c>
      <c r="C3807" s="24" t="s">
        <v>6800</v>
      </c>
      <c r="D3807" s="59">
        <v>2.0</v>
      </c>
      <c r="E3807" s="59">
        <v>2.0</v>
      </c>
      <c r="F3807" s="59">
        <v>2.0</v>
      </c>
      <c r="G3807" s="60">
        <v>1.0</v>
      </c>
      <c r="H3807" s="60">
        <v>0.5</v>
      </c>
      <c r="I3807" s="60">
        <v>23.4012865</v>
      </c>
      <c r="J3807" s="59">
        <v>3.0</v>
      </c>
      <c r="K3807" s="61">
        <f t="shared" si="1"/>
        <v>1</v>
      </c>
      <c r="L3807" s="62">
        <f t="shared" si="2"/>
        <v>1.5</v>
      </c>
    </row>
    <row r="3808">
      <c r="A3808" s="58">
        <v>45870.0</v>
      </c>
      <c r="B3808" s="24" t="s">
        <v>6787</v>
      </c>
      <c r="C3808" s="24" t="s">
        <v>7357</v>
      </c>
      <c r="D3808" s="59">
        <v>2.0</v>
      </c>
      <c r="E3808" s="59">
        <v>2.0</v>
      </c>
      <c r="F3808" s="59">
        <v>2.0</v>
      </c>
      <c r="G3808" s="60">
        <v>1.0</v>
      </c>
      <c r="H3808" s="60">
        <v>1.0</v>
      </c>
      <c r="I3808" s="60">
        <v>4.99461</v>
      </c>
      <c r="J3808" s="59">
        <v>2.0</v>
      </c>
      <c r="K3808" s="61">
        <f t="shared" si="1"/>
        <v>1</v>
      </c>
      <c r="L3808" s="62">
        <f t="shared" si="2"/>
        <v>1</v>
      </c>
    </row>
    <row r="3809">
      <c r="A3809" s="58">
        <v>45870.0</v>
      </c>
      <c r="B3809" s="24" t="s">
        <v>6790</v>
      </c>
      <c r="C3809" s="24" t="s">
        <v>6809</v>
      </c>
      <c r="D3809" s="59">
        <v>2.0</v>
      </c>
      <c r="E3809" s="59">
        <v>2.0</v>
      </c>
      <c r="F3809" s="59">
        <v>2.0</v>
      </c>
      <c r="G3809" s="60">
        <v>1.0</v>
      </c>
      <c r="H3809" s="60">
        <v>0.5</v>
      </c>
      <c r="I3809" s="60">
        <v>22.875776</v>
      </c>
      <c r="J3809" s="59">
        <v>2.0</v>
      </c>
      <c r="K3809" s="61">
        <f t="shared" si="1"/>
        <v>1</v>
      </c>
      <c r="L3809" s="62">
        <f t="shared" si="2"/>
        <v>1</v>
      </c>
    </row>
    <row r="3810">
      <c r="A3810" s="58">
        <v>45870.0</v>
      </c>
      <c r="B3810" s="24" t="s">
        <v>6787</v>
      </c>
      <c r="C3810" s="24" t="s">
        <v>6849</v>
      </c>
      <c r="D3810" s="59">
        <v>2.0</v>
      </c>
      <c r="E3810" s="59">
        <v>2.0</v>
      </c>
      <c r="F3810" s="59">
        <v>2.0</v>
      </c>
      <c r="G3810" s="60">
        <v>1.0</v>
      </c>
      <c r="H3810" s="60">
        <v>0.5</v>
      </c>
      <c r="I3810" s="60">
        <v>8.775246</v>
      </c>
      <c r="J3810" s="59">
        <v>2.0</v>
      </c>
      <c r="K3810" s="61">
        <f t="shared" si="1"/>
        <v>1</v>
      </c>
      <c r="L3810" s="62">
        <f t="shared" si="2"/>
        <v>1</v>
      </c>
    </row>
    <row r="3811">
      <c r="A3811" s="58">
        <v>45870.0</v>
      </c>
      <c r="B3811" s="24" t="s">
        <v>6790</v>
      </c>
      <c r="C3811" s="24" t="s">
        <v>6908</v>
      </c>
      <c r="D3811" s="59">
        <v>2.0</v>
      </c>
      <c r="E3811" s="59">
        <v>2.0</v>
      </c>
      <c r="F3811" s="59">
        <v>2.0</v>
      </c>
      <c r="G3811" s="60">
        <v>1.0</v>
      </c>
      <c r="H3811" s="60">
        <v>1.0</v>
      </c>
      <c r="I3811" s="60">
        <v>0.0</v>
      </c>
      <c r="J3811" s="59">
        <v>2.0</v>
      </c>
      <c r="K3811" s="61">
        <f t="shared" si="1"/>
        <v>1</v>
      </c>
      <c r="L3811" s="62">
        <f t="shared" si="2"/>
        <v>1</v>
      </c>
    </row>
    <row r="3812">
      <c r="A3812" s="58">
        <v>45870.0</v>
      </c>
      <c r="B3812" s="24" t="s">
        <v>155</v>
      </c>
      <c r="C3812" s="24" t="s">
        <v>6909</v>
      </c>
      <c r="D3812" s="59">
        <v>2.0</v>
      </c>
      <c r="E3812" s="59">
        <v>2.0</v>
      </c>
      <c r="F3812" s="59">
        <v>2.0</v>
      </c>
      <c r="G3812" s="60">
        <v>1.0</v>
      </c>
      <c r="H3812" s="60">
        <v>0.0</v>
      </c>
      <c r="I3812" s="60">
        <v>97.508821</v>
      </c>
      <c r="J3812" s="59">
        <v>3.0</v>
      </c>
      <c r="K3812" s="61">
        <f t="shared" si="1"/>
        <v>1</v>
      </c>
      <c r="L3812" s="62">
        <f t="shared" si="2"/>
        <v>1.5</v>
      </c>
    </row>
    <row r="3813">
      <c r="A3813" s="58">
        <v>45870.0</v>
      </c>
      <c r="B3813" s="24" t="s">
        <v>6789</v>
      </c>
      <c r="C3813" s="24" t="s">
        <v>6813</v>
      </c>
      <c r="D3813" s="59">
        <v>2.0</v>
      </c>
      <c r="E3813" s="59">
        <v>2.0</v>
      </c>
      <c r="F3813" s="59">
        <v>1.0</v>
      </c>
      <c r="G3813" s="60">
        <v>1.0</v>
      </c>
      <c r="H3813" s="60">
        <v>1.0</v>
      </c>
      <c r="I3813" s="60">
        <v>0.0</v>
      </c>
      <c r="J3813" s="59">
        <v>2.0</v>
      </c>
      <c r="K3813" s="61">
        <f t="shared" si="1"/>
        <v>0.5</v>
      </c>
      <c r="L3813" s="62">
        <f t="shared" si="2"/>
        <v>1</v>
      </c>
    </row>
    <row r="3814">
      <c r="A3814" s="58">
        <v>45870.0</v>
      </c>
      <c r="B3814" s="24" t="s">
        <v>155</v>
      </c>
      <c r="C3814" s="24" t="s">
        <v>6801</v>
      </c>
      <c r="D3814" s="59">
        <v>2.0</v>
      </c>
      <c r="E3814" s="59">
        <v>2.0</v>
      </c>
      <c r="F3814" s="59">
        <v>1.0</v>
      </c>
      <c r="G3814" s="60">
        <v>1.0</v>
      </c>
      <c r="H3814" s="60">
        <v>0.5</v>
      </c>
      <c r="I3814" s="60">
        <v>3.3330295</v>
      </c>
      <c r="J3814" s="59">
        <v>3.0</v>
      </c>
      <c r="K3814" s="61">
        <f t="shared" si="1"/>
        <v>0.5</v>
      </c>
      <c r="L3814" s="62">
        <f t="shared" si="2"/>
        <v>1.5</v>
      </c>
    </row>
    <row r="3815">
      <c r="A3815" s="58">
        <v>45870.0</v>
      </c>
      <c r="B3815" s="24" t="s">
        <v>6790</v>
      </c>
      <c r="C3815" s="24" t="s">
        <v>6801</v>
      </c>
      <c r="D3815" s="59">
        <v>2.0</v>
      </c>
      <c r="E3815" s="59">
        <v>2.0</v>
      </c>
      <c r="F3815" s="59">
        <v>2.0</v>
      </c>
      <c r="G3815" s="60">
        <v>1.0</v>
      </c>
      <c r="H3815" s="60">
        <v>1.0</v>
      </c>
      <c r="I3815" s="60">
        <v>4.521081</v>
      </c>
      <c r="J3815" s="59">
        <v>2.0</v>
      </c>
      <c r="K3815" s="61">
        <f t="shared" si="1"/>
        <v>1</v>
      </c>
      <c r="L3815" s="62">
        <f t="shared" si="2"/>
        <v>1</v>
      </c>
    </row>
    <row r="3816">
      <c r="A3816" s="58">
        <v>45870.0</v>
      </c>
      <c r="B3816" s="24" t="s">
        <v>6789</v>
      </c>
      <c r="C3816" s="24" t="s">
        <v>7102</v>
      </c>
      <c r="D3816" s="59">
        <v>2.0</v>
      </c>
      <c r="E3816" s="59">
        <v>2.0</v>
      </c>
      <c r="F3816" s="59">
        <v>1.0</v>
      </c>
      <c r="G3816" s="60">
        <v>1.0</v>
      </c>
      <c r="H3816" s="60">
        <v>0.0</v>
      </c>
      <c r="I3816" s="60">
        <v>40.133671</v>
      </c>
      <c r="J3816" s="59">
        <v>5.0</v>
      </c>
      <c r="K3816" s="61">
        <f t="shared" si="1"/>
        <v>0.5</v>
      </c>
      <c r="L3816" s="62">
        <f t="shared" si="2"/>
        <v>2.5</v>
      </c>
    </row>
    <row r="3817">
      <c r="A3817" s="58">
        <v>45870.0</v>
      </c>
      <c r="B3817" s="24" t="s">
        <v>6789</v>
      </c>
      <c r="C3817" s="24" t="s">
        <v>7104</v>
      </c>
      <c r="D3817" s="59">
        <v>2.0</v>
      </c>
      <c r="E3817" s="59">
        <v>2.0</v>
      </c>
      <c r="F3817" s="59">
        <v>2.0</v>
      </c>
      <c r="G3817" s="60">
        <v>1.0</v>
      </c>
      <c r="H3817" s="60">
        <v>0.5</v>
      </c>
      <c r="I3817" s="60">
        <v>9.947586</v>
      </c>
      <c r="J3817" s="59">
        <v>3.0</v>
      </c>
      <c r="K3817" s="61">
        <f t="shared" si="1"/>
        <v>1</v>
      </c>
      <c r="L3817" s="62">
        <f t="shared" si="2"/>
        <v>1.5</v>
      </c>
    </row>
    <row r="3818">
      <c r="A3818" s="58">
        <v>45870.0</v>
      </c>
      <c r="B3818" s="24" t="s">
        <v>6787</v>
      </c>
      <c r="C3818" s="24" t="s">
        <v>7174</v>
      </c>
      <c r="D3818" s="59">
        <v>2.0</v>
      </c>
      <c r="E3818" s="59">
        <v>2.0</v>
      </c>
      <c r="F3818" s="59">
        <v>2.0</v>
      </c>
      <c r="G3818" s="60">
        <v>1.0</v>
      </c>
      <c r="H3818" s="60">
        <v>0.5</v>
      </c>
      <c r="I3818" s="60">
        <v>6.846509</v>
      </c>
      <c r="J3818" s="59">
        <v>2.0</v>
      </c>
      <c r="K3818" s="61">
        <f t="shared" si="1"/>
        <v>1</v>
      </c>
      <c r="L3818" s="62">
        <f t="shared" si="2"/>
        <v>1</v>
      </c>
    </row>
    <row r="3819">
      <c r="A3819" s="58">
        <v>45870.0</v>
      </c>
      <c r="B3819" s="24" t="s">
        <v>6789</v>
      </c>
      <c r="C3819" s="24" t="s">
        <v>7358</v>
      </c>
      <c r="D3819" s="59">
        <v>2.0</v>
      </c>
      <c r="E3819" s="59">
        <v>2.0</v>
      </c>
      <c r="F3819" s="59">
        <v>2.0</v>
      </c>
      <c r="G3819" s="60">
        <v>1.0</v>
      </c>
      <c r="H3819" s="60">
        <v>1.0</v>
      </c>
      <c r="I3819" s="60">
        <v>5.3581115</v>
      </c>
      <c r="J3819" s="59">
        <v>2.0</v>
      </c>
      <c r="K3819" s="61">
        <f t="shared" si="1"/>
        <v>1</v>
      </c>
      <c r="L3819" s="62">
        <f t="shared" si="2"/>
        <v>1</v>
      </c>
    </row>
    <row r="3820">
      <c r="A3820" s="58">
        <v>45870.0</v>
      </c>
      <c r="B3820" s="24" t="s">
        <v>6787</v>
      </c>
      <c r="C3820" s="24" t="s">
        <v>7192</v>
      </c>
      <c r="D3820" s="59">
        <v>2.0</v>
      </c>
      <c r="E3820" s="59">
        <v>2.0</v>
      </c>
      <c r="F3820" s="59">
        <v>2.0</v>
      </c>
      <c r="G3820" s="60">
        <v>1.0</v>
      </c>
      <c r="H3820" s="60">
        <v>1.0</v>
      </c>
      <c r="I3820" s="60">
        <v>0.0</v>
      </c>
      <c r="J3820" s="59">
        <v>2.0</v>
      </c>
      <c r="K3820" s="61">
        <f t="shared" si="1"/>
        <v>1</v>
      </c>
      <c r="L3820" s="62">
        <f t="shared" si="2"/>
        <v>1</v>
      </c>
    </row>
    <row r="3821">
      <c r="A3821" s="58">
        <v>45870.0</v>
      </c>
      <c r="B3821" s="24" t="s">
        <v>6787</v>
      </c>
      <c r="C3821" s="24" t="s">
        <v>6915</v>
      </c>
      <c r="D3821" s="59">
        <v>2.0</v>
      </c>
      <c r="E3821" s="59">
        <v>2.0</v>
      </c>
      <c r="F3821" s="59">
        <v>0.0</v>
      </c>
      <c r="G3821" s="60">
        <v>1.0</v>
      </c>
      <c r="H3821" s="60">
        <v>0.5</v>
      </c>
      <c r="I3821" s="60">
        <v>24.4393155</v>
      </c>
      <c r="J3821" s="59">
        <v>4.0</v>
      </c>
      <c r="K3821" s="61">
        <f t="shared" si="1"/>
        <v>0</v>
      </c>
      <c r="L3821" s="62">
        <f t="shared" si="2"/>
        <v>2</v>
      </c>
    </row>
    <row r="3822">
      <c r="A3822" s="58">
        <v>45870.0</v>
      </c>
      <c r="B3822" s="24" t="s">
        <v>6789</v>
      </c>
      <c r="C3822" s="24" t="s">
        <v>6915</v>
      </c>
      <c r="D3822" s="59">
        <v>2.0</v>
      </c>
      <c r="E3822" s="59">
        <v>2.0</v>
      </c>
      <c r="F3822" s="59">
        <v>0.0</v>
      </c>
      <c r="G3822" s="60">
        <v>2.0</v>
      </c>
      <c r="H3822" s="60">
        <v>1.0</v>
      </c>
      <c r="I3822" s="60">
        <v>0.0</v>
      </c>
      <c r="J3822" s="59">
        <v>2.0</v>
      </c>
      <c r="K3822" s="61">
        <f t="shared" si="1"/>
        <v>0</v>
      </c>
      <c r="L3822" s="62">
        <f t="shared" si="2"/>
        <v>1</v>
      </c>
    </row>
    <row r="3823">
      <c r="A3823" s="58">
        <v>45870.0</v>
      </c>
      <c r="B3823" s="24" t="s">
        <v>6794</v>
      </c>
      <c r="C3823" s="24" t="s">
        <v>6915</v>
      </c>
      <c r="D3823" s="59">
        <v>2.0</v>
      </c>
      <c r="E3823" s="59">
        <v>2.0</v>
      </c>
      <c r="F3823" s="59">
        <v>0.0</v>
      </c>
      <c r="G3823" s="60">
        <v>1.0</v>
      </c>
      <c r="H3823" s="60">
        <v>0.5</v>
      </c>
      <c r="I3823" s="60">
        <v>90.6268845</v>
      </c>
      <c r="J3823" s="59">
        <v>4.0</v>
      </c>
      <c r="K3823" s="61">
        <f t="shared" si="1"/>
        <v>0</v>
      </c>
      <c r="L3823" s="62">
        <f t="shared" si="2"/>
        <v>2</v>
      </c>
    </row>
    <row r="3824">
      <c r="A3824" s="58">
        <v>45870.0</v>
      </c>
      <c r="B3824" s="24" t="s">
        <v>6789</v>
      </c>
      <c r="C3824" s="24" t="s">
        <v>7014</v>
      </c>
      <c r="D3824" s="59">
        <v>2.0</v>
      </c>
      <c r="E3824" s="59">
        <v>2.0</v>
      </c>
      <c r="F3824" s="59">
        <v>2.0</v>
      </c>
      <c r="G3824" s="60">
        <v>1.0</v>
      </c>
      <c r="H3824" s="60">
        <v>1.0</v>
      </c>
      <c r="I3824" s="60">
        <v>0.0</v>
      </c>
      <c r="J3824" s="59">
        <v>2.0</v>
      </c>
      <c r="K3824" s="61">
        <f t="shared" si="1"/>
        <v>1</v>
      </c>
      <c r="L3824" s="62">
        <f t="shared" si="2"/>
        <v>1</v>
      </c>
    </row>
    <row r="3825">
      <c r="A3825" s="58">
        <v>45870.0</v>
      </c>
      <c r="B3825" s="24" t="s">
        <v>6789</v>
      </c>
      <c r="C3825" s="24" t="s">
        <v>7106</v>
      </c>
      <c r="D3825" s="59">
        <v>2.0</v>
      </c>
      <c r="E3825" s="59">
        <v>2.0</v>
      </c>
      <c r="F3825" s="59">
        <v>2.0</v>
      </c>
      <c r="G3825" s="60">
        <v>1.0</v>
      </c>
      <c r="H3825" s="60">
        <v>0.5</v>
      </c>
      <c r="I3825" s="60">
        <v>6.8569445</v>
      </c>
      <c r="J3825" s="59">
        <v>2.0</v>
      </c>
      <c r="K3825" s="61">
        <f t="shared" si="1"/>
        <v>1</v>
      </c>
      <c r="L3825" s="62">
        <f t="shared" si="2"/>
        <v>1</v>
      </c>
    </row>
    <row r="3826">
      <c r="A3826" s="58">
        <v>45870.0</v>
      </c>
      <c r="B3826" s="24" t="s">
        <v>6787</v>
      </c>
      <c r="C3826" s="24" t="s">
        <v>6826</v>
      </c>
      <c r="D3826" s="59">
        <v>2.0</v>
      </c>
      <c r="E3826" s="59">
        <v>2.0</v>
      </c>
      <c r="F3826" s="59">
        <v>2.0</v>
      </c>
      <c r="G3826" s="60">
        <v>1.0</v>
      </c>
      <c r="H3826" s="60">
        <v>1.0</v>
      </c>
      <c r="I3826" s="60">
        <v>0.0</v>
      </c>
      <c r="J3826" s="59">
        <v>2.0</v>
      </c>
      <c r="K3826" s="61">
        <f t="shared" si="1"/>
        <v>1</v>
      </c>
      <c r="L3826" s="62">
        <f t="shared" si="2"/>
        <v>1</v>
      </c>
    </row>
    <row r="3827">
      <c r="A3827" s="58">
        <v>45870.0</v>
      </c>
      <c r="B3827" s="24" t="s">
        <v>6789</v>
      </c>
      <c r="C3827" s="24" t="s">
        <v>6917</v>
      </c>
      <c r="D3827" s="59">
        <v>2.0</v>
      </c>
      <c r="E3827" s="59">
        <v>2.0</v>
      </c>
      <c r="F3827" s="59">
        <v>2.0</v>
      </c>
      <c r="G3827" s="60">
        <v>1.0</v>
      </c>
      <c r="H3827" s="60">
        <v>0.0</v>
      </c>
      <c r="I3827" s="60">
        <v>249.585355</v>
      </c>
      <c r="J3827" s="59">
        <v>4.0</v>
      </c>
      <c r="K3827" s="61">
        <f t="shared" si="1"/>
        <v>1</v>
      </c>
      <c r="L3827" s="62">
        <f t="shared" si="2"/>
        <v>2</v>
      </c>
    </row>
    <row r="3828">
      <c r="A3828" s="58">
        <v>45870.0</v>
      </c>
      <c r="B3828" s="24" t="s">
        <v>6787</v>
      </c>
      <c r="C3828" s="24" t="s">
        <v>7359</v>
      </c>
      <c r="D3828" s="59">
        <v>2.0</v>
      </c>
      <c r="E3828" s="59">
        <v>2.0</v>
      </c>
      <c r="F3828" s="59">
        <v>2.0</v>
      </c>
      <c r="G3828" s="60">
        <v>1.0</v>
      </c>
      <c r="H3828" s="60">
        <v>1.0</v>
      </c>
      <c r="I3828" s="60">
        <v>0.0</v>
      </c>
      <c r="J3828" s="59">
        <v>2.0</v>
      </c>
      <c r="K3828" s="61">
        <f t="shared" si="1"/>
        <v>1</v>
      </c>
      <c r="L3828" s="62">
        <f t="shared" si="2"/>
        <v>1</v>
      </c>
    </row>
    <row r="3829">
      <c r="A3829" s="58">
        <v>45870.0</v>
      </c>
      <c r="B3829" s="24" t="s">
        <v>6789</v>
      </c>
      <c r="C3829" s="24" t="s">
        <v>6852</v>
      </c>
      <c r="D3829" s="59">
        <v>2.0</v>
      </c>
      <c r="E3829" s="59">
        <v>2.0</v>
      </c>
      <c r="F3829" s="59">
        <v>1.0</v>
      </c>
      <c r="G3829" s="60">
        <v>2.0</v>
      </c>
      <c r="H3829" s="60">
        <v>0.5</v>
      </c>
      <c r="I3829" s="60">
        <v>35.2246285</v>
      </c>
      <c r="J3829" s="59">
        <v>2.0</v>
      </c>
      <c r="K3829" s="61">
        <f t="shared" si="1"/>
        <v>0.5</v>
      </c>
      <c r="L3829" s="62">
        <f t="shared" si="2"/>
        <v>1</v>
      </c>
    </row>
    <row r="3830">
      <c r="A3830" s="58">
        <v>45870.0</v>
      </c>
      <c r="B3830" s="24" t="s">
        <v>6789</v>
      </c>
      <c r="C3830" s="24" t="s">
        <v>6921</v>
      </c>
      <c r="D3830" s="59">
        <v>2.0</v>
      </c>
      <c r="E3830" s="59">
        <v>2.0</v>
      </c>
      <c r="F3830" s="59">
        <v>0.0</v>
      </c>
      <c r="G3830" s="60">
        <v>2.0</v>
      </c>
      <c r="H3830" s="60">
        <v>1.0</v>
      </c>
      <c r="I3830" s="60">
        <v>3.873577</v>
      </c>
      <c r="J3830" s="59">
        <v>2.0</v>
      </c>
      <c r="K3830" s="61">
        <f t="shared" si="1"/>
        <v>0</v>
      </c>
      <c r="L3830" s="62">
        <f t="shared" si="2"/>
        <v>1</v>
      </c>
    </row>
    <row r="3831">
      <c r="A3831" s="58">
        <v>45870.0</v>
      </c>
      <c r="B3831" s="24" t="s">
        <v>155</v>
      </c>
      <c r="C3831" s="24" t="s">
        <v>6853</v>
      </c>
      <c r="D3831" s="59">
        <v>2.0</v>
      </c>
      <c r="E3831" s="59">
        <v>3.0</v>
      </c>
      <c r="F3831" s="59">
        <v>1.0</v>
      </c>
      <c r="G3831" s="60">
        <v>3.0</v>
      </c>
      <c r="H3831" s="60">
        <v>0.666666666666666</v>
      </c>
      <c r="I3831" s="60">
        <v>31.4347503333333</v>
      </c>
      <c r="J3831" s="59">
        <v>3.0</v>
      </c>
      <c r="K3831" s="61">
        <f t="shared" si="1"/>
        <v>0.3333333333</v>
      </c>
      <c r="L3831" s="62">
        <f t="shared" si="2"/>
        <v>1</v>
      </c>
    </row>
    <row r="3832">
      <c r="A3832" s="58">
        <v>45870.0</v>
      </c>
      <c r="B3832" s="24" t="s">
        <v>6789</v>
      </c>
      <c r="C3832" s="24" t="s">
        <v>6797</v>
      </c>
      <c r="D3832" s="59">
        <v>2.0</v>
      </c>
      <c r="E3832" s="59">
        <v>2.0</v>
      </c>
      <c r="F3832" s="59">
        <v>2.0</v>
      </c>
      <c r="G3832" s="60">
        <v>1.0</v>
      </c>
      <c r="H3832" s="60">
        <v>0.0</v>
      </c>
      <c r="I3832" s="60">
        <v>12.916826</v>
      </c>
      <c r="J3832" s="59">
        <v>2.0</v>
      </c>
      <c r="K3832" s="61">
        <f t="shared" si="1"/>
        <v>1</v>
      </c>
      <c r="L3832" s="62">
        <f t="shared" si="2"/>
        <v>1</v>
      </c>
    </row>
    <row r="3833">
      <c r="A3833" s="58">
        <v>45870.0</v>
      </c>
      <c r="B3833" s="24" t="s">
        <v>6787</v>
      </c>
      <c r="C3833" s="24" t="s">
        <v>7360</v>
      </c>
      <c r="D3833" s="59">
        <v>2.0</v>
      </c>
      <c r="E3833" s="59">
        <v>2.0</v>
      </c>
      <c r="F3833" s="59">
        <v>2.0</v>
      </c>
      <c r="G3833" s="60">
        <v>1.0</v>
      </c>
      <c r="H3833" s="60">
        <v>0.5</v>
      </c>
      <c r="I3833" s="60">
        <v>4.3246515</v>
      </c>
      <c r="J3833" s="59">
        <v>3.0</v>
      </c>
      <c r="K3833" s="61">
        <f t="shared" si="1"/>
        <v>1</v>
      </c>
      <c r="L3833" s="62">
        <f t="shared" si="2"/>
        <v>1.5</v>
      </c>
    </row>
    <row r="3834">
      <c r="A3834" s="58">
        <v>45870.0</v>
      </c>
      <c r="B3834" s="24" t="s">
        <v>6787</v>
      </c>
      <c r="C3834" s="24" t="s">
        <v>6931</v>
      </c>
      <c r="D3834" s="59">
        <v>2.0</v>
      </c>
      <c r="E3834" s="59">
        <v>2.0</v>
      </c>
      <c r="F3834" s="59">
        <v>2.0</v>
      </c>
      <c r="G3834" s="60">
        <v>1.0</v>
      </c>
      <c r="H3834" s="60">
        <v>1.0</v>
      </c>
      <c r="I3834" s="60">
        <v>0.0</v>
      </c>
      <c r="J3834" s="59">
        <v>2.0</v>
      </c>
      <c r="K3834" s="61">
        <f t="shared" si="1"/>
        <v>1</v>
      </c>
      <c r="L3834" s="62">
        <f t="shared" si="2"/>
        <v>1</v>
      </c>
    </row>
    <row r="3835">
      <c r="A3835" s="58">
        <v>45870.0</v>
      </c>
      <c r="B3835" s="24" t="s">
        <v>6787</v>
      </c>
      <c r="C3835" s="24" t="s">
        <v>7118</v>
      </c>
      <c r="D3835" s="59">
        <v>2.0</v>
      </c>
      <c r="E3835" s="59">
        <v>2.0</v>
      </c>
      <c r="F3835" s="59">
        <v>2.0</v>
      </c>
      <c r="G3835" s="60">
        <v>1.0</v>
      </c>
      <c r="H3835" s="60">
        <v>1.0</v>
      </c>
      <c r="I3835" s="60">
        <v>0.0</v>
      </c>
      <c r="J3835" s="59">
        <v>2.0</v>
      </c>
      <c r="K3835" s="61">
        <f t="shared" si="1"/>
        <v>1</v>
      </c>
      <c r="L3835" s="62">
        <f t="shared" si="2"/>
        <v>1</v>
      </c>
    </row>
    <row r="3836">
      <c r="A3836" s="58">
        <v>45870.0</v>
      </c>
      <c r="B3836" s="24" t="s">
        <v>6787</v>
      </c>
      <c r="C3836" s="24" t="s">
        <v>6924</v>
      </c>
      <c r="D3836" s="59">
        <v>2.0</v>
      </c>
      <c r="E3836" s="59">
        <v>2.0</v>
      </c>
      <c r="F3836" s="59">
        <v>2.0</v>
      </c>
      <c r="G3836" s="60">
        <v>1.0</v>
      </c>
      <c r="H3836" s="60">
        <v>0.5</v>
      </c>
      <c r="I3836" s="60">
        <v>37.1651455</v>
      </c>
      <c r="J3836" s="59">
        <v>5.0</v>
      </c>
      <c r="K3836" s="61">
        <f t="shared" si="1"/>
        <v>1</v>
      </c>
      <c r="L3836" s="62">
        <f t="shared" si="2"/>
        <v>2.5</v>
      </c>
    </row>
    <row r="3837">
      <c r="A3837" s="58">
        <v>45870.0</v>
      </c>
      <c r="B3837" s="24" t="s">
        <v>6787</v>
      </c>
      <c r="C3837" s="24" t="s">
        <v>7361</v>
      </c>
      <c r="D3837" s="59">
        <v>1.0</v>
      </c>
      <c r="E3837" s="59">
        <v>1.0</v>
      </c>
      <c r="F3837" s="59">
        <v>1.0</v>
      </c>
      <c r="G3837" s="60">
        <v>1.0</v>
      </c>
      <c r="H3837" s="60">
        <v>1.0</v>
      </c>
      <c r="I3837" s="60">
        <v>0.0</v>
      </c>
      <c r="J3837" s="59">
        <v>1.0</v>
      </c>
      <c r="K3837" s="61">
        <f t="shared" si="1"/>
        <v>1</v>
      </c>
      <c r="L3837" s="62">
        <f t="shared" si="2"/>
        <v>1</v>
      </c>
    </row>
    <row r="3838">
      <c r="A3838" s="58">
        <v>45870.0</v>
      </c>
      <c r="B3838" s="24" t="s">
        <v>6787</v>
      </c>
      <c r="C3838" s="24" t="s">
        <v>7362</v>
      </c>
      <c r="D3838" s="59">
        <v>1.0</v>
      </c>
      <c r="E3838" s="59">
        <v>1.0</v>
      </c>
      <c r="F3838" s="59">
        <v>1.0</v>
      </c>
      <c r="G3838" s="60">
        <v>1.0</v>
      </c>
      <c r="H3838" s="60">
        <v>1.0</v>
      </c>
      <c r="I3838" s="60">
        <v>0.0</v>
      </c>
      <c r="J3838" s="59">
        <v>1.0</v>
      </c>
      <c r="K3838" s="61">
        <f t="shared" si="1"/>
        <v>1</v>
      </c>
      <c r="L3838" s="62">
        <f t="shared" si="2"/>
        <v>1</v>
      </c>
    </row>
    <row r="3839">
      <c r="A3839" s="58">
        <v>45870.0</v>
      </c>
      <c r="B3839" s="24" t="s">
        <v>6787</v>
      </c>
      <c r="C3839" s="24" t="s">
        <v>7363</v>
      </c>
      <c r="D3839" s="59">
        <v>1.0</v>
      </c>
      <c r="E3839" s="59">
        <v>1.0</v>
      </c>
      <c r="F3839" s="59">
        <v>1.0</v>
      </c>
      <c r="G3839" s="60">
        <v>1.0</v>
      </c>
      <c r="H3839" s="60">
        <v>1.0</v>
      </c>
      <c r="I3839" s="60">
        <v>0.0</v>
      </c>
      <c r="J3839" s="59">
        <v>1.0</v>
      </c>
      <c r="K3839" s="61">
        <f t="shared" si="1"/>
        <v>1</v>
      </c>
      <c r="L3839" s="62">
        <f t="shared" si="2"/>
        <v>1</v>
      </c>
    </row>
    <row r="3840">
      <c r="A3840" s="58">
        <v>45870.0</v>
      </c>
      <c r="B3840" s="24" t="s">
        <v>6787</v>
      </c>
      <c r="C3840" s="24" t="s">
        <v>7364</v>
      </c>
      <c r="D3840" s="59">
        <v>1.0</v>
      </c>
      <c r="E3840" s="59">
        <v>1.0</v>
      </c>
      <c r="F3840" s="59">
        <v>1.0</v>
      </c>
      <c r="G3840" s="60">
        <v>1.0</v>
      </c>
      <c r="H3840" s="60">
        <v>1.0</v>
      </c>
      <c r="I3840" s="60">
        <v>0.0</v>
      </c>
      <c r="J3840" s="59">
        <v>1.0</v>
      </c>
      <c r="K3840" s="61">
        <f t="shared" si="1"/>
        <v>1</v>
      </c>
      <c r="L3840" s="62">
        <f t="shared" si="2"/>
        <v>1</v>
      </c>
    </row>
    <row r="3841">
      <c r="A3841" s="58">
        <v>45870.0</v>
      </c>
      <c r="B3841" s="24" t="s">
        <v>6787</v>
      </c>
      <c r="C3841" s="24" t="s">
        <v>7365</v>
      </c>
      <c r="D3841" s="59">
        <v>1.0</v>
      </c>
      <c r="E3841" s="59">
        <v>1.0</v>
      </c>
      <c r="F3841" s="59">
        <v>1.0</v>
      </c>
      <c r="G3841" s="60">
        <v>1.0</v>
      </c>
      <c r="H3841" s="60">
        <v>1.0</v>
      </c>
      <c r="I3841" s="60">
        <v>0.0</v>
      </c>
      <c r="J3841" s="59">
        <v>1.0</v>
      </c>
      <c r="K3841" s="61">
        <f t="shared" si="1"/>
        <v>1</v>
      </c>
      <c r="L3841" s="62">
        <f t="shared" si="2"/>
        <v>1</v>
      </c>
    </row>
    <row r="3842">
      <c r="A3842" s="58">
        <v>45870.0</v>
      </c>
      <c r="B3842" s="24" t="s">
        <v>6787</v>
      </c>
      <c r="C3842" s="24" t="s">
        <v>7366</v>
      </c>
      <c r="D3842" s="59">
        <v>1.0</v>
      </c>
      <c r="E3842" s="59">
        <v>1.0</v>
      </c>
      <c r="F3842" s="59">
        <v>1.0</v>
      </c>
      <c r="G3842" s="60">
        <v>1.0</v>
      </c>
      <c r="H3842" s="60">
        <v>1.0</v>
      </c>
      <c r="I3842" s="60">
        <v>0.0</v>
      </c>
      <c r="J3842" s="59">
        <v>1.0</v>
      </c>
      <c r="K3842" s="61">
        <f t="shared" si="1"/>
        <v>1</v>
      </c>
      <c r="L3842" s="62">
        <f t="shared" si="2"/>
        <v>1</v>
      </c>
    </row>
    <row r="3843">
      <c r="A3843" s="58">
        <v>45870.0</v>
      </c>
      <c r="B3843" s="24" t="s">
        <v>6787</v>
      </c>
      <c r="C3843" s="24" t="s">
        <v>7367</v>
      </c>
      <c r="D3843" s="59">
        <v>1.0</v>
      </c>
      <c r="E3843" s="59">
        <v>1.0</v>
      </c>
      <c r="F3843" s="59">
        <v>1.0</v>
      </c>
      <c r="G3843" s="60">
        <v>1.0</v>
      </c>
      <c r="H3843" s="60">
        <v>1.0</v>
      </c>
      <c r="I3843" s="60">
        <v>0.0</v>
      </c>
      <c r="J3843" s="59">
        <v>1.0</v>
      </c>
      <c r="K3843" s="61">
        <f t="shared" si="1"/>
        <v>1</v>
      </c>
      <c r="L3843" s="62">
        <f t="shared" si="2"/>
        <v>1</v>
      </c>
    </row>
    <row r="3844">
      <c r="A3844" s="58">
        <v>45870.0</v>
      </c>
      <c r="B3844" s="24" t="s">
        <v>6787</v>
      </c>
      <c r="C3844" s="24" t="s">
        <v>7368</v>
      </c>
      <c r="D3844" s="59">
        <v>1.0</v>
      </c>
      <c r="E3844" s="59">
        <v>1.0</v>
      </c>
      <c r="F3844" s="59">
        <v>1.0</v>
      </c>
      <c r="G3844" s="60">
        <v>1.0</v>
      </c>
      <c r="H3844" s="60">
        <v>1.0</v>
      </c>
      <c r="I3844" s="60">
        <v>0.0</v>
      </c>
      <c r="J3844" s="59">
        <v>1.0</v>
      </c>
      <c r="K3844" s="61">
        <f t="shared" si="1"/>
        <v>1</v>
      </c>
      <c r="L3844" s="62">
        <f t="shared" si="2"/>
        <v>1</v>
      </c>
    </row>
    <row r="3845">
      <c r="A3845" s="58">
        <v>45870.0</v>
      </c>
      <c r="B3845" s="24" t="s">
        <v>6787</v>
      </c>
      <c r="C3845" s="24" t="s">
        <v>7369</v>
      </c>
      <c r="D3845" s="59">
        <v>1.0</v>
      </c>
      <c r="E3845" s="59">
        <v>1.0</v>
      </c>
      <c r="F3845" s="59">
        <v>1.0</v>
      </c>
      <c r="G3845" s="60">
        <v>1.0</v>
      </c>
      <c r="H3845" s="60">
        <v>1.0</v>
      </c>
      <c r="I3845" s="60">
        <v>0.0</v>
      </c>
      <c r="J3845" s="59">
        <v>1.0</v>
      </c>
      <c r="K3845" s="61">
        <f t="shared" si="1"/>
        <v>1</v>
      </c>
      <c r="L3845" s="62">
        <f t="shared" si="2"/>
        <v>1</v>
      </c>
    </row>
    <row r="3846">
      <c r="A3846" s="58">
        <v>45870.0</v>
      </c>
      <c r="B3846" s="24" t="s">
        <v>6787</v>
      </c>
      <c r="C3846" s="24" t="s">
        <v>7370</v>
      </c>
      <c r="D3846" s="59">
        <v>1.0</v>
      </c>
      <c r="E3846" s="59">
        <v>1.0</v>
      </c>
      <c r="F3846" s="59">
        <v>1.0</v>
      </c>
      <c r="G3846" s="60">
        <v>1.0</v>
      </c>
      <c r="H3846" s="60">
        <v>1.0</v>
      </c>
      <c r="I3846" s="60">
        <v>0.0</v>
      </c>
      <c r="J3846" s="59">
        <v>1.0</v>
      </c>
      <c r="K3846" s="61">
        <f t="shared" si="1"/>
        <v>1</v>
      </c>
      <c r="L3846" s="62">
        <f t="shared" si="2"/>
        <v>1</v>
      </c>
    </row>
    <row r="3847">
      <c r="A3847" s="58">
        <v>45870.0</v>
      </c>
      <c r="B3847" s="24" t="s">
        <v>6787</v>
      </c>
      <c r="C3847" s="24" t="s">
        <v>7371</v>
      </c>
      <c r="D3847" s="59">
        <v>1.0</v>
      </c>
      <c r="E3847" s="59">
        <v>1.0</v>
      </c>
      <c r="F3847" s="59">
        <v>1.0</v>
      </c>
      <c r="G3847" s="60">
        <v>1.0</v>
      </c>
      <c r="H3847" s="60">
        <v>1.0</v>
      </c>
      <c r="I3847" s="60">
        <v>0.0</v>
      </c>
      <c r="J3847" s="59">
        <v>1.0</v>
      </c>
      <c r="K3847" s="61">
        <f t="shared" si="1"/>
        <v>1</v>
      </c>
      <c r="L3847" s="62">
        <f t="shared" si="2"/>
        <v>1</v>
      </c>
    </row>
    <row r="3848">
      <c r="A3848" s="58">
        <v>45870.0</v>
      </c>
      <c r="B3848" s="24" t="s">
        <v>6787</v>
      </c>
      <c r="C3848" s="24" t="s">
        <v>7372</v>
      </c>
      <c r="D3848" s="59">
        <v>1.0</v>
      </c>
      <c r="E3848" s="59">
        <v>1.0</v>
      </c>
      <c r="F3848" s="59">
        <v>1.0</v>
      </c>
      <c r="G3848" s="60">
        <v>1.0</v>
      </c>
      <c r="H3848" s="60">
        <v>1.0</v>
      </c>
      <c r="I3848" s="60">
        <v>0.0</v>
      </c>
      <c r="J3848" s="59">
        <v>1.0</v>
      </c>
      <c r="K3848" s="61">
        <f t="shared" si="1"/>
        <v>1</v>
      </c>
      <c r="L3848" s="62">
        <f t="shared" si="2"/>
        <v>1</v>
      </c>
    </row>
    <row r="3849">
      <c r="A3849" s="58">
        <v>45870.0</v>
      </c>
      <c r="B3849" s="24" t="s">
        <v>6787</v>
      </c>
      <c r="C3849" s="24" t="s">
        <v>7373</v>
      </c>
      <c r="D3849" s="59">
        <v>1.0</v>
      </c>
      <c r="E3849" s="59">
        <v>1.0</v>
      </c>
      <c r="F3849" s="59">
        <v>1.0</v>
      </c>
      <c r="G3849" s="60">
        <v>1.0</v>
      </c>
      <c r="H3849" s="60">
        <v>1.0</v>
      </c>
      <c r="I3849" s="60">
        <v>0.0</v>
      </c>
      <c r="J3849" s="59">
        <v>1.0</v>
      </c>
      <c r="K3849" s="61">
        <f t="shared" si="1"/>
        <v>1</v>
      </c>
      <c r="L3849" s="62">
        <f t="shared" si="2"/>
        <v>1</v>
      </c>
    </row>
    <row r="3850">
      <c r="A3850" s="58">
        <v>45870.0</v>
      </c>
      <c r="B3850" s="24" t="s">
        <v>6787</v>
      </c>
      <c r="C3850" s="24" t="s">
        <v>7374</v>
      </c>
      <c r="D3850" s="59">
        <v>1.0</v>
      </c>
      <c r="E3850" s="59">
        <v>1.0</v>
      </c>
      <c r="F3850" s="59">
        <v>1.0</v>
      </c>
      <c r="G3850" s="60">
        <v>1.0</v>
      </c>
      <c r="H3850" s="60">
        <v>1.0</v>
      </c>
      <c r="I3850" s="60">
        <v>0.0</v>
      </c>
      <c r="J3850" s="59">
        <v>1.0</v>
      </c>
      <c r="K3850" s="61">
        <f t="shared" si="1"/>
        <v>1</v>
      </c>
      <c r="L3850" s="62">
        <f t="shared" si="2"/>
        <v>1</v>
      </c>
    </row>
    <row r="3851">
      <c r="A3851" s="58">
        <v>45870.0</v>
      </c>
      <c r="B3851" s="24" t="s">
        <v>6787</v>
      </c>
      <c r="C3851" s="24" t="s">
        <v>7375</v>
      </c>
      <c r="D3851" s="59">
        <v>1.0</v>
      </c>
      <c r="E3851" s="59">
        <v>1.0</v>
      </c>
      <c r="F3851" s="59">
        <v>1.0</v>
      </c>
      <c r="G3851" s="60">
        <v>1.0</v>
      </c>
      <c r="H3851" s="60">
        <v>1.0</v>
      </c>
      <c r="I3851" s="60">
        <v>0.0</v>
      </c>
      <c r="J3851" s="59">
        <v>1.0</v>
      </c>
      <c r="K3851" s="61">
        <f t="shared" si="1"/>
        <v>1</v>
      </c>
      <c r="L3851" s="62">
        <f t="shared" si="2"/>
        <v>1</v>
      </c>
    </row>
    <row r="3852">
      <c r="A3852" s="58">
        <v>45870.0</v>
      </c>
      <c r="B3852" s="24" t="s">
        <v>6787</v>
      </c>
      <c r="C3852" s="24" t="s">
        <v>7376</v>
      </c>
      <c r="D3852" s="59">
        <v>1.0</v>
      </c>
      <c r="E3852" s="59">
        <v>1.0</v>
      </c>
      <c r="F3852" s="59">
        <v>1.0</v>
      </c>
      <c r="G3852" s="60">
        <v>1.0</v>
      </c>
      <c r="H3852" s="60">
        <v>1.0</v>
      </c>
      <c r="I3852" s="60">
        <v>0.0</v>
      </c>
      <c r="J3852" s="59">
        <v>1.0</v>
      </c>
      <c r="K3852" s="61">
        <f t="shared" si="1"/>
        <v>1</v>
      </c>
      <c r="L3852" s="62">
        <f t="shared" si="2"/>
        <v>1</v>
      </c>
    </row>
    <row r="3853">
      <c r="A3853" s="58">
        <v>45870.0</v>
      </c>
      <c r="B3853" s="24" t="s">
        <v>6787</v>
      </c>
      <c r="C3853" s="24" t="s">
        <v>7200</v>
      </c>
      <c r="D3853" s="59">
        <v>1.0</v>
      </c>
      <c r="E3853" s="59">
        <v>1.0</v>
      </c>
      <c r="F3853" s="59">
        <v>1.0</v>
      </c>
      <c r="G3853" s="60">
        <v>1.0</v>
      </c>
      <c r="H3853" s="60">
        <v>1.0</v>
      </c>
      <c r="I3853" s="60">
        <v>0.0</v>
      </c>
      <c r="J3853" s="59">
        <v>1.0</v>
      </c>
      <c r="K3853" s="61">
        <f t="shared" si="1"/>
        <v>1</v>
      </c>
      <c r="L3853" s="62">
        <f t="shared" si="2"/>
        <v>1</v>
      </c>
    </row>
    <row r="3854">
      <c r="A3854" s="58">
        <v>45870.0</v>
      </c>
      <c r="B3854" s="24" t="s">
        <v>6789</v>
      </c>
      <c r="C3854" s="24" t="s">
        <v>7149</v>
      </c>
      <c r="D3854" s="59">
        <v>1.0</v>
      </c>
      <c r="E3854" s="59">
        <v>2.0</v>
      </c>
      <c r="F3854" s="59">
        <v>0.0</v>
      </c>
      <c r="G3854" s="60">
        <v>2.0</v>
      </c>
      <c r="H3854" s="60">
        <v>0.0</v>
      </c>
      <c r="I3854" s="60">
        <v>409.182894</v>
      </c>
      <c r="J3854" s="59">
        <v>4.0</v>
      </c>
      <c r="K3854" s="61">
        <f t="shared" si="1"/>
        <v>0</v>
      </c>
      <c r="L3854" s="62">
        <f t="shared" si="2"/>
        <v>2</v>
      </c>
    </row>
    <row r="3855">
      <c r="A3855" s="58">
        <v>45870.0</v>
      </c>
      <c r="B3855" s="24" t="s">
        <v>155</v>
      </c>
      <c r="C3855" s="24" t="s">
        <v>7149</v>
      </c>
      <c r="D3855" s="59">
        <v>1.0</v>
      </c>
      <c r="E3855" s="59">
        <v>1.0</v>
      </c>
      <c r="F3855" s="59">
        <v>0.0</v>
      </c>
      <c r="G3855" s="60">
        <v>1.0</v>
      </c>
      <c r="H3855" s="60">
        <v>0.0</v>
      </c>
      <c r="I3855" s="60">
        <v>188.804048</v>
      </c>
      <c r="J3855" s="59">
        <v>3.0</v>
      </c>
      <c r="K3855" s="61">
        <f t="shared" si="1"/>
        <v>0</v>
      </c>
      <c r="L3855" s="62">
        <f t="shared" si="2"/>
        <v>3</v>
      </c>
    </row>
    <row r="3856">
      <c r="A3856" s="58">
        <v>45870.0</v>
      </c>
      <c r="B3856" s="24" t="s">
        <v>6794</v>
      </c>
      <c r="C3856" s="24" t="s">
        <v>6803</v>
      </c>
      <c r="D3856" s="59">
        <v>1.0</v>
      </c>
      <c r="E3856" s="59">
        <v>1.0</v>
      </c>
      <c r="F3856" s="59">
        <v>0.0</v>
      </c>
      <c r="G3856" s="60">
        <v>1.0</v>
      </c>
      <c r="H3856" s="60">
        <v>0.0</v>
      </c>
      <c r="I3856" s="60">
        <v>169.203523</v>
      </c>
      <c r="J3856" s="59">
        <v>2.0</v>
      </c>
      <c r="K3856" s="61">
        <f t="shared" si="1"/>
        <v>0</v>
      </c>
      <c r="L3856" s="62">
        <f t="shared" si="2"/>
        <v>2</v>
      </c>
    </row>
    <row r="3857">
      <c r="A3857" s="58">
        <v>45870.0</v>
      </c>
      <c r="B3857" s="24" t="s">
        <v>155</v>
      </c>
      <c r="C3857" s="24" t="s">
        <v>6803</v>
      </c>
      <c r="D3857" s="59">
        <v>1.0</v>
      </c>
      <c r="E3857" s="59">
        <v>1.0</v>
      </c>
      <c r="F3857" s="59">
        <v>1.0</v>
      </c>
      <c r="G3857" s="60">
        <v>1.0</v>
      </c>
      <c r="H3857" s="60">
        <v>0.0</v>
      </c>
      <c r="I3857" s="60">
        <v>913.786545</v>
      </c>
      <c r="J3857" s="59">
        <v>1.0</v>
      </c>
      <c r="K3857" s="61">
        <f t="shared" si="1"/>
        <v>1</v>
      </c>
      <c r="L3857" s="62">
        <f t="shared" si="2"/>
        <v>1</v>
      </c>
    </row>
    <row r="3858">
      <c r="A3858" s="58">
        <v>45870.0</v>
      </c>
      <c r="B3858" s="24" t="s">
        <v>6787</v>
      </c>
      <c r="C3858" s="24" t="s">
        <v>6982</v>
      </c>
      <c r="D3858" s="59">
        <v>1.0</v>
      </c>
      <c r="E3858" s="59">
        <v>1.0</v>
      </c>
      <c r="F3858" s="59">
        <v>1.0</v>
      </c>
      <c r="G3858" s="60">
        <v>1.0</v>
      </c>
      <c r="H3858" s="60">
        <v>0.0</v>
      </c>
      <c r="I3858" s="60">
        <v>91.173116</v>
      </c>
      <c r="J3858" s="59">
        <v>1.0</v>
      </c>
      <c r="K3858" s="61">
        <f t="shared" si="1"/>
        <v>1</v>
      </c>
      <c r="L3858" s="62">
        <f t="shared" si="2"/>
        <v>1</v>
      </c>
    </row>
    <row r="3859">
      <c r="A3859" s="58">
        <v>45870.0</v>
      </c>
      <c r="B3859" s="24" t="s">
        <v>6794</v>
      </c>
      <c r="C3859" s="24" t="s">
        <v>6817</v>
      </c>
      <c r="D3859" s="59">
        <v>1.0</v>
      </c>
      <c r="E3859" s="59">
        <v>1.0</v>
      </c>
      <c r="F3859" s="59">
        <v>0.0</v>
      </c>
      <c r="G3859" s="60">
        <v>1.0</v>
      </c>
      <c r="H3859" s="60">
        <v>1.0</v>
      </c>
      <c r="I3859" s="60">
        <v>0.987326</v>
      </c>
      <c r="J3859" s="59">
        <v>1.0</v>
      </c>
      <c r="K3859" s="61">
        <f t="shared" si="1"/>
        <v>0</v>
      </c>
      <c r="L3859" s="62">
        <f t="shared" si="2"/>
        <v>1</v>
      </c>
    </row>
    <row r="3860">
      <c r="A3860" s="58">
        <v>45870.0</v>
      </c>
      <c r="B3860" s="24" t="s">
        <v>6790</v>
      </c>
      <c r="C3860" s="24" t="s">
        <v>6817</v>
      </c>
      <c r="D3860" s="59">
        <v>1.0</v>
      </c>
      <c r="E3860" s="59">
        <v>1.0</v>
      </c>
      <c r="F3860" s="59">
        <v>0.0</v>
      </c>
      <c r="G3860" s="60">
        <v>1.0</v>
      </c>
      <c r="H3860" s="60">
        <v>1.0</v>
      </c>
      <c r="I3860" s="60">
        <v>3.176876</v>
      </c>
      <c r="J3860" s="59">
        <v>2.0</v>
      </c>
      <c r="K3860" s="61">
        <f t="shared" si="1"/>
        <v>0</v>
      </c>
      <c r="L3860" s="62">
        <f t="shared" si="2"/>
        <v>2</v>
      </c>
    </row>
    <row r="3861">
      <c r="A3861" s="58">
        <v>45870.0</v>
      </c>
      <c r="B3861" s="24" t="s">
        <v>6787</v>
      </c>
      <c r="C3861" s="24" t="s">
        <v>7377</v>
      </c>
      <c r="D3861" s="59">
        <v>1.0</v>
      </c>
      <c r="E3861" s="59">
        <v>1.0</v>
      </c>
      <c r="F3861" s="59">
        <v>1.0</v>
      </c>
      <c r="G3861" s="60">
        <v>1.0</v>
      </c>
      <c r="H3861" s="60">
        <v>0.0</v>
      </c>
      <c r="I3861" s="60">
        <v>65.452896</v>
      </c>
      <c r="J3861" s="59">
        <v>1.0</v>
      </c>
      <c r="K3861" s="61">
        <f t="shared" si="1"/>
        <v>1</v>
      </c>
      <c r="L3861" s="62">
        <f t="shared" si="2"/>
        <v>1</v>
      </c>
    </row>
    <row r="3862">
      <c r="A3862" s="58">
        <v>45870.0</v>
      </c>
      <c r="B3862" s="24" t="s">
        <v>6787</v>
      </c>
      <c r="C3862" s="24" t="s">
        <v>6953</v>
      </c>
      <c r="D3862" s="59">
        <v>1.0</v>
      </c>
      <c r="E3862" s="59">
        <v>1.0</v>
      </c>
      <c r="F3862" s="59">
        <v>1.0</v>
      </c>
      <c r="G3862" s="60">
        <v>1.0</v>
      </c>
      <c r="H3862" s="60">
        <v>1.0</v>
      </c>
      <c r="I3862" s="60">
        <v>0.0</v>
      </c>
      <c r="J3862" s="59">
        <v>1.0</v>
      </c>
      <c r="K3862" s="61">
        <f t="shared" si="1"/>
        <v>1</v>
      </c>
      <c r="L3862" s="62">
        <f t="shared" si="2"/>
        <v>1</v>
      </c>
    </row>
    <row r="3863">
      <c r="A3863" s="58">
        <v>45870.0</v>
      </c>
      <c r="B3863" s="24" t="s">
        <v>6789</v>
      </c>
      <c r="C3863" s="24" t="s">
        <v>6953</v>
      </c>
      <c r="D3863" s="59">
        <v>1.0</v>
      </c>
      <c r="E3863" s="59">
        <v>1.0</v>
      </c>
      <c r="F3863" s="59">
        <v>1.0</v>
      </c>
      <c r="G3863" s="60">
        <v>1.0</v>
      </c>
      <c r="H3863" s="60">
        <v>0.0</v>
      </c>
      <c r="I3863" s="60">
        <v>293.5001</v>
      </c>
      <c r="J3863" s="59">
        <v>1.0</v>
      </c>
      <c r="K3863" s="61">
        <f t="shared" si="1"/>
        <v>1</v>
      </c>
      <c r="L3863" s="62">
        <f t="shared" si="2"/>
        <v>1</v>
      </c>
    </row>
    <row r="3864">
      <c r="A3864" s="58">
        <v>45870.0</v>
      </c>
      <c r="B3864" s="24" t="s">
        <v>3216</v>
      </c>
      <c r="C3864" s="24" t="s">
        <v>6983</v>
      </c>
      <c r="D3864" s="59">
        <v>1.0</v>
      </c>
      <c r="E3864" s="59">
        <v>1.0</v>
      </c>
      <c r="F3864" s="59">
        <v>1.0</v>
      </c>
      <c r="G3864" s="60">
        <v>1.0</v>
      </c>
      <c r="H3864" s="60">
        <v>1.0</v>
      </c>
      <c r="I3864" s="60">
        <v>6.533158</v>
      </c>
      <c r="J3864" s="59">
        <v>1.0</v>
      </c>
      <c r="K3864" s="61">
        <f t="shared" si="1"/>
        <v>1</v>
      </c>
      <c r="L3864" s="62">
        <f t="shared" si="2"/>
        <v>1</v>
      </c>
    </row>
    <row r="3865">
      <c r="A3865" s="58">
        <v>45870.0</v>
      </c>
      <c r="B3865" s="24" t="s">
        <v>6789</v>
      </c>
      <c r="C3865" s="24" t="s">
        <v>6828</v>
      </c>
      <c r="D3865" s="59">
        <v>1.0</v>
      </c>
      <c r="E3865" s="59">
        <v>1.0</v>
      </c>
      <c r="F3865" s="59">
        <v>1.0</v>
      </c>
      <c r="G3865" s="60">
        <v>1.0</v>
      </c>
      <c r="H3865" s="60">
        <v>1.0</v>
      </c>
      <c r="I3865" s="60">
        <v>0.0</v>
      </c>
      <c r="J3865" s="59">
        <v>1.0</v>
      </c>
      <c r="K3865" s="61">
        <f t="shared" si="1"/>
        <v>1</v>
      </c>
      <c r="L3865" s="62">
        <f t="shared" si="2"/>
        <v>1</v>
      </c>
    </row>
    <row r="3866">
      <c r="A3866" s="58">
        <v>45870.0</v>
      </c>
      <c r="B3866" s="24" t="s">
        <v>6787</v>
      </c>
      <c r="C3866" s="24" t="s">
        <v>6955</v>
      </c>
      <c r="D3866" s="59">
        <v>1.0</v>
      </c>
      <c r="E3866" s="59">
        <v>1.0</v>
      </c>
      <c r="F3866" s="59">
        <v>1.0</v>
      </c>
      <c r="G3866" s="60">
        <v>1.0</v>
      </c>
      <c r="H3866" s="60">
        <v>1.0</v>
      </c>
      <c r="I3866" s="60">
        <v>0.0</v>
      </c>
      <c r="J3866" s="59">
        <v>1.0</v>
      </c>
      <c r="K3866" s="61">
        <f t="shared" si="1"/>
        <v>1</v>
      </c>
      <c r="L3866" s="62">
        <f t="shared" si="2"/>
        <v>1</v>
      </c>
    </row>
    <row r="3867">
      <c r="A3867" s="58">
        <v>45870.0</v>
      </c>
      <c r="B3867" s="24" t="s">
        <v>6787</v>
      </c>
      <c r="C3867" s="24" t="s">
        <v>7057</v>
      </c>
      <c r="D3867" s="59">
        <v>1.0</v>
      </c>
      <c r="E3867" s="59">
        <v>1.0</v>
      </c>
      <c r="F3867" s="59">
        <v>1.0</v>
      </c>
      <c r="G3867" s="60">
        <v>1.0</v>
      </c>
      <c r="H3867" s="60">
        <v>1.0</v>
      </c>
      <c r="I3867" s="60">
        <v>0.0</v>
      </c>
      <c r="J3867" s="59">
        <v>1.0</v>
      </c>
      <c r="K3867" s="61">
        <f t="shared" si="1"/>
        <v>1</v>
      </c>
      <c r="L3867" s="62">
        <f t="shared" si="2"/>
        <v>1</v>
      </c>
    </row>
    <row r="3868">
      <c r="A3868" s="58">
        <v>45870.0</v>
      </c>
      <c r="B3868" s="24" t="s">
        <v>6789</v>
      </c>
      <c r="C3868" s="24" t="s">
        <v>7057</v>
      </c>
      <c r="D3868" s="59">
        <v>1.0</v>
      </c>
      <c r="E3868" s="59">
        <v>1.0</v>
      </c>
      <c r="F3868" s="59">
        <v>1.0</v>
      </c>
      <c r="G3868" s="60">
        <v>1.0</v>
      </c>
      <c r="H3868" s="60">
        <v>1.0</v>
      </c>
      <c r="I3868" s="60">
        <v>5.274213</v>
      </c>
      <c r="J3868" s="59">
        <v>1.0</v>
      </c>
      <c r="K3868" s="61">
        <f t="shared" si="1"/>
        <v>1</v>
      </c>
      <c r="L3868" s="62">
        <f t="shared" si="2"/>
        <v>1</v>
      </c>
    </row>
    <row r="3869">
      <c r="A3869" s="58">
        <v>45870.0</v>
      </c>
      <c r="B3869" s="24" t="s">
        <v>6789</v>
      </c>
      <c r="C3869" s="24" t="s">
        <v>7039</v>
      </c>
      <c r="D3869" s="59">
        <v>1.0</v>
      </c>
      <c r="E3869" s="59">
        <v>6.0</v>
      </c>
      <c r="F3869" s="59">
        <v>0.0</v>
      </c>
      <c r="G3869" s="60">
        <v>6.0</v>
      </c>
      <c r="H3869" s="60">
        <v>1.0</v>
      </c>
      <c r="I3869" s="60">
        <v>0.972100166666666</v>
      </c>
      <c r="J3869" s="59">
        <v>6.0</v>
      </c>
      <c r="K3869" s="61">
        <f t="shared" si="1"/>
        <v>0</v>
      </c>
      <c r="L3869" s="62">
        <f t="shared" si="2"/>
        <v>1</v>
      </c>
    </row>
    <row r="3870">
      <c r="A3870" s="58">
        <v>45870.0</v>
      </c>
      <c r="B3870" s="24" t="s">
        <v>6787</v>
      </c>
      <c r="C3870" s="24" t="s">
        <v>7187</v>
      </c>
      <c r="D3870" s="59">
        <v>1.0</v>
      </c>
      <c r="E3870" s="59">
        <v>1.0</v>
      </c>
      <c r="F3870" s="59">
        <v>1.0</v>
      </c>
      <c r="G3870" s="60">
        <v>1.0</v>
      </c>
      <c r="H3870" s="60">
        <v>1.0</v>
      </c>
      <c r="I3870" s="60">
        <v>0.0</v>
      </c>
      <c r="J3870" s="59">
        <v>1.0</v>
      </c>
      <c r="K3870" s="61">
        <f t="shared" si="1"/>
        <v>1</v>
      </c>
      <c r="L3870" s="62">
        <f t="shared" si="2"/>
        <v>1</v>
      </c>
    </row>
    <row r="3871">
      <c r="A3871" s="58">
        <v>45870.0</v>
      </c>
      <c r="B3871" s="24" t="s">
        <v>3216</v>
      </c>
      <c r="C3871" s="24" t="s">
        <v>6861</v>
      </c>
      <c r="D3871" s="59">
        <v>1.0</v>
      </c>
      <c r="E3871" s="59">
        <v>1.0</v>
      </c>
      <c r="F3871" s="59">
        <v>0.0</v>
      </c>
      <c r="G3871" s="60">
        <v>1.0</v>
      </c>
      <c r="H3871" s="60">
        <v>0.0</v>
      </c>
      <c r="I3871" s="60">
        <v>18.216815</v>
      </c>
      <c r="J3871" s="59">
        <v>2.0</v>
      </c>
      <c r="K3871" s="61">
        <f t="shared" si="1"/>
        <v>0</v>
      </c>
      <c r="L3871" s="62">
        <f t="shared" si="2"/>
        <v>2</v>
      </c>
    </row>
    <row r="3872">
      <c r="A3872" s="58">
        <v>45870.0</v>
      </c>
      <c r="B3872" s="24" t="s">
        <v>6789</v>
      </c>
      <c r="C3872" s="24" t="s">
        <v>6861</v>
      </c>
      <c r="D3872" s="59">
        <v>1.0</v>
      </c>
      <c r="E3872" s="59">
        <v>1.0</v>
      </c>
      <c r="F3872" s="59">
        <v>1.0</v>
      </c>
      <c r="G3872" s="60">
        <v>1.0</v>
      </c>
      <c r="H3872" s="60">
        <v>0.0</v>
      </c>
      <c r="I3872" s="60">
        <v>284.279304</v>
      </c>
      <c r="J3872" s="59">
        <v>6.0</v>
      </c>
      <c r="K3872" s="61">
        <f t="shared" si="1"/>
        <v>1</v>
      </c>
      <c r="L3872" s="62">
        <f t="shared" si="2"/>
        <v>6</v>
      </c>
    </row>
    <row r="3873">
      <c r="A3873" s="58">
        <v>45870.0</v>
      </c>
      <c r="B3873" s="24" t="s">
        <v>155</v>
      </c>
      <c r="C3873" s="24" t="s">
        <v>6861</v>
      </c>
      <c r="D3873" s="59">
        <v>1.0</v>
      </c>
      <c r="E3873" s="59">
        <v>1.0</v>
      </c>
      <c r="F3873" s="59">
        <v>0.0</v>
      </c>
      <c r="G3873" s="60">
        <v>0.0</v>
      </c>
      <c r="H3873" s="60">
        <v>1.0</v>
      </c>
      <c r="I3873" s="60">
        <v>0.0</v>
      </c>
      <c r="J3873" s="59">
        <v>1.0</v>
      </c>
      <c r="K3873" s="61">
        <f t="shared" si="1"/>
        <v>0</v>
      </c>
      <c r="L3873" s="62">
        <f t="shared" si="2"/>
        <v>1</v>
      </c>
    </row>
    <row r="3874">
      <c r="A3874" s="58">
        <v>45870.0</v>
      </c>
      <c r="B3874" s="24" t="s">
        <v>6787</v>
      </c>
      <c r="C3874" s="24" t="s">
        <v>6985</v>
      </c>
      <c r="D3874" s="59">
        <v>1.0</v>
      </c>
      <c r="E3874" s="59">
        <v>1.0</v>
      </c>
      <c r="F3874" s="59">
        <v>1.0</v>
      </c>
      <c r="G3874" s="60">
        <v>1.0</v>
      </c>
      <c r="H3874" s="60">
        <v>1.0</v>
      </c>
      <c r="I3874" s="60">
        <v>0.0</v>
      </c>
      <c r="J3874" s="59">
        <v>1.0</v>
      </c>
      <c r="K3874" s="61">
        <f t="shared" si="1"/>
        <v>1</v>
      </c>
      <c r="L3874" s="62">
        <f t="shared" si="2"/>
        <v>1</v>
      </c>
    </row>
    <row r="3875">
      <c r="A3875" s="58">
        <v>45870.0</v>
      </c>
      <c r="B3875" s="24" t="s">
        <v>6787</v>
      </c>
      <c r="C3875" s="24" t="s">
        <v>6819</v>
      </c>
      <c r="D3875" s="59">
        <v>1.0</v>
      </c>
      <c r="E3875" s="59">
        <v>1.0</v>
      </c>
      <c r="F3875" s="59">
        <v>1.0</v>
      </c>
      <c r="G3875" s="60">
        <v>1.0</v>
      </c>
      <c r="H3875" s="60">
        <v>1.0</v>
      </c>
      <c r="I3875" s="60">
        <v>0.0</v>
      </c>
      <c r="J3875" s="59">
        <v>1.0</v>
      </c>
      <c r="K3875" s="61">
        <f t="shared" si="1"/>
        <v>1</v>
      </c>
      <c r="L3875" s="62">
        <f t="shared" si="2"/>
        <v>1</v>
      </c>
    </row>
    <row r="3876">
      <c r="A3876" s="58">
        <v>45870.0</v>
      </c>
      <c r="B3876" s="24" t="s">
        <v>6789</v>
      </c>
      <c r="C3876" s="24" t="s">
        <v>6819</v>
      </c>
      <c r="D3876" s="59">
        <v>1.0</v>
      </c>
      <c r="E3876" s="59">
        <v>1.0</v>
      </c>
      <c r="F3876" s="59">
        <v>1.0</v>
      </c>
      <c r="G3876" s="60">
        <v>1.0</v>
      </c>
      <c r="H3876" s="60">
        <v>1.0</v>
      </c>
      <c r="I3876" s="60">
        <v>0.0</v>
      </c>
      <c r="J3876" s="59">
        <v>1.0</v>
      </c>
      <c r="K3876" s="61">
        <f t="shared" si="1"/>
        <v>1</v>
      </c>
      <c r="L3876" s="62">
        <f t="shared" si="2"/>
        <v>1</v>
      </c>
    </row>
    <row r="3877">
      <c r="A3877" s="58">
        <v>45870.0</v>
      </c>
      <c r="B3877" s="24" t="s">
        <v>6787</v>
      </c>
      <c r="C3877" s="24" t="s">
        <v>6988</v>
      </c>
      <c r="D3877" s="59">
        <v>1.0</v>
      </c>
      <c r="E3877" s="59">
        <v>1.0</v>
      </c>
      <c r="F3877" s="59">
        <v>1.0</v>
      </c>
      <c r="G3877" s="60">
        <v>1.0</v>
      </c>
      <c r="H3877" s="60">
        <v>1.0</v>
      </c>
      <c r="I3877" s="60">
        <v>0.0</v>
      </c>
      <c r="J3877" s="59">
        <v>1.0</v>
      </c>
      <c r="K3877" s="61">
        <f t="shared" si="1"/>
        <v>1</v>
      </c>
      <c r="L3877" s="62">
        <f t="shared" si="2"/>
        <v>1</v>
      </c>
    </row>
    <row r="3878">
      <c r="A3878" s="58">
        <v>45870.0</v>
      </c>
      <c r="B3878" s="24" t="s">
        <v>6787</v>
      </c>
      <c r="C3878" s="24" t="s">
        <v>6872</v>
      </c>
      <c r="D3878" s="59">
        <v>1.0</v>
      </c>
      <c r="E3878" s="59">
        <v>1.0</v>
      </c>
      <c r="F3878" s="59">
        <v>1.0</v>
      </c>
      <c r="G3878" s="60">
        <v>1.0</v>
      </c>
      <c r="H3878" s="60">
        <v>1.0</v>
      </c>
      <c r="I3878" s="60">
        <v>0.0</v>
      </c>
      <c r="J3878" s="59">
        <v>1.0</v>
      </c>
      <c r="K3878" s="61">
        <f t="shared" si="1"/>
        <v>1</v>
      </c>
      <c r="L3878" s="62">
        <f t="shared" si="2"/>
        <v>1</v>
      </c>
    </row>
    <row r="3879">
      <c r="A3879" s="58">
        <v>45870.0</v>
      </c>
      <c r="B3879" s="24" t="s">
        <v>6787</v>
      </c>
      <c r="C3879" s="24" t="s">
        <v>7064</v>
      </c>
      <c r="D3879" s="59">
        <v>1.0</v>
      </c>
      <c r="E3879" s="59">
        <v>1.0</v>
      </c>
      <c r="F3879" s="59">
        <v>1.0</v>
      </c>
      <c r="G3879" s="60">
        <v>1.0</v>
      </c>
      <c r="H3879" s="60">
        <v>1.0</v>
      </c>
      <c r="I3879" s="60">
        <v>0.0</v>
      </c>
      <c r="J3879" s="59">
        <v>1.0</v>
      </c>
      <c r="K3879" s="61">
        <f t="shared" si="1"/>
        <v>1</v>
      </c>
      <c r="L3879" s="62">
        <f t="shared" si="2"/>
        <v>1</v>
      </c>
    </row>
    <row r="3880">
      <c r="A3880" s="58">
        <v>45870.0</v>
      </c>
      <c r="B3880" s="24" t="s">
        <v>155</v>
      </c>
      <c r="C3880" s="24" t="s">
        <v>6876</v>
      </c>
      <c r="D3880" s="59">
        <v>1.0</v>
      </c>
      <c r="E3880" s="59">
        <v>1.0</v>
      </c>
      <c r="F3880" s="59">
        <v>1.0</v>
      </c>
      <c r="G3880" s="60">
        <v>1.0</v>
      </c>
      <c r="H3880" s="60">
        <v>1.0</v>
      </c>
      <c r="I3880" s="60">
        <v>0.0</v>
      </c>
      <c r="J3880" s="59">
        <v>1.0</v>
      </c>
      <c r="K3880" s="61">
        <f t="shared" si="1"/>
        <v>1</v>
      </c>
      <c r="L3880" s="62">
        <f t="shared" si="2"/>
        <v>1</v>
      </c>
    </row>
    <row r="3881">
      <c r="A3881" s="58">
        <v>45870.0</v>
      </c>
      <c r="B3881" s="24" t="s">
        <v>155</v>
      </c>
      <c r="C3881" s="24" t="s">
        <v>6882</v>
      </c>
      <c r="D3881" s="59">
        <v>1.0</v>
      </c>
      <c r="E3881" s="59">
        <v>1.0</v>
      </c>
      <c r="F3881" s="59">
        <v>1.0</v>
      </c>
      <c r="G3881" s="60">
        <v>1.0</v>
      </c>
      <c r="H3881" s="60">
        <v>0.0</v>
      </c>
      <c r="I3881" s="60">
        <v>39.481519</v>
      </c>
      <c r="J3881" s="59">
        <v>1.0</v>
      </c>
      <c r="K3881" s="61">
        <f t="shared" si="1"/>
        <v>1</v>
      </c>
      <c r="L3881" s="62">
        <f t="shared" si="2"/>
        <v>1</v>
      </c>
    </row>
    <row r="3882">
      <c r="A3882" s="58">
        <v>45870.0</v>
      </c>
      <c r="B3882" s="24" t="s">
        <v>6787</v>
      </c>
      <c r="C3882" s="24" t="s">
        <v>7068</v>
      </c>
      <c r="D3882" s="59">
        <v>1.0</v>
      </c>
      <c r="E3882" s="59">
        <v>1.0</v>
      </c>
      <c r="F3882" s="59">
        <v>1.0</v>
      </c>
      <c r="G3882" s="60">
        <v>1.0</v>
      </c>
      <c r="H3882" s="60">
        <v>1.0</v>
      </c>
      <c r="I3882" s="60">
        <v>0.0</v>
      </c>
      <c r="J3882" s="59">
        <v>1.0</v>
      </c>
      <c r="K3882" s="61">
        <f t="shared" si="1"/>
        <v>1</v>
      </c>
      <c r="L3882" s="62">
        <f t="shared" si="2"/>
        <v>1</v>
      </c>
    </row>
    <row r="3883">
      <c r="A3883" s="58">
        <v>45870.0</v>
      </c>
      <c r="B3883" s="24" t="s">
        <v>6789</v>
      </c>
      <c r="C3883" s="24" t="s">
        <v>7068</v>
      </c>
      <c r="D3883" s="59">
        <v>1.0</v>
      </c>
      <c r="E3883" s="59">
        <v>2.0</v>
      </c>
      <c r="F3883" s="59">
        <v>1.0</v>
      </c>
      <c r="G3883" s="60">
        <v>2.0</v>
      </c>
      <c r="H3883" s="60">
        <v>1.0</v>
      </c>
      <c r="I3883" s="60">
        <v>1.035201</v>
      </c>
      <c r="J3883" s="59">
        <v>2.0</v>
      </c>
      <c r="K3883" s="61">
        <f t="shared" si="1"/>
        <v>0.5</v>
      </c>
      <c r="L3883" s="62">
        <f t="shared" si="2"/>
        <v>1</v>
      </c>
    </row>
    <row r="3884">
      <c r="A3884" s="58">
        <v>45870.0</v>
      </c>
      <c r="B3884" s="24" t="s">
        <v>6787</v>
      </c>
      <c r="C3884" s="24" t="s">
        <v>7072</v>
      </c>
      <c r="D3884" s="59">
        <v>1.0</v>
      </c>
      <c r="E3884" s="59">
        <v>1.0</v>
      </c>
      <c r="F3884" s="59">
        <v>1.0</v>
      </c>
      <c r="G3884" s="60">
        <v>1.0</v>
      </c>
      <c r="H3884" s="60">
        <v>1.0</v>
      </c>
      <c r="I3884" s="60">
        <v>0.0</v>
      </c>
      <c r="J3884" s="59">
        <v>1.0</v>
      </c>
      <c r="K3884" s="61">
        <f t="shared" si="1"/>
        <v>1</v>
      </c>
      <c r="L3884" s="62">
        <f t="shared" si="2"/>
        <v>1</v>
      </c>
    </row>
    <row r="3885">
      <c r="A3885" s="58">
        <v>45870.0</v>
      </c>
      <c r="B3885" s="24" t="s">
        <v>6789</v>
      </c>
      <c r="C3885" s="24" t="s">
        <v>7072</v>
      </c>
      <c r="D3885" s="59">
        <v>1.0</v>
      </c>
      <c r="E3885" s="59">
        <v>1.0</v>
      </c>
      <c r="F3885" s="59">
        <v>1.0</v>
      </c>
      <c r="G3885" s="60">
        <v>1.0</v>
      </c>
      <c r="H3885" s="60">
        <v>0.0</v>
      </c>
      <c r="I3885" s="60">
        <v>48.501357</v>
      </c>
      <c r="J3885" s="59">
        <v>1.0</v>
      </c>
      <c r="K3885" s="61">
        <f t="shared" si="1"/>
        <v>1</v>
      </c>
      <c r="L3885" s="62">
        <f t="shared" si="2"/>
        <v>1</v>
      </c>
    </row>
    <row r="3886">
      <c r="A3886" s="58">
        <v>45870.0</v>
      </c>
      <c r="B3886" s="24" t="s">
        <v>6789</v>
      </c>
      <c r="C3886" s="24" t="s">
        <v>6945</v>
      </c>
      <c r="D3886" s="59">
        <v>1.0</v>
      </c>
      <c r="E3886" s="59">
        <v>1.0</v>
      </c>
      <c r="F3886" s="59">
        <v>1.0</v>
      </c>
      <c r="G3886" s="60">
        <v>1.0</v>
      </c>
      <c r="H3886" s="60">
        <v>0.0</v>
      </c>
      <c r="I3886" s="60">
        <v>41.439253</v>
      </c>
      <c r="J3886" s="59">
        <v>2.0</v>
      </c>
      <c r="K3886" s="61">
        <f t="shared" si="1"/>
        <v>1</v>
      </c>
      <c r="L3886" s="62">
        <f t="shared" si="2"/>
        <v>2</v>
      </c>
    </row>
    <row r="3887">
      <c r="A3887" s="58">
        <v>45870.0</v>
      </c>
      <c r="B3887" s="24" t="s">
        <v>6787</v>
      </c>
      <c r="C3887" s="24" t="s">
        <v>6930</v>
      </c>
      <c r="D3887" s="59">
        <v>1.0</v>
      </c>
      <c r="E3887" s="59">
        <v>1.0</v>
      </c>
      <c r="F3887" s="59">
        <v>1.0</v>
      </c>
      <c r="G3887" s="60">
        <v>1.0</v>
      </c>
      <c r="H3887" s="60">
        <v>1.0</v>
      </c>
      <c r="I3887" s="60">
        <v>0.0</v>
      </c>
      <c r="J3887" s="59">
        <v>1.0</v>
      </c>
      <c r="K3887" s="61">
        <f t="shared" si="1"/>
        <v>1</v>
      </c>
      <c r="L3887" s="62">
        <f t="shared" si="2"/>
        <v>1</v>
      </c>
    </row>
    <row r="3888">
      <c r="A3888" s="58">
        <v>45870.0</v>
      </c>
      <c r="B3888" s="24" t="s">
        <v>6794</v>
      </c>
      <c r="C3888" s="24" t="s">
        <v>6886</v>
      </c>
      <c r="D3888" s="59">
        <v>1.0</v>
      </c>
      <c r="E3888" s="59">
        <v>1.0</v>
      </c>
      <c r="F3888" s="59">
        <v>0.0</v>
      </c>
      <c r="G3888" s="60">
        <v>1.0</v>
      </c>
      <c r="H3888" s="60">
        <v>0.0</v>
      </c>
      <c r="I3888" s="60">
        <v>70.189622</v>
      </c>
      <c r="J3888" s="59">
        <v>3.0</v>
      </c>
      <c r="K3888" s="61">
        <f t="shared" si="1"/>
        <v>0</v>
      </c>
      <c r="L3888" s="62">
        <f t="shared" si="2"/>
        <v>3</v>
      </c>
    </row>
    <row r="3889">
      <c r="A3889" s="58">
        <v>45870.0</v>
      </c>
      <c r="B3889" s="24" t="s">
        <v>6791</v>
      </c>
      <c r="C3889" s="24" t="s">
        <v>6886</v>
      </c>
      <c r="D3889" s="59">
        <v>1.0</v>
      </c>
      <c r="E3889" s="59">
        <v>1.0</v>
      </c>
      <c r="F3889" s="59">
        <v>0.0</v>
      </c>
      <c r="G3889" s="60">
        <v>1.0</v>
      </c>
      <c r="H3889" s="60">
        <v>0.0</v>
      </c>
      <c r="I3889" s="60">
        <v>465.676279</v>
      </c>
      <c r="J3889" s="59">
        <v>7.0</v>
      </c>
      <c r="K3889" s="61">
        <f t="shared" si="1"/>
        <v>0</v>
      </c>
      <c r="L3889" s="62">
        <f t="shared" si="2"/>
        <v>7</v>
      </c>
    </row>
    <row r="3890">
      <c r="A3890" s="58">
        <v>45870.0</v>
      </c>
      <c r="B3890" s="24" t="s">
        <v>6787</v>
      </c>
      <c r="C3890" s="24" t="s">
        <v>6888</v>
      </c>
      <c r="D3890" s="59">
        <v>1.0</v>
      </c>
      <c r="E3890" s="59">
        <v>1.0</v>
      </c>
      <c r="F3890" s="59">
        <v>1.0</v>
      </c>
      <c r="G3890" s="60">
        <v>1.0</v>
      </c>
      <c r="H3890" s="60">
        <v>1.0</v>
      </c>
      <c r="I3890" s="60">
        <v>0.0</v>
      </c>
      <c r="J3890" s="59">
        <v>1.0</v>
      </c>
      <c r="K3890" s="61">
        <f t="shared" si="1"/>
        <v>1</v>
      </c>
      <c r="L3890" s="62">
        <f t="shared" si="2"/>
        <v>1</v>
      </c>
    </row>
    <row r="3891">
      <c r="A3891" s="58">
        <v>45870.0</v>
      </c>
      <c r="B3891" s="24" t="s">
        <v>6794</v>
      </c>
      <c r="C3891" s="24" t="s">
        <v>6838</v>
      </c>
      <c r="D3891" s="59">
        <v>1.0</v>
      </c>
      <c r="E3891" s="59">
        <v>1.0</v>
      </c>
      <c r="F3891" s="59">
        <v>1.0</v>
      </c>
      <c r="G3891" s="60">
        <v>1.0</v>
      </c>
      <c r="H3891" s="60">
        <v>0.0</v>
      </c>
      <c r="I3891" s="60">
        <v>522.459656</v>
      </c>
      <c r="J3891" s="59">
        <v>1.0</v>
      </c>
      <c r="K3891" s="61">
        <f t="shared" si="1"/>
        <v>1</v>
      </c>
      <c r="L3891" s="62">
        <f t="shared" si="2"/>
        <v>1</v>
      </c>
    </row>
    <row r="3892">
      <c r="A3892" s="58">
        <v>45870.0</v>
      </c>
      <c r="B3892" s="24" t="s">
        <v>6787</v>
      </c>
      <c r="C3892" s="24" t="s">
        <v>6997</v>
      </c>
      <c r="D3892" s="59">
        <v>1.0</v>
      </c>
      <c r="E3892" s="59">
        <v>1.0</v>
      </c>
      <c r="F3892" s="59">
        <v>1.0</v>
      </c>
      <c r="G3892" s="60">
        <v>1.0</v>
      </c>
      <c r="H3892" s="60">
        <v>0.0</v>
      </c>
      <c r="I3892" s="60">
        <v>28.334477</v>
      </c>
      <c r="J3892" s="59">
        <v>2.0</v>
      </c>
      <c r="K3892" s="61">
        <f t="shared" si="1"/>
        <v>1</v>
      </c>
      <c r="L3892" s="62">
        <f t="shared" si="2"/>
        <v>2</v>
      </c>
    </row>
    <row r="3893">
      <c r="A3893" s="58">
        <v>45870.0</v>
      </c>
      <c r="B3893" s="24" t="s">
        <v>155</v>
      </c>
      <c r="C3893" s="24" t="s">
        <v>7021</v>
      </c>
      <c r="D3893" s="59">
        <v>1.0</v>
      </c>
      <c r="E3893" s="59">
        <v>1.0</v>
      </c>
      <c r="F3893" s="59">
        <v>0.0</v>
      </c>
      <c r="G3893" s="60">
        <v>1.0</v>
      </c>
      <c r="H3893" s="60">
        <v>0.0</v>
      </c>
      <c r="I3893" s="60">
        <v>6215.944646</v>
      </c>
      <c r="J3893" s="59">
        <v>25.0</v>
      </c>
      <c r="K3893" s="61">
        <f t="shared" si="1"/>
        <v>0</v>
      </c>
      <c r="L3893" s="62">
        <f t="shared" si="2"/>
        <v>25</v>
      </c>
    </row>
    <row r="3894">
      <c r="A3894" s="58">
        <v>45870.0</v>
      </c>
      <c r="B3894" s="24" t="s">
        <v>6787</v>
      </c>
      <c r="C3894" s="24" t="s">
        <v>7378</v>
      </c>
      <c r="D3894" s="59">
        <v>1.0</v>
      </c>
      <c r="E3894" s="59">
        <v>1.0</v>
      </c>
      <c r="F3894" s="59">
        <v>1.0</v>
      </c>
      <c r="G3894" s="60">
        <v>1.0</v>
      </c>
      <c r="H3894" s="60">
        <v>0.0</v>
      </c>
      <c r="I3894" s="60">
        <v>80.614145</v>
      </c>
      <c r="J3894" s="59">
        <v>6.0</v>
      </c>
      <c r="K3894" s="61">
        <f t="shared" si="1"/>
        <v>1</v>
      </c>
      <c r="L3894" s="62">
        <f t="shared" si="2"/>
        <v>6</v>
      </c>
    </row>
    <row r="3895">
      <c r="A3895" s="58">
        <v>45870.0</v>
      </c>
      <c r="B3895" s="24" t="s">
        <v>6789</v>
      </c>
      <c r="C3895" s="24" t="s">
        <v>6890</v>
      </c>
      <c r="D3895" s="59">
        <v>1.0</v>
      </c>
      <c r="E3895" s="59">
        <v>1.0</v>
      </c>
      <c r="F3895" s="59">
        <v>0.0</v>
      </c>
      <c r="G3895" s="60">
        <v>1.0</v>
      </c>
      <c r="H3895" s="60">
        <v>1.0</v>
      </c>
      <c r="I3895" s="60">
        <v>0.0</v>
      </c>
      <c r="J3895" s="59">
        <v>1.0</v>
      </c>
      <c r="K3895" s="61">
        <f t="shared" si="1"/>
        <v>0</v>
      </c>
      <c r="L3895" s="62">
        <f t="shared" si="2"/>
        <v>1</v>
      </c>
    </row>
    <row r="3896">
      <c r="A3896" s="58">
        <v>45870.0</v>
      </c>
      <c r="B3896" s="24" t="s">
        <v>155</v>
      </c>
      <c r="C3896" s="24" t="s">
        <v>6890</v>
      </c>
      <c r="D3896" s="59">
        <v>1.0</v>
      </c>
      <c r="E3896" s="59">
        <v>1.0</v>
      </c>
      <c r="F3896" s="59">
        <v>0.0</v>
      </c>
      <c r="G3896" s="60">
        <v>1.0</v>
      </c>
      <c r="H3896" s="60">
        <v>1.0</v>
      </c>
      <c r="I3896" s="60">
        <v>1.897513</v>
      </c>
      <c r="J3896" s="59">
        <v>1.0</v>
      </c>
      <c r="K3896" s="61">
        <f t="shared" si="1"/>
        <v>0</v>
      </c>
      <c r="L3896" s="62">
        <f t="shared" si="2"/>
        <v>1</v>
      </c>
    </row>
    <row r="3897">
      <c r="A3897" s="58">
        <v>45870.0</v>
      </c>
      <c r="B3897" s="24" t="s">
        <v>6787</v>
      </c>
      <c r="C3897" s="24" t="s">
        <v>6891</v>
      </c>
      <c r="D3897" s="59">
        <v>1.0</v>
      </c>
      <c r="E3897" s="59">
        <v>1.0</v>
      </c>
      <c r="F3897" s="59">
        <v>1.0</v>
      </c>
      <c r="G3897" s="60">
        <v>1.0</v>
      </c>
      <c r="H3897" s="60">
        <v>1.0</v>
      </c>
      <c r="I3897" s="60">
        <v>0.0</v>
      </c>
      <c r="J3897" s="59">
        <v>1.0</v>
      </c>
      <c r="K3897" s="61">
        <f t="shared" si="1"/>
        <v>1</v>
      </c>
      <c r="L3897" s="62">
        <f t="shared" si="2"/>
        <v>1</v>
      </c>
    </row>
    <row r="3898">
      <c r="A3898" s="58">
        <v>45870.0</v>
      </c>
      <c r="B3898" s="24" t="s">
        <v>6787</v>
      </c>
      <c r="C3898" s="24" t="s">
        <v>6999</v>
      </c>
      <c r="D3898" s="59">
        <v>1.0</v>
      </c>
      <c r="E3898" s="59">
        <v>1.0</v>
      </c>
      <c r="F3898" s="59">
        <v>1.0</v>
      </c>
      <c r="G3898" s="60">
        <v>1.0</v>
      </c>
      <c r="H3898" s="60">
        <v>1.0</v>
      </c>
      <c r="I3898" s="60">
        <v>0.0</v>
      </c>
      <c r="J3898" s="59">
        <v>1.0</v>
      </c>
      <c r="K3898" s="61">
        <f t="shared" si="1"/>
        <v>1</v>
      </c>
      <c r="L3898" s="62">
        <f t="shared" si="2"/>
        <v>1</v>
      </c>
    </row>
    <row r="3899">
      <c r="A3899" s="58">
        <v>45870.0</v>
      </c>
      <c r="B3899" s="24" t="s">
        <v>6787</v>
      </c>
      <c r="C3899" s="24" t="s">
        <v>6892</v>
      </c>
      <c r="D3899" s="59">
        <v>1.0</v>
      </c>
      <c r="E3899" s="59">
        <v>1.0</v>
      </c>
      <c r="F3899" s="59">
        <v>0.0</v>
      </c>
      <c r="G3899" s="60">
        <v>1.0</v>
      </c>
      <c r="H3899" s="60">
        <v>0.0</v>
      </c>
      <c r="I3899" s="60">
        <v>1717.422589</v>
      </c>
      <c r="J3899" s="59">
        <v>17.0</v>
      </c>
      <c r="K3899" s="61">
        <f t="shared" si="1"/>
        <v>0</v>
      </c>
      <c r="L3899" s="62">
        <f t="shared" si="2"/>
        <v>17</v>
      </c>
    </row>
    <row r="3900">
      <c r="A3900" s="58">
        <v>45870.0</v>
      </c>
      <c r="B3900" s="24" t="s">
        <v>155</v>
      </c>
      <c r="C3900" s="24" t="s">
        <v>6840</v>
      </c>
      <c r="D3900" s="59">
        <v>1.0</v>
      </c>
      <c r="E3900" s="59">
        <v>1.0</v>
      </c>
      <c r="F3900" s="59">
        <v>1.0</v>
      </c>
      <c r="G3900" s="60">
        <v>1.0</v>
      </c>
      <c r="H3900" s="60">
        <v>0.0</v>
      </c>
      <c r="I3900" s="60">
        <v>269.793992</v>
      </c>
      <c r="J3900" s="59">
        <v>1.0</v>
      </c>
      <c r="K3900" s="61">
        <f t="shared" si="1"/>
        <v>1</v>
      </c>
      <c r="L3900" s="62">
        <f t="shared" si="2"/>
        <v>1</v>
      </c>
    </row>
    <row r="3901">
      <c r="A3901" s="58">
        <v>45870.0</v>
      </c>
      <c r="B3901" s="24" t="s">
        <v>6787</v>
      </c>
      <c r="C3901" s="24" t="s">
        <v>7129</v>
      </c>
      <c r="D3901" s="59">
        <v>1.0</v>
      </c>
      <c r="E3901" s="59">
        <v>1.0</v>
      </c>
      <c r="F3901" s="59">
        <v>1.0</v>
      </c>
      <c r="G3901" s="60">
        <v>1.0</v>
      </c>
      <c r="H3901" s="60">
        <v>0.0</v>
      </c>
      <c r="I3901" s="60">
        <v>97.8688</v>
      </c>
      <c r="J3901" s="59">
        <v>1.0</v>
      </c>
      <c r="K3901" s="61">
        <f t="shared" si="1"/>
        <v>1</v>
      </c>
      <c r="L3901" s="62">
        <f t="shared" si="2"/>
        <v>1</v>
      </c>
    </row>
    <row r="3902">
      <c r="A3902" s="58">
        <v>45870.0</v>
      </c>
      <c r="B3902" s="24" t="s">
        <v>7100</v>
      </c>
      <c r="C3902" s="24" t="s">
        <v>7301</v>
      </c>
      <c r="D3902" s="59">
        <v>1.0</v>
      </c>
      <c r="E3902" s="59">
        <v>1.0</v>
      </c>
      <c r="F3902" s="59">
        <v>0.0</v>
      </c>
      <c r="G3902" s="60">
        <v>1.0</v>
      </c>
      <c r="H3902" s="60">
        <v>0.0</v>
      </c>
      <c r="I3902" s="60">
        <v>14.992173</v>
      </c>
      <c r="J3902" s="59">
        <v>1.0</v>
      </c>
      <c r="K3902" s="61">
        <f t="shared" si="1"/>
        <v>0</v>
      </c>
      <c r="L3902" s="62">
        <f t="shared" si="2"/>
        <v>1</v>
      </c>
    </row>
    <row r="3903">
      <c r="A3903" s="58">
        <v>45870.0</v>
      </c>
      <c r="B3903" s="24" t="s">
        <v>6787</v>
      </c>
      <c r="C3903" s="24" t="s">
        <v>6823</v>
      </c>
      <c r="D3903" s="59">
        <v>1.0</v>
      </c>
      <c r="E3903" s="59">
        <v>1.0</v>
      </c>
      <c r="F3903" s="59">
        <v>1.0</v>
      </c>
      <c r="G3903" s="60">
        <v>1.0</v>
      </c>
      <c r="H3903" s="60">
        <v>1.0</v>
      </c>
      <c r="I3903" s="60">
        <v>0.0</v>
      </c>
      <c r="J3903" s="59">
        <v>1.0</v>
      </c>
      <c r="K3903" s="61">
        <f t="shared" si="1"/>
        <v>1</v>
      </c>
      <c r="L3903" s="62">
        <f t="shared" si="2"/>
        <v>1</v>
      </c>
    </row>
    <row r="3904">
      <c r="A3904" s="58">
        <v>45870.0</v>
      </c>
      <c r="B3904" s="24" t="s">
        <v>6787</v>
      </c>
      <c r="C3904" s="24" t="s">
        <v>7153</v>
      </c>
      <c r="D3904" s="59">
        <v>1.0</v>
      </c>
      <c r="E3904" s="59">
        <v>1.0</v>
      </c>
      <c r="F3904" s="59">
        <v>1.0</v>
      </c>
      <c r="G3904" s="60">
        <v>1.0</v>
      </c>
      <c r="H3904" s="60">
        <v>1.0</v>
      </c>
      <c r="I3904" s="60">
        <v>0.0</v>
      </c>
      <c r="J3904" s="59">
        <v>1.0</v>
      </c>
      <c r="K3904" s="61">
        <f t="shared" si="1"/>
        <v>1</v>
      </c>
      <c r="L3904" s="62">
        <f t="shared" si="2"/>
        <v>1</v>
      </c>
    </row>
    <row r="3905">
      <c r="A3905" s="58">
        <v>45870.0</v>
      </c>
      <c r="B3905" s="24" t="s">
        <v>6794</v>
      </c>
      <c r="C3905" s="24" t="s">
        <v>7223</v>
      </c>
      <c r="D3905" s="59">
        <v>1.0</v>
      </c>
      <c r="E3905" s="59">
        <v>1.0</v>
      </c>
      <c r="F3905" s="59">
        <v>1.0</v>
      </c>
      <c r="G3905" s="60">
        <v>1.0</v>
      </c>
      <c r="H3905" s="60">
        <v>0.0</v>
      </c>
      <c r="I3905" s="60">
        <v>21.982256</v>
      </c>
      <c r="J3905" s="59">
        <v>1.0</v>
      </c>
      <c r="K3905" s="61">
        <f t="shared" si="1"/>
        <v>1</v>
      </c>
      <c r="L3905" s="62">
        <f t="shared" si="2"/>
        <v>1</v>
      </c>
    </row>
    <row r="3906">
      <c r="A3906" s="58">
        <v>45870.0</v>
      </c>
      <c r="B3906" s="24" t="s">
        <v>6787</v>
      </c>
      <c r="C3906" s="24" t="s">
        <v>7002</v>
      </c>
      <c r="D3906" s="59">
        <v>1.0</v>
      </c>
      <c r="E3906" s="59">
        <v>1.0</v>
      </c>
      <c r="F3906" s="59">
        <v>1.0</v>
      </c>
      <c r="G3906" s="60">
        <v>1.0</v>
      </c>
      <c r="H3906" s="60">
        <v>1.0</v>
      </c>
      <c r="I3906" s="60">
        <v>0.0</v>
      </c>
      <c r="J3906" s="59">
        <v>1.0</v>
      </c>
      <c r="K3906" s="61">
        <f t="shared" si="1"/>
        <v>1</v>
      </c>
      <c r="L3906" s="62">
        <f t="shared" si="2"/>
        <v>1</v>
      </c>
    </row>
    <row r="3907">
      <c r="A3907" s="58">
        <v>45870.0</v>
      </c>
      <c r="B3907" s="24" t="s">
        <v>6789</v>
      </c>
      <c r="C3907" s="24" t="s">
        <v>7002</v>
      </c>
      <c r="D3907" s="59">
        <v>1.0</v>
      </c>
      <c r="E3907" s="59">
        <v>1.0</v>
      </c>
      <c r="F3907" s="59">
        <v>0.0</v>
      </c>
      <c r="G3907" s="60">
        <v>1.0</v>
      </c>
      <c r="H3907" s="60">
        <v>0.0</v>
      </c>
      <c r="I3907" s="60">
        <v>195.776911</v>
      </c>
      <c r="J3907" s="59">
        <v>2.0</v>
      </c>
      <c r="K3907" s="61">
        <f t="shared" si="1"/>
        <v>0</v>
      </c>
      <c r="L3907" s="62">
        <f t="shared" si="2"/>
        <v>2</v>
      </c>
    </row>
    <row r="3908">
      <c r="A3908" s="58">
        <v>45870.0</v>
      </c>
      <c r="B3908" s="24" t="s">
        <v>6789</v>
      </c>
      <c r="C3908" s="24" t="s">
        <v>6897</v>
      </c>
      <c r="D3908" s="59">
        <v>1.0</v>
      </c>
      <c r="E3908" s="59">
        <v>1.0</v>
      </c>
      <c r="F3908" s="59">
        <v>0.0</v>
      </c>
      <c r="G3908" s="60">
        <v>1.0</v>
      </c>
      <c r="H3908" s="60">
        <v>0.0</v>
      </c>
      <c r="I3908" s="60">
        <v>17.681817</v>
      </c>
      <c r="J3908" s="59">
        <v>1.0</v>
      </c>
      <c r="K3908" s="61">
        <f t="shared" si="1"/>
        <v>0</v>
      </c>
      <c r="L3908" s="62">
        <f t="shared" si="2"/>
        <v>1</v>
      </c>
    </row>
    <row r="3909">
      <c r="A3909" s="58">
        <v>45870.0</v>
      </c>
      <c r="B3909" s="24" t="s">
        <v>6787</v>
      </c>
      <c r="C3909" s="24" t="s">
        <v>7379</v>
      </c>
      <c r="D3909" s="59">
        <v>1.0</v>
      </c>
      <c r="E3909" s="59">
        <v>1.0</v>
      </c>
      <c r="F3909" s="59">
        <v>1.0</v>
      </c>
      <c r="G3909" s="60">
        <v>1.0</v>
      </c>
      <c r="H3909" s="60">
        <v>0.0</v>
      </c>
      <c r="I3909" s="60">
        <v>58.089528</v>
      </c>
      <c r="J3909" s="59">
        <v>1.0</v>
      </c>
      <c r="K3909" s="61">
        <f t="shared" si="1"/>
        <v>1</v>
      </c>
      <c r="L3909" s="62">
        <f t="shared" si="2"/>
        <v>1</v>
      </c>
    </row>
    <row r="3910">
      <c r="A3910" s="58">
        <v>45870.0</v>
      </c>
      <c r="B3910" s="24" t="s">
        <v>155</v>
      </c>
      <c r="C3910" s="24" t="s">
        <v>6841</v>
      </c>
      <c r="D3910" s="59">
        <v>1.0</v>
      </c>
      <c r="E3910" s="59">
        <v>1.0</v>
      </c>
      <c r="F3910" s="59">
        <v>1.0</v>
      </c>
      <c r="G3910" s="60">
        <v>1.0</v>
      </c>
      <c r="H3910" s="60">
        <v>0.0</v>
      </c>
      <c r="I3910" s="60">
        <v>1093.183899</v>
      </c>
      <c r="J3910" s="59">
        <v>7.0</v>
      </c>
      <c r="K3910" s="61">
        <f t="shared" si="1"/>
        <v>1</v>
      </c>
      <c r="L3910" s="62">
        <f t="shared" si="2"/>
        <v>7</v>
      </c>
    </row>
    <row r="3911">
      <c r="A3911" s="58">
        <v>45870.0</v>
      </c>
      <c r="B3911" s="24" t="s">
        <v>6787</v>
      </c>
      <c r="C3911" s="24" t="s">
        <v>6898</v>
      </c>
      <c r="D3911" s="59">
        <v>1.0</v>
      </c>
      <c r="E3911" s="59">
        <v>1.0</v>
      </c>
      <c r="F3911" s="59">
        <v>1.0</v>
      </c>
      <c r="G3911" s="60">
        <v>1.0</v>
      </c>
      <c r="H3911" s="60">
        <v>0.0</v>
      </c>
      <c r="I3911" s="60">
        <v>12.044385</v>
      </c>
      <c r="J3911" s="59">
        <v>1.0</v>
      </c>
      <c r="K3911" s="61">
        <f t="shared" si="1"/>
        <v>1</v>
      </c>
      <c r="L3911" s="62">
        <f t="shared" si="2"/>
        <v>1</v>
      </c>
    </row>
    <row r="3912">
      <c r="A3912" s="58">
        <v>45870.0</v>
      </c>
      <c r="B3912" s="24" t="s">
        <v>6790</v>
      </c>
      <c r="C3912" s="24" t="s">
        <v>6806</v>
      </c>
      <c r="D3912" s="59">
        <v>1.0</v>
      </c>
      <c r="E3912" s="59">
        <v>1.0</v>
      </c>
      <c r="F3912" s="59">
        <v>1.0</v>
      </c>
      <c r="G3912" s="60">
        <v>1.0</v>
      </c>
      <c r="H3912" s="60">
        <v>0.0</v>
      </c>
      <c r="I3912" s="60">
        <v>93.183891</v>
      </c>
      <c r="J3912" s="59">
        <v>1.0</v>
      </c>
      <c r="K3912" s="61">
        <f t="shared" si="1"/>
        <v>1</v>
      </c>
      <c r="L3912" s="62">
        <f t="shared" si="2"/>
        <v>1</v>
      </c>
    </row>
    <row r="3913">
      <c r="A3913" s="58">
        <v>45870.0</v>
      </c>
      <c r="B3913" s="24" t="s">
        <v>6794</v>
      </c>
      <c r="C3913" s="24" t="s">
        <v>6811</v>
      </c>
      <c r="D3913" s="59">
        <v>1.0</v>
      </c>
      <c r="E3913" s="59">
        <v>1.0</v>
      </c>
      <c r="F3913" s="59">
        <v>0.0</v>
      </c>
      <c r="G3913" s="60">
        <v>1.0</v>
      </c>
      <c r="H3913" s="60">
        <v>0.0</v>
      </c>
      <c r="I3913" s="60">
        <v>479.784985</v>
      </c>
      <c r="J3913" s="59">
        <v>2.0</v>
      </c>
      <c r="K3913" s="61">
        <f t="shared" si="1"/>
        <v>0</v>
      </c>
      <c r="L3913" s="62">
        <f t="shared" si="2"/>
        <v>2</v>
      </c>
    </row>
    <row r="3914">
      <c r="A3914" s="58">
        <v>45870.0</v>
      </c>
      <c r="B3914" s="24" t="s">
        <v>6791</v>
      </c>
      <c r="C3914" s="24" t="s">
        <v>6811</v>
      </c>
      <c r="D3914" s="59">
        <v>1.0</v>
      </c>
      <c r="E3914" s="59">
        <v>1.0</v>
      </c>
      <c r="F3914" s="59">
        <v>0.0</v>
      </c>
      <c r="G3914" s="60">
        <v>1.0</v>
      </c>
      <c r="H3914" s="60">
        <v>0.0</v>
      </c>
      <c r="I3914" s="60">
        <v>30.709333</v>
      </c>
      <c r="J3914" s="59">
        <v>3.0</v>
      </c>
      <c r="K3914" s="61">
        <f t="shared" si="1"/>
        <v>0</v>
      </c>
      <c r="L3914" s="62">
        <f t="shared" si="2"/>
        <v>3</v>
      </c>
    </row>
    <row r="3915">
      <c r="A3915" s="58">
        <v>45870.0</v>
      </c>
      <c r="B3915" s="24" t="s">
        <v>155</v>
      </c>
      <c r="C3915" s="24" t="s">
        <v>6811</v>
      </c>
      <c r="D3915" s="59">
        <v>1.0</v>
      </c>
      <c r="E3915" s="59">
        <v>1.0</v>
      </c>
      <c r="F3915" s="59">
        <v>0.0</v>
      </c>
      <c r="G3915" s="60">
        <v>0.0</v>
      </c>
      <c r="H3915" s="60">
        <v>1.0</v>
      </c>
      <c r="I3915" s="60">
        <v>0.0</v>
      </c>
      <c r="J3915" s="59">
        <v>1.0</v>
      </c>
      <c r="K3915" s="61">
        <f t="shared" si="1"/>
        <v>0</v>
      </c>
      <c r="L3915" s="62">
        <f t="shared" si="2"/>
        <v>1</v>
      </c>
    </row>
    <row r="3916">
      <c r="A3916" s="58">
        <v>45870.0</v>
      </c>
      <c r="B3916" s="24" t="s">
        <v>6790</v>
      </c>
      <c r="C3916" s="24" t="s">
        <v>6811</v>
      </c>
      <c r="D3916" s="59">
        <v>1.0</v>
      </c>
      <c r="E3916" s="59">
        <v>1.0</v>
      </c>
      <c r="F3916" s="59">
        <v>1.0</v>
      </c>
      <c r="G3916" s="60">
        <v>1.0</v>
      </c>
      <c r="H3916" s="60">
        <v>0.0</v>
      </c>
      <c r="I3916" s="60">
        <v>667.14984</v>
      </c>
      <c r="J3916" s="59">
        <v>1.0</v>
      </c>
      <c r="K3916" s="61">
        <f t="shared" si="1"/>
        <v>1</v>
      </c>
      <c r="L3916" s="62">
        <f t="shared" si="2"/>
        <v>1</v>
      </c>
    </row>
    <row r="3917">
      <c r="A3917" s="58">
        <v>45870.0</v>
      </c>
      <c r="B3917" s="24" t="s">
        <v>6787</v>
      </c>
      <c r="C3917" s="24" t="s">
        <v>7380</v>
      </c>
      <c r="D3917" s="59">
        <v>1.0</v>
      </c>
      <c r="E3917" s="59">
        <v>1.0</v>
      </c>
      <c r="F3917" s="59">
        <v>1.0</v>
      </c>
      <c r="G3917" s="60">
        <v>1.0</v>
      </c>
      <c r="H3917" s="60">
        <v>0.0</v>
      </c>
      <c r="I3917" s="60">
        <v>81.891826</v>
      </c>
      <c r="J3917" s="59">
        <v>1.0</v>
      </c>
      <c r="K3917" s="61">
        <f t="shared" si="1"/>
        <v>1</v>
      </c>
      <c r="L3917" s="62">
        <f t="shared" si="2"/>
        <v>1</v>
      </c>
    </row>
    <row r="3918">
      <c r="A3918" s="58">
        <v>45870.0</v>
      </c>
      <c r="B3918" s="24" t="s">
        <v>6787</v>
      </c>
      <c r="C3918" s="24" t="s">
        <v>7006</v>
      </c>
      <c r="D3918" s="59">
        <v>1.0</v>
      </c>
      <c r="E3918" s="59">
        <v>1.0</v>
      </c>
      <c r="F3918" s="59">
        <v>1.0</v>
      </c>
      <c r="G3918" s="60">
        <v>1.0</v>
      </c>
      <c r="H3918" s="60">
        <v>1.0</v>
      </c>
      <c r="I3918" s="60">
        <v>4.687395</v>
      </c>
      <c r="J3918" s="59">
        <v>1.0</v>
      </c>
      <c r="K3918" s="61">
        <f t="shared" si="1"/>
        <v>1</v>
      </c>
      <c r="L3918" s="62">
        <f t="shared" si="2"/>
        <v>1</v>
      </c>
    </row>
    <row r="3919">
      <c r="A3919" s="58">
        <v>45870.0</v>
      </c>
      <c r="B3919" s="24" t="s">
        <v>6789</v>
      </c>
      <c r="C3919" s="24" t="s">
        <v>7006</v>
      </c>
      <c r="D3919" s="59">
        <v>1.0</v>
      </c>
      <c r="E3919" s="59">
        <v>1.0</v>
      </c>
      <c r="F3919" s="59">
        <v>1.0</v>
      </c>
      <c r="G3919" s="60">
        <v>1.0</v>
      </c>
      <c r="H3919" s="60">
        <v>1.0</v>
      </c>
      <c r="I3919" s="60">
        <v>0.0</v>
      </c>
      <c r="J3919" s="59">
        <v>1.0</v>
      </c>
      <c r="K3919" s="61">
        <f t="shared" si="1"/>
        <v>1</v>
      </c>
      <c r="L3919" s="62">
        <f t="shared" si="2"/>
        <v>1</v>
      </c>
    </row>
    <row r="3920">
      <c r="A3920" s="58">
        <v>45870.0</v>
      </c>
      <c r="B3920" s="24" t="s">
        <v>6787</v>
      </c>
      <c r="C3920" s="24" t="s">
        <v>6843</v>
      </c>
      <c r="D3920" s="59">
        <v>1.0</v>
      </c>
      <c r="E3920" s="59">
        <v>1.0</v>
      </c>
      <c r="F3920" s="59">
        <v>1.0</v>
      </c>
      <c r="G3920" s="60">
        <v>1.0</v>
      </c>
      <c r="H3920" s="60">
        <v>1.0</v>
      </c>
      <c r="I3920" s="60">
        <v>0.0</v>
      </c>
      <c r="J3920" s="59">
        <v>1.0</v>
      </c>
      <c r="K3920" s="61">
        <f t="shared" si="1"/>
        <v>1</v>
      </c>
      <c r="L3920" s="62">
        <f t="shared" si="2"/>
        <v>1</v>
      </c>
    </row>
    <row r="3921">
      <c r="A3921" s="58">
        <v>45870.0</v>
      </c>
      <c r="B3921" s="24" t="s">
        <v>6789</v>
      </c>
      <c r="C3921" s="24" t="s">
        <v>6807</v>
      </c>
      <c r="D3921" s="59">
        <v>1.0</v>
      </c>
      <c r="E3921" s="59">
        <v>3.0</v>
      </c>
      <c r="F3921" s="59">
        <v>0.0</v>
      </c>
      <c r="G3921" s="60">
        <v>0.0</v>
      </c>
      <c r="H3921" s="60">
        <v>1.0</v>
      </c>
      <c r="I3921" s="60">
        <v>1.603707</v>
      </c>
      <c r="J3921" s="59">
        <v>3.0</v>
      </c>
      <c r="K3921" s="61">
        <f t="shared" si="1"/>
        <v>0</v>
      </c>
      <c r="L3921" s="62">
        <f t="shared" si="2"/>
        <v>1</v>
      </c>
    </row>
    <row r="3922">
      <c r="A3922" s="58">
        <v>45870.0</v>
      </c>
      <c r="B3922" s="24" t="s">
        <v>6787</v>
      </c>
      <c r="C3922" s="24" t="s">
        <v>7381</v>
      </c>
      <c r="D3922" s="59">
        <v>1.0</v>
      </c>
      <c r="E3922" s="59">
        <v>1.0</v>
      </c>
      <c r="F3922" s="59">
        <v>1.0</v>
      </c>
      <c r="G3922" s="60">
        <v>1.0</v>
      </c>
      <c r="H3922" s="60">
        <v>0.0</v>
      </c>
      <c r="I3922" s="60">
        <v>22.24687</v>
      </c>
      <c r="J3922" s="59">
        <v>1.0</v>
      </c>
      <c r="K3922" s="61">
        <f t="shared" si="1"/>
        <v>1</v>
      </c>
      <c r="L3922" s="62">
        <f t="shared" si="2"/>
        <v>1</v>
      </c>
    </row>
    <row r="3923">
      <c r="A3923" s="58">
        <v>45870.0</v>
      </c>
      <c r="B3923" s="24" t="s">
        <v>6787</v>
      </c>
      <c r="C3923" s="24" t="s">
        <v>6946</v>
      </c>
      <c r="D3923" s="59">
        <v>1.0</v>
      </c>
      <c r="E3923" s="59">
        <v>1.0</v>
      </c>
      <c r="F3923" s="59">
        <v>1.0</v>
      </c>
      <c r="G3923" s="60">
        <v>1.0</v>
      </c>
      <c r="H3923" s="60">
        <v>1.0</v>
      </c>
      <c r="I3923" s="60">
        <v>0.0</v>
      </c>
      <c r="J3923" s="59">
        <v>1.0</v>
      </c>
      <c r="K3923" s="61">
        <f t="shared" si="1"/>
        <v>1</v>
      </c>
      <c r="L3923" s="62">
        <f t="shared" si="2"/>
        <v>1</v>
      </c>
    </row>
    <row r="3924">
      <c r="A3924" s="58">
        <v>45870.0</v>
      </c>
      <c r="B3924" s="24" t="s">
        <v>6787</v>
      </c>
      <c r="C3924" s="24" t="s">
        <v>7078</v>
      </c>
      <c r="D3924" s="59">
        <v>1.0</v>
      </c>
      <c r="E3924" s="59">
        <v>1.0</v>
      </c>
      <c r="F3924" s="59">
        <v>1.0</v>
      </c>
      <c r="G3924" s="60">
        <v>1.0</v>
      </c>
      <c r="H3924" s="60">
        <v>1.0</v>
      </c>
      <c r="I3924" s="60">
        <v>0.0</v>
      </c>
      <c r="J3924" s="59">
        <v>1.0</v>
      </c>
      <c r="K3924" s="61">
        <f t="shared" si="1"/>
        <v>1</v>
      </c>
      <c r="L3924" s="62">
        <f t="shared" si="2"/>
        <v>1</v>
      </c>
    </row>
    <row r="3925">
      <c r="A3925" s="58">
        <v>45870.0</v>
      </c>
      <c r="B3925" s="24" t="s">
        <v>6787</v>
      </c>
      <c r="C3925" s="24" t="s">
        <v>7007</v>
      </c>
      <c r="D3925" s="59">
        <v>1.0</v>
      </c>
      <c r="E3925" s="59">
        <v>1.0</v>
      </c>
      <c r="F3925" s="59">
        <v>1.0</v>
      </c>
      <c r="G3925" s="60">
        <v>1.0</v>
      </c>
      <c r="H3925" s="60">
        <v>1.0</v>
      </c>
      <c r="I3925" s="60">
        <v>0.0</v>
      </c>
      <c r="J3925" s="59">
        <v>1.0</v>
      </c>
      <c r="K3925" s="61">
        <f t="shared" si="1"/>
        <v>1</v>
      </c>
      <c r="L3925" s="62">
        <f t="shared" si="2"/>
        <v>1</v>
      </c>
    </row>
    <row r="3926">
      <c r="A3926" s="58">
        <v>45870.0</v>
      </c>
      <c r="B3926" s="24" t="s">
        <v>3216</v>
      </c>
      <c r="C3926" s="24" t="s">
        <v>6796</v>
      </c>
      <c r="D3926" s="59">
        <v>1.0</v>
      </c>
      <c r="E3926" s="59">
        <v>29.0</v>
      </c>
      <c r="F3926" s="59">
        <v>0.0</v>
      </c>
      <c r="G3926" s="60">
        <v>29.0</v>
      </c>
      <c r="H3926" s="60">
        <v>0.93103448275862</v>
      </c>
      <c r="I3926" s="60">
        <v>69.4922724827586</v>
      </c>
      <c r="J3926" s="59">
        <v>31.0</v>
      </c>
      <c r="K3926" s="61">
        <f t="shared" si="1"/>
        <v>0</v>
      </c>
      <c r="L3926" s="62">
        <f t="shared" si="2"/>
        <v>1.068965517</v>
      </c>
    </row>
    <row r="3927">
      <c r="A3927" s="58">
        <v>45870.0</v>
      </c>
      <c r="B3927" s="24" t="s">
        <v>6794</v>
      </c>
      <c r="C3927" s="24" t="s">
        <v>6796</v>
      </c>
      <c r="D3927" s="59">
        <v>1.0</v>
      </c>
      <c r="E3927" s="59">
        <v>1.0</v>
      </c>
      <c r="F3927" s="59">
        <v>0.0</v>
      </c>
      <c r="G3927" s="60">
        <v>1.0</v>
      </c>
      <c r="H3927" s="60">
        <v>1.0</v>
      </c>
      <c r="I3927" s="60">
        <v>4.729212</v>
      </c>
      <c r="J3927" s="59">
        <v>1.0</v>
      </c>
      <c r="K3927" s="61">
        <f t="shared" si="1"/>
        <v>0</v>
      </c>
      <c r="L3927" s="62">
        <f t="shared" si="2"/>
        <v>1</v>
      </c>
    </row>
    <row r="3928">
      <c r="A3928" s="58">
        <v>45870.0</v>
      </c>
      <c r="B3928" s="24" t="s">
        <v>6789</v>
      </c>
      <c r="C3928" s="24" t="s">
        <v>7080</v>
      </c>
      <c r="D3928" s="59">
        <v>1.0</v>
      </c>
      <c r="E3928" s="59">
        <v>1.0</v>
      </c>
      <c r="F3928" s="59">
        <v>0.0</v>
      </c>
      <c r="G3928" s="60">
        <v>1.0</v>
      </c>
      <c r="H3928" s="60">
        <v>0.0</v>
      </c>
      <c r="I3928" s="60">
        <v>1455.750432</v>
      </c>
      <c r="J3928" s="59">
        <v>7.0</v>
      </c>
      <c r="K3928" s="61">
        <f t="shared" si="1"/>
        <v>0</v>
      </c>
      <c r="L3928" s="62">
        <f t="shared" si="2"/>
        <v>7</v>
      </c>
    </row>
    <row r="3929">
      <c r="A3929" s="58">
        <v>45870.0</v>
      </c>
      <c r="B3929" s="24" t="s">
        <v>6787</v>
      </c>
      <c r="C3929" s="24" t="s">
        <v>7382</v>
      </c>
      <c r="D3929" s="59">
        <v>1.0</v>
      </c>
      <c r="E3929" s="59">
        <v>1.0</v>
      </c>
      <c r="F3929" s="59">
        <v>1.0</v>
      </c>
      <c r="G3929" s="60">
        <v>1.0</v>
      </c>
      <c r="H3929" s="60">
        <v>0.0</v>
      </c>
      <c r="I3929" s="60">
        <v>97.195095</v>
      </c>
      <c r="J3929" s="59">
        <v>1.0</v>
      </c>
      <c r="K3929" s="61">
        <f t="shared" si="1"/>
        <v>1</v>
      </c>
      <c r="L3929" s="62">
        <f t="shared" si="2"/>
        <v>1</v>
      </c>
    </row>
    <row r="3930">
      <c r="A3930" s="58">
        <v>45870.0</v>
      </c>
      <c r="B3930" s="24" t="s">
        <v>6787</v>
      </c>
      <c r="C3930" s="24" t="s">
        <v>7008</v>
      </c>
      <c r="D3930" s="59">
        <v>1.0</v>
      </c>
      <c r="E3930" s="59">
        <v>1.0</v>
      </c>
      <c r="F3930" s="59">
        <v>1.0</v>
      </c>
      <c r="G3930" s="60">
        <v>1.0</v>
      </c>
      <c r="H3930" s="60">
        <v>1.0</v>
      </c>
      <c r="I3930" s="60">
        <v>0.0</v>
      </c>
      <c r="J3930" s="59">
        <v>1.0</v>
      </c>
      <c r="K3930" s="61">
        <f t="shared" si="1"/>
        <v>1</v>
      </c>
      <c r="L3930" s="62">
        <f t="shared" si="2"/>
        <v>1</v>
      </c>
    </row>
    <row r="3931">
      <c r="A3931" s="58">
        <v>45870.0</v>
      </c>
      <c r="B3931" s="24" t="s">
        <v>6787</v>
      </c>
      <c r="C3931" s="24" t="s">
        <v>7009</v>
      </c>
      <c r="D3931" s="59">
        <v>1.0</v>
      </c>
      <c r="E3931" s="59">
        <v>1.0</v>
      </c>
      <c r="F3931" s="59">
        <v>1.0</v>
      </c>
      <c r="G3931" s="60">
        <v>1.0</v>
      </c>
      <c r="H3931" s="60">
        <v>1.0</v>
      </c>
      <c r="I3931" s="60">
        <v>0.0</v>
      </c>
      <c r="J3931" s="59">
        <v>1.0</v>
      </c>
      <c r="K3931" s="61">
        <f t="shared" si="1"/>
        <v>1</v>
      </c>
      <c r="L3931" s="62">
        <f t="shared" si="2"/>
        <v>1</v>
      </c>
    </row>
    <row r="3932">
      <c r="A3932" s="58">
        <v>45870.0</v>
      </c>
      <c r="B3932" s="24" t="s">
        <v>6787</v>
      </c>
      <c r="C3932" s="24" t="s">
        <v>7125</v>
      </c>
      <c r="D3932" s="59">
        <v>1.0</v>
      </c>
      <c r="E3932" s="59">
        <v>1.0</v>
      </c>
      <c r="F3932" s="59">
        <v>1.0</v>
      </c>
      <c r="G3932" s="60">
        <v>1.0</v>
      </c>
      <c r="H3932" s="60">
        <v>1.0</v>
      </c>
      <c r="I3932" s="60">
        <v>0.0</v>
      </c>
      <c r="J3932" s="59">
        <v>1.0</v>
      </c>
      <c r="K3932" s="61">
        <f t="shared" si="1"/>
        <v>1</v>
      </c>
      <c r="L3932" s="62">
        <f t="shared" si="2"/>
        <v>1</v>
      </c>
    </row>
    <row r="3933">
      <c r="A3933" s="58">
        <v>45870.0</v>
      </c>
      <c r="B3933" s="24" t="s">
        <v>6789</v>
      </c>
      <c r="C3933" s="24" t="s">
        <v>7125</v>
      </c>
      <c r="D3933" s="59">
        <v>1.0</v>
      </c>
      <c r="E3933" s="59">
        <v>6.0</v>
      </c>
      <c r="F3933" s="59">
        <v>0.0</v>
      </c>
      <c r="G3933" s="60">
        <v>6.0</v>
      </c>
      <c r="H3933" s="60">
        <v>0.166666666666666</v>
      </c>
      <c r="I3933" s="60">
        <v>236.814052833333</v>
      </c>
      <c r="J3933" s="59">
        <v>10.0</v>
      </c>
      <c r="K3933" s="61">
        <f t="shared" si="1"/>
        <v>0</v>
      </c>
      <c r="L3933" s="62">
        <f t="shared" si="2"/>
        <v>1.666666667</v>
      </c>
    </row>
    <row r="3934">
      <c r="A3934" s="58">
        <v>45870.0</v>
      </c>
      <c r="B3934" s="24" t="s">
        <v>6787</v>
      </c>
      <c r="C3934" s="24" t="s">
        <v>7041</v>
      </c>
      <c r="D3934" s="59">
        <v>1.0</v>
      </c>
      <c r="E3934" s="59">
        <v>1.0</v>
      </c>
      <c r="F3934" s="59">
        <v>1.0</v>
      </c>
      <c r="G3934" s="60">
        <v>1.0</v>
      </c>
      <c r="H3934" s="60">
        <v>1.0</v>
      </c>
      <c r="I3934" s="60">
        <v>0.0</v>
      </c>
      <c r="J3934" s="59">
        <v>1.0</v>
      </c>
      <c r="K3934" s="61">
        <f t="shared" si="1"/>
        <v>1</v>
      </c>
      <c r="L3934" s="62">
        <f t="shared" si="2"/>
        <v>1</v>
      </c>
    </row>
    <row r="3935">
      <c r="A3935" s="58">
        <v>45870.0</v>
      </c>
      <c r="B3935" s="24" t="s">
        <v>6789</v>
      </c>
      <c r="C3935" s="24" t="s">
        <v>7041</v>
      </c>
      <c r="D3935" s="59">
        <v>1.0</v>
      </c>
      <c r="E3935" s="59">
        <v>1.0</v>
      </c>
      <c r="F3935" s="59">
        <v>0.0</v>
      </c>
      <c r="G3935" s="60">
        <v>0.0</v>
      </c>
      <c r="H3935" s="60">
        <v>1.0</v>
      </c>
      <c r="I3935" s="60">
        <v>0.0</v>
      </c>
      <c r="J3935" s="59">
        <v>1.0</v>
      </c>
      <c r="K3935" s="61">
        <f t="shared" si="1"/>
        <v>0</v>
      </c>
      <c r="L3935" s="62">
        <f t="shared" si="2"/>
        <v>1</v>
      </c>
    </row>
    <row r="3936">
      <c r="A3936" s="58">
        <v>45870.0</v>
      </c>
      <c r="B3936" s="24" t="s">
        <v>155</v>
      </c>
      <c r="C3936" s="24" t="s">
        <v>7041</v>
      </c>
      <c r="D3936" s="59">
        <v>1.0</v>
      </c>
      <c r="E3936" s="59">
        <v>1.0</v>
      </c>
      <c r="F3936" s="59">
        <v>0.0</v>
      </c>
      <c r="G3936" s="60">
        <v>1.0</v>
      </c>
      <c r="H3936" s="60">
        <v>0.0</v>
      </c>
      <c r="I3936" s="60">
        <v>1332.926316</v>
      </c>
      <c r="J3936" s="59">
        <v>1.0</v>
      </c>
      <c r="K3936" s="61">
        <f t="shared" si="1"/>
        <v>0</v>
      </c>
      <c r="L3936" s="62">
        <f t="shared" si="2"/>
        <v>1</v>
      </c>
    </row>
    <row r="3937">
      <c r="A3937" s="58">
        <v>45870.0</v>
      </c>
      <c r="B3937" s="24" t="s">
        <v>6789</v>
      </c>
      <c r="C3937" s="24" t="s">
        <v>7083</v>
      </c>
      <c r="D3937" s="59">
        <v>1.0</v>
      </c>
      <c r="E3937" s="59">
        <v>1.0</v>
      </c>
      <c r="F3937" s="59">
        <v>0.0</v>
      </c>
      <c r="G3937" s="60">
        <v>1.0</v>
      </c>
      <c r="H3937" s="60">
        <v>1.0</v>
      </c>
      <c r="I3937" s="60">
        <v>5.841132</v>
      </c>
      <c r="J3937" s="59">
        <v>1.0</v>
      </c>
      <c r="K3937" s="61">
        <f t="shared" si="1"/>
        <v>0</v>
      </c>
      <c r="L3937" s="62">
        <f t="shared" si="2"/>
        <v>1</v>
      </c>
    </row>
    <row r="3938">
      <c r="A3938" s="58">
        <v>45870.0</v>
      </c>
      <c r="B3938" s="24" t="s">
        <v>6794</v>
      </c>
      <c r="C3938" s="24" t="s">
        <v>7083</v>
      </c>
      <c r="D3938" s="59">
        <v>1.0</v>
      </c>
      <c r="E3938" s="59">
        <v>1.0</v>
      </c>
      <c r="F3938" s="59">
        <v>1.0</v>
      </c>
      <c r="G3938" s="60">
        <v>1.0</v>
      </c>
      <c r="H3938" s="60">
        <v>0.0</v>
      </c>
      <c r="I3938" s="60">
        <v>21.886307</v>
      </c>
      <c r="J3938" s="59">
        <v>6.0</v>
      </c>
      <c r="K3938" s="61">
        <f t="shared" si="1"/>
        <v>1</v>
      </c>
      <c r="L3938" s="62">
        <f t="shared" si="2"/>
        <v>6</v>
      </c>
    </row>
    <row r="3939">
      <c r="A3939" s="58">
        <v>45870.0</v>
      </c>
      <c r="B3939" s="24" t="s">
        <v>155</v>
      </c>
      <c r="C3939" s="24" t="s">
        <v>7083</v>
      </c>
      <c r="D3939" s="59">
        <v>1.0</v>
      </c>
      <c r="E3939" s="59">
        <v>1.0</v>
      </c>
      <c r="F3939" s="59">
        <v>0.0</v>
      </c>
      <c r="G3939" s="60">
        <v>1.0</v>
      </c>
      <c r="H3939" s="60">
        <v>0.0</v>
      </c>
      <c r="I3939" s="60">
        <v>580.308058</v>
      </c>
      <c r="J3939" s="59">
        <v>1.0</v>
      </c>
      <c r="K3939" s="61">
        <f t="shared" si="1"/>
        <v>0</v>
      </c>
      <c r="L3939" s="62">
        <f t="shared" si="2"/>
        <v>1</v>
      </c>
    </row>
    <row r="3940">
      <c r="A3940" s="58">
        <v>45870.0</v>
      </c>
      <c r="B3940" s="24" t="s">
        <v>6794</v>
      </c>
      <c r="C3940" s="24" t="s">
        <v>7010</v>
      </c>
      <c r="D3940" s="59">
        <v>1.0</v>
      </c>
      <c r="E3940" s="59">
        <v>1.0</v>
      </c>
      <c r="F3940" s="59">
        <v>0.0</v>
      </c>
      <c r="G3940" s="60">
        <v>1.0</v>
      </c>
      <c r="H3940" s="60">
        <v>0.0</v>
      </c>
      <c r="I3940" s="60">
        <v>706.747519</v>
      </c>
      <c r="J3940" s="59">
        <v>1.0</v>
      </c>
      <c r="K3940" s="61">
        <f t="shared" si="1"/>
        <v>0</v>
      </c>
      <c r="L3940" s="62">
        <f t="shared" si="2"/>
        <v>1</v>
      </c>
    </row>
    <row r="3941">
      <c r="A3941" s="58">
        <v>45870.0</v>
      </c>
      <c r="B3941" s="24" t="s">
        <v>6787</v>
      </c>
      <c r="C3941" s="24" t="s">
        <v>7042</v>
      </c>
      <c r="D3941" s="59">
        <v>1.0</v>
      </c>
      <c r="E3941" s="59">
        <v>1.0</v>
      </c>
      <c r="F3941" s="59">
        <v>0.0</v>
      </c>
      <c r="G3941" s="60">
        <v>1.0</v>
      </c>
      <c r="H3941" s="60">
        <v>0.0</v>
      </c>
      <c r="I3941" s="60">
        <v>127.087668</v>
      </c>
      <c r="J3941" s="59">
        <v>6.0</v>
      </c>
      <c r="K3941" s="61">
        <f t="shared" si="1"/>
        <v>0</v>
      </c>
      <c r="L3941" s="62">
        <f t="shared" si="2"/>
        <v>6</v>
      </c>
    </row>
    <row r="3942">
      <c r="A3942" s="58">
        <v>45870.0</v>
      </c>
      <c r="B3942" s="24" t="s">
        <v>6787</v>
      </c>
      <c r="C3942" s="24" t="s">
        <v>7383</v>
      </c>
      <c r="D3942" s="59">
        <v>1.0</v>
      </c>
      <c r="E3942" s="59">
        <v>1.0</v>
      </c>
      <c r="F3942" s="59">
        <v>1.0</v>
      </c>
      <c r="G3942" s="60">
        <v>1.0</v>
      </c>
      <c r="H3942" s="60">
        <v>0.0</v>
      </c>
      <c r="I3942" s="60">
        <v>110.229152</v>
      </c>
      <c r="J3942" s="59">
        <v>1.0</v>
      </c>
      <c r="K3942" s="61">
        <f t="shared" si="1"/>
        <v>1</v>
      </c>
      <c r="L3942" s="62">
        <f t="shared" si="2"/>
        <v>1</v>
      </c>
    </row>
    <row r="3943">
      <c r="A3943" s="58">
        <v>45870.0</v>
      </c>
      <c r="B3943" s="24" t="s">
        <v>6787</v>
      </c>
      <c r="C3943" s="24" t="s">
        <v>7086</v>
      </c>
      <c r="D3943" s="59">
        <v>1.0</v>
      </c>
      <c r="E3943" s="59">
        <v>1.0</v>
      </c>
      <c r="F3943" s="59">
        <v>1.0</v>
      </c>
      <c r="G3943" s="60">
        <v>1.0</v>
      </c>
      <c r="H3943" s="60">
        <v>1.0</v>
      </c>
      <c r="I3943" s="60">
        <v>0.0</v>
      </c>
      <c r="J3943" s="59">
        <v>1.0</v>
      </c>
      <c r="K3943" s="61">
        <f t="shared" si="1"/>
        <v>1</v>
      </c>
      <c r="L3943" s="62">
        <f t="shared" si="2"/>
        <v>1</v>
      </c>
    </row>
    <row r="3944">
      <c r="A3944" s="58">
        <v>45870.0</v>
      </c>
      <c r="B3944" s="24" t="s">
        <v>155</v>
      </c>
      <c r="C3944" s="24" t="s">
        <v>6907</v>
      </c>
      <c r="D3944" s="59">
        <v>1.0</v>
      </c>
      <c r="E3944" s="59">
        <v>2.0</v>
      </c>
      <c r="F3944" s="59">
        <v>0.0</v>
      </c>
      <c r="G3944" s="60">
        <v>2.0</v>
      </c>
      <c r="H3944" s="60">
        <v>0.0</v>
      </c>
      <c r="I3944" s="60">
        <v>155.3237735</v>
      </c>
      <c r="J3944" s="59">
        <v>2.0</v>
      </c>
      <c r="K3944" s="61">
        <f t="shared" si="1"/>
        <v>0</v>
      </c>
      <c r="L3944" s="62">
        <f t="shared" si="2"/>
        <v>1</v>
      </c>
    </row>
    <row r="3945">
      <c r="A3945" s="58">
        <v>45870.0</v>
      </c>
      <c r="B3945" s="24" t="s">
        <v>6791</v>
      </c>
      <c r="C3945" s="24" t="s">
        <v>6808</v>
      </c>
      <c r="D3945" s="59">
        <v>1.0</v>
      </c>
      <c r="E3945" s="59">
        <v>1.0</v>
      </c>
      <c r="F3945" s="59">
        <v>1.0</v>
      </c>
      <c r="G3945" s="60">
        <v>1.0</v>
      </c>
      <c r="H3945" s="60">
        <v>1.0</v>
      </c>
      <c r="I3945" s="60">
        <v>0.0</v>
      </c>
      <c r="J3945" s="59">
        <v>1.0</v>
      </c>
      <c r="K3945" s="61">
        <f t="shared" si="1"/>
        <v>1</v>
      </c>
      <c r="L3945" s="62">
        <f t="shared" si="2"/>
        <v>1</v>
      </c>
    </row>
    <row r="3946">
      <c r="A3946" s="58">
        <v>45870.0</v>
      </c>
      <c r="B3946" s="24" t="s">
        <v>6789</v>
      </c>
      <c r="C3946" s="24" t="s">
        <v>7087</v>
      </c>
      <c r="D3946" s="59">
        <v>1.0</v>
      </c>
      <c r="E3946" s="59">
        <v>1.0</v>
      </c>
      <c r="F3946" s="59">
        <v>0.0</v>
      </c>
      <c r="G3946" s="60">
        <v>1.0</v>
      </c>
      <c r="H3946" s="60">
        <v>0.0</v>
      </c>
      <c r="I3946" s="60">
        <v>73.700788</v>
      </c>
      <c r="J3946" s="59">
        <v>1.0</v>
      </c>
      <c r="K3946" s="61">
        <f t="shared" si="1"/>
        <v>0</v>
      </c>
      <c r="L3946" s="62">
        <f t="shared" si="2"/>
        <v>1</v>
      </c>
    </row>
    <row r="3947">
      <c r="A3947" s="58">
        <v>45870.0</v>
      </c>
      <c r="B3947" s="24" t="s">
        <v>155</v>
      </c>
      <c r="C3947" s="24" t="s">
        <v>7087</v>
      </c>
      <c r="D3947" s="59">
        <v>1.0</v>
      </c>
      <c r="E3947" s="59">
        <v>3.0</v>
      </c>
      <c r="F3947" s="59">
        <v>0.0</v>
      </c>
      <c r="G3947" s="60">
        <v>3.0</v>
      </c>
      <c r="H3947" s="60">
        <v>0.0</v>
      </c>
      <c r="I3947" s="60">
        <v>20.970499</v>
      </c>
      <c r="J3947" s="59">
        <v>4.0</v>
      </c>
      <c r="K3947" s="61">
        <f t="shared" si="1"/>
        <v>0</v>
      </c>
      <c r="L3947" s="62">
        <f t="shared" si="2"/>
        <v>1.333333333</v>
      </c>
    </row>
    <row r="3948">
      <c r="A3948" s="58">
        <v>45870.0</v>
      </c>
      <c r="B3948" s="24" t="s">
        <v>6787</v>
      </c>
      <c r="C3948" s="24" t="s">
        <v>7035</v>
      </c>
      <c r="D3948" s="59">
        <v>1.0</v>
      </c>
      <c r="E3948" s="59">
        <v>1.0</v>
      </c>
      <c r="F3948" s="59">
        <v>1.0</v>
      </c>
      <c r="G3948" s="60">
        <v>1.0</v>
      </c>
      <c r="H3948" s="60">
        <v>1.0</v>
      </c>
      <c r="I3948" s="60">
        <v>0.0</v>
      </c>
      <c r="J3948" s="59">
        <v>1.0</v>
      </c>
      <c r="K3948" s="61">
        <f t="shared" si="1"/>
        <v>1</v>
      </c>
      <c r="L3948" s="62">
        <f t="shared" si="2"/>
        <v>1</v>
      </c>
    </row>
    <row r="3949">
      <c r="A3949" s="58">
        <v>45870.0</v>
      </c>
      <c r="B3949" s="24" t="s">
        <v>155</v>
      </c>
      <c r="C3949" s="24" t="s">
        <v>7035</v>
      </c>
      <c r="D3949" s="59">
        <v>1.0</v>
      </c>
      <c r="E3949" s="59">
        <v>1.0</v>
      </c>
      <c r="F3949" s="59">
        <v>1.0</v>
      </c>
      <c r="G3949" s="60">
        <v>1.0</v>
      </c>
      <c r="H3949" s="60">
        <v>0.0</v>
      </c>
      <c r="I3949" s="60">
        <v>11.880656</v>
      </c>
      <c r="J3949" s="59">
        <v>1.0</v>
      </c>
      <c r="K3949" s="61">
        <f t="shared" si="1"/>
        <v>1</v>
      </c>
      <c r="L3949" s="62">
        <f t="shared" si="2"/>
        <v>1</v>
      </c>
    </row>
    <row r="3950">
      <c r="A3950" s="58">
        <v>45870.0</v>
      </c>
      <c r="B3950" s="24" t="s">
        <v>6787</v>
      </c>
      <c r="C3950" s="24" t="s">
        <v>7026</v>
      </c>
      <c r="D3950" s="59">
        <v>1.0</v>
      </c>
      <c r="E3950" s="59">
        <v>1.0</v>
      </c>
      <c r="F3950" s="59">
        <v>1.0</v>
      </c>
      <c r="G3950" s="60">
        <v>1.0</v>
      </c>
      <c r="H3950" s="60">
        <v>1.0</v>
      </c>
      <c r="I3950" s="60">
        <v>0.0</v>
      </c>
      <c r="J3950" s="59">
        <v>1.0</v>
      </c>
      <c r="K3950" s="61">
        <f t="shared" si="1"/>
        <v>1</v>
      </c>
      <c r="L3950" s="62">
        <f t="shared" si="2"/>
        <v>1</v>
      </c>
    </row>
    <row r="3951">
      <c r="A3951" s="58">
        <v>45870.0</v>
      </c>
      <c r="B3951" s="24" t="s">
        <v>6787</v>
      </c>
      <c r="C3951" s="24" t="s">
        <v>7158</v>
      </c>
      <c r="D3951" s="59">
        <v>1.0</v>
      </c>
      <c r="E3951" s="59">
        <v>1.0</v>
      </c>
      <c r="F3951" s="59">
        <v>1.0</v>
      </c>
      <c r="G3951" s="60">
        <v>1.0</v>
      </c>
      <c r="H3951" s="60">
        <v>1.0</v>
      </c>
      <c r="I3951" s="60">
        <v>0.0</v>
      </c>
      <c r="J3951" s="59">
        <v>1.0</v>
      </c>
      <c r="K3951" s="61">
        <f t="shared" si="1"/>
        <v>1</v>
      </c>
      <c r="L3951" s="62">
        <f t="shared" si="2"/>
        <v>1</v>
      </c>
    </row>
    <row r="3952">
      <c r="A3952" s="58">
        <v>45870.0</v>
      </c>
      <c r="B3952" s="24" t="s">
        <v>6787</v>
      </c>
      <c r="C3952" s="24" t="s">
        <v>7088</v>
      </c>
      <c r="D3952" s="59">
        <v>1.0</v>
      </c>
      <c r="E3952" s="59">
        <v>1.0</v>
      </c>
      <c r="F3952" s="59">
        <v>1.0</v>
      </c>
      <c r="G3952" s="60">
        <v>1.0</v>
      </c>
      <c r="H3952" s="60">
        <v>1.0</v>
      </c>
      <c r="I3952" s="60">
        <v>0.0</v>
      </c>
      <c r="J3952" s="59">
        <v>1.0</v>
      </c>
      <c r="K3952" s="61">
        <f t="shared" si="1"/>
        <v>1</v>
      </c>
      <c r="L3952" s="62">
        <f t="shared" si="2"/>
        <v>1</v>
      </c>
    </row>
    <row r="3953">
      <c r="A3953" s="58">
        <v>45870.0</v>
      </c>
      <c r="B3953" s="24" t="s">
        <v>6787</v>
      </c>
      <c r="C3953" s="24" t="s">
        <v>7043</v>
      </c>
      <c r="D3953" s="59">
        <v>1.0</v>
      </c>
      <c r="E3953" s="59">
        <v>1.0</v>
      </c>
      <c r="F3953" s="59">
        <v>1.0</v>
      </c>
      <c r="G3953" s="60">
        <v>1.0</v>
      </c>
      <c r="H3953" s="60">
        <v>1.0</v>
      </c>
      <c r="I3953" s="60">
        <v>0.0</v>
      </c>
      <c r="J3953" s="59">
        <v>1.0</v>
      </c>
      <c r="K3953" s="61">
        <f t="shared" si="1"/>
        <v>1</v>
      </c>
      <c r="L3953" s="62">
        <f t="shared" si="2"/>
        <v>1</v>
      </c>
    </row>
    <row r="3954">
      <c r="A3954" s="58">
        <v>45870.0</v>
      </c>
      <c r="B3954" s="24" t="s">
        <v>6794</v>
      </c>
      <c r="C3954" s="24" t="s">
        <v>7043</v>
      </c>
      <c r="D3954" s="59">
        <v>1.0</v>
      </c>
      <c r="E3954" s="59">
        <v>1.0</v>
      </c>
      <c r="F3954" s="59">
        <v>1.0</v>
      </c>
      <c r="G3954" s="60">
        <v>1.0</v>
      </c>
      <c r="H3954" s="60">
        <v>1.0</v>
      </c>
      <c r="I3954" s="60">
        <v>0.0</v>
      </c>
      <c r="J3954" s="59">
        <v>1.0</v>
      </c>
      <c r="K3954" s="61">
        <f t="shared" si="1"/>
        <v>1</v>
      </c>
      <c r="L3954" s="62">
        <f t="shared" si="2"/>
        <v>1</v>
      </c>
    </row>
    <row r="3955">
      <c r="A3955" s="58">
        <v>45870.0</v>
      </c>
      <c r="B3955" s="24" t="s">
        <v>6787</v>
      </c>
      <c r="C3955" s="24" t="s">
        <v>7160</v>
      </c>
      <c r="D3955" s="59">
        <v>1.0</v>
      </c>
      <c r="E3955" s="59">
        <v>1.0</v>
      </c>
      <c r="F3955" s="59">
        <v>1.0</v>
      </c>
      <c r="G3955" s="60">
        <v>1.0</v>
      </c>
      <c r="H3955" s="60">
        <v>1.0</v>
      </c>
      <c r="I3955" s="60">
        <v>0.0</v>
      </c>
      <c r="J3955" s="59">
        <v>1.0</v>
      </c>
      <c r="K3955" s="61">
        <f t="shared" si="1"/>
        <v>1</v>
      </c>
      <c r="L3955" s="62">
        <f t="shared" si="2"/>
        <v>1</v>
      </c>
    </row>
    <row r="3956">
      <c r="A3956" s="58">
        <v>45870.0</v>
      </c>
      <c r="B3956" s="24" t="s">
        <v>6787</v>
      </c>
      <c r="C3956" s="24" t="s">
        <v>7022</v>
      </c>
      <c r="D3956" s="59">
        <v>1.0</v>
      </c>
      <c r="E3956" s="59">
        <v>1.0</v>
      </c>
      <c r="F3956" s="59">
        <v>1.0</v>
      </c>
      <c r="G3956" s="60">
        <v>1.0</v>
      </c>
      <c r="H3956" s="60">
        <v>1.0</v>
      </c>
      <c r="I3956" s="60">
        <v>0.0</v>
      </c>
      <c r="J3956" s="59">
        <v>1.0</v>
      </c>
      <c r="K3956" s="61">
        <f t="shared" si="1"/>
        <v>1</v>
      </c>
      <c r="L3956" s="62">
        <f t="shared" si="2"/>
        <v>1</v>
      </c>
    </row>
    <row r="3957">
      <c r="A3957" s="58">
        <v>45870.0</v>
      </c>
      <c r="B3957" s="24" t="s">
        <v>6787</v>
      </c>
      <c r="C3957" s="24" t="s">
        <v>7135</v>
      </c>
      <c r="D3957" s="59">
        <v>1.0</v>
      </c>
      <c r="E3957" s="59">
        <v>1.0</v>
      </c>
      <c r="F3957" s="59">
        <v>1.0</v>
      </c>
      <c r="G3957" s="60">
        <v>1.0</v>
      </c>
      <c r="H3957" s="60">
        <v>1.0</v>
      </c>
      <c r="I3957" s="60">
        <v>0.0</v>
      </c>
      <c r="J3957" s="59">
        <v>1.0</v>
      </c>
      <c r="K3957" s="61">
        <f t="shared" si="1"/>
        <v>1</v>
      </c>
      <c r="L3957" s="62">
        <f t="shared" si="2"/>
        <v>1</v>
      </c>
    </row>
    <row r="3958">
      <c r="A3958" s="58">
        <v>45870.0</v>
      </c>
      <c r="B3958" s="24" t="s">
        <v>6787</v>
      </c>
      <c r="C3958" s="24" t="s">
        <v>7161</v>
      </c>
      <c r="D3958" s="59">
        <v>1.0</v>
      </c>
      <c r="E3958" s="59">
        <v>1.0</v>
      </c>
      <c r="F3958" s="59">
        <v>1.0</v>
      </c>
      <c r="G3958" s="60">
        <v>1.0</v>
      </c>
      <c r="H3958" s="60">
        <v>1.0</v>
      </c>
      <c r="I3958" s="60">
        <v>0.0</v>
      </c>
      <c r="J3958" s="59">
        <v>1.0</v>
      </c>
      <c r="K3958" s="61">
        <f t="shared" si="1"/>
        <v>1</v>
      </c>
      <c r="L3958" s="62">
        <f t="shared" si="2"/>
        <v>1</v>
      </c>
    </row>
    <row r="3959">
      <c r="A3959" s="58">
        <v>45870.0</v>
      </c>
      <c r="B3959" s="24" t="s">
        <v>6789</v>
      </c>
      <c r="C3959" s="24" t="s">
        <v>7162</v>
      </c>
      <c r="D3959" s="59">
        <v>1.0</v>
      </c>
      <c r="E3959" s="59">
        <v>1.0</v>
      </c>
      <c r="F3959" s="59">
        <v>1.0</v>
      </c>
      <c r="G3959" s="60">
        <v>1.0</v>
      </c>
      <c r="H3959" s="60">
        <v>0.0</v>
      </c>
      <c r="I3959" s="60">
        <v>74.030558</v>
      </c>
      <c r="J3959" s="59">
        <v>1.0</v>
      </c>
      <c r="K3959" s="61">
        <f t="shared" si="1"/>
        <v>1</v>
      </c>
      <c r="L3959" s="62">
        <f t="shared" si="2"/>
        <v>1</v>
      </c>
    </row>
    <row r="3960">
      <c r="A3960" s="58">
        <v>45870.0</v>
      </c>
      <c r="B3960" s="24" t="s">
        <v>6787</v>
      </c>
      <c r="C3960" s="24" t="s">
        <v>7191</v>
      </c>
      <c r="D3960" s="59">
        <v>1.0</v>
      </c>
      <c r="E3960" s="59">
        <v>1.0</v>
      </c>
      <c r="F3960" s="59">
        <v>1.0</v>
      </c>
      <c r="G3960" s="60">
        <v>1.0</v>
      </c>
      <c r="H3960" s="60">
        <v>1.0</v>
      </c>
      <c r="I3960" s="60">
        <v>0.0</v>
      </c>
      <c r="J3960" s="59">
        <v>1.0</v>
      </c>
      <c r="K3960" s="61">
        <f t="shared" si="1"/>
        <v>1</v>
      </c>
      <c r="L3960" s="62">
        <f t="shared" si="2"/>
        <v>1</v>
      </c>
    </row>
    <row r="3961">
      <c r="A3961" s="58">
        <v>45870.0</v>
      </c>
      <c r="B3961" s="24" t="s">
        <v>6789</v>
      </c>
      <c r="C3961" s="24" t="s">
        <v>7191</v>
      </c>
      <c r="D3961" s="59">
        <v>1.0</v>
      </c>
      <c r="E3961" s="59">
        <v>1.0</v>
      </c>
      <c r="F3961" s="59">
        <v>1.0</v>
      </c>
      <c r="G3961" s="60">
        <v>1.0</v>
      </c>
      <c r="H3961" s="60">
        <v>0.0</v>
      </c>
      <c r="I3961" s="60">
        <v>362.175377</v>
      </c>
      <c r="J3961" s="59">
        <v>3.0</v>
      </c>
      <c r="K3961" s="61">
        <f t="shared" si="1"/>
        <v>1</v>
      </c>
      <c r="L3961" s="62">
        <f t="shared" si="2"/>
        <v>3</v>
      </c>
    </row>
    <row r="3962">
      <c r="A3962" s="58">
        <v>45870.0</v>
      </c>
      <c r="B3962" s="24" t="s">
        <v>6787</v>
      </c>
      <c r="C3962" s="24" t="s">
        <v>7130</v>
      </c>
      <c r="D3962" s="59">
        <v>1.0</v>
      </c>
      <c r="E3962" s="59">
        <v>1.0</v>
      </c>
      <c r="F3962" s="59">
        <v>1.0</v>
      </c>
      <c r="G3962" s="60">
        <v>1.0</v>
      </c>
      <c r="H3962" s="60">
        <v>0.0</v>
      </c>
      <c r="I3962" s="60">
        <v>28.038211</v>
      </c>
      <c r="J3962" s="59">
        <v>1.0</v>
      </c>
      <c r="K3962" s="61">
        <f t="shared" si="1"/>
        <v>1</v>
      </c>
      <c r="L3962" s="62">
        <f t="shared" si="2"/>
        <v>1</v>
      </c>
    </row>
    <row r="3963">
      <c r="A3963" s="58">
        <v>45870.0</v>
      </c>
      <c r="B3963" s="24" t="s">
        <v>6787</v>
      </c>
      <c r="C3963" s="24" t="s">
        <v>7131</v>
      </c>
      <c r="D3963" s="59">
        <v>1.0</v>
      </c>
      <c r="E3963" s="59">
        <v>1.0</v>
      </c>
      <c r="F3963" s="59">
        <v>1.0</v>
      </c>
      <c r="G3963" s="60">
        <v>1.0</v>
      </c>
      <c r="H3963" s="60">
        <v>1.0</v>
      </c>
      <c r="I3963" s="60">
        <v>0.0</v>
      </c>
      <c r="J3963" s="59">
        <v>1.0</v>
      </c>
      <c r="K3963" s="61">
        <f t="shared" si="1"/>
        <v>1</v>
      </c>
      <c r="L3963" s="62">
        <f t="shared" si="2"/>
        <v>1</v>
      </c>
    </row>
    <row r="3964">
      <c r="A3964" s="58">
        <v>45870.0</v>
      </c>
      <c r="B3964" s="24" t="s">
        <v>6789</v>
      </c>
      <c r="C3964" s="24" t="s">
        <v>7094</v>
      </c>
      <c r="D3964" s="59">
        <v>1.0</v>
      </c>
      <c r="E3964" s="59">
        <v>1.0</v>
      </c>
      <c r="F3964" s="59">
        <v>1.0</v>
      </c>
      <c r="G3964" s="60">
        <v>1.0</v>
      </c>
      <c r="H3964" s="60">
        <v>0.0</v>
      </c>
      <c r="I3964" s="60">
        <v>120.675809</v>
      </c>
      <c r="J3964" s="59">
        <v>1.0</v>
      </c>
      <c r="K3964" s="61">
        <f t="shared" si="1"/>
        <v>1</v>
      </c>
      <c r="L3964" s="62">
        <f t="shared" si="2"/>
        <v>1</v>
      </c>
    </row>
    <row r="3965">
      <c r="A3965" s="58">
        <v>45870.0</v>
      </c>
      <c r="B3965" s="24" t="s">
        <v>6789</v>
      </c>
      <c r="C3965" s="24" t="s">
        <v>7166</v>
      </c>
      <c r="D3965" s="59">
        <v>1.0</v>
      </c>
      <c r="E3965" s="59">
        <v>1.0</v>
      </c>
      <c r="F3965" s="59">
        <v>1.0</v>
      </c>
      <c r="G3965" s="60">
        <v>1.0</v>
      </c>
      <c r="H3965" s="60">
        <v>0.0</v>
      </c>
      <c r="I3965" s="60">
        <v>42.966497</v>
      </c>
      <c r="J3965" s="59">
        <v>1.0</v>
      </c>
      <c r="K3965" s="61">
        <f t="shared" si="1"/>
        <v>1</v>
      </c>
      <c r="L3965" s="62">
        <f t="shared" si="2"/>
        <v>1</v>
      </c>
    </row>
    <row r="3966">
      <c r="A3966" s="58">
        <v>45870.0</v>
      </c>
      <c r="B3966" s="24" t="s">
        <v>6789</v>
      </c>
      <c r="C3966" s="24" t="s">
        <v>7095</v>
      </c>
      <c r="D3966" s="59">
        <v>1.0</v>
      </c>
      <c r="E3966" s="59">
        <v>2.0</v>
      </c>
      <c r="F3966" s="59">
        <v>1.0</v>
      </c>
      <c r="G3966" s="60">
        <v>2.0</v>
      </c>
      <c r="H3966" s="60">
        <v>0.0</v>
      </c>
      <c r="I3966" s="60">
        <v>475.9058965</v>
      </c>
      <c r="J3966" s="59">
        <v>3.0</v>
      </c>
      <c r="K3966" s="61">
        <f t="shared" si="1"/>
        <v>0.5</v>
      </c>
      <c r="L3966" s="62">
        <f t="shared" si="2"/>
        <v>1.5</v>
      </c>
    </row>
    <row r="3967">
      <c r="A3967" s="58">
        <v>45870.0</v>
      </c>
      <c r="B3967" s="24" t="s">
        <v>6787</v>
      </c>
      <c r="C3967" s="24" t="s">
        <v>7185</v>
      </c>
      <c r="D3967" s="59">
        <v>1.0</v>
      </c>
      <c r="E3967" s="59">
        <v>1.0</v>
      </c>
      <c r="F3967" s="59">
        <v>1.0</v>
      </c>
      <c r="G3967" s="60">
        <v>1.0</v>
      </c>
      <c r="H3967" s="60">
        <v>1.0</v>
      </c>
      <c r="I3967" s="60">
        <v>0.0</v>
      </c>
      <c r="J3967" s="59">
        <v>1.0</v>
      </c>
      <c r="K3967" s="61">
        <f t="shared" si="1"/>
        <v>1</v>
      </c>
      <c r="L3967" s="62">
        <f t="shared" si="2"/>
        <v>1</v>
      </c>
    </row>
    <row r="3968">
      <c r="A3968" s="58">
        <v>45870.0</v>
      </c>
      <c r="B3968" s="24" t="s">
        <v>6787</v>
      </c>
      <c r="C3968" s="24" t="s">
        <v>7096</v>
      </c>
      <c r="D3968" s="59">
        <v>1.0</v>
      </c>
      <c r="E3968" s="59">
        <v>1.0</v>
      </c>
      <c r="F3968" s="59">
        <v>1.0</v>
      </c>
      <c r="G3968" s="60">
        <v>1.0</v>
      </c>
      <c r="H3968" s="60">
        <v>1.0</v>
      </c>
      <c r="I3968" s="60">
        <v>0.0</v>
      </c>
      <c r="J3968" s="59">
        <v>1.0</v>
      </c>
      <c r="K3968" s="61">
        <f t="shared" si="1"/>
        <v>1</v>
      </c>
      <c r="L3968" s="62">
        <f t="shared" si="2"/>
        <v>1</v>
      </c>
    </row>
    <row r="3969">
      <c r="A3969" s="58">
        <v>45870.0</v>
      </c>
      <c r="B3969" s="24" t="s">
        <v>6787</v>
      </c>
      <c r="C3969" s="24" t="s">
        <v>7186</v>
      </c>
      <c r="D3969" s="59">
        <v>1.0</v>
      </c>
      <c r="E3969" s="59">
        <v>1.0</v>
      </c>
      <c r="F3969" s="59">
        <v>1.0</v>
      </c>
      <c r="G3969" s="60">
        <v>1.0</v>
      </c>
      <c r="H3969" s="60">
        <v>1.0</v>
      </c>
      <c r="I3969" s="60">
        <v>0.0</v>
      </c>
      <c r="J3969" s="59">
        <v>1.0</v>
      </c>
      <c r="K3969" s="61">
        <f t="shared" si="1"/>
        <v>1</v>
      </c>
      <c r="L3969" s="62">
        <f t="shared" si="2"/>
        <v>1</v>
      </c>
    </row>
    <row r="3970">
      <c r="A3970" s="58">
        <v>45870.0</v>
      </c>
      <c r="B3970" s="24" t="s">
        <v>6787</v>
      </c>
      <c r="C3970" s="24" t="s">
        <v>7137</v>
      </c>
      <c r="D3970" s="59">
        <v>1.0</v>
      </c>
      <c r="E3970" s="59">
        <v>1.0</v>
      </c>
      <c r="F3970" s="59">
        <v>1.0</v>
      </c>
      <c r="G3970" s="60">
        <v>1.0</v>
      </c>
      <c r="H3970" s="60">
        <v>1.0</v>
      </c>
      <c r="I3970" s="60">
        <v>0.0</v>
      </c>
      <c r="J3970" s="59">
        <v>1.0</v>
      </c>
      <c r="K3970" s="61">
        <f t="shared" si="1"/>
        <v>1</v>
      </c>
      <c r="L3970" s="62">
        <f t="shared" si="2"/>
        <v>1</v>
      </c>
    </row>
    <row r="3971">
      <c r="A3971" s="58">
        <v>45870.0</v>
      </c>
      <c r="B3971" s="24" t="s">
        <v>6787</v>
      </c>
      <c r="C3971" s="24" t="s">
        <v>7097</v>
      </c>
      <c r="D3971" s="59">
        <v>1.0</v>
      </c>
      <c r="E3971" s="59">
        <v>1.0</v>
      </c>
      <c r="F3971" s="59">
        <v>1.0</v>
      </c>
      <c r="G3971" s="60">
        <v>1.0</v>
      </c>
      <c r="H3971" s="60">
        <v>1.0</v>
      </c>
      <c r="I3971" s="60">
        <v>0.0</v>
      </c>
      <c r="J3971" s="59">
        <v>1.0</v>
      </c>
      <c r="K3971" s="61">
        <f t="shared" si="1"/>
        <v>1</v>
      </c>
      <c r="L3971" s="62">
        <f t="shared" si="2"/>
        <v>1</v>
      </c>
    </row>
    <row r="3972">
      <c r="A3972" s="58">
        <v>45870.0</v>
      </c>
      <c r="B3972" s="24" t="s">
        <v>6787</v>
      </c>
      <c r="C3972" s="24" t="s">
        <v>7098</v>
      </c>
      <c r="D3972" s="59">
        <v>1.0</v>
      </c>
      <c r="E3972" s="59">
        <v>1.0</v>
      </c>
      <c r="F3972" s="59">
        <v>1.0</v>
      </c>
      <c r="G3972" s="60">
        <v>1.0</v>
      </c>
      <c r="H3972" s="60">
        <v>1.0</v>
      </c>
      <c r="I3972" s="60">
        <v>0.0</v>
      </c>
      <c r="J3972" s="59">
        <v>1.0</v>
      </c>
      <c r="K3972" s="61">
        <f t="shared" si="1"/>
        <v>1</v>
      </c>
      <c r="L3972" s="62">
        <f t="shared" si="2"/>
        <v>1</v>
      </c>
    </row>
    <row r="3973">
      <c r="A3973" s="58">
        <v>45870.0</v>
      </c>
      <c r="B3973" s="24" t="s">
        <v>6789</v>
      </c>
      <c r="C3973" s="24" t="s">
        <v>7098</v>
      </c>
      <c r="D3973" s="59">
        <v>1.0</v>
      </c>
      <c r="E3973" s="59">
        <v>1.0</v>
      </c>
      <c r="F3973" s="59">
        <v>1.0</v>
      </c>
      <c r="G3973" s="60">
        <v>1.0</v>
      </c>
      <c r="H3973" s="60">
        <v>0.0</v>
      </c>
      <c r="I3973" s="60">
        <v>167.998893</v>
      </c>
      <c r="J3973" s="59">
        <v>1.0</v>
      </c>
      <c r="K3973" s="61">
        <f t="shared" si="1"/>
        <v>1</v>
      </c>
      <c r="L3973" s="62">
        <f t="shared" si="2"/>
        <v>1</v>
      </c>
    </row>
    <row r="3974">
      <c r="A3974" s="58">
        <v>45870.0</v>
      </c>
      <c r="B3974" s="24" t="s">
        <v>6789</v>
      </c>
      <c r="C3974" s="24" t="s">
        <v>7138</v>
      </c>
      <c r="D3974" s="59">
        <v>1.0</v>
      </c>
      <c r="E3974" s="59">
        <v>8.0</v>
      </c>
      <c r="F3974" s="59">
        <v>0.0</v>
      </c>
      <c r="G3974" s="60">
        <v>8.0</v>
      </c>
      <c r="H3974" s="60">
        <v>0.75</v>
      </c>
      <c r="I3974" s="60">
        <v>238.186943375</v>
      </c>
      <c r="J3974" s="59">
        <v>9.0</v>
      </c>
      <c r="K3974" s="61">
        <f t="shared" si="1"/>
        <v>0</v>
      </c>
      <c r="L3974" s="62">
        <f t="shared" si="2"/>
        <v>1.125</v>
      </c>
    </row>
    <row r="3975">
      <c r="A3975" s="58">
        <v>45870.0</v>
      </c>
      <c r="B3975" s="24" t="s">
        <v>6787</v>
      </c>
      <c r="C3975" s="24" t="s">
        <v>7099</v>
      </c>
      <c r="D3975" s="59">
        <v>1.0</v>
      </c>
      <c r="E3975" s="59">
        <v>1.0</v>
      </c>
      <c r="F3975" s="59">
        <v>1.0</v>
      </c>
      <c r="G3975" s="60">
        <v>1.0</v>
      </c>
      <c r="H3975" s="60">
        <v>1.0</v>
      </c>
      <c r="I3975" s="60">
        <v>0.0</v>
      </c>
      <c r="J3975" s="59">
        <v>1.0</v>
      </c>
      <c r="K3975" s="61">
        <f t="shared" si="1"/>
        <v>1</v>
      </c>
      <c r="L3975" s="62">
        <f t="shared" si="2"/>
        <v>1</v>
      </c>
    </row>
    <row r="3976">
      <c r="A3976" s="58">
        <v>45870.0</v>
      </c>
      <c r="B3976" s="24" t="s">
        <v>6787</v>
      </c>
      <c r="C3976" s="24" t="s">
        <v>7170</v>
      </c>
      <c r="D3976" s="59">
        <v>1.0</v>
      </c>
      <c r="E3976" s="59">
        <v>1.0</v>
      </c>
      <c r="F3976" s="59">
        <v>1.0</v>
      </c>
      <c r="G3976" s="60">
        <v>1.0</v>
      </c>
      <c r="H3976" s="60">
        <v>1.0</v>
      </c>
      <c r="I3976" s="60">
        <v>0.0</v>
      </c>
      <c r="J3976" s="59">
        <v>1.0</v>
      </c>
      <c r="K3976" s="61">
        <f t="shared" si="1"/>
        <v>1</v>
      </c>
      <c r="L3976" s="62">
        <f t="shared" si="2"/>
        <v>1</v>
      </c>
    </row>
    <row r="3977">
      <c r="A3977" s="58">
        <v>45870.0</v>
      </c>
      <c r="B3977" s="24" t="s">
        <v>6787</v>
      </c>
      <c r="C3977" s="24" t="s">
        <v>7328</v>
      </c>
      <c r="D3977" s="59">
        <v>1.0</v>
      </c>
      <c r="E3977" s="59">
        <v>1.0</v>
      </c>
      <c r="F3977" s="59">
        <v>1.0</v>
      </c>
      <c r="G3977" s="60">
        <v>1.0</v>
      </c>
      <c r="H3977" s="60">
        <v>1.0</v>
      </c>
      <c r="I3977" s="60">
        <v>0.0</v>
      </c>
      <c r="J3977" s="59">
        <v>1.0</v>
      </c>
      <c r="K3977" s="61">
        <f t="shared" si="1"/>
        <v>1</v>
      </c>
      <c r="L3977" s="62">
        <f t="shared" si="2"/>
        <v>1</v>
      </c>
    </row>
    <row r="3978">
      <c r="A3978" s="58">
        <v>45870.0</v>
      </c>
      <c r="B3978" s="24" t="s">
        <v>6787</v>
      </c>
      <c r="C3978" s="24" t="s">
        <v>7012</v>
      </c>
      <c r="D3978" s="59">
        <v>1.0</v>
      </c>
      <c r="E3978" s="59">
        <v>1.0</v>
      </c>
      <c r="F3978" s="59">
        <v>1.0</v>
      </c>
      <c r="G3978" s="60">
        <v>1.0</v>
      </c>
      <c r="H3978" s="60">
        <v>1.0</v>
      </c>
      <c r="I3978" s="60">
        <v>0.0</v>
      </c>
      <c r="J3978" s="59">
        <v>1.0</v>
      </c>
      <c r="K3978" s="61">
        <f t="shared" si="1"/>
        <v>1</v>
      </c>
      <c r="L3978" s="62">
        <f t="shared" si="2"/>
        <v>1</v>
      </c>
    </row>
    <row r="3979">
      <c r="A3979" s="58">
        <v>45870.0</v>
      </c>
      <c r="B3979" s="24" t="s">
        <v>6789</v>
      </c>
      <c r="C3979" s="24" t="s">
        <v>7012</v>
      </c>
      <c r="D3979" s="59">
        <v>1.0</v>
      </c>
      <c r="E3979" s="59">
        <v>1.0</v>
      </c>
      <c r="F3979" s="59">
        <v>0.0</v>
      </c>
      <c r="G3979" s="60">
        <v>1.0</v>
      </c>
      <c r="H3979" s="60">
        <v>0.0</v>
      </c>
      <c r="I3979" s="60">
        <v>16.802973</v>
      </c>
      <c r="J3979" s="59">
        <v>2.0</v>
      </c>
      <c r="K3979" s="61">
        <f t="shared" si="1"/>
        <v>0</v>
      </c>
      <c r="L3979" s="62">
        <f t="shared" si="2"/>
        <v>2</v>
      </c>
    </row>
    <row r="3980">
      <c r="A3980" s="58">
        <v>45870.0</v>
      </c>
      <c r="B3980" s="24" t="s">
        <v>6789</v>
      </c>
      <c r="C3980" s="24" t="s">
        <v>7013</v>
      </c>
      <c r="D3980" s="59">
        <v>1.0</v>
      </c>
      <c r="E3980" s="59">
        <v>2.0</v>
      </c>
      <c r="F3980" s="59">
        <v>1.0</v>
      </c>
      <c r="G3980" s="60">
        <v>2.0</v>
      </c>
      <c r="H3980" s="60">
        <v>1.0</v>
      </c>
      <c r="I3980" s="60">
        <v>0.7321305</v>
      </c>
      <c r="J3980" s="59">
        <v>2.0</v>
      </c>
      <c r="K3980" s="61">
        <f t="shared" si="1"/>
        <v>0.5</v>
      </c>
      <c r="L3980" s="62">
        <f t="shared" si="2"/>
        <v>1</v>
      </c>
    </row>
    <row r="3981">
      <c r="A3981" s="58">
        <v>45870.0</v>
      </c>
      <c r="B3981" s="24" t="s">
        <v>6794</v>
      </c>
      <c r="C3981" s="24" t="s">
        <v>7013</v>
      </c>
      <c r="D3981" s="59">
        <v>1.0</v>
      </c>
      <c r="E3981" s="59">
        <v>1.0</v>
      </c>
      <c r="F3981" s="59">
        <v>1.0</v>
      </c>
      <c r="G3981" s="60">
        <v>1.0</v>
      </c>
      <c r="H3981" s="60">
        <v>1.0</v>
      </c>
      <c r="I3981" s="60">
        <v>0.0</v>
      </c>
      <c r="J3981" s="59">
        <v>1.0</v>
      </c>
      <c r="K3981" s="61">
        <f t="shared" si="1"/>
        <v>1</v>
      </c>
      <c r="L3981" s="62">
        <f t="shared" si="2"/>
        <v>1</v>
      </c>
    </row>
    <row r="3982">
      <c r="A3982" s="58">
        <v>45870.0</v>
      </c>
      <c r="B3982" s="24" t="s">
        <v>155</v>
      </c>
      <c r="C3982" s="24" t="s">
        <v>7013</v>
      </c>
      <c r="D3982" s="59">
        <v>1.0</v>
      </c>
      <c r="E3982" s="59">
        <v>1.0</v>
      </c>
      <c r="F3982" s="59">
        <v>1.0</v>
      </c>
      <c r="G3982" s="60">
        <v>1.0</v>
      </c>
      <c r="H3982" s="60">
        <v>1.0</v>
      </c>
      <c r="I3982" s="60">
        <v>0.0</v>
      </c>
      <c r="J3982" s="59">
        <v>1.0</v>
      </c>
      <c r="K3982" s="61">
        <f t="shared" si="1"/>
        <v>1</v>
      </c>
      <c r="L3982" s="62">
        <f t="shared" si="2"/>
        <v>1</v>
      </c>
    </row>
    <row r="3983">
      <c r="A3983" s="58">
        <v>45870.0</v>
      </c>
      <c r="B3983" s="24" t="s">
        <v>6789</v>
      </c>
      <c r="C3983" s="24" t="s">
        <v>7344</v>
      </c>
      <c r="D3983" s="59">
        <v>1.0</v>
      </c>
      <c r="E3983" s="59">
        <v>1.0</v>
      </c>
      <c r="F3983" s="59">
        <v>0.0</v>
      </c>
      <c r="G3983" s="60">
        <v>1.0</v>
      </c>
      <c r="H3983" s="60">
        <v>1.0</v>
      </c>
      <c r="I3983" s="60">
        <v>0.0</v>
      </c>
      <c r="J3983" s="59">
        <v>1.0</v>
      </c>
      <c r="K3983" s="61">
        <f t="shared" si="1"/>
        <v>0</v>
      </c>
      <c r="L3983" s="62">
        <f t="shared" si="2"/>
        <v>1</v>
      </c>
    </row>
    <row r="3984">
      <c r="A3984" s="58">
        <v>45870.0</v>
      </c>
      <c r="B3984" s="24" t="s">
        <v>155</v>
      </c>
      <c r="C3984" s="24" t="s">
        <v>6960</v>
      </c>
      <c r="D3984" s="59">
        <v>1.0</v>
      </c>
      <c r="E3984" s="59">
        <v>1.0</v>
      </c>
      <c r="F3984" s="59">
        <v>0.0</v>
      </c>
      <c r="G3984" s="60">
        <v>1.0</v>
      </c>
      <c r="H3984" s="60">
        <v>0.0</v>
      </c>
      <c r="I3984" s="60">
        <v>26.09485</v>
      </c>
      <c r="J3984" s="59">
        <v>2.0</v>
      </c>
      <c r="K3984" s="61">
        <f t="shared" si="1"/>
        <v>0</v>
      </c>
      <c r="L3984" s="62">
        <f t="shared" si="2"/>
        <v>2</v>
      </c>
    </row>
    <row r="3985">
      <c r="A3985" s="58">
        <v>45870.0</v>
      </c>
      <c r="B3985" s="24" t="s">
        <v>155</v>
      </c>
      <c r="C3985" s="24" t="s">
        <v>6812</v>
      </c>
      <c r="D3985" s="59">
        <v>1.0</v>
      </c>
      <c r="E3985" s="59">
        <v>1.0</v>
      </c>
      <c r="F3985" s="59">
        <v>0.0</v>
      </c>
      <c r="G3985" s="60">
        <v>1.0</v>
      </c>
      <c r="H3985" s="60">
        <v>0.0</v>
      </c>
      <c r="I3985" s="60">
        <v>27.223886</v>
      </c>
      <c r="J3985" s="59">
        <v>1.0</v>
      </c>
      <c r="K3985" s="61">
        <f t="shared" si="1"/>
        <v>0</v>
      </c>
      <c r="L3985" s="62">
        <f t="shared" si="2"/>
        <v>1</v>
      </c>
    </row>
    <row r="3986">
      <c r="A3986" s="58">
        <v>45870.0</v>
      </c>
      <c r="B3986" s="24" t="s">
        <v>6791</v>
      </c>
      <c r="C3986" s="24" t="s">
        <v>6849</v>
      </c>
      <c r="D3986" s="59">
        <v>1.0</v>
      </c>
      <c r="E3986" s="59">
        <v>1.0</v>
      </c>
      <c r="F3986" s="59">
        <v>0.0</v>
      </c>
      <c r="G3986" s="60">
        <v>0.0</v>
      </c>
      <c r="H3986" s="60">
        <v>1.0</v>
      </c>
      <c r="I3986" s="60">
        <v>0.0</v>
      </c>
      <c r="J3986" s="59">
        <v>1.0</v>
      </c>
      <c r="K3986" s="61">
        <f t="shared" si="1"/>
        <v>0</v>
      </c>
      <c r="L3986" s="62">
        <f t="shared" si="2"/>
        <v>1</v>
      </c>
    </row>
    <row r="3987">
      <c r="A3987" s="58">
        <v>45870.0</v>
      </c>
      <c r="B3987" s="24" t="s">
        <v>6787</v>
      </c>
      <c r="C3987" s="24" t="s">
        <v>7044</v>
      </c>
      <c r="D3987" s="59">
        <v>1.0</v>
      </c>
      <c r="E3987" s="59">
        <v>1.0</v>
      </c>
      <c r="F3987" s="59">
        <v>1.0</v>
      </c>
      <c r="G3987" s="60">
        <v>1.0</v>
      </c>
      <c r="H3987" s="60">
        <v>0.0</v>
      </c>
      <c r="I3987" s="60">
        <v>19.63872</v>
      </c>
      <c r="J3987" s="59">
        <v>1.0</v>
      </c>
      <c r="K3987" s="61">
        <f t="shared" si="1"/>
        <v>1</v>
      </c>
      <c r="L3987" s="62">
        <f t="shared" si="2"/>
        <v>1</v>
      </c>
    </row>
    <row r="3988">
      <c r="A3988" s="58">
        <v>45870.0</v>
      </c>
      <c r="B3988" s="24" t="s">
        <v>6789</v>
      </c>
      <c r="C3988" s="24" t="s">
        <v>7172</v>
      </c>
      <c r="D3988" s="59">
        <v>1.0</v>
      </c>
      <c r="E3988" s="59">
        <v>1.0</v>
      </c>
      <c r="F3988" s="59">
        <v>0.0</v>
      </c>
      <c r="G3988" s="60">
        <v>0.0</v>
      </c>
      <c r="H3988" s="60">
        <v>1.0</v>
      </c>
      <c r="I3988" s="60">
        <v>0.0</v>
      </c>
      <c r="J3988" s="59">
        <v>1.0</v>
      </c>
      <c r="K3988" s="61">
        <f t="shared" si="1"/>
        <v>0</v>
      </c>
      <c r="L3988" s="62">
        <f t="shared" si="2"/>
        <v>1</v>
      </c>
    </row>
    <row r="3989">
      <c r="A3989" s="58">
        <v>45870.0</v>
      </c>
      <c r="B3989" s="24" t="s">
        <v>6794</v>
      </c>
      <c r="C3989" s="24" t="s">
        <v>6910</v>
      </c>
      <c r="D3989" s="59">
        <v>1.0</v>
      </c>
      <c r="E3989" s="59">
        <v>1.0</v>
      </c>
      <c r="F3989" s="59">
        <v>1.0</v>
      </c>
      <c r="G3989" s="60">
        <v>1.0</v>
      </c>
      <c r="H3989" s="60">
        <v>1.0</v>
      </c>
      <c r="I3989" s="60">
        <v>5.675922</v>
      </c>
      <c r="J3989" s="59">
        <v>1.0</v>
      </c>
      <c r="K3989" s="61">
        <f t="shared" si="1"/>
        <v>1</v>
      </c>
      <c r="L3989" s="62">
        <f t="shared" si="2"/>
        <v>1</v>
      </c>
    </row>
    <row r="3990">
      <c r="A3990" s="58">
        <v>45870.0</v>
      </c>
      <c r="B3990" s="24" t="s">
        <v>155</v>
      </c>
      <c r="C3990" s="24" t="s">
        <v>6910</v>
      </c>
      <c r="D3990" s="59">
        <v>1.0</v>
      </c>
      <c r="E3990" s="59">
        <v>2.0</v>
      </c>
      <c r="F3990" s="59">
        <v>1.0</v>
      </c>
      <c r="G3990" s="60">
        <v>2.0</v>
      </c>
      <c r="H3990" s="60">
        <v>0.5</v>
      </c>
      <c r="I3990" s="60">
        <v>781.1703245</v>
      </c>
      <c r="J3990" s="59">
        <v>10.0</v>
      </c>
      <c r="K3990" s="61">
        <f t="shared" si="1"/>
        <v>0.5</v>
      </c>
      <c r="L3990" s="62">
        <f t="shared" si="2"/>
        <v>5</v>
      </c>
    </row>
    <row r="3991">
      <c r="A3991" s="58">
        <v>45870.0</v>
      </c>
      <c r="B3991" s="24" t="s">
        <v>6790</v>
      </c>
      <c r="C3991" s="24" t="s">
        <v>6910</v>
      </c>
      <c r="D3991" s="59">
        <v>1.0</v>
      </c>
      <c r="E3991" s="59">
        <v>1.0</v>
      </c>
      <c r="F3991" s="59">
        <v>0.0</v>
      </c>
      <c r="G3991" s="60">
        <v>1.0</v>
      </c>
      <c r="H3991" s="60">
        <v>1.0</v>
      </c>
      <c r="I3991" s="60">
        <v>0.0</v>
      </c>
      <c r="J3991" s="59">
        <v>1.0</v>
      </c>
      <c r="K3991" s="61">
        <f t="shared" si="1"/>
        <v>0</v>
      </c>
      <c r="L3991" s="62">
        <f t="shared" si="2"/>
        <v>1</v>
      </c>
    </row>
    <row r="3992">
      <c r="A3992" s="58">
        <v>45870.0</v>
      </c>
      <c r="B3992" s="24" t="s">
        <v>6789</v>
      </c>
      <c r="C3992" s="24" t="s">
        <v>7023</v>
      </c>
      <c r="D3992" s="59">
        <v>1.0</v>
      </c>
      <c r="E3992" s="59">
        <v>4.0</v>
      </c>
      <c r="F3992" s="59">
        <v>0.0</v>
      </c>
      <c r="G3992" s="60">
        <v>4.0</v>
      </c>
      <c r="H3992" s="60">
        <v>0.75</v>
      </c>
      <c r="I3992" s="60">
        <v>151.8745675</v>
      </c>
      <c r="J3992" s="59">
        <v>4.0</v>
      </c>
      <c r="K3992" s="61">
        <f t="shared" si="1"/>
        <v>0</v>
      </c>
      <c r="L3992" s="62">
        <f t="shared" si="2"/>
        <v>1</v>
      </c>
    </row>
    <row r="3993">
      <c r="A3993" s="58">
        <v>45870.0</v>
      </c>
      <c r="B3993" s="24" t="s">
        <v>6789</v>
      </c>
      <c r="C3993" s="24" t="s">
        <v>6912</v>
      </c>
      <c r="D3993" s="59">
        <v>1.0</v>
      </c>
      <c r="E3993" s="59">
        <v>1.0</v>
      </c>
      <c r="F3993" s="59">
        <v>1.0</v>
      </c>
      <c r="G3993" s="60">
        <v>1.0</v>
      </c>
      <c r="H3993" s="60">
        <v>0.0</v>
      </c>
      <c r="I3993" s="60">
        <v>33.506206</v>
      </c>
      <c r="J3993" s="59">
        <v>1.0</v>
      </c>
      <c r="K3993" s="61">
        <f t="shared" si="1"/>
        <v>1</v>
      </c>
      <c r="L3993" s="62">
        <f t="shared" si="2"/>
        <v>1</v>
      </c>
    </row>
    <row r="3994">
      <c r="A3994" s="58">
        <v>45870.0</v>
      </c>
      <c r="B3994" s="24" t="s">
        <v>6789</v>
      </c>
      <c r="C3994" s="24" t="s">
        <v>6814</v>
      </c>
      <c r="D3994" s="59">
        <v>1.0</v>
      </c>
      <c r="E3994" s="59">
        <v>1.0</v>
      </c>
      <c r="F3994" s="59">
        <v>1.0</v>
      </c>
      <c r="G3994" s="60">
        <v>1.0</v>
      </c>
      <c r="H3994" s="60">
        <v>1.0</v>
      </c>
      <c r="I3994" s="60">
        <v>0.0</v>
      </c>
      <c r="J3994" s="59">
        <v>1.0</v>
      </c>
      <c r="K3994" s="61">
        <f t="shared" si="1"/>
        <v>1</v>
      </c>
      <c r="L3994" s="62">
        <f t="shared" si="2"/>
        <v>1</v>
      </c>
    </row>
    <row r="3995">
      <c r="A3995" s="58">
        <v>45870.0</v>
      </c>
      <c r="B3995" s="24" t="s">
        <v>6787</v>
      </c>
      <c r="C3995" s="24" t="s">
        <v>7358</v>
      </c>
      <c r="D3995" s="59">
        <v>1.0</v>
      </c>
      <c r="E3995" s="59">
        <v>1.0</v>
      </c>
      <c r="F3995" s="59">
        <v>1.0</v>
      </c>
      <c r="G3995" s="60">
        <v>1.0</v>
      </c>
      <c r="H3995" s="60">
        <v>1.0</v>
      </c>
      <c r="I3995" s="60">
        <v>0.0</v>
      </c>
      <c r="J3995" s="59">
        <v>1.0</v>
      </c>
      <c r="K3995" s="61">
        <f t="shared" si="1"/>
        <v>1</v>
      </c>
      <c r="L3995" s="62">
        <f t="shared" si="2"/>
        <v>1</v>
      </c>
    </row>
    <row r="3996">
      <c r="A3996" s="58">
        <v>45870.0</v>
      </c>
      <c r="B3996" s="24" t="s">
        <v>6794</v>
      </c>
      <c r="C3996" s="24" t="s">
        <v>6815</v>
      </c>
      <c r="D3996" s="59">
        <v>1.0</v>
      </c>
      <c r="E3996" s="59">
        <v>1.0</v>
      </c>
      <c r="F3996" s="59">
        <v>1.0</v>
      </c>
      <c r="G3996" s="60">
        <v>1.0</v>
      </c>
      <c r="H3996" s="60">
        <v>0.0</v>
      </c>
      <c r="I3996" s="60">
        <v>249.474376</v>
      </c>
      <c r="J3996" s="59">
        <v>1.0</v>
      </c>
      <c r="K3996" s="61">
        <f t="shared" si="1"/>
        <v>1</v>
      </c>
      <c r="L3996" s="62">
        <f t="shared" si="2"/>
        <v>1</v>
      </c>
    </row>
    <row r="3997">
      <c r="A3997" s="58">
        <v>45870.0</v>
      </c>
      <c r="B3997" s="24" t="s">
        <v>6787</v>
      </c>
      <c r="C3997" s="24" t="s">
        <v>7384</v>
      </c>
      <c r="D3997" s="59">
        <v>1.0</v>
      </c>
      <c r="E3997" s="59">
        <v>1.0</v>
      </c>
      <c r="F3997" s="59">
        <v>1.0</v>
      </c>
      <c r="G3997" s="60">
        <v>1.0</v>
      </c>
      <c r="H3997" s="60">
        <v>1.0</v>
      </c>
      <c r="I3997" s="60">
        <v>0.0</v>
      </c>
      <c r="J3997" s="59">
        <v>1.0</v>
      </c>
      <c r="K3997" s="61">
        <f t="shared" si="1"/>
        <v>1</v>
      </c>
      <c r="L3997" s="62">
        <f t="shared" si="2"/>
        <v>1</v>
      </c>
    </row>
    <row r="3998">
      <c r="A3998" s="58">
        <v>45870.0</v>
      </c>
      <c r="B3998" s="24" t="s">
        <v>6787</v>
      </c>
      <c r="C3998" s="24" t="s">
        <v>6852</v>
      </c>
      <c r="D3998" s="59">
        <v>1.0</v>
      </c>
      <c r="E3998" s="59">
        <v>1.0</v>
      </c>
      <c r="F3998" s="59">
        <v>1.0</v>
      </c>
      <c r="G3998" s="60">
        <v>1.0</v>
      </c>
      <c r="H3998" s="60">
        <v>1.0</v>
      </c>
      <c r="I3998" s="60">
        <v>0.0</v>
      </c>
      <c r="J3998" s="59">
        <v>1.0</v>
      </c>
      <c r="K3998" s="61">
        <f t="shared" si="1"/>
        <v>1</v>
      </c>
      <c r="L3998" s="62">
        <f t="shared" si="2"/>
        <v>1</v>
      </c>
    </row>
    <row r="3999">
      <c r="A3999" s="58">
        <v>45870.0</v>
      </c>
      <c r="B3999" s="24" t="s">
        <v>6787</v>
      </c>
      <c r="C3999" s="24" t="s">
        <v>6816</v>
      </c>
      <c r="D3999" s="59">
        <v>1.0</v>
      </c>
      <c r="E3999" s="59">
        <v>1.0</v>
      </c>
      <c r="F3999" s="59">
        <v>1.0</v>
      </c>
      <c r="G3999" s="60">
        <v>1.0</v>
      </c>
      <c r="H3999" s="60">
        <v>1.0</v>
      </c>
      <c r="I3999" s="60">
        <v>0.0</v>
      </c>
      <c r="J3999" s="59">
        <v>1.0</v>
      </c>
      <c r="K3999" s="61">
        <f t="shared" si="1"/>
        <v>1</v>
      </c>
      <c r="L3999" s="62">
        <f t="shared" si="2"/>
        <v>1</v>
      </c>
    </row>
    <row r="4000">
      <c r="A4000" s="58">
        <v>45870.0</v>
      </c>
      <c r="B4000" s="24" t="s">
        <v>6789</v>
      </c>
      <c r="C4000" s="24" t="s">
        <v>6816</v>
      </c>
      <c r="D4000" s="59">
        <v>1.0</v>
      </c>
      <c r="E4000" s="59">
        <v>1.0</v>
      </c>
      <c r="F4000" s="59">
        <v>0.0</v>
      </c>
      <c r="G4000" s="60">
        <v>1.0</v>
      </c>
      <c r="H4000" s="60">
        <v>0.0</v>
      </c>
      <c r="I4000" s="60">
        <v>33.670083</v>
      </c>
      <c r="J4000" s="59">
        <v>1.0</v>
      </c>
      <c r="K4000" s="61">
        <f t="shared" si="1"/>
        <v>0</v>
      </c>
      <c r="L4000" s="62">
        <f t="shared" si="2"/>
        <v>1</v>
      </c>
    </row>
    <row r="4001">
      <c r="A4001" s="58">
        <v>45870.0</v>
      </c>
      <c r="B4001" s="24" t="s">
        <v>6794</v>
      </c>
      <c r="C4001" s="24" t="s">
        <v>6797</v>
      </c>
      <c r="D4001" s="59">
        <v>1.0</v>
      </c>
      <c r="E4001" s="59">
        <v>1.0</v>
      </c>
      <c r="F4001" s="59">
        <v>0.0</v>
      </c>
      <c r="G4001" s="60">
        <v>0.0</v>
      </c>
      <c r="H4001" s="60">
        <v>1.0</v>
      </c>
      <c r="I4001" s="60">
        <v>0.0</v>
      </c>
      <c r="J4001" s="59">
        <v>1.0</v>
      </c>
      <c r="K4001" s="61">
        <f t="shared" si="1"/>
        <v>0</v>
      </c>
      <c r="L4001" s="62">
        <f t="shared" si="2"/>
        <v>1</v>
      </c>
    </row>
    <row r="4002">
      <c r="A4002" s="58">
        <v>45870.0</v>
      </c>
      <c r="B4002" s="24" t="s">
        <v>6790</v>
      </c>
      <c r="C4002" s="24" t="s">
        <v>6797</v>
      </c>
      <c r="D4002" s="59">
        <v>1.0</v>
      </c>
      <c r="E4002" s="59">
        <v>1.0</v>
      </c>
      <c r="F4002" s="59">
        <v>0.0</v>
      </c>
      <c r="G4002" s="60">
        <v>1.0</v>
      </c>
      <c r="H4002" s="60">
        <v>1.0</v>
      </c>
      <c r="I4002" s="60">
        <v>0.0</v>
      </c>
      <c r="J4002" s="59">
        <v>1.0</v>
      </c>
      <c r="K4002" s="61">
        <f t="shared" si="1"/>
        <v>0</v>
      </c>
      <c r="L4002" s="62">
        <f t="shared" si="2"/>
        <v>1</v>
      </c>
    </row>
    <row r="4003">
      <c r="A4003" s="58">
        <v>45870.0</v>
      </c>
      <c r="B4003" s="24" t="s">
        <v>6787</v>
      </c>
      <c r="C4003" s="24" t="s">
        <v>7385</v>
      </c>
      <c r="D4003" s="59">
        <v>1.0</v>
      </c>
      <c r="E4003" s="59">
        <v>1.0</v>
      </c>
      <c r="F4003" s="59">
        <v>1.0</v>
      </c>
      <c r="G4003" s="60">
        <v>1.0</v>
      </c>
      <c r="H4003" s="60">
        <v>1.0</v>
      </c>
      <c r="I4003" s="60">
        <v>0.0</v>
      </c>
      <c r="J4003" s="59">
        <v>1.0</v>
      </c>
      <c r="K4003" s="61">
        <f t="shared" si="1"/>
        <v>1</v>
      </c>
      <c r="L4003" s="62">
        <f t="shared" si="2"/>
        <v>1</v>
      </c>
    </row>
    <row r="4004">
      <c r="A4004" s="58">
        <v>45870.0</v>
      </c>
      <c r="B4004" s="24" t="s">
        <v>6789</v>
      </c>
      <c r="C4004" s="24" t="s">
        <v>7385</v>
      </c>
      <c r="D4004" s="59">
        <v>1.0</v>
      </c>
      <c r="E4004" s="59">
        <v>1.0</v>
      </c>
      <c r="F4004" s="59">
        <v>0.0</v>
      </c>
      <c r="G4004" s="60">
        <v>1.0</v>
      </c>
      <c r="H4004" s="60">
        <v>1.0</v>
      </c>
      <c r="I4004" s="60">
        <v>4.222642</v>
      </c>
      <c r="J4004" s="59">
        <v>1.0</v>
      </c>
      <c r="K4004" s="61">
        <f t="shared" si="1"/>
        <v>0</v>
      </c>
      <c r="L4004" s="62">
        <f t="shared" si="2"/>
        <v>1</v>
      </c>
    </row>
    <row r="4005">
      <c r="A4005" s="58">
        <v>45870.0</v>
      </c>
      <c r="B4005" s="24" t="s">
        <v>6787</v>
      </c>
      <c r="C4005" s="24" t="s">
        <v>6962</v>
      </c>
      <c r="D4005" s="59">
        <v>1.0</v>
      </c>
      <c r="E4005" s="59">
        <v>1.0</v>
      </c>
      <c r="F4005" s="59">
        <v>1.0</v>
      </c>
      <c r="G4005" s="60">
        <v>1.0</v>
      </c>
      <c r="H4005" s="60">
        <v>0.0</v>
      </c>
      <c r="I4005" s="60">
        <v>13.299202</v>
      </c>
      <c r="J4005" s="59">
        <v>1.0</v>
      </c>
      <c r="K4005" s="61">
        <f t="shared" si="1"/>
        <v>1</v>
      </c>
      <c r="L4005" s="62">
        <f t="shared" si="2"/>
        <v>1</v>
      </c>
    </row>
    <row r="4006">
      <c r="A4006" s="58">
        <v>45870.0</v>
      </c>
      <c r="B4006" s="24" t="s">
        <v>6789</v>
      </c>
      <c r="C4006" s="24" t="s">
        <v>6962</v>
      </c>
      <c r="D4006" s="59">
        <v>1.0</v>
      </c>
      <c r="E4006" s="59">
        <v>1.0</v>
      </c>
      <c r="F4006" s="59">
        <v>0.0</v>
      </c>
      <c r="G4006" s="60">
        <v>1.0</v>
      </c>
      <c r="H4006" s="60">
        <v>0.0</v>
      </c>
      <c r="I4006" s="60">
        <v>1.608418</v>
      </c>
      <c r="J4006" s="59">
        <v>1.0</v>
      </c>
      <c r="K4006" s="61">
        <f t="shared" si="1"/>
        <v>0</v>
      </c>
      <c r="L4006" s="62">
        <f t="shared" si="2"/>
        <v>1</v>
      </c>
    </row>
    <row r="4007">
      <c r="A4007" s="58">
        <v>45870.0</v>
      </c>
      <c r="B4007" s="24" t="s">
        <v>155</v>
      </c>
      <c r="C4007" s="24" t="s">
        <v>7348</v>
      </c>
      <c r="D4007" s="59">
        <v>1.0</v>
      </c>
      <c r="E4007" s="59">
        <v>1.0</v>
      </c>
      <c r="F4007" s="59">
        <v>0.0</v>
      </c>
      <c r="G4007" s="60">
        <v>1.0</v>
      </c>
      <c r="H4007" s="60">
        <v>1.0</v>
      </c>
      <c r="I4007" s="60">
        <v>5.588989</v>
      </c>
      <c r="J4007" s="59">
        <v>1.0</v>
      </c>
      <c r="K4007" s="61">
        <f t="shared" si="1"/>
        <v>0</v>
      </c>
      <c r="L4007" s="62">
        <f t="shared" si="2"/>
        <v>1</v>
      </c>
    </row>
    <row r="4008">
      <c r="A4008" s="58">
        <v>45870.0</v>
      </c>
      <c r="B4008" s="24" t="s">
        <v>6787</v>
      </c>
      <c r="C4008" s="24" t="s">
        <v>6854</v>
      </c>
      <c r="D4008" s="59">
        <v>1.0</v>
      </c>
      <c r="E4008" s="59">
        <v>1.0</v>
      </c>
      <c r="F4008" s="59">
        <v>1.0</v>
      </c>
      <c r="G4008" s="60">
        <v>1.0</v>
      </c>
      <c r="H4008" s="60">
        <v>1.0</v>
      </c>
      <c r="I4008" s="60">
        <v>0.0</v>
      </c>
      <c r="J4008" s="59">
        <v>1.0</v>
      </c>
      <c r="K4008" s="61">
        <f t="shared" si="1"/>
        <v>1</v>
      </c>
      <c r="L4008" s="62">
        <f t="shared" si="2"/>
        <v>1</v>
      </c>
    </row>
    <row r="4009">
      <c r="A4009" s="58">
        <v>45870.0</v>
      </c>
      <c r="B4009" s="24" t="s">
        <v>6794</v>
      </c>
      <c r="C4009" s="24" t="s">
        <v>6924</v>
      </c>
      <c r="D4009" s="59">
        <v>1.0</v>
      </c>
      <c r="E4009" s="59">
        <v>1.0</v>
      </c>
      <c r="F4009" s="59">
        <v>0.0</v>
      </c>
      <c r="G4009" s="60">
        <v>1.0</v>
      </c>
      <c r="H4009" s="60">
        <v>1.0</v>
      </c>
      <c r="I4009" s="60">
        <v>5.851383</v>
      </c>
      <c r="J4009" s="59">
        <v>1.0</v>
      </c>
      <c r="K4009" s="61">
        <f t="shared" si="1"/>
        <v>0</v>
      </c>
      <c r="L4009" s="62">
        <f t="shared" si="2"/>
        <v>1</v>
      </c>
    </row>
    <row r="4010">
      <c r="A4010" s="58">
        <v>45870.0</v>
      </c>
      <c r="B4010" s="24" t="s">
        <v>155</v>
      </c>
      <c r="C4010" s="24" t="s">
        <v>6802</v>
      </c>
      <c r="D4010" s="59">
        <v>1.0</v>
      </c>
      <c r="E4010" s="59">
        <v>1.0</v>
      </c>
      <c r="F4010" s="59">
        <v>1.0</v>
      </c>
      <c r="G4010" s="60">
        <v>1.0</v>
      </c>
      <c r="H4010" s="60">
        <v>0.0</v>
      </c>
      <c r="I4010" s="60">
        <v>17.848575</v>
      </c>
      <c r="J4010" s="59">
        <v>1.0</v>
      </c>
      <c r="K4010" s="61">
        <f t="shared" si="1"/>
        <v>1</v>
      </c>
      <c r="L4010" s="62">
        <f t="shared" si="2"/>
        <v>1</v>
      </c>
    </row>
    <row r="4011">
      <c r="A4011" s="58">
        <v>45839.0</v>
      </c>
      <c r="B4011" s="24" t="s">
        <v>6787</v>
      </c>
      <c r="C4011" s="24" t="s">
        <v>6788</v>
      </c>
      <c r="D4011" s="59">
        <v>1915.0</v>
      </c>
      <c r="E4011" s="59">
        <v>2125.0</v>
      </c>
      <c r="F4011" s="59">
        <v>1867.0</v>
      </c>
      <c r="G4011" s="60">
        <v>1.11256544502617</v>
      </c>
      <c r="H4011" s="60">
        <v>0.716235294117647</v>
      </c>
      <c r="I4011" s="60">
        <v>38.0179449312941</v>
      </c>
      <c r="J4011" s="59">
        <v>3036.0</v>
      </c>
      <c r="K4011" s="61">
        <f t="shared" si="1"/>
        <v>0.8785882353</v>
      </c>
      <c r="L4011" s="62">
        <f t="shared" si="2"/>
        <v>1.428705882</v>
      </c>
    </row>
    <row r="4012">
      <c r="A4012" s="58">
        <v>45839.0</v>
      </c>
      <c r="B4012" s="24" t="s">
        <v>6789</v>
      </c>
      <c r="C4012" s="24" t="s">
        <v>6788</v>
      </c>
      <c r="D4012" s="59">
        <v>936.0</v>
      </c>
      <c r="E4012" s="59">
        <v>1314.0</v>
      </c>
      <c r="F4012" s="59">
        <v>758.0</v>
      </c>
      <c r="G4012" s="60">
        <v>1.44554455445544</v>
      </c>
      <c r="H4012" s="60">
        <v>0.504566210045662</v>
      </c>
      <c r="I4012" s="60">
        <v>191.184552614916</v>
      </c>
      <c r="J4012" s="59">
        <v>2342.0</v>
      </c>
      <c r="K4012" s="61">
        <f t="shared" si="1"/>
        <v>0.5768645358</v>
      </c>
      <c r="L4012" s="62">
        <f t="shared" si="2"/>
        <v>1.782343988</v>
      </c>
    </row>
    <row r="4013">
      <c r="A4013" s="58">
        <v>45839.0</v>
      </c>
      <c r="B4013" s="24" t="s">
        <v>6789</v>
      </c>
      <c r="C4013" s="24" t="s">
        <v>6792</v>
      </c>
      <c r="D4013" s="59">
        <v>245.0</v>
      </c>
      <c r="E4013" s="59">
        <v>322.0</v>
      </c>
      <c r="F4013" s="59">
        <v>0.0</v>
      </c>
      <c r="G4013" s="60">
        <v>2.13245033112582</v>
      </c>
      <c r="H4013" s="60">
        <v>0.968944099378882</v>
      </c>
      <c r="I4013" s="60">
        <v>5.83596421118012</v>
      </c>
      <c r="J4013" s="59">
        <v>0.0</v>
      </c>
      <c r="K4013" s="61">
        <f t="shared" si="1"/>
        <v>0</v>
      </c>
      <c r="L4013" s="62">
        <f t="shared" si="2"/>
        <v>0</v>
      </c>
    </row>
    <row r="4014">
      <c r="A4014" s="58">
        <v>45839.0</v>
      </c>
      <c r="B4014" s="24" t="s">
        <v>6787</v>
      </c>
      <c r="C4014" s="24" t="s">
        <v>6817</v>
      </c>
      <c r="D4014" s="59">
        <v>167.0</v>
      </c>
      <c r="E4014" s="59">
        <v>167.0</v>
      </c>
      <c r="F4014" s="59">
        <v>167.0</v>
      </c>
      <c r="G4014" s="60">
        <v>1.0</v>
      </c>
      <c r="H4014" s="60">
        <v>0.317365269461077</v>
      </c>
      <c r="I4014" s="60">
        <v>12.2740926706586</v>
      </c>
      <c r="J4014" s="59">
        <v>364.0</v>
      </c>
      <c r="K4014" s="61">
        <f t="shared" si="1"/>
        <v>1</v>
      </c>
      <c r="L4014" s="62">
        <f t="shared" si="2"/>
        <v>2.179640719</v>
      </c>
    </row>
    <row r="4015">
      <c r="A4015" s="58">
        <v>45839.0</v>
      </c>
      <c r="B4015" s="24" t="s">
        <v>155</v>
      </c>
      <c r="C4015" s="24" t="s">
        <v>6788</v>
      </c>
      <c r="D4015" s="59">
        <v>158.0</v>
      </c>
      <c r="E4015" s="59">
        <v>311.0</v>
      </c>
      <c r="F4015" s="59">
        <v>99.0</v>
      </c>
      <c r="G4015" s="60">
        <v>1.99358974358974</v>
      </c>
      <c r="H4015" s="60">
        <v>0.604501607717041</v>
      </c>
      <c r="I4015" s="60">
        <v>130.127369787781</v>
      </c>
      <c r="J4015" s="59">
        <v>444.0</v>
      </c>
      <c r="K4015" s="61">
        <f t="shared" si="1"/>
        <v>0.3183279743</v>
      </c>
      <c r="L4015" s="62">
        <f t="shared" si="2"/>
        <v>1.427652733</v>
      </c>
    </row>
    <row r="4016">
      <c r="A4016" s="58">
        <v>45839.0</v>
      </c>
      <c r="B4016" s="24" t="s">
        <v>6794</v>
      </c>
      <c r="C4016" s="24" t="s">
        <v>6788</v>
      </c>
      <c r="D4016" s="59">
        <v>104.0</v>
      </c>
      <c r="E4016" s="59">
        <v>131.0</v>
      </c>
      <c r="F4016" s="59">
        <v>90.0</v>
      </c>
      <c r="G4016" s="60">
        <v>1.25961538461538</v>
      </c>
      <c r="H4016" s="60">
        <v>0.3206106870229</v>
      </c>
      <c r="I4016" s="60">
        <v>244.01267940458</v>
      </c>
      <c r="J4016" s="59">
        <v>292.0</v>
      </c>
      <c r="K4016" s="61">
        <f t="shared" si="1"/>
        <v>0.6870229008</v>
      </c>
      <c r="L4016" s="62">
        <f t="shared" si="2"/>
        <v>2.229007634</v>
      </c>
    </row>
    <row r="4017">
      <c r="A4017" s="58">
        <v>45839.0</v>
      </c>
      <c r="B4017" s="24" t="s">
        <v>3216</v>
      </c>
      <c r="C4017" s="24" t="s">
        <v>6796</v>
      </c>
      <c r="D4017" s="59">
        <v>66.0</v>
      </c>
      <c r="E4017" s="59">
        <v>76.0</v>
      </c>
      <c r="F4017" s="59">
        <v>66.0</v>
      </c>
      <c r="G4017" s="60">
        <v>1.15151515151515</v>
      </c>
      <c r="H4017" s="60">
        <v>0.881578947368421</v>
      </c>
      <c r="I4017" s="60">
        <v>1.41786943421052</v>
      </c>
      <c r="J4017" s="59">
        <v>100.0</v>
      </c>
      <c r="K4017" s="61">
        <f t="shared" si="1"/>
        <v>0.8684210526</v>
      </c>
      <c r="L4017" s="62">
        <f t="shared" si="2"/>
        <v>1.315789474</v>
      </c>
    </row>
    <row r="4018">
      <c r="A4018" s="58">
        <v>45839.0</v>
      </c>
      <c r="B4018" s="24" t="s">
        <v>3216</v>
      </c>
      <c r="C4018" s="24" t="s">
        <v>7158</v>
      </c>
      <c r="D4018" s="59">
        <v>61.0</v>
      </c>
      <c r="E4018" s="59">
        <v>61.0</v>
      </c>
      <c r="F4018" s="59">
        <v>59.0</v>
      </c>
      <c r="G4018" s="60">
        <v>1.0</v>
      </c>
      <c r="H4018" s="60">
        <v>0.934426229508196</v>
      </c>
      <c r="I4018" s="60">
        <v>5.36259552459016</v>
      </c>
      <c r="J4018" s="59">
        <v>67.0</v>
      </c>
      <c r="K4018" s="61">
        <f t="shared" si="1"/>
        <v>0.9672131148</v>
      </c>
      <c r="L4018" s="62">
        <f t="shared" si="2"/>
        <v>1.098360656</v>
      </c>
    </row>
    <row r="4019">
      <c r="A4019" s="58">
        <v>45839.0</v>
      </c>
      <c r="B4019" s="24" t="s">
        <v>3216</v>
      </c>
      <c r="C4019" s="24" t="s">
        <v>7039</v>
      </c>
      <c r="D4019" s="59">
        <v>49.0</v>
      </c>
      <c r="E4019" s="59">
        <v>49.0</v>
      </c>
      <c r="F4019" s="59">
        <v>48.0</v>
      </c>
      <c r="G4019" s="60">
        <v>1.02083333333333</v>
      </c>
      <c r="H4019" s="60">
        <v>0.877551020408163</v>
      </c>
      <c r="I4019" s="60">
        <v>41.2929202857142</v>
      </c>
      <c r="J4019" s="59">
        <v>53.0</v>
      </c>
      <c r="K4019" s="61">
        <f t="shared" si="1"/>
        <v>0.9795918367</v>
      </c>
      <c r="L4019" s="62">
        <f t="shared" si="2"/>
        <v>1.081632653</v>
      </c>
    </row>
    <row r="4020">
      <c r="A4020" s="58">
        <v>45839.0</v>
      </c>
      <c r="B4020" s="24" t="s">
        <v>6789</v>
      </c>
      <c r="C4020" s="24" t="s">
        <v>6809</v>
      </c>
      <c r="D4020" s="59">
        <v>47.0</v>
      </c>
      <c r="E4020" s="59">
        <v>56.0</v>
      </c>
      <c r="F4020" s="59">
        <v>39.0</v>
      </c>
      <c r="G4020" s="60">
        <v>1.21739130434782</v>
      </c>
      <c r="H4020" s="60">
        <v>0.410714285714285</v>
      </c>
      <c r="I4020" s="60">
        <v>171.474935857142</v>
      </c>
      <c r="J4020" s="59">
        <v>94.0</v>
      </c>
      <c r="K4020" s="61">
        <f t="shared" si="1"/>
        <v>0.6964285714</v>
      </c>
      <c r="L4020" s="62">
        <f t="shared" si="2"/>
        <v>1.678571429</v>
      </c>
    </row>
    <row r="4021">
      <c r="A4021" s="58">
        <v>45839.0</v>
      </c>
      <c r="B4021" s="24" t="s">
        <v>6787</v>
      </c>
      <c r="C4021" s="24" t="s">
        <v>6792</v>
      </c>
      <c r="D4021" s="59">
        <v>43.0</v>
      </c>
      <c r="E4021" s="59">
        <v>49.0</v>
      </c>
      <c r="F4021" s="59">
        <v>0.0</v>
      </c>
      <c r="G4021" s="60">
        <v>1.81481481481481</v>
      </c>
      <c r="H4021" s="60">
        <v>1.0</v>
      </c>
      <c r="I4021" s="60">
        <v>0.192412285714285</v>
      </c>
      <c r="J4021" s="59">
        <v>0.0</v>
      </c>
      <c r="K4021" s="61">
        <f t="shared" si="1"/>
        <v>0</v>
      </c>
      <c r="L4021" s="62">
        <f t="shared" si="2"/>
        <v>0</v>
      </c>
    </row>
    <row r="4022">
      <c r="A4022" s="58">
        <v>45839.0</v>
      </c>
      <c r="B4022" s="24" t="s">
        <v>6789</v>
      </c>
      <c r="C4022" s="24" t="s">
        <v>6799</v>
      </c>
      <c r="D4022" s="59">
        <v>42.0</v>
      </c>
      <c r="E4022" s="59">
        <v>45.0</v>
      </c>
      <c r="F4022" s="59">
        <v>27.0</v>
      </c>
      <c r="G4022" s="60">
        <v>1.09756097560975</v>
      </c>
      <c r="H4022" s="60">
        <v>0.444444444444444</v>
      </c>
      <c r="I4022" s="60">
        <v>210.184137577777</v>
      </c>
      <c r="J4022" s="59">
        <v>87.0</v>
      </c>
      <c r="K4022" s="61">
        <f t="shared" si="1"/>
        <v>0.6</v>
      </c>
      <c r="L4022" s="62">
        <f t="shared" si="2"/>
        <v>1.933333333</v>
      </c>
    </row>
    <row r="4023">
      <c r="A4023" s="58">
        <v>45839.0</v>
      </c>
      <c r="B4023" s="24" t="s">
        <v>6789</v>
      </c>
      <c r="C4023" s="24" t="s">
        <v>6815</v>
      </c>
      <c r="D4023" s="59">
        <v>34.0</v>
      </c>
      <c r="E4023" s="59">
        <v>34.0</v>
      </c>
      <c r="F4023" s="59">
        <v>34.0</v>
      </c>
      <c r="G4023" s="60">
        <v>1.0</v>
      </c>
      <c r="H4023" s="60">
        <v>0.205882352941176</v>
      </c>
      <c r="I4023" s="60">
        <v>72.5961775882353</v>
      </c>
      <c r="J4023" s="59">
        <v>49.0</v>
      </c>
      <c r="K4023" s="61">
        <f t="shared" si="1"/>
        <v>1</v>
      </c>
      <c r="L4023" s="62">
        <f t="shared" si="2"/>
        <v>1.441176471</v>
      </c>
    </row>
    <row r="4024">
      <c r="A4024" s="58">
        <v>45839.0</v>
      </c>
      <c r="B4024" s="24" t="s">
        <v>6787</v>
      </c>
      <c r="C4024" s="24" t="s">
        <v>6815</v>
      </c>
      <c r="D4024" s="59">
        <v>33.0</v>
      </c>
      <c r="E4024" s="59">
        <v>33.0</v>
      </c>
      <c r="F4024" s="59">
        <v>33.0</v>
      </c>
      <c r="G4024" s="60">
        <v>1.0</v>
      </c>
      <c r="H4024" s="60">
        <v>0.181818181818181</v>
      </c>
      <c r="I4024" s="60">
        <v>409.592399636363</v>
      </c>
      <c r="J4024" s="59">
        <v>69.0</v>
      </c>
      <c r="K4024" s="61">
        <f t="shared" si="1"/>
        <v>1</v>
      </c>
      <c r="L4024" s="62">
        <f t="shared" si="2"/>
        <v>2.090909091</v>
      </c>
    </row>
    <row r="4025">
      <c r="A4025" s="58">
        <v>45839.0</v>
      </c>
      <c r="B4025" s="24" t="s">
        <v>6790</v>
      </c>
      <c r="C4025" s="24" t="s">
        <v>6788</v>
      </c>
      <c r="D4025" s="59">
        <v>31.0</v>
      </c>
      <c r="E4025" s="59">
        <v>39.0</v>
      </c>
      <c r="F4025" s="59">
        <v>25.0</v>
      </c>
      <c r="G4025" s="60">
        <v>1.25806451612903</v>
      </c>
      <c r="H4025" s="60">
        <v>0.564102564102564</v>
      </c>
      <c r="I4025" s="60">
        <v>73.1308783076923</v>
      </c>
      <c r="J4025" s="59">
        <v>69.0</v>
      </c>
      <c r="K4025" s="61">
        <f t="shared" si="1"/>
        <v>0.641025641</v>
      </c>
      <c r="L4025" s="62">
        <f t="shared" si="2"/>
        <v>1.769230769</v>
      </c>
    </row>
    <row r="4026">
      <c r="A4026" s="58">
        <v>45839.0</v>
      </c>
      <c r="B4026" s="24" t="s">
        <v>6789</v>
      </c>
      <c r="C4026" s="24" t="s">
        <v>7068</v>
      </c>
      <c r="D4026" s="59">
        <v>31.0</v>
      </c>
      <c r="E4026" s="59">
        <v>35.0</v>
      </c>
      <c r="F4026" s="59">
        <v>29.0</v>
      </c>
      <c r="G4026" s="60">
        <v>1.12903225806451</v>
      </c>
      <c r="H4026" s="60">
        <v>0.285714285714285</v>
      </c>
      <c r="I4026" s="60">
        <v>126.652866</v>
      </c>
      <c r="J4026" s="59">
        <v>38.0</v>
      </c>
      <c r="K4026" s="61">
        <f t="shared" si="1"/>
        <v>0.8285714286</v>
      </c>
      <c r="L4026" s="62">
        <f t="shared" si="2"/>
        <v>1.085714286</v>
      </c>
    </row>
    <row r="4027">
      <c r="A4027" s="58">
        <v>45839.0</v>
      </c>
      <c r="B4027" s="24" t="s">
        <v>3216</v>
      </c>
      <c r="C4027" s="24" t="s">
        <v>6826</v>
      </c>
      <c r="D4027" s="59">
        <v>31.0</v>
      </c>
      <c r="E4027" s="59">
        <v>31.0</v>
      </c>
      <c r="F4027" s="59">
        <v>30.0</v>
      </c>
      <c r="G4027" s="60">
        <v>1.0</v>
      </c>
      <c r="H4027" s="60">
        <v>0.612903225806451</v>
      </c>
      <c r="I4027" s="60">
        <v>11.7402151612903</v>
      </c>
      <c r="J4027" s="59">
        <v>57.0</v>
      </c>
      <c r="K4027" s="61">
        <f t="shared" si="1"/>
        <v>0.9677419355</v>
      </c>
      <c r="L4027" s="62">
        <f t="shared" si="2"/>
        <v>1.838709677</v>
      </c>
    </row>
    <row r="4028">
      <c r="A4028" s="58">
        <v>45839.0</v>
      </c>
      <c r="B4028" s="24" t="s">
        <v>155</v>
      </c>
      <c r="C4028" s="24" t="s">
        <v>6792</v>
      </c>
      <c r="D4028" s="59">
        <v>29.0</v>
      </c>
      <c r="E4028" s="59">
        <v>37.0</v>
      </c>
      <c r="F4028" s="59">
        <v>0.0</v>
      </c>
      <c r="G4028" s="60">
        <v>1.68181818181818</v>
      </c>
      <c r="H4028" s="60">
        <v>0.945945945945945</v>
      </c>
      <c r="I4028" s="60">
        <v>8.81311918918919</v>
      </c>
      <c r="J4028" s="59">
        <v>0.0</v>
      </c>
      <c r="K4028" s="61">
        <f t="shared" si="1"/>
        <v>0</v>
      </c>
      <c r="L4028" s="62">
        <f t="shared" si="2"/>
        <v>0</v>
      </c>
    </row>
    <row r="4029">
      <c r="A4029" s="58">
        <v>45839.0</v>
      </c>
      <c r="B4029" s="24" t="s">
        <v>3216</v>
      </c>
      <c r="C4029" s="24" t="s">
        <v>6963</v>
      </c>
      <c r="D4029" s="59">
        <v>28.0</v>
      </c>
      <c r="E4029" s="59">
        <v>28.0</v>
      </c>
      <c r="F4029" s="59">
        <v>28.0</v>
      </c>
      <c r="G4029" s="60">
        <v>1.0</v>
      </c>
      <c r="H4029" s="60">
        <v>0.75</v>
      </c>
      <c r="I4029" s="60">
        <v>1.69532925</v>
      </c>
      <c r="J4029" s="59">
        <v>37.0</v>
      </c>
      <c r="K4029" s="61">
        <f t="shared" si="1"/>
        <v>1</v>
      </c>
      <c r="L4029" s="62">
        <f t="shared" si="2"/>
        <v>1.321428571</v>
      </c>
    </row>
    <row r="4030">
      <c r="A4030" s="58">
        <v>45839.0</v>
      </c>
      <c r="B4030" s="24" t="s">
        <v>6789</v>
      </c>
      <c r="C4030" s="24" t="s">
        <v>6808</v>
      </c>
      <c r="D4030" s="59">
        <v>25.0</v>
      </c>
      <c r="E4030" s="59">
        <v>28.0</v>
      </c>
      <c r="F4030" s="59">
        <v>18.0</v>
      </c>
      <c r="G4030" s="60">
        <v>1.21739130434782</v>
      </c>
      <c r="H4030" s="60">
        <v>0.464285714285714</v>
      </c>
      <c r="I4030" s="60">
        <v>128.5404565</v>
      </c>
      <c r="J4030" s="59">
        <v>52.0</v>
      </c>
      <c r="K4030" s="61">
        <f t="shared" si="1"/>
        <v>0.6428571429</v>
      </c>
      <c r="L4030" s="62">
        <f t="shared" si="2"/>
        <v>1.857142857</v>
      </c>
    </row>
    <row r="4031">
      <c r="A4031" s="58">
        <v>45839.0</v>
      </c>
      <c r="B4031" s="24" t="s">
        <v>6787</v>
      </c>
      <c r="C4031" s="24" t="s">
        <v>6810</v>
      </c>
      <c r="D4031" s="59">
        <v>21.0</v>
      </c>
      <c r="E4031" s="59">
        <v>25.0</v>
      </c>
      <c r="F4031" s="59">
        <v>21.0</v>
      </c>
      <c r="G4031" s="60">
        <v>1.19047619047619</v>
      </c>
      <c r="H4031" s="60">
        <v>0.44</v>
      </c>
      <c r="I4031" s="60">
        <v>222.534629759999</v>
      </c>
      <c r="J4031" s="59">
        <v>45.0</v>
      </c>
      <c r="K4031" s="61">
        <f t="shared" si="1"/>
        <v>0.84</v>
      </c>
      <c r="L4031" s="62">
        <f t="shared" si="2"/>
        <v>1.8</v>
      </c>
    </row>
    <row r="4032">
      <c r="A4032" s="58">
        <v>45839.0</v>
      </c>
      <c r="B4032" s="24" t="s">
        <v>6787</v>
      </c>
      <c r="C4032" s="24" t="s">
        <v>6799</v>
      </c>
      <c r="D4032" s="59">
        <v>20.0</v>
      </c>
      <c r="E4032" s="59">
        <v>20.0</v>
      </c>
      <c r="F4032" s="59">
        <v>19.0</v>
      </c>
      <c r="G4032" s="60">
        <v>1.0</v>
      </c>
      <c r="H4032" s="60">
        <v>0.35</v>
      </c>
      <c r="I4032" s="60">
        <v>26.8364547499999</v>
      </c>
      <c r="J4032" s="59">
        <v>22.0</v>
      </c>
      <c r="K4032" s="61">
        <f t="shared" si="1"/>
        <v>0.95</v>
      </c>
      <c r="L4032" s="62">
        <f t="shared" si="2"/>
        <v>1.1</v>
      </c>
    </row>
    <row r="4033">
      <c r="A4033" s="58">
        <v>45839.0</v>
      </c>
      <c r="B4033" s="24" t="s">
        <v>6789</v>
      </c>
      <c r="C4033" s="24" t="s">
        <v>6802</v>
      </c>
      <c r="D4033" s="59">
        <v>19.0</v>
      </c>
      <c r="E4033" s="59">
        <v>21.0</v>
      </c>
      <c r="F4033" s="59">
        <v>8.0</v>
      </c>
      <c r="G4033" s="60">
        <v>1.5</v>
      </c>
      <c r="H4033" s="60">
        <v>0.571428571428571</v>
      </c>
      <c r="I4033" s="60">
        <v>96.8967692380952</v>
      </c>
      <c r="J4033" s="59">
        <v>29.0</v>
      </c>
      <c r="K4033" s="61">
        <f t="shared" si="1"/>
        <v>0.380952381</v>
      </c>
      <c r="L4033" s="62">
        <f t="shared" si="2"/>
        <v>1.380952381</v>
      </c>
    </row>
    <row r="4034">
      <c r="A4034" s="58">
        <v>45839.0</v>
      </c>
      <c r="B4034" s="24" t="s">
        <v>6790</v>
      </c>
      <c r="C4034" s="24" t="s">
        <v>6792</v>
      </c>
      <c r="D4034" s="59">
        <v>17.0</v>
      </c>
      <c r="E4034" s="59">
        <v>18.0</v>
      </c>
      <c r="F4034" s="59">
        <v>0.0</v>
      </c>
      <c r="G4034" s="60">
        <v>1.125</v>
      </c>
      <c r="H4034" s="60">
        <v>1.0</v>
      </c>
      <c r="I4034" s="60">
        <v>1.31905655555555</v>
      </c>
      <c r="J4034" s="59">
        <v>0.0</v>
      </c>
      <c r="K4034" s="61">
        <f t="shared" si="1"/>
        <v>0</v>
      </c>
      <c r="L4034" s="62">
        <f t="shared" si="2"/>
        <v>0</v>
      </c>
    </row>
    <row r="4035">
      <c r="A4035" s="58">
        <v>45839.0</v>
      </c>
      <c r="B4035" s="24" t="s">
        <v>6787</v>
      </c>
      <c r="C4035" s="24" t="s">
        <v>6910</v>
      </c>
      <c r="D4035" s="59">
        <v>15.0</v>
      </c>
      <c r="E4035" s="59">
        <v>18.0</v>
      </c>
      <c r="F4035" s="59">
        <v>10.0</v>
      </c>
      <c r="G4035" s="60">
        <v>1.28571428571428</v>
      </c>
      <c r="H4035" s="60">
        <v>0.611111111111111</v>
      </c>
      <c r="I4035" s="60">
        <v>25.2319002777777</v>
      </c>
      <c r="J4035" s="59">
        <v>28.0</v>
      </c>
      <c r="K4035" s="61">
        <f t="shared" si="1"/>
        <v>0.5555555556</v>
      </c>
      <c r="L4035" s="62">
        <f t="shared" si="2"/>
        <v>1.555555556</v>
      </c>
    </row>
    <row r="4036">
      <c r="A4036" s="58">
        <v>45839.0</v>
      </c>
      <c r="B4036" s="24" t="s">
        <v>6787</v>
      </c>
      <c r="C4036" s="24" t="s">
        <v>6804</v>
      </c>
      <c r="D4036" s="59">
        <v>14.0</v>
      </c>
      <c r="E4036" s="59">
        <v>16.0</v>
      </c>
      <c r="F4036" s="59">
        <v>14.0</v>
      </c>
      <c r="G4036" s="60">
        <v>1.14285714285714</v>
      </c>
      <c r="H4036" s="60">
        <v>0.5625</v>
      </c>
      <c r="I4036" s="60">
        <v>63.0590966875</v>
      </c>
      <c r="J4036" s="59">
        <v>18.0</v>
      </c>
      <c r="K4036" s="61">
        <f t="shared" si="1"/>
        <v>0.875</v>
      </c>
      <c r="L4036" s="62">
        <f t="shared" si="2"/>
        <v>1.125</v>
      </c>
    </row>
    <row r="4037">
      <c r="A4037" s="58">
        <v>45839.0</v>
      </c>
      <c r="B4037" s="24" t="s">
        <v>6789</v>
      </c>
      <c r="C4037" s="24" t="s">
        <v>6910</v>
      </c>
      <c r="D4037" s="59">
        <v>14.0</v>
      </c>
      <c r="E4037" s="59">
        <v>20.0</v>
      </c>
      <c r="F4037" s="59">
        <v>4.0</v>
      </c>
      <c r="G4037" s="60">
        <v>2.22222222222222</v>
      </c>
      <c r="H4037" s="60">
        <v>0.75</v>
      </c>
      <c r="I4037" s="60">
        <v>283.14997735</v>
      </c>
      <c r="J4037" s="59">
        <v>42.0</v>
      </c>
      <c r="K4037" s="61">
        <f t="shared" si="1"/>
        <v>0.2</v>
      </c>
      <c r="L4037" s="62">
        <f t="shared" si="2"/>
        <v>2.1</v>
      </c>
    </row>
    <row r="4038">
      <c r="A4038" s="58">
        <v>45839.0</v>
      </c>
      <c r="B4038" s="24" t="s">
        <v>6789</v>
      </c>
      <c r="C4038" s="24" t="s">
        <v>6804</v>
      </c>
      <c r="D4038" s="59">
        <v>13.0</v>
      </c>
      <c r="E4038" s="59">
        <v>13.0</v>
      </c>
      <c r="F4038" s="59">
        <v>13.0</v>
      </c>
      <c r="G4038" s="60">
        <v>1.0</v>
      </c>
      <c r="H4038" s="60">
        <v>0.307692307692307</v>
      </c>
      <c r="I4038" s="60">
        <v>165.16514576923</v>
      </c>
      <c r="J4038" s="59">
        <v>16.0</v>
      </c>
      <c r="K4038" s="61">
        <f t="shared" si="1"/>
        <v>1</v>
      </c>
      <c r="L4038" s="62">
        <f t="shared" si="2"/>
        <v>1.230769231</v>
      </c>
    </row>
    <row r="4039">
      <c r="A4039" s="58">
        <v>45839.0</v>
      </c>
      <c r="B4039" s="24" t="s">
        <v>6789</v>
      </c>
      <c r="C4039" s="24" t="s">
        <v>6806</v>
      </c>
      <c r="D4039" s="59">
        <v>13.0</v>
      </c>
      <c r="E4039" s="59">
        <v>21.0</v>
      </c>
      <c r="F4039" s="59">
        <v>12.0</v>
      </c>
      <c r="G4039" s="60">
        <v>1.75</v>
      </c>
      <c r="H4039" s="60">
        <v>0.476190476190476</v>
      </c>
      <c r="I4039" s="60">
        <v>220.537132714285</v>
      </c>
      <c r="J4039" s="59">
        <v>28.0</v>
      </c>
      <c r="K4039" s="61">
        <f t="shared" si="1"/>
        <v>0.5714285714</v>
      </c>
      <c r="L4039" s="62">
        <f t="shared" si="2"/>
        <v>1.333333333</v>
      </c>
    </row>
    <row r="4040">
      <c r="A4040" s="58">
        <v>45839.0</v>
      </c>
      <c r="B4040" s="24" t="s">
        <v>6789</v>
      </c>
      <c r="C4040" s="24" t="s">
        <v>6796</v>
      </c>
      <c r="D4040" s="59">
        <v>13.0</v>
      </c>
      <c r="E4040" s="59">
        <v>14.0</v>
      </c>
      <c r="F4040" s="59">
        <v>10.0</v>
      </c>
      <c r="G4040" s="60">
        <v>1.07692307692307</v>
      </c>
      <c r="H4040" s="60">
        <v>0.428571428571428</v>
      </c>
      <c r="I4040" s="60">
        <v>45.9063433571428</v>
      </c>
      <c r="J4040" s="59">
        <v>17.0</v>
      </c>
      <c r="K4040" s="61">
        <f t="shared" si="1"/>
        <v>0.7142857143</v>
      </c>
      <c r="L4040" s="62">
        <f t="shared" si="2"/>
        <v>1.214285714</v>
      </c>
    </row>
    <row r="4041">
      <c r="A4041" s="58">
        <v>45839.0</v>
      </c>
      <c r="B4041" s="24" t="s">
        <v>155</v>
      </c>
      <c r="C4041" s="24" t="s">
        <v>6800</v>
      </c>
      <c r="D4041" s="59">
        <v>13.0</v>
      </c>
      <c r="E4041" s="59">
        <v>13.0</v>
      </c>
      <c r="F4041" s="59">
        <v>12.0</v>
      </c>
      <c r="G4041" s="60">
        <v>1.0</v>
      </c>
      <c r="H4041" s="60">
        <v>0.0</v>
      </c>
      <c r="I4041" s="60">
        <v>130.724786615384</v>
      </c>
      <c r="J4041" s="59">
        <v>27.0</v>
      </c>
      <c r="K4041" s="61">
        <f t="shared" si="1"/>
        <v>0.9230769231</v>
      </c>
      <c r="L4041" s="62">
        <f t="shared" si="2"/>
        <v>2.076923077</v>
      </c>
    </row>
    <row r="4042">
      <c r="A4042" s="58">
        <v>45839.0</v>
      </c>
      <c r="B4042" s="24" t="s">
        <v>6787</v>
      </c>
      <c r="C4042" s="24" t="s">
        <v>6802</v>
      </c>
      <c r="D4042" s="59">
        <v>13.0</v>
      </c>
      <c r="E4042" s="59">
        <v>14.0</v>
      </c>
      <c r="F4042" s="59">
        <v>10.0</v>
      </c>
      <c r="G4042" s="60">
        <v>1.07692307692307</v>
      </c>
      <c r="H4042" s="60">
        <v>0.214285714285714</v>
      </c>
      <c r="I4042" s="60">
        <v>113.073179214285</v>
      </c>
      <c r="J4042" s="59">
        <v>52.0</v>
      </c>
      <c r="K4042" s="61">
        <f t="shared" si="1"/>
        <v>0.7142857143</v>
      </c>
      <c r="L4042" s="62">
        <f t="shared" si="2"/>
        <v>3.714285714</v>
      </c>
    </row>
    <row r="4043">
      <c r="A4043" s="58">
        <v>45839.0</v>
      </c>
      <c r="B4043" s="24" t="s">
        <v>6789</v>
      </c>
      <c r="C4043" s="24" t="s">
        <v>7024</v>
      </c>
      <c r="D4043" s="59">
        <v>12.0</v>
      </c>
      <c r="E4043" s="59">
        <v>18.0</v>
      </c>
      <c r="F4043" s="59">
        <v>11.0</v>
      </c>
      <c r="G4043" s="60">
        <v>1.63636363636363</v>
      </c>
      <c r="H4043" s="60">
        <v>0.722222222222222</v>
      </c>
      <c r="I4043" s="60">
        <v>89.2532887777777</v>
      </c>
      <c r="J4043" s="59">
        <v>18.0</v>
      </c>
      <c r="K4043" s="61">
        <f t="shared" si="1"/>
        <v>0.6111111111</v>
      </c>
      <c r="L4043" s="62">
        <f t="shared" si="2"/>
        <v>1</v>
      </c>
    </row>
    <row r="4044">
      <c r="A4044" s="58">
        <v>45839.0</v>
      </c>
      <c r="B4044" s="24" t="s">
        <v>6789</v>
      </c>
      <c r="C4044" s="24" t="s">
        <v>6882</v>
      </c>
      <c r="D4044" s="59">
        <v>11.0</v>
      </c>
      <c r="E4044" s="59">
        <v>12.0</v>
      </c>
      <c r="F4044" s="59">
        <v>11.0</v>
      </c>
      <c r="G4044" s="60">
        <v>1.09090909090909</v>
      </c>
      <c r="H4044" s="60">
        <v>0.5</v>
      </c>
      <c r="I4044" s="60">
        <v>201.999793083333</v>
      </c>
      <c r="J4044" s="59">
        <v>17.0</v>
      </c>
      <c r="K4044" s="61">
        <f t="shared" si="1"/>
        <v>0.9166666667</v>
      </c>
      <c r="L4044" s="62">
        <f t="shared" si="2"/>
        <v>1.416666667</v>
      </c>
    </row>
    <row r="4045">
      <c r="A4045" s="58">
        <v>45839.0</v>
      </c>
      <c r="B4045" s="24" t="s">
        <v>6789</v>
      </c>
      <c r="C4045" s="24" t="s">
        <v>7021</v>
      </c>
      <c r="D4045" s="59">
        <v>11.0</v>
      </c>
      <c r="E4045" s="59">
        <v>13.0</v>
      </c>
      <c r="F4045" s="59">
        <v>8.0</v>
      </c>
      <c r="G4045" s="60">
        <v>1.18181818181818</v>
      </c>
      <c r="H4045" s="60">
        <v>0.461538461538461</v>
      </c>
      <c r="I4045" s="60">
        <v>201.276626538461</v>
      </c>
      <c r="J4045" s="59">
        <v>30.0</v>
      </c>
      <c r="K4045" s="61">
        <f t="shared" si="1"/>
        <v>0.6153846154</v>
      </c>
      <c r="L4045" s="62">
        <f t="shared" si="2"/>
        <v>2.307692308</v>
      </c>
    </row>
    <row r="4046">
      <c r="A4046" s="58">
        <v>45839.0</v>
      </c>
      <c r="B4046" s="24" t="s">
        <v>6791</v>
      </c>
      <c r="C4046" s="24" t="s">
        <v>7021</v>
      </c>
      <c r="D4046" s="59">
        <v>11.0</v>
      </c>
      <c r="E4046" s="59">
        <v>12.0</v>
      </c>
      <c r="F4046" s="59">
        <v>9.0</v>
      </c>
      <c r="G4046" s="60">
        <v>1.09090909090909</v>
      </c>
      <c r="H4046" s="60">
        <v>0.416666666666666</v>
      </c>
      <c r="I4046" s="60">
        <v>216.803469916666</v>
      </c>
      <c r="J4046" s="59">
        <v>17.0</v>
      </c>
      <c r="K4046" s="61">
        <f t="shared" si="1"/>
        <v>0.75</v>
      </c>
      <c r="L4046" s="62">
        <f t="shared" si="2"/>
        <v>1.416666667</v>
      </c>
    </row>
    <row r="4047">
      <c r="A4047" s="58">
        <v>45839.0</v>
      </c>
      <c r="B4047" s="24" t="s">
        <v>6789</v>
      </c>
      <c r="C4047" s="24" t="s">
        <v>6822</v>
      </c>
      <c r="D4047" s="59">
        <v>11.0</v>
      </c>
      <c r="E4047" s="59">
        <v>11.0</v>
      </c>
      <c r="F4047" s="59">
        <v>4.0</v>
      </c>
      <c r="G4047" s="60">
        <v>1.1</v>
      </c>
      <c r="H4047" s="60">
        <v>0.454545454545454</v>
      </c>
      <c r="I4047" s="60">
        <v>346.421874636363</v>
      </c>
      <c r="J4047" s="59">
        <v>26.0</v>
      </c>
      <c r="K4047" s="61">
        <f t="shared" si="1"/>
        <v>0.3636363636</v>
      </c>
      <c r="L4047" s="62">
        <f t="shared" si="2"/>
        <v>2.363636364</v>
      </c>
    </row>
    <row r="4048">
      <c r="A4048" s="58">
        <v>45839.0</v>
      </c>
      <c r="B4048" s="24" t="s">
        <v>6789</v>
      </c>
      <c r="C4048" s="24" t="s">
        <v>6841</v>
      </c>
      <c r="D4048" s="59">
        <v>11.0</v>
      </c>
      <c r="E4048" s="59">
        <v>16.0</v>
      </c>
      <c r="F4048" s="59">
        <v>11.0</v>
      </c>
      <c r="G4048" s="60">
        <v>1.45454545454545</v>
      </c>
      <c r="H4048" s="60">
        <v>0.5625</v>
      </c>
      <c r="I4048" s="60">
        <v>126.1024563125</v>
      </c>
      <c r="J4048" s="59">
        <v>20.0</v>
      </c>
      <c r="K4048" s="61">
        <f t="shared" si="1"/>
        <v>0.6875</v>
      </c>
      <c r="L4048" s="62">
        <f t="shared" si="2"/>
        <v>1.25</v>
      </c>
    </row>
    <row r="4049">
      <c r="A4049" s="58">
        <v>45839.0</v>
      </c>
      <c r="B4049" s="24" t="s">
        <v>6789</v>
      </c>
      <c r="C4049" s="24" t="s">
        <v>6811</v>
      </c>
      <c r="D4049" s="59">
        <v>11.0</v>
      </c>
      <c r="E4049" s="59">
        <v>12.0</v>
      </c>
      <c r="F4049" s="59">
        <v>11.0</v>
      </c>
      <c r="G4049" s="60">
        <v>1.09090909090909</v>
      </c>
      <c r="H4049" s="60">
        <v>0.666666666666666</v>
      </c>
      <c r="I4049" s="60">
        <v>156.278478166666</v>
      </c>
      <c r="J4049" s="59">
        <v>18.0</v>
      </c>
      <c r="K4049" s="61">
        <f t="shared" si="1"/>
        <v>0.9166666667</v>
      </c>
      <c r="L4049" s="62">
        <f t="shared" si="2"/>
        <v>1.5</v>
      </c>
    </row>
    <row r="4050">
      <c r="A4050" s="58">
        <v>45839.0</v>
      </c>
      <c r="B4050" s="24" t="s">
        <v>6787</v>
      </c>
      <c r="C4050" s="24" t="s">
        <v>6801</v>
      </c>
      <c r="D4050" s="59">
        <v>11.0</v>
      </c>
      <c r="E4050" s="59">
        <v>11.0</v>
      </c>
      <c r="F4050" s="59">
        <v>11.0</v>
      </c>
      <c r="G4050" s="60">
        <v>1.0</v>
      </c>
      <c r="H4050" s="60">
        <v>0.545454545454545</v>
      </c>
      <c r="I4050" s="60">
        <v>21.8491971818181</v>
      </c>
      <c r="J4050" s="59">
        <v>13.0</v>
      </c>
      <c r="K4050" s="61">
        <f t="shared" si="1"/>
        <v>1</v>
      </c>
      <c r="L4050" s="62">
        <f t="shared" si="2"/>
        <v>1.181818182</v>
      </c>
    </row>
    <row r="4051">
      <c r="A4051" s="58">
        <v>45839.0</v>
      </c>
      <c r="B4051" s="24" t="s">
        <v>6789</v>
      </c>
      <c r="C4051" s="24" t="s">
        <v>6876</v>
      </c>
      <c r="D4051" s="59">
        <v>10.0</v>
      </c>
      <c r="E4051" s="59">
        <v>12.0</v>
      </c>
      <c r="F4051" s="59">
        <v>9.0</v>
      </c>
      <c r="G4051" s="60">
        <v>1.33333333333333</v>
      </c>
      <c r="H4051" s="60">
        <v>0.666666666666666</v>
      </c>
      <c r="I4051" s="60">
        <v>52.3235051666666</v>
      </c>
      <c r="J4051" s="59">
        <v>18.0</v>
      </c>
      <c r="K4051" s="61">
        <f t="shared" si="1"/>
        <v>0.75</v>
      </c>
      <c r="L4051" s="62">
        <f t="shared" si="2"/>
        <v>1.5</v>
      </c>
    </row>
    <row r="4052">
      <c r="A4052" s="58">
        <v>45839.0</v>
      </c>
      <c r="B4052" s="24" t="s">
        <v>6789</v>
      </c>
      <c r="C4052" s="24" t="s">
        <v>6886</v>
      </c>
      <c r="D4052" s="59">
        <v>10.0</v>
      </c>
      <c r="E4052" s="59">
        <v>11.0</v>
      </c>
      <c r="F4052" s="59">
        <v>3.0</v>
      </c>
      <c r="G4052" s="60">
        <v>1.22222222222222</v>
      </c>
      <c r="H4052" s="60">
        <v>0.636363636363636</v>
      </c>
      <c r="I4052" s="60">
        <v>220.55390290909</v>
      </c>
      <c r="J4052" s="59">
        <v>22.0</v>
      </c>
      <c r="K4052" s="61">
        <f t="shared" si="1"/>
        <v>0.2727272727</v>
      </c>
      <c r="L4052" s="62">
        <f t="shared" si="2"/>
        <v>2</v>
      </c>
    </row>
    <row r="4053">
      <c r="A4053" s="58">
        <v>45839.0</v>
      </c>
      <c r="B4053" s="24" t="s">
        <v>6787</v>
      </c>
      <c r="C4053" s="24" t="s">
        <v>6796</v>
      </c>
      <c r="D4053" s="59">
        <v>10.0</v>
      </c>
      <c r="E4053" s="59">
        <v>10.0</v>
      </c>
      <c r="F4053" s="59">
        <v>10.0</v>
      </c>
      <c r="G4053" s="60">
        <v>1.0</v>
      </c>
      <c r="H4053" s="60">
        <v>0.7</v>
      </c>
      <c r="I4053" s="60">
        <v>12.5618071</v>
      </c>
      <c r="J4053" s="59">
        <v>13.0</v>
      </c>
      <c r="K4053" s="61">
        <f t="shared" si="1"/>
        <v>1</v>
      </c>
      <c r="L4053" s="62">
        <f t="shared" si="2"/>
        <v>1.3</v>
      </c>
    </row>
    <row r="4054">
      <c r="A4054" s="58">
        <v>45839.0</v>
      </c>
      <c r="B4054" s="24" t="s">
        <v>6789</v>
      </c>
      <c r="C4054" s="24" t="s">
        <v>6797</v>
      </c>
      <c r="D4054" s="59">
        <v>10.0</v>
      </c>
      <c r="E4054" s="59">
        <v>10.0</v>
      </c>
      <c r="F4054" s="59">
        <v>3.0</v>
      </c>
      <c r="G4054" s="60">
        <v>1.11111111111111</v>
      </c>
      <c r="H4054" s="60">
        <v>0.5</v>
      </c>
      <c r="I4054" s="60">
        <v>149.629173999999</v>
      </c>
      <c r="J4054" s="59">
        <v>26.0</v>
      </c>
      <c r="K4054" s="61">
        <f t="shared" si="1"/>
        <v>0.3</v>
      </c>
      <c r="L4054" s="62">
        <f t="shared" si="2"/>
        <v>2.6</v>
      </c>
    </row>
    <row r="4055">
      <c r="A4055" s="58">
        <v>45839.0</v>
      </c>
      <c r="B4055" s="24" t="s">
        <v>3216</v>
      </c>
      <c r="C4055" s="24" t="s">
        <v>6792</v>
      </c>
      <c r="D4055" s="59">
        <v>9.0</v>
      </c>
      <c r="E4055" s="59">
        <v>9.0</v>
      </c>
      <c r="F4055" s="59">
        <v>0.0</v>
      </c>
      <c r="G4055" s="60">
        <v>1.8</v>
      </c>
      <c r="H4055" s="60">
        <v>0.888888888888888</v>
      </c>
      <c r="I4055" s="60">
        <v>5.60871111111111</v>
      </c>
      <c r="J4055" s="59">
        <v>0.0</v>
      </c>
      <c r="K4055" s="61">
        <f t="shared" si="1"/>
        <v>0</v>
      </c>
      <c r="L4055" s="62">
        <f t="shared" si="2"/>
        <v>0</v>
      </c>
    </row>
    <row r="4056">
      <c r="A4056" s="58">
        <v>45839.0</v>
      </c>
      <c r="B4056" s="24" t="s">
        <v>6789</v>
      </c>
      <c r="C4056" s="24" t="s">
        <v>7077</v>
      </c>
      <c r="D4056" s="59">
        <v>9.0</v>
      </c>
      <c r="E4056" s="59">
        <v>13.0</v>
      </c>
      <c r="F4056" s="59">
        <v>8.0</v>
      </c>
      <c r="G4056" s="60">
        <v>1.44444444444444</v>
      </c>
      <c r="H4056" s="60">
        <v>0.538461538461538</v>
      </c>
      <c r="I4056" s="60">
        <v>273.929714</v>
      </c>
      <c r="J4056" s="59">
        <v>19.0</v>
      </c>
      <c r="K4056" s="61">
        <f t="shared" si="1"/>
        <v>0.6153846154</v>
      </c>
      <c r="L4056" s="62">
        <f t="shared" si="2"/>
        <v>1.461538462</v>
      </c>
    </row>
    <row r="4057">
      <c r="A4057" s="58">
        <v>45839.0</v>
      </c>
      <c r="B4057" s="24" t="s">
        <v>6789</v>
      </c>
      <c r="C4057" s="24" t="s">
        <v>6844</v>
      </c>
      <c r="D4057" s="59">
        <v>9.0</v>
      </c>
      <c r="E4057" s="59">
        <v>10.0</v>
      </c>
      <c r="F4057" s="59">
        <v>8.0</v>
      </c>
      <c r="G4057" s="60">
        <v>1.25</v>
      </c>
      <c r="H4057" s="60">
        <v>0.5</v>
      </c>
      <c r="I4057" s="60">
        <v>206.2557254</v>
      </c>
      <c r="J4057" s="59">
        <v>14.0</v>
      </c>
      <c r="K4057" s="61">
        <f t="shared" si="1"/>
        <v>0.8</v>
      </c>
      <c r="L4057" s="62">
        <f t="shared" si="2"/>
        <v>1.4</v>
      </c>
    </row>
    <row r="4058">
      <c r="A4058" s="58">
        <v>45839.0</v>
      </c>
      <c r="B4058" s="24" t="s">
        <v>6787</v>
      </c>
      <c r="C4058" s="24" t="s">
        <v>6800</v>
      </c>
      <c r="D4058" s="59">
        <v>9.0</v>
      </c>
      <c r="E4058" s="59">
        <v>9.0</v>
      </c>
      <c r="F4058" s="59">
        <v>9.0</v>
      </c>
      <c r="G4058" s="60">
        <v>1.0</v>
      </c>
      <c r="H4058" s="60">
        <v>0.333333333333333</v>
      </c>
      <c r="I4058" s="60">
        <v>26.0897783333333</v>
      </c>
      <c r="J4058" s="59">
        <v>12.0</v>
      </c>
      <c r="K4058" s="61">
        <f t="shared" si="1"/>
        <v>1</v>
      </c>
      <c r="L4058" s="62">
        <f t="shared" si="2"/>
        <v>1.333333333</v>
      </c>
    </row>
    <row r="4059">
      <c r="A4059" s="58">
        <v>45839.0</v>
      </c>
      <c r="B4059" s="24" t="s">
        <v>6787</v>
      </c>
      <c r="C4059" s="24" t="s">
        <v>6809</v>
      </c>
      <c r="D4059" s="59">
        <v>9.0</v>
      </c>
      <c r="E4059" s="59">
        <v>9.0</v>
      </c>
      <c r="F4059" s="59">
        <v>9.0</v>
      </c>
      <c r="G4059" s="60">
        <v>1.0</v>
      </c>
      <c r="H4059" s="60">
        <v>0.555555555555555</v>
      </c>
      <c r="I4059" s="60">
        <v>58.6112137777777</v>
      </c>
      <c r="J4059" s="59">
        <v>12.0</v>
      </c>
      <c r="K4059" s="61">
        <f t="shared" si="1"/>
        <v>1</v>
      </c>
      <c r="L4059" s="62">
        <f t="shared" si="2"/>
        <v>1.333333333</v>
      </c>
    </row>
    <row r="4060">
      <c r="A4060" s="58">
        <v>45839.0</v>
      </c>
      <c r="B4060" s="24" t="s">
        <v>6789</v>
      </c>
      <c r="C4060" s="24" t="s">
        <v>6812</v>
      </c>
      <c r="D4060" s="59">
        <v>9.0</v>
      </c>
      <c r="E4060" s="59">
        <v>9.0</v>
      </c>
      <c r="F4060" s="59">
        <v>7.0</v>
      </c>
      <c r="G4060" s="60">
        <v>1.0</v>
      </c>
      <c r="H4060" s="60">
        <v>0.666666666666666</v>
      </c>
      <c r="I4060" s="60">
        <v>186.959274888888</v>
      </c>
      <c r="J4060" s="59">
        <v>16.0</v>
      </c>
      <c r="K4060" s="61">
        <f t="shared" si="1"/>
        <v>0.7777777778</v>
      </c>
      <c r="L4060" s="62">
        <f t="shared" si="2"/>
        <v>1.777777778</v>
      </c>
    </row>
    <row r="4061">
      <c r="A4061" s="58">
        <v>45839.0</v>
      </c>
      <c r="B4061" s="24" t="s">
        <v>6789</v>
      </c>
      <c r="C4061" s="24" t="s">
        <v>6801</v>
      </c>
      <c r="D4061" s="59">
        <v>9.0</v>
      </c>
      <c r="E4061" s="59">
        <v>9.0</v>
      </c>
      <c r="F4061" s="59">
        <v>7.0</v>
      </c>
      <c r="G4061" s="60">
        <v>1.125</v>
      </c>
      <c r="H4061" s="60">
        <v>0.444444444444444</v>
      </c>
      <c r="I4061" s="60">
        <v>167.592631444444</v>
      </c>
      <c r="J4061" s="59">
        <v>19.0</v>
      </c>
      <c r="K4061" s="61">
        <f t="shared" si="1"/>
        <v>0.7777777778</v>
      </c>
      <c r="L4061" s="62">
        <f t="shared" si="2"/>
        <v>2.111111111</v>
      </c>
    </row>
    <row r="4062">
      <c r="A4062" s="58">
        <v>45839.0</v>
      </c>
      <c r="B4062" s="24" t="s">
        <v>6789</v>
      </c>
      <c r="C4062" s="24" t="s">
        <v>6912</v>
      </c>
      <c r="D4062" s="59">
        <v>9.0</v>
      </c>
      <c r="E4062" s="59">
        <v>10.0</v>
      </c>
      <c r="F4062" s="59">
        <v>8.0</v>
      </c>
      <c r="G4062" s="60">
        <v>1.11111111111111</v>
      </c>
      <c r="H4062" s="60">
        <v>0.7</v>
      </c>
      <c r="I4062" s="60">
        <v>32.1394138</v>
      </c>
      <c r="J4062" s="59">
        <v>12.0</v>
      </c>
      <c r="K4062" s="61">
        <f t="shared" si="1"/>
        <v>0.8</v>
      </c>
      <c r="L4062" s="62">
        <f t="shared" si="2"/>
        <v>1.2</v>
      </c>
    </row>
    <row r="4063">
      <c r="A4063" s="58">
        <v>45839.0</v>
      </c>
      <c r="B4063" s="24" t="s">
        <v>6794</v>
      </c>
      <c r="C4063" s="24" t="s">
        <v>6792</v>
      </c>
      <c r="D4063" s="59">
        <v>8.0</v>
      </c>
      <c r="E4063" s="59">
        <v>11.0</v>
      </c>
      <c r="F4063" s="59">
        <v>0.0</v>
      </c>
      <c r="G4063" s="60">
        <v>1.83333333333333</v>
      </c>
      <c r="H4063" s="60">
        <v>1.0</v>
      </c>
      <c r="I4063" s="60">
        <v>0.101946545454545</v>
      </c>
      <c r="J4063" s="59">
        <v>0.0</v>
      </c>
      <c r="K4063" s="61">
        <f t="shared" si="1"/>
        <v>0</v>
      </c>
      <c r="L4063" s="62">
        <f t="shared" si="2"/>
        <v>0</v>
      </c>
    </row>
    <row r="4064">
      <c r="A4064" s="58">
        <v>45839.0</v>
      </c>
      <c r="B4064" s="24" t="s">
        <v>6789</v>
      </c>
      <c r="C4064" s="24" t="s">
        <v>6829</v>
      </c>
      <c r="D4064" s="59">
        <v>8.0</v>
      </c>
      <c r="E4064" s="59">
        <v>9.0</v>
      </c>
      <c r="F4064" s="59">
        <v>8.0</v>
      </c>
      <c r="G4064" s="60">
        <v>1.125</v>
      </c>
      <c r="H4064" s="60">
        <v>0.555555555555555</v>
      </c>
      <c r="I4064" s="60">
        <v>14.6623203333333</v>
      </c>
      <c r="J4064" s="59">
        <v>11.0</v>
      </c>
      <c r="K4064" s="61">
        <f t="shared" si="1"/>
        <v>0.8888888889</v>
      </c>
      <c r="L4064" s="62">
        <f t="shared" si="2"/>
        <v>1.222222222</v>
      </c>
    </row>
    <row r="4065">
      <c r="A4065" s="58">
        <v>45839.0</v>
      </c>
      <c r="B4065" s="24" t="s">
        <v>6789</v>
      </c>
      <c r="C4065" s="24" t="s">
        <v>6838</v>
      </c>
      <c r="D4065" s="59">
        <v>8.0</v>
      </c>
      <c r="E4065" s="59">
        <v>8.0</v>
      </c>
      <c r="F4065" s="59">
        <v>7.0</v>
      </c>
      <c r="G4065" s="60">
        <v>1.0</v>
      </c>
      <c r="H4065" s="60">
        <v>0.375</v>
      </c>
      <c r="I4065" s="60">
        <v>276.756890125</v>
      </c>
      <c r="J4065" s="59">
        <v>8.0</v>
      </c>
      <c r="K4065" s="61">
        <f t="shared" si="1"/>
        <v>0.875</v>
      </c>
      <c r="L4065" s="62">
        <f t="shared" si="2"/>
        <v>1</v>
      </c>
    </row>
    <row r="4066">
      <c r="A4066" s="58">
        <v>45839.0</v>
      </c>
      <c r="B4066" s="24" t="s">
        <v>6787</v>
      </c>
      <c r="C4066" s="24" t="s">
        <v>6851</v>
      </c>
      <c r="D4066" s="59">
        <v>8.0</v>
      </c>
      <c r="E4066" s="59">
        <v>9.0</v>
      </c>
      <c r="F4066" s="59">
        <v>4.0</v>
      </c>
      <c r="G4066" s="60">
        <v>1.125</v>
      </c>
      <c r="H4066" s="60">
        <v>0.222222222222222</v>
      </c>
      <c r="I4066" s="60">
        <v>841.598027444444</v>
      </c>
      <c r="J4066" s="59">
        <v>20.0</v>
      </c>
      <c r="K4066" s="61">
        <f t="shared" si="1"/>
        <v>0.4444444444</v>
      </c>
      <c r="L4066" s="62">
        <f t="shared" si="2"/>
        <v>2.222222222</v>
      </c>
    </row>
    <row r="4067">
      <c r="A4067" s="58">
        <v>45839.0</v>
      </c>
      <c r="B4067" s="24" t="s">
        <v>6787</v>
      </c>
      <c r="C4067" s="24" t="s">
        <v>6915</v>
      </c>
      <c r="D4067" s="59">
        <v>8.0</v>
      </c>
      <c r="E4067" s="59">
        <v>12.0</v>
      </c>
      <c r="F4067" s="59">
        <v>5.0</v>
      </c>
      <c r="G4067" s="60">
        <v>1.5</v>
      </c>
      <c r="H4067" s="60">
        <v>0.333333333333333</v>
      </c>
      <c r="I4067" s="60">
        <v>408.849316666666</v>
      </c>
      <c r="J4067" s="59">
        <v>36.0</v>
      </c>
      <c r="K4067" s="61">
        <f t="shared" si="1"/>
        <v>0.4166666667</v>
      </c>
      <c r="L4067" s="62">
        <f t="shared" si="2"/>
        <v>3</v>
      </c>
    </row>
    <row r="4068">
      <c r="A4068" s="58">
        <v>45839.0</v>
      </c>
      <c r="B4068" s="24" t="s">
        <v>6789</v>
      </c>
      <c r="C4068" s="24" t="s">
        <v>7039</v>
      </c>
      <c r="D4068" s="59">
        <v>7.0</v>
      </c>
      <c r="E4068" s="59">
        <v>8.0</v>
      </c>
      <c r="F4068" s="59">
        <v>3.0</v>
      </c>
      <c r="G4068" s="60">
        <v>1.14285714285714</v>
      </c>
      <c r="H4068" s="60">
        <v>0.5</v>
      </c>
      <c r="I4068" s="60">
        <v>259.903732</v>
      </c>
      <c r="J4068" s="59">
        <v>8.0</v>
      </c>
      <c r="K4068" s="61">
        <f t="shared" si="1"/>
        <v>0.375</v>
      </c>
      <c r="L4068" s="62">
        <f t="shared" si="2"/>
        <v>1</v>
      </c>
    </row>
    <row r="4069">
      <c r="A4069" s="58">
        <v>45839.0</v>
      </c>
      <c r="B4069" s="24" t="s">
        <v>3216</v>
      </c>
      <c r="C4069" s="24" t="s">
        <v>7070</v>
      </c>
      <c r="D4069" s="59">
        <v>7.0</v>
      </c>
      <c r="E4069" s="59">
        <v>7.0</v>
      </c>
      <c r="F4069" s="59">
        <v>7.0</v>
      </c>
      <c r="G4069" s="60">
        <v>1.0</v>
      </c>
      <c r="H4069" s="60">
        <v>1.0</v>
      </c>
      <c r="I4069" s="60">
        <v>0.0</v>
      </c>
      <c r="J4069" s="59">
        <v>7.0</v>
      </c>
      <c r="K4069" s="61">
        <f t="shared" si="1"/>
        <v>1</v>
      </c>
      <c r="L4069" s="62">
        <f t="shared" si="2"/>
        <v>1</v>
      </c>
    </row>
    <row r="4070">
      <c r="A4070" s="58">
        <v>45839.0</v>
      </c>
      <c r="B4070" s="24" t="s">
        <v>6787</v>
      </c>
      <c r="C4070" s="24" t="s">
        <v>6886</v>
      </c>
      <c r="D4070" s="59">
        <v>7.0</v>
      </c>
      <c r="E4070" s="59">
        <v>7.0</v>
      </c>
      <c r="F4070" s="59">
        <v>5.0</v>
      </c>
      <c r="G4070" s="60">
        <v>1.0</v>
      </c>
      <c r="H4070" s="60">
        <v>0.285714285714285</v>
      </c>
      <c r="I4070" s="60">
        <v>50.2282202857142</v>
      </c>
      <c r="J4070" s="59">
        <v>9.0</v>
      </c>
      <c r="K4070" s="61">
        <f t="shared" si="1"/>
        <v>0.7142857143</v>
      </c>
      <c r="L4070" s="62">
        <f t="shared" si="2"/>
        <v>1.285714286</v>
      </c>
    </row>
    <row r="4071">
      <c r="A4071" s="58">
        <v>45839.0</v>
      </c>
      <c r="B4071" s="24" t="s">
        <v>6787</v>
      </c>
      <c r="C4071" s="24" t="s">
        <v>6806</v>
      </c>
      <c r="D4071" s="59">
        <v>7.0</v>
      </c>
      <c r="E4071" s="59">
        <v>7.0</v>
      </c>
      <c r="F4071" s="59">
        <v>7.0</v>
      </c>
      <c r="G4071" s="60">
        <v>1.0</v>
      </c>
      <c r="H4071" s="60">
        <v>0.857142857142857</v>
      </c>
      <c r="I4071" s="60">
        <v>7.09244542857142</v>
      </c>
      <c r="J4071" s="59">
        <v>7.0</v>
      </c>
      <c r="K4071" s="61">
        <f t="shared" si="1"/>
        <v>1</v>
      </c>
      <c r="L4071" s="62">
        <f t="shared" si="2"/>
        <v>1</v>
      </c>
    </row>
    <row r="4072">
      <c r="A4072" s="58">
        <v>45839.0</v>
      </c>
      <c r="B4072" s="24" t="s">
        <v>6789</v>
      </c>
      <c r="C4072" s="24" t="s">
        <v>6915</v>
      </c>
      <c r="D4072" s="59">
        <v>7.0</v>
      </c>
      <c r="E4072" s="59">
        <v>8.0</v>
      </c>
      <c r="F4072" s="59">
        <v>3.0</v>
      </c>
      <c r="G4072" s="60">
        <v>1.33333333333333</v>
      </c>
      <c r="H4072" s="60">
        <v>0.5</v>
      </c>
      <c r="I4072" s="60">
        <v>100.793142</v>
      </c>
      <c r="J4072" s="59">
        <v>13.0</v>
      </c>
      <c r="K4072" s="61">
        <f t="shared" si="1"/>
        <v>0.375</v>
      </c>
      <c r="L4072" s="62">
        <f t="shared" si="2"/>
        <v>1.625</v>
      </c>
    </row>
    <row r="4073">
      <c r="A4073" s="58">
        <v>45839.0</v>
      </c>
      <c r="B4073" s="24" t="s">
        <v>6787</v>
      </c>
      <c r="C4073" s="24" t="s">
        <v>6826</v>
      </c>
      <c r="D4073" s="59">
        <v>7.0</v>
      </c>
      <c r="E4073" s="59">
        <v>8.0</v>
      </c>
      <c r="F4073" s="59">
        <v>3.0</v>
      </c>
      <c r="G4073" s="60">
        <v>1.14285714285714</v>
      </c>
      <c r="H4073" s="60">
        <v>0.0</v>
      </c>
      <c r="I4073" s="60">
        <v>790.530958375</v>
      </c>
      <c r="J4073" s="59">
        <v>36.0</v>
      </c>
      <c r="K4073" s="61">
        <f t="shared" si="1"/>
        <v>0.375</v>
      </c>
      <c r="L4073" s="62">
        <f t="shared" si="2"/>
        <v>4.5</v>
      </c>
    </row>
    <row r="4074">
      <c r="A4074" s="58">
        <v>45839.0</v>
      </c>
      <c r="B4074" s="24" t="s">
        <v>6787</v>
      </c>
      <c r="C4074" s="24" t="s">
        <v>6931</v>
      </c>
      <c r="D4074" s="59">
        <v>7.0</v>
      </c>
      <c r="E4074" s="59">
        <v>7.0</v>
      </c>
      <c r="F4074" s="59">
        <v>6.0</v>
      </c>
      <c r="G4074" s="60">
        <v>1.0</v>
      </c>
      <c r="H4074" s="60">
        <v>0.285714285714285</v>
      </c>
      <c r="I4074" s="60">
        <v>92.0504375714285</v>
      </c>
      <c r="J4074" s="59">
        <v>21.0</v>
      </c>
      <c r="K4074" s="61">
        <f t="shared" si="1"/>
        <v>0.8571428571</v>
      </c>
      <c r="L4074" s="62">
        <f t="shared" si="2"/>
        <v>3</v>
      </c>
    </row>
    <row r="4075">
      <c r="A4075" s="58">
        <v>45839.0</v>
      </c>
      <c r="B4075" s="24" t="s">
        <v>6789</v>
      </c>
      <c r="C4075" s="24" t="s">
        <v>6817</v>
      </c>
      <c r="D4075" s="59">
        <v>6.0</v>
      </c>
      <c r="E4075" s="59">
        <v>7.0</v>
      </c>
      <c r="F4075" s="59">
        <v>4.0</v>
      </c>
      <c r="G4075" s="60">
        <v>1.4</v>
      </c>
      <c r="H4075" s="60">
        <v>0.714285714285714</v>
      </c>
      <c r="I4075" s="60">
        <v>10.2915742857142</v>
      </c>
      <c r="J4075" s="59">
        <v>9.0</v>
      </c>
      <c r="K4075" s="61">
        <f t="shared" si="1"/>
        <v>0.5714285714</v>
      </c>
      <c r="L4075" s="62">
        <f t="shared" si="2"/>
        <v>1.285714286</v>
      </c>
    </row>
    <row r="4076">
      <c r="A4076" s="58">
        <v>45839.0</v>
      </c>
      <c r="B4076" s="24" t="s">
        <v>6787</v>
      </c>
      <c r="C4076" s="24" t="s">
        <v>6882</v>
      </c>
      <c r="D4076" s="59">
        <v>6.0</v>
      </c>
      <c r="E4076" s="59">
        <v>6.0</v>
      </c>
      <c r="F4076" s="59">
        <v>5.0</v>
      </c>
      <c r="G4076" s="60">
        <v>1.0</v>
      </c>
      <c r="H4076" s="60">
        <v>0.833333333333333</v>
      </c>
      <c r="I4076" s="60">
        <v>7.88798316666666</v>
      </c>
      <c r="J4076" s="59">
        <v>6.0</v>
      </c>
      <c r="K4076" s="61">
        <f t="shared" si="1"/>
        <v>0.8333333333</v>
      </c>
      <c r="L4076" s="62">
        <f t="shared" si="2"/>
        <v>1</v>
      </c>
    </row>
    <row r="4077">
      <c r="A4077" s="58">
        <v>45839.0</v>
      </c>
      <c r="B4077" s="24" t="s">
        <v>6787</v>
      </c>
      <c r="C4077" s="24" t="s">
        <v>6822</v>
      </c>
      <c r="D4077" s="59">
        <v>6.0</v>
      </c>
      <c r="E4077" s="59">
        <v>8.0</v>
      </c>
      <c r="F4077" s="59">
        <v>4.0</v>
      </c>
      <c r="G4077" s="60">
        <v>1.6</v>
      </c>
      <c r="H4077" s="60">
        <v>0.375</v>
      </c>
      <c r="I4077" s="60">
        <v>49.1947821249999</v>
      </c>
      <c r="J4077" s="59">
        <v>11.0</v>
      </c>
      <c r="K4077" s="61">
        <f t="shared" si="1"/>
        <v>0.5</v>
      </c>
      <c r="L4077" s="62">
        <f t="shared" si="2"/>
        <v>1.375</v>
      </c>
    </row>
    <row r="4078">
      <c r="A4078" s="58">
        <v>45839.0</v>
      </c>
      <c r="B4078" s="24" t="s">
        <v>6789</v>
      </c>
      <c r="C4078" s="24" t="s">
        <v>6898</v>
      </c>
      <c r="D4078" s="59">
        <v>6.0</v>
      </c>
      <c r="E4078" s="59">
        <v>6.0</v>
      </c>
      <c r="F4078" s="59">
        <v>6.0</v>
      </c>
      <c r="G4078" s="60">
        <v>1.0</v>
      </c>
      <c r="H4078" s="60">
        <v>0.166666666666666</v>
      </c>
      <c r="I4078" s="60">
        <v>291.215571666666</v>
      </c>
      <c r="J4078" s="59">
        <v>7.0</v>
      </c>
      <c r="K4078" s="61">
        <f t="shared" si="1"/>
        <v>1</v>
      </c>
      <c r="L4078" s="62">
        <f t="shared" si="2"/>
        <v>1.166666667</v>
      </c>
    </row>
    <row r="4079">
      <c r="A4079" s="58">
        <v>45839.0</v>
      </c>
      <c r="B4079" s="24" t="s">
        <v>155</v>
      </c>
      <c r="C4079" s="24" t="s">
        <v>6796</v>
      </c>
      <c r="D4079" s="59">
        <v>6.0</v>
      </c>
      <c r="E4079" s="59">
        <v>6.0</v>
      </c>
      <c r="F4079" s="59">
        <v>4.0</v>
      </c>
      <c r="G4079" s="60">
        <v>1.2</v>
      </c>
      <c r="H4079" s="60">
        <v>0.333333333333333</v>
      </c>
      <c r="I4079" s="60">
        <v>195.966949666666</v>
      </c>
      <c r="J4079" s="59">
        <v>6.0</v>
      </c>
      <c r="K4079" s="61">
        <f t="shared" si="1"/>
        <v>0.6666666667</v>
      </c>
      <c r="L4079" s="62">
        <f t="shared" si="2"/>
        <v>1</v>
      </c>
    </row>
    <row r="4080">
      <c r="A4080" s="58">
        <v>45839.0</v>
      </c>
      <c r="B4080" s="24" t="s">
        <v>6787</v>
      </c>
      <c r="C4080" s="24" t="s">
        <v>7356</v>
      </c>
      <c r="D4080" s="59">
        <v>6.0</v>
      </c>
      <c r="E4080" s="59">
        <v>17.0</v>
      </c>
      <c r="F4080" s="59">
        <v>3.0</v>
      </c>
      <c r="G4080" s="60">
        <v>3.4</v>
      </c>
      <c r="H4080" s="60">
        <v>0.0588235294117647</v>
      </c>
      <c r="I4080" s="60">
        <v>628.534924999999</v>
      </c>
      <c r="J4080" s="59">
        <v>51.0</v>
      </c>
      <c r="K4080" s="61">
        <f t="shared" si="1"/>
        <v>0.1764705882</v>
      </c>
      <c r="L4080" s="62">
        <f t="shared" si="2"/>
        <v>3</v>
      </c>
    </row>
    <row r="4081">
      <c r="A4081" s="58">
        <v>45839.0</v>
      </c>
      <c r="B4081" s="24" t="s">
        <v>6787</v>
      </c>
      <c r="C4081" s="24" t="s">
        <v>6808</v>
      </c>
      <c r="D4081" s="59">
        <v>6.0</v>
      </c>
      <c r="E4081" s="59">
        <v>14.0</v>
      </c>
      <c r="F4081" s="59">
        <v>4.0</v>
      </c>
      <c r="G4081" s="60">
        <v>2.8</v>
      </c>
      <c r="H4081" s="60">
        <v>0.857142857142857</v>
      </c>
      <c r="I4081" s="60">
        <v>5.184376</v>
      </c>
      <c r="J4081" s="59">
        <v>14.0</v>
      </c>
      <c r="K4081" s="61">
        <f t="shared" si="1"/>
        <v>0.2857142857</v>
      </c>
      <c r="L4081" s="62">
        <f t="shared" si="2"/>
        <v>1</v>
      </c>
    </row>
    <row r="4082">
      <c r="A4082" s="58">
        <v>45839.0</v>
      </c>
      <c r="B4082" s="24" t="s">
        <v>6789</v>
      </c>
      <c r="C4082" s="24" t="s">
        <v>7102</v>
      </c>
      <c r="D4082" s="59">
        <v>6.0</v>
      </c>
      <c r="E4082" s="59">
        <v>6.0</v>
      </c>
      <c r="F4082" s="59">
        <v>3.0</v>
      </c>
      <c r="G4082" s="60">
        <v>1.5</v>
      </c>
      <c r="H4082" s="60">
        <v>0.666666666666666</v>
      </c>
      <c r="I4082" s="60">
        <v>69.16968</v>
      </c>
      <c r="J4082" s="59">
        <v>13.0</v>
      </c>
      <c r="K4082" s="61">
        <f t="shared" si="1"/>
        <v>0.5</v>
      </c>
      <c r="L4082" s="62">
        <f t="shared" si="2"/>
        <v>2.166666667</v>
      </c>
    </row>
    <row r="4083">
      <c r="A4083" s="58">
        <v>45839.0</v>
      </c>
      <c r="B4083" s="24" t="s">
        <v>6789</v>
      </c>
      <c r="C4083" s="24" t="s">
        <v>6922</v>
      </c>
      <c r="D4083" s="59">
        <v>6.0</v>
      </c>
      <c r="E4083" s="59">
        <v>6.0</v>
      </c>
      <c r="F4083" s="59">
        <v>2.0</v>
      </c>
      <c r="G4083" s="60">
        <v>1.0</v>
      </c>
      <c r="H4083" s="60">
        <v>0.5</v>
      </c>
      <c r="I4083" s="60">
        <v>259.983704166666</v>
      </c>
      <c r="J4083" s="59">
        <v>7.0</v>
      </c>
      <c r="K4083" s="61">
        <f t="shared" si="1"/>
        <v>0.3333333333</v>
      </c>
      <c r="L4083" s="62">
        <f t="shared" si="2"/>
        <v>1.166666667</v>
      </c>
    </row>
    <row r="4084">
      <c r="A4084" s="58">
        <v>45839.0</v>
      </c>
      <c r="B4084" s="24" t="s">
        <v>6791</v>
      </c>
      <c r="C4084" s="24" t="s">
        <v>6788</v>
      </c>
      <c r="D4084" s="59">
        <v>5.0</v>
      </c>
      <c r="E4084" s="59">
        <v>5.0</v>
      </c>
      <c r="F4084" s="59">
        <v>5.0</v>
      </c>
      <c r="G4084" s="60">
        <v>1.0</v>
      </c>
      <c r="H4084" s="60">
        <v>1.0</v>
      </c>
      <c r="I4084" s="60">
        <v>0.0</v>
      </c>
      <c r="J4084" s="59">
        <v>5.0</v>
      </c>
      <c r="K4084" s="61">
        <f t="shared" si="1"/>
        <v>1</v>
      </c>
      <c r="L4084" s="62">
        <f t="shared" si="2"/>
        <v>1</v>
      </c>
    </row>
    <row r="4085">
      <c r="A4085" s="58">
        <v>45839.0</v>
      </c>
      <c r="B4085" s="24" t="s">
        <v>6787</v>
      </c>
      <c r="C4085" s="24" t="s">
        <v>6803</v>
      </c>
      <c r="D4085" s="59">
        <v>5.0</v>
      </c>
      <c r="E4085" s="59">
        <v>5.0</v>
      </c>
      <c r="F4085" s="59">
        <v>5.0</v>
      </c>
      <c r="G4085" s="60">
        <v>1.0</v>
      </c>
      <c r="H4085" s="60">
        <v>1.0</v>
      </c>
      <c r="I4085" s="60">
        <v>0.0</v>
      </c>
      <c r="J4085" s="59">
        <v>5.0</v>
      </c>
      <c r="K4085" s="61">
        <f t="shared" si="1"/>
        <v>1</v>
      </c>
      <c r="L4085" s="62">
        <f t="shared" si="2"/>
        <v>1</v>
      </c>
    </row>
    <row r="4086">
      <c r="A4086" s="58">
        <v>45839.0</v>
      </c>
      <c r="B4086" s="24" t="s">
        <v>6789</v>
      </c>
      <c r="C4086" s="24" t="s">
        <v>6803</v>
      </c>
      <c r="D4086" s="59">
        <v>5.0</v>
      </c>
      <c r="E4086" s="59">
        <v>5.0</v>
      </c>
      <c r="F4086" s="59">
        <v>5.0</v>
      </c>
      <c r="G4086" s="60">
        <v>1.0</v>
      </c>
      <c r="H4086" s="60">
        <v>0.0</v>
      </c>
      <c r="I4086" s="60">
        <v>159.0166964</v>
      </c>
      <c r="J4086" s="59">
        <v>8.0</v>
      </c>
      <c r="K4086" s="61">
        <f t="shared" si="1"/>
        <v>1</v>
      </c>
      <c r="L4086" s="62">
        <f t="shared" si="2"/>
        <v>1.6</v>
      </c>
    </row>
    <row r="4087">
      <c r="A4087" s="58">
        <v>45839.0</v>
      </c>
      <c r="B4087" s="24" t="s">
        <v>6789</v>
      </c>
      <c r="C4087" s="24" t="s">
        <v>6819</v>
      </c>
      <c r="D4087" s="59">
        <v>5.0</v>
      </c>
      <c r="E4087" s="59">
        <v>5.0</v>
      </c>
      <c r="F4087" s="59">
        <v>5.0</v>
      </c>
      <c r="G4087" s="60">
        <v>1.0</v>
      </c>
      <c r="H4087" s="60">
        <v>0.6</v>
      </c>
      <c r="I4087" s="60">
        <v>25.3203738</v>
      </c>
      <c r="J4087" s="59">
        <v>7.0</v>
      </c>
      <c r="K4087" s="61">
        <f t="shared" si="1"/>
        <v>1</v>
      </c>
      <c r="L4087" s="62">
        <f t="shared" si="2"/>
        <v>1.4</v>
      </c>
    </row>
    <row r="4088">
      <c r="A4088" s="58">
        <v>45839.0</v>
      </c>
      <c r="B4088" s="24" t="s">
        <v>6789</v>
      </c>
      <c r="C4088" s="24" t="s">
        <v>7067</v>
      </c>
      <c r="D4088" s="59">
        <v>5.0</v>
      </c>
      <c r="E4088" s="59">
        <v>5.0</v>
      </c>
      <c r="F4088" s="59">
        <v>3.0</v>
      </c>
      <c r="G4088" s="60">
        <v>1.0</v>
      </c>
      <c r="H4088" s="60">
        <v>0.4</v>
      </c>
      <c r="I4088" s="60">
        <v>108.1433606</v>
      </c>
      <c r="J4088" s="59">
        <v>7.0</v>
      </c>
      <c r="K4088" s="61">
        <f t="shared" si="1"/>
        <v>0.6</v>
      </c>
      <c r="L4088" s="62">
        <f t="shared" si="2"/>
        <v>1.4</v>
      </c>
    </row>
    <row r="4089">
      <c r="A4089" s="58">
        <v>45839.0</v>
      </c>
      <c r="B4089" s="24" t="s">
        <v>6789</v>
      </c>
      <c r="C4089" s="24" t="s">
        <v>6835</v>
      </c>
      <c r="D4089" s="59">
        <v>5.0</v>
      </c>
      <c r="E4089" s="59">
        <v>7.0</v>
      </c>
      <c r="F4089" s="59">
        <v>4.0</v>
      </c>
      <c r="G4089" s="60">
        <v>1.4</v>
      </c>
      <c r="H4089" s="60">
        <v>0.857142857142857</v>
      </c>
      <c r="I4089" s="60">
        <v>51.4194017142857</v>
      </c>
      <c r="J4089" s="59">
        <v>7.0</v>
      </c>
      <c r="K4089" s="61">
        <f t="shared" si="1"/>
        <v>0.5714285714</v>
      </c>
      <c r="L4089" s="62">
        <f t="shared" si="2"/>
        <v>1</v>
      </c>
    </row>
    <row r="4090">
      <c r="A4090" s="58">
        <v>45839.0</v>
      </c>
      <c r="B4090" s="24" t="s">
        <v>155</v>
      </c>
      <c r="C4090" s="24" t="s">
        <v>6886</v>
      </c>
      <c r="D4090" s="59">
        <v>5.0</v>
      </c>
      <c r="E4090" s="59">
        <v>5.0</v>
      </c>
      <c r="F4090" s="59">
        <v>0.0</v>
      </c>
      <c r="G4090" s="60">
        <v>2.5</v>
      </c>
      <c r="H4090" s="60">
        <v>0.6</v>
      </c>
      <c r="I4090" s="60">
        <v>113.0107542</v>
      </c>
      <c r="J4090" s="59">
        <v>7.0</v>
      </c>
      <c r="K4090" s="61">
        <f t="shared" si="1"/>
        <v>0</v>
      </c>
      <c r="L4090" s="62">
        <f t="shared" si="2"/>
        <v>1.4</v>
      </c>
    </row>
    <row r="4091">
      <c r="A4091" s="58">
        <v>45839.0</v>
      </c>
      <c r="B4091" s="24" t="s">
        <v>6787</v>
      </c>
      <c r="C4091" s="24" t="s">
        <v>6838</v>
      </c>
      <c r="D4091" s="59">
        <v>5.0</v>
      </c>
      <c r="E4091" s="59">
        <v>5.0</v>
      </c>
      <c r="F4091" s="59">
        <v>5.0</v>
      </c>
      <c r="G4091" s="60">
        <v>1.0</v>
      </c>
      <c r="H4091" s="60">
        <v>0.4</v>
      </c>
      <c r="I4091" s="60">
        <v>360.1061044</v>
      </c>
      <c r="J4091" s="59">
        <v>8.0</v>
      </c>
      <c r="K4091" s="61">
        <f t="shared" si="1"/>
        <v>1</v>
      </c>
      <c r="L4091" s="62">
        <f t="shared" si="2"/>
        <v>1.6</v>
      </c>
    </row>
    <row r="4092">
      <c r="A4092" s="58">
        <v>45839.0</v>
      </c>
      <c r="B4092" s="24" t="s">
        <v>6789</v>
      </c>
      <c r="C4092" s="24" t="s">
        <v>7301</v>
      </c>
      <c r="D4092" s="59">
        <v>5.0</v>
      </c>
      <c r="E4092" s="59">
        <v>15.0</v>
      </c>
      <c r="F4092" s="59">
        <v>0.0</v>
      </c>
      <c r="G4092" s="60">
        <v>3.0</v>
      </c>
      <c r="H4092" s="60">
        <v>0.4</v>
      </c>
      <c r="I4092" s="60">
        <v>664.9500872</v>
      </c>
      <c r="J4092" s="59">
        <v>31.0</v>
      </c>
      <c r="K4092" s="61">
        <f t="shared" si="1"/>
        <v>0</v>
      </c>
      <c r="L4092" s="62">
        <f t="shared" si="2"/>
        <v>2.066666667</v>
      </c>
    </row>
    <row r="4093">
      <c r="A4093" s="58">
        <v>45839.0</v>
      </c>
      <c r="B4093" s="24" t="s">
        <v>6789</v>
      </c>
      <c r="C4093" s="24" t="s">
        <v>6807</v>
      </c>
      <c r="D4093" s="59">
        <v>5.0</v>
      </c>
      <c r="E4093" s="59">
        <v>17.0</v>
      </c>
      <c r="F4093" s="59">
        <v>5.0</v>
      </c>
      <c r="G4093" s="60">
        <v>3.4</v>
      </c>
      <c r="H4093" s="60">
        <v>0.88235294117647</v>
      </c>
      <c r="I4093" s="60">
        <v>56.5621252352941</v>
      </c>
      <c r="J4093" s="59">
        <v>19.0</v>
      </c>
      <c r="K4093" s="61">
        <f t="shared" si="1"/>
        <v>0.2941176471</v>
      </c>
      <c r="L4093" s="62">
        <f t="shared" si="2"/>
        <v>1.117647059</v>
      </c>
    </row>
    <row r="4094">
      <c r="A4094" s="58">
        <v>45839.0</v>
      </c>
      <c r="B4094" s="24" t="s">
        <v>6791</v>
      </c>
      <c r="C4094" s="24" t="s">
        <v>7125</v>
      </c>
      <c r="D4094" s="59">
        <v>5.0</v>
      </c>
      <c r="E4094" s="59">
        <v>5.0</v>
      </c>
      <c r="F4094" s="59">
        <v>5.0</v>
      </c>
      <c r="G4094" s="60">
        <v>1.0</v>
      </c>
      <c r="H4094" s="60">
        <v>0.8</v>
      </c>
      <c r="I4094" s="60">
        <v>4.33544479999999</v>
      </c>
      <c r="J4094" s="59">
        <v>5.0</v>
      </c>
      <c r="K4094" s="61">
        <f t="shared" si="1"/>
        <v>1</v>
      </c>
      <c r="L4094" s="62">
        <f t="shared" si="2"/>
        <v>1</v>
      </c>
    </row>
    <row r="4095">
      <c r="A4095" s="58">
        <v>45839.0</v>
      </c>
      <c r="B4095" s="24" t="s">
        <v>6787</v>
      </c>
      <c r="C4095" s="24" t="s">
        <v>7236</v>
      </c>
      <c r="D4095" s="59">
        <v>5.0</v>
      </c>
      <c r="E4095" s="59">
        <v>5.0</v>
      </c>
      <c r="F4095" s="59">
        <v>4.0</v>
      </c>
      <c r="G4095" s="60">
        <v>1.0</v>
      </c>
      <c r="H4095" s="60">
        <v>0.6</v>
      </c>
      <c r="I4095" s="60">
        <v>248.6919184</v>
      </c>
      <c r="J4095" s="59">
        <v>7.0</v>
      </c>
      <c r="K4095" s="61">
        <f t="shared" si="1"/>
        <v>0.8</v>
      </c>
      <c r="L4095" s="62">
        <f t="shared" si="2"/>
        <v>1.4</v>
      </c>
    </row>
    <row r="4096">
      <c r="A4096" s="58">
        <v>45839.0</v>
      </c>
      <c r="B4096" s="24" t="s">
        <v>6789</v>
      </c>
      <c r="C4096" s="24" t="s">
        <v>7236</v>
      </c>
      <c r="D4096" s="59">
        <v>5.0</v>
      </c>
      <c r="E4096" s="59">
        <v>8.0</v>
      </c>
      <c r="F4096" s="59">
        <v>1.0</v>
      </c>
      <c r="G4096" s="60">
        <v>1.6</v>
      </c>
      <c r="H4096" s="60">
        <v>0.375</v>
      </c>
      <c r="I4096" s="60">
        <v>162.353371</v>
      </c>
      <c r="J4096" s="59">
        <v>11.0</v>
      </c>
      <c r="K4096" s="61">
        <f t="shared" si="1"/>
        <v>0.125</v>
      </c>
      <c r="L4096" s="62">
        <f t="shared" si="2"/>
        <v>1.375</v>
      </c>
    </row>
    <row r="4097">
      <c r="A4097" s="58">
        <v>45839.0</v>
      </c>
      <c r="B4097" s="24" t="s">
        <v>6787</v>
      </c>
      <c r="C4097" s="24" t="s">
        <v>7231</v>
      </c>
      <c r="D4097" s="59">
        <v>5.0</v>
      </c>
      <c r="E4097" s="59">
        <v>5.0</v>
      </c>
      <c r="F4097" s="59">
        <v>4.0</v>
      </c>
      <c r="G4097" s="60">
        <v>1.0</v>
      </c>
      <c r="H4097" s="60">
        <v>0.6</v>
      </c>
      <c r="I4097" s="60">
        <v>54.5259892</v>
      </c>
      <c r="J4097" s="59">
        <v>5.0</v>
      </c>
      <c r="K4097" s="61">
        <f t="shared" si="1"/>
        <v>0.8</v>
      </c>
      <c r="L4097" s="62">
        <f t="shared" si="2"/>
        <v>1</v>
      </c>
    </row>
    <row r="4098">
      <c r="A4098" s="58">
        <v>45839.0</v>
      </c>
      <c r="B4098" s="24" t="s">
        <v>6789</v>
      </c>
      <c r="C4098" s="24" t="s">
        <v>6849</v>
      </c>
      <c r="D4098" s="59">
        <v>5.0</v>
      </c>
      <c r="E4098" s="59">
        <v>5.0</v>
      </c>
      <c r="F4098" s="59">
        <v>2.0</v>
      </c>
      <c r="G4098" s="60">
        <v>1.0</v>
      </c>
      <c r="H4098" s="60">
        <v>0.6</v>
      </c>
      <c r="I4098" s="60">
        <v>116.0990484</v>
      </c>
      <c r="J4098" s="59">
        <v>9.0</v>
      </c>
      <c r="K4098" s="61">
        <f t="shared" si="1"/>
        <v>0.4</v>
      </c>
      <c r="L4098" s="62">
        <f t="shared" si="2"/>
        <v>1.8</v>
      </c>
    </row>
    <row r="4099">
      <c r="A4099" s="58">
        <v>45839.0</v>
      </c>
      <c r="B4099" s="24" t="s">
        <v>6789</v>
      </c>
      <c r="C4099" s="24" t="s">
        <v>6851</v>
      </c>
      <c r="D4099" s="59">
        <v>5.0</v>
      </c>
      <c r="E4099" s="59">
        <v>5.0</v>
      </c>
      <c r="F4099" s="59">
        <v>2.0</v>
      </c>
      <c r="G4099" s="60">
        <v>1.25</v>
      </c>
      <c r="H4099" s="60">
        <v>1.0</v>
      </c>
      <c r="I4099" s="60">
        <v>3.1991614</v>
      </c>
      <c r="J4099" s="59">
        <v>5.0</v>
      </c>
      <c r="K4099" s="61">
        <f t="shared" si="1"/>
        <v>0.4</v>
      </c>
      <c r="L4099" s="62">
        <f t="shared" si="2"/>
        <v>1</v>
      </c>
    </row>
    <row r="4100">
      <c r="A4100" s="58">
        <v>45839.0</v>
      </c>
      <c r="B4100" s="24" t="s">
        <v>6794</v>
      </c>
      <c r="C4100" s="24" t="s">
        <v>6915</v>
      </c>
      <c r="D4100" s="59">
        <v>5.0</v>
      </c>
      <c r="E4100" s="59">
        <v>5.0</v>
      </c>
      <c r="F4100" s="59">
        <v>3.0</v>
      </c>
      <c r="G4100" s="60">
        <v>1.0</v>
      </c>
      <c r="H4100" s="60">
        <v>0.6</v>
      </c>
      <c r="I4100" s="60">
        <v>410.2170554</v>
      </c>
      <c r="J4100" s="59">
        <v>16.0</v>
      </c>
      <c r="K4100" s="61">
        <f t="shared" si="1"/>
        <v>0.6</v>
      </c>
      <c r="L4100" s="62">
        <f t="shared" si="2"/>
        <v>3.2</v>
      </c>
    </row>
    <row r="4101">
      <c r="A4101" s="58">
        <v>45839.0</v>
      </c>
      <c r="B4101" s="24" t="s">
        <v>6789</v>
      </c>
      <c r="C4101" s="24" t="s">
        <v>7180</v>
      </c>
      <c r="D4101" s="59">
        <v>5.0</v>
      </c>
      <c r="E4101" s="59">
        <v>7.0</v>
      </c>
      <c r="F4101" s="59">
        <v>3.0</v>
      </c>
      <c r="G4101" s="60">
        <v>1.4</v>
      </c>
      <c r="H4101" s="60">
        <v>0.428571428571428</v>
      </c>
      <c r="I4101" s="60">
        <v>187.788297571428</v>
      </c>
      <c r="J4101" s="59">
        <v>11.0</v>
      </c>
      <c r="K4101" s="61">
        <f t="shared" si="1"/>
        <v>0.4285714286</v>
      </c>
      <c r="L4101" s="62">
        <f t="shared" si="2"/>
        <v>1.571428571</v>
      </c>
    </row>
    <row r="4102">
      <c r="A4102" s="58">
        <v>45839.0</v>
      </c>
      <c r="B4102" s="24" t="s">
        <v>6787</v>
      </c>
      <c r="C4102" s="24" t="s">
        <v>6922</v>
      </c>
      <c r="D4102" s="59">
        <v>5.0</v>
      </c>
      <c r="E4102" s="59">
        <v>6.0</v>
      </c>
      <c r="F4102" s="59">
        <v>3.0</v>
      </c>
      <c r="G4102" s="60">
        <v>1.5</v>
      </c>
      <c r="H4102" s="60">
        <v>0.833333333333333</v>
      </c>
      <c r="I4102" s="60">
        <v>12.4883596666666</v>
      </c>
      <c r="J4102" s="59">
        <v>6.0</v>
      </c>
      <c r="K4102" s="61">
        <f t="shared" si="1"/>
        <v>0.5</v>
      </c>
      <c r="L4102" s="62">
        <f t="shared" si="2"/>
        <v>1</v>
      </c>
    </row>
    <row r="4103">
      <c r="A4103" s="58">
        <v>45839.0</v>
      </c>
      <c r="B4103" s="24" t="s">
        <v>6789</v>
      </c>
      <c r="C4103" s="24" t="s">
        <v>6854</v>
      </c>
      <c r="D4103" s="59">
        <v>5.0</v>
      </c>
      <c r="E4103" s="59">
        <v>5.0</v>
      </c>
      <c r="F4103" s="59">
        <v>2.0</v>
      </c>
      <c r="G4103" s="60">
        <v>1.0</v>
      </c>
      <c r="H4103" s="60">
        <v>0.6</v>
      </c>
      <c r="I4103" s="60">
        <v>28.2006482</v>
      </c>
      <c r="J4103" s="59">
        <v>6.0</v>
      </c>
      <c r="K4103" s="61">
        <f t="shared" si="1"/>
        <v>0.4</v>
      </c>
      <c r="L4103" s="62">
        <f t="shared" si="2"/>
        <v>1.2</v>
      </c>
    </row>
    <row r="4104">
      <c r="A4104" s="58">
        <v>45839.0</v>
      </c>
      <c r="B4104" s="24" t="s">
        <v>6787</v>
      </c>
      <c r="C4104" s="24" t="s">
        <v>7369</v>
      </c>
      <c r="D4104" s="59">
        <v>4.0</v>
      </c>
      <c r="E4104" s="59">
        <v>4.0</v>
      </c>
      <c r="F4104" s="59">
        <v>4.0</v>
      </c>
      <c r="G4104" s="60">
        <v>1.0</v>
      </c>
      <c r="H4104" s="60">
        <v>1.0</v>
      </c>
      <c r="I4104" s="60">
        <v>1.4766475</v>
      </c>
      <c r="J4104" s="59">
        <v>4.0</v>
      </c>
      <c r="K4104" s="61">
        <f t="shared" si="1"/>
        <v>1</v>
      </c>
      <c r="L4104" s="62">
        <f t="shared" si="2"/>
        <v>1</v>
      </c>
    </row>
    <row r="4105">
      <c r="A4105" s="58">
        <v>45839.0</v>
      </c>
      <c r="B4105" s="24" t="s">
        <v>6789</v>
      </c>
      <c r="C4105" s="24" t="s">
        <v>6927</v>
      </c>
      <c r="D4105" s="59">
        <v>4.0</v>
      </c>
      <c r="E4105" s="59">
        <v>4.0</v>
      </c>
      <c r="F4105" s="59">
        <v>4.0</v>
      </c>
      <c r="G4105" s="60">
        <v>1.0</v>
      </c>
      <c r="H4105" s="60">
        <v>0.25</v>
      </c>
      <c r="I4105" s="60">
        <v>187.691977999999</v>
      </c>
      <c r="J4105" s="59">
        <v>7.0</v>
      </c>
      <c r="K4105" s="61">
        <f t="shared" si="1"/>
        <v>1</v>
      </c>
      <c r="L4105" s="62">
        <f t="shared" si="2"/>
        <v>1.75</v>
      </c>
    </row>
    <row r="4106">
      <c r="A4106" s="58">
        <v>45839.0</v>
      </c>
      <c r="B4106" s="24" t="s">
        <v>6789</v>
      </c>
      <c r="C4106" s="24" t="s">
        <v>6986</v>
      </c>
      <c r="D4106" s="59">
        <v>4.0</v>
      </c>
      <c r="E4106" s="59">
        <v>5.0</v>
      </c>
      <c r="F4106" s="59">
        <v>4.0</v>
      </c>
      <c r="G4106" s="60">
        <v>1.25</v>
      </c>
      <c r="H4106" s="60">
        <v>1.0</v>
      </c>
      <c r="I4106" s="60">
        <v>4.280944</v>
      </c>
      <c r="J4106" s="59">
        <v>5.0</v>
      </c>
      <c r="K4106" s="61">
        <f t="shared" si="1"/>
        <v>0.8</v>
      </c>
      <c r="L4106" s="62">
        <f t="shared" si="2"/>
        <v>1</v>
      </c>
    </row>
    <row r="4107">
      <c r="A4107" s="58">
        <v>45839.0</v>
      </c>
      <c r="B4107" s="24" t="s">
        <v>6787</v>
      </c>
      <c r="C4107" s="24" t="s">
        <v>7061</v>
      </c>
      <c r="D4107" s="59">
        <v>4.0</v>
      </c>
      <c r="E4107" s="59">
        <v>4.0</v>
      </c>
      <c r="F4107" s="59">
        <v>4.0</v>
      </c>
      <c r="G4107" s="60">
        <v>1.0</v>
      </c>
      <c r="H4107" s="60">
        <v>0.75</v>
      </c>
      <c r="I4107" s="60">
        <v>14.1179829999999</v>
      </c>
      <c r="J4107" s="59">
        <v>4.0</v>
      </c>
      <c r="K4107" s="61">
        <f t="shared" si="1"/>
        <v>1</v>
      </c>
      <c r="L4107" s="62">
        <f t="shared" si="2"/>
        <v>1</v>
      </c>
    </row>
    <row r="4108">
      <c r="A4108" s="58">
        <v>45839.0</v>
      </c>
      <c r="B4108" s="24" t="s">
        <v>6789</v>
      </c>
      <c r="C4108" s="24" t="s">
        <v>7064</v>
      </c>
      <c r="D4108" s="59">
        <v>4.0</v>
      </c>
      <c r="E4108" s="59">
        <v>4.0</v>
      </c>
      <c r="F4108" s="59">
        <v>4.0</v>
      </c>
      <c r="G4108" s="60">
        <v>1.0</v>
      </c>
      <c r="H4108" s="60">
        <v>0.75</v>
      </c>
      <c r="I4108" s="60">
        <v>3.21773025</v>
      </c>
      <c r="J4108" s="59">
        <v>4.0</v>
      </c>
      <c r="K4108" s="61">
        <f t="shared" si="1"/>
        <v>1</v>
      </c>
      <c r="L4108" s="62">
        <f t="shared" si="2"/>
        <v>1</v>
      </c>
    </row>
    <row r="4109">
      <c r="A4109" s="58">
        <v>45839.0</v>
      </c>
      <c r="B4109" s="24" t="s">
        <v>6787</v>
      </c>
      <c r="C4109" s="24" t="s">
        <v>6877</v>
      </c>
      <c r="D4109" s="59">
        <v>4.0</v>
      </c>
      <c r="E4109" s="59">
        <v>4.0</v>
      </c>
      <c r="F4109" s="59">
        <v>4.0</v>
      </c>
      <c r="G4109" s="60">
        <v>1.0</v>
      </c>
      <c r="H4109" s="60">
        <v>1.0</v>
      </c>
      <c r="I4109" s="60">
        <v>2.95855625</v>
      </c>
      <c r="J4109" s="59">
        <v>4.0</v>
      </c>
      <c r="K4109" s="61">
        <f t="shared" si="1"/>
        <v>1</v>
      </c>
      <c r="L4109" s="62">
        <f t="shared" si="2"/>
        <v>1</v>
      </c>
    </row>
    <row r="4110">
      <c r="A4110" s="58">
        <v>45839.0</v>
      </c>
      <c r="B4110" s="24" t="s">
        <v>6789</v>
      </c>
      <c r="C4110" s="24" t="s">
        <v>6877</v>
      </c>
      <c r="D4110" s="59">
        <v>4.0</v>
      </c>
      <c r="E4110" s="59">
        <v>7.0</v>
      </c>
      <c r="F4110" s="59">
        <v>4.0</v>
      </c>
      <c r="G4110" s="60">
        <v>1.75</v>
      </c>
      <c r="H4110" s="60">
        <v>0.428571428571428</v>
      </c>
      <c r="I4110" s="60">
        <v>78.5190735714285</v>
      </c>
      <c r="J4110" s="59">
        <v>10.0</v>
      </c>
      <c r="K4110" s="61">
        <f t="shared" si="1"/>
        <v>0.5714285714</v>
      </c>
      <c r="L4110" s="62">
        <f t="shared" si="2"/>
        <v>1.428571429</v>
      </c>
    </row>
    <row r="4111">
      <c r="A4111" s="58">
        <v>45839.0</v>
      </c>
      <c r="B4111" s="24" t="s">
        <v>6942</v>
      </c>
      <c r="C4111" s="24" t="s">
        <v>7021</v>
      </c>
      <c r="D4111" s="59">
        <v>4.0</v>
      </c>
      <c r="E4111" s="59">
        <v>4.0</v>
      </c>
      <c r="F4111" s="59">
        <v>4.0</v>
      </c>
      <c r="G4111" s="60">
        <v>1.0</v>
      </c>
      <c r="H4111" s="60">
        <v>1.0</v>
      </c>
      <c r="I4111" s="60">
        <v>0.0</v>
      </c>
      <c r="J4111" s="59">
        <v>4.0</v>
      </c>
      <c r="K4111" s="61">
        <f t="shared" si="1"/>
        <v>1</v>
      </c>
      <c r="L4111" s="62">
        <f t="shared" si="2"/>
        <v>1</v>
      </c>
    </row>
    <row r="4112">
      <c r="A4112" s="58">
        <v>45839.0</v>
      </c>
      <c r="B4112" s="24" t="s">
        <v>6789</v>
      </c>
      <c r="C4112" s="24" t="s">
        <v>6840</v>
      </c>
      <c r="D4112" s="59">
        <v>4.0</v>
      </c>
      <c r="E4112" s="59">
        <v>5.0</v>
      </c>
      <c r="F4112" s="59">
        <v>3.0</v>
      </c>
      <c r="G4112" s="60">
        <v>1.25</v>
      </c>
      <c r="H4112" s="60">
        <v>0.8</v>
      </c>
      <c r="I4112" s="60">
        <v>3.408562</v>
      </c>
      <c r="J4112" s="59">
        <v>5.0</v>
      </c>
      <c r="K4112" s="61">
        <f t="shared" si="1"/>
        <v>0.6</v>
      </c>
      <c r="L4112" s="62">
        <f t="shared" si="2"/>
        <v>1</v>
      </c>
    </row>
    <row r="4113">
      <c r="A4113" s="58">
        <v>45839.0</v>
      </c>
      <c r="B4113" s="24" t="s">
        <v>6787</v>
      </c>
      <c r="C4113" s="24" t="s">
        <v>6896</v>
      </c>
      <c r="D4113" s="59">
        <v>4.0</v>
      </c>
      <c r="E4113" s="59">
        <v>4.0</v>
      </c>
      <c r="F4113" s="59">
        <v>4.0</v>
      </c>
      <c r="G4113" s="60">
        <v>1.0</v>
      </c>
      <c r="H4113" s="60">
        <v>1.0</v>
      </c>
      <c r="I4113" s="60">
        <v>0.0</v>
      </c>
      <c r="J4113" s="59">
        <v>4.0</v>
      </c>
      <c r="K4113" s="61">
        <f t="shared" si="1"/>
        <v>1</v>
      </c>
      <c r="L4113" s="62">
        <f t="shared" si="2"/>
        <v>1</v>
      </c>
    </row>
    <row r="4114">
      <c r="A4114" s="58">
        <v>45839.0</v>
      </c>
      <c r="B4114" s="24" t="s">
        <v>155</v>
      </c>
      <c r="C4114" s="24" t="s">
        <v>7301</v>
      </c>
      <c r="D4114" s="59">
        <v>4.0</v>
      </c>
      <c r="E4114" s="59">
        <v>16.0</v>
      </c>
      <c r="F4114" s="59">
        <v>1.0</v>
      </c>
      <c r="G4114" s="60">
        <v>4.0</v>
      </c>
      <c r="H4114" s="60">
        <v>0.5</v>
      </c>
      <c r="I4114" s="60">
        <v>458.4525655</v>
      </c>
      <c r="J4114" s="59">
        <v>36.0</v>
      </c>
      <c r="K4114" s="61">
        <f t="shared" si="1"/>
        <v>0.0625</v>
      </c>
      <c r="L4114" s="62">
        <f t="shared" si="2"/>
        <v>2.25</v>
      </c>
    </row>
    <row r="4115">
      <c r="A4115" s="58">
        <v>45839.0</v>
      </c>
      <c r="B4115" s="24" t="s">
        <v>6787</v>
      </c>
      <c r="C4115" s="24" t="s">
        <v>6823</v>
      </c>
      <c r="D4115" s="59">
        <v>4.0</v>
      </c>
      <c r="E4115" s="59">
        <v>4.0</v>
      </c>
      <c r="F4115" s="59">
        <v>4.0</v>
      </c>
      <c r="G4115" s="60">
        <v>1.0</v>
      </c>
      <c r="H4115" s="60">
        <v>0.75</v>
      </c>
      <c r="I4115" s="60">
        <v>7.3956015</v>
      </c>
      <c r="J4115" s="59">
        <v>4.0</v>
      </c>
      <c r="K4115" s="61">
        <f t="shared" si="1"/>
        <v>1</v>
      </c>
      <c r="L4115" s="62">
        <f t="shared" si="2"/>
        <v>1</v>
      </c>
    </row>
    <row r="4116">
      <c r="A4116" s="58">
        <v>45839.0</v>
      </c>
      <c r="B4116" s="24" t="s">
        <v>6789</v>
      </c>
      <c r="C4116" s="24" t="s">
        <v>6897</v>
      </c>
      <c r="D4116" s="59">
        <v>4.0</v>
      </c>
      <c r="E4116" s="59">
        <v>4.0</v>
      </c>
      <c r="F4116" s="59">
        <v>4.0</v>
      </c>
      <c r="G4116" s="60">
        <v>1.0</v>
      </c>
      <c r="H4116" s="60">
        <v>0.25</v>
      </c>
      <c r="I4116" s="60">
        <v>192.1276235</v>
      </c>
      <c r="J4116" s="59">
        <v>7.0</v>
      </c>
      <c r="K4116" s="61">
        <f t="shared" si="1"/>
        <v>1</v>
      </c>
      <c r="L4116" s="62">
        <f t="shared" si="2"/>
        <v>1.75</v>
      </c>
    </row>
    <row r="4117">
      <c r="A4117" s="58">
        <v>45839.0</v>
      </c>
      <c r="B4117" s="24" t="s">
        <v>6787</v>
      </c>
      <c r="C4117" s="24" t="s">
        <v>6898</v>
      </c>
      <c r="D4117" s="59">
        <v>4.0</v>
      </c>
      <c r="E4117" s="59">
        <v>4.0</v>
      </c>
      <c r="F4117" s="59">
        <v>4.0</v>
      </c>
      <c r="G4117" s="60">
        <v>1.0</v>
      </c>
      <c r="H4117" s="60">
        <v>0.75</v>
      </c>
      <c r="I4117" s="60">
        <v>10.5827625</v>
      </c>
      <c r="J4117" s="59">
        <v>4.0</v>
      </c>
      <c r="K4117" s="61">
        <f t="shared" si="1"/>
        <v>1</v>
      </c>
      <c r="L4117" s="62">
        <f t="shared" si="2"/>
        <v>1</v>
      </c>
    </row>
    <row r="4118">
      <c r="A4118" s="58">
        <v>45839.0</v>
      </c>
      <c r="B4118" s="24" t="s">
        <v>6787</v>
      </c>
      <c r="C4118" s="24" t="s">
        <v>6811</v>
      </c>
      <c r="D4118" s="59">
        <v>4.0</v>
      </c>
      <c r="E4118" s="59">
        <v>4.0</v>
      </c>
      <c r="F4118" s="59">
        <v>2.0</v>
      </c>
      <c r="G4118" s="60">
        <v>1.0</v>
      </c>
      <c r="H4118" s="60">
        <v>0.25</v>
      </c>
      <c r="I4118" s="60">
        <v>265.41412525</v>
      </c>
      <c r="J4118" s="59">
        <v>7.0</v>
      </c>
      <c r="K4118" s="61">
        <f t="shared" si="1"/>
        <v>0.5</v>
      </c>
      <c r="L4118" s="62">
        <f t="shared" si="2"/>
        <v>1.75</v>
      </c>
    </row>
    <row r="4119">
      <c r="A4119" s="58">
        <v>45839.0</v>
      </c>
      <c r="B4119" s="24" t="s">
        <v>6787</v>
      </c>
      <c r="C4119" s="24" t="s">
        <v>6807</v>
      </c>
      <c r="D4119" s="59">
        <v>4.0</v>
      </c>
      <c r="E4119" s="59">
        <v>4.0</v>
      </c>
      <c r="F4119" s="59">
        <v>4.0</v>
      </c>
      <c r="G4119" s="60">
        <v>1.0</v>
      </c>
      <c r="H4119" s="60">
        <v>1.0</v>
      </c>
      <c r="I4119" s="60">
        <v>0.0</v>
      </c>
      <c r="J4119" s="59">
        <v>4.0</v>
      </c>
      <c r="K4119" s="61">
        <f t="shared" si="1"/>
        <v>1</v>
      </c>
      <c r="L4119" s="62">
        <f t="shared" si="2"/>
        <v>1</v>
      </c>
    </row>
    <row r="4120">
      <c r="A4120" s="58">
        <v>45839.0</v>
      </c>
      <c r="B4120" s="24" t="s">
        <v>6789</v>
      </c>
      <c r="C4120" s="24" t="s">
        <v>6903</v>
      </c>
      <c r="D4120" s="59">
        <v>4.0</v>
      </c>
      <c r="E4120" s="59">
        <v>5.0</v>
      </c>
      <c r="F4120" s="59">
        <v>4.0</v>
      </c>
      <c r="G4120" s="60">
        <v>1.25</v>
      </c>
      <c r="H4120" s="60">
        <v>0.8</v>
      </c>
      <c r="I4120" s="60">
        <v>6.84745839999999</v>
      </c>
      <c r="J4120" s="59">
        <v>5.0</v>
      </c>
      <c r="K4120" s="61">
        <f t="shared" si="1"/>
        <v>0.8</v>
      </c>
      <c r="L4120" s="62">
        <f t="shared" si="2"/>
        <v>1</v>
      </c>
    </row>
    <row r="4121">
      <c r="A4121" s="58">
        <v>45839.0</v>
      </c>
      <c r="B4121" s="24" t="s">
        <v>6789</v>
      </c>
      <c r="C4121" s="24" t="s">
        <v>7231</v>
      </c>
      <c r="D4121" s="59">
        <v>4.0</v>
      </c>
      <c r="E4121" s="59">
        <v>5.0</v>
      </c>
      <c r="F4121" s="59">
        <v>2.0</v>
      </c>
      <c r="G4121" s="60">
        <v>1.25</v>
      </c>
      <c r="H4121" s="60">
        <v>0.6</v>
      </c>
      <c r="I4121" s="60">
        <v>284.1388272</v>
      </c>
      <c r="J4121" s="59">
        <v>11.0</v>
      </c>
      <c r="K4121" s="61">
        <f t="shared" si="1"/>
        <v>0.4</v>
      </c>
      <c r="L4121" s="62">
        <f t="shared" si="2"/>
        <v>2.2</v>
      </c>
    </row>
    <row r="4122">
      <c r="A4122" s="58">
        <v>45839.0</v>
      </c>
      <c r="B4122" s="24" t="s">
        <v>6787</v>
      </c>
      <c r="C4122" s="24" t="s">
        <v>7232</v>
      </c>
      <c r="D4122" s="59">
        <v>4.0</v>
      </c>
      <c r="E4122" s="59">
        <v>4.0</v>
      </c>
      <c r="F4122" s="59">
        <v>4.0</v>
      </c>
      <c r="G4122" s="60">
        <v>1.0</v>
      </c>
      <c r="H4122" s="60">
        <v>0.75</v>
      </c>
      <c r="I4122" s="60">
        <v>209.4098215</v>
      </c>
      <c r="J4122" s="59">
        <v>6.0</v>
      </c>
      <c r="K4122" s="61">
        <f t="shared" si="1"/>
        <v>1</v>
      </c>
      <c r="L4122" s="62">
        <f t="shared" si="2"/>
        <v>1.5</v>
      </c>
    </row>
    <row r="4123">
      <c r="A4123" s="58">
        <v>45839.0</v>
      </c>
      <c r="B4123" s="24" t="s">
        <v>6789</v>
      </c>
      <c r="C4123" s="24" t="s">
        <v>6907</v>
      </c>
      <c r="D4123" s="59">
        <v>4.0</v>
      </c>
      <c r="E4123" s="59">
        <v>4.0</v>
      </c>
      <c r="F4123" s="59">
        <v>2.0</v>
      </c>
      <c r="G4123" s="60">
        <v>1.0</v>
      </c>
      <c r="H4123" s="60">
        <v>0.5</v>
      </c>
      <c r="I4123" s="60">
        <v>656.44605775</v>
      </c>
      <c r="J4123" s="59">
        <v>14.0</v>
      </c>
      <c r="K4123" s="61">
        <f t="shared" si="1"/>
        <v>0.5</v>
      </c>
      <c r="L4123" s="62">
        <f t="shared" si="2"/>
        <v>3.5</v>
      </c>
    </row>
    <row r="4124">
      <c r="A4124" s="58">
        <v>45839.0</v>
      </c>
      <c r="B4124" s="24" t="s">
        <v>6789</v>
      </c>
      <c r="C4124" s="24" t="s">
        <v>7091</v>
      </c>
      <c r="D4124" s="59">
        <v>4.0</v>
      </c>
      <c r="E4124" s="59">
        <v>4.0</v>
      </c>
      <c r="F4124" s="59">
        <v>4.0</v>
      </c>
      <c r="G4124" s="60">
        <v>1.0</v>
      </c>
      <c r="H4124" s="60">
        <v>0.5</v>
      </c>
      <c r="I4124" s="60">
        <v>24.1574135</v>
      </c>
      <c r="J4124" s="59">
        <v>5.0</v>
      </c>
      <c r="K4124" s="61">
        <f t="shared" si="1"/>
        <v>1</v>
      </c>
      <c r="L4124" s="62">
        <f t="shared" si="2"/>
        <v>1.25</v>
      </c>
    </row>
    <row r="4125">
      <c r="A4125" s="58">
        <v>45839.0</v>
      </c>
      <c r="B4125" s="24" t="s">
        <v>6789</v>
      </c>
      <c r="C4125" s="24" t="s">
        <v>7165</v>
      </c>
      <c r="D4125" s="59">
        <v>4.0</v>
      </c>
      <c r="E4125" s="59">
        <v>4.0</v>
      </c>
      <c r="F4125" s="59">
        <v>3.0</v>
      </c>
      <c r="G4125" s="60">
        <v>1.0</v>
      </c>
      <c r="H4125" s="60">
        <v>0.5</v>
      </c>
      <c r="I4125" s="60">
        <v>2457.262584</v>
      </c>
      <c r="J4125" s="59">
        <v>137.0</v>
      </c>
      <c r="K4125" s="61">
        <f t="shared" si="1"/>
        <v>0.75</v>
      </c>
      <c r="L4125" s="62">
        <f t="shared" si="2"/>
        <v>34.25</v>
      </c>
    </row>
    <row r="4126">
      <c r="A4126" s="58">
        <v>45839.0</v>
      </c>
      <c r="B4126" s="24" t="s">
        <v>6789</v>
      </c>
      <c r="C4126" s="24" t="s">
        <v>6960</v>
      </c>
      <c r="D4126" s="59">
        <v>4.0</v>
      </c>
      <c r="E4126" s="59">
        <v>7.0</v>
      </c>
      <c r="F4126" s="59">
        <v>3.0</v>
      </c>
      <c r="G4126" s="60">
        <v>1.75</v>
      </c>
      <c r="H4126" s="60">
        <v>0.714285714285714</v>
      </c>
      <c r="I4126" s="60">
        <v>9.33839014285714</v>
      </c>
      <c r="J4126" s="59">
        <v>7.0</v>
      </c>
      <c r="K4126" s="61">
        <f t="shared" si="1"/>
        <v>0.4285714286</v>
      </c>
      <c r="L4126" s="62">
        <f t="shared" si="2"/>
        <v>1</v>
      </c>
    </row>
    <row r="4127">
      <c r="A4127" s="58">
        <v>45839.0</v>
      </c>
      <c r="B4127" s="24" t="s">
        <v>6789</v>
      </c>
      <c r="C4127" s="24" t="s">
        <v>6814</v>
      </c>
      <c r="D4127" s="59">
        <v>4.0</v>
      </c>
      <c r="E4127" s="59">
        <v>4.0</v>
      </c>
      <c r="F4127" s="59">
        <v>3.0</v>
      </c>
      <c r="G4127" s="60">
        <v>1.33333333333333</v>
      </c>
      <c r="H4127" s="60">
        <v>0.5</v>
      </c>
      <c r="I4127" s="60">
        <v>182.831059749999</v>
      </c>
      <c r="J4127" s="59">
        <v>4.0</v>
      </c>
      <c r="K4127" s="61">
        <f t="shared" si="1"/>
        <v>0.75</v>
      </c>
      <c r="L4127" s="62">
        <f t="shared" si="2"/>
        <v>1</v>
      </c>
    </row>
    <row r="4128">
      <c r="A4128" s="58">
        <v>45839.0</v>
      </c>
      <c r="B4128" s="24" t="s">
        <v>6789</v>
      </c>
      <c r="C4128" s="24" t="s">
        <v>6853</v>
      </c>
      <c r="D4128" s="59">
        <v>4.0</v>
      </c>
      <c r="E4128" s="59">
        <v>5.0</v>
      </c>
      <c r="F4128" s="59">
        <v>2.0</v>
      </c>
      <c r="G4128" s="60">
        <v>1.25</v>
      </c>
      <c r="H4128" s="60">
        <v>0.2</v>
      </c>
      <c r="I4128" s="60">
        <v>134.503034</v>
      </c>
      <c r="J4128" s="59">
        <v>13.0</v>
      </c>
      <c r="K4128" s="61">
        <f t="shared" si="1"/>
        <v>0.4</v>
      </c>
      <c r="L4128" s="62">
        <f t="shared" si="2"/>
        <v>2.6</v>
      </c>
    </row>
    <row r="4129">
      <c r="A4129" s="58">
        <v>45839.0</v>
      </c>
      <c r="B4129" s="24" t="s">
        <v>6789</v>
      </c>
      <c r="C4129" s="24" t="s">
        <v>6924</v>
      </c>
      <c r="D4129" s="59">
        <v>4.0</v>
      </c>
      <c r="E4129" s="59">
        <v>4.0</v>
      </c>
      <c r="F4129" s="59">
        <v>2.0</v>
      </c>
      <c r="G4129" s="60">
        <v>1.0</v>
      </c>
      <c r="H4129" s="60">
        <v>0.25</v>
      </c>
      <c r="I4129" s="60">
        <v>92.8464865</v>
      </c>
      <c r="J4129" s="59">
        <v>4.0</v>
      </c>
      <c r="K4129" s="61">
        <f t="shared" si="1"/>
        <v>0.5</v>
      </c>
      <c r="L4129" s="62">
        <f t="shared" si="2"/>
        <v>1</v>
      </c>
    </row>
    <row r="4130">
      <c r="A4130" s="58">
        <v>45839.0</v>
      </c>
      <c r="B4130" s="24" t="s">
        <v>3216</v>
      </c>
      <c r="C4130" s="24" t="s">
        <v>6788</v>
      </c>
      <c r="D4130" s="59">
        <v>3.0</v>
      </c>
      <c r="E4130" s="59">
        <v>6.0</v>
      </c>
      <c r="F4130" s="59">
        <v>1.0</v>
      </c>
      <c r="G4130" s="60">
        <v>2.0</v>
      </c>
      <c r="H4130" s="60">
        <v>0.5</v>
      </c>
      <c r="I4130" s="60">
        <v>397.925508666666</v>
      </c>
      <c r="J4130" s="59">
        <v>10.0</v>
      </c>
      <c r="K4130" s="61">
        <f t="shared" si="1"/>
        <v>0.1666666667</v>
      </c>
      <c r="L4130" s="62">
        <f t="shared" si="2"/>
        <v>1.666666667</v>
      </c>
    </row>
    <row r="4131">
      <c r="A4131" s="58">
        <v>45839.0</v>
      </c>
      <c r="B4131" s="24" t="s">
        <v>155</v>
      </c>
      <c r="C4131" s="24" t="s">
        <v>6817</v>
      </c>
      <c r="D4131" s="59">
        <v>3.0</v>
      </c>
      <c r="E4131" s="59">
        <v>3.0</v>
      </c>
      <c r="F4131" s="59">
        <v>0.0</v>
      </c>
      <c r="G4131" s="60">
        <v>1.0</v>
      </c>
      <c r="H4131" s="60">
        <v>0.0</v>
      </c>
      <c r="I4131" s="60">
        <v>667.634620666666</v>
      </c>
      <c r="J4131" s="59">
        <v>12.0</v>
      </c>
      <c r="K4131" s="61">
        <f t="shared" si="1"/>
        <v>0</v>
      </c>
      <c r="L4131" s="62">
        <f t="shared" si="2"/>
        <v>4</v>
      </c>
    </row>
    <row r="4132">
      <c r="A4132" s="58">
        <v>45839.0</v>
      </c>
      <c r="B4132" s="24" t="s">
        <v>6787</v>
      </c>
      <c r="C4132" s="24" t="s">
        <v>7057</v>
      </c>
      <c r="D4132" s="59">
        <v>3.0</v>
      </c>
      <c r="E4132" s="59">
        <v>8.0</v>
      </c>
      <c r="F4132" s="59">
        <v>2.0</v>
      </c>
      <c r="G4132" s="60">
        <v>4.0</v>
      </c>
      <c r="H4132" s="60">
        <v>1.0</v>
      </c>
      <c r="I4132" s="60">
        <v>0.74939</v>
      </c>
      <c r="J4132" s="59">
        <v>8.0</v>
      </c>
      <c r="K4132" s="61">
        <f t="shared" si="1"/>
        <v>0.25</v>
      </c>
      <c r="L4132" s="62">
        <f t="shared" si="2"/>
        <v>1</v>
      </c>
    </row>
    <row r="4133">
      <c r="A4133" s="58">
        <v>45839.0</v>
      </c>
      <c r="B4133" s="24" t="s">
        <v>6789</v>
      </c>
      <c r="C4133" s="24" t="s">
        <v>6861</v>
      </c>
      <c r="D4133" s="59">
        <v>3.0</v>
      </c>
      <c r="E4133" s="59">
        <v>3.0</v>
      </c>
      <c r="F4133" s="59">
        <v>3.0</v>
      </c>
      <c r="G4133" s="60">
        <v>1.0</v>
      </c>
      <c r="H4133" s="60">
        <v>1.0</v>
      </c>
      <c r="I4133" s="60">
        <v>0.0</v>
      </c>
      <c r="J4133" s="59">
        <v>3.0</v>
      </c>
      <c r="K4133" s="61">
        <f t="shared" si="1"/>
        <v>1</v>
      </c>
      <c r="L4133" s="62">
        <f t="shared" si="2"/>
        <v>1</v>
      </c>
    </row>
    <row r="4134">
      <c r="A4134" s="58">
        <v>45839.0</v>
      </c>
      <c r="B4134" s="24" t="s">
        <v>6789</v>
      </c>
      <c r="C4134" s="24" t="s">
        <v>6985</v>
      </c>
      <c r="D4134" s="59">
        <v>3.0</v>
      </c>
      <c r="E4134" s="59">
        <v>3.0</v>
      </c>
      <c r="F4134" s="59">
        <v>2.0</v>
      </c>
      <c r="G4134" s="60">
        <v>1.0</v>
      </c>
      <c r="H4134" s="60">
        <v>0.666666666666666</v>
      </c>
      <c r="I4134" s="60">
        <v>374.782281999999</v>
      </c>
      <c r="J4134" s="59">
        <v>4.0</v>
      </c>
      <c r="K4134" s="61">
        <f t="shared" si="1"/>
        <v>0.6666666667</v>
      </c>
      <c r="L4134" s="62">
        <f t="shared" si="2"/>
        <v>1.333333333</v>
      </c>
    </row>
    <row r="4135">
      <c r="A4135" s="58">
        <v>45839.0</v>
      </c>
      <c r="B4135" s="24" t="s">
        <v>6787</v>
      </c>
      <c r="C4135" s="24" t="s">
        <v>6819</v>
      </c>
      <c r="D4135" s="59">
        <v>3.0</v>
      </c>
      <c r="E4135" s="59">
        <v>3.0</v>
      </c>
      <c r="F4135" s="59">
        <v>2.0</v>
      </c>
      <c r="G4135" s="60">
        <v>1.0</v>
      </c>
      <c r="H4135" s="60">
        <v>0.333333333333333</v>
      </c>
      <c r="I4135" s="60">
        <v>52.022952</v>
      </c>
      <c r="J4135" s="59">
        <v>3.0</v>
      </c>
      <c r="K4135" s="61">
        <f t="shared" si="1"/>
        <v>0.6666666667</v>
      </c>
      <c r="L4135" s="62">
        <f t="shared" si="2"/>
        <v>1</v>
      </c>
    </row>
    <row r="4136">
      <c r="A4136" s="58">
        <v>45839.0</v>
      </c>
      <c r="B4136" s="24" t="s">
        <v>6787</v>
      </c>
      <c r="C4136" s="24" t="s">
        <v>6927</v>
      </c>
      <c r="D4136" s="59">
        <v>3.0</v>
      </c>
      <c r="E4136" s="59">
        <v>3.0</v>
      </c>
      <c r="F4136" s="59">
        <v>3.0</v>
      </c>
      <c r="G4136" s="60">
        <v>1.0</v>
      </c>
      <c r="H4136" s="60">
        <v>0.333333333333333</v>
      </c>
      <c r="I4136" s="60">
        <v>94.1968853333333</v>
      </c>
      <c r="J4136" s="59">
        <v>5.0</v>
      </c>
      <c r="K4136" s="61">
        <f t="shared" si="1"/>
        <v>1</v>
      </c>
      <c r="L4136" s="62">
        <f t="shared" si="2"/>
        <v>1.666666667</v>
      </c>
    </row>
    <row r="4137">
      <c r="A4137" s="58">
        <v>45839.0</v>
      </c>
      <c r="B4137" s="24" t="s">
        <v>6789</v>
      </c>
      <c r="C4137" s="24" t="s">
        <v>6870</v>
      </c>
      <c r="D4137" s="59">
        <v>3.0</v>
      </c>
      <c r="E4137" s="59">
        <v>3.0</v>
      </c>
      <c r="F4137" s="59">
        <v>2.0</v>
      </c>
      <c r="G4137" s="60">
        <v>1.0</v>
      </c>
      <c r="H4137" s="60">
        <v>0.333333333333333</v>
      </c>
      <c r="I4137" s="60">
        <v>545.367263333333</v>
      </c>
      <c r="J4137" s="59">
        <v>18.0</v>
      </c>
      <c r="K4137" s="61">
        <f t="shared" si="1"/>
        <v>0.6666666667</v>
      </c>
      <c r="L4137" s="62">
        <f t="shared" si="2"/>
        <v>6</v>
      </c>
    </row>
    <row r="4138">
      <c r="A4138" s="58">
        <v>45839.0</v>
      </c>
      <c r="B4138" s="24" t="s">
        <v>6787</v>
      </c>
      <c r="C4138" s="24" t="s">
        <v>7024</v>
      </c>
      <c r="D4138" s="59">
        <v>3.0</v>
      </c>
      <c r="E4138" s="59">
        <v>3.0</v>
      </c>
      <c r="F4138" s="59">
        <v>3.0</v>
      </c>
      <c r="G4138" s="60">
        <v>1.0</v>
      </c>
      <c r="H4138" s="60">
        <v>0.666666666666666</v>
      </c>
      <c r="I4138" s="60">
        <v>4.231544</v>
      </c>
      <c r="J4138" s="59">
        <v>3.0</v>
      </c>
      <c r="K4138" s="61">
        <f t="shared" si="1"/>
        <v>1</v>
      </c>
      <c r="L4138" s="62">
        <f t="shared" si="2"/>
        <v>1</v>
      </c>
    </row>
    <row r="4139">
      <c r="A4139" s="58">
        <v>45839.0</v>
      </c>
      <c r="B4139" s="24" t="s">
        <v>6789</v>
      </c>
      <c r="C4139" s="24" t="s">
        <v>6990</v>
      </c>
      <c r="D4139" s="59">
        <v>3.0</v>
      </c>
      <c r="E4139" s="59">
        <v>3.0</v>
      </c>
      <c r="F4139" s="59">
        <v>3.0</v>
      </c>
      <c r="G4139" s="60">
        <v>1.0</v>
      </c>
      <c r="H4139" s="60">
        <v>0.666666666666666</v>
      </c>
      <c r="I4139" s="60">
        <v>9.051018</v>
      </c>
      <c r="J4139" s="59">
        <v>3.0</v>
      </c>
      <c r="K4139" s="61">
        <f t="shared" si="1"/>
        <v>1</v>
      </c>
      <c r="L4139" s="62">
        <f t="shared" si="2"/>
        <v>1</v>
      </c>
    </row>
    <row r="4140">
      <c r="A4140" s="58">
        <v>45839.0</v>
      </c>
      <c r="B4140" s="24" t="s">
        <v>6787</v>
      </c>
      <c r="C4140" s="24" t="s">
        <v>6836</v>
      </c>
      <c r="D4140" s="59">
        <v>3.0</v>
      </c>
      <c r="E4140" s="59">
        <v>3.0</v>
      </c>
      <c r="F4140" s="59">
        <v>3.0</v>
      </c>
      <c r="G4140" s="60">
        <v>1.0</v>
      </c>
      <c r="H4140" s="60">
        <v>1.0</v>
      </c>
      <c r="I4140" s="60">
        <v>2.48398133333333</v>
      </c>
      <c r="J4140" s="59">
        <v>3.0</v>
      </c>
      <c r="K4140" s="61">
        <f t="shared" si="1"/>
        <v>1</v>
      </c>
      <c r="L4140" s="62">
        <f t="shared" si="2"/>
        <v>1</v>
      </c>
    </row>
    <row r="4141">
      <c r="A4141" s="58">
        <v>45839.0</v>
      </c>
      <c r="B4141" s="24" t="s">
        <v>6787</v>
      </c>
      <c r="C4141" s="24" t="s">
        <v>7070</v>
      </c>
      <c r="D4141" s="59">
        <v>3.0</v>
      </c>
      <c r="E4141" s="59">
        <v>3.0</v>
      </c>
      <c r="F4141" s="59">
        <v>3.0</v>
      </c>
      <c r="G4141" s="60">
        <v>1.0</v>
      </c>
      <c r="H4141" s="60">
        <v>0.666666666666666</v>
      </c>
      <c r="I4141" s="60">
        <v>6.07182333333333</v>
      </c>
      <c r="J4141" s="59">
        <v>3.0</v>
      </c>
      <c r="K4141" s="61">
        <f t="shared" si="1"/>
        <v>1</v>
      </c>
      <c r="L4141" s="62">
        <f t="shared" si="2"/>
        <v>1</v>
      </c>
    </row>
    <row r="4142">
      <c r="A4142" s="58">
        <v>45839.0</v>
      </c>
      <c r="B4142" s="24" t="s">
        <v>6789</v>
      </c>
      <c r="C4142" s="24" t="s">
        <v>7072</v>
      </c>
      <c r="D4142" s="59">
        <v>3.0</v>
      </c>
      <c r="E4142" s="59">
        <v>3.0</v>
      </c>
      <c r="F4142" s="59">
        <v>3.0</v>
      </c>
      <c r="G4142" s="60">
        <v>1.0</v>
      </c>
      <c r="H4142" s="60">
        <v>0.666666666666666</v>
      </c>
      <c r="I4142" s="60">
        <v>7.88761566666666</v>
      </c>
      <c r="J4142" s="59">
        <v>3.0</v>
      </c>
      <c r="K4142" s="61">
        <f t="shared" si="1"/>
        <v>1</v>
      </c>
      <c r="L4142" s="62">
        <f t="shared" si="2"/>
        <v>1</v>
      </c>
    </row>
    <row r="4143">
      <c r="A4143" s="58">
        <v>45839.0</v>
      </c>
      <c r="B4143" s="24" t="s">
        <v>6787</v>
      </c>
      <c r="C4143" s="24" t="s">
        <v>6820</v>
      </c>
      <c r="D4143" s="59">
        <v>3.0</v>
      </c>
      <c r="E4143" s="59">
        <v>3.0</v>
      </c>
      <c r="F4143" s="59">
        <v>3.0</v>
      </c>
      <c r="G4143" s="60">
        <v>1.0</v>
      </c>
      <c r="H4143" s="60">
        <v>1.0</v>
      </c>
      <c r="I4143" s="60">
        <v>0.0</v>
      </c>
      <c r="J4143" s="59">
        <v>3.0</v>
      </c>
      <c r="K4143" s="61">
        <f t="shared" si="1"/>
        <v>1</v>
      </c>
      <c r="L4143" s="62">
        <f t="shared" si="2"/>
        <v>1</v>
      </c>
    </row>
    <row r="4144">
      <c r="A4144" s="58">
        <v>45839.0</v>
      </c>
      <c r="B4144" s="24" t="s">
        <v>6789</v>
      </c>
      <c r="C4144" s="24" t="s">
        <v>6997</v>
      </c>
      <c r="D4144" s="59">
        <v>3.0</v>
      </c>
      <c r="E4144" s="59">
        <v>5.0</v>
      </c>
      <c r="F4144" s="59">
        <v>3.0</v>
      </c>
      <c r="G4144" s="60">
        <v>1.66666666666666</v>
      </c>
      <c r="H4144" s="60">
        <v>1.0</v>
      </c>
      <c r="I4144" s="60">
        <v>2.78574699999999</v>
      </c>
      <c r="J4144" s="59">
        <v>5.0</v>
      </c>
      <c r="K4144" s="61">
        <f t="shared" si="1"/>
        <v>0.6</v>
      </c>
      <c r="L4144" s="62">
        <f t="shared" si="2"/>
        <v>1</v>
      </c>
    </row>
    <row r="4145">
      <c r="A4145" s="58">
        <v>45839.0</v>
      </c>
      <c r="B4145" s="24" t="s">
        <v>155</v>
      </c>
      <c r="C4145" s="24" t="s">
        <v>7021</v>
      </c>
      <c r="D4145" s="59">
        <v>3.0</v>
      </c>
      <c r="E4145" s="59">
        <v>5.0</v>
      </c>
      <c r="F4145" s="59">
        <v>0.0</v>
      </c>
      <c r="G4145" s="60">
        <v>1.66666666666666</v>
      </c>
      <c r="H4145" s="60">
        <v>0.4</v>
      </c>
      <c r="I4145" s="60">
        <v>406.0804736</v>
      </c>
      <c r="J4145" s="59">
        <v>20.0</v>
      </c>
      <c r="K4145" s="61">
        <f t="shared" si="1"/>
        <v>0</v>
      </c>
      <c r="L4145" s="62">
        <f t="shared" si="2"/>
        <v>4</v>
      </c>
    </row>
    <row r="4146">
      <c r="A4146" s="58">
        <v>45839.0</v>
      </c>
      <c r="B4146" s="24" t="s">
        <v>6789</v>
      </c>
      <c r="C4146" s="24" t="s">
        <v>6892</v>
      </c>
      <c r="D4146" s="59">
        <v>3.0</v>
      </c>
      <c r="E4146" s="59">
        <v>3.0</v>
      </c>
      <c r="F4146" s="59">
        <v>3.0</v>
      </c>
      <c r="G4146" s="60">
        <v>1.0</v>
      </c>
      <c r="H4146" s="60">
        <v>0.666666666666666</v>
      </c>
      <c r="I4146" s="60">
        <v>17.259036</v>
      </c>
      <c r="J4146" s="59">
        <v>3.0</v>
      </c>
      <c r="K4146" s="61">
        <f t="shared" si="1"/>
        <v>1</v>
      </c>
      <c r="L4146" s="62">
        <f t="shared" si="2"/>
        <v>1</v>
      </c>
    </row>
    <row r="4147">
      <c r="A4147" s="58">
        <v>45839.0</v>
      </c>
      <c r="B4147" s="24" t="s">
        <v>6794</v>
      </c>
      <c r="C4147" s="24" t="s">
        <v>7301</v>
      </c>
      <c r="D4147" s="59">
        <v>3.0</v>
      </c>
      <c r="E4147" s="59">
        <v>4.0</v>
      </c>
      <c r="F4147" s="59">
        <v>2.0</v>
      </c>
      <c r="G4147" s="60">
        <v>1.33333333333333</v>
      </c>
      <c r="H4147" s="60">
        <v>0.25</v>
      </c>
      <c r="I4147" s="60">
        <v>62.527264</v>
      </c>
      <c r="J4147" s="59">
        <v>6.0</v>
      </c>
      <c r="K4147" s="61">
        <f t="shared" si="1"/>
        <v>0.5</v>
      </c>
      <c r="L4147" s="62">
        <f t="shared" si="2"/>
        <v>1.5</v>
      </c>
    </row>
    <row r="4148">
      <c r="A4148" s="58">
        <v>45839.0</v>
      </c>
      <c r="B4148" s="24" t="s">
        <v>6790</v>
      </c>
      <c r="C4148" s="24" t="s">
        <v>7301</v>
      </c>
      <c r="D4148" s="59">
        <v>3.0</v>
      </c>
      <c r="E4148" s="59">
        <v>3.0</v>
      </c>
      <c r="F4148" s="59">
        <v>2.0</v>
      </c>
      <c r="G4148" s="60">
        <v>1.0</v>
      </c>
      <c r="H4148" s="60">
        <v>1.0</v>
      </c>
      <c r="I4148" s="60">
        <v>878.561353333333</v>
      </c>
      <c r="J4148" s="59">
        <v>5.0</v>
      </c>
      <c r="K4148" s="61">
        <f t="shared" si="1"/>
        <v>0.6666666667</v>
      </c>
      <c r="L4148" s="62">
        <f t="shared" si="2"/>
        <v>1.666666667</v>
      </c>
    </row>
    <row r="4149">
      <c r="A4149" s="58">
        <v>45839.0</v>
      </c>
      <c r="B4149" s="24" t="s">
        <v>155</v>
      </c>
      <c r="C4149" s="24" t="s">
        <v>6841</v>
      </c>
      <c r="D4149" s="59">
        <v>3.0</v>
      </c>
      <c r="E4149" s="59">
        <v>3.0</v>
      </c>
      <c r="F4149" s="59">
        <v>3.0</v>
      </c>
      <c r="G4149" s="60">
        <v>1.0</v>
      </c>
      <c r="H4149" s="60">
        <v>0.666666666666666</v>
      </c>
      <c r="I4149" s="60">
        <v>220.964716333333</v>
      </c>
      <c r="J4149" s="59">
        <v>4.0</v>
      </c>
      <c r="K4149" s="61">
        <f t="shared" si="1"/>
        <v>1</v>
      </c>
      <c r="L4149" s="62">
        <f t="shared" si="2"/>
        <v>1.333333333</v>
      </c>
    </row>
    <row r="4150">
      <c r="A4150" s="58">
        <v>45839.0</v>
      </c>
      <c r="B4150" s="24" t="s">
        <v>6789</v>
      </c>
      <c r="C4150" s="24" t="s">
        <v>6899</v>
      </c>
      <c r="D4150" s="59">
        <v>3.0</v>
      </c>
      <c r="E4150" s="59">
        <v>3.0</v>
      </c>
      <c r="F4150" s="59">
        <v>3.0</v>
      </c>
      <c r="G4150" s="60">
        <v>1.0</v>
      </c>
      <c r="H4150" s="60">
        <v>0.333333333333333</v>
      </c>
      <c r="I4150" s="60">
        <v>501.367347666666</v>
      </c>
      <c r="J4150" s="59">
        <v>10.0</v>
      </c>
      <c r="K4150" s="61">
        <f t="shared" si="1"/>
        <v>1</v>
      </c>
      <c r="L4150" s="62">
        <f t="shared" si="2"/>
        <v>3.333333333</v>
      </c>
    </row>
    <row r="4151">
      <c r="A4151" s="58">
        <v>45839.0</v>
      </c>
      <c r="B4151" s="24" t="s">
        <v>6787</v>
      </c>
      <c r="C4151" s="24" t="s">
        <v>6842</v>
      </c>
      <c r="D4151" s="59">
        <v>3.0</v>
      </c>
      <c r="E4151" s="59">
        <v>3.0</v>
      </c>
      <c r="F4151" s="59">
        <v>3.0</v>
      </c>
      <c r="G4151" s="60">
        <v>1.0</v>
      </c>
      <c r="H4151" s="60">
        <v>0.333333333333333</v>
      </c>
      <c r="I4151" s="60">
        <v>22.2601533333333</v>
      </c>
      <c r="J4151" s="59">
        <v>3.0</v>
      </c>
      <c r="K4151" s="61">
        <f t="shared" si="1"/>
        <v>1</v>
      </c>
      <c r="L4151" s="62">
        <f t="shared" si="2"/>
        <v>1</v>
      </c>
    </row>
    <row r="4152">
      <c r="A4152" s="58">
        <v>45839.0</v>
      </c>
      <c r="B4152" s="24" t="s">
        <v>6789</v>
      </c>
      <c r="C4152" s="24" t="s">
        <v>6842</v>
      </c>
      <c r="D4152" s="59">
        <v>3.0</v>
      </c>
      <c r="E4152" s="59">
        <v>3.0</v>
      </c>
      <c r="F4152" s="59">
        <v>3.0</v>
      </c>
      <c r="G4152" s="60">
        <v>1.0</v>
      </c>
      <c r="H4152" s="60">
        <v>0.333333333333333</v>
      </c>
      <c r="I4152" s="60">
        <v>81.8681736666666</v>
      </c>
      <c r="J4152" s="59">
        <v>10.0</v>
      </c>
      <c r="K4152" s="61">
        <f t="shared" si="1"/>
        <v>1</v>
      </c>
      <c r="L4152" s="62">
        <f t="shared" si="2"/>
        <v>3.333333333</v>
      </c>
    </row>
    <row r="4153">
      <c r="A4153" s="58">
        <v>45839.0</v>
      </c>
      <c r="B4153" s="24" t="s">
        <v>6789</v>
      </c>
      <c r="C4153" s="24" t="s">
        <v>7006</v>
      </c>
      <c r="D4153" s="59">
        <v>3.0</v>
      </c>
      <c r="E4153" s="59">
        <v>3.0</v>
      </c>
      <c r="F4153" s="59">
        <v>2.0</v>
      </c>
      <c r="G4153" s="60">
        <v>1.0</v>
      </c>
      <c r="H4153" s="60">
        <v>0.333333333333333</v>
      </c>
      <c r="I4153" s="60">
        <v>2316.90058666666</v>
      </c>
      <c r="J4153" s="59">
        <v>9.0</v>
      </c>
      <c r="K4153" s="61">
        <f t="shared" si="1"/>
        <v>0.6666666667</v>
      </c>
      <c r="L4153" s="62">
        <f t="shared" si="2"/>
        <v>3</v>
      </c>
    </row>
    <row r="4154">
      <c r="A4154" s="58">
        <v>45839.0</v>
      </c>
      <c r="B4154" s="24" t="s">
        <v>6787</v>
      </c>
      <c r="C4154" s="24" t="s">
        <v>6843</v>
      </c>
      <c r="D4154" s="59">
        <v>3.0</v>
      </c>
      <c r="E4154" s="59">
        <v>3.0</v>
      </c>
      <c r="F4154" s="59">
        <v>3.0</v>
      </c>
      <c r="G4154" s="60">
        <v>1.0</v>
      </c>
      <c r="H4154" s="60">
        <v>1.0</v>
      </c>
      <c r="I4154" s="60">
        <v>0.935115</v>
      </c>
      <c r="J4154" s="59">
        <v>3.0</v>
      </c>
      <c r="K4154" s="61">
        <f t="shared" si="1"/>
        <v>1</v>
      </c>
      <c r="L4154" s="62">
        <f t="shared" si="2"/>
        <v>1</v>
      </c>
    </row>
    <row r="4155">
      <c r="A4155" s="58">
        <v>45839.0</v>
      </c>
      <c r="B4155" s="24" t="s">
        <v>6787</v>
      </c>
      <c r="C4155" s="24" t="s">
        <v>6904</v>
      </c>
      <c r="D4155" s="59">
        <v>3.0</v>
      </c>
      <c r="E4155" s="59">
        <v>3.0</v>
      </c>
      <c r="F4155" s="59">
        <v>3.0</v>
      </c>
      <c r="G4155" s="60">
        <v>1.0</v>
      </c>
      <c r="H4155" s="60">
        <v>1.0</v>
      </c>
      <c r="I4155" s="60">
        <v>0.621648666666666</v>
      </c>
      <c r="J4155" s="59">
        <v>3.0</v>
      </c>
      <c r="K4155" s="61">
        <f t="shared" si="1"/>
        <v>1</v>
      </c>
      <c r="L4155" s="62">
        <f t="shared" si="2"/>
        <v>1</v>
      </c>
    </row>
    <row r="4156">
      <c r="A4156" s="58">
        <v>45839.0</v>
      </c>
      <c r="B4156" s="24" t="s">
        <v>6789</v>
      </c>
      <c r="C4156" s="24" t="s">
        <v>6904</v>
      </c>
      <c r="D4156" s="59">
        <v>3.0</v>
      </c>
      <c r="E4156" s="59">
        <v>3.0</v>
      </c>
      <c r="F4156" s="59">
        <v>0.0</v>
      </c>
      <c r="G4156" s="60">
        <v>1.5</v>
      </c>
      <c r="H4156" s="60">
        <v>0.333333333333333</v>
      </c>
      <c r="I4156" s="60">
        <v>435.963473999999</v>
      </c>
      <c r="J4156" s="59">
        <v>13.0</v>
      </c>
      <c r="K4156" s="61">
        <f t="shared" si="1"/>
        <v>0</v>
      </c>
      <c r="L4156" s="62">
        <f t="shared" si="2"/>
        <v>4.333333333</v>
      </c>
    </row>
    <row r="4157">
      <c r="A4157" s="58">
        <v>45839.0</v>
      </c>
      <c r="B4157" s="24" t="s">
        <v>155</v>
      </c>
      <c r="C4157" s="24" t="s">
        <v>7310</v>
      </c>
      <c r="D4157" s="59">
        <v>3.0</v>
      </c>
      <c r="E4157" s="59">
        <v>3.0</v>
      </c>
      <c r="F4157" s="59">
        <v>2.0</v>
      </c>
      <c r="G4157" s="60">
        <v>1.0</v>
      </c>
      <c r="H4157" s="60">
        <v>0.0</v>
      </c>
      <c r="I4157" s="60">
        <v>1602.41272599999</v>
      </c>
      <c r="J4157" s="59">
        <v>17.0</v>
      </c>
      <c r="K4157" s="61">
        <f t="shared" si="1"/>
        <v>0.6666666667</v>
      </c>
      <c r="L4157" s="62">
        <f t="shared" si="2"/>
        <v>5.666666667</v>
      </c>
    </row>
    <row r="4158">
      <c r="A4158" s="58">
        <v>45839.0</v>
      </c>
      <c r="B4158" s="24" t="s">
        <v>6789</v>
      </c>
      <c r="C4158" s="24" t="s">
        <v>7234</v>
      </c>
      <c r="D4158" s="59">
        <v>3.0</v>
      </c>
      <c r="E4158" s="59">
        <v>3.0</v>
      </c>
      <c r="F4158" s="59">
        <v>2.0</v>
      </c>
      <c r="G4158" s="60">
        <v>1.0</v>
      </c>
      <c r="H4158" s="60">
        <v>0.666666666666666</v>
      </c>
      <c r="I4158" s="60">
        <v>139.661139</v>
      </c>
      <c r="J4158" s="59">
        <v>6.0</v>
      </c>
      <c r="K4158" s="61">
        <f t="shared" si="1"/>
        <v>0.6666666667</v>
      </c>
      <c r="L4158" s="62">
        <f t="shared" si="2"/>
        <v>2</v>
      </c>
    </row>
    <row r="4159">
      <c r="A4159" s="58">
        <v>45839.0</v>
      </c>
      <c r="B4159" s="24" t="s">
        <v>6789</v>
      </c>
      <c r="C4159" s="24" t="s">
        <v>7026</v>
      </c>
      <c r="D4159" s="59">
        <v>3.0</v>
      </c>
      <c r="E4159" s="59">
        <v>3.0</v>
      </c>
      <c r="F4159" s="59">
        <v>3.0</v>
      </c>
      <c r="G4159" s="60">
        <v>1.0</v>
      </c>
      <c r="H4159" s="60">
        <v>0.666666666666666</v>
      </c>
      <c r="I4159" s="60">
        <v>173.890534333333</v>
      </c>
      <c r="J4159" s="59">
        <v>6.0</v>
      </c>
      <c r="K4159" s="61">
        <f t="shared" si="1"/>
        <v>1</v>
      </c>
      <c r="L4159" s="62">
        <f t="shared" si="2"/>
        <v>2</v>
      </c>
    </row>
    <row r="4160">
      <c r="A4160" s="58">
        <v>45839.0</v>
      </c>
      <c r="B4160" s="24" t="s">
        <v>6787</v>
      </c>
      <c r="C4160" s="24" t="s">
        <v>7189</v>
      </c>
      <c r="D4160" s="59">
        <v>3.0</v>
      </c>
      <c r="E4160" s="59">
        <v>3.0</v>
      </c>
      <c r="F4160" s="59">
        <v>3.0</v>
      </c>
      <c r="G4160" s="60">
        <v>1.0</v>
      </c>
      <c r="H4160" s="60">
        <v>0.666666666666666</v>
      </c>
      <c r="I4160" s="60">
        <v>6.372357</v>
      </c>
      <c r="J4160" s="59">
        <v>3.0</v>
      </c>
      <c r="K4160" s="61">
        <f t="shared" si="1"/>
        <v>1</v>
      </c>
      <c r="L4160" s="62">
        <f t="shared" si="2"/>
        <v>1</v>
      </c>
    </row>
    <row r="4161">
      <c r="A4161" s="58">
        <v>45839.0</v>
      </c>
      <c r="B4161" s="24" t="s">
        <v>6789</v>
      </c>
      <c r="C4161" s="24" t="s">
        <v>7089</v>
      </c>
      <c r="D4161" s="59">
        <v>3.0</v>
      </c>
      <c r="E4161" s="59">
        <v>3.0</v>
      </c>
      <c r="F4161" s="59">
        <v>3.0</v>
      </c>
      <c r="G4161" s="60">
        <v>1.0</v>
      </c>
      <c r="H4161" s="60">
        <v>1.0</v>
      </c>
      <c r="I4161" s="60">
        <v>0.0</v>
      </c>
      <c r="J4161" s="59">
        <v>3.0</v>
      </c>
      <c r="K4161" s="61">
        <f t="shared" si="1"/>
        <v>1</v>
      </c>
      <c r="L4161" s="62">
        <f t="shared" si="2"/>
        <v>1</v>
      </c>
    </row>
    <row r="4162">
      <c r="A4162" s="58">
        <v>45839.0</v>
      </c>
      <c r="B4162" s="24" t="s">
        <v>6789</v>
      </c>
      <c r="C4162" s="24" t="s">
        <v>7161</v>
      </c>
      <c r="D4162" s="59">
        <v>3.0</v>
      </c>
      <c r="E4162" s="59">
        <v>3.0</v>
      </c>
      <c r="F4162" s="59">
        <v>3.0</v>
      </c>
      <c r="G4162" s="60">
        <v>1.0</v>
      </c>
      <c r="H4162" s="60">
        <v>1.0</v>
      </c>
      <c r="I4162" s="60">
        <v>0.0</v>
      </c>
      <c r="J4162" s="59">
        <v>3.0</v>
      </c>
      <c r="K4162" s="61">
        <f t="shared" si="1"/>
        <v>1</v>
      </c>
      <c r="L4162" s="62">
        <f t="shared" si="2"/>
        <v>1</v>
      </c>
    </row>
    <row r="4163">
      <c r="A4163" s="58">
        <v>45839.0</v>
      </c>
      <c r="B4163" s="24" t="s">
        <v>6789</v>
      </c>
      <c r="C4163" s="24" t="s">
        <v>7162</v>
      </c>
      <c r="D4163" s="59">
        <v>3.0</v>
      </c>
      <c r="E4163" s="59">
        <v>3.0</v>
      </c>
      <c r="F4163" s="59">
        <v>2.0</v>
      </c>
      <c r="G4163" s="60">
        <v>1.0</v>
      </c>
      <c r="H4163" s="60">
        <v>0.333333333333333</v>
      </c>
      <c r="I4163" s="60">
        <v>258.657364999999</v>
      </c>
      <c r="J4163" s="59">
        <v>11.0</v>
      </c>
      <c r="K4163" s="61">
        <f t="shared" si="1"/>
        <v>0.6666666667</v>
      </c>
      <c r="L4163" s="62">
        <f t="shared" si="2"/>
        <v>3.666666667</v>
      </c>
    </row>
    <row r="4164">
      <c r="A4164" s="58">
        <v>45839.0</v>
      </c>
      <c r="B4164" s="24" t="s">
        <v>6789</v>
      </c>
      <c r="C4164" s="24" t="s">
        <v>7094</v>
      </c>
      <c r="D4164" s="59">
        <v>3.0</v>
      </c>
      <c r="E4164" s="59">
        <v>3.0</v>
      </c>
      <c r="F4164" s="59">
        <v>2.0</v>
      </c>
      <c r="G4164" s="60">
        <v>1.0</v>
      </c>
      <c r="H4164" s="60">
        <v>0.666666666666666</v>
      </c>
      <c r="I4164" s="60">
        <v>1633.996802</v>
      </c>
      <c r="J4164" s="59">
        <v>28.0</v>
      </c>
      <c r="K4164" s="61">
        <f t="shared" si="1"/>
        <v>0.6666666667</v>
      </c>
      <c r="L4164" s="62">
        <f t="shared" si="2"/>
        <v>9.333333333</v>
      </c>
    </row>
    <row r="4165">
      <c r="A4165" s="58">
        <v>45839.0</v>
      </c>
      <c r="B4165" s="24" t="s">
        <v>6789</v>
      </c>
      <c r="C4165" s="24" t="s">
        <v>7138</v>
      </c>
      <c r="D4165" s="59">
        <v>3.0</v>
      </c>
      <c r="E4165" s="59">
        <v>6.0</v>
      </c>
      <c r="F4165" s="59">
        <v>3.0</v>
      </c>
      <c r="G4165" s="60">
        <v>2.0</v>
      </c>
      <c r="H4165" s="60">
        <v>0.833333333333333</v>
      </c>
      <c r="I4165" s="60">
        <v>20.418288</v>
      </c>
      <c r="J4165" s="59">
        <v>6.0</v>
      </c>
      <c r="K4165" s="61">
        <f t="shared" si="1"/>
        <v>0.5</v>
      </c>
      <c r="L4165" s="62">
        <f t="shared" si="2"/>
        <v>1</v>
      </c>
    </row>
    <row r="4166">
      <c r="A4166" s="58">
        <v>45839.0</v>
      </c>
      <c r="B4166" s="24" t="s">
        <v>6789</v>
      </c>
      <c r="C4166" s="24" t="s">
        <v>6800</v>
      </c>
      <c r="D4166" s="59">
        <v>3.0</v>
      </c>
      <c r="E4166" s="59">
        <v>3.0</v>
      </c>
      <c r="F4166" s="59">
        <v>2.0</v>
      </c>
      <c r="G4166" s="60">
        <v>1.5</v>
      </c>
      <c r="H4166" s="60">
        <v>1.0</v>
      </c>
      <c r="I4166" s="60">
        <v>2.895607</v>
      </c>
      <c r="J4166" s="59">
        <v>3.0</v>
      </c>
      <c r="K4166" s="61">
        <f t="shared" si="1"/>
        <v>0.6666666667</v>
      </c>
      <c r="L4166" s="62">
        <f t="shared" si="2"/>
        <v>1</v>
      </c>
    </row>
    <row r="4167">
      <c r="A4167" s="58">
        <v>45839.0</v>
      </c>
      <c r="B4167" s="24" t="s">
        <v>6789</v>
      </c>
      <c r="C4167" s="24" t="s">
        <v>7013</v>
      </c>
      <c r="D4167" s="59">
        <v>3.0</v>
      </c>
      <c r="E4167" s="59">
        <v>3.0</v>
      </c>
      <c r="F4167" s="59">
        <v>1.0</v>
      </c>
      <c r="G4167" s="60">
        <v>1.0</v>
      </c>
      <c r="H4167" s="60">
        <v>0.333333333333333</v>
      </c>
      <c r="I4167" s="60">
        <v>912.307688333333</v>
      </c>
      <c r="J4167" s="59">
        <v>13.0</v>
      </c>
      <c r="K4167" s="61">
        <f t="shared" si="1"/>
        <v>0.3333333333</v>
      </c>
      <c r="L4167" s="62">
        <f t="shared" si="2"/>
        <v>4.333333333</v>
      </c>
    </row>
    <row r="4168">
      <c r="A4168" s="58">
        <v>45839.0</v>
      </c>
      <c r="B4168" s="24" t="s">
        <v>155</v>
      </c>
      <c r="C4168" s="24" t="s">
        <v>6809</v>
      </c>
      <c r="D4168" s="59">
        <v>3.0</v>
      </c>
      <c r="E4168" s="59">
        <v>3.0</v>
      </c>
      <c r="F4168" s="59">
        <v>3.0</v>
      </c>
      <c r="G4168" s="60">
        <v>1.0</v>
      </c>
      <c r="H4168" s="60">
        <v>0.333333333333333</v>
      </c>
      <c r="I4168" s="60">
        <v>131.221190666666</v>
      </c>
      <c r="J4168" s="59">
        <v>6.0</v>
      </c>
      <c r="K4168" s="61">
        <f t="shared" si="1"/>
        <v>1</v>
      </c>
      <c r="L4168" s="62">
        <f t="shared" si="2"/>
        <v>2</v>
      </c>
    </row>
    <row r="4169">
      <c r="A4169" s="58">
        <v>45839.0</v>
      </c>
      <c r="B4169" s="24" t="s">
        <v>6787</v>
      </c>
      <c r="C4169" s="24" t="s">
        <v>6812</v>
      </c>
      <c r="D4169" s="59">
        <v>3.0</v>
      </c>
      <c r="E4169" s="59">
        <v>3.0</v>
      </c>
      <c r="F4169" s="59">
        <v>3.0</v>
      </c>
      <c r="G4169" s="60">
        <v>1.0</v>
      </c>
      <c r="H4169" s="60">
        <v>1.0</v>
      </c>
      <c r="I4169" s="60">
        <v>0.0</v>
      </c>
      <c r="J4169" s="59">
        <v>3.0</v>
      </c>
      <c r="K4169" s="61">
        <f t="shared" si="1"/>
        <v>1</v>
      </c>
      <c r="L4169" s="62">
        <f t="shared" si="2"/>
        <v>1</v>
      </c>
    </row>
    <row r="4170">
      <c r="A4170" s="58">
        <v>45839.0</v>
      </c>
      <c r="B4170" s="24" t="s">
        <v>6789</v>
      </c>
      <c r="C4170" s="24" t="s">
        <v>6908</v>
      </c>
      <c r="D4170" s="59">
        <v>3.0</v>
      </c>
      <c r="E4170" s="59">
        <v>3.0</v>
      </c>
      <c r="F4170" s="59">
        <v>2.0</v>
      </c>
      <c r="G4170" s="60">
        <v>1.0</v>
      </c>
      <c r="H4170" s="60">
        <v>0.333333333333333</v>
      </c>
      <c r="I4170" s="60">
        <v>708.724169333333</v>
      </c>
      <c r="J4170" s="59">
        <v>3.0</v>
      </c>
      <c r="K4170" s="61">
        <f t="shared" si="1"/>
        <v>0.6666666667</v>
      </c>
      <c r="L4170" s="62">
        <f t="shared" si="2"/>
        <v>1</v>
      </c>
    </row>
    <row r="4171">
      <c r="A4171" s="58">
        <v>45839.0</v>
      </c>
      <c r="B4171" s="24" t="s">
        <v>6789</v>
      </c>
      <c r="C4171" s="24" t="s">
        <v>6813</v>
      </c>
      <c r="D4171" s="59">
        <v>3.0</v>
      </c>
      <c r="E4171" s="59">
        <v>3.0</v>
      </c>
      <c r="F4171" s="59">
        <v>1.0</v>
      </c>
      <c r="G4171" s="60">
        <v>1.0</v>
      </c>
      <c r="H4171" s="60">
        <v>0.0</v>
      </c>
      <c r="I4171" s="60">
        <v>414.622046</v>
      </c>
      <c r="J4171" s="59">
        <v>11.0</v>
      </c>
      <c r="K4171" s="61">
        <f t="shared" si="1"/>
        <v>0.3333333333</v>
      </c>
      <c r="L4171" s="62">
        <f t="shared" si="2"/>
        <v>3.666666667</v>
      </c>
    </row>
    <row r="4172">
      <c r="A4172" s="58">
        <v>45839.0</v>
      </c>
      <c r="B4172" s="24" t="s">
        <v>6787</v>
      </c>
      <c r="C4172" s="24" t="s">
        <v>6917</v>
      </c>
      <c r="D4172" s="59">
        <v>3.0</v>
      </c>
      <c r="E4172" s="59">
        <v>3.0</v>
      </c>
      <c r="F4172" s="59">
        <v>3.0</v>
      </c>
      <c r="G4172" s="60">
        <v>1.0</v>
      </c>
      <c r="H4172" s="60">
        <v>0.666666666666666</v>
      </c>
      <c r="I4172" s="60">
        <v>4.07105066666666</v>
      </c>
      <c r="J4172" s="59">
        <v>3.0</v>
      </c>
      <c r="K4172" s="61">
        <f t="shared" si="1"/>
        <v>1</v>
      </c>
      <c r="L4172" s="62">
        <f t="shared" si="2"/>
        <v>1</v>
      </c>
    </row>
    <row r="4173">
      <c r="A4173" s="58">
        <v>45839.0</v>
      </c>
      <c r="B4173" s="24" t="s">
        <v>6787</v>
      </c>
      <c r="C4173" s="24" t="s">
        <v>7180</v>
      </c>
      <c r="D4173" s="59">
        <v>3.0</v>
      </c>
      <c r="E4173" s="59">
        <v>6.0</v>
      </c>
      <c r="F4173" s="59">
        <v>1.0</v>
      </c>
      <c r="G4173" s="60">
        <v>2.0</v>
      </c>
      <c r="H4173" s="60">
        <v>0.5</v>
      </c>
      <c r="I4173" s="60">
        <v>133.871426833333</v>
      </c>
      <c r="J4173" s="59">
        <v>11.0</v>
      </c>
      <c r="K4173" s="61">
        <f t="shared" si="1"/>
        <v>0.1666666667</v>
      </c>
      <c r="L4173" s="62">
        <f t="shared" si="2"/>
        <v>1.833333333</v>
      </c>
    </row>
    <row r="4174">
      <c r="A4174" s="58">
        <v>45839.0</v>
      </c>
      <c r="B4174" s="24" t="s">
        <v>6789</v>
      </c>
      <c r="C4174" s="24" t="s">
        <v>6931</v>
      </c>
      <c r="D4174" s="59">
        <v>3.0</v>
      </c>
      <c r="E4174" s="59">
        <v>3.0</v>
      </c>
      <c r="F4174" s="59">
        <v>2.0</v>
      </c>
      <c r="G4174" s="60">
        <v>1.0</v>
      </c>
      <c r="H4174" s="60">
        <v>0.333333333333333</v>
      </c>
      <c r="I4174" s="60">
        <v>1122.33897</v>
      </c>
      <c r="J4174" s="59">
        <v>12.0</v>
      </c>
      <c r="K4174" s="61">
        <f t="shared" si="1"/>
        <v>0.6666666667</v>
      </c>
      <c r="L4174" s="62">
        <f t="shared" si="2"/>
        <v>4</v>
      </c>
    </row>
    <row r="4175">
      <c r="A4175" s="58">
        <v>45839.0</v>
      </c>
      <c r="B4175" s="24" t="s">
        <v>6787</v>
      </c>
      <c r="C4175" s="24" t="s">
        <v>6854</v>
      </c>
      <c r="D4175" s="59">
        <v>3.0</v>
      </c>
      <c r="E4175" s="59">
        <v>3.0</v>
      </c>
      <c r="F4175" s="59">
        <v>2.0</v>
      </c>
      <c r="G4175" s="60">
        <v>1.5</v>
      </c>
      <c r="H4175" s="60">
        <v>0.666666666666666</v>
      </c>
      <c r="I4175" s="60">
        <v>121.404469333333</v>
      </c>
      <c r="J4175" s="59">
        <v>4.0</v>
      </c>
      <c r="K4175" s="61">
        <f t="shared" si="1"/>
        <v>0.6666666667</v>
      </c>
      <c r="L4175" s="62">
        <f t="shared" si="2"/>
        <v>1.333333333</v>
      </c>
    </row>
    <row r="4176">
      <c r="A4176" s="58">
        <v>45839.0</v>
      </c>
      <c r="B4176" s="24" t="s">
        <v>7100</v>
      </c>
      <c r="C4176" s="24" t="s">
        <v>6792</v>
      </c>
      <c r="D4176" s="59">
        <v>2.0</v>
      </c>
      <c r="E4176" s="59">
        <v>2.0</v>
      </c>
      <c r="F4176" s="59">
        <v>0.0</v>
      </c>
      <c r="G4176" s="60">
        <v>2.0</v>
      </c>
      <c r="H4176" s="60">
        <v>1.0</v>
      </c>
      <c r="I4176" s="60">
        <v>0.0</v>
      </c>
      <c r="J4176" s="59">
        <v>0.0</v>
      </c>
      <c r="K4176" s="61">
        <f t="shared" si="1"/>
        <v>0</v>
      </c>
      <c r="L4176" s="62">
        <f t="shared" si="2"/>
        <v>0</v>
      </c>
    </row>
    <row r="4177">
      <c r="A4177" s="58">
        <v>45839.0</v>
      </c>
      <c r="B4177" s="24" t="s">
        <v>6787</v>
      </c>
      <c r="C4177" s="24" t="s">
        <v>7364</v>
      </c>
      <c r="D4177" s="59">
        <v>2.0</v>
      </c>
      <c r="E4177" s="59">
        <v>2.0</v>
      </c>
      <c r="F4177" s="59">
        <v>2.0</v>
      </c>
      <c r="G4177" s="60">
        <v>1.0</v>
      </c>
      <c r="H4177" s="60">
        <v>1.0</v>
      </c>
      <c r="I4177" s="60">
        <v>0.0</v>
      </c>
      <c r="J4177" s="59">
        <v>2.0</v>
      </c>
      <c r="K4177" s="61">
        <f t="shared" si="1"/>
        <v>1</v>
      </c>
      <c r="L4177" s="62">
        <f t="shared" si="2"/>
        <v>1</v>
      </c>
    </row>
    <row r="4178">
      <c r="A4178" s="58">
        <v>45839.0</v>
      </c>
      <c r="B4178" s="24" t="s">
        <v>6787</v>
      </c>
      <c r="C4178" s="24" t="s">
        <v>7386</v>
      </c>
      <c r="D4178" s="59">
        <v>2.0</v>
      </c>
      <c r="E4178" s="59">
        <v>2.0</v>
      </c>
      <c r="F4178" s="59">
        <v>2.0</v>
      </c>
      <c r="G4178" s="60">
        <v>1.0</v>
      </c>
      <c r="H4178" s="60">
        <v>1.0</v>
      </c>
      <c r="I4178" s="60">
        <v>0.0</v>
      </c>
      <c r="J4178" s="59">
        <v>2.0</v>
      </c>
      <c r="K4178" s="61">
        <f t="shared" si="1"/>
        <v>1</v>
      </c>
      <c r="L4178" s="62">
        <f t="shared" si="2"/>
        <v>1</v>
      </c>
    </row>
    <row r="4179">
      <c r="A4179" s="58">
        <v>45839.0</v>
      </c>
      <c r="B4179" s="24" t="s">
        <v>6787</v>
      </c>
      <c r="C4179" s="24" t="s">
        <v>7149</v>
      </c>
      <c r="D4179" s="59">
        <v>2.0</v>
      </c>
      <c r="E4179" s="59">
        <v>3.0</v>
      </c>
      <c r="F4179" s="59">
        <v>0.0</v>
      </c>
      <c r="G4179" s="60">
        <v>1.5</v>
      </c>
      <c r="H4179" s="60">
        <v>0.333333333333333</v>
      </c>
      <c r="I4179" s="60">
        <v>114.894561</v>
      </c>
      <c r="J4179" s="59">
        <v>27.0</v>
      </c>
      <c r="K4179" s="61">
        <f t="shared" si="1"/>
        <v>0</v>
      </c>
      <c r="L4179" s="62">
        <f t="shared" si="2"/>
        <v>9</v>
      </c>
    </row>
    <row r="4180">
      <c r="A4180" s="58">
        <v>45839.0</v>
      </c>
      <c r="B4180" s="24" t="s">
        <v>6787</v>
      </c>
      <c r="C4180" s="24" t="s">
        <v>7055</v>
      </c>
      <c r="D4180" s="59">
        <v>2.0</v>
      </c>
      <c r="E4180" s="59">
        <v>2.0</v>
      </c>
      <c r="F4180" s="59">
        <v>2.0</v>
      </c>
      <c r="G4180" s="60">
        <v>1.0</v>
      </c>
      <c r="H4180" s="60">
        <v>1.0</v>
      </c>
      <c r="I4180" s="60">
        <v>1.5143595</v>
      </c>
      <c r="J4180" s="59">
        <v>2.0</v>
      </c>
      <c r="K4180" s="61">
        <f t="shared" si="1"/>
        <v>1</v>
      </c>
      <c r="L4180" s="62">
        <f t="shared" si="2"/>
        <v>1</v>
      </c>
    </row>
    <row r="4181">
      <c r="A4181" s="58">
        <v>45839.0</v>
      </c>
      <c r="B4181" s="24" t="s">
        <v>6789</v>
      </c>
      <c r="C4181" s="24" t="s">
        <v>7056</v>
      </c>
      <c r="D4181" s="59">
        <v>2.0</v>
      </c>
      <c r="E4181" s="59">
        <v>2.0</v>
      </c>
      <c r="F4181" s="59">
        <v>2.0</v>
      </c>
      <c r="G4181" s="60">
        <v>1.0</v>
      </c>
      <c r="H4181" s="60">
        <v>0.5</v>
      </c>
      <c r="I4181" s="60">
        <v>5.1239285</v>
      </c>
      <c r="J4181" s="59">
        <v>2.0</v>
      </c>
      <c r="K4181" s="61">
        <f t="shared" si="1"/>
        <v>1</v>
      </c>
      <c r="L4181" s="62">
        <f t="shared" si="2"/>
        <v>1</v>
      </c>
    </row>
    <row r="4182">
      <c r="A4182" s="58">
        <v>45839.0</v>
      </c>
      <c r="B4182" s="24" t="s">
        <v>6787</v>
      </c>
      <c r="C4182" s="24" t="s">
        <v>6983</v>
      </c>
      <c r="D4182" s="59">
        <v>2.0</v>
      </c>
      <c r="E4182" s="59">
        <v>2.0</v>
      </c>
      <c r="F4182" s="59">
        <v>2.0</v>
      </c>
      <c r="G4182" s="60">
        <v>1.0</v>
      </c>
      <c r="H4182" s="60">
        <v>0.5</v>
      </c>
      <c r="I4182" s="60">
        <v>14.86268</v>
      </c>
      <c r="J4182" s="59">
        <v>2.0</v>
      </c>
      <c r="K4182" s="61">
        <f t="shared" si="1"/>
        <v>1</v>
      </c>
      <c r="L4182" s="62">
        <f t="shared" si="2"/>
        <v>1</v>
      </c>
    </row>
    <row r="4183">
      <c r="A4183" s="58">
        <v>45839.0</v>
      </c>
      <c r="B4183" s="24" t="s">
        <v>6787</v>
      </c>
      <c r="C4183" s="24" t="s">
        <v>6955</v>
      </c>
      <c r="D4183" s="59">
        <v>2.0</v>
      </c>
      <c r="E4183" s="59">
        <v>2.0</v>
      </c>
      <c r="F4183" s="59">
        <v>2.0</v>
      </c>
      <c r="G4183" s="60">
        <v>1.0</v>
      </c>
      <c r="H4183" s="60">
        <v>1.0</v>
      </c>
      <c r="I4183" s="60">
        <v>0.0</v>
      </c>
      <c r="J4183" s="59">
        <v>2.0</v>
      </c>
      <c r="K4183" s="61">
        <f t="shared" si="1"/>
        <v>1</v>
      </c>
      <c r="L4183" s="62">
        <f t="shared" si="2"/>
        <v>1</v>
      </c>
    </row>
    <row r="4184">
      <c r="A4184" s="58">
        <v>45839.0</v>
      </c>
      <c r="B4184" s="24" t="s">
        <v>6789</v>
      </c>
      <c r="C4184" s="24" t="s">
        <v>7057</v>
      </c>
      <c r="D4184" s="59">
        <v>2.0</v>
      </c>
      <c r="E4184" s="59">
        <v>2.0</v>
      </c>
      <c r="F4184" s="59">
        <v>2.0</v>
      </c>
      <c r="G4184" s="60">
        <v>1.0</v>
      </c>
      <c r="H4184" s="60">
        <v>1.0</v>
      </c>
      <c r="I4184" s="60">
        <v>4.726263</v>
      </c>
      <c r="J4184" s="59">
        <v>2.0</v>
      </c>
      <c r="K4184" s="61">
        <f t="shared" si="1"/>
        <v>1</v>
      </c>
      <c r="L4184" s="62">
        <f t="shared" si="2"/>
        <v>1</v>
      </c>
    </row>
    <row r="4185">
      <c r="A4185" s="58">
        <v>45839.0</v>
      </c>
      <c r="B4185" s="24" t="s">
        <v>6787</v>
      </c>
      <c r="C4185" s="24" t="s">
        <v>7058</v>
      </c>
      <c r="D4185" s="59">
        <v>2.0</v>
      </c>
      <c r="E4185" s="59">
        <v>2.0</v>
      </c>
      <c r="F4185" s="59">
        <v>2.0</v>
      </c>
      <c r="G4185" s="60">
        <v>1.0</v>
      </c>
      <c r="H4185" s="60">
        <v>1.0</v>
      </c>
      <c r="I4185" s="60">
        <v>0.0</v>
      </c>
      <c r="J4185" s="59">
        <v>2.0</v>
      </c>
      <c r="K4185" s="61">
        <f t="shared" si="1"/>
        <v>1</v>
      </c>
      <c r="L4185" s="62">
        <f t="shared" si="2"/>
        <v>1</v>
      </c>
    </row>
    <row r="4186">
      <c r="A4186" s="58">
        <v>45839.0</v>
      </c>
      <c r="B4186" s="24" t="s">
        <v>6789</v>
      </c>
      <c r="C4186" s="24" t="s">
        <v>7058</v>
      </c>
      <c r="D4186" s="59">
        <v>2.0</v>
      </c>
      <c r="E4186" s="59">
        <v>2.0</v>
      </c>
      <c r="F4186" s="59">
        <v>2.0</v>
      </c>
      <c r="G4186" s="60">
        <v>1.0</v>
      </c>
      <c r="H4186" s="60">
        <v>0.5</v>
      </c>
      <c r="I4186" s="60">
        <v>119.574764</v>
      </c>
      <c r="J4186" s="59">
        <v>2.0</v>
      </c>
      <c r="K4186" s="61">
        <f t="shared" si="1"/>
        <v>1</v>
      </c>
      <c r="L4186" s="62">
        <f t="shared" si="2"/>
        <v>1</v>
      </c>
    </row>
    <row r="4187">
      <c r="A4187" s="58">
        <v>45839.0</v>
      </c>
      <c r="B4187" s="24" t="s">
        <v>6787</v>
      </c>
      <c r="C4187" s="24" t="s">
        <v>7039</v>
      </c>
      <c r="D4187" s="59">
        <v>2.0</v>
      </c>
      <c r="E4187" s="59">
        <v>2.0</v>
      </c>
      <c r="F4187" s="59">
        <v>2.0</v>
      </c>
      <c r="G4187" s="60">
        <v>1.0</v>
      </c>
      <c r="H4187" s="60">
        <v>0.5</v>
      </c>
      <c r="I4187" s="60">
        <v>29.7556485</v>
      </c>
      <c r="J4187" s="59">
        <v>2.0</v>
      </c>
      <c r="K4187" s="61">
        <f t="shared" si="1"/>
        <v>1</v>
      </c>
      <c r="L4187" s="62">
        <f t="shared" si="2"/>
        <v>1</v>
      </c>
    </row>
    <row r="4188">
      <c r="A4188" s="58">
        <v>45839.0</v>
      </c>
      <c r="B4188" s="24" t="s">
        <v>155</v>
      </c>
      <c r="C4188" s="24" t="s">
        <v>7039</v>
      </c>
      <c r="D4188" s="59">
        <v>2.0</v>
      </c>
      <c r="E4188" s="59">
        <v>2.0</v>
      </c>
      <c r="F4188" s="59">
        <v>0.0</v>
      </c>
      <c r="G4188" s="60">
        <v>2.0</v>
      </c>
      <c r="H4188" s="60">
        <v>1.0</v>
      </c>
      <c r="I4188" s="60">
        <v>0.9349855</v>
      </c>
      <c r="J4188" s="59">
        <v>2.0</v>
      </c>
      <c r="K4188" s="61">
        <f t="shared" si="1"/>
        <v>0</v>
      </c>
      <c r="L4188" s="62">
        <f t="shared" si="2"/>
        <v>1</v>
      </c>
    </row>
    <row r="4189">
      <c r="A4189" s="58">
        <v>45839.0</v>
      </c>
      <c r="B4189" s="24" t="s">
        <v>6787</v>
      </c>
      <c r="C4189" s="24" t="s">
        <v>6861</v>
      </c>
      <c r="D4189" s="59">
        <v>2.0</v>
      </c>
      <c r="E4189" s="59">
        <v>2.0</v>
      </c>
      <c r="F4189" s="59">
        <v>2.0</v>
      </c>
      <c r="G4189" s="60">
        <v>1.0</v>
      </c>
      <c r="H4189" s="60">
        <v>0.5</v>
      </c>
      <c r="I4189" s="60">
        <v>15.41706</v>
      </c>
      <c r="J4189" s="59">
        <v>2.0</v>
      </c>
      <c r="K4189" s="61">
        <f t="shared" si="1"/>
        <v>1</v>
      </c>
      <c r="L4189" s="62">
        <f t="shared" si="2"/>
        <v>1</v>
      </c>
    </row>
    <row r="4190">
      <c r="A4190" s="58">
        <v>45839.0</v>
      </c>
      <c r="B4190" s="24" t="s">
        <v>6789</v>
      </c>
      <c r="C4190" s="24" t="s">
        <v>6865</v>
      </c>
      <c r="D4190" s="59">
        <v>2.0</v>
      </c>
      <c r="E4190" s="59">
        <v>2.0</v>
      </c>
      <c r="F4190" s="59">
        <v>2.0</v>
      </c>
      <c r="G4190" s="60">
        <v>1.0</v>
      </c>
      <c r="H4190" s="60">
        <v>1.0</v>
      </c>
      <c r="I4190" s="60">
        <v>0.0</v>
      </c>
      <c r="J4190" s="59">
        <v>2.0</v>
      </c>
      <c r="K4190" s="61">
        <f t="shared" si="1"/>
        <v>1</v>
      </c>
      <c r="L4190" s="62">
        <f t="shared" si="2"/>
        <v>1</v>
      </c>
    </row>
    <row r="4191">
      <c r="A4191" s="58">
        <v>45839.0</v>
      </c>
      <c r="B4191" s="24" t="s">
        <v>6787</v>
      </c>
      <c r="C4191" s="24" t="s">
        <v>6986</v>
      </c>
      <c r="D4191" s="59">
        <v>2.0</v>
      </c>
      <c r="E4191" s="59">
        <v>2.0</v>
      </c>
      <c r="F4191" s="59">
        <v>2.0</v>
      </c>
      <c r="G4191" s="60">
        <v>1.0</v>
      </c>
      <c r="H4191" s="60">
        <v>1.0</v>
      </c>
      <c r="I4191" s="60">
        <v>1.229838</v>
      </c>
      <c r="J4191" s="59">
        <v>2.0</v>
      </c>
      <c r="K4191" s="61">
        <f t="shared" si="1"/>
        <v>1</v>
      </c>
      <c r="L4191" s="62">
        <f t="shared" si="2"/>
        <v>1</v>
      </c>
    </row>
    <row r="4192">
      <c r="A4192" s="58">
        <v>45839.0</v>
      </c>
      <c r="B4192" s="24" t="s">
        <v>6789</v>
      </c>
      <c r="C4192" s="24" t="s">
        <v>6988</v>
      </c>
      <c r="D4192" s="59">
        <v>2.0</v>
      </c>
      <c r="E4192" s="59">
        <v>2.0</v>
      </c>
      <c r="F4192" s="59">
        <v>2.0</v>
      </c>
      <c r="G4192" s="60">
        <v>1.0</v>
      </c>
      <c r="H4192" s="60">
        <v>1.0</v>
      </c>
      <c r="I4192" s="60">
        <v>6.5619415</v>
      </c>
      <c r="J4192" s="59">
        <v>2.0</v>
      </c>
      <c r="K4192" s="61">
        <f t="shared" si="1"/>
        <v>1</v>
      </c>
      <c r="L4192" s="62">
        <f t="shared" si="2"/>
        <v>1</v>
      </c>
    </row>
    <row r="4193">
      <c r="A4193" s="58">
        <v>45839.0</v>
      </c>
      <c r="B4193" s="24" t="s">
        <v>155</v>
      </c>
      <c r="C4193" s="24" t="s">
        <v>6870</v>
      </c>
      <c r="D4193" s="59">
        <v>2.0</v>
      </c>
      <c r="E4193" s="59">
        <v>2.0</v>
      </c>
      <c r="F4193" s="59">
        <v>2.0</v>
      </c>
      <c r="G4193" s="60">
        <v>1.0</v>
      </c>
      <c r="H4193" s="60">
        <v>0.5</v>
      </c>
      <c r="I4193" s="60">
        <v>11.504869</v>
      </c>
      <c r="J4193" s="59">
        <v>2.0</v>
      </c>
      <c r="K4193" s="61">
        <f t="shared" si="1"/>
        <v>1</v>
      </c>
      <c r="L4193" s="62">
        <f t="shared" si="2"/>
        <v>1</v>
      </c>
    </row>
    <row r="4194">
      <c r="A4194" s="58">
        <v>45839.0</v>
      </c>
      <c r="B4194" s="24" t="s">
        <v>6789</v>
      </c>
      <c r="C4194" s="24" t="s">
        <v>6872</v>
      </c>
      <c r="D4194" s="59">
        <v>2.0</v>
      </c>
      <c r="E4194" s="59">
        <v>2.0</v>
      </c>
      <c r="F4194" s="59">
        <v>2.0</v>
      </c>
      <c r="G4194" s="60">
        <v>1.0</v>
      </c>
      <c r="H4194" s="60">
        <v>0.5</v>
      </c>
      <c r="I4194" s="60">
        <v>8.17840249999999</v>
      </c>
      <c r="J4194" s="59">
        <v>2.0</v>
      </c>
      <c r="K4194" s="61">
        <f t="shared" si="1"/>
        <v>1</v>
      </c>
      <c r="L4194" s="62">
        <f t="shared" si="2"/>
        <v>1</v>
      </c>
    </row>
    <row r="4195">
      <c r="A4195" s="58">
        <v>45839.0</v>
      </c>
      <c r="B4195" s="24" t="s">
        <v>6790</v>
      </c>
      <c r="C4195" s="24" t="s">
        <v>7024</v>
      </c>
      <c r="D4195" s="59">
        <v>2.0</v>
      </c>
      <c r="E4195" s="59">
        <v>2.0</v>
      </c>
      <c r="F4195" s="59">
        <v>2.0</v>
      </c>
      <c r="G4195" s="60">
        <v>1.0</v>
      </c>
      <c r="H4195" s="60">
        <v>0.0</v>
      </c>
      <c r="I4195" s="60">
        <v>103.203758</v>
      </c>
      <c r="J4195" s="59">
        <v>3.0</v>
      </c>
      <c r="K4195" s="61">
        <f t="shared" si="1"/>
        <v>1</v>
      </c>
      <c r="L4195" s="62">
        <f t="shared" si="2"/>
        <v>1.5</v>
      </c>
    </row>
    <row r="4196">
      <c r="A4196" s="58">
        <v>45839.0</v>
      </c>
      <c r="B4196" s="24" t="s">
        <v>6787</v>
      </c>
      <c r="C4196" s="24" t="s">
        <v>6876</v>
      </c>
      <c r="D4196" s="59">
        <v>2.0</v>
      </c>
      <c r="E4196" s="59">
        <v>2.0</v>
      </c>
      <c r="F4196" s="59">
        <v>2.0</v>
      </c>
      <c r="G4196" s="60">
        <v>1.0</v>
      </c>
      <c r="H4196" s="60">
        <v>0.5</v>
      </c>
      <c r="I4196" s="60">
        <v>25.275612</v>
      </c>
      <c r="J4196" s="59">
        <v>3.0</v>
      </c>
      <c r="K4196" s="61">
        <f t="shared" si="1"/>
        <v>1</v>
      </c>
      <c r="L4196" s="62">
        <f t="shared" si="2"/>
        <v>1.5</v>
      </c>
    </row>
    <row r="4197">
      <c r="A4197" s="58">
        <v>45839.0</v>
      </c>
      <c r="B4197" s="24" t="s">
        <v>155</v>
      </c>
      <c r="C4197" s="24" t="s">
        <v>6877</v>
      </c>
      <c r="D4197" s="59">
        <v>2.0</v>
      </c>
      <c r="E4197" s="59">
        <v>2.0</v>
      </c>
      <c r="F4197" s="59">
        <v>2.0</v>
      </c>
      <c r="G4197" s="60">
        <v>1.0</v>
      </c>
      <c r="H4197" s="60">
        <v>0.5</v>
      </c>
      <c r="I4197" s="60">
        <v>82.5895205</v>
      </c>
      <c r="J4197" s="59">
        <v>3.0</v>
      </c>
      <c r="K4197" s="61">
        <f t="shared" si="1"/>
        <v>1</v>
      </c>
      <c r="L4197" s="62">
        <f t="shared" si="2"/>
        <v>1.5</v>
      </c>
    </row>
    <row r="4198">
      <c r="A4198" s="58">
        <v>45839.0</v>
      </c>
      <c r="B4198" s="24" t="s">
        <v>6787</v>
      </c>
      <c r="C4198" s="24" t="s">
        <v>6989</v>
      </c>
      <c r="D4198" s="59">
        <v>2.0</v>
      </c>
      <c r="E4198" s="59">
        <v>2.0</v>
      </c>
      <c r="F4198" s="59">
        <v>2.0</v>
      </c>
      <c r="G4198" s="60">
        <v>1.0</v>
      </c>
      <c r="H4198" s="60">
        <v>1.0</v>
      </c>
      <c r="I4198" s="60">
        <v>2.2185205</v>
      </c>
      <c r="J4198" s="59">
        <v>2.0</v>
      </c>
      <c r="K4198" s="61">
        <f t="shared" si="1"/>
        <v>1</v>
      </c>
      <c r="L4198" s="62">
        <f t="shared" si="2"/>
        <v>1</v>
      </c>
    </row>
    <row r="4199">
      <c r="A4199" s="58">
        <v>45839.0</v>
      </c>
      <c r="B4199" s="24" t="s">
        <v>6789</v>
      </c>
      <c r="C4199" s="24" t="s">
        <v>6878</v>
      </c>
      <c r="D4199" s="59">
        <v>2.0</v>
      </c>
      <c r="E4199" s="59">
        <v>2.0</v>
      </c>
      <c r="F4199" s="59">
        <v>1.0</v>
      </c>
      <c r="G4199" s="60">
        <v>1.0</v>
      </c>
      <c r="H4199" s="60">
        <v>0.5</v>
      </c>
      <c r="I4199" s="60">
        <v>6.3288135</v>
      </c>
      <c r="J4199" s="59">
        <v>2.0</v>
      </c>
      <c r="K4199" s="61">
        <f t="shared" si="1"/>
        <v>0.5</v>
      </c>
      <c r="L4199" s="62">
        <f t="shared" si="2"/>
        <v>1</v>
      </c>
    </row>
    <row r="4200">
      <c r="A4200" s="58">
        <v>45839.0</v>
      </c>
      <c r="B4200" s="24" t="s">
        <v>6789</v>
      </c>
      <c r="C4200" s="24" t="s">
        <v>6880</v>
      </c>
      <c r="D4200" s="59">
        <v>2.0</v>
      </c>
      <c r="E4200" s="59">
        <v>2.0</v>
      </c>
      <c r="F4200" s="59">
        <v>2.0</v>
      </c>
      <c r="G4200" s="60">
        <v>1.0</v>
      </c>
      <c r="H4200" s="60">
        <v>1.0</v>
      </c>
      <c r="I4200" s="60">
        <v>3.4296405</v>
      </c>
      <c r="J4200" s="59">
        <v>2.0</v>
      </c>
      <c r="K4200" s="61">
        <f t="shared" si="1"/>
        <v>1</v>
      </c>
      <c r="L4200" s="62">
        <f t="shared" si="2"/>
        <v>1</v>
      </c>
    </row>
    <row r="4201">
      <c r="A4201" s="58">
        <v>45839.0</v>
      </c>
      <c r="B4201" s="24" t="s">
        <v>155</v>
      </c>
      <c r="C4201" s="24" t="s">
        <v>6882</v>
      </c>
      <c r="D4201" s="59">
        <v>2.0</v>
      </c>
      <c r="E4201" s="59">
        <v>2.0</v>
      </c>
      <c r="F4201" s="59">
        <v>2.0</v>
      </c>
      <c r="G4201" s="60">
        <v>1.0</v>
      </c>
      <c r="H4201" s="60">
        <v>0.0</v>
      </c>
      <c r="I4201" s="60">
        <v>319.502232</v>
      </c>
      <c r="J4201" s="59">
        <v>2.0</v>
      </c>
      <c r="K4201" s="61">
        <f t="shared" si="1"/>
        <v>1</v>
      </c>
      <c r="L4201" s="62">
        <f t="shared" si="2"/>
        <v>1</v>
      </c>
    </row>
    <row r="4202">
      <c r="A4202" s="58">
        <v>45839.0</v>
      </c>
      <c r="B4202" s="24" t="s">
        <v>6787</v>
      </c>
      <c r="C4202" s="24" t="s">
        <v>7068</v>
      </c>
      <c r="D4202" s="59">
        <v>2.0</v>
      </c>
      <c r="E4202" s="59">
        <v>2.0</v>
      </c>
      <c r="F4202" s="59">
        <v>2.0</v>
      </c>
      <c r="G4202" s="60">
        <v>1.0</v>
      </c>
      <c r="H4202" s="60">
        <v>0.5</v>
      </c>
      <c r="I4202" s="60">
        <v>9.0936085</v>
      </c>
      <c r="J4202" s="59">
        <v>2.0</v>
      </c>
      <c r="K4202" s="61">
        <f t="shared" si="1"/>
        <v>1</v>
      </c>
      <c r="L4202" s="62">
        <f t="shared" si="2"/>
        <v>1</v>
      </c>
    </row>
    <row r="4203">
      <c r="A4203" s="58">
        <v>45839.0</v>
      </c>
      <c r="B4203" s="24" t="s">
        <v>6787</v>
      </c>
      <c r="C4203" s="24" t="s">
        <v>6835</v>
      </c>
      <c r="D4203" s="59">
        <v>2.0</v>
      </c>
      <c r="E4203" s="59">
        <v>3.0</v>
      </c>
      <c r="F4203" s="59">
        <v>2.0</v>
      </c>
      <c r="G4203" s="60">
        <v>1.5</v>
      </c>
      <c r="H4203" s="60">
        <v>1.0</v>
      </c>
      <c r="I4203" s="60">
        <v>0.0</v>
      </c>
      <c r="J4203" s="59">
        <v>3.0</v>
      </c>
      <c r="K4203" s="61">
        <f t="shared" si="1"/>
        <v>0.6666666667</v>
      </c>
      <c r="L4203" s="62">
        <f t="shared" si="2"/>
        <v>1</v>
      </c>
    </row>
    <row r="4204">
      <c r="A4204" s="58">
        <v>45839.0</v>
      </c>
      <c r="B4204" s="24" t="s">
        <v>155</v>
      </c>
      <c r="C4204" s="24" t="s">
        <v>6835</v>
      </c>
      <c r="D4204" s="59">
        <v>2.0</v>
      </c>
      <c r="E4204" s="59">
        <v>2.0</v>
      </c>
      <c r="F4204" s="59">
        <v>2.0</v>
      </c>
      <c r="G4204" s="60">
        <v>1.0</v>
      </c>
      <c r="H4204" s="60">
        <v>0.0</v>
      </c>
      <c r="I4204" s="60">
        <v>331.143642</v>
      </c>
      <c r="J4204" s="59">
        <v>3.0</v>
      </c>
      <c r="K4204" s="61">
        <f t="shared" si="1"/>
        <v>1</v>
      </c>
      <c r="L4204" s="62">
        <f t="shared" si="2"/>
        <v>1.5</v>
      </c>
    </row>
    <row r="4205">
      <c r="A4205" s="58">
        <v>45839.0</v>
      </c>
      <c r="B4205" s="24" t="s">
        <v>6789</v>
      </c>
      <c r="C4205" s="24" t="s">
        <v>7070</v>
      </c>
      <c r="D4205" s="59">
        <v>2.0</v>
      </c>
      <c r="E4205" s="59">
        <v>2.0</v>
      </c>
      <c r="F4205" s="59">
        <v>2.0</v>
      </c>
      <c r="G4205" s="60">
        <v>1.0</v>
      </c>
      <c r="H4205" s="60">
        <v>0.5</v>
      </c>
      <c r="I4205" s="60">
        <v>111.327913</v>
      </c>
      <c r="J4205" s="59">
        <v>3.0</v>
      </c>
      <c r="K4205" s="61">
        <f t="shared" si="1"/>
        <v>1</v>
      </c>
      <c r="L4205" s="62">
        <f t="shared" si="2"/>
        <v>1.5</v>
      </c>
    </row>
    <row r="4206">
      <c r="A4206" s="58">
        <v>45839.0</v>
      </c>
      <c r="B4206" s="24" t="s">
        <v>155</v>
      </c>
      <c r="C4206" s="24" t="s">
        <v>7070</v>
      </c>
      <c r="D4206" s="59">
        <v>2.0</v>
      </c>
      <c r="E4206" s="59">
        <v>2.0</v>
      </c>
      <c r="F4206" s="59">
        <v>1.0</v>
      </c>
      <c r="G4206" s="60">
        <v>2.0</v>
      </c>
      <c r="H4206" s="60">
        <v>1.0</v>
      </c>
      <c r="I4206" s="60">
        <v>0.475606</v>
      </c>
      <c r="J4206" s="59">
        <v>2.0</v>
      </c>
      <c r="K4206" s="61">
        <f t="shared" si="1"/>
        <v>0.5</v>
      </c>
      <c r="L4206" s="62">
        <f t="shared" si="2"/>
        <v>1</v>
      </c>
    </row>
    <row r="4207">
      <c r="A4207" s="58">
        <v>45839.0</v>
      </c>
      <c r="B4207" s="24" t="s">
        <v>6789</v>
      </c>
      <c r="C4207" s="24" t="s">
        <v>7071</v>
      </c>
      <c r="D4207" s="59">
        <v>2.0</v>
      </c>
      <c r="E4207" s="59">
        <v>2.0</v>
      </c>
      <c r="F4207" s="59">
        <v>2.0</v>
      </c>
      <c r="G4207" s="60">
        <v>1.0</v>
      </c>
      <c r="H4207" s="60">
        <v>1.0</v>
      </c>
      <c r="I4207" s="60">
        <v>0.0</v>
      </c>
      <c r="J4207" s="59">
        <v>2.0</v>
      </c>
      <c r="K4207" s="61">
        <f t="shared" si="1"/>
        <v>1</v>
      </c>
      <c r="L4207" s="62">
        <f t="shared" si="2"/>
        <v>1</v>
      </c>
    </row>
    <row r="4208">
      <c r="A4208" s="58">
        <v>45839.0</v>
      </c>
      <c r="B4208" s="24" t="s">
        <v>6789</v>
      </c>
      <c r="C4208" s="24" t="s">
        <v>6945</v>
      </c>
      <c r="D4208" s="59">
        <v>2.0</v>
      </c>
      <c r="E4208" s="59">
        <v>2.0</v>
      </c>
      <c r="F4208" s="59">
        <v>2.0</v>
      </c>
      <c r="G4208" s="60">
        <v>1.0</v>
      </c>
      <c r="H4208" s="60">
        <v>1.0</v>
      </c>
      <c r="I4208" s="60">
        <v>3.3445675</v>
      </c>
      <c r="J4208" s="59">
        <v>2.0</v>
      </c>
      <c r="K4208" s="61">
        <f t="shared" si="1"/>
        <v>1</v>
      </c>
      <c r="L4208" s="62">
        <f t="shared" si="2"/>
        <v>1</v>
      </c>
    </row>
    <row r="4209">
      <c r="A4209" s="58">
        <v>45839.0</v>
      </c>
      <c r="B4209" s="24" t="s">
        <v>6787</v>
      </c>
      <c r="C4209" s="24" t="s">
        <v>6930</v>
      </c>
      <c r="D4209" s="59">
        <v>2.0</v>
      </c>
      <c r="E4209" s="59">
        <v>2.0</v>
      </c>
      <c r="F4209" s="59">
        <v>2.0</v>
      </c>
      <c r="G4209" s="60">
        <v>1.0</v>
      </c>
      <c r="H4209" s="60">
        <v>1.0</v>
      </c>
      <c r="I4209" s="60">
        <v>2.379343</v>
      </c>
      <c r="J4209" s="59">
        <v>2.0</v>
      </c>
      <c r="K4209" s="61">
        <f t="shared" si="1"/>
        <v>1</v>
      </c>
      <c r="L4209" s="62">
        <f t="shared" si="2"/>
        <v>1</v>
      </c>
    </row>
    <row r="4210">
      <c r="A4210" s="58">
        <v>45839.0</v>
      </c>
      <c r="B4210" s="24" t="s">
        <v>6789</v>
      </c>
      <c r="C4210" s="24" t="s">
        <v>7074</v>
      </c>
      <c r="D4210" s="59">
        <v>2.0</v>
      </c>
      <c r="E4210" s="59">
        <v>2.0</v>
      </c>
      <c r="F4210" s="59">
        <v>2.0</v>
      </c>
      <c r="G4210" s="60">
        <v>1.0</v>
      </c>
      <c r="H4210" s="60">
        <v>1.0</v>
      </c>
      <c r="I4210" s="60">
        <v>0.0</v>
      </c>
      <c r="J4210" s="59">
        <v>2.0</v>
      </c>
      <c r="K4210" s="61">
        <f t="shared" si="1"/>
        <v>1</v>
      </c>
      <c r="L4210" s="62">
        <f t="shared" si="2"/>
        <v>1</v>
      </c>
    </row>
    <row r="4211">
      <c r="A4211" s="58">
        <v>45839.0</v>
      </c>
      <c r="B4211" s="24" t="s">
        <v>6787</v>
      </c>
      <c r="C4211" s="24" t="s">
        <v>6999</v>
      </c>
      <c r="D4211" s="59">
        <v>2.0</v>
      </c>
      <c r="E4211" s="59">
        <v>2.0</v>
      </c>
      <c r="F4211" s="59">
        <v>2.0</v>
      </c>
      <c r="G4211" s="60">
        <v>1.0</v>
      </c>
      <c r="H4211" s="60">
        <v>1.0</v>
      </c>
      <c r="I4211" s="60">
        <v>0.0</v>
      </c>
      <c r="J4211" s="59">
        <v>2.0</v>
      </c>
      <c r="K4211" s="61">
        <f t="shared" si="1"/>
        <v>1</v>
      </c>
      <c r="L4211" s="62">
        <f t="shared" si="2"/>
        <v>1</v>
      </c>
    </row>
    <row r="4212">
      <c r="A4212" s="58">
        <v>45839.0</v>
      </c>
      <c r="B4212" s="24" t="s">
        <v>6789</v>
      </c>
      <c r="C4212" s="24" t="s">
        <v>6894</v>
      </c>
      <c r="D4212" s="59">
        <v>2.0</v>
      </c>
      <c r="E4212" s="59">
        <v>2.0</v>
      </c>
      <c r="F4212" s="59">
        <v>2.0</v>
      </c>
      <c r="G4212" s="60">
        <v>1.0</v>
      </c>
      <c r="H4212" s="60">
        <v>1.0</v>
      </c>
      <c r="I4212" s="60">
        <v>0.9169565</v>
      </c>
      <c r="J4212" s="59">
        <v>2.0</v>
      </c>
      <c r="K4212" s="61">
        <f t="shared" si="1"/>
        <v>1</v>
      </c>
      <c r="L4212" s="62">
        <f t="shared" si="2"/>
        <v>1</v>
      </c>
    </row>
    <row r="4213">
      <c r="A4213" s="58">
        <v>45839.0</v>
      </c>
      <c r="B4213" s="24" t="s">
        <v>6789</v>
      </c>
      <c r="C4213" s="24" t="s">
        <v>6896</v>
      </c>
      <c r="D4213" s="59">
        <v>2.0</v>
      </c>
      <c r="E4213" s="59">
        <v>2.0</v>
      </c>
      <c r="F4213" s="59">
        <v>2.0</v>
      </c>
      <c r="G4213" s="60">
        <v>1.0</v>
      </c>
      <c r="H4213" s="60">
        <v>1.0</v>
      </c>
      <c r="I4213" s="60">
        <v>3.1183925</v>
      </c>
      <c r="J4213" s="59">
        <v>2.0</v>
      </c>
      <c r="K4213" s="61">
        <f t="shared" si="1"/>
        <v>1</v>
      </c>
      <c r="L4213" s="62">
        <f t="shared" si="2"/>
        <v>1</v>
      </c>
    </row>
    <row r="4214">
      <c r="A4214" s="58">
        <v>45839.0</v>
      </c>
      <c r="B4214" s="24" t="s">
        <v>6787</v>
      </c>
      <c r="C4214" s="24" t="s">
        <v>7301</v>
      </c>
      <c r="D4214" s="59">
        <v>2.0</v>
      </c>
      <c r="E4214" s="59">
        <v>3.0</v>
      </c>
      <c r="F4214" s="59">
        <v>0.0</v>
      </c>
      <c r="G4214" s="60">
        <v>1.5</v>
      </c>
      <c r="H4214" s="60">
        <v>0.333333333333333</v>
      </c>
      <c r="I4214" s="60">
        <v>11.1228206666666</v>
      </c>
      <c r="J4214" s="59">
        <v>3.0</v>
      </c>
      <c r="K4214" s="61">
        <f t="shared" si="1"/>
        <v>0</v>
      </c>
      <c r="L4214" s="62">
        <f t="shared" si="2"/>
        <v>1</v>
      </c>
    </row>
    <row r="4215">
      <c r="A4215" s="58">
        <v>45839.0</v>
      </c>
      <c r="B4215" s="24" t="s">
        <v>6789</v>
      </c>
      <c r="C4215" s="24" t="s">
        <v>7195</v>
      </c>
      <c r="D4215" s="59">
        <v>2.0</v>
      </c>
      <c r="E4215" s="59">
        <v>2.0</v>
      </c>
      <c r="F4215" s="59">
        <v>2.0</v>
      </c>
      <c r="G4215" s="60">
        <v>1.0</v>
      </c>
      <c r="H4215" s="60">
        <v>1.0</v>
      </c>
      <c r="I4215" s="60">
        <v>0.0</v>
      </c>
      <c r="J4215" s="59">
        <v>2.0</v>
      </c>
      <c r="K4215" s="61">
        <f t="shared" si="1"/>
        <v>1</v>
      </c>
      <c r="L4215" s="62">
        <f t="shared" si="2"/>
        <v>1</v>
      </c>
    </row>
    <row r="4216">
      <c r="A4216" s="58">
        <v>45839.0</v>
      </c>
      <c r="B4216" s="24" t="s">
        <v>155</v>
      </c>
      <c r="C4216" s="24" t="s">
        <v>6806</v>
      </c>
      <c r="D4216" s="59">
        <v>2.0</v>
      </c>
      <c r="E4216" s="59">
        <v>2.0</v>
      </c>
      <c r="F4216" s="59">
        <v>2.0</v>
      </c>
      <c r="G4216" s="60">
        <v>1.0</v>
      </c>
      <c r="H4216" s="60">
        <v>0.0</v>
      </c>
      <c r="I4216" s="60">
        <v>97.8581935</v>
      </c>
      <c r="J4216" s="59">
        <v>4.0</v>
      </c>
      <c r="K4216" s="61">
        <f t="shared" si="1"/>
        <v>1</v>
      </c>
      <c r="L4216" s="62">
        <f t="shared" si="2"/>
        <v>2</v>
      </c>
    </row>
    <row r="4217">
      <c r="A4217" s="58">
        <v>45839.0</v>
      </c>
      <c r="B4217" s="24" t="s">
        <v>6787</v>
      </c>
      <c r="C4217" s="24" t="s">
        <v>7006</v>
      </c>
      <c r="D4217" s="59">
        <v>2.0</v>
      </c>
      <c r="E4217" s="59">
        <v>2.0</v>
      </c>
      <c r="F4217" s="59">
        <v>2.0</v>
      </c>
      <c r="G4217" s="60">
        <v>1.0</v>
      </c>
      <c r="H4217" s="60">
        <v>1.0</v>
      </c>
      <c r="I4217" s="60">
        <v>1.563948</v>
      </c>
      <c r="J4217" s="59">
        <v>2.0</v>
      </c>
      <c r="K4217" s="61">
        <f t="shared" si="1"/>
        <v>1</v>
      </c>
      <c r="L4217" s="62">
        <f t="shared" si="2"/>
        <v>1</v>
      </c>
    </row>
    <row r="4218">
      <c r="A4218" s="58">
        <v>45839.0</v>
      </c>
      <c r="B4218" s="24" t="s">
        <v>6787</v>
      </c>
      <c r="C4218" s="24" t="s">
        <v>6901</v>
      </c>
      <c r="D4218" s="59">
        <v>2.0</v>
      </c>
      <c r="E4218" s="59">
        <v>2.0</v>
      </c>
      <c r="F4218" s="59">
        <v>2.0</v>
      </c>
      <c r="G4218" s="60">
        <v>1.0</v>
      </c>
      <c r="H4218" s="60">
        <v>1.0</v>
      </c>
      <c r="I4218" s="60">
        <v>1.4045175</v>
      </c>
      <c r="J4218" s="59">
        <v>2.0</v>
      </c>
      <c r="K4218" s="61">
        <f t="shared" si="1"/>
        <v>1</v>
      </c>
      <c r="L4218" s="62">
        <f t="shared" si="2"/>
        <v>1</v>
      </c>
    </row>
    <row r="4219">
      <c r="A4219" s="58">
        <v>45839.0</v>
      </c>
      <c r="B4219" s="24" t="s">
        <v>6789</v>
      </c>
      <c r="C4219" s="24" t="s">
        <v>6901</v>
      </c>
      <c r="D4219" s="59">
        <v>2.0</v>
      </c>
      <c r="E4219" s="59">
        <v>2.0</v>
      </c>
      <c r="F4219" s="59">
        <v>2.0</v>
      </c>
      <c r="G4219" s="60">
        <v>1.0</v>
      </c>
      <c r="H4219" s="60">
        <v>0.5</v>
      </c>
      <c r="I4219" s="60">
        <v>17.6290205</v>
      </c>
      <c r="J4219" s="59">
        <v>2.0</v>
      </c>
      <c r="K4219" s="61">
        <f t="shared" si="1"/>
        <v>1</v>
      </c>
      <c r="L4219" s="62">
        <f t="shared" si="2"/>
        <v>1</v>
      </c>
    </row>
    <row r="4220">
      <c r="A4220" s="58">
        <v>45839.0</v>
      </c>
      <c r="B4220" s="24" t="s">
        <v>6789</v>
      </c>
      <c r="C4220" s="24" t="s">
        <v>6843</v>
      </c>
      <c r="D4220" s="59">
        <v>2.0</v>
      </c>
      <c r="E4220" s="59">
        <v>2.0</v>
      </c>
      <c r="F4220" s="59">
        <v>2.0</v>
      </c>
      <c r="G4220" s="60">
        <v>1.0</v>
      </c>
      <c r="H4220" s="60">
        <v>0.5</v>
      </c>
      <c r="I4220" s="60">
        <v>17.9378825</v>
      </c>
      <c r="J4220" s="59">
        <v>2.0</v>
      </c>
      <c r="K4220" s="61">
        <f t="shared" si="1"/>
        <v>1</v>
      </c>
      <c r="L4220" s="62">
        <f t="shared" si="2"/>
        <v>1</v>
      </c>
    </row>
    <row r="4221">
      <c r="A4221" s="58">
        <v>45839.0</v>
      </c>
      <c r="B4221" s="24" t="s">
        <v>6787</v>
      </c>
      <c r="C4221" s="24" t="s">
        <v>7078</v>
      </c>
      <c r="D4221" s="59">
        <v>2.0</v>
      </c>
      <c r="E4221" s="59">
        <v>2.0</v>
      </c>
      <c r="F4221" s="59">
        <v>2.0</v>
      </c>
      <c r="G4221" s="60">
        <v>1.0</v>
      </c>
      <c r="H4221" s="60">
        <v>1.0</v>
      </c>
      <c r="I4221" s="60">
        <v>0.0</v>
      </c>
      <c r="J4221" s="59">
        <v>2.0</v>
      </c>
      <c r="K4221" s="61">
        <f t="shared" si="1"/>
        <v>1</v>
      </c>
      <c r="L4221" s="62">
        <f t="shared" si="2"/>
        <v>1</v>
      </c>
    </row>
    <row r="4222">
      <c r="A4222" s="58">
        <v>45839.0</v>
      </c>
      <c r="B4222" s="24" t="s">
        <v>6787</v>
      </c>
      <c r="C4222" s="24" t="s">
        <v>6844</v>
      </c>
      <c r="D4222" s="59">
        <v>2.0</v>
      </c>
      <c r="E4222" s="59">
        <v>2.0</v>
      </c>
      <c r="F4222" s="59">
        <v>2.0</v>
      </c>
      <c r="G4222" s="60">
        <v>1.0</v>
      </c>
      <c r="H4222" s="60">
        <v>0.5</v>
      </c>
      <c r="I4222" s="60">
        <v>15.2730285</v>
      </c>
      <c r="J4222" s="59">
        <v>2.0</v>
      </c>
      <c r="K4222" s="61">
        <f t="shared" si="1"/>
        <v>1</v>
      </c>
      <c r="L4222" s="62">
        <f t="shared" si="2"/>
        <v>1</v>
      </c>
    </row>
    <row r="4223">
      <c r="A4223" s="58">
        <v>45839.0</v>
      </c>
      <c r="B4223" s="24" t="s">
        <v>6787</v>
      </c>
      <c r="C4223" s="24" t="s">
        <v>6903</v>
      </c>
      <c r="D4223" s="59">
        <v>2.0</v>
      </c>
      <c r="E4223" s="59">
        <v>2.0</v>
      </c>
      <c r="F4223" s="59">
        <v>2.0</v>
      </c>
      <c r="G4223" s="60">
        <v>1.0</v>
      </c>
      <c r="H4223" s="60">
        <v>0.5</v>
      </c>
      <c r="I4223" s="60">
        <v>25.8941859999999</v>
      </c>
      <c r="J4223" s="59">
        <v>2.0</v>
      </c>
      <c r="K4223" s="61">
        <f t="shared" si="1"/>
        <v>1</v>
      </c>
      <c r="L4223" s="62">
        <f t="shared" si="2"/>
        <v>1</v>
      </c>
    </row>
    <row r="4224">
      <c r="A4224" s="58">
        <v>45839.0</v>
      </c>
      <c r="B4224" s="24" t="s">
        <v>155</v>
      </c>
      <c r="C4224" s="24" t="s">
        <v>6903</v>
      </c>
      <c r="D4224" s="59">
        <v>2.0</v>
      </c>
      <c r="E4224" s="59">
        <v>6.0</v>
      </c>
      <c r="F4224" s="59">
        <v>0.0</v>
      </c>
      <c r="G4224" s="60">
        <v>6.0</v>
      </c>
      <c r="H4224" s="60">
        <v>0.666666666666666</v>
      </c>
      <c r="I4224" s="60">
        <v>84.032909</v>
      </c>
      <c r="J4224" s="59">
        <v>17.0</v>
      </c>
      <c r="K4224" s="61">
        <f t="shared" si="1"/>
        <v>0</v>
      </c>
      <c r="L4224" s="62">
        <f t="shared" si="2"/>
        <v>2.833333333</v>
      </c>
    </row>
    <row r="4225">
      <c r="A4225" s="58">
        <v>45839.0</v>
      </c>
      <c r="B4225" s="24" t="s">
        <v>155</v>
      </c>
      <c r="C4225" s="24" t="s">
        <v>7125</v>
      </c>
      <c r="D4225" s="59">
        <v>2.0</v>
      </c>
      <c r="E4225" s="59">
        <v>2.0</v>
      </c>
      <c r="F4225" s="59">
        <v>0.0</v>
      </c>
      <c r="G4225" s="60">
        <v>1.0</v>
      </c>
      <c r="H4225" s="60">
        <v>0.0</v>
      </c>
      <c r="I4225" s="60">
        <v>2381.5585525</v>
      </c>
      <c r="J4225" s="59">
        <v>7.0</v>
      </c>
      <c r="K4225" s="61">
        <f t="shared" si="1"/>
        <v>0</v>
      </c>
      <c r="L4225" s="62">
        <f t="shared" si="2"/>
        <v>3.5</v>
      </c>
    </row>
    <row r="4226">
      <c r="A4226" s="58">
        <v>45839.0</v>
      </c>
      <c r="B4226" s="24" t="s">
        <v>6789</v>
      </c>
      <c r="C4226" s="24" t="s">
        <v>7310</v>
      </c>
      <c r="D4226" s="59">
        <v>2.0</v>
      </c>
      <c r="E4226" s="59">
        <v>2.0</v>
      </c>
      <c r="F4226" s="59">
        <v>2.0</v>
      </c>
      <c r="G4226" s="60">
        <v>1.0</v>
      </c>
      <c r="H4226" s="60">
        <v>1.0</v>
      </c>
      <c r="I4226" s="60">
        <v>4.4726015</v>
      </c>
      <c r="J4226" s="59">
        <v>2.0</v>
      </c>
      <c r="K4226" s="61">
        <f t="shared" si="1"/>
        <v>1</v>
      </c>
      <c r="L4226" s="62">
        <f t="shared" si="2"/>
        <v>1</v>
      </c>
    </row>
    <row r="4227">
      <c r="A4227" s="58">
        <v>45839.0</v>
      </c>
      <c r="B4227" s="24" t="s">
        <v>155</v>
      </c>
      <c r="C4227" s="24" t="s">
        <v>7236</v>
      </c>
      <c r="D4227" s="59">
        <v>2.0</v>
      </c>
      <c r="E4227" s="59">
        <v>5.0</v>
      </c>
      <c r="F4227" s="59">
        <v>2.0</v>
      </c>
      <c r="G4227" s="60">
        <v>2.5</v>
      </c>
      <c r="H4227" s="60">
        <v>0.6</v>
      </c>
      <c r="I4227" s="60">
        <v>308.3899518</v>
      </c>
      <c r="J4227" s="59">
        <v>7.0</v>
      </c>
      <c r="K4227" s="61">
        <f t="shared" si="1"/>
        <v>0.4</v>
      </c>
      <c r="L4227" s="62">
        <f t="shared" si="2"/>
        <v>1.4</v>
      </c>
    </row>
    <row r="4228">
      <c r="A4228" s="58">
        <v>45839.0</v>
      </c>
      <c r="B4228" s="24" t="s">
        <v>6789</v>
      </c>
      <c r="C4228" s="24" t="s">
        <v>7356</v>
      </c>
      <c r="D4228" s="59">
        <v>2.0</v>
      </c>
      <c r="E4228" s="59">
        <v>7.0</v>
      </c>
      <c r="F4228" s="59">
        <v>0.0</v>
      </c>
      <c r="G4228" s="60">
        <v>3.5</v>
      </c>
      <c r="H4228" s="60">
        <v>0.0</v>
      </c>
      <c r="I4228" s="60">
        <v>1057.91840414285</v>
      </c>
      <c r="J4228" s="59">
        <v>27.0</v>
      </c>
      <c r="K4228" s="61">
        <f t="shared" si="1"/>
        <v>0</v>
      </c>
      <c r="L4228" s="62">
        <f t="shared" si="2"/>
        <v>3.857142857</v>
      </c>
    </row>
    <row r="4229">
      <c r="A4229" s="58">
        <v>45839.0</v>
      </c>
      <c r="B4229" s="24" t="s">
        <v>155</v>
      </c>
      <c r="C4229" s="24" t="s">
        <v>7231</v>
      </c>
      <c r="D4229" s="59">
        <v>2.0</v>
      </c>
      <c r="E4229" s="59">
        <v>4.0</v>
      </c>
      <c r="F4229" s="59">
        <v>0.0</v>
      </c>
      <c r="G4229" s="60">
        <v>4.0</v>
      </c>
      <c r="H4229" s="60">
        <v>0.5</v>
      </c>
      <c r="I4229" s="60">
        <v>70.9397099999999</v>
      </c>
      <c r="J4229" s="59">
        <v>5.0</v>
      </c>
      <c r="K4229" s="61">
        <f t="shared" si="1"/>
        <v>0</v>
      </c>
      <c r="L4229" s="62">
        <f t="shared" si="2"/>
        <v>1.25</v>
      </c>
    </row>
    <row r="4230">
      <c r="A4230" s="58">
        <v>45839.0</v>
      </c>
      <c r="B4230" s="24" t="s">
        <v>6789</v>
      </c>
      <c r="C4230" s="24" t="s">
        <v>7232</v>
      </c>
      <c r="D4230" s="59">
        <v>2.0</v>
      </c>
      <c r="E4230" s="59">
        <v>2.0</v>
      </c>
      <c r="F4230" s="59">
        <v>2.0</v>
      </c>
      <c r="G4230" s="60">
        <v>1.0</v>
      </c>
      <c r="H4230" s="60">
        <v>0.5</v>
      </c>
      <c r="I4230" s="60">
        <v>28.7991815</v>
      </c>
      <c r="J4230" s="59">
        <v>4.0</v>
      </c>
      <c r="K4230" s="61">
        <f t="shared" si="1"/>
        <v>1</v>
      </c>
      <c r="L4230" s="62">
        <f t="shared" si="2"/>
        <v>2</v>
      </c>
    </row>
    <row r="4231">
      <c r="A4231" s="58">
        <v>45839.0</v>
      </c>
      <c r="B4231" s="24" t="s">
        <v>6787</v>
      </c>
      <c r="C4231" s="24" t="s">
        <v>7087</v>
      </c>
      <c r="D4231" s="59">
        <v>2.0</v>
      </c>
      <c r="E4231" s="59">
        <v>2.0</v>
      </c>
      <c r="F4231" s="59">
        <v>2.0</v>
      </c>
      <c r="G4231" s="60">
        <v>1.0</v>
      </c>
      <c r="H4231" s="60">
        <v>0.5</v>
      </c>
      <c r="I4231" s="60">
        <v>18.4532565</v>
      </c>
      <c r="J4231" s="59">
        <v>3.0</v>
      </c>
      <c r="K4231" s="61">
        <f t="shared" si="1"/>
        <v>1</v>
      </c>
      <c r="L4231" s="62">
        <f t="shared" si="2"/>
        <v>1.5</v>
      </c>
    </row>
    <row r="4232">
      <c r="A4232" s="58">
        <v>45839.0</v>
      </c>
      <c r="B4232" s="24" t="s">
        <v>6789</v>
      </c>
      <c r="C4232" s="24" t="s">
        <v>7035</v>
      </c>
      <c r="D4232" s="59">
        <v>2.0</v>
      </c>
      <c r="E4232" s="59">
        <v>2.0</v>
      </c>
      <c r="F4232" s="59">
        <v>2.0</v>
      </c>
      <c r="G4232" s="60">
        <v>1.0</v>
      </c>
      <c r="H4232" s="60">
        <v>0.5</v>
      </c>
      <c r="I4232" s="60">
        <v>41.8327465</v>
      </c>
      <c r="J4232" s="59">
        <v>3.0</v>
      </c>
      <c r="K4232" s="61">
        <f t="shared" si="1"/>
        <v>1</v>
      </c>
      <c r="L4232" s="62">
        <f t="shared" si="2"/>
        <v>1.5</v>
      </c>
    </row>
    <row r="4233">
      <c r="A4233" s="58">
        <v>45839.0</v>
      </c>
      <c r="B4233" s="24" t="s">
        <v>6789</v>
      </c>
      <c r="C4233" s="24" t="s">
        <v>7088</v>
      </c>
      <c r="D4233" s="59">
        <v>2.0</v>
      </c>
      <c r="E4233" s="59">
        <v>2.0</v>
      </c>
      <c r="F4233" s="59">
        <v>2.0</v>
      </c>
      <c r="G4233" s="60">
        <v>1.0</v>
      </c>
      <c r="H4233" s="60">
        <v>0.5</v>
      </c>
      <c r="I4233" s="60">
        <v>18.410675</v>
      </c>
      <c r="J4233" s="59">
        <v>2.0</v>
      </c>
      <c r="K4233" s="61">
        <f t="shared" si="1"/>
        <v>1</v>
      </c>
      <c r="L4233" s="62">
        <f t="shared" si="2"/>
        <v>1</v>
      </c>
    </row>
    <row r="4234">
      <c r="A4234" s="58">
        <v>45839.0</v>
      </c>
      <c r="B4234" s="24" t="s">
        <v>6787</v>
      </c>
      <c r="C4234" s="24" t="s">
        <v>7043</v>
      </c>
      <c r="D4234" s="59">
        <v>2.0</v>
      </c>
      <c r="E4234" s="59">
        <v>2.0</v>
      </c>
      <c r="F4234" s="59">
        <v>2.0</v>
      </c>
      <c r="G4234" s="60">
        <v>1.0</v>
      </c>
      <c r="H4234" s="60">
        <v>1.0</v>
      </c>
      <c r="I4234" s="60">
        <v>0.0</v>
      </c>
      <c r="J4234" s="59">
        <v>2.0</v>
      </c>
      <c r="K4234" s="61">
        <f t="shared" si="1"/>
        <v>1</v>
      </c>
      <c r="L4234" s="62">
        <f t="shared" si="2"/>
        <v>1</v>
      </c>
    </row>
    <row r="4235">
      <c r="A4235" s="58">
        <v>45839.0</v>
      </c>
      <c r="B4235" s="24" t="s">
        <v>6787</v>
      </c>
      <c r="C4235" s="24" t="s">
        <v>7090</v>
      </c>
      <c r="D4235" s="59">
        <v>2.0</v>
      </c>
      <c r="E4235" s="59">
        <v>2.0</v>
      </c>
      <c r="F4235" s="59">
        <v>2.0</v>
      </c>
      <c r="G4235" s="60">
        <v>1.0</v>
      </c>
      <c r="H4235" s="60">
        <v>1.0</v>
      </c>
      <c r="I4235" s="60">
        <v>3.2482675</v>
      </c>
      <c r="J4235" s="59">
        <v>2.0</v>
      </c>
      <c r="K4235" s="61">
        <f t="shared" si="1"/>
        <v>1</v>
      </c>
      <c r="L4235" s="62">
        <f t="shared" si="2"/>
        <v>1</v>
      </c>
    </row>
    <row r="4236">
      <c r="A4236" s="58">
        <v>45839.0</v>
      </c>
      <c r="B4236" s="24" t="s">
        <v>6787</v>
      </c>
      <c r="C4236" s="24" t="s">
        <v>7159</v>
      </c>
      <c r="D4236" s="59">
        <v>2.0</v>
      </c>
      <c r="E4236" s="59">
        <v>2.0</v>
      </c>
      <c r="F4236" s="59">
        <v>2.0</v>
      </c>
      <c r="G4236" s="60">
        <v>1.0</v>
      </c>
      <c r="H4236" s="60">
        <v>1.0</v>
      </c>
      <c r="I4236" s="60">
        <v>3.8159785</v>
      </c>
      <c r="J4236" s="59">
        <v>2.0</v>
      </c>
      <c r="K4236" s="61">
        <f t="shared" si="1"/>
        <v>1</v>
      </c>
      <c r="L4236" s="62">
        <f t="shared" si="2"/>
        <v>1</v>
      </c>
    </row>
    <row r="4237">
      <c r="A4237" s="58">
        <v>45839.0</v>
      </c>
      <c r="B4237" s="24" t="s">
        <v>6789</v>
      </c>
      <c r="C4237" s="24" t="s">
        <v>7159</v>
      </c>
      <c r="D4237" s="59">
        <v>2.0</v>
      </c>
      <c r="E4237" s="59">
        <v>2.0</v>
      </c>
      <c r="F4237" s="59">
        <v>1.0</v>
      </c>
      <c r="G4237" s="60">
        <v>1.0</v>
      </c>
      <c r="H4237" s="60">
        <v>0.5</v>
      </c>
      <c r="I4237" s="60">
        <v>48.3426765</v>
      </c>
      <c r="J4237" s="59">
        <v>3.0</v>
      </c>
      <c r="K4237" s="61">
        <f t="shared" si="1"/>
        <v>0.5</v>
      </c>
      <c r="L4237" s="62">
        <f t="shared" si="2"/>
        <v>1.5</v>
      </c>
    </row>
    <row r="4238">
      <c r="A4238" s="58">
        <v>45839.0</v>
      </c>
      <c r="B4238" s="24" t="s">
        <v>6789</v>
      </c>
      <c r="C4238" s="24" t="s">
        <v>7022</v>
      </c>
      <c r="D4238" s="59">
        <v>2.0</v>
      </c>
      <c r="E4238" s="59">
        <v>2.0</v>
      </c>
      <c r="F4238" s="59">
        <v>2.0</v>
      </c>
      <c r="G4238" s="60">
        <v>1.0</v>
      </c>
      <c r="H4238" s="60">
        <v>0.5</v>
      </c>
      <c r="I4238" s="60">
        <v>10.234637</v>
      </c>
      <c r="J4238" s="59">
        <v>2.0</v>
      </c>
      <c r="K4238" s="61">
        <f t="shared" si="1"/>
        <v>1</v>
      </c>
      <c r="L4238" s="62">
        <f t="shared" si="2"/>
        <v>1</v>
      </c>
    </row>
    <row r="4239">
      <c r="A4239" s="58">
        <v>45839.0</v>
      </c>
      <c r="B4239" s="24" t="s">
        <v>6787</v>
      </c>
      <c r="C4239" s="24" t="s">
        <v>7161</v>
      </c>
      <c r="D4239" s="59">
        <v>2.0</v>
      </c>
      <c r="E4239" s="59">
        <v>2.0</v>
      </c>
      <c r="F4239" s="59">
        <v>2.0</v>
      </c>
      <c r="G4239" s="60">
        <v>1.0</v>
      </c>
      <c r="H4239" s="60">
        <v>1.0</v>
      </c>
      <c r="I4239" s="60">
        <v>0.0</v>
      </c>
      <c r="J4239" s="59">
        <v>2.0</v>
      </c>
      <c r="K4239" s="61">
        <f t="shared" si="1"/>
        <v>1</v>
      </c>
      <c r="L4239" s="62">
        <f t="shared" si="2"/>
        <v>1</v>
      </c>
    </row>
    <row r="4240">
      <c r="A4240" s="58">
        <v>45839.0</v>
      </c>
      <c r="B4240" s="24" t="s">
        <v>6789</v>
      </c>
      <c r="C4240" s="24" t="s">
        <v>7136</v>
      </c>
      <c r="D4240" s="59">
        <v>2.0</v>
      </c>
      <c r="E4240" s="59">
        <v>2.0</v>
      </c>
      <c r="F4240" s="59">
        <v>2.0</v>
      </c>
      <c r="G4240" s="60">
        <v>1.0</v>
      </c>
      <c r="H4240" s="60">
        <v>0.5</v>
      </c>
      <c r="I4240" s="60">
        <v>5.5471845</v>
      </c>
      <c r="J4240" s="59">
        <v>2.0</v>
      </c>
      <c r="K4240" s="61">
        <f t="shared" si="1"/>
        <v>1</v>
      </c>
      <c r="L4240" s="62">
        <f t="shared" si="2"/>
        <v>1</v>
      </c>
    </row>
    <row r="4241">
      <c r="A4241" s="58">
        <v>45839.0</v>
      </c>
      <c r="B4241" s="24" t="s">
        <v>6789</v>
      </c>
      <c r="C4241" s="24" t="s">
        <v>7166</v>
      </c>
      <c r="D4241" s="59">
        <v>2.0</v>
      </c>
      <c r="E4241" s="59">
        <v>2.0</v>
      </c>
      <c r="F4241" s="59">
        <v>2.0</v>
      </c>
      <c r="G4241" s="60">
        <v>1.0</v>
      </c>
      <c r="H4241" s="60">
        <v>1.0</v>
      </c>
      <c r="I4241" s="60">
        <v>8.8277065</v>
      </c>
      <c r="J4241" s="59">
        <v>2.0</v>
      </c>
      <c r="K4241" s="61">
        <f t="shared" si="1"/>
        <v>1</v>
      </c>
      <c r="L4241" s="62">
        <f t="shared" si="2"/>
        <v>1</v>
      </c>
    </row>
    <row r="4242">
      <c r="A4242" s="58">
        <v>45839.0</v>
      </c>
      <c r="B4242" s="24" t="s">
        <v>6787</v>
      </c>
      <c r="C4242" s="24" t="s">
        <v>7096</v>
      </c>
      <c r="D4242" s="59">
        <v>2.0</v>
      </c>
      <c r="E4242" s="59">
        <v>2.0</v>
      </c>
      <c r="F4242" s="59">
        <v>2.0</v>
      </c>
      <c r="G4242" s="60">
        <v>1.0</v>
      </c>
      <c r="H4242" s="60">
        <v>1.0</v>
      </c>
      <c r="I4242" s="60">
        <v>2.7959585</v>
      </c>
      <c r="J4242" s="59">
        <v>2.0</v>
      </c>
      <c r="K4242" s="61">
        <f t="shared" si="1"/>
        <v>1</v>
      </c>
      <c r="L4242" s="62">
        <f t="shared" si="2"/>
        <v>1</v>
      </c>
    </row>
    <row r="4243">
      <c r="A4243" s="58">
        <v>45839.0</v>
      </c>
      <c r="B4243" s="24" t="s">
        <v>6789</v>
      </c>
      <c r="C4243" s="24" t="s">
        <v>7096</v>
      </c>
      <c r="D4243" s="59">
        <v>2.0</v>
      </c>
      <c r="E4243" s="59">
        <v>2.0</v>
      </c>
      <c r="F4243" s="59">
        <v>2.0</v>
      </c>
      <c r="G4243" s="60">
        <v>1.0</v>
      </c>
      <c r="H4243" s="60">
        <v>0.5</v>
      </c>
      <c r="I4243" s="60">
        <v>40.9818005</v>
      </c>
      <c r="J4243" s="59">
        <v>2.0</v>
      </c>
      <c r="K4243" s="61">
        <f t="shared" si="1"/>
        <v>1</v>
      </c>
      <c r="L4243" s="62">
        <f t="shared" si="2"/>
        <v>1</v>
      </c>
    </row>
    <row r="4244">
      <c r="A4244" s="58">
        <v>45839.0</v>
      </c>
      <c r="B4244" s="24" t="s">
        <v>6787</v>
      </c>
      <c r="C4244" s="24" t="s">
        <v>7137</v>
      </c>
      <c r="D4244" s="59">
        <v>2.0</v>
      </c>
      <c r="E4244" s="59">
        <v>2.0</v>
      </c>
      <c r="F4244" s="59">
        <v>2.0</v>
      </c>
      <c r="G4244" s="60">
        <v>1.0</v>
      </c>
      <c r="H4244" s="60">
        <v>0.5</v>
      </c>
      <c r="I4244" s="60">
        <v>5.088304</v>
      </c>
      <c r="J4244" s="59">
        <v>2.0</v>
      </c>
      <c r="K4244" s="61">
        <f t="shared" si="1"/>
        <v>1</v>
      </c>
      <c r="L4244" s="62">
        <f t="shared" si="2"/>
        <v>1</v>
      </c>
    </row>
    <row r="4245">
      <c r="A4245" s="58">
        <v>45839.0</v>
      </c>
      <c r="B4245" s="24" t="s">
        <v>6787</v>
      </c>
      <c r="C4245" s="24" t="s">
        <v>7098</v>
      </c>
      <c r="D4245" s="59">
        <v>2.0</v>
      </c>
      <c r="E4245" s="59">
        <v>2.0</v>
      </c>
      <c r="F4245" s="59">
        <v>2.0</v>
      </c>
      <c r="G4245" s="60">
        <v>1.0</v>
      </c>
      <c r="H4245" s="60">
        <v>0.5</v>
      </c>
      <c r="I4245" s="60">
        <v>2.507849</v>
      </c>
      <c r="J4245" s="59">
        <v>3.0</v>
      </c>
      <c r="K4245" s="61">
        <f t="shared" si="1"/>
        <v>1</v>
      </c>
      <c r="L4245" s="62">
        <f t="shared" si="2"/>
        <v>1.5</v>
      </c>
    </row>
    <row r="4246">
      <c r="A4246" s="58">
        <v>45839.0</v>
      </c>
      <c r="B4246" s="24" t="s">
        <v>6789</v>
      </c>
      <c r="C4246" s="24" t="s">
        <v>7169</v>
      </c>
      <c r="D4246" s="59">
        <v>2.0</v>
      </c>
      <c r="E4246" s="59">
        <v>2.0</v>
      </c>
      <c r="F4246" s="59">
        <v>2.0</v>
      </c>
      <c r="G4246" s="60">
        <v>1.0</v>
      </c>
      <c r="H4246" s="60">
        <v>1.0</v>
      </c>
      <c r="I4246" s="60">
        <v>0.0</v>
      </c>
      <c r="J4246" s="59">
        <v>2.0</v>
      </c>
      <c r="K4246" s="61">
        <f t="shared" si="1"/>
        <v>1</v>
      </c>
      <c r="L4246" s="62">
        <f t="shared" si="2"/>
        <v>1</v>
      </c>
    </row>
    <row r="4247">
      <c r="A4247" s="58">
        <v>45839.0</v>
      </c>
      <c r="B4247" s="24" t="s">
        <v>6787</v>
      </c>
      <c r="C4247" s="24" t="s">
        <v>7184</v>
      </c>
      <c r="D4247" s="59">
        <v>2.0</v>
      </c>
      <c r="E4247" s="59">
        <v>2.0</v>
      </c>
      <c r="F4247" s="59">
        <v>2.0</v>
      </c>
      <c r="G4247" s="60">
        <v>1.0</v>
      </c>
      <c r="H4247" s="60">
        <v>1.0</v>
      </c>
      <c r="I4247" s="60">
        <v>2.697068</v>
      </c>
      <c r="J4247" s="59">
        <v>2.0</v>
      </c>
      <c r="K4247" s="61">
        <f t="shared" si="1"/>
        <v>1</v>
      </c>
      <c r="L4247" s="62">
        <f t="shared" si="2"/>
        <v>1</v>
      </c>
    </row>
    <row r="4248">
      <c r="A4248" s="58">
        <v>45839.0</v>
      </c>
      <c r="B4248" s="24" t="s">
        <v>6789</v>
      </c>
      <c r="C4248" s="24" t="s">
        <v>7184</v>
      </c>
      <c r="D4248" s="59">
        <v>2.0</v>
      </c>
      <c r="E4248" s="59">
        <v>2.0</v>
      </c>
      <c r="F4248" s="59">
        <v>1.0</v>
      </c>
      <c r="G4248" s="60">
        <v>1.0</v>
      </c>
      <c r="H4248" s="60">
        <v>0.5</v>
      </c>
      <c r="I4248" s="60">
        <v>1247.764414</v>
      </c>
      <c r="J4248" s="59">
        <v>5.0</v>
      </c>
      <c r="K4248" s="61">
        <f t="shared" si="1"/>
        <v>0.5</v>
      </c>
      <c r="L4248" s="62">
        <f t="shared" si="2"/>
        <v>2.5</v>
      </c>
    </row>
    <row r="4249">
      <c r="A4249" s="58">
        <v>45839.0</v>
      </c>
      <c r="B4249" s="24" t="s">
        <v>6787</v>
      </c>
      <c r="C4249" s="24" t="s">
        <v>7170</v>
      </c>
      <c r="D4249" s="59">
        <v>2.0</v>
      </c>
      <c r="E4249" s="59">
        <v>2.0</v>
      </c>
      <c r="F4249" s="59">
        <v>2.0</v>
      </c>
      <c r="G4249" s="60">
        <v>1.0</v>
      </c>
      <c r="H4249" s="60">
        <v>0.5</v>
      </c>
      <c r="I4249" s="60">
        <v>48.0261805</v>
      </c>
      <c r="J4249" s="59">
        <v>2.0</v>
      </c>
      <c r="K4249" s="61">
        <f t="shared" si="1"/>
        <v>1</v>
      </c>
      <c r="L4249" s="62">
        <f t="shared" si="2"/>
        <v>1</v>
      </c>
    </row>
    <row r="4250">
      <c r="A4250" s="58">
        <v>45839.0</v>
      </c>
      <c r="B4250" s="24" t="s">
        <v>6787</v>
      </c>
      <c r="C4250" s="24" t="s">
        <v>7237</v>
      </c>
      <c r="D4250" s="59">
        <v>2.0</v>
      </c>
      <c r="E4250" s="59">
        <v>2.0</v>
      </c>
      <c r="F4250" s="59">
        <v>2.0</v>
      </c>
      <c r="G4250" s="60">
        <v>1.0</v>
      </c>
      <c r="H4250" s="60">
        <v>1.0</v>
      </c>
      <c r="I4250" s="60">
        <v>1.6404455</v>
      </c>
      <c r="J4250" s="59">
        <v>2.0</v>
      </c>
      <c r="K4250" s="61">
        <f t="shared" si="1"/>
        <v>1</v>
      </c>
      <c r="L4250" s="62">
        <f t="shared" si="2"/>
        <v>1</v>
      </c>
    </row>
    <row r="4251">
      <c r="A4251" s="58">
        <v>45839.0</v>
      </c>
      <c r="B4251" s="24" t="s">
        <v>6789</v>
      </c>
      <c r="C4251" s="24" t="s">
        <v>7044</v>
      </c>
      <c r="D4251" s="59">
        <v>2.0</v>
      </c>
      <c r="E4251" s="59">
        <v>2.0</v>
      </c>
      <c r="F4251" s="59">
        <v>2.0</v>
      </c>
      <c r="G4251" s="60">
        <v>1.0</v>
      </c>
      <c r="H4251" s="60">
        <v>1.0</v>
      </c>
      <c r="I4251" s="60">
        <v>0.0</v>
      </c>
      <c r="J4251" s="59">
        <v>2.0</v>
      </c>
      <c r="K4251" s="61">
        <f t="shared" si="1"/>
        <v>1</v>
      </c>
      <c r="L4251" s="62">
        <f t="shared" si="2"/>
        <v>1</v>
      </c>
    </row>
    <row r="4252">
      <c r="A4252" s="58">
        <v>45839.0</v>
      </c>
      <c r="B4252" s="24" t="s">
        <v>6787</v>
      </c>
      <c r="C4252" s="24" t="s">
        <v>7172</v>
      </c>
      <c r="D4252" s="59">
        <v>2.0</v>
      </c>
      <c r="E4252" s="59">
        <v>2.0</v>
      </c>
      <c r="F4252" s="59">
        <v>2.0</v>
      </c>
      <c r="G4252" s="60">
        <v>1.0</v>
      </c>
      <c r="H4252" s="60">
        <v>0.5</v>
      </c>
      <c r="I4252" s="60">
        <v>26.719033</v>
      </c>
      <c r="J4252" s="59">
        <v>2.0</v>
      </c>
      <c r="K4252" s="61">
        <f t="shared" si="1"/>
        <v>1</v>
      </c>
      <c r="L4252" s="62">
        <f t="shared" si="2"/>
        <v>1</v>
      </c>
    </row>
    <row r="4253">
      <c r="A4253" s="58">
        <v>45839.0</v>
      </c>
      <c r="B4253" s="24" t="s">
        <v>6787</v>
      </c>
      <c r="C4253" s="24" t="s">
        <v>6909</v>
      </c>
      <c r="D4253" s="59">
        <v>2.0</v>
      </c>
      <c r="E4253" s="59">
        <v>2.0</v>
      </c>
      <c r="F4253" s="59">
        <v>1.0</v>
      </c>
      <c r="G4253" s="60">
        <v>1.0</v>
      </c>
      <c r="H4253" s="60">
        <v>0.0</v>
      </c>
      <c r="I4253" s="60">
        <v>182.6675275</v>
      </c>
      <c r="J4253" s="59">
        <v>6.0</v>
      </c>
      <c r="K4253" s="61">
        <f t="shared" si="1"/>
        <v>0.5</v>
      </c>
      <c r="L4253" s="62">
        <f t="shared" si="2"/>
        <v>3</v>
      </c>
    </row>
    <row r="4254">
      <c r="A4254" s="58">
        <v>45839.0</v>
      </c>
      <c r="B4254" s="24" t="s">
        <v>6789</v>
      </c>
      <c r="C4254" s="24" t="s">
        <v>7313</v>
      </c>
      <c r="D4254" s="59">
        <v>2.0</v>
      </c>
      <c r="E4254" s="59">
        <v>2.0</v>
      </c>
      <c r="F4254" s="59">
        <v>1.0</v>
      </c>
      <c r="G4254" s="60">
        <v>2.0</v>
      </c>
      <c r="H4254" s="60">
        <v>1.0</v>
      </c>
      <c r="I4254" s="60">
        <v>0.0</v>
      </c>
      <c r="J4254" s="59">
        <v>2.0</v>
      </c>
      <c r="K4254" s="61">
        <f t="shared" si="1"/>
        <v>0.5</v>
      </c>
      <c r="L4254" s="62">
        <f t="shared" si="2"/>
        <v>1</v>
      </c>
    </row>
    <row r="4255">
      <c r="A4255" s="58">
        <v>45839.0</v>
      </c>
      <c r="B4255" s="24" t="s">
        <v>155</v>
      </c>
      <c r="C4255" s="24" t="s">
        <v>6910</v>
      </c>
      <c r="D4255" s="59">
        <v>2.0</v>
      </c>
      <c r="E4255" s="59">
        <v>2.0</v>
      </c>
      <c r="F4255" s="59">
        <v>1.0</v>
      </c>
      <c r="G4255" s="60">
        <v>1.0</v>
      </c>
      <c r="H4255" s="60">
        <v>0.0</v>
      </c>
      <c r="I4255" s="60">
        <v>1275.4547885</v>
      </c>
      <c r="J4255" s="59">
        <v>8.0</v>
      </c>
      <c r="K4255" s="61">
        <f t="shared" si="1"/>
        <v>0.5</v>
      </c>
      <c r="L4255" s="62">
        <f t="shared" si="2"/>
        <v>4</v>
      </c>
    </row>
    <row r="4256">
      <c r="A4256" s="58">
        <v>45839.0</v>
      </c>
      <c r="B4256" s="24" t="s">
        <v>6787</v>
      </c>
      <c r="C4256" s="24" t="s">
        <v>7104</v>
      </c>
      <c r="D4256" s="59">
        <v>2.0</v>
      </c>
      <c r="E4256" s="59">
        <v>2.0</v>
      </c>
      <c r="F4256" s="59">
        <v>2.0</v>
      </c>
      <c r="G4256" s="60">
        <v>1.0</v>
      </c>
      <c r="H4256" s="60">
        <v>0.5</v>
      </c>
      <c r="I4256" s="60">
        <v>27.8268505</v>
      </c>
      <c r="J4256" s="59">
        <v>2.0</v>
      </c>
      <c r="K4256" s="61">
        <f t="shared" si="1"/>
        <v>1</v>
      </c>
      <c r="L4256" s="62">
        <f t="shared" si="2"/>
        <v>1</v>
      </c>
    </row>
    <row r="4257">
      <c r="A4257" s="58">
        <v>45839.0</v>
      </c>
      <c r="B4257" s="24" t="s">
        <v>6789</v>
      </c>
      <c r="C4257" s="24" t="s">
        <v>7104</v>
      </c>
      <c r="D4257" s="59">
        <v>2.0</v>
      </c>
      <c r="E4257" s="59">
        <v>2.0</v>
      </c>
      <c r="F4257" s="59">
        <v>2.0</v>
      </c>
      <c r="G4257" s="60">
        <v>1.0</v>
      </c>
      <c r="H4257" s="60">
        <v>0.5</v>
      </c>
      <c r="I4257" s="60">
        <v>8.6818655</v>
      </c>
      <c r="J4257" s="59">
        <v>2.0</v>
      </c>
      <c r="K4257" s="61">
        <f t="shared" si="1"/>
        <v>1</v>
      </c>
      <c r="L4257" s="62">
        <f t="shared" si="2"/>
        <v>1</v>
      </c>
    </row>
    <row r="4258">
      <c r="A4258" s="58">
        <v>45839.0</v>
      </c>
      <c r="B4258" s="24" t="s">
        <v>6789</v>
      </c>
      <c r="C4258" s="24" t="s">
        <v>7173</v>
      </c>
      <c r="D4258" s="59">
        <v>2.0</v>
      </c>
      <c r="E4258" s="59">
        <v>2.0</v>
      </c>
      <c r="F4258" s="59">
        <v>2.0</v>
      </c>
      <c r="G4258" s="60">
        <v>1.0</v>
      </c>
      <c r="H4258" s="60">
        <v>0.0</v>
      </c>
      <c r="I4258" s="60">
        <v>17.6825215</v>
      </c>
      <c r="J4258" s="59">
        <v>2.0</v>
      </c>
      <c r="K4258" s="61">
        <f t="shared" si="1"/>
        <v>1</v>
      </c>
      <c r="L4258" s="62">
        <f t="shared" si="2"/>
        <v>1</v>
      </c>
    </row>
    <row r="4259">
      <c r="A4259" s="58">
        <v>45839.0</v>
      </c>
      <c r="B4259" s="24" t="s">
        <v>6787</v>
      </c>
      <c r="C4259" s="24" t="s">
        <v>7023</v>
      </c>
      <c r="D4259" s="59">
        <v>2.0</v>
      </c>
      <c r="E4259" s="59">
        <v>2.0</v>
      </c>
      <c r="F4259" s="59">
        <v>2.0</v>
      </c>
      <c r="G4259" s="60">
        <v>1.0</v>
      </c>
      <c r="H4259" s="60">
        <v>0.5</v>
      </c>
      <c r="I4259" s="60">
        <v>6.6481085</v>
      </c>
      <c r="J4259" s="59">
        <v>2.0</v>
      </c>
      <c r="K4259" s="61">
        <f t="shared" si="1"/>
        <v>1</v>
      </c>
      <c r="L4259" s="62">
        <f t="shared" si="2"/>
        <v>1</v>
      </c>
    </row>
    <row r="4260">
      <c r="A4260" s="58">
        <v>45839.0</v>
      </c>
      <c r="B4260" s="24" t="s">
        <v>6787</v>
      </c>
      <c r="C4260" s="24" t="s">
        <v>6912</v>
      </c>
      <c r="D4260" s="59">
        <v>2.0</v>
      </c>
      <c r="E4260" s="59">
        <v>2.0</v>
      </c>
      <c r="F4260" s="59">
        <v>2.0</v>
      </c>
      <c r="G4260" s="60">
        <v>1.0</v>
      </c>
      <c r="H4260" s="60">
        <v>0.5</v>
      </c>
      <c r="I4260" s="60">
        <v>36.9978625</v>
      </c>
      <c r="J4260" s="59">
        <v>2.0</v>
      </c>
      <c r="K4260" s="61">
        <f t="shared" si="1"/>
        <v>1</v>
      </c>
      <c r="L4260" s="62">
        <f t="shared" si="2"/>
        <v>1</v>
      </c>
    </row>
    <row r="4261">
      <c r="A4261" s="58">
        <v>45839.0</v>
      </c>
      <c r="B4261" s="24" t="s">
        <v>6787</v>
      </c>
      <c r="C4261" s="24" t="s">
        <v>7174</v>
      </c>
      <c r="D4261" s="59">
        <v>2.0</v>
      </c>
      <c r="E4261" s="59">
        <v>2.0</v>
      </c>
      <c r="F4261" s="59">
        <v>2.0</v>
      </c>
      <c r="G4261" s="60">
        <v>1.0</v>
      </c>
      <c r="H4261" s="60">
        <v>0.0</v>
      </c>
      <c r="I4261" s="60">
        <v>52.450791</v>
      </c>
      <c r="J4261" s="59">
        <v>2.0</v>
      </c>
      <c r="K4261" s="61">
        <f t="shared" si="1"/>
        <v>1</v>
      </c>
      <c r="L4261" s="62">
        <f t="shared" si="2"/>
        <v>1</v>
      </c>
    </row>
    <row r="4262">
      <c r="A4262" s="58">
        <v>45839.0</v>
      </c>
      <c r="B4262" s="24" t="s">
        <v>6787</v>
      </c>
      <c r="C4262" s="24" t="s">
        <v>7192</v>
      </c>
      <c r="D4262" s="59">
        <v>2.0</v>
      </c>
      <c r="E4262" s="59">
        <v>2.0</v>
      </c>
      <c r="F4262" s="59">
        <v>2.0</v>
      </c>
      <c r="G4262" s="60">
        <v>1.0</v>
      </c>
      <c r="H4262" s="60">
        <v>1.0</v>
      </c>
      <c r="I4262" s="60">
        <v>3.4378745</v>
      </c>
      <c r="J4262" s="59">
        <v>2.0</v>
      </c>
      <c r="K4262" s="61">
        <f t="shared" si="1"/>
        <v>1</v>
      </c>
      <c r="L4262" s="62">
        <f t="shared" si="2"/>
        <v>1</v>
      </c>
    </row>
    <row r="4263">
      <c r="A4263" s="58">
        <v>45839.0</v>
      </c>
      <c r="B4263" s="24" t="s">
        <v>7100</v>
      </c>
      <c r="C4263" s="24" t="s">
        <v>6915</v>
      </c>
      <c r="D4263" s="59">
        <v>2.0</v>
      </c>
      <c r="E4263" s="59">
        <v>2.0</v>
      </c>
      <c r="F4263" s="59">
        <v>1.0</v>
      </c>
      <c r="G4263" s="60">
        <v>1.0</v>
      </c>
      <c r="H4263" s="60">
        <v>1.0</v>
      </c>
      <c r="I4263" s="60">
        <v>1.958061</v>
      </c>
      <c r="J4263" s="59">
        <v>2.0</v>
      </c>
      <c r="K4263" s="61">
        <f t="shared" si="1"/>
        <v>0.5</v>
      </c>
      <c r="L4263" s="62">
        <f t="shared" si="2"/>
        <v>1</v>
      </c>
    </row>
    <row r="4264">
      <c r="A4264" s="58">
        <v>45839.0</v>
      </c>
      <c r="B4264" s="24" t="s">
        <v>6789</v>
      </c>
      <c r="C4264" s="24" t="s">
        <v>7014</v>
      </c>
      <c r="D4264" s="59">
        <v>2.0</v>
      </c>
      <c r="E4264" s="59">
        <v>2.0</v>
      </c>
      <c r="F4264" s="59">
        <v>1.0</v>
      </c>
      <c r="G4264" s="60">
        <v>1.0</v>
      </c>
      <c r="H4264" s="60">
        <v>0.5</v>
      </c>
      <c r="I4264" s="60">
        <v>58.517996</v>
      </c>
      <c r="J4264" s="59">
        <v>3.0</v>
      </c>
      <c r="K4264" s="61">
        <f t="shared" si="1"/>
        <v>0.5</v>
      </c>
      <c r="L4264" s="62">
        <f t="shared" si="2"/>
        <v>1.5</v>
      </c>
    </row>
    <row r="4265">
      <c r="A4265" s="58">
        <v>45839.0</v>
      </c>
      <c r="B4265" s="24" t="s">
        <v>6787</v>
      </c>
      <c r="C4265" s="24" t="s">
        <v>7106</v>
      </c>
      <c r="D4265" s="59">
        <v>2.0</v>
      </c>
      <c r="E4265" s="59">
        <v>2.0</v>
      </c>
      <c r="F4265" s="59">
        <v>2.0</v>
      </c>
      <c r="G4265" s="60">
        <v>1.0</v>
      </c>
      <c r="H4265" s="60">
        <v>1.0</v>
      </c>
      <c r="I4265" s="60">
        <v>0.0</v>
      </c>
      <c r="J4265" s="59">
        <v>2.0</v>
      </c>
      <c r="K4265" s="61">
        <f t="shared" si="1"/>
        <v>1</v>
      </c>
      <c r="L4265" s="62">
        <f t="shared" si="2"/>
        <v>1</v>
      </c>
    </row>
    <row r="4266">
      <c r="A4266" s="58">
        <v>45839.0</v>
      </c>
      <c r="B4266" s="24" t="s">
        <v>6789</v>
      </c>
      <c r="C4266" s="24" t="s">
        <v>6917</v>
      </c>
      <c r="D4266" s="59">
        <v>2.0</v>
      </c>
      <c r="E4266" s="59">
        <v>2.0</v>
      </c>
      <c r="F4266" s="59">
        <v>2.0</v>
      </c>
      <c r="G4266" s="60">
        <v>1.0</v>
      </c>
      <c r="H4266" s="60">
        <v>0.5</v>
      </c>
      <c r="I4266" s="60">
        <v>16.7541975</v>
      </c>
      <c r="J4266" s="59">
        <v>2.0</v>
      </c>
      <c r="K4266" s="61">
        <f t="shared" si="1"/>
        <v>1</v>
      </c>
      <c r="L4266" s="62">
        <f t="shared" si="2"/>
        <v>1</v>
      </c>
    </row>
    <row r="4267">
      <c r="A4267" s="58">
        <v>45839.0</v>
      </c>
      <c r="B4267" s="24" t="s">
        <v>155</v>
      </c>
      <c r="C4267" s="24" t="s">
        <v>6815</v>
      </c>
      <c r="D4267" s="59">
        <v>2.0</v>
      </c>
      <c r="E4267" s="59">
        <v>2.0</v>
      </c>
      <c r="F4267" s="59">
        <v>2.0</v>
      </c>
      <c r="G4267" s="60">
        <v>1.0</v>
      </c>
      <c r="H4267" s="60">
        <v>0.5</v>
      </c>
      <c r="I4267" s="60">
        <v>21.2021545</v>
      </c>
      <c r="J4267" s="59">
        <v>2.0</v>
      </c>
      <c r="K4267" s="61">
        <f t="shared" si="1"/>
        <v>1</v>
      </c>
      <c r="L4267" s="62">
        <f t="shared" si="2"/>
        <v>1</v>
      </c>
    </row>
    <row r="4268">
      <c r="A4268" s="58">
        <v>45839.0</v>
      </c>
      <c r="B4268" s="24" t="s">
        <v>6787</v>
      </c>
      <c r="C4268" s="24" t="s">
        <v>7107</v>
      </c>
      <c r="D4268" s="59">
        <v>2.0</v>
      </c>
      <c r="E4268" s="59">
        <v>2.0</v>
      </c>
      <c r="F4268" s="59">
        <v>2.0</v>
      </c>
      <c r="G4268" s="60">
        <v>1.0</v>
      </c>
      <c r="H4268" s="60">
        <v>1.0</v>
      </c>
      <c r="I4268" s="60">
        <v>0.0</v>
      </c>
      <c r="J4268" s="59">
        <v>2.0</v>
      </c>
      <c r="K4268" s="61">
        <f t="shared" si="1"/>
        <v>1</v>
      </c>
      <c r="L4268" s="62">
        <f t="shared" si="2"/>
        <v>1</v>
      </c>
    </row>
    <row r="4269">
      <c r="A4269" s="58">
        <v>45839.0</v>
      </c>
      <c r="B4269" s="24" t="s">
        <v>6789</v>
      </c>
      <c r="C4269" s="24" t="s">
        <v>7107</v>
      </c>
      <c r="D4269" s="59">
        <v>2.0</v>
      </c>
      <c r="E4269" s="59">
        <v>2.0</v>
      </c>
      <c r="F4269" s="59">
        <v>1.0</v>
      </c>
      <c r="G4269" s="60">
        <v>2.0</v>
      </c>
      <c r="H4269" s="60">
        <v>1.0</v>
      </c>
      <c r="I4269" s="60">
        <v>1.2456375</v>
      </c>
      <c r="J4269" s="59">
        <v>2.0</v>
      </c>
      <c r="K4269" s="61">
        <f t="shared" si="1"/>
        <v>0.5</v>
      </c>
      <c r="L4269" s="62">
        <f t="shared" si="2"/>
        <v>1</v>
      </c>
    </row>
    <row r="4270">
      <c r="A4270" s="58">
        <v>45839.0</v>
      </c>
      <c r="B4270" s="24" t="s">
        <v>6787</v>
      </c>
      <c r="C4270" s="24" t="s">
        <v>6852</v>
      </c>
      <c r="D4270" s="59">
        <v>2.0</v>
      </c>
      <c r="E4270" s="59">
        <v>2.0</v>
      </c>
      <c r="F4270" s="59">
        <v>2.0</v>
      </c>
      <c r="G4270" s="60">
        <v>1.0</v>
      </c>
      <c r="H4270" s="60">
        <v>1.0</v>
      </c>
      <c r="I4270" s="60">
        <v>0.0</v>
      </c>
      <c r="J4270" s="59">
        <v>2.0</v>
      </c>
      <c r="K4270" s="61">
        <f t="shared" si="1"/>
        <v>1</v>
      </c>
      <c r="L4270" s="62">
        <f t="shared" si="2"/>
        <v>1</v>
      </c>
    </row>
    <row r="4271">
      <c r="A4271" s="58">
        <v>45839.0</v>
      </c>
      <c r="B4271" s="24" t="s">
        <v>6789</v>
      </c>
      <c r="C4271" s="24" t="s">
        <v>6852</v>
      </c>
      <c r="D4271" s="59">
        <v>2.0</v>
      </c>
      <c r="E4271" s="59">
        <v>2.0</v>
      </c>
      <c r="F4271" s="59">
        <v>2.0</v>
      </c>
      <c r="G4271" s="60">
        <v>1.0</v>
      </c>
      <c r="H4271" s="60">
        <v>1.0</v>
      </c>
      <c r="I4271" s="60">
        <v>3.394816</v>
      </c>
      <c r="J4271" s="59">
        <v>2.0</v>
      </c>
      <c r="K4271" s="61">
        <f t="shared" si="1"/>
        <v>1</v>
      </c>
      <c r="L4271" s="62">
        <f t="shared" si="2"/>
        <v>1</v>
      </c>
    </row>
    <row r="4272">
      <c r="A4272" s="58">
        <v>45839.0</v>
      </c>
      <c r="B4272" s="24" t="s">
        <v>6787</v>
      </c>
      <c r="C4272" s="24" t="s">
        <v>6853</v>
      </c>
      <c r="D4272" s="59">
        <v>2.0</v>
      </c>
      <c r="E4272" s="59">
        <v>2.0</v>
      </c>
      <c r="F4272" s="59">
        <v>2.0</v>
      </c>
      <c r="G4272" s="60">
        <v>1.0</v>
      </c>
      <c r="H4272" s="60">
        <v>1.0</v>
      </c>
      <c r="I4272" s="60">
        <v>0.0</v>
      </c>
      <c r="J4272" s="59">
        <v>2.0</v>
      </c>
      <c r="K4272" s="61">
        <f t="shared" si="1"/>
        <v>1</v>
      </c>
      <c r="L4272" s="62">
        <f t="shared" si="2"/>
        <v>1</v>
      </c>
    </row>
    <row r="4273">
      <c r="A4273" s="58">
        <v>45839.0</v>
      </c>
      <c r="B4273" s="24" t="s">
        <v>6789</v>
      </c>
      <c r="C4273" s="24" t="s">
        <v>6816</v>
      </c>
      <c r="D4273" s="59">
        <v>2.0</v>
      </c>
      <c r="E4273" s="59">
        <v>2.0</v>
      </c>
      <c r="F4273" s="59">
        <v>2.0</v>
      </c>
      <c r="G4273" s="60">
        <v>1.0</v>
      </c>
      <c r="H4273" s="60">
        <v>0.5</v>
      </c>
      <c r="I4273" s="60">
        <v>56.995418</v>
      </c>
      <c r="J4273" s="59">
        <v>5.0</v>
      </c>
      <c r="K4273" s="61">
        <f t="shared" si="1"/>
        <v>1</v>
      </c>
      <c r="L4273" s="62">
        <f t="shared" si="2"/>
        <v>2.5</v>
      </c>
    </row>
    <row r="4274">
      <c r="A4274" s="58">
        <v>45839.0</v>
      </c>
      <c r="B4274" s="24" t="s">
        <v>6787</v>
      </c>
      <c r="C4274" s="24" t="s">
        <v>6797</v>
      </c>
      <c r="D4274" s="59">
        <v>2.0</v>
      </c>
      <c r="E4274" s="59">
        <v>2.0</v>
      </c>
      <c r="F4274" s="59">
        <v>2.0</v>
      </c>
      <c r="G4274" s="60">
        <v>1.0</v>
      </c>
      <c r="H4274" s="60">
        <v>1.0</v>
      </c>
      <c r="I4274" s="60">
        <v>0.0</v>
      </c>
      <c r="J4274" s="59">
        <v>2.0</v>
      </c>
      <c r="K4274" s="61">
        <f t="shared" si="1"/>
        <v>1</v>
      </c>
      <c r="L4274" s="62">
        <f t="shared" si="2"/>
        <v>1</v>
      </c>
    </row>
    <row r="4275">
      <c r="A4275" s="58">
        <v>45839.0</v>
      </c>
      <c r="B4275" s="24" t="s">
        <v>155</v>
      </c>
      <c r="C4275" s="24" t="s">
        <v>6810</v>
      </c>
      <c r="D4275" s="59">
        <v>2.0</v>
      </c>
      <c r="E4275" s="59">
        <v>2.0</v>
      </c>
      <c r="F4275" s="59">
        <v>2.0</v>
      </c>
      <c r="G4275" s="60">
        <v>1.0</v>
      </c>
      <c r="H4275" s="60">
        <v>0.0</v>
      </c>
      <c r="I4275" s="60">
        <v>1585.7688305</v>
      </c>
      <c r="J4275" s="59">
        <v>2.0</v>
      </c>
      <c r="K4275" s="61">
        <f t="shared" si="1"/>
        <v>1</v>
      </c>
      <c r="L4275" s="62">
        <f t="shared" si="2"/>
        <v>1</v>
      </c>
    </row>
    <row r="4276">
      <c r="A4276" s="58">
        <v>45839.0</v>
      </c>
      <c r="B4276" s="24" t="s">
        <v>6789</v>
      </c>
      <c r="C4276" s="24" t="s">
        <v>6962</v>
      </c>
      <c r="D4276" s="59">
        <v>2.0</v>
      </c>
      <c r="E4276" s="59">
        <v>2.0</v>
      </c>
      <c r="F4276" s="59">
        <v>0.0</v>
      </c>
      <c r="G4276" s="60">
        <v>1.0</v>
      </c>
      <c r="H4276" s="60">
        <v>0.0</v>
      </c>
      <c r="I4276" s="60">
        <v>30.3061165</v>
      </c>
      <c r="J4276" s="59">
        <v>2.0</v>
      </c>
      <c r="K4276" s="61">
        <f t="shared" si="1"/>
        <v>0</v>
      </c>
      <c r="L4276" s="62">
        <f t="shared" si="2"/>
        <v>1</v>
      </c>
    </row>
    <row r="4277">
      <c r="A4277" s="58">
        <v>45839.0</v>
      </c>
      <c r="B4277" s="24" t="s">
        <v>6794</v>
      </c>
      <c r="C4277" s="24" t="s">
        <v>7387</v>
      </c>
      <c r="D4277" s="59">
        <v>2.0</v>
      </c>
      <c r="E4277" s="59">
        <v>2.0</v>
      </c>
      <c r="F4277" s="59">
        <v>2.0</v>
      </c>
      <c r="G4277" s="60">
        <v>1.0</v>
      </c>
      <c r="H4277" s="60">
        <v>0.5</v>
      </c>
      <c r="I4277" s="60">
        <v>10.070307</v>
      </c>
      <c r="J4277" s="59">
        <v>2.0</v>
      </c>
      <c r="K4277" s="61">
        <f t="shared" si="1"/>
        <v>1</v>
      </c>
      <c r="L4277" s="62">
        <f t="shared" si="2"/>
        <v>1</v>
      </c>
    </row>
    <row r="4278">
      <c r="A4278" s="58">
        <v>45839.0</v>
      </c>
      <c r="B4278" s="24" t="s">
        <v>155</v>
      </c>
      <c r="C4278" s="24" t="s">
        <v>6854</v>
      </c>
      <c r="D4278" s="59">
        <v>2.0</v>
      </c>
      <c r="E4278" s="59">
        <v>2.0</v>
      </c>
      <c r="F4278" s="59">
        <v>0.0</v>
      </c>
      <c r="G4278" s="60">
        <v>1.0</v>
      </c>
      <c r="H4278" s="60">
        <v>0.0</v>
      </c>
      <c r="I4278" s="60">
        <v>933.196574999999</v>
      </c>
      <c r="J4278" s="59">
        <v>5.0</v>
      </c>
      <c r="K4278" s="61">
        <f t="shared" si="1"/>
        <v>0</v>
      </c>
      <c r="L4278" s="62">
        <f t="shared" si="2"/>
        <v>2.5</v>
      </c>
    </row>
    <row r="4279">
      <c r="A4279" s="58">
        <v>45839.0</v>
      </c>
      <c r="B4279" s="24" t="s">
        <v>6787</v>
      </c>
      <c r="C4279" s="24" t="s">
        <v>6963</v>
      </c>
      <c r="D4279" s="59">
        <v>2.0</v>
      </c>
      <c r="E4279" s="59">
        <v>2.0</v>
      </c>
      <c r="F4279" s="59">
        <v>2.0</v>
      </c>
      <c r="G4279" s="60">
        <v>1.0</v>
      </c>
      <c r="H4279" s="60">
        <v>0.5</v>
      </c>
      <c r="I4279" s="60">
        <v>55.0175695</v>
      </c>
      <c r="J4279" s="59">
        <v>3.0</v>
      </c>
      <c r="K4279" s="61">
        <f t="shared" si="1"/>
        <v>1</v>
      </c>
      <c r="L4279" s="62">
        <f t="shared" si="2"/>
        <v>1.5</v>
      </c>
    </row>
    <row r="4280">
      <c r="A4280" s="58">
        <v>45839.0</v>
      </c>
      <c r="B4280" s="24" t="s">
        <v>155</v>
      </c>
      <c r="C4280" s="24" t="s">
        <v>6802</v>
      </c>
      <c r="D4280" s="59">
        <v>2.0</v>
      </c>
      <c r="E4280" s="59">
        <v>2.0</v>
      </c>
      <c r="F4280" s="59">
        <v>0.0</v>
      </c>
      <c r="G4280" s="60">
        <v>2.0</v>
      </c>
      <c r="H4280" s="60">
        <v>0.5</v>
      </c>
      <c r="I4280" s="60">
        <v>34.148981</v>
      </c>
      <c r="J4280" s="59">
        <v>2.0</v>
      </c>
      <c r="K4280" s="61">
        <f t="shared" si="1"/>
        <v>0</v>
      </c>
      <c r="L4280" s="62">
        <f t="shared" si="2"/>
        <v>1</v>
      </c>
    </row>
    <row r="4281">
      <c r="A4281" s="58">
        <v>45839.0</v>
      </c>
      <c r="B4281" s="24" t="s">
        <v>6791</v>
      </c>
      <c r="C4281" s="24" t="s">
        <v>6792</v>
      </c>
      <c r="D4281" s="59">
        <v>1.0</v>
      </c>
      <c r="E4281" s="59">
        <v>1.0</v>
      </c>
      <c r="F4281" s="59">
        <v>0.0</v>
      </c>
      <c r="G4281" s="60">
        <v>0.0</v>
      </c>
      <c r="H4281" s="60">
        <v>1.0</v>
      </c>
      <c r="I4281" s="60">
        <v>0.0</v>
      </c>
      <c r="J4281" s="59">
        <v>0.0</v>
      </c>
      <c r="K4281" s="61">
        <f t="shared" si="1"/>
        <v>0</v>
      </c>
      <c r="L4281" s="62">
        <f t="shared" si="2"/>
        <v>0</v>
      </c>
    </row>
    <row r="4282">
      <c r="A4282" s="58">
        <v>45839.0</v>
      </c>
      <c r="B4282" s="24" t="s">
        <v>6942</v>
      </c>
      <c r="C4282" s="24" t="s">
        <v>6788</v>
      </c>
      <c r="D4282" s="59">
        <v>1.0</v>
      </c>
      <c r="E4282" s="59">
        <v>1.0</v>
      </c>
      <c r="F4282" s="59">
        <v>1.0</v>
      </c>
      <c r="G4282" s="60">
        <v>1.0</v>
      </c>
      <c r="H4282" s="60">
        <v>1.0</v>
      </c>
      <c r="I4282" s="60">
        <v>0.0</v>
      </c>
      <c r="J4282" s="59">
        <v>1.0</v>
      </c>
      <c r="K4282" s="61">
        <f t="shared" si="1"/>
        <v>1</v>
      </c>
      <c r="L4282" s="62">
        <f t="shared" si="2"/>
        <v>1</v>
      </c>
    </row>
    <row r="4283">
      <c r="A4283" s="58">
        <v>45839.0</v>
      </c>
      <c r="B4283" s="24" t="s">
        <v>6787</v>
      </c>
      <c r="C4283" s="24" t="s">
        <v>7363</v>
      </c>
      <c r="D4283" s="59">
        <v>1.0</v>
      </c>
      <c r="E4283" s="59">
        <v>1.0</v>
      </c>
      <c r="F4283" s="59">
        <v>1.0</v>
      </c>
      <c r="G4283" s="60">
        <v>1.0</v>
      </c>
      <c r="H4283" s="60">
        <v>1.0</v>
      </c>
      <c r="I4283" s="60">
        <v>0.0</v>
      </c>
      <c r="J4283" s="59">
        <v>1.0</v>
      </c>
      <c r="K4283" s="61">
        <f t="shared" si="1"/>
        <v>1</v>
      </c>
      <c r="L4283" s="62">
        <f t="shared" si="2"/>
        <v>1</v>
      </c>
    </row>
    <row r="4284">
      <c r="A4284" s="58">
        <v>45839.0</v>
      </c>
      <c r="B4284" s="24" t="s">
        <v>6787</v>
      </c>
      <c r="C4284" s="24" t="s">
        <v>7388</v>
      </c>
      <c r="D4284" s="59">
        <v>1.0</v>
      </c>
      <c r="E4284" s="59">
        <v>1.0</v>
      </c>
      <c r="F4284" s="59">
        <v>1.0</v>
      </c>
      <c r="G4284" s="60">
        <v>1.0</v>
      </c>
      <c r="H4284" s="60">
        <v>1.0</v>
      </c>
      <c r="I4284" s="60">
        <v>0.0</v>
      </c>
      <c r="J4284" s="59">
        <v>1.0</v>
      </c>
      <c r="K4284" s="61">
        <f t="shared" si="1"/>
        <v>1</v>
      </c>
      <c r="L4284" s="62">
        <f t="shared" si="2"/>
        <v>1</v>
      </c>
    </row>
    <row r="4285">
      <c r="A4285" s="58">
        <v>45839.0</v>
      </c>
      <c r="B4285" s="24" t="s">
        <v>6787</v>
      </c>
      <c r="C4285" s="24" t="s">
        <v>7389</v>
      </c>
      <c r="D4285" s="59">
        <v>1.0</v>
      </c>
      <c r="E4285" s="59">
        <v>1.0</v>
      </c>
      <c r="F4285" s="59">
        <v>1.0</v>
      </c>
      <c r="G4285" s="60">
        <v>1.0</v>
      </c>
      <c r="H4285" s="60">
        <v>1.0</v>
      </c>
      <c r="I4285" s="60">
        <v>0.0</v>
      </c>
      <c r="J4285" s="59">
        <v>1.0</v>
      </c>
      <c r="K4285" s="61">
        <f t="shared" si="1"/>
        <v>1</v>
      </c>
      <c r="L4285" s="62">
        <f t="shared" si="2"/>
        <v>1</v>
      </c>
    </row>
    <row r="4286">
      <c r="A4286" s="58">
        <v>45839.0</v>
      </c>
      <c r="B4286" s="24" t="s">
        <v>6787</v>
      </c>
      <c r="C4286" s="24" t="s">
        <v>7366</v>
      </c>
      <c r="D4286" s="59">
        <v>1.0</v>
      </c>
      <c r="E4286" s="59">
        <v>1.0</v>
      </c>
      <c r="F4286" s="59">
        <v>1.0</v>
      </c>
      <c r="G4286" s="60">
        <v>1.0</v>
      </c>
      <c r="H4286" s="60">
        <v>1.0</v>
      </c>
      <c r="I4286" s="60">
        <v>0.0</v>
      </c>
      <c r="J4286" s="59">
        <v>1.0</v>
      </c>
      <c r="K4286" s="61">
        <f t="shared" si="1"/>
        <v>1</v>
      </c>
      <c r="L4286" s="62">
        <f t="shared" si="2"/>
        <v>1</v>
      </c>
    </row>
    <row r="4287">
      <c r="A4287" s="58">
        <v>45839.0</v>
      </c>
      <c r="B4287" s="24" t="s">
        <v>6787</v>
      </c>
      <c r="C4287" s="24" t="s">
        <v>7390</v>
      </c>
      <c r="D4287" s="59">
        <v>1.0</v>
      </c>
      <c r="E4287" s="59">
        <v>1.0</v>
      </c>
      <c r="F4287" s="59">
        <v>1.0</v>
      </c>
      <c r="G4287" s="60">
        <v>1.0</v>
      </c>
      <c r="H4287" s="60">
        <v>1.0</v>
      </c>
      <c r="I4287" s="60">
        <v>0.0</v>
      </c>
      <c r="J4287" s="59">
        <v>1.0</v>
      </c>
      <c r="K4287" s="61">
        <f t="shared" si="1"/>
        <v>1</v>
      </c>
      <c r="L4287" s="62">
        <f t="shared" si="2"/>
        <v>1</v>
      </c>
    </row>
    <row r="4288">
      <c r="A4288" s="58">
        <v>45839.0</v>
      </c>
      <c r="B4288" s="24" t="s">
        <v>6787</v>
      </c>
      <c r="C4288" s="24" t="s">
        <v>7367</v>
      </c>
      <c r="D4288" s="59">
        <v>1.0</v>
      </c>
      <c r="E4288" s="59">
        <v>1.0</v>
      </c>
      <c r="F4288" s="59">
        <v>1.0</v>
      </c>
      <c r="G4288" s="60">
        <v>1.0</v>
      </c>
      <c r="H4288" s="60">
        <v>1.0</v>
      </c>
      <c r="I4288" s="60">
        <v>0.0</v>
      </c>
      <c r="J4288" s="59">
        <v>1.0</v>
      </c>
      <c r="K4288" s="61">
        <f t="shared" si="1"/>
        <v>1</v>
      </c>
      <c r="L4288" s="62">
        <f t="shared" si="2"/>
        <v>1</v>
      </c>
    </row>
    <row r="4289">
      <c r="A4289" s="58">
        <v>45839.0</v>
      </c>
      <c r="B4289" s="24" t="s">
        <v>6787</v>
      </c>
      <c r="C4289" s="24" t="s">
        <v>7370</v>
      </c>
      <c r="D4289" s="59">
        <v>1.0</v>
      </c>
      <c r="E4289" s="59">
        <v>1.0</v>
      </c>
      <c r="F4289" s="59">
        <v>1.0</v>
      </c>
      <c r="G4289" s="60">
        <v>1.0</v>
      </c>
      <c r="H4289" s="60">
        <v>1.0</v>
      </c>
      <c r="I4289" s="60">
        <v>0.0</v>
      </c>
      <c r="J4289" s="59">
        <v>1.0</v>
      </c>
      <c r="K4289" s="61">
        <f t="shared" si="1"/>
        <v>1</v>
      </c>
      <c r="L4289" s="62">
        <f t="shared" si="2"/>
        <v>1</v>
      </c>
    </row>
    <row r="4290">
      <c r="A4290" s="58">
        <v>45839.0</v>
      </c>
      <c r="B4290" s="24" t="s">
        <v>6787</v>
      </c>
      <c r="C4290" s="24" t="s">
        <v>7391</v>
      </c>
      <c r="D4290" s="59">
        <v>1.0</v>
      </c>
      <c r="E4290" s="59">
        <v>1.0</v>
      </c>
      <c r="F4290" s="59">
        <v>1.0</v>
      </c>
      <c r="G4290" s="60">
        <v>1.0</v>
      </c>
      <c r="H4290" s="60">
        <v>1.0</v>
      </c>
      <c r="I4290" s="60">
        <v>0.0</v>
      </c>
      <c r="J4290" s="59">
        <v>1.0</v>
      </c>
      <c r="K4290" s="61">
        <f t="shared" si="1"/>
        <v>1</v>
      </c>
      <c r="L4290" s="62">
        <f t="shared" si="2"/>
        <v>1</v>
      </c>
    </row>
    <row r="4291">
      <c r="A4291" s="58">
        <v>45839.0</v>
      </c>
      <c r="B4291" s="24" t="s">
        <v>6787</v>
      </c>
      <c r="C4291" s="24" t="s">
        <v>7392</v>
      </c>
      <c r="D4291" s="59">
        <v>1.0</v>
      </c>
      <c r="E4291" s="59">
        <v>1.0</v>
      </c>
      <c r="F4291" s="59">
        <v>1.0</v>
      </c>
      <c r="G4291" s="60">
        <v>1.0</v>
      </c>
      <c r="H4291" s="60">
        <v>1.0</v>
      </c>
      <c r="I4291" s="60">
        <v>0.0</v>
      </c>
      <c r="J4291" s="59">
        <v>1.0</v>
      </c>
      <c r="K4291" s="61">
        <f t="shared" si="1"/>
        <v>1</v>
      </c>
      <c r="L4291" s="62">
        <f t="shared" si="2"/>
        <v>1</v>
      </c>
    </row>
    <row r="4292">
      <c r="A4292" s="58">
        <v>45839.0</v>
      </c>
      <c r="B4292" s="24" t="s">
        <v>6787</v>
      </c>
      <c r="C4292" s="24" t="s">
        <v>7393</v>
      </c>
      <c r="D4292" s="59">
        <v>1.0</v>
      </c>
      <c r="E4292" s="59">
        <v>1.0</v>
      </c>
      <c r="F4292" s="59">
        <v>1.0</v>
      </c>
      <c r="G4292" s="60">
        <v>1.0</v>
      </c>
      <c r="H4292" s="60">
        <v>1.0</v>
      </c>
      <c r="I4292" s="60">
        <v>0.0</v>
      </c>
      <c r="J4292" s="59">
        <v>1.0</v>
      </c>
      <c r="K4292" s="61">
        <f t="shared" si="1"/>
        <v>1</v>
      </c>
      <c r="L4292" s="62">
        <f t="shared" si="2"/>
        <v>1</v>
      </c>
    </row>
    <row r="4293">
      <c r="A4293" s="58">
        <v>45839.0</v>
      </c>
      <c r="B4293" s="24" t="s">
        <v>6787</v>
      </c>
      <c r="C4293" s="24" t="s">
        <v>7350</v>
      </c>
      <c r="D4293" s="59">
        <v>1.0</v>
      </c>
      <c r="E4293" s="59">
        <v>1.0</v>
      </c>
      <c r="F4293" s="59">
        <v>1.0</v>
      </c>
      <c r="G4293" s="60">
        <v>1.0</v>
      </c>
      <c r="H4293" s="60">
        <v>1.0</v>
      </c>
      <c r="I4293" s="60">
        <v>0.0</v>
      </c>
      <c r="J4293" s="59">
        <v>1.0</v>
      </c>
      <c r="K4293" s="61">
        <f t="shared" si="1"/>
        <v>1</v>
      </c>
      <c r="L4293" s="62">
        <f t="shared" si="2"/>
        <v>1</v>
      </c>
    </row>
    <row r="4294">
      <c r="A4294" s="58">
        <v>45839.0</v>
      </c>
      <c r="B4294" s="24" t="s">
        <v>6787</v>
      </c>
      <c r="C4294" s="24" t="s">
        <v>7394</v>
      </c>
      <c r="D4294" s="59">
        <v>1.0</v>
      </c>
      <c r="E4294" s="59">
        <v>1.0</v>
      </c>
      <c r="F4294" s="59">
        <v>1.0</v>
      </c>
      <c r="G4294" s="60">
        <v>1.0</v>
      </c>
      <c r="H4294" s="60">
        <v>1.0</v>
      </c>
      <c r="I4294" s="60">
        <v>0.0</v>
      </c>
      <c r="J4294" s="59">
        <v>1.0</v>
      </c>
      <c r="K4294" s="61">
        <f t="shared" si="1"/>
        <v>1</v>
      </c>
      <c r="L4294" s="62">
        <f t="shared" si="2"/>
        <v>1</v>
      </c>
    </row>
    <row r="4295">
      <c r="A4295" s="58">
        <v>45839.0</v>
      </c>
      <c r="B4295" s="24" t="s">
        <v>6787</v>
      </c>
      <c r="C4295" s="24" t="s">
        <v>7395</v>
      </c>
      <c r="D4295" s="59">
        <v>1.0</v>
      </c>
      <c r="E4295" s="59">
        <v>1.0</v>
      </c>
      <c r="F4295" s="59">
        <v>1.0</v>
      </c>
      <c r="G4295" s="60">
        <v>1.0</v>
      </c>
      <c r="H4295" s="60">
        <v>1.0</v>
      </c>
      <c r="I4295" s="60">
        <v>0.0</v>
      </c>
      <c r="J4295" s="59">
        <v>1.0</v>
      </c>
      <c r="K4295" s="61">
        <f t="shared" si="1"/>
        <v>1</v>
      </c>
      <c r="L4295" s="62">
        <f t="shared" si="2"/>
        <v>1</v>
      </c>
    </row>
    <row r="4296">
      <c r="A4296" s="58">
        <v>45839.0</v>
      </c>
      <c r="B4296" s="24" t="s">
        <v>6787</v>
      </c>
      <c r="C4296" s="24" t="s">
        <v>7353</v>
      </c>
      <c r="D4296" s="59">
        <v>1.0</v>
      </c>
      <c r="E4296" s="59">
        <v>1.0</v>
      </c>
      <c r="F4296" s="59">
        <v>1.0</v>
      </c>
      <c r="G4296" s="60">
        <v>1.0</v>
      </c>
      <c r="H4296" s="60">
        <v>1.0</v>
      </c>
      <c r="I4296" s="60">
        <v>0.0</v>
      </c>
      <c r="J4296" s="59">
        <v>1.0</v>
      </c>
      <c r="K4296" s="61">
        <f t="shared" si="1"/>
        <v>1</v>
      </c>
      <c r="L4296" s="62">
        <f t="shared" si="2"/>
        <v>1</v>
      </c>
    </row>
    <row r="4297">
      <c r="A4297" s="58">
        <v>45839.0</v>
      </c>
      <c r="B4297" s="24" t="s">
        <v>6787</v>
      </c>
      <c r="C4297" s="24" t="s">
        <v>7354</v>
      </c>
      <c r="D4297" s="59">
        <v>1.0</v>
      </c>
      <c r="E4297" s="59">
        <v>1.0</v>
      </c>
      <c r="F4297" s="59">
        <v>1.0</v>
      </c>
      <c r="G4297" s="60">
        <v>1.0</v>
      </c>
      <c r="H4297" s="60">
        <v>0.0</v>
      </c>
      <c r="I4297" s="60">
        <v>29.490838</v>
      </c>
      <c r="J4297" s="59">
        <v>1.0</v>
      </c>
      <c r="K4297" s="61">
        <f t="shared" si="1"/>
        <v>1</v>
      </c>
      <c r="L4297" s="62">
        <f t="shared" si="2"/>
        <v>1</v>
      </c>
    </row>
    <row r="4298">
      <c r="A4298" s="58">
        <v>45839.0</v>
      </c>
      <c r="B4298" s="24" t="s">
        <v>6789</v>
      </c>
      <c r="C4298" s="24" t="s">
        <v>7149</v>
      </c>
      <c r="D4298" s="59">
        <v>1.0</v>
      </c>
      <c r="E4298" s="59">
        <v>2.0</v>
      </c>
      <c r="F4298" s="59">
        <v>0.0</v>
      </c>
      <c r="G4298" s="60">
        <v>2.0</v>
      </c>
      <c r="H4298" s="60">
        <v>0.0</v>
      </c>
      <c r="I4298" s="60">
        <v>247.736633</v>
      </c>
      <c r="J4298" s="59">
        <v>5.0</v>
      </c>
      <c r="K4298" s="61">
        <f t="shared" si="1"/>
        <v>0</v>
      </c>
      <c r="L4298" s="62">
        <f t="shared" si="2"/>
        <v>2.5</v>
      </c>
    </row>
    <row r="4299">
      <c r="A4299" s="58">
        <v>45839.0</v>
      </c>
      <c r="B4299" s="24" t="s">
        <v>6787</v>
      </c>
      <c r="C4299" s="24" t="s">
        <v>7194</v>
      </c>
      <c r="D4299" s="59">
        <v>1.0</v>
      </c>
      <c r="E4299" s="59">
        <v>1.0</v>
      </c>
      <c r="F4299" s="59">
        <v>1.0</v>
      </c>
      <c r="G4299" s="60">
        <v>1.0</v>
      </c>
      <c r="H4299" s="60">
        <v>1.0</v>
      </c>
      <c r="I4299" s="60">
        <v>5.003695</v>
      </c>
      <c r="J4299" s="59">
        <v>1.0</v>
      </c>
      <c r="K4299" s="61">
        <f t="shared" si="1"/>
        <v>1</v>
      </c>
      <c r="L4299" s="62">
        <f t="shared" si="2"/>
        <v>1</v>
      </c>
    </row>
    <row r="4300">
      <c r="A4300" s="58">
        <v>45839.0</v>
      </c>
      <c r="B4300" s="24" t="s">
        <v>6789</v>
      </c>
      <c r="C4300" s="24" t="s">
        <v>7194</v>
      </c>
      <c r="D4300" s="59">
        <v>1.0</v>
      </c>
      <c r="E4300" s="59">
        <v>1.0</v>
      </c>
      <c r="F4300" s="59">
        <v>1.0</v>
      </c>
      <c r="G4300" s="60">
        <v>1.0</v>
      </c>
      <c r="H4300" s="60">
        <v>1.0</v>
      </c>
      <c r="I4300" s="60">
        <v>5.784025</v>
      </c>
      <c r="J4300" s="59">
        <v>1.0</v>
      </c>
      <c r="K4300" s="61">
        <f t="shared" si="1"/>
        <v>1</v>
      </c>
      <c r="L4300" s="62">
        <f t="shared" si="2"/>
        <v>1</v>
      </c>
    </row>
    <row r="4301">
      <c r="A4301" s="58">
        <v>45839.0</v>
      </c>
      <c r="B4301" s="24" t="s">
        <v>155</v>
      </c>
      <c r="C4301" s="24" t="s">
        <v>6803</v>
      </c>
      <c r="D4301" s="59">
        <v>1.0</v>
      </c>
      <c r="E4301" s="59">
        <v>1.0</v>
      </c>
      <c r="F4301" s="59">
        <v>0.0</v>
      </c>
      <c r="G4301" s="60">
        <v>1.0</v>
      </c>
      <c r="H4301" s="60">
        <v>1.0</v>
      </c>
      <c r="I4301" s="60">
        <v>9.800346</v>
      </c>
      <c r="J4301" s="59">
        <v>1.0</v>
      </c>
      <c r="K4301" s="61">
        <f t="shared" si="1"/>
        <v>0</v>
      </c>
      <c r="L4301" s="62">
        <f t="shared" si="2"/>
        <v>1</v>
      </c>
    </row>
    <row r="4302">
      <c r="A4302" s="58">
        <v>45839.0</v>
      </c>
      <c r="B4302" s="24" t="s">
        <v>6787</v>
      </c>
      <c r="C4302" s="24" t="s">
        <v>6982</v>
      </c>
      <c r="D4302" s="59">
        <v>1.0</v>
      </c>
      <c r="E4302" s="59">
        <v>1.0</v>
      </c>
      <c r="F4302" s="59">
        <v>1.0</v>
      </c>
      <c r="G4302" s="60">
        <v>1.0</v>
      </c>
      <c r="H4302" s="60">
        <v>1.0</v>
      </c>
      <c r="I4302" s="60">
        <v>0.0</v>
      </c>
      <c r="J4302" s="59">
        <v>1.0</v>
      </c>
      <c r="K4302" s="61">
        <f t="shared" si="1"/>
        <v>1</v>
      </c>
      <c r="L4302" s="62">
        <f t="shared" si="2"/>
        <v>1</v>
      </c>
    </row>
    <row r="4303">
      <c r="A4303" s="58">
        <v>45839.0</v>
      </c>
      <c r="B4303" s="24" t="s">
        <v>6794</v>
      </c>
      <c r="C4303" s="24" t="s">
        <v>6817</v>
      </c>
      <c r="D4303" s="59">
        <v>1.0</v>
      </c>
      <c r="E4303" s="59">
        <v>2.0</v>
      </c>
      <c r="F4303" s="59">
        <v>0.0</v>
      </c>
      <c r="G4303" s="60">
        <v>2.0</v>
      </c>
      <c r="H4303" s="60">
        <v>0.0</v>
      </c>
      <c r="I4303" s="60">
        <v>713.5498505</v>
      </c>
      <c r="J4303" s="59">
        <v>11.0</v>
      </c>
      <c r="K4303" s="61">
        <f t="shared" si="1"/>
        <v>0</v>
      </c>
      <c r="L4303" s="62">
        <f t="shared" si="2"/>
        <v>5.5</v>
      </c>
    </row>
    <row r="4304">
      <c r="A4304" s="58">
        <v>45839.0</v>
      </c>
      <c r="B4304" s="24" t="s">
        <v>6789</v>
      </c>
      <c r="C4304" s="24" t="s">
        <v>7055</v>
      </c>
      <c r="D4304" s="59">
        <v>1.0</v>
      </c>
      <c r="E4304" s="59">
        <v>1.0</v>
      </c>
      <c r="F4304" s="59">
        <v>1.0</v>
      </c>
      <c r="G4304" s="60">
        <v>1.0</v>
      </c>
      <c r="H4304" s="60">
        <v>1.0</v>
      </c>
      <c r="I4304" s="60">
        <v>0.0</v>
      </c>
      <c r="J4304" s="59">
        <v>1.0</v>
      </c>
      <c r="K4304" s="61">
        <f t="shared" si="1"/>
        <v>1</v>
      </c>
      <c r="L4304" s="62">
        <f t="shared" si="2"/>
        <v>1</v>
      </c>
    </row>
    <row r="4305">
      <c r="A4305" s="58">
        <v>45839.0</v>
      </c>
      <c r="B4305" s="24" t="s">
        <v>155</v>
      </c>
      <c r="C4305" s="24" t="s">
        <v>7055</v>
      </c>
      <c r="D4305" s="59">
        <v>1.0</v>
      </c>
      <c r="E4305" s="59">
        <v>1.0</v>
      </c>
      <c r="F4305" s="59">
        <v>1.0</v>
      </c>
      <c r="G4305" s="60">
        <v>1.0</v>
      </c>
      <c r="H4305" s="60">
        <v>0.0</v>
      </c>
      <c r="I4305" s="60">
        <v>93.204529</v>
      </c>
      <c r="J4305" s="59">
        <v>1.0</v>
      </c>
      <c r="K4305" s="61">
        <f t="shared" si="1"/>
        <v>1</v>
      </c>
      <c r="L4305" s="62">
        <f t="shared" si="2"/>
        <v>1</v>
      </c>
    </row>
    <row r="4306">
      <c r="A4306" s="58">
        <v>45839.0</v>
      </c>
      <c r="B4306" s="24" t="s">
        <v>6787</v>
      </c>
      <c r="C4306" s="24" t="s">
        <v>6953</v>
      </c>
      <c r="D4306" s="59">
        <v>1.0</v>
      </c>
      <c r="E4306" s="59">
        <v>1.0</v>
      </c>
      <c r="F4306" s="59">
        <v>1.0</v>
      </c>
      <c r="G4306" s="60">
        <v>1.0</v>
      </c>
      <c r="H4306" s="60">
        <v>1.0</v>
      </c>
      <c r="I4306" s="60">
        <v>0.0</v>
      </c>
      <c r="J4306" s="59">
        <v>1.0</v>
      </c>
      <c r="K4306" s="61">
        <f t="shared" si="1"/>
        <v>1</v>
      </c>
      <c r="L4306" s="62">
        <f t="shared" si="2"/>
        <v>1</v>
      </c>
    </row>
    <row r="4307">
      <c r="A4307" s="58">
        <v>45839.0</v>
      </c>
      <c r="B4307" s="24" t="s">
        <v>6789</v>
      </c>
      <c r="C4307" s="24" t="s">
        <v>6953</v>
      </c>
      <c r="D4307" s="59">
        <v>1.0</v>
      </c>
      <c r="E4307" s="59">
        <v>1.0</v>
      </c>
      <c r="F4307" s="59">
        <v>1.0</v>
      </c>
      <c r="G4307" s="60">
        <v>1.0</v>
      </c>
      <c r="H4307" s="60">
        <v>1.0</v>
      </c>
      <c r="I4307" s="60">
        <v>0.0</v>
      </c>
      <c r="J4307" s="59">
        <v>1.0</v>
      </c>
      <c r="K4307" s="61">
        <f t="shared" si="1"/>
        <v>1</v>
      </c>
      <c r="L4307" s="62">
        <f t="shared" si="2"/>
        <v>1</v>
      </c>
    </row>
    <row r="4308">
      <c r="A4308" s="58">
        <v>45839.0</v>
      </c>
      <c r="B4308" s="24" t="s">
        <v>6787</v>
      </c>
      <c r="C4308" s="24" t="s">
        <v>7056</v>
      </c>
      <c r="D4308" s="59">
        <v>1.0</v>
      </c>
      <c r="E4308" s="59">
        <v>1.0</v>
      </c>
      <c r="F4308" s="59">
        <v>1.0</v>
      </c>
      <c r="G4308" s="60">
        <v>1.0</v>
      </c>
      <c r="H4308" s="60">
        <v>0.0</v>
      </c>
      <c r="I4308" s="60">
        <v>53.459231</v>
      </c>
      <c r="J4308" s="59">
        <v>1.0</v>
      </c>
      <c r="K4308" s="61">
        <f t="shared" si="1"/>
        <v>1</v>
      </c>
      <c r="L4308" s="62">
        <f t="shared" si="2"/>
        <v>1</v>
      </c>
    </row>
    <row r="4309">
      <c r="A4309" s="58">
        <v>45839.0</v>
      </c>
      <c r="B4309" s="24" t="s">
        <v>6789</v>
      </c>
      <c r="C4309" s="24" t="s">
        <v>6983</v>
      </c>
      <c r="D4309" s="59">
        <v>1.0</v>
      </c>
      <c r="E4309" s="59">
        <v>1.0</v>
      </c>
      <c r="F4309" s="59">
        <v>1.0</v>
      </c>
      <c r="G4309" s="60">
        <v>1.0</v>
      </c>
      <c r="H4309" s="60">
        <v>1.0</v>
      </c>
      <c r="I4309" s="60">
        <v>8.88723</v>
      </c>
      <c r="J4309" s="59">
        <v>1.0</v>
      </c>
      <c r="K4309" s="61">
        <f t="shared" si="1"/>
        <v>1</v>
      </c>
      <c r="L4309" s="62">
        <f t="shared" si="2"/>
        <v>1</v>
      </c>
    </row>
    <row r="4310">
      <c r="A4310" s="58">
        <v>45839.0</v>
      </c>
      <c r="B4310" s="24" t="s">
        <v>155</v>
      </c>
      <c r="C4310" s="24" t="s">
        <v>6804</v>
      </c>
      <c r="D4310" s="59">
        <v>1.0</v>
      </c>
      <c r="E4310" s="59">
        <v>1.0</v>
      </c>
      <c r="F4310" s="59">
        <v>1.0</v>
      </c>
      <c r="G4310" s="60">
        <v>1.0</v>
      </c>
      <c r="H4310" s="60">
        <v>0.0</v>
      </c>
      <c r="I4310" s="60">
        <v>280.513022</v>
      </c>
      <c r="J4310" s="59">
        <v>1.0</v>
      </c>
      <c r="K4310" s="61">
        <f t="shared" si="1"/>
        <v>1</v>
      </c>
      <c r="L4310" s="62">
        <f t="shared" si="2"/>
        <v>1</v>
      </c>
    </row>
    <row r="4311">
      <c r="A4311" s="58">
        <v>45839.0</v>
      </c>
      <c r="B4311" s="24" t="s">
        <v>6789</v>
      </c>
      <c r="C4311" s="24" t="s">
        <v>6955</v>
      </c>
      <c r="D4311" s="59">
        <v>1.0</v>
      </c>
      <c r="E4311" s="59">
        <v>1.0</v>
      </c>
      <c r="F4311" s="59">
        <v>1.0</v>
      </c>
      <c r="G4311" s="60">
        <v>1.0</v>
      </c>
      <c r="H4311" s="60">
        <v>1.0</v>
      </c>
      <c r="I4311" s="60">
        <v>0.0</v>
      </c>
      <c r="J4311" s="59">
        <v>1.0</v>
      </c>
      <c r="K4311" s="61">
        <f t="shared" si="1"/>
        <v>1</v>
      </c>
      <c r="L4311" s="62">
        <f t="shared" si="2"/>
        <v>1</v>
      </c>
    </row>
    <row r="4312">
      <c r="A4312" s="58">
        <v>45839.0</v>
      </c>
      <c r="B4312" s="24" t="s">
        <v>155</v>
      </c>
      <c r="C4312" s="24" t="s">
        <v>6955</v>
      </c>
      <c r="D4312" s="59">
        <v>1.0</v>
      </c>
      <c r="E4312" s="59">
        <v>1.0</v>
      </c>
      <c r="F4312" s="59">
        <v>0.0</v>
      </c>
      <c r="G4312" s="60">
        <v>1.0</v>
      </c>
      <c r="H4312" s="60">
        <v>0.0</v>
      </c>
      <c r="I4312" s="60">
        <v>465.981698</v>
      </c>
      <c r="J4312" s="59">
        <v>5.0</v>
      </c>
      <c r="K4312" s="61">
        <f t="shared" si="1"/>
        <v>0</v>
      </c>
      <c r="L4312" s="62">
        <f t="shared" si="2"/>
        <v>5</v>
      </c>
    </row>
    <row r="4313">
      <c r="A4313" s="58">
        <v>45839.0</v>
      </c>
      <c r="B4313" s="24" t="s">
        <v>6787</v>
      </c>
      <c r="C4313" s="24" t="s">
        <v>6829</v>
      </c>
      <c r="D4313" s="59">
        <v>1.0</v>
      </c>
      <c r="E4313" s="59">
        <v>1.0</v>
      </c>
      <c r="F4313" s="59">
        <v>1.0</v>
      </c>
      <c r="G4313" s="60">
        <v>1.0</v>
      </c>
      <c r="H4313" s="60">
        <v>1.0</v>
      </c>
      <c r="I4313" s="60">
        <v>0.0</v>
      </c>
      <c r="J4313" s="59">
        <v>1.0</v>
      </c>
      <c r="K4313" s="61">
        <f t="shared" si="1"/>
        <v>1</v>
      </c>
      <c r="L4313" s="62">
        <f t="shared" si="2"/>
        <v>1</v>
      </c>
    </row>
    <row r="4314">
      <c r="A4314" s="58">
        <v>45839.0</v>
      </c>
      <c r="B4314" s="24" t="s">
        <v>6787</v>
      </c>
      <c r="C4314" s="24" t="s">
        <v>6956</v>
      </c>
      <c r="D4314" s="59">
        <v>1.0</v>
      </c>
      <c r="E4314" s="59">
        <v>1.0</v>
      </c>
      <c r="F4314" s="59">
        <v>1.0</v>
      </c>
      <c r="G4314" s="60">
        <v>1.0</v>
      </c>
      <c r="H4314" s="60">
        <v>1.0</v>
      </c>
      <c r="I4314" s="60">
        <v>0.0</v>
      </c>
      <c r="J4314" s="59">
        <v>1.0</v>
      </c>
      <c r="K4314" s="61">
        <f t="shared" si="1"/>
        <v>1</v>
      </c>
      <c r="L4314" s="62">
        <f t="shared" si="2"/>
        <v>1</v>
      </c>
    </row>
    <row r="4315">
      <c r="A4315" s="58">
        <v>45839.0</v>
      </c>
      <c r="B4315" s="24" t="s">
        <v>6789</v>
      </c>
      <c r="C4315" s="24" t="s">
        <v>6956</v>
      </c>
      <c r="D4315" s="59">
        <v>1.0</v>
      </c>
      <c r="E4315" s="59">
        <v>1.0</v>
      </c>
      <c r="F4315" s="59">
        <v>1.0</v>
      </c>
      <c r="G4315" s="60">
        <v>1.0</v>
      </c>
      <c r="H4315" s="60">
        <v>0.0</v>
      </c>
      <c r="I4315" s="60">
        <v>10.767903</v>
      </c>
      <c r="J4315" s="59">
        <v>1.0</v>
      </c>
      <c r="K4315" s="61">
        <f t="shared" si="1"/>
        <v>1</v>
      </c>
      <c r="L4315" s="62">
        <f t="shared" si="2"/>
        <v>1</v>
      </c>
    </row>
    <row r="4316">
      <c r="A4316" s="58">
        <v>45839.0</v>
      </c>
      <c r="B4316" s="24" t="s">
        <v>6787</v>
      </c>
      <c r="C4316" s="24" t="s">
        <v>7187</v>
      </c>
      <c r="D4316" s="59">
        <v>1.0</v>
      </c>
      <c r="E4316" s="59">
        <v>1.0</v>
      </c>
      <c r="F4316" s="59">
        <v>1.0</v>
      </c>
      <c r="G4316" s="60">
        <v>1.0</v>
      </c>
      <c r="H4316" s="60">
        <v>1.0</v>
      </c>
      <c r="I4316" s="60">
        <v>0.0</v>
      </c>
      <c r="J4316" s="59">
        <v>1.0</v>
      </c>
      <c r="K4316" s="61">
        <f t="shared" si="1"/>
        <v>1</v>
      </c>
      <c r="L4316" s="62">
        <f t="shared" si="2"/>
        <v>1</v>
      </c>
    </row>
    <row r="4317">
      <c r="A4317" s="58">
        <v>45839.0</v>
      </c>
      <c r="B4317" s="24" t="s">
        <v>6789</v>
      </c>
      <c r="C4317" s="24" t="s">
        <v>7187</v>
      </c>
      <c r="D4317" s="59">
        <v>1.0</v>
      </c>
      <c r="E4317" s="59">
        <v>1.0</v>
      </c>
      <c r="F4317" s="59">
        <v>1.0</v>
      </c>
      <c r="G4317" s="60">
        <v>1.0</v>
      </c>
      <c r="H4317" s="60">
        <v>1.0</v>
      </c>
      <c r="I4317" s="60">
        <v>0.0</v>
      </c>
      <c r="J4317" s="59">
        <v>1.0</v>
      </c>
      <c r="K4317" s="61">
        <f t="shared" si="1"/>
        <v>1</v>
      </c>
      <c r="L4317" s="62">
        <f t="shared" si="2"/>
        <v>1</v>
      </c>
    </row>
    <row r="4318">
      <c r="A4318" s="58">
        <v>45839.0</v>
      </c>
      <c r="B4318" s="24" t="s">
        <v>6787</v>
      </c>
      <c r="C4318" s="24" t="s">
        <v>7059</v>
      </c>
      <c r="D4318" s="59">
        <v>1.0</v>
      </c>
      <c r="E4318" s="59">
        <v>1.0</v>
      </c>
      <c r="F4318" s="59">
        <v>1.0</v>
      </c>
      <c r="G4318" s="60">
        <v>1.0</v>
      </c>
      <c r="H4318" s="60">
        <v>1.0</v>
      </c>
      <c r="I4318" s="60">
        <v>0.0</v>
      </c>
      <c r="J4318" s="59">
        <v>1.0</v>
      </c>
      <c r="K4318" s="61">
        <f t="shared" si="1"/>
        <v>1</v>
      </c>
      <c r="L4318" s="62">
        <f t="shared" si="2"/>
        <v>1</v>
      </c>
    </row>
    <row r="4319">
      <c r="A4319" s="58">
        <v>45839.0</v>
      </c>
      <c r="B4319" s="24" t="s">
        <v>6789</v>
      </c>
      <c r="C4319" s="24" t="s">
        <v>7059</v>
      </c>
      <c r="D4319" s="59">
        <v>1.0</v>
      </c>
      <c r="E4319" s="59">
        <v>1.0</v>
      </c>
      <c r="F4319" s="59">
        <v>1.0</v>
      </c>
      <c r="G4319" s="60">
        <v>1.0</v>
      </c>
      <c r="H4319" s="60">
        <v>1.0</v>
      </c>
      <c r="I4319" s="60">
        <v>0.0</v>
      </c>
      <c r="J4319" s="59">
        <v>1.0</v>
      </c>
      <c r="K4319" s="61">
        <f t="shared" si="1"/>
        <v>1</v>
      </c>
      <c r="L4319" s="62">
        <f t="shared" si="2"/>
        <v>1</v>
      </c>
    </row>
    <row r="4320">
      <c r="A4320" s="58">
        <v>45839.0</v>
      </c>
      <c r="B4320" s="24" t="s">
        <v>6787</v>
      </c>
      <c r="C4320" s="24" t="s">
        <v>6863</v>
      </c>
      <c r="D4320" s="59">
        <v>1.0</v>
      </c>
      <c r="E4320" s="59">
        <v>1.0</v>
      </c>
      <c r="F4320" s="59">
        <v>1.0</v>
      </c>
      <c r="G4320" s="60">
        <v>1.0</v>
      </c>
      <c r="H4320" s="60">
        <v>1.0</v>
      </c>
      <c r="I4320" s="60">
        <v>0.0</v>
      </c>
      <c r="J4320" s="59">
        <v>1.0</v>
      </c>
      <c r="K4320" s="61">
        <f t="shared" si="1"/>
        <v>1</v>
      </c>
      <c r="L4320" s="62">
        <f t="shared" si="2"/>
        <v>1</v>
      </c>
    </row>
    <row r="4321">
      <c r="A4321" s="58">
        <v>45839.0</v>
      </c>
      <c r="B4321" s="24" t="s">
        <v>6794</v>
      </c>
      <c r="C4321" s="24" t="s">
        <v>6863</v>
      </c>
      <c r="D4321" s="59">
        <v>1.0</v>
      </c>
      <c r="E4321" s="59">
        <v>1.0</v>
      </c>
      <c r="F4321" s="59">
        <v>0.0</v>
      </c>
      <c r="G4321" s="60">
        <v>1.0</v>
      </c>
      <c r="H4321" s="60">
        <v>0.0</v>
      </c>
      <c r="I4321" s="60">
        <v>1241.97272</v>
      </c>
      <c r="J4321" s="59">
        <v>6.0</v>
      </c>
      <c r="K4321" s="61">
        <f t="shared" si="1"/>
        <v>0</v>
      </c>
      <c r="L4321" s="62">
        <f t="shared" si="2"/>
        <v>6</v>
      </c>
    </row>
    <row r="4322">
      <c r="A4322" s="58">
        <v>45839.0</v>
      </c>
      <c r="B4322" s="24" t="s">
        <v>6787</v>
      </c>
      <c r="C4322" s="24" t="s">
        <v>6865</v>
      </c>
      <c r="D4322" s="59">
        <v>1.0</v>
      </c>
      <c r="E4322" s="59">
        <v>1.0</v>
      </c>
      <c r="F4322" s="59">
        <v>1.0</v>
      </c>
      <c r="G4322" s="60">
        <v>1.0</v>
      </c>
      <c r="H4322" s="60">
        <v>1.0</v>
      </c>
      <c r="I4322" s="60">
        <v>0.0</v>
      </c>
      <c r="J4322" s="59">
        <v>1.0</v>
      </c>
      <c r="K4322" s="61">
        <f t="shared" si="1"/>
        <v>1</v>
      </c>
      <c r="L4322" s="62">
        <f t="shared" si="2"/>
        <v>1</v>
      </c>
    </row>
    <row r="4323">
      <c r="A4323" s="58">
        <v>45839.0</v>
      </c>
      <c r="B4323" s="24" t="s">
        <v>6787</v>
      </c>
      <c r="C4323" s="24" t="s">
        <v>6831</v>
      </c>
      <c r="D4323" s="59">
        <v>1.0</v>
      </c>
      <c r="E4323" s="59">
        <v>1.0</v>
      </c>
      <c r="F4323" s="59">
        <v>1.0</v>
      </c>
      <c r="G4323" s="60">
        <v>1.0</v>
      </c>
      <c r="H4323" s="60">
        <v>1.0</v>
      </c>
      <c r="I4323" s="60">
        <v>0.0</v>
      </c>
      <c r="J4323" s="59">
        <v>1.0</v>
      </c>
      <c r="K4323" s="61">
        <f t="shared" si="1"/>
        <v>1</v>
      </c>
      <c r="L4323" s="62">
        <f t="shared" si="2"/>
        <v>1</v>
      </c>
    </row>
    <row r="4324">
      <c r="A4324" s="58">
        <v>45839.0</v>
      </c>
      <c r="B4324" s="24" t="s">
        <v>6789</v>
      </c>
      <c r="C4324" s="24" t="s">
        <v>6831</v>
      </c>
      <c r="D4324" s="59">
        <v>1.0</v>
      </c>
      <c r="E4324" s="59">
        <v>1.0</v>
      </c>
      <c r="F4324" s="59">
        <v>1.0</v>
      </c>
      <c r="G4324" s="60">
        <v>1.0</v>
      </c>
      <c r="H4324" s="60">
        <v>1.0</v>
      </c>
      <c r="I4324" s="60">
        <v>0.0</v>
      </c>
      <c r="J4324" s="59">
        <v>1.0</v>
      </c>
      <c r="K4324" s="61">
        <f t="shared" si="1"/>
        <v>1</v>
      </c>
      <c r="L4324" s="62">
        <f t="shared" si="2"/>
        <v>1</v>
      </c>
    </row>
    <row r="4325">
      <c r="A4325" s="58">
        <v>45839.0</v>
      </c>
      <c r="B4325" s="24" t="s">
        <v>6787</v>
      </c>
      <c r="C4325" s="24" t="s">
        <v>6985</v>
      </c>
      <c r="D4325" s="59">
        <v>1.0</v>
      </c>
      <c r="E4325" s="59">
        <v>1.0</v>
      </c>
      <c r="F4325" s="59">
        <v>1.0</v>
      </c>
      <c r="G4325" s="60">
        <v>1.0</v>
      </c>
      <c r="H4325" s="60">
        <v>0.0</v>
      </c>
      <c r="I4325" s="60">
        <v>54.728053</v>
      </c>
      <c r="J4325" s="59">
        <v>1.0</v>
      </c>
      <c r="K4325" s="61">
        <f t="shared" si="1"/>
        <v>1</v>
      </c>
      <c r="L4325" s="62">
        <f t="shared" si="2"/>
        <v>1</v>
      </c>
    </row>
    <row r="4326">
      <c r="A4326" s="58">
        <v>45839.0</v>
      </c>
      <c r="B4326" s="24" t="s">
        <v>6787</v>
      </c>
      <c r="C4326" s="24" t="s">
        <v>6833</v>
      </c>
      <c r="D4326" s="59">
        <v>1.0</v>
      </c>
      <c r="E4326" s="59">
        <v>1.0</v>
      </c>
      <c r="F4326" s="59">
        <v>1.0</v>
      </c>
      <c r="G4326" s="60">
        <v>1.0</v>
      </c>
      <c r="H4326" s="60">
        <v>1.0</v>
      </c>
      <c r="I4326" s="60">
        <v>0.0</v>
      </c>
      <c r="J4326" s="59">
        <v>1.0</v>
      </c>
      <c r="K4326" s="61">
        <f t="shared" si="1"/>
        <v>1</v>
      </c>
      <c r="L4326" s="62">
        <f t="shared" si="2"/>
        <v>1</v>
      </c>
    </row>
    <row r="4327">
      <c r="A4327" s="58">
        <v>45839.0</v>
      </c>
      <c r="B4327" s="24" t="s">
        <v>6789</v>
      </c>
      <c r="C4327" s="24" t="s">
        <v>6833</v>
      </c>
      <c r="D4327" s="59">
        <v>1.0</v>
      </c>
      <c r="E4327" s="59">
        <v>1.0</v>
      </c>
      <c r="F4327" s="59">
        <v>1.0</v>
      </c>
      <c r="G4327" s="60">
        <v>1.0</v>
      </c>
      <c r="H4327" s="60">
        <v>1.0</v>
      </c>
      <c r="I4327" s="60">
        <v>0.0</v>
      </c>
      <c r="J4327" s="59">
        <v>1.0</v>
      </c>
      <c r="K4327" s="61">
        <f t="shared" si="1"/>
        <v>1</v>
      </c>
      <c r="L4327" s="62">
        <f t="shared" si="2"/>
        <v>1</v>
      </c>
    </row>
    <row r="4328">
      <c r="A4328" s="58">
        <v>45839.0</v>
      </c>
      <c r="B4328" s="24" t="s">
        <v>155</v>
      </c>
      <c r="C4328" s="24" t="s">
        <v>6927</v>
      </c>
      <c r="D4328" s="59">
        <v>1.0</v>
      </c>
      <c r="E4328" s="59">
        <v>1.0</v>
      </c>
      <c r="F4328" s="59">
        <v>1.0</v>
      </c>
      <c r="G4328" s="60">
        <v>1.0</v>
      </c>
      <c r="H4328" s="60">
        <v>0.0</v>
      </c>
      <c r="I4328" s="60">
        <v>82.125926</v>
      </c>
      <c r="J4328" s="59">
        <v>2.0</v>
      </c>
      <c r="K4328" s="61">
        <f t="shared" si="1"/>
        <v>1</v>
      </c>
      <c r="L4328" s="62">
        <f t="shared" si="2"/>
        <v>2</v>
      </c>
    </row>
    <row r="4329">
      <c r="A4329" s="58">
        <v>45839.0</v>
      </c>
      <c r="B4329" s="24" t="s">
        <v>6789</v>
      </c>
      <c r="C4329" s="24" t="s">
        <v>7061</v>
      </c>
      <c r="D4329" s="59">
        <v>1.0</v>
      </c>
      <c r="E4329" s="59">
        <v>1.0</v>
      </c>
      <c r="F4329" s="59">
        <v>1.0</v>
      </c>
      <c r="G4329" s="60">
        <v>1.0</v>
      </c>
      <c r="H4329" s="60">
        <v>0.0</v>
      </c>
      <c r="I4329" s="60">
        <v>10.322035</v>
      </c>
      <c r="J4329" s="59">
        <v>1.0</v>
      </c>
      <c r="K4329" s="61">
        <f t="shared" si="1"/>
        <v>1</v>
      </c>
      <c r="L4329" s="62">
        <f t="shared" si="2"/>
        <v>1</v>
      </c>
    </row>
    <row r="4330">
      <c r="A4330" s="58">
        <v>45839.0</v>
      </c>
      <c r="B4330" s="24" t="s">
        <v>6787</v>
      </c>
      <c r="C4330" s="24" t="s">
        <v>6867</v>
      </c>
      <c r="D4330" s="59">
        <v>1.0</v>
      </c>
      <c r="E4330" s="59">
        <v>1.0</v>
      </c>
      <c r="F4330" s="59">
        <v>1.0</v>
      </c>
      <c r="G4330" s="60">
        <v>1.0</v>
      </c>
      <c r="H4330" s="60">
        <v>1.0</v>
      </c>
      <c r="I4330" s="60">
        <v>0.0</v>
      </c>
      <c r="J4330" s="59">
        <v>1.0</v>
      </c>
      <c r="K4330" s="61">
        <f t="shared" si="1"/>
        <v>1</v>
      </c>
      <c r="L4330" s="62">
        <f t="shared" si="2"/>
        <v>1</v>
      </c>
    </row>
    <row r="4331">
      <c r="A4331" s="58">
        <v>45839.0</v>
      </c>
      <c r="B4331" s="24" t="s">
        <v>6789</v>
      </c>
      <c r="C4331" s="24" t="s">
        <v>6867</v>
      </c>
      <c r="D4331" s="59">
        <v>1.0</v>
      </c>
      <c r="E4331" s="59">
        <v>1.0</v>
      </c>
      <c r="F4331" s="59">
        <v>1.0</v>
      </c>
      <c r="G4331" s="60">
        <v>1.0</v>
      </c>
      <c r="H4331" s="60">
        <v>1.0</v>
      </c>
      <c r="I4331" s="60">
        <v>9.341935</v>
      </c>
      <c r="J4331" s="59">
        <v>1.0</v>
      </c>
      <c r="K4331" s="61">
        <f t="shared" si="1"/>
        <v>1</v>
      </c>
      <c r="L4331" s="62">
        <f t="shared" si="2"/>
        <v>1</v>
      </c>
    </row>
    <row r="4332">
      <c r="A4332" s="58">
        <v>45839.0</v>
      </c>
      <c r="B4332" s="24" t="s">
        <v>155</v>
      </c>
      <c r="C4332" s="24" t="s">
        <v>6867</v>
      </c>
      <c r="D4332" s="59">
        <v>1.0</v>
      </c>
      <c r="E4332" s="59">
        <v>1.0</v>
      </c>
      <c r="F4332" s="59">
        <v>1.0</v>
      </c>
      <c r="G4332" s="60">
        <v>1.0</v>
      </c>
      <c r="H4332" s="60">
        <v>0.0</v>
      </c>
      <c r="I4332" s="60">
        <v>240.858716</v>
      </c>
      <c r="J4332" s="59">
        <v>2.0</v>
      </c>
      <c r="K4332" s="61">
        <f t="shared" si="1"/>
        <v>1</v>
      </c>
      <c r="L4332" s="62">
        <f t="shared" si="2"/>
        <v>2</v>
      </c>
    </row>
    <row r="4333">
      <c r="A4333" s="58">
        <v>45839.0</v>
      </c>
      <c r="B4333" s="24" t="s">
        <v>6790</v>
      </c>
      <c r="C4333" s="24" t="s">
        <v>6867</v>
      </c>
      <c r="D4333" s="59">
        <v>1.0</v>
      </c>
      <c r="E4333" s="59">
        <v>1.0</v>
      </c>
      <c r="F4333" s="59">
        <v>1.0</v>
      </c>
      <c r="G4333" s="60">
        <v>1.0</v>
      </c>
      <c r="H4333" s="60">
        <v>1.0</v>
      </c>
      <c r="I4333" s="60">
        <v>4.731591</v>
      </c>
      <c r="J4333" s="59">
        <v>1.0</v>
      </c>
      <c r="K4333" s="61">
        <f t="shared" si="1"/>
        <v>1</v>
      </c>
      <c r="L4333" s="62">
        <f t="shared" si="2"/>
        <v>1</v>
      </c>
    </row>
    <row r="4334">
      <c r="A4334" s="58">
        <v>45839.0</v>
      </c>
      <c r="B4334" s="24" t="s">
        <v>6787</v>
      </c>
      <c r="C4334" s="24" t="s">
        <v>6988</v>
      </c>
      <c r="D4334" s="59">
        <v>1.0</v>
      </c>
      <c r="E4334" s="59">
        <v>1.0</v>
      </c>
      <c r="F4334" s="59">
        <v>1.0</v>
      </c>
      <c r="G4334" s="60">
        <v>1.0</v>
      </c>
      <c r="H4334" s="60">
        <v>0.0</v>
      </c>
      <c r="I4334" s="60">
        <v>52.362286</v>
      </c>
      <c r="J4334" s="59">
        <v>1.0</v>
      </c>
      <c r="K4334" s="61">
        <f t="shared" si="1"/>
        <v>1</v>
      </c>
      <c r="L4334" s="62">
        <f t="shared" si="2"/>
        <v>1</v>
      </c>
    </row>
    <row r="4335">
      <c r="A4335" s="58">
        <v>45839.0</v>
      </c>
      <c r="B4335" s="24" t="s">
        <v>6787</v>
      </c>
      <c r="C4335" s="24" t="s">
        <v>6870</v>
      </c>
      <c r="D4335" s="59">
        <v>1.0</v>
      </c>
      <c r="E4335" s="59">
        <v>1.0</v>
      </c>
      <c r="F4335" s="59">
        <v>1.0</v>
      </c>
      <c r="G4335" s="60">
        <v>1.0</v>
      </c>
      <c r="H4335" s="60">
        <v>1.0</v>
      </c>
      <c r="I4335" s="60">
        <v>0.0</v>
      </c>
      <c r="J4335" s="59">
        <v>1.0</v>
      </c>
      <c r="K4335" s="61">
        <f t="shared" si="1"/>
        <v>1</v>
      </c>
      <c r="L4335" s="62">
        <f t="shared" si="2"/>
        <v>1</v>
      </c>
    </row>
    <row r="4336">
      <c r="A4336" s="58">
        <v>45839.0</v>
      </c>
      <c r="B4336" s="24" t="s">
        <v>6787</v>
      </c>
      <c r="C4336" s="24" t="s">
        <v>7062</v>
      </c>
      <c r="D4336" s="59">
        <v>1.0</v>
      </c>
      <c r="E4336" s="59">
        <v>1.0</v>
      </c>
      <c r="F4336" s="59">
        <v>1.0</v>
      </c>
      <c r="G4336" s="60">
        <v>1.0</v>
      </c>
      <c r="H4336" s="60">
        <v>1.0</v>
      </c>
      <c r="I4336" s="60">
        <v>0.0</v>
      </c>
      <c r="J4336" s="59">
        <v>1.0</v>
      </c>
      <c r="K4336" s="61">
        <f t="shared" si="1"/>
        <v>1</v>
      </c>
      <c r="L4336" s="62">
        <f t="shared" si="2"/>
        <v>1</v>
      </c>
    </row>
    <row r="4337">
      <c r="A4337" s="58">
        <v>45839.0</v>
      </c>
      <c r="B4337" s="24" t="s">
        <v>6789</v>
      </c>
      <c r="C4337" s="24" t="s">
        <v>7062</v>
      </c>
      <c r="D4337" s="59">
        <v>1.0</v>
      </c>
      <c r="E4337" s="59">
        <v>1.0</v>
      </c>
      <c r="F4337" s="59">
        <v>1.0</v>
      </c>
      <c r="G4337" s="60">
        <v>1.0</v>
      </c>
      <c r="H4337" s="60">
        <v>1.0</v>
      </c>
      <c r="I4337" s="60">
        <v>0.0</v>
      </c>
      <c r="J4337" s="59">
        <v>1.0</v>
      </c>
      <c r="K4337" s="61">
        <f t="shared" si="1"/>
        <v>1</v>
      </c>
      <c r="L4337" s="62">
        <f t="shared" si="2"/>
        <v>1</v>
      </c>
    </row>
    <row r="4338">
      <c r="A4338" s="58">
        <v>45839.0</v>
      </c>
      <c r="B4338" s="24" t="s">
        <v>6787</v>
      </c>
      <c r="C4338" s="24" t="s">
        <v>7063</v>
      </c>
      <c r="D4338" s="59">
        <v>1.0</v>
      </c>
      <c r="E4338" s="59">
        <v>1.0</v>
      </c>
      <c r="F4338" s="59">
        <v>1.0</v>
      </c>
      <c r="G4338" s="60">
        <v>1.0</v>
      </c>
      <c r="H4338" s="60">
        <v>1.0</v>
      </c>
      <c r="I4338" s="60">
        <v>0.0</v>
      </c>
      <c r="J4338" s="59">
        <v>1.0</v>
      </c>
      <c r="K4338" s="61">
        <f t="shared" si="1"/>
        <v>1</v>
      </c>
      <c r="L4338" s="62">
        <f t="shared" si="2"/>
        <v>1</v>
      </c>
    </row>
    <row r="4339">
      <c r="A4339" s="58">
        <v>45839.0</v>
      </c>
      <c r="B4339" s="24" t="s">
        <v>6789</v>
      </c>
      <c r="C4339" s="24" t="s">
        <v>7063</v>
      </c>
      <c r="D4339" s="59">
        <v>1.0</v>
      </c>
      <c r="E4339" s="59">
        <v>1.0</v>
      </c>
      <c r="F4339" s="59">
        <v>1.0</v>
      </c>
      <c r="G4339" s="60">
        <v>1.0</v>
      </c>
      <c r="H4339" s="60">
        <v>1.0</v>
      </c>
      <c r="I4339" s="60">
        <v>9.348553</v>
      </c>
      <c r="J4339" s="59">
        <v>1.0</v>
      </c>
      <c r="K4339" s="61">
        <f t="shared" si="1"/>
        <v>1</v>
      </c>
      <c r="L4339" s="62">
        <f t="shared" si="2"/>
        <v>1</v>
      </c>
    </row>
    <row r="4340">
      <c r="A4340" s="58">
        <v>45839.0</v>
      </c>
      <c r="B4340" s="24" t="s">
        <v>6787</v>
      </c>
      <c r="C4340" s="24" t="s">
        <v>6872</v>
      </c>
      <c r="D4340" s="59">
        <v>1.0</v>
      </c>
      <c r="E4340" s="59">
        <v>1.0</v>
      </c>
      <c r="F4340" s="59">
        <v>1.0</v>
      </c>
      <c r="G4340" s="60">
        <v>1.0</v>
      </c>
      <c r="H4340" s="60">
        <v>0.0</v>
      </c>
      <c r="I4340" s="60">
        <v>53.955216</v>
      </c>
      <c r="J4340" s="59">
        <v>1.0</v>
      </c>
      <c r="K4340" s="61">
        <f t="shared" si="1"/>
        <v>1</v>
      </c>
      <c r="L4340" s="62">
        <f t="shared" si="2"/>
        <v>1</v>
      </c>
    </row>
    <row r="4341">
      <c r="A4341" s="58">
        <v>45839.0</v>
      </c>
      <c r="B4341" s="24" t="s">
        <v>6789</v>
      </c>
      <c r="C4341" s="24" t="s">
        <v>7396</v>
      </c>
      <c r="D4341" s="59">
        <v>1.0</v>
      </c>
      <c r="E4341" s="59">
        <v>1.0</v>
      </c>
      <c r="F4341" s="59">
        <v>0.0</v>
      </c>
      <c r="G4341" s="60">
        <v>1.0</v>
      </c>
      <c r="H4341" s="60">
        <v>0.0</v>
      </c>
      <c r="I4341" s="60">
        <v>501.329904</v>
      </c>
      <c r="J4341" s="59">
        <v>2.0</v>
      </c>
      <c r="K4341" s="61">
        <f t="shared" si="1"/>
        <v>0</v>
      </c>
      <c r="L4341" s="62">
        <f t="shared" si="2"/>
        <v>2</v>
      </c>
    </row>
    <row r="4342">
      <c r="A4342" s="58">
        <v>45839.0</v>
      </c>
      <c r="B4342" s="24" t="s">
        <v>6787</v>
      </c>
      <c r="C4342" s="24" t="s">
        <v>7064</v>
      </c>
      <c r="D4342" s="59">
        <v>1.0</v>
      </c>
      <c r="E4342" s="59">
        <v>1.0</v>
      </c>
      <c r="F4342" s="59">
        <v>1.0</v>
      </c>
      <c r="G4342" s="60">
        <v>1.0</v>
      </c>
      <c r="H4342" s="60">
        <v>1.0</v>
      </c>
      <c r="I4342" s="60">
        <v>0.0</v>
      </c>
      <c r="J4342" s="59">
        <v>1.0</v>
      </c>
      <c r="K4342" s="61">
        <f t="shared" si="1"/>
        <v>1</v>
      </c>
      <c r="L4342" s="62">
        <f t="shared" si="2"/>
        <v>1</v>
      </c>
    </row>
    <row r="4343">
      <c r="A4343" s="58">
        <v>45839.0</v>
      </c>
      <c r="B4343" s="24" t="s">
        <v>6787</v>
      </c>
      <c r="C4343" s="24" t="s">
        <v>7065</v>
      </c>
      <c r="D4343" s="59">
        <v>1.0</v>
      </c>
      <c r="E4343" s="59">
        <v>1.0</v>
      </c>
      <c r="F4343" s="59">
        <v>1.0</v>
      </c>
      <c r="G4343" s="60">
        <v>1.0</v>
      </c>
      <c r="H4343" s="60">
        <v>1.0</v>
      </c>
      <c r="I4343" s="60">
        <v>0.0</v>
      </c>
      <c r="J4343" s="59">
        <v>1.0</v>
      </c>
      <c r="K4343" s="61">
        <f t="shared" si="1"/>
        <v>1</v>
      </c>
      <c r="L4343" s="62">
        <f t="shared" si="2"/>
        <v>1</v>
      </c>
    </row>
    <row r="4344">
      <c r="A4344" s="58">
        <v>45839.0</v>
      </c>
      <c r="B4344" s="24" t="s">
        <v>6789</v>
      </c>
      <c r="C4344" s="24" t="s">
        <v>7065</v>
      </c>
      <c r="D4344" s="59">
        <v>1.0</v>
      </c>
      <c r="E4344" s="59">
        <v>1.0</v>
      </c>
      <c r="F4344" s="59">
        <v>1.0</v>
      </c>
      <c r="G4344" s="60">
        <v>1.0</v>
      </c>
      <c r="H4344" s="60">
        <v>1.0</v>
      </c>
      <c r="I4344" s="60">
        <v>0.0</v>
      </c>
      <c r="J4344" s="59">
        <v>1.0</v>
      </c>
      <c r="K4344" s="61">
        <f t="shared" si="1"/>
        <v>1</v>
      </c>
      <c r="L4344" s="62">
        <f t="shared" si="2"/>
        <v>1</v>
      </c>
    </row>
    <row r="4345">
      <c r="A4345" s="58">
        <v>45839.0</v>
      </c>
      <c r="B4345" s="24" t="s">
        <v>155</v>
      </c>
      <c r="C4345" s="24" t="s">
        <v>7065</v>
      </c>
      <c r="D4345" s="59">
        <v>1.0</v>
      </c>
      <c r="E4345" s="59">
        <v>1.0</v>
      </c>
      <c r="F4345" s="59">
        <v>1.0</v>
      </c>
      <c r="G4345" s="60">
        <v>1.0</v>
      </c>
      <c r="H4345" s="60">
        <v>0.0</v>
      </c>
      <c r="I4345" s="60">
        <v>145.536735</v>
      </c>
      <c r="J4345" s="59">
        <v>1.0</v>
      </c>
      <c r="K4345" s="61">
        <f t="shared" si="1"/>
        <v>1</v>
      </c>
      <c r="L4345" s="62">
        <f t="shared" si="2"/>
        <v>1</v>
      </c>
    </row>
    <row r="4346">
      <c r="A4346" s="58">
        <v>45839.0</v>
      </c>
      <c r="B4346" s="24" t="s">
        <v>3216</v>
      </c>
      <c r="C4346" s="24" t="s">
        <v>6876</v>
      </c>
      <c r="D4346" s="59">
        <v>1.0</v>
      </c>
      <c r="E4346" s="59">
        <v>3.0</v>
      </c>
      <c r="F4346" s="59">
        <v>0.0</v>
      </c>
      <c r="G4346" s="60">
        <v>3.0</v>
      </c>
      <c r="H4346" s="60">
        <v>1.0</v>
      </c>
      <c r="I4346" s="60">
        <v>0.633479666666666</v>
      </c>
      <c r="J4346" s="59">
        <v>3.0</v>
      </c>
      <c r="K4346" s="61">
        <f t="shared" si="1"/>
        <v>0</v>
      </c>
      <c r="L4346" s="62">
        <f t="shared" si="2"/>
        <v>1</v>
      </c>
    </row>
    <row r="4347">
      <c r="A4347" s="58">
        <v>45839.0</v>
      </c>
      <c r="B4347" s="24" t="s">
        <v>155</v>
      </c>
      <c r="C4347" s="24" t="s">
        <v>6876</v>
      </c>
      <c r="D4347" s="59">
        <v>1.0</v>
      </c>
      <c r="E4347" s="59">
        <v>1.0</v>
      </c>
      <c r="F4347" s="59">
        <v>1.0</v>
      </c>
      <c r="G4347" s="60">
        <v>1.0</v>
      </c>
      <c r="H4347" s="60">
        <v>0.0</v>
      </c>
      <c r="I4347" s="60">
        <v>755.764525</v>
      </c>
      <c r="J4347" s="59">
        <v>1.0</v>
      </c>
      <c r="K4347" s="61">
        <f t="shared" si="1"/>
        <v>1</v>
      </c>
      <c r="L4347" s="62">
        <f t="shared" si="2"/>
        <v>1</v>
      </c>
    </row>
    <row r="4348">
      <c r="A4348" s="58">
        <v>45839.0</v>
      </c>
      <c r="B4348" s="24" t="s">
        <v>6787</v>
      </c>
      <c r="C4348" s="24" t="s">
        <v>7066</v>
      </c>
      <c r="D4348" s="59">
        <v>1.0</v>
      </c>
      <c r="E4348" s="59">
        <v>1.0</v>
      </c>
      <c r="F4348" s="59">
        <v>1.0</v>
      </c>
      <c r="G4348" s="60">
        <v>1.0</v>
      </c>
      <c r="H4348" s="60">
        <v>1.0</v>
      </c>
      <c r="I4348" s="60">
        <v>0.0</v>
      </c>
      <c r="J4348" s="59">
        <v>1.0</v>
      </c>
      <c r="K4348" s="61">
        <f t="shared" si="1"/>
        <v>1</v>
      </c>
      <c r="L4348" s="62">
        <f t="shared" si="2"/>
        <v>1</v>
      </c>
    </row>
    <row r="4349">
      <c r="A4349" s="58">
        <v>45839.0</v>
      </c>
      <c r="B4349" s="24" t="s">
        <v>6789</v>
      </c>
      <c r="C4349" s="24" t="s">
        <v>7066</v>
      </c>
      <c r="D4349" s="59">
        <v>1.0</v>
      </c>
      <c r="E4349" s="59">
        <v>1.0</v>
      </c>
      <c r="F4349" s="59">
        <v>1.0</v>
      </c>
      <c r="G4349" s="60">
        <v>1.0</v>
      </c>
      <c r="H4349" s="60">
        <v>1.0</v>
      </c>
      <c r="I4349" s="60">
        <v>0.0</v>
      </c>
      <c r="J4349" s="59">
        <v>1.0</v>
      </c>
      <c r="K4349" s="61">
        <f t="shared" si="1"/>
        <v>1</v>
      </c>
      <c r="L4349" s="62">
        <f t="shared" si="2"/>
        <v>1</v>
      </c>
    </row>
    <row r="4350">
      <c r="A4350" s="58">
        <v>45839.0</v>
      </c>
      <c r="B4350" s="24" t="s">
        <v>155</v>
      </c>
      <c r="C4350" s="24" t="s">
        <v>7066</v>
      </c>
      <c r="D4350" s="59">
        <v>1.0</v>
      </c>
      <c r="E4350" s="59">
        <v>1.0</v>
      </c>
      <c r="F4350" s="59">
        <v>0.0</v>
      </c>
      <c r="G4350" s="60">
        <v>1.0</v>
      </c>
      <c r="H4350" s="60">
        <v>1.0</v>
      </c>
      <c r="I4350" s="60">
        <v>0.0</v>
      </c>
      <c r="J4350" s="59">
        <v>1.0</v>
      </c>
      <c r="K4350" s="61">
        <f t="shared" si="1"/>
        <v>0</v>
      </c>
      <c r="L4350" s="62">
        <f t="shared" si="2"/>
        <v>1</v>
      </c>
    </row>
    <row r="4351">
      <c r="A4351" s="58">
        <v>45839.0</v>
      </c>
      <c r="B4351" s="24" t="s">
        <v>6789</v>
      </c>
      <c r="C4351" s="24" t="s">
        <v>6989</v>
      </c>
      <c r="D4351" s="59">
        <v>1.0</v>
      </c>
      <c r="E4351" s="59">
        <v>1.0</v>
      </c>
      <c r="F4351" s="59">
        <v>1.0</v>
      </c>
      <c r="G4351" s="60">
        <v>1.0</v>
      </c>
      <c r="H4351" s="60">
        <v>1.0</v>
      </c>
      <c r="I4351" s="60">
        <v>0.0</v>
      </c>
      <c r="J4351" s="59">
        <v>1.0</v>
      </c>
      <c r="K4351" s="61">
        <f t="shared" si="1"/>
        <v>1</v>
      </c>
      <c r="L4351" s="62">
        <f t="shared" si="2"/>
        <v>1</v>
      </c>
    </row>
    <row r="4352">
      <c r="A4352" s="58">
        <v>45839.0</v>
      </c>
      <c r="B4352" s="24" t="s">
        <v>6787</v>
      </c>
      <c r="C4352" s="24" t="s">
        <v>6878</v>
      </c>
      <c r="D4352" s="59">
        <v>1.0</v>
      </c>
      <c r="E4352" s="59">
        <v>1.0</v>
      </c>
      <c r="F4352" s="59">
        <v>1.0</v>
      </c>
      <c r="G4352" s="60">
        <v>1.0</v>
      </c>
      <c r="H4352" s="60">
        <v>0.0</v>
      </c>
      <c r="I4352" s="60">
        <v>53.772862</v>
      </c>
      <c r="J4352" s="59">
        <v>1.0</v>
      </c>
      <c r="K4352" s="61">
        <f t="shared" si="1"/>
        <v>1</v>
      </c>
      <c r="L4352" s="62">
        <f t="shared" si="2"/>
        <v>1</v>
      </c>
    </row>
    <row r="4353">
      <c r="A4353" s="58">
        <v>45839.0</v>
      </c>
      <c r="B4353" s="24" t="s">
        <v>6787</v>
      </c>
      <c r="C4353" s="24" t="s">
        <v>6880</v>
      </c>
      <c r="D4353" s="59">
        <v>1.0</v>
      </c>
      <c r="E4353" s="59">
        <v>1.0</v>
      </c>
      <c r="F4353" s="59">
        <v>1.0</v>
      </c>
      <c r="G4353" s="60">
        <v>1.0</v>
      </c>
      <c r="H4353" s="60">
        <v>1.0</v>
      </c>
      <c r="I4353" s="60">
        <v>0.0</v>
      </c>
      <c r="J4353" s="59">
        <v>1.0</v>
      </c>
      <c r="K4353" s="61">
        <f t="shared" si="1"/>
        <v>1</v>
      </c>
      <c r="L4353" s="62">
        <f t="shared" si="2"/>
        <v>1</v>
      </c>
    </row>
    <row r="4354">
      <c r="A4354" s="58">
        <v>45839.0</v>
      </c>
      <c r="B4354" s="24" t="s">
        <v>6787</v>
      </c>
      <c r="C4354" s="24" t="s">
        <v>6881</v>
      </c>
      <c r="D4354" s="59">
        <v>1.0</v>
      </c>
      <c r="E4354" s="59">
        <v>1.0</v>
      </c>
      <c r="F4354" s="59">
        <v>1.0</v>
      </c>
      <c r="G4354" s="60">
        <v>1.0</v>
      </c>
      <c r="H4354" s="60">
        <v>1.0</v>
      </c>
      <c r="I4354" s="60">
        <v>0.0</v>
      </c>
      <c r="J4354" s="59">
        <v>1.0</v>
      </c>
      <c r="K4354" s="61">
        <f t="shared" si="1"/>
        <v>1</v>
      </c>
      <c r="L4354" s="62">
        <f t="shared" si="2"/>
        <v>1</v>
      </c>
    </row>
    <row r="4355">
      <c r="A4355" s="58">
        <v>45839.0</v>
      </c>
      <c r="B4355" s="24" t="s">
        <v>6789</v>
      </c>
      <c r="C4355" s="24" t="s">
        <v>6881</v>
      </c>
      <c r="D4355" s="59">
        <v>1.0</v>
      </c>
      <c r="E4355" s="59">
        <v>1.0</v>
      </c>
      <c r="F4355" s="59">
        <v>1.0</v>
      </c>
      <c r="G4355" s="60">
        <v>1.0</v>
      </c>
      <c r="H4355" s="60">
        <v>1.0</v>
      </c>
      <c r="I4355" s="60">
        <v>8.292063</v>
      </c>
      <c r="J4355" s="59">
        <v>1.0</v>
      </c>
      <c r="K4355" s="61">
        <f t="shared" si="1"/>
        <v>1</v>
      </c>
      <c r="L4355" s="62">
        <f t="shared" si="2"/>
        <v>1</v>
      </c>
    </row>
    <row r="4356">
      <c r="A4356" s="58">
        <v>45839.0</v>
      </c>
      <c r="B4356" s="24" t="s">
        <v>6790</v>
      </c>
      <c r="C4356" s="24" t="s">
        <v>6882</v>
      </c>
      <c r="D4356" s="59">
        <v>1.0</v>
      </c>
      <c r="E4356" s="59">
        <v>1.0</v>
      </c>
      <c r="F4356" s="59">
        <v>1.0</v>
      </c>
      <c r="G4356" s="60">
        <v>1.0</v>
      </c>
      <c r="H4356" s="60">
        <v>0.0</v>
      </c>
      <c r="I4356" s="60">
        <v>15.34301</v>
      </c>
      <c r="J4356" s="59">
        <v>1.0</v>
      </c>
      <c r="K4356" s="61">
        <f t="shared" si="1"/>
        <v>1</v>
      </c>
      <c r="L4356" s="62">
        <f t="shared" si="2"/>
        <v>1</v>
      </c>
    </row>
    <row r="4357">
      <c r="A4357" s="58">
        <v>45839.0</v>
      </c>
      <c r="B4357" s="24" t="s">
        <v>6787</v>
      </c>
      <c r="C4357" s="24" t="s">
        <v>6990</v>
      </c>
      <c r="D4357" s="59">
        <v>1.0</v>
      </c>
      <c r="E4357" s="59">
        <v>1.0</v>
      </c>
      <c r="F4357" s="59">
        <v>1.0</v>
      </c>
      <c r="G4357" s="60">
        <v>1.0</v>
      </c>
      <c r="H4357" s="60">
        <v>0.0</v>
      </c>
      <c r="I4357" s="60">
        <v>53.353695</v>
      </c>
      <c r="J4357" s="59">
        <v>1.0</v>
      </c>
      <c r="K4357" s="61">
        <f t="shared" si="1"/>
        <v>1</v>
      </c>
      <c r="L4357" s="62">
        <f t="shared" si="2"/>
        <v>1</v>
      </c>
    </row>
    <row r="4358">
      <c r="A4358" s="58">
        <v>45839.0</v>
      </c>
      <c r="B4358" s="24" t="s">
        <v>6787</v>
      </c>
      <c r="C4358" s="24" t="s">
        <v>7067</v>
      </c>
      <c r="D4358" s="59">
        <v>1.0</v>
      </c>
      <c r="E4358" s="59">
        <v>1.0</v>
      </c>
      <c r="F4358" s="59">
        <v>1.0</v>
      </c>
      <c r="G4358" s="60">
        <v>1.0</v>
      </c>
      <c r="H4358" s="60">
        <v>1.0</v>
      </c>
      <c r="I4358" s="60">
        <v>0.0</v>
      </c>
      <c r="J4358" s="59">
        <v>1.0</v>
      </c>
      <c r="K4358" s="61">
        <f t="shared" si="1"/>
        <v>1</v>
      </c>
      <c r="L4358" s="62">
        <f t="shared" si="2"/>
        <v>1</v>
      </c>
    </row>
    <row r="4359">
      <c r="A4359" s="58">
        <v>45839.0</v>
      </c>
      <c r="B4359" s="24" t="s">
        <v>155</v>
      </c>
      <c r="C4359" s="24" t="s">
        <v>7068</v>
      </c>
      <c r="D4359" s="59">
        <v>1.0</v>
      </c>
      <c r="E4359" s="59">
        <v>1.0</v>
      </c>
      <c r="F4359" s="59">
        <v>1.0</v>
      </c>
      <c r="G4359" s="60">
        <v>1.0</v>
      </c>
      <c r="H4359" s="60">
        <v>0.0</v>
      </c>
      <c r="I4359" s="60">
        <v>937.922798</v>
      </c>
      <c r="J4359" s="59">
        <v>3.0</v>
      </c>
      <c r="K4359" s="61">
        <f t="shared" si="1"/>
        <v>1</v>
      </c>
      <c r="L4359" s="62">
        <f t="shared" si="2"/>
        <v>3</v>
      </c>
    </row>
    <row r="4360">
      <c r="A4360" s="58">
        <v>45839.0</v>
      </c>
      <c r="B4360" s="24" t="s">
        <v>6787</v>
      </c>
      <c r="C4360" s="24" t="s">
        <v>6991</v>
      </c>
      <c r="D4360" s="59">
        <v>1.0</v>
      </c>
      <c r="E4360" s="59">
        <v>1.0</v>
      </c>
      <c r="F4360" s="59">
        <v>1.0</v>
      </c>
      <c r="G4360" s="60">
        <v>1.0</v>
      </c>
      <c r="H4360" s="60">
        <v>1.0</v>
      </c>
      <c r="I4360" s="60">
        <v>0.0</v>
      </c>
      <c r="J4360" s="59">
        <v>1.0</v>
      </c>
      <c r="K4360" s="61">
        <f t="shared" si="1"/>
        <v>1</v>
      </c>
      <c r="L4360" s="62">
        <f t="shared" si="2"/>
        <v>1</v>
      </c>
    </row>
    <row r="4361">
      <c r="A4361" s="58">
        <v>45839.0</v>
      </c>
      <c r="B4361" s="24" t="s">
        <v>6789</v>
      </c>
      <c r="C4361" s="24" t="s">
        <v>6991</v>
      </c>
      <c r="D4361" s="59">
        <v>1.0</v>
      </c>
      <c r="E4361" s="59">
        <v>1.0</v>
      </c>
      <c r="F4361" s="59">
        <v>1.0</v>
      </c>
      <c r="G4361" s="60">
        <v>1.0</v>
      </c>
      <c r="H4361" s="60">
        <v>1.0</v>
      </c>
      <c r="I4361" s="60">
        <v>8.467208</v>
      </c>
      <c r="J4361" s="59">
        <v>1.0</v>
      </c>
      <c r="K4361" s="61">
        <f t="shared" si="1"/>
        <v>1</v>
      </c>
      <c r="L4361" s="62">
        <f t="shared" si="2"/>
        <v>1</v>
      </c>
    </row>
    <row r="4362">
      <c r="A4362" s="58">
        <v>45839.0</v>
      </c>
      <c r="B4362" s="24" t="s">
        <v>6787</v>
      </c>
      <c r="C4362" s="24" t="s">
        <v>6992</v>
      </c>
      <c r="D4362" s="59">
        <v>1.0</v>
      </c>
      <c r="E4362" s="59">
        <v>1.0</v>
      </c>
      <c r="F4362" s="59">
        <v>1.0</v>
      </c>
      <c r="G4362" s="60">
        <v>1.0</v>
      </c>
      <c r="H4362" s="60">
        <v>1.0</v>
      </c>
      <c r="I4362" s="60">
        <v>0.0</v>
      </c>
      <c r="J4362" s="59">
        <v>1.0</v>
      </c>
      <c r="K4362" s="61">
        <f t="shared" si="1"/>
        <v>1</v>
      </c>
      <c r="L4362" s="62">
        <f t="shared" si="2"/>
        <v>1</v>
      </c>
    </row>
    <row r="4363">
      <c r="A4363" s="58">
        <v>45839.0</v>
      </c>
      <c r="B4363" s="24" t="s">
        <v>6789</v>
      </c>
      <c r="C4363" s="24" t="s">
        <v>6992</v>
      </c>
      <c r="D4363" s="59">
        <v>1.0</v>
      </c>
      <c r="E4363" s="59">
        <v>1.0</v>
      </c>
      <c r="F4363" s="59">
        <v>1.0</v>
      </c>
      <c r="G4363" s="60">
        <v>1.0</v>
      </c>
      <c r="H4363" s="60">
        <v>1.0</v>
      </c>
      <c r="I4363" s="60">
        <v>9.795746</v>
      </c>
      <c r="J4363" s="59">
        <v>1.0</v>
      </c>
      <c r="K4363" s="61">
        <f t="shared" si="1"/>
        <v>1</v>
      </c>
      <c r="L4363" s="62">
        <f t="shared" si="2"/>
        <v>1</v>
      </c>
    </row>
    <row r="4364">
      <c r="A4364" s="58">
        <v>45839.0</v>
      </c>
      <c r="B4364" s="24" t="s">
        <v>6789</v>
      </c>
      <c r="C4364" s="24" t="s">
        <v>6836</v>
      </c>
      <c r="D4364" s="59">
        <v>1.0</v>
      </c>
      <c r="E4364" s="59">
        <v>1.0</v>
      </c>
      <c r="F4364" s="59">
        <v>1.0</v>
      </c>
      <c r="G4364" s="60">
        <v>1.0</v>
      </c>
      <c r="H4364" s="60">
        <v>1.0</v>
      </c>
      <c r="I4364" s="60">
        <v>8.145899</v>
      </c>
      <c r="J4364" s="59">
        <v>1.0</v>
      </c>
      <c r="K4364" s="61">
        <f t="shared" si="1"/>
        <v>1</v>
      </c>
      <c r="L4364" s="62">
        <f t="shared" si="2"/>
        <v>1</v>
      </c>
    </row>
    <row r="4365">
      <c r="A4365" s="58">
        <v>45839.0</v>
      </c>
      <c r="B4365" s="24" t="s">
        <v>6787</v>
      </c>
      <c r="C4365" s="24" t="s">
        <v>7071</v>
      </c>
      <c r="D4365" s="59">
        <v>1.0</v>
      </c>
      <c r="E4365" s="59">
        <v>1.0</v>
      </c>
      <c r="F4365" s="59">
        <v>1.0</v>
      </c>
      <c r="G4365" s="60">
        <v>1.0</v>
      </c>
      <c r="H4365" s="60">
        <v>1.0</v>
      </c>
      <c r="I4365" s="60">
        <v>0.0</v>
      </c>
      <c r="J4365" s="59">
        <v>1.0</v>
      </c>
      <c r="K4365" s="61">
        <f t="shared" si="1"/>
        <v>1</v>
      </c>
      <c r="L4365" s="62">
        <f t="shared" si="2"/>
        <v>1</v>
      </c>
    </row>
    <row r="4366">
      <c r="A4366" s="58">
        <v>45839.0</v>
      </c>
      <c r="B4366" s="24" t="s">
        <v>6787</v>
      </c>
      <c r="C4366" s="24" t="s">
        <v>6994</v>
      </c>
      <c r="D4366" s="59">
        <v>1.0</v>
      </c>
      <c r="E4366" s="59">
        <v>1.0</v>
      </c>
      <c r="F4366" s="59">
        <v>1.0</v>
      </c>
      <c r="G4366" s="60">
        <v>1.0</v>
      </c>
      <c r="H4366" s="60">
        <v>0.0</v>
      </c>
      <c r="I4366" s="60">
        <v>30.282551</v>
      </c>
      <c r="J4366" s="59">
        <v>1.0</v>
      </c>
      <c r="K4366" s="61">
        <f t="shared" si="1"/>
        <v>1</v>
      </c>
      <c r="L4366" s="62">
        <f t="shared" si="2"/>
        <v>1</v>
      </c>
    </row>
    <row r="4367">
      <c r="A4367" s="58">
        <v>45839.0</v>
      </c>
      <c r="B4367" s="24" t="s">
        <v>6789</v>
      </c>
      <c r="C4367" s="24" t="s">
        <v>6994</v>
      </c>
      <c r="D4367" s="59">
        <v>1.0</v>
      </c>
      <c r="E4367" s="59">
        <v>1.0</v>
      </c>
      <c r="F4367" s="59">
        <v>1.0</v>
      </c>
      <c r="G4367" s="60">
        <v>1.0</v>
      </c>
      <c r="H4367" s="60">
        <v>1.0</v>
      </c>
      <c r="I4367" s="60">
        <v>9.614202</v>
      </c>
      <c r="J4367" s="59">
        <v>1.0</v>
      </c>
      <c r="K4367" s="61">
        <f t="shared" si="1"/>
        <v>1</v>
      </c>
      <c r="L4367" s="62">
        <f t="shared" si="2"/>
        <v>1</v>
      </c>
    </row>
    <row r="4368">
      <c r="A4368" s="58">
        <v>45839.0</v>
      </c>
      <c r="B4368" s="24" t="s">
        <v>6787</v>
      </c>
      <c r="C4368" s="24" t="s">
        <v>7072</v>
      </c>
      <c r="D4368" s="59">
        <v>1.0</v>
      </c>
      <c r="E4368" s="59">
        <v>1.0</v>
      </c>
      <c r="F4368" s="59">
        <v>1.0</v>
      </c>
      <c r="G4368" s="60">
        <v>1.0</v>
      </c>
      <c r="H4368" s="60">
        <v>1.0</v>
      </c>
      <c r="I4368" s="60">
        <v>0.0</v>
      </c>
      <c r="J4368" s="59">
        <v>1.0</v>
      </c>
      <c r="K4368" s="61">
        <f t="shared" si="1"/>
        <v>1</v>
      </c>
      <c r="L4368" s="62">
        <f t="shared" si="2"/>
        <v>1</v>
      </c>
    </row>
    <row r="4369">
      <c r="A4369" s="58">
        <v>45839.0</v>
      </c>
      <c r="B4369" s="24" t="s">
        <v>6787</v>
      </c>
      <c r="C4369" s="24" t="s">
        <v>6945</v>
      </c>
      <c r="D4369" s="59">
        <v>1.0</v>
      </c>
      <c r="E4369" s="59">
        <v>1.0</v>
      </c>
      <c r="F4369" s="59">
        <v>1.0</v>
      </c>
      <c r="G4369" s="60">
        <v>1.0</v>
      </c>
      <c r="H4369" s="60">
        <v>1.0</v>
      </c>
      <c r="I4369" s="60">
        <v>0.0</v>
      </c>
      <c r="J4369" s="59">
        <v>1.0</v>
      </c>
      <c r="K4369" s="61">
        <f t="shared" si="1"/>
        <v>1</v>
      </c>
      <c r="L4369" s="62">
        <f t="shared" si="2"/>
        <v>1</v>
      </c>
    </row>
    <row r="4370">
      <c r="A4370" s="58">
        <v>45839.0</v>
      </c>
      <c r="B4370" s="24" t="s">
        <v>6787</v>
      </c>
      <c r="C4370" s="24" t="s">
        <v>7073</v>
      </c>
      <c r="D4370" s="59">
        <v>1.0</v>
      </c>
      <c r="E4370" s="59">
        <v>1.0</v>
      </c>
      <c r="F4370" s="59">
        <v>1.0</v>
      </c>
      <c r="G4370" s="60">
        <v>1.0</v>
      </c>
      <c r="H4370" s="60">
        <v>1.0</v>
      </c>
      <c r="I4370" s="60">
        <v>0.0</v>
      </c>
      <c r="J4370" s="59">
        <v>1.0</v>
      </c>
      <c r="K4370" s="61">
        <f t="shared" si="1"/>
        <v>1</v>
      </c>
      <c r="L4370" s="62">
        <f t="shared" si="2"/>
        <v>1</v>
      </c>
    </row>
    <row r="4371">
      <c r="A4371" s="58">
        <v>45839.0</v>
      </c>
      <c r="B4371" s="24" t="s">
        <v>6789</v>
      </c>
      <c r="C4371" s="24" t="s">
        <v>7073</v>
      </c>
      <c r="D4371" s="59">
        <v>1.0</v>
      </c>
      <c r="E4371" s="59">
        <v>1.0</v>
      </c>
      <c r="F4371" s="59">
        <v>1.0</v>
      </c>
      <c r="G4371" s="60">
        <v>1.0</v>
      </c>
      <c r="H4371" s="60">
        <v>0.0</v>
      </c>
      <c r="I4371" s="60">
        <v>12.479221</v>
      </c>
      <c r="J4371" s="59">
        <v>1.0</v>
      </c>
      <c r="K4371" s="61">
        <f t="shared" si="1"/>
        <v>1</v>
      </c>
      <c r="L4371" s="62">
        <f t="shared" si="2"/>
        <v>1</v>
      </c>
    </row>
    <row r="4372">
      <c r="A4372" s="58">
        <v>45839.0</v>
      </c>
      <c r="B4372" s="24" t="s">
        <v>6789</v>
      </c>
      <c r="C4372" s="24" t="s">
        <v>6930</v>
      </c>
      <c r="D4372" s="59">
        <v>1.0</v>
      </c>
      <c r="E4372" s="59">
        <v>1.0</v>
      </c>
      <c r="F4372" s="59">
        <v>1.0</v>
      </c>
      <c r="G4372" s="60">
        <v>1.0</v>
      </c>
      <c r="H4372" s="60">
        <v>1.0</v>
      </c>
      <c r="I4372" s="60">
        <v>7.969131</v>
      </c>
      <c r="J4372" s="59">
        <v>1.0</v>
      </c>
      <c r="K4372" s="61">
        <f t="shared" si="1"/>
        <v>1</v>
      </c>
      <c r="L4372" s="62">
        <f t="shared" si="2"/>
        <v>1</v>
      </c>
    </row>
    <row r="4373">
      <c r="A4373" s="58">
        <v>45839.0</v>
      </c>
      <c r="B4373" s="24" t="s">
        <v>6787</v>
      </c>
      <c r="C4373" s="24" t="s">
        <v>7074</v>
      </c>
      <c r="D4373" s="59">
        <v>1.0</v>
      </c>
      <c r="E4373" s="59">
        <v>1.0</v>
      </c>
      <c r="F4373" s="59">
        <v>1.0</v>
      </c>
      <c r="G4373" s="60">
        <v>1.0</v>
      </c>
      <c r="H4373" s="60">
        <v>1.0</v>
      </c>
      <c r="I4373" s="60">
        <v>0.0</v>
      </c>
      <c r="J4373" s="59">
        <v>1.0</v>
      </c>
      <c r="K4373" s="61">
        <f t="shared" si="1"/>
        <v>1</v>
      </c>
      <c r="L4373" s="62">
        <f t="shared" si="2"/>
        <v>1</v>
      </c>
    </row>
    <row r="4374">
      <c r="A4374" s="58">
        <v>45839.0</v>
      </c>
      <c r="B4374" s="24" t="s">
        <v>6942</v>
      </c>
      <c r="C4374" s="24" t="s">
        <v>6886</v>
      </c>
      <c r="D4374" s="59">
        <v>1.0</v>
      </c>
      <c r="E4374" s="59">
        <v>1.0</v>
      </c>
      <c r="F4374" s="59">
        <v>1.0</v>
      </c>
      <c r="G4374" s="60">
        <v>1.0</v>
      </c>
      <c r="H4374" s="60">
        <v>1.0</v>
      </c>
      <c r="I4374" s="60">
        <v>0.0</v>
      </c>
      <c r="J4374" s="59">
        <v>1.0</v>
      </c>
      <c r="K4374" s="61">
        <f t="shared" si="1"/>
        <v>1</v>
      </c>
      <c r="L4374" s="62">
        <f t="shared" si="2"/>
        <v>1</v>
      </c>
    </row>
    <row r="4375">
      <c r="A4375" s="58">
        <v>45839.0</v>
      </c>
      <c r="B4375" s="24" t="s">
        <v>6787</v>
      </c>
      <c r="C4375" s="24" t="s">
        <v>6887</v>
      </c>
      <c r="D4375" s="59">
        <v>1.0</v>
      </c>
      <c r="E4375" s="59">
        <v>1.0</v>
      </c>
      <c r="F4375" s="59">
        <v>1.0</v>
      </c>
      <c r="G4375" s="60">
        <v>1.0</v>
      </c>
      <c r="H4375" s="60">
        <v>1.0</v>
      </c>
      <c r="I4375" s="60">
        <v>0.939617</v>
      </c>
      <c r="J4375" s="59">
        <v>1.0</v>
      </c>
      <c r="K4375" s="61">
        <f t="shared" si="1"/>
        <v>1</v>
      </c>
      <c r="L4375" s="62">
        <f t="shared" si="2"/>
        <v>1</v>
      </c>
    </row>
    <row r="4376">
      <c r="A4376" s="58">
        <v>45839.0</v>
      </c>
      <c r="B4376" s="24" t="s">
        <v>6791</v>
      </c>
      <c r="C4376" s="24" t="s">
        <v>6799</v>
      </c>
      <c r="D4376" s="59">
        <v>1.0</v>
      </c>
      <c r="E4376" s="59">
        <v>1.0</v>
      </c>
      <c r="F4376" s="59">
        <v>0.0</v>
      </c>
      <c r="G4376" s="60">
        <v>1.0</v>
      </c>
      <c r="H4376" s="60">
        <v>1.0</v>
      </c>
      <c r="I4376" s="60">
        <v>0.0</v>
      </c>
      <c r="J4376" s="59">
        <v>1.0</v>
      </c>
      <c r="K4376" s="61">
        <f t="shared" si="1"/>
        <v>0</v>
      </c>
      <c r="L4376" s="62">
        <f t="shared" si="2"/>
        <v>1</v>
      </c>
    </row>
    <row r="4377">
      <c r="A4377" s="58">
        <v>45839.0</v>
      </c>
      <c r="B4377" s="24" t="s">
        <v>6789</v>
      </c>
      <c r="C4377" s="24" t="s">
        <v>6820</v>
      </c>
      <c r="D4377" s="59">
        <v>1.0</v>
      </c>
      <c r="E4377" s="59">
        <v>1.0</v>
      </c>
      <c r="F4377" s="59">
        <v>1.0</v>
      </c>
      <c r="G4377" s="60">
        <v>1.0</v>
      </c>
      <c r="H4377" s="60">
        <v>1.0</v>
      </c>
      <c r="I4377" s="60">
        <v>0.0</v>
      </c>
      <c r="J4377" s="59">
        <v>1.0</v>
      </c>
      <c r="K4377" s="61">
        <f t="shared" si="1"/>
        <v>1</v>
      </c>
      <c r="L4377" s="62">
        <f t="shared" si="2"/>
        <v>1</v>
      </c>
    </row>
    <row r="4378">
      <c r="A4378" s="58">
        <v>45839.0</v>
      </c>
      <c r="B4378" s="24" t="s">
        <v>6787</v>
      </c>
      <c r="C4378" s="24" t="s">
        <v>6888</v>
      </c>
      <c r="D4378" s="59">
        <v>1.0</v>
      </c>
      <c r="E4378" s="59">
        <v>1.0</v>
      </c>
      <c r="F4378" s="59">
        <v>1.0</v>
      </c>
      <c r="G4378" s="60">
        <v>1.0</v>
      </c>
      <c r="H4378" s="60">
        <v>1.0</v>
      </c>
      <c r="I4378" s="60">
        <v>0.0</v>
      </c>
      <c r="J4378" s="59">
        <v>1.0</v>
      </c>
      <c r="K4378" s="61">
        <f t="shared" si="1"/>
        <v>1</v>
      </c>
      <c r="L4378" s="62">
        <f t="shared" si="2"/>
        <v>1</v>
      </c>
    </row>
    <row r="4379">
      <c r="A4379" s="58">
        <v>45839.0</v>
      </c>
      <c r="B4379" s="24" t="s">
        <v>6789</v>
      </c>
      <c r="C4379" s="24" t="s">
        <v>6888</v>
      </c>
      <c r="D4379" s="59">
        <v>1.0</v>
      </c>
      <c r="E4379" s="59">
        <v>1.0</v>
      </c>
      <c r="F4379" s="59">
        <v>1.0</v>
      </c>
      <c r="G4379" s="60">
        <v>1.0</v>
      </c>
      <c r="H4379" s="60">
        <v>1.0</v>
      </c>
      <c r="I4379" s="60">
        <v>6.81618</v>
      </c>
      <c r="J4379" s="59">
        <v>1.0</v>
      </c>
      <c r="K4379" s="61">
        <f t="shared" si="1"/>
        <v>1</v>
      </c>
      <c r="L4379" s="62">
        <f t="shared" si="2"/>
        <v>1</v>
      </c>
    </row>
    <row r="4380">
      <c r="A4380" s="58">
        <v>45839.0</v>
      </c>
      <c r="B4380" s="24" t="s">
        <v>6794</v>
      </c>
      <c r="C4380" s="24" t="s">
        <v>6838</v>
      </c>
      <c r="D4380" s="59">
        <v>1.0</v>
      </c>
      <c r="E4380" s="59">
        <v>1.0</v>
      </c>
      <c r="F4380" s="59">
        <v>0.0</v>
      </c>
      <c r="G4380" s="60">
        <v>1.0</v>
      </c>
      <c r="H4380" s="60">
        <v>1.0</v>
      </c>
      <c r="I4380" s="60">
        <v>0.0</v>
      </c>
      <c r="J4380" s="59">
        <v>1.0</v>
      </c>
      <c r="K4380" s="61">
        <f t="shared" si="1"/>
        <v>0</v>
      </c>
      <c r="L4380" s="62">
        <f t="shared" si="2"/>
        <v>1</v>
      </c>
    </row>
    <row r="4381">
      <c r="A4381" s="58">
        <v>45839.0</v>
      </c>
      <c r="B4381" s="24" t="s">
        <v>155</v>
      </c>
      <c r="C4381" s="24" t="s">
        <v>6838</v>
      </c>
      <c r="D4381" s="59">
        <v>1.0</v>
      </c>
      <c r="E4381" s="59">
        <v>1.0</v>
      </c>
      <c r="F4381" s="59">
        <v>1.0</v>
      </c>
      <c r="G4381" s="60">
        <v>1.0</v>
      </c>
      <c r="H4381" s="60">
        <v>0.0</v>
      </c>
      <c r="I4381" s="60">
        <v>59.164287</v>
      </c>
      <c r="J4381" s="59">
        <v>3.0</v>
      </c>
      <c r="K4381" s="61">
        <f t="shared" si="1"/>
        <v>1</v>
      </c>
      <c r="L4381" s="62">
        <f t="shared" si="2"/>
        <v>3</v>
      </c>
    </row>
    <row r="4382">
      <c r="A4382" s="58">
        <v>45839.0</v>
      </c>
      <c r="B4382" s="24" t="s">
        <v>6787</v>
      </c>
      <c r="C4382" s="24" t="s">
        <v>6997</v>
      </c>
      <c r="D4382" s="59">
        <v>1.0</v>
      </c>
      <c r="E4382" s="59">
        <v>1.0</v>
      </c>
      <c r="F4382" s="59">
        <v>1.0</v>
      </c>
      <c r="G4382" s="60">
        <v>1.0</v>
      </c>
      <c r="H4382" s="60">
        <v>1.0</v>
      </c>
      <c r="I4382" s="60">
        <v>0.0</v>
      </c>
      <c r="J4382" s="59">
        <v>1.0</v>
      </c>
      <c r="K4382" s="61">
        <f t="shared" si="1"/>
        <v>1</v>
      </c>
      <c r="L4382" s="62">
        <f t="shared" si="2"/>
        <v>1</v>
      </c>
    </row>
    <row r="4383">
      <c r="A4383" s="58">
        <v>45839.0</v>
      </c>
      <c r="B4383" s="24" t="s">
        <v>6787</v>
      </c>
      <c r="C4383" s="24" t="s">
        <v>7021</v>
      </c>
      <c r="D4383" s="59">
        <v>1.0</v>
      </c>
      <c r="E4383" s="59">
        <v>1.0</v>
      </c>
      <c r="F4383" s="59">
        <v>1.0</v>
      </c>
      <c r="G4383" s="60">
        <v>1.0</v>
      </c>
      <c r="H4383" s="60">
        <v>1.0</v>
      </c>
      <c r="I4383" s="60">
        <v>0.0</v>
      </c>
      <c r="J4383" s="59">
        <v>1.0</v>
      </c>
      <c r="K4383" s="61">
        <f t="shared" si="1"/>
        <v>1</v>
      </c>
      <c r="L4383" s="62">
        <f t="shared" si="2"/>
        <v>1</v>
      </c>
    </row>
    <row r="4384">
      <c r="A4384" s="58">
        <v>45839.0</v>
      </c>
      <c r="B4384" s="24" t="s">
        <v>6794</v>
      </c>
      <c r="C4384" s="24" t="s">
        <v>7021</v>
      </c>
      <c r="D4384" s="59">
        <v>1.0</v>
      </c>
      <c r="E4384" s="59">
        <v>1.0</v>
      </c>
      <c r="F4384" s="59">
        <v>0.0</v>
      </c>
      <c r="G4384" s="60">
        <v>1.0</v>
      </c>
      <c r="H4384" s="60">
        <v>0.0</v>
      </c>
      <c r="I4384" s="60">
        <v>226.389291</v>
      </c>
      <c r="J4384" s="59">
        <v>1.0</v>
      </c>
      <c r="K4384" s="61">
        <f t="shared" si="1"/>
        <v>0</v>
      </c>
      <c r="L4384" s="62">
        <f t="shared" si="2"/>
        <v>1</v>
      </c>
    </row>
    <row r="4385">
      <c r="A4385" s="58">
        <v>45839.0</v>
      </c>
      <c r="B4385" s="24" t="s">
        <v>6790</v>
      </c>
      <c r="C4385" s="24" t="s">
        <v>7021</v>
      </c>
      <c r="D4385" s="59">
        <v>1.0</v>
      </c>
      <c r="E4385" s="59">
        <v>2.0</v>
      </c>
      <c r="F4385" s="59">
        <v>1.0</v>
      </c>
      <c r="G4385" s="60">
        <v>2.0</v>
      </c>
      <c r="H4385" s="60">
        <v>1.0</v>
      </c>
      <c r="I4385" s="60">
        <v>0.0</v>
      </c>
      <c r="J4385" s="59">
        <v>2.0</v>
      </c>
      <c r="K4385" s="61">
        <f t="shared" si="1"/>
        <v>0.5</v>
      </c>
      <c r="L4385" s="62">
        <f t="shared" si="2"/>
        <v>1</v>
      </c>
    </row>
    <row r="4386">
      <c r="A4386" s="58">
        <v>45839.0</v>
      </c>
      <c r="B4386" s="24" t="s">
        <v>6794</v>
      </c>
      <c r="C4386" s="24" t="s">
        <v>6822</v>
      </c>
      <c r="D4386" s="59">
        <v>1.0</v>
      </c>
      <c r="E4386" s="59">
        <v>1.0</v>
      </c>
      <c r="F4386" s="59">
        <v>0.0</v>
      </c>
      <c r="G4386" s="60">
        <v>1.0</v>
      </c>
      <c r="H4386" s="60">
        <v>0.0</v>
      </c>
      <c r="I4386" s="60">
        <v>270.040093</v>
      </c>
      <c r="J4386" s="59">
        <v>3.0</v>
      </c>
      <c r="K4386" s="61">
        <f t="shared" si="1"/>
        <v>0</v>
      </c>
      <c r="L4386" s="62">
        <f t="shared" si="2"/>
        <v>3</v>
      </c>
    </row>
    <row r="4387">
      <c r="A4387" s="58">
        <v>45839.0</v>
      </c>
      <c r="B4387" s="24" t="s">
        <v>155</v>
      </c>
      <c r="C4387" s="24" t="s">
        <v>6822</v>
      </c>
      <c r="D4387" s="59">
        <v>1.0</v>
      </c>
      <c r="E4387" s="59">
        <v>1.0</v>
      </c>
      <c r="F4387" s="59">
        <v>1.0</v>
      </c>
      <c r="G4387" s="60">
        <v>1.0</v>
      </c>
      <c r="H4387" s="60">
        <v>0.0</v>
      </c>
      <c r="I4387" s="60">
        <v>1560.145572</v>
      </c>
      <c r="J4387" s="59">
        <v>10.0</v>
      </c>
      <c r="K4387" s="61">
        <f t="shared" si="1"/>
        <v>1</v>
      </c>
      <c r="L4387" s="62">
        <f t="shared" si="2"/>
        <v>10</v>
      </c>
    </row>
    <row r="4388">
      <c r="A4388" s="58">
        <v>45839.0</v>
      </c>
      <c r="B4388" s="24" t="s">
        <v>6787</v>
      </c>
      <c r="C4388" s="24" t="s">
        <v>6890</v>
      </c>
      <c r="D4388" s="59">
        <v>1.0</v>
      </c>
      <c r="E4388" s="59">
        <v>1.0</v>
      </c>
      <c r="F4388" s="59">
        <v>1.0</v>
      </c>
      <c r="G4388" s="60">
        <v>1.0</v>
      </c>
      <c r="H4388" s="60">
        <v>1.0</v>
      </c>
      <c r="I4388" s="60">
        <v>0.0</v>
      </c>
      <c r="J4388" s="59">
        <v>1.0</v>
      </c>
      <c r="K4388" s="61">
        <f t="shared" si="1"/>
        <v>1</v>
      </c>
      <c r="L4388" s="62">
        <f t="shared" si="2"/>
        <v>1</v>
      </c>
    </row>
    <row r="4389">
      <c r="A4389" s="58">
        <v>45839.0</v>
      </c>
      <c r="B4389" s="24" t="s">
        <v>6789</v>
      </c>
      <c r="C4389" s="24" t="s">
        <v>6890</v>
      </c>
      <c r="D4389" s="59">
        <v>1.0</v>
      </c>
      <c r="E4389" s="59">
        <v>1.0</v>
      </c>
      <c r="F4389" s="59">
        <v>1.0</v>
      </c>
      <c r="G4389" s="60">
        <v>1.0</v>
      </c>
      <c r="H4389" s="60">
        <v>1.0</v>
      </c>
      <c r="I4389" s="60">
        <v>0.0</v>
      </c>
      <c r="J4389" s="59">
        <v>1.0</v>
      </c>
      <c r="K4389" s="61">
        <f t="shared" si="1"/>
        <v>1</v>
      </c>
      <c r="L4389" s="62">
        <f t="shared" si="2"/>
        <v>1</v>
      </c>
    </row>
    <row r="4390">
      <c r="A4390" s="58">
        <v>45839.0</v>
      </c>
      <c r="B4390" s="24" t="s">
        <v>6787</v>
      </c>
      <c r="C4390" s="24" t="s">
        <v>6891</v>
      </c>
      <c r="D4390" s="59">
        <v>1.0</v>
      </c>
      <c r="E4390" s="59">
        <v>1.0</v>
      </c>
      <c r="F4390" s="59">
        <v>1.0</v>
      </c>
      <c r="G4390" s="60">
        <v>1.0</v>
      </c>
      <c r="H4390" s="60">
        <v>1.0</v>
      </c>
      <c r="I4390" s="60">
        <v>0.0</v>
      </c>
      <c r="J4390" s="59">
        <v>1.0</v>
      </c>
      <c r="K4390" s="61">
        <f t="shared" si="1"/>
        <v>1</v>
      </c>
      <c r="L4390" s="62">
        <f t="shared" si="2"/>
        <v>1</v>
      </c>
    </row>
    <row r="4391">
      <c r="A4391" s="58">
        <v>45839.0</v>
      </c>
      <c r="B4391" s="24" t="s">
        <v>6789</v>
      </c>
      <c r="C4391" s="24" t="s">
        <v>6891</v>
      </c>
      <c r="D4391" s="59">
        <v>1.0</v>
      </c>
      <c r="E4391" s="59">
        <v>1.0</v>
      </c>
      <c r="F4391" s="59">
        <v>1.0</v>
      </c>
      <c r="G4391" s="60">
        <v>1.0</v>
      </c>
      <c r="H4391" s="60">
        <v>1.0</v>
      </c>
      <c r="I4391" s="60">
        <v>0.0</v>
      </c>
      <c r="J4391" s="59">
        <v>1.0</v>
      </c>
      <c r="K4391" s="61">
        <f t="shared" si="1"/>
        <v>1</v>
      </c>
      <c r="L4391" s="62">
        <f t="shared" si="2"/>
        <v>1</v>
      </c>
    </row>
    <row r="4392">
      <c r="A4392" s="58">
        <v>45839.0</v>
      </c>
      <c r="B4392" s="24" t="s">
        <v>6789</v>
      </c>
      <c r="C4392" s="24" t="s">
        <v>6999</v>
      </c>
      <c r="D4392" s="59">
        <v>1.0</v>
      </c>
      <c r="E4392" s="59">
        <v>1.0</v>
      </c>
      <c r="F4392" s="59">
        <v>1.0</v>
      </c>
      <c r="G4392" s="60">
        <v>1.0</v>
      </c>
      <c r="H4392" s="60">
        <v>1.0</v>
      </c>
      <c r="I4392" s="60">
        <v>0.0</v>
      </c>
      <c r="J4392" s="59">
        <v>1.0</v>
      </c>
      <c r="K4392" s="61">
        <f t="shared" si="1"/>
        <v>1</v>
      </c>
      <c r="L4392" s="62">
        <f t="shared" si="2"/>
        <v>1</v>
      </c>
    </row>
    <row r="4393">
      <c r="A4393" s="58">
        <v>45839.0</v>
      </c>
      <c r="B4393" s="24" t="s">
        <v>6787</v>
      </c>
      <c r="C4393" s="24" t="s">
        <v>6892</v>
      </c>
      <c r="D4393" s="59">
        <v>1.0</v>
      </c>
      <c r="E4393" s="59">
        <v>1.0</v>
      </c>
      <c r="F4393" s="59">
        <v>1.0</v>
      </c>
      <c r="G4393" s="60">
        <v>1.0</v>
      </c>
      <c r="H4393" s="60">
        <v>1.0</v>
      </c>
      <c r="I4393" s="60">
        <v>0.0</v>
      </c>
      <c r="J4393" s="59">
        <v>1.0</v>
      </c>
      <c r="K4393" s="61">
        <f t="shared" si="1"/>
        <v>1</v>
      </c>
      <c r="L4393" s="62">
        <f t="shared" si="2"/>
        <v>1</v>
      </c>
    </row>
    <row r="4394">
      <c r="A4394" s="58">
        <v>45839.0</v>
      </c>
      <c r="B4394" s="24" t="s">
        <v>3216</v>
      </c>
      <c r="C4394" s="24" t="s">
        <v>6892</v>
      </c>
      <c r="D4394" s="59">
        <v>1.0</v>
      </c>
      <c r="E4394" s="59">
        <v>1.0</v>
      </c>
      <c r="F4394" s="59">
        <v>1.0</v>
      </c>
      <c r="G4394" s="60">
        <v>1.0</v>
      </c>
      <c r="H4394" s="60">
        <v>0.0</v>
      </c>
      <c r="I4394" s="60">
        <v>427.976634</v>
      </c>
      <c r="J4394" s="59">
        <v>1.0</v>
      </c>
      <c r="K4394" s="61">
        <f t="shared" si="1"/>
        <v>1</v>
      </c>
      <c r="L4394" s="62">
        <f t="shared" si="2"/>
        <v>1</v>
      </c>
    </row>
    <row r="4395">
      <c r="A4395" s="58">
        <v>45839.0</v>
      </c>
      <c r="B4395" s="24" t="s">
        <v>6787</v>
      </c>
      <c r="C4395" s="24" t="s">
        <v>6894</v>
      </c>
      <c r="D4395" s="59">
        <v>1.0</v>
      </c>
      <c r="E4395" s="59">
        <v>1.0</v>
      </c>
      <c r="F4395" s="59">
        <v>1.0</v>
      </c>
      <c r="G4395" s="60">
        <v>1.0</v>
      </c>
      <c r="H4395" s="60">
        <v>1.0</v>
      </c>
      <c r="I4395" s="60">
        <v>0.0</v>
      </c>
      <c r="J4395" s="59">
        <v>1.0</v>
      </c>
      <c r="K4395" s="61">
        <f t="shared" si="1"/>
        <v>1</v>
      </c>
      <c r="L4395" s="62">
        <f t="shared" si="2"/>
        <v>1</v>
      </c>
    </row>
    <row r="4396">
      <c r="A4396" s="58">
        <v>45839.0</v>
      </c>
      <c r="B4396" s="24" t="s">
        <v>6790</v>
      </c>
      <c r="C4396" s="24" t="s">
        <v>6894</v>
      </c>
      <c r="D4396" s="59">
        <v>1.0</v>
      </c>
      <c r="E4396" s="59">
        <v>1.0</v>
      </c>
      <c r="F4396" s="59">
        <v>1.0</v>
      </c>
      <c r="G4396" s="60">
        <v>1.0</v>
      </c>
      <c r="H4396" s="60">
        <v>0.0</v>
      </c>
      <c r="I4396" s="60">
        <v>243.699369</v>
      </c>
      <c r="J4396" s="59">
        <v>1.0</v>
      </c>
      <c r="K4396" s="61">
        <f t="shared" si="1"/>
        <v>1</v>
      </c>
      <c r="L4396" s="62">
        <f t="shared" si="2"/>
        <v>1</v>
      </c>
    </row>
    <row r="4397">
      <c r="A4397" s="58">
        <v>45839.0</v>
      </c>
      <c r="B4397" s="24" t="s">
        <v>6787</v>
      </c>
      <c r="C4397" s="24" t="s">
        <v>6840</v>
      </c>
      <c r="D4397" s="59">
        <v>1.0</v>
      </c>
      <c r="E4397" s="59">
        <v>1.0</v>
      </c>
      <c r="F4397" s="59">
        <v>1.0</v>
      </c>
      <c r="G4397" s="60">
        <v>1.0</v>
      </c>
      <c r="H4397" s="60">
        <v>0.0</v>
      </c>
      <c r="I4397" s="60">
        <v>50.18794</v>
      </c>
      <c r="J4397" s="59">
        <v>1.0</v>
      </c>
      <c r="K4397" s="61">
        <f t="shared" si="1"/>
        <v>1</v>
      </c>
      <c r="L4397" s="62">
        <f t="shared" si="2"/>
        <v>1</v>
      </c>
    </row>
    <row r="4398">
      <c r="A4398" s="58">
        <v>45839.0</v>
      </c>
      <c r="B4398" s="24" t="s">
        <v>6787</v>
      </c>
      <c r="C4398" s="24" t="s">
        <v>7032</v>
      </c>
      <c r="D4398" s="59">
        <v>1.0</v>
      </c>
      <c r="E4398" s="59">
        <v>1.0</v>
      </c>
      <c r="F4398" s="59">
        <v>1.0</v>
      </c>
      <c r="G4398" s="60">
        <v>1.0</v>
      </c>
      <c r="H4398" s="60">
        <v>0.0</v>
      </c>
      <c r="I4398" s="60">
        <v>50.845082</v>
      </c>
      <c r="J4398" s="59">
        <v>1.0</v>
      </c>
      <c r="K4398" s="61">
        <f t="shared" si="1"/>
        <v>1</v>
      </c>
      <c r="L4398" s="62">
        <f t="shared" si="2"/>
        <v>1</v>
      </c>
    </row>
    <row r="4399">
      <c r="A4399" s="58">
        <v>45839.0</v>
      </c>
      <c r="B4399" s="24" t="s">
        <v>6789</v>
      </c>
      <c r="C4399" s="24" t="s">
        <v>7032</v>
      </c>
      <c r="D4399" s="59">
        <v>1.0</v>
      </c>
      <c r="E4399" s="59">
        <v>1.0</v>
      </c>
      <c r="F4399" s="59">
        <v>1.0</v>
      </c>
      <c r="G4399" s="60">
        <v>1.0</v>
      </c>
      <c r="H4399" s="60">
        <v>1.0</v>
      </c>
      <c r="I4399" s="60">
        <v>0.0</v>
      </c>
      <c r="J4399" s="59">
        <v>1.0</v>
      </c>
      <c r="K4399" s="61">
        <f t="shared" si="1"/>
        <v>1</v>
      </c>
      <c r="L4399" s="62">
        <f t="shared" si="2"/>
        <v>1</v>
      </c>
    </row>
    <row r="4400">
      <c r="A4400" s="58">
        <v>45839.0</v>
      </c>
      <c r="B4400" s="24" t="s">
        <v>6787</v>
      </c>
      <c r="C4400" s="24" t="s">
        <v>7397</v>
      </c>
      <c r="D4400" s="59">
        <v>1.0</v>
      </c>
      <c r="E4400" s="59">
        <v>1.0</v>
      </c>
      <c r="F4400" s="59">
        <v>1.0</v>
      </c>
      <c r="G4400" s="60">
        <v>1.0</v>
      </c>
      <c r="H4400" s="60">
        <v>1.0</v>
      </c>
      <c r="I4400" s="60">
        <v>0.0</v>
      </c>
      <c r="J4400" s="59">
        <v>1.0</v>
      </c>
      <c r="K4400" s="61">
        <f t="shared" si="1"/>
        <v>1</v>
      </c>
      <c r="L4400" s="62">
        <f t="shared" si="2"/>
        <v>1</v>
      </c>
    </row>
    <row r="4401">
      <c r="A4401" s="58">
        <v>45839.0</v>
      </c>
      <c r="B4401" s="24" t="s">
        <v>6787</v>
      </c>
      <c r="C4401" s="24" t="s">
        <v>7129</v>
      </c>
      <c r="D4401" s="59">
        <v>1.0</v>
      </c>
      <c r="E4401" s="59">
        <v>1.0</v>
      </c>
      <c r="F4401" s="59">
        <v>1.0</v>
      </c>
      <c r="G4401" s="60">
        <v>1.0</v>
      </c>
      <c r="H4401" s="60">
        <v>0.0</v>
      </c>
      <c r="I4401" s="60">
        <v>31.187803</v>
      </c>
      <c r="J4401" s="59">
        <v>1.0</v>
      </c>
      <c r="K4401" s="61">
        <f t="shared" si="1"/>
        <v>1</v>
      </c>
      <c r="L4401" s="62">
        <f t="shared" si="2"/>
        <v>1</v>
      </c>
    </row>
    <row r="4402">
      <c r="A4402" s="58">
        <v>45839.0</v>
      </c>
      <c r="B4402" s="24" t="s">
        <v>6787</v>
      </c>
      <c r="C4402" s="24" t="s">
        <v>7398</v>
      </c>
      <c r="D4402" s="59">
        <v>1.0</v>
      </c>
      <c r="E4402" s="59">
        <v>2.0</v>
      </c>
      <c r="F4402" s="59">
        <v>1.0</v>
      </c>
      <c r="G4402" s="60">
        <v>2.0</v>
      </c>
      <c r="H4402" s="60">
        <v>1.0</v>
      </c>
      <c r="I4402" s="60">
        <v>0.0</v>
      </c>
      <c r="J4402" s="59">
        <v>2.0</v>
      </c>
      <c r="K4402" s="61">
        <f t="shared" si="1"/>
        <v>0.5</v>
      </c>
      <c r="L4402" s="62">
        <f t="shared" si="2"/>
        <v>1</v>
      </c>
    </row>
    <row r="4403">
      <c r="A4403" s="58">
        <v>45839.0</v>
      </c>
      <c r="B4403" s="24" t="s">
        <v>6791</v>
      </c>
      <c r="C4403" s="24" t="s">
        <v>7301</v>
      </c>
      <c r="D4403" s="59">
        <v>1.0</v>
      </c>
      <c r="E4403" s="59">
        <v>1.0</v>
      </c>
      <c r="F4403" s="59">
        <v>1.0</v>
      </c>
      <c r="G4403" s="60">
        <v>1.0</v>
      </c>
      <c r="H4403" s="60">
        <v>1.0</v>
      </c>
      <c r="I4403" s="60">
        <v>0.0</v>
      </c>
      <c r="J4403" s="59">
        <v>1.0</v>
      </c>
      <c r="K4403" s="61">
        <f t="shared" si="1"/>
        <v>1</v>
      </c>
      <c r="L4403" s="62">
        <f t="shared" si="2"/>
        <v>1</v>
      </c>
    </row>
    <row r="4404">
      <c r="A4404" s="58">
        <v>45839.0</v>
      </c>
      <c r="B4404" s="24" t="s">
        <v>7100</v>
      </c>
      <c r="C4404" s="24" t="s">
        <v>7301</v>
      </c>
      <c r="D4404" s="59">
        <v>1.0</v>
      </c>
      <c r="E4404" s="59">
        <v>1.0</v>
      </c>
      <c r="F4404" s="59">
        <v>0.0</v>
      </c>
      <c r="G4404" s="60">
        <v>1.0</v>
      </c>
      <c r="H4404" s="60">
        <v>1.0</v>
      </c>
      <c r="I4404" s="60">
        <v>8.934556</v>
      </c>
      <c r="J4404" s="59">
        <v>1.0</v>
      </c>
      <c r="K4404" s="61">
        <f t="shared" si="1"/>
        <v>0</v>
      </c>
      <c r="L4404" s="62">
        <f t="shared" si="2"/>
        <v>1</v>
      </c>
    </row>
    <row r="4405">
      <c r="A4405" s="58">
        <v>45839.0</v>
      </c>
      <c r="B4405" s="24" t="s">
        <v>6789</v>
      </c>
      <c r="C4405" s="24" t="s">
        <v>6823</v>
      </c>
      <c r="D4405" s="59">
        <v>1.0</v>
      </c>
      <c r="E4405" s="59">
        <v>1.0</v>
      </c>
      <c r="F4405" s="59">
        <v>1.0</v>
      </c>
      <c r="G4405" s="60">
        <v>1.0</v>
      </c>
      <c r="H4405" s="60">
        <v>1.0</v>
      </c>
      <c r="I4405" s="60">
        <v>0.0</v>
      </c>
      <c r="J4405" s="59">
        <v>1.0</v>
      </c>
      <c r="K4405" s="61">
        <f t="shared" si="1"/>
        <v>1</v>
      </c>
      <c r="L4405" s="62">
        <f t="shared" si="2"/>
        <v>1</v>
      </c>
    </row>
    <row r="4406">
      <c r="A4406" s="58">
        <v>45839.0</v>
      </c>
      <c r="B4406" s="24" t="s">
        <v>6787</v>
      </c>
      <c r="C4406" s="24" t="s">
        <v>7399</v>
      </c>
      <c r="D4406" s="59">
        <v>1.0</v>
      </c>
      <c r="E4406" s="59">
        <v>1.0</v>
      </c>
      <c r="F4406" s="59">
        <v>1.0</v>
      </c>
      <c r="G4406" s="60">
        <v>1.0</v>
      </c>
      <c r="H4406" s="60">
        <v>1.0</v>
      </c>
      <c r="I4406" s="60">
        <v>0.464002</v>
      </c>
      <c r="J4406" s="59">
        <v>1.0</v>
      </c>
      <c r="K4406" s="61">
        <f t="shared" si="1"/>
        <v>1</v>
      </c>
      <c r="L4406" s="62">
        <f t="shared" si="2"/>
        <v>1</v>
      </c>
    </row>
    <row r="4407">
      <c r="A4407" s="58">
        <v>45839.0</v>
      </c>
      <c r="B4407" s="24" t="s">
        <v>6787</v>
      </c>
      <c r="C4407" s="24" t="s">
        <v>7195</v>
      </c>
      <c r="D4407" s="59">
        <v>1.0</v>
      </c>
      <c r="E4407" s="59">
        <v>1.0</v>
      </c>
      <c r="F4407" s="59">
        <v>1.0</v>
      </c>
      <c r="G4407" s="60">
        <v>1.0</v>
      </c>
      <c r="H4407" s="60">
        <v>0.0</v>
      </c>
      <c r="I4407" s="60">
        <v>52.300538</v>
      </c>
      <c r="J4407" s="59">
        <v>1.0</v>
      </c>
      <c r="K4407" s="61">
        <f t="shared" si="1"/>
        <v>1</v>
      </c>
      <c r="L4407" s="62">
        <f t="shared" si="2"/>
        <v>1</v>
      </c>
    </row>
    <row r="4408">
      <c r="A4408" s="58">
        <v>45839.0</v>
      </c>
      <c r="B4408" s="24" t="s">
        <v>6787</v>
      </c>
      <c r="C4408" s="24" t="s">
        <v>7002</v>
      </c>
      <c r="D4408" s="59">
        <v>1.0</v>
      </c>
      <c r="E4408" s="59">
        <v>1.0</v>
      </c>
      <c r="F4408" s="59">
        <v>1.0</v>
      </c>
      <c r="G4408" s="60">
        <v>1.0</v>
      </c>
      <c r="H4408" s="60">
        <v>0.0</v>
      </c>
      <c r="I4408" s="60">
        <v>75.942044</v>
      </c>
      <c r="J4408" s="59">
        <v>1.0</v>
      </c>
      <c r="K4408" s="61">
        <f t="shared" si="1"/>
        <v>1</v>
      </c>
      <c r="L4408" s="62">
        <f t="shared" si="2"/>
        <v>1</v>
      </c>
    </row>
    <row r="4409">
      <c r="A4409" s="58">
        <v>45839.0</v>
      </c>
      <c r="B4409" s="24" t="s">
        <v>3216</v>
      </c>
      <c r="C4409" s="24" t="s">
        <v>7002</v>
      </c>
      <c r="D4409" s="59">
        <v>1.0</v>
      </c>
      <c r="E4409" s="59">
        <v>1.0</v>
      </c>
      <c r="F4409" s="59">
        <v>0.0</v>
      </c>
      <c r="G4409" s="60">
        <v>1.0</v>
      </c>
      <c r="H4409" s="60">
        <v>0.0</v>
      </c>
      <c r="I4409" s="60">
        <v>976.987593</v>
      </c>
      <c r="J4409" s="59">
        <v>1.0</v>
      </c>
      <c r="K4409" s="61">
        <f t="shared" si="1"/>
        <v>0</v>
      </c>
      <c r="L4409" s="62">
        <f t="shared" si="2"/>
        <v>1</v>
      </c>
    </row>
    <row r="4410">
      <c r="A4410" s="58">
        <v>45839.0</v>
      </c>
      <c r="B4410" s="24" t="s">
        <v>6789</v>
      </c>
      <c r="C4410" s="24" t="s">
        <v>7002</v>
      </c>
      <c r="D4410" s="59">
        <v>1.0</v>
      </c>
      <c r="E4410" s="59">
        <v>1.0</v>
      </c>
      <c r="F4410" s="59">
        <v>1.0</v>
      </c>
      <c r="G4410" s="60">
        <v>1.0</v>
      </c>
      <c r="H4410" s="60">
        <v>1.0</v>
      </c>
      <c r="I4410" s="60">
        <v>0.0</v>
      </c>
      <c r="J4410" s="59">
        <v>1.0</v>
      </c>
      <c r="K4410" s="61">
        <f t="shared" si="1"/>
        <v>1</v>
      </c>
      <c r="L4410" s="62">
        <f t="shared" si="2"/>
        <v>1</v>
      </c>
    </row>
    <row r="4411">
      <c r="A4411" s="58">
        <v>45839.0</v>
      </c>
      <c r="B4411" s="24" t="s">
        <v>6787</v>
      </c>
      <c r="C4411" s="24" t="s">
        <v>6897</v>
      </c>
      <c r="D4411" s="59">
        <v>1.0</v>
      </c>
      <c r="E4411" s="59">
        <v>1.0</v>
      </c>
      <c r="F4411" s="59">
        <v>1.0</v>
      </c>
      <c r="G4411" s="60">
        <v>1.0</v>
      </c>
      <c r="H4411" s="60">
        <v>1.0</v>
      </c>
      <c r="I4411" s="60">
        <v>0.0</v>
      </c>
      <c r="J4411" s="59">
        <v>1.0</v>
      </c>
      <c r="K4411" s="61">
        <f t="shared" si="1"/>
        <v>1</v>
      </c>
      <c r="L4411" s="62">
        <f t="shared" si="2"/>
        <v>1</v>
      </c>
    </row>
    <row r="4412">
      <c r="A4412" s="58">
        <v>45839.0</v>
      </c>
      <c r="B4412" s="24" t="s">
        <v>6787</v>
      </c>
      <c r="C4412" s="24" t="s">
        <v>7400</v>
      </c>
      <c r="D4412" s="59">
        <v>1.0</v>
      </c>
      <c r="E4412" s="59">
        <v>1.0</v>
      </c>
      <c r="F4412" s="59">
        <v>1.0</v>
      </c>
      <c r="G4412" s="60">
        <v>1.0</v>
      </c>
      <c r="H4412" s="60">
        <v>1.0</v>
      </c>
      <c r="I4412" s="60">
        <v>0.0</v>
      </c>
      <c r="J4412" s="59">
        <v>1.0</v>
      </c>
      <c r="K4412" s="61">
        <f t="shared" si="1"/>
        <v>1</v>
      </c>
      <c r="L4412" s="62">
        <f t="shared" si="2"/>
        <v>1</v>
      </c>
    </row>
    <row r="4413">
      <c r="A4413" s="58">
        <v>45839.0</v>
      </c>
      <c r="B4413" s="24" t="s">
        <v>6787</v>
      </c>
      <c r="C4413" s="24" t="s">
        <v>7379</v>
      </c>
      <c r="D4413" s="59">
        <v>1.0</v>
      </c>
      <c r="E4413" s="59">
        <v>1.0</v>
      </c>
      <c r="F4413" s="59">
        <v>1.0</v>
      </c>
      <c r="G4413" s="60">
        <v>1.0</v>
      </c>
      <c r="H4413" s="60">
        <v>1.0</v>
      </c>
      <c r="I4413" s="60">
        <v>0.0</v>
      </c>
      <c r="J4413" s="59">
        <v>1.0</v>
      </c>
      <c r="K4413" s="61">
        <f t="shared" si="1"/>
        <v>1</v>
      </c>
      <c r="L4413" s="62">
        <f t="shared" si="2"/>
        <v>1</v>
      </c>
    </row>
    <row r="4414">
      <c r="A4414" s="58">
        <v>45839.0</v>
      </c>
      <c r="B4414" s="24" t="s">
        <v>6787</v>
      </c>
      <c r="C4414" s="24" t="s">
        <v>6841</v>
      </c>
      <c r="D4414" s="59">
        <v>1.0</v>
      </c>
      <c r="E4414" s="59">
        <v>1.0</v>
      </c>
      <c r="F4414" s="59">
        <v>1.0</v>
      </c>
      <c r="G4414" s="60">
        <v>1.0</v>
      </c>
      <c r="H4414" s="60">
        <v>1.0</v>
      </c>
      <c r="I4414" s="60">
        <v>0.0</v>
      </c>
      <c r="J4414" s="59">
        <v>1.0</v>
      </c>
      <c r="K4414" s="61">
        <f t="shared" si="1"/>
        <v>1</v>
      </c>
      <c r="L4414" s="62">
        <f t="shared" si="2"/>
        <v>1</v>
      </c>
    </row>
    <row r="4415">
      <c r="A4415" s="58">
        <v>45839.0</v>
      </c>
      <c r="B4415" s="24" t="s">
        <v>6787</v>
      </c>
      <c r="C4415" s="24" t="s">
        <v>6899</v>
      </c>
      <c r="D4415" s="59">
        <v>1.0</v>
      </c>
      <c r="E4415" s="59">
        <v>1.0</v>
      </c>
      <c r="F4415" s="59">
        <v>1.0</v>
      </c>
      <c r="G4415" s="60">
        <v>1.0</v>
      </c>
      <c r="H4415" s="60">
        <v>1.0</v>
      </c>
      <c r="I4415" s="60">
        <v>0.0</v>
      </c>
      <c r="J4415" s="59">
        <v>1.0</v>
      </c>
      <c r="K4415" s="61">
        <f t="shared" si="1"/>
        <v>1</v>
      </c>
      <c r="L4415" s="62">
        <f t="shared" si="2"/>
        <v>1</v>
      </c>
    </row>
    <row r="4416">
      <c r="A4416" s="58">
        <v>45839.0</v>
      </c>
      <c r="B4416" s="24" t="s">
        <v>155</v>
      </c>
      <c r="C4416" s="24" t="s">
        <v>6899</v>
      </c>
      <c r="D4416" s="59">
        <v>1.0</v>
      </c>
      <c r="E4416" s="59">
        <v>2.0</v>
      </c>
      <c r="F4416" s="59">
        <v>1.0</v>
      </c>
      <c r="G4416" s="60">
        <v>2.0</v>
      </c>
      <c r="H4416" s="60">
        <v>1.0</v>
      </c>
      <c r="I4416" s="60">
        <v>0.0</v>
      </c>
      <c r="J4416" s="59">
        <v>2.0</v>
      </c>
      <c r="K4416" s="61">
        <f t="shared" si="1"/>
        <v>0.5</v>
      </c>
      <c r="L4416" s="62">
        <f t="shared" si="2"/>
        <v>1</v>
      </c>
    </row>
    <row r="4417">
      <c r="A4417" s="58">
        <v>45839.0</v>
      </c>
      <c r="B4417" s="24" t="s">
        <v>155</v>
      </c>
      <c r="C4417" s="24" t="s">
        <v>6811</v>
      </c>
      <c r="D4417" s="59">
        <v>1.0</v>
      </c>
      <c r="E4417" s="59">
        <v>1.0</v>
      </c>
      <c r="F4417" s="59">
        <v>1.0</v>
      </c>
      <c r="G4417" s="60">
        <v>1.0</v>
      </c>
      <c r="H4417" s="60">
        <v>1.0</v>
      </c>
      <c r="I4417" s="60">
        <v>0.0</v>
      </c>
      <c r="J4417" s="59">
        <v>1.0</v>
      </c>
      <c r="K4417" s="61">
        <f t="shared" si="1"/>
        <v>1</v>
      </c>
      <c r="L4417" s="62">
        <f t="shared" si="2"/>
        <v>1</v>
      </c>
    </row>
    <row r="4418">
      <c r="A4418" s="58">
        <v>45839.0</v>
      </c>
      <c r="B4418" s="24" t="s">
        <v>6789</v>
      </c>
      <c r="C4418" s="24" t="s">
        <v>7380</v>
      </c>
      <c r="D4418" s="59">
        <v>1.0</v>
      </c>
      <c r="E4418" s="59">
        <v>1.0</v>
      </c>
      <c r="F4418" s="59">
        <v>0.0</v>
      </c>
      <c r="G4418" s="60">
        <v>1.0</v>
      </c>
      <c r="H4418" s="60">
        <v>1.0</v>
      </c>
      <c r="I4418" s="60">
        <v>2.304966</v>
      </c>
      <c r="J4418" s="59">
        <v>1.0</v>
      </c>
      <c r="K4418" s="61">
        <f t="shared" si="1"/>
        <v>0</v>
      </c>
      <c r="L4418" s="62">
        <f t="shared" si="2"/>
        <v>1</v>
      </c>
    </row>
    <row r="4419">
      <c r="A4419" s="58">
        <v>45839.0</v>
      </c>
      <c r="B4419" s="24" t="s">
        <v>6787</v>
      </c>
      <c r="C4419" s="24" t="s">
        <v>6900</v>
      </c>
      <c r="D4419" s="59">
        <v>1.0</v>
      </c>
      <c r="E4419" s="59">
        <v>1.0</v>
      </c>
      <c r="F4419" s="59">
        <v>1.0</v>
      </c>
      <c r="G4419" s="60">
        <v>1.0</v>
      </c>
      <c r="H4419" s="60">
        <v>1.0</v>
      </c>
      <c r="I4419" s="60">
        <v>0.0</v>
      </c>
      <c r="J4419" s="59">
        <v>1.0</v>
      </c>
      <c r="K4419" s="61">
        <f t="shared" si="1"/>
        <v>1</v>
      </c>
      <c r="L4419" s="62">
        <f t="shared" si="2"/>
        <v>1</v>
      </c>
    </row>
    <row r="4420">
      <c r="A4420" s="58">
        <v>45839.0</v>
      </c>
      <c r="B4420" s="24" t="s">
        <v>6789</v>
      </c>
      <c r="C4420" s="24" t="s">
        <v>6900</v>
      </c>
      <c r="D4420" s="59">
        <v>1.0</v>
      </c>
      <c r="E4420" s="59">
        <v>1.0</v>
      </c>
      <c r="F4420" s="59">
        <v>1.0</v>
      </c>
      <c r="G4420" s="60">
        <v>1.0</v>
      </c>
      <c r="H4420" s="60">
        <v>1.0</v>
      </c>
      <c r="I4420" s="60">
        <v>0.0</v>
      </c>
      <c r="J4420" s="59">
        <v>1.0</v>
      </c>
      <c r="K4420" s="61">
        <f t="shared" si="1"/>
        <v>1</v>
      </c>
      <c r="L4420" s="62">
        <f t="shared" si="2"/>
        <v>1</v>
      </c>
    </row>
    <row r="4421">
      <c r="A4421" s="58">
        <v>45839.0</v>
      </c>
      <c r="B4421" s="24" t="s">
        <v>6787</v>
      </c>
      <c r="C4421" s="24" t="s">
        <v>7077</v>
      </c>
      <c r="D4421" s="59">
        <v>1.0</v>
      </c>
      <c r="E4421" s="59">
        <v>1.0</v>
      </c>
      <c r="F4421" s="59">
        <v>1.0</v>
      </c>
      <c r="G4421" s="60">
        <v>1.0</v>
      </c>
      <c r="H4421" s="60">
        <v>0.0</v>
      </c>
      <c r="I4421" s="60">
        <v>50.153076</v>
      </c>
      <c r="J4421" s="59">
        <v>1.0</v>
      </c>
      <c r="K4421" s="61">
        <f t="shared" si="1"/>
        <v>1</v>
      </c>
      <c r="L4421" s="62">
        <f t="shared" si="2"/>
        <v>1</v>
      </c>
    </row>
    <row r="4422">
      <c r="A4422" s="58">
        <v>45839.0</v>
      </c>
      <c r="B4422" s="24" t="s">
        <v>6787</v>
      </c>
      <c r="C4422" s="24" t="s">
        <v>6946</v>
      </c>
      <c r="D4422" s="59">
        <v>1.0</v>
      </c>
      <c r="E4422" s="59">
        <v>1.0</v>
      </c>
      <c r="F4422" s="59">
        <v>1.0</v>
      </c>
      <c r="G4422" s="60">
        <v>1.0</v>
      </c>
      <c r="H4422" s="60">
        <v>1.0</v>
      </c>
      <c r="I4422" s="60">
        <v>0.0</v>
      </c>
      <c r="J4422" s="59">
        <v>1.0</v>
      </c>
      <c r="K4422" s="61">
        <f t="shared" si="1"/>
        <v>1</v>
      </c>
      <c r="L4422" s="62">
        <f t="shared" si="2"/>
        <v>1</v>
      </c>
    </row>
    <row r="4423">
      <c r="A4423" s="58">
        <v>45839.0</v>
      </c>
      <c r="B4423" s="24" t="s">
        <v>6789</v>
      </c>
      <c r="C4423" s="24" t="s">
        <v>6946</v>
      </c>
      <c r="D4423" s="59">
        <v>1.0</v>
      </c>
      <c r="E4423" s="59">
        <v>1.0</v>
      </c>
      <c r="F4423" s="59">
        <v>1.0</v>
      </c>
      <c r="G4423" s="60">
        <v>1.0</v>
      </c>
      <c r="H4423" s="60">
        <v>1.0</v>
      </c>
      <c r="I4423" s="60">
        <v>0.0</v>
      </c>
      <c r="J4423" s="59">
        <v>1.0</v>
      </c>
      <c r="K4423" s="61">
        <f t="shared" si="1"/>
        <v>1</v>
      </c>
      <c r="L4423" s="62">
        <f t="shared" si="2"/>
        <v>1</v>
      </c>
    </row>
    <row r="4424">
      <c r="A4424" s="58">
        <v>45839.0</v>
      </c>
      <c r="B4424" s="24" t="s">
        <v>6789</v>
      </c>
      <c r="C4424" s="24" t="s">
        <v>7078</v>
      </c>
      <c r="D4424" s="59">
        <v>1.0</v>
      </c>
      <c r="E4424" s="59">
        <v>1.0</v>
      </c>
      <c r="F4424" s="59">
        <v>1.0</v>
      </c>
      <c r="G4424" s="60">
        <v>1.0</v>
      </c>
      <c r="H4424" s="60">
        <v>1.0</v>
      </c>
      <c r="I4424" s="60">
        <v>0.0</v>
      </c>
      <c r="J4424" s="59">
        <v>1.0</v>
      </c>
      <c r="K4424" s="61">
        <f t="shared" si="1"/>
        <v>1</v>
      </c>
      <c r="L4424" s="62">
        <f t="shared" si="2"/>
        <v>1</v>
      </c>
    </row>
    <row r="4425">
      <c r="A4425" s="58">
        <v>45839.0</v>
      </c>
      <c r="B4425" s="24" t="s">
        <v>155</v>
      </c>
      <c r="C4425" s="24" t="s">
        <v>7078</v>
      </c>
      <c r="D4425" s="59">
        <v>1.0</v>
      </c>
      <c r="E4425" s="59">
        <v>1.0</v>
      </c>
      <c r="F4425" s="59">
        <v>1.0</v>
      </c>
      <c r="G4425" s="60">
        <v>1.0</v>
      </c>
      <c r="H4425" s="60">
        <v>0.0</v>
      </c>
      <c r="I4425" s="60">
        <v>1478.117703</v>
      </c>
      <c r="J4425" s="59">
        <v>1.0</v>
      </c>
      <c r="K4425" s="61">
        <f t="shared" si="1"/>
        <v>1</v>
      </c>
      <c r="L4425" s="62">
        <f t="shared" si="2"/>
        <v>1</v>
      </c>
    </row>
    <row r="4426">
      <c r="A4426" s="58">
        <v>45839.0</v>
      </c>
      <c r="B4426" s="24" t="s">
        <v>6787</v>
      </c>
      <c r="C4426" s="24" t="s">
        <v>7079</v>
      </c>
      <c r="D4426" s="59">
        <v>1.0</v>
      </c>
      <c r="E4426" s="59">
        <v>1.0</v>
      </c>
      <c r="F4426" s="59">
        <v>1.0</v>
      </c>
      <c r="G4426" s="60">
        <v>1.0</v>
      </c>
      <c r="H4426" s="60">
        <v>1.0</v>
      </c>
      <c r="I4426" s="60">
        <v>0.0</v>
      </c>
      <c r="J4426" s="59">
        <v>1.0</v>
      </c>
      <c r="K4426" s="61">
        <f t="shared" si="1"/>
        <v>1</v>
      </c>
      <c r="L4426" s="62">
        <f t="shared" si="2"/>
        <v>1</v>
      </c>
    </row>
    <row r="4427">
      <c r="A4427" s="58">
        <v>45839.0</v>
      </c>
      <c r="B4427" s="24" t="s">
        <v>6789</v>
      </c>
      <c r="C4427" s="24" t="s">
        <v>7079</v>
      </c>
      <c r="D4427" s="59">
        <v>1.0</v>
      </c>
      <c r="E4427" s="59">
        <v>1.0</v>
      </c>
      <c r="F4427" s="59">
        <v>1.0</v>
      </c>
      <c r="G4427" s="60">
        <v>1.0</v>
      </c>
      <c r="H4427" s="60">
        <v>1.0</v>
      </c>
      <c r="I4427" s="60">
        <v>8.151275</v>
      </c>
      <c r="J4427" s="59">
        <v>1.0</v>
      </c>
      <c r="K4427" s="61">
        <f t="shared" si="1"/>
        <v>1</v>
      </c>
      <c r="L4427" s="62">
        <f t="shared" si="2"/>
        <v>1</v>
      </c>
    </row>
    <row r="4428">
      <c r="A4428" s="58">
        <v>45839.0</v>
      </c>
      <c r="B4428" s="24" t="s">
        <v>6787</v>
      </c>
      <c r="C4428" s="24" t="s">
        <v>7007</v>
      </c>
      <c r="D4428" s="59">
        <v>1.0</v>
      </c>
      <c r="E4428" s="59">
        <v>1.0</v>
      </c>
      <c r="F4428" s="59">
        <v>1.0</v>
      </c>
      <c r="G4428" s="60">
        <v>1.0</v>
      </c>
      <c r="H4428" s="60">
        <v>1.0</v>
      </c>
      <c r="I4428" s="60">
        <v>0.0</v>
      </c>
      <c r="J4428" s="59">
        <v>1.0</v>
      </c>
      <c r="K4428" s="61">
        <f t="shared" si="1"/>
        <v>1</v>
      </c>
      <c r="L4428" s="62">
        <f t="shared" si="2"/>
        <v>1</v>
      </c>
    </row>
    <row r="4429">
      <c r="A4429" s="58">
        <v>45839.0</v>
      </c>
      <c r="B4429" s="24" t="s">
        <v>6789</v>
      </c>
      <c r="C4429" s="24" t="s">
        <v>7007</v>
      </c>
      <c r="D4429" s="59">
        <v>1.0</v>
      </c>
      <c r="E4429" s="59">
        <v>1.0</v>
      </c>
      <c r="F4429" s="59">
        <v>1.0</v>
      </c>
      <c r="G4429" s="60">
        <v>1.0</v>
      </c>
      <c r="H4429" s="60">
        <v>1.0</v>
      </c>
      <c r="I4429" s="60">
        <v>0.0</v>
      </c>
      <c r="J4429" s="59">
        <v>1.0</v>
      </c>
      <c r="K4429" s="61">
        <f t="shared" si="1"/>
        <v>1</v>
      </c>
      <c r="L4429" s="62">
        <f t="shared" si="2"/>
        <v>1</v>
      </c>
    </row>
    <row r="4430">
      <c r="A4430" s="58">
        <v>45839.0</v>
      </c>
      <c r="B4430" s="24" t="s">
        <v>6787</v>
      </c>
      <c r="C4430" s="24" t="s">
        <v>6902</v>
      </c>
      <c r="D4430" s="59">
        <v>1.0</v>
      </c>
      <c r="E4430" s="59">
        <v>1.0</v>
      </c>
      <c r="F4430" s="59">
        <v>1.0</v>
      </c>
      <c r="G4430" s="60">
        <v>1.0</v>
      </c>
      <c r="H4430" s="60">
        <v>1.0</v>
      </c>
      <c r="I4430" s="60">
        <v>0.0</v>
      </c>
      <c r="J4430" s="59">
        <v>1.0</v>
      </c>
      <c r="K4430" s="61">
        <f t="shared" si="1"/>
        <v>1</v>
      </c>
      <c r="L4430" s="62">
        <f t="shared" si="2"/>
        <v>1</v>
      </c>
    </row>
    <row r="4431">
      <c r="A4431" s="58">
        <v>45839.0</v>
      </c>
      <c r="B4431" s="24" t="s">
        <v>6789</v>
      </c>
      <c r="C4431" s="24" t="s">
        <v>6902</v>
      </c>
      <c r="D4431" s="59">
        <v>1.0</v>
      </c>
      <c r="E4431" s="59">
        <v>1.0</v>
      </c>
      <c r="F4431" s="59">
        <v>1.0</v>
      </c>
      <c r="G4431" s="60">
        <v>1.0</v>
      </c>
      <c r="H4431" s="60">
        <v>0.0</v>
      </c>
      <c r="I4431" s="60">
        <v>244.847479</v>
      </c>
      <c r="J4431" s="59">
        <v>1.0</v>
      </c>
      <c r="K4431" s="61">
        <f t="shared" si="1"/>
        <v>1</v>
      </c>
      <c r="L4431" s="62">
        <f t="shared" si="2"/>
        <v>1</v>
      </c>
    </row>
    <row r="4432">
      <c r="A4432" s="58">
        <v>45839.0</v>
      </c>
      <c r="B4432" s="24" t="s">
        <v>155</v>
      </c>
      <c r="C4432" s="24" t="s">
        <v>6902</v>
      </c>
      <c r="D4432" s="59">
        <v>1.0</v>
      </c>
      <c r="E4432" s="59">
        <v>1.0</v>
      </c>
      <c r="F4432" s="59">
        <v>1.0</v>
      </c>
      <c r="G4432" s="60">
        <v>1.0</v>
      </c>
      <c r="H4432" s="60">
        <v>0.0</v>
      </c>
      <c r="I4432" s="60">
        <v>22.440704</v>
      </c>
      <c r="J4432" s="59">
        <v>1.0</v>
      </c>
      <c r="K4432" s="61">
        <f t="shared" si="1"/>
        <v>1</v>
      </c>
      <c r="L4432" s="62">
        <f t="shared" si="2"/>
        <v>1</v>
      </c>
    </row>
    <row r="4433">
      <c r="A4433" s="58">
        <v>45839.0</v>
      </c>
      <c r="B4433" s="24" t="s">
        <v>6789</v>
      </c>
      <c r="C4433" s="24" t="s">
        <v>7009</v>
      </c>
      <c r="D4433" s="59">
        <v>1.0</v>
      </c>
      <c r="E4433" s="59">
        <v>1.0</v>
      </c>
      <c r="F4433" s="59">
        <v>1.0</v>
      </c>
      <c r="G4433" s="60">
        <v>1.0</v>
      </c>
      <c r="H4433" s="60">
        <v>1.0</v>
      </c>
      <c r="I4433" s="60">
        <v>2.777975</v>
      </c>
      <c r="J4433" s="59">
        <v>1.0</v>
      </c>
      <c r="K4433" s="61">
        <f t="shared" si="1"/>
        <v>1</v>
      </c>
      <c r="L4433" s="62">
        <f t="shared" si="2"/>
        <v>1</v>
      </c>
    </row>
    <row r="4434">
      <c r="A4434" s="58">
        <v>45839.0</v>
      </c>
      <c r="B4434" s="24" t="s">
        <v>155</v>
      </c>
      <c r="C4434" s="24" t="s">
        <v>7009</v>
      </c>
      <c r="D4434" s="59">
        <v>1.0</v>
      </c>
      <c r="E4434" s="59">
        <v>1.0</v>
      </c>
      <c r="F4434" s="59">
        <v>0.0</v>
      </c>
      <c r="G4434" s="60">
        <v>1.0</v>
      </c>
      <c r="H4434" s="60">
        <v>0.0</v>
      </c>
      <c r="I4434" s="60">
        <v>15.717325</v>
      </c>
      <c r="J4434" s="59">
        <v>1.0</v>
      </c>
      <c r="K4434" s="61">
        <f t="shared" si="1"/>
        <v>0</v>
      </c>
      <c r="L4434" s="62">
        <f t="shared" si="2"/>
        <v>1</v>
      </c>
    </row>
    <row r="4435">
      <c r="A4435" s="58">
        <v>45839.0</v>
      </c>
      <c r="B4435" s="24" t="s">
        <v>6787</v>
      </c>
      <c r="C4435" s="24" t="s">
        <v>7401</v>
      </c>
      <c r="D4435" s="59">
        <v>1.0</v>
      </c>
      <c r="E4435" s="59">
        <v>1.0</v>
      </c>
      <c r="F4435" s="59">
        <v>1.0</v>
      </c>
      <c r="G4435" s="60">
        <v>1.0</v>
      </c>
      <c r="H4435" s="60">
        <v>1.0</v>
      </c>
      <c r="I4435" s="60">
        <v>5.22865</v>
      </c>
      <c r="J4435" s="59">
        <v>1.0</v>
      </c>
      <c r="K4435" s="61">
        <f t="shared" si="1"/>
        <v>1</v>
      </c>
      <c r="L4435" s="62">
        <f t="shared" si="2"/>
        <v>1</v>
      </c>
    </row>
    <row r="4436">
      <c r="A4436" s="58">
        <v>45839.0</v>
      </c>
      <c r="B4436" s="24" t="s">
        <v>155</v>
      </c>
      <c r="C4436" s="24" t="s">
        <v>6905</v>
      </c>
      <c r="D4436" s="59">
        <v>1.0</v>
      </c>
      <c r="E4436" s="59">
        <v>1.0</v>
      </c>
      <c r="F4436" s="59">
        <v>0.0</v>
      </c>
      <c r="G4436" s="60">
        <v>1.0</v>
      </c>
      <c r="H4436" s="60">
        <v>0.0</v>
      </c>
      <c r="I4436" s="60">
        <v>173.998079</v>
      </c>
      <c r="J4436" s="59">
        <v>1.0</v>
      </c>
      <c r="K4436" s="61">
        <f t="shared" si="1"/>
        <v>0</v>
      </c>
      <c r="L4436" s="62">
        <f t="shared" si="2"/>
        <v>1</v>
      </c>
    </row>
    <row r="4437">
      <c r="A4437" s="58">
        <v>45839.0</v>
      </c>
      <c r="B4437" s="24" t="s">
        <v>6787</v>
      </c>
      <c r="C4437" s="24" t="s">
        <v>7125</v>
      </c>
      <c r="D4437" s="59">
        <v>1.0</v>
      </c>
      <c r="E4437" s="59">
        <v>1.0</v>
      </c>
      <c r="F4437" s="59">
        <v>1.0</v>
      </c>
      <c r="G4437" s="60">
        <v>1.0</v>
      </c>
      <c r="H4437" s="60">
        <v>1.0</v>
      </c>
      <c r="I4437" s="60">
        <v>0.0</v>
      </c>
      <c r="J4437" s="59">
        <v>1.0</v>
      </c>
      <c r="K4437" s="61">
        <f t="shared" si="1"/>
        <v>1</v>
      </c>
      <c r="L4437" s="62">
        <f t="shared" si="2"/>
        <v>1</v>
      </c>
    </row>
    <row r="4438">
      <c r="A4438" s="58">
        <v>45839.0</v>
      </c>
      <c r="B4438" s="24" t="s">
        <v>6789</v>
      </c>
      <c r="C4438" s="24" t="s">
        <v>7125</v>
      </c>
      <c r="D4438" s="59">
        <v>1.0</v>
      </c>
      <c r="E4438" s="59">
        <v>1.0</v>
      </c>
      <c r="F4438" s="59">
        <v>0.0</v>
      </c>
      <c r="G4438" s="60">
        <v>1.0</v>
      </c>
      <c r="H4438" s="60">
        <v>0.0</v>
      </c>
      <c r="I4438" s="60">
        <v>511.370834</v>
      </c>
      <c r="J4438" s="59">
        <v>3.0</v>
      </c>
      <c r="K4438" s="61">
        <f t="shared" si="1"/>
        <v>0</v>
      </c>
      <c r="L4438" s="62">
        <f t="shared" si="2"/>
        <v>3</v>
      </c>
    </row>
    <row r="4439">
      <c r="A4439" s="58">
        <v>45839.0</v>
      </c>
      <c r="B4439" s="24" t="s">
        <v>6794</v>
      </c>
      <c r="C4439" s="24" t="s">
        <v>7310</v>
      </c>
      <c r="D4439" s="59">
        <v>1.0</v>
      </c>
      <c r="E4439" s="59">
        <v>1.0</v>
      </c>
      <c r="F4439" s="59">
        <v>0.0</v>
      </c>
      <c r="G4439" s="60">
        <v>1.0</v>
      </c>
      <c r="H4439" s="60">
        <v>1.0</v>
      </c>
      <c r="I4439" s="60">
        <v>0.0</v>
      </c>
      <c r="J4439" s="59">
        <v>1.0</v>
      </c>
      <c r="K4439" s="61">
        <f t="shared" si="1"/>
        <v>0</v>
      </c>
      <c r="L4439" s="62">
        <f t="shared" si="2"/>
        <v>1</v>
      </c>
    </row>
    <row r="4440">
      <c r="A4440" s="58">
        <v>45839.0</v>
      </c>
      <c r="B4440" s="24" t="s">
        <v>6789</v>
      </c>
      <c r="C4440" s="24" t="s">
        <v>7041</v>
      </c>
      <c r="D4440" s="59">
        <v>1.0</v>
      </c>
      <c r="E4440" s="59">
        <v>1.0</v>
      </c>
      <c r="F4440" s="59">
        <v>0.0</v>
      </c>
      <c r="G4440" s="60">
        <v>1.0</v>
      </c>
      <c r="H4440" s="60">
        <v>1.0</v>
      </c>
      <c r="I4440" s="60">
        <v>0.0</v>
      </c>
      <c r="J4440" s="59">
        <v>1.0</v>
      </c>
      <c r="K4440" s="61">
        <f t="shared" si="1"/>
        <v>0</v>
      </c>
      <c r="L4440" s="62">
        <f t="shared" si="2"/>
        <v>1</v>
      </c>
    </row>
    <row r="4441">
      <c r="A4441" s="58">
        <v>45839.0</v>
      </c>
      <c r="B4441" s="24" t="s">
        <v>6794</v>
      </c>
      <c r="C4441" s="24" t="s">
        <v>7041</v>
      </c>
      <c r="D4441" s="59">
        <v>1.0</v>
      </c>
      <c r="E4441" s="59">
        <v>1.0</v>
      </c>
      <c r="F4441" s="59">
        <v>0.0</v>
      </c>
      <c r="G4441" s="60">
        <v>1.0</v>
      </c>
      <c r="H4441" s="60">
        <v>0.0</v>
      </c>
      <c r="I4441" s="60">
        <v>2599.344389</v>
      </c>
      <c r="J4441" s="59">
        <v>6.0</v>
      </c>
      <c r="K4441" s="61">
        <f t="shared" si="1"/>
        <v>0</v>
      </c>
      <c r="L4441" s="62">
        <f t="shared" si="2"/>
        <v>6</v>
      </c>
    </row>
    <row r="4442">
      <c r="A4442" s="58">
        <v>45839.0</v>
      </c>
      <c r="B4442" s="24" t="s">
        <v>6794</v>
      </c>
      <c r="C4442" s="24" t="s">
        <v>7356</v>
      </c>
      <c r="D4442" s="59">
        <v>1.0</v>
      </c>
      <c r="E4442" s="59">
        <v>1.0</v>
      </c>
      <c r="F4442" s="59">
        <v>0.0</v>
      </c>
      <c r="G4442" s="60">
        <v>1.0</v>
      </c>
      <c r="H4442" s="60">
        <v>0.0</v>
      </c>
      <c r="I4442" s="60">
        <v>986.495883</v>
      </c>
      <c r="J4442" s="59">
        <v>4.0</v>
      </c>
      <c r="K4442" s="61">
        <f t="shared" si="1"/>
        <v>0</v>
      </c>
      <c r="L4442" s="62">
        <f t="shared" si="2"/>
        <v>4</v>
      </c>
    </row>
    <row r="4443">
      <c r="A4443" s="58">
        <v>45839.0</v>
      </c>
      <c r="B4443" s="24" t="s">
        <v>6790</v>
      </c>
      <c r="C4443" s="24" t="s">
        <v>7356</v>
      </c>
      <c r="D4443" s="59">
        <v>1.0</v>
      </c>
      <c r="E4443" s="59">
        <v>1.0</v>
      </c>
      <c r="F4443" s="59">
        <v>1.0</v>
      </c>
      <c r="G4443" s="60">
        <v>1.0</v>
      </c>
      <c r="H4443" s="60">
        <v>0.0</v>
      </c>
      <c r="I4443" s="60">
        <v>15.10089</v>
      </c>
      <c r="J4443" s="59">
        <v>5.0</v>
      </c>
      <c r="K4443" s="61">
        <f t="shared" si="1"/>
        <v>1</v>
      </c>
      <c r="L4443" s="62">
        <f t="shared" si="2"/>
        <v>5</v>
      </c>
    </row>
    <row r="4444">
      <c r="A4444" s="58">
        <v>45839.0</v>
      </c>
      <c r="B4444" s="24" t="s">
        <v>6787</v>
      </c>
      <c r="C4444" s="24" t="s">
        <v>7234</v>
      </c>
      <c r="D4444" s="59">
        <v>1.0</v>
      </c>
      <c r="E4444" s="59">
        <v>1.0</v>
      </c>
      <c r="F4444" s="59">
        <v>1.0</v>
      </c>
      <c r="G4444" s="60">
        <v>1.0</v>
      </c>
      <c r="H4444" s="60">
        <v>1.0</v>
      </c>
      <c r="I4444" s="60">
        <v>0.0</v>
      </c>
      <c r="J4444" s="59">
        <v>1.0</v>
      </c>
      <c r="K4444" s="61">
        <f t="shared" si="1"/>
        <v>1</v>
      </c>
      <c r="L4444" s="62">
        <f t="shared" si="2"/>
        <v>1</v>
      </c>
    </row>
    <row r="4445">
      <c r="A4445" s="58">
        <v>45839.0</v>
      </c>
      <c r="B4445" s="24" t="s">
        <v>6790</v>
      </c>
      <c r="C4445" s="24" t="s">
        <v>7231</v>
      </c>
      <c r="D4445" s="59">
        <v>1.0</v>
      </c>
      <c r="E4445" s="59">
        <v>1.0</v>
      </c>
      <c r="F4445" s="59">
        <v>0.0</v>
      </c>
      <c r="G4445" s="60">
        <v>1.0</v>
      </c>
      <c r="H4445" s="60">
        <v>0.0</v>
      </c>
      <c r="I4445" s="60">
        <v>27.753051</v>
      </c>
      <c r="J4445" s="59">
        <v>5.0</v>
      </c>
      <c r="K4445" s="61">
        <f t="shared" si="1"/>
        <v>0</v>
      </c>
      <c r="L4445" s="62">
        <f t="shared" si="2"/>
        <v>5</v>
      </c>
    </row>
    <row r="4446">
      <c r="A4446" s="58">
        <v>45839.0</v>
      </c>
      <c r="B4446" s="24" t="s">
        <v>6787</v>
      </c>
      <c r="C4446" s="24" t="s">
        <v>7383</v>
      </c>
      <c r="D4446" s="59">
        <v>1.0</v>
      </c>
      <c r="E4446" s="59">
        <v>1.0</v>
      </c>
      <c r="F4446" s="59">
        <v>1.0</v>
      </c>
      <c r="G4446" s="60">
        <v>1.0</v>
      </c>
      <c r="H4446" s="60">
        <v>1.0</v>
      </c>
      <c r="I4446" s="60">
        <v>8.61357</v>
      </c>
      <c r="J4446" s="59">
        <v>1.0</v>
      </c>
      <c r="K4446" s="61">
        <f t="shared" si="1"/>
        <v>1</v>
      </c>
      <c r="L4446" s="62">
        <f t="shared" si="2"/>
        <v>1</v>
      </c>
    </row>
    <row r="4447">
      <c r="A4447" s="58">
        <v>45839.0</v>
      </c>
      <c r="B4447" s="24" t="s">
        <v>6787</v>
      </c>
      <c r="C4447" s="24" t="s">
        <v>6907</v>
      </c>
      <c r="D4447" s="59">
        <v>1.0</v>
      </c>
      <c r="E4447" s="59">
        <v>1.0</v>
      </c>
      <c r="F4447" s="59">
        <v>1.0</v>
      </c>
      <c r="G4447" s="60">
        <v>1.0</v>
      </c>
      <c r="H4447" s="60">
        <v>1.0</v>
      </c>
      <c r="I4447" s="60">
        <v>0.0</v>
      </c>
      <c r="J4447" s="59">
        <v>1.0</v>
      </c>
      <c r="K4447" s="61">
        <f t="shared" si="1"/>
        <v>1</v>
      </c>
      <c r="L4447" s="62">
        <f t="shared" si="2"/>
        <v>1</v>
      </c>
    </row>
    <row r="4448">
      <c r="A4448" s="58">
        <v>45839.0</v>
      </c>
      <c r="B4448" s="24" t="s">
        <v>6794</v>
      </c>
      <c r="C4448" s="24" t="s">
        <v>6907</v>
      </c>
      <c r="D4448" s="59">
        <v>1.0</v>
      </c>
      <c r="E4448" s="59">
        <v>1.0</v>
      </c>
      <c r="F4448" s="59">
        <v>0.0</v>
      </c>
      <c r="G4448" s="60">
        <v>1.0</v>
      </c>
      <c r="H4448" s="60">
        <v>0.0</v>
      </c>
      <c r="I4448" s="60">
        <v>440.638483</v>
      </c>
      <c r="J4448" s="59">
        <v>4.0</v>
      </c>
      <c r="K4448" s="61">
        <f t="shared" si="1"/>
        <v>0</v>
      </c>
      <c r="L4448" s="62">
        <f t="shared" si="2"/>
        <v>4</v>
      </c>
    </row>
    <row r="4449">
      <c r="A4449" s="58">
        <v>45839.0</v>
      </c>
      <c r="B4449" s="24" t="s">
        <v>155</v>
      </c>
      <c r="C4449" s="24" t="s">
        <v>6907</v>
      </c>
      <c r="D4449" s="59">
        <v>1.0</v>
      </c>
      <c r="E4449" s="59">
        <v>1.0</v>
      </c>
      <c r="F4449" s="59">
        <v>1.0</v>
      </c>
      <c r="G4449" s="60">
        <v>1.0</v>
      </c>
      <c r="H4449" s="60">
        <v>0.0</v>
      </c>
      <c r="I4449" s="60">
        <v>13.936959</v>
      </c>
      <c r="J4449" s="59">
        <v>2.0</v>
      </c>
      <c r="K4449" s="61">
        <f t="shared" si="1"/>
        <v>1</v>
      </c>
      <c r="L4449" s="62">
        <f t="shared" si="2"/>
        <v>2</v>
      </c>
    </row>
    <row r="4450">
      <c r="A4450" s="58">
        <v>45839.0</v>
      </c>
      <c r="B4450" s="24" t="s">
        <v>6789</v>
      </c>
      <c r="C4450" s="24" t="s">
        <v>7087</v>
      </c>
      <c r="D4450" s="59">
        <v>1.0</v>
      </c>
      <c r="E4450" s="59">
        <v>1.0</v>
      </c>
      <c r="F4450" s="59">
        <v>1.0</v>
      </c>
      <c r="G4450" s="60">
        <v>1.0</v>
      </c>
      <c r="H4450" s="60">
        <v>1.0</v>
      </c>
      <c r="I4450" s="60">
        <v>0.0</v>
      </c>
      <c r="J4450" s="59">
        <v>1.0</v>
      </c>
      <c r="K4450" s="61">
        <f t="shared" si="1"/>
        <v>1</v>
      </c>
      <c r="L4450" s="62">
        <f t="shared" si="2"/>
        <v>1</v>
      </c>
    </row>
    <row r="4451">
      <c r="A4451" s="58">
        <v>45839.0</v>
      </c>
      <c r="B4451" s="24" t="s">
        <v>6787</v>
      </c>
      <c r="C4451" s="24" t="s">
        <v>7035</v>
      </c>
      <c r="D4451" s="59">
        <v>1.0</v>
      </c>
      <c r="E4451" s="59">
        <v>1.0</v>
      </c>
      <c r="F4451" s="59">
        <v>1.0</v>
      </c>
      <c r="G4451" s="60">
        <v>1.0</v>
      </c>
      <c r="H4451" s="60">
        <v>0.0</v>
      </c>
      <c r="I4451" s="60">
        <v>55.603646</v>
      </c>
      <c r="J4451" s="59">
        <v>1.0</v>
      </c>
      <c r="K4451" s="61">
        <f t="shared" si="1"/>
        <v>1</v>
      </c>
      <c r="L4451" s="62">
        <f t="shared" si="2"/>
        <v>1</v>
      </c>
    </row>
    <row r="4452">
      <c r="A4452" s="58">
        <v>45839.0</v>
      </c>
      <c r="B4452" s="24" t="s">
        <v>6787</v>
      </c>
      <c r="C4452" s="24" t="s">
        <v>7026</v>
      </c>
      <c r="D4452" s="59">
        <v>1.0</v>
      </c>
      <c r="E4452" s="59">
        <v>1.0</v>
      </c>
      <c r="F4452" s="59">
        <v>1.0</v>
      </c>
      <c r="G4452" s="60">
        <v>1.0</v>
      </c>
      <c r="H4452" s="60">
        <v>1.0</v>
      </c>
      <c r="I4452" s="60">
        <v>0.0</v>
      </c>
      <c r="J4452" s="59">
        <v>1.0</v>
      </c>
      <c r="K4452" s="61">
        <f t="shared" si="1"/>
        <v>1</v>
      </c>
      <c r="L4452" s="62">
        <f t="shared" si="2"/>
        <v>1</v>
      </c>
    </row>
    <row r="4453">
      <c r="A4453" s="58">
        <v>45839.0</v>
      </c>
      <c r="B4453" s="24" t="s">
        <v>6787</v>
      </c>
      <c r="C4453" s="24" t="s">
        <v>7158</v>
      </c>
      <c r="D4453" s="59">
        <v>1.0</v>
      </c>
      <c r="E4453" s="59">
        <v>1.0</v>
      </c>
      <c r="F4453" s="59">
        <v>1.0</v>
      </c>
      <c r="G4453" s="60">
        <v>1.0</v>
      </c>
      <c r="H4453" s="60">
        <v>1.0</v>
      </c>
      <c r="I4453" s="60">
        <v>0.0</v>
      </c>
      <c r="J4453" s="59">
        <v>1.0</v>
      </c>
      <c r="K4453" s="61">
        <f t="shared" si="1"/>
        <v>1</v>
      </c>
      <c r="L4453" s="62">
        <f t="shared" si="2"/>
        <v>1</v>
      </c>
    </row>
    <row r="4454">
      <c r="A4454" s="58">
        <v>45839.0</v>
      </c>
      <c r="B4454" s="24" t="s">
        <v>6789</v>
      </c>
      <c r="C4454" s="24" t="s">
        <v>7158</v>
      </c>
      <c r="D4454" s="59">
        <v>1.0</v>
      </c>
      <c r="E4454" s="59">
        <v>1.0</v>
      </c>
      <c r="F4454" s="59">
        <v>1.0</v>
      </c>
      <c r="G4454" s="60">
        <v>1.0</v>
      </c>
      <c r="H4454" s="60">
        <v>1.0</v>
      </c>
      <c r="I4454" s="60">
        <v>8.339321</v>
      </c>
      <c r="J4454" s="59">
        <v>1.0</v>
      </c>
      <c r="K4454" s="61">
        <f t="shared" si="1"/>
        <v>1</v>
      </c>
      <c r="L4454" s="62">
        <f t="shared" si="2"/>
        <v>1</v>
      </c>
    </row>
    <row r="4455">
      <c r="A4455" s="58">
        <v>45839.0</v>
      </c>
      <c r="B4455" s="24" t="s">
        <v>6787</v>
      </c>
      <c r="C4455" s="24" t="s">
        <v>7088</v>
      </c>
      <c r="D4455" s="59">
        <v>1.0</v>
      </c>
      <c r="E4455" s="59">
        <v>1.0</v>
      </c>
      <c r="F4455" s="59">
        <v>1.0</v>
      </c>
      <c r="G4455" s="60">
        <v>1.0</v>
      </c>
      <c r="H4455" s="60">
        <v>1.0</v>
      </c>
      <c r="I4455" s="60">
        <v>0.0</v>
      </c>
      <c r="J4455" s="59">
        <v>1.0</v>
      </c>
      <c r="K4455" s="61">
        <f t="shared" si="1"/>
        <v>1</v>
      </c>
      <c r="L4455" s="62">
        <f t="shared" si="2"/>
        <v>1</v>
      </c>
    </row>
    <row r="4456">
      <c r="A4456" s="58">
        <v>45839.0</v>
      </c>
      <c r="B4456" s="24" t="s">
        <v>6789</v>
      </c>
      <c r="C4456" s="24" t="s">
        <v>7189</v>
      </c>
      <c r="D4456" s="59">
        <v>1.0</v>
      </c>
      <c r="E4456" s="59">
        <v>1.0</v>
      </c>
      <c r="F4456" s="59">
        <v>1.0</v>
      </c>
      <c r="G4456" s="60">
        <v>1.0</v>
      </c>
      <c r="H4456" s="60">
        <v>1.0</v>
      </c>
      <c r="I4456" s="60">
        <v>0.0</v>
      </c>
      <c r="J4456" s="59">
        <v>1.0</v>
      </c>
      <c r="K4456" s="61">
        <f t="shared" si="1"/>
        <v>1</v>
      </c>
      <c r="L4456" s="62">
        <f t="shared" si="2"/>
        <v>1</v>
      </c>
    </row>
    <row r="4457">
      <c r="A4457" s="58">
        <v>45839.0</v>
      </c>
      <c r="B4457" s="24" t="s">
        <v>6789</v>
      </c>
      <c r="C4457" s="24" t="s">
        <v>7043</v>
      </c>
      <c r="D4457" s="59">
        <v>1.0</v>
      </c>
      <c r="E4457" s="59">
        <v>1.0</v>
      </c>
      <c r="F4457" s="59">
        <v>1.0</v>
      </c>
      <c r="G4457" s="60">
        <v>1.0</v>
      </c>
      <c r="H4457" s="60">
        <v>0.0</v>
      </c>
      <c r="I4457" s="60">
        <v>11.161507</v>
      </c>
      <c r="J4457" s="59">
        <v>1.0</v>
      </c>
      <c r="K4457" s="61">
        <f t="shared" si="1"/>
        <v>1</v>
      </c>
      <c r="L4457" s="62">
        <f t="shared" si="2"/>
        <v>1</v>
      </c>
    </row>
    <row r="4458">
      <c r="A4458" s="58">
        <v>45839.0</v>
      </c>
      <c r="B4458" s="24" t="s">
        <v>6787</v>
      </c>
      <c r="C4458" s="24" t="s">
        <v>7089</v>
      </c>
      <c r="D4458" s="59">
        <v>1.0</v>
      </c>
      <c r="E4458" s="59">
        <v>1.0</v>
      </c>
      <c r="F4458" s="59">
        <v>1.0</v>
      </c>
      <c r="G4458" s="60">
        <v>1.0</v>
      </c>
      <c r="H4458" s="60">
        <v>1.0</v>
      </c>
      <c r="I4458" s="60">
        <v>0.0</v>
      </c>
      <c r="J4458" s="59">
        <v>1.0</v>
      </c>
      <c r="K4458" s="61">
        <f t="shared" si="1"/>
        <v>1</v>
      </c>
      <c r="L4458" s="62">
        <f t="shared" si="2"/>
        <v>1</v>
      </c>
    </row>
    <row r="4459">
      <c r="A4459" s="58">
        <v>45839.0</v>
      </c>
      <c r="B4459" s="24" t="s">
        <v>6789</v>
      </c>
      <c r="C4459" s="24" t="s">
        <v>7090</v>
      </c>
      <c r="D4459" s="59">
        <v>1.0</v>
      </c>
      <c r="E4459" s="59">
        <v>1.0</v>
      </c>
      <c r="F4459" s="59">
        <v>1.0</v>
      </c>
      <c r="G4459" s="60">
        <v>1.0</v>
      </c>
      <c r="H4459" s="60">
        <v>1.0</v>
      </c>
      <c r="I4459" s="60">
        <v>0.0</v>
      </c>
      <c r="J4459" s="59">
        <v>1.0</v>
      </c>
      <c r="K4459" s="61">
        <f t="shared" si="1"/>
        <v>1</v>
      </c>
      <c r="L4459" s="62">
        <f t="shared" si="2"/>
        <v>1</v>
      </c>
    </row>
    <row r="4460">
      <c r="A4460" s="58">
        <v>45839.0</v>
      </c>
      <c r="B4460" s="24" t="s">
        <v>6787</v>
      </c>
      <c r="C4460" s="24" t="s">
        <v>7160</v>
      </c>
      <c r="D4460" s="59">
        <v>1.0</v>
      </c>
      <c r="E4460" s="59">
        <v>1.0</v>
      </c>
      <c r="F4460" s="59">
        <v>1.0</v>
      </c>
      <c r="G4460" s="60">
        <v>1.0</v>
      </c>
      <c r="H4460" s="60">
        <v>1.0</v>
      </c>
      <c r="I4460" s="60">
        <v>0.0</v>
      </c>
      <c r="J4460" s="59">
        <v>1.0</v>
      </c>
      <c r="K4460" s="61">
        <f t="shared" si="1"/>
        <v>1</v>
      </c>
      <c r="L4460" s="62">
        <f t="shared" si="2"/>
        <v>1</v>
      </c>
    </row>
    <row r="4461">
      <c r="A4461" s="58">
        <v>45839.0</v>
      </c>
      <c r="B4461" s="24" t="s">
        <v>6789</v>
      </c>
      <c r="C4461" s="24" t="s">
        <v>7160</v>
      </c>
      <c r="D4461" s="59">
        <v>1.0</v>
      </c>
      <c r="E4461" s="59">
        <v>1.0</v>
      </c>
      <c r="F4461" s="59">
        <v>1.0</v>
      </c>
      <c r="G4461" s="60">
        <v>1.0</v>
      </c>
      <c r="H4461" s="60">
        <v>1.0</v>
      </c>
      <c r="I4461" s="60">
        <v>7.785953</v>
      </c>
      <c r="J4461" s="59">
        <v>1.0</v>
      </c>
      <c r="K4461" s="61">
        <f t="shared" si="1"/>
        <v>1</v>
      </c>
      <c r="L4461" s="62">
        <f t="shared" si="2"/>
        <v>1</v>
      </c>
    </row>
    <row r="4462">
      <c r="A4462" s="58">
        <v>45839.0</v>
      </c>
      <c r="B4462" s="24" t="s">
        <v>6787</v>
      </c>
      <c r="C4462" s="24" t="s">
        <v>7190</v>
      </c>
      <c r="D4462" s="59">
        <v>1.0</v>
      </c>
      <c r="E4462" s="59">
        <v>1.0</v>
      </c>
      <c r="F4462" s="59">
        <v>1.0</v>
      </c>
      <c r="G4462" s="60">
        <v>1.0</v>
      </c>
      <c r="H4462" s="60">
        <v>1.0</v>
      </c>
      <c r="I4462" s="60">
        <v>0.0</v>
      </c>
      <c r="J4462" s="59">
        <v>1.0</v>
      </c>
      <c r="K4462" s="61">
        <f t="shared" si="1"/>
        <v>1</v>
      </c>
      <c r="L4462" s="62">
        <f t="shared" si="2"/>
        <v>1</v>
      </c>
    </row>
    <row r="4463">
      <c r="A4463" s="58">
        <v>45839.0</v>
      </c>
      <c r="B4463" s="24" t="s">
        <v>3216</v>
      </c>
      <c r="C4463" s="24" t="s">
        <v>7190</v>
      </c>
      <c r="D4463" s="59">
        <v>1.0</v>
      </c>
      <c r="E4463" s="59">
        <v>2.0</v>
      </c>
      <c r="F4463" s="59">
        <v>0.0</v>
      </c>
      <c r="G4463" s="60">
        <v>2.0</v>
      </c>
      <c r="H4463" s="60">
        <v>0.5</v>
      </c>
      <c r="I4463" s="60">
        <v>1460.4912535</v>
      </c>
      <c r="J4463" s="59">
        <v>4.0</v>
      </c>
      <c r="K4463" s="61">
        <f t="shared" si="1"/>
        <v>0</v>
      </c>
      <c r="L4463" s="62">
        <f t="shared" si="2"/>
        <v>2</v>
      </c>
    </row>
    <row r="4464">
      <c r="A4464" s="58">
        <v>45839.0</v>
      </c>
      <c r="B4464" s="24" t="s">
        <v>6789</v>
      </c>
      <c r="C4464" s="24" t="s">
        <v>7190</v>
      </c>
      <c r="D4464" s="59">
        <v>1.0</v>
      </c>
      <c r="E4464" s="59">
        <v>1.0</v>
      </c>
      <c r="F4464" s="59">
        <v>1.0</v>
      </c>
      <c r="G4464" s="60">
        <v>1.0</v>
      </c>
      <c r="H4464" s="60">
        <v>1.0</v>
      </c>
      <c r="I4464" s="60">
        <v>0.0</v>
      </c>
      <c r="J4464" s="59">
        <v>1.0</v>
      </c>
      <c r="K4464" s="61">
        <f t="shared" si="1"/>
        <v>1</v>
      </c>
      <c r="L4464" s="62">
        <f t="shared" si="2"/>
        <v>1</v>
      </c>
    </row>
    <row r="4465">
      <c r="A4465" s="58">
        <v>45839.0</v>
      </c>
      <c r="B4465" s="24" t="s">
        <v>6787</v>
      </c>
      <c r="C4465" s="24" t="s">
        <v>7022</v>
      </c>
      <c r="D4465" s="59">
        <v>1.0</v>
      </c>
      <c r="E4465" s="59">
        <v>1.0</v>
      </c>
      <c r="F4465" s="59">
        <v>1.0</v>
      </c>
      <c r="G4465" s="60">
        <v>1.0</v>
      </c>
      <c r="H4465" s="60">
        <v>0.0</v>
      </c>
      <c r="I4465" s="60">
        <v>54.619071</v>
      </c>
      <c r="J4465" s="59">
        <v>1.0</v>
      </c>
      <c r="K4465" s="61">
        <f t="shared" si="1"/>
        <v>1</v>
      </c>
      <c r="L4465" s="62">
        <f t="shared" si="2"/>
        <v>1</v>
      </c>
    </row>
    <row r="4466">
      <c r="A4466" s="58">
        <v>45839.0</v>
      </c>
      <c r="B4466" s="24" t="s">
        <v>6787</v>
      </c>
      <c r="C4466" s="24" t="s">
        <v>7036</v>
      </c>
      <c r="D4466" s="59">
        <v>1.0</v>
      </c>
      <c r="E4466" s="59">
        <v>1.0</v>
      </c>
      <c r="F4466" s="59">
        <v>1.0</v>
      </c>
      <c r="G4466" s="60">
        <v>1.0</v>
      </c>
      <c r="H4466" s="60">
        <v>1.0</v>
      </c>
      <c r="I4466" s="60">
        <v>0.0</v>
      </c>
      <c r="J4466" s="59">
        <v>1.0</v>
      </c>
      <c r="K4466" s="61">
        <f t="shared" si="1"/>
        <v>1</v>
      </c>
      <c r="L4466" s="62">
        <f t="shared" si="2"/>
        <v>1</v>
      </c>
    </row>
    <row r="4467">
      <c r="A4467" s="58">
        <v>45839.0</v>
      </c>
      <c r="B4467" s="24" t="s">
        <v>6789</v>
      </c>
      <c r="C4467" s="24" t="s">
        <v>7036</v>
      </c>
      <c r="D4467" s="59">
        <v>1.0</v>
      </c>
      <c r="E4467" s="59">
        <v>1.0</v>
      </c>
      <c r="F4467" s="59">
        <v>1.0</v>
      </c>
      <c r="G4467" s="60">
        <v>1.0</v>
      </c>
      <c r="H4467" s="60">
        <v>1.0</v>
      </c>
      <c r="I4467" s="60">
        <v>0.0</v>
      </c>
      <c r="J4467" s="59">
        <v>1.0</v>
      </c>
      <c r="K4467" s="61">
        <f t="shared" si="1"/>
        <v>1</v>
      </c>
      <c r="L4467" s="62">
        <f t="shared" si="2"/>
        <v>1</v>
      </c>
    </row>
    <row r="4468">
      <c r="A4468" s="58">
        <v>45839.0</v>
      </c>
      <c r="B4468" s="24" t="s">
        <v>6790</v>
      </c>
      <c r="C4468" s="24" t="s">
        <v>7036</v>
      </c>
      <c r="D4468" s="59">
        <v>1.0</v>
      </c>
      <c r="E4468" s="59">
        <v>1.0</v>
      </c>
      <c r="F4468" s="59">
        <v>1.0</v>
      </c>
      <c r="G4468" s="60">
        <v>1.0</v>
      </c>
      <c r="H4468" s="60">
        <v>1.0</v>
      </c>
      <c r="I4468" s="60">
        <v>0.0</v>
      </c>
      <c r="J4468" s="59">
        <v>1.0</v>
      </c>
      <c r="K4468" s="61">
        <f t="shared" si="1"/>
        <v>1</v>
      </c>
      <c r="L4468" s="62">
        <f t="shared" si="2"/>
        <v>1</v>
      </c>
    </row>
    <row r="4469">
      <c r="A4469" s="58">
        <v>45839.0</v>
      </c>
      <c r="B4469" s="24" t="s">
        <v>6787</v>
      </c>
      <c r="C4469" s="24" t="s">
        <v>7135</v>
      </c>
      <c r="D4469" s="59">
        <v>1.0</v>
      </c>
      <c r="E4469" s="59">
        <v>1.0</v>
      </c>
      <c r="F4469" s="59">
        <v>1.0</v>
      </c>
      <c r="G4469" s="60">
        <v>1.0</v>
      </c>
      <c r="H4469" s="60">
        <v>1.0</v>
      </c>
      <c r="I4469" s="60">
        <v>0.0</v>
      </c>
      <c r="J4469" s="59">
        <v>1.0</v>
      </c>
      <c r="K4469" s="61">
        <f t="shared" si="1"/>
        <v>1</v>
      </c>
      <c r="L4469" s="62">
        <f t="shared" si="2"/>
        <v>1</v>
      </c>
    </row>
    <row r="4470">
      <c r="A4470" s="58">
        <v>45839.0</v>
      </c>
      <c r="B4470" s="24" t="s">
        <v>6789</v>
      </c>
      <c r="C4470" s="24" t="s">
        <v>7135</v>
      </c>
      <c r="D4470" s="59">
        <v>1.0</v>
      </c>
      <c r="E4470" s="59">
        <v>1.0</v>
      </c>
      <c r="F4470" s="59">
        <v>1.0</v>
      </c>
      <c r="G4470" s="60">
        <v>1.0</v>
      </c>
      <c r="H4470" s="60">
        <v>1.0</v>
      </c>
      <c r="I4470" s="60">
        <v>0.0</v>
      </c>
      <c r="J4470" s="59">
        <v>1.0</v>
      </c>
      <c r="K4470" s="61">
        <f t="shared" si="1"/>
        <v>1</v>
      </c>
      <c r="L4470" s="62">
        <f t="shared" si="2"/>
        <v>1</v>
      </c>
    </row>
    <row r="4471">
      <c r="A4471" s="58">
        <v>45839.0</v>
      </c>
      <c r="B4471" s="24" t="s">
        <v>6787</v>
      </c>
      <c r="C4471" s="24" t="s">
        <v>7091</v>
      </c>
      <c r="D4471" s="59">
        <v>1.0</v>
      </c>
      <c r="E4471" s="59">
        <v>1.0</v>
      </c>
      <c r="F4471" s="59">
        <v>1.0</v>
      </c>
      <c r="G4471" s="60">
        <v>1.0</v>
      </c>
      <c r="H4471" s="60">
        <v>0.0</v>
      </c>
      <c r="I4471" s="60">
        <v>56.038242</v>
      </c>
      <c r="J4471" s="59">
        <v>1.0</v>
      </c>
      <c r="K4471" s="61">
        <f t="shared" si="1"/>
        <v>1</v>
      </c>
      <c r="L4471" s="62">
        <f t="shared" si="2"/>
        <v>1</v>
      </c>
    </row>
    <row r="4472">
      <c r="A4472" s="58">
        <v>45839.0</v>
      </c>
      <c r="B4472" s="24" t="s">
        <v>6787</v>
      </c>
      <c r="C4472" s="24" t="s">
        <v>7162</v>
      </c>
      <c r="D4472" s="59">
        <v>1.0</v>
      </c>
      <c r="E4472" s="59">
        <v>1.0</v>
      </c>
      <c r="F4472" s="59">
        <v>1.0</v>
      </c>
      <c r="G4472" s="60">
        <v>1.0</v>
      </c>
      <c r="H4472" s="60">
        <v>1.0</v>
      </c>
      <c r="I4472" s="60">
        <v>0.0</v>
      </c>
      <c r="J4472" s="59">
        <v>1.0</v>
      </c>
      <c r="K4472" s="61">
        <f t="shared" si="1"/>
        <v>1</v>
      </c>
      <c r="L4472" s="62">
        <f t="shared" si="2"/>
        <v>1</v>
      </c>
    </row>
    <row r="4473">
      <c r="A4473" s="58">
        <v>45839.0</v>
      </c>
      <c r="B4473" s="24" t="s">
        <v>6787</v>
      </c>
      <c r="C4473" s="24" t="s">
        <v>7191</v>
      </c>
      <c r="D4473" s="59">
        <v>1.0</v>
      </c>
      <c r="E4473" s="59">
        <v>1.0</v>
      </c>
      <c r="F4473" s="59">
        <v>1.0</v>
      </c>
      <c r="G4473" s="60">
        <v>1.0</v>
      </c>
      <c r="H4473" s="60">
        <v>1.0</v>
      </c>
      <c r="I4473" s="60">
        <v>0.0</v>
      </c>
      <c r="J4473" s="59">
        <v>1.0</v>
      </c>
      <c r="K4473" s="61">
        <f t="shared" si="1"/>
        <v>1</v>
      </c>
      <c r="L4473" s="62">
        <f t="shared" si="2"/>
        <v>1</v>
      </c>
    </row>
    <row r="4474">
      <c r="A4474" s="58">
        <v>45839.0</v>
      </c>
      <c r="B4474" s="24" t="s">
        <v>6789</v>
      </c>
      <c r="C4474" s="24" t="s">
        <v>7191</v>
      </c>
      <c r="D4474" s="59">
        <v>1.0</v>
      </c>
      <c r="E4474" s="59">
        <v>1.0</v>
      </c>
      <c r="F4474" s="59">
        <v>1.0</v>
      </c>
      <c r="G4474" s="60">
        <v>1.0</v>
      </c>
      <c r="H4474" s="60">
        <v>1.0</v>
      </c>
      <c r="I4474" s="60">
        <v>8.767814</v>
      </c>
      <c r="J4474" s="59">
        <v>1.0</v>
      </c>
      <c r="K4474" s="61">
        <f t="shared" si="1"/>
        <v>1</v>
      </c>
      <c r="L4474" s="62">
        <f t="shared" si="2"/>
        <v>1</v>
      </c>
    </row>
    <row r="4475">
      <c r="A4475" s="58">
        <v>45839.0</v>
      </c>
      <c r="B4475" s="24" t="s">
        <v>6787</v>
      </c>
      <c r="C4475" s="24" t="s">
        <v>7130</v>
      </c>
      <c r="D4475" s="59">
        <v>1.0</v>
      </c>
      <c r="E4475" s="59">
        <v>1.0</v>
      </c>
      <c r="F4475" s="59">
        <v>1.0</v>
      </c>
      <c r="G4475" s="60">
        <v>1.0</v>
      </c>
      <c r="H4475" s="60">
        <v>1.0</v>
      </c>
      <c r="I4475" s="60">
        <v>0.0</v>
      </c>
      <c r="J4475" s="59">
        <v>1.0</v>
      </c>
      <c r="K4475" s="61">
        <f t="shared" si="1"/>
        <v>1</v>
      </c>
      <c r="L4475" s="62">
        <f t="shared" si="2"/>
        <v>1</v>
      </c>
    </row>
    <row r="4476">
      <c r="A4476" s="58">
        <v>45839.0</v>
      </c>
      <c r="B4476" s="24" t="s">
        <v>6789</v>
      </c>
      <c r="C4476" s="24" t="s">
        <v>7130</v>
      </c>
      <c r="D4476" s="59">
        <v>1.0</v>
      </c>
      <c r="E4476" s="59">
        <v>1.0</v>
      </c>
      <c r="F4476" s="59">
        <v>1.0</v>
      </c>
      <c r="G4476" s="60">
        <v>1.0</v>
      </c>
      <c r="H4476" s="60">
        <v>1.0</v>
      </c>
      <c r="I4476" s="60">
        <v>9.351416</v>
      </c>
      <c r="J4476" s="59">
        <v>1.0</v>
      </c>
      <c r="K4476" s="61">
        <f t="shared" si="1"/>
        <v>1</v>
      </c>
      <c r="L4476" s="62">
        <f t="shared" si="2"/>
        <v>1</v>
      </c>
    </row>
    <row r="4477">
      <c r="A4477" s="58">
        <v>45839.0</v>
      </c>
      <c r="B4477" s="24" t="s">
        <v>6787</v>
      </c>
      <c r="C4477" s="24" t="s">
        <v>7131</v>
      </c>
      <c r="D4477" s="59">
        <v>1.0</v>
      </c>
      <c r="E4477" s="59">
        <v>1.0</v>
      </c>
      <c r="F4477" s="59">
        <v>1.0</v>
      </c>
      <c r="G4477" s="60">
        <v>1.0</v>
      </c>
      <c r="H4477" s="60">
        <v>1.0</v>
      </c>
      <c r="I4477" s="60">
        <v>0.0</v>
      </c>
      <c r="J4477" s="59">
        <v>1.0</v>
      </c>
      <c r="K4477" s="61">
        <f t="shared" si="1"/>
        <v>1</v>
      </c>
      <c r="L4477" s="62">
        <f t="shared" si="2"/>
        <v>1</v>
      </c>
    </row>
    <row r="4478">
      <c r="A4478" s="58">
        <v>45839.0</v>
      </c>
      <c r="B4478" s="24" t="s">
        <v>6789</v>
      </c>
      <c r="C4478" s="24" t="s">
        <v>7131</v>
      </c>
      <c r="D4478" s="59">
        <v>1.0</v>
      </c>
      <c r="E4478" s="59">
        <v>1.0</v>
      </c>
      <c r="F4478" s="59">
        <v>1.0</v>
      </c>
      <c r="G4478" s="60">
        <v>1.0</v>
      </c>
      <c r="H4478" s="60">
        <v>1.0</v>
      </c>
      <c r="I4478" s="60">
        <v>0.0</v>
      </c>
      <c r="J4478" s="59">
        <v>1.0</v>
      </c>
      <c r="K4478" s="61">
        <f t="shared" si="1"/>
        <v>1</v>
      </c>
      <c r="L4478" s="62">
        <f t="shared" si="2"/>
        <v>1</v>
      </c>
    </row>
    <row r="4479">
      <c r="A4479" s="58">
        <v>45839.0</v>
      </c>
      <c r="B4479" s="24" t="s">
        <v>6787</v>
      </c>
      <c r="C4479" s="24" t="s">
        <v>7163</v>
      </c>
      <c r="D4479" s="59">
        <v>1.0</v>
      </c>
      <c r="E4479" s="59">
        <v>1.0</v>
      </c>
      <c r="F4479" s="59">
        <v>1.0</v>
      </c>
      <c r="G4479" s="60">
        <v>1.0</v>
      </c>
      <c r="H4479" s="60">
        <v>1.0</v>
      </c>
      <c r="I4479" s="60">
        <v>0.0</v>
      </c>
      <c r="J4479" s="59">
        <v>1.0</v>
      </c>
      <c r="K4479" s="61">
        <f t="shared" si="1"/>
        <v>1</v>
      </c>
      <c r="L4479" s="62">
        <f t="shared" si="2"/>
        <v>1</v>
      </c>
    </row>
    <row r="4480">
      <c r="A4480" s="58">
        <v>45839.0</v>
      </c>
      <c r="B4480" s="24" t="s">
        <v>6789</v>
      </c>
      <c r="C4480" s="24" t="s">
        <v>7163</v>
      </c>
      <c r="D4480" s="59">
        <v>1.0</v>
      </c>
      <c r="E4480" s="59">
        <v>1.0</v>
      </c>
      <c r="F4480" s="59">
        <v>1.0</v>
      </c>
      <c r="G4480" s="60">
        <v>1.0</v>
      </c>
      <c r="H4480" s="60">
        <v>1.0</v>
      </c>
      <c r="I4480" s="60">
        <v>8.599049</v>
      </c>
      <c r="J4480" s="59">
        <v>1.0</v>
      </c>
      <c r="K4480" s="61">
        <f t="shared" si="1"/>
        <v>1</v>
      </c>
      <c r="L4480" s="62">
        <f t="shared" si="2"/>
        <v>1</v>
      </c>
    </row>
    <row r="4481">
      <c r="A4481" s="58">
        <v>45839.0</v>
      </c>
      <c r="B4481" s="24" t="s">
        <v>6787</v>
      </c>
      <c r="C4481" s="24" t="s">
        <v>7164</v>
      </c>
      <c r="D4481" s="59">
        <v>1.0</v>
      </c>
      <c r="E4481" s="59">
        <v>1.0</v>
      </c>
      <c r="F4481" s="59">
        <v>1.0</v>
      </c>
      <c r="G4481" s="60">
        <v>1.0</v>
      </c>
      <c r="H4481" s="60">
        <v>1.0</v>
      </c>
      <c r="I4481" s="60">
        <v>0.0</v>
      </c>
      <c r="J4481" s="59">
        <v>1.0</v>
      </c>
      <c r="K4481" s="61">
        <f t="shared" si="1"/>
        <v>1</v>
      </c>
      <c r="L4481" s="62">
        <f t="shared" si="2"/>
        <v>1</v>
      </c>
    </row>
    <row r="4482">
      <c r="A4482" s="58">
        <v>45839.0</v>
      </c>
      <c r="B4482" s="24" t="s">
        <v>6789</v>
      </c>
      <c r="C4482" s="24" t="s">
        <v>7164</v>
      </c>
      <c r="D4482" s="59">
        <v>1.0</v>
      </c>
      <c r="E4482" s="59">
        <v>1.0</v>
      </c>
      <c r="F4482" s="59">
        <v>1.0</v>
      </c>
      <c r="G4482" s="60">
        <v>1.0</v>
      </c>
      <c r="H4482" s="60">
        <v>1.0</v>
      </c>
      <c r="I4482" s="60">
        <v>9.336424</v>
      </c>
      <c r="J4482" s="59">
        <v>1.0</v>
      </c>
      <c r="K4482" s="61">
        <f t="shared" si="1"/>
        <v>1</v>
      </c>
      <c r="L4482" s="62">
        <f t="shared" si="2"/>
        <v>1</v>
      </c>
    </row>
    <row r="4483">
      <c r="A4483" s="58">
        <v>45839.0</v>
      </c>
      <c r="B4483" s="24" t="s">
        <v>6787</v>
      </c>
      <c r="C4483" s="24" t="s">
        <v>7092</v>
      </c>
      <c r="D4483" s="59">
        <v>1.0</v>
      </c>
      <c r="E4483" s="59">
        <v>1.0</v>
      </c>
      <c r="F4483" s="59">
        <v>1.0</v>
      </c>
      <c r="G4483" s="60">
        <v>1.0</v>
      </c>
      <c r="H4483" s="60">
        <v>1.0</v>
      </c>
      <c r="I4483" s="60">
        <v>0.0</v>
      </c>
      <c r="J4483" s="59">
        <v>1.0</v>
      </c>
      <c r="K4483" s="61">
        <f t="shared" si="1"/>
        <v>1</v>
      </c>
      <c r="L4483" s="62">
        <f t="shared" si="2"/>
        <v>1</v>
      </c>
    </row>
    <row r="4484">
      <c r="A4484" s="58">
        <v>45839.0</v>
      </c>
      <c r="B4484" s="24" t="s">
        <v>6789</v>
      </c>
      <c r="C4484" s="24" t="s">
        <v>7092</v>
      </c>
      <c r="D4484" s="59">
        <v>1.0</v>
      </c>
      <c r="E4484" s="59">
        <v>1.0</v>
      </c>
      <c r="F4484" s="59">
        <v>1.0</v>
      </c>
      <c r="G4484" s="60">
        <v>1.0</v>
      </c>
      <c r="H4484" s="60">
        <v>1.0</v>
      </c>
      <c r="I4484" s="60">
        <v>0.0</v>
      </c>
      <c r="J4484" s="59">
        <v>1.0</v>
      </c>
      <c r="K4484" s="61">
        <f t="shared" si="1"/>
        <v>1</v>
      </c>
      <c r="L4484" s="62">
        <f t="shared" si="2"/>
        <v>1</v>
      </c>
    </row>
    <row r="4485">
      <c r="A4485" s="58">
        <v>45839.0</v>
      </c>
      <c r="B4485" s="24" t="s">
        <v>6787</v>
      </c>
      <c r="C4485" s="24" t="s">
        <v>7093</v>
      </c>
      <c r="D4485" s="59">
        <v>1.0</v>
      </c>
      <c r="E4485" s="59">
        <v>1.0</v>
      </c>
      <c r="F4485" s="59">
        <v>1.0</v>
      </c>
      <c r="G4485" s="60">
        <v>1.0</v>
      </c>
      <c r="H4485" s="60">
        <v>1.0</v>
      </c>
      <c r="I4485" s="60">
        <v>0.0</v>
      </c>
      <c r="J4485" s="59">
        <v>1.0</v>
      </c>
      <c r="K4485" s="61">
        <f t="shared" si="1"/>
        <v>1</v>
      </c>
      <c r="L4485" s="62">
        <f t="shared" si="2"/>
        <v>1</v>
      </c>
    </row>
    <row r="4486">
      <c r="A4486" s="58">
        <v>45839.0</v>
      </c>
      <c r="B4486" s="24" t="s">
        <v>6789</v>
      </c>
      <c r="C4486" s="24" t="s">
        <v>7093</v>
      </c>
      <c r="D4486" s="59">
        <v>1.0</v>
      </c>
      <c r="E4486" s="59">
        <v>1.0</v>
      </c>
      <c r="F4486" s="59">
        <v>1.0</v>
      </c>
      <c r="G4486" s="60">
        <v>1.0</v>
      </c>
      <c r="H4486" s="60">
        <v>1.0</v>
      </c>
      <c r="I4486" s="60">
        <v>0.0</v>
      </c>
      <c r="J4486" s="59">
        <v>1.0</v>
      </c>
      <c r="K4486" s="61">
        <f t="shared" si="1"/>
        <v>1</v>
      </c>
      <c r="L4486" s="62">
        <f t="shared" si="2"/>
        <v>1</v>
      </c>
    </row>
    <row r="4487">
      <c r="A4487" s="58">
        <v>45839.0</v>
      </c>
      <c r="B4487" s="24" t="s">
        <v>6787</v>
      </c>
      <c r="C4487" s="24" t="s">
        <v>7094</v>
      </c>
      <c r="D4487" s="59">
        <v>1.0</v>
      </c>
      <c r="E4487" s="59">
        <v>1.0</v>
      </c>
      <c r="F4487" s="59">
        <v>1.0</v>
      </c>
      <c r="G4487" s="60">
        <v>1.0</v>
      </c>
      <c r="H4487" s="60">
        <v>1.0</v>
      </c>
      <c r="I4487" s="60">
        <v>0.0</v>
      </c>
      <c r="J4487" s="59">
        <v>1.0</v>
      </c>
      <c r="K4487" s="61">
        <f t="shared" si="1"/>
        <v>1</v>
      </c>
      <c r="L4487" s="62">
        <f t="shared" si="2"/>
        <v>1</v>
      </c>
    </row>
    <row r="4488">
      <c r="A4488" s="58">
        <v>45839.0</v>
      </c>
      <c r="B4488" s="24" t="s">
        <v>6787</v>
      </c>
      <c r="C4488" s="24" t="s">
        <v>7165</v>
      </c>
      <c r="D4488" s="59">
        <v>1.0</v>
      </c>
      <c r="E4488" s="59">
        <v>1.0</v>
      </c>
      <c r="F4488" s="59">
        <v>1.0</v>
      </c>
      <c r="G4488" s="60">
        <v>1.0</v>
      </c>
      <c r="H4488" s="60">
        <v>1.0</v>
      </c>
      <c r="I4488" s="60">
        <v>0.0</v>
      </c>
      <c r="J4488" s="59">
        <v>1.0</v>
      </c>
      <c r="K4488" s="61">
        <f t="shared" si="1"/>
        <v>1</v>
      </c>
      <c r="L4488" s="62">
        <f t="shared" si="2"/>
        <v>1</v>
      </c>
    </row>
    <row r="4489">
      <c r="A4489" s="58">
        <v>45839.0</v>
      </c>
      <c r="B4489" s="24" t="s">
        <v>6787</v>
      </c>
      <c r="C4489" s="24" t="s">
        <v>7136</v>
      </c>
      <c r="D4489" s="59">
        <v>1.0</v>
      </c>
      <c r="E4489" s="59">
        <v>1.0</v>
      </c>
      <c r="F4489" s="59">
        <v>1.0</v>
      </c>
      <c r="G4489" s="60">
        <v>1.0</v>
      </c>
      <c r="H4489" s="60">
        <v>1.0</v>
      </c>
      <c r="I4489" s="60">
        <v>0.0</v>
      </c>
      <c r="J4489" s="59">
        <v>1.0</v>
      </c>
      <c r="K4489" s="61">
        <f t="shared" si="1"/>
        <v>1</v>
      </c>
      <c r="L4489" s="62">
        <f t="shared" si="2"/>
        <v>1</v>
      </c>
    </row>
    <row r="4490">
      <c r="A4490" s="58">
        <v>45839.0</v>
      </c>
      <c r="B4490" s="24" t="s">
        <v>6787</v>
      </c>
      <c r="C4490" s="24" t="s">
        <v>7166</v>
      </c>
      <c r="D4490" s="59">
        <v>1.0</v>
      </c>
      <c r="E4490" s="59">
        <v>1.0</v>
      </c>
      <c r="F4490" s="59">
        <v>1.0</v>
      </c>
      <c r="G4490" s="60">
        <v>1.0</v>
      </c>
      <c r="H4490" s="60">
        <v>1.0</v>
      </c>
      <c r="I4490" s="60">
        <v>0.0</v>
      </c>
      <c r="J4490" s="59">
        <v>1.0</v>
      </c>
      <c r="K4490" s="61">
        <f t="shared" si="1"/>
        <v>1</v>
      </c>
      <c r="L4490" s="62">
        <f t="shared" si="2"/>
        <v>1</v>
      </c>
    </row>
    <row r="4491">
      <c r="A4491" s="58">
        <v>45839.0</v>
      </c>
      <c r="B4491" s="24" t="s">
        <v>6787</v>
      </c>
      <c r="C4491" s="24" t="s">
        <v>7167</v>
      </c>
      <c r="D4491" s="59">
        <v>1.0</v>
      </c>
      <c r="E4491" s="59">
        <v>1.0</v>
      </c>
      <c r="F4491" s="59">
        <v>1.0</v>
      </c>
      <c r="G4491" s="60">
        <v>1.0</v>
      </c>
      <c r="H4491" s="60">
        <v>1.0</v>
      </c>
      <c r="I4491" s="60">
        <v>0.0</v>
      </c>
      <c r="J4491" s="59">
        <v>1.0</v>
      </c>
      <c r="K4491" s="61">
        <f t="shared" si="1"/>
        <v>1</v>
      </c>
      <c r="L4491" s="62">
        <f t="shared" si="2"/>
        <v>1</v>
      </c>
    </row>
    <row r="4492">
      <c r="A4492" s="58">
        <v>45839.0</v>
      </c>
      <c r="B4492" s="24" t="s">
        <v>6789</v>
      </c>
      <c r="C4492" s="24" t="s">
        <v>7167</v>
      </c>
      <c r="D4492" s="59">
        <v>1.0</v>
      </c>
      <c r="E4492" s="59">
        <v>1.0</v>
      </c>
      <c r="F4492" s="59">
        <v>1.0</v>
      </c>
      <c r="G4492" s="60">
        <v>1.0</v>
      </c>
      <c r="H4492" s="60">
        <v>1.0</v>
      </c>
      <c r="I4492" s="60">
        <v>0.0</v>
      </c>
      <c r="J4492" s="59">
        <v>1.0</v>
      </c>
      <c r="K4492" s="61">
        <f t="shared" si="1"/>
        <v>1</v>
      </c>
      <c r="L4492" s="62">
        <f t="shared" si="2"/>
        <v>1</v>
      </c>
    </row>
    <row r="4493">
      <c r="A4493" s="58">
        <v>45839.0</v>
      </c>
      <c r="B4493" s="24" t="s">
        <v>6787</v>
      </c>
      <c r="C4493" s="24" t="s">
        <v>7168</v>
      </c>
      <c r="D4493" s="59">
        <v>1.0</v>
      </c>
      <c r="E4493" s="59">
        <v>1.0</v>
      </c>
      <c r="F4493" s="59">
        <v>1.0</v>
      </c>
      <c r="G4493" s="60">
        <v>1.0</v>
      </c>
      <c r="H4493" s="60">
        <v>1.0</v>
      </c>
      <c r="I4493" s="60">
        <v>0.0</v>
      </c>
      <c r="J4493" s="59">
        <v>1.0</v>
      </c>
      <c r="K4493" s="61">
        <f t="shared" si="1"/>
        <v>1</v>
      </c>
      <c r="L4493" s="62">
        <f t="shared" si="2"/>
        <v>1</v>
      </c>
    </row>
    <row r="4494">
      <c r="A4494" s="58">
        <v>45839.0</v>
      </c>
      <c r="B4494" s="24" t="s">
        <v>6789</v>
      </c>
      <c r="C4494" s="24" t="s">
        <v>7168</v>
      </c>
      <c r="D4494" s="59">
        <v>1.0</v>
      </c>
      <c r="E4494" s="59">
        <v>1.0</v>
      </c>
      <c r="F4494" s="59">
        <v>1.0</v>
      </c>
      <c r="G4494" s="60">
        <v>1.0</v>
      </c>
      <c r="H4494" s="60">
        <v>1.0</v>
      </c>
      <c r="I4494" s="60">
        <v>0.0</v>
      </c>
      <c r="J4494" s="59">
        <v>1.0</v>
      </c>
      <c r="K4494" s="61">
        <f t="shared" si="1"/>
        <v>1</v>
      </c>
      <c r="L4494" s="62">
        <f t="shared" si="2"/>
        <v>1</v>
      </c>
    </row>
    <row r="4495">
      <c r="A4495" s="58">
        <v>45839.0</v>
      </c>
      <c r="B4495" s="24" t="s">
        <v>6787</v>
      </c>
      <c r="C4495" s="24" t="s">
        <v>7095</v>
      </c>
      <c r="D4495" s="59">
        <v>1.0</v>
      </c>
      <c r="E4495" s="59">
        <v>1.0</v>
      </c>
      <c r="F4495" s="59">
        <v>1.0</v>
      </c>
      <c r="G4495" s="60">
        <v>1.0</v>
      </c>
      <c r="H4495" s="60">
        <v>1.0</v>
      </c>
      <c r="I4495" s="60">
        <v>0.0</v>
      </c>
      <c r="J4495" s="59">
        <v>1.0</v>
      </c>
      <c r="K4495" s="61">
        <f t="shared" si="1"/>
        <v>1</v>
      </c>
      <c r="L4495" s="62">
        <f t="shared" si="2"/>
        <v>1</v>
      </c>
    </row>
    <row r="4496">
      <c r="A4496" s="58">
        <v>45839.0</v>
      </c>
      <c r="B4496" s="24" t="s">
        <v>6789</v>
      </c>
      <c r="C4496" s="24" t="s">
        <v>7095</v>
      </c>
      <c r="D4496" s="59">
        <v>1.0</v>
      </c>
      <c r="E4496" s="59">
        <v>1.0</v>
      </c>
      <c r="F4496" s="59">
        <v>1.0</v>
      </c>
      <c r="G4496" s="60">
        <v>1.0</v>
      </c>
      <c r="H4496" s="60">
        <v>1.0</v>
      </c>
      <c r="I4496" s="60">
        <v>0.0</v>
      </c>
      <c r="J4496" s="59">
        <v>1.0</v>
      </c>
      <c r="K4496" s="61">
        <f t="shared" si="1"/>
        <v>1</v>
      </c>
      <c r="L4496" s="62">
        <f t="shared" si="2"/>
        <v>1</v>
      </c>
    </row>
    <row r="4497">
      <c r="A4497" s="58">
        <v>45839.0</v>
      </c>
      <c r="B4497" s="24" t="s">
        <v>6787</v>
      </c>
      <c r="C4497" s="24" t="s">
        <v>7185</v>
      </c>
      <c r="D4497" s="59">
        <v>1.0</v>
      </c>
      <c r="E4497" s="59">
        <v>1.0</v>
      </c>
      <c r="F4497" s="59">
        <v>1.0</v>
      </c>
      <c r="G4497" s="60">
        <v>1.0</v>
      </c>
      <c r="H4497" s="60">
        <v>1.0</v>
      </c>
      <c r="I4497" s="60">
        <v>0.0</v>
      </c>
      <c r="J4497" s="59">
        <v>1.0</v>
      </c>
      <c r="K4497" s="61">
        <f t="shared" si="1"/>
        <v>1</v>
      </c>
      <c r="L4497" s="62">
        <f t="shared" si="2"/>
        <v>1</v>
      </c>
    </row>
    <row r="4498">
      <c r="A4498" s="58">
        <v>45839.0</v>
      </c>
      <c r="B4498" s="24" t="s">
        <v>6789</v>
      </c>
      <c r="C4498" s="24" t="s">
        <v>7185</v>
      </c>
      <c r="D4498" s="59">
        <v>1.0</v>
      </c>
      <c r="E4498" s="59">
        <v>1.0</v>
      </c>
      <c r="F4498" s="59">
        <v>1.0</v>
      </c>
      <c r="G4498" s="60">
        <v>1.0</v>
      </c>
      <c r="H4498" s="60">
        <v>1.0</v>
      </c>
      <c r="I4498" s="60">
        <v>0.0</v>
      </c>
      <c r="J4498" s="59">
        <v>1.0</v>
      </c>
      <c r="K4498" s="61">
        <f t="shared" si="1"/>
        <v>1</v>
      </c>
      <c r="L4498" s="62">
        <f t="shared" si="2"/>
        <v>1</v>
      </c>
    </row>
    <row r="4499">
      <c r="A4499" s="58">
        <v>45839.0</v>
      </c>
      <c r="B4499" s="24" t="s">
        <v>6787</v>
      </c>
      <c r="C4499" s="24" t="s">
        <v>7186</v>
      </c>
      <c r="D4499" s="59">
        <v>1.0</v>
      </c>
      <c r="E4499" s="59">
        <v>1.0</v>
      </c>
      <c r="F4499" s="59">
        <v>1.0</v>
      </c>
      <c r="G4499" s="60">
        <v>1.0</v>
      </c>
      <c r="H4499" s="60">
        <v>1.0</v>
      </c>
      <c r="I4499" s="60">
        <v>0.0</v>
      </c>
      <c r="J4499" s="59">
        <v>1.0</v>
      </c>
      <c r="K4499" s="61">
        <f t="shared" si="1"/>
        <v>1</v>
      </c>
      <c r="L4499" s="62">
        <f t="shared" si="2"/>
        <v>1</v>
      </c>
    </row>
    <row r="4500">
      <c r="A4500" s="58">
        <v>45839.0</v>
      </c>
      <c r="B4500" s="24" t="s">
        <v>6789</v>
      </c>
      <c r="C4500" s="24" t="s">
        <v>7186</v>
      </c>
      <c r="D4500" s="59">
        <v>1.0</v>
      </c>
      <c r="E4500" s="59">
        <v>1.0</v>
      </c>
      <c r="F4500" s="59">
        <v>1.0</v>
      </c>
      <c r="G4500" s="60">
        <v>1.0</v>
      </c>
      <c r="H4500" s="60">
        <v>1.0</v>
      </c>
      <c r="I4500" s="60">
        <v>6.71724</v>
      </c>
      <c r="J4500" s="59">
        <v>1.0</v>
      </c>
      <c r="K4500" s="61">
        <f t="shared" si="1"/>
        <v>1</v>
      </c>
      <c r="L4500" s="62">
        <f t="shared" si="2"/>
        <v>1</v>
      </c>
    </row>
    <row r="4501">
      <c r="A4501" s="58">
        <v>45839.0</v>
      </c>
      <c r="B4501" s="24" t="s">
        <v>6789</v>
      </c>
      <c r="C4501" s="24" t="s">
        <v>7137</v>
      </c>
      <c r="D4501" s="59">
        <v>1.0</v>
      </c>
      <c r="E4501" s="59">
        <v>1.0</v>
      </c>
      <c r="F4501" s="59">
        <v>1.0</v>
      </c>
      <c r="G4501" s="60">
        <v>1.0</v>
      </c>
      <c r="H4501" s="60">
        <v>1.0</v>
      </c>
      <c r="I4501" s="60">
        <v>0.0</v>
      </c>
      <c r="J4501" s="59">
        <v>1.0</v>
      </c>
      <c r="K4501" s="61">
        <f t="shared" si="1"/>
        <v>1</v>
      </c>
      <c r="L4501" s="62">
        <f t="shared" si="2"/>
        <v>1</v>
      </c>
    </row>
    <row r="4502">
      <c r="A4502" s="58">
        <v>45839.0</v>
      </c>
      <c r="B4502" s="24" t="s">
        <v>6787</v>
      </c>
      <c r="C4502" s="24" t="s">
        <v>7097</v>
      </c>
      <c r="D4502" s="59">
        <v>1.0</v>
      </c>
      <c r="E4502" s="59">
        <v>1.0</v>
      </c>
      <c r="F4502" s="59">
        <v>1.0</v>
      </c>
      <c r="G4502" s="60">
        <v>1.0</v>
      </c>
      <c r="H4502" s="60">
        <v>1.0</v>
      </c>
      <c r="I4502" s="60">
        <v>0.0</v>
      </c>
      <c r="J4502" s="59">
        <v>1.0</v>
      </c>
      <c r="K4502" s="61">
        <f t="shared" si="1"/>
        <v>1</v>
      </c>
      <c r="L4502" s="62">
        <f t="shared" si="2"/>
        <v>1</v>
      </c>
    </row>
    <row r="4503">
      <c r="A4503" s="58">
        <v>45839.0</v>
      </c>
      <c r="B4503" s="24" t="s">
        <v>6789</v>
      </c>
      <c r="C4503" s="24" t="s">
        <v>7097</v>
      </c>
      <c r="D4503" s="59">
        <v>1.0</v>
      </c>
      <c r="E4503" s="59">
        <v>1.0</v>
      </c>
      <c r="F4503" s="59">
        <v>1.0</v>
      </c>
      <c r="G4503" s="60">
        <v>1.0</v>
      </c>
      <c r="H4503" s="60">
        <v>1.0</v>
      </c>
      <c r="I4503" s="60">
        <v>0.0</v>
      </c>
      <c r="J4503" s="59">
        <v>1.0</v>
      </c>
      <c r="K4503" s="61">
        <f t="shared" si="1"/>
        <v>1</v>
      </c>
      <c r="L4503" s="62">
        <f t="shared" si="2"/>
        <v>1</v>
      </c>
    </row>
    <row r="4504">
      <c r="A4504" s="58">
        <v>45839.0</v>
      </c>
      <c r="B4504" s="24" t="s">
        <v>6789</v>
      </c>
      <c r="C4504" s="24" t="s">
        <v>7098</v>
      </c>
      <c r="D4504" s="59">
        <v>1.0</v>
      </c>
      <c r="E4504" s="59">
        <v>1.0</v>
      </c>
      <c r="F4504" s="59">
        <v>1.0</v>
      </c>
      <c r="G4504" s="60">
        <v>1.0</v>
      </c>
      <c r="H4504" s="60">
        <v>1.0</v>
      </c>
      <c r="I4504" s="60">
        <v>0.0</v>
      </c>
      <c r="J4504" s="59">
        <v>1.0</v>
      </c>
      <c r="K4504" s="61">
        <f t="shared" si="1"/>
        <v>1</v>
      </c>
      <c r="L4504" s="62">
        <f t="shared" si="2"/>
        <v>1</v>
      </c>
    </row>
    <row r="4505">
      <c r="A4505" s="58">
        <v>45839.0</v>
      </c>
      <c r="B4505" s="24" t="s">
        <v>6787</v>
      </c>
      <c r="C4505" s="24" t="s">
        <v>7169</v>
      </c>
      <c r="D4505" s="59">
        <v>1.0</v>
      </c>
      <c r="E4505" s="59">
        <v>1.0</v>
      </c>
      <c r="F4505" s="59">
        <v>1.0</v>
      </c>
      <c r="G4505" s="60">
        <v>1.0</v>
      </c>
      <c r="H4505" s="60">
        <v>0.0</v>
      </c>
      <c r="I4505" s="60">
        <v>55.662261</v>
      </c>
      <c r="J4505" s="59">
        <v>1.0</v>
      </c>
      <c r="K4505" s="61">
        <f t="shared" si="1"/>
        <v>1</v>
      </c>
      <c r="L4505" s="62">
        <f t="shared" si="2"/>
        <v>1</v>
      </c>
    </row>
    <row r="4506">
      <c r="A4506" s="58">
        <v>45839.0</v>
      </c>
      <c r="B4506" s="24" t="s">
        <v>6787</v>
      </c>
      <c r="C4506" s="24" t="s">
        <v>7138</v>
      </c>
      <c r="D4506" s="59">
        <v>1.0</v>
      </c>
      <c r="E4506" s="59">
        <v>1.0</v>
      </c>
      <c r="F4506" s="59">
        <v>1.0</v>
      </c>
      <c r="G4506" s="60">
        <v>1.0</v>
      </c>
      <c r="H4506" s="60">
        <v>1.0</v>
      </c>
      <c r="I4506" s="60">
        <v>0.0</v>
      </c>
      <c r="J4506" s="59">
        <v>1.0</v>
      </c>
      <c r="K4506" s="61">
        <f t="shared" si="1"/>
        <v>1</v>
      </c>
      <c r="L4506" s="62">
        <f t="shared" si="2"/>
        <v>1</v>
      </c>
    </row>
    <row r="4507">
      <c r="A4507" s="58">
        <v>45839.0</v>
      </c>
      <c r="B4507" s="24" t="s">
        <v>6787</v>
      </c>
      <c r="C4507" s="24" t="s">
        <v>7402</v>
      </c>
      <c r="D4507" s="59">
        <v>1.0</v>
      </c>
      <c r="E4507" s="59">
        <v>1.0</v>
      </c>
      <c r="F4507" s="59">
        <v>1.0</v>
      </c>
      <c r="G4507" s="60">
        <v>1.0</v>
      </c>
      <c r="H4507" s="60">
        <v>1.0</v>
      </c>
      <c r="I4507" s="60">
        <v>0.0</v>
      </c>
      <c r="J4507" s="59">
        <v>1.0</v>
      </c>
      <c r="K4507" s="61">
        <f t="shared" si="1"/>
        <v>1</v>
      </c>
      <c r="L4507" s="62">
        <f t="shared" si="2"/>
        <v>1</v>
      </c>
    </row>
    <row r="4508">
      <c r="A4508" s="58">
        <v>45839.0</v>
      </c>
      <c r="B4508" s="24" t="s">
        <v>6789</v>
      </c>
      <c r="C4508" s="24" t="s">
        <v>7402</v>
      </c>
      <c r="D4508" s="59">
        <v>1.0</v>
      </c>
      <c r="E4508" s="59">
        <v>1.0</v>
      </c>
      <c r="F4508" s="59">
        <v>1.0</v>
      </c>
      <c r="G4508" s="60">
        <v>1.0</v>
      </c>
      <c r="H4508" s="60">
        <v>1.0</v>
      </c>
      <c r="I4508" s="60">
        <v>0.0</v>
      </c>
      <c r="J4508" s="59">
        <v>1.0</v>
      </c>
      <c r="K4508" s="61">
        <f t="shared" si="1"/>
        <v>1</v>
      </c>
      <c r="L4508" s="62">
        <f t="shared" si="2"/>
        <v>1</v>
      </c>
    </row>
    <row r="4509">
      <c r="A4509" s="58">
        <v>45839.0</v>
      </c>
      <c r="B4509" s="24" t="s">
        <v>6787</v>
      </c>
      <c r="C4509" s="24" t="s">
        <v>7099</v>
      </c>
      <c r="D4509" s="59">
        <v>1.0</v>
      </c>
      <c r="E4509" s="59">
        <v>1.0</v>
      </c>
      <c r="F4509" s="59">
        <v>1.0</v>
      </c>
      <c r="G4509" s="60">
        <v>1.0</v>
      </c>
      <c r="H4509" s="60">
        <v>1.0</v>
      </c>
      <c r="I4509" s="60">
        <v>0.0</v>
      </c>
      <c r="J4509" s="59">
        <v>1.0</v>
      </c>
      <c r="K4509" s="61">
        <f t="shared" si="1"/>
        <v>1</v>
      </c>
      <c r="L4509" s="62">
        <f t="shared" si="2"/>
        <v>1</v>
      </c>
    </row>
    <row r="4510">
      <c r="A4510" s="58">
        <v>45839.0</v>
      </c>
      <c r="B4510" s="24" t="s">
        <v>6789</v>
      </c>
      <c r="C4510" s="24" t="s">
        <v>7099</v>
      </c>
      <c r="D4510" s="59">
        <v>1.0</v>
      </c>
      <c r="E4510" s="59">
        <v>1.0</v>
      </c>
      <c r="F4510" s="59">
        <v>1.0</v>
      </c>
      <c r="G4510" s="60">
        <v>1.0</v>
      </c>
      <c r="H4510" s="60">
        <v>1.0</v>
      </c>
      <c r="I4510" s="60">
        <v>0.0</v>
      </c>
      <c r="J4510" s="59">
        <v>1.0</v>
      </c>
      <c r="K4510" s="61">
        <f t="shared" si="1"/>
        <v>1</v>
      </c>
      <c r="L4510" s="62">
        <f t="shared" si="2"/>
        <v>1</v>
      </c>
    </row>
    <row r="4511">
      <c r="A4511" s="58">
        <v>45839.0</v>
      </c>
      <c r="B4511" s="24" t="s">
        <v>6789</v>
      </c>
      <c r="C4511" s="24" t="s">
        <v>7170</v>
      </c>
      <c r="D4511" s="59">
        <v>1.0</v>
      </c>
      <c r="E4511" s="59">
        <v>1.0</v>
      </c>
      <c r="F4511" s="59">
        <v>1.0</v>
      </c>
      <c r="G4511" s="60">
        <v>1.0</v>
      </c>
      <c r="H4511" s="60">
        <v>1.0</v>
      </c>
      <c r="I4511" s="60">
        <v>0.0</v>
      </c>
      <c r="J4511" s="59">
        <v>1.0</v>
      </c>
      <c r="K4511" s="61">
        <f t="shared" si="1"/>
        <v>1</v>
      </c>
      <c r="L4511" s="62">
        <f t="shared" si="2"/>
        <v>1</v>
      </c>
    </row>
    <row r="4512">
      <c r="A4512" s="58">
        <v>45839.0</v>
      </c>
      <c r="B4512" s="24" t="s">
        <v>6787</v>
      </c>
      <c r="C4512" s="24" t="s">
        <v>7013</v>
      </c>
      <c r="D4512" s="59">
        <v>1.0</v>
      </c>
      <c r="E4512" s="59">
        <v>1.0</v>
      </c>
      <c r="F4512" s="59">
        <v>1.0</v>
      </c>
      <c r="G4512" s="60">
        <v>1.0</v>
      </c>
      <c r="H4512" s="60">
        <v>1.0</v>
      </c>
      <c r="I4512" s="60">
        <v>0.0</v>
      </c>
      <c r="J4512" s="59">
        <v>1.0</v>
      </c>
      <c r="K4512" s="61">
        <f t="shared" si="1"/>
        <v>1</v>
      </c>
      <c r="L4512" s="62">
        <f t="shared" si="2"/>
        <v>1</v>
      </c>
    </row>
    <row r="4513">
      <c r="A4513" s="58">
        <v>45839.0</v>
      </c>
      <c r="B4513" s="24" t="s">
        <v>6787</v>
      </c>
      <c r="C4513" s="24" t="s">
        <v>6960</v>
      </c>
      <c r="D4513" s="59">
        <v>1.0</v>
      </c>
      <c r="E4513" s="59">
        <v>1.0</v>
      </c>
      <c r="F4513" s="59">
        <v>1.0</v>
      </c>
      <c r="G4513" s="60">
        <v>1.0</v>
      </c>
      <c r="H4513" s="60">
        <v>1.0</v>
      </c>
      <c r="I4513" s="60">
        <v>0.0</v>
      </c>
      <c r="J4513" s="59">
        <v>1.0</v>
      </c>
      <c r="K4513" s="61">
        <f t="shared" si="1"/>
        <v>1</v>
      </c>
      <c r="L4513" s="62">
        <f t="shared" si="2"/>
        <v>1</v>
      </c>
    </row>
    <row r="4514">
      <c r="A4514" s="58">
        <v>45839.0</v>
      </c>
      <c r="B4514" s="24" t="s">
        <v>155</v>
      </c>
      <c r="C4514" s="24" t="s">
        <v>6812</v>
      </c>
      <c r="D4514" s="59">
        <v>1.0</v>
      </c>
      <c r="E4514" s="59">
        <v>1.0</v>
      </c>
      <c r="F4514" s="59">
        <v>0.0</v>
      </c>
      <c r="G4514" s="60">
        <v>1.0</v>
      </c>
      <c r="H4514" s="60">
        <v>0.0</v>
      </c>
      <c r="I4514" s="60">
        <v>128.075772</v>
      </c>
      <c r="J4514" s="59">
        <v>1.0</v>
      </c>
      <c r="K4514" s="61">
        <f t="shared" si="1"/>
        <v>0</v>
      </c>
      <c r="L4514" s="62">
        <f t="shared" si="2"/>
        <v>1</v>
      </c>
    </row>
    <row r="4515">
      <c r="A4515" s="58">
        <v>45839.0</v>
      </c>
      <c r="B4515" s="24" t="s">
        <v>6787</v>
      </c>
      <c r="C4515" s="24" t="s">
        <v>7101</v>
      </c>
      <c r="D4515" s="59">
        <v>1.0</v>
      </c>
      <c r="E4515" s="59">
        <v>1.0</v>
      </c>
      <c r="F4515" s="59">
        <v>1.0</v>
      </c>
      <c r="G4515" s="60">
        <v>1.0</v>
      </c>
      <c r="H4515" s="60">
        <v>1.0</v>
      </c>
      <c r="I4515" s="60">
        <v>0.0</v>
      </c>
      <c r="J4515" s="59">
        <v>1.0</v>
      </c>
      <c r="K4515" s="61">
        <f t="shared" si="1"/>
        <v>1</v>
      </c>
      <c r="L4515" s="62">
        <f t="shared" si="2"/>
        <v>1</v>
      </c>
    </row>
    <row r="4516">
      <c r="A4516" s="58">
        <v>45839.0</v>
      </c>
      <c r="B4516" s="24" t="s">
        <v>6789</v>
      </c>
      <c r="C4516" s="24" t="s">
        <v>7101</v>
      </c>
      <c r="D4516" s="59">
        <v>1.0</v>
      </c>
      <c r="E4516" s="59">
        <v>1.0</v>
      </c>
      <c r="F4516" s="59">
        <v>1.0</v>
      </c>
      <c r="G4516" s="60">
        <v>1.0</v>
      </c>
      <c r="H4516" s="60">
        <v>0.0</v>
      </c>
      <c r="I4516" s="60">
        <v>11.24081</v>
      </c>
      <c r="J4516" s="59">
        <v>1.0</v>
      </c>
      <c r="K4516" s="61">
        <f t="shared" si="1"/>
        <v>1</v>
      </c>
      <c r="L4516" s="62">
        <f t="shared" si="2"/>
        <v>1</v>
      </c>
    </row>
    <row r="4517">
      <c r="A4517" s="58">
        <v>45839.0</v>
      </c>
      <c r="B4517" s="24" t="s">
        <v>6787</v>
      </c>
      <c r="C4517" s="24" t="s">
        <v>6849</v>
      </c>
      <c r="D4517" s="59">
        <v>1.0</v>
      </c>
      <c r="E4517" s="59">
        <v>1.0</v>
      </c>
      <c r="F4517" s="59">
        <v>1.0</v>
      </c>
      <c r="G4517" s="60">
        <v>1.0</v>
      </c>
      <c r="H4517" s="60">
        <v>1.0</v>
      </c>
      <c r="I4517" s="60">
        <v>0.0</v>
      </c>
      <c r="J4517" s="59">
        <v>1.0</v>
      </c>
      <c r="K4517" s="61">
        <f t="shared" si="1"/>
        <v>1</v>
      </c>
      <c r="L4517" s="62">
        <f t="shared" si="2"/>
        <v>1</v>
      </c>
    </row>
    <row r="4518">
      <c r="A4518" s="58">
        <v>45839.0</v>
      </c>
      <c r="B4518" s="24" t="s">
        <v>6794</v>
      </c>
      <c r="C4518" s="24" t="s">
        <v>6849</v>
      </c>
      <c r="D4518" s="59">
        <v>1.0</v>
      </c>
      <c r="E4518" s="59">
        <v>1.0</v>
      </c>
      <c r="F4518" s="59">
        <v>1.0</v>
      </c>
      <c r="G4518" s="60">
        <v>1.0</v>
      </c>
      <c r="H4518" s="60">
        <v>1.0</v>
      </c>
      <c r="I4518" s="60">
        <v>0.0</v>
      </c>
      <c r="J4518" s="59">
        <v>1.0</v>
      </c>
      <c r="K4518" s="61">
        <f t="shared" si="1"/>
        <v>1</v>
      </c>
      <c r="L4518" s="62">
        <f t="shared" si="2"/>
        <v>1</v>
      </c>
    </row>
    <row r="4519">
      <c r="A4519" s="58">
        <v>45839.0</v>
      </c>
      <c r="B4519" s="24" t="s">
        <v>155</v>
      </c>
      <c r="C4519" s="24" t="s">
        <v>6849</v>
      </c>
      <c r="D4519" s="59">
        <v>1.0</v>
      </c>
      <c r="E4519" s="59">
        <v>1.0</v>
      </c>
      <c r="F4519" s="59">
        <v>0.0</v>
      </c>
      <c r="G4519" s="60">
        <v>1.0</v>
      </c>
      <c r="H4519" s="60">
        <v>0.0</v>
      </c>
      <c r="I4519" s="60">
        <v>143.42418</v>
      </c>
      <c r="J4519" s="59">
        <v>1.0</v>
      </c>
      <c r="K4519" s="61">
        <f t="shared" si="1"/>
        <v>0</v>
      </c>
      <c r="L4519" s="62">
        <f t="shared" si="2"/>
        <v>1</v>
      </c>
    </row>
    <row r="4520">
      <c r="A4520" s="58">
        <v>45839.0</v>
      </c>
      <c r="B4520" s="24" t="s">
        <v>6787</v>
      </c>
      <c r="C4520" s="24" t="s">
        <v>7044</v>
      </c>
      <c r="D4520" s="59">
        <v>1.0</v>
      </c>
      <c r="E4520" s="59">
        <v>1.0</v>
      </c>
      <c r="F4520" s="59">
        <v>1.0</v>
      </c>
      <c r="G4520" s="60">
        <v>1.0</v>
      </c>
      <c r="H4520" s="60">
        <v>1.0</v>
      </c>
      <c r="I4520" s="60">
        <v>0.0</v>
      </c>
      <c r="J4520" s="59">
        <v>1.0</v>
      </c>
      <c r="K4520" s="61">
        <f t="shared" si="1"/>
        <v>1</v>
      </c>
      <c r="L4520" s="62">
        <f t="shared" si="2"/>
        <v>1</v>
      </c>
    </row>
    <row r="4521">
      <c r="A4521" s="58">
        <v>45839.0</v>
      </c>
      <c r="B4521" s="24" t="s">
        <v>6787</v>
      </c>
      <c r="C4521" s="24" t="s">
        <v>6908</v>
      </c>
      <c r="D4521" s="59">
        <v>1.0</v>
      </c>
      <c r="E4521" s="59">
        <v>1.0</v>
      </c>
      <c r="F4521" s="59">
        <v>1.0</v>
      </c>
      <c r="G4521" s="60">
        <v>1.0</v>
      </c>
      <c r="H4521" s="60">
        <v>1.0</v>
      </c>
      <c r="I4521" s="60">
        <v>0.0</v>
      </c>
      <c r="J4521" s="59">
        <v>1.0</v>
      </c>
      <c r="K4521" s="61">
        <f t="shared" si="1"/>
        <v>1</v>
      </c>
      <c r="L4521" s="62">
        <f t="shared" si="2"/>
        <v>1</v>
      </c>
    </row>
    <row r="4522">
      <c r="A4522" s="58">
        <v>45839.0</v>
      </c>
      <c r="B4522" s="24" t="s">
        <v>155</v>
      </c>
      <c r="C4522" s="24" t="s">
        <v>6908</v>
      </c>
      <c r="D4522" s="59">
        <v>1.0</v>
      </c>
      <c r="E4522" s="59">
        <v>1.0</v>
      </c>
      <c r="F4522" s="59">
        <v>0.0</v>
      </c>
      <c r="G4522" s="60">
        <v>1.0</v>
      </c>
      <c r="H4522" s="60">
        <v>0.0</v>
      </c>
      <c r="I4522" s="60">
        <v>3.57082</v>
      </c>
      <c r="J4522" s="59">
        <v>4.0</v>
      </c>
      <c r="K4522" s="61">
        <f t="shared" si="1"/>
        <v>0</v>
      </c>
      <c r="L4522" s="62">
        <f t="shared" si="2"/>
        <v>4</v>
      </c>
    </row>
    <row r="4523">
      <c r="A4523" s="58">
        <v>45839.0</v>
      </c>
      <c r="B4523" s="24" t="s">
        <v>6789</v>
      </c>
      <c r="C4523" s="24" t="s">
        <v>7172</v>
      </c>
      <c r="D4523" s="59">
        <v>1.0</v>
      </c>
      <c r="E4523" s="59">
        <v>1.0</v>
      </c>
      <c r="F4523" s="59">
        <v>1.0</v>
      </c>
      <c r="G4523" s="60">
        <v>1.0</v>
      </c>
      <c r="H4523" s="60">
        <v>1.0</v>
      </c>
      <c r="I4523" s="60">
        <v>0.0</v>
      </c>
      <c r="J4523" s="59">
        <v>1.0</v>
      </c>
      <c r="K4523" s="61">
        <f t="shared" si="1"/>
        <v>1</v>
      </c>
      <c r="L4523" s="62">
        <f t="shared" si="2"/>
        <v>1</v>
      </c>
    </row>
    <row r="4524">
      <c r="A4524" s="58">
        <v>45839.0</v>
      </c>
      <c r="B4524" s="24" t="s">
        <v>6787</v>
      </c>
      <c r="C4524" s="24" t="s">
        <v>6813</v>
      </c>
      <c r="D4524" s="59">
        <v>1.0</v>
      </c>
      <c r="E4524" s="59">
        <v>1.0</v>
      </c>
      <c r="F4524" s="59">
        <v>1.0</v>
      </c>
      <c r="G4524" s="60">
        <v>1.0</v>
      </c>
      <c r="H4524" s="60">
        <v>1.0</v>
      </c>
      <c r="I4524" s="60">
        <v>3.834062</v>
      </c>
      <c r="J4524" s="59">
        <v>1.0</v>
      </c>
      <c r="K4524" s="61">
        <f t="shared" si="1"/>
        <v>1</v>
      </c>
      <c r="L4524" s="62">
        <f t="shared" si="2"/>
        <v>1</v>
      </c>
    </row>
    <row r="4525">
      <c r="A4525" s="58">
        <v>45839.0</v>
      </c>
      <c r="B4525" s="24" t="s">
        <v>6787</v>
      </c>
      <c r="C4525" s="24" t="s">
        <v>7313</v>
      </c>
      <c r="D4525" s="59">
        <v>1.0</v>
      </c>
      <c r="E4525" s="59">
        <v>1.0</v>
      </c>
      <c r="F4525" s="59">
        <v>1.0</v>
      </c>
      <c r="G4525" s="60">
        <v>1.0</v>
      </c>
      <c r="H4525" s="60">
        <v>1.0</v>
      </c>
      <c r="I4525" s="60">
        <v>0.0</v>
      </c>
      <c r="J4525" s="59">
        <v>1.0</v>
      </c>
      <c r="K4525" s="61">
        <f t="shared" si="1"/>
        <v>1</v>
      </c>
      <c r="L4525" s="62">
        <f t="shared" si="2"/>
        <v>1</v>
      </c>
    </row>
    <row r="4526">
      <c r="A4526" s="58">
        <v>45839.0</v>
      </c>
      <c r="B4526" s="24" t="s">
        <v>155</v>
      </c>
      <c r="C4526" s="24" t="s">
        <v>6851</v>
      </c>
      <c r="D4526" s="59">
        <v>1.0</v>
      </c>
      <c r="E4526" s="59">
        <v>1.0</v>
      </c>
      <c r="F4526" s="59">
        <v>0.0</v>
      </c>
      <c r="G4526" s="60">
        <v>1.0</v>
      </c>
      <c r="H4526" s="60">
        <v>0.0</v>
      </c>
      <c r="I4526" s="60">
        <v>1463.262452</v>
      </c>
      <c r="J4526" s="59">
        <v>4.0</v>
      </c>
      <c r="K4526" s="61">
        <f t="shared" si="1"/>
        <v>0</v>
      </c>
      <c r="L4526" s="62">
        <f t="shared" si="2"/>
        <v>4</v>
      </c>
    </row>
    <row r="4527">
      <c r="A4527" s="58">
        <v>45839.0</v>
      </c>
      <c r="B4527" s="24" t="s">
        <v>155</v>
      </c>
      <c r="C4527" s="24" t="s">
        <v>6801</v>
      </c>
      <c r="D4527" s="59">
        <v>1.0</v>
      </c>
      <c r="E4527" s="59">
        <v>2.0</v>
      </c>
      <c r="F4527" s="59">
        <v>0.0</v>
      </c>
      <c r="G4527" s="60">
        <v>2.0</v>
      </c>
      <c r="H4527" s="60">
        <v>0.0</v>
      </c>
      <c r="I4527" s="60">
        <v>27.3916935</v>
      </c>
      <c r="J4527" s="59">
        <v>2.0</v>
      </c>
      <c r="K4527" s="61">
        <f t="shared" si="1"/>
        <v>0</v>
      </c>
      <c r="L4527" s="62">
        <f t="shared" si="2"/>
        <v>1</v>
      </c>
    </row>
    <row r="4528">
      <c r="A4528" s="58">
        <v>45839.0</v>
      </c>
      <c r="B4528" s="24" t="s">
        <v>6787</v>
      </c>
      <c r="C4528" s="24" t="s">
        <v>7102</v>
      </c>
      <c r="D4528" s="59">
        <v>1.0</v>
      </c>
      <c r="E4528" s="59">
        <v>1.0</v>
      </c>
      <c r="F4528" s="59">
        <v>1.0</v>
      </c>
      <c r="G4528" s="60">
        <v>1.0</v>
      </c>
      <c r="H4528" s="60">
        <v>1.0</v>
      </c>
      <c r="I4528" s="60">
        <v>0.0</v>
      </c>
      <c r="J4528" s="59">
        <v>1.0</v>
      </c>
      <c r="K4528" s="61">
        <f t="shared" si="1"/>
        <v>1</v>
      </c>
      <c r="L4528" s="62">
        <f t="shared" si="2"/>
        <v>1</v>
      </c>
    </row>
    <row r="4529">
      <c r="A4529" s="58">
        <v>45839.0</v>
      </c>
      <c r="B4529" s="24" t="s">
        <v>6787</v>
      </c>
      <c r="C4529" s="24" t="s">
        <v>7173</v>
      </c>
      <c r="D4529" s="59">
        <v>1.0</v>
      </c>
      <c r="E4529" s="59">
        <v>1.0</v>
      </c>
      <c r="F4529" s="59">
        <v>1.0</v>
      </c>
      <c r="G4529" s="60">
        <v>1.0</v>
      </c>
      <c r="H4529" s="60">
        <v>1.0</v>
      </c>
      <c r="I4529" s="60">
        <v>0.0</v>
      </c>
      <c r="J4529" s="59">
        <v>1.0</v>
      </c>
      <c r="K4529" s="61">
        <f t="shared" si="1"/>
        <v>1</v>
      </c>
      <c r="L4529" s="62">
        <f t="shared" si="2"/>
        <v>1</v>
      </c>
    </row>
    <row r="4530">
      <c r="A4530" s="58">
        <v>45839.0</v>
      </c>
      <c r="B4530" s="24" t="s">
        <v>6789</v>
      </c>
      <c r="C4530" s="24" t="s">
        <v>7023</v>
      </c>
      <c r="D4530" s="59">
        <v>1.0</v>
      </c>
      <c r="E4530" s="59">
        <v>1.0</v>
      </c>
      <c r="F4530" s="59">
        <v>1.0</v>
      </c>
      <c r="G4530" s="60">
        <v>1.0</v>
      </c>
      <c r="H4530" s="60">
        <v>1.0</v>
      </c>
      <c r="I4530" s="60">
        <v>0.0</v>
      </c>
      <c r="J4530" s="59">
        <v>1.0</v>
      </c>
      <c r="K4530" s="61">
        <f t="shared" si="1"/>
        <v>1</v>
      </c>
      <c r="L4530" s="62">
        <f t="shared" si="2"/>
        <v>1</v>
      </c>
    </row>
    <row r="4531">
      <c r="A4531" s="58">
        <v>45839.0</v>
      </c>
      <c r="B4531" s="24" t="s">
        <v>155</v>
      </c>
      <c r="C4531" s="24" t="s">
        <v>6912</v>
      </c>
      <c r="D4531" s="59">
        <v>1.0</v>
      </c>
      <c r="E4531" s="59">
        <v>1.0</v>
      </c>
      <c r="F4531" s="59">
        <v>1.0</v>
      </c>
      <c r="G4531" s="60">
        <v>1.0</v>
      </c>
      <c r="H4531" s="60">
        <v>0.0</v>
      </c>
      <c r="I4531" s="60">
        <v>11.03528</v>
      </c>
      <c r="J4531" s="59">
        <v>2.0</v>
      </c>
      <c r="K4531" s="61">
        <f t="shared" si="1"/>
        <v>1</v>
      </c>
      <c r="L4531" s="62">
        <f t="shared" si="2"/>
        <v>2</v>
      </c>
    </row>
    <row r="4532">
      <c r="A4532" s="58">
        <v>45839.0</v>
      </c>
      <c r="B4532" s="24" t="s">
        <v>6787</v>
      </c>
      <c r="C4532" s="24" t="s">
        <v>6814</v>
      </c>
      <c r="D4532" s="59">
        <v>1.0</v>
      </c>
      <c r="E4532" s="59">
        <v>1.0</v>
      </c>
      <c r="F4532" s="59">
        <v>1.0</v>
      </c>
      <c r="G4532" s="60">
        <v>1.0</v>
      </c>
      <c r="H4532" s="60">
        <v>1.0</v>
      </c>
      <c r="I4532" s="60">
        <v>0.0</v>
      </c>
      <c r="J4532" s="59">
        <v>1.0</v>
      </c>
      <c r="K4532" s="61">
        <f t="shared" si="1"/>
        <v>1</v>
      </c>
      <c r="L4532" s="62">
        <f t="shared" si="2"/>
        <v>1</v>
      </c>
    </row>
    <row r="4533">
      <c r="A4533" s="58">
        <v>45839.0</v>
      </c>
      <c r="B4533" s="24" t="s">
        <v>155</v>
      </c>
      <c r="C4533" s="24" t="s">
        <v>6814</v>
      </c>
      <c r="D4533" s="59">
        <v>1.0</v>
      </c>
      <c r="E4533" s="59">
        <v>1.0</v>
      </c>
      <c r="F4533" s="59">
        <v>1.0</v>
      </c>
      <c r="G4533" s="60">
        <v>1.0</v>
      </c>
      <c r="H4533" s="60">
        <v>0.0</v>
      </c>
      <c r="I4533" s="60">
        <v>57.894485</v>
      </c>
      <c r="J4533" s="59">
        <v>2.0</v>
      </c>
      <c r="K4533" s="61">
        <f t="shared" si="1"/>
        <v>1</v>
      </c>
      <c r="L4533" s="62">
        <f t="shared" si="2"/>
        <v>2</v>
      </c>
    </row>
    <row r="4534">
      <c r="A4534" s="58">
        <v>45839.0</v>
      </c>
      <c r="B4534" s="24" t="s">
        <v>6789</v>
      </c>
      <c r="C4534" s="24" t="s">
        <v>7174</v>
      </c>
      <c r="D4534" s="59">
        <v>1.0</v>
      </c>
      <c r="E4534" s="59">
        <v>1.0</v>
      </c>
      <c r="F4534" s="59">
        <v>1.0</v>
      </c>
      <c r="G4534" s="60">
        <v>1.0</v>
      </c>
      <c r="H4534" s="60">
        <v>1.0</v>
      </c>
      <c r="I4534" s="60">
        <v>0.0</v>
      </c>
      <c r="J4534" s="59">
        <v>1.0</v>
      </c>
      <c r="K4534" s="61">
        <f t="shared" si="1"/>
        <v>1</v>
      </c>
      <c r="L4534" s="62">
        <f t="shared" si="2"/>
        <v>1</v>
      </c>
    </row>
    <row r="4535">
      <c r="A4535" s="58">
        <v>45839.0</v>
      </c>
      <c r="B4535" s="24" t="s">
        <v>155</v>
      </c>
      <c r="C4535" s="24" t="s">
        <v>7403</v>
      </c>
      <c r="D4535" s="59">
        <v>1.0</v>
      </c>
      <c r="E4535" s="59">
        <v>1.0</v>
      </c>
      <c r="F4535" s="59">
        <v>1.0</v>
      </c>
      <c r="G4535" s="60">
        <v>1.0</v>
      </c>
      <c r="H4535" s="60">
        <v>1.0</v>
      </c>
      <c r="I4535" s="60">
        <v>2.190084</v>
      </c>
      <c r="J4535" s="59">
        <v>1.0</v>
      </c>
      <c r="K4535" s="61">
        <f t="shared" si="1"/>
        <v>1</v>
      </c>
      <c r="L4535" s="62">
        <f t="shared" si="2"/>
        <v>1</v>
      </c>
    </row>
    <row r="4536">
      <c r="A4536" s="58">
        <v>45839.0</v>
      </c>
      <c r="B4536" s="24" t="s">
        <v>6789</v>
      </c>
      <c r="C4536" s="24" t="s">
        <v>7192</v>
      </c>
      <c r="D4536" s="59">
        <v>1.0</v>
      </c>
      <c r="E4536" s="59">
        <v>1.0</v>
      </c>
      <c r="F4536" s="59">
        <v>1.0</v>
      </c>
      <c r="G4536" s="60">
        <v>1.0</v>
      </c>
      <c r="H4536" s="60">
        <v>1.0</v>
      </c>
      <c r="I4536" s="60">
        <v>0.0</v>
      </c>
      <c r="J4536" s="59">
        <v>1.0</v>
      </c>
      <c r="K4536" s="61">
        <f t="shared" si="1"/>
        <v>1</v>
      </c>
      <c r="L4536" s="62">
        <f t="shared" si="2"/>
        <v>1</v>
      </c>
    </row>
    <row r="4537">
      <c r="A4537" s="58">
        <v>45839.0</v>
      </c>
      <c r="B4537" s="24" t="s">
        <v>6790</v>
      </c>
      <c r="C4537" s="24" t="s">
        <v>6915</v>
      </c>
      <c r="D4537" s="59">
        <v>1.0</v>
      </c>
      <c r="E4537" s="59">
        <v>2.0</v>
      </c>
      <c r="F4537" s="59">
        <v>1.0</v>
      </c>
      <c r="G4537" s="60">
        <v>2.0</v>
      </c>
      <c r="H4537" s="60">
        <v>1.0</v>
      </c>
      <c r="I4537" s="60">
        <v>1.73319</v>
      </c>
      <c r="J4537" s="59">
        <v>2.0</v>
      </c>
      <c r="K4537" s="61">
        <f t="shared" si="1"/>
        <v>0.5</v>
      </c>
      <c r="L4537" s="62">
        <f t="shared" si="2"/>
        <v>1</v>
      </c>
    </row>
    <row r="4538">
      <c r="A4538" s="58">
        <v>45839.0</v>
      </c>
      <c r="B4538" s="24" t="s">
        <v>6787</v>
      </c>
      <c r="C4538" s="24" t="s">
        <v>7014</v>
      </c>
      <c r="D4538" s="59">
        <v>1.0</v>
      </c>
      <c r="E4538" s="59">
        <v>1.0</v>
      </c>
      <c r="F4538" s="59">
        <v>1.0</v>
      </c>
      <c r="G4538" s="60">
        <v>1.0</v>
      </c>
      <c r="H4538" s="60">
        <v>1.0</v>
      </c>
      <c r="I4538" s="60">
        <v>0.0</v>
      </c>
      <c r="J4538" s="59">
        <v>1.0</v>
      </c>
      <c r="K4538" s="61">
        <f t="shared" si="1"/>
        <v>1</v>
      </c>
      <c r="L4538" s="62">
        <f t="shared" si="2"/>
        <v>1</v>
      </c>
    </row>
    <row r="4539">
      <c r="A4539" s="58">
        <v>45839.0</v>
      </c>
      <c r="B4539" s="24" t="s">
        <v>6789</v>
      </c>
      <c r="C4539" s="24" t="s">
        <v>7106</v>
      </c>
      <c r="D4539" s="59">
        <v>1.0</v>
      </c>
      <c r="E4539" s="59">
        <v>1.0</v>
      </c>
      <c r="F4539" s="59">
        <v>1.0</v>
      </c>
      <c r="G4539" s="60">
        <v>1.0</v>
      </c>
      <c r="H4539" s="60">
        <v>1.0</v>
      </c>
      <c r="I4539" s="60">
        <v>0.0</v>
      </c>
      <c r="J4539" s="59">
        <v>1.0</v>
      </c>
      <c r="K4539" s="61">
        <f t="shared" si="1"/>
        <v>1</v>
      </c>
      <c r="L4539" s="62">
        <f t="shared" si="2"/>
        <v>1</v>
      </c>
    </row>
    <row r="4540">
      <c r="A4540" s="58">
        <v>45839.0</v>
      </c>
      <c r="B4540" s="24" t="s">
        <v>6790</v>
      </c>
      <c r="C4540" s="24" t="s">
        <v>7106</v>
      </c>
      <c r="D4540" s="59">
        <v>1.0</v>
      </c>
      <c r="E4540" s="59">
        <v>1.0</v>
      </c>
      <c r="F4540" s="59">
        <v>0.0</v>
      </c>
      <c r="G4540" s="60">
        <v>1.0</v>
      </c>
      <c r="H4540" s="60">
        <v>0.0</v>
      </c>
      <c r="I4540" s="60">
        <v>2104.090056</v>
      </c>
      <c r="J4540" s="59">
        <v>7.0</v>
      </c>
      <c r="K4540" s="61">
        <f t="shared" si="1"/>
        <v>0</v>
      </c>
      <c r="L4540" s="62">
        <f t="shared" si="2"/>
        <v>7</v>
      </c>
    </row>
    <row r="4541">
      <c r="A4541" s="58">
        <v>45839.0</v>
      </c>
      <c r="B4541" s="24" t="s">
        <v>6789</v>
      </c>
      <c r="C4541" s="24" t="s">
        <v>6826</v>
      </c>
      <c r="D4541" s="59">
        <v>1.0</v>
      </c>
      <c r="E4541" s="59">
        <v>1.0</v>
      </c>
      <c r="F4541" s="59">
        <v>0.0</v>
      </c>
      <c r="G4541" s="60">
        <v>1.0</v>
      </c>
      <c r="H4541" s="60">
        <v>0.0</v>
      </c>
      <c r="I4541" s="60">
        <v>1434.757549</v>
      </c>
      <c r="J4541" s="59">
        <v>4.0</v>
      </c>
      <c r="K4541" s="61">
        <f t="shared" si="1"/>
        <v>0</v>
      </c>
      <c r="L4541" s="62">
        <f t="shared" si="2"/>
        <v>4</v>
      </c>
    </row>
    <row r="4542">
      <c r="A4542" s="58">
        <v>45839.0</v>
      </c>
      <c r="B4542" s="24" t="s">
        <v>6794</v>
      </c>
      <c r="C4542" s="24" t="s">
        <v>6826</v>
      </c>
      <c r="D4542" s="59">
        <v>1.0</v>
      </c>
      <c r="E4542" s="59">
        <v>1.0</v>
      </c>
      <c r="F4542" s="59">
        <v>0.0</v>
      </c>
      <c r="G4542" s="60">
        <v>1.0</v>
      </c>
      <c r="H4542" s="60">
        <v>0.0</v>
      </c>
      <c r="I4542" s="60">
        <v>36.309003</v>
      </c>
      <c r="J4542" s="59">
        <v>3.0</v>
      </c>
      <c r="K4542" s="61">
        <f t="shared" si="1"/>
        <v>0</v>
      </c>
      <c r="L4542" s="62">
        <f t="shared" si="2"/>
        <v>3</v>
      </c>
    </row>
    <row r="4543">
      <c r="A4543" s="58">
        <v>45839.0</v>
      </c>
      <c r="B4543" s="24" t="s">
        <v>6794</v>
      </c>
      <c r="C4543" s="24" t="s">
        <v>6815</v>
      </c>
      <c r="D4543" s="59">
        <v>1.0</v>
      </c>
      <c r="E4543" s="59">
        <v>1.0</v>
      </c>
      <c r="F4543" s="59">
        <v>1.0</v>
      </c>
      <c r="G4543" s="60">
        <v>1.0</v>
      </c>
      <c r="H4543" s="60">
        <v>0.0</v>
      </c>
      <c r="I4543" s="60">
        <v>76.615935</v>
      </c>
      <c r="J4543" s="59">
        <v>1.0</v>
      </c>
      <c r="K4543" s="61">
        <f t="shared" si="1"/>
        <v>1</v>
      </c>
      <c r="L4543" s="62">
        <f t="shared" si="2"/>
        <v>1</v>
      </c>
    </row>
    <row r="4544">
      <c r="A4544" s="58">
        <v>45839.0</v>
      </c>
      <c r="B4544" s="24" t="s">
        <v>6790</v>
      </c>
      <c r="C4544" s="24" t="s">
        <v>6815</v>
      </c>
      <c r="D4544" s="59">
        <v>1.0</v>
      </c>
      <c r="E4544" s="59">
        <v>1.0</v>
      </c>
      <c r="F4544" s="59">
        <v>0.0</v>
      </c>
      <c r="G4544" s="60">
        <v>1.0</v>
      </c>
      <c r="H4544" s="60">
        <v>0.0</v>
      </c>
      <c r="I4544" s="60">
        <v>322.546854</v>
      </c>
      <c r="J4544" s="59">
        <v>2.0</v>
      </c>
      <c r="K4544" s="61">
        <f t="shared" si="1"/>
        <v>0</v>
      </c>
      <c r="L4544" s="62">
        <f t="shared" si="2"/>
        <v>2</v>
      </c>
    </row>
    <row r="4545">
      <c r="A4545" s="58">
        <v>45839.0</v>
      </c>
      <c r="B4545" s="24" t="s">
        <v>6790</v>
      </c>
      <c r="C4545" s="24" t="s">
        <v>6852</v>
      </c>
      <c r="D4545" s="59">
        <v>1.0</v>
      </c>
      <c r="E4545" s="59">
        <v>1.0</v>
      </c>
      <c r="F4545" s="59">
        <v>0.0</v>
      </c>
      <c r="G4545" s="60">
        <v>1.0</v>
      </c>
      <c r="H4545" s="60">
        <v>1.0</v>
      </c>
      <c r="I4545" s="60">
        <v>1463.74856</v>
      </c>
      <c r="J4545" s="59">
        <v>5.0</v>
      </c>
      <c r="K4545" s="61">
        <f t="shared" si="1"/>
        <v>0</v>
      </c>
      <c r="L4545" s="62">
        <f t="shared" si="2"/>
        <v>5</v>
      </c>
    </row>
    <row r="4546">
      <c r="A4546" s="58">
        <v>45839.0</v>
      </c>
      <c r="B4546" s="24" t="s">
        <v>6787</v>
      </c>
      <c r="C4546" s="24" t="s">
        <v>6920</v>
      </c>
      <c r="D4546" s="59">
        <v>1.0</v>
      </c>
      <c r="E4546" s="59">
        <v>1.0</v>
      </c>
      <c r="F4546" s="59">
        <v>1.0</v>
      </c>
      <c r="G4546" s="60">
        <v>1.0</v>
      </c>
      <c r="H4546" s="60">
        <v>1.0</v>
      </c>
      <c r="I4546" s="60">
        <v>0.0</v>
      </c>
      <c r="J4546" s="59">
        <v>1.0</v>
      </c>
      <c r="K4546" s="61">
        <f t="shared" si="1"/>
        <v>1</v>
      </c>
      <c r="L4546" s="62">
        <f t="shared" si="2"/>
        <v>1</v>
      </c>
    </row>
    <row r="4547">
      <c r="A4547" s="58">
        <v>45839.0</v>
      </c>
      <c r="B4547" s="24" t="s">
        <v>6789</v>
      </c>
      <c r="C4547" s="24" t="s">
        <v>6920</v>
      </c>
      <c r="D4547" s="59">
        <v>1.0</v>
      </c>
      <c r="E4547" s="59">
        <v>1.0</v>
      </c>
      <c r="F4547" s="59">
        <v>1.0</v>
      </c>
      <c r="G4547" s="60">
        <v>1.0</v>
      </c>
      <c r="H4547" s="60">
        <v>1.0</v>
      </c>
      <c r="I4547" s="60">
        <v>0.0</v>
      </c>
      <c r="J4547" s="59">
        <v>1.0</v>
      </c>
      <c r="K4547" s="61">
        <f t="shared" si="1"/>
        <v>1</v>
      </c>
      <c r="L4547" s="62">
        <f t="shared" si="2"/>
        <v>1</v>
      </c>
    </row>
    <row r="4548">
      <c r="A4548" s="58">
        <v>45839.0</v>
      </c>
      <c r="B4548" s="24" t="s">
        <v>6787</v>
      </c>
      <c r="C4548" s="24" t="s">
        <v>6921</v>
      </c>
      <c r="D4548" s="59">
        <v>1.0</v>
      </c>
      <c r="E4548" s="59">
        <v>1.0</v>
      </c>
      <c r="F4548" s="59">
        <v>1.0</v>
      </c>
      <c r="G4548" s="60">
        <v>1.0</v>
      </c>
      <c r="H4548" s="60">
        <v>1.0</v>
      </c>
      <c r="I4548" s="60">
        <v>0.0</v>
      </c>
      <c r="J4548" s="59">
        <v>1.0</v>
      </c>
      <c r="K4548" s="61">
        <f t="shared" si="1"/>
        <v>1</v>
      </c>
      <c r="L4548" s="62">
        <f t="shared" si="2"/>
        <v>1</v>
      </c>
    </row>
    <row r="4549">
      <c r="A4549" s="58">
        <v>45839.0</v>
      </c>
      <c r="B4549" s="24" t="s">
        <v>6789</v>
      </c>
      <c r="C4549" s="24" t="s">
        <v>6921</v>
      </c>
      <c r="D4549" s="59">
        <v>1.0</v>
      </c>
      <c r="E4549" s="59">
        <v>1.0</v>
      </c>
      <c r="F4549" s="59">
        <v>1.0</v>
      </c>
      <c r="G4549" s="60">
        <v>1.0</v>
      </c>
      <c r="H4549" s="60">
        <v>1.0</v>
      </c>
      <c r="I4549" s="60">
        <v>0.0</v>
      </c>
      <c r="J4549" s="59">
        <v>1.0</v>
      </c>
      <c r="K4549" s="61">
        <f t="shared" si="1"/>
        <v>1</v>
      </c>
      <c r="L4549" s="62">
        <f t="shared" si="2"/>
        <v>1</v>
      </c>
    </row>
    <row r="4550">
      <c r="A4550" s="58">
        <v>45839.0</v>
      </c>
      <c r="B4550" s="24" t="s">
        <v>155</v>
      </c>
      <c r="C4550" s="24" t="s">
        <v>6853</v>
      </c>
      <c r="D4550" s="59">
        <v>1.0</v>
      </c>
      <c r="E4550" s="59">
        <v>1.0</v>
      </c>
      <c r="F4550" s="59">
        <v>0.0</v>
      </c>
      <c r="G4550" s="60">
        <v>1.0</v>
      </c>
      <c r="H4550" s="60">
        <v>0.0</v>
      </c>
      <c r="I4550" s="60">
        <v>66.432993</v>
      </c>
      <c r="J4550" s="59">
        <v>4.0</v>
      </c>
      <c r="K4550" s="61">
        <f t="shared" si="1"/>
        <v>0</v>
      </c>
      <c r="L4550" s="62">
        <f t="shared" si="2"/>
        <v>4</v>
      </c>
    </row>
    <row r="4551">
      <c r="A4551" s="58">
        <v>45839.0</v>
      </c>
      <c r="B4551" s="24" t="s">
        <v>6790</v>
      </c>
      <c r="C4551" s="24" t="s">
        <v>6853</v>
      </c>
      <c r="D4551" s="59">
        <v>1.0</v>
      </c>
      <c r="E4551" s="59">
        <v>1.0</v>
      </c>
      <c r="F4551" s="59">
        <v>0.0</v>
      </c>
      <c r="G4551" s="60">
        <v>1.0</v>
      </c>
      <c r="H4551" s="60">
        <v>0.0</v>
      </c>
      <c r="I4551" s="60">
        <v>238.738171</v>
      </c>
      <c r="J4551" s="59">
        <v>4.0</v>
      </c>
      <c r="K4551" s="61">
        <f t="shared" si="1"/>
        <v>0</v>
      </c>
      <c r="L4551" s="62">
        <f t="shared" si="2"/>
        <v>4</v>
      </c>
    </row>
    <row r="4552">
      <c r="A4552" s="58">
        <v>45839.0</v>
      </c>
      <c r="B4552" s="24" t="s">
        <v>6787</v>
      </c>
      <c r="C4552" s="24" t="s">
        <v>6816</v>
      </c>
      <c r="D4552" s="59">
        <v>1.0</v>
      </c>
      <c r="E4552" s="59">
        <v>1.0</v>
      </c>
      <c r="F4552" s="59">
        <v>1.0</v>
      </c>
      <c r="G4552" s="60">
        <v>1.0</v>
      </c>
      <c r="H4552" s="60">
        <v>0.0</v>
      </c>
      <c r="I4552" s="60">
        <v>50.738858</v>
      </c>
      <c r="J4552" s="59">
        <v>1.0</v>
      </c>
      <c r="K4552" s="61">
        <f t="shared" si="1"/>
        <v>1</v>
      </c>
      <c r="L4552" s="62">
        <f t="shared" si="2"/>
        <v>1</v>
      </c>
    </row>
    <row r="4553">
      <c r="A4553" s="58">
        <v>45839.0</v>
      </c>
      <c r="B4553" s="24" t="s">
        <v>155</v>
      </c>
      <c r="C4553" s="24" t="s">
        <v>6922</v>
      </c>
      <c r="D4553" s="59">
        <v>1.0</v>
      </c>
      <c r="E4553" s="59">
        <v>2.0</v>
      </c>
      <c r="F4553" s="59">
        <v>0.0</v>
      </c>
      <c r="G4553" s="60">
        <v>2.0</v>
      </c>
      <c r="H4553" s="60">
        <v>1.0</v>
      </c>
      <c r="I4553" s="60">
        <v>2.957589</v>
      </c>
      <c r="J4553" s="59">
        <v>2.0</v>
      </c>
      <c r="K4553" s="61">
        <f t="shared" si="1"/>
        <v>0</v>
      </c>
      <c r="L4553" s="62">
        <f t="shared" si="2"/>
        <v>1</v>
      </c>
    </row>
    <row r="4554">
      <c r="A4554" s="58">
        <v>45839.0</v>
      </c>
      <c r="B4554" s="24" t="s">
        <v>6787</v>
      </c>
      <c r="C4554" s="24" t="s">
        <v>7047</v>
      </c>
      <c r="D4554" s="59">
        <v>1.0</v>
      </c>
      <c r="E4554" s="59">
        <v>1.0</v>
      </c>
      <c r="F4554" s="59">
        <v>1.0</v>
      </c>
      <c r="G4554" s="60">
        <v>1.0</v>
      </c>
      <c r="H4554" s="60">
        <v>1.0</v>
      </c>
      <c r="I4554" s="60">
        <v>0.0</v>
      </c>
      <c r="J4554" s="59">
        <v>1.0</v>
      </c>
      <c r="K4554" s="61">
        <f t="shared" si="1"/>
        <v>1</v>
      </c>
      <c r="L4554" s="62">
        <f t="shared" si="2"/>
        <v>1</v>
      </c>
    </row>
    <row r="4555">
      <c r="A4555" s="58">
        <v>45839.0</v>
      </c>
      <c r="B4555" s="24" t="s">
        <v>6789</v>
      </c>
      <c r="C4555" s="24" t="s">
        <v>7047</v>
      </c>
      <c r="D4555" s="59">
        <v>1.0</v>
      </c>
      <c r="E4555" s="59">
        <v>1.0</v>
      </c>
      <c r="F4555" s="59">
        <v>1.0</v>
      </c>
      <c r="G4555" s="60">
        <v>1.0</v>
      </c>
      <c r="H4555" s="60">
        <v>1.0</v>
      </c>
      <c r="I4555" s="60">
        <v>0.0</v>
      </c>
      <c r="J4555" s="59">
        <v>1.0</v>
      </c>
      <c r="K4555" s="61">
        <f t="shared" si="1"/>
        <v>1</v>
      </c>
      <c r="L4555" s="62">
        <f t="shared" si="2"/>
        <v>1</v>
      </c>
    </row>
    <row r="4556">
      <c r="A4556" s="58">
        <v>45839.0</v>
      </c>
      <c r="B4556" s="24" t="s">
        <v>155</v>
      </c>
      <c r="C4556" s="24" t="s">
        <v>6797</v>
      </c>
      <c r="D4556" s="59">
        <v>1.0</v>
      </c>
      <c r="E4556" s="59">
        <v>1.0</v>
      </c>
      <c r="F4556" s="59">
        <v>0.0</v>
      </c>
      <c r="G4556" s="60">
        <v>1.0</v>
      </c>
      <c r="H4556" s="60">
        <v>0.0</v>
      </c>
      <c r="I4556" s="60">
        <v>991.768376</v>
      </c>
      <c r="J4556" s="59">
        <v>6.0</v>
      </c>
      <c r="K4556" s="61">
        <f t="shared" si="1"/>
        <v>0</v>
      </c>
      <c r="L4556" s="62">
        <f t="shared" si="2"/>
        <v>6</v>
      </c>
    </row>
    <row r="4557">
      <c r="A4557" s="58">
        <v>45839.0</v>
      </c>
      <c r="B4557" s="24" t="s">
        <v>6789</v>
      </c>
      <c r="C4557" s="24" t="s">
        <v>6810</v>
      </c>
      <c r="D4557" s="59">
        <v>1.0</v>
      </c>
      <c r="E4557" s="59">
        <v>1.0</v>
      </c>
      <c r="F4557" s="59">
        <v>1.0</v>
      </c>
      <c r="G4557" s="60">
        <v>1.0</v>
      </c>
      <c r="H4557" s="60">
        <v>1.0</v>
      </c>
      <c r="I4557" s="60">
        <v>2.565199</v>
      </c>
      <c r="J4557" s="59">
        <v>1.0</v>
      </c>
      <c r="K4557" s="61">
        <f t="shared" si="1"/>
        <v>1</v>
      </c>
      <c r="L4557" s="62">
        <f t="shared" si="2"/>
        <v>1</v>
      </c>
    </row>
    <row r="4558">
      <c r="A4558" s="58">
        <v>45839.0</v>
      </c>
      <c r="B4558" s="24" t="s">
        <v>6787</v>
      </c>
      <c r="C4558" s="24" t="s">
        <v>6962</v>
      </c>
      <c r="D4558" s="59">
        <v>1.0</v>
      </c>
      <c r="E4558" s="59">
        <v>1.0</v>
      </c>
      <c r="F4558" s="59">
        <v>1.0</v>
      </c>
      <c r="G4558" s="60">
        <v>1.0</v>
      </c>
      <c r="H4558" s="60">
        <v>0.0</v>
      </c>
      <c r="I4558" s="60">
        <v>1.965118</v>
      </c>
      <c r="J4558" s="59">
        <v>1.0</v>
      </c>
      <c r="K4558" s="61">
        <f t="shared" si="1"/>
        <v>1</v>
      </c>
      <c r="L4558" s="62">
        <f t="shared" si="2"/>
        <v>1</v>
      </c>
    </row>
    <row r="4559">
      <c r="A4559" s="58">
        <v>45839.0</v>
      </c>
      <c r="B4559" s="24" t="s">
        <v>155</v>
      </c>
      <c r="C4559" s="24" t="s">
        <v>6962</v>
      </c>
      <c r="D4559" s="59">
        <v>1.0</v>
      </c>
      <c r="E4559" s="59">
        <v>1.0</v>
      </c>
      <c r="F4559" s="59">
        <v>0.0</v>
      </c>
      <c r="G4559" s="60">
        <v>1.0</v>
      </c>
      <c r="H4559" s="60">
        <v>0.0</v>
      </c>
      <c r="I4559" s="60">
        <v>506.399555</v>
      </c>
      <c r="J4559" s="59">
        <v>1.0</v>
      </c>
      <c r="K4559" s="61">
        <f t="shared" si="1"/>
        <v>0</v>
      </c>
      <c r="L4559" s="62">
        <f t="shared" si="2"/>
        <v>1</v>
      </c>
    </row>
    <row r="4560">
      <c r="A4560" s="58">
        <v>45839.0</v>
      </c>
      <c r="B4560" s="24" t="s">
        <v>6787</v>
      </c>
      <c r="C4560" s="24" t="s">
        <v>7387</v>
      </c>
      <c r="D4560" s="59">
        <v>1.0</v>
      </c>
      <c r="E4560" s="59">
        <v>1.0</v>
      </c>
      <c r="F4560" s="59">
        <v>1.0</v>
      </c>
      <c r="G4560" s="60">
        <v>1.0</v>
      </c>
      <c r="H4560" s="60">
        <v>0.0</v>
      </c>
      <c r="I4560" s="60">
        <v>21.020025</v>
      </c>
      <c r="J4560" s="59">
        <v>1.0</v>
      </c>
      <c r="K4560" s="61">
        <f t="shared" si="1"/>
        <v>1</v>
      </c>
      <c r="L4560" s="62">
        <f t="shared" si="2"/>
        <v>1</v>
      </c>
    </row>
    <row r="4561">
      <c r="A4561" s="58">
        <v>45839.0</v>
      </c>
      <c r="B4561" s="24" t="s">
        <v>155</v>
      </c>
      <c r="C4561" s="24" t="s">
        <v>7387</v>
      </c>
      <c r="D4561" s="59">
        <v>1.0</v>
      </c>
      <c r="E4561" s="59">
        <v>1.0</v>
      </c>
      <c r="F4561" s="59">
        <v>0.0</v>
      </c>
      <c r="G4561" s="60">
        <v>1.0</v>
      </c>
      <c r="H4561" s="60">
        <v>0.0</v>
      </c>
      <c r="I4561" s="60">
        <v>261.717101</v>
      </c>
      <c r="J4561" s="59">
        <v>1.0</v>
      </c>
      <c r="K4561" s="61">
        <f t="shared" si="1"/>
        <v>0</v>
      </c>
      <c r="L4561" s="62">
        <f t="shared" si="2"/>
        <v>1</v>
      </c>
    </row>
    <row r="4562">
      <c r="A4562" s="58">
        <v>45839.0</v>
      </c>
      <c r="B4562" s="24" t="s">
        <v>6787</v>
      </c>
      <c r="C4562" s="24" t="s">
        <v>7118</v>
      </c>
      <c r="D4562" s="59">
        <v>1.0</v>
      </c>
      <c r="E4562" s="59">
        <v>1.0</v>
      </c>
      <c r="F4562" s="59">
        <v>1.0</v>
      </c>
      <c r="G4562" s="60">
        <v>1.0</v>
      </c>
      <c r="H4562" s="60">
        <v>1.0</v>
      </c>
      <c r="I4562" s="60">
        <v>0.0</v>
      </c>
      <c r="J4562" s="59">
        <v>1.0</v>
      </c>
      <c r="K4562" s="61">
        <f t="shared" si="1"/>
        <v>1</v>
      </c>
      <c r="L4562" s="62">
        <f t="shared" si="2"/>
        <v>1</v>
      </c>
    </row>
    <row r="4563">
      <c r="A4563" s="58">
        <v>45839.0</v>
      </c>
      <c r="B4563" s="24" t="s">
        <v>6789</v>
      </c>
      <c r="C4563" s="24" t="s">
        <v>7118</v>
      </c>
      <c r="D4563" s="59">
        <v>1.0</v>
      </c>
      <c r="E4563" s="59">
        <v>1.0</v>
      </c>
      <c r="F4563" s="59">
        <v>1.0</v>
      </c>
      <c r="G4563" s="60">
        <v>1.0</v>
      </c>
      <c r="H4563" s="60">
        <v>1.0</v>
      </c>
      <c r="I4563" s="60">
        <v>9.661477</v>
      </c>
      <c r="J4563" s="59">
        <v>1.0</v>
      </c>
      <c r="K4563" s="61">
        <f t="shared" si="1"/>
        <v>1</v>
      </c>
      <c r="L4563" s="62">
        <f t="shared" si="2"/>
        <v>1</v>
      </c>
    </row>
    <row r="4564">
      <c r="A4564" s="58">
        <v>45839.0</v>
      </c>
      <c r="B4564" s="24" t="s">
        <v>6789</v>
      </c>
      <c r="C4564" s="24" t="s">
        <v>6963</v>
      </c>
      <c r="D4564" s="59">
        <v>1.0</v>
      </c>
      <c r="E4564" s="59">
        <v>1.0</v>
      </c>
      <c r="F4564" s="59">
        <v>1.0</v>
      </c>
      <c r="G4564" s="60">
        <v>1.0</v>
      </c>
      <c r="H4564" s="60">
        <v>1.0</v>
      </c>
      <c r="I4564" s="60">
        <v>9.467878</v>
      </c>
      <c r="J4564" s="59">
        <v>1.0</v>
      </c>
      <c r="K4564" s="61">
        <f t="shared" si="1"/>
        <v>1</v>
      </c>
      <c r="L4564" s="62">
        <f t="shared" si="2"/>
        <v>1</v>
      </c>
    </row>
    <row r="4565">
      <c r="A4565" s="58">
        <v>45839.0</v>
      </c>
      <c r="B4565" s="24" t="s">
        <v>6787</v>
      </c>
      <c r="C4565" s="24" t="s">
        <v>6924</v>
      </c>
      <c r="D4565" s="59">
        <v>1.0</v>
      </c>
      <c r="E4565" s="59">
        <v>1.0</v>
      </c>
      <c r="F4565" s="59">
        <v>1.0</v>
      </c>
      <c r="G4565" s="60">
        <v>1.0</v>
      </c>
      <c r="H4565" s="60">
        <v>1.0</v>
      </c>
      <c r="I4565" s="60">
        <v>0.0</v>
      </c>
      <c r="J4565" s="59">
        <v>1.0</v>
      </c>
      <c r="K4565" s="61">
        <f t="shared" si="1"/>
        <v>1</v>
      </c>
      <c r="L4565" s="62">
        <f t="shared" si="2"/>
        <v>1</v>
      </c>
    </row>
    <row r="4566">
      <c r="A4566" s="58">
        <v>45839.0</v>
      </c>
      <c r="B4566" s="24" t="s">
        <v>6794</v>
      </c>
      <c r="C4566" s="24" t="s">
        <v>6802</v>
      </c>
      <c r="D4566" s="59">
        <v>1.0</v>
      </c>
      <c r="E4566" s="59">
        <v>1.0</v>
      </c>
      <c r="F4566" s="59">
        <v>0.0</v>
      </c>
      <c r="G4566" s="60">
        <v>1.0</v>
      </c>
      <c r="H4566" s="60">
        <v>1.0</v>
      </c>
      <c r="I4566" s="60">
        <v>3.936001</v>
      </c>
      <c r="J4566" s="59">
        <v>1.0</v>
      </c>
      <c r="K4566" s="61">
        <f t="shared" si="1"/>
        <v>0</v>
      </c>
      <c r="L4566" s="62">
        <f t="shared" si="2"/>
        <v>1</v>
      </c>
    </row>
    <row r="4567">
      <c r="A4567" s="58">
        <v>45809.0</v>
      </c>
      <c r="B4567" s="24" t="s">
        <v>6789</v>
      </c>
      <c r="C4567" s="24" t="s">
        <v>6788</v>
      </c>
      <c r="D4567" s="59">
        <v>852.0</v>
      </c>
      <c r="E4567" s="59">
        <v>1173.0</v>
      </c>
      <c r="F4567" s="59">
        <v>676.0</v>
      </c>
      <c r="G4567" s="60">
        <v>1.42527339003645</v>
      </c>
      <c r="H4567" s="60">
        <v>0.518329070758738</v>
      </c>
      <c r="I4567" s="60">
        <v>201.464884920716</v>
      </c>
      <c r="J4567" s="59">
        <v>2237.0</v>
      </c>
      <c r="K4567" s="61">
        <f t="shared" si="1"/>
        <v>0.5763000853</v>
      </c>
      <c r="L4567" s="62">
        <f t="shared" si="2"/>
        <v>1.907075874</v>
      </c>
    </row>
    <row r="4568">
      <c r="A4568" s="58">
        <v>45809.0</v>
      </c>
      <c r="B4568" s="24" t="s">
        <v>6787</v>
      </c>
      <c r="C4568" s="24" t="s">
        <v>6788</v>
      </c>
      <c r="D4568" s="59">
        <v>667.0</v>
      </c>
      <c r="E4568" s="59">
        <v>856.0</v>
      </c>
      <c r="F4568" s="59">
        <v>621.0</v>
      </c>
      <c r="G4568" s="60">
        <v>1.29696969696969</v>
      </c>
      <c r="H4568" s="60">
        <v>0.719626168224299</v>
      </c>
      <c r="I4568" s="60">
        <v>57.1286440934579</v>
      </c>
      <c r="J4568" s="59">
        <v>1006.0</v>
      </c>
      <c r="K4568" s="61">
        <f t="shared" si="1"/>
        <v>0.7254672897</v>
      </c>
      <c r="L4568" s="62">
        <f t="shared" si="2"/>
        <v>1.175233645</v>
      </c>
    </row>
    <row r="4569">
      <c r="A4569" s="58">
        <v>45809.0</v>
      </c>
      <c r="B4569" s="24" t="s">
        <v>6789</v>
      </c>
      <c r="C4569" s="24" t="s">
        <v>6792</v>
      </c>
      <c r="D4569" s="59">
        <v>221.0</v>
      </c>
      <c r="E4569" s="59">
        <v>282.0</v>
      </c>
      <c r="F4569" s="59">
        <v>0.0</v>
      </c>
      <c r="G4569" s="60">
        <v>2.256</v>
      </c>
      <c r="H4569" s="60">
        <v>0.989361702127659</v>
      </c>
      <c r="I4569" s="60">
        <v>0.291594812056737</v>
      </c>
      <c r="J4569" s="59">
        <v>0.0</v>
      </c>
      <c r="K4569" s="61">
        <f t="shared" si="1"/>
        <v>0</v>
      </c>
      <c r="L4569" s="62">
        <f t="shared" si="2"/>
        <v>0</v>
      </c>
    </row>
    <row r="4570">
      <c r="A4570" s="58">
        <v>45809.0</v>
      </c>
      <c r="B4570" s="24" t="s">
        <v>6789</v>
      </c>
      <c r="C4570" s="24" t="s">
        <v>7068</v>
      </c>
      <c r="D4570" s="59">
        <v>145.0</v>
      </c>
      <c r="E4570" s="59">
        <v>154.0</v>
      </c>
      <c r="F4570" s="59">
        <v>142.0</v>
      </c>
      <c r="G4570" s="60">
        <v>1.06944444444444</v>
      </c>
      <c r="H4570" s="60">
        <v>0.292207792207792</v>
      </c>
      <c r="I4570" s="60">
        <v>152.426158863636</v>
      </c>
      <c r="J4570" s="59">
        <v>168.0</v>
      </c>
      <c r="K4570" s="61">
        <f t="shared" si="1"/>
        <v>0.9220779221</v>
      </c>
      <c r="L4570" s="62">
        <f t="shared" si="2"/>
        <v>1.090909091</v>
      </c>
    </row>
    <row r="4571">
      <c r="A4571" s="58">
        <v>45809.0</v>
      </c>
      <c r="B4571" s="24" t="s">
        <v>155</v>
      </c>
      <c r="C4571" s="24" t="s">
        <v>6788</v>
      </c>
      <c r="D4571" s="59">
        <v>142.0</v>
      </c>
      <c r="E4571" s="59">
        <v>332.0</v>
      </c>
      <c r="F4571" s="59">
        <v>88.0</v>
      </c>
      <c r="G4571" s="60">
        <v>2.35460992907801</v>
      </c>
      <c r="H4571" s="60">
        <v>0.638554216867469</v>
      </c>
      <c r="I4571" s="60">
        <v>128.971132415662</v>
      </c>
      <c r="J4571" s="59">
        <v>467.0</v>
      </c>
      <c r="K4571" s="61">
        <f t="shared" si="1"/>
        <v>0.265060241</v>
      </c>
      <c r="L4571" s="62">
        <f t="shared" si="2"/>
        <v>1.406626506</v>
      </c>
    </row>
    <row r="4572">
      <c r="A4572" s="58">
        <v>45809.0</v>
      </c>
      <c r="B4572" s="24" t="s">
        <v>6794</v>
      </c>
      <c r="C4572" s="24" t="s">
        <v>6788</v>
      </c>
      <c r="D4572" s="59">
        <v>96.0</v>
      </c>
      <c r="E4572" s="59">
        <v>115.0</v>
      </c>
      <c r="F4572" s="59">
        <v>88.0</v>
      </c>
      <c r="G4572" s="60">
        <v>1.21052631578947</v>
      </c>
      <c r="H4572" s="60">
        <v>0.469565217391304</v>
      </c>
      <c r="I4572" s="60">
        <v>106.91841607826</v>
      </c>
      <c r="J4572" s="59">
        <v>187.0</v>
      </c>
      <c r="K4572" s="61">
        <f t="shared" si="1"/>
        <v>0.7652173913</v>
      </c>
      <c r="L4572" s="62">
        <f t="shared" si="2"/>
        <v>1.626086957</v>
      </c>
    </row>
    <row r="4573">
      <c r="A4573" s="58">
        <v>45809.0</v>
      </c>
      <c r="B4573" s="24" t="s">
        <v>6787</v>
      </c>
      <c r="C4573" s="24" t="s">
        <v>6792</v>
      </c>
      <c r="D4573" s="59">
        <v>49.0</v>
      </c>
      <c r="E4573" s="59">
        <v>54.0</v>
      </c>
      <c r="F4573" s="59">
        <v>0.0</v>
      </c>
      <c r="G4573" s="60">
        <v>2.16</v>
      </c>
      <c r="H4573" s="60">
        <v>1.0</v>
      </c>
      <c r="I4573" s="60">
        <v>0.10281487037037</v>
      </c>
      <c r="J4573" s="59">
        <v>0.0</v>
      </c>
      <c r="K4573" s="61">
        <f t="shared" si="1"/>
        <v>0</v>
      </c>
      <c r="L4573" s="62">
        <f t="shared" si="2"/>
        <v>0</v>
      </c>
    </row>
    <row r="4574">
      <c r="A4574" s="58">
        <v>45809.0</v>
      </c>
      <c r="B4574" s="24" t="s">
        <v>3216</v>
      </c>
      <c r="C4574" s="24" t="s">
        <v>7159</v>
      </c>
      <c r="D4574" s="59">
        <v>44.0</v>
      </c>
      <c r="E4574" s="59">
        <v>44.0</v>
      </c>
      <c r="F4574" s="59">
        <v>44.0</v>
      </c>
      <c r="G4574" s="60">
        <v>1.0</v>
      </c>
      <c r="H4574" s="60">
        <v>0.954545454545454</v>
      </c>
      <c r="I4574" s="60">
        <v>0.47866459090909</v>
      </c>
      <c r="J4574" s="59">
        <v>47.0</v>
      </c>
      <c r="K4574" s="61">
        <f t="shared" si="1"/>
        <v>1</v>
      </c>
      <c r="L4574" s="62">
        <f t="shared" si="2"/>
        <v>1.068181818</v>
      </c>
    </row>
    <row r="4575">
      <c r="A4575" s="58">
        <v>45809.0</v>
      </c>
      <c r="B4575" s="24" t="s">
        <v>3216</v>
      </c>
      <c r="C4575" s="24" t="s">
        <v>6876</v>
      </c>
      <c r="D4575" s="59">
        <v>36.0</v>
      </c>
      <c r="E4575" s="59">
        <v>37.0</v>
      </c>
      <c r="F4575" s="59">
        <v>36.0</v>
      </c>
      <c r="G4575" s="60">
        <v>1.02777777777777</v>
      </c>
      <c r="H4575" s="60">
        <v>0.675675675675675</v>
      </c>
      <c r="I4575" s="60">
        <v>5.51433029729729</v>
      </c>
      <c r="J4575" s="59">
        <v>47.0</v>
      </c>
      <c r="K4575" s="61">
        <f t="shared" si="1"/>
        <v>0.972972973</v>
      </c>
      <c r="L4575" s="62">
        <f t="shared" si="2"/>
        <v>1.27027027</v>
      </c>
    </row>
    <row r="4576">
      <c r="A4576" s="58">
        <v>45809.0</v>
      </c>
      <c r="B4576" s="24" t="s">
        <v>6790</v>
      </c>
      <c r="C4576" s="24" t="s">
        <v>6788</v>
      </c>
      <c r="D4576" s="59">
        <v>26.0</v>
      </c>
      <c r="E4576" s="59">
        <v>26.0</v>
      </c>
      <c r="F4576" s="59">
        <v>20.0</v>
      </c>
      <c r="G4576" s="60">
        <v>1.08333333333333</v>
      </c>
      <c r="H4576" s="60">
        <v>0.461538461538461</v>
      </c>
      <c r="I4576" s="60">
        <v>208.454885615384</v>
      </c>
      <c r="J4576" s="59">
        <v>40.0</v>
      </c>
      <c r="K4576" s="61">
        <f t="shared" si="1"/>
        <v>0.7692307692</v>
      </c>
      <c r="L4576" s="62">
        <f t="shared" si="2"/>
        <v>1.538461538</v>
      </c>
    </row>
    <row r="4577">
      <c r="A4577" s="58">
        <v>45809.0</v>
      </c>
      <c r="B4577" s="24" t="s">
        <v>6789</v>
      </c>
      <c r="C4577" s="24" t="s">
        <v>6799</v>
      </c>
      <c r="D4577" s="59">
        <v>26.0</v>
      </c>
      <c r="E4577" s="59">
        <v>29.0</v>
      </c>
      <c r="F4577" s="59">
        <v>17.0</v>
      </c>
      <c r="G4577" s="60">
        <v>1.20833333333333</v>
      </c>
      <c r="H4577" s="60">
        <v>0.310344827586206</v>
      </c>
      <c r="I4577" s="60">
        <v>94.8149641034482</v>
      </c>
      <c r="J4577" s="59">
        <v>43.0</v>
      </c>
      <c r="K4577" s="61">
        <f t="shared" si="1"/>
        <v>0.5862068966</v>
      </c>
      <c r="L4577" s="62">
        <f t="shared" si="2"/>
        <v>1.482758621</v>
      </c>
    </row>
    <row r="4578">
      <c r="A4578" s="58">
        <v>45809.0</v>
      </c>
      <c r="B4578" s="24" t="s">
        <v>155</v>
      </c>
      <c r="C4578" s="24" t="s">
        <v>6792</v>
      </c>
      <c r="D4578" s="59">
        <v>23.0</v>
      </c>
      <c r="E4578" s="59">
        <v>32.0</v>
      </c>
      <c r="F4578" s="59">
        <v>0.0</v>
      </c>
      <c r="G4578" s="60">
        <v>2.13333333333333</v>
      </c>
      <c r="H4578" s="60">
        <v>0.9375</v>
      </c>
      <c r="I4578" s="60">
        <v>3.89663640625</v>
      </c>
      <c r="J4578" s="59">
        <v>0.0</v>
      </c>
      <c r="K4578" s="61">
        <f t="shared" si="1"/>
        <v>0</v>
      </c>
      <c r="L4578" s="62">
        <f t="shared" si="2"/>
        <v>0</v>
      </c>
    </row>
    <row r="4579">
      <c r="A4579" s="58">
        <v>45809.0</v>
      </c>
      <c r="B4579" s="24" t="s">
        <v>6787</v>
      </c>
      <c r="C4579" s="24" t="s">
        <v>6799</v>
      </c>
      <c r="D4579" s="59">
        <v>23.0</v>
      </c>
      <c r="E4579" s="59">
        <v>40.0</v>
      </c>
      <c r="F4579" s="59">
        <v>21.0</v>
      </c>
      <c r="G4579" s="60">
        <v>1.7391304347826</v>
      </c>
      <c r="H4579" s="60">
        <v>0.675</v>
      </c>
      <c r="I4579" s="60">
        <v>84.861704625</v>
      </c>
      <c r="J4579" s="59">
        <v>44.0</v>
      </c>
      <c r="K4579" s="61">
        <f t="shared" si="1"/>
        <v>0.525</v>
      </c>
      <c r="L4579" s="62">
        <f t="shared" si="2"/>
        <v>1.1</v>
      </c>
    </row>
    <row r="4580">
      <c r="A4580" s="58">
        <v>45809.0</v>
      </c>
      <c r="B4580" s="24" t="s">
        <v>6789</v>
      </c>
      <c r="C4580" s="24" t="s">
        <v>6809</v>
      </c>
      <c r="D4580" s="59">
        <v>23.0</v>
      </c>
      <c r="E4580" s="59">
        <v>24.0</v>
      </c>
      <c r="F4580" s="59">
        <v>15.0</v>
      </c>
      <c r="G4580" s="60">
        <v>1.2</v>
      </c>
      <c r="H4580" s="60">
        <v>0.291666666666666</v>
      </c>
      <c r="I4580" s="60">
        <v>268.881246375</v>
      </c>
      <c r="J4580" s="59">
        <v>61.0</v>
      </c>
      <c r="K4580" s="61">
        <f t="shared" si="1"/>
        <v>0.625</v>
      </c>
      <c r="L4580" s="62">
        <f t="shared" si="2"/>
        <v>2.541666667</v>
      </c>
    </row>
    <row r="4581">
      <c r="A4581" s="58">
        <v>45809.0</v>
      </c>
      <c r="B4581" s="24" t="s">
        <v>6787</v>
      </c>
      <c r="C4581" s="24" t="s">
        <v>7387</v>
      </c>
      <c r="D4581" s="59">
        <v>22.0</v>
      </c>
      <c r="E4581" s="59">
        <v>24.0</v>
      </c>
      <c r="F4581" s="59">
        <v>22.0</v>
      </c>
      <c r="G4581" s="60">
        <v>1.09090909090909</v>
      </c>
      <c r="H4581" s="60">
        <v>0.375</v>
      </c>
      <c r="I4581" s="60">
        <v>87.7542340416666</v>
      </c>
      <c r="J4581" s="59">
        <v>33.0</v>
      </c>
      <c r="K4581" s="61">
        <f t="shared" si="1"/>
        <v>0.9166666667</v>
      </c>
      <c r="L4581" s="62">
        <f t="shared" si="2"/>
        <v>1.375</v>
      </c>
    </row>
    <row r="4582">
      <c r="A4582" s="58">
        <v>45809.0</v>
      </c>
      <c r="B4582" s="24" t="s">
        <v>6794</v>
      </c>
      <c r="C4582" s="24" t="s">
        <v>7387</v>
      </c>
      <c r="D4582" s="59">
        <v>22.0</v>
      </c>
      <c r="E4582" s="59">
        <v>28.0</v>
      </c>
      <c r="F4582" s="59">
        <v>13.0</v>
      </c>
      <c r="G4582" s="60">
        <v>1.33333333333333</v>
      </c>
      <c r="H4582" s="60">
        <v>0.5</v>
      </c>
      <c r="I4582" s="60">
        <v>133.190532035714</v>
      </c>
      <c r="J4582" s="59">
        <v>46.0</v>
      </c>
      <c r="K4582" s="61">
        <f t="shared" si="1"/>
        <v>0.4642857143</v>
      </c>
      <c r="L4582" s="62">
        <f t="shared" si="2"/>
        <v>1.642857143</v>
      </c>
    </row>
    <row r="4583">
      <c r="A4583" s="58">
        <v>45809.0</v>
      </c>
      <c r="B4583" s="24" t="s">
        <v>6789</v>
      </c>
      <c r="C4583" s="24" t="s">
        <v>6804</v>
      </c>
      <c r="D4583" s="59">
        <v>19.0</v>
      </c>
      <c r="E4583" s="59">
        <v>21.0</v>
      </c>
      <c r="F4583" s="59">
        <v>19.0</v>
      </c>
      <c r="G4583" s="60">
        <v>1.10526315789473</v>
      </c>
      <c r="H4583" s="60">
        <v>0.571428571428571</v>
      </c>
      <c r="I4583" s="60">
        <v>101.828001904761</v>
      </c>
      <c r="J4583" s="59">
        <v>26.0</v>
      </c>
      <c r="K4583" s="61">
        <f t="shared" si="1"/>
        <v>0.9047619048</v>
      </c>
      <c r="L4583" s="62">
        <f t="shared" si="2"/>
        <v>1.238095238</v>
      </c>
    </row>
    <row r="4584">
      <c r="A4584" s="58">
        <v>45809.0</v>
      </c>
      <c r="B4584" s="24" t="s">
        <v>6787</v>
      </c>
      <c r="C4584" s="24" t="s">
        <v>6817</v>
      </c>
      <c r="D4584" s="59">
        <v>17.0</v>
      </c>
      <c r="E4584" s="59">
        <v>18.0</v>
      </c>
      <c r="F4584" s="59">
        <v>10.0</v>
      </c>
      <c r="G4584" s="60">
        <v>1.2</v>
      </c>
      <c r="H4584" s="60">
        <v>0.666666666666666</v>
      </c>
      <c r="I4584" s="60">
        <v>30.1436008333333</v>
      </c>
      <c r="J4584" s="59">
        <v>21.0</v>
      </c>
      <c r="K4584" s="61">
        <f t="shared" si="1"/>
        <v>0.5555555556</v>
      </c>
      <c r="L4584" s="62">
        <f t="shared" si="2"/>
        <v>1.166666667</v>
      </c>
    </row>
    <row r="4585">
      <c r="A4585" s="58">
        <v>45809.0</v>
      </c>
      <c r="B4585" s="24" t="s">
        <v>6794</v>
      </c>
      <c r="C4585" s="24" t="s">
        <v>7384</v>
      </c>
      <c r="D4585" s="59">
        <v>17.0</v>
      </c>
      <c r="E4585" s="59">
        <v>27.0</v>
      </c>
      <c r="F4585" s="59">
        <v>13.0</v>
      </c>
      <c r="G4585" s="60">
        <v>1.58823529411764</v>
      </c>
      <c r="H4585" s="60">
        <v>0.444444444444444</v>
      </c>
      <c r="I4585" s="60">
        <v>127.669226333333</v>
      </c>
      <c r="J4585" s="59">
        <v>32.0</v>
      </c>
      <c r="K4585" s="61">
        <f t="shared" si="1"/>
        <v>0.4814814815</v>
      </c>
      <c r="L4585" s="62">
        <f t="shared" si="2"/>
        <v>1.185185185</v>
      </c>
    </row>
    <row r="4586">
      <c r="A4586" s="58">
        <v>45809.0</v>
      </c>
      <c r="B4586" s="24" t="s">
        <v>3216</v>
      </c>
      <c r="C4586" s="24" t="s">
        <v>6854</v>
      </c>
      <c r="D4586" s="59">
        <v>17.0</v>
      </c>
      <c r="E4586" s="59">
        <v>18.0</v>
      </c>
      <c r="F4586" s="59">
        <v>17.0</v>
      </c>
      <c r="G4586" s="60">
        <v>1.05882352941176</v>
      </c>
      <c r="H4586" s="60">
        <v>0.833333333333333</v>
      </c>
      <c r="I4586" s="60">
        <v>1.46061933333333</v>
      </c>
      <c r="J4586" s="59">
        <v>24.0</v>
      </c>
      <c r="K4586" s="61">
        <f t="shared" si="1"/>
        <v>0.9444444444</v>
      </c>
      <c r="L4586" s="62">
        <f t="shared" si="2"/>
        <v>1.333333333</v>
      </c>
    </row>
    <row r="4587">
      <c r="A4587" s="58">
        <v>45809.0</v>
      </c>
      <c r="B4587" s="24" t="s">
        <v>6789</v>
      </c>
      <c r="C4587" s="24" t="s">
        <v>6808</v>
      </c>
      <c r="D4587" s="59">
        <v>16.0</v>
      </c>
      <c r="E4587" s="59">
        <v>18.0</v>
      </c>
      <c r="F4587" s="59">
        <v>12.0</v>
      </c>
      <c r="G4587" s="60">
        <v>1.125</v>
      </c>
      <c r="H4587" s="60">
        <v>0.444444444444444</v>
      </c>
      <c r="I4587" s="60">
        <v>180.973002999999</v>
      </c>
      <c r="J4587" s="59">
        <v>37.0</v>
      </c>
      <c r="K4587" s="61">
        <f t="shared" si="1"/>
        <v>0.6666666667</v>
      </c>
      <c r="L4587" s="62">
        <f t="shared" si="2"/>
        <v>2.055555556</v>
      </c>
    </row>
    <row r="4588">
      <c r="A4588" s="58">
        <v>45809.0</v>
      </c>
      <c r="B4588" s="24" t="s">
        <v>6789</v>
      </c>
      <c r="C4588" s="24" t="s">
        <v>6815</v>
      </c>
      <c r="D4588" s="59">
        <v>16.0</v>
      </c>
      <c r="E4588" s="59">
        <v>16.0</v>
      </c>
      <c r="F4588" s="59">
        <v>15.0</v>
      </c>
      <c r="G4588" s="60">
        <v>1.0</v>
      </c>
      <c r="H4588" s="60">
        <v>0.1875</v>
      </c>
      <c r="I4588" s="60">
        <v>123.562423874999</v>
      </c>
      <c r="J4588" s="59">
        <v>21.0</v>
      </c>
      <c r="K4588" s="61">
        <f t="shared" si="1"/>
        <v>0.9375</v>
      </c>
      <c r="L4588" s="62">
        <f t="shared" si="2"/>
        <v>1.3125</v>
      </c>
    </row>
    <row r="4589">
      <c r="A4589" s="58">
        <v>45809.0</v>
      </c>
      <c r="B4589" s="24" t="s">
        <v>3216</v>
      </c>
      <c r="C4589" s="24" t="s">
        <v>6788</v>
      </c>
      <c r="D4589" s="59">
        <v>15.0</v>
      </c>
      <c r="E4589" s="59">
        <v>16.0</v>
      </c>
      <c r="F4589" s="59">
        <v>13.0</v>
      </c>
      <c r="G4589" s="60">
        <v>1.14285714285714</v>
      </c>
      <c r="H4589" s="60">
        <v>0.8125</v>
      </c>
      <c r="I4589" s="60">
        <v>2.05716375</v>
      </c>
      <c r="J4589" s="59">
        <v>23.0</v>
      </c>
      <c r="K4589" s="61">
        <f t="shared" si="1"/>
        <v>0.8125</v>
      </c>
      <c r="L4589" s="62">
        <f t="shared" si="2"/>
        <v>1.4375</v>
      </c>
    </row>
    <row r="4590">
      <c r="A4590" s="58">
        <v>45809.0</v>
      </c>
      <c r="B4590" s="24" t="s">
        <v>6789</v>
      </c>
      <c r="C4590" s="24" t="s">
        <v>7024</v>
      </c>
      <c r="D4590" s="59">
        <v>14.0</v>
      </c>
      <c r="E4590" s="59">
        <v>15.0</v>
      </c>
      <c r="F4590" s="59">
        <v>14.0</v>
      </c>
      <c r="G4590" s="60">
        <v>1.07142857142857</v>
      </c>
      <c r="H4590" s="60">
        <v>0.533333333333333</v>
      </c>
      <c r="I4590" s="60">
        <v>137.551772933333</v>
      </c>
      <c r="J4590" s="59">
        <v>22.0</v>
      </c>
      <c r="K4590" s="61">
        <f t="shared" si="1"/>
        <v>0.9333333333</v>
      </c>
      <c r="L4590" s="62">
        <f t="shared" si="2"/>
        <v>1.466666667</v>
      </c>
    </row>
    <row r="4591">
      <c r="A4591" s="58">
        <v>45809.0</v>
      </c>
      <c r="B4591" s="24" t="s">
        <v>6787</v>
      </c>
      <c r="C4591" s="24" t="s">
        <v>6904</v>
      </c>
      <c r="D4591" s="59">
        <v>14.0</v>
      </c>
      <c r="E4591" s="59">
        <v>15.0</v>
      </c>
      <c r="F4591" s="59">
        <v>14.0</v>
      </c>
      <c r="G4591" s="60">
        <v>1.07142857142857</v>
      </c>
      <c r="H4591" s="60">
        <v>0.266666666666666</v>
      </c>
      <c r="I4591" s="60">
        <v>136.7105482</v>
      </c>
      <c r="J4591" s="59">
        <v>33.0</v>
      </c>
      <c r="K4591" s="61">
        <f t="shared" si="1"/>
        <v>0.9333333333</v>
      </c>
      <c r="L4591" s="62">
        <f t="shared" si="2"/>
        <v>2.2</v>
      </c>
    </row>
    <row r="4592">
      <c r="A4592" s="58">
        <v>45809.0</v>
      </c>
      <c r="B4592" s="24" t="s">
        <v>6794</v>
      </c>
      <c r="C4592" s="24" t="s">
        <v>6792</v>
      </c>
      <c r="D4592" s="59">
        <v>13.0</v>
      </c>
      <c r="E4592" s="59">
        <v>20.0</v>
      </c>
      <c r="F4592" s="59">
        <v>0.0</v>
      </c>
      <c r="G4592" s="60">
        <v>3.33333333333333</v>
      </c>
      <c r="H4592" s="60">
        <v>0.8</v>
      </c>
      <c r="I4592" s="60">
        <v>12.60855815</v>
      </c>
      <c r="J4592" s="59">
        <v>0.0</v>
      </c>
      <c r="K4592" s="61">
        <f t="shared" si="1"/>
        <v>0</v>
      </c>
      <c r="L4592" s="62">
        <f t="shared" si="2"/>
        <v>0</v>
      </c>
    </row>
    <row r="4593">
      <c r="A4593" s="58">
        <v>45809.0</v>
      </c>
      <c r="B4593" s="24" t="s">
        <v>6790</v>
      </c>
      <c r="C4593" s="24" t="s">
        <v>6792</v>
      </c>
      <c r="D4593" s="59">
        <v>13.0</v>
      </c>
      <c r="E4593" s="59">
        <v>13.0</v>
      </c>
      <c r="F4593" s="59">
        <v>0.0</v>
      </c>
      <c r="G4593" s="60">
        <v>1.08333333333333</v>
      </c>
      <c r="H4593" s="60">
        <v>1.0</v>
      </c>
      <c r="I4593" s="60">
        <v>4.88739969230769</v>
      </c>
      <c r="J4593" s="59">
        <v>0.0</v>
      </c>
      <c r="K4593" s="61">
        <f t="shared" si="1"/>
        <v>0</v>
      </c>
      <c r="L4593" s="62">
        <f t="shared" si="2"/>
        <v>0</v>
      </c>
    </row>
    <row r="4594">
      <c r="A4594" s="58">
        <v>45809.0</v>
      </c>
      <c r="B4594" s="24" t="s">
        <v>6789</v>
      </c>
      <c r="C4594" s="24" t="s">
        <v>6876</v>
      </c>
      <c r="D4594" s="59">
        <v>12.0</v>
      </c>
      <c r="E4594" s="59">
        <v>13.0</v>
      </c>
      <c r="F4594" s="59">
        <v>8.0</v>
      </c>
      <c r="G4594" s="60">
        <v>1.08333333333333</v>
      </c>
      <c r="H4594" s="60">
        <v>0.23076923076923</v>
      </c>
      <c r="I4594" s="60">
        <v>209.969894846153</v>
      </c>
      <c r="J4594" s="59">
        <v>15.0</v>
      </c>
      <c r="K4594" s="61">
        <f t="shared" si="1"/>
        <v>0.6153846154</v>
      </c>
      <c r="L4594" s="62">
        <f t="shared" si="2"/>
        <v>1.153846154</v>
      </c>
    </row>
    <row r="4595">
      <c r="A4595" s="58">
        <v>45809.0</v>
      </c>
      <c r="B4595" s="24" t="s">
        <v>155</v>
      </c>
      <c r="C4595" s="24" t="s">
        <v>6800</v>
      </c>
      <c r="D4595" s="59">
        <v>12.0</v>
      </c>
      <c r="E4595" s="59">
        <v>12.0</v>
      </c>
      <c r="F4595" s="59">
        <v>12.0</v>
      </c>
      <c r="G4595" s="60">
        <v>1.0</v>
      </c>
      <c r="H4595" s="60">
        <v>0.166666666666666</v>
      </c>
      <c r="I4595" s="60">
        <v>33.2789113333333</v>
      </c>
      <c r="J4595" s="59">
        <v>22.0</v>
      </c>
      <c r="K4595" s="61">
        <f t="shared" si="1"/>
        <v>1</v>
      </c>
      <c r="L4595" s="62">
        <f t="shared" si="2"/>
        <v>1.833333333</v>
      </c>
    </row>
    <row r="4596">
      <c r="A4596" s="58">
        <v>45809.0</v>
      </c>
      <c r="B4596" s="24" t="s">
        <v>6789</v>
      </c>
      <c r="C4596" s="24" t="s">
        <v>6910</v>
      </c>
      <c r="D4596" s="59">
        <v>12.0</v>
      </c>
      <c r="E4596" s="59">
        <v>35.0</v>
      </c>
      <c r="F4596" s="59">
        <v>4.0</v>
      </c>
      <c r="G4596" s="60">
        <v>3.18181818181818</v>
      </c>
      <c r="H4596" s="60">
        <v>0.657142857142857</v>
      </c>
      <c r="I4596" s="60">
        <v>285.142220314285</v>
      </c>
      <c r="J4596" s="59">
        <v>57.0</v>
      </c>
      <c r="K4596" s="61">
        <f t="shared" si="1"/>
        <v>0.1142857143</v>
      </c>
      <c r="L4596" s="62">
        <f t="shared" si="2"/>
        <v>1.628571429</v>
      </c>
    </row>
    <row r="4597">
      <c r="A4597" s="58">
        <v>45809.0</v>
      </c>
      <c r="B4597" s="24" t="s">
        <v>3216</v>
      </c>
      <c r="C4597" s="24" t="s">
        <v>7387</v>
      </c>
      <c r="D4597" s="59">
        <v>12.0</v>
      </c>
      <c r="E4597" s="59">
        <v>12.0</v>
      </c>
      <c r="F4597" s="59">
        <v>8.0</v>
      </c>
      <c r="G4597" s="60">
        <v>1.0</v>
      </c>
      <c r="H4597" s="60">
        <v>0.416666666666666</v>
      </c>
      <c r="I4597" s="60">
        <v>82.2324884166666</v>
      </c>
      <c r="J4597" s="59">
        <v>14.0</v>
      </c>
      <c r="K4597" s="61">
        <f t="shared" si="1"/>
        <v>0.6666666667</v>
      </c>
      <c r="L4597" s="62">
        <f t="shared" si="2"/>
        <v>1.166666667</v>
      </c>
    </row>
    <row r="4598">
      <c r="A4598" s="58">
        <v>45809.0</v>
      </c>
      <c r="B4598" s="24" t="s">
        <v>6789</v>
      </c>
      <c r="C4598" s="24" t="s">
        <v>6841</v>
      </c>
      <c r="D4598" s="59">
        <v>11.0</v>
      </c>
      <c r="E4598" s="59">
        <v>13.0</v>
      </c>
      <c r="F4598" s="59">
        <v>9.0</v>
      </c>
      <c r="G4598" s="60">
        <v>1.3</v>
      </c>
      <c r="H4598" s="60">
        <v>0.538461538461538</v>
      </c>
      <c r="I4598" s="60">
        <v>298.270554615384</v>
      </c>
      <c r="J4598" s="59">
        <v>24.0</v>
      </c>
      <c r="K4598" s="61">
        <f t="shared" si="1"/>
        <v>0.6923076923</v>
      </c>
      <c r="L4598" s="62">
        <f t="shared" si="2"/>
        <v>1.846153846</v>
      </c>
    </row>
    <row r="4599">
      <c r="A4599" s="58">
        <v>45809.0</v>
      </c>
      <c r="B4599" s="24" t="s">
        <v>6789</v>
      </c>
      <c r="C4599" s="24" t="s">
        <v>6802</v>
      </c>
      <c r="D4599" s="59">
        <v>11.0</v>
      </c>
      <c r="E4599" s="59">
        <v>12.0</v>
      </c>
      <c r="F4599" s="59">
        <v>1.0</v>
      </c>
      <c r="G4599" s="60">
        <v>1.33333333333333</v>
      </c>
      <c r="H4599" s="60">
        <v>0.416666666666666</v>
      </c>
      <c r="I4599" s="60">
        <v>119.12764575</v>
      </c>
      <c r="J4599" s="59">
        <v>26.0</v>
      </c>
      <c r="K4599" s="61">
        <f t="shared" si="1"/>
        <v>0.08333333333</v>
      </c>
      <c r="L4599" s="62">
        <f t="shared" si="2"/>
        <v>2.166666667</v>
      </c>
    </row>
    <row r="4600">
      <c r="A4600" s="58">
        <v>45809.0</v>
      </c>
      <c r="B4600" s="24" t="s">
        <v>3216</v>
      </c>
      <c r="C4600" s="24" t="s">
        <v>6792</v>
      </c>
      <c r="D4600" s="59">
        <v>10.0</v>
      </c>
      <c r="E4600" s="59">
        <v>10.0</v>
      </c>
      <c r="F4600" s="59">
        <v>0.0</v>
      </c>
      <c r="G4600" s="60">
        <v>2.5</v>
      </c>
      <c r="H4600" s="60">
        <v>1.0</v>
      </c>
      <c r="I4600" s="60">
        <v>0.1616686</v>
      </c>
      <c r="J4600" s="59">
        <v>0.0</v>
      </c>
      <c r="K4600" s="61">
        <f t="shared" si="1"/>
        <v>0</v>
      </c>
      <c r="L4600" s="62">
        <f t="shared" si="2"/>
        <v>0</v>
      </c>
    </row>
    <row r="4601">
      <c r="A4601" s="58">
        <v>45809.0</v>
      </c>
      <c r="B4601" s="24" t="s">
        <v>6789</v>
      </c>
      <c r="C4601" s="24" t="s">
        <v>6817</v>
      </c>
      <c r="D4601" s="59">
        <v>10.0</v>
      </c>
      <c r="E4601" s="59">
        <v>13.0</v>
      </c>
      <c r="F4601" s="59">
        <v>2.0</v>
      </c>
      <c r="G4601" s="60">
        <v>1.44444444444444</v>
      </c>
      <c r="H4601" s="60">
        <v>0.307692307692307</v>
      </c>
      <c r="I4601" s="60">
        <v>605.242976230769</v>
      </c>
      <c r="J4601" s="59">
        <v>40.0</v>
      </c>
      <c r="K4601" s="61">
        <f t="shared" si="1"/>
        <v>0.1538461538</v>
      </c>
      <c r="L4601" s="62">
        <f t="shared" si="2"/>
        <v>3.076923077</v>
      </c>
    </row>
    <row r="4602">
      <c r="A4602" s="58">
        <v>45809.0</v>
      </c>
      <c r="B4602" s="24" t="s">
        <v>6789</v>
      </c>
      <c r="C4602" s="24" t="s">
        <v>6882</v>
      </c>
      <c r="D4602" s="59">
        <v>10.0</v>
      </c>
      <c r="E4602" s="59">
        <v>11.0</v>
      </c>
      <c r="F4602" s="59">
        <v>9.0</v>
      </c>
      <c r="G4602" s="60">
        <v>1.22222222222222</v>
      </c>
      <c r="H4602" s="60">
        <v>0.727272727272727</v>
      </c>
      <c r="I4602" s="60">
        <v>327.707165181818</v>
      </c>
      <c r="J4602" s="59">
        <v>22.0</v>
      </c>
      <c r="K4602" s="61">
        <f t="shared" si="1"/>
        <v>0.8181818182</v>
      </c>
      <c r="L4602" s="62">
        <f t="shared" si="2"/>
        <v>2</v>
      </c>
    </row>
    <row r="4603">
      <c r="A4603" s="58">
        <v>45809.0</v>
      </c>
      <c r="B4603" s="24" t="s">
        <v>6787</v>
      </c>
      <c r="C4603" s="24" t="s">
        <v>6822</v>
      </c>
      <c r="D4603" s="59">
        <v>10.0</v>
      </c>
      <c r="E4603" s="59">
        <v>12.0</v>
      </c>
      <c r="F4603" s="59">
        <v>3.0</v>
      </c>
      <c r="G4603" s="60">
        <v>1.71428571428571</v>
      </c>
      <c r="H4603" s="60">
        <v>0.416666666666666</v>
      </c>
      <c r="I4603" s="60">
        <v>65.7677659166666</v>
      </c>
      <c r="J4603" s="59">
        <v>17.0</v>
      </c>
      <c r="K4603" s="61">
        <f t="shared" si="1"/>
        <v>0.25</v>
      </c>
      <c r="L4603" s="62">
        <f t="shared" si="2"/>
        <v>1.416666667</v>
      </c>
    </row>
    <row r="4604">
      <c r="A4604" s="58">
        <v>45809.0</v>
      </c>
      <c r="B4604" s="24" t="s">
        <v>6789</v>
      </c>
      <c r="C4604" s="24" t="s">
        <v>6801</v>
      </c>
      <c r="D4604" s="59">
        <v>9.0</v>
      </c>
      <c r="E4604" s="59">
        <v>18.0</v>
      </c>
      <c r="F4604" s="59">
        <v>2.0</v>
      </c>
      <c r="G4604" s="60">
        <v>3.0</v>
      </c>
      <c r="H4604" s="60">
        <v>0.5</v>
      </c>
      <c r="I4604" s="60">
        <v>198.492118722222</v>
      </c>
      <c r="J4604" s="59">
        <v>21.0</v>
      </c>
      <c r="K4604" s="61">
        <f t="shared" si="1"/>
        <v>0.1111111111</v>
      </c>
      <c r="L4604" s="62">
        <f t="shared" si="2"/>
        <v>1.166666667</v>
      </c>
    </row>
    <row r="4605">
      <c r="A4605" s="58">
        <v>45809.0</v>
      </c>
      <c r="B4605" s="24" t="s">
        <v>6789</v>
      </c>
      <c r="C4605" s="24" t="s">
        <v>6853</v>
      </c>
      <c r="D4605" s="59">
        <v>9.0</v>
      </c>
      <c r="E4605" s="59">
        <v>9.0</v>
      </c>
      <c r="F4605" s="59">
        <v>3.0</v>
      </c>
      <c r="G4605" s="60">
        <v>1.0</v>
      </c>
      <c r="H4605" s="60">
        <v>0.222222222222222</v>
      </c>
      <c r="I4605" s="60">
        <v>373.974493333333</v>
      </c>
      <c r="J4605" s="59">
        <v>19.0</v>
      </c>
      <c r="K4605" s="61">
        <f t="shared" si="1"/>
        <v>0.3333333333</v>
      </c>
      <c r="L4605" s="62">
        <f t="shared" si="2"/>
        <v>2.111111111</v>
      </c>
    </row>
    <row r="4606">
      <c r="A4606" s="58">
        <v>45809.0</v>
      </c>
      <c r="B4606" s="24" t="s">
        <v>6787</v>
      </c>
      <c r="C4606" s="24" t="s">
        <v>6865</v>
      </c>
      <c r="D4606" s="59">
        <v>8.0</v>
      </c>
      <c r="E4606" s="59">
        <v>8.0</v>
      </c>
      <c r="F4606" s="59">
        <v>8.0</v>
      </c>
      <c r="G4606" s="60">
        <v>1.0</v>
      </c>
      <c r="H4606" s="60">
        <v>0.875</v>
      </c>
      <c r="I4606" s="60">
        <v>7.511779625</v>
      </c>
      <c r="J4606" s="59">
        <v>8.0</v>
      </c>
      <c r="K4606" s="61">
        <f t="shared" si="1"/>
        <v>1</v>
      </c>
      <c r="L4606" s="62">
        <f t="shared" si="2"/>
        <v>1</v>
      </c>
    </row>
    <row r="4607">
      <c r="A4607" s="58">
        <v>45809.0</v>
      </c>
      <c r="B4607" s="24" t="s">
        <v>6787</v>
      </c>
      <c r="C4607" s="24" t="s">
        <v>6886</v>
      </c>
      <c r="D4607" s="59">
        <v>8.0</v>
      </c>
      <c r="E4607" s="59">
        <v>8.0</v>
      </c>
      <c r="F4607" s="59">
        <v>8.0</v>
      </c>
      <c r="G4607" s="60">
        <v>1.0</v>
      </c>
      <c r="H4607" s="60">
        <v>0.375</v>
      </c>
      <c r="I4607" s="60">
        <v>60.4400013749999</v>
      </c>
      <c r="J4607" s="59">
        <v>18.0</v>
      </c>
      <c r="K4607" s="61">
        <f t="shared" si="1"/>
        <v>1</v>
      </c>
      <c r="L4607" s="62">
        <f t="shared" si="2"/>
        <v>2.25</v>
      </c>
    </row>
    <row r="4608">
      <c r="A4608" s="58">
        <v>45809.0</v>
      </c>
      <c r="B4608" s="24" t="s">
        <v>6789</v>
      </c>
      <c r="C4608" s="24" t="s">
        <v>7021</v>
      </c>
      <c r="D4608" s="59">
        <v>8.0</v>
      </c>
      <c r="E4608" s="59">
        <v>9.0</v>
      </c>
      <c r="F4608" s="59">
        <v>2.0</v>
      </c>
      <c r="G4608" s="60">
        <v>1.5</v>
      </c>
      <c r="H4608" s="60">
        <v>0.444444444444444</v>
      </c>
      <c r="I4608" s="60">
        <v>140.862667888888</v>
      </c>
      <c r="J4608" s="59">
        <v>17.0</v>
      </c>
      <c r="K4608" s="61">
        <f t="shared" si="1"/>
        <v>0.2222222222</v>
      </c>
      <c r="L4608" s="62">
        <f t="shared" si="2"/>
        <v>1.888888889</v>
      </c>
    </row>
    <row r="4609">
      <c r="A4609" s="58">
        <v>45809.0</v>
      </c>
      <c r="B4609" s="24" t="s">
        <v>6787</v>
      </c>
      <c r="C4609" s="24" t="s">
        <v>6851</v>
      </c>
      <c r="D4609" s="59">
        <v>8.0</v>
      </c>
      <c r="E4609" s="59">
        <v>9.0</v>
      </c>
      <c r="F4609" s="59">
        <v>7.0</v>
      </c>
      <c r="G4609" s="60">
        <v>1.125</v>
      </c>
      <c r="H4609" s="60">
        <v>0.444444444444444</v>
      </c>
      <c r="I4609" s="60">
        <v>20.0589483333333</v>
      </c>
      <c r="J4609" s="59">
        <v>16.0</v>
      </c>
      <c r="K4609" s="61">
        <f t="shared" si="1"/>
        <v>0.7777777778</v>
      </c>
      <c r="L4609" s="62">
        <f t="shared" si="2"/>
        <v>1.777777778</v>
      </c>
    </row>
    <row r="4610">
      <c r="A4610" s="58">
        <v>45809.0</v>
      </c>
      <c r="B4610" s="24" t="s">
        <v>6787</v>
      </c>
      <c r="C4610" s="24" t="s">
        <v>6804</v>
      </c>
      <c r="D4610" s="59">
        <v>7.0</v>
      </c>
      <c r="E4610" s="59">
        <v>7.0</v>
      </c>
      <c r="F4610" s="59">
        <v>7.0</v>
      </c>
      <c r="G4610" s="60">
        <v>1.0</v>
      </c>
      <c r="H4610" s="60">
        <v>1.0</v>
      </c>
      <c r="I4610" s="60">
        <v>3.75367685714285</v>
      </c>
      <c r="J4610" s="59">
        <v>7.0</v>
      </c>
      <c r="K4610" s="61">
        <f t="shared" si="1"/>
        <v>1</v>
      </c>
      <c r="L4610" s="62">
        <f t="shared" si="2"/>
        <v>1</v>
      </c>
    </row>
    <row r="4611">
      <c r="A4611" s="58">
        <v>45809.0</v>
      </c>
      <c r="B4611" s="24" t="s">
        <v>6787</v>
      </c>
      <c r="C4611" s="24" t="s">
        <v>6800</v>
      </c>
      <c r="D4611" s="59">
        <v>7.0</v>
      </c>
      <c r="E4611" s="59">
        <v>7.0</v>
      </c>
      <c r="F4611" s="59">
        <v>7.0</v>
      </c>
      <c r="G4611" s="60">
        <v>1.0</v>
      </c>
      <c r="H4611" s="60">
        <v>0.571428571428571</v>
      </c>
      <c r="I4611" s="60">
        <v>24.7540054285714</v>
      </c>
      <c r="J4611" s="59">
        <v>14.0</v>
      </c>
      <c r="K4611" s="61">
        <f t="shared" si="1"/>
        <v>1</v>
      </c>
      <c r="L4611" s="62">
        <f t="shared" si="2"/>
        <v>2</v>
      </c>
    </row>
    <row r="4612">
      <c r="A4612" s="58">
        <v>45809.0</v>
      </c>
      <c r="B4612" s="24" t="s">
        <v>6789</v>
      </c>
      <c r="C4612" s="24" t="s">
        <v>6851</v>
      </c>
      <c r="D4612" s="59">
        <v>7.0</v>
      </c>
      <c r="E4612" s="59">
        <v>7.0</v>
      </c>
      <c r="F4612" s="59">
        <v>2.0</v>
      </c>
      <c r="G4612" s="60">
        <v>1.16666666666666</v>
      </c>
      <c r="H4612" s="60">
        <v>0.142857142857142</v>
      </c>
      <c r="I4612" s="60">
        <v>126.969817714285</v>
      </c>
      <c r="J4612" s="59">
        <v>13.0</v>
      </c>
      <c r="K4612" s="61">
        <f t="shared" si="1"/>
        <v>0.2857142857</v>
      </c>
      <c r="L4612" s="62">
        <f t="shared" si="2"/>
        <v>1.857142857</v>
      </c>
    </row>
    <row r="4613">
      <c r="A4613" s="58">
        <v>45809.0</v>
      </c>
      <c r="B4613" s="24" t="s">
        <v>6787</v>
      </c>
      <c r="C4613" s="24" t="s">
        <v>6814</v>
      </c>
      <c r="D4613" s="59">
        <v>7.0</v>
      </c>
      <c r="E4613" s="59">
        <v>7.0</v>
      </c>
      <c r="F4613" s="59">
        <v>6.0</v>
      </c>
      <c r="G4613" s="60">
        <v>1.0</v>
      </c>
      <c r="H4613" s="60">
        <v>0.142857142857142</v>
      </c>
      <c r="I4613" s="60">
        <v>35.2179884285714</v>
      </c>
      <c r="J4613" s="59">
        <v>11.0</v>
      </c>
      <c r="K4613" s="61">
        <f t="shared" si="1"/>
        <v>0.8571428571</v>
      </c>
      <c r="L4613" s="62">
        <f t="shared" si="2"/>
        <v>1.571428571</v>
      </c>
    </row>
    <row r="4614">
      <c r="A4614" s="58">
        <v>45809.0</v>
      </c>
      <c r="B4614" s="24" t="s">
        <v>6789</v>
      </c>
      <c r="C4614" s="24" t="s">
        <v>6797</v>
      </c>
      <c r="D4614" s="59">
        <v>7.0</v>
      </c>
      <c r="E4614" s="59">
        <v>11.0</v>
      </c>
      <c r="F4614" s="59">
        <v>3.0</v>
      </c>
      <c r="G4614" s="60">
        <v>1.57142857142857</v>
      </c>
      <c r="H4614" s="60">
        <v>0.727272727272727</v>
      </c>
      <c r="I4614" s="60">
        <v>115.957417545454</v>
      </c>
      <c r="J4614" s="59">
        <v>16.0</v>
      </c>
      <c r="K4614" s="61">
        <f t="shared" si="1"/>
        <v>0.2727272727</v>
      </c>
      <c r="L4614" s="62">
        <f t="shared" si="2"/>
        <v>1.454545455</v>
      </c>
    </row>
    <row r="4615">
      <c r="A4615" s="58">
        <v>45809.0</v>
      </c>
      <c r="B4615" s="24" t="s">
        <v>6787</v>
      </c>
      <c r="C4615" s="24" t="s">
        <v>6810</v>
      </c>
      <c r="D4615" s="59">
        <v>7.0</v>
      </c>
      <c r="E4615" s="59">
        <v>8.0</v>
      </c>
      <c r="F4615" s="59">
        <v>7.0</v>
      </c>
      <c r="G4615" s="60">
        <v>1.14285714285714</v>
      </c>
      <c r="H4615" s="60">
        <v>0.5</v>
      </c>
      <c r="I4615" s="60">
        <v>45.5207628749999</v>
      </c>
      <c r="J4615" s="59">
        <v>11.0</v>
      </c>
      <c r="K4615" s="61">
        <f t="shared" si="1"/>
        <v>0.875</v>
      </c>
      <c r="L4615" s="62">
        <f t="shared" si="2"/>
        <v>1.375</v>
      </c>
    </row>
    <row r="4616">
      <c r="A4616" s="58">
        <v>45809.0</v>
      </c>
      <c r="B4616" s="24" t="s">
        <v>6787</v>
      </c>
      <c r="C4616" s="24" t="s">
        <v>6802</v>
      </c>
      <c r="D4616" s="59">
        <v>7.0</v>
      </c>
      <c r="E4616" s="59">
        <v>15.0</v>
      </c>
      <c r="F4616" s="59">
        <v>6.0</v>
      </c>
      <c r="G4616" s="60">
        <v>2.14285714285714</v>
      </c>
      <c r="H4616" s="60">
        <v>0.866666666666666</v>
      </c>
      <c r="I4616" s="60">
        <v>5.29218013333333</v>
      </c>
      <c r="J4616" s="59">
        <v>15.0</v>
      </c>
      <c r="K4616" s="61">
        <f t="shared" si="1"/>
        <v>0.4</v>
      </c>
      <c r="L4616" s="62">
        <f t="shared" si="2"/>
        <v>1</v>
      </c>
    </row>
    <row r="4617">
      <c r="A4617" s="58">
        <v>45809.0</v>
      </c>
      <c r="B4617" s="24" t="s">
        <v>6789</v>
      </c>
      <c r="C4617" s="24" t="s">
        <v>6886</v>
      </c>
      <c r="D4617" s="59">
        <v>6.0</v>
      </c>
      <c r="E4617" s="59">
        <v>6.0</v>
      </c>
      <c r="F4617" s="59">
        <v>4.0</v>
      </c>
      <c r="G4617" s="60">
        <v>1.2</v>
      </c>
      <c r="H4617" s="60">
        <v>0.5</v>
      </c>
      <c r="I4617" s="60">
        <v>106.990742</v>
      </c>
      <c r="J4617" s="59">
        <v>18.0</v>
      </c>
      <c r="K4617" s="61">
        <f t="shared" si="1"/>
        <v>0.6666666667</v>
      </c>
      <c r="L4617" s="62">
        <f t="shared" si="2"/>
        <v>3</v>
      </c>
    </row>
    <row r="4618">
      <c r="A4618" s="58">
        <v>45809.0</v>
      </c>
      <c r="B4618" s="24" t="s">
        <v>6787</v>
      </c>
      <c r="C4618" s="24" t="s">
        <v>6806</v>
      </c>
      <c r="D4618" s="59">
        <v>6.0</v>
      </c>
      <c r="E4618" s="59">
        <v>11.0</v>
      </c>
      <c r="F4618" s="59">
        <v>5.0</v>
      </c>
      <c r="G4618" s="60">
        <v>1.83333333333333</v>
      </c>
      <c r="H4618" s="60">
        <v>0.727272727272727</v>
      </c>
      <c r="I4618" s="60">
        <v>250.021855727272</v>
      </c>
      <c r="J4618" s="59">
        <v>18.0</v>
      </c>
      <c r="K4618" s="61">
        <f t="shared" si="1"/>
        <v>0.4545454545</v>
      </c>
      <c r="L4618" s="62">
        <f t="shared" si="2"/>
        <v>1.636363636</v>
      </c>
    </row>
    <row r="4619">
      <c r="A4619" s="58">
        <v>45809.0</v>
      </c>
      <c r="B4619" s="24" t="s">
        <v>6789</v>
      </c>
      <c r="C4619" s="24" t="s">
        <v>6811</v>
      </c>
      <c r="D4619" s="59">
        <v>6.0</v>
      </c>
      <c r="E4619" s="59">
        <v>6.0</v>
      </c>
      <c r="F4619" s="59">
        <v>3.0</v>
      </c>
      <c r="G4619" s="60">
        <v>1.5</v>
      </c>
      <c r="H4619" s="60">
        <v>0.5</v>
      </c>
      <c r="I4619" s="60">
        <v>98.6214456666666</v>
      </c>
      <c r="J4619" s="59">
        <v>6.0</v>
      </c>
      <c r="K4619" s="61">
        <f t="shared" si="1"/>
        <v>0.5</v>
      </c>
      <c r="L4619" s="62">
        <f t="shared" si="2"/>
        <v>1</v>
      </c>
    </row>
    <row r="4620">
      <c r="A4620" s="58">
        <v>45809.0</v>
      </c>
      <c r="B4620" s="24" t="s">
        <v>6789</v>
      </c>
      <c r="C4620" s="24" t="s">
        <v>7236</v>
      </c>
      <c r="D4620" s="59">
        <v>6.0</v>
      </c>
      <c r="E4620" s="59">
        <v>6.0</v>
      </c>
      <c r="F4620" s="59">
        <v>5.0</v>
      </c>
      <c r="G4620" s="60">
        <v>1.0</v>
      </c>
      <c r="H4620" s="60">
        <v>0.333333333333333</v>
      </c>
      <c r="I4620" s="60">
        <v>355.149319333333</v>
      </c>
      <c r="J4620" s="59">
        <v>9.0</v>
      </c>
      <c r="K4620" s="61">
        <f t="shared" si="1"/>
        <v>0.8333333333</v>
      </c>
      <c r="L4620" s="62">
        <f t="shared" si="2"/>
        <v>1.5</v>
      </c>
    </row>
    <row r="4621">
      <c r="A4621" s="58">
        <v>45809.0</v>
      </c>
      <c r="B4621" s="24" t="s">
        <v>6787</v>
      </c>
      <c r="C4621" s="24" t="s">
        <v>6808</v>
      </c>
      <c r="D4621" s="59">
        <v>6.0</v>
      </c>
      <c r="E4621" s="59">
        <v>8.0</v>
      </c>
      <c r="F4621" s="59">
        <v>6.0</v>
      </c>
      <c r="G4621" s="60">
        <v>1.33333333333333</v>
      </c>
      <c r="H4621" s="60">
        <v>0.875</v>
      </c>
      <c r="I4621" s="60">
        <v>1.86985075</v>
      </c>
      <c r="J4621" s="59">
        <v>8.0</v>
      </c>
      <c r="K4621" s="61">
        <f t="shared" si="1"/>
        <v>0.75</v>
      </c>
      <c r="L4621" s="62">
        <f t="shared" si="2"/>
        <v>1</v>
      </c>
    </row>
    <row r="4622">
      <c r="A4622" s="58">
        <v>45809.0</v>
      </c>
      <c r="B4622" s="24" t="s">
        <v>6787</v>
      </c>
      <c r="C4622" s="24" t="s">
        <v>7384</v>
      </c>
      <c r="D4622" s="59">
        <v>6.0</v>
      </c>
      <c r="E4622" s="59">
        <v>6.0</v>
      </c>
      <c r="F4622" s="59">
        <v>6.0</v>
      </c>
      <c r="G4622" s="60">
        <v>1.0</v>
      </c>
      <c r="H4622" s="60">
        <v>0.5</v>
      </c>
      <c r="I4622" s="60">
        <v>44.6515433333333</v>
      </c>
      <c r="J4622" s="59">
        <v>10.0</v>
      </c>
      <c r="K4622" s="61">
        <f t="shared" si="1"/>
        <v>1</v>
      </c>
      <c r="L4622" s="62">
        <f t="shared" si="2"/>
        <v>1.666666667</v>
      </c>
    </row>
    <row r="4623">
      <c r="A4623" s="58">
        <v>45809.0</v>
      </c>
      <c r="B4623" s="24" t="s">
        <v>6790</v>
      </c>
      <c r="C4623" s="24" t="s">
        <v>7024</v>
      </c>
      <c r="D4623" s="59">
        <v>5.0</v>
      </c>
      <c r="E4623" s="59">
        <v>5.0</v>
      </c>
      <c r="F4623" s="59">
        <v>5.0</v>
      </c>
      <c r="G4623" s="60">
        <v>1.0</v>
      </c>
      <c r="H4623" s="60">
        <v>1.0</v>
      </c>
      <c r="I4623" s="60">
        <v>1.2735132</v>
      </c>
      <c r="J4623" s="59">
        <v>5.0</v>
      </c>
      <c r="K4623" s="61">
        <f t="shared" si="1"/>
        <v>1</v>
      </c>
      <c r="L4623" s="62">
        <f t="shared" si="2"/>
        <v>1</v>
      </c>
    </row>
    <row r="4624">
      <c r="A4624" s="58">
        <v>45809.0</v>
      </c>
      <c r="B4624" s="24" t="s">
        <v>155</v>
      </c>
      <c r="C4624" s="24" t="s">
        <v>7068</v>
      </c>
      <c r="D4624" s="59">
        <v>5.0</v>
      </c>
      <c r="E4624" s="59">
        <v>7.0</v>
      </c>
      <c r="F4624" s="59">
        <v>4.0</v>
      </c>
      <c r="G4624" s="60">
        <v>1.4</v>
      </c>
      <c r="H4624" s="60">
        <v>0.714285714285714</v>
      </c>
      <c r="I4624" s="60">
        <v>50.8209575714285</v>
      </c>
      <c r="J4624" s="59">
        <v>8.0</v>
      </c>
      <c r="K4624" s="61">
        <f t="shared" si="1"/>
        <v>0.5714285714</v>
      </c>
      <c r="L4624" s="62">
        <f t="shared" si="2"/>
        <v>1.142857143</v>
      </c>
    </row>
    <row r="4625">
      <c r="A4625" s="58">
        <v>45809.0</v>
      </c>
      <c r="B4625" s="24" t="s">
        <v>6789</v>
      </c>
      <c r="C4625" s="24" t="s">
        <v>6838</v>
      </c>
      <c r="D4625" s="59">
        <v>5.0</v>
      </c>
      <c r="E4625" s="59">
        <v>5.0</v>
      </c>
      <c r="F4625" s="59">
        <v>4.0</v>
      </c>
      <c r="G4625" s="60">
        <v>1.0</v>
      </c>
      <c r="H4625" s="60">
        <v>0.6</v>
      </c>
      <c r="I4625" s="60">
        <v>14.078288</v>
      </c>
      <c r="J4625" s="59">
        <v>7.0</v>
      </c>
      <c r="K4625" s="61">
        <f t="shared" si="1"/>
        <v>0.8</v>
      </c>
      <c r="L4625" s="62">
        <f t="shared" si="2"/>
        <v>1.4</v>
      </c>
    </row>
    <row r="4626">
      <c r="A4626" s="58">
        <v>45809.0</v>
      </c>
      <c r="B4626" s="24" t="s">
        <v>6789</v>
      </c>
      <c r="C4626" s="24" t="s">
        <v>6822</v>
      </c>
      <c r="D4626" s="59">
        <v>5.0</v>
      </c>
      <c r="E4626" s="59">
        <v>7.0</v>
      </c>
      <c r="F4626" s="59">
        <v>0.0</v>
      </c>
      <c r="G4626" s="60">
        <v>1.4</v>
      </c>
      <c r="H4626" s="60">
        <v>0.571428571428571</v>
      </c>
      <c r="I4626" s="60">
        <v>317.836076428571</v>
      </c>
      <c r="J4626" s="59">
        <v>27.0</v>
      </c>
      <c r="K4626" s="61">
        <f t="shared" si="1"/>
        <v>0</v>
      </c>
      <c r="L4626" s="62">
        <f t="shared" si="2"/>
        <v>3.857142857</v>
      </c>
    </row>
    <row r="4627">
      <c r="A4627" s="58">
        <v>45809.0</v>
      </c>
      <c r="B4627" s="24" t="s">
        <v>6794</v>
      </c>
      <c r="C4627" s="24" t="s">
        <v>7301</v>
      </c>
      <c r="D4627" s="59">
        <v>5.0</v>
      </c>
      <c r="E4627" s="59">
        <v>6.0</v>
      </c>
      <c r="F4627" s="59">
        <v>3.0</v>
      </c>
      <c r="G4627" s="60">
        <v>1.2</v>
      </c>
      <c r="H4627" s="60">
        <v>0.666666666666666</v>
      </c>
      <c r="I4627" s="60">
        <v>220.511868833333</v>
      </c>
      <c r="J4627" s="59">
        <v>6.0</v>
      </c>
      <c r="K4627" s="61">
        <f t="shared" si="1"/>
        <v>0.5</v>
      </c>
      <c r="L4627" s="62">
        <f t="shared" si="2"/>
        <v>1</v>
      </c>
    </row>
    <row r="4628">
      <c r="A4628" s="58">
        <v>45809.0</v>
      </c>
      <c r="B4628" s="24" t="s">
        <v>6789</v>
      </c>
      <c r="C4628" s="24" t="s">
        <v>6806</v>
      </c>
      <c r="D4628" s="59">
        <v>5.0</v>
      </c>
      <c r="E4628" s="59">
        <v>6.0</v>
      </c>
      <c r="F4628" s="59">
        <v>3.0</v>
      </c>
      <c r="G4628" s="60">
        <v>1.2</v>
      </c>
      <c r="H4628" s="60">
        <v>0.333333333333333</v>
      </c>
      <c r="I4628" s="60">
        <v>78.4839628333333</v>
      </c>
      <c r="J4628" s="59">
        <v>10.0</v>
      </c>
      <c r="K4628" s="61">
        <f t="shared" si="1"/>
        <v>0.5</v>
      </c>
      <c r="L4628" s="62">
        <f t="shared" si="2"/>
        <v>1.666666667</v>
      </c>
    </row>
    <row r="4629">
      <c r="A4629" s="58">
        <v>45809.0</v>
      </c>
      <c r="B4629" s="24" t="s">
        <v>155</v>
      </c>
      <c r="C4629" s="24" t="s">
        <v>6806</v>
      </c>
      <c r="D4629" s="59">
        <v>5.0</v>
      </c>
      <c r="E4629" s="59">
        <v>5.0</v>
      </c>
      <c r="F4629" s="59">
        <v>5.0</v>
      </c>
      <c r="G4629" s="60">
        <v>1.0</v>
      </c>
      <c r="H4629" s="60">
        <v>0.8</v>
      </c>
      <c r="I4629" s="60">
        <v>4.4016864</v>
      </c>
      <c r="J4629" s="59">
        <v>5.0</v>
      </c>
      <c r="K4629" s="61">
        <f t="shared" si="1"/>
        <v>1</v>
      </c>
      <c r="L4629" s="62">
        <f t="shared" si="2"/>
        <v>1</v>
      </c>
    </row>
    <row r="4630">
      <c r="A4630" s="58">
        <v>45809.0</v>
      </c>
      <c r="B4630" s="24" t="s">
        <v>6789</v>
      </c>
      <c r="C4630" s="24" t="s">
        <v>7077</v>
      </c>
      <c r="D4630" s="59">
        <v>5.0</v>
      </c>
      <c r="E4630" s="59">
        <v>5.0</v>
      </c>
      <c r="F4630" s="59">
        <v>5.0</v>
      </c>
      <c r="G4630" s="60">
        <v>1.0</v>
      </c>
      <c r="H4630" s="60">
        <v>0.4</v>
      </c>
      <c r="I4630" s="60">
        <v>211.2540592</v>
      </c>
      <c r="J4630" s="59">
        <v>9.0</v>
      </c>
      <c r="K4630" s="61">
        <f t="shared" si="1"/>
        <v>1</v>
      </c>
      <c r="L4630" s="62">
        <f t="shared" si="2"/>
        <v>1.8</v>
      </c>
    </row>
    <row r="4631">
      <c r="A4631" s="58">
        <v>45809.0</v>
      </c>
      <c r="B4631" s="24" t="s">
        <v>6787</v>
      </c>
      <c r="C4631" s="24" t="s">
        <v>6807</v>
      </c>
      <c r="D4631" s="59">
        <v>5.0</v>
      </c>
      <c r="E4631" s="59">
        <v>5.0</v>
      </c>
      <c r="F4631" s="59">
        <v>5.0</v>
      </c>
      <c r="G4631" s="60">
        <v>1.0</v>
      </c>
      <c r="H4631" s="60">
        <v>1.0</v>
      </c>
      <c r="I4631" s="60">
        <v>2.633014</v>
      </c>
      <c r="J4631" s="59">
        <v>5.0</v>
      </c>
      <c r="K4631" s="61">
        <f t="shared" si="1"/>
        <v>1</v>
      </c>
      <c r="L4631" s="62">
        <f t="shared" si="2"/>
        <v>1</v>
      </c>
    </row>
    <row r="4632">
      <c r="A4632" s="58">
        <v>45809.0</v>
      </c>
      <c r="B4632" s="24" t="s">
        <v>6787</v>
      </c>
      <c r="C4632" s="24" t="s">
        <v>6796</v>
      </c>
      <c r="D4632" s="59">
        <v>5.0</v>
      </c>
      <c r="E4632" s="59">
        <v>5.0</v>
      </c>
      <c r="F4632" s="59">
        <v>5.0</v>
      </c>
      <c r="G4632" s="60">
        <v>1.0</v>
      </c>
      <c r="H4632" s="60">
        <v>0.8</v>
      </c>
      <c r="I4632" s="60">
        <v>201.5213294</v>
      </c>
      <c r="J4632" s="59">
        <v>6.0</v>
      </c>
      <c r="K4632" s="61">
        <f t="shared" si="1"/>
        <v>1</v>
      </c>
      <c r="L4632" s="62">
        <f t="shared" si="2"/>
        <v>1.2</v>
      </c>
    </row>
    <row r="4633">
      <c r="A4633" s="58">
        <v>45809.0</v>
      </c>
      <c r="B4633" s="24" t="s">
        <v>6789</v>
      </c>
      <c r="C4633" s="24" t="s">
        <v>6796</v>
      </c>
      <c r="D4633" s="59">
        <v>5.0</v>
      </c>
      <c r="E4633" s="59">
        <v>7.0</v>
      </c>
      <c r="F4633" s="59">
        <v>3.0</v>
      </c>
      <c r="G4633" s="60">
        <v>1.75</v>
      </c>
      <c r="H4633" s="60">
        <v>0.571428571428571</v>
      </c>
      <c r="I4633" s="60">
        <v>201.075490142857</v>
      </c>
      <c r="J4633" s="59">
        <v>7.0</v>
      </c>
      <c r="K4633" s="61">
        <f t="shared" si="1"/>
        <v>0.4285714286</v>
      </c>
      <c r="L4633" s="62">
        <f t="shared" si="2"/>
        <v>1</v>
      </c>
    </row>
    <row r="4634">
      <c r="A4634" s="58">
        <v>45809.0</v>
      </c>
      <c r="B4634" s="24" t="s">
        <v>6789</v>
      </c>
      <c r="C4634" s="24" t="s">
        <v>7313</v>
      </c>
      <c r="D4634" s="59">
        <v>5.0</v>
      </c>
      <c r="E4634" s="59">
        <v>6.0</v>
      </c>
      <c r="F4634" s="59">
        <v>3.0</v>
      </c>
      <c r="G4634" s="60">
        <v>1.2</v>
      </c>
      <c r="H4634" s="60">
        <v>0.5</v>
      </c>
      <c r="I4634" s="60">
        <v>229.787403333333</v>
      </c>
      <c r="J4634" s="59">
        <v>8.0</v>
      </c>
      <c r="K4634" s="61">
        <f t="shared" si="1"/>
        <v>0.5</v>
      </c>
      <c r="L4634" s="62">
        <f t="shared" si="2"/>
        <v>1.333333333</v>
      </c>
    </row>
    <row r="4635">
      <c r="A4635" s="58">
        <v>45809.0</v>
      </c>
      <c r="B4635" s="24" t="s">
        <v>6787</v>
      </c>
      <c r="C4635" s="24" t="s">
        <v>6801</v>
      </c>
      <c r="D4635" s="59">
        <v>5.0</v>
      </c>
      <c r="E4635" s="59">
        <v>5.0</v>
      </c>
      <c r="F4635" s="59">
        <v>5.0</v>
      </c>
      <c r="G4635" s="60">
        <v>1.0</v>
      </c>
      <c r="H4635" s="60">
        <v>0.4</v>
      </c>
      <c r="I4635" s="60">
        <v>19.1198212</v>
      </c>
      <c r="J4635" s="59">
        <v>5.0</v>
      </c>
      <c r="K4635" s="61">
        <f t="shared" si="1"/>
        <v>1</v>
      </c>
      <c r="L4635" s="62">
        <f t="shared" si="2"/>
        <v>1</v>
      </c>
    </row>
    <row r="4636">
      <c r="A4636" s="58">
        <v>45809.0</v>
      </c>
      <c r="B4636" s="24" t="s">
        <v>6789</v>
      </c>
      <c r="C4636" s="24" t="s">
        <v>6912</v>
      </c>
      <c r="D4636" s="59">
        <v>5.0</v>
      </c>
      <c r="E4636" s="59">
        <v>5.0</v>
      </c>
      <c r="F4636" s="59">
        <v>4.0</v>
      </c>
      <c r="G4636" s="60">
        <v>1.0</v>
      </c>
      <c r="H4636" s="60">
        <v>0.6</v>
      </c>
      <c r="I4636" s="60">
        <v>88.4196368</v>
      </c>
      <c r="J4636" s="59">
        <v>7.0</v>
      </c>
      <c r="K4636" s="61">
        <f t="shared" si="1"/>
        <v>0.8</v>
      </c>
      <c r="L4636" s="62">
        <f t="shared" si="2"/>
        <v>1.4</v>
      </c>
    </row>
    <row r="4637">
      <c r="A4637" s="58">
        <v>45809.0</v>
      </c>
      <c r="B4637" s="24" t="s">
        <v>6787</v>
      </c>
      <c r="C4637" s="24" t="s">
        <v>6854</v>
      </c>
      <c r="D4637" s="59">
        <v>5.0</v>
      </c>
      <c r="E4637" s="59">
        <v>5.0</v>
      </c>
      <c r="F4637" s="59">
        <v>5.0</v>
      </c>
      <c r="G4637" s="60">
        <v>1.0</v>
      </c>
      <c r="H4637" s="60">
        <v>0.2</v>
      </c>
      <c r="I4637" s="60">
        <v>218.2057726</v>
      </c>
      <c r="J4637" s="59">
        <v>13.0</v>
      </c>
      <c r="K4637" s="61">
        <f t="shared" si="1"/>
        <v>1</v>
      </c>
      <c r="L4637" s="62">
        <f t="shared" si="2"/>
        <v>2.6</v>
      </c>
    </row>
    <row r="4638">
      <c r="A4638" s="58">
        <v>45809.0</v>
      </c>
      <c r="B4638" s="24" t="s">
        <v>6789</v>
      </c>
      <c r="C4638" s="24" t="s">
        <v>6854</v>
      </c>
      <c r="D4638" s="59">
        <v>5.0</v>
      </c>
      <c r="E4638" s="59">
        <v>7.0</v>
      </c>
      <c r="F4638" s="59">
        <v>1.0</v>
      </c>
      <c r="G4638" s="60">
        <v>1.4</v>
      </c>
      <c r="H4638" s="60">
        <v>0.571428571428571</v>
      </c>
      <c r="I4638" s="60">
        <v>380.729212285714</v>
      </c>
      <c r="J4638" s="59">
        <v>28.0</v>
      </c>
      <c r="K4638" s="61">
        <f t="shared" si="1"/>
        <v>0.1428571429</v>
      </c>
      <c r="L4638" s="62">
        <f t="shared" si="2"/>
        <v>4</v>
      </c>
    </row>
    <row r="4639">
      <c r="A4639" s="58">
        <v>45809.0</v>
      </c>
      <c r="B4639" s="24" t="s">
        <v>155</v>
      </c>
      <c r="C4639" s="24" t="s">
        <v>6817</v>
      </c>
      <c r="D4639" s="59">
        <v>4.0</v>
      </c>
      <c r="E4639" s="59">
        <v>7.0</v>
      </c>
      <c r="F4639" s="59">
        <v>1.0</v>
      </c>
      <c r="G4639" s="60">
        <v>1.75</v>
      </c>
      <c r="H4639" s="60">
        <v>0.142857142857142</v>
      </c>
      <c r="I4639" s="60">
        <v>73.6645322857142</v>
      </c>
      <c r="J4639" s="59">
        <v>10.0</v>
      </c>
      <c r="K4639" s="61">
        <f t="shared" si="1"/>
        <v>0.1428571429</v>
      </c>
      <c r="L4639" s="62">
        <f t="shared" si="2"/>
        <v>1.428571429</v>
      </c>
    </row>
    <row r="4640">
      <c r="A4640" s="58">
        <v>45809.0</v>
      </c>
      <c r="B4640" s="24" t="s">
        <v>6787</v>
      </c>
      <c r="C4640" s="24" t="s">
        <v>7377</v>
      </c>
      <c r="D4640" s="59">
        <v>4.0</v>
      </c>
      <c r="E4640" s="59">
        <v>13.0</v>
      </c>
      <c r="F4640" s="59">
        <v>1.0</v>
      </c>
      <c r="G4640" s="60">
        <v>3.25</v>
      </c>
      <c r="H4640" s="60">
        <v>0.153846153846153</v>
      </c>
      <c r="I4640" s="60">
        <v>546.518635076923</v>
      </c>
      <c r="J4640" s="59">
        <v>36.0</v>
      </c>
      <c r="K4640" s="61">
        <f t="shared" si="1"/>
        <v>0.07692307692</v>
      </c>
      <c r="L4640" s="62">
        <f t="shared" si="2"/>
        <v>2.769230769</v>
      </c>
    </row>
    <row r="4641">
      <c r="A4641" s="58">
        <v>45809.0</v>
      </c>
      <c r="B4641" s="24" t="s">
        <v>6789</v>
      </c>
      <c r="C4641" s="24" t="s">
        <v>6953</v>
      </c>
      <c r="D4641" s="59">
        <v>4.0</v>
      </c>
      <c r="E4641" s="59">
        <v>7.0</v>
      </c>
      <c r="F4641" s="59">
        <v>2.0</v>
      </c>
      <c r="G4641" s="60">
        <v>1.75</v>
      </c>
      <c r="H4641" s="60">
        <v>0.142857142857142</v>
      </c>
      <c r="I4641" s="60">
        <v>1793.06436199999</v>
      </c>
      <c r="J4641" s="59">
        <v>47.0</v>
      </c>
      <c r="K4641" s="61">
        <f t="shared" si="1"/>
        <v>0.2857142857</v>
      </c>
      <c r="L4641" s="62">
        <f t="shared" si="2"/>
        <v>6.714285714</v>
      </c>
    </row>
    <row r="4642">
      <c r="A4642" s="58">
        <v>45809.0</v>
      </c>
      <c r="B4642" s="24" t="s">
        <v>6789</v>
      </c>
      <c r="C4642" s="24" t="s">
        <v>6986</v>
      </c>
      <c r="D4642" s="59">
        <v>4.0</v>
      </c>
      <c r="E4642" s="59">
        <v>5.0</v>
      </c>
      <c r="F4642" s="59">
        <v>3.0</v>
      </c>
      <c r="G4642" s="60">
        <v>1.25</v>
      </c>
      <c r="H4642" s="60">
        <v>0.6</v>
      </c>
      <c r="I4642" s="60">
        <v>127.3393124</v>
      </c>
      <c r="J4642" s="59">
        <v>5.0</v>
      </c>
      <c r="K4642" s="61">
        <f t="shared" si="1"/>
        <v>0.6</v>
      </c>
      <c r="L4642" s="62">
        <f t="shared" si="2"/>
        <v>1</v>
      </c>
    </row>
    <row r="4643">
      <c r="A4643" s="58">
        <v>45809.0</v>
      </c>
      <c r="B4643" s="24" t="s">
        <v>6787</v>
      </c>
      <c r="C4643" s="24" t="s">
        <v>6882</v>
      </c>
      <c r="D4643" s="59">
        <v>4.0</v>
      </c>
      <c r="E4643" s="59">
        <v>4.0</v>
      </c>
      <c r="F4643" s="59">
        <v>4.0</v>
      </c>
      <c r="G4643" s="60">
        <v>1.0</v>
      </c>
      <c r="H4643" s="60">
        <v>1.0</v>
      </c>
      <c r="I4643" s="60">
        <v>1.1398945</v>
      </c>
      <c r="J4643" s="59">
        <v>4.0</v>
      </c>
      <c r="K4643" s="61">
        <f t="shared" si="1"/>
        <v>1</v>
      </c>
      <c r="L4643" s="62">
        <f t="shared" si="2"/>
        <v>1</v>
      </c>
    </row>
    <row r="4644">
      <c r="A4644" s="58">
        <v>45809.0</v>
      </c>
      <c r="B4644" s="24" t="s">
        <v>6787</v>
      </c>
      <c r="C4644" s="24" t="s">
        <v>7068</v>
      </c>
      <c r="D4644" s="59">
        <v>4.0</v>
      </c>
      <c r="E4644" s="59">
        <v>4.0</v>
      </c>
      <c r="F4644" s="59">
        <v>4.0</v>
      </c>
      <c r="G4644" s="60">
        <v>1.0</v>
      </c>
      <c r="H4644" s="60">
        <v>0.5</v>
      </c>
      <c r="I4644" s="60">
        <v>14.509164</v>
      </c>
      <c r="J4644" s="59">
        <v>4.0</v>
      </c>
      <c r="K4644" s="61">
        <f t="shared" si="1"/>
        <v>1</v>
      </c>
      <c r="L4644" s="62">
        <f t="shared" si="2"/>
        <v>1</v>
      </c>
    </row>
    <row r="4645">
      <c r="A4645" s="58">
        <v>45809.0</v>
      </c>
      <c r="B4645" s="24" t="s">
        <v>6789</v>
      </c>
      <c r="C4645" s="24" t="s">
        <v>7074</v>
      </c>
      <c r="D4645" s="59">
        <v>4.0</v>
      </c>
      <c r="E4645" s="59">
        <v>4.0</v>
      </c>
      <c r="F4645" s="59">
        <v>3.0</v>
      </c>
      <c r="G4645" s="60">
        <v>1.0</v>
      </c>
      <c r="H4645" s="60">
        <v>0.0</v>
      </c>
      <c r="I4645" s="60">
        <v>647.65438</v>
      </c>
      <c r="J4645" s="59">
        <v>7.0</v>
      </c>
      <c r="K4645" s="61">
        <f t="shared" si="1"/>
        <v>0.75</v>
      </c>
      <c r="L4645" s="62">
        <f t="shared" si="2"/>
        <v>1.75</v>
      </c>
    </row>
    <row r="4646">
      <c r="A4646" s="58">
        <v>45809.0</v>
      </c>
      <c r="B4646" s="24" t="s">
        <v>6787</v>
      </c>
      <c r="C4646" s="24" t="s">
        <v>7021</v>
      </c>
      <c r="D4646" s="59">
        <v>4.0</v>
      </c>
      <c r="E4646" s="59">
        <v>4.0</v>
      </c>
      <c r="F4646" s="59">
        <v>3.0</v>
      </c>
      <c r="G4646" s="60">
        <v>1.0</v>
      </c>
      <c r="H4646" s="60">
        <v>0.25</v>
      </c>
      <c r="I4646" s="60">
        <v>130.325017</v>
      </c>
      <c r="J4646" s="59">
        <v>6.0</v>
      </c>
      <c r="K4646" s="61">
        <f t="shared" si="1"/>
        <v>0.75</v>
      </c>
      <c r="L4646" s="62">
        <f t="shared" si="2"/>
        <v>1.5</v>
      </c>
    </row>
    <row r="4647">
      <c r="A4647" s="58">
        <v>45809.0</v>
      </c>
      <c r="B4647" s="24" t="s">
        <v>6789</v>
      </c>
      <c r="C4647" s="24" t="s">
        <v>6896</v>
      </c>
      <c r="D4647" s="59">
        <v>4.0</v>
      </c>
      <c r="E4647" s="59">
        <v>4.0</v>
      </c>
      <c r="F4647" s="59">
        <v>2.0</v>
      </c>
      <c r="G4647" s="60">
        <v>1.33333333333333</v>
      </c>
      <c r="H4647" s="60">
        <v>0.5</v>
      </c>
      <c r="I4647" s="60">
        <v>9.026422</v>
      </c>
      <c r="J4647" s="59">
        <v>4.0</v>
      </c>
      <c r="K4647" s="61">
        <f t="shared" si="1"/>
        <v>0.5</v>
      </c>
      <c r="L4647" s="62">
        <f t="shared" si="2"/>
        <v>1</v>
      </c>
    </row>
    <row r="4648">
      <c r="A4648" s="58">
        <v>45809.0</v>
      </c>
      <c r="B4648" s="24" t="s">
        <v>6789</v>
      </c>
      <c r="C4648" s="24" t="s">
        <v>6904</v>
      </c>
      <c r="D4648" s="59">
        <v>4.0</v>
      </c>
      <c r="E4648" s="59">
        <v>4.0</v>
      </c>
      <c r="F4648" s="59">
        <v>0.0</v>
      </c>
      <c r="G4648" s="60">
        <v>1.0</v>
      </c>
      <c r="H4648" s="60">
        <v>0.25</v>
      </c>
      <c r="I4648" s="60">
        <v>49.32335675</v>
      </c>
      <c r="J4648" s="59">
        <v>9.0</v>
      </c>
      <c r="K4648" s="61">
        <f t="shared" si="1"/>
        <v>0</v>
      </c>
      <c r="L4648" s="62">
        <f t="shared" si="2"/>
        <v>2.25</v>
      </c>
    </row>
    <row r="4649">
      <c r="A4649" s="58">
        <v>45809.0</v>
      </c>
      <c r="B4649" s="24" t="s">
        <v>3216</v>
      </c>
      <c r="C4649" s="24" t="s">
        <v>7190</v>
      </c>
      <c r="D4649" s="59">
        <v>4.0</v>
      </c>
      <c r="E4649" s="59">
        <v>5.0</v>
      </c>
      <c r="F4649" s="59">
        <v>4.0</v>
      </c>
      <c r="G4649" s="60">
        <v>1.25</v>
      </c>
      <c r="H4649" s="60">
        <v>1.0</v>
      </c>
      <c r="I4649" s="60">
        <v>0.0</v>
      </c>
      <c r="J4649" s="59">
        <v>5.0</v>
      </c>
      <c r="K4649" s="61">
        <f t="shared" si="1"/>
        <v>0.8</v>
      </c>
      <c r="L4649" s="62">
        <f t="shared" si="2"/>
        <v>1</v>
      </c>
    </row>
    <row r="4650">
      <c r="A4650" s="58">
        <v>45809.0</v>
      </c>
      <c r="B4650" s="24" t="s">
        <v>6787</v>
      </c>
      <c r="C4650" s="24" t="s">
        <v>6812</v>
      </c>
      <c r="D4650" s="59">
        <v>4.0</v>
      </c>
      <c r="E4650" s="59">
        <v>4.0</v>
      </c>
      <c r="F4650" s="59">
        <v>4.0</v>
      </c>
      <c r="G4650" s="60">
        <v>1.0</v>
      </c>
      <c r="H4650" s="60">
        <v>0.0</v>
      </c>
      <c r="I4650" s="60">
        <v>77.37953575</v>
      </c>
      <c r="J4650" s="59">
        <v>4.0</v>
      </c>
      <c r="K4650" s="61">
        <f t="shared" si="1"/>
        <v>1</v>
      </c>
      <c r="L4650" s="62">
        <f t="shared" si="2"/>
        <v>1</v>
      </c>
    </row>
    <row r="4651">
      <c r="A4651" s="58">
        <v>45809.0</v>
      </c>
      <c r="B4651" s="24" t="s">
        <v>6789</v>
      </c>
      <c r="C4651" s="24" t="s">
        <v>6812</v>
      </c>
      <c r="D4651" s="59">
        <v>4.0</v>
      </c>
      <c r="E4651" s="59">
        <v>4.0</v>
      </c>
      <c r="F4651" s="59">
        <v>1.0</v>
      </c>
      <c r="G4651" s="60">
        <v>1.0</v>
      </c>
      <c r="H4651" s="60">
        <v>0.75</v>
      </c>
      <c r="I4651" s="60">
        <v>316.8093885</v>
      </c>
      <c r="J4651" s="59">
        <v>6.0</v>
      </c>
      <c r="K4651" s="61">
        <f t="shared" si="1"/>
        <v>0.25</v>
      </c>
      <c r="L4651" s="62">
        <f t="shared" si="2"/>
        <v>1.5</v>
      </c>
    </row>
    <row r="4652">
      <c r="A4652" s="58">
        <v>45809.0</v>
      </c>
      <c r="B4652" s="24" t="s">
        <v>6787</v>
      </c>
      <c r="C4652" s="24" t="s">
        <v>7173</v>
      </c>
      <c r="D4652" s="59">
        <v>4.0</v>
      </c>
      <c r="E4652" s="59">
        <v>4.0</v>
      </c>
      <c r="F4652" s="59">
        <v>3.0</v>
      </c>
      <c r="G4652" s="60">
        <v>1.33333333333333</v>
      </c>
      <c r="H4652" s="60">
        <v>0.25</v>
      </c>
      <c r="I4652" s="60">
        <v>165.34252</v>
      </c>
      <c r="J4652" s="59">
        <v>4.0</v>
      </c>
      <c r="K4652" s="61">
        <f t="shared" si="1"/>
        <v>0.75</v>
      </c>
      <c r="L4652" s="62">
        <f t="shared" si="2"/>
        <v>1</v>
      </c>
    </row>
    <row r="4653">
      <c r="A4653" s="58">
        <v>45809.0</v>
      </c>
      <c r="B4653" s="24" t="s">
        <v>6789</v>
      </c>
      <c r="C4653" s="24" t="s">
        <v>7106</v>
      </c>
      <c r="D4653" s="59">
        <v>4.0</v>
      </c>
      <c r="E4653" s="59">
        <v>4.0</v>
      </c>
      <c r="F4653" s="59">
        <v>2.0</v>
      </c>
      <c r="G4653" s="60">
        <v>1.0</v>
      </c>
      <c r="H4653" s="60">
        <v>0.75</v>
      </c>
      <c r="I4653" s="60">
        <v>20.99670625</v>
      </c>
      <c r="J4653" s="59">
        <v>5.0</v>
      </c>
      <c r="K4653" s="61">
        <f t="shared" si="1"/>
        <v>0.5</v>
      </c>
      <c r="L4653" s="62">
        <f t="shared" si="2"/>
        <v>1.25</v>
      </c>
    </row>
    <row r="4654">
      <c r="A4654" s="58">
        <v>45809.0</v>
      </c>
      <c r="B4654" s="24" t="s">
        <v>6787</v>
      </c>
      <c r="C4654" s="24" t="s">
        <v>6853</v>
      </c>
      <c r="D4654" s="59">
        <v>4.0</v>
      </c>
      <c r="E4654" s="59">
        <v>6.0</v>
      </c>
      <c r="F4654" s="59">
        <v>3.0</v>
      </c>
      <c r="G4654" s="60">
        <v>2.0</v>
      </c>
      <c r="H4654" s="60">
        <v>0.666666666666666</v>
      </c>
      <c r="I4654" s="60">
        <v>360.262789666666</v>
      </c>
      <c r="J4654" s="59">
        <v>6.0</v>
      </c>
      <c r="K4654" s="61">
        <f t="shared" si="1"/>
        <v>0.5</v>
      </c>
      <c r="L4654" s="62">
        <f t="shared" si="2"/>
        <v>1</v>
      </c>
    </row>
    <row r="4655">
      <c r="A4655" s="58">
        <v>45809.0</v>
      </c>
      <c r="B4655" s="24" t="s">
        <v>6787</v>
      </c>
      <c r="C4655" s="24" t="s">
        <v>6922</v>
      </c>
      <c r="D4655" s="59">
        <v>4.0</v>
      </c>
      <c r="E4655" s="59">
        <v>4.0</v>
      </c>
      <c r="F4655" s="59">
        <v>3.0</v>
      </c>
      <c r="G4655" s="60">
        <v>1.33333333333333</v>
      </c>
      <c r="H4655" s="60">
        <v>0.75</v>
      </c>
      <c r="I4655" s="60">
        <v>3.07958875</v>
      </c>
      <c r="J4655" s="59">
        <v>4.0</v>
      </c>
      <c r="K4655" s="61">
        <f t="shared" si="1"/>
        <v>0.75</v>
      </c>
      <c r="L4655" s="62">
        <f t="shared" si="2"/>
        <v>1</v>
      </c>
    </row>
    <row r="4656">
      <c r="A4656" s="58">
        <v>45809.0</v>
      </c>
      <c r="B4656" s="24" t="s">
        <v>6794</v>
      </c>
      <c r="C4656" s="24" t="s">
        <v>7404</v>
      </c>
      <c r="D4656" s="59">
        <v>4.0</v>
      </c>
      <c r="E4656" s="59">
        <v>4.0</v>
      </c>
      <c r="F4656" s="59">
        <v>2.0</v>
      </c>
      <c r="G4656" s="60">
        <v>1.33333333333333</v>
      </c>
      <c r="H4656" s="60">
        <v>0.25</v>
      </c>
      <c r="I4656" s="60">
        <v>63.0872262499999</v>
      </c>
      <c r="J4656" s="59">
        <v>5.0</v>
      </c>
      <c r="K4656" s="61">
        <f t="shared" si="1"/>
        <v>0.5</v>
      </c>
      <c r="L4656" s="62">
        <f t="shared" si="2"/>
        <v>1.25</v>
      </c>
    </row>
    <row r="4657">
      <c r="A4657" s="58">
        <v>45809.0</v>
      </c>
      <c r="B4657" s="24" t="s">
        <v>155</v>
      </c>
      <c r="C4657" s="24" t="s">
        <v>6803</v>
      </c>
      <c r="D4657" s="59">
        <v>3.0</v>
      </c>
      <c r="E4657" s="59">
        <v>3.0</v>
      </c>
      <c r="F4657" s="59">
        <v>3.0</v>
      </c>
      <c r="G4657" s="60">
        <v>1.0</v>
      </c>
      <c r="H4657" s="60">
        <v>1.0</v>
      </c>
      <c r="I4657" s="60">
        <v>0.0</v>
      </c>
      <c r="J4657" s="59">
        <v>3.0</v>
      </c>
      <c r="K4657" s="61">
        <f t="shared" si="1"/>
        <v>1</v>
      </c>
      <c r="L4657" s="62">
        <f t="shared" si="2"/>
        <v>1</v>
      </c>
    </row>
    <row r="4658">
      <c r="A4658" s="58">
        <v>45809.0</v>
      </c>
      <c r="B4658" s="24" t="s">
        <v>6789</v>
      </c>
      <c r="C4658" s="24" t="s">
        <v>6829</v>
      </c>
      <c r="D4658" s="59">
        <v>3.0</v>
      </c>
      <c r="E4658" s="59">
        <v>3.0</v>
      </c>
      <c r="F4658" s="59">
        <v>3.0</v>
      </c>
      <c r="G4658" s="60">
        <v>1.0</v>
      </c>
      <c r="H4658" s="60">
        <v>0.0</v>
      </c>
      <c r="I4658" s="60">
        <v>44.0668696666666</v>
      </c>
      <c r="J4658" s="59">
        <v>3.0</v>
      </c>
      <c r="K4658" s="61">
        <f t="shared" si="1"/>
        <v>1</v>
      </c>
      <c r="L4658" s="62">
        <f t="shared" si="2"/>
        <v>1</v>
      </c>
    </row>
    <row r="4659">
      <c r="A4659" s="58">
        <v>45809.0</v>
      </c>
      <c r="B4659" s="24" t="s">
        <v>6789</v>
      </c>
      <c r="C4659" s="24" t="s">
        <v>7058</v>
      </c>
      <c r="D4659" s="59">
        <v>3.0</v>
      </c>
      <c r="E4659" s="59">
        <v>3.0</v>
      </c>
      <c r="F4659" s="59">
        <v>2.0</v>
      </c>
      <c r="G4659" s="60">
        <v>1.0</v>
      </c>
      <c r="H4659" s="60">
        <v>0.666666666666666</v>
      </c>
      <c r="I4659" s="60">
        <v>523.878229666666</v>
      </c>
      <c r="J4659" s="59">
        <v>3.0</v>
      </c>
      <c r="K4659" s="61">
        <f t="shared" si="1"/>
        <v>0.6666666667</v>
      </c>
      <c r="L4659" s="62">
        <f t="shared" si="2"/>
        <v>1</v>
      </c>
    </row>
    <row r="4660">
      <c r="A4660" s="58">
        <v>45809.0</v>
      </c>
      <c r="B4660" s="24" t="s">
        <v>6787</v>
      </c>
      <c r="C4660" s="24" t="s">
        <v>6986</v>
      </c>
      <c r="D4660" s="59">
        <v>3.0</v>
      </c>
      <c r="E4660" s="59">
        <v>3.0</v>
      </c>
      <c r="F4660" s="59">
        <v>3.0</v>
      </c>
      <c r="G4660" s="60">
        <v>1.0</v>
      </c>
      <c r="H4660" s="60">
        <v>0.666666666666666</v>
      </c>
      <c r="I4660" s="60">
        <v>390.112938</v>
      </c>
      <c r="J4660" s="59">
        <v>3.0</v>
      </c>
      <c r="K4660" s="61">
        <f t="shared" si="1"/>
        <v>1</v>
      </c>
      <c r="L4660" s="62">
        <f t="shared" si="2"/>
        <v>1</v>
      </c>
    </row>
    <row r="4661">
      <c r="A4661" s="58">
        <v>45809.0</v>
      </c>
      <c r="B4661" s="24" t="s">
        <v>6787</v>
      </c>
      <c r="C4661" s="24" t="s">
        <v>6870</v>
      </c>
      <c r="D4661" s="59">
        <v>3.0</v>
      </c>
      <c r="E4661" s="59">
        <v>3.0</v>
      </c>
      <c r="F4661" s="59">
        <v>3.0</v>
      </c>
      <c r="G4661" s="60">
        <v>1.0</v>
      </c>
      <c r="H4661" s="60">
        <v>0.666666666666666</v>
      </c>
      <c r="I4661" s="60">
        <v>54.798138</v>
      </c>
      <c r="J4661" s="59">
        <v>4.0</v>
      </c>
      <c r="K4661" s="61">
        <f t="shared" si="1"/>
        <v>1</v>
      </c>
      <c r="L4661" s="62">
        <f t="shared" si="2"/>
        <v>1.333333333</v>
      </c>
    </row>
    <row r="4662">
      <c r="A4662" s="58">
        <v>45809.0</v>
      </c>
      <c r="B4662" s="24" t="s">
        <v>6787</v>
      </c>
      <c r="C4662" s="24" t="s">
        <v>7024</v>
      </c>
      <c r="D4662" s="59">
        <v>3.0</v>
      </c>
      <c r="E4662" s="59">
        <v>3.0</v>
      </c>
      <c r="F4662" s="59">
        <v>3.0</v>
      </c>
      <c r="G4662" s="60">
        <v>1.0</v>
      </c>
      <c r="H4662" s="60">
        <v>1.0</v>
      </c>
      <c r="I4662" s="60">
        <v>0.0</v>
      </c>
      <c r="J4662" s="59">
        <v>3.0</v>
      </c>
      <c r="K4662" s="61">
        <f t="shared" si="1"/>
        <v>1</v>
      </c>
      <c r="L4662" s="62">
        <f t="shared" si="2"/>
        <v>1</v>
      </c>
    </row>
    <row r="4663">
      <c r="A4663" s="58">
        <v>45809.0</v>
      </c>
      <c r="B4663" s="24" t="s">
        <v>6789</v>
      </c>
      <c r="C4663" s="24" t="s">
        <v>6880</v>
      </c>
      <c r="D4663" s="59">
        <v>3.0</v>
      </c>
      <c r="E4663" s="59">
        <v>3.0</v>
      </c>
      <c r="F4663" s="59">
        <v>3.0</v>
      </c>
      <c r="G4663" s="60">
        <v>1.0</v>
      </c>
      <c r="H4663" s="60">
        <v>1.0</v>
      </c>
      <c r="I4663" s="60">
        <v>0.379757333333333</v>
      </c>
      <c r="J4663" s="59">
        <v>3.0</v>
      </c>
      <c r="K4663" s="61">
        <f t="shared" si="1"/>
        <v>1</v>
      </c>
      <c r="L4663" s="62">
        <f t="shared" si="2"/>
        <v>1</v>
      </c>
    </row>
    <row r="4664">
      <c r="A4664" s="58">
        <v>45809.0</v>
      </c>
      <c r="B4664" s="24" t="s">
        <v>6789</v>
      </c>
      <c r="C4664" s="24" t="s">
        <v>7067</v>
      </c>
      <c r="D4664" s="59">
        <v>3.0</v>
      </c>
      <c r="E4664" s="59">
        <v>3.0</v>
      </c>
      <c r="F4664" s="59">
        <v>3.0</v>
      </c>
      <c r="G4664" s="60">
        <v>1.0</v>
      </c>
      <c r="H4664" s="60">
        <v>0.0</v>
      </c>
      <c r="I4664" s="60">
        <v>44.4547343333333</v>
      </c>
      <c r="J4664" s="59">
        <v>11.0</v>
      </c>
      <c r="K4664" s="61">
        <f t="shared" si="1"/>
        <v>1</v>
      </c>
      <c r="L4664" s="62">
        <f t="shared" si="2"/>
        <v>3.666666667</v>
      </c>
    </row>
    <row r="4665">
      <c r="A4665" s="58">
        <v>45809.0</v>
      </c>
      <c r="B4665" s="24" t="s">
        <v>155</v>
      </c>
      <c r="C4665" s="24" t="s">
        <v>6835</v>
      </c>
      <c r="D4665" s="59">
        <v>3.0</v>
      </c>
      <c r="E4665" s="59">
        <v>3.0</v>
      </c>
      <c r="F4665" s="59">
        <v>1.0</v>
      </c>
      <c r="G4665" s="60">
        <v>1.5</v>
      </c>
      <c r="H4665" s="60">
        <v>0.333333333333333</v>
      </c>
      <c r="I4665" s="60">
        <v>526.838661666666</v>
      </c>
      <c r="J4665" s="59">
        <v>3.0</v>
      </c>
      <c r="K4665" s="61">
        <f t="shared" si="1"/>
        <v>0.3333333333</v>
      </c>
      <c r="L4665" s="62">
        <f t="shared" si="2"/>
        <v>1</v>
      </c>
    </row>
    <row r="4666">
      <c r="A4666" s="58">
        <v>45809.0</v>
      </c>
      <c r="B4666" s="24" t="s">
        <v>6787</v>
      </c>
      <c r="C4666" s="24" t="s">
        <v>6836</v>
      </c>
      <c r="D4666" s="59">
        <v>3.0</v>
      </c>
      <c r="E4666" s="59">
        <v>3.0</v>
      </c>
      <c r="F4666" s="59">
        <v>3.0</v>
      </c>
      <c r="G4666" s="60">
        <v>1.0</v>
      </c>
      <c r="H4666" s="60">
        <v>1.0</v>
      </c>
      <c r="I4666" s="60">
        <v>1.943961</v>
      </c>
      <c r="J4666" s="59">
        <v>3.0</v>
      </c>
      <c r="K4666" s="61">
        <f t="shared" si="1"/>
        <v>1</v>
      </c>
      <c r="L4666" s="62">
        <f t="shared" si="2"/>
        <v>1</v>
      </c>
    </row>
    <row r="4667">
      <c r="A4667" s="58">
        <v>45809.0</v>
      </c>
      <c r="B4667" s="24" t="s">
        <v>155</v>
      </c>
      <c r="C4667" s="24" t="s">
        <v>6886</v>
      </c>
      <c r="D4667" s="59">
        <v>3.0</v>
      </c>
      <c r="E4667" s="59">
        <v>3.0</v>
      </c>
      <c r="F4667" s="59">
        <v>0.0</v>
      </c>
      <c r="G4667" s="60">
        <v>1.0</v>
      </c>
      <c r="H4667" s="60">
        <v>0.333333333333333</v>
      </c>
      <c r="I4667" s="60">
        <v>510.061097333333</v>
      </c>
      <c r="J4667" s="59">
        <v>13.0</v>
      </c>
      <c r="K4667" s="61">
        <f t="shared" si="1"/>
        <v>0</v>
      </c>
      <c r="L4667" s="62">
        <f t="shared" si="2"/>
        <v>4.333333333</v>
      </c>
    </row>
    <row r="4668">
      <c r="A4668" s="58">
        <v>45809.0</v>
      </c>
      <c r="B4668" s="24" t="s">
        <v>6787</v>
      </c>
      <c r="C4668" s="24" t="s">
        <v>6820</v>
      </c>
      <c r="D4668" s="59">
        <v>3.0</v>
      </c>
      <c r="E4668" s="59">
        <v>3.0</v>
      </c>
      <c r="F4668" s="59">
        <v>3.0</v>
      </c>
      <c r="G4668" s="60">
        <v>1.0</v>
      </c>
      <c r="H4668" s="60">
        <v>1.0</v>
      </c>
      <c r="I4668" s="60">
        <v>0.0</v>
      </c>
      <c r="J4668" s="59">
        <v>3.0</v>
      </c>
      <c r="K4668" s="61">
        <f t="shared" si="1"/>
        <v>1</v>
      </c>
      <c r="L4668" s="62">
        <f t="shared" si="2"/>
        <v>1</v>
      </c>
    </row>
    <row r="4669">
      <c r="A4669" s="58">
        <v>45809.0</v>
      </c>
      <c r="B4669" s="24" t="s">
        <v>155</v>
      </c>
      <c r="C4669" s="24" t="s">
        <v>6820</v>
      </c>
      <c r="D4669" s="59">
        <v>3.0</v>
      </c>
      <c r="E4669" s="59">
        <v>4.0</v>
      </c>
      <c r="F4669" s="59">
        <v>3.0</v>
      </c>
      <c r="G4669" s="60">
        <v>1.33333333333333</v>
      </c>
      <c r="H4669" s="60">
        <v>0.5</v>
      </c>
      <c r="I4669" s="60">
        <v>675.08844875</v>
      </c>
      <c r="J4669" s="59">
        <v>16.0</v>
      </c>
      <c r="K4669" s="61">
        <f t="shared" si="1"/>
        <v>0.75</v>
      </c>
      <c r="L4669" s="62">
        <f t="shared" si="2"/>
        <v>4</v>
      </c>
    </row>
    <row r="4670">
      <c r="A4670" s="58">
        <v>45809.0</v>
      </c>
      <c r="B4670" s="24" t="s">
        <v>6789</v>
      </c>
      <c r="C4670" s="24" t="s">
        <v>6892</v>
      </c>
      <c r="D4670" s="59">
        <v>3.0</v>
      </c>
      <c r="E4670" s="59">
        <v>3.0</v>
      </c>
      <c r="F4670" s="59">
        <v>3.0</v>
      </c>
      <c r="G4670" s="60">
        <v>1.0</v>
      </c>
      <c r="H4670" s="60">
        <v>0.333333333333333</v>
      </c>
      <c r="I4670" s="60">
        <v>205.52903</v>
      </c>
      <c r="J4670" s="59">
        <v>3.0</v>
      </c>
      <c r="K4670" s="61">
        <f t="shared" si="1"/>
        <v>1</v>
      </c>
      <c r="L4670" s="62">
        <f t="shared" si="2"/>
        <v>1</v>
      </c>
    </row>
    <row r="4671">
      <c r="A4671" s="58">
        <v>45809.0</v>
      </c>
      <c r="B4671" s="24" t="s">
        <v>6789</v>
      </c>
      <c r="C4671" s="24" t="s">
        <v>6844</v>
      </c>
      <c r="D4671" s="59">
        <v>3.0</v>
      </c>
      <c r="E4671" s="59">
        <v>3.0</v>
      </c>
      <c r="F4671" s="59">
        <v>2.0</v>
      </c>
      <c r="G4671" s="60">
        <v>1.0</v>
      </c>
      <c r="H4671" s="60">
        <v>0.0</v>
      </c>
      <c r="I4671" s="60">
        <v>156.146887666666</v>
      </c>
      <c r="J4671" s="59">
        <v>11.0</v>
      </c>
      <c r="K4671" s="61">
        <f t="shared" si="1"/>
        <v>0.6666666667</v>
      </c>
      <c r="L4671" s="62">
        <f t="shared" si="2"/>
        <v>3.666666667</v>
      </c>
    </row>
    <row r="4672">
      <c r="A4672" s="58">
        <v>45809.0</v>
      </c>
      <c r="B4672" s="24" t="s">
        <v>6787</v>
      </c>
      <c r="C4672" s="24" t="s">
        <v>7236</v>
      </c>
      <c r="D4672" s="59">
        <v>3.0</v>
      </c>
      <c r="E4672" s="59">
        <v>3.0</v>
      </c>
      <c r="F4672" s="59">
        <v>2.0</v>
      </c>
      <c r="G4672" s="60">
        <v>1.0</v>
      </c>
      <c r="H4672" s="60">
        <v>0.0</v>
      </c>
      <c r="I4672" s="60">
        <v>250.765789666666</v>
      </c>
      <c r="J4672" s="59">
        <v>4.0</v>
      </c>
      <c r="K4672" s="61">
        <f t="shared" si="1"/>
        <v>0.6666666667</v>
      </c>
      <c r="L4672" s="62">
        <f t="shared" si="2"/>
        <v>1.333333333</v>
      </c>
    </row>
    <row r="4673">
      <c r="A4673" s="58">
        <v>45809.0</v>
      </c>
      <c r="B4673" s="24" t="s">
        <v>6789</v>
      </c>
      <c r="C4673" s="24" t="s">
        <v>7092</v>
      </c>
      <c r="D4673" s="59">
        <v>3.0</v>
      </c>
      <c r="E4673" s="59">
        <v>3.0</v>
      </c>
      <c r="F4673" s="59">
        <v>3.0</v>
      </c>
      <c r="G4673" s="60">
        <v>1.0</v>
      </c>
      <c r="H4673" s="60">
        <v>0.666666666666666</v>
      </c>
      <c r="I4673" s="60">
        <v>6.42853233333333</v>
      </c>
      <c r="J4673" s="59">
        <v>3.0</v>
      </c>
      <c r="K4673" s="61">
        <f t="shared" si="1"/>
        <v>1</v>
      </c>
      <c r="L4673" s="62">
        <f t="shared" si="2"/>
        <v>1</v>
      </c>
    </row>
    <row r="4674">
      <c r="A4674" s="58">
        <v>45809.0</v>
      </c>
      <c r="B4674" s="24" t="s">
        <v>6787</v>
      </c>
      <c r="C4674" s="24" t="s">
        <v>7013</v>
      </c>
      <c r="D4674" s="59">
        <v>3.0</v>
      </c>
      <c r="E4674" s="59">
        <v>3.0</v>
      </c>
      <c r="F4674" s="59">
        <v>2.0</v>
      </c>
      <c r="G4674" s="60">
        <v>1.0</v>
      </c>
      <c r="H4674" s="60">
        <v>0.333333333333333</v>
      </c>
      <c r="I4674" s="60">
        <v>11.363161</v>
      </c>
      <c r="J4674" s="59">
        <v>3.0</v>
      </c>
      <c r="K4674" s="61">
        <f t="shared" si="1"/>
        <v>0.6666666667</v>
      </c>
      <c r="L4674" s="62">
        <f t="shared" si="2"/>
        <v>1</v>
      </c>
    </row>
    <row r="4675">
      <c r="A4675" s="58">
        <v>45809.0</v>
      </c>
      <c r="B4675" s="24" t="s">
        <v>6787</v>
      </c>
      <c r="C4675" s="24" t="s">
        <v>7405</v>
      </c>
      <c r="D4675" s="59">
        <v>3.0</v>
      </c>
      <c r="E4675" s="59">
        <v>6.0</v>
      </c>
      <c r="F4675" s="59">
        <v>2.0</v>
      </c>
      <c r="G4675" s="60">
        <v>2.0</v>
      </c>
      <c r="H4675" s="60">
        <v>0.333333333333333</v>
      </c>
      <c r="I4675" s="60">
        <v>136.050765166666</v>
      </c>
      <c r="J4675" s="59">
        <v>16.0</v>
      </c>
      <c r="K4675" s="61">
        <f t="shared" si="1"/>
        <v>0.3333333333</v>
      </c>
      <c r="L4675" s="62">
        <f t="shared" si="2"/>
        <v>2.666666667</v>
      </c>
    </row>
    <row r="4676">
      <c r="A4676" s="58">
        <v>45809.0</v>
      </c>
      <c r="B4676" s="24" t="s">
        <v>6787</v>
      </c>
      <c r="C4676" s="24" t="s">
        <v>6960</v>
      </c>
      <c r="D4676" s="59">
        <v>3.0</v>
      </c>
      <c r="E4676" s="59">
        <v>3.0</v>
      </c>
      <c r="F4676" s="59">
        <v>3.0</v>
      </c>
      <c r="G4676" s="60">
        <v>1.0</v>
      </c>
      <c r="H4676" s="60">
        <v>0.333333333333333</v>
      </c>
      <c r="I4676" s="60">
        <v>20.7754486666666</v>
      </c>
      <c r="J4676" s="59">
        <v>3.0</v>
      </c>
      <c r="K4676" s="61">
        <f t="shared" si="1"/>
        <v>1</v>
      </c>
      <c r="L4676" s="62">
        <f t="shared" si="2"/>
        <v>1</v>
      </c>
    </row>
    <row r="4677">
      <c r="A4677" s="58">
        <v>45809.0</v>
      </c>
      <c r="B4677" s="24" t="s">
        <v>6787</v>
      </c>
      <c r="C4677" s="24" t="s">
        <v>6809</v>
      </c>
      <c r="D4677" s="59">
        <v>3.0</v>
      </c>
      <c r="E4677" s="59">
        <v>3.0</v>
      </c>
      <c r="F4677" s="59">
        <v>1.0</v>
      </c>
      <c r="G4677" s="60">
        <v>1.5</v>
      </c>
      <c r="H4677" s="60">
        <v>0.333333333333333</v>
      </c>
      <c r="I4677" s="60">
        <v>460.150143333333</v>
      </c>
      <c r="J4677" s="59">
        <v>4.0</v>
      </c>
      <c r="K4677" s="61">
        <f t="shared" si="1"/>
        <v>0.3333333333</v>
      </c>
      <c r="L4677" s="62">
        <f t="shared" si="2"/>
        <v>1.333333333</v>
      </c>
    </row>
    <row r="4678">
      <c r="A4678" s="58">
        <v>45809.0</v>
      </c>
      <c r="B4678" s="24" t="s">
        <v>6787</v>
      </c>
      <c r="C4678" s="24" t="s">
        <v>6849</v>
      </c>
      <c r="D4678" s="59">
        <v>3.0</v>
      </c>
      <c r="E4678" s="59">
        <v>3.0</v>
      </c>
      <c r="F4678" s="59">
        <v>3.0</v>
      </c>
      <c r="G4678" s="60">
        <v>1.0</v>
      </c>
      <c r="H4678" s="60">
        <v>0.0</v>
      </c>
      <c r="I4678" s="60">
        <v>25.119685</v>
      </c>
      <c r="J4678" s="59">
        <v>3.0</v>
      </c>
      <c r="K4678" s="61">
        <f t="shared" si="1"/>
        <v>1</v>
      </c>
      <c r="L4678" s="62">
        <f t="shared" si="2"/>
        <v>1</v>
      </c>
    </row>
    <row r="4679">
      <c r="A4679" s="58">
        <v>45809.0</v>
      </c>
      <c r="B4679" s="24" t="s">
        <v>6789</v>
      </c>
      <c r="C4679" s="24" t="s">
        <v>7172</v>
      </c>
      <c r="D4679" s="59">
        <v>3.0</v>
      </c>
      <c r="E4679" s="59">
        <v>3.0</v>
      </c>
      <c r="F4679" s="59">
        <v>1.0</v>
      </c>
      <c r="G4679" s="60">
        <v>1.0</v>
      </c>
      <c r="H4679" s="60">
        <v>0.0</v>
      </c>
      <c r="I4679" s="60">
        <v>515.681942333333</v>
      </c>
      <c r="J4679" s="59">
        <v>11.0</v>
      </c>
      <c r="K4679" s="61">
        <f t="shared" si="1"/>
        <v>0.3333333333</v>
      </c>
      <c r="L4679" s="62">
        <f t="shared" si="2"/>
        <v>3.666666667</v>
      </c>
    </row>
    <row r="4680">
      <c r="A4680" s="58">
        <v>45809.0</v>
      </c>
      <c r="B4680" s="24" t="s">
        <v>6787</v>
      </c>
      <c r="C4680" s="24" t="s">
        <v>7313</v>
      </c>
      <c r="D4680" s="59">
        <v>3.0</v>
      </c>
      <c r="E4680" s="59">
        <v>4.0</v>
      </c>
      <c r="F4680" s="59">
        <v>3.0</v>
      </c>
      <c r="G4680" s="60">
        <v>1.33333333333333</v>
      </c>
      <c r="H4680" s="60">
        <v>0.5</v>
      </c>
      <c r="I4680" s="60">
        <v>23.35689275</v>
      </c>
      <c r="J4680" s="59">
        <v>4.0</v>
      </c>
      <c r="K4680" s="61">
        <f t="shared" si="1"/>
        <v>0.75</v>
      </c>
      <c r="L4680" s="62">
        <f t="shared" si="2"/>
        <v>1</v>
      </c>
    </row>
    <row r="4681">
      <c r="A4681" s="58">
        <v>45809.0</v>
      </c>
      <c r="B4681" s="24" t="s">
        <v>6787</v>
      </c>
      <c r="C4681" s="24" t="s">
        <v>6910</v>
      </c>
      <c r="D4681" s="59">
        <v>3.0</v>
      </c>
      <c r="E4681" s="59">
        <v>4.0</v>
      </c>
      <c r="F4681" s="59">
        <v>1.0</v>
      </c>
      <c r="G4681" s="60">
        <v>2.0</v>
      </c>
      <c r="H4681" s="60">
        <v>0.5</v>
      </c>
      <c r="I4681" s="60">
        <v>7.05179075</v>
      </c>
      <c r="J4681" s="59">
        <v>7.0</v>
      </c>
      <c r="K4681" s="61">
        <f t="shared" si="1"/>
        <v>0.25</v>
      </c>
      <c r="L4681" s="62">
        <f t="shared" si="2"/>
        <v>1.75</v>
      </c>
    </row>
    <row r="4682">
      <c r="A4682" s="58">
        <v>45809.0</v>
      </c>
      <c r="B4682" s="24" t="s">
        <v>6789</v>
      </c>
      <c r="C4682" s="24" t="s">
        <v>6921</v>
      </c>
      <c r="D4682" s="59">
        <v>3.0</v>
      </c>
      <c r="E4682" s="59">
        <v>3.0</v>
      </c>
      <c r="F4682" s="59">
        <v>0.0</v>
      </c>
      <c r="G4682" s="60">
        <v>1.0</v>
      </c>
      <c r="H4682" s="60">
        <v>0.0</v>
      </c>
      <c r="I4682" s="60">
        <v>950.137772</v>
      </c>
      <c r="J4682" s="59">
        <v>7.0</v>
      </c>
      <c r="K4682" s="61">
        <f t="shared" si="1"/>
        <v>0</v>
      </c>
      <c r="L4682" s="62">
        <f t="shared" si="2"/>
        <v>2.333333333</v>
      </c>
    </row>
    <row r="4683">
      <c r="A4683" s="58">
        <v>45809.0</v>
      </c>
      <c r="B4683" s="24" t="s">
        <v>155</v>
      </c>
      <c r="C4683" s="24" t="s">
        <v>6810</v>
      </c>
      <c r="D4683" s="59">
        <v>3.0</v>
      </c>
      <c r="E4683" s="59">
        <v>3.0</v>
      </c>
      <c r="F4683" s="59">
        <v>2.0</v>
      </c>
      <c r="G4683" s="60">
        <v>1.0</v>
      </c>
      <c r="H4683" s="60">
        <v>0.0</v>
      </c>
      <c r="I4683" s="60">
        <v>10.518213</v>
      </c>
      <c r="J4683" s="59">
        <v>5.0</v>
      </c>
      <c r="K4683" s="61">
        <f t="shared" si="1"/>
        <v>0.6666666667</v>
      </c>
      <c r="L4683" s="62">
        <f t="shared" si="2"/>
        <v>1.666666667</v>
      </c>
    </row>
    <row r="4684">
      <c r="A4684" s="58">
        <v>45809.0</v>
      </c>
      <c r="B4684" s="24" t="s">
        <v>6787</v>
      </c>
      <c r="C4684" s="24" t="s">
        <v>7404</v>
      </c>
      <c r="D4684" s="59">
        <v>3.0</v>
      </c>
      <c r="E4684" s="59">
        <v>3.0</v>
      </c>
      <c r="F4684" s="59">
        <v>1.0</v>
      </c>
      <c r="G4684" s="60">
        <v>1.0</v>
      </c>
      <c r="H4684" s="60">
        <v>0.666666666666666</v>
      </c>
      <c r="I4684" s="60">
        <v>19.569518</v>
      </c>
      <c r="J4684" s="59">
        <v>4.0</v>
      </c>
      <c r="K4684" s="61">
        <f t="shared" si="1"/>
        <v>0.3333333333</v>
      </c>
      <c r="L4684" s="62">
        <f t="shared" si="2"/>
        <v>1.333333333</v>
      </c>
    </row>
    <row r="4685">
      <c r="A4685" s="58">
        <v>45809.0</v>
      </c>
      <c r="B4685" s="24" t="s">
        <v>3216</v>
      </c>
      <c r="C4685" s="24" t="s">
        <v>7404</v>
      </c>
      <c r="D4685" s="59">
        <v>3.0</v>
      </c>
      <c r="E4685" s="59">
        <v>3.0</v>
      </c>
      <c r="F4685" s="59">
        <v>2.0</v>
      </c>
      <c r="G4685" s="60">
        <v>1.0</v>
      </c>
      <c r="H4685" s="60">
        <v>0.0</v>
      </c>
      <c r="I4685" s="60">
        <v>95.2330796666666</v>
      </c>
      <c r="J4685" s="59">
        <v>8.0</v>
      </c>
      <c r="K4685" s="61">
        <f t="shared" si="1"/>
        <v>0.6666666667</v>
      </c>
      <c r="L4685" s="62">
        <f t="shared" si="2"/>
        <v>2.666666667</v>
      </c>
    </row>
    <row r="4686">
      <c r="A4686" s="58">
        <v>45809.0</v>
      </c>
      <c r="B4686" s="24" t="s">
        <v>155</v>
      </c>
      <c r="C4686" s="24" t="s">
        <v>7387</v>
      </c>
      <c r="D4686" s="59">
        <v>3.0</v>
      </c>
      <c r="E4686" s="59">
        <v>6.0</v>
      </c>
      <c r="F4686" s="59">
        <v>0.0</v>
      </c>
      <c r="G4686" s="60">
        <v>3.0</v>
      </c>
      <c r="H4686" s="60">
        <v>0.666666666666666</v>
      </c>
      <c r="I4686" s="60">
        <v>141.526026333333</v>
      </c>
      <c r="J4686" s="59">
        <v>8.0</v>
      </c>
      <c r="K4686" s="61">
        <f t="shared" si="1"/>
        <v>0</v>
      </c>
      <c r="L4686" s="62">
        <f t="shared" si="2"/>
        <v>1.333333333</v>
      </c>
    </row>
    <row r="4687">
      <c r="A4687" s="58">
        <v>45809.0</v>
      </c>
      <c r="B4687" s="24" t="s">
        <v>7100</v>
      </c>
      <c r="C4687" s="24" t="s">
        <v>6788</v>
      </c>
      <c r="D4687" s="59">
        <v>2.0</v>
      </c>
      <c r="E4687" s="59">
        <v>2.0</v>
      </c>
      <c r="F4687" s="59">
        <v>0.0</v>
      </c>
      <c r="G4687" s="60">
        <v>2.0</v>
      </c>
      <c r="H4687" s="60">
        <v>0.5</v>
      </c>
      <c r="I4687" s="60">
        <v>574.0405835</v>
      </c>
      <c r="J4687" s="59">
        <v>3.0</v>
      </c>
      <c r="K4687" s="61">
        <f t="shared" si="1"/>
        <v>0</v>
      </c>
      <c r="L4687" s="62">
        <f t="shared" si="2"/>
        <v>1.5</v>
      </c>
    </row>
    <row r="4688">
      <c r="A4688" s="58">
        <v>45809.0</v>
      </c>
      <c r="B4688" s="24" t="s">
        <v>6787</v>
      </c>
      <c r="C4688" s="24" t="s">
        <v>7406</v>
      </c>
      <c r="D4688" s="59">
        <v>2.0</v>
      </c>
      <c r="E4688" s="59">
        <v>2.0</v>
      </c>
      <c r="F4688" s="59">
        <v>2.0</v>
      </c>
      <c r="G4688" s="60">
        <v>1.0</v>
      </c>
      <c r="H4688" s="60">
        <v>1.0</v>
      </c>
      <c r="I4688" s="60">
        <v>0.0</v>
      </c>
      <c r="J4688" s="59">
        <v>2.0</v>
      </c>
      <c r="K4688" s="61">
        <f t="shared" si="1"/>
        <v>1</v>
      </c>
      <c r="L4688" s="62">
        <f t="shared" si="2"/>
        <v>1</v>
      </c>
    </row>
    <row r="4689">
      <c r="A4689" s="58">
        <v>45809.0</v>
      </c>
      <c r="B4689" s="24" t="s">
        <v>6787</v>
      </c>
      <c r="C4689" s="24" t="s">
        <v>7407</v>
      </c>
      <c r="D4689" s="59">
        <v>2.0</v>
      </c>
      <c r="E4689" s="59">
        <v>2.0</v>
      </c>
      <c r="F4689" s="59">
        <v>2.0</v>
      </c>
      <c r="G4689" s="60">
        <v>1.0</v>
      </c>
      <c r="H4689" s="60">
        <v>1.0</v>
      </c>
      <c r="I4689" s="60">
        <v>0.0</v>
      </c>
      <c r="J4689" s="59">
        <v>2.0</v>
      </c>
      <c r="K4689" s="61">
        <f t="shared" si="1"/>
        <v>1</v>
      </c>
      <c r="L4689" s="62">
        <f t="shared" si="2"/>
        <v>1</v>
      </c>
    </row>
    <row r="4690">
      <c r="A4690" s="58">
        <v>45809.0</v>
      </c>
      <c r="B4690" s="24" t="s">
        <v>6787</v>
      </c>
      <c r="C4690" s="24" t="s">
        <v>7408</v>
      </c>
      <c r="D4690" s="59">
        <v>2.0</v>
      </c>
      <c r="E4690" s="59">
        <v>2.0</v>
      </c>
      <c r="F4690" s="59">
        <v>2.0</v>
      </c>
      <c r="G4690" s="60">
        <v>1.0</v>
      </c>
      <c r="H4690" s="60">
        <v>1.0</v>
      </c>
      <c r="I4690" s="60">
        <v>0.0</v>
      </c>
      <c r="J4690" s="59">
        <v>2.0</v>
      </c>
      <c r="K4690" s="61">
        <f t="shared" si="1"/>
        <v>1</v>
      </c>
      <c r="L4690" s="62">
        <f t="shared" si="2"/>
        <v>1</v>
      </c>
    </row>
    <row r="4691">
      <c r="A4691" s="58">
        <v>45809.0</v>
      </c>
      <c r="B4691" s="24" t="s">
        <v>6787</v>
      </c>
      <c r="C4691" s="24" t="s">
        <v>7371</v>
      </c>
      <c r="D4691" s="59">
        <v>2.0</v>
      </c>
      <c r="E4691" s="59">
        <v>2.0</v>
      </c>
      <c r="F4691" s="59">
        <v>2.0</v>
      </c>
      <c r="G4691" s="60">
        <v>1.0</v>
      </c>
      <c r="H4691" s="60">
        <v>1.0</v>
      </c>
      <c r="I4691" s="60">
        <v>0.0</v>
      </c>
      <c r="J4691" s="59">
        <v>2.0</v>
      </c>
      <c r="K4691" s="61">
        <f t="shared" si="1"/>
        <v>1</v>
      </c>
      <c r="L4691" s="62">
        <f t="shared" si="2"/>
        <v>1</v>
      </c>
    </row>
    <row r="4692">
      <c r="A4692" s="58">
        <v>45809.0</v>
      </c>
      <c r="B4692" s="24" t="s">
        <v>6787</v>
      </c>
      <c r="C4692" s="24" t="s">
        <v>7409</v>
      </c>
      <c r="D4692" s="59">
        <v>2.0</v>
      </c>
      <c r="E4692" s="59">
        <v>2.0</v>
      </c>
      <c r="F4692" s="59">
        <v>2.0</v>
      </c>
      <c r="G4692" s="60">
        <v>1.0</v>
      </c>
      <c r="H4692" s="60">
        <v>1.0</v>
      </c>
      <c r="I4692" s="60">
        <v>0.0</v>
      </c>
      <c r="J4692" s="59">
        <v>2.0</v>
      </c>
      <c r="K4692" s="61">
        <f t="shared" si="1"/>
        <v>1</v>
      </c>
      <c r="L4692" s="62">
        <f t="shared" si="2"/>
        <v>1</v>
      </c>
    </row>
    <row r="4693">
      <c r="A4693" s="58">
        <v>45809.0</v>
      </c>
      <c r="B4693" s="24" t="s">
        <v>6789</v>
      </c>
      <c r="C4693" s="24" t="s">
        <v>6803</v>
      </c>
      <c r="D4693" s="59">
        <v>2.0</v>
      </c>
      <c r="E4693" s="59">
        <v>2.0</v>
      </c>
      <c r="F4693" s="59">
        <v>1.0</v>
      </c>
      <c r="G4693" s="60">
        <v>1.0</v>
      </c>
      <c r="H4693" s="60">
        <v>0.5</v>
      </c>
      <c r="I4693" s="60">
        <v>825.379889</v>
      </c>
      <c r="J4693" s="59">
        <v>2.0</v>
      </c>
      <c r="K4693" s="61">
        <f t="shared" si="1"/>
        <v>0.5</v>
      </c>
      <c r="L4693" s="62">
        <f t="shared" si="2"/>
        <v>1</v>
      </c>
    </row>
    <row r="4694">
      <c r="A4694" s="58">
        <v>45809.0</v>
      </c>
      <c r="B4694" s="24" t="s">
        <v>6787</v>
      </c>
      <c r="C4694" s="24" t="s">
        <v>7056</v>
      </c>
      <c r="D4694" s="59">
        <v>2.0</v>
      </c>
      <c r="E4694" s="59">
        <v>2.0</v>
      </c>
      <c r="F4694" s="59">
        <v>2.0</v>
      </c>
      <c r="G4694" s="60">
        <v>1.0</v>
      </c>
      <c r="H4694" s="60">
        <v>1.0</v>
      </c>
      <c r="I4694" s="60">
        <v>0.0</v>
      </c>
      <c r="J4694" s="59">
        <v>2.0</v>
      </c>
      <c r="K4694" s="61">
        <f t="shared" si="1"/>
        <v>1</v>
      </c>
      <c r="L4694" s="62">
        <f t="shared" si="2"/>
        <v>1</v>
      </c>
    </row>
    <row r="4695">
      <c r="A4695" s="58">
        <v>45809.0</v>
      </c>
      <c r="B4695" s="24" t="s">
        <v>6789</v>
      </c>
      <c r="C4695" s="24" t="s">
        <v>7056</v>
      </c>
      <c r="D4695" s="59">
        <v>2.0</v>
      </c>
      <c r="E4695" s="59">
        <v>3.0</v>
      </c>
      <c r="F4695" s="59">
        <v>2.0</v>
      </c>
      <c r="G4695" s="60">
        <v>1.5</v>
      </c>
      <c r="H4695" s="60">
        <v>0.666666666666666</v>
      </c>
      <c r="I4695" s="60">
        <v>76.269437</v>
      </c>
      <c r="J4695" s="59">
        <v>3.0</v>
      </c>
      <c r="K4695" s="61">
        <f t="shared" si="1"/>
        <v>0.6666666667</v>
      </c>
      <c r="L4695" s="62">
        <f t="shared" si="2"/>
        <v>1</v>
      </c>
    </row>
    <row r="4696">
      <c r="A4696" s="58">
        <v>45809.0</v>
      </c>
      <c r="B4696" s="24" t="s">
        <v>6787</v>
      </c>
      <c r="C4696" s="24" t="s">
        <v>7057</v>
      </c>
      <c r="D4696" s="59">
        <v>2.0</v>
      </c>
      <c r="E4696" s="59">
        <v>2.0</v>
      </c>
      <c r="F4696" s="59">
        <v>2.0</v>
      </c>
      <c r="G4696" s="60">
        <v>1.0</v>
      </c>
      <c r="H4696" s="60">
        <v>1.0</v>
      </c>
      <c r="I4696" s="60">
        <v>0.0</v>
      </c>
      <c r="J4696" s="59">
        <v>2.0</v>
      </c>
      <c r="K4696" s="61">
        <f t="shared" si="1"/>
        <v>1</v>
      </c>
      <c r="L4696" s="62">
        <f t="shared" si="2"/>
        <v>1</v>
      </c>
    </row>
    <row r="4697">
      <c r="A4697" s="58">
        <v>45809.0</v>
      </c>
      <c r="B4697" s="24" t="s">
        <v>6789</v>
      </c>
      <c r="C4697" s="24" t="s">
        <v>7057</v>
      </c>
      <c r="D4697" s="59">
        <v>2.0</v>
      </c>
      <c r="E4697" s="59">
        <v>2.0</v>
      </c>
      <c r="F4697" s="59">
        <v>1.0</v>
      </c>
      <c r="G4697" s="60">
        <v>1.0</v>
      </c>
      <c r="H4697" s="60">
        <v>0.0</v>
      </c>
      <c r="I4697" s="60">
        <v>233.2370525</v>
      </c>
      <c r="J4697" s="59">
        <v>3.0</v>
      </c>
      <c r="K4697" s="61">
        <f t="shared" si="1"/>
        <v>0.5</v>
      </c>
      <c r="L4697" s="62">
        <f t="shared" si="2"/>
        <v>1.5</v>
      </c>
    </row>
    <row r="4698">
      <c r="A4698" s="58">
        <v>45809.0</v>
      </c>
      <c r="B4698" s="24" t="s">
        <v>6787</v>
      </c>
      <c r="C4698" s="24" t="s">
        <v>7058</v>
      </c>
      <c r="D4698" s="59">
        <v>2.0</v>
      </c>
      <c r="E4698" s="59">
        <v>3.0</v>
      </c>
      <c r="F4698" s="59">
        <v>2.0</v>
      </c>
      <c r="G4698" s="60">
        <v>1.5</v>
      </c>
      <c r="H4698" s="60">
        <v>1.0</v>
      </c>
      <c r="I4698" s="60">
        <v>0.0</v>
      </c>
      <c r="J4698" s="59">
        <v>3.0</v>
      </c>
      <c r="K4698" s="61">
        <f t="shared" si="1"/>
        <v>0.6666666667</v>
      </c>
      <c r="L4698" s="62">
        <f t="shared" si="2"/>
        <v>1</v>
      </c>
    </row>
    <row r="4699">
      <c r="A4699" s="58">
        <v>45809.0</v>
      </c>
      <c r="B4699" s="24" t="s">
        <v>6789</v>
      </c>
      <c r="C4699" s="24" t="s">
        <v>7060</v>
      </c>
      <c r="D4699" s="59">
        <v>2.0</v>
      </c>
      <c r="E4699" s="59">
        <v>2.0</v>
      </c>
      <c r="F4699" s="59">
        <v>2.0</v>
      </c>
      <c r="G4699" s="60">
        <v>1.0</v>
      </c>
      <c r="H4699" s="60">
        <v>0.5</v>
      </c>
      <c r="I4699" s="60">
        <v>615.522592</v>
      </c>
      <c r="J4699" s="59">
        <v>3.0</v>
      </c>
      <c r="K4699" s="61">
        <f t="shared" si="1"/>
        <v>1</v>
      </c>
      <c r="L4699" s="62">
        <f t="shared" si="2"/>
        <v>1.5</v>
      </c>
    </row>
    <row r="4700">
      <c r="A4700" s="58">
        <v>45809.0</v>
      </c>
      <c r="B4700" s="24" t="s">
        <v>6789</v>
      </c>
      <c r="C4700" s="24" t="s">
        <v>6833</v>
      </c>
      <c r="D4700" s="59">
        <v>2.0</v>
      </c>
      <c r="E4700" s="59">
        <v>2.0</v>
      </c>
      <c r="F4700" s="59">
        <v>2.0</v>
      </c>
      <c r="G4700" s="60">
        <v>1.0</v>
      </c>
      <c r="H4700" s="60">
        <v>0.5</v>
      </c>
      <c r="I4700" s="60">
        <v>12.151183</v>
      </c>
      <c r="J4700" s="59">
        <v>2.0</v>
      </c>
      <c r="K4700" s="61">
        <f t="shared" si="1"/>
        <v>1</v>
      </c>
      <c r="L4700" s="62">
        <f t="shared" si="2"/>
        <v>1</v>
      </c>
    </row>
    <row r="4701">
      <c r="A4701" s="58">
        <v>45809.0</v>
      </c>
      <c r="B4701" s="24" t="s">
        <v>6789</v>
      </c>
      <c r="C4701" s="24" t="s">
        <v>7064</v>
      </c>
      <c r="D4701" s="59">
        <v>2.0</v>
      </c>
      <c r="E4701" s="59">
        <v>2.0</v>
      </c>
      <c r="F4701" s="59">
        <v>2.0</v>
      </c>
      <c r="G4701" s="60">
        <v>1.0</v>
      </c>
      <c r="H4701" s="60">
        <v>1.0</v>
      </c>
      <c r="I4701" s="60">
        <v>0.0</v>
      </c>
      <c r="J4701" s="59">
        <v>2.0</v>
      </c>
      <c r="K4701" s="61">
        <f t="shared" si="1"/>
        <v>1</v>
      </c>
      <c r="L4701" s="62">
        <f t="shared" si="2"/>
        <v>1</v>
      </c>
    </row>
    <row r="4702">
      <c r="A4702" s="58">
        <v>45809.0</v>
      </c>
      <c r="B4702" s="24" t="s">
        <v>155</v>
      </c>
      <c r="C4702" s="24" t="s">
        <v>6876</v>
      </c>
      <c r="D4702" s="59">
        <v>2.0</v>
      </c>
      <c r="E4702" s="59">
        <v>2.0</v>
      </c>
      <c r="F4702" s="59">
        <v>1.0</v>
      </c>
      <c r="G4702" s="60">
        <v>1.0</v>
      </c>
      <c r="H4702" s="60">
        <v>0.5</v>
      </c>
      <c r="I4702" s="60">
        <v>34.201287</v>
      </c>
      <c r="J4702" s="59">
        <v>5.0</v>
      </c>
      <c r="K4702" s="61">
        <f t="shared" si="1"/>
        <v>0.5</v>
      </c>
      <c r="L4702" s="62">
        <f t="shared" si="2"/>
        <v>2.5</v>
      </c>
    </row>
    <row r="4703">
      <c r="A4703" s="58">
        <v>45809.0</v>
      </c>
      <c r="B4703" s="24" t="s">
        <v>6789</v>
      </c>
      <c r="C4703" s="24" t="s">
        <v>6989</v>
      </c>
      <c r="D4703" s="59">
        <v>2.0</v>
      </c>
      <c r="E4703" s="59">
        <v>2.0</v>
      </c>
      <c r="F4703" s="59">
        <v>2.0</v>
      </c>
      <c r="G4703" s="60">
        <v>1.0</v>
      </c>
      <c r="H4703" s="60">
        <v>0.0</v>
      </c>
      <c r="I4703" s="60">
        <v>424.1602145</v>
      </c>
      <c r="J4703" s="59">
        <v>4.0</v>
      </c>
      <c r="K4703" s="61">
        <f t="shared" si="1"/>
        <v>1</v>
      </c>
      <c r="L4703" s="62">
        <f t="shared" si="2"/>
        <v>2</v>
      </c>
    </row>
    <row r="4704">
      <c r="A4704" s="58">
        <v>45809.0</v>
      </c>
      <c r="B4704" s="24" t="s">
        <v>155</v>
      </c>
      <c r="C4704" s="24" t="s">
        <v>6882</v>
      </c>
      <c r="D4704" s="59">
        <v>2.0</v>
      </c>
      <c r="E4704" s="59">
        <v>3.0</v>
      </c>
      <c r="F4704" s="59">
        <v>2.0</v>
      </c>
      <c r="G4704" s="60">
        <v>1.5</v>
      </c>
      <c r="H4704" s="60">
        <v>0.333333333333333</v>
      </c>
      <c r="I4704" s="60">
        <v>70.526323</v>
      </c>
      <c r="J4704" s="59">
        <v>3.0</v>
      </c>
      <c r="K4704" s="61">
        <f t="shared" si="1"/>
        <v>0.6666666667</v>
      </c>
      <c r="L4704" s="62">
        <f t="shared" si="2"/>
        <v>1</v>
      </c>
    </row>
    <row r="4705">
      <c r="A4705" s="58">
        <v>45809.0</v>
      </c>
      <c r="B4705" s="24" t="s">
        <v>6789</v>
      </c>
      <c r="C4705" s="24" t="s">
        <v>6835</v>
      </c>
      <c r="D4705" s="59">
        <v>2.0</v>
      </c>
      <c r="E4705" s="59">
        <v>2.0</v>
      </c>
      <c r="F4705" s="59">
        <v>2.0</v>
      </c>
      <c r="G4705" s="60">
        <v>1.0</v>
      </c>
      <c r="H4705" s="60">
        <v>0.5</v>
      </c>
      <c r="I4705" s="60">
        <v>580.7804695</v>
      </c>
      <c r="J4705" s="59">
        <v>2.0</v>
      </c>
      <c r="K4705" s="61">
        <f t="shared" si="1"/>
        <v>1</v>
      </c>
      <c r="L4705" s="62">
        <f t="shared" si="2"/>
        <v>1</v>
      </c>
    </row>
    <row r="4706">
      <c r="A4706" s="58">
        <v>45809.0</v>
      </c>
      <c r="B4706" s="24" t="s">
        <v>6789</v>
      </c>
      <c r="C4706" s="24" t="s">
        <v>6836</v>
      </c>
      <c r="D4706" s="59">
        <v>2.0</v>
      </c>
      <c r="E4706" s="59">
        <v>4.0</v>
      </c>
      <c r="F4706" s="59">
        <v>1.0</v>
      </c>
      <c r="G4706" s="60">
        <v>4.0</v>
      </c>
      <c r="H4706" s="60">
        <v>0.75</v>
      </c>
      <c r="I4706" s="60">
        <v>9.27031125</v>
      </c>
      <c r="J4706" s="59">
        <v>4.0</v>
      </c>
      <c r="K4706" s="61">
        <f t="shared" si="1"/>
        <v>0.25</v>
      </c>
      <c r="L4706" s="62">
        <f t="shared" si="2"/>
        <v>1</v>
      </c>
    </row>
    <row r="4707">
      <c r="A4707" s="58">
        <v>45809.0</v>
      </c>
      <c r="B4707" s="24" t="s">
        <v>155</v>
      </c>
      <c r="C4707" s="24" t="s">
        <v>6836</v>
      </c>
      <c r="D4707" s="59">
        <v>2.0</v>
      </c>
      <c r="E4707" s="59">
        <v>3.0</v>
      </c>
      <c r="F4707" s="59">
        <v>1.0</v>
      </c>
      <c r="G4707" s="60">
        <v>1.5</v>
      </c>
      <c r="H4707" s="60">
        <v>0.333333333333333</v>
      </c>
      <c r="I4707" s="60">
        <v>195.1522</v>
      </c>
      <c r="J4707" s="59">
        <v>8.0</v>
      </c>
      <c r="K4707" s="61">
        <f t="shared" si="1"/>
        <v>0.3333333333</v>
      </c>
      <c r="L4707" s="62">
        <f t="shared" si="2"/>
        <v>2.666666667</v>
      </c>
    </row>
    <row r="4708">
      <c r="A4708" s="58">
        <v>45809.0</v>
      </c>
      <c r="B4708" s="24" t="s">
        <v>155</v>
      </c>
      <c r="C4708" s="24" t="s">
        <v>6838</v>
      </c>
      <c r="D4708" s="59">
        <v>2.0</v>
      </c>
      <c r="E4708" s="59">
        <v>2.0</v>
      </c>
      <c r="F4708" s="59">
        <v>1.0</v>
      </c>
      <c r="G4708" s="60">
        <v>1.0</v>
      </c>
      <c r="H4708" s="60">
        <v>0.0</v>
      </c>
      <c r="I4708" s="60">
        <v>396.618374499999</v>
      </c>
      <c r="J4708" s="59">
        <v>4.0</v>
      </c>
      <c r="K4708" s="61">
        <f t="shared" si="1"/>
        <v>0.5</v>
      </c>
      <c r="L4708" s="62">
        <f t="shared" si="2"/>
        <v>2</v>
      </c>
    </row>
    <row r="4709">
      <c r="A4709" s="58">
        <v>45809.0</v>
      </c>
      <c r="B4709" s="24" t="s">
        <v>6789</v>
      </c>
      <c r="C4709" s="24" t="s">
        <v>6997</v>
      </c>
      <c r="D4709" s="59">
        <v>2.0</v>
      </c>
      <c r="E4709" s="59">
        <v>2.0</v>
      </c>
      <c r="F4709" s="59">
        <v>0.0</v>
      </c>
      <c r="G4709" s="60">
        <v>2.0</v>
      </c>
      <c r="H4709" s="60">
        <v>1.0</v>
      </c>
      <c r="I4709" s="60">
        <v>3.182028</v>
      </c>
      <c r="J4709" s="59">
        <v>2.0</v>
      </c>
      <c r="K4709" s="61">
        <f t="shared" si="1"/>
        <v>0</v>
      </c>
      <c r="L4709" s="62">
        <f t="shared" si="2"/>
        <v>1</v>
      </c>
    </row>
    <row r="4710">
      <c r="A4710" s="58">
        <v>45809.0</v>
      </c>
      <c r="B4710" s="24" t="s">
        <v>6787</v>
      </c>
      <c r="C4710" s="24" t="s">
        <v>6890</v>
      </c>
      <c r="D4710" s="59">
        <v>2.0</v>
      </c>
      <c r="E4710" s="59">
        <v>3.0</v>
      </c>
      <c r="F4710" s="59">
        <v>0.0</v>
      </c>
      <c r="G4710" s="60">
        <v>1.5</v>
      </c>
      <c r="H4710" s="60">
        <v>0.0</v>
      </c>
      <c r="I4710" s="60">
        <v>102.405857</v>
      </c>
      <c r="J4710" s="59">
        <v>18.0</v>
      </c>
      <c r="K4710" s="61">
        <f t="shared" si="1"/>
        <v>0</v>
      </c>
      <c r="L4710" s="62">
        <f t="shared" si="2"/>
        <v>6</v>
      </c>
    </row>
    <row r="4711">
      <c r="A4711" s="58">
        <v>45809.0</v>
      </c>
      <c r="B4711" s="24" t="s">
        <v>6787</v>
      </c>
      <c r="C4711" s="24" t="s">
        <v>6999</v>
      </c>
      <c r="D4711" s="59">
        <v>2.0</v>
      </c>
      <c r="E4711" s="59">
        <v>3.0</v>
      </c>
      <c r="F4711" s="59">
        <v>1.0</v>
      </c>
      <c r="G4711" s="60">
        <v>1.5</v>
      </c>
      <c r="H4711" s="60">
        <v>0.333333333333333</v>
      </c>
      <c r="I4711" s="60">
        <v>658.934502333333</v>
      </c>
      <c r="J4711" s="59">
        <v>10.0</v>
      </c>
      <c r="K4711" s="61">
        <f t="shared" si="1"/>
        <v>0.3333333333</v>
      </c>
      <c r="L4711" s="62">
        <f t="shared" si="2"/>
        <v>3.333333333</v>
      </c>
    </row>
    <row r="4712">
      <c r="A4712" s="58">
        <v>45809.0</v>
      </c>
      <c r="B4712" s="24" t="s">
        <v>6787</v>
      </c>
      <c r="C4712" s="24" t="s">
        <v>6892</v>
      </c>
      <c r="D4712" s="59">
        <v>2.0</v>
      </c>
      <c r="E4712" s="59">
        <v>2.0</v>
      </c>
      <c r="F4712" s="59">
        <v>2.0</v>
      </c>
      <c r="G4712" s="60">
        <v>1.0</v>
      </c>
      <c r="H4712" s="60">
        <v>0.0</v>
      </c>
      <c r="I4712" s="60">
        <v>23.423531</v>
      </c>
      <c r="J4712" s="59">
        <v>2.0</v>
      </c>
      <c r="K4712" s="61">
        <f t="shared" si="1"/>
        <v>1</v>
      </c>
      <c r="L4712" s="62">
        <f t="shared" si="2"/>
        <v>1</v>
      </c>
    </row>
    <row r="4713">
      <c r="A4713" s="58">
        <v>45809.0</v>
      </c>
      <c r="B4713" s="24" t="s">
        <v>6789</v>
      </c>
      <c r="C4713" s="24" t="s">
        <v>6840</v>
      </c>
      <c r="D4713" s="59">
        <v>2.0</v>
      </c>
      <c r="E4713" s="59">
        <v>2.0</v>
      </c>
      <c r="F4713" s="59">
        <v>1.0</v>
      </c>
      <c r="G4713" s="60">
        <v>1.0</v>
      </c>
      <c r="H4713" s="60">
        <v>0.0</v>
      </c>
      <c r="I4713" s="60">
        <v>8.433985</v>
      </c>
      <c r="J4713" s="59">
        <v>3.0</v>
      </c>
      <c r="K4713" s="61">
        <f t="shared" si="1"/>
        <v>0.5</v>
      </c>
      <c r="L4713" s="62">
        <f t="shared" si="2"/>
        <v>1.5</v>
      </c>
    </row>
    <row r="4714">
      <c r="A4714" s="58">
        <v>45809.0</v>
      </c>
      <c r="B4714" s="24" t="s">
        <v>3216</v>
      </c>
      <c r="C4714" s="24" t="s">
        <v>7301</v>
      </c>
      <c r="D4714" s="59">
        <v>2.0</v>
      </c>
      <c r="E4714" s="59">
        <v>2.0</v>
      </c>
      <c r="F4714" s="59">
        <v>2.0</v>
      </c>
      <c r="G4714" s="60">
        <v>1.0</v>
      </c>
      <c r="H4714" s="60">
        <v>0.5</v>
      </c>
      <c r="I4714" s="60">
        <v>8.143223</v>
      </c>
      <c r="J4714" s="59">
        <v>2.0</v>
      </c>
      <c r="K4714" s="61">
        <f t="shared" si="1"/>
        <v>1</v>
      </c>
      <c r="L4714" s="62">
        <f t="shared" si="2"/>
        <v>1</v>
      </c>
    </row>
    <row r="4715">
      <c r="A4715" s="58">
        <v>45809.0</v>
      </c>
      <c r="B4715" s="24" t="s">
        <v>155</v>
      </c>
      <c r="C4715" s="24" t="s">
        <v>7301</v>
      </c>
      <c r="D4715" s="59">
        <v>2.0</v>
      </c>
      <c r="E4715" s="59">
        <v>8.0</v>
      </c>
      <c r="F4715" s="59">
        <v>0.0</v>
      </c>
      <c r="G4715" s="60">
        <v>4.0</v>
      </c>
      <c r="H4715" s="60">
        <v>0.5</v>
      </c>
      <c r="I4715" s="60">
        <v>338.772372625</v>
      </c>
      <c r="J4715" s="59">
        <v>14.0</v>
      </c>
      <c r="K4715" s="61">
        <f t="shared" si="1"/>
        <v>0</v>
      </c>
      <c r="L4715" s="62">
        <f t="shared" si="2"/>
        <v>1.75</v>
      </c>
    </row>
    <row r="4716">
      <c r="A4716" s="58">
        <v>45809.0</v>
      </c>
      <c r="B4716" s="24" t="s">
        <v>6787</v>
      </c>
      <c r="C4716" s="24" t="s">
        <v>6823</v>
      </c>
      <c r="D4716" s="59">
        <v>2.0</v>
      </c>
      <c r="E4716" s="59">
        <v>2.0</v>
      </c>
      <c r="F4716" s="59">
        <v>2.0</v>
      </c>
      <c r="G4716" s="60">
        <v>1.0</v>
      </c>
      <c r="H4716" s="60">
        <v>1.0</v>
      </c>
      <c r="I4716" s="60">
        <v>0.0</v>
      </c>
      <c r="J4716" s="59">
        <v>2.0</v>
      </c>
      <c r="K4716" s="61">
        <f t="shared" si="1"/>
        <v>1</v>
      </c>
      <c r="L4716" s="62">
        <f t="shared" si="2"/>
        <v>1</v>
      </c>
    </row>
    <row r="4717">
      <c r="A4717" s="58">
        <v>45809.0</v>
      </c>
      <c r="B4717" s="24" t="s">
        <v>6787</v>
      </c>
      <c r="C4717" s="24" t="s">
        <v>6841</v>
      </c>
      <c r="D4717" s="59">
        <v>2.0</v>
      </c>
      <c r="E4717" s="59">
        <v>2.0</v>
      </c>
      <c r="F4717" s="59">
        <v>2.0</v>
      </c>
      <c r="G4717" s="60">
        <v>1.0</v>
      </c>
      <c r="H4717" s="60">
        <v>0.5</v>
      </c>
      <c r="I4717" s="60">
        <v>7.678605</v>
      </c>
      <c r="J4717" s="59">
        <v>2.0</v>
      </c>
      <c r="K4717" s="61">
        <f t="shared" si="1"/>
        <v>1</v>
      </c>
      <c r="L4717" s="62">
        <f t="shared" si="2"/>
        <v>1</v>
      </c>
    </row>
    <row r="4718">
      <c r="A4718" s="58">
        <v>45809.0</v>
      </c>
      <c r="B4718" s="24" t="s">
        <v>6790</v>
      </c>
      <c r="C4718" s="24" t="s">
        <v>6841</v>
      </c>
      <c r="D4718" s="59">
        <v>2.0</v>
      </c>
      <c r="E4718" s="59">
        <v>4.0</v>
      </c>
      <c r="F4718" s="59">
        <v>2.0</v>
      </c>
      <c r="G4718" s="60">
        <v>2.0</v>
      </c>
      <c r="H4718" s="60">
        <v>1.0</v>
      </c>
      <c r="I4718" s="60">
        <v>0.38025475</v>
      </c>
      <c r="J4718" s="59">
        <v>4.0</v>
      </c>
      <c r="K4718" s="61">
        <f t="shared" si="1"/>
        <v>0.5</v>
      </c>
      <c r="L4718" s="62">
        <f t="shared" si="2"/>
        <v>1</v>
      </c>
    </row>
    <row r="4719">
      <c r="A4719" s="58">
        <v>45809.0</v>
      </c>
      <c r="B4719" s="24" t="s">
        <v>6787</v>
      </c>
      <c r="C4719" s="24" t="s">
        <v>6898</v>
      </c>
      <c r="D4719" s="59">
        <v>2.0</v>
      </c>
      <c r="E4719" s="59">
        <v>6.0</v>
      </c>
      <c r="F4719" s="59">
        <v>1.0</v>
      </c>
      <c r="G4719" s="60">
        <v>3.0</v>
      </c>
      <c r="H4719" s="60">
        <v>0.166666666666666</v>
      </c>
      <c r="I4719" s="60">
        <v>34.1517705</v>
      </c>
      <c r="J4719" s="59">
        <v>9.0</v>
      </c>
      <c r="K4719" s="61">
        <f t="shared" si="1"/>
        <v>0.1666666667</v>
      </c>
      <c r="L4719" s="62">
        <f t="shared" si="2"/>
        <v>1.5</v>
      </c>
    </row>
    <row r="4720">
      <c r="A4720" s="58">
        <v>45809.0</v>
      </c>
      <c r="B4720" s="24" t="s">
        <v>6787</v>
      </c>
      <c r="C4720" s="24" t="s">
        <v>6811</v>
      </c>
      <c r="D4720" s="59">
        <v>2.0</v>
      </c>
      <c r="E4720" s="59">
        <v>2.0</v>
      </c>
      <c r="F4720" s="59">
        <v>2.0</v>
      </c>
      <c r="G4720" s="60">
        <v>1.0</v>
      </c>
      <c r="H4720" s="60">
        <v>0.5</v>
      </c>
      <c r="I4720" s="60">
        <v>15.5575435</v>
      </c>
      <c r="J4720" s="59">
        <v>2.0</v>
      </c>
      <c r="K4720" s="61">
        <f t="shared" si="1"/>
        <v>1</v>
      </c>
      <c r="L4720" s="62">
        <f t="shared" si="2"/>
        <v>1</v>
      </c>
    </row>
    <row r="4721">
      <c r="A4721" s="58">
        <v>45809.0</v>
      </c>
      <c r="B4721" s="24" t="s">
        <v>6787</v>
      </c>
      <c r="C4721" s="24" t="s">
        <v>6844</v>
      </c>
      <c r="D4721" s="59">
        <v>2.0</v>
      </c>
      <c r="E4721" s="59">
        <v>2.0</v>
      </c>
      <c r="F4721" s="59">
        <v>2.0</v>
      </c>
      <c r="G4721" s="60">
        <v>1.0</v>
      </c>
      <c r="H4721" s="60">
        <v>1.0</v>
      </c>
      <c r="I4721" s="60">
        <v>0.0</v>
      </c>
      <c r="J4721" s="59">
        <v>2.0</v>
      </c>
      <c r="K4721" s="61">
        <f t="shared" si="1"/>
        <v>1</v>
      </c>
      <c r="L4721" s="62">
        <f t="shared" si="2"/>
        <v>1</v>
      </c>
    </row>
    <row r="4722">
      <c r="A4722" s="58">
        <v>45809.0</v>
      </c>
      <c r="B4722" s="24" t="s">
        <v>155</v>
      </c>
      <c r="C4722" s="24" t="s">
        <v>6844</v>
      </c>
      <c r="D4722" s="59">
        <v>2.0</v>
      </c>
      <c r="E4722" s="59">
        <v>2.0</v>
      </c>
      <c r="F4722" s="59">
        <v>2.0</v>
      </c>
      <c r="G4722" s="60">
        <v>1.0</v>
      </c>
      <c r="H4722" s="60">
        <v>0.5</v>
      </c>
      <c r="I4722" s="60">
        <v>479.748544</v>
      </c>
      <c r="J4722" s="59">
        <v>3.0</v>
      </c>
      <c r="K4722" s="61">
        <f t="shared" si="1"/>
        <v>1</v>
      </c>
      <c r="L4722" s="62">
        <f t="shared" si="2"/>
        <v>1.5</v>
      </c>
    </row>
    <row r="4723">
      <c r="A4723" s="58">
        <v>45809.0</v>
      </c>
      <c r="B4723" s="24" t="s">
        <v>6789</v>
      </c>
      <c r="C4723" s="24" t="s">
        <v>6903</v>
      </c>
      <c r="D4723" s="59">
        <v>2.0</v>
      </c>
      <c r="E4723" s="59">
        <v>2.0</v>
      </c>
      <c r="F4723" s="59">
        <v>2.0</v>
      </c>
      <c r="G4723" s="60">
        <v>1.0</v>
      </c>
      <c r="H4723" s="60">
        <v>0.0</v>
      </c>
      <c r="I4723" s="60">
        <v>698.352589</v>
      </c>
      <c r="J4723" s="59">
        <v>3.0</v>
      </c>
      <c r="K4723" s="61">
        <f t="shared" si="1"/>
        <v>1</v>
      </c>
      <c r="L4723" s="62">
        <f t="shared" si="2"/>
        <v>1.5</v>
      </c>
    </row>
    <row r="4724">
      <c r="A4724" s="58">
        <v>45809.0</v>
      </c>
      <c r="B4724" s="24" t="s">
        <v>155</v>
      </c>
      <c r="C4724" s="24" t="s">
        <v>6903</v>
      </c>
      <c r="D4724" s="59">
        <v>2.0</v>
      </c>
      <c r="E4724" s="59">
        <v>6.0</v>
      </c>
      <c r="F4724" s="59">
        <v>2.0</v>
      </c>
      <c r="G4724" s="60">
        <v>3.0</v>
      </c>
      <c r="H4724" s="60">
        <v>0.666666666666666</v>
      </c>
      <c r="I4724" s="60">
        <v>129.568249666666</v>
      </c>
      <c r="J4724" s="59">
        <v>8.0</v>
      </c>
      <c r="K4724" s="61">
        <f t="shared" si="1"/>
        <v>0.3333333333</v>
      </c>
      <c r="L4724" s="62">
        <f t="shared" si="2"/>
        <v>1.333333333</v>
      </c>
    </row>
    <row r="4725">
      <c r="A4725" s="58">
        <v>45809.0</v>
      </c>
      <c r="B4725" s="24" t="s">
        <v>155</v>
      </c>
      <c r="C4725" s="24" t="s">
        <v>6796</v>
      </c>
      <c r="D4725" s="59">
        <v>2.0</v>
      </c>
      <c r="E4725" s="59">
        <v>4.0</v>
      </c>
      <c r="F4725" s="59">
        <v>2.0</v>
      </c>
      <c r="G4725" s="60">
        <v>2.0</v>
      </c>
      <c r="H4725" s="60">
        <v>0.0</v>
      </c>
      <c r="I4725" s="60">
        <v>381.419136</v>
      </c>
      <c r="J4725" s="59">
        <v>9.0</v>
      </c>
      <c r="K4725" s="61">
        <f t="shared" si="1"/>
        <v>0.5</v>
      </c>
      <c r="L4725" s="62">
        <f t="shared" si="2"/>
        <v>2.25</v>
      </c>
    </row>
    <row r="4726">
      <c r="A4726" s="58">
        <v>45809.0</v>
      </c>
      <c r="B4726" s="24" t="s">
        <v>6789</v>
      </c>
      <c r="C4726" s="24" t="s">
        <v>7231</v>
      </c>
      <c r="D4726" s="59">
        <v>2.0</v>
      </c>
      <c r="E4726" s="59">
        <v>2.0</v>
      </c>
      <c r="F4726" s="59">
        <v>2.0</v>
      </c>
      <c r="G4726" s="60">
        <v>1.0</v>
      </c>
      <c r="H4726" s="60">
        <v>1.0</v>
      </c>
      <c r="I4726" s="60">
        <v>0.0</v>
      </c>
      <c r="J4726" s="59">
        <v>2.0</v>
      </c>
      <c r="K4726" s="61">
        <f t="shared" si="1"/>
        <v>1</v>
      </c>
      <c r="L4726" s="62">
        <f t="shared" si="2"/>
        <v>1</v>
      </c>
    </row>
    <row r="4727">
      <c r="A4727" s="58">
        <v>45809.0</v>
      </c>
      <c r="B4727" s="24" t="s">
        <v>6789</v>
      </c>
      <c r="C4727" s="24" t="s">
        <v>7159</v>
      </c>
      <c r="D4727" s="59">
        <v>2.0</v>
      </c>
      <c r="E4727" s="59">
        <v>2.0</v>
      </c>
      <c r="F4727" s="59">
        <v>2.0</v>
      </c>
      <c r="G4727" s="60">
        <v>1.0</v>
      </c>
      <c r="H4727" s="60">
        <v>1.0</v>
      </c>
      <c r="I4727" s="60">
        <v>0.0</v>
      </c>
      <c r="J4727" s="59">
        <v>2.0</v>
      </c>
      <c r="K4727" s="61">
        <f t="shared" si="1"/>
        <v>1</v>
      </c>
      <c r="L4727" s="62">
        <f t="shared" si="2"/>
        <v>1</v>
      </c>
    </row>
    <row r="4728">
      <c r="A4728" s="58">
        <v>45809.0</v>
      </c>
      <c r="B4728" s="24" t="s">
        <v>6789</v>
      </c>
      <c r="C4728" s="24" t="s">
        <v>7166</v>
      </c>
      <c r="D4728" s="59">
        <v>2.0</v>
      </c>
      <c r="E4728" s="59">
        <v>2.0</v>
      </c>
      <c r="F4728" s="59">
        <v>2.0</v>
      </c>
      <c r="G4728" s="60">
        <v>1.0</v>
      </c>
      <c r="H4728" s="60">
        <v>0.0</v>
      </c>
      <c r="I4728" s="60">
        <v>33.795071</v>
      </c>
      <c r="J4728" s="59">
        <v>2.0</v>
      </c>
      <c r="K4728" s="61">
        <f t="shared" si="1"/>
        <v>1</v>
      </c>
      <c r="L4728" s="62">
        <f t="shared" si="2"/>
        <v>1</v>
      </c>
    </row>
    <row r="4729">
      <c r="A4729" s="58">
        <v>45809.0</v>
      </c>
      <c r="B4729" s="24" t="s">
        <v>6789</v>
      </c>
      <c r="C4729" s="24" t="s">
        <v>6800</v>
      </c>
      <c r="D4729" s="59">
        <v>2.0</v>
      </c>
      <c r="E4729" s="59">
        <v>2.0</v>
      </c>
      <c r="F4729" s="59">
        <v>0.0</v>
      </c>
      <c r="G4729" s="60">
        <v>0.0</v>
      </c>
      <c r="H4729" s="60">
        <v>1.0</v>
      </c>
      <c r="I4729" s="60">
        <v>0.0</v>
      </c>
      <c r="J4729" s="59">
        <v>2.0</v>
      </c>
      <c r="K4729" s="61">
        <f t="shared" si="1"/>
        <v>0</v>
      </c>
      <c r="L4729" s="62">
        <f t="shared" si="2"/>
        <v>1</v>
      </c>
    </row>
    <row r="4730">
      <c r="A4730" s="58">
        <v>45809.0</v>
      </c>
      <c r="B4730" s="24" t="s">
        <v>6789</v>
      </c>
      <c r="C4730" s="24" t="s">
        <v>7013</v>
      </c>
      <c r="D4730" s="59">
        <v>2.0</v>
      </c>
      <c r="E4730" s="59">
        <v>3.0</v>
      </c>
      <c r="F4730" s="59">
        <v>1.0</v>
      </c>
      <c r="G4730" s="60">
        <v>1.5</v>
      </c>
      <c r="H4730" s="60">
        <v>0.333333333333333</v>
      </c>
      <c r="I4730" s="60">
        <v>54.5798286666666</v>
      </c>
      <c r="J4730" s="59">
        <v>4.0</v>
      </c>
      <c r="K4730" s="61">
        <f t="shared" si="1"/>
        <v>0.3333333333</v>
      </c>
      <c r="L4730" s="62">
        <f t="shared" si="2"/>
        <v>1.333333333</v>
      </c>
    </row>
    <row r="4731">
      <c r="A4731" s="58">
        <v>45809.0</v>
      </c>
      <c r="B4731" s="24" t="s">
        <v>6789</v>
      </c>
      <c r="C4731" s="24" t="s">
        <v>6960</v>
      </c>
      <c r="D4731" s="59">
        <v>2.0</v>
      </c>
      <c r="E4731" s="59">
        <v>3.0</v>
      </c>
      <c r="F4731" s="59">
        <v>1.0</v>
      </c>
      <c r="G4731" s="60">
        <v>1.5</v>
      </c>
      <c r="H4731" s="60">
        <v>0.666666666666666</v>
      </c>
      <c r="I4731" s="60">
        <v>39.5221366666666</v>
      </c>
      <c r="J4731" s="59">
        <v>4.0</v>
      </c>
      <c r="K4731" s="61">
        <f t="shared" si="1"/>
        <v>0.3333333333</v>
      </c>
      <c r="L4731" s="62">
        <f t="shared" si="2"/>
        <v>1.333333333</v>
      </c>
    </row>
    <row r="4732">
      <c r="A4732" s="58">
        <v>45809.0</v>
      </c>
      <c r="B4732" s="24" t="s">
        <v>155</v>
      </c>
      <c r="C4732" s="24" t="s">
        <v>6809</v>
      </c>
      <c r="D4732" s="59">
        <v>2.0</v>
      </c>
      <c r="E4732" s="59">
        <v>2.0</v>
      </c>
      <c r="F4732" s="59">
        <v>0.0</v>
      </c>
      <c r="G4732" s="60">
        <v>2.0</v>
      </c>
      <c r="H4732" s="60">
        <v>0.5</v>
      </c>
      <c r="I4732" s="60">
        <v>7.8791855</v>
      </c>
      <c r="J4732" s="59">
        <v>5.0</v>
      </c>
      <c r="K4732" s="61">
        <f t="shared" si="1"/>
        <v>0</v>
      </c>
      <c r="L4732" s="62">
        <f t="shared" si="2"/>
        <v>2.5</v>
      </c>
    </row>
    <row r="4733">
      <c r="A4733" s="58">
        <v>45809.0</v>
      </c>
      <c r="B4733" s="24" t="s">
        <v>155</v>
      </c>
      <c r="C4733" s="24" t="s">
        <v>6910</v>
      </c>
      <c r="D4733" s="59">
        <v>2.0</v>
      </c>
      <c r="E4733" s="59">
        <v>3.0</v>
      </c>
      <c r="F4733" s="59">
        <v>1.0</v>
      </c>
      <c r="G4733" s="60">
        <v>1.5</v>
      </c>
      <c r="H4733" s="60">
        <v>0.666666666666666</v>
      </c>
      <c r="I4733" s="60">
        <v>126.783813333333</v>
      </c>
      <c r="J4733" s="59">
        <v>4.0</v>
      </c>
      <c r="K4733" s="61">
        <f t="shared" si="1"/>
        <v>0.3333333333</v>
      </c>
      <c r="L4733" s="62">
        <f t="shared" si="2"/>
        <v>1.333333333</v>
      </c>
    </row>
    <row r="4734">
      <c r="A4734" s="58">
        <v>45809.0</v>
      </c>
      <c r="B4734" s="24" t="s">
        <v>6787</v>
      </c>
      <c r="C4734" s="24" t="s">
        <v>7102</v>
      </c>
      <c r="D4734" s="59">
        <v>2.0</v>
      </c>
      <c r="E4734" s="59">
        <v>2.0</v>
      </c>
      <c r="F4734" s="59">
        <v>2.0</v>
      </c>
      <c r="G4734" s="60">
        <v>1.0</v>
      </c>
      <c r="H4734" s="60">
        <v>0.0</v>
      </c>
      <c r="I4734" s="60">
        <v>20.3511125</v>
      </c>
      <c r="J4734" s="59">
        <v>2.0</v>
      </c>
      <c r="K4734" s="61">
        <f t="shared" si="1"/>
        <v>1</v>
      </c>
      <c r="L4734" s="62">
        <f t="shared" si="2"/>
        <v>1</v>
      </c>
    </row>
    <row r="4735">
      <c r="A4735" s="58">
        <v>45809.0</v>
      </c>
      <c r="B4735" s="24" t="s">
        <v>6789</v>
      </c>
      <c r="C4735" s="24" t="s">
        <v>7173</v>
      </c>
      <c r="D4735" s="59">
        <v>2.0</v>
      </c>
      <c r="E4735" s="59">
        <v>3.0</v>
      </c>
      <c r="F4735" s="59">
        <v>0.0</v>
      </c>
      <c r="G4735" s="60">
        <v>1.5</v>
      </c>
      <c r="H4735" s="60">
        <v>0.0</v>
      </c>
      <c r="I4735" s="60">
        <v>1718.91802466666</v>
      </c>
      <c r="J4735" s="59">
        <v>11.0</v>
      </c>
      <c r="K4735" s="61">
        <f t="shared" si="1"/>
        <v>0</v>
      </c>
      <c r="L4735" s="62">
        <f t="shared" si="2"/>
        <v>3.666666667</v>
      </c>
    </row>
    <row r="4736">
      <c r="A4736" s="58">
        <v>45809.0</v>
      </c>
      <c r="B4736" s="24" t="s">
        <v>6787</v>
      </c>
      <c r="C4736" s="24" t="s">
        <v>7410</v>
      </c>
      <c r="D4736" s="59">
        <v>2.0</v>
      </c>
      <c r="E4736" s="59">
        <v>3.0</v>
      </c>
      <c r="F4736" s="59">
        <v>0.0</v>
      </c>
      <c r="G4736" s="60">
        <v>1.5</v>
      </c>
      <c r="H4736" s="60">
        <v>0.333333333333333</v>
      </c>
      <c r="I4736" s="60">
        <v>46.3597583333333</v>
      </c>
      <c r="J4736" s="59">
        <v>7.0</v>
      </c>
      <c r="K4736" s="61">
        <f t="shared" si="1"/>
        <v>0</v>
      </c>
      <c r="L4736" s="62">
        <f t="shared" si="2"/>
        <v>2.333333333</v>
      </c>
    </row>
    <row r="4737">
      <c r="A4737" s="58">
        <v>45809.0</v>
      </c>
      <c r="B4737" s="24" t="s">
        <v>6787</v>
      </c>
      <c r="C4737" s="24" t="s">
        <v>6912</v>
      </c>
      <c r="D4737" s="59">
        <v>2.0</v>
      </c>
      <c r="E4737" s="59">
        <v>2.0</v>
      </c>
      <c r="F4737" s="59">
        <v>2.0</v>
      </c>
      <c r="G4737" s="60">
        <v>1.0</v>
      </c>
      <c r="H4737" s="60">
        <v>0.0</v>
      </c>
      <c r="I4737" s="60">
        <v>128.2167935</v>
      </c>
      <c r="J4737" s="59">
        <v>8.0</v>
      </c>
      <c r="K4737" s="61">
        <f t="shared" si="1"/>
        <v>1</v>
      </c>
      <c r="L4737" s="62">
        <f t="shared" si="2"/>
        <v>4</v>
      </c>
    </row>
    <row r="4738">
      <c r="A4738" s="58">
        <v>45809.0</v>
      </c>
      <c r="B4738" s="24" t="s">
        <v>6789</v>
      </c>
      <c r="C4738" s="24" t="s">
        <v>6814</v>
      </c>
      <c r="D4738" s="59">
        <v>2.0</v>
      </c>
      <c r="E4738" s="59">
        <v>3.0</v>
      </c>
      <c r="F4738" s="59">
        <v>2.0</v>
      </c>
      <c r="G4738" s="60">
        <v>1.5</v>
      </c>
      <c r="H4738" s="60">
        <v>0.666666666666666</v>
      </c>
      <c r="I4738" s="60">
        <v>17.7145696666666</v>
      </c>
      <c r="J4738" s="59">
        <v>4.0</v>
      </c>
      <c r="K4738" s="61">
        <f t="shared" si="1"/>
        <v>0.6666666667</v>
      </c>
      <c r="L4738" s="62">
        <f t="shared" si="2"/>
        <v>1.333333333</v>
      </c>
    </row>
    <row r="4739">
      <c r="A4739" s="58">
        <v>45809.0</v>
      </c>
      <c r="B4739" s="24" t="s">
        <v>6789</v>
      </c>
      <c r="C4739" s="24" t="s">
        <v>7192</v>
      </c>
      <c r="D4739" s="59">
        <v>2.0</v>
      </c>
      <c r="E4739" s="59">
        <v>2.0</v>
      </c>
      <c r="F4739" s="59">
        <v>0.0</v>
      </c>
      <c r="G4739" s="60">
        <v>1.0</v>
      </c>
      <c r="H4739" s="60">
        <v>0.0</v>
      </c>
      <c r="I4739" s="60">
        <v>315.6898895</v>
      </c>
      <c r="J4739" s="59">
        <v>7.0</v>
      </c>
      <c r="K4739" s="61">
        <f t="shared" si="1"/>
        <v>0</v>
      </c>
      <c r="L4739" s="62">
        <f t="shared" si="2"/>
        <v>3.5</v>
      </c>
    </row>
    <row r="4740">
      <c r="A4740" s="58">
        <v>45809.0</v>
      </c>
      <c r="B4740" s="24" t="s">
        <v>6787</v>
      </c>
      <c r="C4740" s="24" t="s">
        <v>6815</v>
      </c>
      <c r="D4740" s="59">
        <v>2.0</v>
      </c>
      <c r="E4740" s="59">
        <v>2.0</v>
      </c>
      <c r="F4740" s="59">
        <v>2.0</v>
      </c>
      <c r="G4740" s="60">
        <v>1.0</v>
      </c>
      <c r="H4740" s="60">
        <v>0.5</v>
      </c>
      <c r="I4740" s="60">
        <v>11.1722865</v>
      </c>
      <c r="J4740" s="59">
        <v>3.0</v>
      </c>
      <c r="K4740" s="61">
        <f t="shared" si="1"/>
        <v>1</v>
      </c>
      <c r="L4740" s="62">
        <f t="shared" si="2"/>
        <v>1.5</v>
      </c>
    </row>
    <row r="4741">
      <c r="A4741" s="58">
        <v>45809.0</v>
      </c>
      <c r="B4741" s="24" t="s">
        <v>155</v>
      </c>
      <c r="C4741" s="24" t="s">
        <v>6815</v>
      </c>
      <c r="D4741" s="59">
        <v>2.0</v>
      </c>
      <c r="E4741" s="59">
        <v>2.0</v>
      </c>
      <c r="F4741" s="59">
        <v>2.0</v>
      </c>
      <c r="G4741" s="60">
        <v>1.0</v>
      </c>
      <c r="H4741" s="60">
        <v>0.5</v>
      </c>
      <c r="I4741" s="60">
        <v>14.8933115</v>
      </c>
      <c r="J4741" s="59">
        <v>2.0</v>
      </c>
      <c r="K4741" s="61">
        <f t="shared" si="1"/>
        <v>1</v>
      </c>
      <c r="L4741" s="62">
        <f t="shared" si="2"/>
        <v>1</v>
      </c>
    </row>
    <row r="4742">
      <c r="A4742" s="58">
        <v>45809.0</v>
      </c>
      <c r="B4742" s="24" t="s">
        <v>6789</v>
      </c>
      <c r="C4742" s="24" t="s">
        <v>7384</v>
      </c>
      <c r="D4742" s="59">
        <v>2.0</v>
      </c>
      <c r="E4742" s="59">
        <v>2.0</v>
      </c>
      <c r="F4742" s="59">
        <v>2.0</v>
      </c>
      <c r="G4742" s="60">
        <v>1.0</v>
      </c>
      <c r="H4742" s="60">
        <v>0.5</v>
      </c>
      <c r="I4742" s="60">
        <v>28.627553</v>
      </c>
      <c r="J4742" s="59">
        <v>2.0</v>
      </c>
      <c r="K4742" s="61">
        <f t="shared" si="1"/>
        <v>1</v>
      </c>
      <c r="L4742" s="62">
        <f t="shared" si="2"/>
        <v>1</v>
      </c>
    </row>
    <row r="4743">
      <c r="A4743" s="58">
        <v>45809.0</v>
      </c>
      <c r="B4743" s="24" t="s">
        <v>6789</v>
      </c>
      <c r="C4743" s="24" t="s">
        <v>6922</v>
      </c>
      <c r="D4743" s="59">
        <v>2.0</v>
      </c>
      <c r="E4743" s="59">
        <v>2.0</v>
      </c>
      <c r="F4743" s="59">
        <v>0.0</v>
      </c>
      <c r="G4743" s="60">
        <v>2.0</v>
      </c>
      <c r="H4743" s="60">
        <v>1.0</v>
      </c>
      <c r="I4743" s="60">
        <v>2.7789195</v>
      </c>
      <c r="J4743" s="59">
        <v>2.0</v>
      </c>
      <c r="K4743" s="61">
        <f t="shared" si="1"/>
        <v>0</v>
      </c>
      <c r="L4743" s="62">
        <f t="shared" si="2"/>
        <v>1</v>
      </c>
    </row>
    <row r="4744">
      <c r="A4744" s="58">
        <v>45809.0</v>
      </c>
      <c r="B4744" s="24" t="s">
        <v>6789</v>
      </c>
      <c r="C4744" s="24" t="s">
        <v>6962</v>
      </c>
      <c r="D4744" s="59">
        <v>2.0</v>
      </c>
      <c r="E4744" s="59">
        <v>2.0</v>
      </c>
      <c r="F4744" s="59">
        <v>0.0</v>
      </c>
      <c r="G4744" s="60">
        <v>1.0</v>
      </c>
      <c r="H4744" s="60">
        <v>0.0</v>
      </c>
      <c r="I4744" s="60">
        <v>2.401896</v>
      </c>
      <c r="J4744" s="59">
        <v>2.0</v>
      </c>
      <c r="K4744" s="61">
        <f t="shared" si="1"/>
        <v>0</v>
      </c>
      <c r="L4744" s="62">
        <f t="shared" si="2"/>
        <v>1</v>
      </c>
    </row>
    <row r="4745">
      <c r="A4745" s="58">
        <v>45809.0</v>
      </c>
      <c r="B4745" s="24" t="s">
        <v>6790</v>
      </c>
      <c r="C4745" s="24" t="s">
        <v>6802</v>
      </c>
      <c r="D4745" s="59">
        <v>2.0</v>
      </c>
      <c r="E4745" s="59">
        <v>2.0</v>
      </c>
      <c r="F4745" s="59">
        <v>0.0</v>
      </c>
      <c r="G4745" s="60">
        <v>1.0</v>
      </c>
      <c r="H4745" s="60">
        <v>0.5</v>
      </c>
      <c r="I4745" s="60">
        <v>619.049535</v>
      </c>
      <c r="J4745" s="59">
        <v>3.0</v>
      </c>
      <c r="K4745" s="61">
        <f t="shared" si="1"/>
        <v>0</v>
      </c>
      <c r="L4745" s="62">
        <f t="shared" si="2"/>
        <v>1.5</v>
      </c>
    </row>
    <row r="4746">
      <c r="A4746" s="58">
        <v>45809.0</v>
      </c>
      <c r="B4746" s="24" t="s">
        <v>7100</v>
      </c>
      <c r="C4746" s="24" t="s">
        <v>6792</v>
      </c>
      <c r="D4746" s="59">
        <v>1.0</v>
      </c>
      <c r="E4746" s="59">
        <v>2.0</v>
      </c>
      <c r="F4746" s="59">
        <v>0.0</v>
      </c>
      <c r="G4746" s="60">
        <v>0.0</v>
      </c>
      <c r="H4746" s="60">
        <v>1.0</v>
      </c>
      <c r="I4746" s="60">
        <v>0.0</v>
      </c>
      <c r="J4746" s="59">
        <v>0.0</v>
      </c>
      <c r="K4746" s="61">
        <f t="shared" si="1"/>
        <v>0</v>
      </c>
      <c r="L4746" s="62">
        <f t="shared" si="2"/>
        <v>0</v>
      </c>
    </row>
    <row r="4747">
      <c r="A4747" s="58">
        <v>45809.0</v>
      </c>
      <c r="B4747" s="24" t="s">
        <v>7030</v>
      </c>
      <c r="C4747" s="24" t="s">
        <v>6788</v>
      </c>
      <c r="D4747" s="59">
        <v>1.0</v>
      </c>
      <c r="E4747" s="59">
        <v>1.0</v>
      </c>
      <c r="F4747" s="59">
        <v>1.0</v>
      </c>
      <c r="G4747" s="60">
        <v>1.0</v>
      </c>
      <c r="H4747" s="60">
        <v>1.0</v>
      </c>
      <c r="I4747" s="60">
        <v>9.396458</v>
      </c>
      <c r="J4747" s="59">
        <v>1.0</v>
      </c>
      <c r="K4747" s="61">
        <f t="shared" si="1"/>
        <v>1</v>
      </c>
      <c r="L4747" s="62">
        <f t="shared" si="2"/>
        <v>1</v>
      </c>
    </row>
    <row r="4748">
      <c r="A4748" s="58">
        <v>45809.0</v>
      </c>
      <c r="B4748" s="24" t="s">
        <v>6791</v>
      </c>
      <c r="C4748" s="24" t="s">
        <v>6788</v>
      </c>
      <c r="D4748" s="59">
        <v>1.0</v>
      </c>
      <c r="E4748" s="59">
        <v>1.0</v>
      </c>
      <c r="F4748" s="59">
        <v>1.0</v>
      </c>
      <c r="G4748" s="60">
        <v>1.0</v>
      </c>
      <c r="H4748" s="60">
        <v>0.0</v>
      </c>
      <c r="I4748" s="60">
        <v>566.948776</v>
      </c>
      <c r="J4748" s="59">
        <v>1.0</v>
      </c>
      <c r="K4748" s="61">
        <f t="shared" si="1"/>
        <v>1</v>
      </c>
      <c r="L4748" s="62">
        <f t="shared" si="2"/>
        <v>1</v>
      </c>
    </row>
    <row r="4749">
      <c r="A4749" s="58">
        <v>45809.0</v>
      </c>
      <c r="B4749" s="24" t="s">
        <v>6787</v>
      </c>
      <c r="C4749" s="24" t="s">
        <v>7411</v>
      </c>
      <c r="D4749" s="59">
        <v>1.0</v>
      </c>
      <c r="E4749" s="59">
        <v>1.0</v>
      </c>
      <c r="F4749" s="59">
        <v>1.0</v>
      </c>
      <c r="G4749" s="60">
        <v>1.0</v>
      </c>
      <c r="H4749" s="60">
        <v>1.0</v>
      </c>
      <c r="I4749" s="60">
        <v>4.990065</v>
      </c>
      <c r="J4749" s="59">
        <v>1.0</v>
      </c>
      <c r="K4749" s="61">
        <f t="shared" si="1"/>
        <v>1</v>
      </c>
      <c r="L4749" s="62">
        <f t="shared" si="2"/>
        <v>1</v>
      </c>
    </row>
    <row r="4750">
      <c r="A4750" s="58">
        <v>45809.0</v>
      </c>
      <c r="B4750" s="24" t="s">
        <v>6787</v>
      </c>
      <c r="C4750" s="24" t="s">
        <v>7412</v>
      </c>
      <c r="D4750" s="59">
        <v>1.0</v>
      </c>
      <c r="E4750" s="59">
        <v>1.0</v>
      </c>
      <c r="F4750" s="59">
        <v>1.0</v>
      </c>
      <c r="G4750" s="60">
        <v>1.0</v>
      </c>
      <c r="H4750" s="60">
        <v>1.0</v>
      </c>
      <c r="I4750" s="60">
        <v>0.0</v>
      </c>
      <c r="J4750" s="59">
        <v>1.0</v>
      </c>
      <c r="K4750" s="61">
        <f t="shared" si="1"/>
        <v>1</v>
      </c>
      <c r="L4750" s="62">
        <f t="shared" si="2"/>
        <v>1</v>
      </c>
    </row>
    <row r="4751">
      <c r="A4751" s="58">
        <v>45809.0</v>
      </c>
      <c r="B4751" s="24" t="s">
        <v>6787</v>
      </c>
      <c r="C4751" s="24" t="s">
        <v>7413</v>
      </c>
      <c r="D4751" s="59">
        <v>1.0</v>
      </c>
      <c r="E4751" s="59">
        <v>1.0</v>
      </c>
      <c r="F4751" s="59">
        <v>1.0</v>
      </c>
      <c r="G4751" s="60">
        <v>1.0</v>
      </c>
      <c r="H4751" s="60">
        <v>1.0</v>
      </c>
      <c r="I4751" s="60">
        <v>0.0</v>
      </c>
      <c r="J4751" s="59">
        <v>1.0</v>
      </c>
      <c r="K4751" s="61">
        <f t="shared" si="1"/>
        <v>1</v>
      </c>
      <c r="L4751" s="62">
        <f t="shared" si="2"/>
        <v>1</v>
      </c>
    </row>
    <row r="4752">
      <c r="A4752" s="58">
        <v>45809.0</v>
      </c>
      <c r="B4752" s="24" t="s">
        <v>6787</v>
      </c>
      <c r="C4752" s="24" t="s">
        <v>7414</v>
      </c>
      <c r="D4752" s="59">
        <v>1.0</v>
      </c>
      <c r="E4752" s="59">
        <v>1.0</v>
      </c>
      <c r="F4752" s="59">
        <v>1.0</v>
      </c>
      <c r="G4752" s="60">
        <v>1.0</v>
      </c>
      <c r="H4752" s="60">
        <v>1.0</v>
      </c>
      <c r="I4752" s="60">
        <v>0.0</v>
      </c>
      <c r="J4752" s="59">
        <v>1.0</v>
      </c>
      <c r="K4752" s="61">
        <f t="shared" si="1"/>
        <v>1</v>
      </c>
      <c r="L4752" s="62">
        <f t="shared" si="2"/>
        <v>1</v>
      </c>
    </row>
    <row r="4753">
      <c r="A4753" s="58">
        <v>45809.0</v>
      </c>
      <c r="B4753" s="24" t="s">
        <v>6787</v>
      </c>
      <c r="C4753" s="24" t="s">
        <v>7415</v>
      </c>
      <c r="D4753" s="59">
        <v>1.0</v>
      </c>
      <c r="E4753" s="59">
        <v>1.0</v>
      </c>
      <c r="F4753" s="59">
        <v>1.0</v>
      </c>
      <c r="G4753" s="60">
        <v>1.0</v>
      </c>
      <c r="H4753" s="60">
        <v>1.0</v>
      </c>
      <c r="I4753" s="60">
        <v>0.0</v>
      </c>
      <c r="J4753" s="59">
        <v>1.0</v>
      </c>
      <c r="K4753" s="61">
        <f t="shared" si="1"/>
        <v>1</v>
      </c>
      <c r="L4753" s="62">
        <f t="shared" si="2"/>
        <v>1</v>
      </c>
    </row>
    <row r="4754">
      <c r="A4754" s="58">
        <v>45809.0</v>
      </c>
      <c r="B4754" s="24" t="s">
        <v>6787</v>
      </c>
      <c r="C4754" s="24" t="s">
        <v>7416</v>
      </c>
      <c r="D4754" s="59">
        <v>1.0</v>
      </c>
      <c r="E4754" s="59">
        <v>1.0</v>
      </c>
      <c r="F4754" s="59">
        <v>1.0</v>
      </c>
      <c r="G4754" s="60">
        <v>1.0</v>
      </c>
      <c r="H4754" s="60">
        <v>1.0</v>
      </c>
      <c r="I4754" s="60">
        <v>0.0</v>
      </c>
      <c r="J4754" s="59">
        <v>1.0</v>
      </c>
      <c r="K4754" s="61">
        <f t="shared" si="1"/>
        <v>1</v>
      </c>
      <c r="L4754" s="62">
        <f t="shared" si="2"/>
        <v>1</v>
      </c>
    </row>
    <row r="4755">
      <c r="A4755" s="58">
        <v>45809.0</v>
      </c>
      <c r="B4755" s="24" t="s">
        <v>6787</v>
      </c>
      <c r="C4755" s="24" t="s">
        <v>7417</v>
      </c>
      <c r="D4755" s="59">
        <v>1.0</v>
      </c>
      <c r="E4755" s="59">
        <v>1.0</v>
      </c>
      <c r="F4755" s="59">
        <v>1.0</v>
      </c>
      <c r="G4755" s="60">
        <v>1.0</v>
      </c>
      <c r="H4755" s="60">
        <v>1.0</v>
      </c>
      <c r="I4755" s="60">
        <v>0.0</v>
      </c>
      <c r="J4755" s="59">
        <v>1.0</v>
      </c>
      <c r="K4755" s="61">
        <f t="shared" si="1"/>
        <v>1</v>
      </c>
      <c r="L4755" s="62">
        <f t="shared" si="2"/>
        <v>1</v>
      </c>
    </row>
    <row r="4756">
      <c r="A4756" s="58">
        <v>45809.0</v>
      </c>
      <c r="B4756" s="24" t="s">
        <v>6787</v>
      </c>
      <c r="C4756" s="24" t="s">
        <v>7372</v>
      </c>
      <c r="D4756" s="59">
        <v>1.0</v>
      </c>
      <c r="E4756" s="59">
        <v>1.0</v>
      </c>
      <c r="F4756" s="59">
        <v>1.0</v>
      </c>
      <c r="G4756" s="60">
        <v>1.0</v>
      </c>
      <c r="H4756" s="60">
        <v>1.0</v>
      </c>
      <c r="I4756" s="60">
        <v>0.0</v>
      </c>
      <c r="J4756" s="59">
        <v>1.0</v>
      </c>
      <c r="K4756" s="61">
        <f t="shared" si="1"/>
        <v>1</v>
      </c>
      <c r="L4756" s="62">
        <f t="shared" si="2"/>
        <v>1</v>
      </c>
    </row>
    <row r="4757">
      <c r="A4757" s="58">
        <v>45809.0</v>
      </c>
      <c r="B4757" s="24" t="s">
        <v>6787</v>
      </c>
      <c r="C4757" s="24" t="s">
        <v>7418</v>
      </c>
      <c r="D4757" s="59">
        <v>1.0</v>
      </c>
      <c r="E4757" s="59">
        <v>1.0</v>
      </c>
      <c r="F4757" s="59">
        <v>1.0</v>
      </c>
      <c r="G4757" s="60">
        <v>1.0</v>
      </c>
      <c r="H4757" s="60">
        <v>1.0</v>
      </c>
      <c r="I4757" s="60">
        <v>0.0</v>
      </c>
      <c r="J4757" s="59">
        <v>1.0</v>
      </c>
      <c r="K4757" s="61">
        <f t="shared" si="1"/>
        <v>1</v>
      </c>
      <c r="L4757" s="62">
        <f t="shared" si="2"/>
        <v>1</v>
      </c>
    </row>
    <row r="4758">
      <c r="A4758" s="58">
        <v>45809.0</v>
      </c>
      <c r="B4758" s="24" t="s">
        <v>6787</v>
      </c>
      <c r="C4758" s="24" t="s">
        <v>7374</v>
      </c>
      <c r="D4758" s="59">
        <v>1.0</v>
      </c>
      <c r="E4758" s="59">
        <v>1.0</v>
      </c>
      <c r="F4758" s="59">
        <v>1.0</v>
      </c>
      <c r="G4758" s="60">
        <v>1.0</v>
      </c>
      <c r="H4758" s="60">
        <v>1.0</v>
      </c>
      <c r="I4758" s="60">
        <v>0.0</v>
      </c>
      <c r="J4758" s="59">
        <v>1.0</v>
      </c>
      <c r="K4758" s="61">
        <f t="shared" si="1"/>
        <v>1</v>
      </c>
      <c r="L4758" s="62">
        <f t="shared" si="2"/>
        <v>1</v>
      </c>
    </row>
    <row r="4759">
      <c r="A4759" s="58">
        <v>45809.0</v>
      </c>
      <c r="B4759" s="24" t="s">
        <v>6787</v>
      </c>
      <c r="C4759" s="24" t="s">
        <v>7419</v>
      </c>
      <c r="D4759" s="59">
        <v>1.0</v>
      </c>
      <c r="E4759" s="59">
        <v>1.0</v>
      </c>
      <c r="F4759" s="59">
        <v>1.0</v>
      </c>
      <c r="G4759" s="60">
        <v>1.0</v>
      </c>
      <c r="H4759" s="60">
        <v>1.0</v>
      </c>
      <c r="I4759" s="60">
        <v>0.0</v>
      </c>
      <c r="J4759" s="59">
        <v>1.0</v>
      </c>
      <c r="K4759" s="61">
        <f t="shared" si="1"/>
        <v>1</v>
      </c>
      <c r="L4759" s="62">
        <f t="shared" si="2"/>
        <v>1</v>
      </c>
    </row>
    <row r="4760">
      <c r="A4760" s="58">
        <v>45809.0</v>
      </c>
      <c r="B4760" s="24" t="s">
        <v>6787</v>
      </c>
      <c r="C4760" s="24" t="s">
        <v>7420</v>
      </c>
      <c r="D4760" s="59">
        <v>1.0</v>
      </c>
      <c r="E4760" s="59">
        <v>1.0</v>
      </c>
      <c r="F4760" s="59">
        <v>1.0</v>
      </c>
      <c r="G4760" s="60">
        <v>1.0</v>
      </c>
      <c r="H4760" s="60">
        <v>1.0</v>
      </c>
      <c r="I4760" s="60">
        <v>0.0</v>
      </c>
      <c r="J4760" s="59">
        <v>1.0</v>
      </c>
      <c r="K4760" s="61">
        <f t="shared" si="1"/>
        <v>1</v>
      </c>
      <c r="L4760" s="62">
        <f t="shared" si="2"/>
        <v>1</v>
      </c>
    </row>
    <row r="4761">
      <c r="A4761" s="58">
        <v>45809.0</v>
      </c>
      <c r="B4761" s="24" t="s">
        <v>6787</v>
      </c>
      <c r="C4761" s="24" t="s">
        <v>7421</v>
      </c>
      <c r="D4761" s="59">
        <v>1.0</v>
      </c>
      <c r="E4761" s="59">
        <v>1.0</v>
      </c>
      <c r="F4761" s="59">
        <v>1.0</v>
      </c>
      <c r="G4761" s="60">
        <v>1.0</v>
      </c>
      <c r="H4761" s="60">
        <v>1.0</v>
      </c>
      <c r="I4761" s="60">
        <v>0.0</v>
      </c>
      <c r="J4761" s="59">
        <v>1.0</v>
      </c>
      <c r="K4761" s="61">
        <f t="shared" si="1"/>
        <v>1</v>
      </c>
      <c r="L4761" s="62">
        <f t="shared" si="2"/>
        <v>1</v>
      </c>
    </row>
    <row r="4762">
      <c r="A4762" s="58">
        <v>45809.0</v>
      </c>
      <c r="B4762" s="24" t="s">
        <v>6787</v>
      </c>
      <c r="C4762" s="24" t="s">
        <v>7422</v>
      </c>
      <c r="D4762" s="59">
        <v>1.0</v>
      </c>
      <c r="E4762" s="59">
        <v>1.0</v>
      </c>
      <c r="F4762" s="59">
        <v>1.0</v>
      </c>
      <c r="G4762" s="60">
        <v>1.0</v>
      </c>
      <c r="H4762" s="60">
        <v>1.0</v>
      </c>
      <c r="I4762" s="60">
        <v>0.0</v>
      </c>
      <c r="J4762" s="59">
        <v>1.0</v>
      </c>
      <c r="K4762" s="61">
        <f t="shared" si="1"/>
        <v>1</v>
      </c>
      <c r="L4762" s="62">
        <f t="shared" si="2"/>
        <v>1</v>
      </c>
    </row>
    <row r="4763">
      <c r="A4763" s="58">
        <v>45809.0</v>
      </c>
      <c r="B4763" s="24" t="s">
        <v>6787</v>
      </c>
      <c r="C4763" s="24" t="s">
        <v>7423</v>
      </c>
      <c r="D4763" s="59">
        <v>1.0</v>
      </c>
      <c r="E4763" s="59">
        <v>1.0</v>
      </c>
      <c r="F4763" s="59">
        <v>1.0</v>
      </c>
      <c r="G4763" s="60">
        <v>1.0</v>
      </c>
      <c r="H4763" s="60">
        <v>1.0</v>
      </c>
      <c r="I4763" s="60">
        <v>0.0</v>
      </c>
      <c r="J4763" s="59">
        <v>1.0</v>
      </c>
      <c r="K4763" s="61">
        <f t="shared" si="1"/>
        <v>1</v>
      </c>
      <c r="L4763" s="62">
        <f t="shared" si="2"/>
        <v>1</v>
      </c>
    </row>
    <row r="4764">
      <c r="A4764" s="58">
        <v>45809.0</v>
      </c>
      <c r="B4764" s="24" t="s">
        <v>6787</v>
      </c>
      <c r="C4764" s="24" t="s">
        <v>6980</v>
      </c>
      <c r="D4764" s="59">
        <v>1.0</v>
      </c>
      <c r="E4764" s="59">
        <v>1.0</v>
      </c>
      <c r="F4764" s="59">
        <v>1.0</v>
      </c>
      <c r="G4764" s="60">
        <v>1.0</v>
      </c>
      <c r="H4764" s="60">
        <v>1.0</v>
      </c>
      <c r="I4764" s="60">
        <v>0.0</v>
      </c>
      <c r="J4764" s="59">
        <v>1.0</v>
      </c>
      <c r="K4764" s="61">
        <f t="shared" si="1"/>
        <v>1</v>
      </c>
      <c r="L4764" s="62">
        <f t="shared" si="2"/>
        <v>1</v>
      </c>
    </row>
    <row r="4765">
      <c r="A4765" s="58">
        <v>45809.0</v>
      </c>
      <c r="B4765" s="24" t="s">
        <v>6787</v>
      </c>
      <c r="C4765" s="24" t="s">
        <v>6803</v>
      </c>
      <c r="D4765" s="59">
        <v>1.0</v>
      </c>
      <c r="E4765" s="59">
        <v>1.0</v>
      </c>
      <c r="F4765" s="59">
        <v>1.0</v>
      </c>
      <c r="G4765" s="60">
        <v>1.0</v>
      </c>
      <c r="H4765" s="60">
        <v>1.0</v>
      </c>
      <c r="I4765" s="60">
        <v>0.0</v>
      </c>
      <c r="J4765" s="59">
        <v>1.0</v>
      </c>
      <c r="K4765" s="61">
        <f t="shared" si="1"/>
        <v>1</v>
      </c>
      <c r="L4765" s="62">
        <f t="shared" si="2"/>
        <v>1</v>
      </c>
    </row>
    <row r="4766">
      <c r="A4766" s="58">
        <v>45809.0</v>
      </c>
      <c r="B4766" s="24" t="s">
        <v>7030</v>
      </c>
      <c r="C4766" s="24" t="s">
        <v>6803</v>
      </c>
      <c r="D4766" s="59">
        <v>1.0</v>
      </c>
      <c r="E4766" s="59">
        <v>1.0</v>
      </c>
      <c r="F4766" s="59">
        <v>1.0</v>
      </c>
      <c r="G4766" s="60">
        <v>1.0</v>
      </c>
      <c r="H4766" s="60">
        <v>1.0</v>
      </c>
      <c r="I4766" s="60">
        <v>0.0</v>
      </c>
      <c r="J4766" s="59">
        <v>1.0</v>
      </c>
      <c r="K4766" s="61">
        <f t="shared" si="1"/>
        <v>1</v>
      </c>
      <c r="L4766" s="62">
        <f t="shared" si="2"/>
        <v>1</v>
      </c>
    </row>
    <row r="4767">
      <c r="A4767" s="58">
        <v>45809.0</v>
      </c>
      <c r="B4767" s="24" t="s">
        <v>6790</v>
      </c>
      <c r="C4767" s="24" t="s">
        <v>6803</v>
      </c>
      <c r="D4767" s="59">
        <v>1.0</v>
      </c>
      <c r="E4767" s="59">
        <v>2.0</v>
      </c>
      <c r="F4767" s="59">
        <v>1.0</v>
      </c>
      <c r="G4767" s="60">
        <v>2.0</v>
      </c>
      <c r="H4767" s="60">
        <v>1.0</v>
      </c>
      <c r="I4767" s="60">
        <v>0.0</v>
      </c>
      <c r="J4767" s="59">
        <v>2.0</v>
      </c>
      <c r="K4767" s="61">
        <f t="shared" si="1"/>
        <v>0.5</v>
      </c>
      <c r="L4767" s="62">
        <f t="shared" si="2"/>
        <v>1</v>
      </c>
    </row>
    <row r="4768">
      <c r="A4768" s="58">
        <v>45809.0</v>
      </c>
      <c r="B4768" s="24" t="s">
        <v>3216</v>
      </c>
      <c r="C4768" s="24" t="s">
        <v>6817</v>
      </c>
      <c r="D4768" s="59">
        <v>1.0</v>
      </c>
      <c r="E4768" s="59">
        <v>1.0</v>
      </c>
      <c r="F4768" s="59">
        <v>0.0</v>
      </c>
      <c r="G4768" s="60">
        <v>1.0</v>
      </c>
      <c r="H4768" s="60">
        <v>0.0</v>
      </c>
      <c r="I4768" s="60">
        <v>43.02353</v>
      </c>
      <c r="J4768" s="59">
        <v>1.0</v>
      </c>
      <c r="K4768" s="61">
        <f t="shared" si="1"/>
        <v>0</v>
      </c>
      <c r="L4768" s="62">
        <f t="shared" si="2"/>
        <v>1</v>
      </c>
    </row>
    <row r="4769">
      <c r="A4769" s="58">
        <v>45809.0</v>
      </c>
      <c r="B4769" s="24" t="s">
        <v>6789</v>
      </c>
      <c r="C4769" s="24" t="s">
        <v>7377</v>
      </c>
      <c r="D4769" s="59">
        <v>1.0</v>
      </c>
      <c r="E4769" s="59">
        <v>2.0</v>
      </c>
      <c r="F4769" s="59">
        <v>0.0</v>
      </c>
      <c r="G4769" s="60">
        <v>2.0</v>
      </c>
      <c r="H4769" s="60">
        <v>0.0</v>
      </c>
      <c r="I4769" s="60">
        <v>2333.9116225</v>
      </c>
      <c r="J4769" s="59">
        <v>15.0</v>
      </c>
      <c r="K4769" s="61">
        <f t="shared" si="1"/>
        <v>0</v>
      </c>
      <c r="L4769" s="62">
        <f t="shared" si="2"/>
        <v>7.5</v>
      </c>
    </row>
    <row r="4770">
      <c r="A4770" s="58">
        <v>45809.0</v>
      </c>
      <c r="B4770" s="24" t="s">
        <v>6787</v>
      </c>
      <c r="C4770" s="24" t="s">
        <v>7055</v>
      </c>
      <c r="D4770" s="59">
        <v>1.0</v>
      </c>
      <c r="E4770" s="59">
        <v>1.0</v>
      </c>
      <c r="F4770" s="59">
        <v>1.0</v>
      </c>
      <c r="G4770" s="60">
        <v>1.0</v>
      </c>
      <c r="H4770" s="60">
        <v>1.0</v>
      </c>
      <c r="I4770" s="60">
        <v>0.0</v>
      </c>
      <c r="J4770" s="59">
        <v>1.0</v>
      </c>
      <c r="K4770" s="61">
        <f t="shared" si="1"/>
        <v>1</v>
      </c>
      <c r="L4770" s="62">
        <f t="shared" si="2"/>
        <v>1</v>
      </c>
    </row>
    <row r="4771">
      <c r="A4771" s="58">
        <v>45809.0</v>
      </c>
      <c r="B4771" s="24" t="s">
        <v>6789</v>
      </c>
      <c r="C4771" s="24" t="s">
        <v>7055</v>
      </c>
      <c r="D4771" s="59">
        <v>1.0</v>
      </c>
      <c r="E4771" s="59">
        <v>1.0</v>
      </c>
      <c r="F4771" s="59">
        <v>0.0</v>
      </c>
      <c r="G4771" s="60">
        <v>1.0</v>
      </c>
      <c r="H4771" s="60">
        <v>0.0</v>
      </c>
      <c r="I4771" s="60">
        <v>422.861427</v>
      </c>
      <c r="J4771" s="59">
        <v>1.0</v>
      </c>
      <c r="K4771" s="61">
        <f t="shared" si="1"/>
        <v>0</v>
      </c>
      <c r="L4771" s="62">
        <f t="shared" si="2"/>
        <v>1</v>
      </c>
    </row>
    <row r="4772">
      <c r="A4772" s="58">
        <v>45809.0</v>
      </c>
      <c r="B4772" s="24" t="s">
        <v>155</v>
      </c>
      <c r="C4772" s="24" t="s">
        <v>6953</v>
      </c>
      <c r="D4772" s="59">
        <v>1.0</v>
      </c>
      <c r="E4772" s="59">
        <v>1.0</v>
      </c>
      <c r="F4772" s="59">
        <v>0.0</v>
      </c>
      <c r="G4772" s="60">
        <v>1.0</v>
      </c>
      <c r="H4772" s="60">
        <v>0.0</v>
      </c>
      <c r="I4772" s="60">
        <v>151.275378</v>
      </c>
      <c r="J4772" s="59">
        <v>2.0</v>
      </c>
      <c r="K4772" s="61">
        <f t="shared" si="1"/>
        <v>0</v>
      </c>
      <c r="L4772" s="62">
        <f t="shared" si="2"/>
        <v>2</v>
      </c>
    </row>
    <row r="4773">
      <c r="A4773" s="58">
        <v>45809.0</v>
      </c>
      <c r="B4773" s="24" t="s">
        <v>155</v>
      </c>
      <c r="C4773" s="24" t="s">
        <v>6804</v>
      </c>
      <c r="D4773" s="59">
        <v>1.0</v>
      </c>
      <c r="E4773" s="59">
        <v>1.0</v>
      </c>
      <c r="F4773" s="59">
        <v>1.0</v>
      </c>
      <c r="G4773" s="60">
        <v>1.0</v>
      </c>
      <c r="H4773" s="60">
        <v>1.0</v>
      </c>
      <c r="I4773" s="60">
        <v>0.0</v>
      </c>
      <c r="J4773" s="59">
        <v>1.0</v>
      </c>
      <c r="K4773" s="61">
        <f t="shared" si="1"/>
        <v>1</v>
      </c>
      <c r="L4773" s="62">
        <f t="shared" si="2"/>
        <v>1</v>
      </c>
    </row>
    <row r="4774">
      <c r="A4774" s="58">
        <v>45809.0</v>
      </c>
      <c r="B4774" s="24" t="s">
        <v>6787</v>
      </c>
      <c r="C4774" s="24" t="s">
        <v>6829</v>
      </c>
      <c r="D4774" s="59">
        <v>1.0</v>
      </c>
      <c r="E4774" s="59">
        <v>1.0</v>
      </c>
      <c r="F4774" s="59">
        <v>1.0</v>
      </c>
      <c r="G4774" s="60">
        <v>1.0</v>
      </c>
      <c r="H4774" s="60">
        <v>0.0</v>
      </c>
      <c r="I4774" s="60">
        <v>191.463927</v>
      </c>
      <c r="J4774" s="59">
        <v>1.0</v>
      </c>
      <c r="K4774" s="61">
        <f t="shared" si="1"/>
        <v>1</v>
      </c>
      <c r="L4774" s="62">
        <f t="shared" si="2"/>
        <v>1</v>
      </c>
    </row>
    <row r="4775">
      <c r="A4775" s="58">
        <v>45809.0</v>
      </c>
      <c r="B4775" s="24" t="s">
        <v>6787</v>
      </c>
      <c r="C4775" s="24" t="s">
        <v>7039</v>
      </c>
      <c r="D4775" s="59">
        <v>1.0</v>
      </c>
      <c r="E4775" s="59">
        <v>1.0</v>
      </c>
      <c r="F4775" s="59">
        <v>1.0</v>
      </c>
      <c r="G4775" s="60">
        <v>1.0</v>
      </c>
      <c r="H4775" s="60">
        <v>1.0</v>
      </c>
      <c r="I4775" s="60">
        <v>0.0</v>
      </c>
      <c r="J4775" s="59">
        <v>1.0</v>
      </c>
      <c r="K4775" s="61">
        <f t="shared" si="1"/>
        <v>1</v>
      </c>
      <c r="L4775" s="62">
        <f t="shared" si="2"/>
        <v>1</v>
      </c>
    </row>
    <row r="4776">
      <c r="A4776" s="58">
        <v>45809.0</v>
      </c>
      <c r="B4776" s="24" t="s">
        <v>6787</v>
      </c>
      <c r="C4776" s="24" t="s">
        <v>7187</v>
      </c>
      <c r="D4776" s="59">
        <v>1.0</v>
      </c>
      <c r="E4776" s="59">
        <v>1.0</v>
      </c>
      <c r="F4776" s="59">
        <v>1.0</v>
      </c>
      <c r="G4776" s="60">
        <v>1.0</v>
      </c>
      <c r="H4776" s="60">
        <v>1.0</v>
      </c>
      <c r="I4776" s="60">
        <v>0.0</v>
      </c>
      <c r="J4776" s="59">
        <v>1.0</v>
      </c>
      <c r="K4776" s="61">
        <f t="shared" si="1"/>
        <v>1</v>
      </c>
      <c r="L4776" s="62">
        <f t="shared" si="2"/>
        <v>1</v>
      </c>
    </row>
    <row r="4777">
      <c r="A4777" s="58">
        <v>45809.0</v>
      </c>
      <c r="B4777" s="24" t="s">
        <v>6789</v>
      </c>
      <c r="C4777" s="24" t="s">
        <v>7059</v>
      </c>
      <c r="D4777" s="59">
        <v>1.0</v>
      </c>
      <c r="E4777" s="59">
        <v>1.0</v>
      </c>
      <c r="F4777" s="59">
        <v>1.0</v>
      </c>
      <c r="G4777" s="60">
        <v>1.0</v>
      </c>
      <c r="H4777" s="60">
        <v>1.0</v>
      </c>
      <c r="I4777" s="60">
        <v>0.0</v>
      </c>
      <c r="J4777" s="59">
        <v>1.0</v>
      </c>
      <c r="K4777" s="61">
        <f t="shared" si="1"/>
        <v>1</v>
      </c>
      <c r="L4777" s="62">
        <f t="shared" si="2"/>
        <v>1</v>
      </c>
    </row>
    <row r="4778">
      <c r="A4778" s="58">
        <v>45809.0</v>
      </c>
      <c r="B4778" s="24" t="s">
        <v>6787</v>
      </c>
      <c r="C4778" s="24" t="s">
        <v>7060</v>
      </c>
      <c r="D4778" s="59">
        <v>1.0</v>
      </c>
      <c r="E4778" s="59">
        <v>1.0</v>
      </c>
      <c r="F4778" s="59">
        <v>1.0</v>
      </c>
      <c r="G4778" s="60">
        <v>1.0</v>
      </c>
      <c r="H4778" s="60">
        <v>1.0</v>
      </c>
      <c r="I4778" s="60">
        <v>0.0</v>
      </c>
      <c r="J4778" s="59">
        <v>1.0</v>
      </c>
      <c r="K4778" s="61">
        <f t="shared" si="1"/>
        <v>1</v>
      </c>
      <c r="L4778" s="62">
        <f t="shared" si="2"/>
        <v>1</v>
      </c>
    </row>
    <row r="4779">
      <c r="A4779" s="58">
        <v>45809.0</v>
      </c>
      <c r="B4779" s="24" t="s">
        <v>6789</v>
      </c>
      <c r="C4779" s="24" t="s">
        <v>6865</v>
      </c>
      <c r="D4779" s="59">
        <v>1.0</v>
      </c>
      <c r="E4779" s="59">
        <v>2.0</v>
      </c>
      <c r="F4779" s="59">
        <v>0.0</v>
      </c>
      <c r="G4779" s="60">
        <v>2.0</v>
      </c>
      <c r="H4779" s="60">
        <v>0.0</v>
      </c>
      <c r="I4779" s="60">
        <v>755.049961999999</v>
      </c>
      <c r="J4779" s="59">
        <v>5.0</v>
      </c>
      <c r="K4779" s="61">
        <f t="shared" si="1"/>
        <v>0</v>
      </c>
      <c r="L4779" s="62">
        <f t="shared" si="2"/>
        <v>2.5</v>
      </c>
    </row>
    <row r="4780">
      <c r="A4780" s="58">
        <v>45809.0</v>
      </c>
      <c r="B4780" s="24" t="s">
        <v>6789</v>
      </c>
      <c r="C4780" s="24" t="s">
        <v>6985</v>
      </c>
      <c r="D4780" s="59">
        <v>1.0</v>
      </c>
      <c r="E4780" s="59">
        <v>1.0</v>
      </c>
      <c r="F4780" s="59">
        <v>1.0</v>
      </c>
      <c r="G4780" s="60">
        <v>1.0</v>
      </c>
      <c r="H4780" s="60">
        <v>1.0</v>
      </c>
      <c r="I4780" s="60">
        <v>0.0</v>
      </c>
      <c r="J4780" s="59">
        <v>1.0</v>
      </c>
      <c r="K4780" s="61">
        <f t="shared" si="1"/>
        <v>1</v>
      </c>
      <c r="L4780" s="62">
        <f t="shared" si="2"/>
        <v>1</v>
      </c>
    </row>
    <row r="4781">
      <c r="A4781" s="58">
        <v>45809.0</v>
      </c>
      <c r="B4781" s="24" t="s">
        <v>6789</v>
      </c>
      <c r="C4781" s="24" t="s">
        <v>6819</v>
      </c>
      <c r="D4781" s="59">
        <v>1.0</v>
      </c>
      <c r="E4781" s="59">
        <v>2.0</v>
      </c>
      <c r="F4781" s="59">
        <v>0.0</v>
      </c>
      <c r="G4781" s="60">
        <v>2.0</v>
      </c>
      <c r="H4781" s="60">
        <v>0.0</v>
      </c>
      <c r="I4781" s="60">
        <v>1326.068206</v>
      </c>
      <c r="J4781" s="59">
        <v>33.0</v>
      </c>
      <c r="K4781" s="61">
        <f t="shared" si="1"/>
        <v>0</v>
      </c>
      <c r="L4781" s="62">
        <f t="shared" si="2"/>
        <v>16.5</v>
      </c>
    </row>
    <row r="4782">
      <c r="A4782" s="58">
        <v>45809.0</v>
      </c>
      <c r="B4782" s="24" t="s">
        <v>155</v>
      </c>
      <c r="C4782" s="24" t="s">
        <v>6819</v>
      </c>
      <c r="D4782" s="59">
        <v>1.0</v>
      </c>
      <c r="E4782" s="59">
        <v>1.0</v>
      </c>
      <c r="F4782" s="59">
        <v>0.0</v>
      </c>
      <c r="G4782" s="60">
        <v>1.0</v>
      </c>
      <c r="H4782" s="60">
        <v>0.0</v>
      </c>
      <c r="I4782" s="60">
        <v>222.400754</v>
      </c>
      <c r="J4782" s="59">
        <v>2.0</v>
      </c>
      <c r="K4782" s="61">
        <f t="shared" si="1"/>
        <v>0</v>
      </c>
      <c r="L4782" s="62">
        <f t="shared" si="2"/>
        <v>2</v>
      </c>
    </row>
    <row r="4783">
      <c r="A4783" s="58">
        <v>45809.0</v>
      </c>
      <c r="B4783" s="24" t="s">
        <v>155</v>
      </c>
      <c r="C4783" s="24" t="s">
        <v>7063</v>
      </c>
      <c r="D4783" s="59">
        <v>1.0</v>
      </c>
      <c r="E4783" s="59">
        <v>1.0</v>
      </c>
      <c r="F4783" s="59">
        <v>1.0</v>
      </c>
      <c r="G4783" s="60">
        <v>1.0</v>
      </c>
      <c r="H4783" s="60">
        <v>0.0</v>
      </c>
      <c r="I4783" s="60">
        <v>1016.970043</v>
      </c>
      <c r="J4783" s="59">
        <v>2.0</v>
      </c>
      <c r="K4783" s="61">
        <f t="shared" si="1"/>
        <v>1</v>
      </c>
      <c r="L4783" s="62">
        <f t="shared" si="2"/>
        <v>2</v>
      </c>
    </row>
    <row r="4784">
      <c r="A4784" s="58">
        <v>45809.0</v>
      </c>
      <c r="B4784" s="24" t="s">
        <v>6787</v>
      </c>
      <c r="C4784" s="24" t="s">
        <v>6872</v>
      </c>
      <c r="D4784" s="59">
        <v>1.0</v>
      </c>
      <c r="E4784" s="59">
        <v>1.0</v>
      </c>
      <c r="F4784" s="59">
        <v>1.0</v>
      </c>
      <c r="G4784" s="60">
        <v>1.0</v>
      </c>
      <c r="H4784" s="60">
        <v>1.0</v>
      </c>
      <c r="I4784" s="60">
        <v>0.0</v>
      </c>
      <c r="J4784" s="59">
        <v>1.0</v>
      </c>
      <c r="K4784" s="61">
        <f t="shared" si="1"/>
        <v>1</v>
      </c>
      <c r="L4784" s="62">
        <f t="shared" si="2"/>
        <v>1</v>
      </c>
    </row>
    <row r="4785">
      <c r="A4785" s="58">
        <v>45809.0</v>
      </c>
      <c r="B4785" s="24" t="s">
        <v>155</v>
      </c>
      <c r="C4785" s="24" t="s">
        <v>7024</v>
      </c>
      <c r="D4785" s="59">
        <v>1.0</v>
      </c>
      <c r="E4785" s="59">
        <v>1.0</v>
      </c>
      <c r="F4785" s="59">
        <v>1.0</v>
      </c>
      <c r="G4785" s="60">
        <v>1.0</v>
      </c>
      <c r="H4785" s="60">
        <v>1.0</v>
      </c>
      <c r="I4785" s="60">
        <v>0.0</v>
      </c>
      <c r="J4785" s="59">
        <v>1.0</v>
      </c>
      <c r="K4785" s="61">
        <f t="shared" si="1"/>
        <v>1</v>
      </c>
      <c r="L4785" s="62">
        <f t="shared" si="2"/>
        <v>1</v>
      </c>
    </row>
    <row r="4786">
      <c r="A4786" s="58">
        <v>45809.0</v>
      </c>
      <c r="B4786" s="24" t="s">
        <v>6787</v>
      </c>
      <c r="C4786" s="24" t="s">
        <v>6876</v>
      </c>
      <c r="D4786" s="59">
        <v>1.0</v>
      </c>
      <c r="E4786" s="59">
        <v>1.0</v>
      </c>
      <c r="F4786" s="59">
        <v>0.0</v>
      </c>
      <c r="G4786" s="60">
        <v>1.0</v>
      </c>
      <c r="H4786" s="60">
        <v>0.0</v>
      </c>
      <c r="I4786" s="60">
        <v>53.049804</v>
      </c>
      <c r="J4786" s="59">
        <v>2.0</v>
      </c>
      <c r="K4786" s="61">
        <f t="shared" si="1"/>
        <v>0</v>
      </c>
      <c r="L4786" s="62">
        <f t="shared" si="2"/>
        <v>2</v>
      </c>
    </row>
    <row r="4787">
      <c r="A4787" s="58">
        <v>45809.0</v>
      </c>
      <c r="B4787" s="24" t="s">
        <v>6789</v>
      </c>
      <c r="C4787" s="24" t="s">
        <v>7066</v>
      </c>
      <c r="D4787" s="59">
        <v>1.0</v>
      </c>
      <c r="E4787" s="59">
        <v>1.0</v>
      </c>
      <c r="F4787" s="59">
        <v>0.0</v>
      </c>
      <c r="G4787" s="60">
        <v>1.0</v>
      </c>
      <c r="H4787" s="60">
        <v>0.0</v>
      </c>
      <c r="I4787" s="60">
        <v>12.65399</v>
      </c>
      <c r="J4787" s="59">
        <v>1.0</v>
      </c>
      <c r="K4787" s="61">
        <f t="shared" si="1"/>
        <v>0</v>
      </c>
      <c r="L4787" s="62">
        <f t="shared" si="2"/>
        <v>1</v>
      </c>
    </row>
    <row r="4788">
      <c r="A4788" s="58">
        <v>45809.0</v>
      </c>
      <c r="B4788" s="24" t="s">
        <v>6787</v>
      </c>
      <c r="C4788" s="24" t="s">
        <v>6877</v>
      </c>
      <c r="D4788" s="59">
        <v>1.0</v>
      </c>
      <c r="E4788" s="59">
        <v>1.0</v>
      </c>
      <c r="F4788" s="59">
        <v>1.0</v>
      </c>
      <c r="G4788" s="60">
        <v>1.0</v>
      </c>
      <c r="H4788" s="60">
        <v>1.0</v>
      </c>
      <c r="I4788" s="60">
        <v>0.0</v>
      </c>
      <c r="J4788" s="59">
        <v>1.0</v>
      </c>
      <c r="K4788" s="61">
        <f t="shared" si="1"/>
        <v>1</v>
      </c>
      <c r="L4788" s="62">
        <f t="shared" si="2"/>
        <v>1</v>
      </c>
    </row>
    <row r="4789">
      <c r="A4789" s="58">
        <v>45809.0</v>
      </c>
      <c r="B4789" s="24" t="s">
        <v>6789</v>
      </c>
      <c r="C4789" s="24" t="s">
        <v>6877</v>
      </c>
      <c r="D4789" s="59">
        <v>1.0</v>
      </c>
      <c r="E4789" s="59">
        <v>1.0</v>
      </c>
      <c r="F4789" s="59">
        <v>1.0</v>
      </c>
      <c r="G4789" s="60">
        <v>1.0</v>
      </c>
      <c r="H4789" s="60">
        <v>0.0</v>
      </c>
      <c r="I4789" s="60">
        <v>77.234765</v>
      </c>
      <c r="J4789" s="59">
        <v>1.0</v>
      </c>
      <c r="K4789" s="61">
        <f t="shared" si="1"/>
        <v>1</v>
      </c>
      <c r="L4789" s="62">
        <f t="shared" si="2"/>
        <v>1</v>
      </c>
    </row>
    <row r="4790">
      <c r="A4790" s="58">
        <v>45809.0</v>
      </c>
      <c r="B4790" s="24" t="s">
        <v>6787</v>
      </c>
      <c r="C4790" s="24" t="s">
        <v>6878</v>
      </c>
      <c r="D4790" s="59">
        <v>1.0</v>
      </c>
      <c r="E4790" s="59">
        <v>1.0</v>
      </c>
      <c r="F4790" s="59">
        <v>1.0</v>
      </c>
      <c r="G4790" s="60">
        <v>1.0</v>
      </c>
      <c r="H4790" s="60">
        <v>0.0</v>
      </c>
      <c r="I4790" s="60">
        <v>28.936298</v>
      </c>
      <c r="J4790" s="59">
        <v>1.0</v>
      </c>
      <c r="K4790" s="61">
        <f t="shared" si="1"/>
        <v>1</v>
      </c>
      <c r="L4790" s="62">
        <f t="shared" si="2"/>
        <v>1</v>
      </c>
    </row>
    <row r="4791">
      <c r="A4791" s="58">
        <v>45809.0</v>
      </c>
      <c r="B4791" s="24" t="s">
        <v>6789</v>
      </c>
      <c r="C4791" s="24" t="s">
        <v>6878</v>
      </c>
      <c r="D4791" s="59">
        <v>1.0</v>
      </c>
      <c r="E4791" s="59">
        <v>2.0</v>
      </c>
      <c r="F4791" s="59">
        <v>1.0</v>
      </c>
      <c r="G4791" s="60">
        <v>2.0</v>
      </c>
      <c r="H4791" s="60">
        <v>0.0</v>
      </c>
      <c r="I4791" s="60">
        <v>207.947479999999</v>
      </c>
      <c r="J4791" s="59">
        <v>3.0</v>
      </c>
      <c r="K4791" s="61">
        <f t="shared" si="1"/>
        <v>0.5</v>
      </c>
      <c r="L4791" s="62">
        <f t="shared" si="2"/>
        <v>1.5</v>
      </c>
    </row>
    <row r="4792">
      <c r="A4792" s="58">
        <v>45809.0</v>
      </c>
      <c r="B4792" s="24" t="s">
        <v>155</v>
      </c>
      <c r="C4792" s="24" t="s">
        <v>6880</v>
      </c>
      <c r="D4792" s="59">
        <v>1.0</v>
      </c>
      <c r="E4792" s="59">
        <v>2.0</v>
      </c>
      <c r="F4792" s="59">
        <v>1.0</v>
      </c>
      <c r="G4792" s="60">
        <v>2.0</v>
      </c>
      <c r="H4792" s="60">
        <v>1.0</v>
      </c>
      <c r="I4792" s="60">
        <v>0.0</v>
      </c>
      <c r="J4792" s="59">
        <v>2.0</v>
      </c>
      <c r="K4792" s="61">
        <f t="shared" si="1"/>
        <v>0.5</v>
      </c>
      <c r="L4792" s="62">
        <f t="shared" si="2"/>
        <v>1</v>
      </c>
    </row>
    <row r="4793">
      <c r="A4793" s="58">
        <v>45809.0</v>
      </c>
      <c r="B4793" s="24" t="s">
        <v>6789</v>
      </c>
      <c r="C4793" s="24" t="s">
        <v>6881</v>
      </c>
      <c r="D4793" s="59">
        <v>1.0</v>
      </c>
      <c r="E4793" s="59">
        <v>1.0</v>
      </c>
      <c r="F4793" s="59">
        <v>1.0</v>
      </c>
      <c r="G4793" s="60">
        <v>1.0</v>
      </c>
      <c r="H4793" s="60">
        <v>0.0</v>
      </c>
      <c r="I4793" s="60">
        <v>85.305884</v>
      </c>
      <c r="J4793" s="59">
        <v>1.0</v>
      </c>
      <c r="K4793" s="61">
        <f t="shared" si="1"/>
        <v>1</v>
      </c>
      <c r="L4793" s="62">
        <f t="shared" si="2"/>
        <v>1</v>
      </c>
    </row>
    <row r="4794">
      <c r="A4794" s="58">
        <v>45809.0</v>
      </c>
      <c r="B4794" s="24" t="s">
        <v>6790</v>
      </c>
      <c r="C4794" s="24" t="s">
        <v>6882</v>
      </c>
      <c r="D4794" s="59">
        <v>1.0</v>
      </c>
      <c r="E4794" s="59">
        <v>1.0</v>
      </c>
      <c r="F4794" s="59">
        <v>1.0</v>
      </c>
      <c r="G4794" s="60">
        <v>1.0</v>
      </c>
      <c r="H4794" s="60">
        <v>1.0</v>
      </c>
      <c r="I4794" s="60">
        <v>0.0</v>
      </c>
      <c r="J4794" s="59">
        <v>1.0</v>
      </c>
      <c r="K4794" s="61">
        <f t="shared" si="1"/>
        <v>1</v>
      </c>
      <c r="L4794" s="62">
        <f t="shared" si="2"/>
        <v>1</v>
      </c>
    </row>
    <row r="4795">
      <c r="A4795" s="58">
        <v>45809.0</v>
      </c>
      <c r="B4795" s="24" t="s">
        <v>155</v>
      </c>
      <c r="C4795" s="24" t="s">
        <v>7067</v>
      </c>
      <c r="D4795" s="59">
        <v>1.0</v>
      </c>
      <c r="E4795" s="59">
        <v>1.0</v>
      </c>
      <c r="F4795" s="59">
        <v>0.0</v>
      </c>
      <c r="G4795" s="60">
        <v>1.0</v>
      </c>
      <c r="H4795" s="60">
        <v>0.0</v>
      </c>
      <c r="I4795" s="60">
        <v>1229.591482</v>
      </c>
      <c r="J4795" s="59">
        <v>2.0</v>
      </c>
      <c r="K4795" s="61">
        <f t="shared" si="1"/>
        <v>0</v>
      </c>
      <c r="L4795" s="62">
        <f t="shared" si="2"/>
        <v>2</v>
      </c>
    </row>
    <row r="4796">
      <c r="A4796" s="58">
        <v>45809.0</v>
      </c>
      <c r="B4796" s="24" t="s">
        <v>6790</v>
      </c>
      <c r="C4796" s="24" t="s">
        <v>7068</v>
      </c>
      <c r="D4796" s="59">
        <v>1.0</v>
      </c>
      <c r="E4796" s="59">
        <v>1.0</v>
      </c>
      <c r="F4796" s="59">
        <v>1.0</v>
      </c>
      <c r="G4796" s="60">
        <v>1.0</v>
      </c>
      <c r="H4796" s="60">
        <v>1.0</v>
      </c>
      <c r="I4796" s="60">
        <v>0.0</v>
      </c>
      <c r="J4796" s="59">
        <v>1.0</v>
      </c>
      <c r="K4796" s="61">
        <f t="shared" si="1"/>
        <v>1</v>
      </c>
      <c r="L4796" s="62">
        <f t="shared" si="2"/>
        <v>1</v>
      </c>
    </row>
    <row r="4797">
      <c r="A4797" s="58">
        <v>45809.0</v>
      </c>
      <c r="B4797" s="24" t="s">
        <v>6787</v>
      </c>
      <c r="C4797" s="24" t="s">
        <v>6835</v>
      </c>
      <c r="D4797" s="59">
        <v>1.0</v>
      </c>
      <c r="E4797" s="59">
        <v>1.0</v>
      </c>
      <c r="F4797" s="59">
        <v>1.0</v>
      </c>
      <c r="G4797" s="60">
        <v>1.0</v>
      </c>
      <c r="H4797" s="60">
        <v>1.0</v>
      </c>
      <c r="I4797" s="60">
        <v>0.0</v>
      </c>
      <c r="J4797" s="59">
        <v>1.0</v>
      </c>
      <c r="K4797" s="61">
        <f t="shared" si="1"/>
        <v>1</v>
      </c>
      <c r="L4797" s="62">
        <f t="shared" si="2"/>
        <v>1</v>
      </c>
    </row>
    <row r="4798">
      <c r="A4798" s="58">
        <v>45809.0</v>
      </c>
      <c r="B4798" s="24" t="s">
        <v>6790</v>
      </c>
      <c r="C4798" s="24" t="s">
        <v>6836</v>
      </c>
      <c r="D4798" s="59">
        <v>1.0</v>
      </c>
      <c r="E4798" s="59">
        <v>1.0</v>
      </c>
      <c r="F4798" s="59">
        <v>0.0</v>
      </c>
      <c r="G4798" s="60">
        <v>1.0</v>
      </c>
      <c r="H4798" s="60">
        <v>1.0</v>
      </c>
      <c r="I4798" s="60">
        <v>0.0</v>
      </c>
      <c r="J4798" s="59">
        <v>1.0</v>
      </c>
      <c r="K4798" s="61">
        <f t="shared" si="1"/>
        <v>0</v>
      </c>
      <c r="L4798" s="62">
        <f t="shared" si="2"/>
        <v>1</v>
      </c>
    </row>
    <row r="4799">
      <c r="A4799" s="58">
        <v>45809.0</v>
      </c>
      <c r="B4799" s="24" t="s">
        <v>6789</v>
      </c>
      <c r="C4799" s="24" t="s">
        <v>6994</v>
      </c>
      <c r="D4799" s="59">
        <v>1.0</v>
      </c>
      <c r="E4799" s="59">
        <v>1.0</v>
      </c>
      <c r="F4799" s="59">
        <v>1.0</v>
      </c>
      <c r="G4799" s="60">
        <v>1.0</v>
      </c>
      <c r="H4799" s="60">
        <v>0.0</v>
      </c>
      <c r="I4799" s="60">
        <v>38.575706</v>
      </c>
      <c r="J4799" s="59">
        <v>1.0</v>
      </c>
      <c r="K4799" s="61">
        <f t="shared" si="1"/>
        <v>1</v>
      </c>
      <c r="L4799" s="62">
        <f t="shared" si="2"/>
        <v>1</v>
      </c>
    </row>
    <row r="4800">
      <c r="A4800" s="58">
        <v>45809.0</v>
      </c>
      <c r="B4800" s="24" t="s">
        <v>6787</v>
      </c>
      <c r="C4800" s="24" t="s">
        <v>6887</v>
      </c>
      <c r="D4800" s="59">
        <v>1.0</v>
      </c>
      <c r="E4800" s="59">
        <v>1.0</v>
      </c>
      <c r="F4800" s="59">
        <v>1.0</v>
      </c>
      <c r="G4800" s="60">
        <v>1.0</v>
      </c>
      <c r="H4800" s="60">
        <v>1.0</v>
      </c>
      <c r="I4800" s="60">
        <v>2.026837</v>
      </c>
      <c r="J4800" s="59">
        <v>1.0</v>
      </c>
      <c r="K4800" s="61">
        <f t="shared" si="1"/>
        <v>1</v>
      </c>
      <c r="L4800" s="62">
        <f t="shared" si="2"/>
        <v>1</v>
      </c>
    </row>
    <row r="4801">
      <c r="A4801" s="58">
        <v>45809.0</v>
      </c>
      <c r="B4801" s="24" t="s">
        <v>6794</v>
      </c>
      <c r="C4801" s="24" t="s">
        <v>6799</v>
      </c>
      <c r="D4801" s="59">
        <v>1.0</v>
      </c>
      <c r="E4801" s="59">
        <v>1.0</v>
      </c>
      <c r="F4801" s="59">
        <v>0.0</v>
      </c>
      <c r="G4801" s="60">
        <v>0.0</v>
      </c>
      <c r="H4801" s="60">
        <v>1.0</v>
      </c>
      <c r="I4801" s="60">
        <v>0.0</v>
      </c>
      <c r="J4801" s="59">
        <v>1.0</v>
      </c>
      <c r="K4801" s="61">
        <f t="shared" si="1"/>
        <v>0</v>
      </c>
      <c r="L4801" s="62">
        <f t="shared" si="2"/>
        <v>1</v>
      </c>
    </row>
    <row r="4802">
      <c r="A4802" s="58">
        <v>45809.0</v>
      </c>
      <c r="B4802" s="24" t="s">
        <v>155</v>
      </c>
      <c r="C4802" s="24" t="s">
        <v>6799</v>
      </c>
      <c r="D4802" s="59">
        <v>1.0</v>
      </c>
      <c r="E4802" s="59">
        <v>1.0</v>
      </c>
      <c r="F4802" s="59">
        <v>0.0</v>
      </c>
      <c r="G4802" s="60">
        <v>1.0</v>
      </c>
      <c r="H4802" s="60">
        <v>0.0</v>
      </c>
      <c r="I4802" s="60">
        <v>456.778004</v>
      </c>
      <c r="J4802" s="59">
        <v>2.0</v>
      </c>
      <c r="K4802" s="61">
        <f t="shared" si="1"/>
        <v>0</v>
      </c>
      <c r="L4802" s="62">
        <f t="shared" si="2"/>
        <v>2</v>
      </c>
    </row>
    <row r="4803">
      <c r="A4803" s="58">
        <v>45809.0</v>
      </c>
      <c r="B4803" s="24" t="s">
        <v>6790</v>
      </c>
      <c r="C4803" s="24" t="s">
        <v>6799</v>
      </c>
      <c r="D4803" s="59">
        <v>1.0</v>
      </c>
      <c r="E4803" s="59">
        <v>1.0</v>
      </c>
      <c r="F4803" s="59">
        <v>0.0</v>
      </c>
      <c r="G4803" s="60">
        <v>1.0</v>
      </c>
      <c r="H4803" s="60">
        <v>1.0</v>
      </c>
      <c r="I4803" s="60">
        <v>12.311721</v>
      </c>
      <c r="J4803" s="59">
        <v>2.0</v>
      </c>
      <c r="K4803" s="61">
        <f t="shared" si="1"/>
        <v>0</v>
      </c>
      <c r="L4803" s="62">
        <f t="shared" si="2"/>
        <v>2</v>
      </c>
    </row>
    <row r="4804">
      <c r="A4804" s="58">
        <v>45809.0</v>
      </c>
      <c r="B4804" s="24" t="s">
        <v>6789</v>
      </c>
      <c r="C4804" s="24" t="s">
        <v>6820</v>
      </c>
      <c r="D4804" s="59">
        <v>1.0</v>
      </c>
      <c r="E4804" s="59">
        <v>1.0</v>
      </c>
      <c r="F4804" s="59">
        <v>0.0</v>
      </c>
      <c r="G4804" s="60">
        <v>1.0</v>
      </c>
      <c r="H4804" s="60">
        <v>0.0</v>
      </c>
      <c r="I4804" s="60">
        <v>197.620194</v>
      </c>
      <c r="J4804" s="59">
        <v>1.0</v>
      </c>
      <c r="K4804" s="61">
        <f t="shared" si="1"/>
        <v>0</v>
      </c>
      <c r="L4804" s="62">
        <f t="shared" si="2"/>
        <v>1</v>
      </c>
    </row>
    <row r="4805">
      <c r="A4805" s="58">
        <v>45809.0</v>
      </c>
      <c r="B4805" s="24" t="s">
        <v>6787</v>
      </c>
      <c r="C4805" s="24" t="s">
        <v>6838</v>
      </c>
      <c r="D4805" s="59">
        <v>1.0</v>
      </c>
      <c r="E4805" s="59">
        <v>1.0</v>
      </c>
      <c r="F4805" s="59">
        <v>1.0</v>
      </c>
      <c r="G4805" s="60">
        <v>1.0</v>
      </c>
      <c r="H4805" s="60">
        <v>0.0</v>
      </c>
      <c r="I4805" s="60">
        <v>27.556477</v>
      </c>
      <c r="J4805" s="59">
        <v>1.0</v>
      </c>
      <c r="K4805" s="61">
        <f t="shared" si="1"/>
        <v>1</v>
      </c>
      <c r="L4805" s="62">
        <f t="shared" si="2"/>
        <v>1</v>
      </c>
    </row>
    <row r="4806">
      <c r="A4806" s="58">
        <v>45809.0</v>
      </c>
      <c r="B4806" s="24" t="s">
        <v>6794</v>
      </c>
      <c r="C4806" s="24" t="s">
        <v>6838</v>
      </c>
      <c r="D4806" s="59">
        <v>1.0</v>
      </c>
      <c r="E4806" s="59">
        <v>1.0</v>
      </c>
      <c r="F4806" s="59">
        <v>1.0</v>
      </c>
      <c r="G4806" s="60">
        <v>1.0</v>
      </c>
      <c r="H4806" s="60">
        <v>0.0</v>
      </c>
      <c r="I4806" s="60">
        <v>52.423143</v>
      </c>
      <c r="J4806" s="59">
        <v>1.0</v>
      </c>
      <c r="K4806" s="61">
        <f t="shared" si="1"/>
        <v>1</v>
      </c>
      <c r="L4806" s="62">
        <f t="shared" si="2"/>
        <v>1</v>
      </c>
    </row>
    <row r="4807">
      <c r="A4807" s="58">
        <v>45809.0</v>
      </c>
      <c r="B4807" s="24" t="s">
        <v>155</v>
      </c>
      <c r="C4807" s="24" t="s">
        <v>7021</v>
      </c>
      <c r="D4807" s="59">
        <v>1.0</v>
      </c>
      <c r="E4807" s="59">
        <v>1.0</v>
      </c>
      <c r="F4807" s="59">
        <v>0.0</v>
      </c>
      <c r="G4807" s="60">
        <v>1.0</v>
      </c>
      <c r="H4807" s="60">
        <v>0.0</v>
      </c>
      <c r="I4807" s="60">
        <v>33.559624</v>
      </c>
      <c r="J4807" s="59">
        <v>5.0</v>
      </c>
      <c r="K4807" s="61">
        <f t="shared" si="1"/>
        <v>0</v>
      </c>
      <c r="L4807" s="62">
        <f t="shared" si="2"/>
        <v>5</v>
      </c>
    </row>
    <row r="4808">
      <c r="A4808" s="58">
        <v>45809.0</v>
      </c>
      <c r="B4808" s="24" t="s">
        <v>3216</v>
      </c>
      <c r="C4808" s="24" t="s">
        <v>6822</v>
      </c>
      <c r="D4808" s="59">
        <v>1.0</v>
      </c>
      <c r="E4808" s="59">
        <v>1.0</v>
      </c>
      <c r="F4808" s="59">
        <v>0.0</v>
      </c>
      <c r="G4808" s="60">
        <v>1.0</v>
      </c>
      <c r="H4808" s="60">
        <v>0.0</v>
      </c>
      <c r="I4808" s="60">
        <v>21.395265</v>
      </c>
      <c r="J4808" s="59">
        <v>1.0</v>
      </c>
      <c r="K4808" s="61">
        <f t="shared" si="1"/>
        <v>0</v>
      </c>
      <c r="L4808" s="62">
        <f t="shared" si="2"/>
        <v>1</v>
      </c>
    </row>
    <row r="4809">
      <c r="A4809" s="58">
        <v>45809.0</v>
      </c>
      <c r="B4809" s="24" t="s">
        <v>155</v>
      </c>
      <c r="C4809" s="24" t="s">
        <v>6822</v>
      </c>
      <c r="D4809" s="59">
        <v>1.0</v>
      </c>
      <c r="E4809" s="59">
        <v>1.0</v>
      </c>
      <c r="F4809" s="59">
        <v>0.0</v>
      </c>
      <c r="G4809" s="60">
        <v>1.0</v>
      </c>
      <c r="H4809" s="60">
        <v>1.0</v>
      </c>
      <c r="I4809" s="60">
        <v>3.023025</v>
      </c>
      <c r="J4809" s="59">
        <v>1.0</v>
      </c>
      <c r="K4809" s="61">
        <f t="shared" si="1"/>
        <v>0</v>
      </c>
      <c r="L4809" s="62">
        <f t="shared" si="2"/>
        <v>1</v>
      </c>
    </row>
    <row r="4810">
      <c r="A4810" s="58">
        <v>45809.0</v>
      </c>
      <c r="B4810" s="24" t="s">
        <v>6789</v>
      </c>
      <c r="C4810" s="24" t="s">
        <v>6890</v>
      </c>
      <c r="D4810" s="59">
        <v>1.0</v>
      </c>
      <c r="E4810" s="59">
        <v>4.0</v>
      </c>
      <c r="F4810" s="59">
        <v>0.0</v>
      </c>
      <c r="G4810" s="60">
        <v>4.0</v>
      </c>
      <c r="H4810" s="60">
        <v>0.0</v>
      </c>
      <c r="I4810" s="60">
        <v>1516.664866</v>
      </c>
      <c r="J4810" s="59">
        <v>30.0</v>
      </c>
      <c r="K4810" s="61">
        <f t="shared" si="1"/>
        <v>0</v>
      </c>
      <c r="L4810" s="62">
        <f t="shared" si="2"/>
        <v>7.5</v>
      </c>
    </row>
    <row r="4811">
      <c r="A4811" s="58">
        <v>45809.0</v>
      </c>
      <c r="B4811" s="24" t="s">
        <v>6787</v>
      </c>
      <c r="C4811" s="24" t="s">
        <v>6891</v>
      </c>
      <c r="D4811" s="59">
        <v>1.0</v>
      </c>
      <c r="E4811" s="59">
        <v>1.0</v>
      </c>
      <c r="F4811" s="59">
        <v>1.0</v>
      </c>
      <c r="G4811" s="60">
        <v>1.0</v>
      </c>
      <c r="H4811" s="60">
        <v>0.0</v>
      </c>
      <c r="I4811" s="60">
        <v>28.853383</v>
      </c>
      <c r="J4811" s="59">
        <v>1.0</v>
      </c>
      <c r="K4811" s="61">
        <f t="shared" si="1"/>
        <v>1</v>
      </c>
      <c r="L4811" s="62">
        <f t="shared" si="2"/>
        <v>1</v>
      </c>
    </row>
    <row r="4812">
      <c r="A4812" s="58">
        <v>45809.0</v>
      </c>
      <c r="B4812" s="24" t="s">
        <v>6789</v>
      </c>
      <c r="C4812" s="24" t="s">
        <v>6891</v>
      </c>
      <c r="D4812" s="59">
        <v>1.0</v>
      </c>
      <c r="E4812" s="59">
        <v>1.0</v>
      </c>
      <c r="F4812" s="59">
        <v>1.0</v>
      </c>
      <c r="G4812" s="60">
        <v>1.0</v>
      </c>
      <c r="H4812" s="60">
        <v>0.0</v>
      </c>
      <c r="I4812" s="60">
        <v>95.249738</v>
      </c>
      <c r="J4812" s="59">
        <v>1.0</v>
      </c>
      <c r="K4812" s="61">
        <f t="shared" si="1"/>
        <v>1</v>
      </c>
      <c r="L4812" s="62">
        <f t="shared" si="2"/>
        <v>1</v>
      </c>
    </row>
    <row r="4813">
      <c r="A4813" s="58">
        <v>45809.0</v>
      </c>
      <c r="B4813" s="24" t="s">
        <v>3216</v>
      </c>
      <c r="C4813" s="24" t="s">
        <v>6892</v>
      </c>
      <c r="D4813" s="59">
        <v>1.0</v>
      </c>
      <c r="E4813" s="59">
        <v>1.0</v>
      </c>
      <c r="F4813" s="59">
        <v>1.0</v>
      </c>
      <c r="G4813" s="60">
        <v>1.0</v>
      </c>
      <c r="H4813" s="60">
        <v>0.0</v>
      </c>
      <c r="I4813" s="60">
        <v>54.709836</v>
      </c>
      <c r="J4813" s="59">
        <v>1.0</v>
      </c>
      <c r="K4813" s="61">
        <f t="shared" si="1"/>
        <v>1</v>
      </c>
      <c r="L4813" s="62">
        <f t="shared" si="2"/>
        <v>1</v>
      </c>
    </row>
    <row r="4814">
      <c r="A4814" s="58">
        <v>45809.0</v>
      </c>
      <c r="B4814" s="24" t="s">
        <v>6794</v>
      </c>
      <c r="C4814" s="24" t="s">
        <v>6892</v>
      </c>
      <c r="D4814" s="59">
        <v>1.0</v>
      </c>
      <c r="E4814" s="59">
        <v>1.0</v>
      </c>
      <c r="F4814" s="59">
        <v>0.0</v>
      </c>
      <c r="G4814" s="60">
        <v>0.0</v>
      </c>
      <c r="H4814" s="60">
        <v>1.0</v>
      </c>
      <c r="I4814" s="60">
        <v>0.0</v>
      </c>
      <c r="J4814" s="59">
        <v>1.0</v>
      </c>
      <c r="K4814" s="61">
        <f t="shared" si="1"/>
        <v>0</v>
      </c>
      <c r="L4814" s="62">
        <f t="shared" si="2"/>
        <v>1</v>
      </c>
    </row>
    <row r="4815">
      <c r="A4815" s="58">
        <v>45809.0</v>
      </c>
      <c r="B4815" s="24" t="s">
        <v>6787</v>
      </c>
      <c r="C4815" s="24" t="s">
        <v>6894</v>
      </c>
      <c r="D4815" s="59">
        <v>1.0</v>
      </c>
      <c r="E4815" s="59">
        <v>1.0</v>
      </c>
      <c r="F4815" s="59">
        <v>1.0</v>
      </c>
      <c r="G4815" s="60">
        <v>1.0</v>
      </c>
      <c r="H4815" s="60">
        <v>0.0</v>
      </c>
      <c r="I4815" s="60">
        <v>14.084905</v>
      </c>
      <c r="J4815" s="59">
        <v>1.0</v>
      </c>
      <c r="K4815" s="61">
        <f t="shared" si="1"/>
        <v>1</v>
      </c>
      <c r="L4815" s="62">
        <f t="shared" si="2"/>
        <v>1</v>
      </c>
    </row>
    <row r="4816">
      <c r="A4816" s="58">
        <v>45809.0</v>
      </c>
      <c r="B4816" s="24" t="s">
        <v>6787</v>
      </c>
      <c r="C4816" s="24" t="s">
        <v>6840</v>
      </c>
      <c r="D4816" s="59">
        <v>1.0</v>
      </c>
      <c r="E4816" s="59">
        <v>1.0</v>
      </c>
      <c r="F4816" s="59">
        <v>0.0</v>
      </c>
      <c r="G4816" s="60">
        <v>1.0</v>
      </c>
      <c r="H4816" s="60">
        <v>0.0</v>
      </c>
      <c r="I4816" s="60">
        <v>108.883649</v>
      </c>
      <c r="J4816" s="59">
        <v>3.0</v>
      </c>
      <c r="K4816" s="61">
        <f t="shared" si="1"/>
        <v>0</v>
      </c>
      <c r="L4816" s="62">
        <f t="shared" si="2"/>
        <v>3</v>
      </c>
    </row>
    <row r="4817">
      <c r="A4817" s="58">
        <v>45809.0</v>
      </c>
      <c r="B4817" s="24" t="s">
        <v>155</v>
      </c>
      <c r="C4817" s="24" t="s">
        <v>6896</v>
      </c>
      <c r="D4817" s="59">
        <v>1.0</v>
      </c>
      <c r="E4817" s="59">
        <v>1.0</v>
      </c>
      <c r="F4817" s="59">
        <v>0.0</v>
      </c>
      <c r="G4817" s="60">
        <v>1.0</v>
      </c>
      <c r="H4817" s="60">
        <v>1.0</v>
      </c>
      <c r="I4817" s="60">
        <v>2.061552</v>
      </c>
      <c r="J4817" s="59">
        <v>1.0</v>
      </c>
      <c r="K4817" s="61">
        <f t="shared" si="1"/>
        <v>0</v>
      </c>
      <c r="L4817" s="62">
        <f t="shared" si="2"/>
        <v>1</v>
      </c>
    </row>
    <row r="4818">
      <c r="A4818" s="58">
        <v>45809.0</v>
      </c>
      <c r="B4818" s="24" t="s">
        <v>6787</v>
      </c>
      <c r="C4818" s="24" t="s">
        <v>7301</v>
      </c>
      <c r="D4818" s="59">
        <v>1.0</v>
      </c>
      <c r="E4818" s="59">
        <v>1.0</v>
      </c>
      <c r="F4818" s="59">
        <v>1.0</v>
      </c>
      <c r="G4818" s="60">
        <v>1.0</v>
      </c>
      <c r="H4818" s="60">
        <v>0.0</v>
      </c>
      <c r="I4818" s="60">
        <v>51.351246</v>
      </c>
      <c r="J4818" s="59">
        <v>2.0</v>
      </c>
      <c r="K4818" s="61">
        <f t="shared" si="1"/>
        <v>1</v>
      </c>
      <c r="L4818" s="62">
        <f t="shared" si="2"/>
        <v>2</v>
      </c>
    </row>
    <row r="4819">
      <c r="A4819" s="58">
        <v>45809.0</v>
      </c>
      <c r="B4819" s="24" t="s">
        <v>6789</v>
      </c>
      <c r="C4819" s="24" t="s">
        <v>7301</v>
      </c>
      <c r="D4819" s="59">
        <v>1.0</v>
      </c>
      <c r="E4819" s="59">
        <v>1.0</v>
      </c>
      <c r="F4819" s="59">
        <v>0.0</v>
      </c>
      <c r="G4819" s="60">
        <v>1.0</v>
      </c>
      <c r="H4819" s="60">
        <v>0.0</v>
      </c>
      <c r="I4819" s="60">
        <v>1885.091629</v>
      </c>
      <c r="J4819" s="59">
        <v>3.0</v>
      </c>
      <c r="K4819" s="61">
        <f t="shared" si="1"/>
        <v>0</v>
      </c>
      <c r="L4819" s="62">
        <f t="shared" si="2"/>
        <v>3</v>
      </c>
    </row>
    <row r="4820">
      <c r="A4820" s="58">
        <v>45809.0</v>
      </c>
      <c r="B4820" s="24" t="s">
        <v>7100</v>
      </c>
      <c r="C4820" s="24" t="s">
        <v>7301</v>
      </c>
      <c r="D4820" s="59">
        <v>1.0</v>
      </c>
      <c r="E4820" s="59">
        <v>2.0</v>
      </c>
      <c r="F4820" s="59">
        <v>0.0</v>
      </c>
      <c r="G4820" s="60">
        <v>2.0</v>
      </c>
      <c r="H4820" s="60">
        <v>0.5</v>
      </c>
      <c r="I4820" s="60">
        <v>115.833651</v>
      </c>
      <c r="J4820" s="59">
        <v>2.0</v>
      </c>
      <c r="K4820" s="61">
        <f t="shared" si="1"/>
        <v>0</v>
      </c>
      <c r="L4820" s="62">
        <f t="shared" si="2"/>
        <v>1</v>
      </c>
    </row>
    <row r="4821">
      <c r="A4821" s="58">
        <v>45809.0</v>
      </c>
      <c r="B4821" s="24" t="s">
        <v>6789</v>
      </c>
      <c r="C4821" s="24" t="s">
        <v>6823</v>
      </c>
      <c r="D4821" s="59">
        <v>1.0</v>
      </c>
      <c r="E4821" s="59">
        <v>1.0</v>
      </c>
      <c r="F4821" s="59">
        <v>1.0</v>
      </c>
      <c r="G4821" s="60">
        <v>1.0</v>
      </c>
      <c r="H4821" s="60">
        <v>1.0</v>
      </c>
      <c r="I4821" s="60">
        <v>0.0</v>
      </c>
      <c r="J4821" s="59">
        <v>1.0</v>
      </c>
      <c r="K4821" s="61">
        <f t="shared" si="1"/>
        <v>1</v>
      </c>
      <c r="L4821" s="62">
        <f t="shared" si="2"/>
        <v>1</v>
      </c>
    </row>
    <row r="4822">
      <c r="A4822" s="58">
        <v>45809.0</v>
      </c>
      <c r="B4822" s="24" t="s">
        <v>6789</v>
      </c>
      <c r="C4822" s="24" t="s">
        <v>7195</v>
      </c>
      <c r="D4822" s="59">
        <v>1.0</v>
      </c>
      <c r="E4822" s="59">
        <v>1.0</v>
      </c>
      <c r="F4822" s="59">
        <v>1.0</v>
      </c>
      <c r="G4822" s="60">
        <v>1.0</v>
      </c>
      <c r="H4822" s="60">
        <v>1.0</v>
      </c>
      <c r="I4822" s="60">
        <v>8.595639</v>
      </c>
      <c r="J4822" s="59">
        <v>1.0</v>
      </c>
      <c r="K4822" s="61">
        <f t="shared" si="1"/>
        <v>1</v>
      </c>
      <c r="L4822" s="62">
        <f t="shared" si="2"/>
        <v>1</v>
      </c>
    </row>
    <row r="4823">
      <c r="A4823" s="58">
        <v>45809.0</v>
      </c>
      <c r="B4823" s="24" t="s">
        <v>6789</v>
      </c>
      <c r="C4823" s="24" t="s">
        <v>6897</v>
      </c>
      <c r="D4823" s="59">
        <v>1.0</v>
      </c>
      <c r="E4823" s="59">
        <v>1.0</v>
      </c>
      <c r="F4823" s="59">
        <v>1.0</v>
      </c>
      <c r="G4823" s="60">
        <v>1.0</v>
      </c>
      <c r="H4823" s="60">
        <v>0.0</v>
      </c>
      <c r="I4823" s="60">
        <v>42.951379</v>
      </c>
      <c r="J4823" s="59">
        <v>1.0</v>
      </c>
      <c r="K4823" s="61">
        <f t="shared" si="1"/>
        <v>1</v>
      </c>
      <c r="L4823" s="62">
        <f t="shared" si="2"/>
        <v>1</v>
      </c>
    </row>
    <row r="4824">
      <c r="A4824" s="58">
        <v>45809.0</v>
      </c>
      <c r="B4824" s="24" t="s">
        <v>155</v>
      </c>
      <c r="C4824" s="24" t="s">
        <v>6841</v>
      </c>
      <c r="D4824" s="59">
        <v>1.0</v>
      </c>
      <c r="E4824" s="59">
        <v>1.0</v>
      </c>
      <c r="F4824" s="59">
        <v>1.0</v>
      </c>
      <c r="G4824" s="60">
        <v>1.0</v>
      </c>
      <c r="H4824" s="60">
        <v>0.0</v>
      </c>
      <c r="I4824" s="60">
        <v>41.495645</v>
      </c>
      <c r="J4824" s="59">
        <v>1.0</v>
      </c>
      <c r="K4824" s="61">
        <f t="shared" si="1"/>
        <v>1</v>
      </c>
      <c r="L4824" s="62">
        <f t="shared" si="2"/>
        <v>1</v>
      </c>
    </row>
    <row r="4825">
      <c r="A4825" s="58">
        <v>45809.0</v>
      </c>
      <c r="B4825" s="24" t="s">
        <v>6789</v>
      </c>
      <c r="C4825" s="24" t="s">
        <v>6898</v>
      </c>
      <c r="D4825" s="59">
        <v>1.0</v>
      </c>
      <c r="E4825" s="59">
        <v>1.0</v>
      </c>
      <c r="F4825" s="59">
        <v>1.0</v>
      </c>
      <c r="G4825" s="60">
        <v>1.0</v>
      </c>
      <c r="H4825" s="60">
        <v>0.0</v>
      </c>
      <c r="I4825" s="60">
        <v>88.237564</v>
      </c>
      <c r="J4825" s="59">
        <v>1.0</v>
      </c>
      <c r="K4825" s="61">
        <f t="shared" si="1"/>
        <v>1</v>
      </c>
      <c r="L4825" s="62">
        <f t="shared" si="2"/>
        <v>1</v>
      </c>
    </row>
    <row r="4826">
      <c r="A4826" s="58">
        <v>45809.0</v>
      </c>
      <c r="B4826" s="24" t="s">
        <v>6790</v>
      </c>
      <c r="C4826" s="24" t="s">
        <v>6806</v>
      </c>
      <c r="D4826" s="59">
        <v>1.0</v>
      </c>
      <c r="E4826" s="59">
        <v>1.0</v>
      </c>
      <c r="F4826" s="59">
        <v>1.0</v>
      </c>
      <c r="G4826" s="60">
        <v>1.0</v>
      </c>
      <c r="H4826" s="60">
        <v>0.0</v>
      </c>
      <c r="I4826" s="60">
        <v>243.330137</v>
      </c>
      <c r="J4826" s="59">
        <v>1.0</v>
      </c>
      <c r="K4826" s="61">
        <f t="shared" si="1"/>
        <v>1</v>
      </c>
      <c r="L4826" s="62">
        <f t="shared" si="2"/>
        <v>1</v>
      </c>
    </row>
    <row r="4827">
      <c r="A4827" s="58">
        <v>45809.0</v>
      </c>
      <c r="B4827" s="24" t="s">
        <v>6789</v>
      </c>
      <c r="C4827" s="24" t="s">
        <v>6899</v>
      </c>
      <c r="D4827" s="59">
        <v>1.0</v>
      </c>
      <c r="E4827" s="59">
        <v>1.0</v>
      </c>
      <c r="F4827" s="59">
        <v>1.0</v>
      </c>
      <c r="G4827" s="60">
        <v>1.0</v>
      </c>
      <c r="H4827" s="60">
        <v>1.0</v>
      </c>
      <c r="I4827" s="60">
        <v>5.554507</v>
      </c>
      <c r="J4827" s="59">
        <v>1.0</v>
      </c>
      <c r="K4827" s="61">
        <f t="shared" si="1"/>
        <v>1</v>
      </c>
      <c r="L4827" s="62">
        <f t="shared" si="2"/>
        <v>1</v>
      </c>
    </row>
    <row r="4828">
      <c r="A4828" s="58">
        <v>45809.0</v>
      </c>
      <c r="B4828" s="24" t="s">
        <v>6789</v>
      </c>
      <c r="C4828" s="24" t="s">
        <v>6842</v>
      </c>
      <c r="D4828" s="59">
        <v>1.0</v>
      </c>
      <c r="E4828" s="59">
        <v>1.0</v>
      </c>
      <c r="F4828" s="59">
        <v>1.0</v>
      </c>
      <c r="G4828" s="60">
        <v>1.0</v>
      </c>
      <c r="H4828" s="60">
        <v>1.0</v>
      </c>
      <c r="I4828" s="60">
        <v>0.0</v>
      </c>
      <c r="J4828" s="59">
        <v>1.0</v>
      </c>
      <c r="K4828" s="61">
        <f t="shared" si="1"/>
        <v>1</v>
      </c>
      <c r="L4828" s="62">
        <f t="shared" si="2"/>
        <v>1</v>
      </c>
    </row>
    <row r="4829">
      <c r="A4829" s="58">
        <v>45809.0</v>
      </c>
      <c r="B4829" s="24" t="s">
        <v>155</v>
      </c>
      <c r="C4829" s="24" t="s">
        <v>6842</v>
      </c>
      <c r="D4829" s="59">
        <v>1.0</v>
      </c>
      <c r="E4829" s="59">
        <v>1.0</v>
      </c>
      <c r="F4829" s="59">
        <v>0.0</v>
      </c>
      <c r="G4829" s="60">
        <v>1.0</v>
      </c>
      <c r="H4829" s="60">
        <v>1.0</v>
      </c>
      <c r="I4829" s="60">
        <v>5.658038</v>
      </c>
      <c r="J4829" s="59">
        <v>1.0</v>
      </c>
      <c r="K4829" s="61">
        <f t="shared" si="1"/>
        <v>0</v>
      </c>
      <c r="L4829" s="62">
        <f t="shared" si="2"/>
        <v>1</v>
      </c>
    </row>
    <row r="4830">
      <c r="A4830" s="58">
        <v>45809.0</v>
      </c>
      <c r="B4830" s="24" t="s">
        <v>6787</v>
      </c>
      <c r="C4830" s="24" t="s">
        <v>7006</v>
      </c>
      <c r="D4830" s="59">
        <v>1.0</v>
      </c>
      <c r="E4830" s="59">
        <v>1.0</v>
      </c>
      <c r="F4830" s="59">
        <v>1.0</v>
      </c>
      <c r="G4830" s="60">
        <v>1.0</v>
      </c>
      <c r="H4830" s="60">
        <v>0.0</v>
      </c>
      <c r="I4830" s="60">
        <v>32.060131</v>
      </c>
      <c r="J4830" s="59">
        <v>1.0</v>
      </c>
      <c r="K4830" s="61">
        <f t="shared" si="1"/>
        <v>1</v>
      </c>
      <c r="L4830" s="62">
        <f t="shared" si="2"/>
        <v>1</v>
      </c>
    </row>
    <row r="4831">
      <c r="A4831" s="58">
        <v>45809.0</v>
      </c>
      <c r="B4831" s="24" t="s">
        <v>6787</v>
      </c>
      <c r="C4831" s="24" t="s">
        <v>6901</v>
      </c>
      <c r="D4831" s="59">
        <v>1.0</v>
      </c>
      <c r="E4831" s="59">
        <v>1.0</v>
      </c>
      <c r="F4831" s="59">
        <v>1.0</v>
      </c>
      <c r="G4831" s="60">
        <v>1.0</v>
      </c>
      <c r="H4831" s="60">
        <v>0.0</v>
      </c>
      <c r="I4831" s="60">
        <v>28.885214</v>
      </c>
      <c r="J4831" s="59">
        <v>1.0</v>
      </c>
      <c r="K4831" s="61">
        <f t="shared" si="1"/>
        <v>1</v>
      </c>
      <c r="L4831" s="62">
        <f t="shared" si="2"/>
        <v>1</v>
      </c>
    </row>
    <row r="4832">
      <c r="A4832" s="58">
        <v>45809.0</v>
      </c>
      <c r="B4832" s="24" t="s">
        <v>6789</v>
      </c>
      <c r="C4832" s="24" t="s">
        <v>6901</v>
      </c>
      <c r="D4832" s="59">
        <v>1.0</v>
      </c>
      <c r="E4832" s="59">
        <v>2.0</v>
      </c>
      <c r="F4832" s="59">
        <v>0.0</v>
      </c>
      <c r="G4832" s="60">
        <v>0.0</v>
      </c>
      <c r="H4832" s="60">
        <v>1.0</v>
      </c>
      <c r="I4832" s="60">
        <v>0.0</v>
      </c>
      <c r="J4832" s="59">
        <v>2.0</v>
      </c>
      <c r="K4832" s="61">
        <f t="shared" si="1"/>
        <v>0</v>
      </c>
      <c r="L4832" s="62">
        <f t="shared" si="2"/>
        <v>1</v>
      </c>
    </row>
    <row r="4833">
      <c r="A4833" s="58">
        <v>45809.0</v>
      </c>
      <c r="B4833" s="24" t="s">
        <v>6789</v>
      </c>
      <c r="C4833" s="24" t="s">
        <v>6807</v>
      </c>
      <c r="D4833" s="59">
        <v>1.0</v>
      </c>
      <c r="E4833" s="59">
        <v>1.0</v>
      </c>
      <c r="F4833" s="59">
        <v>1.0</v>
      </c>
      <c r="G4833" s="60">
        <v>1.0</v>
      </c>
      <c r="H4833" s="60">
        <v>1.0</v>
      </c>
      <c r="I4833" s="60">
        <v>0.0</v>
      </c>
      <c r="J4833" s="59">
        <v>1.0</v>
      </c>
      <c r="K4833" s="61">
        <f t="shared" si="1"/>
        <v>1</v>
      </c>
      <c r="L4833" s="62">
        <f t="shared" si="2"/>
        <v>1</v>
      </c>
    </row>
    <row r="4834">
      <c r="A4834" s="58">
        <v>45809.0</v>
      </c>
      <c r="B4834" s="24" t="s">
        <v>155</v>
      </c>
      <c r="C4834" s="24" t="s">
        <v>6807</v>
      </c>
      <c r="D4834" s="59">
        <v>1.0</v>
      </c>
      <c r="E4834" s="59">
        <v>1.0</v>
      </c>
      <c r="F4834" s="59">
        <v>0.0</v>
      </c>
      <c r="G4834" s="60">
        <v>0.0</v>
      </c>
      <c r="H4834" s="60">
        <v>1.0</v>
      </c>
      <c r="I4834" s="60">
        <v>0.0</v>
      </c>
      <c r="J4834" s="59">
        <v>1.0</v>
      </c>
      <c r="K4834" s="61">
        <f t="shared" si="1"/>
        <v>0</v>
      </c>
      <c r="L4834" s="62">
        <f t="shared" si="2"/>
        <v>1</v>
      </c>
    </row>
    <row r="4835">
      <c r="A4835" s="58">
        <v>45809.0</v>
      </c>
      <c r="B4835" s="24" t="s">
        <v>6787</v>
      </c>
      <c r="C4835" s="24" t="s">
        <v>7424</v>
      </c>
      <c r="D4835" s="59">
        <v>1.0</v>
      </c>
      <c r="E4835" s="59">
        <v>1.0</v>
      </c>
      <c r="F4835" s="59">
        <v>1.0</v>
      </c>
      <c r="G4835" s="60">
        <v>1.0</v>
      </c>
      <c r="H4835" s="60">
        <v>1.0</v>
      </c>
      <c r="I4835" s="60">
        <v>1.458757</v>
      </c>
      <c r="J4835" s="59">
        <v>1.0</v>
      </c>
      <c r="K4835" s="61">
        <f t="shared" si="1"/>
        <v>1</v>
      </c>
      <c r="L4835" s="62">
        <f t="shared" si="2"/>
        <v>1</v>
      </c>
    </row>
    <row r="4836">
      <c r="A4836" s="58">
        <v>45809.0</v>
      </c>
      <c r="B4836" s="24" t="s">
        <v>6790</v>
      </c>
      <c r="C4836" s="24" t="s">
        <v>6844</v>
      </c>
      <c r="D4836" s="59">
        <v>1.0</v>
      </c>
      <c r="E4836" s="59">
        <v>1.0</v>
      </c>
      <c r="F4836" s="59">
        <v>1.0</v>
      </c>
      <c r="G4836" s="60">
        <v>1.0</v>
      </c>
      <c r="H4836" s="60">
        <v>1.0</v>
      </c>
      <c r="I4836" s="60">
        <v>0.0</v>
      </c>
      <c r="J4836" s="59">
        <v>1.0</v>
      </c>
      <c r="K4836" s="61">
        <f t="shared" si="1"/>
        <v>1</v>
      </c>
      <c r="L4836" s="62">
        <f t="shared" si="2"/>
        <v>1</v>
      </c>
    </row>
    <row r="4837">
      <c r="A4837" s="58">
        <v>45809.0</v>
      </c>
      <c r="B4837" s="24" t="s">
        <v>6790</v>
      </c>
      <c r="C4837" s="24" t="s">
        <v>6903</v>
      </c>
      <c r="D4837" s="59">
        <v>1.0</v>
      </c>
      <c r="E4837" s="59">
        <v>1.0</v>
      </c>
      <c r="F4837" s="59">
        <v>1.0</v>
      </c>
      <c r="G4837" s="60">
        <v>1.0</v>
      </c>
      <c r="H4837" s="60">
        <v>0.0</v>
      </c>
      <c r="I4837" s="60">
        <v>16.262955</v>
      </c>
      <c r="J4837" s="59">
        <v>1.0</v>
      </c>
      <c r="K4837" s="61">
        <f t="shared" si="1"/>
        <v>1</v>
      </c>
      <c r="L4837" s="62">
        <f t="shared" si="2"/>
        <v>1</v>
      </c>
    </row>
    <row r="4838">
      <c r="A4838" s="58">
        <v>45809.0</v>
      </c>
      <c r="B4838" s="24" t="s">
        <v>3216</v>
      </c>
      <c r="C4838" s="24" t="s">
        <v>6796</v>
      </c>
      <c r="D4838" s="59">
        <v>1.0</v>
      </c>
      <c r="E4838" s="59">
        <v>1.0</v>
      </c>
      <c r="F4838" s="59">
        <v>0.0</v>
      </c>
      <c r="G4838" s="60">
        <v>1.0</v>
      </c>
      <c r="H4838" s="60">
        <v>0.0</v>
      </c>
      <c r="I4838" s="60">
        <v>184.839882</v>
      </c>
      <c r="J4838" s="59">
        <v>4.0</v>
      </c>
      <c r="K4838" s="61">
        <f t="shared" si="1"/>
        <v>0</v>
      </c>
      <c r="L4838" s="62">
        <f t="shared" si="2"/>
        <v>4</v>
      </c>
    </row>
    <row r="4839">
      <c r="A4839" s="58">
        <v>45809.0</v>
      </c>
      <c r="B4839" s="24" t="s">
        <v>6790</v>
      </c>
      <c r="C4839" s="24" t="s">
        <v>6796</v>
      </c>
      <c r="D4839" s="59">
        <v>1.0</v>
      </c>
      <c r="E4839" s="59">
        <v>2.0</v>
      </c>
      <c r="F4839" s="59">
        <v>1.0</v>
      </c>
      <c r="G4839" s="60">
        <v>2.0</v>
      </c>
      <c r="H4839" s="60">
        <v>1.0</v>
      </c>
      <c r="I4839" s="60">
        <v>0.0</v>
      </c>
      <c r="J4839" s="59">
        <v>2.0</v>
      </c>
      <c r="K4839" s="61">
        <f t="shared" si="1"/>
        <v>0.5</v>
      </c>
      <c r="L4839" s="62">
        <f t="shared" si="2"/>
        <v>1</v>
      </c>
    </row>
    <row r="4840">
      <c r="A4840" s="58">
        <v>45809.0</v>
      </c>
      <c r="B4840" s="24" t="s">
        <v>6789</v>
      </c>
      <c r="C4840" s="24" t="s">
        <v>7234</v>
      </c>
      <c r="D4840" s="59">
        <v>1.0</v>
      </c>
      <c r="E4840" s="59">
        <v>1.0</v>
      </c>
      <c r="F4840" s="59">
        <v>0.0</v>
      </c>
      <c r="G4840" s="60">
        <v>1.0</v>
      </c>
      <c r="H4840" s="60">
        <v>0.0</v>
      </c>
      <c r="I4840" s="60">
        <v>1990.830376</v>
      </c>
      <c r="J4840" s="59">
        <v>2.0</v>
      </c>
      <c r="K4840" s="61">
        <f t="shared" si="1"/>
        <v>0</v>
      </c>
      <c r="L4840" s="62">
        <f t="shared" si="2"/>
        <v>2</v>
      </c>
    </row>
    <row r="4841">
      <c r="A4841" s="58">
        <v>45809.0</v>
      </c>
      <c r="B4841" s="24" t="s">
        <v>155</v>
      </c>
      <c r="C4841" s="24" t="s">
        <v>7234</v>
      </c>
      <c r="D4841" s="59">
        <v>1.0</v>
      </c>
      <c r="E4841" s="59">
        <v>1.0</v>
      </c>
      <c r="F4841" s="59">
        <v>0.0</v>
      </c>
      <c r="G4841" s="60">
        <v>1.0</v>
      </c>
      <c r="H4841" s="60">
        <v>0.0</v>
      </c>
      <c r="I4841" s="60">
        <v>1573.532625</v>
      </c>
      <c r="J4841" s="59">
        <v>1.0</v>
      </c>
      <c r="K4841" s="61">
        <f t="shared" si="1"/>
        <v>0</v>
      </c>
      <c r="L4841" s="62">
        <f t="shared" si="2"/>
        <v>1</v>
      </c>
    </row>
    <row r="4842">
      <c r="A4842" s="58">
        <v>45809.0</v>
      </c>
      <c r="B4842" s="24" t="s">
        <v>6787</v>
      </c>
      <c r="C4842" s="24" t="s">
        <v>7232</v>
      </c>
      <c r="D4842" s="59">
        <v>1.0</v>
      </c>
      <c r="E4842" s="59">
        <v>1.0</v>
      </c>
      <c r="F4842" s="59">
        <v>1.0</v>
      </c>
      <c r="G4842" s="60">
        <v>1.0</v>
      </c>
      <c r="H4842" s="60">
        <v>0.0</v>
      </c>
      <c r="I4842" s="60">
        <v>31.980979</v>
      </c>
      <c r="J4842" s="59">
        <v>1.0</v>
      </c>
      <c r="K4842" s="61">
        <f t="shared" si="1"/>
        <v>1</v>
      </c>
      <c r="L4842" s="62">
        <f t="shared" si="2"/>
        <v>1</v>
      </c>
    </row>
    <row r="4843">
      <c r="A4843" s="58">
        <v>45809.0</v>
      </c>
      <c r="B4843" s="24" t="s">
        <v>6787</v>
      </c>
      <c r="C4843" s="24" t="s">
        <v>6907</v>
      </c>
      <c r="D4843" s="59">
        <v>1.0</v>
      </c>
      <c r="E4843" s="59">
        <v>1.0</v>
      </c>
      <c r="F4843" s="59">
        <v>1.0</v>
      </c>
      <c r="G4843" s="60">
        <v>1.0</v>
      </c>
      <c r="H4843" s="60">
        <v>1.0</v>
      </c>
      <c r="I4843" s="60">
        <v>0.0</v>
      </c>
      <c r="J4843" s="59">
        <v>1.0</v>
      </c>
      <c r="K4843" s="61">
        <f t="shared" si="1"/>
        <v>1</v>
      </c>
      <c r="L4843" s="62">
        <f t="shared" si="2"/>
        <v>1</v>
      </c>
    </row>
    <row r="4844">
      <c r="A4844" s="58">
        <v>45809.0</v>
      </c>
      <c r="B4844" s="24" t="s">
        <v>6789</v>
      </c>
      <c r="C4844" s="24" t="s">
        <v>6907</v>
      </c>
      <c r="D4844" s="59">
        <v>1.0</v>
      </c>
      <c r="E4844" s="59">
        <v>1.0</v>
      </c>
      <c r="F4844" s="59">
        <v>0.0</v>
      </c>
      <c r="G4844" s="60">
        <v>0.0</v>
      </c>
      <c r="H4844" s="60">
        <v>1.0</v>
      </c>
      <c r="I4844" s="60">
        <v>0.0</v>
      </c>
      <c r="J4844" s="59">
        <v>1.0</v>
      </c>
      <c r="K4844" s="61">
        <f t="shared" si="1"/>
        <v>0</v>
      </c>
      <c r="L4844" s="62">
        <f t="shared" si="2"/>
        <v>1</v>
      </c>
    </row>
    <row r="4845">
      <c r="A4845" s="58">
        <v>45809.0</v>
      </c>
      <c r="B4845" s="24" t="s">
        <v>6787</v>
      </c>
      <c r="C4845" s="24" t="s">
        <v>7087</v>
      </c>
      <c r="D4845" s="59">
        <v>1.0</v>
      </c>
      <c r="E4845" s="59">
        <v>1.0</v>
      </c>
      <c r="F4845" s="59">
        <v>1.0</v>
      </c>
      <c r="G4845" s="60">
        <v>1.0</v>
      </c>
      <c r="H4845" s="60">
        <v>1.0</v>
      </c>
      <c r="I4845" s="60">
        <v>9.820147</v>
      </c>
      <c r="J4845" s="59">
        <v>1.0</v>
      </c>
      <c r="K4845" s="61">
        <f t="shared" si="1"/>
        <v>1</v>
      </c>
      <c r="L4845" s="62">
        <f t="shared" si="2"/>
        <v>1</v>
      </c>
    </row>
    <row r="4846">
      <c r="A4846" s="58">
        <v>45809.0</v>
      </c>
      <c r="B4846" s="24" t="s">
        <v>6789</v>
      </c>
      <c r="C4846" s="24" t="s">
        <v>7087</v>
      </c>
      <c r="D4846" s="59">
        <v>1.0</v>
      </c>
      <c r="E4846" s="59">
        <v>1.0</v>
      </c>
      <c r="F4846" s="59">
        <v>0.0</v>
      </c>
      <c r="G4846" s="60">
        <v>1.0</v>
      </c>
      <c r="H4846" s="60">
        <v>0.0</v>
      </c>
      <c r="I4846" s="60">
        <v>256.414958</v>
      </c>
      <c r="J4846" s="59">
        <v>5.0</v>
      </c>
      <c r="K4846" s="61">
        <f t="shared" si="1"/>
        <v>0</v>
      </c>
      <c r="L4846" s="62">
        <f t="shared" si="2"/>
        <v>5</v>
      </c>
    </row>
    <row r="4847">
      <c r="A4847" s="58">
        <v>45809.0</v>
      </c>
      <c r="B4847" s="24" t="s">
        <v>6789</v>
      </c>
      <c r="C4847" s="24" t="s">
        <v>7026</v>
      </c>
      <c r="D4847" s="59">
        <v>1.0</v>
      </c>
      <c r="E4847" s="59">
        <v>1.0</v>
      </c>
      <c r="F4847" s="59">
        <v>1.0</v>
      </c>
      <c r="G4847" s="60">
        <v>1.0</v>
      </c>
      <c r="H4847" s="60">
        <v>1.0</v>
      </c>
      <c r="I4847" s="60">
        <v>3.623168</v>
      </c>
      <c r="J4847" s="59">
        <v>1.0</v>
      </c>
      <c r="K4847" s="61">
        <f t="shared" si="1"/>
        <v>1</v>
      </c>
      <c r="L4847" s="62">
        <f t="shared" si="2"/>
        <v>1</v>
      </c>
    </row>
    <row r="4848">
      <c r="A4848" s="58">
        <v>45809.0</v>
      </c>
      <c r="B4848" s="24" t="s">
        <v>6787</v>
      </c>
      <c r="C4848" s="24" t="s">
        <v>7043</v>
      </c>
      <c r="D4848" s="59">
        <v>1.0</v>
      </c>
      <c r="E4848" s="59">
        <v>1.0</v>
      </c>
      <c r="F4848" s="59">
        <v>1.0</v>
      </c>
      <c r="G4848" s="60">
        <v>1.0</v>
      </c>
      <c r="H4848" s="60">
        <v>1.0</v>
      </c>
      <c r="I4848" s="60">
        <v>0.0</v>
      </c>
      <c r="J4848" s="59">
        <v>1.0</v>
      </c>
      <c r="K4848" s="61">
        <f t="shared" si="1"/>
        <v>1</v>
      </c>
      <c r="L4848" s="62">
        <f t="shared" si="2"/>
        <v>1</v>
      </c>
    </row>
    <row r="4849">
      <c r="A4849" s="58">
        <v>45809.0</v>
      </c>
      <c r="B4849" s="24" t="s">
        <v>6787</v>
      </c>
      <c r="C4849" s="24" t="s">
        <v>7089</v>
      </c>
      <c r="D4849" s="59">
        <v>1.0</v>
      </c>
      <c r="E4849" s="59">
        <v>1.0</v>
      </c>
      <c r="F4849" s="59">
        <v>1.0</v>
      </c>
      <c r="G4849" s="60">
        <v>1.0</v>
      </c>
      <c r="H4849" s="60">
        <v>1.0</v>
      </c>
      <c r="I4849" s="60">
        <v>0.0</v>
      </c>
      <c r="J4849" s="59">
        <v>1.0</v>
      </c>
      <c r="K4849" s="61">
        <f t="shared" si="1"/>
        <v>1</v>
      </c>
      <c r="L4849" s="62">
        <f t="shared" si="2"/>
        <v>1</v>
      </c>
    </row>
    <row r="4850">
      <c r="A4850" s="58">
        <v>45809.0</v>
      </c>
      <c r="B4850" s="24" t="s">
        <v>6789</v>
      </c>
      <c r="C4850" s="24" t="s">
        <v>7090</v>
      </c>
      <c r="D4850" s="59">
        <v>1.0</v>
      </c>
      <c r="E4850" s="59">
        <v>1.0</v>
      </c>
      <c r="F4850" s="59">
        <v>1.0</v>
      </c>
      <c r="G4850" s="60">
        <v>1.0</v>
      </c>
      <c r="H4850" s="60">
        <v>1.0</v>
      </c>
      <c r="I4850" s="60">
        <v>0.0</v>
      </c>
      <c r="J4850" s="59">
        <v>1.0</v>
      </c>
      <c r="K4850" s="61">
        <f t="shared" si="1"/>
        <v>1</v>
      </c>
      <c r="L4850" s="62">
        <f t="shared" si="2"/>
        <v>1</v>
      </c>
    </row>
    <row r="4851">
      <c r="A4851" s="58">
        <v>45809.0</v>
      </c>
      <c r="B4851" s="24" t="s">
        <v>6787</v>
      </c>
      <c r="C4851" s="24" t="s">
        <v>7160</v>
      </c>
      <c r="D4851" s="59">
        <v>1.0</v>
      </c>
      <c r="E4851" s="59">
        <v>1.0</v>
      </c>
      <c r="F4851" s="59">
        <v>1.0</v>
      </c>
      <c r="G4851" s="60">
        <v>1.0</v>
      </c>
      <c r="H4851" s="60">
        <v>0.0</v>
      </c>
      <c r="I4851" s="60">
        <v>390.606396</v>
      </c>
      <c r="J4851" s="59">
        <v>2.0</v>
      </c>
      <c r="K4851" s="61">
        <f t="shared" si="1"/>
        <v>1</v>
      </c>
      <c r="L4851" s="62">
        <f t="shared" si="2"/>
        <v>2</v>
      </c>
    </row>
    <row r="4852">
      <c r="A4852" s="58">
        <v>45809.0</v>
      </c>
      <c r="B4852" s="24" t="s">
        <v>6787</v>
      </c>
      <c r="C4852" s="24" t="s">
        <v>7190</v>
      </c>
      <c r="D4852" s="59">
        <v>1.0</v>
      </c>
      <c r="E4852" s="59">
        <v>1.0</v>
      </c>
      <c r="F4852" s="59">
        <v>1.0</v>
      </c>
      <c r="G4852" s="60">
        <v>1.0</v>
      </c>
      <c r="H4852" s="60">
        <v>0.0</v>
      </c>
      <c r="I4852" s="60">
        <v>30.51165</v>
      </c>
      <c r="J4852" s="59">
        <v>1.0</v>
      </c>
      <c r="K4852" s="61">
        <f t="shared" si="1"/>
        <v>1</v>
      </c>
      <c r="L4852" s="62">
        <f t="shared" si="2"/>
        <v>1</v>
      </c>
    </row>
    <row r="4853">
      <c r="A4853" s="58">
        <v>45809.0</v>
      </c>
      <c r="B4853" s="24" t="s">
        <v>155</v>
      </c>
      <c r="C4853" s="24" t="s">
        <v>7022</v>
      </c>
      <c r="D4853" s="59">
        <v>1.0</v>
      </c>
      <c r="E4853" s="59">
        <v>1.0</v>
      </c>
      <c r="F4853" s="59">
        <v>1.0</v>
      </c>
      <c r="G4853" s="60">
        <v>1.0</v>
      </c>
      <c r="H4853" s="60">
        <v>0.0</v>
      </c>
      <c r="I4853" s="60">
        <v>332.497899</v>
      </c>
      <c r="J4853" s="59">
        <v>7.0</v>
      </c>
      <c r="K4853" s="61">
        <f t="shared" si="1"/>
        <v>1</v>
      </c>
      <c r="L4853" s="62">
        <f t="shared" si="2"/>
        <v>7</v>
      </c>
    </row>
    <row r="4854">
      <c r="A4854" s="58">
        <v>45809.0</v>
      </c>
      <c r="B4854" s="24" t="s">
        <v>6789</v>
      </c>
      <c r="C4854" s="24" t="s">
        <v>7161</v>
      </c>
      <c r="D4854" s="59">
        <v>1.0</v>
      </c>
      <c r="E4854" s="59">
        <v>2.0</v>
      </c>
      <c r="F4854" s="59">
        <v>0.0</v>
      </c>
      <c r="G4854" s="60">
        <v>2.0</v>
      </c>
      <c r="H4854" s="60">
        <v>0.5</v>
      </c>
      <c r="I4854" s="60">
        <v>13.5210005</v>
      </c>
      <c r="J4854" s="59">
        <v>2.0</v>
      </c>
      <c r="K4854" s="61">
        <f t="shared" si="1"/>
        <v>0</v>
      </c>
      <c r="L4854" s="62">
        <f t="shared" si="2"/>
        <v>1</v>
      </c>
    </row>
    <row r="4855">
      <c r="A4855" s="58">
        <v>45809.0</v>
      </c>
      <c r="B4855" s="24" t="s">
        <v>6787</v>
      </c>
      <c r="C4855" s="24" t="s">
        <v>7092</v>
      </c>
      <c r="D4855" s="59">
        <v>1.0</v>
      </c>
      <c r="E4855" s="59">
        <v>1.0</v>
      </c>
      <c r="F4855" s="59">
        <v>1.0</v>
      </c>
      <c r="G4855" s="60">
        <v>1.0</v>
      </c>
      <c r="H4855" s="60">
        <v>1.0</v>
      </c>
      <c r="I4855" s="60">
        <v>0.0</v>
      </c>
      <c r="J4855" s="59">
        <v>1.0</v>
      </c>
      <c r="K4855" s="61">
        <f t="shared" si="1"/>
        <v>1</v>
      </c>
      <c r="L4855" s="62">
        <f t="shared" si="2"/>
        <v>1</v>
      </c>
    </row>
    <row r="4856">
      <c r="A4856" s="58">
        <v>45809.0</v>
      </c>
      <c r="B4856" s="24" t="s">
        <v>6787</v>
      </c>
      <c r="C4856" s="24" t="s">
        <v>7094</v>
      </c>
      <c r="D4856" s="59">
        <v>1.0</v>
      </c>
      <c r="E4856" s="59">
        <v>1.0</v>
      </c>
      <c r="F4856" s="59">
        <v>1.0</v>
      </c>
      <c r="G4856" s="60">
        <v>1.0</v>
      </c>
      <c r="H4856" s="60">
        <v>1.0</v>
      </c>
      <c r="I4856" s="60">
        <v>0.0</v>
      </c>
      <c r="J4856" s="59">
        <v>1.0</v>
      </c>
      <c r="K4856" s="61">
        <f t="shared" si="1"/>
        <v>1</v>
      </c>
      <c r="L4856" s="62">
        <f t="shared" si="2"/>
        <v>1</v>
      </c>
    </row>
    <row r="4857">
      <c r="A4857" s="58">
        <v>45809.0</v>
      </c>
      <c r="B4857" s="24" t="s">
        <v>6787</v>
      </c>
      <c r="C4857" s="24" t="s">
        <v>7166</v>
      </c>
      <c r="D4857" s="59">
        <v>1.0</v>
      </c>
      <c r="E4857" s="59">
        <v>1.0</v>
      </c>
      <c r="F4857" s="59">
        <v>1.0</v>
      </c>
      <c r="G4857" s="60">
        <v>1.0</v>
      </c>
      <c r="H4857" s="60">
        <v>1.0</v>
      </c>
      <c r="I4857" s="60">
        <v>0.0</v>
      </c>
      <c r="J4857" s="59">
        <v>1.0</v>
      </c>
      <c r="K4857" s="61">
        <f t="shared" si="1"/>
        <v>1</v>
      </c>
      <c r="L4857" s="62">
        <f t="shared" si="2"/>
        <v>1</v>
      </c>
    </row>
    <row r="4858">
      <c r="A4858" s="58">
        <v>45809.0</v>
      </c>
      <c r="B4858" s="24" t="s">
        <v>6789</v>
      </c>
      <c r="C4858" s="24" t="s">
        <v>7096</v>
      </c>
      <c r="D4858" s="59">
        <v>1.0</v>
      </c>
      <c r="E4858" s="59">
        <v>1.0</v>
      </c>
      <c r="F4858" s="59">
        <v>1.0</v>
      </c>
      <c r="G4858" s="60">
        <v>1.0</v>
      </c>
      <c r="H4858" s="60">
        <v>0.0</v>
      </c>
      <c r="I4858" s="60">
        <v>80.5099</v>
      </c>
      <c r="J4858" s="59">
        <v>1.0</v>
      </c>
      <c r="K4858" s="61">
        <f t="shared" si="1"/>
        <v>1</v>
      </c>
      <c r="L4858" s="62">
        <f t="shared" si="2"/>
        <v>1</v>
      </c>
    </row>
    <row r="4859">
      <c r="A4859" s="58">
        <v>45809.0</v>
      </c>
      <c r="B4859" s="24" t="s">
        <v>6789</v>
      </c>
      <c r="C4859" s="24" t="s">
        <v>7186</v>
      </c>
      <c r="D4859" s="59">
        <v>1.0</v>
      </c>
      <c r="E4859" s="59">
        <v>1.0</v>
      </c>
      <c r="F4859" s="59">
        <v>0.0</v>
      </c>
      <c r="G4859" s="60">
        <v>1.0</v>
      </c>
      <c r="H4859" s="60">
        <v>0.0</v>
      </c>
      <c r="I4859" s="60">
        <v>2164.295651</v>
      </c>
      <c r="J4859" s="59">
        <v>9.0</v>
      </c>
      <c r="K4859" s="61">
        <f t="shared" si="1"/>
        <v>0</v>
      </c>
      <c r="L4859" s="62">
        <f t="shared" si="2"/>
        <v>9</v>
      </c>
    </row>
    <row r="4860">
      <c r="A4860" s="58">
        <v>45809.0</v>
      </c>
      <c r="B4860" s="24" t="s">
        <v>6789</v>
      </c>
      <c r="C4860" s="24" t="s">
        <v>7138</v>
      </c>
      <c r="D4860" s="59">
        <v>1.0</v>
      </c>
      <c r="E4860" s="59">
        <v>1.0</v>
      </c>
      <c r="F4860" s="59">
        <v>1.0</v>
      </c>
      <c r="G4860" s="60">
        <v>1.0</v>
      </c>
      <c r="H4860" s="60">
        <v>1.0</v>
      </c>
      <c r="I4860" s="60">
        <v>0.0</v>
      </c>
      <c r="J4860" s="59">
        <v>1.0</v>
      </c>
      <c r="K4860" s="61">
        <f t="shared" si="1"/>
        <v>1</v>
      </c>
      <c r="L4860" s="62">
        <f t="shared" si="2"/>
        <v>1</v>
      </c>
    </row>
    <row r="4861">
      <c r="A4861" s="58">
        <v>45809.0</v>
      </c>
      <c r="B4861" s="24" t="s">
        <v>6789</v>
      </c>
      <c r="C4861" s="24" t="s">
        <v>7405</v>
      </c>
      <c r="D4861" s="59">
        <v>1.0</v>
      </c>
      <c r="E4861" s="59">
        <v>2.0</v>
      </c>
      <c r="F4861" s="59">
        <v>0.0</v>
      </c>
      <c r="G4861" s="60">
        <v>2.0</v>
      </c>
      <c r="H4861" s="60">
        <v>0.0</v>
      </c>
      <c r="I4861" s="60">
        <v>1550.393555</v>
      </c>
      <c r="J4861" s="59">
        <v>3.0</v>
      </c>
      <c r="K4861" s="61">
        <f t="shared" si="1"/>
        <v>0</v>
      </c>
      <c r="L4861" s="62">
        <f t="shared" si="2"/>
        <v>1.5</v>
      </c>
    </row>
    <row r="4862">
      <c r="A4862" s="58">
        <v>45809.0</v>
      </c>
      <c r="B4862" s="24" t="s">
        <v>6794</v>
      </c>
      <c r="C4862" s="24" t="s">
        <v>6809</v>
      </c>
      <c r="D4862" s="59">
        <v>1.0</v>
      </c>
      <c r="E4862" s="59">
        <v>1.0</v>
      </c>
      <c r="F4862" s="59">
        <v>0.0</v>
      </c>
      <c r="G4862" s="60">
        <v>1.0</v>
      </c>
      <c r="H4862" s="60">
        <v>0.0</v>
      </c>
      <c r="I4862" s="60">
        <v>11.083234</v>
      </c>
      <c r="J4862" s="59">
        <v>2.0</v>
      </c>
      <c r="K4862" s="61">
        <f t="shared" si="1"/>
        <v>0</v>
      </c>
      <c r="L4862" s="62">
        <f t="shared" si="2"/>
        <v>2</v>
      </c>
    </row>
    <row r="4863">
      <c r="A4863" s="58">
        <v>45809.0</v>
      </c>
      <c r="B4863" s="24" t="s">
        <v>6787</v>
      </c>
      <c r="C4863" s="24" t="s">
        <v>7425</v>
      </c>
      <c r="D4863" s="59">
        <v>1.0</v>
      </c>
      <c r="E4863" s="59">
        <v>1.0</v>
      </c>
      <c r="F4863" s="59">
        <v>1.0</v>
      </c>
      <c r="G4863" s="60">
        <v>1.0</v>
      </c>
      <c r="H4863" s="60">
        <v>1.0</v>
      </c>
      <c r="I4863" s="60">
        <v>0.0</v>
      </c>
      <c r="J4863" s="59">
        <v>1.0</v>
      </c>
      <c r="K4863" s="61">
        <f t="shared" si="1"/>
        <v>1</v>
      </c>
      <c r="L4863" s="62">
        <f t="shared" si="2"/>
        <v>1</v>
      </c>
    </row>
    <row r="4864">
      <c r="A4864" s="58">
        <v>45809.0</v>
      </c>
      <c r="B4864" s="24" t="s">
        <v>6787</v>
      </c>
      <c r="C4864" s="24" t="s">
        <v>7101</v>
      </c>
      <c r="D4864" s="59">
        <v>1.0</v>
      </c>
      <c r="E4864" s="59">
        <v>1.0</v>
      </c>
      <c r="F4864" s="59">
        <v>1.0</v>
      </c>
      <c r="G4864" s="60">
        <v>1.0</v>
      </c>
      <c r="H4864" s="60">
        <v>1.0</v>
      </c>
      <c r="I4864" s="60">
        <v>0.0</v>
      </c>
      <c r="J4864" s="59">
        <v>1.0</v>
      </c>
      <c r="K4864" s="61">
        <f t="shared" si="1"/>
        <v>1</v>
      </c>
      <c r="L4864" s="62">
        <f t="shared" si="2"/>
        <v>1</v>
      </c>
    </row>
    <row r="4865">
      <c r="A4865" s="58">
        <v>45809.0</v>
      </c>
      <c r="B4865" s="24" t="s">
        <v>6789</v>
      </c>
      <c r="C4865" s="24" t="s">
        <v>6849</v>
      </c>
      <c r="D4865" s="59">
        <v>1.0</v>
      </c>
      <c r="E4865" s="59">
        <v>1.0</v>
      </c>
      <c r="F4865" s="59">
        <v>1.0</v>
      </c>
      <c r="G4865" s="60">
        <v>1.0</v>
      </c>
      <c r="H4865" s="60">
        <v>1.0</v>
      </c>
      <c r="I4865" s="60">
        <v>0.0</v>
      </c>
      <c r="J4865" s="59">
        <v>1.0</v>
      </c>
      <c r="K4865" s="61">
        <f t="shared" si="1"/>
        <v>1</v>
      </c>
      <c r="L4865" s="62">
        <f t="shared" si="2"/>
        <v>1</v>
      </c>
    </row>
    <row r="4866">
      <c r="A4866" s="58">
        <v>45809.0</v>
      </c>
      <c r="B4866" s="24" t="s">
        <v>6787</v>
      </c>
      <c r="C4866" s="24" t="s">
        <v>7044</v>
      </c>
      <c r="D4866" s="59">
        <v>1.0</v>
      </c>
      <c r="E4866" s="59">
        <v>1.0</v>
      </c>
      <c r="F4866" s="59">
        <v>1.0</v>
      </c>
      <c r="G4866" s="60">
        <v>1.0</v>
      </c>
      <c r="H4866" s="60">
        <v>0.0</v>
      </c>
      <c r="I4866" s="60">
        <v>14.897342</v>
      </c>
      <c r="J4866" s="59">
        <v>1.0</v>
      </c>
      <c r="K4866" s="61">
        <f t="shared" si="1"/>
        <v>1</v>
      </c>
      <c r="L4866" s="62">
        <f t="shared" si="2"/>
        <v>1</v>
      </c>
    </row>
    <row r="4867">
      <c r="A4867" s="58">
        <v>45809.0</v>
      </c>
      <c r="B4867" s="24" t="s">
        <v>6787</v>
      </c>
      <c r="C4867" s="24" t="s">
        <v>6908</v>
      </c>
      <c r="D4867" s="59">
        <v>1.0</v>
      </c>
      <c r="E4867" s="59">
        <v>1.0</v>
      </c>
      <c r="F4867" s="59">
        <v>1.0</v>
      </c>
      <c r="G4867" s="60">
        <v>1.0</v>
      </c>
      <c r="H4867" s="60">
        <v>1.0</v>
      </c>
      <c r="I4867" s="60">
        <v>7.530698</v>
      </c>
      <c r="J4867" s="59">
        <v>1.0</v>
      </c>
      <c r="K4867" s="61">
        <f t="shared" si="1"/>
        <v>1</v>
      </c>
      <c r="L4867" s="62">
        <f t="shared" si="2"/>
        <v>1</v>
      </c>
    </row>
    <row r="4868">
      <c r="A4868" s="58">
        <v>45809.0</v>
      </c>
      <c r="B4868" s="24" t="s">
        <v>155</v>
      </c>
      <c r="C4868" s="24" t="s">
        <v>6801</v>
      </c>
      <c r="D4868" s="59">
        <v>1.0</v>
      </c>
      <c r="E4868" s="59">
        <v>1.0</v>
      </c>
      <c r="F4868" s="59">
        <v>0.0</v>
      </c>
      <c r="G4868" s="60">
        <v>1.0</v>
      </c>
      <c r="H4868" s="60">
        <v>0.0</v>
      </c>
      <c r="I4868" s="60">
        <v>557.031253</v>
      </c>
      <c r="J4868" s="59">
        <v>2.0</v>
      </c>
      <c r="K4868" s="61">
        <f t="shared" si="1"/>
        <v>0</v>
      </c>
      <c r="L4868" s="62">
        <f t="shared" si="2"/>
        <v>2</v>
      </c>
    </row>
    <row r="4869">
      <c r="A4869" s="58">
        <v>45809.0</v>
      </c>
      <c r="B4869" s="24" t="s">
        <v>6789</v>
      </c>
      <c r="C4869" s="24" t="s">
        <v>7102</v>
      </c>
      <c r="D4869" s="59">
        <v>1.0</v>
      </c>
      <c r="E4869" s="59">
        <v>1.0</v>
      </c>
      <c r="F4869" s="59">
        <v>0.0</v>
      </c>
      <c r="G4869" s="60">
        <v>1.0</v>
      </c>
      <c r="H4869" s="60">
        <v>1.0</v>
      </c>
      <c r="I4869" s="60">
        <v>3.009214</v>
      </c>
      <c r="J4869" s="59">
        <v>1.0</v>
      </c>
      <c r="K4869" s="61">
        <f t="shared" si="1"/>
        <v>0</v>
      </c>
      <c r="L4869" s="62">
        <f t="shared" si="2"/>
        <v>1</v>
      </c>
    </row>
    <row r="4870">
      <c r="A4870" s="58">
        <v>45809.0</v>
      </c>
      <c r="B4870" s="24" t="s">
        <v>6787</v>
      </c>
      <c r="C4870" s="24" t="s">
        <v>7104</v>
      </c>
      <c r="D4870" s="59">
        <v>1.0</v>
      </c>
      <c r="E4870" s="59">
        <v>1.0</v>
      </c>
      <c r="F4870" s="59">
        <v>1.0</v>
      </c>
      <c r="G4870" s="60">
        <v>1.0</v>
      </c>
      <c r="H4870" s="60">
        <v>0.0</v>
      </c>
      <c r="I4870" s="60">
        <v>13.20887</v>
      </c>
      <c r="J4870" s="59">
        <v>1.0</v>
      </c>
      <c r="K4870" s="61">
        <f t="shared" si="1"/>
        <v>1</v>
      </c>
      <c r="L4870" s="62">
        <f t="shared" si="2"/>
        <v>1</v>
      </c>
    </row>
    <row r="4871">
      <c r="A4871" s="58">
        <v>45809.0</v>
      </c>
      <c r="B4871" s="24" t="s">
        <v>6789</v>
      </c>
      <c r="C4871" s="24" t="s">
        <v>7410</v>
      </c>
      <c r="D4871" s="59">
        <v>1.0</v>
      </c>
      <c r="E4871" s="59">
        <v>1.0</v>
      </c>
      <c r="F4871" s="59">
        <v>0.0</v>
      </c>
      <c r="G4871" s="60">
        <v>1.0</v>
      </c>
      <c r="H4871" s="60">
        <v>0.0</v>
      </c>
      <c r="I4871" s="60">
        <v>1799.878901</v>
      </c>
      <c r="J4871" s="59">
        <v>7.0</v>
      </c>
      <c r="K4871" s="61">
        <f t="shared" si="1"/>
        <v>0</v>
      </c>
      <c r="L4871" s="62">
        <f t="shared" si="2"/>
        <v>7</v>
      </c>
    </row>
    <row r="4872">
      <c r="A4872" s="58">
        <v>45809.0</v>
      </c>
      <c r="B4872" s="24" t="s">
        <v>6789</v>
      </c>
      <c r="C4872" s="24" t="s">
        <v>7023</v>
      </c>
      <c r="D4872" s="59">
        <v>1.0</v>
      </c>
      <c r="E4872" s="59">
        <v>1.0</v>
      </c>
      <c r="F4872" s="59">
        <v>0.0</v>
      </c>
      <c r="G4872" s="60">
        <v>1.0</v>
      </c>
      <c r="H4872" s="60">
        <v>1.0</v>
      </c>
      <c r="I4872" s="60">
        <v>2.954483</v>
      </c>
      <c r="J4872" s="59">
        <v>1.0</v>
      </c>
      <c r="K4872" s="61">
        <f t="shared" si="1"/>
        <v>0</v>
      </c>
      <c r="L4872" s="62">
        <f t="shared" si="2"/>
        <v>1</v>
      </c>
    </row>
    <row r="4873">
      <c r="A4873" s="58">
        <v>45809.0</v>
      </c>
      <c r="B4873" s="24" t="s">
        <v>6790</v>
      </c>
      <c r="C4873" s="24" t="s">
        <v>6912</v>
      </c>
      <c r="D4873" s="59">
        <v>1.0</v>
      </c>
      <c r="E4873" s="59">
        <v>2.0</v>
      </c>
      <c r="F4873" s="59">
        <v>0.0</v>
      </c>
      <c r="G4873" s="60">
        <v>2.0</v>
      </c>
      <c r="H4873" s="60">
        <v>1.0</v>
      </c>
      <c r="I4873" s="60">
        <v>2.821237</v>
      </c>
      <c r="J4873" s="59">
        <v>2.0</v>
      </c>
      <c r="K4873" s="61">
        <f t="shared" si="1"/>
        <v>0</v>
      </c>
      <c r="L4873" s="62">
        <f t="shared" si="2"/>
        <v>1</v>
      </c>
    </row>
    <row r="4874">
      <c r="A4874" s="58">
        <v>45809.0</v>
      </c>
      <c r="B4874" s="24" t="s">
        <v>6787</v>
      </c>
      <c r="C4874" s="24" t="s">
        <v>7174</v>
      </c>
      <c r="D4874" s="59">
        <v>1.0</v>
      </c>
      <c r="E4874" s="59">
        <v>1.0</v>
      </c>
      <c r="F4874" s="59">
        <v>1.0</v>
      </c>
      <c r="G4874" s="60">
        <v>1.0</v>
      </c>
      <c r="H4874" s="60">
        <v>1.0</v>
      </c>
      <c r="I4874" s="60">
        <v>9.975216</v>
      </c>
      <c r="J4874" s="59">
        <v>1.0</v>
      </c>
      <c r="K4874" s="61">
        <f t="shared" si="1"/>
        <v>1</v>
      </c>
      <c r="L4874" s="62">
        <f t="shared" si="2"/>
        <v>1</v>
      </c>
    </row>
    <row r="4875">
      <c r="A4875" s="58">
        <v>45809.0</v>
      </c>
      <c r="B4875" s="24" t="s">
        <v>155</v>
      </c>
      <c r="C4875" s="24" t="s">
        <v>7105</v>
      </c>
      <c r="D4875" s="59">
        <v>1.0</v>
      </c>
      <c r="E4875" s="59">
        <v>2.0</v>
      </c>
      <c r="F4875" s="59">
        <v>1.0</v>
      </c>
      <c r="G4875" s="60">
        <v>2.0</v>
      </c>
      <c r="H4875" s="60">
        <v>0.5</v>
      </c>
      <c r="I4875" s="60">
        <v>15.2086949999999</v>
      </c>
      <c r="J4875" s="59">
        <v>3.0</v>
      </c>
      <c r="K4875" s="61">
        <f t="shared" si="1"/>
        <v>0.5</v>
      </c>
      <c r="L4875" s="62">
        <f t="shared" si="2"/>
        <v>1.5</v>
      </c>
    </row>
    <row r="4876">
      <c r="A4876" s="58">
        <v>45809.0</v>
      </c>
      <c r="B4876" s="24" t="s">
        <v>6787</v>
      </c>
      <c r="C4876" s="24" t="s">
        <v>7176</v>
      </c>
      <c r="D4876" s="59">
        <v>1.0</v>
      </c>
      <c r="E4876" s="59">
        <v>1.0</v>
      </c>
      <c r="F4876" s="59">
        <v>1.0</v>
      </c>
      <c r="G4876" s="60">
        <v>1.0</v>
      </c>
      <c r="H4876" s="60">
        <v>1.0</v>
      </c>
      <c r="I4876" s="60">
        <v>0.0</v>
      </c>
      <c r="J4876" s="59">
        <v>1.0</v>
      </c>
      <c r="K4876" s="61">
        <f t="shared" si="1"/>
        <v>1</v>
      </c>
      <c r="L4876" s="62">
        <f t="shared" si="2"/>
        <v>1</v>
      </c>
    </row>
    <row r="4877">
      <c r="A4877" s="58">
        <v>45809.0</v>
      </c>
      <c r="B4877" s="24" t="s">
        <v>6787</v>
      </c>
      <c r="C4877" s="24" t="s">
        <v>7106</v>
      </c>
      <c r="D4877" s="59">
        <v>1.0</v>
      </c>
      <c r="E4877" s="59">
        <v>1.0</v>
      </c>
      <c r="F4877" s="59">
        <v>1.0</v>
      </c>
      <c r="G4877" s="60">
        <v>1.0</v>
      </c>
      <c r="H4877" s="60">
        <v>0.0</v>
      </c>
      <c r="I4877" s="60">
        <v>31.778607</v>
      </c>
      <c r="J4877" s="59">
        <v>1.0</v>
      </c>
      <c r="K4877" s="61">
        <f t="shared" si="1"/>
        <v>1</v>
      </c>
      <c r="L4877" s="62">
        <f t="shared" si="2"/>
        <v>1</v>
      </c>
    </row>
    <row r="4878">
      <c r="A4878" s="58">
        <v>45809.0</v>
      </c>
      <c r="B4878" s="24" t="s">
        <v>3216</v>
      </c>
      <c r="C4878" s="24" t="s">
        <v>7180</v>
      </c>
      <c r="D4878" s="59">
        <v>1.0</v>
      </c>
      <c r="E4878" s="59">
        <v>1.0</v>
      </c>
      <c r="F4878" s="59">
        <v>1.0</v>
      </c>
      <c r="G4878" s="60">
        <v>1.0</v>
      </c>
      <c r="H4878" s="60">
        <v>1.0</v>
      </c>
      <c r="I4878" s="60">
        <v>0.0</v>
      </c>
      <c r="J4878" s="59">
        <v>1.0</v>
      </c>
      <c r="K4878" s="61">
        <f t="shared" si="1"/>
        <v>1</v>
      </c>
      <c r="L4878" s="62">
        <f t="shared" si="2"/>
        <v>1</v>
      </c>
    </row>
    <row r="4879">
      <c r="A4879" s="58">
        <v>45809.0</v>
      </c>
      <c r="B4879" s="24" t="s">
        <v>6789</v>
      </c>
      <c r="C4879" s="24" t="s">
        <v>7180</v>
      </c>
      <c r="D4879" s="59">
        <v>1.0</v>
      </c>
      <c r="E4879" s="59">
        <v>1.0</v>
      </c>
      <c r="F4879" s="59">
        <v>1.0</v>
      </c>
      <c r="G4879" s="60">
        <v>1.0</v>
      </c>
      <c r="H4879" s="60">
        <v>0.0</v>
      </c>
      <c r="I4879" s="60">
        <v>565.429216</v>
      </c>
      <c r="J4879" s="59">
        <v>2.0</v>
      </c>
      <c r="K4879" s="61">
        <f t="shared" si="1"/>
        <v>1</v>
      </c>
      <c r="L4879" s="62">
        <f t="shared" si="2"/>
        <v>2</v>
      </c>
    </row>
    <row r="4880">
      <c r="A4880" s="58">
        <v>45809.0</v>
      </c>
      <c r="B4880" s="24" t="s">
        <v>6794</v>
      </c>
      <c r="C4880" s="24" t="s">
        <v>6815</v>
      </c>
      <c r="D4880" s="59">
        <v>1.0</v>
      </c>
      <c r="E4880" s="59">
        <v>2.0</v>
      </c>
      <c r="F4880" s="59">
        <v>1.0</v>
      </c>
      <c r="G4880" s="60">
        <v>2.0</v>
      </c>
      <c r="H4880" s="60">
        <v>0.5</v>
      </c>
      <c r="I4880" s="60">
        <v>299.246788</v>
      </c>
      <c r="J4880" s="59">
        <v>3.0</v>
      </c>
      <c r="K4880" s="61">
        <f t="shared" si="1"/>
        <v>0.5</v>
      </c>
      <c r="L4880" s="62">
        <f t="shared" si="2"/>
        <v>1.5</v>
      </c>
    </row>
    <row r="4881">
      <c r="A4881" s="58">
        <v>45809.0</v>
      </c>
      <c r="B4881" s="24" t="s">
        <v>6789</v>
      </c>
      <c r="C4881" s="24" t="s">
        <v>7426</v>
      </c>
      <c r="D4881" s="59">
        <v>1.0</v>
      </c>
      <c r="E4881" s="59">
        <v>1.0</v>
      </c>
      <c r="F4881" s="59">
        <v>0.0</v>
      </c>
      <c r="G4881" s="60">
        <v>1.0</v>
      </c>
      <c r="H4881" s="60">
        <v>0.0</v>
      </c>
      <c r="I4881" s="60">
        <v>271.617226</v>
      </c>
      <c r="J4881" s="59">
        <v>2.0</v>
      </c>
      <c r="K4881" s="61">
        <f t="shared" si="1"/>
        <v>0</v>
      </c>
      <c r="L4881" s="62">
        <f t="shared" si="2"/>
        <v>2</v>
      </c>
    </row>
    <row r="4882">
      <c r="A4882" s="58">
        <v>45809.0</v>
      </c>
      <c r="B4882" s="24" t="s">
        <v>6787</v>
      </c>
      <c r="C4882" s="24" t="s">
        <v>7109</v>
      </c>
      <c r="D4882" s="59">
        <v>1.0</v>
      </c>
      <c r="E4882" s="59">
        <v>1.0</v>
      </c>
      <c r="F4882" s="59">
        <v>1.0</v>
      </c>
      <c r="G4882" s="60">
        <v>1.0</v>
      </c>
      <c r="H4882" s="60">
        <v>1.0</v>
      </c>
      <c r="I4882" s="60">
        <v>0.0</v>
      </c>
      <c r="J4882" s="59">
        <v>1.0</v>
      </c>
      <c r="K4882" s="61">
        <f t="shared" si="1"/>
        <v>1</v>
      </c>
      <c r="L4882" s="62">
        <f t="shared" si="2"/>
        <v>1</v>
      </c>
    </row>
    <row r="4883">
      <c r="A4883" s="58">
        <v>45809.0</v>
      </c>
      <c r="B4883" s="24" t="s">
        <v>6789</v>
      </c>
      <c r="C4883" s="24" t="s">
        <v>6920</v>
      </c>
      <c r="D4883" s="59">
        <v>1.0</v>
      </c>
      <c r="E4883" s="59">
        <v>2.0</v>
      </c>
      <c r="F4883" s="59">
        <v>0.0</v>
      </c>
      <c r="G4883" s="60">
        <v>2.0</v>
      </c>
      <c r="H4883" s="60">
        <v>0.0</v>
      </c>
      <c r="I4883" s="60">
        <v>457.071692</v>
      </c>
      <c r="J4883" s="59">
        <v>3.0</v>
      </c>
      <c r="K4883" s="61">
        <f t="shared" si="1"/>
        <v>0</v>
      </c>
      <c r="L4883" s="62">
        <f t="shared" si="2"/>
        <v>1.5</v>
      </c>
    </row>
    <row r="4884">
      <c r="A4884" s="58">
        <v>45809.0</v>
      </c>
      <c r="B4884" s="24" t="s">
        <v>6787</v>
      </c>
      <c r="C4884" s="24" t="s">
        <v>6921</v>
      </c>
      <c r="D4884" s="59">
        <v>1.0</v>
      </c>
      <c r="E4884" s="59">
        <v>1.0</v>
      </c>
      <c r="F4884" s="59">
        <v>1.0</v>
      </c>
      <c r="G4884" s="60">
        <v>1.0</v>
      </c>
      <c r="H4884" s="60">
        <v>0.0</v>
      </c>
      <c r="I4884" s="60">
        <v>15.520016</v>
      </c>
      <c r="J4884" s="59">
        <v>1.0</v>
      </c>
      <c r="K4884" s="61">
        <f t="shared" si="1"/>
        <v>1</v>
      </c>
      <c r="L4884" s="62">
        <f t="shared" si="2"/>
        <v>1</v>
      </c>
    </row>
    <row r="4885">
      <c r="A4885" s="58">
        <v>45809.0</v>
      </c>
      <c r="B4885" s="24" t="s">
        <v>6789</v>
      </c>
      <c r="C4885" s="24" t="s">
        <v>6816</v>
      </c>
      <c r="D4885" s="59">
        <v>1.0</v>
      </c>
      <c r="E4885" s="59">
        <v>1.0</v>
      </c>
      <c r="F4885" s="59">
        <v>0.0</v>
      </c>
      <c r="G4885" s="60">
        <v>1.0</v>
      </c>
      <c r="H4885" s="60">
        <v>0.0</v>
      </c>
      <c r="I4885" s="60">
        <v>27.731761</v>
      </c>
      <c r="J4885" s="59">
        <v>2.0</v>
      </c>
      <c r="K4885" s="61">
        <f t="shared" si="1"/>
        <v>0</v>
      </c>
      <c r="L4885" s="62">
        <f t="shared" si="2"/>
        <v>2</v>
      </c>
    </row>
    <row r="4886">
      <c r="A4886" s="58">
        <v>45809.0</v>
      </c>
      <c r="B4886" s="24" t="s">
        <v>155</v>
      </c>
      <c r="C4886" s="24" t="s">
        <v>6816</v>
      </c>
      <c r="D4886" s="59">
        <v>1.0</v>
      </c>
      <c r="E4886" s="59">
        <v>1.0</v>
      </c>
      <c r="F4886" s="59">
        <v>1.0</v>
      </c>
      <c r="G4886" s="60">
        <v>1.0</v>
      </c>
      <c r="H4886" s="60">
        <v>1.0</v>
      </c>
      <c r="I4886" s="60">
        <v>0.0</v>
      </c>
      <c r="J4886" s="59">
        <v>1.0</v>
      </c>
      <c r="K4886" s="61">
        <f t="shared" si="1"/>
        <v>1</v>
      </c>
      <c r="L4886" s="62">
        <f t="shared" si="2"/>
        <v>1</v>
      </c>
    </row>
    <row r="4887">
      <c r="A4887" s="58">
        <v>45809.0</v>
      </c>
      <c r="B4887" s="24" t="s">
        <v>6787</v>
      </c>
      <c r="C4887" s="24" t="s">
        <v>7047</v>
      </c>
      <c r="D4887" s="59">
        <v>1.0</v>
      </c>
      <c r="E4887" s="59">
        <v>1.0</v>
      </c>
      <c r="F4887" s="59">
        <v>1.0</v>
      </c>
      <c r="G4887" s="60">
        <v>1.0</v>
      </c>
      <c r="H4887" s="60">
        <v>1.0</v>
      </c>
      <c r="I4887" s="60">
        <v>0.0</v>
      </c>
      <c r="J4887" s="59">
        <v>1.0</v>
      </c>
      <c r="K4887" s="61">
        <f t="shared" si="1"/>
        <v>1</v>
      </c>
      <c r="L4887" s="62">
        <f t="shared" si="2"/>
        <v>1</v>
      </c>
    </row>
    <row r="4888">
      <c r="A4888" s="58">
        <v>45809.0</v>
      </c>
      <c r="B4888" s="24" t="s">
        <v>6789</v>
      </c>
      <c r="C4888" s="24" t="s">
        <v>7047</v>
      </c>
      <c r="D4888" s="59">
        <v>1.0</v>
      </c>
      <c r="E4888" s="59">
        <v>1.0</v>
      </c>
      <c r="F4888" s="59">
        <v>1.0</v>
      </c>
      <c r="G4888" s="60">
        <v>1.0</v>
      </c>
      <c r="H4888" s="60">
        <v>0.0</v>
      </c>
      <c r="I4888" s="60">
        <v>1280.330839</v>
      </c>
      <c r="J4888" s="59">
        <v>4.0</v>
      </c>
      <c r="K4888" s="61">
        <f t="shared" si="1"/>
        <v>1</v>
      </c>
      <c r="L4888" s="62">
        <f t="shared" si="2"/>
        <v>4</v>
      </c>
    </row>
    <row r="4889">
      <c r="A4889" s="58">
        <v>45809.0</v>
      </c>
      <c r="B4889" s="24" t="s">
        <v>6789</v>
      </c>
      <c r="C4889" s="24" t="s">
        <v>6931</v>
      </c>
      <c r="D4889" s="59">
        <v>1.0</v>
      </c>
      <c r="E4889" s="59">
        <v>1.0</v>
      </c>
      <c r="F4889" s="59">
        <v>1.0</v>
      </c>
      <c r="G4889" s="60">
        <v>1.0</v>
      </c>
      <c r="H4889" s="60">
        <v>0.0</v>
      </c>
      <c r="I4889" s="60">
        <v>7.714689</v>
      </c>
      <c r="J4889" s="59">
        <v>2.0</v>
      </c>
      <c r="K4889" s="61">
        <f t="shared" si="1"/>
        <v>1</v>
      </c>
      <c r="L4889" s="62">
        <f t="shared" si="2"/>
        <v>2</v>
      </c>
    </row>
    <row r="4890">
      <c r="A4890" s="58">
        <v>45809.0</v>
      </c>
      <c r="B4890" s="24" t="s">
        <v>6787</v>
      </c>
      <c r="C4890" s="24" t="s">
        <v>6962</v>
      </c>
      <c r="D4890" s="59">
        <v>1.0</v>
      </c>
      <c r="E4890" s="59">
        <v>1.0</v>
      </c>
      <c r="F4890" s="59">
        <v>1.0</v>
      </c>
      <c r="G4890" s="60">
        <v>1.0</v>
      </c>
      <c r="H4890" s="60">
        <v>0.0</v>
      </c>
      <c r="I4890" s="60">
        <v>1119.650063</v>
      </c>
      <c r="J4890" s="59">
        <v>1.0</v>
      </c>
      <c r="K4890" s="61">
        <f t="shared" si="1"/>
        <v>1</v>
      </c>
      <c r="L4890" s="62">
        <f t="shared" si="2"/>
        <v>1</v>
      </c>
    </row>
    <row r="4891">
      <c r="A4891" s="58">
        <v>45809.0</v>
      </c>
      <c r="B4891" s="24" t="s">
        <v>6789</v>
      </c>
      <c r="C4891" s="24" t="s">
        <v>7387</v>
      </c>
      <c r="D4891" s="59">
        <v>1.0</v>
      </c>
      <c r="E4891" s="59">
        <v>1.0</v>
      </c>
      <c r="F4891" s="59">
        <v>0.0</v>
      </c>
      <c r="G4891" s="60">
        <v>1.0</v>
      </c>
      <c r="H4891" s="60">
        <v>0.0</v>
      </c>
      <c r="I4891" s="60">
        <v>188.1898</v>
      </c>
      <c r="J4891" s="59">
        <v>3.0</v>
      </c>
      <c r="K4891" s="61">
        <f t="shared" si="1"/>
        <v>0</v>
      </c>
      <c r="L4891" s="62">
        <f t="shared" si="2"/>
        <v>3</v>
      </c>
    </row>
    <row r="4892">
      <c r="A4892" s="58">
        <v>45809.0</v>
      </c>
      <c r="B4892" s="24" t="s">
        <v>6790</v>
      </c>
      <c r="C4892" s="24" t="s">
        <v>6854</v>
      </c>
      <c r="D4892" s="59">
        <v>1.0</v>
      </c>
      <c r="E4892" s="59">
        <v>1.0</v>
      </c>
      <c r="F4892" s="59">
        <v>0.0</v>
      </c>
      <c r="G4892" s="60">
        <v>1.0</v>
      </c>
      <c r="H4892" s="60">
        <v>1.0</v>
      </c>
      <c r="I4892" s="60">
        <v>0.0</v>
      </c>
      <c r="J4892" s="59">
        <v>1.0</v>
      </c>
      <c r="K4892" s="61">
        <f t="shared" si="1"/>
        <v>0</v>
      </c>
      <c r="L4892" s="62">
        <f t="shared" si="2"/>
        <v>1</v>
      </c>
    </row>
    <row r="4893">
      <c r="A4893" s="58">
        <v>45809.0</v>
      </c>
      <c r="B4893" s="24" t="s">
        <v>6794</v>
      </c>
      <c r="C4893" s="24" t="s">
        <v>6963</v>
      </c>
      <c r="D4893" s="59">
        <v>1.0</v>
      </c>
      <c r="E4893" s="59">
        <v>1.0</v>
      </c>
      <c r="F4893" s="59">
        <v>1.0</v>
      </c>
      <c r="G4893" s="60">
        <v>1.0</v>
      </c>
      <c r="H4893" s="60">
        <v>1.0</v>
      </c>
      <c r="I4893" s="60">
        <v>0.0</v>
      </c>
      <c r="J4893" s="59">
        <v>1.0</v>
      </c>
      <c r="K4893" s="61">
        <f t="shared" si="1"/>
        <v>1</v>
      </c>
      <c r="L4893" s="62">
        <f t="shared" si="2"/>
        <v>1</v>
      </c>
    </row>
    <row r="4894">
      <c r="A4894" s="58">
        <v>45809.0</v>
      </c>
      <c r="B4894" s="24" t="s">
        <v>155</v>
      </c>
      <c r="C4894" s="24" t="s">
        <v>6802</v>
      </c>
      <c r="D4894" s="59">
        <v>1.0</v>
      </c>
      <c r="E4894" s="59">
        <v>1.0</v>
      </c>
      <c r="F4894" s="59">
        <v>1.0</v>
      </c>
      <c r="G4894" s="60">
        <v>1.0</v>
      </c>
      <c r="H4894" s="60">
        <v>0.0</v>
      </c>
      <c r="I4894" s="60">
        <v>1350.514326</v>
      </c>
      <c r="J4894" s="59">
        <v>1.0</v>
      </c>
      <c r="K4894" s="61">
        <f t="shared" si="1"/>
        <v>1</v>
      </c>
      <c r="L4894" s="62">
        <f t="shared" si="2"/>
        <v>1</v>
      </c>
    </row>
    <row r="4895">
      <c r="A4895" s="58">
        <v>45778.0</v>
      </c>
      <c r="B4895" s="24" t="s">
        <v>6789</v>
      </c>
      <c r="C4895" s="24" t="s">
        <v>6788</v>
      </c>
      <c r="D4895" s="59">
        <v>885.0</v>
      </c>
      <c r="E4895" s="59">
        <v>1260.0</v>
      </c>
      <c r="F4895" s="59">
        <v>726.0</v>
      </c>
      <c r="G4895" s="60">
        <v>1.46682188591385</v>
      </c>
      <c r="H4895" s="60">
        <v>0.514285714285714</v>
      </c>
      <c r="I4895" s="60">
        <v>200.987081755555</v>
      </c>
      <c r="J4895" s="59">
        <v>2338.0</v>
      </c>
      <c r="K4895" s="61">
        <f t="shared" si="1"/>
        <v>0.5761904762</v>
      </c>
      <c r="L4895" s="62">
        <f t="shared" si="2"/>
        <v>1.855555556</v>
      </c>
    </row>
    <row r="4896">
      <c r="A4896" s="58">
        <v>45778.0</v>
      </c>
      <c r="B4896" s="24" t="s">
        <v>6787</v>
      </c>
      <c r="C4896" s="24" t="s">
        <v>6788</v>
      </c>
      <c r="D4896" s="59">
        <v>617.0</v>
      </c>
      <c r="E4896" s="59">
        <v>787.0</v>
      </c>
      <c r="F4896" s="59">
        <v>566.0</v>
      </c>
      <c r="G4896" s="60">
        <v>1.29440789473684</v>
      </c>
      <c r="H4896" s="60">
        <v>0.665819567979669</v>
      </c>
      <c r="I4896" s="60">
        <v>52.3573199580686</v>
      </c>
      <c r="J4896" s="59">
        <v>1011.0</v>
      </c>
      <c r="K4896" s="61">
        <f t="shared" si="1"/>
        <v>0.7191867853</v>
      </c>
      <c r="L4896" s="62">
        <f t="shared" si="2"/>
        <v>1.284625159</v>
      </c>
    </row>
    <row r="4897">
      <c r="A4897" s="58">
        <v>45778.0</v>
      </c>
      <c r="B4897" s="24" t="s">
        <v>6789</v>
      </c>
      <c r="C4897" s="24" t="s">
        <v>6792</v>
      </c>
      <c r="D4897" s="59">
        <v>225.0</v>
      </c>
      <c r="E4897" s="59">
        <v>277.0</v>
      </c>
      <c r="F4897" s="59">
        <v>0.0</v>
      </c>
      <c r="G4897" s="60">
        <v>2.09848484848484</v>
      </c>
      <c r="H4897" s="60">
        <v>0.974729241877256</v>
      </c>
      <c r="I4897" s="60">
        <v>12.672985967509</v>
      </c>
      <c r="J4897" s="59">
        <v>0.0</v>
      </c>
      <c r="K4897" s="61">
        <f t="shared" si="1"/>
        <v>0</v>
      </c>
      <c r="L4897" s="62">
        <f t="shared" si="2"/>
        <v>0</v>
      </c>
    </row>
    <row r="4898">
      <c r="A4898" s="58">
        <v>45778.0</v>
      </c>
      <c r="B4898" s="24" t="s">
        <v>6789</v>
      </c>
      <c r="C4898" s="24" t="s">
        <v>7068</v>
      </c>
      <c r="D4898" s="59">
        <v>187.0</v>
      </c>
      <c r="E4898" s="59">
        <v>203.0</v>
      </c>
      <c r="F4898" s="59">
        <v>183.0</v>
      </c>
      <c r="G4898" s="60">
        <v>1.09139784946236</v>
      </c>
      <c r="H4898" s="60">
        <v>0.344827586206896</v>
      </c>
      <c r="I4898" s="60">
        <v>183.757371172413</v>
      </c>
      <c r="J4898" s="59">
        <v>223.0</v>
      </c>
      <c r="K4898" s="61">
        <f t="shared" si="1"/>
        <v>0.9014778325</v>
      </c>
      <c r="L4898" s="62">
        <f t="shared" si="2"/>
        <v>1.098522167</v>
      </c>
    </row>
    <row r="4899">
      <c r="A4899" s="58">
        <v>45778.0</v>
      </c>
      <c r="B4899" s="24" t="s">
        <v>155</v>
      </c>
      <c r="C4899" s="24" t="s">
        <v>6788</v>
      </c>
      <c r="D4899" s="59">
        <v>145.0</v>
      </c>
      <c r="E4899" s="59">
        <v>348.0</v>
      </c>
      <c r="F4899" s="59">
        <v>92.0</v>
      </c>
      <c r="G4899" s="60">
        <v>2.43356643356643</v>
      </c>
      <c r="H4899" s="60">
        <v>0.635057471264367</v>
      </c>
      <c r="I4899" s="60">
        <v>137.157956672413</v>
      </c>
      <c r="J4899" s="59">
        <v>519.0</v>
      </c>
      <c r="K4899" s="61">
        <f t="shared" si="1"/>
        <v>0.2643678161</v>
      </c>
      <c r="L4899" s="62">
        <f t="shared" si="2"/>
        <v>1.49137931</v>
      </c>
    </row>
    <row r="4900">
      <c r="A4900" s="58">
        <v>45778.0</v>
      </c>
      <c r="B4900" s="24" t="s">
        <v>6787</v>
      </c>
      <c r="C4900" s="24" t="s">
        <v>7404</v>
      </c>
      <c r="D4900" s="59">
        <v>85.0</v>
      </c>
      <c r="E4900" s="59">
        <v>96.0</v>
      </c>
      <c r="F4900" s="59">
        <v>84.0</v>
      </c>
      <c r="G4900" s="60">
        <v>1.12941176470588</v>
      </c>
      <c r="H4900" s="60">
        <v>0.239583333333333</v>
      </c>
      <c r="I4900" s="60">
        <v>164.9195508125</v>
      </c>
      <c r="J4900" s="59">
        <v>106.0</v>
      </c>
      <c r="K4900" s="61">
        <f t="shared" si="1"/>
        <v>0.875</v>
      </c>
      <c r="L4900" s="62">
        <f t="shared" si="2"/>
        <v>1.104166667</v>
      </c>
    </row>
    <row r="4901">
      <c r="A4901" s="58">
        <v>45778.0</v>
      </c>
      <c r="B4901" s="24" t="s">
        <v>6794</v>
      </c>
      <c r="C4901" s="24" t="s">
        <v>6788</v>
      </c>
      <c r="D4901" s="59">
        <v>77.0</v>
      </c>
      <c r="E4901" s="59">
        <v>99.0</v>
      </c>
      <c r="F4901" s="59">
        <v>68.0</v>
      </c>
      <c r="G4901" s="60">
        <v>1.32</v>
      </c>
      <c r="H4901" s="60">
        <v>0.424242424242424</v>
      </c>
      <c r="I4901" s="60">
        <v>172.706913070707</v>
      </c>
      <c r="J4901" s="59">
        <v>201.0</v>
      </c>
      <c r="K4901" s="61">
        <f t="shared" si="1"/>
        <v>0.6868686869</v>
      </c>
      <c r="L4901" s="62">
        <f t="shared" si="2"/>
        <v>2.03030303</v>
      </c>
    </row>
    <row r="4902">
      <c r="A4902" s="58">
        <v>45778.0</v>
      </c>
      <c r="B4902" s="24" t="s">
        <v>6787</v>
      </c>
      <c r="C4902" s="24" t="s">
        <v>6792</v>
      </c>
      <c r="D4902" s="59">
        <v>66.0</v>
      </c>
      <c r="E4902" s="59">
        <v>74.0</v>
      </c>
      <c r="F4902" s="59">
        <v>0.0</v>
      </c>
      <c r="G4902" s="60">
        <v>1.68181818181818</v>
      </c>
      <c r="H4902" s="60">
        <v>1.0</v>
      </c>
      <c r="I4902" s="60">
        <v>0.0425943513513513</v>
      </c>
      <c r="J4902" s="59">
        <v>0.0</v>
      </c>
      <c r="K4902" s="61">
        <f t="shared" si="1"/>
        <v>0</v>
      </c>
      <c r="L4902" s="62">
        <f t="shared" si="2"/>
        <v>0</v>
      </c>
    </row>
    <row r="4903">
      <c r="A4903" s="58">
        <v>45778.0</v>
      </c>
      <c r="B4903" s="24" t="s">
        <v>6794</v>
      </c>
      <c r="C4903" s="24" t="s">
        <v>7404</v>
      </c>
      <c r="D4903" s="59">
        <v>56.0</v>
      </c>
      <c r="E4903" s="59">
        <v>67.0</v>
      </c>
      <c r="F4903" s="59">
        <v>51.0</v>
      </c>
      <c r="G4903" s="60">
        <v>1.24074074074074</v>
      </c>
      <c r="H4903" s="60">
        <v>0.462686567164179</v>
      </c>
      <c r="I4903" s="60">
        <v>44.6403801194029</v>
      </c>
      <c r="J4903" s="59">
        <v>71.0</v>
      </c>
      <c r="K4903" s="61">
        <f t="shared" si="1"/>
        <v>0.7611940299</v>
      </c>
      <c r="L4903" s="62">
        <f t="shared" si="2"/>
        <v>1.059701493</v>
      </c>
    </row>
    <row r="4904">
      <c r="A4904" s="58">
        <v>45778.0</v>
      </c>
      <c r="B4904" s="24" t="s">
        <v>3216</v>
      </c>
      <c r="C4904" s="24" t="s">
        <v>6881</v>
      </c>
      <c r="D4904" s="59">
        <v>54.0</v>
      </c>
      <c r="E4904" s="59">
        <v>54.0</v>
      </c>
      <c r="F4904" s="59">
        <v>53.0</v>
      </c>
      <c r="G4904" s="60">
        <v>1.0</v>
      </c>
      <c r="H4904" s="60">
        <v>0.962962962962962</v>
      </c>
      <c r="I4904" s="60">
        <v>0.526006166666666</v>
      </c>
      <c r="J4904" s="59">
        <v>57.0</v>
      </c>
      <c r="K4904" s="61">
        <f t="shared" si="1"/>
        <v>0.9814814815</v>
      </c>
      <c r="L4904" s="62">
        <f t="shared" si="2"/>
        <v>1.055555556</v>
      </c>
    </row>
    <row r="4905">
      <c r="A4905" s="58">
        <v>45778.0</v>
      </c>
      <c r="B4905" s="24" t="s">
        <v>6787</v>
      </c>
      <c r="C4905" s="24" t="s">
        <v>6799</v>
      </c>
      <c r="D4905" s="59">
        <v>48.0</v>
      </c>
      <c r="E4905" s="59">
        <v>48.0</v>
      </c>
      <c r="F4905" s="59">
        <v>48.0</v>
      </c>
      <c r="G4905" s="60">
        <v>1.0</v>
      </c>
      <c r="H4905" s="60">
        <v>0.395833333333333</v>
      </c>
      <c r="I4905" s="60">
        <v>42.8646517916666</v>
      </c>
      <c r="J4905" s="59">
        <v>70.0</v>
      </c>
      <c r="K4905" s="61">
        <f t="shared" si="1"/>
        <v>1</v>
      </c>
      <c r="L4905" s="62">
        <f t="shared" si="2"/>
        <v>1.458333333</v>
      </c>
    </row>
    <row r="4906">
      <c r="A4906" s="58">
        <v>45778.0</v>
      </c>
      <c r="B4906" s="24" t="s">
        <v>3216</v>
      </c>
      <c r="C4906" s="24" t="s">
        <v>6878</v>
      </c>
      <c r="D4906" s="59">
        <v>46.0</v>
      </c>
      <c r="E4906" s="59">
        <v>47.0</v>
      </c>
      <c r="F4906" s="59">
        <v>46.0</v>
      </c>
      <c r="G4906" s="60">
        <v>1.02173913043478</v>
      </c>
      <c r="H4906" s="60">
        <v>0.978723404255319</v>
      </c>
      <c r="I4906" s="60">
        <v>0.0351759361702127</v>
      </c>
      <c r="J4906" s="59">
        <v>51.0</v>
      </c>
      <c r="K4906" s="61">
        <f t="shared" si="1"/>
        <v>0.9787234043</v>
      </c>
      <c r="L4906" s="62">
        <f t="shared" si="2"/>
        <v>1.085106383</v>
      </c>
    </row>
    <row r="4907">
      <c r="A4907" s="58">
        <v>45778.0</v>
      </c>
      <c r="B4907" s="24" t="s">
        <v>3216</v>
      </c>
      <c r="C4907" s="24" t="s">
        <v>6872</v>
      </c>
      <c r="D4907" s="59">
        <v>42.0</v>
      </c>
      <c r="E4907" s="59">
        <v>42.0</v>
      </c>
      <c r="F4907" s="59">
        <v>42.0</v>
      </c>
      <c r="G4907" s="60">
        <v>1.0</v>
      </c>
      <c r="H4907" s="60">
        <v>1.0</v>
      </c>
      <c r="I4907" s="60">
        <v>0.144131166666666</v>
      </c>
      <c r="J4907" s="59">
        <v>42.0</v>
      </c>
      <c r="K4907" s="61">
        <f t="shared" si="1"/>
        <v>1</v>
      </c>
      <c r="L4907" s="62">
        <f t="shared" si="2"/>
        <v>1</v>
      </c>
    </row>
    <row r="4908">
      <c r="A4908" s="58">
        <v>45778.0</v>
      </c>
      <c r="B4908" s="24" t="s">
        <v>3216</v>
      </c>
      <c r="C4908" s="24" t="s">
        <v>7089</v>
      </c>
      <c r="D4908" s="59">
        <v>37.0</v>
      </c>
      <c r="E4908" s="59">
        <v>37.0</v>
      </c>
      <c r="F4908" s="59">
        <v>37.0</v>
      </c>
      <c r="G4908" s="60">
        <v>1.0</v>
      </c>
      <c r="H4908" s="60">
        <v>1.0</v>
      </c>
      <c r="I4908" s="60">
        <v>0.0</v>
      </c>
      <c r="J4908" s="59">
        <v>37.0</v>
      </c>
      <c r="K4908" s="61">
        <f t="shared" si="1"/>
        <v>1</v>
      </c>
      <c r="L4908" s="62">
        <f t="shared" si="2"/>
        <v>1</v>
      </c>
    </row>
    <row r="4909">
      <c r="A4909" s="58">
        <v>45778.0</v>
      </c>
      <c r="B4909" s="24" t="s">
        <v>6789</v>
      </c>
      <c r="C4909" s="24" t="s">
        <v>6799</v>
      </c>
      <c r="D4909" s="59">
        <v>33.0</v>
      </c>
      <c r="E4909" s="59">
        <v>35.0</v>
      </c>
      <c r="F4909" s="59">
        <v>26.0</v>
      </c>
      <c r="G4909" s="60">
        <v>1.09375</v>
      </c>
      <c r="H4909" s="60">
        <v>0.257142857142857</v>
      </c>
      <c r="I4909" s="60">
        <v>125.8795004</v>
      </c>
      <c r="J4909" s="59">
        <v>45.0</v>
      </c>
      <c r="K4909" s="61">
        <f t="shared" si="1"/>
        <v>0.7428571429</v>
      </c>
      <c r="L4909" s="62">
        <f t="shared" si="2"/>
        <v>1.285714286</v>
      </c>
    </row>
    <row r="4910">
      <c r="A4910" s="58">
        <v>45778.0</v>
      </c>
      <c r="B4910" s="24" t="s">
        <v>155</v>
      </c>
      <c r="C4910" s="24" t="s">
        <v>6792</v>
      </c>
      <c r="D4910" s="59">
        <v>30.0</v>
      </c>
      <c r="E4910" s="59">
        <v>40.0</v>
      </c>
      <c r="F4910" s="59">
        <v>0.0</v>
      </c>
      <c r="G4910" s="60">
        <v>1.81818181818181</v>
      </c>
      <c r="H4910" s="60">
        <v>0.95</v>
      </c>
      <c r="I4910" s="60">
        <v>1.451688825</v>
      </c>
      <c r="J4910" s="59">
        <v>0.0</v>
      </c>
      <c r="K4910" s="61">
        <f t="shared" si="1"/>
        <v>0</v>
      </c>
      <c r="L4910" s="62">
        <f t="shared" si="2"/>
        <v>0</v>
      </c>
    </row>
    <row r="4911">
      <c r="A4911" s="58">
        <v>45778.0</v>
      </c>
      <c r="B4911" s="24" t="s">
        <v>3216</v>
      </c>
      <c r="C4911" s="24" t="s">
        <v>7158</v>
      </c>
      <c r="D4911" s="59">
        <v>28.0</v>
      </c>
      <c r="E4911" s="59">
        <v>28.0</v>
      </c>
      <c r="F4911" s="59">
        <v>28.0</v>
      </c>
      <c r="G4911" s="60">
        <v>1.0</v>
      </c>
      <c r="H4911" s="60">
        <v>0.928571428571428</v>
      </c>
      <c r="I4911" s="60">
        <v>0.649273928571428</v>
      </c>
      <c r="J4911" s="59">
        <v>32.0</v>
      </c>
      <c r="K4911" s="61">
        <f t="shared" si="1"/>
        <v>1</v>
      </c>
      <c r="L4911" s="62">
        <f t="shared" si="2"/>
        <v>1.142857143</v>
      </c>
    </row>
    <row r="4912">
      <c r="A4912" s="58">
        <v>45778.0</v>
      </c>
      <c r="B4912" s="24" t="s">
        <v>6789</v>
      </c>
      <c r="C4912" s="24" t="s">
        <v>6815</v>
      </c>
      <c r="D4912" s="59">
        <v>27.0</v>
      </c>
      <c r="E4912" s="59">
        <v>27.0</v>
      </c>
      <c r="F4912" s="59">
        <v>26.0</v>
      </c>
      <c r="G4912" s="60">
        <v>1.0</v>
      </c>
      <c r="H4912" s="60">
        <v>0.222222222222222</v>
      </c>
      <c r="I4912" s="60">
        <v>127.553282814814</v>
      </c>
      <c r="J4912" s="59">
        <v>37.0</v>
      </c>
      <c r="K4912" s="61">
        <f t="shared" si="1"/>
        <v>0.962962963</v>
      </c>
      <c r="L4912" s="62">
        <f t="shared" si="2"/>
        <v>1.37037037</v>
      </c>
    </row>
    <row r="4913">
      <c r="A4913" s="58">
        <v>45778.0</v>
      </c>
      <c r="B4913" s="24" t="s">
        <v>3216</v>
      </c>
      <c r="C4913" s="24" t="s">
        <v>7404</v>
      </c>
      <c r="D4913" s="59">
        <v>27.0</v>
      </c>
      <c r="E4913" s="59">
        <v>31.0</v>
      </c>
      <c r="F4913" s="59">
        <v>26.0</v>
      </c>
      <c r="G4913" s="60">
        <v>1.14814814814814</v>
      </c>
      <c r="H4913" s="60">
        <v>0.290322580645161</v>
      </c>
      <c r="I4913" s="60">
        <v>256.51515116129</v>
      </c>
      <c r="J4913" s="59">
        <v>41.0</v>
      </c>
      <c r="K4913" s="61">
        <f t="shared" si="1"/>
        <v>0.8387096774</v>
      </c>
      <c r="L4913" s="62">
        <f t="shared" si="2"/>
        <v>1.322580645</v>
      </c>
    </row>
    <row r="4914">
      <c r="A4914" s="58">
        <v>45778.0</v>
      </c>
      <c r="B4914" s="24" t="s">
        <v>6789</v>
      </c>
      <c r="C4914" s="24" t="s">
        <v>6808</v>
      </c>
      <c r="D4914" s="59">
        <v>26.0</v>
      </c>
      <c r="E4914" s="59">
        <v>34.0</v>
      </c>
      <c r="F4914" s="59">
        <v>18.0</v>
      </c>
      <c r="G4914" s="60">
        <v>1.36</v>
      </c>
      <c r="H4914" s="60">
        <v>0.441176470588235</v>
      </c>
      <c r="I4914" s="60">
        <v>259.173968823529</v>
      </c>
      <c r="J4914" s="59">
        <v>97.0</v>
      </c>
      <c r="K4914" s="61">
        <f t="shared" si="1"/>
        <v>0.5294117647</v>
      </c>
      <c r="L4914" s="62">
        <f t="shared" si="2"/>
        <v>2.852941176</v>
      </c>
    </row>
    <row r="4915">
      <c r="A4915" s="58">
        <v>45778.0</v>
      </c>
      <c r="B4915" s="24" t="s">
        <v>6789</v>
      </c>
      <c r="C4915" s="24" t="s">
        <v>6809</v>
      </c>
      <c r="D4915" s="59">
        <v>25.0</v>
      </c>
      <c r="E4915" s="59">
        <v>29.0</v>
      </c>
      <c r="F4915" s="59">
        <v>16.0</v>
      </c>
      <c r="G4915" s="60">
        <v>1.26086956521739</v>
      </c>
      <c r="H4915" s="60">
        <v>0.482758620689655</v>
      </c>
      <c r="I4915" s="60">
        <v>201.998658103448</v>
      </c>
      <c r="J4915" s="59">
        <v>66.0</v>
      </c>
      <c r="K4915" s="61">
        <f t="shared" si="1"/>
        <v>0.5517241379</v>
      </c>
      <c r="L4915" s="62">
        <f t="shared" si="2"/>
        <v>2.275862069</v>
      </c>
    </row>
    <row r="4916">
      <c r="A4916" s="58">
        <v>45778.0</v>
      </c>
      <c r="B4916" s="24" t="s">
        <v>6789</v>
      </c>
      <c r="C4916" s="24" t="s">
        <v>6804</v>
      </c>
      <c r="D4916" s="59">
        <v>24.0</v>
      </c>
      <c r="E4916" s="59">
        <v>38.0</v>
      </c>
      <c r="F4916" s="59">
        <v>24.0</v>
      </c>
      <c r="G4916" s="60">
        <v>1.58333333333333</v>
      </c>
      <c r="H4916" s="60">
        <v>0.736842105263157</v>
      </c>
      <c r="I4916" s="60">
        <v>94.1997031315789</v>
      </c>
      <c r="J4916" s="59">
        <v>44.0</v>
      </c>
      <c r="K4916" s="61">
        <f t="shared" si="1"/>
        <v>0.6315789474</v>
      </c>
      <c r="L4916" s="62">
        <f t="shared" si="2"/>
        <v>1.157894737</v>
      </c>
    </row>
    <row r="4917">
      <c r="A4917" s="58">
        <v>45778.0</v>
      </c>
      <c r="B4917" s="24" t="s">
        <v>6794</v>
      </c>
      <c r="C4917" s="24" t="s">
        <v>6792</v>
      </c>
      <c r="D4917" s="59">
        <v>23.0</v>
      </c>
      <c r="E4917" s="59">
        <v>37.0</v>
      </c>
      <c r="F4917" s="59">
        <v>0.0</v>
      </c>
      <c r="G4917" s="60">
        <v>2.64285714285714</v>
      </c>
      <c r="H4917" s="60">
        <v>0.972972972972973</v>
      </c>
      <c r="I4917" s="60">
        <v>1.80922967567567</v>
      </c>
      <c r="J4917" s="59">
        <v>0.0</v>
      </c>
      <c r="K4917" s="61">
        <f t="shared" si="1"/>
        <v>0</v>
      </c>
      <c r="L4917" s="62">
        <f t="shared" si="2"/>
        <v>0</v>
      </c>
    </row>
    <row r="4918">
      <c r="A4918" s="58">
        <v>45778.0</v>
      </c>
      <c r="B4918" s="24" t="s">
        <v>6790</v>
      </c>
      <c r="C4918" s="24" t="s">
        <v>6788</v>
      </c>
      <c r="D4918" s="59">
        <v>22.0</v>
      </c>
      <c r="E4918" s="59">
        <v>28.0</v>
      </c>
      <c r="F4918" s="59">
        <v>15.0</v>
      </c>
      <c r="G4918" s="60">
        <v>1.27272727272727</v>
      </c>
      <c r="H4918" s="60">
        <v>0.535714285714285</v>
      </c>
      <c r="I4918" s="60">
        <v>189.432600535714</v>
      </c>
      <c r="J4918" s="59">
        <v>54.0</v>
      </c>
      <c r="K4918" s="61">
        <f t="shared" si="1"/>
        <v>0.5357142857</v>
      </c>
      <c r="L4918" s="62">
        <f t="shared" si="2"/>
        <v>1.928571429</v>
      </c>
    </row>
    <row r="4919">
      <c r="A4919" s="58">
        <v>45778.0</v>
      </c>
      <c r="B4919" s="24" t="s">
        <v>6787</v>
      </c>
      <c r="C4919" s="24" t="s">
        <v>6815</v>
      </c>
      <c r="D4919" s="59">
        <v>19.0</v>
      </c>
      <c r="E4919" s="59">
        <v>20.0</v>
      </c>
      <c r="F4919" s="59">
        <v>19.0</v>
      </c>
      <c r="G4919" s="60">
        <v>1.05263157894736</v>
      </c>
      <c r="H4919" s="60">
        <v>0.45</v>
      </c>
      <c r="I4919" s="60">
        <v>87.9627451499999</v>
      </c>
      <c r="J4919" s="59">
        <v>57.0</v>
      </c>
      <c r="K4919" s="61">
        <f t="shared" si="1"/>
        <v>0.95</v>
      </c>
      <c r="L4919" s="62">
        <f t="shared" si="2"/>
        <v>2.85</v>
      </c>
    </row>
    <row r="4920">
      <c r="A4920" s="58">
        <v>45778.0</v>
      </c>
      <c r="B4920" s="24" t="s">
        <v>3216</v>
      </c>
      <c r="C4920" s="24" t="s">
        <v>6877</v>
      </c>
      <c r="D4920" s="59">
        <v>18.0</v>
      </c>
      <c r="E4920" s="59">
        <v>18.0</v>
      </c>
      <c r="F4920" s="59">
        <v>18.0</v>
      </c>
      <c r="G4920" s="60">
        <v>1.0</v>
      </c>
      <c r="H4920" s="60">
        <v>1.0</v>
      </c>
      <c r="I4920" s="60">
        <v>0.0</v>
      </c>
      <c r="J4920" s="59">
        <v>18.0</v>
      </c>
      <c r="K4920" s="61">
        <f t="shared" si="1"/>
        <v>1</v>
      </c>
      <c r="L4920" s="62">
        <f t="shared" si="2"/>
        <v>1</v>
      </c>
    </row>
    <row r="4921">
      <c r="A4921" s="58">
        <v>45778.0</v>
      </c>
      <c r="B4921" s="24" t="s">
        <v>6787</v>
      </c>
      <c r="C4921" s="24" t="s">
        <v>6809</v>
      </c>
      <c r="D4921" s="59">
        <v>18.0</v>
      </c>
      <c r="E4921" s="59">
        <v>18.0</v>
      </c>
      <c r="F4921" s="59">
        <v>17.0</v>
      </c>
      <c r="G4921" s="60">
        <v>1.0</v>
      </c>
      <c r="H4921" s="60">
        <v>0.777777777777777</v>
      </c>
      <c r="I4921" s="60">
        <v>37.8055705</v>
      </c>
      <c r="J4921" s="59">
        <v>23.0</v>
      </c>
      <c r="K4921" s="61">
        <f t="shared" si="1"/>
        <v>0.9444444444</v>
      </c>
      <c r="L4921" s="62">
        <f t="shared" si="2"/>
        <v>1.277777778</v>
      </c>
    </row>
    <row r="4922">
      <c r="A4922" s="58">
        <v>45778.0</v>
      </c>
      <c r="B4922" s="24" t="s">
        <v>6789</v>
      </c>
      <c r="C4922" s="24" t="s">
        <v>6910</v>
      </c>
      <c r="D4922" s="59">
        <v>17.0</v>
      </c>
      <c r="E4922" s="59">
        <v>21.0</v>
      </c>
      <c r="F4922" s="59">
        <v>9.0</v>
      </c>
      <c r="G4922" s="60">
        <v>1.5</v>
      </c>
      <c r="H4922" s="60">
        <v>0.428571428571428</v>
      </c>
      <c r="I4922" s="60">
        <v>490.749284904761</v>
      </c>
      <c r="J4922" s="59">
        <v>34.0</v>
      </c>
      <c r="K4922" s="61">
        <f t="shared" si="1"/>
        <v>0.4285714286</v>
      </c>
      <c r="L4922" s="62">
        <f t="shared" si="2"/>
        <v>1.619047619</v>
      </c>
    </row>
    <row r="4923">
      <c r="A4923" s="58">
        <v>45778.0</v>
      </c>
      <c r="B4923" s="24" t="s">
        <v>6794</v>
      </c>
      <c r="C4923" s="24" t="s">
        <v>7223</v>
      </c>
      <c r="D4923" s="59">
        <v>16.0</v>
      </c>
      <c r="E4923" s="59">
        <v>25.0</v>
      </c>
      <c r="F4923" s="59">
        <v>12.0</v>
      </c>
      <c r="G4923" s="60">
        <v>1.5625</v>
      </c>
      <c r="H4923" s="60">
        <v>0.36</v>
      </c>
      <c r="I4923" s="60">
        <v>57.87117504</v>
      </c>
      <c r="J4923" s="59">
        <v>39.0</v>
      </c>
      <c r="K4923" s="61">
        <f t="shared" si="1"/>
        <v>0.48</v>
      </c>
      <c r="L4923" s="62">
        <f t="shared" si="2"/>
        <v>1.56</v>
      </c>
    </row>
    <row r="4924">
      <c r="A4924" s="58">
        <v>45778.0</v>
      </c>
      <c r="B4924" s="24" t="s">
        <v>6787</v>
      </c>
      <c r="C4924" s="24" t="s">
        <v>6802</v>
      </c>
      <c r="D4924" s="59">
        <v>16.0</v>
      </c>
      <c r="E4924" s="59">
        <v>25.0</v>
      </c>
      <c r="F4924" s="59">
        <v>9.0</v>
      </c>
      <c r="G4924" s="60">
        <v>1.66666666666666</v>
      </c>
      <c r="H4924" s="60">
        <v>0.64</v>
      </c>
      <c r="I4924" s="60">
        <v>25.73023396</v>
      </c>
      <c r="J4924" s="59">
        <v>32.0</v>
      </c>
      <c r="K4924" s="61">
        <f t="shared" si="1"/>
        <v>0.36</v>
      </c>
      <c r="L4924" s="62">
        <f t="shared" si="2"/>
        <v>1.28</v>
      </c>
    </row>
    <row r="4925">
      <c r="A4925" s="58">
        <v>45778.0</v>
      </c>
      <c r="B4925" s="24" t="s">
        <v>6789</v>
      </c>
      <c r="C4925" s="24" t="s">
        <v>6882</v>
      </c>
      <c r="D4925" s="59">
        <v>15.0</v>
      </c>
      <c r="E4925" s="59">
        <v>19.0</v>
      </c>
      <c r="F4925" s="59">
        <v>15.0</v>
      </c>
      <c r="G4925" s="60">
        <v>1.26666666666666</v>
      </c>
      <c r="H4925" s="60">
        <v>0.421052631578947</v>
      </c>
      <c r="I4925" s="60">
        <v>183.822811368421</v>
      </c>
      <c r="J4925" s="59">
        <v>20.0</v>
      </c>
      <c r="K4925" s="61">
        <f t="shared" si="1"/>
        <v>0.7894736842</v>
      </c>
      <c r="L4925" s="62">
        <f t="shared" si="2"/>
        <v>1.052631579</v>
      </c>
    </row>
    <row r="4926">
      <c r="A4926" s="58">
        <v>45778.0</v>
      </c>
      <c r="B4926" s="24" t="s">
        <v>155</v>
      </c>
      <c r="C4926" s="24" t="s">
        <v>6800</v>
      </c>
      <c r="D4926" s="59">
        <v>13.0</v>
      </c>
      <c r="E4926" s="59">
        <v>13.0</v>
      </c>
      <c r="F4926" s="59">
        <v>13.0</v>
      </c>
      <c r="G4926" s="60">
        <v>1.0</v>
      </c>
      <c r="H4926" s="60">
        <v>0.0769230769230769</v>
      </c>
      <c r="I4926" s="60">
        <v>37.7142556153846</v>
      </c>
      <c r="J4926" s="59">
        <v>25.0</v>
      </c>
      <c r="K4926" s="61">
        <f t="shared" si="1"/>
        <v>1</v>
      </c>
      <c r="L4926" s="62">
        <f t="shared" si="2"/>
        <v>1.923076923</v>
      </c>
    </row>
    <row r="4927">
      <c r="A4927" s="58">
        <v>45778.0</v>
      </c>
      <c r="B4927" s="24" t="s">
        <v>6789</v>
      </c>
      <c r="C4927" s="24" t="s">
        <v>6802</v>
      </c>
      <c r="D4927" s="59">
        <v>13.0</v>
      </c>
      <c r="E4927" s="59">
        <v>15.0</v>
      </c>
      <c r="F4927" s="59">
        <v>1.0</v>
      </c>
      <c r="G4927" s="60">
        <v>1.5</v>
      </c>
      <c r="H4927" s="60">
        <v>0.533333333333333</v>
      </c>
      <c r="I4927" s="60">
        <v>251.264529866666</v>
      </c>
      <c r="J4927" s="59">
        <v>27.0</v>
      </c>
      <c r="K4927" s="61">
        <f t="shared" si="1"/>
        <v>0.06666666667</v>
      </c>
      <c r="L4927" s="62">
        <f t="shared" si="2"/>
        <v>1.8</v>
      </c>
    </row>
    <row r="4928">
      <c r="A4928" s="58">
        <v>45778.0</v>
      </c>
      <c r="B4928" s="24" t="s">
        <v>6789</v>
      </c>
      <c r="C4928" s="24" t="s">
        <v>6876</v>
      </c>
      <c r="D4928" s="59">
        <v>12.0</v>
      </c>
      <c r="E4928" s="59">
        <v>14.0</v>
      </c>
      <c r="F4928" s="59">
        <v>5.0</v>
      </c>
      <c r="G4928" s="60">
        <v>1.16666666666666</v>
      </c>
      <c r="H4928" s="60">
        <v>0.0714285714285714</v>
      </c>
      <c r="I4928" s="60">
        <v>449.391472928571</v>
      </c>
      <c r="J4928" s="59">
        <v>43.0</v>
      </c>
      <c r="K4928" s="61">
        <f t="shared" si="1"/>
        <v>0.3571428571</v>
      </c>
      <c r="L4928" s="62">
        <f t="shared" si="2"/>
        <v>3.071428571</v>
      </c>
    </row>
    <row r="4929">
      <c r="A4929" s="58">
        <v>45778.0</v>
      </c>
      <c r="B4929" s="24" t="s">
        <v>6789</v>
      </c>
      <c r="C4929" s="24" t="s">
        <v>7077</v>
      </c>
      <c r="D4929" s="59">
        <v>12.0</v>
      </c>
      <c r="E4929" s="59">
        <v>12.0</v>
      </c>
      <c r="F4929" s="59">
        <v>12.0</v>
      </c>
      <c r="G4929" s="60">
        <v>1.0</v>
      </c>
      <c r="H4929" s="60">
        <v>0.333333333333333</v>
      </c>
      <c r="I4929" s="60">
        <v>81.9580249166666</v>
      </c>
      <c r="J4929" s="59">
        <v>13.0</v>
      </c>
      <c r="K4929" s="61">
        <f t="shared" si="1"/>
        <v>1</v>
      </c>
      <c r="L4929" s="62">
        <f t="shared" si="2"/>
        <v>1.083333333</v>
      </c>
    </row>
    <row r="4930">
      <c r="A4930" s="58">
        <v>45778.0</v>
      </c>
      <c r="B4930" s="24" t="s">
        <v>6787</v>
      </c>
      <c r="C4930" s="24" t="s">
        <v>6876</v>
      </c>
      <c r="D4930" s="59">
        <v>11.0</v>
      </c>
      <c r="E4930" s="59">
        <v>11.0</v>
      </c>
      <c r="F4930" s="59">
        <v>6.0</v>
      </c>
      <c r="G4930" s="60">
        <v>1.1</v>
      </c>
      <c r="H4930" s="60">
        <v>0.545454545454545</v>
      </c>
      <c r="I4930" s="60">
        <v>153.738094181818</v>
      </c>
      <c r="J4930" s="59">
        <v>18.0</v>
      </c>
      <c r="K4930" s="61">
        <f t="shared" si="1"/>
        <v>0.5454545455</v>
      </c>
      <c r="L4930" s="62">
        <f t="shared" si="2"/>
        <v>1.636363636</v>
      </c>
    </row>
    <row r="4931">
      <c r="A4931" s="58">
        <v>45778.0</v>
      </c>
      <c r="B4931" s="24" t="s">
        <v>6787</v>
      </c>
      <c r="C4931" s="24" t="s">
        <v>6882</v>
      </c>
      <c r="D4931" s="59">
        <v>11.0</v>
      </c>
      <c r="E4931" s="59">
        <v>11.0</v>
      </c>
      <c r="F4931" s="59">
        <v>11.0</v>
      </c>
      <c r="G4931" s="60">
        <v>1.0</v>
      </c>
      <c r="H4931" s="60">
        <v>0.818181818181818</v>
      </c>
      <c r="I4931" s="60">
        <v>5.20007372727272</v>
      </c>
      <c r="J4931" s="59">
        <v>12.0</v>
      </c>
      <c r="K4931" s="61">
        <f t="shared" si="1"/>
        <v>1</v>
      </c>
      <c r="L4931" s="62">
        <f t="shared" si="2"/>
        <v>1.090909091</v>
      </c>
    </row>
    <row r="4932">
      <c r="A4932" s="58">
        <v>45778.0</v>
      </c>
      <c r="B4932" s="24" t="s">
        <v>6789</v>
      </c>
      <c r="C4932" s="24" t="s">
        <v>7404</v>
      </c>
      <c r="D4932" s="59">
        <v>11.0</v>
      </c>
      <c r="E4932" s="59">
        <v>17.0</v>
      </c>
      <c r="F4932" s="59">
        <v>9.0</v>
      </c>
      <c r="G4932" s="60">
        <v>1.54545454545454</v>
      </c>
      <c r="H4932" s="60">
        <v>0.529411764705882</v>
      </c>
      <c r="I4932" s="60">
        <v>313.960953647058</v>
      </c>
      <c r="J4932" s="59">
        <v>23.0</v>
      </c>
      <c r="K4932" s="61">
        <f t="shared" si="1"/>
        <v>0.5294117647</v>
      </c>
      <c r="L4932" s="62">
        <f t="shared" si="2"/>
        <v>1.352941176</v>
      </c>
    </row>
    <row r="4933">
      <c r="A4933" s="58">
        <v>45778.0</v>
      </c>
      <c r="B4933" s="24" t="s">
        <v>6790</v>
      </c>
      <c r="C4933" s="24" t="s">
        <v>6792</v>
      </c>
      <c r="D4933" s="59">
        <v>10.0</v>
      </c>
      <c r="E4933" s="59">
        <v>10.0</v>
      </c>
      <c r="F4933" s="59">
        <v>0.0</v>
      </c>
      <c r="G4933" s="60">
        <v>1.11111111111111</v>
      </c>
      <c r="H4933" s="60">
        <v>1.0</v>
      </c>
      <c r="I4933" s="60">
        <v>165.5220693</v>
      </c>
      <c r="J4933" s="59">
        <v>0.0</v>
      </c>
      <c r="K4933" s="61">
        <f t="shared" si="1"/>
        <v>0</v>
      </c>
      <c r="L4933" s="62">
        <f t="shared" si="2"/>
        <v>0</v>
      </c>
    </row>
    <row r="4934">
      <c r="A4934" s="58">
        <v>45778.0</v>
      </c>
      <c r="B4934" s="24" t="s">
        <v>6787</v>
      </c>
      <c r="C4934" s="24" t="s">
        <v>6804</v>
      </c>
      <c r="D4934" s="59">
        <v>10.0</v>
      </c>
      <c r="E4934" s="59">
        <v>12.0</v>
      </c>
      <c r="F4934" s="59">
        <v>10.0</v>
      </c>
      <c r="G4934" s="60">
        <v>1.2</v>
      </c>
      <c r="H4934" s="60">
        <v>0.75</v>
      </c>
      <c r="I4934" s="60">
        <v>146.335785666666</v>
      </c>
      <c r="J4934" s="59">
        <v>13.0</v>
      </c>
      <c r="K4934" s="61">
        <f t="shared" si="1"/>
        <v>0.8333333333</v>
      </c>
      <c r="L4934" s="62">
        <f t="shared" si="2"/>
        <v>1.083333333</v>
      </c>
    </row>
    <row r="4935">
      <c r="A4935" s="58">
        <v>45778.0</v>
      </c>
      <c r="B4935" s="24" t="s">
        <v>6789</v>
      </c>
      <c r="C4935" s="24" t="s">
        <v>7024</v>
      </c>
      <c r="D4935" s="59">
        <v>10.0</v>
      </c>
      <c r="E4935" s="59">
        <v>13.0</v>
      </c>
      <c r="F4935" s="59">
        <v>10.0</v>
      </c>
      <c r="G4935" s="60">
        <v>1.3</v>
      </c>
      <c r="H4935" s="60">
        <v>0.769230769230769</v>
      </c>
      <c r="I4935" s="60">
        <v>191.551910615384</v>
      </c>
      <c r="J4935" s="59">
        <v>15.0</v>
      </c>
      <c r="K4935" s="61">
        <f t="shared" si="1"/>
        <v>0.7692307692</v>
      </c>
      <c r="L4935" s="62">
        <f t="shared" si="2"/>
        <v>1.153846154</v>
      </c>
    </row>
    <row r="4936">
      <c r="A4936" s="58">
        <v>45778.0</v>
      </c>
      <c r="B4936" s="24" t="s">
        <v>6789</v>
      </c>
      <c r="C4936" s="24" t="s">
        <v>6835</v>
      </c>
      <c r="D4936" s="59">
        <v>10.0</v>
      </c>
      <c r="E4936" s="59">
        <v>10.0</v>
      </c>
      <c r="F4936" s="59">
        <v>10.0</v>
      </c>
      <c r="G4936" s="60">
        <v>1.0</v>
      </c>
      <c r="H4936" s="60">
        <v>0.2</v>
      </c>
      <c r="I4936" s="60">
        <v>365.6764606</v>
      </c>
      <c r="J4936" s="59">
        <v>11.0</v>
      </c>
      <c r="K4936" s="61">
        <f t="shared" si="1"/>
        <v>1</v>
      </c>
      <c r="L4936" s="62">
        <f t="shared" si="2"/>
        <v>1.1</v>
      </c>
    </row>
    <row r="4937">
      <c r="A4937" s="58">
        <v>45778.0</v>
      </c>
      <c r="B4937" s="24" t="s">
        <v>6789</v>
      </c>
      <c r="C4937" s="24" t="s">
        <v>6838</v>
      </c>
      <c r="D4937" s="59">
        <v>10.0</v>
      </c>
      <c r="E4937" s="59">
        <v>10.0</v>
      </c>
      <c r="F4937" s="59">
        <v>6.0</v>
      </c>
      <c r="G4937" s="60">
        <v>1.0</v>
      </c>
      <c r="H4937" s="60">
        <v>0.4</v>
      </c>
      <c r="I4937" s="60">
        <v>85.8143115</v>
      </c>
      <c r="J4937" s="59">
        <v>12.0</v>
      </c>
      <c r="K4937" s="61">
        <f t="shared" si="1"/>
        <v>0.6</v>
      </c>
      <c r="L4937" s="62">
        <f t="shared" si="2"/>
        <v>1.2</v>
      </c>
    </row>
    <row r="4938">
      <c r="A4938" s="58">
        <v>45778.0</v>
      </c>
      <c r="B4938" s="24" t="s">
        <v>3216</v>
      </c>
      <c r="C4938" s="24" t="s">
        <v>6822</v>
      </c>
      <c r="D4938" s="59">
        <v>10.0</v>
      </c>
      <c r="E4938" s="59">
        <v>10.0</v>
      </c>
      <c r="F4938" s="59">
        <v>10.0</v>
      </c>
      <c r="G4938" s="60">
        <v>1.0</v>
      </c>
      <c r="H4938" s="60">
        <v>1.0</v>
      </c>
      <c r="I4938" s="60">
        <v>0.0</v>
      </c>
      <c r="J4938" s="59">
        <v>10.0</v>
      </c>
      <c r="K4938" s="61">
        <f t="shared" si="1"/>
        <v>1</v>
      </c>
      <c r="L4938" s="62">
        <f t="shared" si="2"/>
        <v>1</v>
      </c>
    </row>
    <row r="4939">
      <c r="A4939" s="58">
        <v>45778.0</v>
      </c>
      <c r="B4939" s="24" t="s">
        <v>6789</v>
      </c>
      <c r="C4939" s="24" t="s">
        <v>6841</v>
      </c>
      <c r="D4939" s="59">
        <v>10.0</v>
      </c>
      <c r="E4939" s="59">
        <v>12.0</v>
      </c>
      <c r="F4939" s="59">
        <v>7.0</v>
      </c>
      <c r="G4939" s="60">
        <v>1.5</v>
      </c>
      <c r="H4939" s="60">
        <v>0.333333333333333</v>
      </c>
      <c r="I4939" s="60">
        <v>789.813375583333</v>
      </c>
      <c r="J4939" s="59">
        <v>20.0</v>
      </c>
      <c r="K4939" s="61">
        <f t="shared" si="1"/>
        <v>0.5833333333</v>
      </c>
      <c r="L4939" s="62">
        <f t="shared" si="2"/>
        <v>1.666666667</v>
      </c>
    </row>
    <row r="4940">
      <c r="A4940" s="58">
        <v>45778.0</v>
      </c>
      <c r="B4940" s="24" t="s">
        <v>155</v>
      </c>
      <c r="C4940" s="24" t="s">
        <v>7404</v>
      </c>
      <c r="D4940" s="59">
        <v>10.0</v>
      </c>
      <c r="E4940" s="59">
        <v>20.0</v>
      </c>
      <c r="F4940" s="59">
        <v>5.0</v>
      </c>
      <c r="G4940" s="60">
        <v>2.0</v>
      </c>
      <c r="H4940" s="60">
        <v>0.4</v>
      </c>
      <c r="I4940" s="60">
        <v>169.94876675</v>
      </c>
      <c r="J4940" s="59">
        <v>25.0</v>
      </c>
      <c r="K4940" s="61">
        <f t="shared" si="1"/>
        <v>0.25</v>
      </c>
      <c r="L4940" s="62">
        <f t="shared" si="2"/>
        <v>1.25</v>
      </c>
    </row>
    <row r="4941">
      <c r="A4941" s="58">
        <v>45778.0</v>
      </c>
      <c r="B4941" s="24" t="s">
        <v>6787</v>
      </c>
      <c r="C4941" s="24" t="s">
        <v>6800</v>
      </c>
      <c r="D4941" s="59">
        <v>9.0</v>
      </c>
      <c r="E4941" s="59">
        <v>9.0</v>
      </c>
      <c r="F4941" s="59">
        <v>9.0</v>
      </c>
      <c r="G4941" s="60">
        <v>1.0</v>
      </c>
      <c r="H4941" s="60">
        <v>0.555555555555555</v>
      </c>
      <c r="I4941" s="60">
        <v>17.1350097777777</v>
      </c>
      <c r="J4941" s="59">
        <v>13.0</v>
      </c>
      <c r="K4941" s="61">
        <f t="shared" si="1"/>
        <v>1</v>
      </c>
      <c r="L4941" s="62">
        <f t="shared" si="2"/>
        <v>1.444444444</v>
      </c>
    </row>
    <row r="4942">
      <c r="A4942" s="58">
        <v>45778.0</v>
      </c>
      <c r="B4942" s="24" t="s">
        <v>6787</v>
      </c>
      <c r="C4942" s="24" t="s">
        <v>6945</v>
      </c>
      <c r="D4942" s="59">
        <v>8.0</v>
      </c>
      <c r="E4942" s="59">
        <v>8.0</v>
      </c>
      <c r="F4942" s="59">
        <v>8.0</v>
      </c>
      <c r="G4942" s="60">
        <v>1.0</v>
      </c>
      <c r="H4942" s="60">
        <v>1.0</v>
      </c>
      <c r="I4942" s="60">
        <v>0.0</v>
      </c>
      <c r="J4942" s="59">
        <v>8.0</v>
      </c>
      <c r="K4942" s="61">
        <f t="shared" si="1"/>
        <v>1</v>
      </c>
      <c r="L4942" s="62">
        <f t="shared" si="2"/>
        <v>1</v>
      </c>
    </row>
    <row r="4943">
      <c r="A4943" s="58">
        <v>45778.0</v>
      </c>
      <c r="B4943" s="24" t="s">
        <v>6787</v>
      </c>
      <c r="C4943" s="24" t="s">
        <v>6886</v>
      </c>
      <c r="D4943" s="59">
        <v>8.0</v>
      </c>
      <c r="E4943" s="59">
        <v>11.0</v>
      </c>
      <c r="F4943" s="59">
        <v>6.0</v>
      </c>
      <c r="G4943" s="60">
        <v>1.375</v>
      </c>
      <c r="H4943" s="60">
        <v>0.272727272727272</v>
      </c>
      <c r="I4943" s="60">
        <v>488.994437454545</v>
      </c>
      <c r="J4943" s="59">
        <v>18.0</v>
      </c>
      <c r="K4943" s="61">
        <f t="shared" si="1"/>
        <v>0.5454545455</v>
      </c>
      <c r="L4943" s="62">
        <f t="shared" si="2"/>
        <v>1.636363636</v>
      </c>
    </row>
    <row r="4944">
      <c r="A4944" s="58">
        <v>45778.0</v>
      </c>
      <c r="B4944" s="24" t="s">
        <v>6789</v>
      </c>
      <c r="C4944" s="24" t="s">
        <v>6997</v>
      </c>
      <c r="D4944" s="59">
        <v>8.0</v>
      </c>
      <c r="E4944" s="59">
        <v>8.0</v>
      </c>
      <c r="F4944" s="59">
        <v>8.0</v>
      </c>
      <c r="G4944" s="60">
        <v>1.0</v>
      </c>
      <c r="H4944" s="60">
        <v>0.375</v>
      </c>
      <c r="I4944" s="60">
        <v>207.4408</v>
      </c>
      <c r="J4944" s="59">
        <v>13.0</v>
      </c>
      <c r="K4944" s="61">
        <f t="shared" si="1"/>
        <v>1</v>
      </c>
      <c r="L4944" s="62">
        <f t="shared" si="2"/>
        <v>1.625</v>
      </c>
    </row>
    <row r="4945">
      <c r="A4945" s="58">
        <v>45778.0</v>
      </c>
      <c r="B4945" s="24" t="s">
        <v>6787</v>
      </c>
      <c r="C4945" s="24" t="s">
        <v>6822</v>
      </c>
      <c r="D4945" s="59">
        <v>8.0</v>
      </c>
      <c r="E4945" s="59">
        <v>10.0</v>
      </c>
      <c r="F4945" s="59">
        <v>5.0</v>
      </c>
      <c r="G4945" s="60">
        <v>1.42857142857142</v>
      </c>
      <c r="H4945" s="60">
        <v>0.6</v>
      </c>
      <c r="I4945" s="60">
        <v>11.4090335</v>
      </c>
      <c r="J4945" s="59">
        <v>13.0</v>
      </c>
      <c r="K4945" s="61">
        <f t="shared" si="1"/>
        <v>0.5</v>
      </c>
      <c r="L4945" s="62">
        <f t="shared" si="2"/>
        <v>1.3</v>
      </c>
    </row>
    <row r="4946">
      <c r="A4946" s="58">
        <v>45778.0</v>
      </c>
      <c r="B4946" s="24" t="s">
        <v>6787</v>
      </c>
      <c r="C4946" s="24" t="s">
        <v>6814</v>
      </c>
      <c r="D4946" s="59">
        <v>8.0</v>
      </c>
      <c r="E4946" s="59">
        <v>9.0</v>
      </c>
      <c r="F4946" s="59">
        <v>3.0</v>
      </c>
      <c r="G4946" s="60">
        <v>1.125</v>
      </c>
      <c r="H4946" s="60">
        <v>0.333333333333333</v>
      </c>
      <c r="I4946" s="60">
        <v>147.321681222222</v>
      </c>
      <c r="J4946" s="59">
        <v>19.0</v>
      </c>
      <c r="K4946" s="61">
        <f t="shared" si="1"/>
        <v>0.3333333333</v>
      </c>
      <c r="L4946" s="62">
        <f t="shared" si="2"/>
        <v>2.111111111</v>
      </c>
    </row>
    <row r="4947">
      <c r="A4947" s="58">
        <v>45778.0</v>
      </c>
      <c r="B4947" s="24" t="s">
        <v>6794</v>
      </c>
      <c r="C4947" s="24" t="s">
        <v>7384</v>
      </c>
      <c r="D4947" s="59">
        <v>8.0</v>
      </c>
      <c r="E4947" s="59">
        <v>9.0</v>
      </c>
      <c r="F4947" s="59">
        <v>7.0</v>
      </c>
      <c r="G4947" s="60">
        <v>1.125</v>
      </c>
      <c r="H4947" s="60">
        <v>0.333333333333333</v>
      </c>
      <c r="I4947" s="60">
        <v>160.595517</v>
      </c>
      <c r="J4947" s="59">
        <v>10.0</v>
      </c>
      <c r="K4947" s="61">
        <f t="shared" si="1"/>
        <v>0.7777777778</v>
      </c>
      <c r="L4947" s="62">
        <f t="shared" si="2"/>
        <v>1.111111111</v>
      </c>
    </row>
    <row r="4948">
      <c r="A4948" s="58">
        <v>45778.0</v>
      </c>
      <c r="B4948" s="24" t="s">
        <v>6789</v>
      </c>
      <c r="C4948" s="24" t="s">
        <v>6812</v>
      </c>
      <c r="D4948" s="59">
        <v>7.0</v>
      </c>
      <c r="E4948" s="59">
        <v>8.0</v>
      </c>
      <c r="F4948" s="59">
        <v>6.0</v>
      </c>
      <c r="G4948" s="60">
        <v>1.14285714285714</v>
      </c>
      <c r="H4948" s="60">
        <v>0.5</v>
      </c>
      <c r="I4948" s="60">
        <v>191.8616075</v>
      </c>
      <c r="J4948" s="59">
        <v>19.0</v>
      </c>
      <c r="K4948" s="61">
        <f t="shared" si="1"/>
        <v>0.75</v>
      </c>
      <c r="L4948" s="62">
        <f t="shared" si="2"/>
        <v>2.375</v>
      </c>
    </row>
    <row r="4949">
      <c r="A4949" s="58">
        <v>45778.0</v>
      </c>
      <c r="B4949" s="24" t="s">
        <v>3216</v>
      </c>
      <c r="C4949" s="24" t="s">
        <v>6792</v>
      </c>
      <c r="D4949" s="59">
        <v>6.0</v>
      </c>
      <c r="E4949" s="59">
        <v>6.0</v>
      </c>
      <c r="F4949" s="59">
        <v>0.0</v>
      </c>
      <c r="G4949" s="60">
        <v>2.0</v>
      </c>
      <c r="H4949" s="60">
        <v>1.0</v>
      </c>
      <c r="I4949" s="60">
        <v>0.251175833333333</v>
      </c>
      <c r="J4949" s="59">
        <v>0.0</v>
      </c>
      <c r="K4949" s="61">
        <f t="shared" si="1"/>
        <v>0</v>
      </c>
      <c r="L4949" s="62">
        <f t="shared" si="2"/>
        <v>0</v>
      </c>
    </row>
    <row r="4950">
      <c r="A4950" s="58">
        <v>45778.0</v>
      </c>
      <c r="B4950" s="24" t="s">
        <v>6789</v>
      </c>
      <c r="C4950" s="24" t="s">
        <v>6819</v>
      </c>
      <c r="D4950" s="59">
        <v>6.0</v>
      </c>
      <c r="E4950" s="59">
        <v>7.0</v>
      </c>
      <c r="F4950" s="59">
        <v>5.0</v>
      </c>
      <c r="G4950" s="60">
        <v>1.16666666666666</v>
      </c>
      <c r="H4950" s="60">
        <v>0.428571428571428</v>
      </c>
      <c r="I4950" s="60">
        <v>220.493945857142</v>
      </c>
      <c r="J4950" s="59">
        <v>7.0</v>
      </c>
      <c r="K4950" s="61">
        <f t="shared" si="1"/>
        <v>0.7142857143</v>
      </c>
      <c r="L4950" s="62">
        <f t="shared" si="2"/>
        <v>1</v>
      </c>
    </row>
    <row r="4951">
      <c r="A4951" s="58">
        <v>45778.0</v>
      </c>
      <c r="B4951" s="24" t="s">
        <v>6787</v>
      </c>
      <c r="C4951" s="24" t="s">
        <v>6887</v>
      </c>
      <c r="D4951" s="59">
        <v>6.0</v>
      </c>
      <c r="E4951" s="59">
        <v>6.0</v>
      </c>
      <c r="F4951" s="59">
        <v>6.0</v>
      </c>
      <c r="G4951" s="60">
        <v>1.0</v>
      </c>
      <c r="H4951" s="60">
        <v>1.0</v>
      </c>
      <c r="I4951" s="60">
        <v>4.67411283333333</v>
      </c>
      <c r="J4951" s="59">
        <v>6.0</v>
      </c>
      <c r="K4951" s="61">
        <f t="shared" si="1"/>
        <v>1</v>
      </c>
      <c r="L4951" s="62">
        <f t="shared" si="2"/>
        <v>1</v>
      </c>
    </row>
    <row r="4952">
      <c r="A4952" s="58">
        <v>45778.0</v>
      </c>
      <c r="B4952" s="24" t="s">
        <v>6789</v>
      </c>
      <c r="C4952" s="24" t="s">
        <v>6892</v>
      </c>
      <c r="D4952" s="59">
        <v>6.0</v>
      </c>
      <c r="E4952" s="59">
        <v>6.0</v>
      </c>
      <c r="F4952" s="59">
        <v>6.0</v>
      </c>
      <c r="G4952" s="60">
        <v>1.0</v>
      </c>
      <c r="H4952" s="60">
        <v>0.5</v>
      </c>
      <c r="I4952" s="60">
        <v>11.3941455</v>
      </c>
      <c r="J4952" s="59">
        <v>7.0</v>
      </c>
      <c r="K4952" s="61">
        <f t="shared" si="1"/>
        <v>1</v>
      </c>
      <c r="L4952" s="62">
        <f t="shared" si="2"/>
        <v>1.166666667</v>
      </c>
    </row>
    <row r="4953">
      <c r="A4953" s="58">
        <v>45778.0</v>
      </c>
      <c r="B4953" s="24" t="s">
        <v>6789</v>
      </c>
      <c r="C4953" s="24" t="s">
        <v>6811</v>
      </c>
      <c r="D4953" s="59">
        <v>6.0</v>
      </c>
      <c r="E4953" s="59">
        <v>6.0</v>
      </c>
      <c r="F4953" s="59">
        <v>5.0</v>
      </c>
      <c r="G4953" s="60">
        <v>1.0</v>
      </c>
      <c r="H4953" s="60">
        <v>0.333333333333333</v>
      </c>
      <c r="I4953" s="60">
        <v>482.593809666666</v>
      </c>
      <c r="J4953" s="59">
        <v>13.0</v>
      </c>
      <c r="K4953" s="61">
        <f t="shared" si="1"/>
        <v>0.8333333333</v>
      </c>
      <c r="L4953" s="62">
        <f t="shared" si="2"/>
        <v>2.166666667</v>
      </c>
    </row>
    <row r="4954">
      <c r="A4954" s="58">
        <v>45778.0</v>
      </c>
      <c r="B4954" s="24" t="s">
        <v>6787</v>
      </c>
      <c r="C4954" s="24" t="s">
        <v>6796</v>
      </c>
      <c r="D4954" s="59">
        <v>6.0</v>
      </c>
      <c r="E4954" s="59">
        <v>7.0</v>
      </c>
      <c r="F4954" s="59">
        <v>4.0</v>
      </c>
      <c r="G4954" s="60">
        <v>1.16666666666666</v>
      </c>
      <c r="H4954" s="60">
        <v>0.285714285714285</v>
      </c>
      <c r="I4954" s="60">
        <v>108.170905428571</v>
      </c>
      <c r="J4954" s="59">
        <v>13.0</v>
      </c>
      <c r="K4954" s="61">
        <f t="shared" si="1"/>
        <v>0.5714285714</v>
      </c>
      <c r="L4954" s="62">
        <f t="shared" si="2"/>
        <v>1.857142857</v>
      </c>
    </row>
    <row r="4955">
      <c r="A4955" s="58">
        <v>45778.0</v>
      </c>
      <c r="B4955" s="24" t="s">
        <v>155</v>
      </c>
      <c r="C4955" s="24" t="s">
        <v>6809</v>
      </c>
      <c r="D4955" s="59">
        <v>6.0</v>
      </c>
      <c r="E4955" s="59">
        <v>6.0</v>
      </c>
      <c r="F4955" s="59">
        <v>5.0</v>
      </c>
      <c r="G4955" s="60">
        <v>1.0</v>
      </c>
      <c r="H4955" s="60">
        <v>0.333333333333333</v>
      </c>
      <c r="I4955" s="60">
        <v>175.9030845</v>
      </c>
      <c r="J4955" s="59">
        <v>7.0</v>
      </c>
      <c r="K4955" s="61">
        <f t="shared" si="1"/>
        <v>0.8333333333</v>
      </c>
      <c r="L4955" s="62">
        <f t="shared" si="2"/>
        <v>1.166666667</v>
      </c>
    </row>
    <row r="4956">
      <c r="A4956" s="58">
        <v>45778.0</v>
      </c>
      <c r="B4956" s="24" t="s">
        <v>6787</v>
      </c>
      <c r="C4956" s="24" t="s">
        <v>6910</v>
      </c>
      <c r="D4956" s="59">
        <v>6.0</v>
      </c>
      <c r="E4956" s="59">
        <v>6.0</v>
      </c>
      <c r="F4956" s="59">
        <v>6.0</v>
      </c>
      <c r="G4956" s="60">
        <v>1.0</v>
      </c>
      <c r="H4956" s="60">
        <v>0.333333333333333</v>
      </c>
      <c r="I4956" s="60">
        <v>323.924745333333</v>
      </c>
      <c r="J4956" s="59">
        <v>18.0</v>
      </c>
      <c r="K4956" s="61">
        <f t="shared" si="1"/>
        <v>1</v>
      </c>
      <c r="L4956" s="62">
        <f t="shared" si="2"/>
        <v>3</v>
      </c>
    </row>
    <row r="4957">
      <c r="A4957" s="58">
        <v>45778.0</v>
      </c>
      <c r="B4957" s="24" t="s">
        <v>6787</v>
      </c>
      <c r="C4957" s="24" t="s">
        <v>6851</v>
      </c>
      <c r="D4957" s="59">
        <v>6.0</v>
      </c>
      <c r="E4957" s="59">
        <v>6.0</v>
      </c>
      <c r="F4957" s="59">
        <v>4.0</v>
      </c>
      <c r="G4957" s="60">
        <v>1.0</v>
      </c>
      <c r="H4957" s="60">
        <v>0.5</v>
      </c>
      <c r="I4957" s="60">
        <v>49.8454266666666</v>
      </c>
      <c r="J4957" s="59">
        <v>9.0</v>
      </c>
      <c r="K4957" s="61">
        <f t="shared" si="1"/>
        <v>0.6666666667</v>
      </c>
      <c r="L4957" s="62">
        <f t="shared" si="2"/>
        <v>1.5</v>
      </c>
    </row>
    <row r="4958">
      <c r="A4958" s="58">
        <v>45778.0</v>
      </c>
      <c r="B4958" s="24" t="s">
        <v>6787</v>
      </c>
      <c r="C4958" s="24" t="s">
        <v>6922</v>
      </c>
      <c r="D4958" s="59">
        <v>6.0</v>
      </c>
      <c r="E4958" s="59">
        <v>6.0</v>
      </c>
      <c r="F4958" s="59">
        <v>5.0</v>
      </c>
      <c r="G4958" s="60">
        <v>1.0</v>
      </c>
      <c r="H4958" s="60">
        <v>0.833333333333333</v>
      </c>
      <c r="I4958" s="60">
        <v>7.72246866666666</v>
      </c>
      <c r="J4958" s="59">
        <v>6.0</v>
      </c>
      <c r="K4958" s="61">
        <f t="shared" si="1"/>
        <v>0.8333333333</v>
      </c>
      <c r="L4958" s="62">
        <f t="shared" si="2"/>
        <v>1</v>
      </c>
    </row>
    <row r="4959">
      <c r="A4959" s="58">
        <v>45778.0</v>
      </c>
      <c r="B4959" s="24" t="s">
        <v>6789</v>
      </c>
      <c r="C4959" s="24" t="s">
        <v>6803</v>
      </c>
      <c r="D4959" s="59">
        <v>5.0</v>
      </c>
      <c r="E4959" s="59">
        <v>10.0</v>
      </c>
      <c r="F4959" s="59">
        <v>4.0</v>
      </c>
      <c r="G4959" s="60">
        <v>2.0</v>
      </c>
      <c r="H4959" s="60">
        <v>0.6</v>
      </c>
      <c r="I4959" s="60">
        <v>162.8534174</v>
      </c>
      <c r="J4959" s="59">
        <v>13.0</v>
      </c>
      <c r="K4959" s="61">
        <f t="shared" si="1"/>
        <v>0.4</v>
      </c>
      <c r="L4959" s="62">
        <f t="shared" si="2"/>
        <v>1.3</v>
      </c>
    </row>
    <row r="4960">
      <c r="A4960" s="58">
        <v>45778.0</v>
      </c>
      <c r="B4960" s="24" t="s">
        <v>6787</v>
      </c>
      <c r="C4960" s="24" t="s">
        <v>6817</v>
      </c>
      <c r="D4960" s="59">
        <v>5.0</v>
      </c>
      <c r="E4960" s="59">
        <v>5.0</v>
      </c>
      <c r="F4960" s="59">
        <v>5.0</v>
      </c>
      <c r="G4960" s="60">
        <v>1.0</v>
      </c>
      <c r="H4960" s="60">
        <v>0.8</v>
      </c>
      <c r="I4960" s="60">
        <v>37.0779858</v>
      </c>
      <c r="J4960" s="59">
        <v>13.0</v>
      </c>
      <c r="K4960" s="61">
        <f t="shared" si="1"/>
        <v>1</v>
      </c>
      <c r="L4960" s="62">
        <f t="shared" si="2"/>
        <v>2.6</v>
      </c>
    </row>
    <row r="4961">
      <c r="A4961" s="58">
        <v>45778.0</v>
      </c>
      <c r="B4961" s="24" t="s">
        <v>155</v>
      </c>
      <c r="C4961" s="24" t="s">
        <v>7056</v>
      </c>
      <c r="D4961" s="59">
        <v>5.0</v>
      </c>
      <c r="E4961" s="59">
        <v>10.0</v>
      </c>
      <c r="F4961" s="59">
        <v>5.0</v>
      </c>
      <c r="G4961" s="60">
        <v>2.0</v>
      </c>
      <c r="H4961" s="60">
        <v>0.9</v>
      </c>
      <c r="I4961" s="60">
        <v>2.91999999999999E-5</v>
      </c>
      <c r="J4961" s="59">
        <v>11.0</v>
      </c>
      <c r="K4961" s="61">
        <f t="shared" si="1"/>
        <v>0.5</v>
      </c>
      <c r="L4961" s="62">
        <f t="shared" si="2"/>
        <v>1.1</v>
      </c>
    </row>
    <row r="4962">
      <c r="A4962" s="58">
        <v>45778.0</v>
      </c>
      <c r="B4962" s="24" t="s">
        <v>6787</v>
      </c>
      <c r="C4962" s="24" t="s">
        <v>6838</v>
      </c>
      <c r="D4962" s="59">
        <v>5.0</v>
      </c>
      <c r="E4962" s="59">
        <v>5.0</v>
      </c>
      <c r="F4962" s="59">
        <v>5.0</v>
      </c>
      <c r="G4962" s="60">
        <v>1.0</v>
      </c>
      <c r="H4962" s="60">
        <v>0.6</v>
      </c>
      <c r="I4962" s="60">
        <v>60.5862032</v>
      </c>
      <c r="J4962" s="59">
        <v>9.0</v>
      </c>
      <c r="K4962" s="61">
        <f t="shared" si="1"/>
        <v>1</v>
      </c>
      <c r="L4962" s="62">
        <f t="shared" si="2"/>
        <v>1.8</v>
      </c>
    </row>
    <row r="4963">
      <c r="A4963" s="58">
        <v>45778.0</v>
      </c>
      <c r="B4963" s="24" t="s">
        <v>7100</v>
      </c>
      <c r="C4963" s="24" t="s">
        <v>7301</v>
      </c>
      <c r="D4963" s="59">
        <v>5.0</v>
      </c>
      <c r="E4963" s="59">
        <v>7.0</v>
      </c>
      <c r="F4963" s="59">
        <v>4.0</v>
      </c>
      <c r="G4963" s="60">
        <v>1.75</v>
      </c>
      <c r="H4963" s="60">
        <v>0.571428571428571</v>
      </c>
      <c r="I4963" s="60">
        <v>7.85308442857142</v>
      </c>
      <c r="J4963" s="59">
        <v>7.0</v>
      </c>
      <c r="K4963" s="61">
        <f t="shared" si="1"/>
        <v>0.5714285714</v>
      </c>
      <c r="L4963" s="62">
        <f t="shared" si="2"/>
        <v>1</v>
      </c>
    </row>
    <row r="4964">
      <c r="A4964" s="58">
        <v>45778.0</v>
      </c>
      <c r="B4964" s="24" t="s">
        <v>6789</v>
      </c>
      <c r="C4964" s="24" t="s">
        <v>6806</v>
      </c>
      <c r="D4964" s="59">
        <v>5.0</v>
      </c>
      <c r="E4964" s="59">
        <v>5.0</v>
      </c>
      <c r="F4964" s="59">
        <v>5.0</v>
      </c>
      <c r="G4964" s="60">
        <v>1.0</v>
      </c>
      <c r="H4964" s="60">
        <v>0.2</v>
      </c>
      <c r="I4964" s="60">
        <v>33.6807288</v>
      </c>
      <c r="J4964" s="59">
        <v>5.0</v>
      </c>
      <c r="K4964" s="61">
        <f t="shared" si="1"/>
        <v>1</v>
      </c>
      <c r="L4964" s="62">
        <f t="shared" si="2"/>
        <v>1</v>
      </c>
    </row>
    <row r="4965">
      <c r="A4965" s="58">
        <v>45778.0</v>
      </c>
      <c r="B4965" s="24" t="s">
        <v>6787</v>
      </c>
      <c r="C4965" s="24" t="s">
        <v>7087</v>
      </c>
      <c r="D4965" s="59">
        <v>5.0</v>
      </c>
      <c r="E4965" s="59">
        <v>5.0</v>
      </c>
      <c r="F4965" s="59">
        <v>4.0</v>
      </c>
      <c r="G4965" s="60">
        <v>1.0</v>
      </c>
      <c r="H4965" s="60">
        <v>0.6</v>
      </c>
      <c r="I4965" s="60">
        <v>14.244264</v>
      </c>
      <c r="J4965" s="59">
        <v>6.0</v>
      </c>
      <c r="K4965" s="61">
        <f t="shared" si="1"/>
        <v>0.8</v>
      </c>
      <c r="L4965" s="62">
        <f t="shared" si="2"/>
        <v>1.2</v>
      </c>
    </row>
    <row r="4966">
      <c r="A4966" s="58">
        <v>45778.0</v>
      </c>
      <c r="B4966" s="24" t="s">
        <v>6789</v>
      </c>
      <c r="C4966" s="24" t="s">
        <v>6960</v>
      </c>
      <c r="D4966" s="59">
        <v>5.0</v>
      </c>
      <c r="E4966" s="59">
        <v>5.0</v>
      </c>
      <c r="F4966" s="59">
        <v>2.0</v>
      </c>
      <c r="G4966" s="60">
        <v>1.0</v>
      </c>
      <c r="H4966" s="60">
        <v>0.2</v>
      </c>
      <c r="I4966" s="60">
        <v>225.562235599999</v>
      </c>
      <c r="J4966" s="59">
        <v>10.0</v>
      </c>
      <c r="K4966" s="61">
        <f t="shared" si="1"/>
        <v>0.4</v>
      </c>
      <c r="L4966" s="62">
        <f t="shared" si="2"/>
        <v>2</v>
      </c>
    </row>
    <row r="4967">
      <c r="A4967" s="58">
        <v>45778.0</v>
      </c>
      <c r="B4967" s="24" t="s">
        <v>6789</v>
      </c>
      <c r="C4967" s="24" t="s">
        <v>6851</v>
      </c>
      <c r="D4967" s="59">
        <v>5.0</v>
      </c>
      <c r="E4967" s="59">
        <v>5.0</v>
      </c>
      <c r="F4967" s="59">
        <v>1.0</v>
      </c>
      <c r="G4967" s="60">
        <v>1.66666666666666</v>
      </c>
      <c r="H4967" s="60">
        <v>0.6</v>
      </c>
      <c r="I4967" s="60">
        <v>57.3379474</v>
      </c>
      <c r="J4967" s="59">
        <v>9.0</v>
      </c>
      <c r="K4967" s="61">
        <f t="shared" si="1"/>
        <v>0.2</v>
      </c>
      <c r="L4967" s="62">
        <f t="shared" si="2"/>
        <v>1.8</v>
      </c>
    </row>
    <row r="4968">
      <c r="A4968" s="58">
        <v>45778.0</v>
      </c>
      <c r="B4968" s="24" t="s">
        <v>6789</v>
      </c>
      <c r="C4968" s="24" t="s">
        <v>6801</v>
      </c>
      <c r="D4968" s="59">
        <v>5.0</v>
      </c>
      <c r="E4968" s="59">
        <v>5.0</v>
      </c>
      <c r="F4968" s="59">
        <v>2.0</v>
      </c>
      <c r="G4968" s="60">
        <v>1.25</v>
      </c>
      <c r="H4968" s="60">
        <v>0.4</v>
      </c>
      <c r="I4968" s="60">
        <v>69.9260808</v>
      </c>
      <c r="J4968" s="59">
        <v>8.0</v>
      </c>
      <c r="K4968" s="61">
        <f t="shared" si="1"/>
        <v>0.4</v>
      </c>
      <c r="L4968" s="62">
        <f t="shared" si="2"/>
        <v>1.6</v>
      </c>
    </row>
    <row r="4969">
      <c r="A4969" s="58">
        <v>45778.0</v>
      </c>
      <c r="B4969" s="24" t="s">
        <v>155</v>
      </c>
      <c r="C4969" s="24" t="s">
        <v>6814</v>
      </c>
      <c r="D4969" s="59">
        <v>5.0</v>
      </c>
      <c r="E4969" s="59">
        <v>5.0</v>
      </c>
      <c r="F4969" s="59">
        <v>1.0</v>
      </c>
      <c r="G4969" s="60">
        <v>1.0</v>
      </c>
      <c r="H4969" s="60">
        <v>0.4</v>
      </c>
      <c r="I4969" s="60">
        <v>468.962641599999</v>
      </c>
      <c r="J4969" s="59">
        <v>10.0</v>
      </c>
      <c r="K4969" s="61">
        <f t="shared" si="1"/>
        <v>0.2</v>
      </c>
      <c r="L4969" s="62">
        <f t="shared" si="2"/>
        <v>2</v>
      </c>
    </row>
    <row r="4970">
      <c r="A4970" s="58">
        <v>45778.0</v>
      </c>
      <c r="B4970" s="24" t="s">
        <v>6787</v>
      </c>
      <c r="C4970" s="24" t="s">
        <v>7107</v>
      </c>
      <c r="D4970" s="59">
        <v>5.0</v>
      </c>
      <c r="E4970" s="59">
        <v>5.0</v>
      </c>
      <c r="F4970" s="59">
        <v>5.0</v>
      </c>
      <c r="G4970" s="60">
        <v>1.0</v>
      </c>
      <c r="H4970" s="60">
        <v>0.6</v>
      </c>
      <c r="I4970" s="60">
        <v>224.7338346</v>
      </c>
      <c r="J4970" s="59">
        <v>7.0</v>
      </c>
      <c r="K4970" s="61">
        <f t="shared" si="1"/>
        <v>1</v>
      </c>
      <c r="L4970" s="62">
        <f t="shared" si="2"/>
        <v>1.4</v>
      </c>
    </row>
    <row r="4971">
      <c r="A4971" s="58">
        <v>45778.0</v>
      </c>
      <c r="B4971" s="24" t="s">
        <v>6789</v>
      </c>
      <c r="C4971" s="24" t="s">
        <v>6922</v>
      </c>
      <c r="D4971" s="59">
        <v>5.0</v>
      </c>
      <c r="E4971" s="59">
        <v>8.0</v>
      </c>
      <c r="F4971" s="59">
        <v>2.0</v>
      </c>
      <c r="G4971" s="60">
        <v>2.0</v>
      </c>
      <c r="H4971" s="60">
        <v>0.75</v>
      </c>
      <c r="I4971" s="60">
        <v>12.86593525</v>
      </c>
      <c r="J4971" s="59">
        <v>8.0</v>
      </c>
      <c r="K4971" s="61">
        <f t="shared" si="1"/>
        <v>0.25</v>
      </c>
      <c r="L4971" s="62">
        <f t="shared" si="2"/>
        <v>1</v>
      </c>
    </row>
    <row r="4972">
      <c r="A4972" s="58">
        <v>45778.0</v>
      </c>
      <c r="B4972" s="24" t="s">
        <v>6787</v>
      </c>
      <c r="C4972" s="24" t="s">
        <v>7387</v>
      </c>
      <c r="D4972" s="59">
        <v>5.0</v>
      </c>
      <c r="E4972" s="59">
        <v>5.0</v>
      </c>
      <c r="F4972" s="59">
        <v>4.0</v>
      </c>
      <c r="G4972" s="60">
        <v>1.0</v>
      </c>
      <c r="H4972" s="60">
        <v>0.6</v>
      </c>
      <c r="I4972" s="60">
        <v>25.3520492</v>
      </c>
      <c r="J4972" s="59">
        <v>5.0</v>
      </c>
      <c r="K4972" s="61">
        <f t="shared" si="1"/>
        <v>0.8</v>
      </c>
      <c r="L4972" s="62">
        <f t="shared" si="2"/>
        <v>1</v>
      </c>
    </row>
    <row r="4973">
      <c r="A4973" s="58">
        <v>45778.0</v>
      </c>
      <c r="B4973" s="24" t="s">
        <v>6787</v>
      </c>
      <c r="C4973" s="24" t="s">
        <v>6854</v>
      </c>
      <c r="D4973" s="59">
        <v>5.0</v>
      </c>
      <c r="E4973" s="59">
        <v>5.0</v>
      </c>
      <c r="F4973" s="59">
        <v>5.0</v>
      </c>
      <c r="G4973" s="60">
        <v>1.0</v>
      </c>
      <c r="H4973" s="60">
        <v>0.2</v>
      </c>
      <c r="I4973" s="60">
        <v>44.030197</v>
      </c>
      <c r="J4973" s="59">
        <v>12.0</v>
      </c>
      <c r="K4973" s="61">
        <f t="shared" si="1"/>
        <v>1</v>
      </c>
      <c r="L4973" s="62">
        <f t="shared" si="2"/>
        <v>2.4</v>
      </c>
    </row>
    <row r="4974">
      <c r="A4974" s="58">
        <v>45778.0</v>
      </c>
      <c r="B4974" s="24" t="s">
        <v>6787</v>
      </c>
      <c r="C4974" s="24" t="s">
        <v>7427</v>
      </c>
      <c r="D4974" s="59">
        <v>4.0</v>
      </c>
      <c r="E4974" s="59">
        <v>4.0</v>
      </c>
      <c r="F4974" s="59">
        <v>4.0</v>
      </c>
      <c r="G4974" s="60">
        <v>1.0</v>
      </c>
      <c r="H4974" s="60">
        <v>1.0</v>
      </c>
      <c r="I4974" s="60">
        <v>0.0</v>
      </c>
      <c r="J4974" s="59">
        <v>4.0</v>
      </c>
      <c r="K4974" s="61">
        <f t="shared" si="1"/>
        <v>1</v>
      </c>
      <c r="L4974" s="62">
        <f t="shared" si="2"/>
        <v>1</v>
      </c>
    </row>
    <row r="4975">
      <c r="A4975" s="58">
        <v>45778.0</v>
      </c>
      <c r="B4975" s="24" t="s">
        <v>6789</v>
      </c>
      <c r="C4975" s="24" t="s">
        <v>7056</v>
      </c>
      <c r="D4975" s="59">
        <v>4.0</v>
      </c>
      <c r="E4975" s="59">
        <v>4.0</v>
      </c>
      <c r="F4975" s="59">
        <v>4.0</v>
      </c>
      <c r="G4975" s="60">
        <v>1.0</v>
      </c>
      <c r="H4975" s="60">
        <v>0.5</v>
      </c>
      <c r="I4975" s="60">
        <v>24.1475942499999</v>
      </c>
      <c r="J4975" s="59">
        <v>4.0</v>
      </c>
      <c r="K4975" s="61">
        <f t="shared" si="1"/>
        <v>1</v>
      </c>
      <c r="L4975" s="62">
        <f t="shared" si="2"/>
        <v>1</v>
      </c>
    </row>
    <row r="4976">
      <c r="A4976" s="58">
        <v>45778.0</v>
      </c>
      <c r="B4976" s="24" t="s">
        <v>6789</v>
      </c>
      <c r="C4976" s="24" t="s">
        <v>6833</v>
      </c>
      <c r="D4976" s="59">
        <v>4.0</v>
      </c>
      <c r="E4976" s="59">
        <v>4.0</v>
      </c>
      <c r="F4976" s="59">
        <v>2.0</v>
      </c>
      <c r="G4976" s="60">
        <v>1.0</v>
      </c>
      <c r="H4976" s="60">
        <v>0.25</v>
      </c>
      <c r="I4976" s="60">
        <v>201.1620545</v>
      </c>
      <c r="J4976" s="59">
        <v>5.0</v>
      </c>
      <c r="K4976" s="61">
        <f t="shared" si="1"/>
        <v>0.5</v>
      </c>
      <c r="L4976" s="62">
        <f t="shared" si="2"/>
        <v>1.25</v>
      </c>
    </row>
    <row r="4977">
      <c r="A4977" s="58">
        <v>45778.0</v>
      </c>
      <c r="B4977" s="24" t="s">
        <v>6787</v>
      </c>
      <c r="C4977" s="24" t="s">
        <v>7068</v>
      </c>
      <c r="D4977" s="59">
        <v>4.0</v>
      </c>
      <c r="E4977" s="59">
        <v>4.0</v>
      </c>
      <c r="F4977" s="59">
        <v>4.0</v>
      </c>
      <c r="G4977" s="60">
        <v>1.0</v>
      </c>
      <c r="H4977" s="60">
        <v>0.75</v>
      </c>
      <c r="I4977" s="60">
        <v>20.976192</v>
      </c>
      <c r="J4977" s="59">
        <v>4.0</v>
      </c>
      <c r="K4977" s="61">
        <f t="shared" si="1"/>
        <v>1</v>
      </c>
      <c r="L4977" s="62">
        <f t="shared" si="2"/>
        <v>1</v>
      </c>
    </row>
    <row r="4978">
      <c r="A4978" s="58">
        <v>45778.0</v>
      </c>
      <c r="B4978" s="24" t="s">
        <v>6789</v>
      </c>
      <c r="C4978" s="24" t="s">
        <v>6886</v>
      </c>
      <c r="D4978" s="59">
        <v>4.0</v>
      </c>
      <c r="E4978" s="59">
        <v>6.0</v>
      </c>
      <c r="F4978" s="59">
        <v>1.0</v>
      </c>
      <c r="G4978" s="60">
        <v>1.5</v>
      </c>
      <c r="H4978" s="60">
        <v>0.333333333333333</v>
      </c>
      <c r="I4978" s="60">
        <v>203.5543765</v>
      </c>
      <c r="J4978" s="59">
        <v>11.0</v>
      </c>
      <c r="K4978" s="61">
        <f t="shared" si="1"/>
        <v>0.1666666667</v>
      </c>
      <c r="L4978" s="62">
        <f t="shared" si="2"/>
        <v>1.833333333</v>
      </c>
    </row>
    <row r="4979">
      <c r="A4979" s="58">
        <v>45778.0</v>
      </c>
      <c r="B4979" s="24" t="s">
        <v>6787</v>
      </c>
      <c r="C4979" s="24" t="s">
        <v>6841</v>
      </c>
      <c r="D4979" s="59">
        <v>4.0</v>
      </c>
      <c r="E4979" s="59">
        <v>4.0</v>
      </c>
      <c r="F4979" s="59">
        <v>4.0</v>
      </c>
      <c r="G4979" s="60">
        <v>1.0</v>
      </c>
      <c r="H4979" s="60">
        <v>0.5</v>
      </c>
      <c r="I4979" s="60">
        <v>47.8910525</v>
      </c>
      <c r="J4979" s="59">
        <v>4.0</v>
      </c>
      <c r="K4979" s="61">
        <f t="shared" si="1"/>
        <v>1</v>
      </c>
      <c r="L4979" s="62">
        <f t="shared" si="2"/>
        <v>1</v>
      </c>
    </row>
    <row r="4980">
      <c r="A4980" s="58">
        <v>45778.0</v>
      </c>
      <c r="B4980" s="24" t="s">
        <v>155</v>
      </c>
      <c r="C4980" s="24" t="s">
        <v>6841</v>
      </c>
      <c r="D4980" s="59">
        <v>4.0</v>
      </c>
      <c r="E4980" s="59">
        <v>4.0</v>
      </c>
      <c r="F4980" s="59">
        <v>3.0</v>
      </c>
      <c r="G4980" s="60">
        <v>1.0</v>
      </c>
      <c r="H4980" s="60">
        <v>0.75</v>
      </c>
      <c r="I4980" s="60">
        <v>477.242383</v>
      </c>
      <c r="J4980" s="59">
        <v>7.0</v>
      </c>
      <c r="K4980" s="61">
        <f t="shared" si="1"/>
        <v>0.75</v>
      </c>
      <c r="L4980" s="62">
        <f t="shared" si="2"/>
        <v>1.75</v>
      </c>
    </row>
    <row r="4981">
      <c r="A4981" s="58">
        <v>45778.0</v>
      </c>
      <c r="B4981" s="24" t="s">
        <v>6787</v>
      </c>
      <c r="C4981" s="24" t="s">
        <v>6807</v>
      </c>
      <c r="D4981" s="59">
        <v>4.0</v>
      </c>
      <c r="E4981" s="59">
        <v>4.0</v>
      </c>
      <c r="F4981" s="59">
        <v>4.0</v>
      </c>
      <c r="G4981" s="60">
        <v>1.0</v>
      </c>
      <c r="H4981" s="60">
        <v>1.0</v>
      </c>
      <c r="I4981" s="60">
        <v>0.79355075</v>
      </c>
      <c r="J4981" s="59">
        <v>4.0</v>
      </c>
      <c r="K4981" s="61">
        <f t="shared" si="1"/>
        <v>1</v>
      </c>
      <c r="L4981" s="62">
        <f t="shared" si="2"/>
        <v>1</v>
      </c>
    </row>
    <row r="4982">
      <c r="A4982" s="58">
        <v>45778.0</v>
      </c>
      <c r="B4982" s="24" t="s">
        <v>6789</v>
      </c>
      <c r="C4982" s="24" t="s">
        <v>7231</v>
      </c>
      <c r="D4982" s="59">
        <v>4.0</v>
      </c>
      <c r="E4982" s="59">
        <v>4.0</v>
      </c>
      <c r="F4982" s="59">
        <v>2.0</v>
      </c>
      <c r="G4982" s="60">
        <v>2.0</v>
      </c>
      <c r="H4982" s="60">
        <v>0.5</v>
      </c>
      <c r="I4982" s="60">
        <v>82.5500129999999</v>
      </c>
      <c r="J4982" s="59">
        <v>7.0</v>
      </c>
      <c r="K4982" s="61">
        <f t="shared" si="1"/>
        <v>0.5</v>
      </c>
      <c r="L4982" s="62">
        <f t="shared" si="2"/>
        <v>1.75</v>
      </c>
    </row>
    <row r="4983">
      <c r="A4983" s="58">
        <v>45778.0</v>
      </c>
      <c r="B4983" s="24" t="s">
        <v>6787</v>
      </c>
      <c r="C4983" s="24" t="s">
        <v>7184</v>
      </c>
      <c r="D4983" s="59">
        <v>4.0</v>
      </c>
      <c r="E4983" s="59">
        <v>4.0</v>
      </c>
      <c r="F4983" s="59">
        <v>4.0</v>
      </c>
      <c r="G4983" s="60">
        <v>1.0</v>
      </c>
      <c r="H4983" s="60">
        <v>0.75</v>
      </c>
      <c r="I4983" s="60">
        <v>7.39726875</v>
      </c>
      <c r="J4983" s="59">
        <v>4.0</v>
      </c>
      <c r="K4983" s="61">
        <f t="shared" si="1"/>
        <v>1</v>
      </c>
      <c r="L4983" s="62">
        <f t="shared" si="2"/>
        <v>1</v>
      </c>
    </row>
    <row r="4984">
      <c r="A4984" s="58">
        <v>45778.0</v>
      </c>
      <c r="B4984" s="24" t="s">
        <v>6789</v>
      </c>
      <c r="C4984" s="24" t="s">
        <v>6849</v>
      </c>
      <c r="D4984" s="59">
        <v>4.0</v>
      </c>
      <c r="E4984" s="59">
        <v>4.0</v>
      </c>
      <c r="F4984" s="59">
        <v>1.0</v>
      </c>
      <c r="G4984" s="60">
        <v>1.0</v>
      </c>
      <c r="H4984" s="60">
        <v>0.25</v>
      </c>
      <c r="I4984" s="60">
        <v>493.429040749999</v>
      </c>
      <c r="J4984" s="59">
        <v>7.0</v>
      </c>
      <c r="K4984" s="61">
        <f t="shared" si="1"/>
        <v>0.25</v>
      </c>
      <c r="L4984" s="62">
        <f t="shared" si="2"/>
        <v>1.75</v>
      </c>
    </row>
    <row r="4985">
      <c r="A4985" s="58">
        <v>45778.0</v>
      </c>
      <c r="B4985" s="24" t="s">
        <v>6787</v>
      </c>
      <c r="C4985" s="24" t="s">
        <v>7313</v>
      </c>
      <c r="D4985" s="59">
        <v>4.0</v>
      </c>
      <c r="E4985" s="59">
        <v>4.0</v>
      </c>
      <c r="F4985" s="59">
        <v>3.0</v>
      </c>
      <c r="G4985" s="60">
        <v>1.0</v>
      </c>
      <c r="H4985" s="60">
        <v>0.75</v>
      </c>
      <c r="I4985" s="60">
        <v>19.930695</v>
      </c>
      <c r="J4985" s="59">
        <v>7.0</v>
      </c>
      <c r="K4985" s="61">
        <f t="shared" si="1"/>
        <v>0.75</v>
      </c>
      <c r="L4985" s="62">
        <f t="shared" si="2"/>
        <v>1.75</v>
      </c>
    </row>
    <row r="4986">
      <c r="A4986" s="58">
        <v>45778.0</v>
      </c>
      <c r="B4986" s="24" t="s">
        <v>155</v>
      </c>
      <c r="C4986" s="24" t="s">
        <v>6910</v>
      </c>
      <c r="D4986" s="59">
        <v>4.0</v>
      </c>
      <c r="E4986" s="59">
        <v>10.0</v>
      </c>
      <c r="F4986" s="59">
        <v>2.0</v>
      </c>
      <c r="G4986" s="60">
        <v>2.5</v>
      </c>
      <c r="H4986" s="60">
        <v>0.5</v>
      </c>
      <c r="I4986" s="60">
        <v>150.7781018</v>
      </c>
      <c r="J4986" s="59">
        <v>14.0</v>
      </c>
      <c r="K4986" s="61">
        <f t="shared" si="1"/>
        <v>0.2</v>
      </c>
      <c r="L4986" s="62">
        <f t="shared" si="2"/>
        <v>1.4</v>
      </c>
    </row>
    <row r="4987">
      <c r="A4987" s="58">
        <v>45778.0</v>
      </c>
      <c r="B4987" s="24" t="s">
        <v>6789</v>
      </c>
      <c r="C4987" s="24" t="s">
        <v>6912</v>
      </c>
      <c r="D4987" s="59">
        <v>4.0</v>
      </c>
      <c r="E4987" s="59">
        <v>4.0</v>
      </c>
      <c r="F4987" s="59">
        <v>1.0</v>
      </c>
      <c r="G4987" s="60">
        <v>1.33333333333333</v>
      </c>
      <c r="H4987" s="60">
        <v>1.0</v>
      </c>
      <c r="I4987" s="60">
        <v>0.0</v>
      </c>
      <c r="J4987" s="59">
        <v>4.0</v>
      </c>
      <c r="K4987" s="61">
        <f t="shared" si="1"/>
        <v>0.25</v>
      </c>
      <c r="L4987" s="62">
        <f t="shared" si="2"/>
        <v>1</v>
      </c>
    </row>
    <row r="4988">
      <c r="A4988" s="58">
        <v>45778.0</v>
      </c>
      <c r="B4988" s="24" t="s">
        <v>6789</v>
      </c>
      <c r="C4988" s="24" t="s">
        <v>7180</v>
      </c>
      <c r="D4988" s="59">
        <v>4.0</v>
      </c>
      <c r="E4988" s="59">
        <v>4.0</v>
      </c>
      <c r="F4988" s="59">
        <v>4.0</v>
      </c>
      <c r="G4988" s="60">
        <v>1.0</v>
      </c>
      <c r="H4988" s="60">
        <v>0.75</v>
      </c>
      <c r="I4988" s="60">
        <v>5.32225275</v>
      </c>
      <c r="J4988" s="59">
        <v>4.0</v>
      </c>
      <c r="K4988" s="61">
        <f t="shared" si="1"/>
        <v>1</v>
      </c>
      <c r="L4988" s="62">
        <f t="shared" si="2"/>
        <v>1</v>
      </c>
    </row>
    <row r="4989">
      <c r="A4989" s="58">
        <v>45778.0</v>
      </c>
      <c r="B4989" s="24" t="s">
        <v>6794</v>
      </c>
      <c r="C4989" s="24" t="s">
        <v>6815</v>
      </c>
      <c r="D4989" s="59">
        <v>4.0</v>
      </c>
      <c r="E4989" s="59">
        <v>4.0</v>
      </c>
      <c r="F4989" s="59">
        <v>3.0</v>
      </c>
      <c r="G4989" s="60">
        <v>1.0</v>
      </c>
      <c r="H4989" s="60">
        <v>0.0</v>
      </c>
      <c r="I4989" s="60">
        <v>439.81310125</v>
      </c>
      <c r="J4989" s="59">
        <v>8.0</v>
      </c>
      <c r="K4989" s="61">
        <f t="shared" si="1"/>
        <v>0.75</v>
      </c>
      <c r="L4989" s="62">
        <f t="shared" si="2"/>
        <v>2</v>
      </c>
    </row>
    <row r="4990">
      <c r="A4990" s="58">
        <v>45778.0</v>
      </c>
      <c r="B4990" s="24" t="s">
        <v>155</v>
      </c>
      <c r="C4990" s="24" t="s">
        <v>6815</v>
      </c>
      <c r="D4990" s="59">
        <v>4.0</v>
      </c>
      <c r="E4990" s="59">
        <v>4.0</v>
      </c>
      <c r="F4990" s="59">
        <v>4.0</v>
      </c>
      <c r="G4990" s="60">
        <v>1.0</v>
      </c>
      <c r="H4990" s="60">
        <v>0.5</v>
      </c>
      <c r="I4990" s="60">
        <v>9.0354545</v>
      </c>
      <c r="J4990" s="59">
        <v>4.0</v>
      </c>
      <c r="K4990" s="61">
        <f t="shared" si="1"/>
        <v>1</v>
      </c>
      <c r="L4990" s="62">
        <f t="shared" si="2"/>
        <v>1</v>
      </c>
    </row>
    <row r="4991">
      <c r="A4991" s="58">
        <v>45778.0</v>
      </c>
      <c r="B4991" s="24" t="s">
        <v>6787</v>
      </c>
      <c r="C4991" s="24" t="s">
        <v>6853</v>
      </c>
      <c r="D4991" s="59">
        <v>4.0</v>
      </c>
      <c r="E4991" s="59">
        <v>4.0</v>
      </c>
      <c r="F4991" s="59">
        <v>4.0</v>
      </c>
      <c r="G4991" s="60">
        <v>1.0</v>
      </c>
      <c r="H4991" s="60">
        <v>0.5</v>
      </c>
      <c r="I4991" s="60">
        <v>12.46983925</v>
      </c>
      <c r="J4991" s="59">
        <v>5.0</v>
      </c>
      <c r="K4991" s="61">
        <f t="shared" si="1"/>
        <v>1</v>
      </c>
      <c r="L4991" s="62">
        <f t="shared" si="2"/>
        <v>1.25</v>
      </c>
    </row>
    <row r="4992">
      <c r="A4992" s="58">
        <v>45778.0</v>
      </c>
      <c r="B4992" s="24" t="s">
        <v>6787</v>
      </c>
      <c r="C4992" s="24" t="s">
        <v>6797</v>
      </c>
      <c r="D4992" s="59">
        <v>4.0</v>
      </c>
      <c r="E4992" s="59">
        <v>5.0</v>
      </c>
      <c r="F4992" s="59">
        <v>4.0</v>
      </c>
      <c r="G4992" s="60">
        <v>1.25</v>
      </c>
      <c r="H4992" s="60">
        <v>0.6</v>
      </c>
      <c r="I4992" s="60">
        <v>13.7729304</v>
      </c>
      <c r="J4992" s="59">
        <v>5.0</v>
      </c>
      <c r="K4992" s="61">
        <f t="shared" si="1"/>
        <v>0.8</v>
      </c>
      <c r="L4992" s="62">
        <f t="shared" si="2"/>
        <v>1</v>
      </c>
    </row>
    <row r="4993">
      <c r="A4993" s="58">
        <v>45778.0</v>
      </c>
      <c r="B4993" s="24" t="s">
        <v>6787</v>
      </c>
      <c r="C4993" s="24" t="s">
        <v>6803</v>
      </c>
      <c r="D4993" s="59">
        <v>3.0</v>
      </c>
      <c r="E4993" s="59">
        <v>3.0</v>
      </c>
      <c r="F4993" s="59">
        <v>3.0</v>
      </c>
      <c r="G4993" s="60">
        <v>1.0</v>
      </c>
      <c r="H4993" s="60">
        <v>1.0</v>
      </c>
      <c r="I4993" s="60">
        <v>0.0</v>
      </c>
      <c r="J4993" s="59">
        <v>3.0</v>
      </c>
      <c r="K4993" s="61">
        <f t="shared" si="1"/>
        <v>1</v>
      </c>
      <c r="L4993" s="62">
        <f t="shared" si="2"/>
        <v>1</v>
      </c>
    </row>
    <row r="4994">
      <c r="A4994" s="58">
        <v>45778.0</v>
      </c>
      <c r="B4994" s="24" t="s">
        <v>6789</v>
      </c>
      <c r="C4994" s="24" t="s">
        <v>6829</v>
      </c>
      <c r="D4994" s="59">
        <v>3.0</v>
      </c>
      <c r="E4994" s="59">
        <v>3.0</v>
      </c>
      <c r="F4994" s="59">
        <v>3.0</v>
      </c>
      <c r="G4994" s="60">
        <v>1.0</v>
      </c>
      <c r="H4994" s="60">
        <v>0.333333333333333</v>
      </c>
      <c r="I4994" s="60">
        <v>20.3320716666666</v>
      </c>
      <c r="J4994" s="59">
        <v>3.0</v>
      </c>
      <c r="K4994" s="61">
        <f t="shared" si="1"/>
        <v>1</v>
      </c>
      <c r="L4994" s="62">
        <f t="shared" si="2"/>
        <v>1</v>
      </c>
    </row>
    <row r="4995">
      <c r="A4995" s="58">
        <v>45778.0</v>
      </c>
      <c r="B4995" s="24" t="s">
        <v>6789</v>
      </c>
      <c r="C4995" s="24" t="s">
        <v>7057</v>
      </c>
      <c r="D4995" s="59">
        <v>3.0</v>
      </c>
      <c r="E4995" s="59">
        <v>3.0</v>
      </c>
      <c r="F4995" s="59">
        <v>2.0</v>
      </c>
      <c r="G4995" s="60">
        <v>1.0</v>
      </c>
      <c r="H4995" s="60">
        <v>0.0</v>
      </c>
      <c r="I4995" s="60">
        <v>775.323525333333</v>
      </c>
      <c r="J4995" s="59">
        <v>7.0</v>
      </c>
      <c r="K4995" s="61">
        <f t="shared" si="1"/>
        <v>0.6666666667</v>
      </c>
      <c r="L4995" s="62">
        <f t="shared" si="2"/>
        <v>2.333333333</v>
      </c>
    </row>
    <row r="4996">
      <c r="A4996" s="58">
        <v>45778.0</v>
      </c>
      <c r="B4996" s="24" t="s">
        <v>6789</v>
      </c>
      <c r="C4996" s="24" t="s">
        <v>6985</v>
      </c>
      <c r="D4996" s="59">
        <v>3.0</v>
      </c>
      <c r="E4996" s="59">
        <v>4.0</v>
      </c>
      <c r="F4996" s="59">
        <v>0.0</v>
      </c>
      <c r="G4996" s="60">
        <v>2.0</v>
      </c>
      <c r="H4996" s="60">
        <v>0.25</v>
      </c>
      <c r="I4996" s="60">
        <v>1514.68835524999</v>
      </c>
      <c r="J4996" s="59">
        <v>23.0</v>
      </c>
      <c r="K4996" s="61">
        <f t="shared" si="1"/>
        <v>0</v>
      </c>
      <c r="L4996" s="62">
        <f t="shared" si="2"/>
        <v>5.75</v>
      </c>
    </row>
    <row r="4997">
      <c r="A4997" s="58">
        <v>45778.0</v>
      </c>
      <c r="B4997" s="24" t="s">
        <v>6794</v>
      </c>
      <c r="C4997" s="24" t="s">
        <v>6872</v>
      </c>
      <c r="D4997" s="59">
        <v>3.0</v>
      </c>
      <c r="E4997" s="59">
        <v>7.0</v>
      </c>
      <c r="F4997" s="59">
        <v>1.0</v>
      </c>
      <c r="G4997" s="60">
        <v>3.5</v>
      </c>
      <c r="H4997" s="60">
        <v>0.857142857142857</v>
      </c>
      <c r="I4997" s="60">
        <v>72.6217012857142</v>
      </c>
      <c r="J4997" s="59">
        <v>8.0</v>
      </c>
      <c r="K4997" s="61">
        <f t="shared" si="1"/>
        <v>0.1428571429</v>
      </c>
      <c r="L4997" s="62">
        <f t="shared" si="2"/>
        <v>1.142857143</v>
      </c>
    </row>
    <row r="4998">
      <c r="A4998" s="58">
        <v>45778.0</v>
      </c>
      <c r="B4998" s="24" t="s">
        <v>6787</v>
      </c>
      <c r="C4998" s="24" t="s">
        <v>6877</v>
      </c>
      <c r="D4998" s="59">
        <v>3.0</v>
      </c>
      <c r="E4998" s="59">
        <v>3.0</v>
      </c>
      <c r="F4998" s="59">
        <v>3.0</v>
      </c>
      <c r="G4998" s="60">
        <v>1.0</v>
      </c>
      <c r="H4998" s="60">
        <v>1.0</v>
      </c>
      <c r="I4998" s="60">
        <v>3.165665</v>
      </c>
      <c r="J4998" s="59">
        <v>3.0</v>
      </c>
      <c r="K4998" s="61">
        <f t="shared" si="1"/>
        <v>1</v>
      </c>
      <c r="L4998" s="62">
        <f t="shared" si="2"/>
        <v>1</v>
      </c>
    </row>
    <row r="4999">
      <c r="A4999" s="58">
        <v>45778.0</v>
      </c>
      <c r="B4999" s="24" t="s">
        <v>6789</v>
      </c>
      <c r="C4999" s="24" t="s">
        <v>6880</v>
      </c>
      <c r="D4999" s="59">
        <v>3.0</v>
      </c>
      <c r="E4999" s="59">
        <v>3.0</v>
      </c>
      <c r="F4999" s="59">
        <v>3.0</v>
      </c>
      <c r="G4999" s="60">
        <v>1.0</v>
      </c>
      <c r="H4999" s="60">
        <v>0.0</v>
      </c>
      <c r="I4999" s="60">
        <v>156.703312666666</v>
      </c>
      <c r="J4999" s="59">
        <v>4.0</v>
      </c>
      <c r="K4999" s="61">
        <f t="shared" si="1"/>
        <v>1</v>
      </c>
      <c r="L4999" s="62">
        <f t="shared" si="2"/>
        <v>1.333333333</v>
      </c>
    </row>
    <row r="5000">
      <c r="A5000" s="58">
        <v>45778.0</v>
      </c>
      <c r="B5000" s="24" t="s">
        <v>6787</v>
      </c>
      <c r="C5000" s="24" t="s">
        <v>6835</v>
      </c>
      <c r="D5000" s="59">
        <v>3.0</v>
      </c>
      <c r="E5000" s="59">
        <v>3.0</v>
      </c>
      <c r="F5000" s="59">
        <v>3.0</v>
      </c>
      <c r="G5000" s="60">
        <v>1.0</v>
      </c>
      <c r="H5000" s="60">
        <v>0.666666666666666</v>
      </c>
      <c r="I5000" s="60">
        <v>30.0191903333333</v>
      </c>
      <c r="J5000" s="59">
        <v>5.0</v>
      </c>
      <c r="K5000" s="61">
        <f t="shared" si="1"/>
        <v>1</v>
      </c>
      <c r="L5000" s="62">
        <f t="shared" si="2"/>
        <v>1.666666667</v>
      </c>
    </row>
    <row r="5001">
      <c r="A5001" s="58">
        <v>45778.0</v>
      </c>
      <c r="B5001" s="24" t="s">
        <v>6789</v>
      </c>
      <c r="C5001" s="24" t="s">
        <v>6994</v>
      </c>
      <c r="D5001" s="59">
        <v>3.0</v>
      </c>
      <c r="E5001" s="59">
        <v>3.0</v>
      </c>
      <c r="F5001" s="59">
        <v>3.0</v>
      </c>
      <c r="G5001" s="60">
        <v>1.0</v>
      </c>
      <c r="H5001" s="60">
        <v>0.333333333333333</v>
      </c>
      <c r="I5001" s="60">
        <v>452.195128666666</v>
      </c>
      <c r="J5001" s="59">
        <v>3.0</v>
      </c>
      <c r="K5001" s="61">
        <f t="shared" si="1"/>
        <v>1</v>
      </c>
      <c r="L5001" s="62">
        <f t="shared" si="2"/>
        <v>1</v>
      </c>
    </row>
    <row r="5002">
      <c r="A5002" s="58">
        <v>45778.0</v>
      </c>
      <c r="B5002" s="24" t="s">
        <v>6789</v>
      </c>
      <c r="C5002" s="24" t="s">
        <v>6822</v>
      </c>
      <c r="D5002" s="59">
        <v>3.0</v>
      </c>
      <c r="E5002" s="59">
        <v>5.0</v>
      </c>
      <c r="F5002" s="59">
        <v>0.0</v>
      </c>
      <c r="G5002" s="60">
        <v>1.66666666666666</v>
      </c>
      <c r="H5002" s="60">
        <v>0.2</v>
      </c>
      <c r="I5002" s="60">
        <v>375.2128616</v>
      </c>
      <c r="J5002" s="59">
        <v>12.0</v>
      </c>
      <c r="K5002" s="61">
        <f t="shared" si="1"/>
        <v>0</v>
      </c>
      <c r="L5002" s="62">
        <f t="shared" si="2"/>
        <v>2.4</v>
      </c>
    </row>
    <row r="5003">
      <c r="A5003" s="58">
        <v>45778.0</v>
      </c>
      <c r="B5003" s="24" t="s">
        <v>6787</v>
      </c>
      <c r="C5003" s="24" t="s">
        <v>6892</v>
      </c>
      <c r="D5003" s="59">
        <v>3.0</v>
      </c>
      <c r="E5003" s="59">
        <v>3.0</v>
      </c>
      <c r="F5003" s="59">
        <v>3.0</v>
      </c>
      <c r="G5003" s="60">
        <v>1.0</v>
      </c>
      <c r="H5003" s="60">
        <v>1.0</v>
      </c>
      <c r="I5003" s="60">
        <v>0.0</v>
      </c>
      <c r="J5003" s="59">
        <v>3.0</v>
      </c>
      <c r="K5003" s="61">
        <f t="shared" si="1"/>
        <v>1</v>
      </c>
      <c r="L5003" s="62">
        <f t="shared" si="2"/>
        <v>1</v>
      </c>
    </row>
    <row r="5004">
      <c r="A5004" s="58">
        <v>45778.0</v>
      </c>
      <c r="B5004" s="24" t="s">
        <v>6787</v>
      </c>
      <c r="C5004" s="24" t="s">
        <v>7129</v>
      </c>
      <c r="D5004" s="59">
        <v>3.0</v>
      </c>
      <c r="E5004" s="59">
        <v>3.0</v>
      </c>
      <c r="F5004" s="59">
        <v>3.0</v>
      </c>
      <c r="G5004" s="60">
        <v>1.0</v>
      </c>
      <c r="H5004" s="60">
        <v>0.666666666666666</v>
      </c>
      <c r="I5004" s="60">
        <v>11.9815563333333</v>
      </c>
      <c r="J5004" s="59">
        <v>3.0</v>
      </c>
      <c r="K5004" s="61">
        <f t="shared" si="1"/>
        <v>1</v>
      </c>
      <c r="L5004" s="62">
        <f t="shared" si="2"/>
        <v>1</v>
      </c>
    </row>
    <row r="5005">
      <c r="A5005" s="58">
        <v>45778.0</v>
      </c>
      <c r="B5005" s="24" t="s">
        <v>6789</v>
      </c>
      <c r="C5005" s="24" t="s">
        <v>6896</v>
      </c>
      <c r="D5005" s="59">
        <v>3.0</v>
      </c>
      <c r="E5005" s="59">
        <v>4.0</v>
      </c>
      <c r="F5005" s="59">
        <v>3.0</v>
      </c>
      <c r="G5005" s="60">
        <v>1.33333333333333</v>
      </c>
      <c r="H5005" s="60">
        <v>0.75</v>
      </c>
      <c r="I5005" s="60">
        <v>44.78649825</v>
      </c>
      <c r="J5005" s="59">
        <v>5.0</v>
      </c>
      <c r="K5005" s="61">
        <f t="shared" si="1"/>
        <v>0.75</v>
      </c>
      <c r="L5005" s="62">
        <f t="shared" si="2"/>
        <v>1.25</v>
      </c>
    </row>
    <row r="5006">
      <c r="A5006" s="58">
        <v>45778.0</v>
      </c>
      <c r="B5006" s="24" t="s">
        <v>6787</v>
      </c>
      <c r="C5006" s="24" t="s">
        <v>6806</v>
      </c>
      <c r="D5006" s="59">
        <v>3.0</v>
      </c>
      <c r="E5006" s="59">
        <v>3.0</v>
      </c>
      <c r="F5006" s="59">
        <v>3.0</v>
      </c>
      <c r="G5006" s="60">
        <v>1.0</v>
      </c>
      <c r="H5006" s="60">
        <v>0.666666666666666</v>
      </c>
      <c r="I5006" s="60">
        <v>4.17804133333333</v>
      </c>
      <c r="J5006" s="59">
        <v>3.0</v>
      </c>
      <c r="K5006" s="61">
        <f t="shared" si="1"/>
        <v>1</v>
      </c>
      <c r="L5006" s="62">
        <f t="shared" si="2"/>
        <v>1</v>
      </c>
    </row>
    <row r="5007">
      <c r="A5007" s="58">
        <v>45778.0</v>
      </c>
      <c r="B5007" s="24" t="s">
        <v>6789</v>
      </c>
      <c r="C5007" s="24" t="s">
        <v>7236</v>
      </c>
      <c r="D5007" s="59">
        <v>3.0</v>
      </c>
      <c r="E5007" s="59">
        <v>3.0</v>
      </c>
      <c r="F5007" s="59">
        <v>3.0</v>
      </c>
      <c r="G5007" s="60">
        <v>1.0</v>
      </c>
      <c r="H5007" s="60">
        <v>0.333333333333333</v>
      </c>
      <c r="I5007" s="60">
        <v>40.146537</v>
      </c>
      <c r="J5007" s="59">
        <v>7.0</v>
      </c>
      <c r="K5007" s="61">
        <f t="shared" si="1"/>
        <v>1</v>
      </c>
      <c r="L5007" s="62">
        <f t="shared" si="2"/>
        <v>2.333333333</v>
      </c>
    </row>
    <row r="5008">
      <c r="A5008" s="58">
        <v>45778.0</v>
      </c>
      <c r="B5008" s="24" t="s">
        <v>6787</v>
      </c>
      <c r="C5008" s="24" t="s">
        <v>6808</v>
      </c>
      <c r="D5008" s="59">
        <v>3.0</v>
      </c>
      <c r="E5008" s="59">
        <v>3.0</v>
      </c>
      <c r="F5008" s="59">
        <v>3.0</v>
      </c>
      <c r="G5008" s="60">
        <v>1.0</v>
      </c>
      <c r="H5008" s="60">
        <v>0.0</v>
      </c>
      <c r="I5008" s="60">
        <v>56.299063</v>
      </c>
      <c r="J5008" s="59">
        <v>5.0</v>
      </c>
      <c r="K5008" s="61">
        <f t="shared" si="1"/>
        <v>1</v>
      </c>
      <c r="L5008" s="62">
        <f t="shared" si="2"/>
        <v>1.666666667</v>
      </c>
    </row>
    <row r="5009">
      <c r="A5009" s="58">
        <v>45778.0</v>
      </c>
      <c r="B5009" s="24" t="s">
        <v>6789</v>
      </c>
      <c r="C5009" s="24" t="s">
        <v>7026</v>
      </c>
      <c r="D5009" s="59">
        <v>3.0</v>
      </c>
      <c r="E5009" s="59">
        <v>3.0</v>
      </c>
      <c r="F5009" s="59">
        <v>2.0</v>
      </c>
      <c r="G5009" s="60">
        <v>1.0</v>
      </c>
      <c r="H5009" s="60">
        <v>0.333333333333333</v>
      </c>
      <c r="I5009" s="60">
        <v>239.414158666666</v>
      </c>
      <c r="J5009" s="59">
        <v>10.0</v>
      </c>
      <c r="K5009" s="61">
        <f t="shared" si="1"/>
        <v>0.6666666667</v>
      </c>
      <c r="L5009" s="62">
        <f t="shared" si="2"/>
        <v>3.333333333</v>
      </c>
    </row>
    <row r="5010">
      <c r="A5010" s="58">
        <v>45778.0</v>
      </c>
      <c r="B5010" s="24" t="s">
        <v>6789</v>
      </c>
      <c r="C5010" s="24" t="s">
        <v>7090</v>
      </c>
      <c r="D5010" s="59">
        <v>3.0</v>
      </c>
      <c r="E5010" s="59">
        <v>3.0</v>
      </c>
      <c r="F5010" s="59">
        <v>3.0</v>
      </c>
      <c r="G5010" s="60">
        <v>1.0</v>
      </c>
      <c r="H5010" s="60">
        <v>0.333333333333333</v>
      </c>
      <c r="I5010" s="60">
        <v>32.5156073333333</v>
      </c>
      <c r="J5010" s="59">
        <v>5.0</v>
      </c>
      <c r="K5010" s="61">
        <f t="shared" si="1"/>
        <v>1</v>
      </c>
      <c r="L5010" s="62">
        <f t="shared" si="2"/>
        <v>1.666666667</v>
      </c>
    </row>
    <row r="5011">
      <c r="A5011" s="58">
        <v>45778.0</v>
      </c>
      <c r="B5011" s="24" t="s">
        <v>6787</v>
      </c>
      <c r="C5011" s="24" t="s">
        <v>7097</v>
      </c>
      <c r="D5011" s="59">
        <v>3.0</v>
      </c>
      <c r="E5011" s="59">
        <v>3.0</v>
      </c>
      <c r="F5011" s="59">
        <v>3.0</v>
      </c>
      <c r="G5011" s="60">
        <v>1.0</v>
      </c>
      <c r="H5011" s="60">
        <v>1.0</v>
      </c>
      <c r="I5011" s="60">
        <v>2.19412833333333</v>
      </c>
      <c r="J5011" s="59">
        <v>3.0</v>
      </c>
      <c r="K5011" s="61">
        <f t="shared" si="1"/>
        <v>1</v>
      </c>
      <c r="L5011" s="62">
        <f t="shared" si="2"/>
        <v>1</v>
      </c>
    </row>
    <row r="5012">
      <c r="A5012" s="58">
        <v>45778.0</v>
      </c>
      <c r="B5012" s="24" t="s">
        <v>155</v>
      </c>
      <c r="C5012" s="24" t="s">
        <v>6960</v>
      </c>
      <c r="D5012" s="59">
        <v>3.0</v>
      </c>
      <c r="E5012" s="59">
        <v>3.0</v>
      </c>
      <c r="F5012" s="59">
        <v>2.0</v>
      </c>
      <c r="G5012" s="60">
        <v>1.0</v>
      </c>
      <c r="H5012" s="60">
        <v>0.333333333333333</v>
      </c>
      <c r="I5012" s="60">
        <v>181.455985</v>
      </c>
      <c r="J5012" s="59">
        <v>4.0</v>
      </c>
      <c r="K5012" s="61">
        <f t="shared" si="1"/>
        <v>0.6666666667</v>
      </c>
      <c r="L5012" s="62">
        <f t="shared" si="2"/>
        <v>1.333333333</v>
      </c>
    </row>
    <row r="5013">
      <c r="A5013" s="58">
        <v>45778.0</v>
      </c>
      <c r="B5013" s="24" t="s">
        <v>6787</v>
      </c>
      <c r="C5013" s="24" t="s">
        <v>6812</v>
      </c>
      <c r="D5013" s="59">
        <v>3.0</v>
      </c>
      <c r="E5013" s="59">
        <v>3.0</v>
      </c>
      <c r="F5013" s="59">
        <v>2.0</v>
      </c>
      <c r="G5013" s="60">
        <v>1.0</v>
      </c>
      <c r="H5013" s="60">
        <v>0.666666666666666</v>
      </c>
      <c r="I5013" s="60">
        <v>46.4129193333333</v>
      </c>
      <c r="J5013" s="59">
        <v>4.0</v>
      </c>
      <c r="K5013" s="61">
        <f t="shared" si="1"/>
        <v>0.6666666667</v>
      </c>
      <c r="L5013" s="62">
        <f t="shared" si="2"/>
        <v>1.333333333</v>
      </c>
    </row>
    <row r="5014">
      <c r="A5014" s="58">
        <v>45778.0</v>
      </c>
      <c r="B5014" s="24" t="s">
        <v>6787</v>
      </c>
      <c r="C5014" s="24" t="s">
        <v>7172</v>
      </c>
      <c r="D5014" s="59">
        <v>3.0</v>
      </c>
      <c r="E5014" s="59">
        <v>3.0</v>
      </c>
      <c r="F5014" s="59">
        <v>3.0</v>
      </c>
      <c r="G5014" s="60">
        <v>1.0</v>
      </c>
      <c r="H5014" s="60">
        <v>0.666666666666666</v>
      </c>
      <c r="I5014" s="60">
        <v>6.73237233333333</v>
      </c>
      <c r="J5014" s="59">
        <v>3.0</v>
      </c>
      <c r="K5014" s="61">
        <f t="shared" si="1"/>
        <v>1</v>
      </c>
      <c r="L5014" s="62">
        <f t="shared" si="2"/>
        <v>1</v>
      </c>
    </row>
    <row r="5015">
      <c r="A5015" s="58">
        <v>45778.0</v>
      </c>
      <c r="B5015" s="24" t="s">
        <v>6787</v>
      </c>
      <c r="C5015" s="24" t="s">
        <v>6801</v>
      </c>
      <c r="D5015" s="59">
        <v>3.0</v>
      </c>
      <c r="E5015" s="59">
        <v>3.0</v>
      </c>
      <c r="F5015" s="59">
        <v>2.0</v>
      </c>
      <c r="G5015" s="60">
        <v>1.0</v>
      </c>
      <c r="H5015" s="60">
        <v>0.333333333333333</v>
      </c>
      <c r="I5015" s="60">
        <v>240.131761333333</v>
      </c>
      <c r="J5015" s="59">
        <v>3.0</v>
      </c>
      <c r="K5015" s="61">
        <f t="shared" si="1"/>
        <v>0.6666666667</v>
      </c>
      <c r="L5015" s="62">
        <f t="shared" si="2"/>
        <v>1</v>
      </c>
    </row>
    <row r="5016">
      <c r="A5016" s="58">
        <v>45778.0</v>
      </c>
      <c r="B5016" s="24" t="s">
        <v>6789</v>
      </c>
      <c r="C5016" s="24" t="s">
        <v>6797</v>
      </c>
      <c r="D5016" s="59">
        <v>3.0</v>
      </c>
      <c r="E5016" s="59">
        <v>7.0</v>
      </c>
      <c r="F5016" s="59">
        <v>0.0</v>
      </c>
      <c r="G5016" s="60">
        <v>2.33333333333333</v>
      </c>
      <c r="H5016" s="60">
        <v>0.428571428571428</v>
      </c>
      <c r="I5016" s="60">
        <v>400.539574714285</v>
      </c>
      <c r="J5016" s="59">
        <v>9.0</v>
      </c>
      <c r="K5016" s="61">
        <f t="shared" si="1"/>
        <v>0</v>
      </c>
      <c r="L5016" s="62">
        <f t="shared" si="2"/>
        <v>1.285714286</v>
      </c>
    </row>
    <row r="5017">
      <c r="A5017" s="58">
        <v>45778.0</v>
      </c>
      <c r="B5017" s="24" t="s">
        <v>155</v>
      </c>
      <c r="C5017" s="24" t="s">
        <v>7387</v>
      </c>
      <c r="D5017" s="59">
        <v>3.0</v>
      </c>
      <c r="E5017" s="59">
        <v>11.0</v>
      </c>
      <c r="F5017" s="59">
        <v>0.0</v>
      </c>
      <c r="G5017" s="60">
        <v>3.66666666666666</v>
      </c>
      <c r="H5017" s="60">
        <v>0.0909090909090909</v>
      </c>
      <c r="I5017" s="60">
        <v>385.038625272727</v>
      </c>
      <c r="J5017" s="59">
        <v>19.0</v>
      </c>
      <c r="K5017" s="61">
        <f t="shared" si="1"/>
        <v>0</v>
      </c>
      <c r="L5017" s="62">
        <f t="shared" si="2"/>
        <v>1.727272727</v>
      </c>
    </row>
    <row r="5018">
      <c r="A5018" s="58">
        <v>45778.0</v>
      </c>
      <c r="B5018" s="24" t="s">
        <v>6789</v>
      </c>
      <c r="C5018" s="24" t="s">
        <v>6854</v>
      </c>
      <c r="D5018" s="59">
        <v>3.0</v>
      </c>
      <c r="E5018" s="59">
        <v>11.0</v>
      </c>
      <c r="F5018" s="59">
        <v>0.0</v>
      </c>
      <c r="G5018" s="60">
        <v>3.66666666666666</v>
      </c>
      <c r="H5018" s="60">
        <v>0.454545454545454</v>
      </c>
      <c r="I5018" s="60">
        <v>178.469480727272</v>
      </c>
      <c r="J5018" s="59">
        <v>14.0</v>
      </c>
      <c r="K5018" s="61">
        <f t="shared" si="1"/>
        <v>0</v>
      </c>
      <c r="L5018" s="62">
        <f t="shared" si="2"/>
        <v>1.272727273</v>
      </c>
    </row>
    <row r="5019">
      <c r="A5019" s="58">
        <v>45778.0</v>
      </c>
      <c r="B5019" s="24" t="s">
        <v>7100</v>
      </c>
      <c r="C5019" s="24" t="s">
        <v>6792</v>
      </c>
      <c r="D5019" s="59">
        <v>2.0</v>
      </c>
      <c r="E5019" s="59">
        <v>2.0</v>
      </c>
      <c r="F5019" s="59">
        <v>0.0</v>
      </c>
      <c r="G5019" s="60">
        <v>0.0</v>
      </c>
      <c r="H5019" s="60">
        <v>1.0</v>
      </c>
      <c r="I5019" s="60">
        <v>0.0</v>
      </c>
      <c r="J5019" s="59">
        <v>0.0</v>
      </c>
      <c r="K5019" s="61">
        <f t="shared" si="1"/>
        <v>0</v>
      </c>
      <c r="L5019" s="62">
        <f t="shared" si="2"/>
        <v>0</v>
      </c>
    </row>
    <row r="5020">
      <c r="A5020" s="58">
        <v>45778.0</v>
      </c>
      <c r="B5020" s="24" t="s">
        <v>7030</v>
      </c>
      <c r="C5020" s="24" t="s">
        <v>6788</v>
      </c>
      <c r="D5020" s="59">
        <v>2.0</v>
      </c>
      <c r="E5020" s="59">
        <v>2.0</v>
      </c>
      <c r="F5020" s="59">
        <v>2.0</v>
      </c>
      <c r="G5020" s="60">
        <v>1.0</v>
      </c>
      <c r="H5020" s="60">
        <v>0.0</v>
      </c>
      <c r="I5020" s="60">
        <v>269.7478875</v>
      </c>
      <c r="J5020" s="59">
        <v>8.0</v>
      </c>
      <c r="K5020" s="61">
        <f t="shared" si="1"/>
        <v>1</v>
      </c>
      <c r="L5020" s="62">
        <f t="shared" si="2"/>
        <v>4</v>
      </c>
    </row>
    <row r="5021">
      <c r="A5021" s="58">
        <v>45778.0</v>
      </c>
      <c r="B5021" s="24" t="s">
        <v>7100</v>
      </c>
      <c r="C5021" s="24" t="s">
        <v>6788</v>
      </c>
      <c r="D5021" s="59">
        <v>2.0</v>
      </c>
      <c r="E5021" s="59">
        <v>2.0</v>
      </c>
      <c r="F5021" s="59">
        <v>0.0</v>
      </c>
      <c r="G5021" s="60">
        <v>1.0</v>
      </c>
      <c r="H5021" s="60">
        <v>1.0</v>
      </c>
      <c r="I5021" s="60">
        <v>0.931401</v>
      </c>
      <c r="J5021" s="59">
        <v>2.0</v>
      </c>
      <c r="K5021" s="61">
        <f t="shared" si="1"/>
        <v>0</v>
      </c>
      <c r="L5021" s="62">
        <f t="shared" si="2"/>
        <v>1</v>
      </c>
    </row>
    <row r="5022">
      <c r="A5022" s="58">
        <v>45778.0</v>
      </c>
      <c r="B5022" s="24" t="s">
        <v>6787</v>
      </c>
      <c r="C5022" s="24" t="s">
        <v>7428</v>
      </c>
      <c r="D5022" s="59">
        <v>2.0</v>
      </c>
      <c r="E5022" s="59">
        <v>2.0</v>
      </c>
      <c r="F5022" s="59">
        <v>2.0</v>
      </c>
      <c r="G5022" s="60">
        <v>1.0</v>
      </c>
      <c r="H5022" s="60">
        <v>1.0</v>
      </c>
      <c r="I5022" s="60">
        <v>0.0</v>
      </c>
      <c r="J5022" s="59">
        <v>2.0</v>
      </c>
      <c r="K5022" s="61">
        <f t="shared" si="1"/>
        <v>1</v>
      </c>
      <c r="L5022" s="62">
        <f t="shared" si="2"/>
        <v>1</v>
      </c>
    </row>
    <row r="5023">
      <c r="A5023" s="58">
        <v>45778.0</v>
      </c>
      <c r="B5023" s="24" t="s">
        <v>6787</v>
      </c>
      <c r="C5023" s="24" t="s">
        <v>7429</v>
      </c>
      <c r="D5023" s="59">
        <v>2.0</v>
      </c>
      <c r="E5023" s="59">
        <v>2.0</v>
      </c>
      <c r="F5023" s="59">
        <v>2.0</v>
      </c>
      <c r="G5023" s="60">
        <v>1.0</v>
      </c>
      <c r="H5023" s="60">
        <v>1.0</v>
      </c>
      <c r="I5023" s="60">
        <v>0.0</v>
      </c>
      <c r="J5023" s="59">
        <v>2.0</v>
      </c>
      <c r="K5023" s="61">
        <f t="shared" si="1"/>
        <v>1</v>
      </c>
      <c r="L5023" s="62">
        <f t="shared" si="2"/>
        <v>1</v>
      </c>
    </row>
    <row r="5024">
      <c r="A5024" s="58">
        <v>45778.0</v>
      </c>
      <c r="B5024" s="24" t="s">
        <v>6787</v>
      </c>
      <c r="C5024" s="24" t="s">
        <v>7430</v>
      </c>
      <c r="D5024" s="59">
        <v>2.0</v>
      </c>
      <c r="E5024" s="59">
        <v>2.0</v>
      </c>
      <c r="F5024" s="59">
        <v>2.0</v>
      </c>
      <c r="G5024" s="60">
        <v>1.0</v>
      </c>
      <c r="H5024" s="60">
        <v>1.0</v>
      </c>
      <c r="I5024" s="60">
        <v>0.0</v>
      </c>
      <c r="J5024" s="59">
        <v>2.0</v>
      </c>
      <c r="K5024" s="61">
        <f t="shared" si="1"/>
        <v>1</v>
      </c>
      <c r="L5024" s="62">
        <f t="shared" si="2"/>
        <v>1</v>
      </c>
    </row>
    <row r="5025">
      <c r="A5025" s="58">
        <v>45778.0</v>
      </c>
      <c r="B5025" s="24" t="s">
        <v>6787</v>
      </c>
      <c r="C5025" s="24" t="s">
        <v>7431</v>
      </c>
      <c r="D5025" s="59">
        <v>2.0</v>
      </c>
      <c r="E5025" s="59">
        <v>2.0</v>
      </c>
      <c r="F5025" s="59">
        <v>2.0</v>
      </c>
      <c r="G5025" s="60">
        <v>1.0</v>
      </c>
      <c r="H5025" s="60">
        <v>0.5</v>
      </c>
      <c r="I5025" s="60">
        <v>15.928216</v>
      </c>
      <c r="J5025" s="59">
        <v>2.0</v>
      </c>
      <c r="K5025" s="61">
        <f t="shared" si="1"/>
        <v>1</v>
      </c>
      <c r="L5025" s="62">
        <f t="shared" si="2"/>
        <v>1</v>
      </c>
    </row>
    <row r="5026">
      <c r="A5026" s="58">
        <v>45778.0</v>
      </c>
      <c r="B5026" s="24" t="s">
        <v>155</v>
      </c>
      <c r="C5026" s="24" t="s">
        <v>6817</v>
      </c>
      <c r="D5026" s="59">
        <v>2.0</v>
      </c>
      <c r="E5026" s="59">
        <v>2.0</v>
      </c>
      <c r="F5026" s="59">
        <v>0.0</v>
      </c>
      <c r="G5026" s="60">
        <v>1.0</v>
      </c>
      <c r="H5026" s="60">
        <v>0.0</v>
      </c>
      <c r="I5026" s="60">
        <v>3205.91753249999</v>
      </c>
      <c r="J5026" s="59">
        <v>60.0</v>
      </c>
      <c r="K5026" s="61">
        <f t="shared" si="1"/>
        <v>0</v>
      </c>
      <c r="L5026" s="62">
        <f t="shared" si="2"/>
        <v>30</v>
      </c>
    </row>
    <row r="5027">
      <c r="A5027" s="58">
        <v>45778.0</v>
      </c>
      <c r="B5027" s="24" t="s">
        <v>6789</v>
      </c>
      <c r="C5027" s="24" t="s">
        <v>6953</v>
      </c>
      <c r="D5027" s="59">
        <v>2.0</v>
      </c>
      <c r="E5027" s="59">
        <v>2.0</v>
      </c>
      <c r="F5027" s="59">
        <v>2.0</v>
      </c>
      <c r="G5027" s="60">
        <v>1.0</v>
      </c>
      <c r="H5027" s="60">
        <v>0.5</v>
      </c>
      <c r="I5027" s="60">
        <v>7.89368</v>
      </c>
      <c r="J5027" s="59">
        <v>2.0</v>
      </c>
      <c r="K5027" s="61">
        <f t="shared" si="1"/>
        <v>1</v>
      </c>
      <c r="L5027" s="62">
        <f t="shared" si="2"/>
        <v>1</v>
      </c>
    </row>
    <row r="5028">
      <c r="A5028" s="58">
        <v>45778.0</v>
      </c>
      <c r="B5028" s="24" t="s">
        <v>155</v>
      </c>
      <c r="C5028" s="24" t="s">
        <v>6804</v>
      </c>
      <c r="D5028" s="59">
        <v>2.0</v>
      </c>
      <c r="E5028" s="59">
        <v>2.0</v>
      </c>
      <c r="F5028" s="59">
        <v>2.0</v>
      </c>
      <c r="G5028" s="60">
        <v>1.0</v>
      </c>
      <c r="H5028" s="60">
        <v>0.0</v>
      </c>
      <c r="I5028" s="60">
        <v>36.7265065</v>
      </c>
      <c r="J5028" s="59">
        <v>3.0</v>
      </c>
      <c r="K5028" s="61">
        <f t="shared" si="1"/>
        <v>1</v>
      </c>
      <c r="L5028" s="62">
        <f t="shared" si="2"/>
        <v>1.5</v>
      </c>
    </row>
    <row r="5029">
      <c r="A5029" s="58">
        <v>45778.0</v>
      </c>
      <c r="B5029" s="24" t="s">
        <v>6787</v>
      </c>
      <c r="C5029" s="24" t="s">
        <v>6955</v>
      </c>
      <c r="D5029" s="59">
        <v>2.0</v>
      </c>
      <c r="E5029" s="59">
        <v>2.0</v>
      </c>
      <c r="F5029" s="59">
        <v>2.0</v>
      </c>
      <c r="G5029" s="60">
        <v>1.0</v>
      </c>
      <c r="H5029" s="60">
        <v>1.0</v>
      </c>
      <c r="I5029" s="60">
        <v>1.7399875</v>
      </c>
      <c r="J5029" s="59">
        <v>2.0</v>
      </c>
      <c r="K5029" s="61">
        <f t="shared" si="1"/>
        <v>1</v>
      </c>
      <c r="L5029" s="62">
        <f t="shared" si="2"/>
        <v>1</v>
      </c>
    </row>
    <row r="5030">
      <c r="A5030" s="58">
        <v>45778.0</v>
      </c>
      <c r="B5030" s="24" t="s">
        <v>6789</v>
      </c>
      <c r="C5030" s="24" t="s">
        <v>7058</v>
      </c>
      <c r="D5030" s="59">
        <v>2.0</v>
      </c>
      <c r="E5030" s="59">
        <v>2.0</v>
      </c>
      <c r="F5030" s="59">
        <v>2.0</v>
      </c>
      <c r="G5030" s="60">
        <v>1.0</v>
      </c>
      <c r="H5030" s="60">
        <v>1.0</v>
      </c>
      <c r="I5030" s="60">
        <v>3.3986055</v>
      </c>
      <c r="J5030" s="59">
        <v>2.0</v>
      </c>
      <c r="K5030" s="61">
        <f t="shared" si="1"/>
        <v>1</v>
      </c>
      <c r="L5030" s="62">
        <f t="shared" si="2"/>
        <v>1</v>
      </c>
    </row>
    <row r="5031">
      <c r="A5031" s="58">
        <v>45778.0</v>
      </c>
      <c r="B5031" s="24" t="s">
        <v>155</v>
      </c>
      <c r="C5031" s="24" t="s">
        <v>7187</v>
      </c>
      <c r="D5031" s="59">
        <v>2.0</v>
      </c>
      <c r="E5031" s="59">
        <v>2.0</v>
      </c>
      <c r="F5031" s="59">
        <v>0.0</v>
      </c>
      <c r="G5031" s="60">
        <v>1.0</v>
      </c>
      <c r="H5031" s="60">
        <v>0.0</v>
      </c>
      <c r="I5031" s="60">
        <v>1871.4285005</v>
      </c>
      <c r="J5031" s="59">
        <v>12.0</v>
      </c>
      <c r="K5031" s="61">
        <f t="shared" si="1"/>
        <v>0</v>
      </c>
      <c r="L5031" s="62">
        <f t="shared" si="2"/>
        <v>6</v>
      </c>
    </row>
    <row r="5032">
      <c r="A5032" s="58">
        <v>45778.0</v>
      </c>
      <c r="B5032" s="24" t="s">
        <v>6789</v>
      </c>
      <c r="C5032" s="24" t="s">
        <v>6927</v>
      </c>
      <c r="D5032" s="59">
        <v>2.0</v>
      </c>
      <c r="E5032" s="59">
        <v>2.0</v>
      </c>
      <c r="F5032" s="59">
        <v>1.0</v>
      </c>
      <c r="G5032" s="60">
        <v>1.0</v>
      </c>
      <c r="H5032" s="60">
        <v>0.0</v>
      </c>
      <c r="I5032" s="60">
        <v>1511.3839165</v>
      </c>
      <c r="J5032" s="59">
        <v>7.0</v>
      </c>
      <c r="K5032" s="61">
        <f t="shared" si="1"/>
        <v>0.5</v>
      </c>
      <c r="L5032" s="62">
        <f t="shared" si="2"/>
        <v>3.5</v>
      </c>
    </row>
    <row r="5033">
      <c r="A5033" s="58">
        <v>45778.0</v>
      </c>
      <c r="B5033" s="24" t="s">
        <v>6789</v>
      </c>
      <c r="C5033" s="24" t="s">
        <v>6986</v>
      </c>
      <c r="D5033" s="59">
        <v>2.0</v>
      </c>
      <c r="E5033" s="59">
        <v>2.0</v>
      </c>
      <c r="F5033" s="59">
        <v>2.0</v>
      </c>
      <c r="G5033" s="60">
        <v>1.0</v>
      </c>
      <c r="H5033" s="60">
        <v>0.5</v>
      </c>
      <c r="I5033" s="60">
        <v>530.7104375</v>
      </c>
      <c r="J5033" s="59">
        <v>2.0</v>
      </c>
      <c r="K5033" s="61">
        <f t="shared" si="1"/>
        <v>1</v>
      </c>
      <c r="L5033" s="62">
        <f t="shared" si="2"/>
        <v>1</v>
      </c>
    </row>
    <row r="5034">
      <c r="A5034" s="58">
        <v>45778.0</v>
      </c>
      <c r="B5034" s="24" t="s">
        <v>6787</v>
      </c>
      <c r="C5034" s="24" t="s">
        <v>6872</v>
      </c>
      <c r="D5034" s="59">
        <v>2.0</v>
      </c>
      <c r="E5034" s="59">
        <v>2.0</v>
      </c>
      <c r="F5034" s="59">
        <v>2.0</v>
      </c>
      <c r="G5034" s="60">
        <v>1.0</v>
      </c>
      <c r="H5034" s="60">
        <v>0.5</v>
      </c>
      <c r="I5034" s="60">
        <v>18.2208045</v>
      </c>
      <c r="J5034" s="59">
        <v>2.0</v>
      </c>
      <c r="K5034" s="61">
        <f t="shared" si="1"/>
        <v>1</v>
      </c>
      <c r="L5034" s="62">
        <f t="shared" si="2"/>
        <v>1</v>
      </c>
    </row>
    <row r="5035">
      <c r="A5035" s="58">
        <v>45778.0</v>
      </c>
      <c r="B5035" s="24" t="s">
        <v>6787</v>
      </c>
      <c r="C5035" s="24" t="s">
        <v>7024</v>
      </c>
      <c r="D5035" s="59">
        <v>2.0</v>
      </c>
      <c r="E5035" s="59">
        <v>2.0</v>
      </c>
      <c r="F5035" s="59">
        <v>2.0</v>
      </c>
      <c r="G5035" s="60">
        <v>1.0</v>
      </c>
      <c r="H5035" s="60">
        <v>0.5</v>
      </c>
      <c r="I5035" s="60">
        <v>10.897244</v>
      </c>
      <c r="J5035" s="59">
        <v>4.0</v>
      </c>
      <c r="K5035" s="61">
        <f t="shared" si="1"/>
        <v>1</v>
      </c>
      <c r="L5035" s="62">
        <f t="shared" si="2"/>
        <v>2</v>
      </c>
    </row>
    <row r="5036">
      <c r="A5036" s="58">
        <v>45778.0</v>
      </c>
      <c r="B5036" s="24" t="s">
        <v>6789</v>
      </c>
      <c r="C5036" s="24" t="s">
        <v>6877</v>
      </c>
      <c r="D5036" s="59">
        <v>2.0</v>
      </c>
      <c r="E5036" s="59">
        <v>2.0</v>
      </c>
      <c r="F5036" s="59">
        <v>1.0</v>
      </c>
      <c r="G5036" s="60">
        <v>1.0</v>
      </c>
      <c r="H5036" s="60">
        <v>0.0</v>
      </c>
      <c r="I5036" s="60">
        <v>197.586199</v>
      </c>
      <c r="J5036" s="59">
        <v>2.0</v>
      </c>
      <c r="K5036" s="61">
        <f t="shared" si="1"/>
        <v>0.5</v>
      </c>
      <c r="L5036" s="62">
        <f t="shared" si="2"/>
        <v>1</v>
      </c>
    </row>
    <row r="5037">
      <c r="A5037" s="58">
        <v>45778.0</v>
      </c>
      <c r="B5037" s="24" t="s">
        <v>6787</v>
      </c>
      <c r="C5037" s="24" t="s">
        <v>6989</v>
      </c>
      <c r="D5037" s="59">
        <v>2.0</v>
      </c>
      <c r="E5037" s="59">
        <v>2.0</v>
      </c>
      <c r="F5037" s="59">
        <v>2.0</v>
      </c>
      <c r="G5037" s="60">
        <v>1.0</v>
      </c>
      <c r="H5037" s="60">
        <v>1.0</v>
      </c>
      <c r="I5037" s="60">
        <v>0.0</v>
      </c>
      <c r="J5037" s="59">
        <v>2.0</v>
      </c>
      <c r="K5037" s="61">
        <f t="shared" si="1"/>
        <v>1</v>
      </c>
      <c r="L5037" s="62">
        <f t="shared" si="2"/>
        <v>1</v>
      </c>
    </row>
    <row r="5038">
      <c r="A5038" s="58">
        <v>45778.0</v>
      </c>
      <c r="B5038" s="24" t="s">
        <v>6787</v>
      </c>
      <c r="C5038" s="24" t="s">
        <v>6878</v>
      </c>
      <c r="D5038" s="59">
        <v>2.0</v>
      </c>
      <c r="E5038" s="59">
        <v>2.0</v>
      </c>
      <c r="F5038" s="59">
        <v>2.0</v>
      </c>
      <c r="G5038" s="60">
        <v>1.0</v>
      </c>
      <c r="H5038" s="60">
        <v>1.0</v>
      </c>
      <c r="I5038" s="60">
        <v>0.0</v>
      </c>
      <c r="J5038" s="59">
        <v>2.0</v>
      </c>
      <c r="K5038" s="61">
        <f t="shared" si="1"/>
        <v>1</v>
      </c>
      <c r="L5038" s="62">
        <f t="shared" si="2"/>
        <v>1</v>
      </c>
    </row>
    <row r="5039">
      <c r="A5039" s="58">
        <v>45778.0</v>
      </c>
      <c r="B5039" s="24" t="s">
        <v>155</v>
      </c>
      <c r="C5039" s="24" t="s">
        <v>6882</v>
      </c>
      <c r="D5039" s="59">
        <v>2.0</v>
      </c>
      <c r="E5039" s="59">
        <v>2.0</v>
      </c>
      <c r="F5039" s="59">
        <v>2.0</v>
      </c>
      <c r="G5039" s="60">
        <v>1.0</v>
      </c>
      <c r="H5039" s="60">
        <v>0.0</v>
      </c>
      <c r="I5039" s="60">
        <v>275.37724</v>
      </c>
      <c r="J5039" s="59">
        <v>8.0</v>
      </c>
      <c r="K5039" s="61">
        <f t="shared" si="1"/>
        <v>1</v>
      </c>
      <c r="L5039" s="62">
        <f t="shared" si="2"/>
        <v>4</v>
      </c>
    </row>
    <row r="5040">
      <c r="A5040" s="58">
        <v>45778.0</v>
      </c>
      <c r="B5040" s="24" t="s">
        <v>6789</v>
      </c>
      <c r="C5040" s="24" t="s">
        <v>6990</v>
      </c>
      <c r="D5040" s="59">
        <v>2.0</v>
      </c>
      <c r="E5040" s="59">
        <v>2.0</v>
      </c>
      <c r="F5040" s="59">
        <v>2.0</v>
      </c>
      <c r="G5040" s="60">
        <v>1.0</v>
      </c>
      <c r="H5040" s="60">
        <v>1.0</v>
      </c>
      <c r="I5040" s="60">
        <v>1.017337</v>
      </c>
      <c r="J5040" s="59">
        <v>2.0</v>
      </c>
      <c r="K5040" s="61">
        <f t="shared" si="1"/>
        <v>1</v>
      </c>
      <c r="L5040" s="62">
        <f t="shared" si="2"/>
        <v>1</v>
      </c>
    </row>
    <row r="5041">
      <c r="A5041" s="58">
        <v>45778.0</v>
      </c>
      <c r="B5041" s="24" t="s">
        <v>6790</v>
      </c>
      <c r="C5041" s="24" t="s">
        <v>6835</v>
      </c>
      <c r="D5041" s="59">
        <v>2.0</v>
      </c>
      <c r="E5041" s="59">
        <v>2.0</v>
      </c>
      <c r="F5041" s="59">
        <v>2.0</v>
      </c>
      <c r="G5041" s="60">
        <v>1.0</v>
      </c>
      <c r="H5041" s="60">
        <v>0.5</v>
      </c>
      <c r="I5041" s="60">
        <v>19.813204</v>
      </c>
      <c r="J5041" s="59">
        <v>2.0</v>
      </c>
      <c r="K5041" s="61">
        <f t="shared" si="1"/>
        <v>1</v>
      </c>
      <c r="L5041" s="62">
        <f t="shared" si="2"/>
        <v>1</v>
      </c>
    </row>
    <row r="5042">
      <c r="A5042" s="58">
        <v>45778.0</v>
      </c>
      <c r="B5042" s="24" t="s">
        <v>155</v>
      </c>
      <c r="C5042" s="24" t="s">
        <v>6991</v>
      </c>
      <c r="D5042" s="59">
        <v>2.0</v>
      </c>
      <c r="E5042" s="59">
        <v>2.0</v>
      </c>
      <c r="F5042" s="59">
        <v>0.0</v>
      </c>
      <c r="G5042" s="60">
        <v>1.0</v>
      </c>
      <c r="H5042" s="60">
        <v>0.0</v>
      </c>
      <c r="I5042" s="60">
        <v>613.155611</v>
      </c>
      <c r="J5042" s="59">
        <v>5.0</v>
      </c>
      <c r="K5042" s="61">
        <f t="shared" si="1"/>
        <v>0</v>
      </c>
      <c r="L5042" s="62">
        <f t="shared" si="2"/>
        <v>2.5</v>
      </c>
    </row>
    <row r="5043">
      <c r="A5043" s="58">
        <v>45778.0</v>
      </c>
      <c r="B5043" s="24" t="s">
        <v>6787</v>
      </c>
      <c r="C5043" s="24" t="s">
        <v>6992</v>
      </c>
      <c r="D5043" s="59">
        <v>2.0</v>
      </c>
      <c r="E5043" s="59">
        <v>2.0</v>
      </c>
      <c r="F5043" s="59">
        <v>2.0</v>
      </c>
      <c r="G5043" s="60">
        <v>1.0</v>
      </c>
      <c r="H5043" s="60">
        <v>1.0</v>
      </c>
      <c r="I5043" s="60">
        <v>4.700664</v>
      </c>
      <c r="J5043" s="59">
        <v>2.0</v>
      </c>
      <c r="K5043" s="61">
        <f t="shared" si="1"/>
        <v>1</v>
      </c>
      <c r="L5043" s="62">
        <f t="shared" si="2"/>
        <v>1</v>
      </c>
    </row>
    <row r="5044">
      <c r="A5044" s="58">
        <v>45778.0</v>
      </c>
      <c r="B5044" s="24" t="s">
        <v>6787</v>
      </c>
      <c r="C5044" s="24" t="s">
        <v>6836</v>
      </c>
      <c r="D5044" s="59">
        <v>2.0</v>
      </c>
      <c r="E5044" s="59">
        <v>2.0</v>
      </c>
      <c r="F5044" s="59">
        <v>1.0</v>
      </c>
      <c r="G5044" s="60">
        <v>2.0</v>
      </c>
      <c r="H5044" s="60">
        <v>1.0</v>
      </c>
      <c r="I5044" s="60">
        <v>0.0</v>
      </c>
      <c r="J5044" s="59">
        <v>2.0</v>
      </c>
      <c r="K5044" s="61">
        <f t="shared" si="1"/>
        <v>0.5</v>
      </c>
      <c r="L5044" s="62">
        <f t="shared" si="2"/>
        <v>1</v>
      </c>
    </row>
    <row r="5045">
      <c r="A5045" s="58">
        <v>45778.0</v>
      </c>
      <c r="B5045" s="24" t="s">
        <v>6789</v>
      </c>
      <c r="C5045" s="24" t="s">
        <v>7074</v>
      </c>
      <c r="D5045" s="59">
        <v>2.0</v>
      </c>
      <c r="E5045" s="59">
        <v>2.0</v>
      </c>
      <c r="F5045" s="59">
        <v>2.0</v>
      </c>
      <c r="G5045" s="60">
        <v>1.0</v>
      </c>
      <c r="H5045" s="60">
        <v>0.0</v>
      </c>
      <c r="I5045" s="60">
        <v>113.273907</v>
      </c>
      <c r="J5045" s="59">
        <v>4.0</v>
      </c>
      <c r="K5045" s="61">
        <f t="shared" si="1"/>
        <v>1</v>
      </c>
      <c r="L5045" s="62">
        <f t="shared" si="2"/>
        <v>2</v>
      </c>
    </row>
    <row r="5046">
      <c r="A5046" s="58">
        <v>45778.0</v>
      </c>
      <c r="B5046" s="24" t="s">
        <v>6790</v>
      </c>
      <c r="C5046" s="24" t="s">
        <v>6886</v>
      </c>
      <c r="D5046" s="59">
        <v>2.0</v>
      </c>
      <c r="E5046" s="59">
        <v>4.0</v>
      </c>
      <c r="F5046" s="59">
        <v>0.0</v>
      </c>
      <c r="G5046" s="60">
        <v>2.0</v>
      </c>
      <c r="H5046" s="60">
        <v>0.0</v>
      </c>
      <c r="I5046" s="60">
        <v>181.7427695</v>
      </c>
      <c r="J5046" s="59">
        <v>6.0</v>
      </c>
      <c r="K5046" s="61">
        <f t="shared" si="1"/>
        <v>0</v>
      </c>
      <c r="L5046" s="62">
        <f t="shared" si="2"/>
        <v>1.5</v>
      </c>
    </row>
    <row r="5047">
      <c r="A5047" s="58">
        <v>45778.0</v>
      </c>
      <c r="B5047" s="24" t="s">
        <v>6787</v>
      </c>
      <c r="C5047" s="24" t="s">
        <v>6820</v>
      </c>
      <c r="D5047" s="59">
        <v>2.0</v>
      </c>
      <c r="E5047" s="59">
        <v>2.0</v>
      </c>
      <c r="F5047" s="59">
        <v>2.0</v>
      </c>
      <c r="G5047" s="60">
        <v>1.0</v>
      </c>
      <c r="H5047" s="60">
        <v>1.0</v>
      </c>
      <c r="I5047" s="60">
        <v>0.0</v>
      </c>
      <c r="J5047" s="59">
        <v>2.0</v>
      </c>
      <c r="K5047" s="61">
        <f t="shared" si="1"/>
        <v>1</v>
      </c>
      <c r="L5047" s="62">
        <f t="shared" si="2"/>
        <v>1</v>
      </c>
    </row>
    <row r="5048">
      <c r="A5048" s="58">
        <v>45778.0</v>
      </c>
      <c r="B5048" s="24" t="s">
        <v>6789</v>
      </c>
      <c r="C5048" s="24" t="s">
        <v>6820</v>
      </c>
      <c r="D5048" s="59">
        <v>2.0</v>
      </c>
      <c r="E5048" s="59">
        <v>2.0</v>
      </c>
      <c r="F5048" s="59">
        <v>1.0</v>
      </c>
      <c r="G5048" s="60">
        <v>1.0</v>
      </c>
      <c r="H5048" s="60">
        <v>0.0</v>
      </c>
      <c r="I5048" s="60">
        <v>725.984227</v>
      </c>
      <c r="J5048" s="59">
        <v>5.0</v>
      </c>
      <c r="K5048" s="61">
        <f t="shared" si="1"/>
        <v>0.5</v>
      </c>
      <c r="L5048" s="62">
        <f t="shared" si="2"/>
        <v>2.5</v>
      </c>
    </row>
    <row r="5049">
      <c r="A5049" s="58">
        <v>45778.0</v>
      </c>
      <c r="B5049" s="24" t="s">
        <v>6789</v>
      </c>
      <c r="C5049" s="24" t="s">
        <v>7021</v>
      </c>
      <c r="D5049" s="59">
        <v>2.0</v>
      </c>
      <c r="E5049" s="59">
        <v>2.0</v>
      </c>
      <c r="F5049" s="59">
        <v>1.0</v>
      </c>
      <c r="G5049" s="60">
        <v>2.0</v>
      </c>
      <c r="H5049" s="60">
        <v>1.0</v>
      </c>
      <c r="I5049" s="60">
        <v>0.32458</v>
      </c>
      <c r="J5049" s="59">
        <v>2.0</v>
      </c>
      <c r="K5049" s="61">
        <f t="shared" si="1"/>
        <v>0.5</v>
      </c>
      <c r="L5049" s="62">
        <f t="shared" si="2"/>
        <v>1</v>
      </c>
    </row>
    <row r="5050">
      <c r="A5050" s="58">
        <v>45778.0</v>
      </c>
      <c r="B5050" s="24" t="s">
        <v>155</v>
      </c>
      <c r="C5050" s="24" t="s">
        <v>7021</v>
      </c>
      <c r="D5050" s="59">
        <v>2.0</v>
      </c>
      <c r="E5050" s="59">
        <v>2.0</v>
      </c>
      <c r="F5050" s="59">
        <v>0.0</v>
      </c>
      <c r="G5050" s="60">
        <v>1.0</v>
      </c>
      <c r="H5050" s="60">
        <v>0.0</v>
      </c>
      <c r="I5050" s="60">
        <v>1259.658085</v>
      </c>
      <c r="J5050" s="59">
        <v>9.0</v>
      </c>
      <c r="K5050" s="61">
        <f t="shared" si="1"/>
        <v>0</v>
      </c>
      <c r="L5050" s="62">
        <f t="shared" si="2"/>
        <v>4.5</v>
      </c>
    </row>
    <row r="5051">
      <c r="A5051" s="58">
        <v>45778.0</v>
      </c>
      <c r="B5051" s="24" t="s">
        <v>155</v>
      </c>
      <c r="C5051" s="24" t="s">
        <v>6892</v>
      </c>
      <c r="D5051" s="59">
        <v>2.0</v>
      </c>
      <c r="E5051" s="59">
        <v>2.0</v>
      </c>
      <c r="F5051" s="59">
        <v>1.0</v>
      </c>
      <c r="G5051" s="60">
        <v>1.0</v>
      </c>
      <c r="H5051" s="60">
        <v>0.0</v>
      </c>
      <c r="I5051" s="60">
        <v>228.699243</v>
      </c>
      <c r="J5051" s="59">
        <v>4.0</v>
      </c>
      <c r="K5051" s="61">
        <f t="shared" si="1"/>
        <v>0.5</v>
      </c>
      <c r="L5051" s="62">
        <f t="shared" si="2"/>
        <v>2</v>
      </c>
    </row>
    <row r="5052">
      <c r="A5052" s="58">
        <v>45778.0</v>
      </c>
      <c r="B5052" s="24" t="s">
        <v>6787</v>
      </c>
      <c r="C5052" s="24" t="s">
        <v>6840</v>
      </c>
      <c r="D5052" s="59">
        <v>2.0</v>
      </c>
      <c r="E5052" s="59">
        <v>2.0</v>
      </c>
      <c r="F5052" s="59">
        <v>2.0</v>
      </c>
      <c r="G5052" s="60">
        <v>1.0</v>
      </c>
      <c r="H5052" s="60">
        <v>0.5</v>
      </c>
      <c r="I5052" s="60">
        <v>161.675175</v>
      </c>
      <c r="J5052" s="59">
        <v>2.0</v>
      </c>
      <c r="K5052" s="61">
        <f t="shared" si="1"/>
        <v>1</v>
      </c>
      <c r="L5052" s="62">
        <f t="shared" si="2"/>
        <v>1</v>
      </c>
    </row>
    <row r="5053">
      <c r="A5053" s="58">
        <v>45778.0</v>
      </c>
      <c r="B5053" s="24" t="s">
        <v>6789</v>
      </c>
      <c r="C5053" s="24" t="s">
        <v>6840</v>
      </c>
      <c r="D5053" s="59">
        <v>2.0</v>
      </c>
      <c r="E5053" s="59">
        <v>2.0</v>
      </c>
      <c r="F5053" s="59">
        <v>1.0</v>
      </c>
      <c r="G5053" s="60">
        <v>2.0</v>
      </c>
      <c r="H5053" s="60">
        <v>0.5</v>
      </c>
      <c r="I5053" s="60">
        <v>67.145526</v>
      </c>
      <c r="J5053" s="59">
        <v>2.0</v>
      </c>
      <c r="K5053" s="61">
        <f t="shared" si="1"/>
        <v>0.5</v>
      </c>
      <c r="L5053" s="62">
        <f t="shared" si="2"/>
        <v>1</v>
      </c>
    </row>
    <row r="5054">
      <c r="A5054" s="58">
        <v>45778.0</v>
      </c>
      <c r="B5054" s="24" t="s">
        <v>6787</v>
      </c>
      <c r="C5054" s="24" t="s">
        <v>6896</v>
      </c>
      <c r="D5054" s="59">
        <v>2.0</v>
      </c>
      <c r="E5054" s="59">
        <v>2.0</v>
      </c>
      <c r="F5054" s="59">
        <v>1.0</v>
      </c>
      <c r="G5054" s="60">
        <v>1.0</v>
      </c>
      <c r="H5054" s="60">
        <v>0.5</v>
      </c>
      <c r="I5054" s="60">
        <v>17.830395</v>
      </c>
      <c r="J5054" s="59">
        <v>2.0</v>
      </c>
      <c r="K5054" s="61">
        <f t="shared" si="1"/>
        <v>0.5</v>
      </c>
      <c r="L5054" s="62">
        <f t="shared" si="2"/>
        <v>1</v>
      </c>
    </row>
    <row r="5055">
      <c r="A5055" s="58">
        <v>45778.0</v>
      </c>
      <c r="B5055" s="24" t="s">
        <v>6789</v>
      </c>
      <c r="C5055" s="24" t="s">
        <v>7301</v>
      </c>
      <c r="D5055" s="59">
        <v>2.0</v>
      </c>
      <c r="E5055" s="59">
        <v>2.0</v>
      </c>
      <c r="F5055" s="59">
        <v>1.0</v>
      </c>
      <c r="G5055" s="60">
        <v>1.0</v>
      </c>
      <c r="H5055" s="60">
        <v>0.5</v>
      </c>
      <c r="I5055" s="60">
        <v>260.5337375</v>
      </c>
      <c r="J5055" s="59">
        <v>3.0</v>
      </c>
      <c r="K5055" s="61">
        <f t="shared" si="1"/>
        <v>0.5</v>
      </c>
      <c r="L5055" s="62">
        <f t="shared" si="2"/>
        <v>1.5</v>
      </c>
    </row>
    <row r="5056">
      <c r="A5056" s="58">
        <v>45778.0</v>
      </c>
      <c r="B5056" s="24" t="s">
        <v>155</v>
      </c>
      <c r="C5056" s="24" t="s">
        <v>6806</v>
      </c>
      <c r="D5056" s="59">
        <v>2.0</v>
      </c>
      <c r="E5056" s="59">
        <v>2.0</v>
      </c>
      <c r="F5056" s="59">
        <v>2.0</v>
      </c>
      <c r="G5056" s="60">
        <v>1.0</v>
      </c>
      <c r="H5056" s="60">
        <v>0.0</v>
      </c>
      <c r="I5056" s="60">
        <v>426.882648499999</v>
      </c>
      <c r="J5056" s="59">
        <v>2.0</v>
      </c>
      <c r="K5056" s="61">
        <f t="shared" si="1"/>
        <v>1</v>
      </c>
      <c r="L5056" s="62">
        <f t="shared" si="2"/>
        <v>1</v>
      </c>
    </row>
    <row r="5057">
      <c r="A5057" s="58">
        <v>45778.0</v>
      </c>
      <c r="B5057" s="24" t="s">
        <v>6787</v>
      </c>
      <c r="C5057" s="24" t="s">
        <v>6811</v>
      </c>
      <c r="D5057" s="59">
        <v>2.0</v>
      </c>
      <c r="E5057" s="59">
        <v>3.0</v>
      </c>
      <c r="F5057" s="59">
        <v>2.0</v>
      </c>
      <c r="G5057" s="60">
        <v>1.5</v>
      </c>
      <c r="H5057" s="60">
        <v>1.0</v>
      </c>
      <c r="I5057" s="60">
        <v>0.0</v>
      </c>
      <c r="J5057" s="59">
        <v>3.0</v>
      </c>
      <c r="K5057" s="61">
        <f t="shared" si="1"/>
        <v>0.6666666667</v>
      </c>
      <c r="L5057" s="62">
        <f t="shared" si="2"/>
        <v>1</v>
      </c>
    </row>
    <row r="5058">
      <c r="A5058" s="58">
        <v>45778.0</v>
      </c>
      <c r="B5058" s="24" t="s">
        <v>6789</v>
      </c>
      <c r="C5058" s="24" t="s">
        <v>6900</v>
      </c>
      <c r="D5058" s="59">
        <v>2.0</v>
      </c>
      <c r="E5058" s="59">
        <v>2.0</v>
      </c>
      <c r="F5058" s="59">
        <v>2.0</v>
      </c>
      <c r="G5058" s="60">
        <v>1.0</v>
      </c>
      <c r="H5058" s="60">
        <v>0.0</v>
      </c>
      <c r="I5058" s="60">
        <v>867.9260775</v>
      </c>
      <c r="J5058" s="59">
        <v>2.0</v>
      </c>
      <c r="K5058" s="61">
        <f t="shared" si="1"/>
        <v>1</v>
      </c>
      <c r="L5058" s="62">
        <f t="shared" si="2"/>
        <v>1</v>
      </c>
    </row>
    <row r="5059">
      <c r="A5059" s="58">
        <v>45778.0</v>
      </c>
      <c r="B5059" s="24" t="s">
        <v>6789</v>
      </c>
      <c r="C5059" s="24" t="s">
        <v>6901</v>
      </c>
      <c r="D5059" s="59">
        <v>2.0</v>
      </c>
      <c r="E5059" s="59">
        <v>2.0</v>
      </c>
      <c r="F5059" s="59">
        <v>2.0</v>
      </c>
      <c r="G5059" s="60">
        <v>1.0</v>
      </c>
      <c r="H5059" s="60">
        <v>0.0</v>
      </c>
      <c r="I5059" s="60">
        <v>62.621009</v>
      </c>
      <c r="J5059" s="59">
        <v>2.0</v>
      </c>
      <c r="K5059" s="61">
        <f t="shared" si="1"/>
        <v>1</v>
      </c>
      <c r="L5059" s="62">
        <f t="shared" si="2"/>
        <v>1</v>
      </c>
    </row>
    <row r="5060">
      <c r="A5060" s="58">
        <v>45778.0</v>
      </c>
      <c r="B5060" s="24" t="s">
        <v>6789</v>
      </c>
      <c r="C5060" s="24" t="s">
        <v>6844</v>
      </c>
      <c r="D5060" s="59">
        <v>2.0</v>
      </c>
      <c r="E5060" s="59">
        <v>2.0</v>
      </c>
      <c r="F5060" s="59">
        <v>2.0</v>
      </c>
      <c r="G5060" s="60">
        <v>1.0</v>
      </c>
      <c r="H5060" s="60">
        <v>0.0</v>
      </c>
      <c r="I5060" s="60">
        <v>494.8445845</v>
      </c>
      <c r="J5060" s="59">
        <v>9.0</v>
      </c>
      <c r="K5060" s="61">
        <f t="shared" si="1"/>
        <v>1</v>
      </c>
      <c r="L5060" s="62">
        <f t="shared" si="2"/>
        <v>4.5</v>
      </c>
    </row>
    <row r="5061">
      <c r="A5061" s="58">
        <v>45778.0</v>
      </c>
      <c r="B5061" s="24" t="s">
        <v>6789</v>
      </c>
      <c r="C5061" s="24" t="s">
        <v>6796</v>
      </c>
      <c r="D5061" s="59">
        <v>2.0</v>
      </c>
      <c r="E5061" s="59">
        <v>2.0</v>
      </c>
      <c r="F5061" s="59">
        <v>1.0</v>
      </c>
      <c r="G5061" s="60">
        <v>1.0</v>
      </c>
      <c r="H5061" s="60">
        <v>0.5</v>
      </c>
      <c r="I5061" s="60">
        <v>503.4502055</v>
      </c>
      <c r="J5061" s="59">
        <v>4.0</v>
      </c>
      <c r="K5061" s="61">
        <f t="shared" si="1"/>
        <v>0.5</v>
      </c>
      <c r="L5061" s="62">
        <f t="shared" si="2"/>
        <v>2</v>
      </c>
    </row>
    <row r="5062">
      <c r="A5062" s="58">
        <v>45778.0</v>
      </c>
      <c r="B5062" s="24" t="s">
        <v>6787</v>
      </c>
      <c r="C5062" s="24" t="s">
        <v>6904</v>
      </c>
      <c r="D5062" s="59">
        <v>2.0</v>
      </c>
      <c r="E5062" s="59">
        <v>2.0</v>
      </c>
      <c r="F5062" s="59">
        <v>2.0</v>
      </c>
      <c r="G5062" s="60">
        <v>1.0</v>
      </c>
      <c r="H5062" s="60">
        <v>1.0</v>
      </c>
      <c r="I5062" s="60">
        <v>3.59215549999999</v>
      </c>
      <c r="J5062" s="59">
        <v>2.0</v>
      </c>
      <c r="K5062" s="61">
        <f t="shared" si="1"/>
        <v>1</v>
      </c>
      <c r="L5062" s="62">
        <f t="shared" si="2"/>
        <v>1</v>
      </c>
    </row>
    <row r="5063">
      <c r="A5063" s="58">
        <v>45778.0</v>
      </c>
      <c r="B5063" s="24" t="s">
        <v>155</v>
      </c>
      <c r="C5063" s="24" t="s">
        <v>7236</v>
      </c>
      <c r="D5063" s="59">
        <v>2.0</v>
      </c>
      <c r="E5063" s="59">
        <v>3.0</v>
      </c>
      <c r="F5063" s="59">
        <v>1.0</v>
      </c>
      <c r="G5063" s="60">
        <v>1.5</v>
      </c>
      <c r="H5063" s="60">
        <v>0.666666666666666</v>
      </c>
      <c r="I5063" s="60">
        <v>286.522762333333</v>
      </c>
      <c r="J5063" s="59">
        <v>6.0</v>
      </c>
      <c r="K5063" s="61">
        <f t="shared" si="1"/>
        <v>0.3333333333</v>
      </c>
      <c r="L5063" s="62">
        <f t="shared" si="2"/>
        <v>2</v>
      </c>
    </row>
    <row r="5064">
      <c r="A5064" s="58">
        <v>45778.0</v>
      </c>
      <c r="B5064" s="24" t="s">
        <v>6789</v>
      </c>
      <c r="C5064" s="24" t="s">
        <v>7232</v>
      </c>
      <c r="D5064" s="59">
        <v>2.0</v>
      </c>
      <c r="E5064" s="59">
        <v>2.0</v>
      </c>
      <c r="F5064" s="59">
        <v>1.0</v>
      </c>
      <c r="G5064" s="60">
        <v>1.0</v>
      </c>
      <c r="H5064" s="60">
        <v>1.0</v>
      </c>
      <c r="I5064" s="60">
        <v>3.7781525</v>
      </c>
      <c r="J5064" s="59">
        <v>2.0</v>
      </c>
      <c r="K5064" s="61">
        <f t="shared" si="1"/>
        <v>0.5</v>
      </c>
      <c r="L5064" s="62">
        <f t="shared" si="2"/>
        <v>1</v>
      </c>
    </row>
    <row r="5065">
      <c r="A5065" s="58">
        <v>45778.0</v>
      </c>
      <c r="B5065" s="24" t="s">
        <v>6787</v>
      </c>
      <c r="C5065" s="24" t="s">
        <v>6907</v>
      </c>
      <c r="D5065" s="59">
        <v>2.0</v>
      </c>
      <c r="E5065" s="59">
        <v>2.0</v>
      </c>
      <c r="F5065" s="59">
        <v>2.0</v>
      </c>
      <c r="G5065" s="60">
        <v>1.0</v>
      </c>
      <c r="H5065" s="60">
        <v>0.5</v>
      </c>
      <c r="I5065" s="60">
        <v>13.093181</v>
      </c>
      <c r="J5065" s="59">
        <v>2.0</v>
      </c>
      <c r="K5065" s="61">
        <f t="shared" si="1"/>
        <v>1</v>
      </c>
      <c r="L5065" s="62">
        <f t="shared" si="2"/>
        <v>1</v>
      </c>
    </row>
    <row r="5066">
      <c r="A5066" s="58">
        <v>45778.0</v>
      </c>
      <c r="B5066" s="24" t="s">
        <v>6789</v>
      </c>
      <c r="C5066" s="24" t="s">
        <v>6907</v>
      </c>
      <c r="D5066" s="59">
        <v>2.0</v>
      </c>
      <c r="E5066" s="59">
        <v>2.0</v>
      </c>
      <c r="F5066" s="59">
        <v>2.0</v>
      </c>
      <c r="G5066" s="60">
        <v>1.0</v>
      </c>
      <c r="H5066" s="60">
        <v>0.5</v>
      </c>
      <c r="I5066" s="60">
        <v>37.2282735</v>
      </c>
      <c r="J5066" s="59">
        <v>2.0</v>
      </c>
      <c r="K5066" s="61">
        <f t="shared" si="1"/>
        <v>1</v>
      </c>
      <c r="L5066" s="62">
        <f t="shared" si="2"/>
        <v>1</v>
      </c>
    </row>
    <row r="5067">
      <c r="A5067" s="58">
        <v>45778.0</v>
      </c>
      <c r="B5067" s="24" t="s">
        <v>6787</v>
      </c>
      <c r="C5067" s="24" t="s">
        <v>7190</v>
      </c>
      <c r="D5067" s="59">
        <v>2.0</v>
      </c>
      <c r="E5067" s="59">
        <v>2.0</v>
      </c>
      <c r="F5067" s="59">
        <v>2.0</v>
      </c>
      <c r="G5067" s="60">
        <v>1.0</v>
      </c>
      <c r="H5067" s="60">
        <v>1.0</v>
      </c>
      <c r="I5067" s="60">
        <v>0.0</v>
      </c>
      <c r="J5067" s="59">
        <v>2.0</v>
      </c>
      <c r="K5067" s="61">
        <f t="shared" si="1"/>
        <v>1</v>
      </c>
      <c r="L5067" s="62">
        <f t="shared" si="2"/>
        <v>1</v>
      </c>
    </row>
    <row r="5068">
      <c r="A5068" s="58">
        <v>45778.0</v>
      </c>
      <c r="B5068" s="24" t="s">
        <v>6789</v>
      </c>
      <c r="C5068" s="24" t="s">
        <v>7091</v>
      </c>
      <c r="D5068" s="59">
        <v>2.0</v>
      </c>
      <c r="E5068" s="59">
        <v>2.0</v>
      </c>
      <c r="F5068" s="59">
        <v>2.0</v>
      </c>
      <c r="G5068" s="60">
        <v>1.0</v>
      </c>
      <c r="H5068" s="60">
        <v>0.5</v>
      </c>
      <c r="I5068" s="60">
        <v>270.1014415</v>
      </c>
      <c r="J5068" s="59">
        <v>2.0</v>
      </c>
      <c r="K5068" s="61">
        <f t="shared" si="1"/>
        <v>1</v>
      </c>
      <c r="L5068" s="62">
        <f t="shared" si="2"/>
        <v>1</v>
      </c>
    </row>
    <row r="5069">
      <c r="A5069" s="58">
        <v>45778.0</v>
      </c>
      <c r="B5069" s="24" t="s">
        <v>6789</v>
      </c>
      <c r="C5069" s="24" t="s">
        <v>7161</v>
      </c>
      <c r="D5069" s="59">
        <v>2.0</v>
      </c>
      <c r="E5069" s="59">
        <v>4.0</v>
      </c>
      <c r="F5069" s="59">
        <v>2.0</v>
      </c>
      <c r="G5069" s="60">
        <v>2.0</v>
      </c>
      <c r="H5069" s="60">
        <v>1.0</v>
      </c>
      <c r="I5069" s="60">
        <v>0.0</v>
      </c>
      <c r="J5069" s="59">
        <v>4.0</v>
      </c>
      <c r="K5069" s="61">
        <f t="shared" si="1"/>
        <v>0.5</v>
      </c>
      <c r="L5069" s="62">
        <f t="shared" si="2"/>
        <v>1</v>
      </c>
    </row>
    <row r="5070">
      <c r="A5070" s="58">
        <v>45778.0</v>
      </c>
      <c r="B5070" s="24" t="s">
        <v>6787</v>
      </c>
      <c r="C5070" s="24" t="s">
        <v>7191</v>
      </c>
      <c r="D5070" s="59">
        <v>2.0</v>
      </c>
      <c r="E5070" s="59">
        <v>2.0</v>
      </c>
      <c r="F5070" s="59">
        <v>2.0</v>
      </c>
      <c r="G5070" s="60">
        <v>1.0</v>
      </c>
      <c r="H5070" s="60">
        <v>1.0</v>
      </c>
      <c r="I5070" s="60">
        <v>0.0</v>
      </c>
      <c r="J5070" s="59">
        <v>2.0</v>
      </c>
      <c r="K5070" s="61">
        <f t="shared" si="1"/>
        <v>1</v>
      </c>
      <c r="L5070" s="62">
        <f t="shared" si="2"/>
        <v>1</v>
      </c>
    </row>
    <row r="5071">
      <c r="A5071" s="58">
        <v>45778.0</v>
      </c>
      <c r="B5071" s="24" t="s">
        <v>6787</v>
      </c>
      <c r="C5071" s="24" t="s">
        <v>7237</v>
      </c>
      <c r="D5071" s="59">
        <v>2.0</v>
      </c>
      <c r="E5071" s="59">
        <v>2.0</v>
      </c>
      <c r="F5071" s="59">
        <v>2.0</v>
      </c>
      <c r="G5071" s="60">
        <v>1.0</v>
      </c>
      <c r="H5071" s="60">
        <v>1.0</v>
      </c>
      <c r="I5071" s="60">
        <v>2.1892335</v>
      </c>
      <c r="J5071" s="59">
        <v>2.0</v>
      </c>
      <c r="K5071" s="61">
        <f t="shared" si="1"/>
        <v>1</v>
      </c>
      <c r="L5071" s="62">
        <f t="shared" si="2"/>
        <v>1</v>
      </c>
    </row>
    <row r="5072">
      <c r="A5072" s="58">
        <v>45778.0</v>
      </c>
      <c r="B5072" s="24" t="s">
        <v>6787</v>
      </c>
      <c r="C5072" s="24" t="s">
        <v>7432</v>
      </c>
      <c r="D5072" s="59">
        <v>2.0</v>
      </c>
      <c r="E5072" s="59">
        <v>2.0</v>
      </c>
      <c r="F5072" s="59">
        <v>2.0</v>
      </c>
      <c r="G5072" s="60">
        <v>1.0</v>
      </c>
      <c r="H5072" s="60">
        <v>0.5</v>
      </c>
      <c r="I5072" s="60">
        <v>16.2325915</v>
      </c>
      <c r="J5072" s="59">
        <v>2.0</v>
      </c>
      <c r="K5072" s="61">
        <f t="shared" si="1"/>
        <v>1</v>
      </c>
      <c r="L5072" s="62">
        <f t="shared" si="2"/>
        <v>1</v>
      </c>
    </row>
    <row r="5073">
      <c r="A5073" s="58">
        <v>45778.0</v>
      </c>
      <c r="B5073" s="24" t="s">
        <v>6789</v>
      </c>
      <c r="C5073" s="24" t="s">
        <v>7013</v>
      </c>
      <c r="D5073" s="59">
        <v>2.0</v>
      </c>
      <c r="E5073" s="59">
        <v>2.0</v>
      </c>
      <c r="F5073" s="59">
        <v>1.0</v>
      </c>
      <c r="G5073" s="60">
        <v>1.0</v>
      </c>
      <c r="H5073" s="60">
        <v>0.0</v>
      </c>
      <c r="I5073" s="60">
        <v>315.3865245</v>
      </c>
      <c r="J5073" s="59">
        <v>2.0</v>
      </c>
      <c r="K5073" s="61">
        <f t="shared" si="1"/>
        <v>0.5</v>
      </c>
      <c r="L5073" s="62">
        <f t="shared" si="2"/>
        <v>1</v>
      </c>
    </row>
    <row r="5074">
      <c r="A5074" s="58">
        <v>45778.0</v>
      </c>
      <c r="B5074" s="24" t="s">
        <v>6787</v>
      </c>
      <c r="C5074" s="24" t="s">
        <v>7101</v>
      </c>
      <c r="D5074" s="59">
        <v>2.0</v>
      </c>
      <c r="E5074" s="59">
        <v>2.0</v>
      </c>
      <c r="F5074" s="59">
        <v>2.0</v>
      </c>
      <c r="G5074" s="60">
        <v>1.0</v>
      </c>
      <c r="H5074" s="60">
        <v>1.0</v>
      </c>
      <c r="I5074" s="60">
        <v>0.0</v>
      </c>
      <c r="J5074" s="59">
        <v>2.0</v>
      </c>
      <c r="K5074" s="61">
        <f t="shared" si="1"/>
        <v>1</v>
      </c>
      <c r="L5074" s="62">
        <f t="shared" si="2"/>
        <v>1</v>
      </c>
    </row>
    <row r="5075">
      <c r="A5075" s="58">
        <v>45778.0</v>
      </c>
      <c r="B5075" s="24" t="s">
        <v>6789</v>
      </c>
      <c r="C5075" s="24" t="s">
        <v>7172</v>
      </c>
      <c r="D5075" s="59">
        <v>2.0</v>
      </c>
      <c r="E5075" s="59">
        <v>2.0</v>
      </c>
      <c r="F5075" s="59">
        <v>2.0</v>
      </c>
      <c r="G5075" s="60">
        <v>1.0</v>
      </c>
      <c r="H5075" s="60">
        <v>1.0</v>
      </c>
      <c r="I5075" s="60">
        <v>0.0</v>
      </c>
      <c r="J5075" s="59">
        <v>2.0</v>
      </c>
      <c r="K5075" s="61">
        <f t="shared" si="1"/>
        <v>1</v>
      </c>
      <c r="L5075" s="62">
        <f t="shared" si="2"/>
        <v>1</v>
      </c>
    </row>
    <row r="5076">
      <c r="A5076" s="58">
        <v>45778.0</v>
      </c>
      <c r="B5076" s="24" t="s">
        <v>155</v>
      </c>
      <c r="C5076" s="24" t="s">
        <v>7172</v>
      </c>
      <c r="D5076" s="59">
        <v>2.0</v>
      </c>
      <c r="E5076" s="59">
        <v>2.0</v>
      </c>
      <c r="F5076" s="59">
        <v>0.0</v>
      </c>
      <c r="G5076" s="60">
        <v>1.0</v>
      </c>
      <c r="H5076" s="60">
        <v>0.0</v>
      </c>
      <c r="I5076" s="60">
        <v>146.110822</v>
      </c>
      <c r="J5076" s="59">
        <v>5.0</v>
      </c>
      <c r="K5076" s="61">
        <f t="shared" si="1"/>
        <v>0</v>
      </c>
      <c r="L5076" s="62">
        <f t="shared" si="2"/>
        <v>2.5</v>
      </c>
    </row>
    <row r="5077">
      <c r="A5077" s="58">
        <v>45778.0</v>
      </c>
      <c r="B5077" s="24" t="s">
        <v>6789</v>
      </c>
      <c r="C5077" s="24" t="s">
        <v>7313</v>
      </c>
      <c r="D5077" s="59">
        <v>2.0</v>
      </c>
      <c r="E5077" s="59">
        <v>2.0</v>
      </c>
      <c r="F5077" s="59">
        <v>1.0</v>
      </c>
      <c r="G5077" s="60">
        <v>1.0</v>
      </c>
      <c r="H5077" s="60">
        <v>0.0</v>
      </c>
      <c r="I5077" s="60">
        <v>1229.6308575</v>
      </c>
      <c r="J5077" s="59">
        <v>10.0</v>
      </c>
      <c r="K5077" s="61">
        <f t="shared" si="1"/>
        <v>0.5</v>
      </c>
      <c r="L5077" s="62">
        <f t="shared" si="2"/>
        <v>5</v>
      </c>
    </row>
    <row r="5078">
      <c r="A5078" s="58">
        <v>45778.0</v>
      </c>
      <c r="B5078" s="24" t="s">
        <v>6787</v>
      </c>
      <c r="C5078" s="24" t="s">
        <v>7102</v>
      </c>
      <c r="D5078" s="59">
        <v>2.0</v>
      </c>
      <c r="E5078" s="59">
        <v>2.0</v>
      </c>
      <c r="F5078" s="59">
        <v>2.0</v>
      </c>
      <c r="G5078" s="60">
        <v>1.0</v>
      </c>
      <c r="H5078" s="60">
        <v>0.5</v>
      </c>
      <c r="I5078" s="60">
        <v>48.559768</v>
      </c>
      <c r="J5078" s="59">
        <v>3.0</v>
      </c>
      <c r="K5078" s="61">
        <f t="shared" si="1"/>
        <v>1</v>
      </c>
      <c r="L5078" s="62">
        <f t="shared" si="2"/>
        <v>1.5</v>
      </c>
    </row>
    <row r="5079">
      <c r="A5079" s="58">
        <v>45778.0</v>
      </c>
      <c r="B5079" s="24" t="s">
        <v>6789</v>
      </c>
      <c r="C5079" s="24" t="s">
        <v>7102</v>
      </c>
      <c r="D5079" s="59">
        <v>2.0</v>
      </c>
      <c r="E5079" s="59">
        <v>3.0</v>
      </c>
      <c r="F5079" s="59">
        <v>2.0</v>
      </c>
      <c r="G5079" s="60">
        <v>1.5</v>
      </c>
      <c r="H5079" s="60">
        <v>0.666666666666666</v>
      </c>
      <c r="I5079" s="60">
        <v>6.79209933333333</v>
      </c>
      <c r="J5079" s="59">
        <v>3.0</v>
      </c>
      <c r="K5079" s="61">
        <f t="shared" si="1"/>
        <v>0.6666666667</v>
      </c>
      <c r="L5079" s="62">
        <f t="shared" si="2"/>
        <v>1</v>
      </c>
    </row>
    <row r="5080">
      <c r="A5080" s="58">
        <v>45778.0</v>
      </c>
      <c r="B5080" s="24" t="s">
        <v>6789</v>
      </c>
      <c r="C5080" s="24" t="s">
        <v>7104</v>
      </c>
      <c r="D5080" s="59">
        <v>2.0</v>
      </c>
      <c r="E5080" s="59">
        <v>2.0</v>
      </c>
      <c r="F5080" s="59">
        <v>2.0</v>
      </c>
      <c r="G5080" s="60">
        <v>1.0</v>
      </c>
      <c r="H5080" s="60">
        <v>0.0</v>
      </c>
      <c r="I5080" s="60">
        <v>905.865116999999</v>
      </c>
      <c r="J5080" s="59">
        <v>44.0</v>
      </c>
      <c r="K5080" s="61">
        <f t="shared" si="1"/>
        <v>1</v>
      </c>
      <c r="L5080" s="62">
        <f t="shared" si="2"/>
        <v>22</v>
      </c>
    </row>
    <row r="5081">
      <c r="A5081" s="58">
        <v>45778.0</v>
      </c>
      <c r="B5081" s="24" t="s">
        <v>6787</v>
      </c>
      <c r="C5081" s="24" t="s">
        <v>7023</v>
      </c>
      <c r="D5081" s="59">
        <v>2.0</v>
      </c>
      <c r="E5081" s="59">
        <v>2.0</v>
      </c>
      <c r="F5081" s="59">
        <v>2.0</v>
      </c>
      <c r="G5081" s="60">
        <v>1.0</v>
      </c>
      <c r="H5081" s="60">
        <v>0.5</v>
      </c>
      <c r="I5081" s="60">
        <v>8.1546305</v>
      </c>
      <c r="J5081" s="59">
        <v>2.0</v>
      </c>
      <c r="K5081" s="61">
        <f t="shared" si="1"/>
        <v>1</v>
      </c>
      <c r="L5081" s="62">
        <f t="shared" si="2"/>
        <v>1</v>
      </c>
    </row>
    <row r="5082">
      <c r="A5082" s="58">
        <v>45778.0</v>
      </c>
      <c r="B5082" s="24" t="s">
        <v>6787</v>
      </c>
      <c r="C5082" s="24" t="s">
        <v>6912</v>
      </c>
      <c r="D5082" s="59">
        <v>2.0</v>
      </c>
      <c r="E5082" s="59">
        <v>2.0</v>
      </c>
      <c r="F5082" s="59">
        <v>2.0</v>
      </c>
      <c r="G5082" s="60">
        <v>1.0</v>
      </c>
      <c r="H5082" s="60">
        <v>0.0</v>
      </c>
      <c r="I5082" s="60">
        <v>849.3227145</v>
      </c>
      <c r="J5082" s="59">
        <v>3.0</v>
      </c>
      <c r="K5082" s="61">
        <f t="shared" si="1"/>
        <v>1</v>
      </c>
      <c r="L5082" s="62">
        <f t="shared" si="2"/>
        <v>1.5</v>
      </c>
    </row>
    <row r="5083">
      <c r="A5083" s="58">
        <v>45778.0</v>
      </c>
      <c r="B5083" s="24" t="s">
        <v>6787</v>
      </c>
      <c r="C5083" s="24" t="s">
        <v>7174</v>
      </c>
      <c r="D5083" s="59">
        <v>2.0</v>
      </c>
      <c r="E5083" s="59">
        <v>2.0</v>
      </c>
      <c r="F5083" s="59">
        <v>2.0</v>
      </c>
      <c r="G5083" s="60">
        <v>1.0</v>
      </c>
      <c r="H5083" s="60">
        <v>1.0</v>
      </c>
      <c r="I5083" s="60">
        <v>0.0</v>
      </c>
      <c r="J5083" s="59">
        <v>2.0</v>
      </c>
      <c r="K5083" s="61">
        <f t="shared" si="1"/>
        <v>1</v>
      </c>
      <c r="L5083" s="62">
        <f t="shared" si="2"/>
        <v>1</v>
      </c>
    </row>
    <row r="5084">
      <c r="A5084" s="58">
        <v>45778.0</v>
      </c>
      <c r="B5084" s="24" t="s">
        <v>6787</v>
      </c>
      <c r="C5084" s="24" t="s">
        <v>7192</v>
      </c>
      <c r="D5084" s="59">
        <v>2.0</v>
      </c>
      <c r="E5084" s="59">
        <v>2.0</v>
      </c>
      <c r="F5084" s="59">
        <v>2.0</v>
      </c>
      <c r="G5084" s="60">
        <v>1.0</v>
      </c>
      <c r="H5084" s="60">
        <v>0.5</v>
      </c>
      <c r="I5084" s="60">
        <v>23.7015745</v>
      </c>
      <c r="J5084" s="59">
        <v>3.0</v>
      </c>
      <c r="K5084" s="61">
        <f t="shared" si="1"/>
        <v>1</v>
      </c>
      <c r="L5084" s="62">
        <f t="shared" si="2"/>
        <v>1.5</v>
      </c>
    </row>
    <row r="5085">
      <c r="A5085" s="58">
        <v>45778.0</v>
      </c>
      <c r="B5085" s="24" t="s">
        <v>6787</v>
      </c>
      <c r="C5085" s="24" t="s">
        <v>7106</v>
      </c>
      <c r="D5085" s="59">
        <v>2.0</v>
      </c>
      <c r="E5085" s="59">
        <v>2.0</v>
      </c>
      <c r="F5085" s="59">
        <v>2.0</v>
      </c>
      <c r="G5085" s="60">
        <v>1.0</v>
      </c>
      <c r="H5085" s="60">
        <v>0.5</v>
      </c>
      <c r="I5085" s="60">
        <v>18.585635</v>
      </c>
      <c r="J5085" s="59">
        <v>3.0</v>
      </c>
      <c r="K5085" s="61">
        <f t="shared" si="1"/>
        <v>1</v>
      </c>
      <c r="L5085" s="62">
        <f t="shared" si="2"/>
        <v>1.5</v>
      </c>
    </row>
    <row r="5086">
      <c r="A5086" s="58">
        <v>45778.0</v>
      </c>
      <c r="B5086" s="24" t="s">
        <v>6787</v>
      </c>
      <c r="C5086" s="24" t="s">
        <v>7384</v>
      </c>
      <c r="D5086" s="59">
        <v>2.0</v>
      </c>
      <c r="E5086" s="59">
        <v>2.0</v>
      </c>
      <c r="F5086" s="59">
        <v>2.0</v>
      </c>
      <c r="G5086" s="60">
        <v>1.0</v>
      </c>
      <c r="H5086" s="60">
        <v>0.0</v>
      </c>
      <c r="I5086" s="60">
        <v>675.2462625</v>
      </c>
      <c r="J5086" s="59">
        <v>2.0</v>
      </c>
      <c r="K5086" s="61">
        <f t="shared" si="1"/>
        <v>1</v>
      </c>
      <c r="L5086" s="62">
        <f t="shared" si="2"/>
        <v>1</v>
      </c>
    </row>
    <row r="5087">
      <c r="A5087" s="58">
        <v>45778.0</v>
      </c>
      <c r="B5087" s="24" t="s">
        <v>6787</v>
      </c>
      <c r="C5087" s="24" t="s">
        <v>6852</v>
      </c>
      <c r="D5087" s="59">
        <v>2.0</v>
      </c>
      <c r="E5087" s="59">
        <v>2.0</v>
      </c>
      <c r="F5087" s="59">
        <v>2.0</v>
      </c>
      <c r="G5087" s="60">
        <v>1.0</v>
      </c>
      <c r="H5087" s="60">
        <v>0.5</v>
      </c>
      <c r="I5087" s="60">
        <v>5.5986555</v>
      </c>
      <c r="J5087" s="59">
        <v>2.0</v>
      </c>
      <c r="K5087" s="61">
        <f t="shared" si="1"/>
        <v>1</v>
      </c>
      <c r="L5087" s="62">
        <f t="shared" si="2"/>
        <v>1</v>
      </c>
    </row>
    <row r="5088">
      <c r="A5088" s="58">
        <v>45778.0</v>
      </c>
      <c r="B5088" s="24" t="s">
        <v>6789</v>
      </c>
      <c r="C5088" s="24" t="s">
        <v>6852</v>
      </c>
      <c r="D5088" s="59">
        <v>2.0</v>
      </c>
      <c r="E5088" s="59">
        <v>2.0</v>
      </c>
      <c r="F5088" s="59">
        <v>0.0</v>
      </c>
      <c r="G5088" s="60">
        <v>1.0</v>
      </c>
      <c r="H5088" s="60">
        <v>0.0</v>
      </c>
      <c r="I5088" s="60">
        <v>83.801822</v>
      </c>
      <c r="J5088" s="59">
        <v>3.0</v>
      </c>
      <c r="K5088" s="61">
        <f t="shared" si="1"/>
        <v>0</v>
      </c>
      <c r="L5088" s="62">
        <f t="shared" si="2"/>
        <v>1.5</v>
      </c>
    </row>
    <row r="5089">
      <c r="A5089" s="58">
        <v>45778.0</v>
      </c>
      <c r="B5089" s="24" t="s">
        <v>6789</v>
      </c>
      <c r="C5089" s="24" t="s">
        <v>6921</v>
      </c>
      <c r="D5089" s="59">
        <v>2.0</v>
      </c>
      <c r="E5089" s="59">
        <v>2.0</v>
      </c>
      <c r="F5089" s="59">
        <v>0.0</v>
      </c>
      <c r="G5089" s="60">
        <v>1.0</v>
      </c>
      <c r="H5089" s="60">
        <v>0.0</v>
      </c>
      <c r="I5089" s="60">
        <v>278.9814515</v>
      </c>
      <c r="J5089" s="59">
        <v>4.0</v>
      </c>
      <c r="K5089" s="61">
        <f t="shared" si="1"/>
        <v>0</v>
      </c>
      <c r="L5089" s="62">
        <f t="shared" si="2"/>
        <v>2</v>
      </c>
    </row>
    <row r="5090">
      <c r="A5090" s="58">
        <v>45778.0</v>
      </c>
      <c r="B5090" s="24" t="s">
        <v>6789</v>
      </c>
      <c r="C5090" s="24" t="s">
        <v>6853</v>
      </c>
      <c r="D5090" s="59">
        <v>2.0</v>
      </c>
      <c r="E5090" s="59">
        <v>2.0</v>
      </c>
      <c r="F5090" s="59">
        <v>1.0</v>
      </c>
      <c r="G5090" s="60">
        <v>1.0</v>
      </c>
      <c r="H5090" s="60">
        <v>0.0</v>
      </c>
      <c r="I5090" s="60">
        <v>2594.6021315</v>
      </c>
      <c r="J5090" s="59">
        <v>9.0</v>
      </c>
      <c r="K5090" s="61">
        <f t="shared" si="1"/>
        <v>0.5</v>
      </c>
      <c r="L5090" s="62">
        <f t="shared" si="2"/>
        <v>4.5</v>
      </c>
    </row>
    <row r="5091">
      <c r="A5091" s="58">
        <v>45778.0</v>
      </c>
      <c r="B5091" s="24" t="s">
        <v>6787</v>
      </c>
      <c r="C5091" s="24" t="s">
        <v>6816</v>
      </c>
      <c r="D5091" s="59">
        <v>2.0</v>
      </c>
      <c r="E5091" s="59">
        <v>2.0</v>
      </c>
      <c r="F5091" s="59">
        <v>2.0</v>
      </c>
      <c r="G5091" s="60">
        <v>1.0</v>
      </c>
      <c r="H5091" s="60">
        <v>0.5</v>
      </c>
      <c r="I5091" s="60">
        <v>7.5533395</v>
      </c>
      <c r="J5091" s="59">
        <v>2.0</v>
      </c>
      <c r="K5091" s="61">
        <f t="shared" si="1"/>
        <v>1</v>
      </c>
      <c r="L5091" s="62">
        <f t="shared" si="2"/>
        <v>1</v>
      </c>
    </row>
    <row r="5092">
      <c r="A5092" s="58">
        <v>45778.0</v>
      </c>
      <c r="B5092" s="24" t="s">
        <v>6789</v>
      </c>
      <c r="C5092" s="24" t="s">
        <v>7047</v>
      </c>
      <c r="D5092" s="59">
        <v>2.0</v>
      </c>
      <c r="E5092" s="59">
        <v>2.0</v>
      </c>
      <c r="F5092" s="59">
        <v>1.0</v>
      </c>
      <c r="G5092" s="60">
        <v>1.0</v>
      </c>
      <c r="H5092" s="60">
        <v>0.5</v>
      </c>
      <c r="I5092" s="60">
        <v>409.5675295</v>
      </c>
      <c r="J5092" s="59">
        <v>7.0</v>
      </c>
      <c r="K5092" s="61">
        <f t="shared" si="1"/>
        <v>0.5</v>
      </c>
      <c r="L5092" s="62">
        <f t="shared" si="2"/>
        <v>3.5</v>
      </c>
    </row>
    <row r="5093">
      <c r="A5093" s="58">
        <v>45778.0</v>
      </c>
      <c r="B5093" s="24" t="s">
        <v>6787</v>
      </c>
      <c r="C5093" s="24" t="s">
        <v>6810</v>
      </c>
      <c r="D5093" s="59">
        <v>2.0</v>
      </c>
      <c r="E5093" s="59">
        <v>2.0</v>
      </c>
      <c r="F5093" s="59">
        <v>1.0</v>
      </c>
      <c r="G5093" s="60">
        <v>1.0</v>
      </c>
      <c r="H5093" s="60">
        <v>0.0</v>
      </c>
      <c r="I5093" s="60">
        <v>23.4319405</v>
      </c>
      <c r="J5093" s="59">
        <v>4.0</v>
      </c>
      <c r="K5093" s="61">
        <f t="shared" si="1"/>
        <v>0.5</v>
      </c>
      <c r="L5093" s="62">
        <f t="shared" si="2"/>
        <v>2</v>
      </c>
    </row>
    <row r="5094">
      <c r="A5094" s="58">
        <v>45778.0</v>
      </c>
      <c r="B5094" s="24" t="s">
        <v>155</v>
      </c>
      <c r="C5094" s="24" t="s">
        <v>6810</v>
      </c>
      <c r="D5094" s="59">
        <v>2.0</v>
      </c>
      <c r="E5094" s="59">
        <v>3.0</v>
      </c>
      <c r="F5094" s="59">
        <v>1.0</v>
      </c>
      <c r="G5094" s="60">
        <v>1.5</v>
      </c>
      <c r="H5094" s="60">
        <v>0.333333333333333</v>
      </c>
      <c r="I5094" s="60">
        <v>22.4720573333333</v>
      </c>
      <c r="J5094" s="59">
        <v>6.0</v>
      </c>
      <c r="K5094" s="61">
        <f t="shared" si="1"/>
        <v>0.3333333333</v>
      </c>
      <c r="L5094" s="62">
        <f t="shared" si="2"/>
        <v>2</v>
      </c>
    </row>
    <row r="5095">
      <c r="A5095" s="58">
        <v>45778.0</v>
      </c>
      <c r="B5095" s="24" t="s">
        <v>6787</v>
      </c>
      <c r="C5095" s="24" t="s">
        <v>6931</v>
      </c>
      <c r="D5095" s="59">
        <v>2.0</v>
      </c>
      <c r="E5095" s="59">
        <v>2.0</v>
      </c>
      <c r="F5095" s="59">
        <v>2.0</v>
      </c>
      <c r="G5095" s="60">
        <v>1.0</v>
      </c>
      <c r="H5095" s="60">
        <v>0.5</v>
      </c>
      <c r="I5095" s="60">
        <v>53.5134905</v>
      </c>
      <c r="J5095" s="59">
        <v>6.0</v>
      </c>
      <c r="K5095" s="61">
        <f t="shared" si="1"/>
        <v>1</v>
      </c>
      <c r="L5095" s="62">
        <f t="shared" si="2"/>
        <v>3</v>
      </c>
    </row>
    <row r="5096">
      <c r="A5096" s="58">
        <v>45778.0</v>
      </c>
      <c r="B5096" s="24" t="s">
        <v>155</v>
      </c>
      <c r="C5096" s="24" t="s">
        <v>6931</v>
      </c>
      <c r="D5096" s="59">
        <v>2.0</v>
      </c>
      <c r="E5096" s="59">
        <v>2.0</v>
      </c>
      <c r="F5096" s="59">
        <v>2.0</v>
      </c>
      <c r="G5096" s="60">
        <v>1.0</v>
      </c>
      <c r="H5096" s="60">
        <v>0.5</v>
      </c>
      <c r="I5096" s="60">
        <v>196.319894</v>
      </c>
      <c r="J5096" s="59">
        <v>3.0</v>
      </c>
      <c r="K5096" s="61">
        <f t="shared" si="1"/>
        <v>1</v>
      </c>
      <c r="L5096" s="62">
        <f t="shared" si="2"/>
        <v>1.5</v>
      </c>
    </row>
    <row r="5097">
      <c r="A5097" s="58">
        <v>45778.0</v>
      </c>
      <c r="B5097" s="24" t="s">
        <v>6789</v>
      </c>
      <c r="C5097" s="24" t="s">
        <v>6962</v>
      </c>
      <c r="D5097" s="59">
        <v>2.0</v>
      </c>
      <c r="E5097" s="59">
        <v>3.0</v>
      </c>
      <c r="F5097" s="59">
        <v>0.0</v>
      </c>
      <c r="G5097" s="60">
        <v>1.5</v>
      </c>
      <c r="H5097" s="60">
        <v>0.0</v>
      </c>
      <c r="I5097" s="60">
        <v>10.310461</v>
      </c>
      <c r="J5097" s="59">
        <v>3.0</v>
      </c>
      <c r="K5097" s="61">
        <f t="shared" si="1"/>
        <v>0</v>
      </c>
      <c r="L5097" s="62">
        <f t="shared" si="2"/>
        <v>1</v>
      </c>
    </row>
    <row r="5098">
      <c r="A5098" s="58">
        <v>45778.0</v>
      </c>
      <c r="B5098" s="24" t="s">
        <v>6789</v>
      </c>
      <c r="C5098" s="24" t="s">
        <v>7387</v>
      </c>
      <c r="D5098" s="59">
        <v>2.0</v>
      </c>
      <c r="E5098" s="59">
        <v>4.0</v>
      </c>
      <c r="F5098" s="59">
        <v>0.0</v>
      </c>
      <c r="G5098" s="60">
        <v>2.0</v>
      </c>
      <c r="H5098" s="60">
        <v>0.25</v>
      </c>
      <c r="I5098" s="60">
        <v>1030.1659365</v>
      </c>
      <c r="J5098" s="59">
        <v>5.0</v>
      </c>
      <c r="K5098" s="61">
        <f t="shared" si="1"/>
        <v>0</v>
      </c>
      <c r="L5098" s="62">
        <f t="shared" si="2"/>
        <v>1.25</v>
      </c>
    </row>
    <row r="5099">
      <c r="A5099" s="58">
        <v>45778.0</v>
      </c>
      <c r="B5099" s="24" t="s">
        <v>3216</v>
      </c>
      <c r="C5099" s="24" t="s">
        <v>6788</v>
      </c>
      <c r="D5099" s="59">
        <v>1.0</v>
      </c>
      <c r="E5099" s="59">
        <v>1.0</v>
      </c>
      <c r="F5099" s="59">
        <v>1.0</v>
      </c>
      <c r="G5099" s="60">
        <v>1.0</v>
      </c>
      <c r="H5099" s="60">
        <v>0.0</v>
      </c>
      <c r="I5099" s="60">
        <v>806.345233</v>
      </c>
      <c r="J5099" s="59">
        <v>3.0</v>
      </c>
      <c r="K5099" s="61">
        <f t="shared" si="1"/>
        <v>1</v>
      </c>
      <c r="L5099" s="62">
        <f t="shared" si="2"/>
        <v>3</v>
      </c>
    </row>
    <row r="5100">
      <c r="A5100" s="58">
        <v>45778.0</v>
      </c>
      <c r="B5100" s="24" t="s">
        <v>6787</v>
      </c>
      <c r="C5100" s="24" t="s">
        <v>7433</v>
      </c>
      <c r="D5100" s="59">
        <v>1.0</v>
      </c>
      <c r="E5100" s="59">
        <v>1.0</v>
      </c>
      <c r="F5100" s="59">
        <v>1.0</v>
      </c>
      <c r="G5100" s="60">
        <v>1.0</v>
      </c>
      <c r="H5100" s="60">
        <v>1.0</v>
      </c>
      <c r="I5100" s="60">
        <v>0.0</v>
      </c>
      <c r="J5100" s="59">
        <v>1.0</v>
      </c>
      <c r="K5100" s="61">
        <f t="shared" si="1"/>
        <v>1</v>
      </c>
      <c r="L5100" s="62">
        <f t="shared" si="2"/>
        <v>1</v>
      </c>
    </row>
    <row r="5101">
      <c r="A5101" s="58">
        <v>45778.0</v>
      </c>
      <c r="B5101" s="24" t="s">
        <v>6787</v>
      </c>
      <c r="C5101" s="24" t="s">
        <v>7434</v>
      </c>
      <c r="D5101" s="59">
        <v>1.0</v>
      </c>
      <c r="E5101" s="59">
        <v>1.0</v>
      </c>
      <c r="F5101" s="59">
        <v>1.0</v>
      </c>
      <c r="G5101" s="60">
        <v>1.0</v>
      </c>
      <c r="H5101" s="60">
        <v>1.0</v>
      </c>
      <c r="I5101" s="60">
        <v>0.0</v>
      </c>
      <c r="J5101" s="59">
        <v>1.0</v>
      </c>
      <c r="K5101" s="61">
        <f t="shared" si="1"/>
        <v>1</v>
      </c>
      <c r="L5101" s="62">
        <f t="shared" si="2"/>
        <v>1</v>
      </c>
    </row>
    <row r="5102">
      <c r="A5102" s="58">
        <v>45778.0</v>
      </c>
      <c r="B5102" s="24" t="s">
        <v>6787</v>
      </c>
      <c r="C5102" s="24" t="s">
        <v>7435</v>
      </c>
      <c r="D5102" s="59">
        <v>1.0</v>
      </c>
      <c r="E5102" s="59">
        <v>1.0</v>
      </c>
      <c r="F5102" s="59">
        <v>1.0</v>
      </c>
      <c r="G5102" s="60">
        <v>1.0</v>
      </c>
      <c r="H5102" s="60">
        <v>1.0</v>
      </c>
      <c r="I5102" s="60">
        <v>0.0</v>
      </c>
      <c r="J5102" s="59">
        <v>1.0</v>
      </c>
      <c r="K5102" s="61">
        <f t="shared" si="1"/>
        <v>1</v>
      </c>
      <c r="L5102" s="62">
        <f t="shared" si="2"/>
        <v>1</v>
      </c>
    </row>
    <row r="5103">
      <c r="A5103" s="58">
        <v>45778.0</v>
      </c>
      <c r="B5103" s="24" t="s">
        <v>6787</v>
      </c>
      <c r="C5103" s="24" t="s">
        <v>7436</v>
      </c>
      <c r="D5103" s="59">
        <v>1.0</v>
      </c>
      <c r="E5103" s="59">
        <v>1.0</v>
      </c>
      <c r="F5103" s="59">
        <v>1.0</v>
      </c>
      <c r="G5103" s="60">
        <v>1.0</v>
      </c>
      <c r="H5103" s="60">
        <v>1.0</v>
      </c>
      <c r="I5103" s="60">
        <v>0.0</v>
      </c>
      <c r="J5103" s="59">
        <v>1.0</v>
      </c>
      <c r="K5103" s="61">
        <f t="shared" si="1"/>
        <v>1</v>
      </c>
      <c r="L5103" s="62">
        <f t="shared" si="2"/>
        <v>1</v>
      </c>
    </row>
    <row r="5104">
      <c r="A5104" s="58">
        <v>45778.0</v>
      </c>
      <c r="B5104" s="24" t="s">
        <v>6787</v>
      </c>
      <c r="C5104" s="24" t="s">
        <v>6980</v>
      </c>
      <c r="D5104" s="59">
        <v>1.0</v>
      </c>
      <c r="E5104" s="59">
        <v>1.0</v>
      </c>
      <c r="F5104" s="59">
        <v>1.0</v>
      </c>
      <c r="G5104" s="60">
        <v>1.0</v>
      </c>
      <c r="H5104" s="60">
        <v>1.0</v>
      </c>
      <c r="I5104" s="60">
        <v>0.0</v>
      </c>
      <c r="J5104" s="59">
        <v>1.0</v>
      </c>
      <c r="K5104" s="61">
        <f t="shared" si="1"/>
        <v>1</v>
      </c>
      <c r="L5104" s="62">
        <f t="shared" si="2"/>
        <v>1</v>
      </c>
    </row>
    <row r="5105">
      <c r="A5105" s="58">
        <v>45778.0</v>
      </c>
      <c r="B5105" s="24" t="s">
        <v>6787</v>
      </c>
      <c r="C5105" s="24" t="s">
        <v>7146</v>
      </c>
      <c r="D5105" s="59">
        <v>1.0</v>
      </c>
      <c r="E5105" s="59">
        <v>1.0</v>
      </c>
      <c r="F5105" s="59">
        <v>1.0</v>
      </c>
      <c r="G5105" s="60">
        <v>1.0</v>
      </c>
      <c r="H5105" s="60">
        <v>1.0</v>
      </c>
      <c r="I5105" s="60">
        <v>0.0</v>
      </c>
      <c r="J5105" s="59">
        <v>1.0</v>
      </c>
      <c r="K5105" s="61">
        <f t="shared" si="1"/>
        <v>1</v>
      </c>
      <c r="L5105" s="62">
        <f t="shared" si="2"/>
        <v>1</v>
      </c>
    </row>
    <row r="5106">
      <c r="A5106" s="58">
        <v>45778.0</v>
      </c>
      <c r="B5106" s="24" t="s">
        <v>6789</v>
      </c>
      <c r="C5106" s="24" t="s">
        <v>6817</v>
      </c>
      <c r="D5106" s="59">
        <v>1.0</v>
      </c>
      <c r="E5106" s="59">
        <v>1.0</v>
      </c>
      <c r="F5106" s="59">
        <v>0.0</v>
      </c>
      <c r="G5106" s="60">
        <v>1.0</v>
      </c>
      <c r="H5106" s="60">
        <v>0.0</v>
      </c>
      <c r="I5106" s="60">
        <v>1055.058117</v>
      </c>
      <c r="J5106" s="59">
        <v>4.0</v>
      </c>
      <c r="K5106" s="61">
        <f t="shared" si="1"/>
        <v>0</v>
      </c>
      <c r="L5106" s="62">
        <f t="shared" si="2"/>
        <v>4</v>
      </c>
    </row>
    <row r="5107">
      <c r="A5107" s="58">
        <v>45778.0</v>
      </c>
      <c r="B5107" s="24" t="s">
        <v>6794</v>
      </c>
      <c r="C5107" s="24" t="s">
        <v>6817</v>
      </c>
      <c r="D5107" s="59">
        <v>1.0</v>
      </c>
      <c r="E5107" s="59">
        <v>1.0</v>
      </c>
      <c r="F5107" s="59">
        <v>0.0</v>
      </c>
      <c r="G5107" s="60">
        <v>1.0</v>
      </c>
      <c r="H5107" s="60">
        <v>0.0</v>
      </c>
      <c r="I5107" s="60">
        <v>37.210367</v>
      </c>
      <c r="J5107" s="59">
        <v>3.0</v>
      </c>
      <c r="K5107" s="61">
        <f t="shared" si="1"/>
        <v>0</v>
      </c>
      <c r="L5107" s="62">
        <f t="shared" si="2"/>
        <v>3</v>
      </c>
    </row>
    <row r="5108">
      <c r="A5108" s="58">
        <v>45778.0</v>
      </c>
      <c r="B5108" s="24" t="s">
        <v>6787</v>
      </c>
      <c r="C5108" s="24" t="s">
        <v>6953</v>
      </c>
      <c r="D5108" s="59">
        <v>1.0</v>
      </c>
      <c r="E5108" s="59">
        <v>1.0</v>
      </c>
      <c r="F5108" s="59">
        <v>1.0</v>
      </c>
      <c r="G5108" s="60">
        <v>1.0</v>
      </c>
      <c r="H5108" s="60">
        <v>0.0</v>
      </c>
      <c r="I5108" s="60">
        <v>346.089019</v>
      </c>
      <c r="J5108" s="59">
        <v>7.0</v>
      </c>
      <c r="K5108" s="61">
        <f t="shared" si="1"/>
        <v>1</v>
      </c>
      <c r="L5108" s="62">
        <f t="shared" si="2"/>
        <v>7</v>
      </c>
    </row>
    <row r="5109">
      <c r="A5109" s="58">
        <v>45778.0</v>
      </c>
      <c r="B5109" s="24" t="s">
        <v>6787</v>
      </c>
      <c r="C5109" s="24" t="s">
        <v>7056</v>
      </c>
      <c r="D5109" s="59">
        <v>1.0</v>
      </c>
      <c r="E5109" s="59">
        <v>1.0</v>
      </c>
      <c r="F5109" s="59">
        <v>1.0</v>
      </c>
      <c r="G5109" s="60">
        <v>1.0</v>
      </c>
      <c r="H5109" s="60">
        <v>1.0</v>
      </c>
      <c r="I5109" s="60">
        <v>5.964505</v>
      </c>
      <c r="J5109" s="59">
        <v>1.0</v>
      </c>
      <c r="K5109" s="61">
        <f t="shared" si="1"/>
        <v>1</v>
      </c>
      <c r="L5109" s="62">
        <f t="shared" si="2"/>
        <v>1</v>
      </c>
    </row>
    <row r="5110">
      <c r="A5110" s="58">
        <v>45778.0</v>
      </c>
      <c r="B5110" s="24" t="s">
        <v>6787</v>
      </c>
      <c r="C5110" s="24" t="s">
        <v>6983</v>
      </c>
      <c r="D5110" s="59">
        <v>1.0</v>
      </c>
      <c r="E5110" s="59">
        <v>1.0</v>
      </c>
      <c r="F5110" s="59">
        <v>1.0</v>
      </c>
      <c r="G5110" s="60">
        <v>1.0</v>
      </c>
      <c r="H5110" s="60">
        <v>1.0</v>
      </c>
      <c r="I5110" s="60">
        <v>0.0</v>
      </c>
      <c r="J5110" s="59">
        <v>1.0</v>
      </c>
      <c r="K5110" s="61">
        <f t="shared" si="1"/>
        <v>1</v>
      </c>
      <c r="L5110" s="62">
        <f t="shared" si="2"/>
        <v>1</v>
      </c>
    </row>
    <row r="5111">
      <c r="A5111" s="58">
        <v>45778.0</v>
      </c>
      <c r="B5111" s="24" t="s">
        <v>6789</v>
      </c>
      <c r="C5111" s="24" t="s">
        <v>6955</v>
      </c>
      <c r="D5111" s="59">
        <v>1.0</v>
      </c>
      <c r="E5111" s="59">
        <v>1.0</v>
      </c>
      <c r="F5111" s="59">
        <v>0.0</v>
      </c>
      <c r="G5111" s="60">
        <v>1.0</v>
      </c>
      <c r="H5111" s="60">
        <v>0.0</v>
      </c>
      <c r="I5111" s="60">
        <v>1602.073747</v>
      </c>
      <c r="J5111" s="59">
        <v>17.0</v>
      </c>
      <c r="K5111" s="61">
        <f t="shared" si="1"/>
        <v>0</v>
      </c>
      <c r="L5111" s="62">
        <f t="shared" si="2"/>
        <v>17</v>
      </c>
    </row>
    <row r="5112">
      <c r="A5112" s="58">
        <v>45778.0</v>
      </c>
      <c r="B5112" s="24" t="s">
        <v>155</v>
      </c>
      <c r="C5112" s="24" t="s">
        <v>6955</v>
      </c>
      <c r="D5112" s="59">
        <v>1.0</v>
      </c>
      <c r="E5112" s="59">
        <v>1.0</v>
      </c>
      <c r="F5112" s="59">
        <v>1.0</v>
      </c>
      <c r="G5112" s="60">
        <v>1.0</v>
      </c>
      <c r="H5112" s="60">
        <v>0.0</v>
      </c>
      <c r="I5112" s="60">
        <v>180.440228</v>
      </c>
      <c r="J5112" s="59">
        <v>3.0</v>
      </c>
      <c r="K5112" s="61">
        <f t="shared" si="1"/>
        <v>1</v>
      </c>
      <c r="L5112" s="62">
        <f t="shared" si="2"/>
        <v>3</v>
      </c>
    </row>
    <row r="5113">
      <c r="A5113" s="58">
        <v>45778.0</v>
      </c>
      <c r="B5113" s="24" t="s">
        <v>6787</v>
      </c>
      <c r="C5113" s="24" t="s">
        <v>6829</v>
      </c>
      <c r="D5113" s="59">
        <v>1.0</v>
      </c>
      <c r="E5113" s="59">
        <v>1.0</v>
      </c>
      <c r="F5113" s="59">
        <v>1.0</v>
      </c>
      <c r="G5113" s="60">
        <v>1.0</v>
      </c>
      <c r="H5113" s="60">
        <v>1.0</v>
      </c>
      <c r="I5113" s="60">
        <v>0.0</v>
      </c>
      <c r="J5113" s="59">
        <v>1.0</v>
      </c>
      <c r="K5113" s="61">
        <f t="shared" si="1"/>
        <v>1</v>
      </c>
      <c r="L5113" s="62">
        <f t="shared" si="2"/>
        <v>1</v>
      </c>
    </row>
    <row r="5114">
      <c r="A5114" s="58">
        <v>45778.0</v>
      </c>
      <c r="B5114" s="24" t="s">
        <v>155</v>
      </c>
      <c r="C5114" s="24" t="s">
        <v>6829</v>
      </c>
      <c r="D5114" s="59">
        <v>1.0</v>
      </c>
      <c r="E5114" s="59">
        <v>1.0</v>
      </c>
      <c r="F5114" s="59">
        <v>0.0</v>
      </c>
      <c r="G5114" s="60">
        <v>1.0</v>
      </c>
      <c r="H5114" s="60">
        <v>0.0</v>
      </c>
      <c r="I5114" s="60">
        <v>301.337399</v>
      </c>
      <c r="J5114" s="59">
        <v>2.0</v>
      </c>
      <c r="K5114" s="61">
        <f t="shared" si="1"/>
        <v>0</v>
      </c>
      <c r="L5114" s="62">
        <f t="shared" si="2"/>
        <v>2</v>
      </c>
    </row>
    <row r="5115">
      <c r="A5115" s="58">
        <v>45778.0</v>
      </c>
      <c r="B5115" s="24" t="s">
        <v>155</v>
      </c>
      <c r="C5115" s="24" t="s">
        <v>7057</v>
      </c>
      <c r="D5115" s="59">
        <v>1.0</v>
      </c>
      <c r="E5115" s="59">
        <v>1.0</v>
      </c>
      <c r="F5115" s="59">
        <v>1.0</v>
      </c>
      <c r="G5115" s="60">
        <v>1.0</v>
      </c>
      <c r="H5115" s="60">
        <v>0.0</v>
      </c>
      <c r="I5115" s="60">
        <v>310.244195</v>
      </c>
      <c r="J5115" s="59">
        <v>1.0</v>
      </c>
      <c r="K5115" s="61">
        <f t="shared" si="1"/>
        <v>1</v>
      </c>
      <c r="L5115" s="62">
        <f t="shared" si="2"/>
        <v>1</v>
      </c>
    </row>
    <row r="5116">
      <c r="A5116" s="58">
        <v>45778.0</v>
      </c>
      <c r="B5116" s="24" t="s">
        <v>6787</v>
      </c>
      <c r="C5116" s="24" t="s">
        <v>7058</v>
      </c>
      <c r="D5116" s="59">
        <v>1.0</v>
      </c>
      <c r="E5116" s="59">
        <v>1.0</v>
      </c>
      <c r="F5116" s="59">
        <v>1.0</v>
      </c>
      <c r="G5116" s="60">
        <v>1.0</v>
      </c>
      <c r="H5116" s="60">
        <v>1.0</v>
      </c>
      <c r="I5116" s="60">
        <v>9.276189</v>
      </c>
      <c r="J5116" s="59">
        <v>1.0</v>
      </c>
      <c r="K5116" s="61">
        <f t="shared" si="1"/>
        <v>1</v>
      </c>
      <c r="L5116" s="62">
        <f t="shared" si="2"/>
        <v>1</v>
      </c>
    </row>
    <row r="5117">
      <c r="A5117" s="58">
        <v>45778.0</v>
      </c>
      <c r="B5117" s="24" t="s">
        <v>6787</v>
      </c>
      <c r="C5117" s="24" t="s">
        <v>7187</v>
      </c>
      <c r="D5117" s="59">
        <v>1.0</v>
      </c>
      <c r="E5117" s="59">
        <v>1.0</v>
      </c>
      <c r="F5117" s="59">
        <v>0.0</v>
      </c>
      <c r="G5117" s="60">
        <v>1.0</v>
      </c>
      <c r="H5117" s="60">
        <v>0.0</v>
      </c>
      <c r="I5117" s="60">
        <v>124.189262</v>
      </c>
      <c r="J5117" s="59">
        <v>4.0</v>
      </c>
      <c r="K5117" s="61">
        <f t="shared" si="1"/>
        <v>0</v>
      </c>
      <c r="L5117" s="62">
        <f t="shared" si="2"/>
        <v>4</v>
      </c>
    </row>
    <row r="5118">
      <c r="A5118" s="58">
        <v>45778.0</v>
      </c>
      <c r="B5118" s="24" t="s">
        <v>6787</v>
      </c>
      <c r="C5118" s="24" t="s">
        <v>6861</v>
      </c>
      <c r="D5118" s="59">
        <v>1.0</v>
      </c>
      <c r="E5118" s="59">
        <v>1.0</v>
      </c>
      <c r="F5118" s="59">
        <v>1.0</v>
      </c>
      <c r="G5118" s="60">
        <v>1.0</v>
      </c>
      <c r="H5118" s="60">
        <v>1.0</v>
      </c>
      <c r="I5118" s="60">
        <v>0.0</v>
      </c>
      <c r="J5118" s="59">
        <v>1.0</v>
      </c>
      <c r="K5118" s="61">
        <f t="shared" si="1"/>
        <v>1</v>
      </c>
      <c r="L5118" s="62">
        <f t="shared" si="2"/>
        <v>1</v>
      </c>
    </row>
    <row r="5119">
      <c r="A5119" s="58">
        <v>45778.0</v>
      </c>
      <c r="B5119" s="24" t="s">
        <v>6789</v>
      </c>
      <c r="C5119" s="24" t="s">
        <v>6861</v>
      </c>
      <c r="D5119" s="59">
        <v>1.0</v>
      </c>
      <c r="E5119" s="59">
        <v>1.0</v>
      </c>
      <c r="F5119" s="59">
        <v>1.0</v>
      </c>
      <c r="G5119" s="60">
        <v>1.0</v>
      </c>
      <c r="H5119" s="60">
        <v>1.0</v>
      </c>
      <c r="I5119" s="60">
        <v>5.405312</v>
      </c>
      <c r="J5119" s="59">
        <v>1.0</v>
      </c>
      <c r="K5119" s="61">
        <f t="shared" si="1"/>
        <v>1</v>
      </c>
      <c r="L5119" s="62">
        <f t="shared" si="2"/>
        <v>1</v>
      </c>
    </row>
    <row r="5120">
      <c r="A5120" s="58">
        <v>45778.0</v>
      </c>
      <c r="B5120" s="24" t="s">
        <v>6789</v>
      </c>
      <c r="C5120" s="24" t="s">
        <v>7059</v>
      </c>
      <c r="D5120" s="59">
        <v>1.0</v>
      </c>
      <c r="E5120" s="59">
        <v>1.0</v>
      </c>
      <c r="F5120" s="59">
        <v>1.0</v>
      </c>
      <c r="G5120" s="60">
        <v>1.0</v>
      </c>
      <c r="H5120" s="60">
        <v>1.0</v>
      </c>
      <c r="I5120" s="60">
        <v>5.727275</v>
      </c>
      <c r="J5120" s="59">
        <v>1.0</v>
      </c>
      <c r="K5120" s="61">
        <f t="shared" si="1"/>
        <v>1</v>
      </c>
      <c r="L5120" s="62">
        <f t="shared" si="2"/>
        <v>1</v>
      </c>
    </row>
    <row r="5121">
      <c r="A5121" s="58">
        <v>45778.0</v>
      </c>
      <c r="B5121" s="24" t="s">
        <v>6787</v>
      </c>
      <c r="C5121" s="24" t="s">
        <v>6865</v>
      </c>
      <c r="D5121" s="59">
        <v>1.0</v>
      </c>
      <c r="E5121" s="59">
        <v>1.0</v>
      </c>
      <c r="F5121" s="59">
        <v>1.0</v>
      </c>
      <c r="G5121" s="60">
        <v>1.0</v>
      </c>
      <c r="H5121" s="60">
        <v>0.0</v>
      </c>
      <c r="I5121" s="60">
        <v>28.759882</v>
      </c>
      <c r="J5121" s="59">
        <v>1.0</v>
      </c>
      <c r="K5121" s="61">
        <f t="shared" si="1"/>
        <v>1</v>
      </c>
      <c r="L5121" s="62">
        <f t="shared" si="2"/>
        <v>1</v>
      </c>
    </row>
    <row r="5122">
      <c r="A5122" s="58">
        <v>45778.0</v>
      </c>
      <c r="B5122" s="24" t="s">
        <v>6787</v>
      </c>
      <c r="C5122" s="24" t="s">
        <v>6819</v>
      </c>
      <c r="D5122" s="59">
        <v>1.0</v>
      </c>
      <c r="E5122" s="59">
        <v>1.0</v>
      </c>
      <c r="F5122" s="59">
        <v>1.0</v>
      </c>
      <c r="G5122" s="60">
        <v>1.0</v>
      </c>
      <c r="H5122" s="60">
        <v>1.0</v>
      </c>
      <c r="I5122" s="60">
        <v>0.0</v>
      </c>
      <c r="J5122" s="59">
        <v>1.0</v>
      </c>
      <c r="K5122" s="61">
        <f t="shared" si="1"/>
        <v>1</v>
      </c>
      <c r="L5122" s="62">
        <f t="shared" si="2"/>
        <v>1</v>
      </c>
    </row>
    <row r="5123">
      <c r="A5123" s="58">
        <v>45778.0</v>
      </c>
      <c r="B5123" s="24" t="s">
        <v>6787</v>
      </c>
      <c r="C5123" s="24" t="s">
        <v>6927</v>
      </c>
      <c r="D5123" s="59">
        <v>1.0</v>
      </c>
      <c r="E5123" s="59">
        <v>1.0</v>
      </c>
      <c r="F5123" s="59">
        <v>0.0</v>
      </c>
      <c r="G5123" s="60">
        <v>1.0</v>
      </c>
      <c r="H5123" s="60">
        <v>0.0</v>
      </c>
      <c r="I5123" s="60">
        <v>2273.654893</v>
      </c>
      <c r="J5123" s="59">
        <v>7.0</v>
      </c>
      <c r="K5123" s="61">
        <f t="shared" si="1"/>
        <v>0</v>
      </c>
      <c r="L5123" s="62">
        <f t="shared" si="2"/>
        <v>7</v>
      </c>
    </row>
    <row r="5124">
      <c r="A5124" s="58">
        <v>45778.0</v>
      </c>
      <c r="B5124" s="24" t="s">
        <v>155</v>
      </c>
      <c r="C5124" s="24" t="s">
        <v>6927</v>
      </c>
      <c r="D5124" s="59">
        <v>1.0</v>
      </c>
      <c r="E5124" s="59">
        <v>1.0</v>
      </c>
      <c r="F5124" s="59">
        <v>1.0</v>
      </c>
      <c r="G5124" s="60">
        <v>1.0</v>
      </c>
      <c r="H5124" s="60">
        <v>0.0</v>
      </c>
      <c r="I5124" s="60">
        <v>38.270329</v>
      </c>
      <c r="J5124" s="59">
        <v>1.0</v>
      </c>
      <c r="K5124" s="61">
        <f t="shared" si="1"/>
        <v>1</v>
      </c>
      <c r="L5124" s="62">
        <f t="shared" si="2"/>
        <v>1</v>
      </c>
    </row>
    <row r="5125">
      <c r="A5125" s="58">
        <v>45778.0</v>
      </c>
      <c r="B5125" s="24" t="s">
        <v>6787</v>
      </c>
      <c r="C5125" s="24" t="s">
        <v>7061</v>
      </c>
      <c r="D5125" s="59">
        <v>1.0</v>
      </c>
      <c r="E5125" s="59">
        <v>1.0</v>
      </c>
      <c r="F5125" s="59">
        <v>1.0</v>
      </c>
      <c r="G5125" s="60">
        <v>1.0</v>
      </c>
      <c r="H5125" s="60">
        <v>1.0</v>
      </c>
      <c r="I5125" s="60">
        <v>0.0</v>
      </c>
      <c r="J5125" s="59">
        <v>1.0</v>
      </c>
      <c r="K5125" s="61">
        <f t="shared" si="1"/>
        <v>1</v>
      </c>
      <c r="L5125" s="62">
        <f t="shared" si="2"/>
        <v>1</v>
      </c>
    </row>
    <row r="5126">
      <c r="A5126" s="58">
        <v>45778.0</v>
      </c>
      <c r="B5126" s="24" t="s">
        <v>6787</v>
      </c>
      <c r="C5126" s="24" t="s">
        <v>6867</v>
      </c>
      <c r="D5126" s="59">
        <v>1.0</v>
      </c>
      <c r="E5126" s="59">
        <v>1.0</v>
      </c>
      <c r="F5126" s="59">
        <v>1.0</v>
      </c>
      <c r="G5126" s="60">
        <v>1.0</v>
      </c>
      <c r="H5126" s="60">
        <v>1.0</v>
      </c>
      <c r="I5126" s="60">
        <v>0.0</v>
      </c>
      <c r="J5126" s="59">
        <v>1.0</v>
      </c>
      <c r="K5126" s="61">
        <f t="shared" si="1"/>
        <v>1</v>
      </c>
      <c r="L5126" s="62">
        <f t="shared" si="2"/>
        <v>1</v>
      </c>
    </row>
    <row r="5127">
      <c r="A5127" s="58">
        <v>45778.0</v>
      </c>
      <c r="B5127" s="24" t="s">
        <v>6789</v>
      </c>
      <c r="C5127" s="24" t="s">
        <v>6870</v>
      </c>
      <c r="D5127" s="59">
        <v>1.0</v>
      </c>
      <c r="E5127" s="59">
        <v>1.0</v>
      </c>
      <c r="F5127" s="59">
        <v>1.0</v>
      </c>
      <c r="G5127" s="60">
        <v>1.0</v>
      </c>
      <c r="H5127" s="60">
        <v>0.0</v>
      </c>
      <c r="I5127" s="60">
        <v>171.885636</v>
      </c>
      <c r="J5127" s="59">
        <v>1.0</v>
      </c>
      <c r="K5127" s="61">
        <f t="shared" si="1"/>
        <v>1</v>
      </c>
      <c r="L5127" s="62">
        <f t="shared" si="2"/>
        <v>1</v>
      </c>
    </row>
    <row r="5128">
      <c r="A5128" s="58">
        <v>45778.0</v>
      </c>
      <c r="B5128" s="24" t="s">
        <v>6789</v>
      </c>
      <c r="C5128" s="24" t="s">
        <v>7062</v>
      </c>
      <c r="D5128" s="59">
        <v>1.0</v>
      </c>
      <c r="E5128" s="59">
        <v>1.0</v>
      </c>
      <c r="F5128" s="59">
        <v>1.0</v>
      </c>
      <c r="G5128" s="60">
        <v>1.0</v>
      </c>
      <c r="H5128" s="60">
        <v>1.0</v>
      </c>
      <c r="I5128" s="60">
        <v>0.0</v>
      </c>
      <c r="J5128" s="59">
        <v>1.0</v>
      </c>
      <c r="K5128" s="61">
        <f t="shared" si="1"/>
        <v>1</v>
      </c>
      <c r="L5128" s="62">
        <f t="shared" si="2"/>
        <v>1</v>
      </c>
    </row>
    <row r="5129">
      <c r="A5129" s="58">
        <v>45778.0</v>
      </c>
      <c r="B5129" s="24" t="s">
        <v>6787</v>
      </c>
      <c r="C5129" s="24" t="s">
        <v>7063</v>
      </c>
      <c r="D5129" s="59">
        <v>1.0</v>
      </c>
      <c r="E5129" s="59">
        <v>1.0</v>
      </c>
      <c r="F5129" s="59">
        <v>1.0</v>
      </c>
      <c r="G5129" s="60">
        <v>1.0</v>
      </c>
      <c r="H5129" s="60">
        <v>1.0</v>
      </c>
      <c r="I5129" s="60">
        <v>0.0</v>
      </c>
      <c r="J5129" s="59">
        <v>1.0</v>
      </c>
      <c r="K5129" s="61">
        <f t="shared" si="1"/>
        <v>1</v>
      </c>
      <c r="L5129" s="62">
        <f t="shared" si="2"/>
        <v>1</v>
      </c>
    </row>
    <row r="5130">
      <c r="A5130" s="58">
        <v>45778.0</v>
      </c>
      <c r="B5130" s="24" t="s">
        <v>6787</v>
      </c>
      <c r="C5130" s="24" t="s">
        <v>7437</v>
      </c>
      <c r="D5130" s="59">
        <v>1.0</v>
      </c>
      <c r="E5130" s="59">
        <v>1.0</v>
      </c>
      <c r="F5130" s="59">
        <v>1.0</v>
      </c>
      <c r="G5130" s="60">
        <v>1.0</v>
      </c>
      <c r="H5130" s="60">
        <v>0.0</v>
      </c>
      <c r="I5130" s="60">
        <v>29.417381</v>
      </c>
      <c r="J5130" s="59">
        <v>1.0</v>
      </c>
      <c r="K5130" s="61">
        <f t="shared" si="1"/>
        <v>1</v>
      </c>
      <c r="L5130" s="62">
        <f t="shared" si="2"/>
        <v>1</v>
      </c>
    </row>
    <row r="5131">
      <c r="A5131" s="58">
        <v>45778.0</v>
      </c>
      <c r="B5131" s="24" t="s">
        <v>6789</v>
      </c>
      <c r="C5131" s="24" t="s">
        <v>7437</v>
      </c>
      <c r="D5131" s="59">
        <v>1.0</v>
      </c>
      <c r="E5131" s="59">
        <v>1.0</v>
      </c>
      <c r="F5131" s="59">
        <v>0.0</v>
      </c>
      <c r="G5131" s="60">
        <v>1.0</v>
      </c>
      <c r="H5131" s="60">
        <v>1.0</v>
      </c>
      <c r="I5131" s="60">
        <v>0.0</v>
      </c>
      <c r="J5131" s="59">
        <v>1.0</v>
      </c>
      <c r="K5131" s="61">
        <f t="shared" si="1"/>
        <v>0</v>
      </c>
      <c r="L5131" s="62">
        <f t="shared" si="2"/>
        <v>1</v>
      </c>
    </row>
    <row r="5132">
      <c r="A5132" s="58">
        <v>45778.0</v>
      </c>
      <c r="B5132" s="24" t="s">
        <v>155</v>
      </c>
      <c r="C5132" s="24" t="s">
        <v>6872</v>
      </c>
      <c r="D5132" s="59">
        <v>1.0</v>
      </c>
      <c r="E5132" s="59">
        <v>1.0</v>
      </c>
      <c r="F5132" s="59">
        <v>0.0</v>
      </c>
      <c r="G5132" s="60">
        <v>1.0</v>
      </c>
      <c r="H5132" s="60">
        <v>0.0</v>
      </c>
      <c r="I5132" s="60">
        <v>1670.689799</v>
      </c>
      <c r="J5132" s="59">
        <v>9.0</v>
      </c>
      <c r="K5132" s="61">
        <f t="shared" si="1"/>
        <v>0</v>
      </c>
      <c r="L5132" s="62">
        <f t="shared" si="2"/>
        <v>9</v>
      </c>
    </row>
    <row r="5133">
      <c r="A5133" s="58">
        <v>45778.0</v>
      </c>
      <c r="B5133" s="24" t="s">
        <v>155</v>
      </c>
      <c r="C5133" s="24" t="s">
        <v>7024</v>
      </c>
      <c r="D5133" s="59">
        <v>1.0</v>
      </c>
      <c r="E5133" s="59">
        <v>1.0</v>
      </c>
      <c r="F5133" s="59">
        <v>1.0</v>
      </c>
      <c r="G5133" s="60">
        <v>1.0</v>
      </c>
      <c r="H5133" s="60">
        <v>0.0</v>
      </c>
      <c r="I5133" s="60">
        <v>97.203562</v>
      </c>
      <c r="J5133" s="59">
        <v>2.0</v>
      </c>
      <c r="K5133" s="61">
        <f t="shared" si="1"/>
        <v>1</v>
      </c>
      <c r="L5133" s="62">
        <f t="shared" si="2"/>
        <v>2</v>
      </c>
    </row>
    <row r="5134">
      <c r="A5134" s="58">
        <v>45778.0</v>
      </c>
      <c r="B5134" s="24" t="s">
        <v>3216</v>
      </c>
      <c r="C5134" s="24" t="s">
        <v>6876</v>
      </c>
      <c r="D5134" s="59">
        <v>1.0</v>
      </c>
      <c r="E5134" s="59">
        <v>1.0</v>
      </c>
      <c r="F5134" s="59">
        <v>0.0</v>
      </c>
      <c r="G5134" s="60">
        <v>1.0</v>
      </c>
      <c r="H5134" s="60">
        <v>0.0</v>
      </c>
      <c r="I5134" s="60">
        <v>1181.053771</v>
      </c>
      <c r="J5134" s="59">
        <v>1.0</v>
      </c>
      <c r="K5134" s="61">
        <f t="shared" si="1"/>
        <v>0</v>
      </c>
      <c r="L5134" s="62">
        <f t="shared" si="2"/>
        <v>1</v>
      </c>
    </row>
    <row r="5135">
      <c r="A5135" s="58">
        <v>45778.0</v>
      </c>
      <c r="B5135" s="24" t="s">
        <v>155</v>
      </c>
      <c r="C5135" s="24" t="s">
        <v>6876</v>
      </c>
      <c r="D5135" s="59">
        <v>1.0</v>
      </c>
      <c r="E5135" s="59">
        <v>1.0</v>
      </c>
      <c r="F5135" s="59">
        <v>0.0</v>
      </c>
      <c r="G5135" s="60">
        <v>1.0</v>
      </c>
      <c r="H5135" s="60">
        <v>1.0</v>
      </c>
      <c r="I5135" s="60">
        <v>0.0</v>
      </c>
      <c r="J5135" s="59">
        <v>1.0</v>
      </c>
      <c r="K5135" s="61">
        <f t="shared" si="1"/>
        <v>0</v>
      </c>
      <c r="L5135" s="62">
        <f t="shared" si="2"/>
        <v>1</v>
      </c>
    </row>
    <row r="5136">
      <c r="A5136" s="58">
        <v>45778.0</v>
      </c>
      <c r="B5136" s="24" t="s">
        <v>155</v>
      </c>
      <c r="C5136" s="24" t="s">
        <v>7066</v>
      </c>
      <c r="D5136" s="59">
        <v>1.0</v>
      </c>
      <c r="E5136" s="59">
        <v>1.0</v>
      </c>
      <c r="F5136" s="59">
        <v>0.0</v>
      </c>
      <c r="G5136" s="60">
        <v>1.0</v>
      </c>
      <c r="H5136" s="60">
        <v>0.0</v>
      </c>
      <c r="I5136" s="60">
        <v>391.85502</v>
      </c>
      <c r="J5136" s="59">
        <v>2.0</v>
      </c>
      <c r="K5136" s="61">
        <f t="shared" si="1"/>
        <v>0</v>
      </c>
      <c r="L5136" s="62">
        <f t="shared" si="2"/>
        <v>2</v>
      </c>
    </row>
    <row r="5137">
      <c r="A5137" s="58">
        <v>45778.0</v>
      </c>
      <c r="B5137" s="24" t="s">
        <v>6789</v>
      </c>
      <c r="C5137" s="24" t="s">
        <v>6989</v>
      </c>
      <c r="D5137" s="59">
        <v>1.0</v>
      </c>
      <c r="E5137" s="59">
        <v>1.0</v>
      </c>
      <c r="F5137" s="59">
        <v>0.0</v>
      </c>
      <c r="G5137" s="60">
        <v>1.0</v>
      </c>
      <c r="H5137" s="60">
        <v>1.0</v>
      </c>
      <c r="I5137" s="60">
        <v>0.0</v>
      </c>
      <c r="J5137" s="59">
        <v>1.0</v>
      </c>
      <c r="K5137" s="61">
        <f t="shared" si="1"/>
        <v>0</v>
      </c>
      <c r="L5137" s="62">
        <f t="shared" si="2"/>
        <v>1</v>
      </c>
    </row>
    <row r="5138">
      <c r="A5138" s="58">
        <v>45778.0</v>
      </c>
      <c r="B5138" s="24" t="s">
        <v>6787</v>
      </c>
      <c r="C5138" s="24" t="s">
        <v>6880</v>
      </c>
      <c r="D5138" s="59">
        <v>1.0</v>
      </c>
      <c r="E5138" s="59">
        <v>1.0</v>
      </c>
      <c r="F5138" s="59">
        <v>1.0</v>
      </c>
      <c r="G5138" s="60">
        <v>1.0</v>
      </c>
      <c r="H5138" s="60">
        <v>1.0</v>
      </c>
      <c r="I5138" s="60">
        <v>0.0</v>
      </c>
      <c r="J5138" s="59">
        <v>1.0</v>
      </c>
      <c r="K5138" s="61">
        <f t="shared" si="1"/>
        <v>1</v>
      </c>
      <c r="L5138" s="62">
        <f t="shared" si="2"/>
        <v>1</v>
      </c>
    </row>
    <row r="5139">
      <c r="A5139" s="58">
        <v>45778.0</v>
      </c>
      <c r="B5139" s="24" t="s">
        <v>155</v>
      </c>
      <c r="C5139" s="24" t="s">
        <v>6880</v>
      </c>
      <c r="D5139" s="59">
        <v>1.0</v>
      </c>
      <c r="E5139" s="59">
        <v>1.0</v>
      </c>
      <c r="F5139" s="59">
        <v>1.0</v>
      </c>
      <c r="G5139" s="60">
        <v>1.0</v>
      </c>
      <c r="H5139" s="60">
        <v>0.0</v>
      </c>
      <c r="I5139" s="60">
        <v>47.730825</v>
      </c>
      <c r="J5139" s="59">
        <v>2.0</v>
      </c>
      <c r="K5139" s="61">
        <f t="shared" si="1"/>
        <v>1</v>
      </c>
      <c r="L5139" s="62">
        <f t="shared" si="2"/>
        <v>2</v>
      </c>
    </row>
    <row r="5140">
      <c r="A5140" s="58">
        <v>45778.0</v>
      </c>
      <c r="B5140" s="24" t="s">
        <v>6787</v>
      </c>
      <c r="C5140" s="24" t="s">
        <v>6881</v>
      </c>
      <c r="D5140" s="59">
        <v>1.0</v>
      </c>
      <c r="E5140" s="59">
        <v>1.0</v>
      </c>
      <c r="F5140" s="59">
        <v>1.0</v>
      </c>
      <c r="G5140" s="60">
        <v>1.0</v>
      </c>
      <c r="H5140" s="60">
        <v>1.0</v>
      </c>
      <c r="I5140" s="60">
        <v>0.0</v>
      </c>
      <c r="J5140" s="59">
        <v>1.0</v>
      </c>
      <c r="K5140" s="61">
        <f t="shared" si="1"/>
        <v>1</v>
      </c>
      <c r="L5140" s="62">
        <f t="shared" si="2"/>
        <v>1</v>
      </c>
    </row>
    <row r="5141">
      <c r="A5141" s="58">
        <v>45778.0</v>
      </c>
      <c r="B5141" s="24" t="s">
        <v>6789</v>
      </c>
      <c r="C5141" s="24" t="s">
        <v>6881</v>
      </c>
      <c r="D5141" s="59">
        <v>1.0</v>
      </c>
      <c r="E5141" s="59">
        <v>1.0</v>
      </c>
      <c r="F5141" s="59">
        <v>1.0</v>
      </c>
      <c r="G5141" s="60">
        <v>1.0</v>
      </c>
      <c r="H5141" s="60">
        <v>0.0</v>
      </c>
      <c r="I5141" s="60">
        <v>245.947098</v>
      </c>
      <c r="J5141" s="59">
        <v>1.0</v>
      </c>
      <c r="K5141" s="61">
        <f t="shared" si="1"/>
        <v>1</v>
      </c>
      <c r="L5141" s="62">
        <f t="shared" si="2"/>
        <v>1</v>
      </c>
    </row>
    <row r="5142">
      <c r="A5142" s="58">
        <v>45778.0</v>
      </c>
      <c r="B5142" s="24" t="s">
        <v>155</v>
      </c>
      <c r="C5142" s="24" t="s">
        <v>6881</v>
      </c>
      <c r="D5142" s="59">
        <v>1.0</v>
      </c>
      <c r="E5142" s="59">
        <v>1.0</v>
      </c>
      <c r="F5142" s="59">
        <v>0.0</v>
      </c>
      <c r="G5142" s="60">
        <v>1.0</v>
      </c>
      <c r="H5142" s="60">
        <v>1.0</v>
      </c>
      <c r="I5142" s="60">
        <v>0.0</v>
      </c>
      <c r="J5142" s="59">
        <v>1.0</v>
      </c>
      <c r="K5142" s="61">
        <f t="shared" si="1"/>
        <v>0</v>
      </c>
      <c r="L5142" s="62">
        <f t="shared" si="2"/>
        <v>1</v>
      </c>
    </row>
    <row r="5143">
      <c r="A5143" s="58">
        <v>45778.0</v>
      </c>
      <c r="B5143" s="24" t="s">
        <v>6787</v>
      </c>
      <c r="C5143" s="24" t="s">
        <v>6990</v>
      </c>
      <c r="D5143" s="59">
        <v>1.0</v>
      </c>
      <c r="E5143" s="59">
        <v>1.0</v>
      </c>
      <c r="F5143" s="59">
        <v>1.0</v>
      </c>
      <c r="G5143" s="60">
        <v>1.0</v>
      </c>
      <c r="H5143" s="60">
        <v>1.0</v>
      </c>
      <c r="I5143" s="60">
        <v>0.0</v>
      </c>
      <c r="J5143" s="59">
        <v>1.0</v>
      </c>
      <c r="K5143" s="61">
        <f t="shared" si="1"/>
        <v>1</v>
      </c>
      <c r="L5143" s="62">
        <f t="shared" si="2"/>
        <v>1</v>
      </c>
    </row>
    <row r="5144">
      <c r="A5144" s="58">
        <v>45778.0</v>
      </c>
      <c r="B5144" s="24" t="s">
        <v>6789</v>
      </c>
      <c r="C5144" s="24" t="s">
        <v>7067</v>
      </c>
      <c r="D5144" s="59">
        <v>1.0</v>
      </c>
      <c r="E5144" s="59">
        <v>1.0</v>
      </c>
      <c r="F5144" s="59">
        <v>0.0</v>
      </c>
      <c r="G5144" s="60">
        <v>0.0</v>
      </c>
      <c r="H5144" s="60">
        <v>1.0</v>
      </c>
      <c r="I5144" s="60">
        <v>0.0</v>
      </c>
      <c r="J5144" s="59">
        <v>1.0</v>
      </c>
      <c r="K5144" s="61">
        <f t="shared" si="1"/>
        <v>0</v>
      </c>
      <c r="L5144" s="62">
        <f t="shared" si="2"/>
        <v>1</v>
      </c>
    </row>
    <row r="5145">
      <c r="A5145" s="58">
        <v>45778.0</v>
      </c>
      <c r="B5145" s="24" t="s">
        <v>6789</v>
      </c>
      <c r="C5145" s="24" t="s">
        <v>6991</v>
      </c>
      <c r="D5145" s="59">
        <v>1.0</v>
      </c>
      <c r="E5145" s="59">
        <v>1.0</v>
      </c>
      <c r="F5145" s="59">
        <v>0.0</v>
      </c>
      <c r="G5145" s="60">
        <v>1.0</v>
      </c>
      <c r="H5145" s="60">
        <v>0.0</v>
      </c>
      <c r="I5145" s="60">
        <v>190.045846</v>
      </c>
      <c r="J5145" s="59">
        <v>1.0</v>
      </c>
      <c r="K5145" s="61">
        <f t="shared" si="1"/>
        <v>0</v>
      </c>
      <c r="L5145" s="62">
        <f t="shared" si="2"/>
        <v>1</v>
      </c>
    </row>
    <row r="5146">
      <c r="A5146" s="58">
        <v>45778.0</v>
      </c>
      <c r="B5146" s="24" t="s">
        <v>6789</v>
      </c>
      <c r="C5146" s="24" t="s">
        <v>6836</v>
      </c>
      <c r="D5146" s="59">
        <v>1.0</v>
      </c>
      <c r="E5146" s="59">
        <v>1.0</v>
      </c>
      <c r="F5146" s="59">
        <v>0.0</v>
      </c>
      <c r="G5146" s="60">
        <v>1.0</v>
      </c>
      <c r="H5146" s="60">
        <v>0.0</v>
      </c>
      <c r="I5146" s="60">
        <v>383.936865</v>
      </c>
      <c r="J5146" s="59">
        <v>3.0</v>
      </c>
      <c r="K5146" s="61">
        <f t="shared" si="1"/>
        <v>0</v>
      </c>
      <c r="L5146" s="62">
        <f t="shared" si="2"/>
        <v>3</v>
      </c>
    </row>
    <row r="5147">
      <c r="A5147" s="58">
        <v>45778.0</v>
      </c>
      <c r="B5147" s="24" t="s">
        <v>6787</v>
      </c>
      <c r="C5147" s="24" t="s">
        <v>7071</v>
      </c>
      <c r="D5147" s="59">
        <v>1.0</v>
      </c>
      <c r="E5147" s="59">
        <v>1.0</v>
      </c>
      <c r="F5147" s="59">
        <v>1.0</v>
      </c>
      <c r="G5147" s="60">
        <v>1.0</v>
      </c>
      <c r="H5147" s="60">
        <v>1.0</v>
      </c>
      <c r="I5147" s="60">
        <v>0.0</v>
      </c>
      <c r="J5147" s="59">
        <v>1.0</v>
      </c>
      <c r="K5147" s="61">
        <f t="shared" si="1"/>
        <v>1</v>
      </c>
      <c r="L5147" s="62">
        <f t="shared" si="2"/>
        <v>1</v>
      </c>
    </row>
    <row r="5148">
      <c r="A5148" s="58">
        <v>45778.0</v>
      </c>
      <c r="B5148" s="24" t="s">
        <v>155</v>
      </c>
      <c r="C5148" s="24" t="s">
        <v>7071</v>
      </c>
      <c r="D5148" s="59">
        <v>1.0</v>
      </c>
      <c r="E5148" s="59">
        <v>2.0</v>
      </c>
      <c r="F5148" s="59">
        <v>0.0</v>
      </c>
      <c r="G5148" s="60">
        <v>0.0</v>
      </c>
      <c r="H5148" s="60">
        <v>1.0</v>
      </c>
      <c r="I5148" s="60">
        <v>0.0</v>
      </c>
      <c r="J5148" s="59">
        <v>2.0</v>
      </c>
      <c r="K5148" s="61">
        <f t="shared" si="1"/>
        <v>0</v>
      </c>
      <c r="L5148" s="62">
        <f t="shared" si="2"/>
        <v>1</v>
      </c>
    </row>
    <row r="5149">
      <c r="A5149" s="58">
        <v>45778.0</v>
      </c>
      <c r="B5149" s="24" t="s">
        <v>6789</v>
      </c>
      <c r="C5149" s="24" t="s">
        <v>7072</v>
      </c>
      <c r="D5149" s="59">
        <v>1.0</v>
      </c>
      <c r="E5149" s="59">
        <v>1.0</v>
      </c>
      <c r="F5149" s="59">
        <v>1.0</v>
      </c>
      <c r="G5149" s="60">
        <v>1.0</v>
      </c>
      <c r="H5149" s="60">
        <v>0.0</v>
      </c>
      <c r="I5149" s="60">
        <v>66.199334</v>
      </c>
      <c r="J5149" s="59">
        <v>1.0</v>
      </c>
      <c r="K5149" s="61">
        <f t="shared" si="1"/>
        <v>1</v>
      </c>
      <c r="L5149" s="62">
        <f t="shared" si="2"/>
        <v>1</v>
      </c>
    </row>
    <row r="5150">
      <c r="A5150" s="58">
        <v>45778.0</v>
      </c>
      <c r="B5150" s="24" t="s">
        <v>155</v>
      </c>
      <c r="C5150" s="24" t="s">
        <v>6945</v>
      </c>
      <c r="D5150" s="59">
        <v>1.0</v>
      </c>
      <c r="E5150" s="59">
        <v>1.0</v>
      </c>
      <c r="F5150" s="59">
        <v>0.0</v>
      </c>
      <c r="G5150" s="60">
        <v>1.0</v>
      </c>
      <c r="H5150" s="60">
        <v>1.0</v>
      </c>
      <c r="I5150" s="60">
        <v>0.0</v>
      </c>
      <c r="J5150" s="59">
        <v>1.0</v>
      </c>
      <c r="K5150" s="61">
        <f t="shared" si="1"/>
        <v>0</v>
      </c>
      <c r="L5150" s="62">
        <f t="shared" si="2"/>
        <v>1</v>
      </c>
    </row>
    <row r="5151">
      <c r="A5151" s="58">
        <v>45778.0</v>
      </c>
      <c r="B5151" s="24" t="s">
        <v>6787</v>
      </c>
      <c r="C5151" s="24" t="s">
        <v>7073</v>
      </c>
      <c r="D5151" s="59">
        <v>1.0</v>
      </c>
      <c r="E5151" s="59">
        <v>1.0</v>
      </c>
      <c r="F5151" s="59">
        <v>1.0</v>
      </c>
      <c r="G5151" s="60">
        <v>1.0</v>
      </c>
      <c r="H5151" s="60">
        <v>1.0</v>
      </c>
      <c r="I5151" s="60">
        <v>0.0</v>
      </c>
      <c r="J5151" s="59">
        <v>1.0</v>
      </c>
      <c r="K5151" s="61">
        <f t="shared" si="1"/>
        <v>1</v>
      </c>
      <c r="L5151" s="62">
        <f t="shared" si="2"/>
        <v>1</v>
      </c>
    </row>
    <row r="5152">
      <c r="A5152" s="58">
        <v>45778.0</v>
      </c>
      <c r="B5152" s="24" t="s">
        <v>6787</v>
      </c>
      <c r="C5152" s="24" t="s">
        <v>6930</v>
      </c>
      <c r="D5152" s="59">
        <v>1.0</v>
      </c>
      <c r="E5152" s="59">
        <v>1.0</v>
      </c>
      <c r="F5152" s="59">
        <v>0.0</v>
      </c>
      <c r="G5152" s="60">
        <v>0.0</v>
      </c>
      <c r="H5152" s="60">
        <v>1.0</v>
      </c>
      <c r="I5152" s="60">
        <v>0.0</v>
      </c>
      <c r="J5152" s="59">
        <v>1.0</v>
      </c>
      <c r="K5152" s="61">
        <f t="shared" si="1"/>
        <v>0</v>
      </c>
      <c r="L5152" s="62">
        <f t="shared" si="2"/>
        <v>1</v>
      </c>
    </row>
    <row r="5153">
      <c r="A5153" s="58">
        <v>45778.0</v>
      </c>
      <c r="B5153" s="24" t="s">
        <v>6787</v>
      </c>
      <c r="C5153" s="24" t="s">
        <v>7074</v>
      </c>
      <c r="D5153" s="59">
        <v>1.0</v>
      </c>
      <c r="E5153" s="59">
        <v>1.0</v>
      </c>
      <c r="F5153" s="59">
        <v>1.0</v>
      </c>
      <c r="G5153" s="60">
        <v>1.0</v>
      </c>
      <c r="H5153" s="60">
        <v>1.0</v>
      </c>
      <c r="I5153" s="60">
        <v>0.0</v>
      </c>
      <c r="J5153" s="59">
        <v>1.0</v>
      </c>
      <c r="K5153" s="61">
        <f t="shared" si="1"/>
        <v>1</v>
      </c>
      <c r="L5153" s="62">
        <f t="shared" si="2"/>
        <v>1</v>
      </c>
    </row>
    <row r="5154">
      <c r="A5154" s="58">
        <v>45778.0</v>
      </c>
      <c r="B5154" s="24" t="s">
        <v>6794</v>
      </c>
      <c r="C5154" s="24" t="s">
        <v>6886</v>
      </c>
      <c r="D5154" s="59">
        <v>1.0</v>
      </c>
      <c r="E5154" s="59">
        <v>1.0</v>
      </c>
      <c r="F5154" s="59">
        <v>0.0</v>
      </c>
      <c r="G5154" s="60">
        <v>1.0</v>
      </c>
      <c r="H5154" s="60">
        <v>0.0</v>
      </c>
      <c r="I5154" s="60">
        <v>624.724575</v>
      </c>
      <c r="J5154" s="59">
        <v>4.0</v>
      </c>
      <c r="K5154" s="61">
        <f t="shared" si="1"/>
        <v>0</v>
      </c>
      <c r="L5154" s="62">
        <f t="shared" si="2"/>
        <v>4</v>
      </c>
    </row>
    <row r="5155">
      <c r="A5155" s="58">
        <v>45778.0</v>
      </c>
      <c r="B5155" s="24" t="s">
        <v>155</v>
      </c>
      <c r="C5155" s="24" t="s">
        <v>6886</v>
      </c>
      <c r="D5155" s="59">
        <v>1.0</v>
      </c>
      <c r="E5155" s="59">
        <v>1.0</v>
      </c>
      <c r="F5155" s="59">
        <v>0.0</v>
      </c>
      <c r="G5155" s="60">
        <v>1.0</v>
      </c>
      <c r="H5155" s="60">
        <v>0.0</v>
      </c>
      <c r="I5155" s="60">
        <v>492.503095</v>
      </c>
      <c r="J5155" s="59">
        <v>3.0</v>
      </c>
      <c r="K5155" s="61">
        <f t="shared" si="1"/>
        <v>0</v>
      </c>
      <c r="L5155" s="62">
        <f t="shared" si="2"/>
        <v>3</v>
      </c>
    </row>
    <row r="5156">
      <c r="A5156" s="58">
        <v>45778.0</v>
      </c>
      <c r="B5156" s="24" t="s">
        <v>6794</v>
      </c>
      <c r="C5156" s="24" t="s">
        <v>7021</v>
      </c>
      <c r="D5156" s="59">
        <v>1.0</v>
      </c>
      <c r="E5156" s="59">
        <v>1.0</v>
      </c>
      <c r="F5156" s="59">
        <v>0.0</v>
      </c>
      <c r="G5156" s="60">
        <v>1.0</v>
      </c>
      <c r="H5156" s="60">
        <v>0.0</v>
      </c>
      <c r="I5156" s="60">
        <v>17.127002</v>
      </c>
      <c r="J5156" s="59">
        <v>2.0</v>
      </c>
      <c r="K5156" s="61">
        <f t="shared" si="1"/>
        <v>0</v>
      </c>
      <c r="L5156" s="62">
        <f t="shared" si="2"/>
        <v>2</v>
      </c>
    </row>
    <row r="5157">
      <c r="A5157" s="58">
        <v>45778.0</v>
      </c>
      <c r="B5157" s="24" t="s">
        <v>6794</v>
      </c>
      <c r="C5157" s="24" t="s">
        <v>6822</v>
      </c>
      <c r="D5157" s="59">
        <v>1.0</v>
      </c>
      <c r="E5157" s="59">
        <v>1.0</v>
      </c>
      <c r="F5157" s="59">
        <v>0.0</v>
      </c>
      <c r="G5157" s="60">
        <v>1.0</v>
      </c>
      <c r="H5157" s="60">
        <v>0.0</v>
      </c>
      <c r="I5157" s="60">
        <v>45.77579</v>
      </c>
      <c r="J5157" s="59">
        <v>3.0</v>
      </c>
      <c r="K5157" s="61">
        <f t="shared" si="1"/>
        <v>0</v>
      </c>
      <c r="L5157" s="62">
        <f t="shared" si="2"/>
        <v>3</v>
      </c>
    </row>
    <row r="5158">
      <c r="A5158" s="58">
        <v>45778.0</v>
      </c>
      <c r="B5158" s="24" t="s">
        <v>155</v>
      </c>
      <c r="C5158" s="24" t="s">
        <v>6822</v>
      </c>
      <c r="D5158" s="59">
        <v>1.0</v>
      </c>
      <c r="E5158" s="59">
        <v>1.0</v>
      </c>
      <c r="F5158" s="59">
        <v>0.0</v>
      </c>
      <c r="G5158" s="60">
        <v>1.0</v>
      </c>
      <c r="H5158" s="60">
        <v>0.0</v>
      </c>
      <c r="I5158" s="60">
        <v>1244.466832</v>
      </c>
      <c r="J5158" s="59">
        <v>6.0</v>
      </c>
      <c r="K5158" s="61">
        <f t="shared" si="1"/>
        <v>0</v>
      </c>
      <c r="L5158" s="62">
        <f t="shared" si="2"/>
        <v>6</v>
      </c>
    </row>
    <row r="5159">
      <c r="A5159" s="58">
        <v>45778.0</v>
      </c>
      <c r="B5159" s="24" t="s">
        <v>6787</v>
      </c>
      <c r="C5159" s="24" t="s">
        <v>6891</v>
      </c>
      <c r="D5159" s="59">
        <v>1.0</v>
      </c>
      <c r="E5159" s="59">
        <v>1.0</v>
      </c>
      <c r="F5159" s="59">
        <v>1.0</v>
      </c>
      <c r="G5159" s="60">
        <v>1.0</v>
      </c>
      <c r="H5159" s="60">
        <v>1.0</v>
      </c>
      <c r="I5159" s="60">
        <v>0.0</v>
      </c>
      <c r="J5159" s="59">
        <v>1.0</v>
      </c>
      <c r="K5159" s="61">
        <f t="shared" si="1"/>
        <v>1</v>
      </c>
      <c r="L5159" s="62">
        <f t="shared" si="2"/>
        <v>1</v>
      </c>
    </row>
    <row r="5160">
      <c r="A5160" s="58">
        <v>45778.0</v>
      </c>
      <c r="B5160" s="24" t="s">
        <v>6794</v>
      </c>
      <c r="C5160" s="24" t="s">
        <v>6840</v>
      </c>
      <c r="D5160" s="59">
        <v>1.0</v>
      </c>
      <c r="E5160" s="59">
        <v>1.0</v>
      </c>
      <c r="F5160" s="59">
        <v>0.0</v>
      </c>
      <c r="G5160" s="60">
        <v>1.0</v>
      </c>
      <c r="H5160" s="60">
        <v>0.0</v>
      </c>
      <c r="I5160" s="60">
        <v>95.323787</v>
      </c>
      <c r="J5160" s="59">
        <v>1.0</v>
      </c>
      <c r="K5160" s="61">
        <f t="shared" si="1"/>
        <v>0</v>
      </c>
      <c r="L5160" s="62">
        <f t="shared" si="2"/>
        <v>1</v>
      </c>
    </row>
    <row r="5161">
      <c r="A5161" s="58">
        <v>45778.0</v>
      </c>
      <c r="B5161" s="24" t="s">
        <v>6787</v>
      </c>
      <c r="C5161" s="24" t="s">
        <v>7438</v>
      </c>
      <c r="D5161" s="59">
        <v>1.0</v>
      </c>
      <c r="E5161" s="59">
        <v>1.0</v>
      </c>
      <c r="F5161" s="59">
        <v>1.0</v>
      </c>
      <c r="G5161" s="60">
        <v>1.0</v>
      </c>
      <c r="H5161" s="60">
        <v>1.0</v>
      </c>
      <c r="I5161" s="60">
        <v>0.0</v>
      </c>
      <c r="J5161" s="59">
        <v>1.0</v>
      </c>
      <c r="K5161" s="61">
        <f t="shared" si="1"/>
        <v>1</v>
      </c>
      <c r="L5161" s="62">
        <f t="shared" si="2"/>
        <v>1</v>
      </c>
    </row>
    <row r="5162">
      <c r="A5162" s="58">
        <v>45778.0</v>
      </c>
      <c r="B5162" s="24" t="s">
        <v>155</v>
      </c>
      <c r="C5162" s="24" t="s">
        <v>7438</v>
      </c>
      <c r="D5162" s="59">
        <v>1.0</v>
      </c>
      <c r="E5162" s="59">
        <v>1.0</v>
      </c>
      <c r="F5162" s="59">
        <v>0.0</v>
      </c>
      <c r="G5162" s="60">
        <v>1.0</v>
      </c>
      <c r="H5162" s="60">
        <v>1.0</v>
      </c>
      <c r="I5162" s="60">
        <v>1.89045</v>
      </c>
      <c r="J5162" s="59">
        <v>1.0</v>
      </c>
      <c r="K5162" s="61">
        <f t="shared" si="1"/>
        <v>0</v>
      </c>
      <c r="L5162" s="62">
        <f t="shared" si="2"/>
        <v>1</v>
      </c>
    </row>
    <row r="5163">
      <c r="A5163" s="58">
        <v>45778.0</v>
      </c>
      <c r="B5163" s="24" t="s">
        <v>155</v>
      </c>
      <c r="C5163" s="24" t="s">
        <v>6896</v>
      </c>
      <c r="D5163" s="59">
        <v>1.0</v>
      </c>
      <c r="E5163" s="59">
        <v>1.0</v>
      </c>
      <c r="F5163" s="59">
        <v>1.0</v>
      </c>
      <c r="G5163" s="60">
        <v>1.0</v>
      </c>
      <c r="H5163" s="60">
        <v>1.0</v>
      </c>
      <c r="I5163" s="60">
        <v>0.0</v>
      </c>
      <c r="J5163" s="59">
        <v>1.0</v>
      </c>
      <c r="K5163" s="61">
        <f t="shared" si="1"/>
        <v>1</v>
      </c>
      <c r="L5163" s="62">
        <f t="shared" si="2"/>
        <v>1</v>
      </c>
    </row>
    <row r="5164">
      <c r="A5164" s="58">
        <v>45778.0</v>
      </c>
      <c r="B5164" s="24" t="s">
        <v>6790</v>
      </c>
      <c r="C5164" s="24" t="s">
        <v>7301</v>
      </c>
      <c r="D5164" s="59">
        <v>1.0</v>
      </c>
      <c r="E5164" s="59">
        <v>1.0</v>
      </c>
      <c r="F5164" s="59">
        <v>0.0</v>
      </c>
      <c r="G5164" s="60">
        <v>1.0</v>
      </c>
      <c r="H5164" s="60">
        <v>0.0</v>
      </c>
      <c r="I5164" s="60">
        <v>2871.686582</v>
      </c>
      <c r="J5164" s="59">
        <v>3.0</v>
      </c>
      <c r="K5164" s="61">
        <f t="shared" si="1"/>
        <v>0</v>
      </c>
      <c r="L5164" s="62">
        <f t="shared" si="2"/>
        <v>3</v>
      </c>
    </row>
    <row r="5165">
      <c r="A5165" s="58">
        <v>45778.0</v>
      </c>
      <c r="B5165" s="24" t="s">
        <v>6787</v>
      </c>
      <c r="C5165" s="24" t="s">
        <v>6823</v>
      </c>
      <c r="D5165" s="59">
        <v>1.0</v>
      </c>
      <c r="E5165" s="59">
        <v>1.0</v>
      </c>
      <c r="F5165" s="59">
        <v>1.0</v>
      </c>
      <c r="G5165" s="60">
        <v>1.0</v>
      </c>
      <c r="H5165" s="60">
        <v>1.0</v>
      </c>
      <c r="I5165" s="60">
        <v>0.0</v>
      </c>
      <c r="J5165" s="59">
        <v>1.0</v>
      </c>
      <c r="K5165" s="61">
        <f t="shared" si="1"/>
        <v>1</v>
      </c>
      <c r="L5165" s="62">
        <f t="shared" si="2"/>
        <v>1</v>
      </c>
    </row>
    <row r="5166">
      <c r="A5166" s="58">
        <v>45778.0</v>
      </c>
      <c r="B5166" s="24" t="s">
        <v>6794</v>
      </c>
      <c r="C5166" s="24" t="s">
        <v>6823</v>
      </c>
      <c r="D5166" s="59">
        <v>1.0</v>
      </c>
      <c r="E5166" s="59">
        <v>1.0</v>
      </c>
      <c r="F5166" s="59">
        <v>0.0</v>
      </c>
      <c r="G5166" s="60">
        <v>1.0</v>
      </c>
      <c r="H5166" s="60">
        <v>0.0</v>
      </c>
      <c r="I5166" s="60">
        <v>76.269648</v>
      </c>
      <c r="J5166" s="59">
        <v>3.0</v>
      </c>
      <c r="K5166" s="61">
        <f t="shared" si="1"/>
        <v>0</v>
      </c>
      <c r="L5166" s="62">
        <f t="shared" si="2"/>
        <v>3</v>
      </c>
    </row>
    <row r="5167">
      <c r="A5167" s="58">
        <v>45778.0</v>
      </c>
      <c r="B5167" s="24" t="s">
        <v>6790</v>
      </c>
      <c r="C5167" s="24" t="s">
        <v>7439</v>
      </c>
      <c r="D5167" s="59">
        <v>1.0</v>
      </c>
      <c r="E5167" s="59">
        <v>1.0</v>
      </c>
      <c r="F5167" s="59">
        <v>0.0</v>
      </c>
      <c r="G5167" s="60">
        <v>1.0</v>
      </c>
      <c r="H5167" s="60">
        <v>0.0</v>
      </c>
      <c r="I5167" s="60">
        <v>27.219681</v>
      </c>
      <c r="J5167" s="59">
        <v>1.0</v>
      </c>
      <c r="K5167" s="61">
        <f t="shared" si="1"/>
        <v>0</v>
      </c>
      <c r="L5167" s="62">
        <f t="shared" si="2"/>
        <v>1</v>
      </c>
    </row>
    <row r="5168">
      <c r="A5168" s="58">
        <v>45778.0</v>
      </c>
      <c r="B5168" s="24" t="s">
        <v>6787</v>
      </c>
      <c r="C5168" s="24" t="s">
        <v>7195</v>
      </c>
      <c r="D5168" s="59">
        <v>1.0</v>
      </c>
      <c r="E5168" s="59">
        <v>1.0</v>
      </c>
      <c r="F5168" s="59">
        <v>1.0</v>
      </c>
      <c r="G5168" s="60">
        <v>1.0</v>
      </c>
      <c r="H5168" s="60">
        <v>1.0</v>
      </c>
      <c r="I5168" s="60">
        <v>0.0</v>
      </c>
      <c r="J5168" s="59">
        <v>1.0</v>
      </c>
      <c r="K5168" s="61">
        <f t="shared" si="1"/>
        <v>1</v>
      </c>
      <c r="L5168" s="62">
        <f t="shared" si="2"/>
        <v>1</v>
      </c>
    </row>
    <row r="5169">
      <c r="A5169" s="58">
        <v>45778.0</v>
      </c>
      <c r="B5169" s="24" t="s">
        <v>6787</v>
      </c>
      <c r="C5169" s="24" t="s">
        <v>7223</v>
      </c>
      <c r="D5169" s="59">
        <v>1.0</v>
      </c>
      <c r="E5169" s="59">
        <v>1.0</v>
      </c>
      <c r="F5169" s="59">
        <v>1.0</v>
      </c>
      <c r="G5169" s="60">
        <v>1.0</v>
      </c>
      <c r="H5169" s="60">
        <v>0.0</v>
      </c>
      <c r="I5169" s="60">
        <v>14.485781</v>
      </c>
      <c r="J5169" s="59">
        <v>1.0</v>
      </c>
      <c r="K5169" s="61">
        <f t="shared" si="1"/>
        <v>1</v>
      </c>
      <c r="L5169" s="62">
        <f t="shared" si="2"/>
        <v>1</v>
      </c>
    </row>
    <row r="5170">
      <c r="A5170" s="58">
        <v>45778.0</v>
      </c>
      <c r="B5170" s="24" t="s">
        <v>3216</v>
      </c>
      <c r="C5170" s="24" t="s">
        <v>7223</v>
      </c>
      <c r="D5170" s="59">
        <v>1.0</v>
      </c>
      <c r="E5170" s="59">
        <v>1.0</v>
      </c>
      <c r="F5170" s="59">
        <v>1.0</v>
      </c>
      <c r="G5170" s="60">
        <v>1.0</v>
      </c>
      <c r="H5170" s="60">
        <v>0.0</v>
      </c>
      <c r="I5170" s="60">
        <v>124.535442</v>
      </c>
      <c r="J5170" s="59">
        <v>1.0</v>
      </c>
      <c r="K5170" s="61">
        <f t="shared" si="1"/>
        <v>1</v>
      </c>
      <c r="L5170" s="62">
        <f t="shared" si="2"/>
        <v>1</v>
      </c>
    </row>
    <row r="5171">
      <c r="A5171" s="58">
        <v>45778.0</v>
      </c>
      <c r="B5171" s="24" t="s">
        <v>155</v>
      </c>
      <c r="C5171" s="24" t="s">
        <v>7223</v>
      </c>
      <c r="D5171" s="59">
        <v>1.0</v>
      </c>
      <c r="E5171" s="59">
        <v>2.0</v>
      </c>
      <c r="F5171" s="59">
        <v>0.0</v>
      </c>
      <c r="G5171" s="60">
        <v>2.0</v>
      </c>
      <c r="H5171" s="60">
        <v>0.0</v>
      </c>
      <c r="I5171" s="60">
        <v>622.613611</v>
      </c>
      <c r="J5171" s="59">
        <v>11.0</v>
      </c>
      <c r="K5171" s="61">
        <f t="shared" si="1"/>
        <v>0</v>
      </c>
      <c r="L5171" s="62">
        <f t="shared" si="2"/>
        <v>5.5</v>
      </c>
    </row>
    <row r="5172">
      <c r="A5172" s="58">
        <v>45778.0</v>
      </c>
      <c r="B5172" s="24" t="s">
        <v>6790</v>
      </c>
      <c r="C5172" s="24" t="s">
        <v>7223</v>
      </c>
      <c r="D5172" s="59">
        <v>1.0</v>
      </c>
      <c r="E5172" s="59">
        <v>2.0</v>
      </c>
      <c r="F5172" s="59">
        <v>0.0</v>
      </c>
      <c r="G5172" s="60">
        <v>2.0</v>
      </c>
      <c r="H5172" s="60">
        <v>1.0</v>
      </c>
      <c r="I5172" s="60">
        <v>3.591313</v>
      </c>
      <c r="J5172" s="59">
        <v>2.0</v>
      </c>
      <c r="K5172" s="61">
        <f t="shared" si="1"/>
        <v>0</v>
      </c>
      <c r="L5172" s="62">
        <f t="shared" si="2"/>
        <v>1</v>
      </c>
    </row>
    <row r="5173">
      <c r="A5173" s="58">
        <v>45778.0</v>
      </c>
      <c r="B5173" s="24" t="s">
        <v>6787</v>
      </c>
      <c r="C5173" s="24" t="s">
        <v>7002</v>
      </c>
      <c r="D5173" s="59">
        <v>1.0</v>
      </c>
      <c r="E5173" s="59">
        <v>1.0</v>
      </c>
      <c r="F5173" s="59">
        <v>0.0</v>
      </c>
      <c r="G5173" s="60">
        <v>1.0</v>
      </c>
      <c r="H5173" s="60">
        <v>0.0</v>
      </c>
      <c r="I5173" s="60">
        <v>1625.086565</v>
      </c>
      <c r="J5173" s="59">
        <v>2.0</v>
      </c>
      <c r="K5173" s="61">
        <f t="shared" si="1"/>
        <v>0</v>
      </c>
      <c r="L5173" s="62">
        <f t="shared" si="2"/>
        <v>2</v>
      </c>
    </row>
    <row r="5174">
      <c r="A5174" s="58">
        <v>45778.0</v>
      </c>
      <c r="B5174" s="24" t="s">
        <v>6789</v>
      </c>
      <c r="C5174" s="24" t="s">
        <v>6897</v>
      </c>
      <c r="D5174" s="59">
        <v>1.0</v>
      </c>
      <c r="E5174" s="59">
        <v>1.0</v>
      </c>
      <c r="F5174" s="59">
        <v>1.0</v>
      </c>
      <c r="G5174" s="60">
        <v>1.0</v>
      </c>
      <c r="H5174" s="60">
        <v>1.0</v>
      </c>
      <c r="I5174" s="60">
        <v>0.0</v>
      </c>
      <c r="J5174" s="59">
        <v>1.0</v>
      </c>
      <c r="K5174" s="61">
        <f t="shared" si="1"/>
        <v>1</v>
      </c>
      <c r="L5174" s="62">
        <f t="shared" si="2"/>
        <v>1</v>
      </c>
    </row>
    <row r="5175">
      <c r="A5175" s="58">
        <v>45778.0</v>
      </c>
      <c r="B5175" s="24" t="s">
        <v>6790</v>
      </c>
      <c r="C5175" s="24" t="s">
        <v>6841</v>
      </c>
      <c r="D5175" s="59">
        <v>1.0</v>
      </c>
      <c r="E5175" s="59">
        <v>1.0</v>
      </c>
      <c r="F5175" s="59">
        <v>1.0</v>
      </c>
      <c r="G5175" s="60">
        <v>1.0</v>
      </c>
      <c r="H5175" s="60">
        <v>0.0</v>
      </c>
      <c r="I5175" s="60">
        <v>821.865468</v>
      </c>
      <c r="J5175" s="59">
        <v>1.0</v>
      </c>
      <c r="K5175" s="61">
        <f t="shared" si="1"/>
        <v>1</v>
      </c>
      <c r="L5175" s="62">
        <f t="shared" si="2"/>
        <v>1</v>
      </c>
    </row>
    <row r="5176">
      <c r="A5176" s="58">
        <v>45778.0</v>
      </c>
      <c r="B5176" s="24" t="s">
        <v>6787</v>
      </c>
      <c r="C5176" s="24" t="s">
        <v>7440</v>
      </c>
      <c r="D5176" s="59">
        <v>1.0</v>
      </c>
      <c r="E5176" s="59">
        <v>1.0</v>
      </c>
      <c r="F5176" s="59">
        <v>1.0</v>
      </c>
      <c r="G5176" s="60">
        <v>1.0</v>
      </c>
      <c r="H5176" s="60">
        <v>1.0</v>
      </c>
      <c r="I5176" s="60">
        <v>1.358454</v>
      </c>
      <c r="J5176" s="59">
        <v>1.0</v>
      </c>
      <c r="K5176" s="61">
        <f t="shared" si="1"/>
        <v>1</v>
      </c>
      <c r="L5176" s="62">
        <f t="shared" si="2"/>
        <v>1</v>
      </c>
    </row>
    <row r="5177">
      <c r="A5177" s="58">
        <v>45778.0</v>
      </c>
      <c r="B5177" s="24" t="s">
        <v>6787</v>
      </c>
      <c r="C5177" s="24" t="s">
        <v>6898</v>
      </c>
      <c r="D5177" s="59">
        <v>1.0</v>
      </c>
      <c r="E5177" s="59">
        <v>1.0</v>
      </c>
      <c r="F5177" s="59">
        <v>1.0</v>
      </c>
      <c r="G5177" s="60">
        <v>1.0</v>
      </c>
      <c r="H5177" s="60">
        <v>0.0</v>
      </c>
      <c r="I5177" s="60">
        <v>13.445451</v>
      </c>
      <c r="J5177" s="59">
        <v>1.0</v>
      </c>
      <c r="K5177" s="61">
        <f t="shared" si="1"/>
        <v>1</v>
      </c>
      <c r="L5177" s="62">
        <f t="shared" si="2"/>
        <v>1</v>
      </c>
    </row>
    <row r="5178">
      <c r="A5178" s="58">
        <v>45778.0</v>
      </c>
      <c r="B5178" s="24" t="s">
        <v>6789</v>
      </c>
      <c r="C5178" s="24" t="s">
        <v>6898</v>
      </c>
      <c r="D5178" s="59">
        <v>1.0</v>
      </c>
      <c r="E5178" s="59">
        <v>1.0</v>
      </c>
      <c r="F5178" s="59">
        <v>1.0</v>
      </c>
      <c r="G5178" s="60">
        <v>1.0</v>
      </c>
      <c r="H5178" s="60">
        <v>0.0</v>
      </c>
      <c r="I5178" s="60">
        <v>10.512905</v>
      </c>
      <c r="J5178" s="59">
        <v>1.0</v>
      </c>
      <c r="K5178" s="61">
        <f t="shared" si="1"/>
        <v>1</v>
      </c>
      <c r="L5178" s="62">
        <f t="shared" si="2"/>
        <v>1</v>
      </c>
    </row>
    <row r="5179">
      <c r="A5179" s="58">
        <v>45778.0</v>
      </c>
      <c r="B5179" s="24" t="s">
        <v>155</v>
      </c>
      <c r="C5179" s="24" t="s">
        <v>6898</v>
      </c>
      <c r="D5179" s="59">
        <v>1.0</v>
      </c>
      <c r="E5179" s="59">
        <v>1.0</v>
      </c>
      <c r="F5179" s="59">
        <v>1.0</v>
      </c>
      <c r="G5179" s="60">
        <v>1.0</v>
      </c>
      <c r="H5179" s="60">
        <v>0.0</v>
      </c>
      <c r="I5179" s="60">
        <v>576.166515</v>
      </c>
      <c r="J5179" s="59">
        <v>1.0</v>
      </c>
      <c r="K5179" s="61">
        <f t="shared" si="1"/>
        <v>1</v>
      </c>
      <c r="L5179" s="62">
        <f t="shared" si="2"/>
        <v>1</v>
      </c>
    </row>
    <row r="5180">
      <c r="A5180" s="58">
        <v>45778.0</v>
      </c>
      <c r="B5180" s="24" t="s">
        <v>6787</v>
      </c>
      <c r="C5180" s="24" t="s">
        <v>6899</v>
      </c>
      <c r="D5180" s="59">
        <v>1.0</v>
      </c>
      <c r="E5180" s="59">
        <v>1.0</v>
      </c>
      <c r="F5180" s="59">
        <v>1.0</v>
      </c>
      <c r="G5180" s="60">
        <v>1.0</v>
      </c>
      <c r="H5180" s="60">
        <v>1.0</v>
      </c>
      <c r="I5180" s="60">
        <v>0.0</v>
      </c>
      <c r="J5180" s="59">
        <v>1.0</v>
      </c>
      <c r="K5180" s="61">
        <f t="shared" si="1"/>
        <v>1</v>
      </c>
      <c r="L5180" s="62">
        <f t="shared" si="2"/>
        <v>1</v>
      </c>
    </row>
    <row r="5181">
      <c r="A5181" s="58">
        <v>45778.0</v>
      </c>
      <c r="B5181" s="24" t="s">
        <v>6789</v>
      </c>
      <c r="C5181" s="24" t="s">
        <v>6842</v>
      </c>
      <c r="D5181" s="59">
        <v>1.0</v>
      </c>
      <c r="E5181" s="59">
        <v>1.0</v>
      </c>
      <c r="F5181" s="59">
        <v>1.0</v>
      </c>
      <c r="G5181" s="60">
        <v>1.0</v>
      </c>
      <c r="H5181" s="60">
        <v>1.0</v>
      </c>
      <c r="I5181" s="60">
        <v>0.0</v>
      </c>
      <c r="J5181" s="59">
        <v>1.0</v>
      </c>
      <c r="K5181" s="61">
        <f t="shared" si="1"/>
        <v>1</v>
      </c>
      <c r="L5181" s="62">
        <f t="shared" si="2"/>
        <v>1</v>
      </c>
    </row>
    <row r="5182">
      <c r="A5182" s="58">
        <v>45778.0</v>
      </c>
      <c r="B5182" s="24" t="s">
        <v>155</v>
      </c>
      <c r="C5182" s="24" t="s">
        <v>6842</v>
      </c>
      <c r="D5182" s="59">
        <v>1.0</v>
      </c>
      <c r="E5182" s="59">
        <v>1.0</v>
      </c>
      <c r="F5182" s="59">
        <v>1.0</v>
      </c>
      <c r="G5182" s="60">
        <v>1.0</v>
      </c>
      <c r="H5182" s="60">
        <v>1.0</v>
      </c>
      <c r="I5182" s="60">
        <v>6.214725</v>
      </c>
      <c r="J5182" s="59">
        <v>1.0</v>
      </c>
      <c r="K5182" s="61">
        <f t="shared" si="1"/>
        <v>1</v>
      </c>
      <c r="L5182" s="62">
        <f t="shared" si="2"/>
        <v>1</v>
      </c>
    </row>
    <row r="5183">
      <c r="A5183" s="58">
        <v>45778.0</v>
      </c>
      <c r="B5183" s="24" t="s">
        <v>6789</v>
      </c>
      <c r="C5183" s="24" t="s">
        <v>7441</v>
      </c>
      <c r="D5183" s="59">
        <v>1.0</v>
      </c>
      <c r="E5183" s="59">
        <v>1.0</v>
      </c>
      <c r="F5183" s="59">
        <v>0.0</v>
      </c>
      <c r="G5183" s="60">
        <v>0.0</v>
      </c>
      <c r="H5183" s="60">
        <v>1.0</v>
      </c>
      <c r="I5183" s="60">
        <v>0.0</v>
      </c>
      <c r="J5183" s="59">
        <v>1.0</v>
      </c>
      <c r="K5183" s="61">
        <f t="shared" si="1"/>
        <v>0</v>
      </c>
      <c r="L5183" s="62">
        <f t="shared" si="2"/>
        <v>1</v>
      </c>
    </row>
    <row r="5184">
      <c r="A5184" s="58">
        <v>45778.0</v>
      </c>
      <c r="B5184" s="24" t="s">
        <v>6787</v>
      </c>
      <c r="C5184" s="24" t="s">
        <v>7077</v>
      </c>
      <c r="D5184" s="59">
        <v>1.0</v>
      </c>
      <c r="E5184" s="59">
        <v>1.0</v>
      </c>
      <c r="F5184" s="59">
        <v>1.0</v>
      </c>
      <c r="G5184" s="60">
        <v>1.0</v>
      </c>
      <c r="H5184" s="60">
        <v>1.0</v>
      </c>
      <c r="I5184" s="60">
        <v>0.0</v>
      </c>
      <c r="J5184" s="59">
        <v>1.0</v>
      </c>
      <c r="K5184" s="61">
        <f t="shared" si="1"/>
        <v>1</v>
      </c>
      <c r="L5184" s="62">
        <f t="shared" si="2"/>
        <v>1</v>
      </c>
    </row>
    <row r="5185">
      <c r="A5185" s="58">
        <v>45778.0</v>
      </c>
      <c r="B5185" s="24" t="s">
        <v>6789</v>
      </c>
      <c r="C5185" s="24" t="s">
        <v>6807</v>
      </c>
      <c r="D5185" s="59">
        <v>1.0</v>
      </c>
      <c r="E5185" s="59">
        <v>1.0</v>
      </c>
      <c r="F5185" s="59">
        <v>1.0</v>
      </c>
      <c r="G5185" s="60">
        <v>1.0</v>
      </c>
      <c r="H5185" s="60">
        <v>0.0</v>
      </c>
      <c r="I5185" s="60">
        <v>38.695026</v>
      </c>
      <c r="J5185" s="59">
        <v>1.0</v>
      </c>
      <c r="K5185" s="61">
        <f t="shared" si="1"/>
        <v>1</v>
      </c>
      <c r="L5185" s="62">
        <f t="shared" si="2"/>
        <v>1</v>
      </c>
    </row>
    <row r="5186">
      <c r="A5186" s="58">
        <v>45778.0</v>
      </c>
      <c r="B5186" s="24" t="s">
        <v>6787</v>
      </c>
      <c r="C5186" s="24" t="s">
        <v>6844</v>
      </c>
      <c r="D5186" s="59">
        <v>1.0</v>
      </c>
      <c r="E5186" s="59">
        <v>1.0</v>
      </c>
      <c r="F5186" s="59">
        <v>1.0</v>
      </c>
      <c r="G5186" s="60">
        <v>1.0</v>
      </c>
      <c r="H5186" s="60">
        <v>0.0</v>
      </c>
      <c r="I5186" s="60">
        <v>36.64725</v>
      </c>
      <c r="J5186" s="59">
        <v>1.0</v>
      </c>
      <c r="K5186" s="61">
        <f t="shared" si="1"/>
        <v>1</v>
      </c>
      <c r="L5186" s="62">
        <f t="shared" si="2"/>
        <v>1</v>
      </c>
    </row>
    <row r="5187">
      <c r="A5187" s="58">
        <v>45778.0</v>
      </c>
      <c r="B5187" s="24" t="s">
        <v>6787</v>
      </c>
      <c r="C5187" s="24" t="s">
        <v>6902</v>
      </c>
      <c r="D5187" s="59">
        <v>1.0</v>
      </c>
      <c r="E5187" s="59">
        <v>1.0</v>
      </c>
      <c r="F5187" s="59">
        <v>1.0</v>
      </c>
      <c r="G5187" s="60">
        <v>1.0</v>
      </c>
      <c r="H5187" s="60">
        <v>0.0</v>
      </c>
      <c r="I5187" s="60">
        <v>13.117321</v>
      </c>
      <c r="J5187" s="59">
        <v>1.0</v>
      </c>
      <c r="K5187" s="61">
        <f t="shared" si="1"/>
        <v>1</v>
      </c>
      <c r="L5187" s="62">
        <f t="shared" si="2"/>
        <v>1</v>
      </c>
    </row>
    <row r="5188">
      <c r="A5188" s="58">
        <v>45778.0</v>
      </c>
      <c r="B5188" s="24" t="s">
        <v>6789</v>
      </c>
      <c r="C5188" s="24" t="s">
        <v>6902</v>
      </c>
      <c r="D5188" s="59">
        <v>1.0</v>
      </c>
      <c r="E5188" s="59">
        <v>1.0</v>
      </c>
      <c r="F5188" s="59">
        <v>1.0</v>
      </c>
      <c r="G5188" s="60">
        <v>1.0</v>
      </c>
      <c r="H5188" s="60">
        <v>1.0</v>
      </c>
      <c r="I5188" s="60">
        <v>0.0</v>
      </c>
      <c r="J5188" s="59">
        <v>1.0</v>
      </c>
      <c r="K5188" s="61">
        <f t="shared" si="1"/>
        <v>1</v>
      </c>
      <c r="L5188" s="62">
        <f t="shared" si="2"/>
        <v>1</v>
      </c>
    </row>
    <row r="5189">
      <c r="A5189" s="58">
        <v>45778.0</v>
      </c>
      <c r="B5189" s="24" t="s">
        <v>155</v>
      </c>
      <c r="C5189" s="24" t="s">
        <v>6796</v>
      </c>
      <c r="D5189" s="59">
        <v>1.0</v>
      </c>
      <c r="E5189" s="59">
        <v>1.0</v>
      </c>
      <c r="F5189" s="59">
        <v>0.0</v>
      </c>
      <c r="G5189" s="60">
        <v>1.0</v>
      </c>
      <c r="H5189" s="60">
        <v>0.0</v>
      </c>
      <c r="I5189" s="60">
        <v>855.631254</v>
      </c>
      <c r="J5189" s="59">
        <v>3.0</v>
      </c>
      <c r="K5189" s="61">
        <f t="shared" si="1"/>
        <v>0</v>
      </c>
      <c r="L5189" s="62">
        <f t="shared" si="2"/>
        <v>3</v>
      </c>
    </row>
    <row r="5190">
      <c r="A5190" s="58">
        <v>45778.0</v>
      </c>
      <c r="B5190" s="24" t="s">
        <v>6794</v>
      </c>
      <c r="C5190" s="24" t="s">
        <v>7236</v>
      </c>
      <c r="D5190" s="59">
        <v>1.0</v>
      </c>
      <c r="E5190" s="59">
        <v>1.0</v>
      </c>
      <c r="F5190" s="59">
        <v>0.0</v>
      </c>
      <c r="G5190" s="60">
        <v>1.0</v>
      </c>
      <c r="H5190" s="60">
        <v>0.0</v>
      </c>
      <c r="I5190" s="60">
        <v>1366.203005</v>
      </c>
      <c r="J5190" s="59">
        <v>1.0</v>
      </c>
      <c r="K5190" s="61">
        <f t="shared" si="1"/>
        <v>0</v>
      </c>
      <c r="L5190" s="62">
        <f t="shared" si="2"/>
        <v>1</v>
      </c>
    </row>
    <row r="5191">
      <c r="A5191" s="58">
        <v>45778.0</v>
      </c>
      <c r="B5191" s="24" t="s">
        <v>6789</v>
      </c>
      <c r="C5191" s="24" t="s">
        <v>7234</v>
      </c>
      <c r="D5191" s="59">
        <v>1.0</v>
      </c>
      <c r="E5191" s="59">
        <v>1.0</v>
      </c>
      <c r="F5191" s="59">
        <v>1.0</v>
      </c>
      <c r="G5191" s="60">
        <v>1.0</v>
      </c>
      <c r="H5191" s="60">
        <v>0.0</v>
      </c>
      <c r="I5191" s="60">
        <v>125.159485</v>
      </c>
      <c r="J5191" s="59">
        <v>1.0</v>
      </c>
      <c r="K5191" s="61">
        <f t="shared" si="1"/>
        <v>1</v>
      </c>
      <c r="L5191" s="62">
        <f t="shared" si="2"/>
        <v>1</v>
      </c>
    </row>
    <row r="5192">
      <c r="A5192" s="58">
        <v>45778.0</v>
      </c>
      <c r="B5192" s="24" t="s">
        <v>6787</v>
      </c>
      <c r="C5192" s="24" t="s">
        <v>7231</v>
      </c>
      <c r="D5192" s="59">
        <v>1.0</v>
      </c>
      <c r="E5192" s="59">
        <v>1.0</v>
      </c>
      <c r="F5192" s="59">
        <v>1.0</v>
      </c>
      <c r="G5192" s="60">
        <v>1.0</v>
      </c>
      <c r="H5192" s="60">
        <v>1.0</v>
      </c>
      <c r="I5192" s="60">
        <v>0.0</v>
      </c>
      <c r="J5192" s="59">
        <v>1.0</v>
      </c>
      <c r="K5192" s="61">
        <f t="shared" si="1"/>
        <v>1</v>
      </c>
      <c r="L5192" s="62">
        <f t="shared" si="2"/>
        <v>1</v>
      </c>
    </row>
    <row r="5193">
      <c r="A5193" s="58">
        <v>45778.0</v>
      </c>
      <c r="B5193" s="24" t="s">
        <v>3216</v>
      </c>
      <c r="C5193" s="24" t="s">
        <v>7261</v>
      </c>
      <c r="D5193" s="59">
        <v>1.0</v>
      </c>
      <c r="E5193" s="59">
        <v>1.0</v>
      </c>
      <c r="F5193" s="59">
        <v>0.0</v>
      </c>
      <c r="G5193" s="60">
        <v>0.0</v>
      </c>
      <c r="H5193" s="60">
        <v>1.0</v>
      </c>
      <c r="I5193" s="60">
        <v>0.0</v>
      </c>
      <c r="J5193" s="59">
        <v>1.0</v>
      </c>
      <c r="K5193" s="61">
        <f t="shared" si="1"/>
        <v>0</v>
      </c>
      <c r="L5193" s="62">
        <f t="shared" si="2"/>
        <v>1</v>
      </c>
    </row>
    <row r="5194">
      <c r="A5194" s="58">
        <v>45778.0</v>
      </c>
      <c r="B5194" s="24" t="s">
        <v>6789</v>
      </c>
      <c r="C5194" s="24" t="s">
        <v>7442</v>
      </c>
      <c r="D5194" s="59">
        <v>1.0</v>
      </c>
      <c r="E5194" s="59">
        <v>1.0</v>
      </c>
      <c r="F5194" s="59">
        <v>0.0</v>
      </c>
      <c r="G5194" s="60">
        <v>1.0</v>
      </c>
      <c r="H5194" s="60">
        <v>0.0</v>
      </c>
      <c r="I5194" s="60">
        <v>919.214248</v>
      </c>
      <c r="J5194" s="59">
        <v>4.0</v>
      </c>
      <c r="K5194" s="61">
        <f t="shared" si="1"/>
        <v>0</v>
      </c>
      <c r="L5194" s="62">
        <f t="shared" si="2"/>
        <v>4</v>
      </c>
    </row>
    <row r="5195">
      <c r="A5195" s="58">
        <v>45778.0</v>
      </c>
      <c r="B5195" s="24" t="s">
        <v>155</v>
      </c>
      <c r="C5195" s="24" t="s">
        <v>6808</v>
      </c>
      <c r="D5195" s="59">
        <v>1.0</v>
      </c>
      <c r="E5195" s="59">
        <v>1.0</v>
      </c>
      <c r="F5195" s="59">
        <v>0.0</v>
      </c>
      <c r="G5195" s="60">
        <v>0.0</v>
      </c>
      <c r="H5195" s="60">
        <v>1.0</v>
      </c>
      <c r="I5195" s="60">
        <v>0.0</v>
      </c>
      <c r="J5195" s="59">
        <v>1.0</v>
      </c>
      <c r="K5195" s="61">
        <f t="shared" si="1"/>
        <v>0</v>
      </c>
      <c r="L5195" s="62">
        <f t="shared" si="2"/>
        <v>1</v>
      </c>
    </row>
    <row r="5196">
      <c r="A5196" s="58">
        <v>45778.0</v>
      </c>
      <c r="B5196" s="24" t="s">
        <v>6789</v>
      </c>
      <c r="C5196" s="24" t="s">
        <v>7087</v>
      </c>
      <c r="D5196" s="59">
        <v>1.0</v>
      </c>
      <c r="E5196" s="59">
        <v>1.0</v>
      </c>
      <c r="F5196" s="59">
        <v>0.0</v>
      </c>
      <c r="G5196" s="60">
        <v>1.0</v>
      </c>
      <c r="H5196" s="60">
        <v>0.0</v>
      </c>
      <c r="I5196" s="60">
        <v>1126.47548</v>
      </c>
      <c r="J5196" s="59">
        <v>1.0</v>
      </c>
      <c r="K5196" s="61">
        <f t="shared" si="1"/>
        <v>0</v>
      </c>
      <c r="L5196" s="62">
        <f t="shared" si="2"/>
        <v>1</v>
      </c>
    </row>
    <row r="5197">
      <c r="A5197" s="58">
        <v>45778.0</v>
      </c>
      <c r="B5197" s="24" t="s">
        <v>6787</v>
      </c>
      <c r="C5197" s="24" t="s">
        <v>7026</v>
      </c>
      <c r="D5197" s="59">
        <v>1.0</v>
      </c>
      <c r="E5197" s="59">
        <v>1.0</v>
      </c>
      <c r="F5197" s="59">
        <v>1.0</v>
      </c>
      <c r="G5197" s="60">
        <v>1.0</v>
      </c>
      <c r="H5197" s="60">
        <v>0.0</v>
      </c>
      <c r="I5197" s="60">
        <v>588.092857</v>
      </c>
      <c r="J5197" s="59">
        <v>1.0</v>
      </c>
      <c r="K5197" s="61">
        <f t="shared" si="1"/>
        <v>1</v>
      </c>
      <c r="L5197" s="62">
        <f t="shared" si="2"/>
        <v>1</v>
      </c>
    </row>
    <row r="5198">
      <c r="A5198" s="58">
        <v>45778.0</v>
      </c>
      <c r="B5198" s="24" t="s">
        <v>155</v>
      </c>
      <c r="C5198" s="24" t="s">
        <v>7026</v>
      </c>
      <c r="D5198" s="59">
        <v>1.0</v>
      </c>
      <c r="E5198" s="59">
        <v>1.0</v>
      </c>
      <c r="F5198" s="59">
        <v>1.0</v>
      </c>
      <c r="G5198" s="60">
        <v>1.0</v>
      </c>
      <c r="H5198" s="60">
        <v>1.0</v>
      </c>
      <c r="I5198" s="60">
        <v>0.0</v>
      </c>
      <c r="J5198" s="59">
        <v>1.0</v>
      </c>
      <c r="K5198" s="61">
        <f t="shared" si="1"/>
        <v>1</v>
      </c>
      <c r="L5198" s="62">
        <f t="shared" si="2"/>
        <v>1</v>
      </c>
    </row>
    <row r="5199">
      <c r="A5199" s="58">
        <v>45778.0</v>
      </c>
      <c r="B5199" s="24" t="s">
        <v>6787</v>
      </c>
      <c r="C5199" s="24" t="s">
        <v>7088</v>
      </c>
      <c r="D5199" s="59">
        <v>1.0</v>
      </c>
      <c r="E5199" s="59">
        <v>3.0</v>
      </c>
      <c r="F5199" s="59">
        <v>0.0</v>
      </c>
      <c r="G5199" s="60">
        <v>3.0</v>
      </c>
      <c r="H5199" s="60">
        <v>1.0</v>
      </c>
      <c r="I5199" s="60">
        <v>1.90498133333333</v>
      </c>
      <c r="J5199" s="59">
        <v>3.0</v>
      </c>
      <c r="K5199" s="61">
        <f t="shared" si="1"/>
        <v>0</v>
      </c>
      <c r="L5199" s="62">
        <f t="shared" si="2"/>
        <v>1</v>
      </c>
    </row>
    <row r="5200">
      <c r="A5200" s="58">
        <v>45778.0</v>
      </c>
      <c r="B5200" s="24" t="s">
        <v>6789</v>
      </c>
      <c r="C5200" s="24" t="s">
        <v>7088</v>
      </c>
      <c r="D5200" s="59">
        <v>1.0</v>
      </c>
      <c r="E5200" s="59">
        <v>2.0</v>
      </c>
      <c r="F5200" s="59">
        <v>1.0</v>
      </c>
      <c r="G5200" s="60">
        <v>2.0</v>
      </c>
      <c r="H5200" s="60">
        <v>0.5</v>
      </c>
      <c r="I5200" s="60">
        <v>15.31282</v>
      </c>
      <c r="J5200" s="59">
        <v>2.0</v>
      </c>
      <c r="K5200" s="61">
        <f t="shared" si="1"/>
        <v>0.5</v>
      </c>
      <c r="L5200" s="62">
        <f t="shared" si="2"/>
        <v>1</v>
      </c>
    </row>
    <row r="5201">
      <c r="A5201" s="58">
        <v>45778.0</v>
      </c>
      <c r="B5201" s="24" t="s">
        <v>6789</v>
      </c>
      <c r="C5201" s="24" t="s">
        <v>7189</v>
      </c>
      <c r="D5201" s="59">
        <v>1.0</v>
      </c>
      <c r="E5201" s="59">
        <v>1.0</v>
      </c>
      <c r="F5201" s="59">
        <v>1.0</v>
      </c>
      <c r="G5201" s="60">
        <v>1.0</v>
      </c>
      <c r="H5201" s="60">
        <v>0.0</v>
      </c>
      <c r="I5201" s="60">
        <v>15.648925</v>
      </c>
      <c r="J5201" s="59">
        <v>1.0</v>
      </c>
      <c r="K5201" s="61">
        <f t="shared" si="1"/>
        <v>1</v>
      </c>
      <c r="L5201" s="62">
        <f t="shared" si="2"/>
        <v>1</v>
      </c>
    </row>
    <row r="5202">
      <c r="A5202" s="58">
        <v>45778.0</v>
      </c>
      <c r="B5202" s="24" t="s">
        <v>6787</v>
      </c>
      <c r="C5202" s="24" t="s">
        <v>7043</v>
      </c>
      <c r="D5202" s="59">
        <v>1.0</v>
      </c>
      <c r="E5202" s="59">
        <v>1.0</v>
      </c>
      <c r="F5202" s="59">
        <v>1.0</v>
      </c>
      <c r="G5202" s="60">
        <v>1.0</v>
      </c>
      <c r="H5202" s="60">
        <v>0.0</v>
      </c>
      <c r="I5202" s="60">
        <v>57.382836</v>
      </c>
      <c r="J5202" s="59">
        <v>1.0</v>
      </c>
      <c r="K5202" s="61">
        <f t="shared" si="1"/>
        <v>1</v>
      </c>
      <c r="L5202" s="62">
        <f t="shared" si="2"/>
        <v>1</v>
      </c>
    </row>
    <row r="5203">
      <c r="A5203" s="58">
        <v>45778.0</v>
      </c>
      <c r="B5203" s="24" t="s">
        <v>3216</v>
      </c>
      <c r="C5203" s="24" t="s">
        <v>7043</v>
      </c>
      <c r="D5203" s="59">
        <v>1.0</v>
      </c>
      <c r="E5203" s="59">
        <v>3.0</v>
      </c>
      <c r="F5203" s="59">
        <v>0.0</v>
      </c>
      <c r="G5203" s="60">
        <v>3.0</v>
      </c>
      <c r="H5203" s="60">
        <v>0.666666666666666</v>
      </c>
      <c r="I5203" s="60">
        <v>4.58531466666666</v>
      </c>
      <c r="J5203" s="59">
        <v>3.0</v>
      </c>
      <c r="K5203" s="61">
        <f t="shared" si="1"/>
        <v>0</v>
      </c>
      <c r="L5203" s="62">
        <f t="shared" si="2"/>
        <v>1</v>
      </c>
    </row>
    <row r="5204">
      <c r="A5204" s="58">
        <v>45778.0</v>
      </c>
      <c r="B5204" s="24" t="s">
        <v>155</v>
      </c>
      <c r="C5204" s="24" t="s">
        <v>7090</v>
      </c>
      <c r="D5204" s="59">
        <v>1.0</v>
      </c>
      <c r="E5204" s="59">
        <v>1.0</v>
      </c>
      <c r="F5204" s="59">
        <v>1.0</v>
      </c>
      <c r="G5204" s="60">
        <v>1.0</v>
      </c>
      <c r="H5204" s="60">
        <v>1.0</v>
      </c>
      <c r="I5204" s="60">
        <v>0.0</v>
      </c>
      <c r="J5204" s="59">
        <v>1.0</v>
      </c>
      <c r="K5204" s="61">
        <f t="shared" si="1"/>
        <v>1</v>
      </c>
      <c r="L5204" s="62">
        <f t="shared" si="2"/>
        <v>1</v>
      </c>
    </row>
    <row r="5205">
      <c r="A5205" s="58">
        <v>45778.0</v>
      </c>
      <c r="B5205" s="24" t="s">
        <v>6789</v>
      </c>
      <c r="C5205" s="24" t="s">
        <v>7159</v>
      </c>
      <c r="D5205" s="59">
        <v>1.0</v>
      </c>
      <c r="E5205" s="59">
        <v>2.0</v>
      </c>
      <c r="F5205" s="59">
        <v>1.0</v>
      </c>
      <c r="G5205" s="60">
        <v>2.0</v>
      </c>
      <c r="H5205" s="60">
        <v>0.5</v>
      </c>
      <c r="I5205" s="60">
        <v>23.901305</v>
      </c>
      <c r="J5205" s="59">
        <v>2.0</v>
      </c>
      <c r="K5205" s="61">
        <f t="shared" si="1"/>
        <v>0.5</v>
      </c>
      <c r="L5205" s="62">
        <f t="shared" si="2"/>
        <v>1</v>
      </c>
    </row>
    <row r="5206">
      <c r="A5206" s="58">
        <v>45778.0</v>
      </c>
      <c r="B5206" s="24" t="s">
        <v>6787</v>
      </c>
      <c r="C5206" s="24" t="s">
        <v>7135</v>
      </c>
      <c r="D5206" s="59">
        <v>1.0</v>
      </c>
      <c r="E5206" s="59">
        <v>1.0</v>
      </c>
      <c r="F5206" s="59">
        <v>1.0</v>
      </c>
      <c r="G5206" s="60">
        <v>1.0</v>
      </c>
      <c r="H5206" s="60">
        <v>1.0</v>
      </c>
      <c r="I5206" s="60">
        <v>0.0</v>
      </c>
      <c r="J5206" s="59">
        <v>1.0</v>
      </c>
      <c r="K5206" s="61">
        <f t="shared" si="1"/>
        <v>1</v>
      </c>
      <c r="L5206" s="62">
        <f t="shared" si="2"/>
        <v>1</v>
      </c>
    </row>
    <row r="5207">
      <c r="A5207" s="58">
        <v>45778.0</v>
      </c>
      <c r="B5207" s="24" t="s">
        <v>6787</v>
      </c>
      <c r="C5207" s="24" t="s">
        <v>7131</v>
      </c>
      <c r="D5207" s="59">
        <v>1.0</v>
      </c>
      <c r="E5207" s="59">
        <v>1.0</v>
      </c>
      <c r="F5207" s="59">
        <v>1.0</v>
      </c>
      <c r="G5207" s="60">
        <v>1.0</v>
      </c>
      <c r="H5207" s="60">
        <v>1.0</v>
      </c>
      <c r="I5207" s="60">
        <v>0.0</v>
      </c>
      <c r="J5207" s="59">
        <v>1.0</v>
      </c>
      <c r="K5207" s="61">
        <f t="shared" si="1"/>
        <v>1</v>
      </c>
      <c r="L5207" s="62">
        <f t="shared" si="2"/>
        <v>1</v>
      </c>
    </row>
    <row r="5208">
      <c r="A5208" s="58">
        <v>45778.0</v>
      </c>
      <c r="B5208" s="24" t="s">
        <v>6787</v>
      </c>
      <c r="C5208" s="24" t="s">
        <v>7094</v>
      </c>
      <c r="D5208" s="59">
        <v>1.0</v>
      </c>
      <c r="E5208" s="59">
        <v>1.0</v>
      </c>
      <c r="F5208" s="59">
        <v>1.0</v>
      </c>
      <c r="G5208" s="60">
        <v>1.0</v>
      </c>
      <c r="H5208" s="60">
        <v>1.0</v>
      </c>
      <c r="I5208" s="60">
        <v>0.0</v>
      </c>
      <c r="J5208" s="59">
        <v>1.0</v>
      </c>
      <c r="K5208" s="61">
        <f t="shared" si="1"/>
        <v>1</v>
      </c>
      <c r="L5208" s="62">
        <f t="shared" si="2"/>
        <v>1</v>
      </c>
    </row>
    <row r="5209">
      <c r="A5209" s="58">
        <v>45778.0</v>
      </c>
      <c r="B5209" s="24" t="s">
        <v>6789</v>
      </c>
      <c r="C5209" s="24" t="s">
        <v>7094</v>
      </c>
      <c r="D5209" s="59">
        <v>1.0</v>
      </c>
      <c r="E5209" s="59">
        <v>1.0</v>
      </c>
      <c r="F5209" s="59">
        <v>1.0</v>
      </c>
      <c r="G5209" s="60">
        <v>1.0</v>
      </c>
      <c r="H5209" s="60">
        <v>0.0</v>
      </c>
      <c r="I5209" s="60">
        <v>82.473947</v>
      </c>
      <c r="J5209" s="59">
        <v>1.0</v>
      </c>
      <c r="K5209" s="61">
        <f t="shared" si="1"/>
        <v>1</v>
      </c>
      <c r="L5209" s="62">
        <f t="shared" si="2"/>
        <v>1</v>
      </c>
    </row>
    <row r="5210">
      <c r="A5210" s="58">
        <v>45778.0</v>
      </c>
      <c r="B5210" s="24" t="s">
        <v>6789</v>
      </c>
      <c r="C5210" s="24" t="s">
        <v>7136</v>
      </c>
      <c r="D5210" s="59">
        <v>1.0</v>
      </c>
      <c r="E5210" s="59">
        <v>1.0</v>
      </c>
      <c r="F5210" s="59">
        <v>1.0</v>
      </c>
      <c r="G5210" s="60">
        <v>1.0</v>
      </c>
      <c r="H5210" s="60">
        <v>1.0</v>
      </c>
      <c r="I5210" s="60">
        <v>0.0</v>
      </c>
      <c r="J5210" s="59">
        <v>1.0</v>
      </c>
      <c r="K5210" s="61">
        <f t="shared" si="1"/>
        <v>1</v>
      </c>
      <c r="L5210" s="62">
        <f t="shared" si="2"/>
        <v>1</v>
      </c>
    </row>
    <row r="5211">
      <c r="A5211" s="58">
        <v>45778.0</v>
      </c>
      <c r="B5211" s="24" t="s">
        <v>6787</v>
      </c>
      <c r="C5211" s="24" t="s">
        <v>7166</v>
      </c>
      <c r="D5211" s="59">
        <v>1.0</v>
      </c>
      <c r="E5211" s="59">
        <v>1.0</v>
      </c>
      <c r="F5211" s="59">
        <v>1.0</v>
      </c>
      <c r="G5211" s="60">
        <v>1.0</v>
      </c>
      <c r="H5211" s="60">
        <v>1.0</v>
      </c>
      <c r="I5211" s="60">
        <v>0.0</v>
      </c>
      <c r="J5211" s="59">
        <v>1.0</v>
      </c>
      <c r="K5211" s="61">
        <f t="shared" si="1"/>
        <v>1</v>
      </c>
      <c r="L5211" s="62">
        <f t="shared" si="2"/>
        <v>1</v>
      </c>
    </row>
    <row r="5212">
      <c r="A5212" s="58">
        <v>45778.0</v>
      </c>
      <c r="B5212" s="24" t="s">
        <v>6787</v>
      </c>
      <c r="C5212" s="24" t="s">
        <v>7167</v>
      </c>
      <c r="D5212" s="59">
        <v>1.0</v>
      </c>
      <c r="E5212" s="59">
        <v>1.0</v>
      </c>
      <c r="F5212" s="59">
        <v>1.0</v>
      </c>
      <c r="G5212" s="60">
        <v>1.0</v>
      </c>
      <c r="H5212" s="60">
        <v>1.0</v>
      </c>
      <c r="I5212" s="60">
        <v>0.0</v>
      </c>
      <c r="J5212" s="59">
        <v>1.0</v>
      </c>
      <c r="K5212" s="61">
        <f t="shared" si="1"/>
        <v>1</v>
      </c>
      <c r="L5212" s="62">
        <f t="shared" si="2"/>
        <v>1</v>
      </c>
    </row>
    <row r="5213">
      <c r="A5213" s="58">
        <v>45778.0</v>
      </c>
      <c r="B5213" s="24" t="s">
        <v>6789</v>
      </c>
      <c r="C5213" s="24" t="s">
        <v>7096</v>
      </c>
      <c r="D5213" s="59">
        <v>1.0</v>
      </c>
      <c r="E5213" s="59">
        <v>1.0</v>
      </c>
      <c r="F5213" s="59">
        <v>1.0</v>
      </c>
      <c r="G5213" s="60">
        <v>1.0</v>
      </c>
      <c r="H5213" s="60">
        <v>0.0</v>
      </c>
      <c r="I5213" s="60">
        <v>46.931419</v>
      </c>
      <c r="J5213" s="59">
        <v>1.0</v>
      </c>
      <c r="K5213" s="61">
        <f t="shared" si="1"/>
        <v>1</v>
      </c>
      <c r="L5213" s="62">
        <f t="shared" si="2"/>
        <v>1</v>
      </c>
    </row>
    <row r="5214">
      <c r="A5214" s="58">
        <v>45778.0</v>
      </c>
      <c r="B5214" s="24" t="s">
        <v>6789</v>
      </c>
      <c r="C5214" s="24" t="s">
        <v>7097</v>
      </c>
      <c r="D5214" s="59">
        <v>1.0</v>
      </c>
      <c r="E5214" s="59">
        <v>1.0</v>
      </c>
      <c r="F5214" s="59">
        <v>1.0</v>
      </c>
      <c r="G5214" s="60">
        <v>1.0</v>
      </c>
      <c r="H5214" s="60">
        <v>1.0</v>
      </c>
      <c r="I5214" s="60">
        <v>0.0</v>
      </c>
      <c r="J5214" s="59">
        <v>1.0</v>
      </c>
      <c r="K5214" s="61">
        <f t="shared" si="1"/>
        <v>1</v>
      </c>
      <c r="L5214" s="62">
        <f t="shared" si="2"/>
        <v>1</v>
      </c>
    </row>
    <row r="5215">
      <c r="A5215" s="58">
        <v>45778.0</v>
      </c>
      <c r="B5215" s="24" t="s">
        <v>6789</v>
      </c>
      <c r="C5215" s="24" t="s">
        <v>7098</v>
      </c>
      <c r="D5215" s="59">
        <v>1.0</v>
      </c>
      <c r="E5215" s="59">
        <v>1.0</v>
      </c>
      <c r="F5215" s="59">
        <v>1.0</v>
      </c>
      <c r="G5215" s="60">
        <v>1.0</v>
      </c>
      <c r="H5215" s="60">
        <v>1.0</v>
      </c>
      <c r="I5215" s="60">
        <v>7.074309</v>
      </c>
      <c r="J5215" s="59">
        <v>1.0</v>
      </c>
      <c r="K5215" s="61">
        <f t="shared" si="1"/>
        <v>1</v>
      </c>
      <c r="L5215" s="62">
        <f t="shared" si="2"/>
        <v>1</v>
      </c>
    </row>
    <row r="5216">
      <c r="A5216" s="58">
        <v>45778.0</v>
      </c>
      <c r="B5216" s="24" t="s">
        <v>155</v>
      </c>
      <c r="C5216" s="24" t="s">
        <v>7169</v>
      </c>
      <c r="D5216" s="59">
        <v>1.0</v>
      </c>
      <c r="E5216" s="59">
        <v>1.0</v>
      </c>
      <c r="F5216" s="59">
        <v>1.0</v>
      </c>
      <c r="G5216" s="60">
        <v>1.0</v>
      </c>
      <c r="H5216" s="60">
        <v>0.0</v>
      </c>
      <c r="I5216" s="60">
        <v>88.045275</v>
      </c>
      <c r="J5216" s="59">
        <v>5.0</v>
      </c>
      <c r="K5216" s="61">
        <f t="shared" si="1"/>
        <v>1</v>
      </c>
      <c r="L5216" s="62">
        <f t="shared" si="2"/>
        <v>5</v>
      </c>
    </row>
    <row r="5217">
      <c r="A5217" s="58">
        <v>45778.0</v>
      </c>
      <c r="B5217" s="24" t="s">
        <v>155</v>
      </c>
      <c r="C5217" s="24" t="s">
        <v>7138</v>
      </c>
      <c r="D5217" s="59">
        <v>1.0</v>
      </c>
      <c r="E5217" s="59">
        <v>1.0</v>
      </c>
      <c r="F5217" s="59">
        <v>1.0</v>
      </c>
      <c r="G5217" s="60">
        <v>1.0</v>
      </c>
      <c r="H5217" s="60">
        <v>1.0</v>
      </c>
      <c r="I5217" s="60">
        <v>0.0</v>
      </c>
      <c r="J5217" s="59">
        <v>1.0</v>
      </c>
      <c r="K5217" s="61">
        <f t="shared" si="1"/>
        <v>1</v>
      </c>
      <c r="L5217" s="62">
        <f t="shared" si="2"/>
        <v>1</v>
      </c>
    </row>
    <row r="5218">
      <c r="A5218" s="58">
        <v>45778.0</v>
      </c>
      <c r="B5218" s="24" t="s">
        <v>6787</v>
      </c>
      <c r="C5218" s="24" t="s">
        <v>7170</v>
      </c>
      <c r="D5218" s="59">
        <v>1.0</v>
      </c>
      <c r="E5218" s="59">
        <v>1.0</v>
      </c>
      <c r="F5218" s="59">
        <v>1.0</v>
      </c>
      <c r="G5218" s="60">
        <v>1.0</v>
      </c>
      <c r="H5218" s="60">
        <v>1.0</v>
      </c>
      <c r="I5218" s="60">
        <v>0.0</v>
      </c>
      <c r="J5218" s="59">
        <v>1.0</v>
      </c>
      <c r="K5218" s="61">
        <f t="shared" si="1"/>
        <v>1</v>
      </c>
      <c r="L5218" s="62">
        <f t="shared" si="2"/>
        <v>1</v>
      </c>
    </row>
    <row r="5219">
      <c r="A5219" s="58">
        <v>45778.0</v>
      </c>
      <c r="B5219" s="24" t="s">
        <v>6789</v>
      </c>
      <c r="C5219" s="24" t="s">
        <v>6800</v>
      </c>
      <c r="D5219" s="59">
        <v>1.0</v>
      </c>
      <c r="E5219" s="59">
        <v>1.0</v>
      </c>
      <c r="F5219" s="59">
        <v>1.0</v>
      </c>
      <c r="G5219" s="60">
        <v>1.0</v>
      </c>
      <c r="H5219" s="60">
        <v>0.0</v>
      </c>
      <c r="I5219" s="60">
        <v>1019.581318</v>
      </c>
      <c r="J5219" s="59">
        <v>1.0</v>
      </c>
      <c r="K5219" s="61">
        <f t="shared" si="1"/>
        <v>1</v>
      </c>
      <c r="L5219" s="62">
        <f t="shared" si="2"/>
        <v>1</v>
      </c>
    </row>
    <row r="5220">
      <c r="A5220" s="58">
        <v>45778.0</v>
      </c>
      <c r="B5220" s="24" t="s">
        <v>6787</v>
      </c>
      <c r="C5220" s="24" t="s">
        <v>7013</v>
      </c>
      <c r="D5220" s="59">
        <v>1.0</v>
      </c>
      <c r="E5220" s="59">
        <v>1.0</v>
      </c>
      <c r="F5220" s="59">
        <v>1.0</v>
      </c>
      <c r="G5220" s="60">
        <v>1.0</v>
      </c>
      <c r="H5220" s="60">
        <v>1.0</v>
      </c>
      <c r="I5220" s="60">
        <v>0.0</v>
      </c>
      <c r="J5220" s="59">
        <v>1.0</v>
      </c>
      <c r="K5220" s="61">
        <f t="shared" si="1"/>
        <v>1</v>
      </c>
      <c r="L5220" s="62">
        <f t="shared" si="2"/>
        <v>1</v>
      </c>
    </row>
    <row r="5221">
      <c r="A5221" s="58">
        <v>45778.0</v>
      </c>
      <c r="B5221" s="24" t="s">
        <v>6787</v>
      </c>
      <c r="C5221" s="24" t="s">
        <v>6960</v>
      </c>
      <c r="D5221" s="59">
        <v>1.0</v>
      </c>
      <c r="E5221" s="59">
        <v>1.0</v>
      </c>
      <c r="F5221" s="59">
        <v>1.0</v>
      </c>
      <c r="G5221" s="60">
        <v>1.0</v>
      </c>
      <c r="H5221" s="60">
        <v>1.0</v>
      </c>
      <c r="I5221" s="60">
        <v>5.184443</v>
      </c>
      <c r="J5221" s="59">
        <v>1.0</v>
      </c>
      <c r="K5221" s="61">
        <f t="shared" si="1"/>
        <v>1</v>
      </c>
      <c r="L5221" s="62">
        <f t="shared" si="2"/>
        <v>1</v>
      </c>
    </row>
    <row r="5222">
      <c r="A5222" s="58">
        <v>45778.0</v>
      </c>
      <c r="B5222" s="24" t="s">
        <v>6790</v>
      </c>
      <c r="C5222" s="24" t="s">
        <v>6809</v>
      </c>
      <c r="D5222" s="59">
        <v>1.0</v>
      </c>
      <c r="E5222" s="59">
        <v>1.0</v>
      </c>
      <c r="F5222" s="59">
        <v>1.0</v>
      </c>
      <c r="G5222" s="60">
        <v>1.0</v>
      </c>
      <c r="H5222" s="60">
        <v>1.0</v>
      </c>
      <c r="I5222" s="60">
        <v>8.076811</v>
      </c>
      <c r="J5222" s="59">
        <v>1.0</v>
      </c>
      <c r="K5222" s="61">
        <f t="shared" si="1"/>
        <v>1</v>
      </c>
      <c r="L5222" s="62">
        <f t="shared" si="2"/>
        <v>1</v>
      </c>
    </row>
    <row r="5223">
      <c r="A5223" s="58">
        <v>45778.0</v>
      </c>
      <c r="B5223" s="24" t="s">
        <v>155</v>
      </c>
      <c r="C5223" s="24" t="s">
        <v>6812</v>
      </c>
      <c r="D5223" s="59">
        <v>1.0</v>
      </c>
      <c r="E5223" s="59">
        <v>1.0</v>
      </c>
      <c r="F5223" s="59">
        <v>0.0</v>
      </c>
      <c r="G5223" s="60">
        <v>1.0</v>
      </c>
      <c r="H5223" s="60">
        <v>0.0</v>
      </c>
      <c r="I5223" s="60">
        <v>3.849946</v>
      </c>
      <c r="J5223" s="59">
        <v>2.0</v>
      </c>
      <c r="K5223" s="61">
        <f t="shared" si="1"/>
        <v>0</v>
      </c>
      <c r="L5223" s="62">
        <f t="shared" si="2"/>
        <v>2</v>
      </c>
    </row>
    <row r="5224">
      <c r="A5224" s="58">
        <v>45778.0</v>
      </c>
      <c r="B5224" s="24" t="s">
        <v>6787</v>
      </c>
      <c r="C5224" s="24" t="s">
        <v>6849</v>
      </c>
      <c r="D5224" s="59">
        <v>1.0</v>
      </c>
      <c r="E5224" s="59">
        <v>1.0</v>
      </c>
      <c r="F5224" s="59">
        <v>1.0</v>
      </c>
      <c r="G5224" s="60">
        <v>1.0</v>
      </c>
      <c r="H5224" s="60">
        <v>1.0</v>
      </c>
      <c r="I5224" s="60">
        <v>0.0</v>
      </c>
      <c r="J5224" s="59">
        <v>1.0</v>
      </c>
      <c r="K5224" s="61">
        <f t="shared" si="1"/>
        <v>1</v>
      </c>
      <c r="L5224" s="62">
        <f t="shared" si="2"/>
        <v>1</v>
      </c>
    </row>
    <row r="5225">
      <c r="A5225" s="58">
        <v>45778.0</v>
      </c>
      <c r="B5225" s="24" t="s">
        <v>6794</v>
      </c>
      <c r="C5225" s="24" t="s">
        <v>7172</v>
      </c>
      <c r="D5225" s="59">
        <v>1.0</v>
      </c>
      <c r="E5225" s="59">
        <v>1.0</v>
      </c>
      <c r="F5225" s="59">
        <v>0.0</v>
      </c>
      <c r="G5225" s="60">
        <v>1.0</v>
      </c>
      <c r="H5225" s="60">
        <v>0.0</v>
      </c>
      <c r="I5225" s="60">
        <v>42.449652</v>
      </c>
      <c r="J5225" s="59">
        <v>4.0</v>
      </c>
      <c r="K5225" s="61">
        <f t="shared" si="1"/>
        <v>0</v>
      </c>
      <c r="L5225" s="62">
        <f t="shared" si="2"/>
        <v>4</v>
      </c>
    </row>
    <row r="5226">
      <c r="A5226" s="58">
        <v>45778.0</v>
      </c>
      <c r="B5226" s="24" t="s">
        <v>6790</v>
      </c>
      <c r="C5226" s="24" t="s">
        <v>7313</v>
      </c>
      <c r="D5226" s="59">
        <v>1.0</v>
      </c>
      <c r="E5226" s="59">
        <v>1.0</v>
      </c>
      <c r="F5226" s="59">
        <v>1.0</v>
      </c>
      <c r="G5226" s="60">
        <v>1.0</v>
      </c>
      <c r="H5226" s="60">
        <v>0.0</v>
      </c>
      <c r="I5226" s="60">
        <v>1069.318851</v>
      </c>
      <c r="J5226" s="59">
        <v>2.0</v>
      </c>
      <c r="K5226" s="61">
        <f t="shared" si="1"/>
        <v>1</v>
      </c>
      <c r="L5226" s="62">
        <f t="shared" si="2"/>
        <v>2</v>
      </c>
    </row>
    <row r="5227">
      <c r="A5227" s="58">
        <v>45778.0</v>
      </c>
      <c r="B5227" s="24" t="s">
        <v>6787</v>
      </c>
      <c r="C5227" s="24" t="s">
        <v>7443</v>
      </c>
      <c r="D5227" s="59">
        <v>1.0</v>
      </c>
      <c r="E5227" s="59">
        <v>1.0</v>
      </c>
      <c r="F5227" s="59">
        <v>1.0</v>
      </c>
      <c r="G5227" s="60">
        <v>1.0</v>
      </c>
      <c r="H5227" s="60">
        <v>1.0</v>
      </c>
      <c r="I5227" s="60">
        <v>0.0</v>
      </c>
      <c r="J5227" s="59">
        <v>1.0</v>
      </c>
      <c r="K5227" s="61">
        <f t="shared" si="1"/>
        <v>1</v>
      </c>
      <c r="L5227" s="62">
        <f t="shared" si="2"/>
        <v>1</v>
      </c>
    </row>
    <row r="5228">
      <c r="A5228" s="58">
        <v>45778.0</v>
      </c>
      <c r="B5228" s="24" t="s">
        <v>6789</v>
      </c>
      <c r="C5228" s="24" t="s">
        <v>7444</v>
      </c>
      <c r="D5228" s="59">
        <v>1.0</v>
      </c>
      <c r="E5228" s="59">
        <v>1.0</v>
      </c>
      <c r="F5228" s="59">
        <v>0.0</v>
      </c>
      <c r="G5228" s="60">
        <v>1.0</v>
      </c>
      <c r="H5228" s="60">
        <v>0.0</v>
      </c>
      <c r="I5228" s="60">
        <v>1118.460424</v>
      </c>
      <c r="J5228" s="59">
        <v>4.0</v>
      </c>
      <c r="K5228" s="61">
        <f t="shared" si="1"/>
        <v>0</v>
      </c>
      <c r="L5228" s="62">
        <f t="shared" si="2"/>
        <v>4</v>
      </c>
    </row>
    <row r="5229">
      <c r="A5229" s="58">
        <v>45778.0</v>
      </c>
      <c r="B5229" s="24" t="s">
        <v>6794</v>
      </c>
      <c r="C5229" s="24" t="s">
        <v>6910</v>
      </c>
      <c r="D5229" s="59">
        <v>1.0</v>
      </c>
      <c r="E5229" s="59">
        <v>2.0</v>
      </c>
      <c r="F5229" s="59">
        <v>0.0</v>
      </c>
      <c r="G5229" s="60">
        <v>2.0</v>
      </c>
      <c r="H5229" s="60">
        <v>0.0</v>
      </c>
      <c r="I5229" s="60">
        <v>232.8140065</v>
      </c>
      <c r="J5229" s="59">
        <v>4.0</v>
      </c>
      <c r="K5229" s="61">
        <f t="shared" si="1"/>
        <v>0</v>
      </c>
      <c r="L5229" s="62">
        <f t="shared" si="2"/>
        <v>2</v>
      </c>
    </row>
    <row r="5230">
      <c r="A5230" s="58">
        <v>45778.0</v>
      </c>
      <c r="B5230" s="24" t="s">
        <v>6790</v>
      </c>
      <c r="C5230" s="24" t="s">
        <v>6910</v>
      </c>
      <c r="D5230" s="59">
        <v>1.0</v>
      </c>
      <c r="E5230" s="59">
        <v>1.0</v>
      </c>
      <c r="F5230" s="59">
        <v>1.0</v>
      </c>
      <c r="G5230" s="60">
        <v>1.0</v>
      </c>
      <c r="H5230" s="60">
        <v>0.0</v>
      </c>
      <c r="I5230" s="60">
        <v>6.24825</v>
      </c>
      <c r="J5230" s="59">
        <v>2.0</v>
      </c>
      <c r="K5230" s="61">
        <f t="shared" si="1"/>
        <v>1</v>
      </c>
      <c r="L5230" s="62">
        <f t="shared" si="2"/>
        <v>2</v>
      </c>
    </row>
    <row r="5231">
      <c r="A5231" s="58">
        <v>45778.0</v>
      </c>
      <c r="B5231" s="24" t="s">
        <v>6789</v>
      </c>
      <c r="C5231" s="24" t="s">
        <v>7173</v>
      </c>
      <c r="D5231" s="59">
        <v>1.0</v>
      </c>
      <c r="E5231" s="59">
        <v>2.0</v>
      </c>
      <c r="F5231" s="59">
        <v>0.0</v>
      </c>
      <c r="G5231" s="60">
        <v>2.0</v>
      </c>
      <c r="H5231" s="60">
        <v>0.0</v>
      </c>
      <c r="I5231" s="60">
        <v>2098.4200095</v>
      </c>
      <c r="J5231" s="59">
        <v>5.0</v>
      </c>
      <c r="K5231" s="61">
        <f t="shared" si="1"/>
        <v>0</v>
      </c>
      <c r="L5231" s="62">
        <f t="shared" si="2"/>
        <v>2.5</v>
      </c>
    </row>
    <row r="5232">
      <c r="A5232" s="58">
        <v>45778.0</v>
      </c>
      <c r="B5232" s="24" t="s">
        <v>3216</v>
      </c>
      <c r="C5232" s="24" t="s">
        <v>6814</v>
      </c>
      <c r="D5232" s="59">
        <v>1.0</v>
      </c>
      <c r="E5232" s="59">
        <v>1.0</v>
      </c>
      <c r="F5232" s="59">
        <v>0.0</v>
      </c>
      <c r="G5232" s="60">
        <v>1.0</v>
      </c>
      <c r="H5232" s="60">
        <v>0.0</v>
      </c>
      <c r="I5232" s="60">
        <v>418.142985</v>
      </c>
      <c r="J5232" s="59">
        <v>3.0</v>
      </c>
      <c r="K5232" s="61">
        <f t="shared" si="1"/>
        <v>0</v>
      </c>
      <c r="L5232" s="62">
        <f t="shared" si="2"/>
        <v>3</v>
      </c>
    </row>
    <row r="5233">
      <c r="A5233" s="58">
        <v>45778.0</v>
      </c>
      <c r="B5233" s="24" t="s">
        <v>6789</v>
      </c>
      <c r="C5233" s="24" t="s">
        <v>6814</v>
      </c>
      <c r="D5233" s="59">
        <v>1.0</v>
      </c>
      <c r="E5233" s="59">
        <v>3.0</v>
      </c>
      <c r="F5233" s="59">
        <v>0.0</v>
      </c>
      <c r="G5233" s="60">
        <v>3.0</v>
      </c>
      <c r="H5233" s="60">
        <v>0.333333333333333</v>
      </c>
      <c r="I5233" s="60">
        <v>614.623278333333</v>
      </c>
      <c r="J5233" s="59">
        <v>8.0</v>
      </c>
      <c r="K5233" s="61">
        <f t="shared" si="1"/>
        <v>0</v>
      </c>
      <c r="L5233" s="62">
        <f t="shared" si="2"/>
        <v>2.666666667</v>
      </c>
    </row>
    <row r="5234">
      <c r="A5234" s="58">
        <v>45778.0</v>
      </c>
      <c r="B5234" s="24" t="s">
        <v>155</v>
      </c>
      <c r="C5234" s="24" t="s">
        <v>7174</v>
      </c>
      <c r="D5234" s="59">
        <v>1.0</v>
      </c>
      <c r="E5234" s="59">
        <v>1.0</v>
      </c>
      <c r="F5234" s="59">
        <v>0.0</v>
      </c>
      <c r="G5234" s="60">
        <v>1.0</v>
      </c>
      <c r="H5234" s="60">
        <v>0.0</v>
      </c>
      <c r="I5234" s="60">
        <v>207.102485</v>
      </c>
      <c r="J5234" s="59">
        <v>2.0</v>
      </c>
      <c r="K5234" s="61">
        <f t="shared" si="1"/>
        <v>0</v>
      </c>
      <c r="L5234" s="62">
        <f t="shared" si="2"/>
        <v>2</v>
      </c>
    </row>
    <row r="5235">
      <c r="A5235" s="58">
        <v>45778.0</v>
      </c>
      <c r="B5235" s="24" t="s">
        <v>6787</v>
      </c>
      <c r="C5235" s="24" t="s">
        <v>7445</v>
      </c>
      <c r="D5235" s="59">
        <v>1.0</v>
      </c>
      <c r="E5235" s="59">
        <v>1.0</v>
      </c>
      <c r="F5235" s="59">
        <v>1.0</v>
      </c>
      <c r="G5235" s="60">
        <v>1.0</v>
      </c>
      <c r="H5235" s="60">
        <v>1.0</v>
      </c>
      <c r="I5235" s="60">
        <v>4.932315</v>
      </c>
      <c r="J5235" s="59">
        <v>1.0</v>
      </c>
      <c r="K5235" s="61">
        <f t="shared" si="1"/>
        <v>1</v>
      </c>
      <c r="L5235" s="62">
        <f t="shared" si="2"/>
        <v>1</v>
      </c>
    </row>
    <row r="5236">
      <c r="A5236" s="58">
        <v>45778.0</v>
      </c>
      <c r="B5236" s="24" t="s">
        <v>6790</v>
      </c>
      <c r="C5236" s="24" t="s">
        <v>7105</v>
      </c>
      <c r="D5236" s="59">
        <v>1.0</v>
      </c>
      <c r="E5236" s="59">
        <v>1.0</v>
      </c>
      <c r="F5236" s="59">
        <v>0.0</v>
      </c>
      <c r="G5236" s="60">
        <v>1.0</v>
      </c>
      <c r="H5236" s="60">
        <v>0.0</v>
      </c>
      <c r="I5236" s="60">
        <v>192.040771</v>
      </c>
      <c r="J5236" s="59">
        <v>1.0</v>
      </c>
      <c r="K5236" s="61">
        <f t="shared" si="1"/>
        <v>0</v>
      </c>
      <c r="L5236" s="62">
        <f t="shared" si="2"/>
        <v>1</v>
      </c>
    </row>
    <row r="5237">
      <c r="A5237" s="58">
        <v>45778.0</v>
      </c>
      <c r="B5237" s="24" t="s">
        <v>6787</v>
      </c>
      <c r="C5237" s="24" t="s">
        <v>7014</v>
      </c>
      <c r="D5237" s="59">
        <v>1.0</v>
      </c>
      <c r="E5237" s="59">
        <v>1.0</v>
      </c>
      <c r="F5237" s="59">
        <v>0.0</v>
      </c>
      <c r="G5237" s="60">
        <v>1.0</v>
      </c>
      <c r="H5237" s="60">
        <v>1.0</v>
      </c>
      <c r="I5237" s="60">
        <v>6.144462</v>
      </c>
      <c r="J5237" s="59">
        <v>1.0</v>
      </c>
      <c r="K5237" s="61">
        <f t="shared" si="1"/>
        <v>0</v>
      </c>
      <c r="L5237" s="62">
        <f t="shared" si="2"/>
        <v>1</v>
      </c>
    </row>
    <row r="5238">
      <c r="A5238" s="58">
        <v>45778.0</v>
      </c>
      <c r="B5238" s="24" t="s">
        <v>6787</v>
      </c>
      <c r="C5238" s="24" t="s">
        <v>7180</v>
      </c>
      <c r="D5238" s="59">
        <v>1.0</v>
      </c>
      <c r="E5238" s="59">
        <v>1.0</v>
      </c>
      <c r="F5238" s="59">
        <v>1.0</v>
      </c>
      <c r="G5238" s="60">
        <v>1.0</v>
      </c>
      <c r="H5238" s="60">
        <v>1.0</v>
      </c>
      <c r="I5238" s="60">
        <v>0.0</v>
      </c>
      <c r="J5238" s="59">
        <v>1.0</v>
      </c>
      <c r="K5238" s="61">
        <f t="shared" si="1"/>
        <v>1</v>
      </c>
      <c r="L5238" s="62">
        <f t="shared" si="2"/>
        <v>1</v>
      </c>
    </row>
    <row r="5239">
      <c r="A5239" s="58">
        <v>45778.0</v>
      </c>
      <c r="B5239" s="24" t="s">
        <v>3216</v>
      </c>
      <c r="C5239" s="24" t="s">
        <v>7180</v>
      </c>
      <c r="D5239" s="59">
        <v>1.0</v>
      </c>
      <c r="E5239" s="59">
        <v>1.0</v>
      </c>
      <c r="F5239" s="59">
        <v>0.0</v>
      </c>
      <c r="G5239" s="60">
        <v>0.0</v>
      </c>
      <c r="H5239" s="60">
        <v>1.0</v>
      </c>
      <c r="I5239" s="60">
        <v>0.0</v>
      </c>
      <c r="J5239" s="59">
        <v>1.0</v>
      </c>
      <c r="K5239" s="61">
        <f t="shared" si="1"/>
        <v>0</v>
      </c>
      <c r="L5239" s="62">
        <f t="shared" si="2"/>
        <v>1</v>
      </c>
    </row>
    <row r="5240">
      <c r="A5240" s="58">
        <v>45778.0</v>
      </c>
      <c r="B5240" s="24" t="s">
        <v>6790</v>
      </c>
      <c r="C5240" s="24" t="s">
        <v>6815</v>
      </c>
      <c r="D5240" s="59">
        <v>1.0</v>
      </c>
      <c r="E5240" s="59">
        <v>1.0</v>
      </c>
      <c r="F5240" s="59">
        <v>0.0</v>
      </c>
      <c r="G5240" s="60">
        <v>1.0</v>
      </c>
      <c r="H5240" s="60">
        <v>1.0</v>
      </c>
      <c r="I5240" s="60">
        <v>3.177224</v>
      </c>
      <c r="J5240" s="59">
        <v>1.0</v>
      </c>
      <c r="K5240" s="61">
        <f t="shared" si="1"/>
        <v>0</v>
      </c>
      <c r="L5240" s="62">
        <f t="shared" si="2"/>
        <v>1</v>
      </c>
    </row>
    <row r="5241">
      <c r="A5241" s="58">
        <v>45778.0</v>
      </c>
      <c r="B5241" s="24" t="s">
        <v>6789</v>
      </c>
      <c r="C5241" s="24" t="s">
        <v>7426</v>
      </c>
      <c r="D5241" s="59">
        <v>1.0</v>
      </c>
      <c r="E5241" s="59">
        <v>1.0</v>
      </c>
      <c r="F5241" s="59">
        <v>1.0</v>
      </c>
      <c r="G5241" s="60">
        <v>1.0</v>
      </c>
      <c r="H5241" s="60">
        <v>1.0</v>
      </c>
      <c r="I5241" s="60">
        <v>0.0</v>
      </c>
      <c r="J5241" s="59">
        <v>1.0</v>
      </c>
      <c r="K5241" s="61">
        <f t="shared" si="1"/>
        <v>1</v>
      </c>
      <c r="L5241" s="62">
        <f t="shared" si="2"/>
        <v>1</v>
      </c>
    </row>
    <row r="5242">
      <c r="A5242" s="58">
        <v>45778.0</v>
      </c>
      <c r="B5242" s="24" t="s">
        <v>6789</v>
      </c>
      <c r="C5242" s="24" t="s">
        <v>7384</v>
      </c>
      <c r="D5242" s="59">
        <v>1.0</v>
      </c>
      <c r="E5242" s="59">
        <v>1.0</v>
      </c>
      <c r="F5242" s="59">
        <v>0.0</v>
      </c>
      <c r="G5242" s="60">
        <v>1.0</v>
      </c>
      <c r="H5242" s="60">
        <v>0.0</v>
      </c>
      <c r="I5242" s="60">
        <v>8.590629</v>
      </c>
      <c r="J5242" s="59">
        <v>2.0</v>
      </c>
      <c r="K5242" s="61">
        <f t="shared" si="1"/>
        <v>0</v>
      </c>
      <c r="L5242" s="62">
        <f t="shared" si="2"/>
        <v>2</v>
      </c>
    </row>
    <row r="5243">
      <c r="A5243" s="58">
        <v>45778.0</v>
      </c>
      <c r="B5243" s="24" t="s">
        <v>155</v>
      </c>
      <c r="C5243" s="24" t="s">
        <v>6852</v>
      </c>
      <c r="D5243" s="59">
        <v>1.0</v>
      </c>
      <c r="E5243" s="59">
        <v>1.0</v>
      </c>
      <c r="F5243" s="59">
        <v>0.0</v>
      </c>
      <c r="G5243" s="60">
        <v>0.0</v>
      </c>
      <c r="H5243" s="60">
        <v>1.0</v>
      </c>
      <c r="I5243" s="60">
        <v>0.0</v>
      </c>
      <c r="J5243" s="59">
        <v>1.0</v>
      </c>
      <c r="K5243" s="61">
        <f t="shared" si="1"/>
        <v>0</v>
      </c>
      <c r="L5243" s="62">
        <f t="shared" si="2"/>
        <v>1</v>
      </c>
    </row>
    <row r="5244">
      <c r="A5244" s="58">
        <v>45778.0</v>
      </c>
      <c r="B5244" s="24" t="s">
        <v>6789</v>
      </c>
      <c r="C5244" s="24" t="s">
        <v>6920</v>
      </c>
      <c r="D5244" s="59">
        <v>1.0</v>
      </c>
      <c r="E5244" s="59">
        <v>1.0</v>
      </c>
      <c r="F5244" s="59">
        <v>0.0</v>
      </c>
      <c r="G5244" s="60">
        <v>1.0</v>
      </c>
      <c r="H5244" s="60">
        <v>0.0</v>
      </c>
      <c r="I5244" s="60">
        <v>316.627104</v>
      </c>
      <c r="J5244" s="59">
        <v>1.0</v>
      </c>
      <c r="K5244" s="61">
        <f t="shared" si="1"/>
        <v>0</v>
      </c>
      <c r="L5244" s="62">
        <f t="shared" si="2"/>
        <v>1</v>
      </c>
    </row>
    <row r="5245">
      <c r="A5245" s="58">
        <v>45778.0</v>
      </c>
      <c r="B5245" s="24" t="s">
        <v>6789</v>
      </c>
      <c r="C5245" s="24" t="s">
        <v>6816</v>
      </c>
      <c r="D5245" s="59">
        <v>1.0</v>
      </c>
      <c r="E5245" s="59">
        <v>2.0</v>
      </c>
      <c r="F5245" s="59">
        <v>0.0</v>
      </c>
      <c r="G5245" s="60">
        <v>2.0</v>
      </c>
      <c r="H5245" s="60">
        <v>1.0</v>
      </c>
      <c r="I5245" s="60">
        <v>3.0152685</v>
      </c>
      <c r="J5245" s="59">
        <v>2.0</v>
      </c>
      <c r="K5245" s="61">
        <f t="shared" si="1"/>
        <v>0</v>
      </c>
      <c r="L5245" s="62">
        <f t="shared" si="2"/>
        <v>1</v>
      </c>
    </row>
    <row r="5246">
      <c r="A5246" s="58">
        <v>45778.0</v>
      </c>
      <c r="B5246" s="24" t="s">
        <v>155</v>
      </c>
      <c r="C5246" s="24" t="s">
        <v>6922</v>
      </c>
      <c r="D5246" s="59">
        <v>1.0</v>
      </c>
      <c r="E5246" s="59">
        <v>1.0</v>
      </c>
      <c r="F5246" s="59">
        <v>0.0</v>
      </c>
      <c r="G5246" s="60">
        <v>1.0</v>
      </c>
      <c r="H5246" s="60">
        <v>1.0</v>
      </c>
      <c r="I5246" s="60">
        <v>1.362961</v>
      </c>
      <c r="J5246" s="59">
        <v>1.0</v>
      </c>
      <c r="K5246" s="61">
        <f t="shared" si="1"/>
        <v>0</v>
      </c>
      <c r="L5246" s="62">
        <f t="shared" si="2"/>
        <v>1</v>
      </c>
    </row>
    <row r="5247">
      <c r="A5247" s="58">
        <v>45778.0</v>
      </c>
      <c r="B5247" s="24" t="s">
        <v>6787</v>
      </c>
      <c r="C5247" s="24" t="s">
        <v>7047</v>
      </c>
      <c r="D5247" s="59">
        <v>1.0</v>
      </c>
      <c r="E5247" s="59">
        <v>1.0</v>
      </c>
      <c r="F5247" s="59">
        <v>1.0</v>
      </c>
      <c r="G5247" s="60">
        <v>1.0</v>
      </c>
      <c r="H5247" s="60">
        <v>1.0</v>
      </c>
      <c r="I5247" s="60">
        <v>0.0</v>
      </c>
      <c r="J5247" s="59">
        <v>1.0</v>
      </c>
      <c r="K5247" s="61">
        <f t="shared" si="1"/>
        <v>1</v>
      </c>
      <c r="L5247" s="62">
        <f t="shared" si="2"/>
        <v>1</v>
      </c>
    </row>
    <row r="5248">
      <c r="A5248" s="58">
        <v>45778.0</v>
      </c>
      <c r="B5248" s="24" t="s">
        <v>3216</v>
      </c>
      <c r="C5248" s="24" t="s">
        <v>6810</v>
      </c>
      <c r="D5248" s="59">
        <v>1.0</v>
      </c>
      <c r="E5248" s="59">
        <v>2.0</v>
      </c>
      <c r="F5248" s="59">
        <v>1.0</v>
      </c>
      <c r="G5248" s="60">
        <v>2.0</v>
      </c>
      <c r="H5248" s="60">
        <v>0.0</v>
      </c>
      <c r="I5248" s="60">
        <v>467.855542499999</v>
      </c>
      <c r="J5248" s="59">
        <v>4.0</v>
      </c>
      <c r="K5248" s="61">
        <f t="shared" si="1"/>
        <v>0.5</v>
      </c>
      <c r="L5248" s="62">
        <f t="shared" si="2"/>
        <v>2</v>
      </c>
    </row>
    <row r="5249">
      <c r="A5249" s="58">
        <v>45778.0</v>
      </c>
      <c r="B5249" s="24" t="s">
        <v>6789</v>
      </c>
      <c r="C5249" s="24" t="s">
        <v>6810</v>
      </c>
      <c r="D5249" s="59">
        <v>1.0</v>
      </c>
      <c r="E5249" s="59">
        <v>1.0</v>
      </c>
      <c r="F5249" s="59">
        <v>0.0</v>
      </c>
      <c r="G5249" s="60">
        <v>1.0</v>
      </c>
      <c r="H5249" s="60">
        <v>0.0</v>
      </c>
      <c r="I5249" s="60">
        <v>10.155351</v>
      </c>
      <c r="J5249" s="59">
        <v>1.0</v>
      </c>
      <c r="K5249" s="61">
        <f t="shared" si="1"/>
        <v>0</v>
      </c>
      <c r="L5249" s="62">
        <f t="shared" si="2"/>
        <v>1</v>
      </c>
    </row>
    <row r="5250">
      <c r="A5250" s="58">
        <v>45778.0</v>
      </c>
      <c r="B5250" s="24" t="s">
        <v>6789</v>
      </c>
      <c r="C5250" s="24" t="s">
        <v>6931</v>
      </c>
      <c r="D5250" s="59">
        <v>1.0</v>
      </c>
      <c r="E5250" s="59">
        <v>1.0</v>
      </c>
      <c r="F5250" s="59">
        <v>0.0</v>
      </c>
      <c r="G5250" s="60">
        <v>1.0</v>
      </c>
      <c r="H5250" s="60">
        <v>0.0</v>
      </c>
      <c r="I5250" s="60">
        <v>1273.510177</v>
      </c>
      <c r="J5250" s="59">
        <v>2.0</v>
      </c>
      <c r="K5250" s="61">
        <f t="shared" si="1"/>
        <v>0</v>
      </c>
      <c r="L5250" s="62">
        <f t="shared" si="2"/>
        <v>2</v>
      </c>
    </row>
    <row r="5251">
      <c r="A5251" s="58">
        <v>45778.0</v>
      </c>
      <c r="B5251" s="24" t="s">
        <v>6787</v>
      </c>
      <c r="C5251" s="24" t="s">
        <v>6962</v>
      </c>
      <c r="D5251" s="59">
        <v>1.0</v>
      </c>
      <c r="E5251" s="59">
        <v>1.0</v>
      </c>
      <c r="F5251" s="59">
        <v>1.0</v>
      </c>
      <c r="G5251" s="60">
        <v>1.0</v>
      </c>
      <c r="H5251" s="60">
        <v>0.0</v>
      </c>
      <c r="I5251" s="60">
        <v>112.613146</v>
      </c>
      <c r="J5251" s="59">
        <v>2.0</v>
      </c>
      <c r="K5251" s="61">
        <f t="shared" si="1"/>
        <v>1</v>
      </c>
      <c r="L5251" s="62">
        <f t="shared" si="2"/>
        <v>2</v>
      </c>
    </row>
    <row r="5252">
      <c r="A5252" s="58">
        <v>45778.0</v>
      </c>
      <c r="B5252" s="24" t="s">
        <v>3216</v>
      </c>
      <c r="C5252" s="24" t="s">
        <v>6962</v>
      </c>
      <c r="D5252" s="59">
        <v>1.0</v>
      </c>
      <c r="E5252" s="59">
        <v>1.0</v>
      </c>
      <c r="F5252" s="59">
        <v>0.0</v>
      </c>
      <c r="G5252" s="60">
        <v>1.0</v>
      </c>
      <c r="H5252" s="60">
        <v>0.0</v>
      </c>
      <c r="I5252" s="60">
        <v>474.96261</v>
      </c>
      <c r="J5252" s="59">
        <v>1.0</v>
      </c>
      <c r="K5252" s="61">
        <f t="shared" si="1"/>
        <v>0</v>
      </c>
      <c r="L5252" s="62">
        <f t="shared" si="2"/>
        <v>1</v>
      </c>
    </row>
    <row r="5253">
      <c r="A5253" s="58">
        <v>45778.0</v>
      </c>
      <c r="B5253" s="24" t="s">
        <v>155</v>
      </c>
      <c r="C5253" s="24" t="s">
        <v>7446</v>
      </c>
      <c r="D5253" s="59">
        <v>1.0</v>
      </c>
      <c r="E5253" s="59">
        <v>1.0</v>
      </c>
      <c r="F5253" s="59">
        <v>0.0</v>
      </c>
      <c r="G5253" s="60">
        <v>1.0</v>
      </c>
      <c r="H5253" s="60">
        <v>1.0</v>
      </c>
      <c r="I5253" s="60">
        <v>0.0</v>
      </c>
      <c r="J5253" s="59">
        <v>1.0</v>
      </c>
      <c r="K5253" s="61">
        <f t="shared" si="1"/>
        <v>0</v>
      </c>
      <c r="L5253" s="62">
        <f t="shared" si="2"/>
        <v>1</v>
      </c>
    </row>
    <row r="5254">
      <c r="A5254" s="58">
        <v>45778.0</v>
      </c>
      <c r="B5254" s="24" t="s">
        <v>6787</v>
      </c>
      <c r="C5254" s="24" t="s">
        <v>6963</v>
      </c>
      <c r="D5254" s="59">
        <v>1.0</v>
      </c>
      <c r="E5254" s="59">
        <v>1.0</v>
      </c>
      <c r="F5254" s="59">
        <v>1.0</v>
      </c>
      <c r="G5254" s="60">
        <v>1.0</v>
      </c>
      <c r="H5254" s="60">
        <v>1.0</v>
      </c>
      <c r="I5254" s="60">
        <v>0.0</v>
      </c>
      <c r="J5254" s="59">
        <v>1.0</v>
      </c>
      <c r="K5254" s="61">
        <f t="shared" si="1"/>
        <v>1</v>
      </c>
      <c r="L5254" s="62">
        <f t="shared" si="2"/>
        <v>1</v>
      </c>
    </row>
    <row r="5255">
      <c r="A5255" s="58">
        <v>45778.0</v>
      </c>
      <c r="B5255" s="24" t="s">
        <v>6794</v>
      </c>
      <c r="C5255" s="24" t="s">
        <v>6963</v>
      </c>
      <c r="D5255" s="59">
        <v>1.0</v>
      </c>
      <c r="E5255" s="59">
        <v>1.0</v>
      </c>
      <c r="F5255" s="59">
        <v>1.0</v>
      </c>
      <c r="G5255" s="60">
        <v>1.0</v>
      </c>
      <c r="H5255" s="60">
        <v>0.0</v>
      </c>
      <c r="I5255" s="60">
        <v>27.371926</v>
      </c>
      <c r="J5255" s="59">
        <v>1.0</v>
      </c>
      <c r="K5255" s="61">
        <f t="shared" si="1"/>
        <v>1</v>
      </c>
      <c r="L5255" s="62">
        <f t="shared" si="2"/>
        <v>1</v>
      </c>
    </row>
    <row r="5256">
      <c r="A5256" s="58">
        <v>45778.0</v>
      </c>
      <c r="B5256" s="24" t="s">
        <v>6794</v>
      </c>
      <c r="C5256" s="24" t="s">
        <v>6802</v>
      </c>
      <c r="D5256" s="59">
        <v>1.0</v>
      </c>
      <c r="E5256" s="59">
        <v>1.0</v>
      </c>
      <c r="F5256" s="59">
        <v>0.0</v>
      </c>
      <c r="G5256" s="60">
        <v>1.0</v>
      </c>
      <c r="H5256" s="60">
        <v>0.0</v>
      </c>
      <c r="I5256" s="60">
        <v>57.358474</v>
      </c>
      <c r="J5256" s="59">
        <v>6.0</v>
      </c>
      <c r="K5256" s="61">
        <f t="shared" si="1"/>
        <v>0</v>
      </c>
      <c r="L5256" s="62">
        <f t="shared" si="2"/>
        <v>6</v>
      </c>
    </row>
    <row r="5257">
      <c r="A5257" s="58">
        <v>45778.0</v>
      </c>
      <c r="B5257" s="24" t="s">
        <v>155</v>
      </c>
      <c r="C5257" s="24" t="s">
        <v>6802</v>
      </c>
      <c r="D5257" s="59">
        <v>1.0</v>
      </c>
      <c r="E5257" s="59">
        <v>1.0</v>
      </c>
      <c r="F5257" s="59">
        <v>0.0</v>
      </c>
      <c r="G5257" s="60">
        <v>1.0</v>
      </c>
      <c r="H5257" s="60">
        <v>0.0</v>
      </c>
      <c r="I5257" s="60">
        <v>221.914931</v>
      </c>
      <c r="J5257" s="59">
        <v>9.0</v>
      </c>
      <c r="K5257" s="61">
        <f t="shared" si="1"/>
        <v>0</v>
      </c>
      <c r="L5257" s="62">
        <f t="shared" si="2"/>
        <v>9</v>
      </c>
    </row>
    <row r="5258">
      <c r="A5258" s="58">
        <v>45748.0</v>
      </c>
      <c r="B5258" s="24" t="s">
        <v>6789</v>
      </c>
      <c r="C5258" s="24" t="s">
        <v>6788</v>
      </c>
      <c r="D5258" s="59">
        <v>929.0</v>
      </c>
      <c r="E5258" s="59">
        <v>1286.0</v>
      </c>
      <c r="F5258" s="59">
        <v>739.0</v>
      </c>
      <c r="G5258" s="60">
        <v>1.42572062084257</v>
      </c>
      <c r="H5258" s="60">
        <v>0.513219284603421</v>
      </c>
      <c r="I5258" s="60">
        <v>194.520045472006</v>
      </c>
      <c r="J5258" s="59">
        <v>2311.0</v>
      </c>
      <c r="K5258" s="61">
        <f t="shared" si="1"/>
        <v>0.5746500778</v>
      </c>
      <c r="L5258" s="62">
        <f t="shared" si="2"/>
        <v>1.797045101</v>
      </c>
    </row>
    <row r="5259">
      <c r="A5259" s="58">
        <v>45748.0</v>
      </c>
      <c r="B5259" s="24" t="s">
        <v>6787</v>
      </c>
      <c r="C5259" s="24" t="s">
        <v>6788</v>
      </c>
      <c r="D5259" s="59">
        <v>614.0</v>
      </c>
      <c r="E5259" s="59">
        <v>771.0</v>
      </c>
      <c r="F5259" s="59">
        <v>579.0</v>
      </c>
      <c r="G5259" s="60">
        <v>1.26809210526315</v>
      </c>
      <c r="H5259" s="60">
        <v>0.736705577172503</v>
      </c>
      <c r="I5259" s="60">
        <v>78.6874881750973</v>
      </c>
      <c r="J5259" s="59">
        <v>984.0</v>
      </c>
      <c r="K5259" s="61">
        <f t="shared" si="1"/>
        <v>0.7509727626</v>
      </c>
      <c r="L5259" s="62">
        <f t="shared" si="2"/>
        <v>1.276264591</v>
      </c>
    </row>
    <row r="5260">
      <c r="A5260" s="58">
        <v>45748.0</v>
      </c>
      <c r="B5260" s="24" t="s">
        <v>6789</v>
      </c>
      <c r="C5260" s="24" t="s">
        <v>6792</v>
      </c>
      <c r="D5260" s="59">
        <v>252.0</v>
      </c>
      <c r="E5260" s="59">
        <v>311.0</v>
      </c>
      <c r="F5260" s="59">
        <v>0.0</v>
      </c>
      <c r="G5260" s="60">
        <v>1.98089171974522</v>
      </c>
      <c r="H5260" s="60">
        <v>0.971061093247588</v>
      </c>
      <c r="I5260" s="60">
        <v>11.4407616848874</v>
      </c>
      <c r="J5260" s="59">
        <v>0.0</v>
      </c>
      <c r="K5260" s="61">
        <f t="shared" si="1"/>
        <v>0</v>
      </c>
      <c r="L5260" s="62">
        <f t="shared" si="2"/>
        <v>0</v>
      </c>
    </row>
    <row r="5261">
      <c r="A5261" s="58">
        <v>45748.0</v>
      </c>
      <c r="B5261" s="24" t="s">
        <v>6789</v>
      </c>
      <c r="C5261" s="24" t="s">
        <v>7068</v>
      </c>
      <c r="D5261" s="59">
        <v>205.0</v>
      </c>
      <c r="E5261" s="59">
        <v>231.0</v>
      </c>
      <c r="F5261" s="59">
        <v>200.0</v>
      </c>
      <c r="G5261" s="60">
        <v>1.14356435643564</v>
      </c>
      <c r="H5261" s="60">
        <v>0.389610389610389</v>
      </c>
      <c r="I5261" s="60">
        <v>131.834651220779</v>
      </c>
      <c r="J5261" s="59">
        <v>246.0</v>
      </c>
      <c r="K5261" s="61">
        <f t="shared" si="1"/>
        <v>0.8658008658</v>
      </c>
      <c r="L5261" s="62">
        <f t="shared" si="2"/>
        <v>1.064935065</v>
      </c>
    </row>
    <row r="5262">
      <c r="A5262" s="58">
        <v>45748.0</v>
      </c>
      <c r="B5262" s="24" t="s">
        <v>155</v>
      </c>
      <c r="C5262" s="24" t="s">
        <v>6788</v>
      </c>
      <c r="D5262" s="59">
        <v>162.0</v>
      </c>
      <c r="E5262" s="59">
        <v>393.0</v>
      </c>
      <c r="F5262" s="59">
        <v>100.0</v>
      </c>
      <c r="G5262" s="60">
        <v>2.51923076923076</v>
      </c>
      <c r="H5262" s="60">
        <v>0.633587786259541</v>
      </c>
      <c r="I5262" s="60">
        <v>160.536428081424</v>
      </c>
      <c r="J5262" s="59">
        <v>609.0</v>
      </c>
      <c r="K5262" s="61">
        <f t="shared" si="1"/>
        <v>0.2544529262</v>
      </c>
      <c r="L5262" s="62">
        <f t="shared" si="2"/>
        <v>1.549618321</v>
      </c>
    </row>
    <row r="5263">
      <c r="A5263" s="58">
        <v>45748.0</v>
      </c>
      <c r="B5263" s="24" t="s">
        <v>6794</v>
      </c>
      <c r="C5263" s="24" t="s">
        <v>6788</v>
      </c>
      <c r="D5263" s="59">
        <v>101.0</v>
      </c>
      <c r="E5263" s="59">
        <v>105.0</v>
      </c>
      <c r="F5263" s="59">
        <v>92.0</v>
      </c>
      <c r="G5263" s="60">
        <v>1.06060606060606</v>
      </c>
      <c r="H5263" s="60">
        <v>0.323809523809523</v>
      </c>
      <c r="I5263" s="60">
        <v>208.827085685714</v>
      </c>
      <c r="J5263" s="59">
        <v>213.0</v>
      </c>
      <c r="K5263" s="61">
        <f t="shared" si="1"/>
        <v>0.8761904762</v>
      </c>
      <c r="L5263" s="62">
        <f t="shared" si="2"/>
        <v>2.028571429</v>
      </c>
    </row>
    <row r="5264">
      <c r="A5264" s="58">
        <v>45748.0</v>
      </c>
      <c r="B5264" s="24" t="s">
        <v>3216</v>
      </c>
      <c r="C5264" s="24" t="s">
        <v>7014</v>
      </c>
      <c r="D5264" s="59">
        <v>83.0</v>
      </c>
      <c r="E5264" s="59">
        <v>84.0</v>
      </c>
      <c r="F5264" s="59">
        <v>83.0</v>
      </c>
      <c r="G5264" s="60">
        <v>1.01204819277108</v>
      </c>
      <c r="H5264" s="60">
        <v>0.988095238095238</v>
      </c>
      <c r="I5264" s="60">
        <v>0.0937219761904761</v>
      </c>
      <c r="J5264" s="59">
        <v>86.0</v>
      </c>
      <c r="K5264" s="61">
        <f t="shared" si="1"/>
        <v>0.9880952381</v>
      </c>
      <c r="L5264" s="62">
        <f t="shared" si="2"/>
        <v>1.023809524</v>
      </c>
    </row>
    <row r="5265">
      <c r="A5265" s="58">
        <v>45748.0</v>
      </c>
      <c r="B5265" s="24" t="s">
        <v>3216</v>
      </c>
      <c r="C5265" s="24" t="s">
        <v>7043</v>
      </c>
      <c r="D5265" s="59">
        <v>43.0</v>
      </c>
      <c r="E5265" s="59">
        <v>44.0</v>
      </c>
      <c r="F5265" s="59">
        <v>43.0</v>
      </c>
      <c r="G5265" s="60">
        <v>1.02325581395348</v>
      </c>
      <c r="H5265" s="60">
        <v>0.954545454545454</v>
      </c>
      <c r="I5265" s="60">
        <v>67.2218737727272</v>
      </c>
      <c r="J5265" s="59">
        <v>48.0</v>
      </c>
      <c r="K5265" s="61">
        <f t="shared" si="1"/>
        <v>0.9772727273</v>
      </c>
      <c r="L5265" s="62">
        <f t="shared" si="2"/>
        <v>1.090909091</v>
      </c>
    </row>
    <row r="5266">
      <c r="A5266" s="58">
        <v>45748.0</v>
      </c>
      <c r="B5266" s="24" t="s">
        <v>3216</v>
      </c>
      <c r="C5266" s="24" t="s">
        <v>7159</v>
      </c>
      <c r="D5266" s="59">
        <v>42.0</v>
      </c>
      <c r="E5266" s="59">
        <v>43.0</v>
      </c>
      <c r="F5266" s="59">
        <v>42.0</v>
      </c>
      <c r="G5266" s="60">
        <v>1.02380952380952</v>
      </c>
      <c r="H5266" s="60">
        <v>0.953488372093023</v>
      </c>
      <c r="I5266" s="60">
        <v>3.98904546511627</v>
      </c>
      <c r="J5266" s="59">
        <v>43.0</v>
      </c>
      <c r="K5266" s="61">
        <f t="shared" si="1"/>
        <v>0.976744186</v>
      </c>
      <c r="L5266" s="62">
        <f t="shared" si="2"/>
        <v>1</v>
      </c>
    </row>
    <row r="5267">
      <c r="A5267" s="58">
        <v>45748.0</v>
      </c>
      <c r="B5267" s="24" t="s">
        <v>3216</v>
      </c>
      <c r="C5267" s="24" t="s">
        <v>7180</v>
      </c>
      <c r="D5267" s="59">
        <v>42.0</v>
      </c>
      <c r="E5267" s="59">
        <v>44.0</v>
      </c>
      <c r="F5267" s="59">
        <v>41.0</v>
      </c>
      <c r="G5267" s="60">
        <v>1.04761904761904</v>
      </c>
      <c r="H5267" s="60">
        <v>0.931818181818181</v>
      </c>
      <c r="I5267" s="60">
        <v>4.85875377272727</v>
      </c>
      <c r="J5267" s="59">
        <v>48.0</v>
      </c>
      <c r="K5267" s="61">
        <f t="shared" si="1"/>
        <v>0.9318181818</v>
      </c>
      <c r="L5267" s="62">
        <f t="shared" si="2"/>
        <v>1.090909091</v>
      </c>
    </row>
    <row r="5268">
      <c r="A5268" s="58">
        <v>45748.0</v>
      </c>
      <c r="B5268" s="24" t="s">
        <v>3216</v>
      </c>
      <c r="C5268" s="24" t="s">
        <v>6797</v>
      </c>
      <c r="D5268" s="59">
        <v>41.0</v>
      </c>
      <c r="E5268" s="59">
        <v>41.0</v>
      </c>
      <c r="F5268" s="59">
        <v>41.0</v>
      </c>
      <c r="G5268" s="60">
        <v>1.0</v>
      </c>
      <c r="H5268" s="60">
        <v>1.0</v>
      </c>
      <c r="I5268" s="60">
        <v>0.0445950731707317</v>
      </c>
      <c r="J5268" s="59">
        <v>41.0</v>
      </c>
      <c r="K5268" s="61">
        <f t="shared" si="1"/>
        <v>1</v>
      </c>
      <c r="L5268" s="62">
        <f t="shared" si="2"/>
        <v>1</v>
      </c>
    </row>
    <row r="5269">
      <c r="A5269" s="58">
        <v>45748.0</v>
      </c>
      <c r="B5269" s="24" t="s">
        <v>6787</v>
      </c>
      <c r="C5269" s="24" t="s">
        <v>6792</v>
      </c>
      <c r="D5269" s="59">
        <v>37.0</v>
      </c>
      <c r="E5269" s="59">
        <v>51.0</v>
      </c>
      <c r="F5269" s="59">
        <v>0.0</v>
      </c>
      <c r="G5269" s="60">
        <v>1.96153846153846</v>
      </c>
      <c r="H5269" s="60">
        <v>0.980392156862745</v>
      </c>
      <c r="I5269" s="60">
        <v>5.10542117647058</v>
      </c>
      <c r="J5269" s="59">
        <v>0.0</v>
      </c>
      <c r="K5269" s="61">
        <f t="shared" si="1"/>
        <v>0</v>
      </c>
      <c r="L5269" s="62">
        <f t="shared" si="2"/>
        <v>0</v>
      </c>
    </row>
    <row r="5270">
      <c r="A5270" s="58">
        <v>45748.0</v>
      </c>
      <c r="B5270" s="24" t="s">
        <v>6789</v>
      </c>
      <c r="C5270" s="24" t="s">
        <v>6799</v>
      </c>
      <c r="D5270" s="59">
        <v>36.0</v>
      </c>
      <c r="E5270" s="59">
        <v>43.0</v>
      </c>
      <c r="F5270" s="59">
        <v>24.0</v>
      </c>
      <c r="G5270" s="60">
        <v>1.22857142857142</v>
      </c>
      <c r="H5270" s="60">
        <v>0.441860465116279</v>
      </c>
      <c r="I5270" s="60">
        <v>146.938582511627</v>
      </c>
      <c r="J5270" s="59">
        <v>60.0</v>
      </c>
      <c r="K5270" s="61">
        <f t="shared" si="1"/>
        <v>0.5581395349</v>
      </c>
      <c r="L5270" s="62">
        <f t="shared" si="2"/>
        <v>1.395348837</v>
      </c>
    </row>
    <row r="5271">
      <c r="A5271" s="58">
        <v>45748.0</v>
      </c>
      <c r="B5271" s="24" t="s">
        <v>155</v>
      </c>
      <c r="C5271" s="24" t="s">
        <v>6792</v>
      </c>
      <c r="D5271" s="59">
        <v>33.0</v>
      </c>
      <c r="E5271" s="59">
        <v>58.0</v>
      </c>
      <c r="F5271" s="59">
        <v>0.0</v>
      </c>
      <c r="G5271" s="60">
        <v>2.14814814814814</v>
      </c>
      <c r="H5271" s="60">
        <v>0.896551724137931</v>
      </c>
      <c r="I5271" s="60">
        <v>41.9449648793103</v>
      </c>
      <c r="J5271" s="59">
        <v>0.0</v>
      </c>
      <c r="K5271" s="61">
        <f t="shared" si="1"/>
        <v>0</v>
      </c>
      <c r="L5271" s="62">
        <f t="shared" si="2"/>
        <v>0</v>
      </c>
    </row>
    <row r="5272">
      <c r="A5272" s="58">
        <v>45748.0</v>
      </c>
      <c r="B5272" s="24" t="s">
        <v>6789</v>
      </c>
      <c r="C5272" s="24" t="s">
        <v>6815</v>
      </c>
      <c r="D5272" s="59">
        <v>33.0</v>
      </c>
      <c r="E5272" s="59">
        <v>36.0</v>
      </c>
      <c r="F5272" s="59">
        <v>31.0</v>
      </c>
      <c r="G5272" s="60">
        <v>1.125</v>
      </c>
      <c r="H5272" s="60">
        <v>0.361111111111111</v>
      </c>
      <c r="I5272" s="60">
        <v>215.47657325</v>
      </c>
      <c r="J5272" s="59">
        <v>54.0</v>
      </c>
      <c r="K5272" s="61">
        <f t="shared" si="1"/>
        <v>0.8611111111</v>
      </c>
      <c r="L5272" s="62">
        <f t="shared" si="2"/>
        <v>1.5</v>
      </c>
    </row>
    <row r="5273">
      <c r="A5273" s="58">
        <v>45748.0</v>
      </c>
      <c r="B5273" s="24" t="s">
        <v>6789</v>
      </c>
      <c r="C5273" s="24" t="s">
        <v>6804</v>
      </c>
      <c r="D5273" s="59">
        <v>31.0</v>
      </c>
      <c r="E5273" s="59">
        <v>33.0</v>
      </c>
      <c r="F5273" s="59">
        <v>31.0</v>
      </c>
      <c r="G5273" s="60">
        <v>1.06451612903225</v>
      </c>
      <c r="H5273" s="60">
        <v>0.515151515151515</v>
      </c>
      <c r="I5273" s="60">
        <v>208.613103212121</v>
      </c>
      <c r="J5273" s="59">
        <v>41.0</v>
      </c>
      <c r="K5273" s="61">
        <f t="shared" si="1"/>
        <v>0.9393939394</v>
      </c>
      <c r="L5273" s="62">
        <f t="shared" si="2"/>
        <v>1.242424242</v>
      </c>
    </row>
    <row r="5274">
      <c r="A5274" s="58">
        <v>45748.0</v>
      </c>
      <c r="B5274" s="24" t="s">
        <v>6789</v>
      </c>
      <c r="C5274" s="24" t="s">
        <v>6808</v>
      </c>
      <c r="D5274" s="59">
        <v>28.0</v>
      </c>
      <c r="E5274" s="59">
        <v>30.0</v>
      </c>
      <c r="F5274" s="59">
        <v>17.0</v>
      </c>
      <c r="G5274" s="60">
        <v>1.2</v>
      </c>
      <c r="H5274" s="60">
        <v>0.433333333333333</v>
      </c>
      <c r="I5274" s="60">
        <v>318.838984566666</v>
      </c>
      <c r="J5274" s="59">
        <v>56.0</v>
      </c>
      <c r="K5274" s="61">
        <f t="shared" si="1"/>
        <v>0.5666666667</v>
      </c>
      <c r="L5274" s="62">
        <f t="shared" si="2"/>
        <v>1.866666667</v>
      </c>
    </row>
    <row r="5275">
      <c r="A5275" s="58">
        <v>45748.0</v>
      </c>
      <c r="B5275" s="24" t="s">
        <v>6789</v>
      </c>
      <c r="C5275" s="24" t="s">
        <v>6910</v>
      </c>
      <c r="D5275" s="59">
        <v>27.0</v>
      </c>
      <c r="E5275" s="59">
        <v>40.0</v>
      </c>
      <c r="F5275" s="59">
        <v>15.0</v>
      </c>
      <c r="G5275" s="60">
        <v>1.66666666666666</v>
      </c>
      <c r="H5275" s="60">
        <v>0.525</v>
      </c>
      <c r="I5275" s="60">
        <v>217.392082949999</v>
      </c>
      <c r="J5275" s="59">
        <v>57.0</v>
      </c>
      <c r="K5275" s="61">
        <f t="shared" si="1"/>
        <v>0.375</v>
      </c>
      <c r="L5275" s="62">
        <f t="shared" si="2"/>
        <v>1.425</v>
      </c>
    </row>
    <row r="5276">
      <c r="A5276" s="58">
        <v>45748.0</v>
      </c>
      <c r="B5276" s="24" t="s">
        <v>6789</v>
      </c>
      <c r="C5276" s="24" t="s">
        <v>6809</v>
      </c>
      <c r="D5276" s="59">
        <v>23.0</v>
      </c>
      <c r="E5276" s="59">
        <v>30.0</v>
      </c>
      <c r="F5276" s="59">
        <v>15.0</v>
      </c>
      <c r="G5276" s="60">
        <v>1.42857142857142</v>
      </c>
      <c r="H5276" s="60">
        <v>0.6</v>
      </c>
      <c r="I5276" s="60">
        <v>434.547250566666</v>
      </c>
      <c r="J5276" s="59">
        <v>69.0</v>
      </c>
      <c r="K5276" s="61">
        <f t="shared" si="1"/>
        <v>0.5</v>
      </c>
      <c r="L5276" s="62">
        <f t="shared" si="2"/>
        <v>2.3</v>
      </c>
    </row>
    <row r="5277">
      <c r="A5277" s="58">
        <v>45748.0</v>
      </c>
      <c r="B5277" s="24" t="s">
        <v>6787</v>
      </c>
      <c r="C5277" s="24" t="s">
        <v>6910</v>
      </c>
      <c r="D5277" s="59">
        <v>23.0</v>
      </c>
      <c r="E5277" s="59">
        <v>23.0</v>
      </c>
      <c r="F5277" s="59">
        <v>22.0</v>
      </c>
      <c r="G5277" s="60">
        <v>1.0</v>
      </c>
      <c r="H5277" s="60">
        <v>0.739130434782608</v>
      </c>
      <c r="I5277" s="60">
        <v>47.0088348260869</v>
      </c>
      <c r="J5277" s="59">
        <v>25.0</v>
      </c>
      <c r="K5277" s="61">
        <f t="shared" si="1"/>
        <v>0.9565217391</v>
      </c>
      <c r="L5277" s="62">
        <f t="shared" si="2"/>
        <v>1.086956522</v>
      </c>
    </row>
    <row r="5278">
      <c r="A5278" s="58">
        <v>45748.0</v>
      </c>
      <c r="B5278" s="24" t="s">
        <v>6794</v>
      </c>
      <c r="C5278" s="24" t="s">
        <v>6792</v>
      </c>
      <c r="D5278" s="59">
        <v>22.0</v>
      </c>
      <c r="E5278" s="59">
        <v>28.0</v>
      </c>
      <c r="F5278" s="59">
        <v>0.0</v>
      </c>
      <c r="G5278" s="60">
        <v>2.33333333333333</v>
      </c>
      <c r="H5278" s="60">
        <v>0.892857142857142</v>
      </c>
      <c r="I5278" s="60">
        <v>46.3598148571428</v>
      </c>
      <c r="J5278" s="59">
        <v>0.0</v>
      </c>
      <c r="K5278" s="61">
        <f t="shared" si="1"/>
        <v>0</v>
      </c>
      <c r="L5278" s="62">
        <f t="shared" si="2"/>
        <v>0</v>
      </c>
    </row>
    <row r="5279">
      <c r="A5279" s="58">
        <v>45748.0</v>
      </c>
      <c r="B5279" s="24" t="s">
        <v>6789</v>
      </c>
      <c r="C5279" s="24" t="s">
        <v>6882</v>
      </c>
      <c r="D5279" s="59">
        <v>22.0</v>
      </c>
      <c r="E5279" s="59">
        <v>24.0</v>
      </c>
      <c r="F5279" s="59">
        <v>19.0</v>
      </c>
      <c r="G5279" s="60">
        <v>1.09090909090909</v>
      </c>
      <c r="H5279" s="60">
        <v>0.416666666666666</v>
      </c>
      <c r="I5279" s="60">
        <v>96.0408019166666</v>
      </c>
      <c r="J5279" s="59">
        <v>28.0</v>
      </c>
      <c r="K5279" s="61">
        <f t="shared" si="1"/>
        <v>0.7916666667</v>
      </c>
      <c r="L5279" s="62">
        <f t="shared" si="2"/>
        <v>1.166666667</v>
      </c>
    </row>
    <row r="5280">
      <c r="A5280" s="58">
        <v>45748.0</v>
      </c>
      <c r="B5280" s="24" t="s">
        <v>6790</v>
      </c>
      <c r="C5280" s="24" t="s">
        <v>6788</v>
      </c>
      <c r="D5280" s="59">
        <v>21.0</v>
      </c>
      <c r="E5280" s="59">
        <v>25.0</v>
      </c>
      <c r="F5280" s="59">
        <v>15.0</v>
      </c>
      <c r="G5280" s="60">
        <v>1.25</v>
      </c>
      <c r="H5280" s="60">
        <v>0.56</v>
      </c>
      <c r="I5280" s="60">
        <v>209.03858632</v>
      </c>
      <c r="J5280" s="59">
        <v>35.0</v>
      </c>
      <c r="K5280" s="61">
        <f t="shared" si="1"/>
        <v>0.6</v>
      </c>
      <c r="L5280" s="62">
        <f t="shared" si="2"/>
        <v>1.4</v>
      </c>
    </row>
    <row r="5281">
      <c r="A5281" s="58">
        <v>45748.0</v>
      </c>
      <c r="B5281" s="24" t="s">
        <v>6789</v>
      </c>
      <c r="C5281" s="24" t="s">
        <v>6802</v>
      </c>
      <c r="D5281" s="59">
        <v>20.0</v>
      </c>
      <c r="E5281" s="59">
        <v>22.0</v>
      </c>
      <c r="F5281" s="59">
        <v>3.0</v>
      </c>
      <c r="G5281" s="60">
        <v>1.1578947368421</v>
      </c>
      <c r="H5281" s="60">
        <v>0.59090909090909</v>
      </c>
      <c r="I5281" s="60">
        <v>305.43125490909</v>
      </c>
      <c r="J5281" s="59">
        <v>35.0</v>
      </c>
      <c r="K5281" s="61">
        <f t="shared" si="1"/>
        <v>0.1363636364</v>
      </c>
      <c r="L5281" s="62">
        <f t="shared" si="2"/>
        <v>1.590909091</v>
      </c>
    </row>
    <row r="5282">
      <c r="A5282" s="58">
        <v>45748.0</v>
      </c>
      <c r="B5282" s="24" t="s">
        <v>6794</v>
      </c>
      <c r="C5282" s="24" t="s">
        <v>7301</v>
      </c>
      <c r="D5282" s="59">
        <v>19.0</v>
      </c>
      <c r="E5282" s="59">
        <v>23.0</v>
      </c>
      <c r="F5282" s="59">
        <v>17.0</v>
      </c>
      <c r="G5282" s="60">
        <v>1.21052631578947</v>
      </c>
      <c r="H5282" s="60">
        <v>0.347826086956521</v>
      </c>
      <c r="I5282" s="60">
        <v>106.320921130434</v>
      </c>
      <c r="J5282" s="59">
        <v>32.0</v>
      </c>
      <c r="K5282" s="61">
        <f t="shared" si="1"/>
        <v>0.7391304348</v>
      </c>
      <c r="L5282" s="62">
        <f t="shared" si="2"/>
        <v>1.391304348</v>
      </c>
    </row>
    <row r="5283">
      <c r="A5283" s="58">
        <v>45748.0</v>
      </c>
      <c r="B5283" s="24" t="s">
        <v>155</v>
      </c>
      <c r="C5283" s="24" t="s">
        <v>6800</v>
      </c>
      <c r="D5283" s="59">
        <v>17.0</v>
      </c>
      <c r="E5283" s="59">
        <v>17.0</v>
      </c>
      <c r="F5283" s="59">
        <v>16.0</v>
      </c>
      <c r="G5283" s="60">
        <v>1.0</v>
      </c>
      <c r="H5283" s="60">
        <v>0.235294117647058</v>
      </c>
      <c r="I5283" s="60">
        <v>30.7334727058823</v>
      </c>
      <c r="J5283" s="59">
        <v>33.0</v>
      </c>
      <c r="K5283" s="61">
        <f t="shared" si="1"/>
        <v>0.9411764706</v>
      </c>
      <c r="L5283" s="62">
        <f t="shared" si="2"/>
        <v>1.941176471</v>
      </c>
    </row>
    <row r="5284">
      <c r="A5284" s="58">
        <v>45748.0</v>
      </c>
      <c r="B5284" s="24" t="s">
        <v>6787</v>
      </c>
      <c r="C5284" s="24" t="s">
        <v>6802</v>
      </c>
      <c r="D5284" s="59">
        <v>17.0</v>
      </c>
      <c r="E5284" s="59">
        <v>22.0</v>
      </c>
      <c r="F5284" s="59">
        <v>13.0</v>
      </c>
      <c r="G5284" s="60">
        <v>1.375</v>
      </c>
      <c r="H5284" s="60">
        <v>0.681818181818181</v>
      </c>
      <c r="I5284" s="60">
        <v>90.1268564999999</v>
      </c>
      <c r="J5284" s="59">
        <v>54.0</v>
      </c>
      <c r="K5284" s="61">
        <f t="shared" si="1"/>
        <v>0.5909090909</v>
      </c>
      <c r="L5284" s="62">
        <f t="shared" si="2"/>
        <v>2.454545455</v>
      </c>
    </row>
    <row r="5285">
      <c r="A5285" s="58">
        <v>45748.0</v>
      </c>
      <c r="B5285" s="24" t="s">
        <v>6787</v>
      </c>
      <c r="C5285" s="24" t="s">
        <v>6799</v>
      </c>
      <c r="D5285" s="59">
        <v>16.0</v>
      </c>
      <c r="E5285" s="59">
        <v>16.0</v>
      </c>
      <c r="F5285" s="59">
        <v>16.0</v>
      </c>
      <c r="G5285" s="60">
        <v>1.0</v>
      </c>
      <c r="H5285" s="60">
        <v>0.5625</v>
      </c>
      <c r="I5285" s="60">
        <v>11.4576934999999</v>
      </c>
      <c r="J5285" s="59">
        <v>17.0</v>
      </c>
      <c r="K5285" s="61">
        <f t="shared" si="1"/>
        <v>1</v>
      </c>
      <c r="L5285" s="62">
        <f t="shared" si="2"/>
        <v>1.0625</v>
      </c>
    </row>
    <row r="5286">
      <c r="A5286" s="58">
        <v>45748.0</v>
      </c>
      <c r="B5286" s="24" t="s">
        <v>6789</v>
      </c>
      <c r="C5286" s="24" t="s">
        <v>6841</v>
      </c>
      <c r="D5286" s="59">
        <v>15.0</v>
      </c>
      <c r="E5286" s="59">
        <v>15.0</v>
      </c>
      <c r="F5286" s="59">
        <v>13.0</v>
      </c>
      <c r="G5286" s="60">
        <v>1.15384615384615</v>
      </c>
      <c r="H5286" s="60">
        <v>0.466666666666666</v>
      </c>
      <c r="I5286" s="60">
        <v>296.695785666666</v>
      </c>
      <c r="J5286" s="59">
        <v>19.0</v>
      </c>
      <c r="K5286" s="61">
        <f t="shared" si="1"/>
        <v>0.8666666667</v>
      </c>
      <c r="L5286" s="62">
        <f t="shared" si="2"/>
        <v>1.266666667</v>
      </c>
    </row>
    <row r="5287">
      <c r="A5287" s="58">
        <v>45748.0</v>
      </c>
      <c r="B5287" s="24" t="s">
        <v>6789</v>
      </c>
      <c r="C5287" s="24" t="s">
        <v>6822</v>
      </c>
      <c r="D5287" s="59">
        <v>13.0</v>
      </c>
      <c r="E5287" s="59">
        <v>13.0</v>
      </c>
      <c r="F5287" s="59">
        <v>5.0</v>
      </c>
      <c r="G5287" s="60">
        <v>1.0</v>
      </c>
      <c r="H5287" s="60">
        <v>0.23076923076923</v>
      </c>
      <c r="I5287" s="60">
        <v>299.629717</v>
      </c>
      <c r="J5287" s="59">
        <v>24.0</v>
      </c>
      <c r="K5287" s="61">
        <f t="shared" si="1"/>
        <v>0.3846153846</v>
      </c>
      <c r="L5287" s="62">
        <f t="shared" si="2"/>
        <v>1.846153846</v>
      </c>
    </row>
    <row r="5288">
      <c r="A5288" s="58">
        <v>45748.0</v>
      </c>
      <c r="B5288" s="24" t="s">
        <v>6787</v>
      </c>
      <c r="C5288" s="24" t="s">
        <v>6955</v>
      </c>
      <c r="D5288" s="59">
        <v>12.0</v>
      </c>
      <c r="E5288" s="59">
        <v>12.0</v>
      </c>
      <c r="F5288" s="59">
        <v>12.0</v>
      </c>
      <c r="G5288" s="60">
        <v>1.0</v>
      </c>
      <c r="H5288" s="60">
        <v>1.0</v>
      </c>
      <c r="I5288" s="60">
        <v>0.0</v>
      </c>
      <c r="J5288" s="59">
        <v>12.0</v>
      </c>
      <c r="K5288" s="61">
        <f t="shared" si="1"/>
        <v>1</v>
      </c>
      <c r="L5288" s="62">
        <f t="shared" si="2"/>
        <v>1</v>
      </c>
    </row>
    <row r="5289">
      <c r="A5289" s="58">
        <v>45748.0</v>
      </c>
      <c r="B5289" s="24" t="s">
        <v>3216</v>
      </c>
      <c r="C5289" s="24" t="s">
        <v>6955</v>
      </c>
      <c r="D5289" s="59">
        <v>12.0</v>
      </c>
      <c r="E5289" s="59">
        <v>12.0</v>
      </c>
      <c r="F5289" s="59">
        <v>12.0</v>
      </c>
      <c r="G5289" s="60">
        <v>1.0</v>
      </c>
      <c r="H5289" s="60">
        <v>1.0</v>
      </c>
      <c r="I5289" s="60">
        <v>0.0</v>
      </c>
      <c r="J5289" s="59">
        <v>12.0</v>
      </c>
      <c r="K5289" s="61">
        <f t="shared" si="1"/>
        <v>1</v>
      </c>
      <c r="L5289" s="62">
        <f t="shared" si="2"/>
        <v>1</v>
      </c>
    </row>
    <row r="5290">
      <c r="A5290" s="58">
        <v>45748.0</v>
      </c>
      <c r="B5290" s="24" t="s">
        <v>6789</v>
      </c>
      <c r="C5290" s="24" t="s">
        <v>7024</v>
      </c>
      <c r="D5290" s="59">
        <v>12.0</v>
      </c>
      <c r="E5290" s="59">
        <v>12.0</v>
      </c>
      <c r="F5290" s="59">
        <v>12.0</v>
      </c>
      <c r="G5290" s="60">
        <v>1.0</v>
      </c>
      <c r="H5290" s="60">
        <v>0.166666666666666</v>
      </c>
      <c r="I5290" s="60">
        <v>392.784412083333</v>
      </c>
      <c r="J5290" s="59">
        <v>15.0</v>
      </c>
      <c r="K5290" s="61">
        <f t="shared" si="1"/>
        <v>1</v>
      </c>
      <c r="L5290" s="62">
        <f t="shared" si="2"/>
        <v>1.25</v>
      </c>
    </row>
    <row r="5291">
      <c r="A5291" s="58">
        <v>45748.0</v>
      </c>
      <c r="B5291" s="24" t="s">
        <v>3216</v>
      </c>
      <c r="C5291" s="24" t="s">
        <v>7021</v>
      </c>
      <c r="D5291" s="59">
        <v>12.0</v>
      </c>
      <c r="E5291" s="59">
        <v>12.0</v>
      </c>
      <c r="F5291" s="59">
        <v>11.0</v>
      </c>
      <c r="G5291" s="60">
        <v>1.0</v>
      </c>
      <c r="H5291" s="60">
        <v>0.833333333333333</v>
      </c>
      <c r="I5291" s="60">
        <v>8.04274058333333</v>
      </c>
      <c r="J5291" s="59">
        <v>15.0</v>
      </c>
      <c r="K5291" s="61">
        <f t="shared" si="1"/>
        <v>0.9166666667</v>
      </c>
      <c r="L5291" s="62">
        <f t="shared" si="2"/>
        <v>1.25</v>
      </c>
    </row>
    <row r="5292">
      <c r="A5292" s="58">
        <v>45748.0</v>
      </c>
      <c r="B5292" s="24" t="s">
        <v>7100</v>
      </c>
      <c r="C5292" s="24" t="s">
        <v>7301</v>
      </c>
      <c r="D5292" s="59">
        <v>12.0</v>
      </c>
      <c r="E5292" s="59">
        <v>12.0</v>
      </c>
      <c r="F5292" s="59">
        <v>8.0</v>
      </c>
      <c r="G5292" s="60">
        <v>1.0</v>
      </c>
      <c r="H5292" s="60">
        <v>0.833333333333333</v>
      </c>
      <c r="I5292" s="60">
        <v>31.9678535833333</v>
      </c>
      <c r="J5292" s="59">
        <v>13.0</v>
      </c>
      <c r="K5292" s="61">
        <f t="shared" si="1"/>
        <v>0.6666666667</v>
      </c>
      <c r="L5292" s="62">
        <f t="shared" si="2"/>
        <v>1.083333333</v>
      </c>
    </row>
    <row r="5293">
      <c r="A5293" s="58">
        <v>45748.0</v>
      </c>
      <c r="B5293" s="24" t="s">
        <v>6789</v>
      </c>
      <c r="C5293" s="24" t="s">
        <v>6806</v>
      </c>
      <c r="D5293" s="59">
        <v>12.0</v>
      </c>
      <c r="E5293" s="59">
        <v>12.0</v>
      </c>
      <c r="F5293" s="59">
        <v>11.0</v>
      </c>
      <c r="G5293" s="60">
        <v>1.0</v>
      </c>
      <c r="H5293" s="60">
        <v>0.166666666666666</v>
      </c>
      <c r="I5293" s="60">
        <v>94.8173000833333</v>
      </c>
      <c r="J5293" s="59">
        <v>20.0</v>
      </c>
      <c r="K5293" s="61">
        <f t="shared" si="1"/>
        <v>0.9166666667</v>
      </c>
      <c r="L5293" s="62">
        <f t="shared" si="2"/>
        <v>1.666666667</v>
      </c>
    </row>
    <row r="5294">
      <c r="A5294" s="58">
        <v>45748.0</v>
      </c>
      <c r="B5294" s="24" t="s">
        <v>6789</v>
      </c>
      <c r="C5294" s="24" t="s">
        <v>7090</v>
      </c>
      <c r="D5294" s="59">
        <v>12.0</v>
      </c>
      <c r="E5294" s="59">
        <v>12.0</v>
      </c>
      <c r="F5294" s="59">
        <v>12.0</v>
      </c>
      <c r="G5294" s="60">
        <v>1.0</v>
      </c>
      <c r="H5294" s="60">
        <v>0.5</v>
      </c>
      <c r="I5294" s="60">
        <v>28.93934675</v>
      </c>
      <c r="J5294" s="59">
        <v>14.0</v>
      </c>
      <c r="K5294" s="61">
        <f t="shared" si="1"/>
        <v>1</v>
      </c>
      <c r="L5294" s="62">
        <f t="shared" si="2"/>
        <v>1.166666667</v>
      </c>
    </row>
    <row r="5295">
      <c r="A5295" s="58">
        <v>45748.0</v>
      </c>
      <c r="B5295" s="24" t="s">
        <v>3216</v>
      </c>
      <c r="C5295" s="24" t="s">
        <v>7190</v>
      </c>
      <c r="D5295" s="59">
        <v>12.0</v>
      </c>
      <c r="E5295" s="59">
        <v>12.0</v>
      </c>
      <c r="F5295" s="59">
        <v>12.0</v>
      </c>
      <c r="G5295" s="60">
        <v>1.0</v>
      </c>
      <c r="H5295" s="60">
        <v>1.0</v>
      </c>
      <c r="I5295" s="60">
        <v>0.0</v>
      </c>
      <c r="J5295" s="59">
        <v>12.0</v>
      </c>
      <c r="K5295" s="61">
        <f t="shared" si="1"/>
        <v>1</v>
      </c>
      <c r="L5295" s="62">
        <f t="shared" si="2"/>
        <v>1</v>
      </c>
    </row>
    <row r="5296">
      <c r="A5296" s="58">
        <v>45748.0</v>
      </c>
      <c r="B5296" s="24" t="s">
        <v>6789</v>
      </c>
      <c r="C5296" s="24" t="s">
        <v>6912</v>
      </c>
      <c r="D5296" s="59">
        <v>12.0</v>
      </c>
      <c r="E5296" s="59">
        <v>22.0</v>
      </c>
      <c r="F5296" s="59">
        <v>8.0</v>
      </c>
      <c r="G5296" s="60">
        <v>2.2</v>
      </c>
      <c r="H5296" s="60">
        <v>0.772727272727272</v>
      </c>
      <c r="I5296" s="60">
        <v>129.800308318181</v>
      </c>
      <c r="J5296" s="59">
        <v>28.0</v>
      </c>
      <c r="K5296" s="61">
        <f t="shared" si="1"/>
        <v>0.3636363636</v>
      </c>
      <c r="L5296" s="62">
        <f t="shared" si="2"/>
        <v>1.272727273</v>
      </c>
    </row>
    <row r="5297">
      <c r="A5297" s="58">
        <v>45748.0</v>
      </c>
      <c r="B5297" s="24" t="s">
        <v>3216</v>
      </c>
      <c r="C5297" s="24" t="s">
        <v>6792</v>
      </c>
      <c r="D5297" s="59">
        <v>11.0</v>
      </c>
      <c r="E5297" s="59">
        <v>11.0</v>
      </c>
      <c r="F5297" s="59">
        <v>0.0</v>
      </c>
      <c r="G5297" s="60">
        <v>2.75</v>
      </c>
      <c r="H5297" s="60">
        <v>0.909090909090909</v>
      </c>
      <c r="I5297" s="60">
        <v>1.650038</v>
      </c>
      <c r="J5297" s="59">
        <v>0.0</v>
      </c>
      <c r="K5297" s="61">
        <f t="shared" si="1"/>
        <v>0</v>
      </c>
      <c r="L5297" s="62">
        <f t="shared" si="2"/>
        <v>0</v>
      </c>
    </row>
    <row r="5298">
      <c r="A5298" s="58">
        <v>45748.0</v>
      </c>
      <c r="B5298" s="24" t="s">
        <v>3216</v>
      </c>
      <c r="C5298" s="24" t="s">
        <v>6877</v>
      </c>
      <c r="D5298" s="59">
        <v>11.0</v>
      </c>
      <c r="E5298" s="59">
        <v>11.0</v>
      </c>
      <c r="F5298" s="59">
        <v>11.0</v>
      </c>
      <c r="G5298" s="60">
        <v>1.0</v>
      </c>
      <c r="H5298" s="60">
        <v>0.818181818181818</v>
      </c>
      <c r="I5298" s="60">
        <v>45.870611</v>
      </c>
      <c r="J5298" s="59">
        <v>11.0</v>
      </c>
      <c r="K5298" s="61">
        <f t="shared" si="1"/>
        <v>1</v>
      </c>
      <c r="L5298" s="62">
        <f t="shared" si="2"/>
        <v>1</v>
      </c>
    </row>
    <row r="5299">
      <c r="A5299" s="58">
        <v>45748.0</v>
      </c>
      <c r="B5299" s="24" t="s">
        <v>6787</v>
      </c>
      <c r="C5299" s="24" t="s">
        <v>7068</v>
      </c>
      <c r="D5299" s="59">
        <v>11.0</v>
      </c>
      <c r="E5299" s="59">
        <v>11.0</v>
      </c>
      <c r="F5299" s="59">
        <v>11.0</v>
      </c>
      <c r="G5299" s="60">
        <v>1.0</v>
      </c>
      <c r="H5299" s="60">
        <v>0.636363636363636</v>
      </c>
      <c r="I5299" s="60">
        <v>76.7171946363636</v>
      </c>
      <c r="J5299" s="59">
        <v>13.0</v>
      </c>
      <c r="K5299" s="61">
        <f t="shared" si="1"/>
        <v>1</v>
      </c>
      <c r="L5299" s="62">
        <f t="shared" si="2"/>
        <v>1.181818182</v>
      </c>
    </row>
    <row r="5300">
      <c r="A5300" s="58">
        <v>45748.0</v>
      </c>
      <c r="B5300" s="24" t="s">
        <v>6789</v>
      </c>
      <c r="C5300" s="24" t="s">
        <v>6838</v>
      </c>
      <c r="D5300" s="59">
        <v>11.0</v>
      </c>
      <c r="E5300" s="59">
        <v>15.0</v>
      </c>
      <c r="F5300" s="59">
        <v>10.0</v>
      </c>
      <c r="G5300" s="60">
        <v>1.36363636363636</v>
      </c>
      <c r="H5300" s="60">
        <v>0.466666666666666</v>
      </c>
      <c r="I5300" s="60">
        <v>326.768328066666</v>
      </c>
      <c r="J5300" s="59">
        <v>21.0</v>
      </c>
      <c r="K5300" s="61">
        <f t="shared" si="1"/>
        <v>0.6666666667</v>
      </c>
      <c r="L5300" s="62">
        <f t="shared" si="2"/>
        <v>1.4</v>
      </c>
    </row>
    <row r="5301">
      <c r="A5301" s="58">
        <v>45748.0</v>
      </c>
      <c r="B5301" s="24" t="s">
        <v>6794</v>
      </c>
      <c r="C5301" s="24" t="s">
        <v>7223</v>
      </c>
      <c r="D5301" s="59">
        <v>11.0</v>
      </c>
      <c r="E5301" s="59">
        <v>13.0</v>
      </c>
      <c r="F5301" s="59">
        <v>10.0</v>
      </c>
      <c r="G5301" s="60">
        <v>1.18181818181818</v>
      </c>
      <c r="H5301" s="60">
        <v>0.461538461538461</v>
      </c>
      <c r="I5301" s="60">
        <v>159.747210230769</v>
      </c>
      <c r="J5301" s="59">
        <v>26.0</v>
      </c>
      <c r="K5301" s="61">
        <f t="shared" si="1"/>
        <v>0.7692307692</v>
      </c>
      <c r="L5301" s="62">
        <f t="shared" si="2"/>
        <v>2</v>
      </c>
    </row>
    <row r="5302">
      <c r="A5302" s="58">
        <v>45748.0</v>
      </c>
      <c r="B5302" s="24" t="s">
        <v>6789</v>
      </c>
      <c r="C5302" s="24" t="s">
        <v>6886</v>
      </c>
      <c r="D5302" s="59">
        <v>10.0</v>
      </c>
      <c r="E5302" s="59">
        <v>12.0</v>
      </c>
      <c r="F5302" s="59">
        <v>0.0</v>
      </c>
      <c r="G5302" s="60">
        <v>1.5</v>
      </c>
      <c r="H5302" s="60">
        <v>0.416666666666666</v>
      </c>
      <c r="I5302" s="60">
        <v>160.37897225</v>
      </c>
      <c r="J5302" s="59">
        <v>22.0</v>
      </c>
      <c r="K5302" s="61">
        <f t="shared" si="1"/>
        <v>0</v>
      </c>
      <c r="L5302" s="62">
        <f t="shared" si="2"/>
        <v>1.833333333</v>
      </c>
    </row>
    <row r="5303">
      <c r="A5303" s="58">
        <v>45748.0</v>
      </c>
      <c r="B5303" s="24" t="s">
        <v>6789</v>
      </c>
      <c r="C5303" s="24" t="s">
        <v>7077</v>
      </c>
      <c r="D5303" s="59">
        <v>10.0</v>
      </c>
      <c r="E5303" s="59">
        <v>10.0</v>
      </c>
      <c r="F5303" s="59">
        <v>9.0</v>
      </c>
      <c r="G5303" s="60">
        <v>1.0</v>
      </c>
      <c r="H5303" s="60">
        <v>0.6</v>
      </c>
      <c r="I5303" s="60">
        <v>28.4698562</v>
      </c>
      <c r="J5303" s="59">
        <v>11.0</v>
      </c>
      <c r="K5303" s="61">
        <f t="shared" si="1"/>
        <v>0.9</v>
      </c>
      <c r="L5303" s="62">
        <f t="shared" si="2"/>
        <v>1.1</v>
      </c>
    </row>
    <row r="5304">
      <c r="A5304" s="58">
        <v>45748.0</v>
      </c>
      <c r="B5304" s="24" t="s">
        <v>6789</v>
      </c>
      <c r="C5304" s="24" t="s">
        <v>7106</v>
      </c>
      <c r="D5304" s="59">
        <v>10.0</v>
      </c>
      <c r="E5304" s="59">
        <v>12.0</v>
      </c>
      <c r="F5304" s="59">
        <v>6.0</v>
      </c>
      <c r="G5304" s="60">
        <v>1.33333333333333</v>
      </c>
      <c r="H5304" s="60">
        <v>0.75</v>
      </c>
      <c r="I5304" s="60">
        <v>109.917731833333</v>
      </c>
      <c r="J5304" s="59">
        <v>12.0</v>
      </c>
      <c r="K5304" s="61">
        <f t="shared" si="1"/>
        <v>0.5</v>
      </c>
      <c r="L5304" s="62">
        <f t="shared" si="2"/>
        <v>1</v>
      </c>
    </row>
    <row r="5305">
      <c r="A5305" s="58">
        <v>45748.0</v>
      </c>
      <c r="B5305" s="24" t="s">
        <v>6789</v>
      </c>
      <c r="C5305" s="24" t="s">
        <v>6797</v>
      </c>
      <c r="D5305" s="59">
        <v>10.0</v>
      </c>
      <c r="E5305" s="59">
        <v>10.0</v>
      </c>
      <c r="F5305" s="59">
        <v>4.0</v>
      </c>
      <c r="G5305" s="60">
        <v>1.25</v>
      </c>
      <c r="H5305" s="60">
        <v>0.5</v>
      </c>
      <c r="I5305" s="60">
        <v>97.034255</v>
      </c>
      <c r="J5305" s="59">
        <v>15.0</v>
      </c>
      <c r="K5305" s="61">
        <f t="shared" si="1"/>
        <v>0.4</v>
      </c>
      <c r="L5305" s="62">
        <f t="shared" si="2"/>
        <v>1.5</v>
      </c>
    </row>
    <row r="5306">
      <c r="A5306" s="58">
        <v>45748.0</v>
      </c>
      <c r="B5306" s="24" t="s">
        <v>6790</v>
      </c>
      <c r="C5306" s="24" t="s">
        <v>6792</v>
      </c>
      <c r="D5306" s="59">
        <v>9.0</v>
      </c>
      <c r="E5306" s="59">
        <v>9.0</v>
      </c>
      <c r="F5306" s="59">
        <v>0.0</v>
      </c>
      <c r="G5306" s="60">
        <v>1.5</v>
      </c>
      <c r="H5306" s="60">
        <v>0.888888888888888</v>
      </c>
      <c r="I5306" s="60">
        <v>9.92089422222222</v>
      </c>
      <c r="J5306" s="59">
        <v>0.0</v>
      </c>
      <c r="K5306" s="61">
        <f t="shared" si="1"/>
        <v>0</v>
      </c>
      <c r="L5306" s="62">
        <f t="shared" si="2"/>
        <v>0</v>
      </c>
    </row>
    <row r="5307">
      <c r="A5307" s="58">
        <v>45748.0</v>
      </c>
      <c r="B5307" s="24" t="s">
        <v>3216</v>
      </c>
      <c r="C5307" s="24" t="s">
        <v>6930</v>
      </c>
      <c r="D5307" s="59">
        <v>9.0</v>
      </c>
      <c r="E5307" s="59">
        <v>9.0</v>
      </c>
      <c r="F5307" s="59">
        <v>9.0</v>
      </c>
      <c r="G5307" s="60">
        <v>1.0</v>
      </c>
      <c r="H5307" s="60">
        <v>1.0</v>
      </c>
      <c r="I5307" s="60">
        <v>0.0</v>
      </c>
      <c r="J5307" s="59">
        <v>9.0</v>
      </c>
      <c r="K5307" s="61">
        <f t="shared" si="1"/>
        <v>1</v>
      </c>
      <c r="L5307" s="62">
        <f t="shared" si="2"/>
        <v>1</v>
      </c>
    </row>
    <row r="5308">
      <c r="A5308" s="58">
        <v>45748.0</v>
      </c>
      <c r="B5308" s="24" t="s">
        <v>6789</v>
      </c>
      <c r="C5308" s="24" t="s">
        <v>6811</v>
      </c>
      <c r="D5308" s="59">
        <v>9.0</v>
      </c>
      <c r="E5308" s="59">
        <v>11.0</v>
      </c>
      <c r="F5308" s="59">
        <v>7.0</v>
      </c>
      <c r="G5308" s="60">
        <v>1.22222222222222</v>
      </c>
      <c r="H5308" s="60">
        <v>0.545454545454545</v>
      </c>
      <c r="I5308" s="60">
        <v>201.149893454545</v>
      </c>
      <c r="J5308" s="59">
        <v>13.0</v>
      </c>
      <c r="K5308" s="61">
        <f t="shared" si="1"/>
        <v>0.6363636364</v>
      </c>
      <c r="L5308" s="62">
        <f t="shared" si="2"/>
        <v>1.181818182</v>
      </c>
    </row>
    <row r="5309">
      <c r="A5309" s="58">
        <v>45748.0</v>
      </c>
      <c r="B5309" s="24" t="s">
        <v>6787</v>
      </c>
      <c r="C5309" s="24" t="s">
        <v>7447</v>
      </c>
      <c r="D5309" s="59">
        <v>9.0</v>
      </c>
      <c r="E5309" s="59">
        <v>11.0</v>
      </c>
      <c r="F5309" s="59">
        <v>4.0</v>
      </c>
      <c r="G5309" s="60">
        <v>1.22222222222222</v>
      </c>
      <c r="H5309" s="60">
        <v>0.181818181818181</v>
      </c>
      <c r="I5309" s="60">
        <v>409.553068636363</v>
      </c>
      <c r="J5309" s="59">
        <v>35.0</v>
      </c>
      <c r="K5309" s="61">
        <f t="shared" si="1"/>
        <v>0.3636363636</v>
      </c>
      <c r="L5309" s="62">
        <f t="shared" si="2"/>
        <v>3.181818182</v>
      </c>
    </row>
    <row r="5310">
      <c r="A5310" s="58">
        <v>45748.0</v>
      </c>
      <c r="B5310" s="24" t="s">
        <v>6789</v>
      </c>
      <c r="C5310" s="24" t="s">
        <v>7180</v>
      </c>
      <c r="D5310" s="59">
        <v>9.0</v>
      </c>
      <c r="E5310" s="59">
        <v>10.0</v>
      </c>
      <c r="F5310" s="59">
        <v>7.0</v>
      </c>
      <c r="G5310" s="60">
        <v>1.11111111111111</v>
      </c>
      <c r="H5310" s="60">
        <v>0.5</v>
      </c>
      <c r="I5310" s="60">
        <v>201.922702699999</v>
      </c>
      <c r="J5310" s="59">
        <v>70.0</v>
      </c>
      <c r="K5310" s="61">
        <f t="shared" si="1"/>
        <v>0.7</v>
      </c>
      <c r="L5310" s="62">
        <f t="shared" si="2"/>
        <v>7</v>
      </c>
    </row>
    <row r="5311">
      <c r="A5311" s="58">
        <v>45748.0</v>
      </c>
      <c r="B5311" s="24" t="s">
        <v>6787</v>
      </c>
      <c r="C5311" s="24" t="s">
        <v>6797</v>
      </c>
      <c r="D5311" s="59">
        <v>9.0</v>
      </c>
      <c r="E5311" s="59">
        <v>11.0</v>
      </c>
      <c r="F5311" s="59">
        <v>6.0</v>
      </c>
      <c r="G5311" s="60">
        <v>1.22222222222222</v>
      </c>
      <c r="H5311" s="60">
        <v>0.363636363636363</v>
      </c>
      <c r="I5311" s="60">
        <v>464.125792454545</v>
      </c>
      <c r="J5311" s="59">
        <v>22.0</v>
      </c>
      <c r="K5311" s="61">
        <f t="shared" si="1"/>
        <v>0.5454545455</v>
      </c>
      <c r="L5311" s="62">
        <f t="shared" si="2"/>
        <v>2</v>
      </c>
    </row>
    <row r="5312">
      <c r="A5312" s="58">
        <v>45748.0</v>
      </c>
      <c r="B5312" s="24" t="s">
        <v>6787</v>
      </c>
      <c r="C5312" s="24" t="s">
        <v>6872</v>
      </c>
      <c r="D5312" s="59">
        <v>8.0</v>
      </c>
      <c r="E5312" s="59">
        <v>9.0</v>
      </c>
      <c r="F5312" s="59">
        <v>7.0</v>
      </c>
      <c r="G5312" s="60">
        <v>1.125</v>
      </c>
      <c r="H5312" s="60">
        <v>0.555555555555555</v>
      </c>
      <c r="I5312" s="60">
        <v>81.0096458888888</v>
      </c>
      <c r="J5312" s="59">
        <v>10.0</v>
      </c>
      <c r="K5312" s="61">
        <f t="shared" si="1"/>
        <v>0.7777777778</v>
      </c>
      <c r="L5312" s="62">
        <f t="shared" si="2"/>
        <v>1.111111111</v>
      </c>
    </row>
    <row r="5313">
      <c r="A5313" s="58">
        <v>45748.0</v>
      </c>
      <c r="B5313" s="24" t="s">
        <v>6789</v>
      </c>
      <c r="C5313" s="24" t="s">
        <v>6898</v>
      </c>
      <c r="D5313" s="59">
        <v>8.0</v>
      </c>
      <c r="E5313" s="59">
        <v>9.0</v>
      </c>
      <c r="F5313" s="59">
        <v>6.0</v>
      </c>
      <c r="G5313" s="60">
        <v>1.125</v>
      </c>
      <c r="H5313" s="60">
        <v>0.444444444444444</v>
      </c>
      <c r="I5313" s="60">
        <v>125.319444555555</v>
      </c>
      <c r="J5313" s="59">
        <v>17.0</v>
      </c>
      <c r="K5313" s="61">
        <f t="shared" si="1"/>
        <v>0.6666666667</v>
      </c>
      <c r="L5313" s="62">
        <f t="shared" si="2"/>
        <v>1.888888889</v>
      </c>
    </row>
    <row r="5314">
      <c r="A5314" s="58">
        <v>45748.0</v>
      </c>
      <c r="B5314" s="24" t="s">
        <v>3216</v>
      </c>
      <c r="C5314" s="24" t="s">
        <v>7189</v>
      </c>
      <c r="D5314" s="59">
        <v>8.0</v>
      </c>
      <c r="E5314" s="59">
        <v>8.0</v>
      </c>
      <c r="F5314" s="59">
        <v>8.0</v>
      </c>
      <c r="G5314" s="60">
        <v>1.0</v>
      </c>
      <c r="H5314" s="60">
        <v>1.0</v>
      </c>
      <c r="I5314" s="60">
        <v>0.0</v>
      </c>
      <c r="J5314" s="59">
        <v>8.0</v>
      </c>
      <c r="K5314" s="61">
        <f t="shared" si="1"/>
        <v>1</v>
      </c>
      <c r="L5314" s="62">
        <f t="shared" si="2"/>
        <v>1</v>
      </c>
    </row>
    <row r="5315">
      <c r="A5315" s="58">
        <v>45748.0</v>
      </c>
      <c r="B5315" s="24" t="s">
        <v>6787</v>
      </c>
      <c r="C5315" s="24" t="s">
        <v>6800</v>
      </c>
      <c r="D5315" s="59">
        <v>8.0</v>
      </c>
      <c r="E5315" s="59">
        <v>8.0</v>
      </c>
      <c r="F5315" s="59">
        <v>7.0</v>
      </c>
      <c r="G5315" s="60">
        <v>1.0</v>
      </c>
      <c r="H5315" s="60">
        <v>0.875</v>
      </c>
      <c r="I5315" s="60">
        <v>1.89487349999999</v>
      </c>
      <c r="J5315" s="59">
        <v>8.0</v>
      </c>
      <c r="K5315" s="61">
        <f t="shared" si="1"/>
        <v>0.875</v>
      </c>
      <c r="L5315" s="62">
        <f t="shared" si="2"/>
        <v>1</v>
      </c>
    </row>
    <row r="5316">
      <c r="A5316" s="58">
        <v>45748.0</v>
      </c>
      <c r="B5316" s="24" t="s">
        <v>6787</v>
      </c>
      <c r="C5316" s="24" t="s">
        <v>6809</v>
      </c>
      <c r="D5316" s="59">
        <v>8.0</v>
      </c>
      <c r="E5316" s="59">
        <v>8.0</v>
      </c>
      <c r="F5316" s="59">
        <v>8.0</v>
      </c>
      <c r="G5316" s="60">
        <v>1.0</v>
      </c>
      <c r="H5316" s="60">
        <v>0.75</v>
      </c>
      <c r="I5316" s="60">
        <v>149.33542125</v>
      </c>
      <c r="J5316" s="59">
        <v>8.0</v>
      </c>
      <c r="K5316" s="61">
        <f t="shared" si="1"/>
        <v>1</v>
      </c>
      <c r="L5316" s="62">
        <f t="shared" si="2"/>
        <v>1</v>
      </c>
    </row>
    <row r="5317">
      <c r="A5317" s="58">
        <v>45748.0</v>
      </c>
      <c r="B5317" s="24" t="s">
        <v>3216</v>
      </c>
      <c r="C5317" s="24" t="s">
        <v>6801</v>
      </c>
      <c r="D5317" s="59">
        <v>8.0</v>
      </c>
      <c r="E5317" s="59">
        <v>8.0</v>
      </c>
      <c r="F5317" s="59">
        <v>8.0</v>
      </c>
      <c r="G5317" s="60">
        <v>1.0</v>
      </c>
      <c r="H5317" s="60">
        <v>1.0</v>
      </c>
      <c r="I5317" s="60">
        <v>0.0</v>
      </c>
      <c r="J5317" s="59">
        <v>8.0</v>
      </c>
      <c r="K5317" s="61">
        <f t="shared" si="1"/>
        <v>1</v>
      </c>
      <c r="L5317" s="62">
        <f t="shared" si="2"/>
        <v>1</v>
      </c>
    </row>
    <row r="5318">
      <c r="A5318" s="58">
        <v>45748.0</v>
      </c>
      <c r="B5318" s="24" t="s">
        <v>6789</v>
      </c>
      <c r="C5318" s="24" t="s">
        <v>7102</v>
      </c>
      <c r="D5318" s="59">
        <v>8.0</v>
      </c>
      <c r="E5318" s="59">
        <v>8.0</v>
      </c>
      <c r="F5318" s="59">
        <v>5.0</v>
      </c>
      <c r="G5318" s="60">
        <v>1.0</v>
      </c>
      <c r="H5318" s="60">
        <v>0.125</v>
      </c>
      <c r="I5318" s="60">
        <v>613.513438125</v>
      </c>
      <c r="J5318" s="59">
        <v>29.0</v>
      </c>
      <c r="K5318" s="61">
        <f t="shared" si="1"/>
        <v>0.625</v>
      </c>
      <c r="L5318" s="62">
        <f t="shared" si="2"/>
        <v>3.625</v>
      </c>
    </row>
    <row r="5319">
      <c r="A5319" s="58">
        <v>45748.0</v>
      </c>
      <c r="B5319" s="24" t="s">
        <v>6789</v>
      </c>
      <c r="C5319" s="24" t="s">
        <v>6997</v>
      </c>
      <c r="D5319" s="59">
        <v>7.0</v>
      </c>
      <c r="E5319" s="59">
        <v>7.0</v>
      </c>
      <c r="F5319" s="59">
        <v>6.0</v>
      </c>
      <c r="G5319" s="60">
        <v>1.0</v>
      </c>
      <c r="H5319" s="60">
        <v>0.428571428571428</v>
      </c>
      <c r="I5319" s="60">
        <v>135.041377857142</v>
      </c>
      <c r="J5319" s="59">
        <v>10.0</v>
      </c>
      <c r="K5319" s="61">
        <f t="shared" si="1"/>
        <v>0.8571428571</v>
      </c>
      <c r="L5319" s="62">
        <f t="shared" si="2"/>
        <v>1.428571429</v>
      </c>
    </row>
    <row r="5320">
      <c r="A5320" s="58">
        <v>45748.0</v>
      </c>
      <c r="B5320" s="24" t="s">
        <v>6787</v>
      </c>
      <c r="C5320" s="24" t="s">
        <v>6904</v>
      </c>
      <c r="D5320" s="59">
        <v>7.0</v>
      </c>
      <c r="E5320" s="59">
        <v>9.0</v>
      </c>
      <c r="F5320" s="59">
        <v>5.0</v>
      </c>
      <c r="G5320" s="60">
        <v>1.28571428571428</v>
      </c>
      <c r="H5320" s="60">
        <v>0.555555555555555</v>
      </c>
      <c r="I5320" s="60">
        <v>109.661445555555</v>
      </c>
      <c r="J5320" s="59">
        <v>15.0</v>
      </c>
      <c r="K5320" s="61">
        <f t="shared" si="1"/>
        <v>0.5555555556</v>
      </c>
      <c r="L5320" s="62">
        <f t="shared" si="2"/>
        <v>1.666666667</v>
      </c>
    </row>
    <row r="5321">
      <c r="A5321" s="58">
        <v>45748.0</v>
      </c>
      <c r="B5321" s="24" t="s">
        <v>7100</v>
      </c>
      <c r="C5321" s="24" t="s">
        <v>6910</v>
      </c>
      <c r="D5321" s="59">
        <v>7.0</v>
      </c>
      <c r="E5321" s="59">
        <v>7.0</v>
      </c>
      <c r="F5321" s="59">
        <v>7.0</v>
      </c>
      <c r="G5321" s="60">
        <v>1.0</v>
      </c>
      <c r="H5321" s="60">
        <v>0.857142857142857</v>
      </c>
      <c r="I5321" s="60">
        <v>5.39355228571428</v>
      </c>
      <c r="J5321" s="59">
        <v>7.0</v>
      </c>
      <c r="K5321" s="61">
        <f t="shared" si="1"/>
        <v>1</v>
      </c>
      <c r="L5321" s="62">
        <f t="shared" si="2"/>
        <v>1</v>
      </c>
    </row>
    <row r="5322">
      <c r="A5322" s="58">
        <v>45748.0</v>
      </c>
      <c r="B5322" s="24" t="s">
        <v>6789</v>
      </c>
      <c r="C5322" s="24" t="s">
        <v>6801</v>
      </c>
      <c r="D5322" s="59">
        <v>7.0</v>
      </c>
      <c r="E5322" s="59">
        <v>7.0</v>
      </c>
      <c r="F5322" s="59">
        <v>5.0</v>
      </c>
      <c r="G5322" s="60">
        <v>1.16666666666666</v>
      </c>
      <c r="H5322" s="60">
        <v>0.285714285714285</v>
      </c>
      <c r="I5322" s="60">
        <v>308.199623857142</v>
      </c>
      <c r="J5322" s="59">
        <v>15.0</v>
      </c>
      <c r="K5322" s="61">
        <f t="shared" si="1"/>
        <v>0.7142857143</v>
      </c>
      <c r="L5322" s="62">
        <f t="shared" si="2"/>
        <v>2.142857143</v>
      </c>
    </row>
    <row r="5323">
      <c r="A5323" s="58">
        <v>45748.0</v>
      </c>
      <c r="B5323" s="24" t="s">
        <v>6789</v>
      </c>
      <c r="C5323" s="24" t="s">
        <v>6803</v>
      </c>
      <c r="D5323" s="59">
        <v>6.0</v>
      </c>
      <c r="E5323" s="59">
        <v>7.0</v>
      </c>
      <c r="F5323" s="59">
        <v>3.0</v>
      </c>
      <c r="G5323" s="60">
        <v>1.4</v>
      </c>
      <c r="H5323" s="60">
        <v>0.571428571428571</v>
      </c>
      <c r="I5323" s="60">
        <v>169.931893142857</v>
      </c>
      <c r="J5323" s="59">
        <v>7.0</v>
      </c>
      <c r="K5323" s="61">
        <f t="shared" si="1"/>
        <v>0.4285714286</v>
      </c>
      <c r="L5323" s="62">
        <f t="shared" si="2"/>
        <v>1</v>
      </c>
    </row>
    <row r="5324">
      <c r="A5324" s="58">
        <v>45748.0</v>
      </c>
      <c r="B5324" s="24" t="s">
        <v>6789</v>
      </c>
      <c r="C5324" s="24" t="s">
        <v>7234</v>
      </c>
      <c r="D5324" s="59">
        <v>6.0</v>
      </c>
      <c r="E5324" s="59">
        <v>6.0</v>
      </c>
      <c r="F5324" s="59">
        <v>6.0</v>
      </c>
      <c r="G5324" s="60">
        <v>1.0</v>
      </c>
      <c r="H5324" s="60">
        <v>0.166666666666666</v>
      </c>
      <c r="I5324" s="60">
        <v>214.561827333333</v>
      </c>
      <c r="J5324" s="59">
        <v>13.0</v>
      </c>
      <c r="K5324" s="61">
        <f t="shared" si="1"/>
        <v>1</v>
      </c>
      <c r="L5324" s="62">
        <f t="shared" si="2"/>
        <v>2.166666667</v>
      </c>
    </row>
    <row r="5325">
      <c r="A5325" s="58">
        <v>45748.0</v>
      </c>
      <c r="B5325" s="24" t="s">
        <v>6789</v>
      </c>
      <c r="C5325" s="24" t="s">
        <v>6812</v>
      </c>
      <c r="D5325" s="59">
        <v>6.0</v>
      </c>
      <c r="E5325" s="59">
        <v>6.0</v>
      </c>
      <c r="F5325" s="59">
        <v>0.0</v>
      </c>
      <c r="G5325" s="60">
        <v>1.5</v>
      </c>
      <c r="H5325" s="60">
        <v>0.333333333333333</v>
      </c>
      <c r="I5325" s="60">
        <v>458.579104333333</v>
      </c>
      <c r="J5325" s="59">
        <v>19.0</v>
      </c>
      <c r="K5325" s="61">
        <f t="shared" si="1"/>
        <v>0</v>
      </c>
      <c r="L5325" s="62">
        <f t="shared" si="2"/>
        <v>3.166666667</v>
      </c>
    </row>
    <row r="5326">
      <c r="A5326" s="58">
        <v>45748.0</v>
      </c>
      <c r="B5326" s="24" t="s">
        <v>6787</v>
      </c>
      <c r="C5326" s="24" t="s">
        <v>6908</v>
      </c>
      <c r="D5326" s="59">
        <v>6.0</v>
      </c>
      <c r="E5326" s="59">
        <v>6.0</v>
      </c>
      <c r="F5326" s="59">
        <v>5.0</v>
      </c>
      <c r="G5326" s="60">
        <v>1.0</v>
      </c>
      <c r="H5326" s="60">
        <v>0.833333333333333</v>
      </c>
      <c r="I5326" s="60">
        <v>8.52833733333333</v>
      </c>
      <c r="J5326" s="59">
        <v>7.0</v>
      </c>
      <c r="K5326" s="61">
        <f t="shared" si="1"/>
        <v>0.8333333333</v>
      </c>
      <c r="L5326" s="62">
        <f t="shared" si="2"/>
        <v>1.166666667</v>
      </c>
    </row>
    <row r="5327">
      <c r="A5327" s="58">
        <v>45748.0</v>
      </c>
      <c r="B5327" s="24" t="s">
        <v>6787</v>
      </c>
      <c r="C5327" s="24" t="s">
        <v>7448</v>
      </c>
      <c r="D5327" s="59">
        <v>6.0</v>
      </c>
      <c r="E5327" s="59">
        <v>6.0</v>
      </c>
      <c r="F5327" s="59">
        <v>6.0</v>
      </c>
      <c r="G5327" s="60">
        <v>1.0</v>
      </c>
      <c r="H5327" s="60">
        <v>1.0</v>
      </c>
      <c r="I5327" s="60">
        <v>3.80808366666666</v>
      </c>
      <c r="J5327" s="59">
        <v>6.0</v>
      </c>
      <c r="K5327" s="61">
        <f t="shared" si="1"/>
        <v>1</v>
      </c>
      <c r="L5327" s="62">
        <f t="shared" si="2"/>
        <v>1</v>
      </c>
    </row>
    <row r="5328">
      <c r="A5328" s="58">
        <v>45748.0</v>
      </c>
      <c r="B5328" s="24" t="s">
        <v>6787</v>
      </c>
      <c r="C5328" s="24" t="s">
        <v>7106</v>
      </c>
      <c r="D5328" s="59">
        <v>6.0</v>
      </c>
      <c r="E5328" s="59">
        <v>6.0</v>
      </c>
      <c r="F5328" s="59">
        <v>6.0</v>
      </c>
      <c r="G5328" s="60">
        <v>1.0</v>
      </c>
      <c r="H5328" s="60">
        <v>0.833333333333333</v>
      </c>
      <c r="I5328" s="60">
        <v>6.64578916666666</v>
      </c>
      <c r="J5328" s="59">
        <v>6.0</v>
      </c>
      <c r="K5328" s="61">
        <f t="shared" si="1"/>
        <v>1</v>
      </c>
      <c r="L5328" s="62">
        <f t="shared" si="2"/>
        <v>1</v>
      </c>
    </row>
    <row r="5329">
      <c r="A5329" s="58">
        <v>45748.0</v>
      </c>
      <c r="B5329" s="24" t="s">
        <v>6789</v>
      </c>
      <c r="C5329" s="24" t="s">
        <v>6922</v>
      </c>
      <c r="D5329" s="59">
        <v>6.0</v>
      </c>
      <c r="E5329" s="59">
        <v>12.0</v>
      </c>
      <c r="F5329" s="59">
        <v>2.0</v>
      </c>
      <c r="G5329" s="60">
        <v>2.4</v>
      </c>
      <c r="H5329" s="60">
        <v>0.666666666666666</v>
      </c>
      <c r="I5329" s="60">
        <v>90.4530745</v>
      </c>
      <c r="J5329" s="59">
        <v>21.0</v>
      </c>
      <c r="K5329" s="61">
        <f t="shared" si="1"/>
        <v>0.1666666667</v>
      </c>
      <c r="L5329" s="62">
        <f t="shared" si="2"/>
        <v>1.75</v>
      </c>
    </row>
    <row r="5330">
      <c r="A5330" s="58">
        <v>45748.0</v>
      </c>
      <c r="B5330" s="24" t="s">
        <v>6787</v>
      </c>
      <c r="C5330" s="24" t="s">
        <v>6803</v>
      </c>
      <c r="D5330" s="59">
        <v>5.0</v>
      </c>
      <c r="E5330" s="59">
        <v>5.0</v>
      </c>
      <c r="F5330" s="59">
        <v>5.0</v>
      </c>
      <c r="G5330" s="60">
        <v>1.0</v>
      </c>
      <c r="H5330" s="60">
        <v>0.8</v>
      </c>
      <c r="I5330" s="60">
        <v>2.62982319999999</v>
      </c>
      <c r="J5330" s="59">
        <v>5.0</v>
      </c>
      <c r="K5330" s="61">
        <f t="shared" si="1"/>
        <v>1</v>
      </c>
      <c r="L5330" s="62">
        <f t="shared" si="2"/>
        <v>1</v>
      </c>
    </row>
    <row r="5331">
      <c r="A5331" s="58">
        <v>45748.0</v>
      </c>
      <c r="B5331" s="24" t="s">
        <v>6789</v>
      </c>
      <c r="C5331" s="24" t="s">
        <v>6829</v>
      </c>
      <c r="D5331" s="59">
        <v>5.0</v>
      </c>
      <c r="E5331" s="59">
        <v>5.0</v>
      </c>
      <c r="F5331" s="59">
        <v>5.0</v>
      </c>
      <c r="G5331" s="60">
        <v>1.0</v>
      </c>
      <c r="H5331" s="60">
        <v>0.4</v>
      </c>
      <c r="I5331" s="60">
        <v>277.599368</v>
      </c>
      <c r="J5331" s="59">
        <v>5.0</v>
      </c>
      <c r="K5331" s="61">
        <f t="shared" si="1"/>
        <v>1</v>
      </c>
      <c r="L5331" s="62">
        <f t="shared" si="2"/>
        <v>1</v>
      </c>
    </row>
    <row r="5332">
      <c r="A5332" s="58">
        <v>45748.0</v>
      </c>
      <c r="B5332" s="24" t="s">
        <v>6789</v>
      </c>
      <c r="C5332" s="24" t="s">
        <v>6985</v>
      </c>
      <c r="D5332" s="59">
        <v>5.0</v>
      </c>
      <c r="E5332" s="59">
        <v>5.0</v>
      </c>
      <c r="F5332" s="59">
        <v>4.0</v>
      </c>
      <c r="G5332" s="60">
        <v>1.0</v>
      </c>
      <c r="H5332" s="60">
        <v>0.6</v>
      </c>
      <c r="I5332" s="60">
        <v>15.804655</v>
      </c>
      <c r="J5332" s="59">
        <v>7.0</v>
      </c>
      <c r="K5332" s="61">
        <f t="shared" si="1"/>
        <v>0.8</v>
      </c>
      <c r="L5332" s="62">
        <f t="shared" si="2"/>
        <v>1.4</v>
      </c>
    </row>
    <row r="5333">
      <c r="A5333" s="58">
        <v>45748.0</v>
      </c>
      <c r="B5333" s="24" t="s">
        <v>6789</v>
      </c>
      <c r="C5333" s="24" t="s">
        <v>6819</v>
      </c>
      <c r="D5333" s="59">
        <v>5.0</v>
      </c>
      <c r="E5333" s="59">
        <v>5.0</v>
      </c>
      <c r="F5333" s="59">
        <v>5.0</v>
      </c>
      <c r="G5333" s="60">
        <v>1.0</v>
      </c>
      <c r="H5333" s="60">
        <v>0.4</v>
      </c>
      <c r="I5333" s="60">
        <v>26.4138004</v>
      </c>
      <c r="J5333" s="59">
        <v>5.0</v>
      </c>
      <c r="K5333" s="61">
        <f t="shared" si="1"/>
        <v>1</v>
      </c>
      <c r="L5333" s="62">
        <f t="shared" si="2"/>
        <v>1</v>
      </c>
    </row>
    <row r="5334">
      <c r="A5334" s="58">
        <v>45748.0</v>
      </c>
      <c r="B5334" s="24" t="s">
        <v>6789</v>
      </c>
      <c r="C5334" s="24" t="s">
        <v>7021</v>
      </c>
      <c r="D5334" s="59">
        <v>5.0</v>
      </c>
      <c r="E5334" s="59">
        <v>5.0</v>
      </c>
      <c r="F5334" s="59">
        <v>1.0</v>
      </c>
      <c r="G5334" s="60">
        <v>1.0</v>
      </c>
      <c r="H5334" s="60">
        <v>0.6</v>
      </c>
      <c r="I5334" s="60">
        <v>103.5720106</v>
      </c>
      <c r="J5334" s="59">
        <v>8.0</v>
      </c>
      <c r="K5334" s="61">
        <f t="shared" si="1"/>
        <v>0.2</v>
      </c>
      <c r="L5334" s="62">
        <f t="shared" si="2"/>
        <v>1.6</v>
      </c>
    </row>
    <row r="5335">
      <c r="A5335" s="58">
        <v>45748.0</v>
      </c>
      <c r="B5335" s="24" t="s">
        <v>6787</v>
      </c>
      <c r="C5335" s="24" t="s">
        <v>7077</v>
      </c>
      <c r="D5335" s="59">
        <v>5.0</v>
      </c>
      <c r="E5335" s="59">
        <v>5.0</v>
      </c>
      <c r="F5335" s="59">
        <v>5.0</v>
      </c>
      <c r="G5335" s="60">
        <v>1.0</v>
      </c>
      <c r="H5335" s="60">
        <v>0.6</v>
      </c>
      <c r="I5335" s="60">
        <v>189.875497</v>
      </c>
      <c r="J5335" s="59">
        <v>6.0</v>
      </c>
      <c r="K5335" s="61">
        <f t="shared" si="1"/>
        <v>1</v>
      </c>
      <c r="L5335" s="62">
        <f t="shared" si="2"/>
        <v>1.2</v>
      </c>
    </row>
    <row r="5336">
      <c r="A5336" s="58">
        <v>45748.0</v>
      </c>
      <c r="B5336" s="24" t="s">
        <v>6789</v>
      </c>
      <c r="C5336" s="24" t="s">
        <v>7236</v>
      </c>
      <c r="D5336" s="59">
        <v>5.0</v>
      </c>
      <c r="E5336" s="59">
        <v>5.0</v>
      </c>
      <c r="F5336" s="59">
        <v>4.0</v>
      </c>
      <c r="G5336" s="60">
        <v>1.0</v>
      </c>
      <c r="H5336" s="60">
        <v>0.0</v>
      </c>
      <c r="I5336" s="60">
        <v>208.009104</v>
      </c>
      <c r="J5336" s="59">
        <v>23.0</v>
      </c>
      <c r="K5336" s="61">
        <f t="shared" si="1"/>
        <v>0.8</v>
      </c>
      <c r="L5336" s="62">
        <f t="shared" si="2"/>
        <v>4.6</v>
      </c>
    </row>
    <row r="5337">
      <c r="A5337" s="58">
        <v>45748.0</v>
      </c>
      <c r="B5337" s="24" t="s">
        <v>6789</v>
      </c>
      <c r="C5337" s="24" t="s">
        <v>7443</v>
      </c>
      <c r="D5337" s="59">
        <v>5.0</v>
      </c>
      <c r="E5337" s="59">
        <v>6.0</v>
      </c>
      <c r="F5337" s="59">
        <v>0.0</v>
      </c>
      <c r="G5337" s="60">
        <v>1.2</v>
      </c>
      <c r="H5337" s="60">
        <v>0.666666666666666</v>
      </c>
      <c r="I5337" s="60">
        <v>5.92653166666666</v>
      </c>
      <c r="J5337" s="59">
        <v>8.0</v>
      </c>
      <c r="K5337" s="61">
        <f t="shared" si="1"/>
        <v>0</v>
      </c>
      <c r="L5337" s="62">
        <f t="shared" si="2"/>
        <v>1.333333333</v>
      </c>
    </row>
    <row r="5338">
      <c r="A5338" s="58">
        <v>45748.0</v>
      </c>
      <c r="B5338" s="24" t="s">
        <v>6790</v>
      </c>
      <c r="C5338" s="24" t="s">
        <v>6910</v>
      </c>
      <c r="D5338" s="59">
        <v>5.0</v>
      </c>
      <c r="E5338" s="59">
        <v>5.0</v>
      </c>
      <c r="F5338" s="59">
        <v>5.0</v>
      </c>
      <c r="G5338" s="60">
        <v>1.0</v>
      </c>
      <c r="H5338" s="60">
        <v>0.6</v>
      </c>
      <c r="I5338" s="60">
        <v>5.4595454</v>
      </c>
      <c r="J5338" s="59">
        <v>5.0</v>
      </c>
      <c r="K5338" s="61">
        <f t="shared" si="1"/>
        <v>1</v>
      </c>
      <c r="L5338" s="62">
        <f t="shared" si="2"/>
        <v>1</v>
      </c>
    </row>
    <row r="5339">
      <c r="A5339" s="58">
        <v>45748.0</v>
      </c>
      <c r="B5339" s="24" t="s">
        <v>6789</v>
      </c>
      <c r="C5339" s="24" t="s">
        <v>6851</v>
      </c>
      <c r="D5339" s="59">
        <v>5.0</v>
      </c>
      <c r="E5339" s="59">
        <v>8.0</v>
      </c>
      <c r="F5339" s="59">
        <v>0.0</v>
      </c>
      <c r="G5339" s="60">
        <v>1.6</v>
      </c>
      <c r="H5339" s="60">
        <v>0.5</v>
      </c>
      <c r="I5339" s="60">
        <v>46.545696625</v>
      </c>
      <c r="J5339" s="59">
        <v>15.0</v>
      </c>
      <c r="K5339" s="61">
        <f t="shared" si="1"/>
        <v>0</v>
      </c>
      <c r="L5339" s="62">
        <f t="shared" si="2"/>
        <v>1.875</v>
      </c>
    </row>
    <row r="5340">
      <c r="A5340" s="58">
        <v>45748.0</v>
      </c>
      <c r="B5340" s="24" t="s">
        <v>6787</v>
      </c>
      <c r="C5340" s="24" t="s">
        <v>7102</v>
      </c>
      <c r="D5340" s="59">
        <v>5.0</v>
      </c>
      <c r="E5340" s="59">
        <v>6.0</v>
      </c>
      <c r="F5340" s="59">
        <v>4.0</v>
      </c>
      <c r="G5340" s="60">
        <v>1.2</v>
      </c>
      <c r="H5340" s="60">
        <v>0.666666666666666</v>
      </c>
      <c r="I5340" s="60">
        <v>186.0440455</v>
      </c>
      <c r="J5340" s="59">
        <v>10.0</v>
      </c>
      <c r="K5340" s="61">
        <f t="shared" si="1"/>
        <v>0.6666666667</v>
      </c>
      <c r="L5340" s="62">
        <f t="shared" si="2"/>
        <v>1.666666667</v>
      </c>
    </row>
    <row r="5341">
      <c r="A5341" s="58">
        <v>45748.0</v>
      </c>
      <c r="B5341" s="24" t="s">
        <v>6789</v>
      </c>
      <c r="C5341" s="24" t="s">
        <v>6852</v>
      </c>
      <c r="D5341" s="59">
        <v>5.0</v>
      </c>
      <c r="E5341" s="59">
        <v>5.0</v>
      </c>
      <c r="F5341" s="59">
        <v>0.0</v>
      </c>
      <c r="G5341" s="60">
        <v>1.25</v>
      </c>
      <c r="H5341" s="60">
        <v>0.4</v>
      </c>
      <c r="I5341" s="60">
        <v>187.547167</v>
      </c>
      <c r="J5341" s="59">
        <v>9.0</v>
      </c>
      <c r="K5341" s="61">
        <f t="shared" si="1"/>
        <v>0</v>
      </c>
      <c r="L5341" s="62">
        <f t="shared" si="2"/>
        <v>1.8</v>
      </c>
    </row>
    <row r="5342">
      <c r="A5342" s="58">
        <v>45748.0</v>
      </c>
      <c r="B5342" s="24" t="s">
        <v>6787</v>
      </c>
      <c r="C5342" s="24" t="s">
        <v>6922</v>
      </c>
      <c r="D5342" s="59">
        <v>5.0</v>
      </c>
      <c r="E5342" s="59">
        <v>5.0</v>
      </c>
      <c r="F5342" s="59">
        <v>4.0</v>
      </c>
      <c r="G5342" s="60">
        <v>1.25</v>
      </c>
      <c r="H5342" s="60">
        <v>0.8</v>
      </c>
      <c r="I5342" s="60">
        <v>3.1020612</v>
      </c>
      <c r="J5342" s="59">
        <v>5.0</v>
      </c>
      <c r="K5342" s="61">
        <f t="shared" si="1"/>
        <v>0.8</v>
      </c>
      <c r="L5342" s="62">
        <f t="shared" si="2"/>
        <v>1</v>
      </c>
    </row>
    <row r="5343">
      <c r="A5343" s="58">
        <v>45748.0</v>
      </c>
      <c r="B5343" s="24" t="s">
        <v>6787</v>
      </c>
      <c r="C5343" s="24" t="s">
        <v>6854</v>
      </c>
      <c r="D5343" s="59">
        <v>5.0</v>
      </c>
      <c r="E5343" s="59">
        <v>7.0</v>
      </c>
      <c r="F5343" s="59">
        <v>5.0</v>
      </c>
      <c r="G5343" s="60">
        <v>1.4</v>
      </c>
      <c r="H5343" s="60">
        <v>0.428571428571428</v>
      </c>
      <c r="I5343" s="60">
        <v>273.280712428571</v>
      </c>
      <c r="J5343" s="59">
        <v>8.0</v>
      </c>
      <c r="K5343" s="61">
        <f t="shared" si="1"/>
        <v>0.7142857143</v>
      </c>
      <c r="L5343" s="62">
        <f t="shared" si="2"/>
        <v>1.142857143</v>
      </c>
    </row>
    <row r="5344">
      <c r="A5344" s="58">
        <v>45748.0</v>
      </c>
      <c r="B5344" s="24" t="s">
        <v>6789</v>
      </c>
      <c r="C5344" s="24" t="s">
        <v>6854</v>
      </c>
      <c r="D5344" s="59">
        <v>5.0</v>
      </c>
      <c r="E5344" s="59">
        <v>6.0</v>
      </c>
      <c r="F5344" s="59">
        <v>1.0</v>
      </c>
      <c r="G5344" s="60">
        <v>1.5</v>
      </c>
      <c r="H5344" s="60">
        <v>0.666666666666666</v>
      </c>
      <c r="I5344" s="60">
        <v>107.663599833333</v>
      </c>
      <c r="J5344" s="59">
        <v>10.0</v>
      </c>
      <c r="K5344" s="61">
        <f t="shared" si="1"/>
        <v>0.1666666667</v>
      </c>
      <c r="L5344" s="62">
        <f t="shared" si="2"/>
        <v>1.666666667</v>
      </c>
    </row>
    <row r="5345">
      <c r="A5345" s="58">
        <v>45748.0</v>
      </c>
      <c r="B5345" s="24" t="s">
        <v>6787</v>
      </c>
      <c r="C5345" s="24" t="s">
        <v>6817</v>
      </c>
      <c r="D5345" s="59">
        <v>4.0</v>
      </c>
      <c r="E5345" s="59">
        <v>4.0</v>
      </c>
      <c r="F5345" s="59">
        <v>4.0</v>
      </c>
      <c r="G5345" s="60">
        <v>1.0</v>
      </c>
      <c r="H5345" s="60">
        <v>1.0</v>
      </c>
      <c r="I5345" s="60">
        <v>2.21628625</v>
      </c>
      <c r="J5345" s="59">
        <v>4.0</v>
      </c>
      <c r="K5345" s="61">
        <f t="shared" si="1"/>
        <v>1</v>
      </c>
      <c r="L5345" s="62">
        <f t="shared" si="2"/>
        <v>1</v>
      </c>
    </row>
    <row r="5346">
      <c r="A5346" s="58">
        <v>45748.0</v>
      </c>
      <c r="B5346" s="24" t="s">
        <v>6789</v>
      </c>
      <c r="C5346" s="24" t="s">
        <v>6817</v>
      </c>
      <c r="D5346" s="59">
        <v>4.0</v>
      </c>
      <c r="E5346" s="59">
        <v>6.0</v>
      </c>
      <c r="F5346" s="59">
        <v>2.0</v>
      </c>
      <c r="G5346" s="60">
        <v>1.5</v>
      </c>
      <c r="H5346" s="60">
        <v>0.333333333333333</v>
      </c>
      <c r="I5346" s="60">
        <v>1306.27558466666</v>
      </c>
      <c r="J5346" s="59">
        <v>27.0</v>
      </c>
      <c r="K5346" s="61">
        <f t="shared" si="1"/>
        <v>0.3333333333</v>
      </c>
      <c r="L5346" s="62">
        <f t="shared" si="2"/>
        <v>4.5</v>
      </c>
    </row>
    <row r="5347">
      <c r="A5347" s="58">
        <v>45748.0</v>
      </c>
      <c r="B5347" s="24" t="s">
        <v>6789</v>
      </c>
      <c r="C5347" s="24" t="s">
        <v>7058</v>
      </c>
      <c r="D5347" s="59">
        <v>4.0</v>
      </c>
      <c r="E5347" s="59">
        <v>5.0</v>
      </c>
      <c r="F5347" s="59">
        <v>3.0</v>
      </c>
      <c r="G5347" s="60">
        <v>1.66666666666666</v>
      </c>
      <c r="H5347" s="60">
        <v>1.0</v>
      </c>
      <c r="I5347" s="60">
        <v>0.0</v>
      </c>
      <c r="J5347" s="59">
        <v>5.0</v>
      </c>
      <c r="K5347" s="61">
        <f t="shared" si="1"/>
        <v>0.6</v>
      </c>
      <c r="L5347" s="62">
        <f t="shared" si="2"/>
        <v>1</v>
      </c>
    </row>
    <row r="5348">
      <c r="A5348" s="58">
        <v>45748.0</v>
      </c>
      <c r="B5348" s="24" t="s">
        <v>6789</v>
      </c>
      <c r="C5348" s="24" t="s">
        <v>6988</v>
      </c>
      <c r="D5348" s="59">
        <v>4.0</v>
      </c>
      <c r="E5348" s="59">
        <v>4.0</v>
      </c>
      <c r="F5348" s="59">
        <v>1.0</v>
      </c>
      <c r="G5348" s="60">
        <v>1.0</v>
      </c>
      <c r="H5348" s="60">
        <v>0.75</v>
      </c>
      <c r="I5348" s="60">
        <v>23.7746945</v>
      </c>
      <c r="J5348" s="59">
        <v>4.0</v>
      </c>
      <c r="K5348" s="61">
        <f t="shared" si="1"/>
        <v>0.25</v>
      </c>
      <c r="L5348" s="62">
        <f t="shared" si="2"/>
        <v>1</v>
      </c>
    </row>
    <row r="5349">
      <c r="A5349" s="58">
        <v>45748.0</v>
      </c>
      <c r="B5349" s="24" t="s">
        <v>6794</v>
      </c>
      <c r="C5349" s="24" t="s">
        <v>6872</v>
      </c>
      <c r="D5349" s="59">
        <v>4.0</v>
      </c>
      <c r="E5349" s="59">
        <v>6.0</v>
      </c>
      <c r="F5349" s="59">
        <v>4.0</v>
      </c>
      <c r="G5349" s="60">
        <v>1.5</v>
      </c>
      <c r="H5349" s="60">
        <v>0.833333333333333</v>
      </c>
      <c r="I5349" s="60">
        <v>8.17400366666666</v>
      </c>
      <c r="J5349" s="59">
        <v>7.0</v>
      </c>
      <c r="K5349" s="61">
        <f t="shared" si="1"/>
        <v>0.6666666667</v>
      </c>
      <c r="L5349" s="62">
        <f t="shared" si="2"/>
        <v>1.166666667</v>
      </c>
    </row>
    <row r="5350">
      <c r="A5350" s="58">
        <v>45748.0</v>
      </c>
      <c r="B5350" s="24" t="s">
        <v>3216</v>
      </c>
      <c r="C5350" s="24" t="s">
        <v>6882</v>
      </c>
      <c r="D5350" s="59">
        <v>4.0</v>
      </c>
      <c r="E5350" s="59">
        <v>5.0</v>
      </c>
      <c r="F5350" s="59">
        <v>4.0</v>
      </c>
      <c r="G5350" s="60">
        <v>1.25</v>
      </c>
      <c r="H5350" s="60">
        <v>1.0</v>
      </c>
      <c r="I5350" s="60">
        <v>1.052769</v>
      </c>
      <c r="J5350" s="59">
        <v>5.0</v>
      </c>
      <c r="K5350" s="61">
        <f t="shared" si="1"/>
        <v>0.8</v>
      </c>
      <c r="L5350" s="62">
        <f t="shared" si="2"/>
        <v>1</v>
      </c>
    </row>
    <row r="5351">
      <c r="A5351" s="58">
        <v>45748.0</v>
      </c>
      <c r="B5351" s="24" t="s">
        <v>6789</v>
      </c>
      <c r="C5351" s="24" t="s">
        <v>6835</v>
      </c>
      <c r="D5351" s="59">
        <v>4.0</v>
      </c>
      <c r="E5351" s="59">
        <v>4.0</v>
      </c>
      <c r="F5351" s="59">
        <v>4.0</v>
      </c>
      <c r="G5351" s="60">
        <v>1.0</v>
      </c>
      <c r="H5351" s="60">
        <v>0.25</v>
      </c>
      <c r="I5351" s="60">
        <v>455.671923</v>
      </c>
      <c r="J5351" s="59">
        <v>6.0</v>
      </c>
      <c r="K5351" s="61">
        <f t="shared" si="1"/>
        <v>1</v>
      </c>
      <c r="L5351" s="62">
        <f t="shared" si="2"/>
        <v>1.5</v>
      </c>
    </row>
    <row r="5352">
      <c r="A5352" s="58">
        <v>45748.0</v>
      </c>
      <c r="B5352" s="24" t="s">
        <v>6789</v>
      </c>
      <c r="C5352" s="24" t="s">
        <v>6994</v>
      </c>
      <c r="D5352" s="59">
        <v>4.0</v>
      </c>
      <c r="E5352" s="59">
        <v>4.0</v>
      </c>
      <c r="F5352" s="59">
        <v>4.0</v>
      </c>
      <c r="G5352" s="60">
        <v>1.0</v>
      </c>
      <c r="H5352" s="60">
        <v>0.25</v>
      </c>
      <c r="I5352" s="60">
        <v>233.1146315</v>
      </c>
      <c r="J5352" s="59">
        <v>6.0</v>
      </c>
      <c r="K5352" s="61">
        <f t="shared" si="1"/>
        <v>1</v>
      </c>
      <c r="L5352" s="62">
        <f t="shared" si="2"/>
        <v>1.5</v>
      </c>
    </row>
    <row r="5353">
      <c r="A5353" s="58">
        <v>45748.0</v>
      </c>
      <c r="B5353" s="24" t="s">
        <v>6787</v>
      </c>
      <c r="C5353" s="24" t="s">
        <v>6822</v>
      </c>
      <c r="D5353" s="59">
        <v>4.0</v>
      </c>
      <c r="E5353" s="59">
        <v>4.0</v>
      </c>
      <c r="F5353" s="59">
        <v>4.0</v>
      </c>
      <c r="G5353" s="60">
        <v>1.0</v>
      </c>
      <c r="H5353" s="60">
        <v>0.25</v>
      </c>
      <c r="I5353" s="60">
        <v>13.8434339999999</v>
      </c>
      <c r="J5353" s="59">
        <v>5.0</v>
      </c>
      <c r="K5353" s="61">
        <f t="shared" si="1"/>
        <v>1</v>
      </c>
      <c r="L5353" s="62">
        <f t="shared" si="2"/>
        <v>1.25</v>
      </c>
    </row>
    <row r="5354">
      <c r="A5354" s="58">
        <v>45748.0</v>
      </c>
      <c r="B5354" s="24" t="s">
        <v>6789</v>
      </c>
      <c r="C5354" s="24" t="s">
        <v>6807</v>
      </c>
      <c r="D5354" s="59">
        <v>4.0</v>
      </c>
      <c r="E5354" s="59">
        <v>4.0</v>
      </c>
      <c r="F5354" s="59">
        <v>3.0</v>
      </c>
      <c r="G5354" s="60">
        <v>1.0</v>
      </c>
      <c r="H5354" s="60">
        <v>0.25</v>
      </c>
      <c r="I5354" s="60">
        <v>283.380556499999</v>
      </c>
      <c r="J5354" s="59">
        <v>7.0</v>
      </c>
      <c r="K5354" s="61">
        <f t="shared" si="1"/>
        <v>0.75</v>
      </c>
      <c r="L5354" s="62">
        <f t="shared" si="2"/>
        <v>1.75</v>
      </c>
    </row>
    <row r="5355">
      <c r="A5355" s="58">
        <v>45748.0</v>
      </c>
      <c r="B5355" s="24" t="s">
        <v>6787</v>
      </c>
      <c r="C5355" s="24" t="s">
        <v>7449</v>
      </c>
      <c r="D5355" s="59">
        <v>4.0</v>
      </c>
      <c r="E5355" s="59">
        <v>5.0</v>
      </c>
      <c r="F5355" s="59">
        <v>1.0</v>
      </c>
      <c r="G5355" s="60">
        <v>1.25</v>
      </c>
      <c r="H5355" s="60">
        <v>0.6</v>
      </c>
      <c r="I5355" s="60">
        <v>41.7324132</v>
      </c>
      <c r="J5355" s="59">
        <v>7.0</v>
      </c>
      <c r="K5355" s="61">
        <f t="shared" si="1"/>
        <v>0.2</v>
      </c>
      <c r="L5355" s="62">
        <f t="shared" si="2"/>
        <v>1.4</v>
      </c>
    </row>
    <row r="5356">
      <c r="A5356" s="58">
        <v>45748.0</v>
      </c>
      <c r="B5356" s="24" t="s">
        <v>6789</v>
      </c>
      <c r="C5356" s="24" t="s">
        <v>6907</v>
      </c>
      <c r="D5356" s="59">
        <v>4.0</v>
      </c>
      <c r="E5356" s="59">
        <v>4.0</v>
      </c>
      <c r="F5356" s="59">
        <v>2.0</v>
      </c>
      <c r="G5356" s="60">
        <v>1.0</v>
      </c>
      <c r="H5356" s="60">
        <v>0.25</v>
      </c>
      <c r="I5356" s="60">
        <v>254.52401225</v>
      </c>
      <c r="J5356" s="59">
        <v>7.0</v>
      </c>
      <c r="K5356" s="61">
        <f t="shared" si="1"/>
        <v>0.5</v>
      </c>
      <c r="L5356" s="62">
        <f t="shared" si="2"/>
        <v>1.75</v>
      </c>
    </row>
    <row r="5357">
      <c r="A5357" s="58">
        <v>45748.0</v>
      </c>
      <c r="B5357" s="24" t="s">
        <v>7100</v>
      </c>
      <c r="C5357" s="24" t="s">
        <v>6809</v>
      </c>
      <c r="D5357" s="59">
        <v>4.0</v>
      </c>
      <c r="E5357" s="59">
        <v>4.0</v>
      </c>
      <c r="F5357" s="59">
        <v>4.0</v>
      </c>
      <c r="G5357" s="60">
        <v>1.0</v>
      </c>
      <c r="H5357" s="60">
        <v>1.0</v>
      </c>
      <c r="I5357" s="60">
        <v>6.325668</v>
      </c>
      <c r="J5357" s="59">
        <v>4.0</v>
      </c>
      <c r="K5357" s="61">
        <f t="shared" si="1"/>
        <v>1</v>
      </c>
      <c r="L5357" s="62">
        <f t="shared" si="2"/>
        <v>1</v>
      </c>
    </row>
    <row r="5358">
      <c r="A5358" s="58">
        <v>45748.0</v>
      </c>
      <c r="B5358" s="24" t="s">
        <v>6787</v>
      </c>
      <c r="C5358" s="24" t="s">
        <v>7313</v>
      </c>
      <c r="D5358" s="59">
        <v>4.0</v>
      </c>
      <c r="E5358" s="59">
        <v>4.0</v>
      </c>
      <c r="F5358" s="59">
        <v>4.0</v>
      </c>
      <c r="G5358" s="60">
        <v>1.0</v>
      </c>
      <c r="H5358" s="60">
        <v>0.75</v>
      </c>
      <c r="I5358" s="60">
        <v>6.06239974999999</v>
      </c>
      <c r="J5358" s="59">
        <v>4.0</v>
      </c>
      <c r="K5358" s="61">
        <f t="shared" si="1"/>
        <v>1</v>
      </c>
      <c r="L5358" s="62">
        <f t="shared" si="2"/>
        <v>1</v>
      </c>
    </row>
    <row r="5359">
      <c r="A5359" s="58">
        <v>45748.0</v>
      </c>
      <c r="B5359" s="24" t="s">
        <v>6787</v>
      </c>
      <c r="C5359" s="24" t="s">
        <v>7443</v>
      </c>
      <c r="D5359" s="59">
        <v>4.0</v>
      </c>
      <c r="E5359" s="59">
        <v>5.0</v>
      </c>
      <c r="F5359" s="59">
        <v>3.0</v>
      </c>
      <c r="G5359" s="60">
        <v>1.25</v>
      </c>
      <c r="H5359" s="60">
        <v>0.6</v>
      </c>
      <c r="I5359" s="60">
        <v>55.4050152</v>
      </c>
      <c r="J5359" s="59">
        <v>8.0</v>
      </c>
      <c r="K5359" s="61">
        <f t="shared" si="1"/>
        <v>0.6</v>
      </c>
      <c r="L5359" s="62">
        <f t="shared" si="2"/>
        <v>1.6</v>
      </c>
    </row>
    <row r="5360">
      <c r="A5360" s="58">
        <v>45748.0</v>
      </c>
      <c r="B5360" s="24" t="s">
        <v>6787</v>
      </c>
      <c r="C5360" s="24" t="s">
        <v>6801</v>
      </c>
      <c r="D5360" s="59">
        <v>4.0</v>
      </c>
      <c r="E5360" s="59">
        <v>4.0</v>
      </c>
      <c r="F5360" s="59">
        <v>3.0</v>
      </c>
      <c r="G5360" s="60">
        <v>1.0</v>
      </c>
      <c r="H5360" s="60">
        <v>0.5</v>
      </c>
      <c r="I5360" s="60">
        <v>105.85341225</v>
      </c>
      <c r="J5360" s="59">
        <v>6.0</v>
      </c>
      <c r="K5360" s="61">
        <f t="shared" si="1"/>
        <v>0.75</v>
      </c>
      <c r="L5360" s="62">
        <f t="shared" si="2"/>
        <v>1.5</v>
      </c>
    </row>
    <row r="5361">
      <c r="A5361" s="58">
        <v>45748.0</v>
      </c>
      <c r="B5361" s="24" t="s">
        <v>6789</v>
      </c>
      <c r="C5361" s="24" t="s">
        <v>6814</v>
      </c>
      <c r="D5361" s="59">
        <v>4.0</v>
      </c>
      <c r="E5361" s="59">
        <v>4.0</v>
      </c>
      <c r="F5361" s="59">
        <v>0.0</v>
      </c>
      <c r="G5361" s="60">
        <v>1.0</v>
      </c>
      <c r="H5361" s="60">
        <v>0.25</v>
      </c>
      <c r="I5361" s="60">
        <v>674.95332975</v>
      </c>
      <c r="J5361" s="59">
        <v>10.0</v>
      </c>
      <c r="K5361" s="61">
        <f t="shared" si="1"/>
        <v>0</v>
      </c>
      <c r="L5361" s="62">
        <f t="shared" si="2"/>
        <v>2.5</v>
      </c>
    </row>
    <row r="5362">
      <c r="A5362" s="58">
        <v>45748.0</v>
      </c>
      <c r="B5362" s="24" t="s">
        <v>6794</v>
      </c>
      <c r="C5362" s="24" t="s">
        <v>7426</v>
      </c>
      <c r="D5362" s="59">
        <v>4.0</v>
      </c>
      <c r="E5362" s="59">
        <v>6.0</v>
      </c>
      <c r="F5362" s="59">
        <v>3.0</v>
      </c>
      <c r="G5362" s="60">
        <v>2.0</v>
      </c>
      <c r="H5362" s="60">
        <v>0.666666666666666</v>
      </c>
      <c r="I5362" s="60">
        <v>16.1296086666666</v>
      </c>
      <c r="J5362" s="59">
        <v>7.0</v>
      </c>
      <c r="K5362" s="61">
        <f t="shared" si="1"/>
        <v>0.5</v>
      </c>
      <c r="L5362" s="62">
        <f t="shared" si="2"/>
        <v>1.166666667</v>
      </c>
    </row>
    <row r="5363">
      <c r="A5363" s="58">
        <v>45748.0</v>
      </c>
      <c r="B5363" s="24" t="s">
        <v>6787</v>
      </c>
      <c r="C5363" s="24" t="s">
        <v>6852</v>
      </c>
      <c r="D5363" s="59">
        <v>4.0</v>
      </c>
      <c r="E5363" s="59">
        <v>4.0</v>
      </c>
      <c r="F5363" s="59">
        <v>4.0</v>
      </c>
      <c r="G5363" s="60">
        <v>1.0</v>
      </c>
      <c r="H5363" s="60">
        <v>1.0</v>
      </c>
      <c r="I5363" s="60">
        <v>0.0</v>
      </c>
      <c r="J5363" s="59">
        <v>4.0</v>
      </c>
      <c r="K5363" s="61">
        <f t="shared" si="1"/>
        <v>1</v>
      </c>
      <c r="L5363" s="62">
        <f t="shared" si="2"/>
        <v>1</v>
      </c>
    </row>
    <row r="5364">
      <c r="A5364" s="58">
        <v>45748.0</v>
      </c>
      <c r="B5364" s="24" t="s">
        <v>6787</v>
      </c>
      <c r="C5364" s="24" t="s">
        <v>6931</v>
      </c>
      <c r="D5364" s="59">
        <v>4.0</v>
      </c>
      <c r="E5364" s="59">
        <v>4.0</v>
      </c>
      <c r="F5364" s="59">
        <v>4.0</v>
      </c>
      <c r="G5364" s="60">
        <v>1.0</v>
      </c>
      <c r="H5364" s="60">
        <v>0.75</v>
      </c>
      <c r="I5364" s="60">
        <v>306.475015</v>
      </c>
      <c r="J5364" s="59">
        <v>5.0</v>
      </c>
      <c r="K5364" s="61">
        <f t="shared" si="1"/>
        <v>1</v>
      </c>
      <c r="L5364" s="62">
        <f t="shared" si="2"/>
        <v>1.25</v>
      </c>
    </row>
    <row r="5365">
      <c r="A5365" s="58">
        <v>45748.0</v>
      </c>
      <c r="B5365" s="24" t="s">
        <v>6789</v>
      </c>
      <c r="C5365" s="24" t="s">
        <v>6953</v>
      </c>
      <c r="D5365" s="59">
        <v>3.0</v>
      </c>
      <c r="E5365" s="59">
        <v>3.0</v>
      </c>
      <c r="F5365" s="59">
        <v>3.0</v>
      </c>
      <c r="G5365" s="60">
        <v>1.0</v>
      </c>
      <c r="H5365" s="60">
        <v>0.666666666666666</v>
      </c>
      <c r="I5365" s="60">
        <v>119.763864666666</v>
      </c>
      <c r="J5365" s="59">
        <v>3.0</v>
      </c>
      <c r="K5365" s="61">
        <f t="shared" si="1"/>
        <v>1</v>
      </c>
      <c r="L5365" s="62">
        <f t="shared" si="2"/>
        <v>1</v>
      </c>
    </row>
    <row r="5366">
      <c r="A5366" s="58">
        <v>45748.0</v>
      </c>
      <c r="B5366" s="24" t="s">
        <v>6787</v>
      </c>
      <c r="C5366" s="24" t="s">
        <v>6804</v>
      </c>
      <c r="D5366" s="59">
        <v>3.0</v>
      </c>
      <c r="E5366" s="59">
        <v>3.0</v>
      </c>
      <c r="F5366" s="59">
        <v>3.0</v>
      </c>
      <c r="G5366" s="60">
        <v>1.0</v>
      </c>
      <c r="H5366" s="60">
        <v>0.0</v>
      </c>
      <c r="I5366" s="60">
        <v>97.524523</v>
      </c>
      <c r="J5366" s="59">
        <v>3.0</v>
      </c>
      <c r="K5366" s="61">
        <f t="shared" si="1"/>
        <v>1</v>
      </c>
      <c r="L5366" s="62">
        <f t="shared" si="2"/>
        <v>1</v>
      </c>
    </row>
    <row r="5367">
      <c r="A5367" s="58">
        <v>45748.0</v>
      </c>
      <c r="B5367" s="24" t="s">
        <v>155</v>
      </c>
      <c r="C5367" s="24" t="s">
        <v>6804</v>
      </c>
      <c r="D5367" s="59">
        <v>3.0</v>
      </c>
      <c r="E5367" s="59">
        <v>3.0</v>
      </c>
      <c r="F5367" s="59">
        <v>3.0</v>
      </c>
      <c r="G5367" s="60">
        <v>1.0</v>
      </c>
      <c r="H5367" s="60">
        <v>0.666666666666666</v>
      </c>
      <c r="I5367" s="60">
        <v>590.401017333333</v>
      </c>
      <c r="J5367" s="59">
        <v>3.0</v>
      </c>
      <c r="K5367" s="61">
        <f t="shared" si="1"/>
        <v>1</v>
      </c>
      <c r="L5367" s="62">
        <f t="shared" si="2"/>
        <v>1</v>
      </c>
    </row>
    <row r="5368">
      <c r="A5368" s="58">
        <v>45748.0</v>
      </c>
      <c r="B5368" s="24" t="s">
        <v>6787</v>
      </c>
      <c r="C5368" s="24" t="s">
        <v>6819</v>
      </c>
      <c r="D5368" s="59">
        <v>3.0</v>
      </c>
      <c r="E5368" s="59">
        <v>3.0</v>
      </c>
      <c r="F5368" s="59">
        <v>3.0</v>
      </c>
      <c r="G5368" s="60">
        <v>1.0</v>
      </c>
      <c r="H5368" s="60">
        <v>0.666666666666666</v>
      </c>
      <c r="I5368" s="60">
        <v>21.7855596666666</v>
      </c>
      <c r="J5368" s="59">
        <v>3.0</v>
      </c>
      <c r="K5368" s="61">
        <f t="shared" si="1"/>
        <v>1</v>
      </c>
      <c r="L5368" s="62">
        <f t="shared" si="2"/>
        <v>1</v>
      </c>
    </row>
    <row r="5369">
      <c r="A5369" s="58">
        <v>45748.0</v>
      </c>
      <c r="B5369" s="24" t="s">
        <v>6787</v>
      </c>
      <c r="C5369" s="24" t="s">
        <v>6882</v>
      </c>
      <c r="D5369" s="59">
        <v>3.0</v>
      </c>
      <c r="E5369" s="59">
        <v>3.0</v>
      </c>
      <c r="F5369" s="59">
        <v>3.0</v>
      </c>
      <c r="G5369" s="60">
        <v>1.0</v>
      </c>
      <c r="H5369" s="60">
        <v>0.333333333333333</v>
      </c>
      <c r="I5369" s="60">
        <v>45.5436133333333</v>
      </c>
      <c r="J5369" s="59">
        <v>3.0</v>
      </c>
      <c r="K5369" s="61">
        <f t="shared" si="1"/>
        <v>1</v>
      </c>
      <c r="L5369" s="62">
        <f t="shared" si="2"/>
        <v>1</v>
      </c>
    </row>
    <row r="5370">
      <c r="A5370" s="58">
        <v>45748.0</v>
      </c>
      <c r="B5370" s="24" t="s">
        <v>155</v>
      </c>
      <c r="C5370" s="24" t="s">
        <v>6886</v>
      </c>
      <c r="D5370" s="59">
        <v>3.0</v>
      </c>
      <c r="E5370" s="59">
        <v>5.0</v>
      </c>
      <c r="F5370" s="59">
        <v>0.0</v>
      </c>
      <c r="G5370" s="60">
        <v>1.66666666666666</v>
      </c>
      <c r="H5370" s="60">
        <v>0.4</v>
      </c>
      <c r="I5370" s="60">
        <v>922.9052984</v>
      </c>
      <c r="J5370" s="59">
        <v>21.0</v>
      </c>
      <c r="K5370" s="61">
        <f t="shared" si="1"/>
        <v>0</v>
      </c>
      <c r="L5370" s="62">
        <f t="shared" si="2"/>
        <v>4.2</v>
      </c>
    </row>
    <row r="5371">
      <c r="A5371" s="58">
        <v>45748.0</v>
      </c>
      <c r="B5371" s="24" t="s">
        <v>6787</v>
      </c>
      <c r="C5371" s="24" t="s">
        <v>6820</v>
      </c>
      <c r="D5371" s="59">
        <v>3.0</v>
      </c>
      <c r="E5371" s="59">
        <v>3.0</v>
      </c>
      <c r="F5371" s="59">
        <v>3.0</v>
      </c>
      <c r="G5371" s="60">
        <v>1.0</v>
      </c>
      <c r="H5371" s="60">
        <v>0.666666666666666</v>
      </c>
      <c r="I5371" s="60">
        <v>4.641874</v>
      </c>
      <c r="J5371" s="59">
        <v>3.0</v>
      </c>
      <c r="K5371" s="61">
        <f t="shared" si="1"/>
        <v>1</v>
      </c>
      <c r="L5371" s="62">
        <f t="shared" si="2"/>
        <v>1</v>
      </c>
    </row>
    <row r="5372">
      <c r="A5372" s="58">
        <v>45748.0</v>
      </c>
      <c r="B5372" s="24" t="s">
        <v>6787</v>
      </c>
      <c r="C5372" s="24" t="s">
        <v>6838</v>
      </c>
      <c r="D5372" s="59">
        <v>3.0</v>
      </c>
      <c r="E5372" s="59">
        <v>4.0</v>
      </c>
      <c r="F5372" s="59">
        <v>3.0</v>
      </c>
      <c r="G5372" s="60">
        <v>1.33333333333333</v>
      </c>
      <c r="H5372" s="60">
        <v>0.5</v>
      </c>
      <c r="I5372" s="60">
        <v>184.70278625</v>
      </c>
      <c r="J5372" s="59">
        <v>8.0</v>
      </c>
      <c r="K5372" s="61">
        <f t="shared" si="1"/>
        <v>0.75</v>
      </c>
      <c r="L5372" s="62">
        <f t="shared" si="2"/>
        <v>2</v>
      </c>
    </row>
    <row r="5373">
      <c r="A5373" s="58">
        <v>45748.0</v>
      </c>
      <c r="B5373" s="24" t="s">
        <v>6790</v>
      </c>
      <c r="C5373" s="24" t="s">
        <v>7021</v>
      </c>
      <c r="D5373" s="59">
        <v>3.0</v>
      </c>
      <c r="E5373" s="59">
        <v>3.0</v>
      </c>
      <c r="F5373" s="59">
        <v>1.0</v>
      </c>
      <c r="G5373" s="60">
        <v>1.5</v>
      </c>
      <c r="H5373" s="60">
        <v>0.333333333333333</v>
      </c>
      <c r="I5373" s="60">
        <v>679.563713666666</v>
      </c>
      <c r="J5373" s="59">
        <v>8.0</v>
      </c>
      <c r="K5373" s="61">
        <f t="shared" si="1"/>
        <v>0.3333333333</v>
      </c>
      <c r="L5373" s="62">
        <f t="shared" si="2"/>
        <v>2.666666667</v>
      </c>
    </row>
    <row r="5374">
      <c r="A5374" s="58">
        <v>45748.0</v>
      </c>
      <c r="B5374" s="24" t="s">
        <v>6789</v>
      </c>
      <c r="C5374" s="24" t="s">
        <v>6896</v>
      </c>
      <c r="D5374" s="59">
        <v>3.0</v>
      </c>
      <c r="E5374" s="59">
        <v>5.0</v>
      </c>
      <c r="F5374" s="59">
        <v>3.0</v>
      </c>
      <c r="G5374" s="60">
        <v>1.66666666666666</v>
      </c>
      <c r="H5374" s="60">
        <v>0.8</v>
      </c>
      <c r="I5374" s="60">
        <v>234.7039596</v>
      </c>
      <c r="J5374" s="59">
        <v>5.0</v>
      </c>
      <c r="K5374" s="61">
        <f t="shared" si="1"/>
        <v>0.6</v>
      </c>
      <c r="L5374" s="62">
        <f t="shared" si="2"/>
        <v>1</v>
      </c>
    </row>
    <row r="5375">
      <c r="A5375" s="58">
        <v>45748.0</v>
      </c>
      <c r="B5375" s="24" t="s">
        <v>6787</v>
      </c>
      <c r="C5375" s="24" t="s">
        <v>7301</v>
      </c>
      <c r="D5375" s="59">
        <v>3.0</v>
      </c>
      <c r="E5375" s="59">
        <v>3.0</v>
      </c>
      <c r="F5375" s="59">
        <v>2.0</v>
      </c>
      <c r="G5375" s="60">
        <v>1.5</v>
      </c>
      <c r="H5375" s="60">
        <v>0.666666666666666</v>
      </c>
      <c r="I5375" s="60">
        <v>165.230019666666</v>
      </c>
      <c r="J5375" s="59">
        <v>3.0</v>
      </c>
      <c r="K5375" s="61">
        <f t="shared" si="1"/>
        <v>0.6666666667</v>
      </c>
      <c r="L5375" s="62">
        <f t="shared" si="2"/>
        <v>1</v>
      </c>
    </row>
    <row r="5376">
      <c r="A5376" s="58">
        <v>45748.0</v>
      </c>
      <c r="B5376" s="24" t="s">
        <v>3216</v>
      </c>
      <c r="C5376" s="24" t="s">
        <v>7223</v>
      </c>
      <c r="D5376" s="59">
        <v>3.0</v>
      </c>
      <c r="E5376" s="59">
        <v>4.0</v>
      </c>
      <c r="F5376" s="59">
        <v>3.0</v>
      </c>
      <c r="G5376" s="60">
        <v>1.33333333333333</v>
      </c>
      <c r="H5376" s="60">
        <v>0.25</v>
      </c>
      <c r="I5376" s="60">
        <v>147.50528175</v>
      </c>
      <c r="J5376" s="59">
        <v>4.0</v>
      </c>
      <c r="K5376" s="61">
        <f t="shared" si="1"/>
        <v>0.75</v>
      </c>
      <c r="L5376" s="62">
        <f t="shared" si="2"/>
        <v>1</v>
      </c>
    </row>
    <row r="5377">
      <c r="A5377" s="58">
        <v>45748.0</v>
      </c>
      <c r="B5377" s="24" t="s">
        <v>6789</v>
      </c>
      <c r="C5377" s="24" t="s">
        <v>6903</v>
      </c>
      <c r="D5377" s="59">
        <v>3.0</v>
      </c>
      <c r="E5377" s="59">
        <v>3.0</v>
      </c>
      <c r="F5377" s="59">
        <v>2.0</v>
      </c>
      <c r="G5377" s="60">
        <v>1.0</v>
      </c>
      <c r="H5377" s="60">
        <v>0.666666666666666</v>
      </c>
      <c r="I5377" s="60">
        <v>29.024465</v>
      </c>
      <c r="J5377" s="59">
        <v>4.0</v>
      </c>
      <c r="K5377" s="61">
        <f t="shared" si="1"/>
        <v>0.6666666667</v>
      </c>
      <c r="L5377" s="62">
        <f t="shared" si="2"/>
        <v>1.333333333</v>
      </c>
    </row>
    <row r="5378">
      <c r="A5378" s="58">
        <v>45748.0</v>
      </c>
      <c r="B5378" s="24" t="s">
        <v>6790</v>
      </c>
      <c r="C5378" s="24" t="s">
        <v>7236</v>
      </c>
      <c r="D5378" s="59">
        <v>3.0</v>
      </c>
      <c r="E5378" s="59">
        <v>3.0</v>
      </c>
      <c r="F5378" s="59">
        <v>3.0</v>
      </c>
      <c r="G5378" s="60">
        <v>1.0</v>
      </c>
      <c r="H5378" s="60">
        <v>1.0</v>
      </c>
      <c r="I5378" s="60">
        <v>0.0</v>
      </c>
      <c r="J5378" s="59">
        <v>3.0</v>
      </c>
      <c r="K5378" s="61">
        <f t="shared" si="1"/>
        <v>1</v>
      </c>
      <c r="L5378" s="62">
        <f t="shared" si="2"/>
        <v>1</v>
      </c>
    </row>
    <row r="5379">
      <c r="A5379" s="58">
        <v>45748.0</v>
      </c>
      <c r="B5379" s="24" t="s">
        <v>3216</v>
      </c>
      <c r="C5379" s="24" t="s">
        <v>7088</v>
      </c>
      <c r="D5379" s="59">
        <v>3.0</v>
      </c>
      <c r="E5379" s="59">
        <v>4.0</v>
      </c>
      <c r="F5379" s="59">
        <v>3.0</v>
      </c>
      <c r="G5379" s="60">
        <v>1.33333333333333</v>
      </c>
      <c r="H5379" s="60">
        <v>0.25</v>
      </c>
      <c r="I5379" s="60">
        <v>123.1914855</v>
      </c>
      <c r="J5379" s="59">
        <v>5.0</v>
      </c>
      <c r="K5379" s="61">
        <f t="shared" si="1"/>
        <v>0.75</v>
      </c>
      <c r="L5379" s="62">
        <f t="shared" si="2"/>
        <v>1.25</v>
      </c>
    </row>
    <row r="5380">
      <c r="A5380" s="58">
        <v>45748.0</v>
      </c>
      <c r="B5380" s="24" t="s">
        <v>6789</v>
      </c>
      <c r="C5380" s="24" t="s">
        <v>7159</v>
      </c>
      <c r="D5380" s="59">
        <v>3.0</v>
      </c>
      <c r="E5380" s="59">
        <v>3.0</v>
      </c>
      <c r="F5380" s="59">
        <v>0.0</v>
      </c>
      <c r="G5380" s="60">
        <v>1.0</v>
      </c>
      <c r="H5380" s="60">
        <v>0.666666666666666</v>
      </c>
      <c r="I5380" s="60">
        <v>247.082930333333</v>
      </c>
      <c r="J5380" s="59">
        <v>6.0</v>
      </c>
      <c r="K5380" s="61">
        <f t="shared" si="1"/>
        <v>0</v>
      </c>
      <c r="L5380" s="62">
        <f t="shared" si="2"/>
        <v>2</v>
      </c>
    </row>
    <row r="5381">
      <c r="A5381" s="58">
        <v>45748.0</v>
      </c>
      <c r="B5381" s="24" t="s">
        <v>6789</v>
      </c>
      <c r="C5381" s="24" t="s">
        <v>7094</v>
      </c>
      <c r="D5381" s="59">
        <v>3.0</v>
      </c>
      <c r="E5381" s="59">
        <v>3.0</v>
      </c>
      <c r="F5381" s="59">
        <v>3.0</v>
      </c>
      <c r="G5381" s="60">
        <v>1.0</v>
      </c>
      <c r="H5381" s="60">
        <v>0.333333333333333</v>
      </c>
      <c r="I5381" s="60">
        <v>93.7967393333333</v>
      </c>
      <c r="J5381" s="59">
        <v>3.0</v>
      </c>
      <c r="K5381" s="61">
        <f t="shared" si="1"/>
        <v>1</v>
      </c>
      <c r="L5381" s="62">
        <f t="shared" si="2"/>
        <v>1</v>
      </c>
    </row>
    <row r="5382">
      <c r="A5382" s="58">
        <v>45748.0</v>
      </c>
      <c r="B5382" s="24" t="s">
        <v>6789</v>
      </c>
      <c r="C5382" s="24" t="s">
        <v>6960</v>
      </c>
      <c r="D5382" s="59">
        <v>3.0</v>
      </c>
      <c r="E5382" s="59">
        <v>4.0</v>
      </c>
      <c r="F5382" s="59">
        <v>3.0</v>
      </c>
      <c r="G5382" s="60">
        <v>1.33333333333333</v>
      </c>
      <c r="H5382" s="60">
        <v>1.0</v>
      </c>
      <c r="I5382" s="60">
        <v>2.15970475</v>
      </c>
      <c r="J5382" s="59">
        <v>4.0</v>
      </c>
      <c r="K5382" s="61">
        <f t="shared" si="1"/>
        <v>0.75</v>
      </c>
      <c r="L5382" s="62">
        <f t="shared" si="2"/>
        <v>1</v>
      </c>
    </row>
    <row r="5383">
      <c r="A5383" s="58">
        <v>45748.0</v>
      </c>
      <c r="B5383" s="24" t="s">
        <v>6787</v>
      </c>
      <c r="C5383" s="24" t="s">
        <v>6849</v>
      </c>
      <c r="D5383" s="59">
        <v>3.0</v>
      </c>
      <c r="E5383" s="59">
        <v>3.0</v>
      </c>
      <c r="F5383" s="59">
        <v>2.0</v>
      </c>
      <c r="G5383" s="60">
        <v>1.0</v>
      </c>
      <c r="H5383" s="60">
        <v>0.666666666666666</v>
      </c>
      <c r="I5383" s="60">
        <v>927.391028666666</v>
      </c>
      <c r="J5383" s="59">
        <v>19.0</v>
      </c>
      <c r="K5383" s="61">
        <f t="shared" si="1"/>
        <v>0.6666666667</v>
      </c>
      <c r="L5383" s="62">
        <f t="shared" si="2"/>
        <v>6.333333333</v>
      </c>
    </row>
    <row r="5384">
      <c r="A5384" s="58">
        <v>45748.0</v>
      </c>
      <c r="B5384" s="24" t="s">
        <v>6789</v>
      </c>
      <c r="C5384" s="24" t="s">
        <v>6849</v>
      </c>
      <c r="D5384" s="59">
        <v>3.0</v>
      </c>
      <c r="E5384" s="59">
        <v>4.0</v>
      </c>
      <c r="F5384" s="59">
        <v>0.0</v>
      </c>
      <c r="G5384" s="60">
        <v>2.0</v>
      </c>
      <c r="H5384" s="60">
        <v>0.75</v>
      </c>
      <c r="I5384" s="60">
        <v>1168.70905325</v>
      </c>
      <c r="J5384" s="59">
        <v>26.0</v>
      </c>
      <c r="K5384" s="61">
        <f t="shared" si="1"/>
        <v>0</v>
      </c>
      <c r="L5384" s="62">
        <f t="shared" si="2"/>
        <v>6.5</v>
      </c>
    </row>
    <row r="5385">
      <c r="A5385" s="58">
        <v>45748.0</v>
      </c>
      <c r="B5385" s="24" t="s">
        <v>6787</v>
      </c>
      <c r="C5385" s="24" t="s">
        <v>7172</v>
      </c>
      <c r="D5385" s="59">
        <v>3.0</v>
      </c>
      <c r="E5385" s="59">
        <v>3.0</v>
      </c>
      <c r="F5385" s="59">
        <v>2.0</v>
      </c>
      <c r="G5385" s="60">
        <v>1.5</v>
      </c>
      <c r="H5385" s="60">
        <v>1.0</v>
      </c>
      <c r="I5385" s="60">
        <v>0.0</v>
      </c>
      <c r="J5385" s="59">
        <v>3.0</v>
      </c>
      <c r="K5385" s="61">
        <f t="shared" si="1"/>
        <v>0.6666666667</v>
      </c>
      <c r="L5385" s="62">
        <f t="shared" si="2"/>
        <v>1</v>
      </c>
    </row>
    <row r="5386">
      <c r="A5386" s="58">
        <v>45748.0</v>
      </c>
      <c r="B5386" s="24" t="s">
        <v>155</v>
      </c>
      <c r="C5386" s="24" t="s">
        <v>7443</v>
      </c>
      <c r="D5386" s="59">
        <v>3.0</v>
      </c>
      <c r="E5386" s="59">
        <v>4.0</v>
      </c>
      <c r="F5386" s="59">
        <v>0.0</v>
      </c>
      <c r="G5386" s="60">
        <v>1.33333333333333</v>
      </c>
      <c r="H5386" s="60">
        <v>0.25</v>
      </c>
      <c r="I5386" s="60">
        <v>241.28278425</v>
      </c>
      <c r="J5386" s="59">
        <v>4.0</v>
      </c>
      <c r="K5386" s="61">
        <f t="shared" si="1"/>
        <v>0</v>
      </c>
      <c r="L5386" s="62">
        <f t="shared" si="2"/>
        <v>1</v>
      </c>
    </row>
    <row r="5387">
      <c r="A5387" s="58">
        <v>45748.0</v>
      </c>
      <c r="B5387" s="24" t="s">
        <v>155</v>
      </c>
      <c r="C5387" s="24" t="s">
        <v>6910</v>
      </c>
      <c r="D5387" s="59">
        <v>3.0</v>
      </c>
      <c r="E5387" s="59">
        <v>3.0</v>
      </c>
      <c r="F5387" s="59">
        <v>1.0</v>
      </c>
      <c r="G5387" s="60">
        <v>1.0</v>
      </c>
      <c r="H5387" s="60">
        <v>0.0</v>
      </c>
      <c r="I5387" s="60">
        <v>603.581001333333</v>
      </c>
      <c r="J5387" s="59">
        <v>4.0</v>
      </c>
      <c r="K5387" s="61">
        <f t="shared" si="1"/>
        <v>0.3333333333</v>
      </c>
      <c r="L5387" s="62">
        <f t="shared" si="2"/>
        <v>1.333333333</v>
      </c>
    </row>
    <row r="5388">
      <c r="A5388" s="58">
        <v>45748.0</v>
      </c>
      <c r="B5388" s="24" t="s">
        <v>6787</v>
      </c>
      <c r="C5388" s="24" t="s">
        <v>7450</v>
      </c>
      <c r="D5388" s="59">
        <v>3.0</v>
      </c>
      <c r="E5388" s="59">
        <v>3.0</v>
      </c>
      <c r="F5388" s="59">
        <v>1.0</v>
      </c>
      <c r="G5388" s="60">
        <v>1.0</v>
      </c>
      <c r="H5388" s="60">
        <v>0.0</v>
      </c>
      <c r="I5388" s="60">
        <v>130.093062</v>
      </c>
      <c r="J5388" s="59">
        <v>7.0</v>
      </c>
      <c r="K5388" s="61">
        <f t="shared" si="1"/>
        <v>0.3333333333</v>
      </c>
      <c r="L5388" s="62">
        <f t="shared" si="2"/>
        <v>2.333333333</v>
      </c>
    </row>
    <row r="5389">
      <c r="A5389" s="58">
        <v>45748.0</v>
      </c>
      <c r="B5389" s="24" t="s">
        <v>6787</v>
      </c>
      <c r="C5389" s="24" t="s">
        <v>6851</v>
      </c>
      <c r="D5389" s="59">
        <v>3.0</v>
      </c>
      <c r="E5389" s="59">
        <v>3.0</v>
      </c>
      <c r="F5389" s="59">
        <v>2.0</v>
      </c>
      <c r="G5389" s="60">
        <v>1.0</v>
      </c>
      <c r="H5389" s="60">
        <v>0.666666666666666</v>
      </c>
      <c r="I5389" s="60">
        <v>352.164738</v>
      </c>
      <c r="J5389" s="59">
        <v>7.0</v>
      </c>
      <c r="K5389" s="61">
        <f t="shared" si="1"/>
        <v>0.6666666667</v>
      </c>
      <c r="L5389" s="62">
        <f t="shared" si="2"/>
        <v>2.333333333</v>
      </c>
    </row>
    <row r="5390">
      <c r="A5390" s="58">
        <v>45748.0</v>
      </c>
      <c r="B5390" s="24" t="s">
        <v>6789</v>
      </c>
      <c r="C5390" s="24" t="s">
        <v>7023</v>
      </c>
      <c r="D5390" s="59">
        <v>3.0</v>
      </c>
      <c r="E5390" s="59">
        <v>3.0</v>
      </c>
      <c r="F5390" s="59">
        <v>3.0</v>
      </c>
      <c r="G5390" s="60">
        <v>1.0</v>
      </c>
      <c r="H5390" s="60">
        <v>0.0</v>
      </c>
      <c r="I5390" s="60">
        <v>176.048684</v>
      </c>
      <c r="J5390" s="59">
        <v>8.0</v>
      </c>
      <c r="K5390" s="61">
        <f t="shared" si="1"/>
        <v>1</v>
      </c>
      <c r="L5390" s="62">
        <f t="shared" si="2"/>
        <v>2.666666667</v>
      </c>
    </row>
    <row r="5391">
      <c r="A5391" s="58">
        <v>45748.0</v>
      </c>
      <c r="B5391" s="24" t="s">
        <v>6787</v>
      </c>
      <c r="C5391" s="24" t="s">
        <v>6912</v>
      </c>
      <c r="D5391" s="59">
        <v>3.0</v>
      </c>
      <c r="E5391" s="59">
        <v>3.0</v>
      </c>
      <c r="F5391" s="59">
        <v>3.0</v>
      </c>
      <c r="G5391" s="60">
        <v>1.0</v>
      </c>
      <c r="H5391" s="60">
        <v>1.0</v>
      </c>
      <c r="I5391" s="60">
        <v>0.0</v>
      </c>
      <c r="J5391" s="59">
        <v>3.0</v>
      </c>
      <c r="K5391" s="61">
        <f t="shared" si="1"/>
        <v>1</v>
      </c>
      <c r="L5391" s="62">
        <f t="shared" si="2"/>
        <v>1</v>
      </c>
    </row>
    <row r="5392">
      <c r="A5392" s="58">
        <v>45748.0</v>
      </c>
      <c r="B5392" s="24" t="s">
        <v>155</v>
      </c>
      <c r="C5392" s="24" t="s">
        <v>6815</v>
      </c>
      <c r="D5392" s="59">
        <v>3.0</v>
      </c>
      <c r="E5392" s="59">
        <v>3.0</v>
      </c>
      <c r="F5392" s="59">
        <v>2.0</v>
      </c>
      <c r="G5392" s="60">
        <v>1.0</v>
      </c>
      <c r="H5392" s="60">
        <v>0.0</v>
      </c>
      <c r="I5392" s="60">
        <v>601.800981666666</v>
      </c>
      <c r="J5392" s="59">
        <v>4.0</v>
      </c>
      <c r="K5392" s="61">
        <f t="shared" si="1"/>
        <v>0.6666666667</v>
      </c>
      <c r="L5392" s="62">
        <f t="shared" si="2"/>
        <v>1.333333333</v>
      </c>
    </row>
    <row r="5393">
      <c r="A5393" s="58">
        <v>45748.0</v>
      </c>
      <c r="B5393" s="24" t="s">
        <v>6787</v>
      </c>
      <c r="C5393" s="24" t="s">
        <v>6810</v>
      </c>
      <c r="D5393" s="59">
        <v>3.0</v>
      </c>
      <c r="E5393" s="59">
        <v>3.0</v>
      </c>
      <c r="F5393" s="59">
        <v>3.0</v>
      </c>
      <c r="G5393" s="60">
        <v>1.0</v>
      </c>
      <c r="H5393" s="60">
        <v>0.666666666666666</v>
      </c>
      <c r="I5393" s="60">
        <v>10.9264183333333</v>
      </c>
      <c r="J5393" s="59">
        <v>4.0</v>
      </c>
      <c r="K5393" s="61">
        <f t="shared" si="1"/>
        <v>1</v>
      </c>
      <c r="L5393" s="62">
        <f t="shared" si="2"/>
        <v>1.333333333</v>
      </c>
    </row>
    <row r="5394">
      <c r="A5394" s="58">
        <v>45748.0</v>
      </c>
      <c r="B5394" s="24" t="s">
        <v>7100</v>
      </c>
      <c r="C5394" s="24" t="s">
        <v>6792</v>
      </c>
      <c r="D5394" s="59">
        <v>2.0</v>
      </c>
      <c r="E5394" s="59">
        <v>2.0</v>
      </c>
      <c r="F5394" s="59">
        <v>0.0</v>
      </c>
      <c r="G5394" s="60">
        <v>2.0</v>
      </c>
      <c r="H5394" s="60">
        <v>1.0</v>
      </c>
      <c r="I5394" s="60">
        <v>0.0</v>
      </c>
      <c r="J5394" s="59">
        <v>0.0</v>
      </c>
      <c r="K5394" s="61">
        <f t="shared" si="1"/>
        <v>0</v>
      </c>
      <c r="L5394" s="62">
        <f t="shared" si="2"/>
        <v>0</v>
      </c>
    </row>
    <row r="5395">
      <c r="A5395" s="58">
        <v>45748.0</v>
      </c>
      <c r="B5395" s="24" t="s">
        <v>3216</v>
      </c>
      <c r="C5395" s="24" t="s">
        <v>6788</v>
      </c>
      <c r="D5395" s="59">
        <v>2.0</v>
      </c>
      <c r="E5395" s="59">
        <v>4.0</v>
      </c>
      <c r="F5395" s="59">
        <v>1.0</v>
      </c>
      <c r="G5395" s="60">
        <v>4.0</v>
      </c>
      <c r="H5395" s="60">
        <v>1.0</v>
      </c>
      <c r="I5395" s="60">
        <v>0.8322925</v>
      </c>
      <c r="J5395" s="59">
        <v>4.0</v>
      </c>
      <c r="K5395" s="61">
        <f t="shared" si="1"/>
        <v>0.25</v>
      </c>
      <c r="L5395" s="62">
        <f t="shared" si="2"/>
        <v>1</v>
      </c>
    </row>
    <row r="5396">
      <c r="A5396" s="58">
        <v>45748.0</v>
      </c>
      <c r="B5396" s="24" t="s">
        <v>6787</v>
      </c>
      <c r="C5396" s="24" t="s">
        <v>7451</v>
      </c>
      <c r="D5396" s="59">
        <v>2.0</v>
      </c>
      <c r="E5396" s="59">
        <v>2.0</v>
      </c>
      <c r="F5396" s="59">
        <v>2.0</v>
      </c>
      <c r="G5396" s="60">
        <v>1.0</v>
      </c>
      <c r="H5396" s="60">
        <v>1.0</v>
      </c>
      <c r="I5396" s="60">
        <v>2.453837</v>
      </c>
      <c r="J5396" s="59">
        <v>2.0</v>
      </c>
      <c r="K5396" s="61">
        <f t="shared" si="1"/>
        <v>1</v>
      </c>
      <c r="L5396" s="62">
        <f t="shared" si="2"/>
        <v>1</v>
      </c>
    </row>
    <row r="5397">
      <c r="A5397" s="58">
        <v>45748.0</v>
      </c>
      <c r="B5397" s="24" t="s">
        <v>6787</v>
      </c>
      <c r="C5397" s="24" t="s">
        <v>7394</v>
      </c>
      <c r="D5397" s="59">
        <v>2.0</v>
      </c>
      <c r="E5397" s="59">
        <v>2.0</v>
      </c>
      <c r="F5397" s="59">
        <v>2.0</v>
      </c>
      <c r="G5397" s="60">
        <v>1.0</v>
      </c>
      <c r="H5397" s="60">
        <v>1.0</v>
      </c>
      <c r="I5397" s="60">
        <v>0.0</v>
      </c>
      <c r="J5397" s="59">
        <v>2.0</v>
      </c>
      <c r="K5397" s="61">
        <f t="shared" si="1"/>
        <v>1</v>
      </c>
      <c r="L5397" s="62">
        <f t="shared" si="2"/>
        <v>1</v>
      </c>
    </row>
    <row r="5398">
      <c r="A5398" s="58">
        <v>45748.0</v>
      </c>
      <c r="B5398" s="24" t="s">
        <v>155</v>
      </c>
      <c r="C5398" s="24" t="s">
        <v>6817</v>
      </c>
      <c r="D5398" s="59">
        <v>2.0</v>
      </c>
      <c r="E5398" s="59">
        <v>5.0</v>
      </c>
      <c r="F5398" s="59">
        <v>0.0</v>
      </c>
      <c r="G5398" s="60">
        <v>2.5</v>
      </c>
      <c r="H5398" s="60">
        <v>0.6</v>
      </c>
      <c r="I5398" s="60">
        <v>96.6713254</v>
      </c>
      <c r="J5398" s="59">
        <v>11.0</v>
      </c>
      <c r="K5398" s="61">
        <f t="shared" si="1"/>
        <v>0</v>
      </c>
      <c r="L5398" s="62">
        <f t="shared" si="2"/>
        <v>2.2</v>
      </c>
    </row>
    <row r="5399">
      <c r="A5399" s="58">
        <v>45748.0</v>
      </c>
      <c r="B5399" s="24" t="s">
        <v>6790</v>
      </c>
      <c r="C5399" s="24" t="s">
        <v>6817</v>
      </c>
      <c r="D5399" s="59">
        <v>2.0</v>
      </c>
      <c r="E5399" s="59">
        <v>2.0</v>
      </c>
      <c r="F5399" s="59">
        <v>0.0</v>
      </c>
      <c r="G5399" s="60">
        <v>1.0</v>
      </c>
      <c r="H5399" s="60">
        <v>0.5</v>
      </c>
      <c r="I5399" s="60">
        <v>748.9275555</v>
      </c>
      <c r="J5399" s="59">
        <v>5.0</v>
      </c>
      <c r="K5399" s="61">
        <f t="shared" si="1"/>
        <v>0</v>
      </c>
      <c r="L5399" s="62">
        <f t="shared" si="2"/>
        <v>2.5</v>
      </c>
    </row>
    <row r="5400">
      <c r="A5400" s="58">
        <v>45748.0</v>
      </c>
      <c r="B5400" s="24" t="s">
        <v>6787</v>
      </c>
      <c r="C5400" s="24" t="s">
        <v>6983</v>
      </c>
      <c r="D5400" s="59">
        <v>2.0</v>
      </c>
      <c r="E5400" s="59">
        <v>3.0</v>
      </c>
      <c r="F5400" s="59">
        <v>1.0</v>
      </c>
      <c r="G5400" s="60">
        <v>1.5</v>
      </c>
      <c r="H5400" s="60">
        <v>0.333333333333333</v>
      </c>
      <c r="I5400" s="60">
        <v>506.074491666666</v>
      </c>
      <c r="J5400" s="59">
        <v>9.0</v>
      </c>
      <c r="K5400" s="61">
        <f t="shared" si="1"/>
        <v>0.3333333333</v>
      </c>
      <c r="L5400" s="62">
        <f t="shared" si="2"/>
        <v>3</v>
      </c>
    </row>
    <row r="5401">
      <c r="A5401" s="58">
        <v>45748.0</v>
      </c>
      <c r="B5401" s="24" t="s">
        <v>6787</v>
      </c>
      <c r="C5401" s="24" t="s">
        <v>7058</v>
      </c>
      <c r="D5401" s="59">
        <v>2.0</v>
      </c>
      <c r="E5401" s="59">
        <v>2.0</v>
      </c>
      <c r="F5401" s="59">
        <v>2.0</v>
      </c>
      <c r="G5401" s="60">
        <v>1.0</v>
      </c>
      <c r="H5401" s="60">
        <v>1.0</v>
      </c>
      <c r="I5401" s="60">
        <v>0.0</v>
      </c>
      <c r="J5401" s="59">
        <v>2.0</v>
      </c>
      <c r="K5401" s="61">
        <f t="shared" si="1"/>
        <v>1</v>
      </c>
      <c r="L5401" s="62">
        <f t="shared" si="2"/>
        <v>1</v>
      </c>
    </row>
    <row r="5402">
      <c r="A5402" s="58">
        <v>45748.0</v>
      </c>
      <c r="B5402" s="24" t="s">
        <v>6789</v>
      </c>
      <c r="C5402" s="24" t="s">
        <v>6861</v>
      </c>
      <c r="D5402" s="59">
        <v>2.0</v>
      </c>
      <c r="E5402" s="59">
        <v>2.0</v>
      </c>
      <c r="F5402" s="59">
        <v>2.0</v>
      </c>
      <c r="G5402" s="60">
        <v>1.0</v>
      </c>
      <c r="H5402" s="60">
        <v>0.5</v>
      </c>
      <c r="I5402" s="60">
        <v>27.4231765</v>
      </c>
      <c r="J5402" s="59">
        <v>3.0</v>
      </c>
      <c r="K5402" s="61">
        <f t="shared" si="1"/>
        <v>1</v>
      </c>
      <c r="L5402" s="62">
        <f t="shared" si="2"/>
        <v>1.5</v>
      </c>
    </row>
    <row r="5403">
      <c r="A5403" s="58">
        <v>45748.0</v>
      </c>
      <c r="B5403" s="24" t="s">
        <v>155</v>
      </c>
      <c r="C5403" s="24" t="s">
        <v>6833</v>
      </c>
      <c r="D5403" s="59">
        <v>2.0</v>
      </c>
      <c r="E5403" s="59">
        <v>2.0</v>
      </c>
      <c r="F5403" s="59">
        <v>0.0</v>
      </c>
      <c r="G5403" s="60">
        <v>1.0</v>
      </c>
      <c r="H5403" s="60">
        <v>0.0</v>
      </c>
      <c r="I5403" s="60">
        <v>26.08046</v>
      </c>
      <c r="J5403" s="59">
        <v>2.0</v>
      </c>
      <c r="K5403" s="61">
        <f t="shared" si="1"/>
        <v>0</v>
      </c>
      <c r="L5403" s="62">
        <f t="shared" si="2"/>
        <v>1</v>
      </c>
    </row>
    <row r="5404">
      <c r="A5404" s="58">
        <v>45748.0</v>
      </c>
      <c r="B5404" s="24" t="s">
        <v>6787</v>
      </c>
      <c r="C5404" s="24" t="s">
        <v>6867</v>
      </c>
      <c r="D5404" s="59">
        <v>2.0</v>
      </c>
      <c r="E5404" s="59">
        <v>3.0</v>
      </c>
      <c r="F5404" s="59">
        <v>2.0</v>
      </c>
      <c r="G5404" s="60">
        <v>1.5</v>
      </c>
      <c r="H5404" s="60">
        <v>0.333333333333333</v>
      </c>
      <c r="I5404" s="60">
        <v>485.088429333333</v>
      </c>
      <c r="J5404" s="59">
        <v>3.0</v>
      </c>
      <c r="K5404" s="61">
        <f t="shared" si="1"/>
        <v>0.6666666667</v>
      </c>
      <c r="L5404" s="62">
        <f t="shared" si="2"/>
        <v>1</v>
      </c>
    </row>
    <row r="5405">
      <c r="A5405" s="58">
        <v>45748.0</v>
      </c>
      <c r="B5405" s="24" t="s">
        <v>6789</v>
      </c>
      <c r="C5405" s="24" t="s">
        <v>6872</v>
      </c>
      <c r="D5405" s="59">
        <v>2.0</v>
      </c>
      <c r="E5405" s="59">
        <v>2.0</v>
      </c>
      <c r="F5405" s="59">
        <v>0.0</v>
      </c>
      <c r="G5405" s="60">
        <v>2.0</v>
      </c>
      <c r="H5405" s="60">
        <v>0.5</v>
      </c>
      <c r="I5405" s="60">
        <v>60.5112245</v>
      </c>
      <c r="J5405" s="59">
        <v>2.0</v>
      </c>
      <c r="K5405" s="61">
        <f t="shared" si="1"/>
        <v>0</v>
      </c>
      <c r="L5405" s="62">
        <f t="shared" si="2"/>
        <v>1</v>
      </c>
    </row>
    <row r="5406">
      <c r="A5406" s="58">
        <v>45748.0</v>
      </c>
      <c r="B5406" s="24" t="s">
        <v>155</v>
      </c>
      <c r="C5406" s="24" t="s">
        <v>6872</v>
      </c>
      <c r="D5406" s="59">
        <v>2.0</v>
      </c>
      <c r="E5406" s="59">
        <v>2.0</v>
      </c>
      <c r="F5406" s="59">
        <v>0.0</v>
      </c>
      <c r="G5406" s="60">
        <v>2.0</v>
      </c>
      <c r="H5406" s="60">
        <v>0.5</v>
      </c>
      <c r="I5406" s="60">
        <v>28.5438465</v>
      </c>
      <c r="J5406" s="59">
        <v>3.0</v>
      </c>
      <c r="K5406" s="61">
        <f t="shared" si="1"/>
        <v>0</v>
      </c>
      <c r="L5406" s="62">
        <f t="shared" si="2"/>
        <v>1.5</v>
      </c>
    </row>
    <row r="5407">
      <c r="A5407" s="58">
        <v>45748.0</v>
      </c>
      <c r="B5407" s="24" t="s">
        <v>6790</v>
      </c>
      <c r="C5407" s="24" t="s">
        <v>7024</v>
      </c>
      <c r="D5407" s="59">
        <v>2.0</v>
      </c>
      <c r="E5407" s="59">
        <v>3.0</v>
      </c>
      <c r="F5407" s="59">
        <v>2.0</v>
      </c>
      <c r="G5407" s="60">
        <v>1.5</v>
      </c>
      <c r="H5407" s="60">
        <v>1.0</v>
      </c>
      <c r="I5407" s="60">
        <v>0.0</v>
      </c>
      <c r="J5407" s="59">
        <v>3.0</v>
      </c>
      <c r="K5407" s="61">
        <f t="shared" si="1"/>
        <v>0.6666666667</v>
      </c>
      <c r="L5407" s="62">
        <f t="shared" si="2"/>
        <v>1</v>
      </c>
    </row>
    <row r="5408">
      <c r="A5408" s="58">
        <v>45748.0</v>
      </c>
      <c r="B5408" s="24" t="s">
        <v>155</v>
      </c>
      <c r="C5408" s="24" t="s">
        <v>6877</v>
      </c>
      <c r="D5408" s="59">
        <v>2.0</v>
      </c>
      <c r="E5408" s="59">
        <v>4.0</v>
      </c>
      <c r="F5408" s="59">
        <v>0.0</v>
      </c>
      <c r="G5408" s="60">
        <v>2.0</v>
      </c>
      <c r="H5408" s="60">
        <v>0.5</v>
      </c>
      <c r="I5408" s="60">
        <v>302.20989275</v>
      </c>
      <c r="J5408" s="59">
        <v>14.0</v>
      </c>
      <c r="K5408" s="61">
        <f t="shared" si="1"/>
        <v>0</v>
      </c>
      <c r="L5408" s="62">
        <f t="shared" si="2"/>
        <v>3.5</v>
      </c>
    </row>
    <row r="5409">
      <c r="A5409" s="58">
        <v>45748.0</v>
      </c>
      <c r="B5409" s="24" t="s">
        <v>6787</v>
      </c>
      <c r="C5409" s="24" t="s">
        <v>6881</v>
      </c>
      <c r="D5409" s="59">
        <v>2.0</v>
      </c>
      <c r="E5409" s="59">
        <v>2.0</v>
      </c>
      <c r="F5409" s="59">
        <v>2.0</v>
      </c>
      <c r="G5409" s="60">
        <v>1.0</v>
      </c>
      <c r="H5409" s="60">
        <v>0.5</v>
      </c>
      <c r="I5409" s="60">
        <v>51.9794585</v>
      </c>
      <c r="J5409" s="59">
        <v>5.0</v>
      </c>
      <c r="K5409" s="61">
        <f t="shared" si="1"/>
        <v>1</v>
      </c>
      <c r="L5409" s="62">
        <f t="shared" si="2"/>
        <v>2.5</v>
      </c>
    </row>
    <row r="5410">
      <c r="A5410" s="58">
        <v>45748.0</v>
      </c>
      <c r="B5410" s="24" t="s">
        <v>155</v>
      </c>
      <c r="C5410" s="24" t="s">
        <v>6882</v>
      </c>
      <c r="D5410" s="59">
        <v>2.0</v>
      </c>
      <c r="E5410" s="59">
        <v>3.0</v>
      </c>
      <c r="F5410" s="59">
        <v>0.0</v>
      </c>
      <c r="G5410" s="60">
        <v>1.5</v>
      </c>
      <c r="H5410" s="60">
        <v>0.666666666666666</v>
      </c>
      <c r="I5410" s="60">
        <v>8.70450833333333</v>
      </c>
      <c r="J5410" s="59">
        <v>4.0</v>
      </c>
      <c r="K5410" s="61">
        <f t="shared" si="1"/>
        <v>0</v>
      </c>
      <c r="L5410" s="62">
        <f t="shared" si="2"/>
        <v>1.333333333</v>
      </c>
    </row>
    <row r="5411">
      <c r="A5411" s="58">
        <v>45748.0</v>
      </c>
      <c r="B5411" s="24" t="s">
        <v>6787</v>
      </c>
      <c r="C5411" s="24" t="s">
        <v>6990</v>
      </c>
      <c r="D5411" s="59">
        <v>2.0</v>
      </c>
      <c r="E5411" s="59">
        <v>2.0</v>
      </c>
      <c r="F5411" s="59">
        <v>2.0</v>
      </c>
      <c r="G5411" s="60">
        <v>1.0</v>
      </c>
      <c r="H5411" s="60">
        <v>1.0</v>
      </c>
      <c r="I5411" s="60">
        <v>0.0</v>
      </c>
      <c r="J5411" s="59">
        <v>2.0</v>
      </c>
      <c r="K5411" s="61">
        <f t="shared" si="1"/>
        <v>1</v>
      </c>
      <c r="L5411" s="62">
        <f t="shared" si="2"/>
        <v>1</v>
      </c>
    </row>
    <row r="5412">
      <c r="A5412" s="58">
        <v>45748.0</v>
      </c>
      <c r="B5412" s="24" t="s">
        <v>6789</v>
      </c>
      <c r="C5412" s="24" t="s">
        <v>7067</v>
      </c>
      <c r="D5412" s="59">
        <v>2.0</v>
      </c>
      <c r="E5412" s="59">
        <v>3.0</v>
      </c>
      <c r="F5412" s="59">
        <v>2.0</v>
      </c>
      <c r="G5412" s="60">
        <v>1.5</v>
      </c>
      <c r="H5412" s="60">
        <v>0.666666666666666</v>
      </c>
      <c r="I5412" s="60">
        <v>114.592379</v>
      </c>
      <c r="J5412" s="59">
        <v>3.0</v>
      </c>
      <c r="K5412" s="61">
        <f t="shared" si="1"/>
        <v>0.6666666667</v>
      </c>
      <c r="L5412" s="62">
        <f t="shared" si="2"/>
        <v>1</v>
      </c>
    </row>
    <row r="5413">
      <c r="A5413" s="58">
        <v>45748.0</v>
      </c>
      <c r="B5413" s="24" t="s">
        <v>6790</v>
      </c>
      <c r="C5413" s="24" t="s">
        <v>7068</v>
      </c>
      <c r="D5413" s="59">
        <v>2.0</v>
      </c>
      <c r="E5413" s="59">
        <v>2.0</v>
      </c>
      <c r="F5413" s="59">
        <v>1.0</v>
      </c>
      <c r="G5413" s="60">
        <v>2.0</v>
      </c>
      <c r="H5413" s="60">
        <v>1.0</v>
      </c>
      <c r="I5413" s="60">
        <v>0.0</v>
      </c>
      <c r="J5413" s="59">
        <v>2.0</v>
      </c>
      <c r="K5413" s="61">
        <f t="shared" si="1"/>
        <v>0.5</v>
      </c>
      <c r="L5413" s="62">
        <f t="shared" si="2"/>
        <v>1</v>
      </c>
    </row>
    <row r="5414">
      <c r="A5414" s="58">
        <v>45748.0</v>
      </c>
      <c r="B5414" s="24" t="s">
        <v>6789</v>
      </c>
      <c r="C5414" s="24" t="s">
        <v>7072</v>
      </c>
      <c r="D5414" s="59">
        <v>2.0</v>
      </c>
      <c r="E5414" s="59">
        <v>2.0</v>
      </c>
      <c r="F5414" s="59">
        <v>2.0</v>
      </c>
      <c r="G5414" s="60">
        <v>1.0</v>
      </c>
      <c r="H5414" s="60">
        <v>0.5</v>
      </c>
      <c r="I5414" s="60">
        <v>126.8134705</v>
      </c>
      <c r="J5414" s="59">
        <v>2.0</v>
      </c>
      <c r="K5414" s="61">
        <f t="shared" si="1"/>
        <v>1</v>
      </c>
      <c r="L5414" s="62">
        <f t="shared" si="2"/>
        <v>1</v>
      </c>
    </row>
    <row r="5415">
      <c r="A5415" s="58">
        <v>45748.0</v>
      </c>
      <c r="B5415" s="24" t="s">
        <v>6790</v>
      </c>
      <c r="C5415" s="24" t="s">
        <v>6886</v>
      </c>
      <c r="D5415" s="59">
        <v>2.0</v>
      </c>
      <c r="E5415" s="59">
        <v>4.0</v>
      </c>
      <c r="F5415" s="59">
        <v>0.0</v>
      </c>
      <c r="G5415" s="60">
        <v>2.0</v>
      </c>
      <c r="H5415" s="60">
        <v>0.25</v>
      </c>
      <c r="I5415" s="60">
        <v>737.388902749999</v>
      </c>
      <c r="J5415" s="59">
        <v>7.0</v>
      </c>
      <c r="K5415" s="61">
        <f t="shared" si="1"/>
        <v>0</v>
      </c>
      <c r="L5415" s="62">
        <f t="shared" si="2"/>
        <v>1.75</v>
      </c>
    </row>
    <row r="5416">
      <c r="A5416" s="58">
        <v>45748.0</v>
      </c>
      <c r="B5416" s="24" t="s">
        <v>6787</v>
      </c>
      <c r="C5416" s="24" t="s">
        <v>7021</v>
      </c>
      <c r="D5416" s="59">
        <v>2.0</v>
      </c>
      <c r="E5416" s="59">
        <v>2.0</v>
      </c>
      <c r="F5416" s="59">
        <v>1.0</v>
      </c>
      <c r="G5416" s="60">
        <v>1.0</v>
      </c>
      <c r="H5416" s="60">
        <v>0.5</v>
      </c>
      <c r="I5416" s="60">
        <v>4.7358525</v>
      </c>
      <c r="J5416" s="59">
        <v>3.0</v>
      </c>
      <c r="K5416" s="61">
        <f t="shared" si="1"/>
        <v>0.5</v>
      </c>
      <c r="L5416" s="62">
        <f t="shared" si="2"/>
        <v>1.5</v>
      </c>
    </row>
    <row r="5417">
      <c r="A5417" s="58">
        <v>45748.0</v>
      </c>
      <c r="B5417" s="24" t="s">
        <v>155</v>
      </c>
      <c r="C5417" s="24" t="s">
        <v>7021</v>
      </c>
      <c r="D5417" s="59">
        <v>2.0</v>
      </c>
      <c r="E5417" s="59">
        <v>2.0</v>
      </c>
      <c r="F5417" s="59">
        <v>0.0</v>
      </c>
      <c r="G5417" s="60">
        <v>1.0</v>
      </c>
      <c r="H5417" s="60">
        <v>0.0</v>
      </c>
      <c r="I5417" s="60">
        <v>55.427574</v>
      </c>
      <c r="J5417" s="59">
        <v>5.0</v>
      </c>
      <c r="K5417" s="61">
        <f t="shared" si="1"/>
        <v>0</v>
      </c>
      <c r="L5417" s="62">
        <f t="shared" si="2"/>
        <v>2.5</v>
      </c>
    </row>
    <row r="5418">
      <c r="A5418" s="58">
        <v>45748.0</v>
      </c>
      <c r="B5418" s="24" t="s">
        <v>155</v>
      </c>
      <c r="C5418" s="24" t="s">
        <v>6822</v>
      </c>
      <c r="D5418" s="59">
        <v>2.0</v>
      </c>
      <c r="E5418" s="59">
        <v>3.0</v>
      </c>
      <c r="F5418" s="59">
        <v>0.0</v>
      </c>
      <c r="G5418" s="60">
        <v>3.0</v>
      </c>
      <c r="H5418" s="60">
        <v>1.0</v>
      </c>
      <c r="I5418" s="60">
        <v>1.34220299999999</v>
      </c>
      <c r="J5418" s="59">
        <v>3.0</v>
      </c>
      <c r="K5418" s="61">
        <f t="shared" si="1"/>
        <v>0</v>
      </c>
      <c r="L5418" s="62">
        <f t="shared" si="2"/>
        <v>1</v>
      </c>
    </row>
    <row r="5419">
      <c r="A5419" s="58">
        <v>45748.0</v>
      </c>
      <c r="B5419" s="24" t="s">
        <v>6789</v>
      </c>
      <c r="C5419" s="24" t="s">
        <v>6840</v>
      </c>
      <c r="D5419" s="59">
        <v>2.0</v>
      </c>
      <c r="E5419" s="59">
        <v>2.0</v>
      </c>
      <c r="F5419" s="59">
        <v>2.0</v>
      </c>
      <c r="G5419" s="60">
        <v>1.0</v>
      </c>
      <c r="H5419" s="60">
        <v>0.5</v>
      </c>
      <c r="I5419" s="60">
        <v>116.5377705</v>
      </c>
      <c r="J5419" s="59">
        <v>7.0</v>
      </c>
      <c r="K5419" s="61">
        <f t="shared" si="1"/>
        <v>1</v>
      </c>
      <c r="L5419" s="62">
        <f t="shared" si="2"/>
        <v>3.5</v>
      </c>
    </row>
    <row r="5420">
      <c r="A5420" s="58">
        <v>45748.0</v>
      </c>
      <c r="B5420" s="24" t="s">
        <v>6789</v>
      </c>
      <c r="C5420" s="24" t="s">
        <v>7301</v>
      </c>
      <c r="D5420" s="59">
        <v>2.0</v>
      </c>
      <c r="E5420" s="59">
        <v>2.0</v>
      </c>
      <c r="F5420" s="59">
        <v>0.0</v>
      </c>
      <c r="G5420" s="60">
        <v>1.0</v>
      </c>
      <c r="H5420" s="60">
        <v>0.5</v>
      </c>
      <c r="I5420" s="60">
        <v>16.472555</v>
      </c>
      <c r="J5420" s="59">
        <v>2.0</v>
      </c>
      <c r="K5420" s="61">
        <f t="shared" si="1"/>
        <v>0</v>
      </c>
      <c r="L5420" s="62">
        <f t="shared" si="2"/>
        <v>1</v>
      </c>
    </row>
    <row r="5421">
      <c r="A5421" s="58">
        <v>45748.0</v>
      </c>
      <c r="B5421" s="24" t="s">
        <v>6787</v>
      </c>
      <c r="C5421" s="24" t="s">
        <v>6823</v>
      </c>
      <c r="D5421" s="59">
        <v>2.0</v>
      </c>
      <c r="E5421" s="59">
        <v>2.0</v>
      </c>
      <c r="F5421" s="59">
        <v>2.0</v>
      </c>
      <c r="G5421" s="60">
        <v>1.0</v>
      </c>
      <c r="H5421" s="60">
        <v>0.5</v>
      </c>
      <c r="I5421" s="60">
        <v>5.79209299999999</v>
      </c>
      <c r="J5421" s="59">
        <v>2.0</v>
      </c>
      <c r="K5421" s="61">
        <f t="shared" si="1"/>
        <v>1</v>
      </c>
      <c r="L5421" s="62">
        <f t="shared" si="2"/>
        <v>1</v>
      </c>
    </row>
    <row r="5422">
      <c r="A5422" s="58">
        <v>45748.0</v>
      </c>
      <c r="B5422" s="24" t="s">
        <v>6787</v>
      </c>
      <c r="C5422" s="24" t="s">
        <v>7223</v>
      </c>
      <c r="D5422" s="59">
        <v>2.0</v>
      </c>
      <c r="E5422" s="59">
        <v>2.0</v>
      </c>
      <c r="F5422" s="59">
        <v>2.0</v>
      </c>
      <c r="G5422" s="60">
        <v>1.0</v>
      </c>
      <c r="H5422" s="60">
        <v>0.5</v>
      </c>
      <c r="I5422" s="60">
        <v>410.1592305</v>
      </c>
      <c r="J5422" s="59">
        <v>2.0</v>
      </c>
      <c r="K5422" s="61">
        <f t="shared" si="1"/>
        <v>1</v>
      </c>
      <c r="L5422" s="62">
        <f t="shared" si="2"/>
        <v>1</v>
      </c>
    </row>
    <row r="5423">
      <c r="A5423" s="58">
        <v>45748.0</v>
      </c>
      <c r="B5423" s="24" t="s">
        <v>6790</v>
      </c>
      <c r="C5423" s="24" t="s">
        <v>7223</v>
      </c>
      <c r="D5423" s="59">
        <v>2.0</v>
      </c>
      <c r="E5423" s="59">
        <v>2.0</v>
      </c>
      <c r="F5423" s="59">
        <v>0.0</v>
      </c>
      <c r="G5423" s="60">
        <v>1.0</v>
      </c>
      <c r="H5423" s="60">
        <v>0.5</v>
      </c>
      <c r="I5423" s="60">
        <v>8.2924445</v>
      </c>
      <c r="J5423" s="59">
        <v>3.0</v>
      </c>
      <c r="K5423" s="61">
        <f t="shared" si="1"/>
        <v>0</v>
      </c>
      <c r="L5423" s="62">
        <f t="shared" si="2"/>
        <v>1.5</v>
      </c>
    </row>
    <row r="5424">
      <c r="A5424" s="58">
        <v>45748.0</v>
      </c>
      <c r="B5424" s="24" t="s">
        <v>6787</v>
      </c>
      <c r="C5424" s="24" t="s">
        <v>6841</v>
      </c>
      <c r="D5424" s="59">
        <v>2.0</v>
      </c>
      <c r="E5424" s="59">
        <v>2.0</v>
      </c>
      <c r="F5424" s="59">
        <v>1.0</v>
      </c>
      <c r="G5424" s="60">
        <v>2.0</v>
      </c>
      <c r="H5424" s="60">
        <v>0.5</v>
      </c>
      <c r="I5424" s="60">
        <v>9.6531275</v>
      </c>
      <c r="J5424" s="59">
        <v>2.0</v>
      </c>
      <c r="K5424" s="61">
        <f t="shared" si="1"/>
        <v>0.5</v>
      </c>
      <c r="L5424" s="62">
        <f t="shared" si="2"/>
        <v>1</v>
      </c>
    </row>
    <row r="5425">
      <c r="A5425" s="58">
        <v>45748.0</v>
      </c>
      <c r="B5425" s="24" t="s">
        <v>6787</v>
      </c>
      <c r="C5425" s="24" t="s">
        <v>6898</v>
      </c>
      <c r="D5425" s="59">
        <v>2.0</v>
      </c>
      <c r="E5425" s="59">
        <v>2.0</v>
      </c>
      <c r="F5425" s="59">
        <v>2.0</v>
      </c>
      <c r="G5425" s="60">
        <v>1.0</v>
      </c>
      <c r="H5425" s="60">
        <v>0.5</v>
      </c>
      <c r="I5425" s="60">
        <v>11.1061395</v>
      </c>
      <c r="J5425" s="59">
        <v>2.0</v>
      </c>
      <c r="K5425" s="61">
        <f t="shared" si="1"/>
        <v>1</v>
      </c>
      <c r="L5425" s="62">
        <f t="shared" si="2"/>
        <v>1</v>
      </c>
    </row>
    <row r="5426">
      <c r="A5426" s="58">
        <v>45748.0</v>
      </c>
      <c r="B5426" s="24" t="s">
        <v>6789</v>
      </c>
      <c r="C5426" s="24" t="s">
        <v>6842</v>
      </c>
      <c r="D5426" s="59">
        <v>2.0</v>
      </c>
      <c r="E5426" s="59">
        <v>2.0</v>
      </c>
      <c r="F5426" s="59">
        <v>2.0</v>
      </c>
      <c r="G5426" s="60">
        <v>1.0</v>
      </c>
      <c r="H5426" s="60">
        <v>0.5</v>
      </c>
      <c r="I5426" s="60">
        <v>156.828272</v>
      </c>
      <c r="J5426" s="59">
        <v>2.0</v>
      </c>
      <c r="K5426" s="61">
        <f t="shared" si="1"/>
        <v>1</v>
      </c>
      <c r="L5426" s="62">
        <f t="shared" si="2"/>
        <v>1</v>
      </c>
    </row>
    <row r="5427">
      <c r="A5427" s="58">
        <v>45748.0</v>
      </c>
      <c r="B5427" s="24" t="s">
        <v>3216</v>
      </c>
      <c r="C5427" s="24" t="s">
        <v>6811</v>
      </c>
      <c r="D5427" s="59">
        <v>2.0</v>
      </c>
      <c r="E5427" s="59">
        <v>2.0</v>
      </c>
      <c r="F5427" s="59">
        <v>1.0</v>
      </c>
      <c r="G5427" s="60">
        <v>1.0</v>
      </c>
      <c r="H5427" s="60">
        <v>1.0</v>
      </c>
      <c r="I5427" s="60">
        <v>3.00161</v>
      </c>
      <c r="J5427" s="59">
        <v>2.0</v>
      </c>
      <c r="K5427" s="61">
        <f t="shared" si="1"/>
        <v>0.5</v>
      </c>
      <c r="L5427" s="62">
        <f t="shared" si="2"/>
        <v>1</v>
      </c>
    </row>
    <row r="5428">
      <c r="A5428" s="58">
        <v>45748.0</v>
      </c>
      <c r="B5428" s="24" t="s">
        <v>6789</v>
      </c>
      <c r="C5428" s="24" t="s">
        <v>6900</v>
      </c>
      <c r="D5428" s="59">
        <v>2.0</v>
      </c>
      <c r="E5428" s="59">
        <v>2.0</v>
      </c>
      <c r="F5428" s="59">
        <v>2.0</v>
      </c>
      <c r="G5428" s="60">
        <v>1.0</v>
      </c>
      <c r="H5428" s="60">
        <v>1.0</v>
      </c>
      <c r="I5428" s="60">
        <v>0.0</v>
      </c>
      <c r="J5428" s="59">
        <v>2.0</v>
      </c>
      <c r="K5428" s="61">
        <f t="shared" si="1"/>
        <v>1</v>
      </c>
      <c r="L5428" s="62">
        <f t="shared" si="2"/>
        <v>1</v>
      </c>
    </row>
    <row r="5429">
      <c r="A5429" s="58">
        <v>45748.0</v>
      </c>
      <c r="B5429" s="24" t="s">
        <v>155</v>
      </c>
      <c r="C5429" s="24" t="s">
        <v>6807</v>
      </c>
      <c r="D5429" s="59">
        <v>2.0</v>
      </c>
      <c r="E5429" s="59">
        <v>2.0</v>
      </c>
      <c r="F5429" s="59">
        <v>1.0</v>
      </c>
      <c r="G5429" s="60">
        <v>1.0</v>
      </c>
      <c r="H5429" s="60">
        <v>0.0</v>
      </c>
      <c r="I5429" s="60">
        <v>1146.215332</v>
      </c>
      <c r="J5429" s="59">
        <v>19.0</v>
      </c>
      <c r="K5429" s="61">
        <f t="shared" si="1"/>
        <v>0.5</v>
      </c>
      <c r="L5429" s="62">
        <f t="shared" si="2"/>
        <v>9.5</v>
      </c>
    </row>
    <row r="5430">
      <c r="A5430" s="58">
        <v>45748.0</v>
      </c>
      <c r="B5430" s="24" t="s">
        <v>6789</v>
      </c>
      <c r="C5430" s="24" t="s">
        <v>6844</v>
      </c>
      <c r="D5430" s="59">
        <v>2.0</v>
      </c>
      <c r="E5430" s="59">
        <v>2.0</v>
      </c>
      <c r="F5430" s="59">
        <v>1.0</v>
      </c>
      <c r="G5430" s="60">
        <v>1.0</v>
      </c>
      <c r="H5430" s="60">
        <v>0.5</v>
      </c>
      <c r="I5430" s="60">
        <v>78.450997</v>
      </c>
      <c r="J5430" s="59">
        <v>2.0</v>
      </c>
      <c r="K5430" s="61">
        <f t="shared" si="1"/>
        <v>0.5</v>
      </c>
      <c r="L5430" s="62">
        <f t="shared" si="2"/>
        <v>1</v>
      </c>
    </row>
    <row r="5431">
      <c r="A5431" s="58">
        <v>45748.0</v>
      </c>
      <c r="B5431" s="24" t="s">
        <v>6787</v>
      </c>
      <c r="C5431" s="24" t="s">
        <v>6903</v>
      </c>
      <c r="D5431" s="59">
        <v>2.0</v>
      </c>
      <c r="E5431" s="59">
        <v>2.0</v>
      </c>
      <c r="F5431" s="59">
        <v>1.0</v>
      </c>
      <c r="G5431" s="60">
        <v>1.0</v>
      </c>
      <c r="H5431" s="60">
        <v>0.5</v>
      </c>
      <c r="I5431" s="60">
        <v>8.3749165</v>
      </c>
      <c r="J5431" s="59">
        <v>3.0</v>
      </c>
      <c r="K5431" s="61">
        <f t="shared" si="1"/>
        <v>0.5</v>
      </c>
      <c r="L5431" s="62">
        <f t="shared" si="2"/>
        <v>1.5</v>
      </c>
    </row>
    <row r="5432">
      <c r="A5432" s="58">
        <v>45748.0</v>
      </c>
      <c r="B5432" s="24" t="s">
        <v>6789</v>
      </c>
      <c r="C5432" s="24" t="s">
        <v>7449</v>
      </c>
      <c r="D5432" s="59">
        <v>2.0</v>
      </c>
      <c r="E5432" s="59">
        <v>3.0</v>
      </c>
      <c r="F5432" s="59">
        <v>0.0</v>
      </c>
      <c r="G5432" s="60">
        <v>1.5</v>
      </c>
      <c r="H5432" s="60">
        <v>0.333333333333333</v>
      </c>
      <c r="I5432" s="60">
        <v>465.144866333333</v>
      </c>
      <c r="J5432" s="59">
        <v>5.0</v>
      </c>
      <c r="K5432" s="61">
        <f t="shared" si="1"/>
        <v>0</v>
      </c>
      <c r="L5432" s="62">
        <f t="shared" si="2"/>
        <v>1.666666667</v>
      </c>
    </row>
    <row r="5433">
      <c r="A5433" s="58">
        <v>45748.0</v>
      </c>
      <c r="B5433" s="24" t="s">
        <v>155</v>
      </c>
      <c r="C5433" s="24" t="s">
        <v>7009</v>
      </c>
      <c r="D5433" s="59">
        <v>2.0</v>
      </c>
      <c r="E5433" s="59">
        <v>2.0</v>
      </c>
      <c r="F5433" s="59">
        <v>0.0</v>
      </c>
      <c r="G5433" s="60">
        <v>1.0</v>
      </c>
      <c r="H5433" s="60">
        <v>0.0</v>
      </c>
      <c r="I5433" s="60">
        <v>1041.194556</v>
      </c>
      <c r="J5433" s="59">
        <v>7.0</v>
      </c>
      <c r="K5433" s="61">
        <f t="shared" si="1"/>
        <v>0</v>
      </c>
      <c r="L5433" s="62">
        <f t="shared" si="2"/>
        <v>3.5</v>
      </c>
    </row>
    <row r="5434">
      <c r="A5434" s="58">
        <v>45748.0</v>
      </c>
      <c r="B5434" s="24" t="s">
        <v>6789</v>
      </c>
      <c r="C5434" s="24" t="s">
        <v>7231</v>
      </c>
      <c r="D5434" s="59">
        <v>2.0</v>
      </c>
      <c r="E5434" s="59">
        <v>3.0</v>
      </c>
      <c r="F5434" s="59">
        <v>1.0</v>
      </c>
      <c r="G5434" s="60">
        <v>1.5</v>
      </c>
      <c r="H5434" s="60">
        <v>0.666666666666666</v>
      </c>
      <c r="I5434" s="60">
        <v>7.837511</v>
      </c>
      <c r="J5434" s="59">
        <v>6.0</v>
      </c>
      <c r="K5434" s="61">
        <f t="shared" si="1"/>
        <v>0.3333333333</v>
      </c>
      <c r="L5434" s="62">
        <f t="shared" si="2"/>
        <v>2</v>
      </c>
    </row>
    <row r="5435">
      <c r="A5435" s="58">
        <v>45748.0</v>
      </c>
      <c r="B5435" s="24" t="s">
        <v>6787</v>
      </c>
      <c r="C5435" s="24" t="s">
        <v>7087</v>
      </c>
      <c r="D5435" s="59">
        <v>2.0</v>
      </c>
      <c r="E5435" s="59">
        <v>2.0</v>
      </c>
      <c r="F5435" s="59">
        <v>2.0</v>
      </c>
      <c r="G5435" s="60">
        <v>1.0</v>
      </c>
      <c r="H5435" s="60">
        <v>0.5</v>
      </c>
      <c r="I5435" s="60">
        <v>18.155313</v>
      </c>
      <c r="J5435" s="59">
        <v>3.0</v>
      </c>
      <c r="K5435" s="61">
        <f t="shared" si="1"/>
        <v>1</v>
      </c>
      <c r="L5435" s="62">
        <f t="shared" si="2"/>
        <v>1.5</v>
      </c>
    </row>
    <row r="5436">
      <c r="A5436" s="58">
        <v>45748.0</v>
      </c>
      <c r="B5436" s="24" t="s">
        <v>6789</v>
      </c>
      <c r="C5436" s="24" t="s">
        <v>7035</v>
      </c>
      <c r="D5436" s="59">
        <v>2.0</v>
      </c>
      <c r="E5436" s="59">
        <v>2.0</v>
      </c>
      <c r="F5436" s="59">
        <v>1.0</v>
      </c>
      <c r="G5436" s="60">
        <v>1.0</v>
      </c>
      <c r="H5436" s="60">
        <v>0.5</v>
      </c>
      <c r="I5436" s="60">
        <v>50.1749705</v>
      </c>
      <c r="J5436" s="59">
        <v>4.0</v>
      </c>
      <c r="K5436" s="61">
        <f t="shared" si="1"/>
        <v>0.5</v>
      </c>
      <c r="L5436" s="62">
        <f t="shared" si="2"/>
        <v>2</v>
      </c>
    </row>
    <row r="5437">
      <c r="A5437" s="58">
        <v>45748.0</v>
      </c>
      <c r="B5437" s="24" t="s">
        <v>3216</v>
      </c>
      <c r="C5437" s="24" t="s">
        <v>7026</v>
      </c>
      <c r="D5437" s="59">
        <v>2.0</v>
      </c>
      <c r="E5437" s="59">
        <v>2.0</v>
      </c>
      <c r="F5437" s="59">
        <v>2.0</v>
      </c>
      <c r="G5437" s="60">
        <v>1.0</v>
      </c>
      <c r="H5437" s="60">
        <v>1.0</v>
      </c>
      <c r="I5437" s="60">
        <v>0.0</v>
      </c>
      <c r="J5437" s="59">
        <v>2.0</v>
      </c>
      <c r="K5437" s="61">
        <f t="shared" si="1"/>
        <v>1</v>
      </c>
      <c r="L5437" s="62">
        <f t="shared" si="2"/>
        <v>1</v>
      </c>
    </row>
    <row r="5438">
      <c r="A5438" s="58">
        <v>45748.0</v>
      </c>
      <c r="B5438" s="24" t="s">
        <v>6789</v>
      </c>
      <c r="C5438" s="24" t="s">
        <v>7026</v>
      </c>
      <c r="D5438" s="59">
        <v>2.0</v>
      </c>
      <c r="E5438" s="59">
        <v>4.0</v>
      </c>
      <c r="F5438" s="59">
        <v>1.0</v>
      </c>
      <c r="G5438" s="60">
        <v>2.0</v>
      </c>
      <c r="H5438" s="60">
        <v>1.0</v>
      </c>
      <c r="I5438" s="60">
        <v>0.0</v>
      </c>
      <c r="J5438" s="59">
        <v>4.0</v>
      </c>
      <c r="K5438" s="61">
        <f t="shared" si="1"/>
        <v>0.25</v>
      </c>
      <c r="L5438" s="62">
        <f t="shared" si="2"/>
        <v>1</v>
      </c>
    </row>
    <row r="5439">
      <c r="A5439" s="58">
        <v>45748.0</v>
      </c>
      <c r="B5439" s="24" t="s">
        <v>6789</v>
      </c>
      <c r="C5439" s="24" t="s">
        <v>7043</v>
      </c>
      <c r="D5439" s="59">
        <v>2.0</v>
      </c>
      <c r="E5439" s="59">
        <v>4.0</v>
      </c>
      <c r="F5439" s="59">
        <v>1.0</v>
      </c>
      <c r="G5439" s="60">
        <v>2.0</v>
      </c>
      <c r="H5439" s="60">
        <v>0.5</v>
      </c>
      <c r="I5439" s="60">
        <v>341.6169555</v>
      </c>
      <c r="J5439" s="59">
        <v>7.0</v>
      </c>
      <c r="K5439" s="61">
        <f t="shared" si="1"/>
        <v>0.25</v>
      </c>
      <c r="L5439" s="62">
        <f t="shared" si="2"/>
        <v>1.75</v>
      </c>
    </row>
    <row r="5440">
      <c r="A5440" s="58">
        <v>45748.0</v>
      </c>
      <c r="B5440" s="24" t="s">
        <v>6789</v>
      </c>
      <c r="C5440" s="24" t="s">
        <v>7091</v>
      </c>
      <c r="D5440" s="59">
        <v>2.0</v>
      </c>
      <c r="E5440" s="59">
        <v>2.0</v>
      </c>
      <c r="F5440" s="59">
        <v>2.0</v>
      </c>
      <c r="G5440" s="60">
        <v>1.0</v>
      </c>
      <c r="H5440" s="60">
        <v>1.0</v>
      </c>
      <c r="I5440" s="60">
        <v>1.5422535</v>
      </c>
      <c r="J5440" s="59">
        <v>2.0</v>
      </c>
      <c r="K5440" s="61">
        <f t="shared" si="1"/>
        <v>1</v>
      </c>
      <c r="L5440" s="62">
        <f t="shared" si="2"/>
        <v>1</v>
      </c>
    </row>
    <row r="5441">
      <c r="A5441" s="58">
        <v>45748.0</v>
      </c>
      <c r="B5441" s="24" t="s">
        <v>6789</v>
      </c>
      <c r="C5441" s="24" t="s">
        <v>7092</v>
      </c>
      <c r="D5441" s="59">
        <v>2.0</v>
      </c>
      <c r="E5441" s="59">
        <v>2.0</v>
      </c>
      <c r="F5441" s="59">
        <v>2.0</v>
      </c>
      <c r="G5441" s="60">
        <v>1.0</v>
      </c>
      <c r="H5441" s="60">
        <v>0.5</v>
      </c>
      <c r="I5441" s="60">
        <v>653.879593</v>
      </c>
      <c r="J5441" s="59">
        <v>2.0</v>
      </c>
      <c r="K5441" s="61">
        <f t="shared" si="1"/>
        <v>1</v>
      </c>
      <c r="L5441" s="62">
        <f t="shared" si="2"/>
        <v>1</v>
      </c>
    </row>
    <row r="5442">
      <c r="A5442" s="58">
        <v>45748.0</v>
      </c>
      <c r="B5442" s="24" t="s">
        <v>6787</v>
      </c>
      <c r="C5442" s="24" t="s">
        <v>7094</v>
      </c>
      <c r="D5442" s="59">
        <v>2.0</v>
      </c>
      <c r="E5442" s="59">
        <v>2.0</v>
      </c>
      <c r="F5442" s="59">
        <v>2.0</v>
      </c>
      <c r="G5442" s="60">
        <v>1.0</v>
      </c>
      <c r="H5442" s="60">
        <v>1.0</v>
      </c>
      <c r="I5442" s="60">
        <v>0.0</v>
      </c>
      <c r="J5442" s="59">
        <v>2.0</v>
      </c>
      <c r="K5442" s="61">
        <f t="shared" si="1"/>
        <v>1</v>
      </c>
      <c r="L5442" s="62">
        <f t="shared" si="2"/>
        <v>1</v>
      </c>
    </row>
    <row r="5443">
      <c r="A5443" s="58">
        <v>45748.0</v>
      </c>
      <c r="B5443" s="24" t="s">
        <v>6789</v>
      </c>
      <c r="C5443" s="24" t="s">
        <v>7095</v>
      </c>
      <c r="D5443" s="59">
        <v>2.0</v>
      </c>
      <c r="E5443" s="59">
        <v>2.0</v>
      </c>
      <c r="F5443" s="59">
        <v>2.0</v>
      </c>
      <c r="G5443" s="60">
        <v>1.0</v>
      </c>
      <c r="H5443" s="60">
        <v>1.0</v>
      </c>
      <c r="I5443" s="60">
        <v>7.421529</v>
      </c>
      <c r="J5443" s="59">
        <v>2.0</v>
      </c>
      <c r="K5443" s="61">
        <f t="shared" si="1"/>
        <v>1</v>
      </c>
      <c r="L5443" s="62">
        <f t="shared" si="2"/>
        <v>1</v>
      </c>
    </row>
    <row r="5444">
      <c r="A5444" s="58">
        <v>45748.0</v>
      </c>
      <c r="B5444" s="24" t="s">
        <v>6789</v>
      </c>
      <c r="C5444" s="24" t="s">
        <v>7098</v>
      </c>
      <c r="D5444" s="59">
        <v>2.0</v>
      </c>
      <c r="E5444" s="59">
        <v>2.0</v>
      </c>
      <c r="F5444" s="59">
        <v>2.0</v>
      </c>
      <c r="G5444" s="60">
        <v>1.0</v>
      </c>
      <c r="H5444" s="60">
        <v>0.0</v>
      </c>
      <c r="I5444" s="60">
        <v>71.0379475</v>
      </c>
      <c r="J5444" s="59">
        <v>2.0</v>
      </c>
      <c r="K5444" s="61">
        <f t="shared" si="1"/>
        <v>1</v>
      </c>
      <c r="L5444" s="62">
        <f t="shared" si="2"/>
        <v>1</v>
      </c>
    </row>
    <row r="5445">
      <c r="A5445" s="58">
        <v>45748.0</v>
      </c>
      <c r="B5445" s="24" t="s">
        <v>6787</v>
      </c>
      <c r="C5445" s="24" t="s">
        <v>6960</v>
      </c>
      <c r="D5445" s="59">
        <v>2.0</v>
      </c>
      <c r="E5445" s="59">
        <v>2.0</v>
      </c>
      <c r="F5445" s="59">
        <v>2.0</v>
      </c>
      <c r="G5445" s="60">
        <v>1.0</v>
      </c>
      <c r="H5445" s="60">
        <v>1.0</v>
      </c>
      <c r="I5445" s="60">
        <v>0.0</v>
      </c>
      <c r="J5445" s="59">
        <v>2.0</v>
      </c>
      <c r="K5445" s="61">
        <f t="shared" si="1"/>
        <v>1</v>
      </c>
      <c r="L5445" s="62">
        <f t="shared" si="2"/>
        <v>1</v>
      </c>
    </row>
    <row r="5446">
      <c r="A5446" s="58">
        <v>45748.0</v>
      </c>
      <c r="B5446" s="24" t="s">
        <v>6789</v>
      </c>
      <c r="C5446" s="24" t="s">
        <v>7447</v>
      </c>
      <c r="D5446" s="59">
        <v>2.0</v>
      </c>
      <c r="E5446" s="59">
        <v>9.0</v>
      </c>
      <c r="F5446" s="59">
        <v>0.0</v>
      </c>
      <c r="G5446" s="60">
        <v>4.5</v>
      </c>
      <c r="H5446" s="60">
        <v>0.222222222222222</v>
      </c>
      <c r="I5446" s="60">
        <v>373.423701555555</v>
      </c>
      <c r="J5446" s="59">
        <v>28.0</v>
      </c>
      <c r="K5446" s="61">
        <f t="shared" si="1"/>
        <v>0</v>
      </c>
      <c r="L5446" s="62">
        <f t="shared" si="2"/>
        <v>3.111111111</v>
      </c>
    </row>
    <row r="5447">
      <c r="A5447" s="58">
        <v>45748.0</v>
      </c>
      <c r="B5447" s="24" t="s">
        <v>6787</v>
      </c>
      <c r="C5447" s="24" t="s">
        <v>7101</v>
      </c>
      <c r="D5447" s="59">
        <v>2.0</v>
      </c>
      <c r="E5447" s="59">
        <v>2.0</v>
      </c>
      <c r="F5447" s="59">
        <v>2.0</v>
      </c>
      <c r="G5447" s="60">
        <v>1.0</v>
      </c>
      <c r="H5447" s="60">
        <v>0.0</v>
      </c>
      <c r="I5447" s="60">
        <v>44.127221</v>
      </c>
      <c r="J5447" s="59">
        <v>23.0</v>
      </c>
      <c r="K5447" s="61">
        <f t="shared" si="1"/>
        <v>1</v>
      </c>
      <c r="L5447" s="62">
        <f t="shared" si="2"/>
        <v>11.5</v>
      </c>
    </row>
    <row r="5448">
      <c r="A5448" s="58">
        <v>45748.0</v>
      </c>
      <c r="B5448" s="24" t="s">
        <v>6789</v>
      </c>
      <c r="C5448" s="24" t="s">
        <v>7172</v>
      </c>
      <c r="D5448" s="59">
        <v>2.0</v>
      </c>
      <c r="E5448" s="59">
        <v>3.0</v>
      </c>
      <c r="F5448" s="59">
        <v>0.0</v>
      </c>
      <c r="G5448" s="60">
        <v>1.5</v>
      </c>
      <c r="H5448" s="60">
        <v>1.0</v>
      </c>
      <c r="I5448" s="60">
        <v>2.119814</v>
      </c>
      <c r="J5448" s="59">
        <v>3.0</v>
      </c>
      <c r="K5448" s="61">
        <f t="shared" si="1"/>
        <v>0</v>
      </c>
      <c r="L5448" s="62">
        <f t="shared" si="2"/>
        <v>1</v>
      </c>
    </row>
    <row r="5449">
      <c r="A5449" s="58">
        <v>45748.0</v>
      </c>
      <c r="B5449" s="24" t="s">
        <v>6789</v>
      </c>
      <c r="C5449" s="24" t="s">
        <v>7313</v>
      </c>
      <c r="D5449" s="59">
        <v>2.0</v>
      </c>
      <c r="E5449" s="59">
        <v>2.0</v>
      </c>
      <c r="F5449" s="59">
        <v>1.0</v>
      </c>
      <c r="G5449" s="60">
        <v>2.0</v>
      </c>
      <c r="H5449" s="60">
        <v>0.5</v>
      </c>
      <c r="I5449" s="60">
        <v>235.6556925</v>
      </c>
      <c r="J5449" s="59">
        <v>4.0</v>
      </c>
      <c r="K5449" s="61">
        <f t="shared" si="1"/>
        <v>0.5</v>
      </c>
      <c r="L5449" s="62">
        <f t="shared" si="2"/>
        <v>2</v>
      </c>
    </row>
    <row r="5450">
      <c r="A5450" s="58">
        <v>45748.0</v>
      </c>
      <c r="B5450" s="24" t="s">
        <v>6789</v>
      </c>
      <c r="C5450" s="24" t="s">
        <v>7450</v>
      </c>
      <c r="D5450" s="59">
        <v>2.0</v>
      </c>
      <c r="E5450" s="59">
        <v>4.0</v>
      </c>
      <c r="F5450" s="59">
        <v>0.0</v>
      </c>
      <c r="G5450" s="60">
        <v>4.0</v>
      </c>
      <c r="H5450" s="60">
        <v>0.5</v>
      </c>
      <c r="I5450" s="60">
        <v>246.75519075</v>
      </c>
      <c r="J5450" s="59">
        <v>5.0</v>
      </c>
      <c r="K5450" s="61">
        <f t="shared" si="1"/>
        <v>0</v>
      </c>
      <c r="L5450" s="62">
        <f t="shared" si="2"/>
        <v>1.25</v>
      </c>
    </row>
    <row r="5451">
      <c r="A5451" s="58">
        <v>45748.0</v>
      </c>
      <c r="B5451" s="24" t="s">
        <v>155</v>
      </c>
      <c r="C5451" s="24" t="s">
        <v>6801</v>
      </c>
      <c r="D5451" s="59">
        <v>2.0</v>
      </c>
      <c r="E5451" s="59">
        <v>3.0</v>
      </c>
      <c r="F5451" s="59">
        <v>1.0</v>
      </c>
      <c r="G5451" s="60">
        <v>1.5</v>
      </c>
      <c r="H5451" s="60">
        <v>0.666666666666666</v>
      </c>
      <c r="I5451" s="60">
        <v>77.4003446666666</v>
      </c>
      <c r="J5451" s="59">
        <v>4.0</v>
      </c>
      <c r="K5451" s="61">
        <f t="shared" si="1"/>
        <v>0.3333333333</v>
      </c>
      <c r="L5451" s="62">
        <f t="shared" si="2"/>
        <v>1.333333333</v>
      </c>
    </row>
    <row r="5452">
      <c r="A5452" s="58">
        <v>45748.0</v>
      </c>
      <c r="B5452" s="24" t="s">
        <v>6789</v>
      </c>
      <c r="C5452" s="24" t="s">
        <v>7104</v>
      </c>
      <c r="D5452" s="59">
        <v>2.0</v>
      </c>
      <c r="E5452" s="59">
        <v>2.0</v>
      </c>
      <c r="F5452" s="59">
        <v>2.0</v>
      </c>
      <c r="G5452" s="60">
        <v>1.0</v>
      </c>
      <c r="H5452" s="60">
        <v>1.0</v>
      </c>
      <c r="I5452" s="60">
        <v>1.630482</v>
      </c>
      <c r="J5452" s="59">
        <v>2.0</v>
      </c>
      <c r="K5452" s="61">
        <f t="shared" si="1"/>
        <v>1</v>
      </c>
      <c r="L5452" s="62">
        <f t="shared" si="2"/>
        <v>1</v>
      </c>
    </row>
    <row r="5453">
      <c r="A5453" s="58">
        <v>45748.0</v>
      </c>
      <c r="B5453" s="24" t="s">
        <v>6789</v>
      </c>
      <c r="C5453" s="24" t="s">
        <v>7173</v>
      </c>
      <c r="D5453" s="59">
        <v>2.0</v>
      </c>
      <c r="E5453" s="59">
        <v>2.0</v>
      </c>
      <c r="F5453" s="59">
        <v>0.0</v>
      </c>
      <c r="G5453" s="60">
        <v>1.0</v>
      </c>
      <c r="H5453" s="60">
        <v>0.0</v>
      </c>
      <c r="I5453" s="60">
        <v>352.1009845</v>
      </c>
      <c r="J5453" s="59">
        <v>8.0</v>
      </c>
      <c r="K5453" s="61">
        <f t="shared" si="1"/>
        <v>0</v>
      </c>
      <c r="L5453" s="62">
        <f t="shared" si="2"/>
        <v>4</v>
      </c>
    </row>
    <row r="5454">
      <c r="A5454" s="58">
        <v>45748.0</v>
      </c>
      <c r="B5454" s="24" t="s">
        <v>6787</v>
      </c>
      <c r="C5454" s="24" t="s">
        <v>6815</v>
      </c>
      <c r="D5454" s="59">
        <v>2.0</v>
      </c>
      <c r="E5454" s="59">
        <v>2.0</v>
      </c>
      <c r="F5454" s="59">
        <v>2.0</v>
      </c>
      <c r="G5454" s="60">
        <v>1.0</v>
      </c>
      <c r="H5454" s="60">
        <v>1.0</v>
      </c>
      <c r="I5454" s="60">
        <v>3.994905</v>
      </c>
      <c r="J5454" s="59">
        <v>2.0</v>
      </c>
      <c r="K5454" s="61">
        <f t="shared" si="1"/>
        <v>1</v>
      </c>
      <c r="L5454" s="62">
        <f t="shared" si="2"/>
        <v>1</v>
      </c>
    </row>
    <row r="5455">
      <c r="A5455" s="58">
        <v>45748.0</v>
      </c>
      <c r="B5455" s="24" t="s">
        <v>6790</v>
      </c>
      <c r="C5455" s="24" t="s">
        <v>6920</v>
      </c>
      <c r="D5455" s="59">
        <v>2.0</v>
      </c>
      <c r="E5455" s="59">
        <v>2.0</v>
      </c>
      <c r="F5455" s="59">
        <v>2.0</v>
      </c>
      <c r="G5455" s="60">
        <v>1.0</v>
      </c>
      <c r="H5455" s="60">
        <v>1.0</v>
      </c>
      <c r="I5455" s="60">
        <v>1.1446855</v>
      </c>
      <c r="J5455" s="59">
        <v>2.0</v>
      </c>
      <c r="K5455" s="61">
        <f t="shared" si="1"/>
        <v>1</v>
      </c>
      <c r="L5455" s="62">
        <f t="shared" si="2"/>
        <v>1</v>
      </c>
    </row>
    <row r="5456">
      <c r="A5456" s="58">
        <v>45748.0</v>
      </c>
      <c r="B5456" s="24" t="s">
        <v>155</v>
      </c>
      <c r="C5456" s="24" t="s">
        <v>6797</v>
      </c>
      <c r="D5456" s="59">
        <v>2.0</v>
      </c>
      <c r="E5456" s="59">
        <v>2.0</v>
      </c>
      <c r="F5456" s="59">
        <v>0.0</v>
      </c>
      <c r="G5456" s="60">
        <v>2.0</v>
      </c>
      <c r="H5456" s="60">
        <v>1.0</v>
      </c>
      <c r="I5456" s="60">
        <v>0.0</v>
      </c>
      <c r="J5456" s="59">
        <v>2.0</v>
      </c>
      <c r="K5456" s="61">
        <f t="shared" si="1"/>
        <v>0</v>
      </c>
      <c r="L5456" s="62">
        <f t="shared" si="2"/>
        <v>1</v>
      </c>
    </row>
    <row r="5457">
      <c r="A5457" s="58">
        <v>45748.0</v>
      </c>
      <c r="B5457" s="24" t="s">
        <v>6789</v>
      </c>
      <c r="C5457" s="24" t="s">
        <v>6962</v>
      </c>
      <c r="D5457" s="59">
        <v>2.0</v>
      </c>
      <c r="E5457" s="59">
        <v>2.0</v>
      </c>
      <c r="F5457" s="59">
        <v>0.0</v>
      </c>
      <c r="G5457" s="60">
        <v>1.0</v>
      </c>
      <c r="H5457" s="60">
        <v>0.0</v>
      </c>
      <c r="I5457" s="60">
        <v>430.445402</v>
      </c>
      <c r="J5457" s="59">
        <v>2.0</v>
      </c>
      <c r="K5457" s="61">
        <f t="shared" si="1"/>
        <v>0</v>
      </c>
      <c r="L5457" s="62">
        <f t="shared" si="2"/>
        <v>1</v>
      </c>
    </row>
    <row r="5458">
      <c r="A5458" s="58">
        <v>45748.0</v>
      </c>
      <c r="B5458" s="24" t="s">
        <v>3216</v>
      </c>
      <c r="C5458" s="24" t="s">
        <v>6854</v>
      </c>
      <c r="D5458" s="59">
        <v>2.0</v>
      </c>
      <c r="E5458" s="59">
        <v>2.0</v>
      </c>
      <c r="F5458" s="59">
        <v>2.0</v>
      </c>
      <c r="G5458" s="60">
        <v>1.0</v>
      </c>
      <c r="H5458" s="60">
        <v>0.0</v>
      </c>
      <c r="I5458" s="60">
        <v>11.7719485</v>
      </c>
      <c r="J5458" s="59">
        <v>4.0</v>
      </c>
      <c r="K5458" s="61">
        <f t="shared" si="1"/>
        <v>1</v>
      </c>
      <c r="L5458" s="62">
        <f t="shared" si="2"/>
        <v>2</v>
      </c>
    </row>
    <row r="5459">
      <c r="A5459" s="58">
        <v>45748.0</v>
      </c>
      <c r="B5459" s="24" t="s">
        <v>6794</v>
      </c>
      <c r="C5459" s="24" t="s">
        <v>6963</v>
      </c>
      <c r="D5459" s="59">
        <v>2.0</v>
      </c>
      <c r="E5459" s="59">
        <v>2.0</v>
      </c>
      <c r="F5459" s="59">
        <v>1.0</v>
      </c>
      <c r="G5459" s="60">
        <v>2.0</v>
      </c>
      <c r="H5459" s="60">
        <v>1.0</v>
      </c>
      <c r="I5459" s="60">
        <v>0.0</v>
      </c>
      <c r="J5459" s="59">
        <v>2.0</v>
      </c>
      <c r="K5459" s="61">
        <f t="shared" si="1"/>
        <v>0.5</v>
      </c>
      <c r="L5459" s="62">
        <f t="shared" si="2"/>
        <v>1</v>
      </c>
    </row>
    <row r="5460">
      <c r="A5460" s="58">
        <v>45748.0</v>
      </c>
      <c r="B5460" s="24" t="s">
        <v>155</v>
      </c>
      <c r="C5460" s="24" t="s">
        <v>6802</v>
      </c>
      <c r="D5460" s="59">
        <v>2.0</v>
      </c>
      <c r="E5460" s="59">
        <v>2.0</v>
      </c>
      <c r="F5460" s="59">
        <v>1.0</v>
      </c>
      <c r="G5460" s="60">
        <v>1.0</v>
      </c>
      <c r="H5460" s="60">
        <v>1.0</v>
      </c>
      <c r="I5460" s="60">
        <v>2.9254515</v>
      </c>
      <c r="J5460" s="59">
        <v>2.0</v>
      </c>
      <c r="K5460" s="61">
        <f t="shared" si="1"/>
        <v>0.5</v>
      </c>
      <c r="L5460" s="62">
        <f t="shared" si="2"/>
        <v>1</v>
      </c>
    </row>
    <row r="5461">
      <c r="A5461" s="58">
        <v>45748.0</v>
      </c>
      <c r="B5461" s="24" t="s">
        <v>6787</v>
      </c>
      <c r="C5461" s="24" t="s">
        <v>7452</v>
      </c>
      <c r="D5461" s="59">
        <v>2.0</v>
      </c>
      <c r="E5461" s="59">
        <v>2.0</v>
      </c>
      <c r="F5461" s="59">
        <v>2.0</v>
      </c>
      <c r="G5461" s="60">
        <v>1.0</v>
      </c>
      <c r="H5461" s="60">
        <v>1.0</v>
      </c>
      <c r="I5461" s="60">
        <v>4.892148</v>
      </c>
      <c r="J5461" s="59">
        <v>2.0</v>
      </c>
      <c r="K5461" s="61">
        <f t="shared" si="1"/>
        <v>1</v>
      </c>
      <c r="L5461" s="62">
        <f t="shared" si="2"/>
        <v>1</v>
      </c>
    </row>
    <row r="5462">
      <c r="A5462" s="58">
        <v>45748.0</v>
      </c>
      <c r="B5462" s="24" t="s">
        <v>7030</v>
      </c>
      <c r="C5462" s="24" t="s">
        <v>6788</v>
      </c>
      <c r="D5462" s="59">
        <v>1.0</v>
      </c>
      <c r="E5462" s="59">
        <v>1.0</v>
      </c>
      <c r="F5462" s="59">
        <v>1.0</v>
      </c>
      <c r="G5462" s="60">
        <v>1.0</v>
      </c>
      <c r="H5462" s="60">
        <v>0.0</v>
      </c>
      <c r="I5462" s="60">
        <v>18.06759</v>
      </c>
      <c r="J5462" s="59">
        <v>1.0</v>
      </c>
      <c r="K5462" s="61">
        <f t="shared" si="1"/>
        <v>1</v>
      </c>
      <c r="L5462" s="62">
        <f t="shared" si="2"/>
        <v>1</v>
      </c>
    </row>
    <row r="5463">
      <c r="A5463" s="58">
        <v>45748.0</v>
      </c>
      <c r="B5463" s="24" t="s">
        <v>6787</v>
      </c>
      <c r="C5463" s="24" t="s">
        <v>7453</v>
      </c>
      <c r="D5463" s="59">
        <v>1.0</v>
      </c>
      <c r="E5463" s="59">
        <v>1.0</v>
      </c>
      <c r="F5463" s="59">
        <v>1.0</v>
      </c>
      <c r="G5463" s="60">
        <v>1.0</v>
      </c>
      <c r="H5463" s="60">
        <v>1.0</v>
      </c>
      <c r="I5463" s="60">
        <v>0.0</v>
      </c>
      <c r="J5463" s="59">
        <v>1.0</v>
      </c>
      <c r="K5463" s="61">
        <f t="shared" si="1"/>
        <v>1</v>
      </c>
      <c r="L5463" s="62">
        <f t="shared" si="2"/>
        <v>1</v>
      </c>
    </row>
    <row r="5464">
      <c r="A5464" s="58">
        <v>45748.0</v>
      </c>
      <c r="B5464" s="24" t="s">
        <v>6787</v>
      </c>
      <c r="C5464" s="24" t="s">
        <v>7454</v>
      </c>
      <c r="D5464" s="59">
        <v>1.0</v>
      </c>
      <c r="E5464" s="59">
        <v>1.0</v>
      </c>
      <c r="F5464" s="59">
        <v>1.0</v>
      </c>
      <c r="G5464" s="60">
        <v>1.0</v>
      </c>
      <c r="H5464" s="60">
        <v>1.0</v>
      </c>
      <c r="I5464" s="60">
        <v>0.0</v>
      </c>
      <c r="J5464" s="59">
        <v>1.0</v>
      </c>
      <c r="K5464" s="61">
        <f t="shared" si="1"/>
        <v>1</v>
      </c>
      <c r="L5464" s="62">
        <f t="shared" si="2"/>
        <v>1</v>
      </c>
    </row>
    <row r="5465">
      <c r="A5465" s="58">
        <v>45748.0</v>
      </c>
      <c r="B5465" s="24" t="s">
        <v>6787</v>
      </c>
      <c r="C5465" s="24" t="s">
        <v>7455</v>
      </c>
      <c r="D5465" s="59">
        <v>1.0</v>
      </c>
      <c r="E5465" s="59">
        <v>1.0</v>
      </c>
      <c r="F5465" s="59">
        <v>1.0</v>
      </c>
      <c r="G5465" s="60">
        <v>1.0</v>
      </c>
      <c r="H5465" s="60">
        <v>1.0</v>
      </c>
      <c r="I5465" s="60">
        <v>0.0</v>
      </c>
      <c r="J5465" s="59">
        <v>1.0</v>
      </c>
      <c r="K5465" s="61">
        <f t="shared" si="1"/>
        <v>1</v>
      </c>
      <c r="L5465" s="62">
        <f t="shared" si="2"/>
        <v>1</v>
      </c>
    </row>
    <row r="5466">
      <c r="A5466" s="58">
        <v>45748.0</v>
      </c>
      <c r="B5466" s="24" t="s">
        <v>6787</v>
      </c>
      <c r="C5466" s="24" t="s">
        <v>7370</v>
      </c>
      <c r="D5466" s="59">
        <v>1.0</v>
      </c>
      <c r="E5466" s="59">
        <v>1.0</v>
      </c>
      <c r="F5466" s="59">
        <v>1.0</v>
      </c>
      <c r="G5466" s="60">
        <v>1.0</v>
      </c>
      <c r="H5466" s="60">
        <v>1.0</v>
      </c>
      <c r="I5466" s="60">
        <v>0.0</v>
      </c>
      <c r="J5466" s="59">
        <v>1.0</v>
      </c>
      <c r="K5466" s="61">
        <f t="shared" si="1"/>
        <v>1</v>
      </c>
      <c r="L5466" s="62">
        <f t="shared" si="2"/>
        <v>1</v>
      </c>
    </row>
    <row r="5467">
      <c r="A5467" s="58">
        <v>45748.0</v>
      </c>
      <c r="B5467" s="24" t="s">
        <v>6787</v>
      </c>
      <c r="C5467" s="24" t="s">
        <v>7456</v>
      </c>
      <c r="D5467" s="59">
        <v>1.0</v>
      </c>
      <c r="E5467" s="59">
        <v>1.0</v>
      </c>
      <c r="F5467" s="59">
        <v>1.0</v>
      </c>
      <c r="G5467" s="60">
        <v>1.0</v>
      </c>
      <c r="H5467" s="60">
        <v>1.0</v>
      </c>
      <c r="I5467" s="60">
        <v>0.0</v>
      </c>
      <c r="J5467" s="59">
        <v>1.0</v>
      </c>
      <c r="K5467" s="61">
        <f t="shared" si="1"/>
        <v>1</v>
      </c>
      <c r="L5467" s="62">
        <f t="shared" si="2"/>
        <v>1</v>
      </c>
    </row>
    <row r="5468">
      <c r="A5468" s="58">
        <v>45748.0</v>
      </c>
      <c r="B5468" s="24" t="s">
        <v>6787</v>
      </c>
      <c r="C5468" s="24" t="s">
        <v>7457</v>
      </c>
      <c r="D5468" s="59">
        <v>1.0</v>
      </c>
      <c r="E5468" s="59">
        <v>1.0</v>
      </c>
      <c r="F5468" s="59">
        <v>1.0</v>
      </c>
      <c r="G5468" s="60">
        <v>1.0</v>
      </c>
      <c r="H5468" s="60">
        <v>1.0</v>
      </c>
      <c r="I5468" s="60">
        <v>0.0</v>
      </c>
      <c r="J5468" s="59">
        <v>1.0</v>
      </c>
      <c r="K5468" s="61">
        <f t="shared" si="1"/>
        <v>1</v>
      </c>
      <c r="L5468" s="62">
        <f t="shared" si="2"/>
        <v>1</v>
      </c>
    </row>
    <row r="5469">
      <c r="A5469" s="58">
        <v>45748.0</v>
      </c>
      <c r="B5469" s="24" t="s">
        <v>6787</v>
      </c>
      <c r="C5469" s="24" t="s">
        <v>7458</v>
      </c>
      <c r="D5469" s="59">
        <v>1.0</v>
      </c>
      <c r="E5469" s="59">
        <v>1.0</v>
      </c>
      <c r="F5469" s="59">
        <v>1.0</v>
      </c>
      <c r="G5469" s="60">
        <v>1.0</v>
      </c>
      <c r="H5469" s="60">
        <v>1.0</v>
      </c>
      <c r="I5469" s="60">
        <v>0.0</v>
      </c>
      <c r="J5469" s="59">
        <v>1.0</v>
      </c>
      <c r="K5469" s="61">
        <f t="shared" si="1"/>
        <v>1</v>
      </c>
      <c r="L5469" s="62">
        <f t="shared" si="2"/>
        <v>1</v>
      </c>
    </row>
    <row r="5470">
      <c r="A5470" s="58">
        <v>45748.0</v>
      </c>
      <c r="B5470" s="24" t="s">
        <v>6787</v>
      </c>
      <c r="C5470" s="24" t="s">
        <v>7459</v>
      </c>
      <c r="D5470" s="59">
        <v>1.0</v>
      </c>
      <c r="E5470" s="59">
        <v>1.0</v>
      </c>
      <c r="F5470" s="59">
        <v>1.0</v>
      </c>
      <c r="G5470" s="60">
        <v>1.0</v>
      </c>
      <c r="H5470" s="60">
        <v>1.0</v>
      </c>
      <c r="I5470" s="60">
        <v>0.0</v>
      </c>
      <c r="J5470" s="59">
        <v>1.0</v>
      </c>
      <c r="K5470" s="61">
        <f t="shared" si="1"/>
        <v>1</v>
      </c>
      <c r="L5470" s="62">
        <f t="shared" si="2"/>
        <v>1</v>
      </c>
    </row>
    <row r="5471">
      <c r="A5471" s="58">
        <v>45748.0</v>
      </c>
      <c r="B5471" s="24" t="s">
        <v>6787</v>
      </c>
      <c r="C5471" s="24" t="s">
        <v>7460</v>
      </c>
      <c r="D5471" s="59">
        <v>1.0</v>
      </c>
      <c r="E5471" s="59">
        <v>1.0</v>
      </c>
      <c r="F5471" s="59">
        <v>1.0</v>
      </c>
      <c r="G5471" s="60">
        <v>1.0</v>
      </c>
      <c r="H5471" s="60">
        <v>1.0</v>
      </c>
      <c r="I5471" s="60">
        <v>0.0</v>
      </c>
      <c r="J5471" s="59">
        <v>1.0</v>
      </c>
      <c r="K5471" s="61">
        <f t="shared" si="1"/>
        <v>1</v>
      </c>
      <c r="L5471" s="62">
        <f t="shared" si="2"/>
        <v>1</v>
      </c>
    </row>
    <row r="5472">
      <c r="A5472" s="58">
        <v>45748.0</v>
      </c>
      <c r="B5472" s="24" t="s">
        <v>6787</v>
      </c>
      <c r="C5472" s="24" t="s">
        <v>7461</v>
      </c>
      <c r="D5472" s="59">
        <v>1.0</v>
      </c>
      <c r="E5472" s="59">
        <v>1.0</v>
      </c>
      <c r="F5472" s="59">
        <v>1.0</v>
      </c>
      <c r="G5472" s="60">
        <v>1.0</v>
      </c>
      <c r="H5472" s="60">
        <v>1.0</v>
      </c>
      <c r="I5472" s="60">
        <v>0.0</v>
      </c>
      <c r="J5472" s="59">
        <v>1.0</v>
      </c>
      <c r="K5472" s="61">
        <f t="shared" si="1"/>
        <v>1</v>
      </c>
      <c r="L5472" s="62">
        <f t="shared" si="2"/>
        <v>1</v>
      </c>
    </row>
    <row r="5473">
      <c r="A5473" s="58">
        <v>45748.0</v>
      </c>
      <c r="B5473" s="24" t="s">
        <v>6787</v>
      </c>
      <c r="C5473" s="24" t="s">
        <v>7462</v>
      </c>
      <c r="D5473" s="59">
        <v>1.0</v>
      </c>
      <c r="E5473" s="59">
        <v>1.0</v>
      </c>
      <c r="F5473" s="59">
        <v>1.0</v>
      </c>
      <c r="G5473" s="60">
        <v>1.0</v>
      </c>
      <c r="H5473" s="60">
        <v>1.0</v>
      </c>
      <c r="I5473" s="60">
        <v>0.0</v>
      </c>
      <c r="J5473" s="59">
        <v>1.0</v>
      </c>
      <c r="K5473" s="61">
        <f t="shared" si="1"/>
        <v>1</v>
      </c>
      <c r="L5473" s="62">
        <f t="shared" si="2"/>
        <v>1</v>
      </c>
    </row>
    <row r="5474">
      <c r="A5474" s="58">
        <v>45748.0</v>
      </c>
      <c r="B5474" s="24" t="s">
        <v>6787</v>
      </c>
      <c r="C5474" s="24" t="s">
        <v>6980</v>
      </c>
      <c r="D5474" s="59">
        <v>1.0</v>
      </c>
      <c r="E5474" s="59">
        <v>1.0</v>
      </c>
      <c r="F5474" s="59">
        <v>1.0</v>
      </c>
      <c r="G5474" s="60">
        <v>1.0</v>
      </c>
      <c r="H5474" s="60">
        <v>1.0</v>
      </c>
      <c r="I5474" s="60">
        <v>0.0</v>
      </c>
      <c r="J5474" s="59">
        <v>1.0</v>
      </c>
      <c r="K5474" s="61">
        <f t="shared" si="1"/>
        <v>1</v>
      </c>
      <c r="L5474" s="62">
        <f t="shared" si="2"/>
        <v>1</v>
      </c>
    </row>
    <row r="5475">
      <c r="A5475" s="58">
        <v>45748.0</v>
      </c>
      <c r="B5475" s="24" t="s">
        <v>3216</v>
      </c>
      <c r="C5475" s="24" t="s">
        <v>6803</v>
      </c>
      <c r="D5475" s="59">
        <v>1.0</v>
      </c>
      <c r="E5475" s="59">
        <v>1.0</v>
      </c>
      <c r="F5475" s="59">
        <v>0.0</v>
      </c>
      <c r="G5475" s="60">
        <v>1.0</v>
      </c>
      <c r="H5475" s="60">
        <v>0.0</v>
      </c>
      <c r="I5475" s="60">
        <v>735.025718</v>
      </c>
      <c r="J5475" s="59">
        <v>1.0</v>
      </c>
      <c r="K5475" s="61">
        <f t="shared" si="1"/>
        <v>0</v>
      </c>
      <c r="L5475" s="62">
        <f t="shared" si="2"/>
        <v>1</v>
      </c>
    </row>
    <row r="5476">
      <c r="A5476" s="58">
        <v>45748.0</v>
      </c>
      <c r="B5476" s="24" t="s">
        <v>6787</v>
      </c>
      <c r="C5476" s="24" t="s">
        <v>7055</v>
      </c>
      <c r="D5476" s="59">
        <v>1.0</v>
      </c>
      <c r="E5476" s="59">
        <v>1.0</v>
      </c>
      <c r="F5476" s="59">
        <v>1.0</v>
      </c>
      <c r="G5476" s="60">
        <v>1.0</v>
      </c>
      <c r="H5476" s="60">
        <v>1.0</v>
      </c>
      <c r="I5476" s="60">
        <v>7.538875</v>
      </c>
      <c r="J5476" s="59">
        <v>1.0</v>
      </c>
      <c r="K5476" s="61">
        <f t="shared" si="1"/>
        <v>1</v>
      </c>
      <c r="L5476" s="62">
        <f t="shared" si="2"/>
        <v>1</v>
      </c>
    </row>
    <row r="5477">
      <c r="A5477" s="58">
        <v>45748.0</v>
      </c>
      <c r="B5477" s="24" t="s">
        <v>3216</v>
      </c>
      <c r="C5477" s="24" t="s">
        <v>7055</v>
      </c>
      <c r="D5477" s="59">
        <v>1.0</v>
      </c>
      <c r="E5477" s="59">
        <v>3.0</v>
      </c>
      <c r="F5477" s="59">
        <v>0.0</v>
      </c>
      <c r="G5477" s="60">
        <v>0.0</v>
      </c>
      <c r="H5477" s="60">
        <v>1.0</v>
      </c>
      <c r="I5477" s="60">
        <v>0.0</v>
      </c>
      <c r="J5477" s="59">
        <v>3.0</v>
      </c>
      <c r="K5477" s="61">
        <f t="shared" si="1"/>
        <v>0</v>
      </c>
      <c r="L5477" s="62">
        <f t="shared" si="2"/>
        <v>1</v>
      </c>
    </row>
    <row r="5478">
      <c r="A5478" s="58">
        <v>45748.0</v>
      </c>
      <c r="B5478" s="24" t="s">
        <v>6789</v>
      </c>
      <c r="C5478" s="24" t="s">
        <v>7055</v>
      </c>
      <c r="D5478" s="59">
        <v>1.0</v>
      </c>
      <c r="E5478" s="59">
        <v>1.0</v>
      </c>
      <c r="F5478" s="59">
        <v>1.0</v>
      </c>
      <c r="G5478" s="60">
        <v>1.0</v>
      </c>
      <c r="H5478" s="60">
        <v>1.0</v>
      </c>
      <c r="I5478" s="60">
        <v>0.0</v>
      </c>
      <c r="J5478" s="59">
        <v>1.0</v>
      </c>
      <c r="K5478" s="61">
        <f t="shared" si="1"/>
        <v>1</v>
      </c>
      <c r="L5478" s="62">
        <f t="shared" si="2"/>
        <v>1</v>
      </c>
    </row>
    <row r="5479">
      <c r="A5479" s="58">
        <v>45748.0</v>
      </c>
      <c r="B5479" s="24" t="s">
        <v>155</v>
      </c>
      <c r="C5479" s="24" t="s">
        <v>7055</v>
      </c>
      <c r="D5479" s="59">
        <v>1.0</v>
      </c>
      <c r="E5479" s="59">
        <v>1.0</v>
      </c>
      <c r="F5479" s="59">
        <v>0.0</v>
      </c>
      <c r="G5479" s="60">
        <v>1.0</v>
      </c>
      <c r="H5479" s="60">
        <v>0.0</v>
      </c>
      <c r="I5479" s="60">
        <v>2263.087808</v>
      </c>
      <c r="J5479" s="59">
        <v>2.0</v>
      </c>
      <c r="K5479" s="61">
        <f t="shared" si="1"/>
        <v>0</v>
      </c>
      <c r="L5479" s="62">
        <f t="shared" si="2"/>
        <v>2</v>
      </c>
    </row>
    <row r="5480">
      <c r="A5480" s="58">
        <v>45748.0</v>
      </c>
      <c r="B5480" s="24" t="s">
        <v>3216</v>
      </c>
      <c r="C5480" s="24" t="s">
        <v>6953</v>
      </c>
      <c r="D5480" s="59">
        <v>1.0</v>
      </c>
      <c r="E5480" s="59">
        <v>1.0</v>
      </c>
      <c r="F5480" s="59">
        <v>0.0</v>
      </c>
      <c r="G5480" s="60">
        <v>1.0</v>
      </c>
      <c r="H5480" s="60">
        <v>0.0</v>
      </c>
      <c r="I5480" s="60">
        <v>1523.2337</v>
      </c>
      <c r="J5480" s="59">
        <v>4.0</v>
      </c>
      <c r="K5480" s="61">
        <f t="shared" si="1"/>
        <v>0</v>
      </c>
      <c r="L5480" s="62">
        <f t="shared" si="2"/>
        <v>4</v>
      </c>
    </row>
    <row r="5481">
      <c r="A5481" s="58">
        <v>45748.0</v>
      </c>
      <c r="B5481" s="24" t="s">
        <v>155</v>
      </c>
      <c r="C5481" s="24" t="s">
        <v>6953</v>
      </c>
      <c r="D5481" s="59">
        <v>1.0</v>
      </c>
      <c r="E5481" s="59">
        <v>2.0</v>
      </c>
      <c r="F5481" s="59">
        <v>0.0</v>
      </c>
      <c r="G5481" s="60">
        <v>2.0</v>
      </c>
      <c r="H5481" s="60">
        <v>0.0</v>
      </c>
      <c r="I5481" s="60">
        <v>1124.680372</v>
      </c>
      <c r="J5481" s="59">
        <v>4.0</v>
      </c>
      <c r="K5481" s="61">
        <f t="shared" si="1"/>
        <v>0</v>
      </c>
      <c r="L5481" s="62">
        <f t="shared" si="2"/>
        <v>2</v>
      </c>
    </row>
    <row r="5482">
      <c r="A5482" s="58">
        <v>45748.0</v>
      </c>
      <c r="B5482" s="24" t="s">
        <v>6789</v>
      </c>
      <c r="C5482" s="24" t="s">
        <v>7056</v>
      </c>
      <c r="D5482" s="59">
        <v>1.0</v>
      </c>
      <c r="E5482" s="59">
        <v>1.0</v>
      </c>
      <c r="F5482" s="59">
        <v>1.0</v>
      </c>
      <c r="G5482" s="60">
        <v>1.0</v>
      </c>
      <c r="H5482" s="60">
        <v>0.0</v>
      </c>
      <c r="I5482" s="60">
        <v>118.979198</v>
      </c>
      <c r="J5482" s="59">
        <v>1.0</v>
      </c>
      <c r="K5482" s="61">
        <f t="shared" si="1"/>
        <v>1</v>
      </c>
      <c r="L5482" s="62">
        <f t="shared" si="2"/>
        <v>1</v>
      </c>
    </row>
    <row r="5483">
      <c r="A5483" s="58">
        <v>45748.0</v>
      </c>
      <c r="B5483" s="24" t="s">
        <v>7100</v>
      </c>
      <c r="C5483" s="24" t="s">
        <v>6983</v>
      </c>
      <c r="D5483" s="59">
        <v>1.0</v>
      </c>
      <c r="E5483" s="59">
        <v>1.0</v>
      </c>
      <c r="F5483" s="59">
        <v>0.0</v>
      </c>
      <c r="G5483" s="60">
        <v>0.0</v>
      </c>
      <c r="H5483" s="60">
        <v>1.0</v>
      </c>
      <c r="I5483" s="60">
        <v>0.0</v>
      </c>
      <c r="J5483" s="59">
        <v>1.0</v>
      </c>
      <c r="K5483" s="61">
        <f t="shared" si="1"/>
        <v>0</v>
      </c>
      <c r="L5483" s="62">
        <f t="shared" si="2"/>
        <v>1</v>
      </c>
    </row>
    <row r="5484">
      <c r="A5484" s="58">
        <v>45748.0</v>
      </c>
      <c r="B5484" s="24" t="s">
        <v>155</v>
      </c>
      <c r="C5484" s="24" t="s">
        <v>6983</v>
      </c>
      <c r="D5484" s="59">
        <v>1.0</v>
      </c>
      <c r="E5484" s="59">
        <v>2.0</v>
      </c>
      <c r="F5484" s="59">
        <v>0.0</v>
      </c>
      <c r="G5484" s="60">
        <v>2.0</v>
      </c>
      <c r="H5484" s="60">
        <v>0.5</v>
      </c>
      <c r="I5484" s="60">
        <v>989.754874499999</v>
      </c>
      <c r="J5484" s="59">
        <v>3.0</v>
      </c>
      <c r="K5484" s="61">
        <f t="shared" si="1"/>
        <v>0</v>
      </c>
      <c r="L5484" s="62">
        <f t="shared" si="2"/>
        <v>1.5</v>
      </c>
    </row>
    <row r="5485">
      <c r="A5485" s="58">
        <v>45748.0</v>
      </c>
      <c r="B5485" s="24" t="s">
        <v>6790</v>
      </c>
      <c r="C5485" s="24" t="s">
        <v>6804</v>
      </c>
      <c r="D5485" s="59">
        <v>1.0</v>
      </c>
      <c r="E5485" s="59">
        <v>1.0</v>
      </c>
      <c r="F5485" s="59">
        <v>1.0</v>
      </c>
      <c r="G5485" s="60">
        <v>1.0</v>
      </c>
      <c r="H5485" s="60">
        <v>1.0</v>
      </c>
      <c r="I5485" s="60">
        <v>0.0</v>
      </c>
      <c r="J5485" s="59">
        <v>1.0</v>
      </c>
      <c r="K5485" s="61">
        <f t="shared" si="1"/>
        <v>1</v>
      </c>
      <c r="L5485" s="62">
        <f t="shared" si="2"/>
        <v>1</v>
      </c>
    </row>
    <row r="5486">
      <c r="A5486" s="58">
        <v>45748.0</v>
      </c>
      <c r="B5486" s="24" t="s">
        <v>6787</v>
      </c>
      <c r="C5486" s="24" t="s">
        <v>6829</v>
      </c>
      <c r="D5486" s="59">
        <v>1.0</v>
      </c>
      <c r="E5486" s="59">
        <v>1.0</v>
      </c>
      <c r="F5486" s="59">
        <v>1.0</v>
      </c>
      <c r="G5486" s="60">
        <v>1.0</v>
      </c>
      <c r="H5486" s="60">
        <v>1.0</v>
      </c>
      <c r="I5486" s="60">
        <v>8.851032</v>
      </c>
      <c r="J5486" s="59">
        <v>1.0</v>
      </c>
      <c r="K5486" s="61">
        <f t="shared" si="1"/>
        <v>1</v>
      </c>
      <c r="L5486" s="62">
        <f t="shared" si="2"/>
        <v>1</v>
      </c>
    </row>
    <row r="5487">
      <c r="A5487" s="58">
        <v>45748.0</v>
      </c>
      <c r="B5487" s="24" t="s">
        <v>6789</v>
      </c>
      <c r="C5487" s="24" t="s">
        <v>7057</v>
      </c>
      <c r="D5487" s="59">
        <v>1.0</v>
      </c>
      <c r="E5487" s="59">
        <v>1.0</v>
      </c>
      <c r="F5487" s="59">
        <v>1.0</v>
      </c>
      <c r="G5487" s="60">
        <v>1.0</v>
      </c>
      <c r="H5487" s="60">
        <v>0.0</v>
      </c>
      <c r="I5487" s="60">
        <v>531.814144</v>
      </c>
      <c r="J5487" s="59">
        <v>2.0</v>
      </c>
      <c r="K5487" s="61">
        <f t="shared" si="1"/>
        <v>1</v>
      </c>
      <c r="L5487" s="62">
        <f t="shared" si="2"/>
        <v>2</v>
      </c>
    </row>
    <row r="5488">
      <c r="A5488" s="58">
        <v>45748.0</v>
      </c>
      <c r="B5488" s="24" t="s">
        <v>6787</v>
      </c>
      <c r="C5488" s="24" t="s">
        <v>6861</v>
      </c>
      <c r="D5488" s="59">
        <v>1.0</v>
      </c>
      <c r="E5488" s="59">
        <v>1.0</v>
      </c>
      <c r="F5488" s="59">
        <v>1.0</v>
      </c>
      <c r="G5488" s="60">
        <v>1.0</v>
      </c>
      <c r="H5488" s="60">
        <v>1.0</v>
      </c>
      <c r="I5488" s="60">
        <v>0.0</v>
      </c>
      <c r="J5488" s="59">
        <v>1.0</v>
      </c>
      <c r="K5488" s="61">
        <f t="shared" si="1"/>
        <v>1</v>
      </c>
      <c r="L5488" s="62">
        <f t="shared" si="2"/>
        <v>1</v>
      </c>
    </row>
    <row r="5489">
      <c r="A5489" s="58">
        <v>45748.0</v>
      </c>
      <c r="B5489" s="24" t="s">
        <v>155</v>
      </c>
      <c r="C5489" s="24" t="s">
        <v>6861</v>
      </c>
      <c r="D5489" s="59">
        <v>1.0</v>
      </c>
      <c r="E5489" s="59">
        <v>1.0</v>
      </c>
      <c r="F5489" s="59">
        <v>0.0</v>
      </c>
      <c r="G5489" s="60">
        <v>1.0</v>
      </c>
      <c r="H5489" s="60">
        <v>0.0</v>
      </c>
      <c r="I5489" s="60">
        <v>618.798396</v>
      </c>
      <c r="J5489" s="59">
        <v>1.0</v>
      </c>
      <c r="K5489" s="61">
        <f t="shared" si="1"/>
        <v>0</v>
      </c>
      <c r="L5489" s="62">
        <f t="shared" si="2"/>
        <v>1</v>
      </c>
    </row>
    <row r="5490">
      <c r="A5490" s="58">
        <v>45748.0</v>
      </c>
      <c r="B5490" s="24" t="s">
        <v>6787</v>
      </c>
      <c r="C5490" s="24" t="s">
        <v>6985</v>
      </c>
      <c r="D5490" s="59">
        <v>1.0</v>
      </c>
      <c r="E5490" s="59">
        <v>1.0</v>
      </c>
      <c r="F5490" s="59">
        <v>1.0</v>
      </c>
      <c r="G5490" s="60">
        <v>1.0</v>
      </c>
      <c r="H5490" s="60">
        <v>1.0</v>
      </c>
      <c r="I5490" s="60">
        <v>0.0</v>
      </c>
      <c r="J5490" s="59">
        <v>1.0</v>
      </c>
      <c r="K5490" s="61">
        <f t="shared" si="1"/>
        <v>1</v>
      </c>
      <c r="L5490" s="62">
        <f t="shared" si="2"/>
        <v>1</v>
      </c>
    </row>
    <row r="5491">
      <c r="A5491" s="58">
        <v>45748.0</v>
      </c>
      <c r="B5491" s="24" t="s">
        <v>6787</v>
      </c>
      <c r="C5491" s="24" t="s">
        <v>6833</v>
      </c>
      <c r="D5491" s="59">
        <v>1.0</v>
      </c>
      <c r="E5491" s="59">
        <v>1.0</v>
      </c>
      <c r="F5491" s="59">
        <v>1.0</v>
      </c>
      <c r="G5491" s="60">
        <v>1.0</v>
      </c>
      <c r="H5491" s="60">
        <v>1.0</v>
      </c>
      <c r="I5491" s="60">
        <v>0.0</v>
      </c>
      <c r="J5491" s="59">
        <v>1.0</v>
      </c>
      <c r="K5491" s="61">
        <f t="shared" si="1"/>
        <v>1</v>
      </c>
      <c r="L5491" s="62">
        <f t="shared" si="2"/>
        <v>1</v>
      </c>
    </row>
    <row r="5492">
      <c r="A5492" s="58">
        <v>45748.0</v>
      </c>
      <c r="B5492" s="24" t="s">
        <v>6789</v>
      </c>
      <c r="C5492" s="24" t="s">
        <v>6833</v>
      </c>
      <c r="D5492" s="59">
        <v>1.0</v>
      </c>
      <c r="E5492" s="59">
        <v>1.0</v>
      </c>
      <c r="F5492" s="59">
        <v>1.0</v>
      </c>
      <c r="G5492" s="60">
        <v>1.0</v>
      </c>
      <c r="H5492" s="60">
        <v>0.0</v>
      </c>
      <c r="I5492" s="60">
        <v>35.372891</v>
      </c>
      <c r="J5492" s="59">
        <v>1.0</v>
      </c>
      <c r="K5492" s="61">
        <f t="shared" si="1"/>
        <v>1</v>
      </c>
      <c r="L5492" s="62">
        <f t="shared" si="2"/>
        <v>1</v>
      </c>
    </row>
    <row r="5493">
      <c r="A5493" s="58">
        <v>45748.0</v>
      </c>
      <c r="B5493" s="24" t="s">
        <v>6794</v>
      </c>
      <c r="C5493" s="24" t="s">
        <v>6833</v>
      </c>
      <c r="D5493" s="59">
        <v>1.0</v>
      </c>
      <c r="E5493" s="59">
        <v>1.0</v>
      </c>
      <c r="F5493" s="59">
        <v>0.0</v>
      </c>
      <c r="G5493" s="60">
        <v>0.0</v>
      </c>
      <c r="H5493" s="60">
        <v>1.0</v>
      </c>
      <c r="I5493" s="60">
        <v>0.0</v>
      </c>
      <c r="J5493" s="59">
        <v>1.0</v>
      </c>
      <c r="K5493" s="61">
        <f t="shared" si="1"/>
        <v>0</v>
      </c>
      <c r="L5493" s="62">
        <f t="shared" si="2"/>
        <v>1</v>
      </c>
    </row>
    <row r="5494">
      <c r="A5494" s="58">
        <v>45748.0</v>
      </c>
      <c r="B5494" s="24" t="s">
        <v>6789</v>
      </c>
      <c r="C5494" s="24" t="s">
        <v>6986</v>
      </c>
      <c r="D5494" s="59">
        <v>1.0</v>
      </c>
      <c r="E5494" s="59">
        <v>1.0</v>
      </c>
      <c r="F5494" s="59">
        <v>1.0</v>
      </c>
      <c r="G5494" s="60">
        <v>1.0</v>
      </c>
      <c r="H5494" s="60">
        <v>0.0</v>
      </c>
      <c r="I5494" s="60">
        <v>1680.338343</v>
      </c>
      <c r="J5494" s="59">
        <v>1.0</v>
      </c>
      <c r="K5494" s="61">
        <f t="shared" si="1"/>
        <v>1</v>
      </c>
      <c r="L5494" s="62">
        <f t="shared" si="2"/>
        <v>1</v>
      </c>
    </row>
    <row r="5495">
      <c r="A5495" s="58">
        <v>45748.0</v>
      </c>
      <c r="B5495" s="24" t="s">
        <v>6789</v>
      </c>
      <c r="C5495" s="24" t="s">
        <v>7061</v>
      </c>
      <c r="D5495" s="59">
        <v>1.0</v>
      </c>
      <c r="E5495" s="59">
        <v>1.0</v>
      </c>
      <c r="F5495" s="59">
        <v>1.0</v>
      </c>
      <c r="G5495" s="60">
        <v>1.0</v>
      </c>
      <c r="H5495" s="60">
        <v>1.0</v>
      </c>
      <c r="I5495" s="60">
        <v>8.122738</v>
      </c>
      <c r="J5495" s="59">
        <v>1.0</v>
      </c>
      <c r="K5495" s="61">
        <f t="shared" si="1"/>
        <v>1</v>
      </c>
      <c r="L5495" s="62">
        <f t="shared" si="2"/>
        <v>1</v>
      </c>
    </row>
    <row r="5496">
      <c r="A5496" s="58">
        <v>45748.0</v>
      </c>
      <c r="B5496" s="24" t="s">
        <v>6787</v>
      </c>
      <c r="C5496" s="24" t="s">
        <v>6988</v>
      </c>
      <c r="D5496" s="59">
        <v>1.0</v>
      </c>
      <c r="E5496" s="59">
        <v>1.0</v>
      </c>
      <c r="F5496" s="59">
        <v>1.0</v>
      </c>
      <c r="G5496" s="60">
        <v>1.0</v>
      </c>
      <c r="H5496" s="60">
        <v>1.0</v>
      </c>
      <c r="I5496" s="60">
        <v>0.0</v>
      </c>
      <c r="J5496" s="59">
        <v>1.0</v>
      </c>
      <c r="K5496" s="61">
        <f t="shared" si="1"/>
        <v>1</v>
      </c>
      <c r="L5496" s="62">
        <f t="shared" si="2"/>
        <v>1</v>
      </c>
    </row>
    <row r="5497">
      <c r="A5497" s="58">
        <v>45748.0</v>
      </c>
      <c r="B5497" s="24" t="s">
        <v>6787</v>
      </c>
      <c r="C5497" s="24" t="s">
        <v>6870</v>
      </c>
      <c r="D5497" s="59">
        <v>1.0</v>
      </c>
      <c r="E5497" s="59">
        <v>1.0</v>
      </c>
      <c r="F5497" s="59">
        <v>1.0</v>
      </c>
      <c r="G5497" s="60">
        <v>1.0</v>
      </c>
      <c r="H5497" s="60">
        <v>1.0</v>
      </c>
      <c r="I5497" s="60">
        <v>0.0</v>
      </c>
      <c r="J5497" s="59">
        <v>1.0</v>
      </c>
      <c r="K5497" s="61">
        <f t="shared" si="1"/>
        <v>1</v>
      </c>
      <c r="L5497" s="62">
        <f t="shared" si="2"/>
        <v>1</v>
      </c>
    </row>
    <row r="5498">
      <c r="A5498" s="58">
        <v>45748.0</v>
      </c>
      <c r="B5498" s="24" t="s">
        <v>155</v>
      </c>
      <c r="C5498" s="24" t="s">
        <v>6870</v>
      </c>
      <c r="D5498" s="59">
        <v>1.0</v>
      </c>
      <c r="E5498" s="59">
        <v>1.0</v>
      </c>
      <c r="F5498" s="59">
        <v>0.0</v>
      </c>
      <c r="G5498" s="60">
        <v>1.0</v>
      </c>
      <c r="H5498" s="60">
        <v>0.0</v>
      </c>
      <c r="I5498" s="60">
        <v>159.373488</v>
      </c>
      <c r="J5498" s="59">
        <v>3.0</v>
      </c>
      <c r="K5498" s="61">
        <f t="shared" si="1"/>
        <v>0</v>
      </c>
      <c r="L5498" s="62">
        <f t="shared" si="2"/>
        <v>3</v>
      </c>
    </row>
    <row r="5499">
      <c r="A5499" s="58">
        <v>45748.0</v>
      </c>
      <c r="B5499" s="24" t="s">
        <v>155</v>
      </c>
      <c r="C5499" s="24" t="s">
        <v>7024</v>
      </c>
      <c r="D5499" s="59">
        <v>1.0</v>
      </c>
      <c r="E5499" s="59">
        <v>1.0</v>
      </c>
      <c r="F5499" s="59">
        <v>1.0</v>
      </c>
      <c r="G5499" s="60">
        <v>1.0</v>
      </c>
      <c r="H5499" s="60">
        <v>0.0</v>
      </c>
      <c r="I5499" s="60">
        <v>291.310087</v>
      </c>
      <c r="J5499" s="59">
        <v>2.0</v>
      </c>
      <c r="K5499" s="61">
        <f t="shared" si="1"/>
        <v>1</v>
      </c>
      <c r="L5499" s="62">
        <f t="shared" si="2"/>
        <v>2</v>
      </c>
    </row>
    <row r="5500">
      <c r="A5500" s="58">
        <v>45748.0</v>
      </c>
      <c r="B5500" s="24" t="s">
        <v>6787</v>
      </c>
      <c r="C5500" s="24" t="s">
        <v>7064</v>
      </c>
      <c r="D5500" s="59">
        <v>1.0</v>
      </c>
      <c r="E5500" s="59">
        <v>1.0</v>
      </c>
      <c r="F5500" s="59">
        <v>1.0</v>
      </c>
      <c r="G5500" s="60">
        <v>1.0</v>
      </c>
      <c r="H5500" s="60">
        <v>1.0</v>
      </c>
      <c r="I5500" s="60">
        <v>0.0</v>
      </c>
      <c r="J5500" s="59">
        <v>1.0</v>
      </c>
      <c r="K5500" s="61">
        <f t="shared" si="1"/>
        <v>1</v>
      </c>
      <c r="L5500" s="62">
        <f t="shared" si="2"/>
        <v>1</v>
      </c>
    </row>
    <row r="5501">
      <c r="A5501" s="58">
        <v>45748.0</v>
      </c>
      <c r="B5501" s="24" t="s">
        <v>6787</v>
      </c>
      <c r="C5501" s="24" t="s">
        <v>7065</v>
      </c>
      <c r="D5501" s="59">
        <v>1.0</v>
      </c>
      <c r="E5501" s="59">
        <v>1.0</v>
      </c>
      <c r="F5501" s="59">
        <v>1.0</v>
      </c>
      <c r="G5501" s="60">
        <v>1.0</v>
      </c>
      <c r="H5501" s="60">
        <v>1.0</v>
      </c>
      <c r="I5501" s="60">
        <v>0.0</v>
      </c>
      <c r="J5501" s="59">
        <v>1.0</v>
      </c>
      <c r="K5501" s="61">
        <f t="shared" si="1"/>
        <v>1</v>
      </c>
      <c r="L5501" s="62">
        <f t="shared" si="2"/>
        <v>1</v>
      </c>
    </row>
    <row r="5502">
      <c r="A5502" s="58">
        <v>45748.0</v>
      </c>
      <c r="B5502" s="24" t="s">
        <v>6787</v>
      </c>
      <c r="C5502" s="24" t="s">
        <v>6877</v>
      </c>
      <c r="D5502" s="59">
        <v>1.0</v>
      </c>
      <c r="E5502" s="59">
        <v>1.0</v>
      </c>
      <c r="F5502" s="59">
        <v>1.0</v>
      </c>
      <c r="G5502" s="60">
        <v>1.0</v>
      </c>
      <c r="H5502" s="60">
        <v>1.0</v>
      </c>
      <c r="I5502" s="60">
        <v>0.0</v>
      </c>
      <c r="J5502" s="59">
        <v>1.0</v>
      </c>
      <c r="K5502" s="61">
        <f t="shared" si="1"/>
        <v>1</v>
      </c>
      <c r="L5502" s="62">
        <f t="shared" si="2"/>
        <v>1</v>
      </c>
    </row>
    <row r="5503">
      <c r="A5503" s="58">
        <v>45748.0</v>
      </c>
      <c r="B5503" s="24" t="s">
        <v>6789</v>
      </c>
      <c r="C5503" s="24" t="s">
        <v>6877</v>
      </c>
      <c r="D5503" s="59">
        <v>1.0</v>
      </c>
      <c r="E5503" s="59">
        <v>1.0</v>
      </c>
      <c r="F5503" s="59">
        <v>0.0</v>
      </c>
      <c r="G5503" s="60">
        <v>1.0</v>
      </c>
      <c r="H5503" s="60">
        <v>0.0</v>
      </c>
      <c r="I5503" s="60">
        <v>425.677326</v>
      </c>
      <c r="J5503" s="59">
        <v>2.0</v>
      </c>
      <c r="K5503" s="61">
        <f t="shared" si="1"/>
        <v>0</v>
      </c>
      <c r="L5503" s="62">
        <f t="shared" si="2"/>
        <v>2</v>
      </c>
    </row>
    <row r="5504">
      <c r="A5504" s="58">
        <v>45748.0</v>
      </c>
      <c r="B5504" s="24" t="s">
        <v>6789</v>
      </c>
      <c r="C5504" s="24" t="s">
        <v>6989</v>
      </c>
      <c r="D5504" s="59">
        <v>1.0</v>
      </c>
      <c r="E5504" s="59">
        <v>1.0</v>
      </c>
      <c r="F5504" s="59">
        <v>1.0</v>
      </c>
      <c r="G5504" s="60">
        <v>1.0</v>
      </c>
      <c r="H5504" s="60">
        <v>0.0</v>
      </c>
      <c r="I5504" s="60">
        <v>64.035172</v>
      </c>
      <c r="J5504" s="59">
        <v>2.0</v>
      </c>
      <c r="K5504" s="61">
        <f t="shared" si="1"/>
        <v>1</v>
      </c>
      <c r="L5504" s="62">
        <f t="shared" si="2"/>
        <v>2</v>
      </c>
    </row>
    <row r="5505">
      <c r="A5505" s="58">
        <v>45748.0</v>
      </c>
      <c r="B5505" s="24" t="s">
        <v>6787</v>
      </c>
      <c r="C5505" s="24" t="s">
        <v>6878</v>
      </c>
      <c r="D5505" s="59">
        <v>1.0</v>
      </c>
      <c r="E5505" s="59">
        <v>1.0</v>
      </c>
      <c r="F5505" s="59">
        <v>0.0</v>
      </c>
      <c r="G5505" s="60">
        <v>1.0</v>
      </c>
      <c r="H5505" s="60">
        <v>1.0</v>
      </c>
      <c r="I5505" s="60">
        <v>1.669311</v>
      </c>
      <c r="J5505" s="59">
        <v>1.0</v>
      </c>
      <c r="K5505" s="61">
        <f t="shared" si="1"/>
        <v>0</v>
      </c>
      <c r="L5505" s="62">
        <f t="shared" si="2"/>
        <v>1</v>
      </c>
    </row>
    <row r="5506">
      <c r="A5506" s="58">
        <v>45748.0</v>
      </c>
      <c r="B5506" s="24" t="s">
        <v>6789</v>
      </c>
      <c r="C5506" s="24" t="s">
        <v>7463</v>
      </c>
      <c r="D5506" s="59">
        <v>1.0</v>
      </c>
      <c r="E5506" s="59">
        <v>1.0</v>
      </c>
      <c r="F5506" s="59">
        <v>0.0</v>
      </c>
      <c r="G5506" s="60">
        <v>1.0</v>
      </c>
      <c r="H5506" s="60">
        <v>1.0</v>
      </c>
      <c r="I5506" s="60">
        <v>0.0</v>
      </c>
      <c r="J5506" s="59">
        <v>1.0</v>
      </c>
      <c r="K5506" s="61">
        <f t="shared" si="1"/>
        <v>0</v>
      </c>
      <c r="L5506" s="62">
        <f t="shared" si="2"/>
        <v>1</v>
      </c>
    </row>
    <row r="5507">
      <c r="A5507" s="58">
        <v>45748.0</v>
      </c>
      <c r="B5507" s="24" t="s">
        <v>6789</v>
      </c>
      <c r="C5507" s="24" t="s">
        <v>6880</v>
      </c>
      <c r="D5507" s="59">
        <v>1.0</v>
      </c>
      <c r="E5507" s="59">
        <v>3.0</v>
      </c>
      <c r="F5507" s="59">
        <v>1.0</v>
      </c>
      <c r="G5507" s="60">
        <v>3.0</v>
      </c>
      <c r="H5507" s="60">
        <v>1.0</v>
      </c>
      <c r="I5507" s="60">
        <v>0.0</v>
      </c>
      <c r="J5507" s="59">
        <v>3.0</v>
      </c>
      <c r="K5507" s="61">
        <f t="shared" si="1"/>
        <v>0.3333333333</v>
      </c>
      <c r="L5507" s="62">
        <f t="shared" si="2"/>
        <v>1</v>
      </c>
    </row>
    <row r="5508">
      <c r="A5508" s="58">
        <v>45748.0</v>
      </c>
      <c r="B5508" s="24" t="s">
        <v>6789</v>
      </c>
      <c r="C5508" s="24" t="s">
        <v>6881</v>
      </c>
      <c r="D5508" s="59">
        <v>1.0</v>
      </c>
      <c r="E5508" s="59">
        <v>1.0</v>
      </c>
      <c r="F5508" s="59">
        <v>1.0</v>
      </c>
      <c r="G5508" s="60">
        <v>1.0</v>
      </c>
      <c r="H5508" s="60">
        <v>0.0</v>
      </c>
      <c r="I5508" s="60">
        <v>1631.939984</v>
      </c>
      <c r="J5508" s="59">
        <v>3.0</v>
      </c>
      <c r="K5508" s="61">
        <f t="shared" si="1"/>
        <v>1</v>
      </c>
      <c r="L5508" s="62">
        <f t="shared" si="2"/>
        <v>3</v>
      </c>
    </row>
    <row r="5509">
      <c r="A5509" s="58">
        <v>45748.0</v>
      </c>
      <c r="B5509" s="24" t="s">
        <v>6789</v>
      </c>
      <c r="C5509" s="24" t="s">
        <v>6990</v>
      </c>
      <c r="D5509" s="59">
        <v>1.0</v>
      </c>
      <c r="E5509" s="59">
        <v>1.0</v>
      </c>
      <c r="F5509" s="59">
        <v>1.0</v>
      </c>
      <c r="G5509" s="60">
        <v>1.0</v>
      </c>
      <c r="H5509" s="60">
        <v>0.0</v>
      </c>
      <c r="I5509" s="60">
        <v>387.672188</v>
      </c>
      <c r="J5509" s="59">
        <v>1.0</v>
      </c>
      <c r="K5509" s="61">
        <f t="shared" si="1"/>
        <v>1</v>
      </c>
      <c r="L5509" s="62">
        <f t="shared" si="2"/>
        <v>1</v>
      </c>
    </row>
    <row r="5510">
      <c r="A5510" s="58">
        <v>45748.0</v>
      </c>
      <c r="B5510" s="24" t="s">
        <v>6787</v>
      </c>
      <c r="C5510" s="24" t="s">
        <v>7067</v>
      </c>
      <c r="D5510" s="59">
        <v>1.0</v>
      </c>
      <c r="E5510" s="59">
        <v>1.0</v>
      </c>
      <c r="F5510" s="59">
        <v>1.0</v>
      </c>
      <c r="G5510" s="60">
        <v>1.0</v>
      </c>
      <c r="H5510" s="60">
        <v>1.0</v>
      </c>
      <c r="I5510" s="60">
        <v>5.658344</v>
      </c>
      <c r="J5510" s="59">
        <v>1.0</v>
      </c>
      <c r="K5510" s="61">
        <f t="shared" si="1"/>
        <v>1</v>
      </c>
      <c r="L5510" s="62">
        <f t="shared" si="2"/>
        <v>1</v>
      </c>
    </row>
    <row r="5511">
      <c r="A5511" s="58">
        <v>45748.0</v>
      </c>
      <c r="B5511" s="24" t="s">
        <v>155</v>
      </c>
      <c r="C5511" s="24" t="s">
        <v>7068</v>
      </c>
      <c r="D5511" s="59">
        <v>1.0</v>
      </c>
      <c r="E5511" s="59">
        <v>1.0</v>
      </c>
      <c r="F5511" s="59">
        <v>1.0</v>
      </c>
      <c r="G5511" s="60">
        <v>1.0</v>
      </c>
      <c r="H5511" s="60">
        <v>0.0</v>
      </c>
      <c r="I5511" s="60">
        <v>512.404218</v>
      </c>
      <c r="J5511" s="59">
        <v>1.0</v>
      </c>
      <c r="K5511" s="61">
        <f t="shared" si="1"/>
        <v>1</v>
      </c>
      <c r="L5511" s="62">
        <f t="shared" si="2"/>
        <v>1</v>
      </c>
    </row>
    <row r="5512">
      <c r="A5512" s="58">
        <v>45748.0</v>
      </c>
      <c r="B5512" s="24" t="s">
        <v>155</v>
      </c>
      <c r="C5512" s="24" t="s">
        <v>6835</v>
      </c>
      <c r="D5512" s="59">
        <v>1.0</v>
      </c>
      <c r="E5512" s="59">
        <v>1.0</v>
      </c>
      <c r="F5512" s="59">
        <v>1.0</v>
      </c>
      <c r="G5512" s="60">
        <v>1.0</v>
      </c>
      <c r="H5512" s="60">
        <v>0.0</v>
      </c>
      <c r="I5512" s="60">
        <v>902.41636</v>
      </c>
      <c r="J5512" s="59">
        <v>1.0</v>
      </c>
      <c r="K5512" s="61">
        <f t="shared" si="1"/>
        <v>1</v>
      </c>
      <c r="L5512" s="62">
        <f t="shared" si="2"/>
        <v>1</v>
      </c>
    </row>
    <row r="5513">
      <c r="A5513" s="58">
        <v>45748.0</v>
      </c>
      <c r="B5513" s="24" t="s">
        <v>155</v>
      </c>
      <c r="C5513" s="24" t="s">
        <v>6991</v>
      </c>
      <c r="D5513" s="59">
        <v>1.0</v>
      </c>
      <c r="E5513" s="59">
        <v>1.0</v>
      </c>
      <c r="F5513" s="59">
        <v>0.0</v>
      </c>
      <c r="G5513" s="60">
        <v>1.0</v>
      </c>
      <c r="H5513" s="60">
        <v>0.0</v>
      </c>
      <c r="I5513" s="60">
        <v>2170.668797</v>
      </c>
      <c r="J5513" s="59">
        <v>2.0</v>
      </c>
      <c r="K5513" s="61">
        <f t="shared" si="1"/>
        <v>0</v>
      </c>
      <c r="L5513" s="62">
        <f t="shared" si="2"/>
        <v>2</v>
      </c>
    </row>
    <row r="5514">
      <c r="A5514" s="58">
        <v>45748.0</v>
      </c>
      <c r="B5514" s="24" t="s">
        <v>6789</v>
      </c>
      <c r="C5514" s="24" t="s">
        <v>6992</v>
      </c>
      <c r="D5514" s="59">
        <v>1.0</v>
      </c>
      <c r="E5514" s="59">
        <v>1.0</v>
      </c>
      <c r="F5514" s="59">
        <v>1.0</v>
      </c>
      <c r="G5514" s="60">
        <v>1.0</v>
      </c>
      <c r="H5514" s="60">
        <v>1.0</v>
      </c>
      <c r="I5514" s="60">
        <v>0.0</v>
      </c>
      <c r="J5514" s="59">
        <v>1.0</v>
      </c>
      <c r="K5514" s="61">
        <f t="shared" si="1"/>
        <v>1</v>
      </c>
      <c r="L5514" s="62">
        <f t="shared" si="2"/>
        <v>1</v>
      </c>
    </row>
    <row r="5515">
      <c r="A5515" s="58">
        <v>45748.0</v>
      </c>
      <c r="B5515" s="24" t="s">
        <v>6789</v>
      </c>
      <c r="C5515" s="24" t="s">
        <v>7464</v>
      </c>
      <c r="D5515" s="59">
        <v>1.0</v>
      </c>
      <c r="E5515" s="59">
        <v>1.0</v>
      </c>
      <c r="F5515" s="59">
        <v>0.0</v>
      </c>
      <c r="G5515" s="60">
        <v>1.0</v>
      </c>
      <c r="H5515" s="60">
        <v>1.0</v>
      </c>
      <c r="I5515" s="60">
        <v>1.491868</v>
      </c>
      <c r="J5515" s="59">
        <v>1.0</v>
      </c>
      <c r="K5515" s="61">
        <f t="shared" si="1"/>
        <v>0</v>
      </c>
      <c r="L5515" s="62">
        <f t="shared" si="2"/>
        <v>1</v>
      </c>
    </row>
    <row r="5516">
      <c r="A5516" s="58">
        <v>45748.0</v>
      </c>
      <c r="B5516" s="24" t="s">
        <v>6787</v>
      </c>
      <c r="C5516" s="24" t="s">
        <v>7073</v>
      </c>
      <c r="D5516" s="59">
        <v>1.0</v>
      </c>
      <c r="E5516" s="59">
        <v>1.0</v>
      </c>
      <c r="F5516" s="59">
        <v>1.0</v>
      </c>
      <c r="G5516" s="60">
        <v>1.0</v>
      </c>
      <c r="H5516" s="60">
        <v>1.0</v>
      </c>
      <c r="I5516" s="60">
        <v>0.0</v>
      </c>
      <c r="J5516" s="59">
        <v>1.0</v>
      </c>
      <c r="K5516" s="61">
        <f t="shared" si="1"/>
        <v>1</v>
      </c>
      <c r="L5516" s="62">
        <f t="shared" si="2"/>
        <v>1</v>
      </c>
    </row>
    <row r="5517">
      <c r="A5517" s="58">
        <v>45748.0</v>
      </c>
      <c r="B5517" s="24" t="s">
        <v>6789</v>
      </c>
      <c r="C5517" s="24" t="s">
        <v>7073</v>
      </c>
      <c r="D5517" s="59">
        <v>1.0</v>
      </c>
      <c r="E5517" s="59">
        <v>4.0</v>
      </c>
      <c r="F5517" s="59">
        <v>1.0</v>
      </c>
      <c r="G5517" s="60">
        <v>4.0</v>
      </c>
      <c r="H5517" s="60">
        <v>0.25</v>
      </c>
      <c r="I5517" s="60">
        <v>334.7379585</v>
      </c>
      <c r="J5517" s="59">
        <v>5.0</v>
      </c>
      <c r="K5517" s="61">
        <f t="shared" si="1"/>
        <v>0.25</v>
      </c>
      <c r="L5517" s="62">
        <f t="shared" si="2"/>
        <v>1.25</v>
      </c>
    </row>
    <row r="5518">
      <c r="A5518" s="58">
        <v>45748.0</v>
      </c>
      <c r="B5518" s="24" t="s">
        <v>7100</v>
      </c>
      <c r="C5518" s="24" t="s">
        <v>7073</v>
      </c>
      <c r="D5518" s="59">
        <v>1.0</v>
      </c>
      <c r="E5518" s="59">
        <v>1.0</v>
      </c>
      <c r="F5518" s="59">
        <v>0.0</v>
      </c>
      <c r="G5518" s="60">
        <v>1.0</v>
      </c>
      <c r="H5518" s="60">
        <v>0.0</v>
      </c>
      <c r="I5518" s="60">
        <v>1170.26224</v>
      </c>
      <c r="J5518" s="59">
        <v>3.0</v>
      </c>
      <c r="K5518" s="61">
        <f t="shared" si="1"/>
        <v>0</v>
      </c>
      <c r="L5518" s="62">
        <f t="shared" si="2"/>
        <v>3</v>
      </c>
    </row>
    <row r="5519">
      <c r="A5519" s="58">
        <v>45748.0</v>
      </c>
      <c r="B5519" s="24" t="s">
        <v>6789</v>
      </c>
      <c r="C5519" s="24" t="s">
        <v>6930</v>
      </c>
      <c r="D5519" s="59">
        <v>1.0</v>
      </c>
      <c r="E5519" s="59">
        <v>1.0</v>
      </c>
      <c r="F5519" s="59">
        <v>1.0</v>
      </c>
      <c r="G5519" s="60">
        <v>1.0</v>
      </c>
      <c r="H5519" s="60">
        <v>1.0</v>
      </c>
      <c r="I5519" s="60">
        <v>9.798982</v>
      </c>
      <c r="J5519" s="59">
        <v>1.0</v>
      </c>
      <c r="K5519" s="61">
        <f t="shared" si="1"/>
        <v>1</v>
      </c>
      <c r="L5519" s="62">
        <f t="shared" si="2"/>
        <v>1</v>
      </c>
    </row>
    <row r="5520">
      <c r="A5520" s="58">
        <v>45748.0</v>
      </c>
      <c r="B5520" s="24" t="s">
        <v>6787</v>
      </c>
      <c r="C5520" s="24" t="s">
        <v>7074</v>
      </c>
      <c r="D5520" s="59">
        <v>1.0</v>
      </c>
      <c r="E5520" s="59">
        <v>1.0</v>
      </c>
      <c r="F5520" s="59">
        <v>1.0</v>
      </c>
      <c r="G5520" s="60">
        <v>1.0</v>
      </c>
      <c r="H5520" s="60">
        <v>1.0</v>
      </c>
      <c r="I5520" s="60">
        <v>4.331306</v>
      </c>
      <c r="J5520" s="59">
        <v>1.0</v>
      </c>
      <c r="K5520" s="61">
        <f t="shared" si="1"/>
        <v>1</v>
      </c>
      <c r="L5520" s="62">
        <f t="shared" si="2"/>
        <v>1</v>
      </c>
    </row>
    <row r="5521">
      <c r="A5521" s="58">
        <v>45748.0</v>
      </c>
      <c r="B5521" s="24" t="s">
        <v>6789</v>
      </c>
      <c r="C5521" s="24" t="s">
        <v>7074</v>
      </c>
      <c r="D5521" s="59">
        <v>1.0</v>
      </c>
      <c r="E5521" s="59">
        <v>1.0</v>
      </c>
      <c r="F5521" s="59">
        <v>1.0</v>
      </c>
      <c r="G5521" s="60">
        <v>1.0</v>
      </c>
      <c r="H5521" s="60">
        <v>0.0</v>
      </c>
      <c r="I5521" s="60">
        <v>10.399344</v>
      </c>
      <c r="J5521" s="59">
        <v>1.0</v>
      </c>
      <c r="K5521" s="61">
        <f t="shared" si="1"/>
        <v>1</v>
      </c>
      <c r="L5521" s="62">
        <f t="shared" si="2"/>
        <v>1</v>
      </c>
    </row>
    <row r="5522">
      <c r="A5522" s="58">
        <v>45748.0</v>
      </c>
      <c r="B5522" s="24" t="s">
        <v>6789</v>
      </c>
      <c r="C5522" s="24" t="s">
        <v>7465</v>
      </c>
      <c r="D5522" s="59">
        <v>1.0</v>
      </c>
      <c r="E5522" s="59">
        <v>1.0</v>
      </c>
      <c r="F5522" s="59">
        <v>0.0</v>
      </c>
      <c r="G5522" s="60">
        <v>0.0</v>
      </c>
      <c r="H5522" s="60">
        <v>1.0</v>
      </c>
      <c r="I5522" s="60">
        <v>0.0</v>
      </c>
      <c r="J5522" s="59">
        <v>1.0</v>
      </c>
      <c r="K5522" s="61">
        <f t="shared" si="1"/>
        <v>0</v>
      </c>
      <c r="L5522" s="62">
        <f t="shared" si="2"/>
        <v>1</v>
      </c>
    </row>
    <row r="5523">
      <c r="A5523" s="58">
        <v>45748.0</v>
      </c>
      <c r="B5523" s="24" t="s">
        <v>155</v>
      </c>
      <c r="C5523" s="24" t="s">
        <v>7465</v>
      </c>
      <c r="D5523" s="59">
        <v>1.0</v>
      </c>
      <c r="E5523" s="59">
        <v>1.0</v>
      </c>
      <c r="F5523" s="59">
        <v>0.0</v>
      </c>
      <c r="G5523" s="60">
        <v>1.0</v>
      </c>
      <c r="H5523" s="60">
        <v>0.0</v>
      </c>
      <c r="I5523" s="60">
        <v>11.736328</v>
      </c>
      <c r="J5523" s="59">
        <v>1.0</v>
      </c>
      <c r="K5523" s="61">
        <f t="shared" si="1"/>
        <v>0</v>
      </c>
      <c r="L5523" s="62">
        <f t="shared" si="2"/>
        <v>1</v>
      </c>
    </row>
    <row r="5524">
      <c r="A5524" s="58">
        <v>45748.0</v>
      </c>
      <c r="B5524" s="24" t="s">
        <v>155</v>
      </c>
      <c r="C5524" s="24" t="s">
        <v>6799</v>
      </c>
      <c r="D5524" s="59">
        <v>1.0</v>
      </c>
      <c r="E5524" s="59">
        <v>1.0</v>
      </c>
      <c r="F5524" s="59">
        <v>0.0</v>
      </c>
      <c r="G5524" s="60">
        <v>1.0</v>
      </c>
      <c r="H5524" s="60">
        <v>1.0</v>
      </c>
      <c r="I5524" s="60">
        <v>7.828159</v>
      </c>
      <c r="J5524" s="59">
        <v>1.0</v>
      </c>
      <c r="K5524" s="61">
        <f t="shared" si="1"/>
        <v>0</v>
      </c>
      <c r="L5524" s="62">
        <f t="shared" si="2"/>
        <v>1</v>
      </c>
    </row>
    <row r="5525">
      <c r="A5525" s="58">
        <v>45748.0</v>
      </c>
      <c r="B5525" s="24" t="s">
        <v>6794</v>
      </c>
      <c r="C5525" s="24" t="s">
        <v>6838</v>
      </c>
      <c r="D5525" s="59">
        <v>1.0</v>
      </c>
      <c r="E5525" s="59">
        <v>1.0</v>
      </c>
      <c r="F5525" s="59">
        <v>0.0</v>
      </c>
      <c r="G5525" s="60">
        <v>1.0</v>
      </c>
      <c r="H5525" s="60">
        <v>0.0</v>
      </c>
      <c r="I5525" s="60">
        <v>6.1859</v>
      </c>
      <c r="J5525" s="59">
        <v>2.0</v>
      </c>
      <c r="K5525" s="61">
        <f t="shared" si="1"/>
        <v>0</v>
      </c>
      <c r="L5525" s="62">
        <f t="shared" si="2"/>
        <v>2</v>
      </c>
    </row>
    <row r="5526">
      <c r="A5526" s="58">
        <v>45748.0</v>
      </c>
      <c r="B5526" s="24" t="s">
        <v>6787</v>
      </c>
      <c r="C5526" s="24" t="s">
        <v>6997</v>
      </c>
      <c r="D5526" s="59">
        <v>1.0</v>
      </c>
      <c r="E5526" s="59">
        <v>1.0</v>
      </c>
      <c r="F5526" s="59">
        <v>1.0</v>
      </c>
      <c r="G5526" s="60">
        <v>1.0</v>
      </c>
      <c r="H5526" s="60">
        <v>1.0</v>
      </c>
      <c r="I5526" s="60">
        <v>0.0</v>
      </c>
      <c r="J5526" s="59">
        <v>1.0</v>
      </c>
      <c r="K5526" s="61">
        <f t="shared" si="1"/>
        <v>1</v>
      </c>
      <c r="L5526" s="62">
        <f t="shared" si="2"/>
        <v>1</v>
      </c>
    </row>
    <row r="5527">
      <c r="A5527" s="58">
        <v>45748.0</v>
      </c>
      <c r="B5527" s="24" t="s">
        <v>6787</v>
      </c>
      <c r="C5527" s="24" t="s">
        <v>6892</v>
      </c>
      <c r="D5527" s="59">
        <v>1.0</v>
      </c>
      <c r="E5527" s="59">
        <v>1.0</v>
      </c>
      <c r="F5527" s="59">
        <v>1.0</v>
      </c>
      <c r="G5527" s="60">
        <v>1.0</v>
      </c>
      <c r="H5527" s="60">
        <v>0.0</v>
      </c>
      <c r="I5527" s="60">
        <v>14.854819</v>
      </c>
      <c r="J5527" s="59">
        <v>1.0</v>
      </c>
      <c r="K5527" s="61">
        <f t="shared" si="1"/>
        <v>1</v>
      </c>
      <c r="L5527" s="62">
        <f t="shared" si="2"/>
        <v>1</v>
      </c>
    </row>
    <row r="5528">
      <c r="A5528" s="58">
        <v>45748.0</v>
      </c>
      <c r="B5528" s="24" t="s">
        <v>3216</v>
      </c>
      <c r="C5528" s="24" t="s">
        <v>6840</v>
      </c>
      <c r="D5528" s="59">
        <v>1.0</v>
      </c>
      <c r="E5528" s="59">
        <v>1.0</v>
      </c>
      <c r="F5528" s="59">
        <v>0.0</v>
      </c>
      <c r="G5528" s="60">
        <v>1.0</v>
      </c>
      <c r="H5528" s="60">
        <v>0.0</v>
      </c>
      <c r="I5528" s="60">
        <v>1418.065616</v>
      </c>
      <c r="J5528" s="59">
        <v>2.0</v>
      </c>
      <c r="K5528" s="61">
        <f t="shared" si="1"/>
        <v>0</v>
      </c>
      <c r="L5528" s="62">
        <f t="shared" si="2"/>
        <v>2</v>
      </c>
    </row>
    <row r="5529">
      <c r="A5529" s="58">
        <v>45748.0</v>
      </c>
      <c r="B5529" s="24" t="s">
        <v>6789</v>
      </c>
      <c r="C5529" s="24" t="s">
        <v>7032</v>
      </c>
      <c r="D5529" s="59">
        <v>1.0</v>
      </c>
      <c r="E5529" s="59">
        <v>3.0</v>
      </c>
      <c r="F5529" s="59">
        <v>0.0</v>
      </c>
      <c r="G5529" s="60">
        <v>0.0</v>
      </c>
      <c r="H5529" s="60">
        <v>1.0</v>
      </c>
      <c r="I5529" s="60">
        <v>0.0</v>
      </c>
      <c r="J5529" s="59">
        <v>3.0</v>
      </c>
      <c r="K5529" s="61">
        <f t="shared" si="1"/>
        <v>0</v>
      </c>
      <c r="L5529" s="62">
        <f t="shared" si="2"/>
        <v>1</v>
      </c>
    </row>
    <row r="5530">
      <c r="A5530" s="58">
        <v>45748.0</v>
      </c>
      <c r="B5530" s="24" t="s">
        <v>6787</v>
      </c>
      <c r="C5530" s="24" t="s">
        <v>7438</v>
      </c>
      <c r="D5530" s="59">
        <v>1.0</v>
      </c>
      <c r="E5530" s="59">
        <v>1.0</v>
      </c>
      <c r="F5530" s="59">
        <v>1.0</v>
      </c>
      <c r="G5530" s="60">
        <v>1.0</v>
      </c>
      <c r="H5530" s="60">
        <v>0.0</v>
      </c>
      <c r="I5530" s="60">
        <v>63.797431</v>
      </c>
      <c r="J5530" s="59">
        <v>1.0</v>
      </c>
      <c r="K5530" s="61">
        <f t="shared" si="1"/>
        <v>1</v>
      </c>
      <c r="L5530" s="62">
        <f t="shared" si="2"/>
        <v>1</v>
      </c>
    </row>
    <row r="5531">
      <c r="A5531" s="58">
        <v>45748.0</v>
      </c>
      <c r="B5531" s="24" t="s">
        <v>155</v>
      </c>
      <c r="C5531" s="24" t="s">
        <v>7438</v>
      </c>
      <c r="D5531" s="59">
        <v>1.0</v>
      </c>
      <c r="E5531" s="59">
        <v>1.0</v>
      </c>
      <c r="F5531" s="59">
        <v>1.0</v>
      </c>
      <c r="G5531" s="60">
        <v>1.0</v>
      </c>
      <c r="H5531" s="60">
        <v>0.0</v>
      </c>
      <c r="I5531" s="60">
        <v>86.773786</v>
      </c>
      <c r="J5531" s="59">
        <v>2.0</v>
      </c>
      <c r="K5531" s="61">
        <f t="shared" si="1"/>
        <v>1</v>
      </c>
      <c r="L5531" s="62">
        <f t="shared" si="2"/>
        <v>2</v>
      </c>
    </row>
    <row r="5532">
      <c r="A5532" s="58">
        <v>45748.0</v>
      </c>
      <c r="B5532" s="24" t="s">
        <v>6787</v>
      </c>
      <c r="C5532" s="24" t="s">
        <v>7129</v>
      </c>
      <c r="D5532" s="59">
        <v>1.0</v>
      </c>
      <c r="E5532" s="59">
        <v>1.0</v>
      </c>
      <c r="F5532" s="59">
        <v>1.0</v>
      </c>
      <c r="G5532" s="60">
        <v>1.0</v>
      </c>
      <c r="H5532" s="60">
        <v>1.0</v>
      </c>
      <c r="I5532" s="60">
        <v>2.17069</v>
      </c>
      <c r="J5532" s="59">
        <v>1.0</v>
      </c>
      <c r="K5532" s="61">
        <f t="shared" si="1"/>
        <v>1</v>
      </c>
      <c r="L5532" s="62">
        <f t="shared" si="2"/>
        <v>1</v>
      </c>
    </row>
    <row r="5533">
      <c r="A5533" s="58">
        <v>45748.0</v>
      </c>
      <c r="B5533" s="24" t="s">
        <v>6787</v>
      </c>
      <c r="C5533" s="24" t="s">
        <v>6896</v>
      </c>
      <c r="D5533" s="59">
        <v>1.0</v>
      </c>
      <c r="E5533" s="59">
        <v>1.0</v>
      </c>
      <c r="F5533" s="59">
        <v>0.0</v>
      </c>
      <c r="G5533" s="60">
        <v>1.0</v>
      </c>
      <c r="H5533" s="60">
        <v>0.0</v>
      </c>
      <c r="I5533" s="60">
        <v>102.204255</v>
      </c>
      <c r="J5533" s="59">
        <v>2.0</v>
      </c>
      <c r="K5533" s="61">
        <f t="shared" si="1"/>
        <v>0</v>
      </c>
      <c r="L5533" s="62">
        <f t="shared" si="2"/>
        <v>2</v>
      </c>
    </row>
    <row r="5534">
      <c r="A5534" s="58">
        <v>45748.0</v>
      </c>
      <c r="B5534" s="24" t="s">
        <v>6787</v>
      </c>
      <c r="C5534" s="24" t="s">
        <v>7466</v>
      </c>
      <c r="D5534" s="59">
        <v>1.0</v>
      </c>
      <c r="E5534" s="59">
        <v>1.0</v>
      </c>
      <c r="F5534" s="59">
        <v>0.0</v>
      </c>
      <c r="G5534" s="60">
        <v>1.0</v>
      </c>
      <c r="H5534" s="60">
        <v>0.0</v>
      </c>
      <c r="I5534" s="60">
        <v>1738.969416</v>
      </c>
      <c r="J5534" s="59">
        <v>2.0</v>
      </c>
      <c r="K5534" s="61">
        <f t="shared" si="1"/>
        <v>0</v>
      </c>
      <c r="L5534" s="62">
        <f t="shared" si="2"/>
        <v>2</v>
      </c>
    </row>
    <row r="5535">
      <c r="A5535" s="58">
        <v>45748.0</v>
      </c>
      <c r="B5535" s="24" t="s">
        <v>155</v>
      </c>
      <c r="C5535" s="24" t="s">
        <v>7301</v>
      </c>
      <c r="D5535" s="59">
        <v>1.0</v>
      </c>
      <c r="E5535" s="59">
        <v>2.0</v>
      </c>
      <c r="F5535" s="59">
        <v>0.0</v>
      </c>
      <c r="G5535" s="60">
        <v>2.0</v>
      </c>
      <c r="H5535" s="60">
        <v>0.5</v>
      </c>
      <c r="I5535" s="60">
        <v>474.5227295</v>
      </c>
      <c r="J5535" s="59">
        <v>2.0</v>
      </c>
      <c r="K5535" s="61">
        <f t="shared" si="1"/>
        <v>0</v>
      </c>
      <c r="L5535" s="62">
        <f t="shared" si="2"/>
        <v>1</v>
      </c>
    </row>
    <row r="5536">
      <c r="A5536" s="58">
        <v>45748.0</v>
      </c>
      <c r="B5536" s="24" t="s">
        <v>6790</v>
      </c>
      <c r="C5536" s="24" t="s">
        <v>7301</v>
      </c>
      <c r="D5536" s="59">
        <v>1.0</v>
      </c>
      <c r="E5536" s="59">
        <v>1.0</v>
      </c>
      <c r="F5536" s="59">
        <v>0.0</v>
      </c>
      <c r="G5536" s="60">
        <v>1.0</v>
      </c>
      <c r="H5536" s="60">
        <v>1.0</v>
      </c>
      <c r="I5536" s="60">
        <v>8.135221</v>
      </c>
      <c r="J5536" s="59">
        <v>1.0</v>
      </c>
      <c r="K5536" s="61">
        <f t="shared" si="1"/>
        <v>0</v>
      </c>
      <c r="L5536" s="62">
        <f t="shared" si="2"/>
        <v>1</v>
      </c>
    </row>
    <row r="5537">
      <c r="A5537" s="58">
        <v>45748.0</v>
      </c>
      <c r="B5537" s="24" t="s">
        <v>6789</v>
      </c>
      <c r="C5537" s="24" t="s">
        <v>7223</v>
      </c>
      <c r="D5537" s="59">
        <v>1.0</v>
      </c>
      <c r="E5537" s="59">
        <v>3.0</v>
      </c>
      <c r="F5537" s="59">
        <v>0.0</v>
      </c>
      <c r="G5537" s="60">
        <v>3.0</v>
      </c>
      <c r="H5537" s="60">
        <v>0.666666666666666</v>
      </c>
      <c r="I5537" s="60">
        <v>411.154505666666</v>
      </c>
      <c r="J5537" s="59">
        <v>6.0</v>
      </c>
      <c r="K5537" s="61">
        <f t="shared" si="1"/>
        <v>0</v>
      </c>
      <c r="L5537" s="62">
        <f t="shared" si="2"/>
        <v>2</v>
      </c>
    </row>
    <row r="5538">
      <c r="A5538" s="58">
        <v>45748.0</v>
      </c>
      <c r="B5538" s="24" t="s">
        <v>7100</v>
      </c>
      <c r="C5538" s="24" t="s">
        <v>7223</v>
      </c>
      <c r="D5538" s="59">
        <v>1.0</v>
      </c>
      <c r="E5538" s="59">
        <v>1.0</v>
      </c>
      <c r="F5538" s="59">
        <v>0.0</v>
      </c>
      <c r="G5538" s="60">
        <v>1.0</v>
      </c>
      <c r="H5538" s="60">
        <v>0.0</v>
      </c>
      <c r="I5538" s="60">
        <v>2240.15837</v>
      </c>
      <c r="J5538" s="59">
        <v>17.0</v>
      </c>
      <c r="K5538" s="61">
        <f t="shared" si="1"/>
        <v>0</v>
      </c>
      <c r="L5538" s="62">
        <f t="shared" si="2"/>
        <v>17</v>
      </c>
    </row>
    <row r="5539">
      <c r="A5539" s="58">
        <v>45748.0</v>
      </c>
      <c r="B5539" s="24" t="s">
        <v>6789</v>
      </c>
      <c r="C5539" s="24" t="s">
        <v>6897</v>
      </c>
      <c r="D5539" s="59">
        <v>1.0</v>
      </c>
      <c r="E5539" s="59">
        <v>1.0</v>
      </c>
      <c r="F5539" s="59">
        <v>0.0</v>
      </c>
      <c r="G5539" s="60">
        <v>1.0</v>
      </c>
      <c r="H5539" s="60">
        <v>0.0</v>
      </c>
      <c r="I5539" s="60">
        <v>132.083212</v>
      </c>
      <c r="J5539" s="59">
        <v>3.0</v>
      </c>
      <c r="K5539" s="61">
        <f t="shared" si="1"/>
        <v>0</v>
      </c>
      <c r="L5539" s="62">
        <f t="shared" si="2"/>
        <v>3</v>
      </c>
    </row>
    <row r="5540">
      <c r="A5540" s="58">
        <v>45748.0</v>
      </c>
      <c r="B5540" s="24" t="s">
        <v>155</v>
      </c>
      <c r="C5540" s="24" t="s">
        <v>6841</v>
      </c>
      <c r="D5540" s="59">
        <v>1.0</v>
      </c>
      <c r="E5540" s="59">
        <v>1.0</v>
      </c>
      <c r="F5540" s="59">
        <v>1.0</v>
      </c>
      <c r="G5540" s="60">
        <v>1.0</v>
      </c>
      <c r="H5540" s="60">
        <v>1.0</v>
      </c>
      <c r="I5540" s="60">
        <v>0.0</v>
      </c>
      <c r="J5540" s="59">
        <v>1.0</v>
      </c>
      <c r="K5540" s="61">
        <f t="shared" si="1"/>
        <v>1</v>
      </c>
      <c r="L5540" s="62">
        <f t="shared" si="2"/>
        <v>1</v>
      </c>
    </row>
    <row r="5541">
      <c r="A5541" s="58">
        <v>45748.0</v>
      </c>
      <c r="B5541" s="24" t="s">
        <v>155</v>
      </c>
      <c r="C5541" s="24" t="s">
        <v>6898</v>
      </c>
      <c r="D5541" s="59">
        <v>1.0</v>
      </c>
      <c r="E5541" s="59">
        <v>3.0</v>
      </c>
      <c r="F5541" s="59">
        <v>0.0</v>
      </c>
      <c r="G5541" s="60">
        <v>3.0</v>
      </c>
      <c r="H5541" s="60">
        <v>0.333333333333333</v>
      </c>
      <c r="I5541" s="60">
        <v>1532.48769033333</v>
      </c>
      <c r="J5541" s="59">
        <v>4.0</v>
      </c>
      <c r="K5541" s="61">
        <f t="shared" si="1"/>
        <v>0</v>
      </c>
      <c r="L5541" s="62">
        <f t="shared" si="2"/>
        <v>1.333333333</v>
      </c>
    </row>
    <row r="5542">
      <c r="A5542" s="58">
        <v>45748.0</v>
      </c>
      <c r="B5542" s="24" t="s">
        <v>6789</v>
      </c>
      <c r="C5542" s="24" t="s">
        <v>6899</v>
      </c>
      <c r="D5542" s="59">
        <v>1.0</v>
      </c>
      <c r="E5542" s="59">
        <v>1.0</v>
      </c>
      <c r="F5542" s="59">
        <v>0.0</v>
      </c>
      <c r="G5542" s="60">
        <v>1.0</v>
      </c>
      <c r="H5542" s="60">
        <v>0.0</v>
      </c>
      <c r="I5542" s="60">
        <v>1778.700131</v>
      </c>
      <c r="J5542" s="59">
        <v>9.0</v>
      </c>
      <c r="K5542" s="61">
        <f t="shared" si="1"/>
        <v>0</v>
      </c>
      <c r="L5542" s="62">
        <f t="shared" si="2"/>
        <v>9</v>
      </c>
    </row>
    <row r="5543">
      <c r="A5543" s="58">
        <v>45748.0</v>
      </c>
      <c r="B5543" s="24" t="s">
        <v>6787</v>
      </c>
      <c r="C5543" s="24" t="s">
        <v>6842</v>
      </c>
      <c r="D5543" s="59">
        <v>1.0</v>
      </c>
      <c r="E5543" s="59">
        <v>1.0</v>
      </c>
      <c r="F5543" s="59">
        <v>1.0</v>
      </c>
      <c r="G5543" s="60">
        <v>1.0</v>
      </c>
      <c r="H5543" s="60">
        <v>1.0</v>
      </c>
      <c r="I5543" s="60">
        <v>0.0</v>
      </c>
      <c r="J5543" s="59">
        <v>1.0</v>
      </c>
      <c r="K5543" s="61">
        <f t="shared" si="1"/>
        <v>1</v>
      </c>
      <c r="L5543" s="62">
        <f t="shared" si="2"/>
        <v>1</v>
      </c>
    </row>
    <row r="5544">
      <c r="A5544" s="58">
        <v>45748.0</v>
      </c>
      <c r="B5544" s="24" t="s">
        <v>155</v>
      </c>
      <c r="C5544" s="24" t="s">
        <v>6811</v>
      </c>
      <c r="D5544" s="59">
        <v>1.0</v>
      </c>
      <c r="E5544" s="59">
        <v>1.0</v>
      </c>
      <c r="F5544" s="59">
        <v>0.0</v>
      </c>
      <c r="G5544" s="60">
        <v>1.0</v>
      </c>
      <c r="H5544" s="60">
        <v>0.0</v>
      </c>
      <c r="I5544" s="60">
        <v>11.227754</v>
      </c>
      <c r="J5544" s="59">
        <v>1.0</v>
      </c>
      <c r="K5544" s="61">
        <f t="shared" si="1"/>
        <v>0</v>
      </c>
      <c r="L5544" s="62">
        <f t="shared" si="2"/>
        <v>1</v>
      </c>
    </row>
    <row r="5545">
      <c r="A5545" s="58">
        <v>45748.0</v>
      </c>
      <c r="B5545" s="24" t="s">
        <v>6789</v>
      </c>
      <c r="C5545" s="24" t="s">
        <v>7006</v>
      </c>
      <c r="D5545" s="59">
        <v>1.0</v>
      </c>
      <c r="E5545" s="59">
        <v>1.0</v>
      </c>
      <c r="F5545" s="59">
        <v>0.0</v>
      </c>
      <c r="G5545" s="60">
        <v>0.0</v>
      </c>
      <c r="H5545" s="60">
        <v>0.0</v>
      </c>
      <c r="I5545" s="60">
        <v>70.287356</v>
      </c>
      <c r="J5545" s="59">
        <v>1.0</v>
      </c>
      <c r="K5545" s="61">
        <f t="shared" si="1"/>
        <v>0</v>
      </c>
      <c r="L5545" s="62">
        <f t="shared" si="2"/>
        <v>1</v>
      </c>
    </row>
    <row r="5546">
      <c r="A5546" s="58">
        <v>45748.0</v>
      </c>
      <c r="B5546" s="24" t="s">
        <v>6789</v>
      </c>
      <c r="C5546" s="24" t="s">
        <v>6901</v>
      </c>
      <c r="D5546" s="59">
        <v>1.0</v>
      </c>
      <c r="E5546" s="59">
        <v>1.0</v>
      </c>
      <c r="F5546" s="59">
        <v>1.0</v>
      </c>
      <c r="G5546" s="60">
        <v>1.0</v>
      </c>
      <c r="H5546" s="60">
        <v>0.0</v>
      </c>
      <c r="I5546" s="60">
        <v>145.531946</v>
      </c>
      <c r="J5546" s="59">
        <v>2.0</v>
      </c>
      <c r="K5546" s="61">
        <f t="shared" si="1"/>
        <v>1</v>
      </c>
      <c r="L5546" s="62">
        <f t="shared" si="2"/>
        <v>2</v>
      </c>
    </row>
    <row r="5547">
      <c r="A5547" s="58">
        <v>45748.0</v>
      </c>
      <c r="B5547" s="24" t="s">
        <v>6789</v>
      </c>
      <c r="C5547" s="24" t="s">
        <v>6843</v>
      </c>
      <c r="D5547" s="59">
        <v>1.0</v>
      </c>
      <c r="E5547" s="59">
        <v>1.0</v>
      </c>
      <c r="F5547" s="59">
        <v>0.0</v>
      </c>
      <c r="G5547" s="60">
        <v>1.0</v>
      </c>
      <c r="H5547" s="60">
        <v>0.0</v>
      </c>
      <c r="I5547" s="60">
        <v>1784.049691</v>
      </c>
      <c r="J5547" s="59">
        <v>5.0</v>
      </c>
      <c r="K5547" s="61">
        <f t="shared" si="1"/>
        <v>0</v>
      </c>
      <c r="L5547" s="62">
        <f t="shared" si="2"/>
        <v>5</v>
      </c>
    </row>
    <row r="5548">
      <c r="A5548" s="58">
        <v>45748.0</v>
      </c>
      <c r="B5548" s="24" t="s">
        <v>155</v>
      </c>
      <c r="C5548" s="24" t="s">
        <v>7077</v>
      </c>
      <c r="D5548" s="59">
        <v>1.0</v>
      </c>
      <c r="E5548" s="59">
        <v>1.0</v>
      </c>
      <c r="F5548" s="59">
        <v>1.0</v>
      </c>
      <c r="G5548" s="60">
        <v>1.0</v>
      </c>
      <c r="H5548" s="60">
        <v>0.0</v>
      </c>
      <c r="I5548" s="60">
        <v>1448.138332</v>
      </c>
      <c r="J5548" s="59">
        <v>4.0</v>
      </c>
      <c r="K5548" s="61">
        <f t="shared" si="1"/>
        <v>1</v>
      </c>
      <c r="L5548" s="62">
        <f t="shared" si="2"/>
        <v>4</v>
      </c>
    </row>
    <row r="5549">
      <c r="A5549" s="58">
        <v>45748.0</v>
      </c>
      <c r="B5549" s="24" t="s">
        <v>6794</v>
      </c>
      <c r="C5549" s="24" t="s">
        <v>6807</v>
      </c>
      <c r="D5549" s="59">
        <v>1.0</v>
      </c>
      <c r="E5549" s="59">
        <v>1.0</v>
      </c>
      <c r="F5549" s="59">
        <v>0.0</v>
      </c>
      <c r="G5549" s="60">
        <v>1.0</v>
      </c>
      <c r="H5549" s="60">
        <v>0.0</v>
      </c>
      <c r="I5549" s="60">
        <v>29.016932</v>
      </c>
      <c r="J5549" s="59">
        <v>1.0</v>
      </c>
      <c r="K5549" s="61">
        <f t="shared" si="1"/>
        <v>0</v>
      </c>
      <c r="L5549" s="62">
        <f t="shared" si="2"/>
        <v>1</v>
      </c>
    </row>
    <row r="5550">
      <c r="A5550" s="58">
        <v>45748.0</v>
      </c>
      <c r="B5550" s="24" t="s">
        <v>6789</v>
      </c>
      <c r="C5550" s="24" t="s">
        <v>6946</v>
      </c>
      <c r="D5550" s="59">
        <v>1.0</v>
      </c>
      <c r="E5550" s="59">
        <v>1.0</v>
      </c>
      <c r="F5550" s="59">
        <v>0.0</v>
      </c>
      <c r="G5550" s="60">
        <v>1.0</v>
      </c>
      <c r="H5550" s="60">
        <v>0.0</v>
      </c>
      <c r="I5550" s="60">
        <v>107.115244</v>
      </c>
      <c r="J5550" s="59">
        <v>2.0</v>
      </c>
      <c r="K5550" s="61">
        <f t="shared" si="1"/>
        <v>0</v>
      </c>
      <c r="L5550" s="62">
        <f t="shared" si="2"/>
        <v>2</v>
      </c>
    </row>
    <row r="5551">
      <c r="A5551" s="58">
        <v>45748.0</v>
      </c>
      <c r="B5551" s="24" t="s">
        <v>6787</v>
      </c>
      <c r="C5551" s="24" t="s">
        <v>7078</v>
      </c>
      <c r="D5551" s="59">
        <v>1.0</v>
      </c>
      <c r="E5551" s="59">
        <v>1.0</v>
      </c>
      <c r="F5551" s="59">
        <v>0.0</v>
      </c>
      <c r="G5551" s="60">
        <v>1.0</v>
      </c>
      <c r="H5551" s="60">
        <v>0.0</v>
      </c>
      <c r="I5551" s="60">
        <v>407.628468</v>
      </c>
      <c r="J5551" s="59">
        <v>8.0</v>
      </c>
      <c r="K5551" s="61">
        <f t="shared" si="1"/>
        <v>0</v>
      </c>
      <c r="L5551" s="62">
        <f t="shared" si="2"/>
        <v>8</v>
      </c>
    </row>
    <row r="5552">
      <c r="A5552" s="58">
        <v>45748.0</v>
      </c>
      <c r="B5552" s="24" t="s">
        <v>6789</v>
      </c>
      <c r="C5552" s="24" t="s">
        <v>7078</v>
      </c>
      <c r="D5552" s="59">
        <v>1.0</v>
      </c>
      <c r="E5552" s="59">
        <v>4.0</v>
      </c>
      <c r="F5552" s="59">
        <v>0.0</v>
      </c>
      <c r="G5552" s="60">
        <v>4.0</v>
      </c>
      <c r="H5552" s="60">
        <v>0.0</v>
      </c>
      <c r="I5552" s="60">
        <v>186.994161</v>
      </c>
      <c r="J5552" s="59">
        <v>18.0</v>
      </c>
      <c r="K5552" s="61">
        <f t="shared" si="1"/>
        <v>0</v>
      </c>
      <c r="L5552" s="62">
        <f t="shared" si="2"/>
        <v>4.5</v>
      </c>
    </row>
    <row r="5553">
      <c r="A5553" s="58">
        <v>45748.0</v>
      </c>
      <c r="B5553" s="24" t="s">
        <v>155</v>
      </c>
      <c r="C5553" s="24" t="s">
        <v>6903</v>
      </c>
      <c r="D5553" s="59">
        <v>1.0</v>
      </c>
      <c r="E5553" s="59">
        <v>1.0</v>
      </c>
      <c r="F5553" s="59">
        <v>0.0</v>
      </c>
      <c r="G5553" s="60">
        <v>1.0</v>
      </c>
      <c r="H5553" s="60">
        <v>0.0</v>
      </c>
      <c r="I5553" s="60">
        <v>529.589562</v>
      </c>
      <c r="J5553" s="59">
        <v>5.0</v>
      </c>
      <c r="K5553" s="61">
        <f t="shared" si="1"/>
        <v>0</v>
      </c>
      <c r="L5553" s="62">
        <f t="shared" si="2"/>
        <v>5</v>
      </c>
    </row>
    <row r="5554">
      <c r="A5554" s="58">
        <v>45748.0</v>
      </c>
      <c r="B5554" s="24" t="s">
        <v>6787</v>
      </c>
      <c r="C5554" s="24" t="s">
        <v>6796</v>
      </c>
      <c r="D5554" s="59">
        <v>1.0</v>
      </c>
      <c r="E5554" s="59">
        <v>1.0</v>
      </c>
      <c r="F5554" s="59">
        <v>0.0</v>
      </c>
      <c r="G5554" s="60">
        <v>1.0</v>
      </c>
      <c r="H5554" s="60">
        <v>0.0</v>
      </c>
      <c r="I5554" s="60">
        <v>529.630472</v>
      </c>
      <c r="J5554" s="59">
        <v>2.0</v>
      </c>
      <c r="K5554" s="61">
        <f t="shared" si="1"/>
        <v>0</v>
      </c>
      <c r="L5554" s="62">
        <f t="shared" si="2"/>
        <v>2</v>
      </c>
    </row>
    <row r="5555">
      <c r="A5555" s="58">
        <v>45748.0</v>
      </c>
      <c r="B5555" s="24" t="s">
        <v>6789</v>
      </c>
      <c r="C5555" s="24" t="s">
        <v>6796</v>
      </c>
      <c r="D5555" s="59">
        <v>1.0</v>
      </c>
      <c r="E5555" s="59">
        <v>2.0</v>
      </c>
      <c r="F5555" s="59">
        <v>0.0</v>
      </c>
      <c r="G5555" s="60">
        <v>2.0</v>
      </c>
      <c r="H5555" s="60">
        <v>0.0</v>
      </c>
      <c r="I5555" s="60">
        <v>870.3908655</v>
      </c>
      <c r="J5555" s="59">
        <v>4.0</v>
      </c>
      <c r="K5555" s="61">
        <f t="shared" si="1"/>
        <v>0</v>
      </c>
      <c r="L5555" s="62">
        <f t="shared" si="2"/>
        <v>2</v>
      </c>
    </row>
    <row r="5556">
      <c r="A5556" s="58">
        <v>45748.0</v>
      </c>
      <c r="B5556" s="24" t="s">
        <v>6787</v>
      </c>
      <c r="C5556" s="24" t="s">
        <v>7467</v>
      </c>
      <c r="D5556" s="59">
        <v>1.0</v>
      </c>
      <c r="E5556" s="59">
        <v>2.0</v>
      </c>
      <c r="F5556" s="59">
        <v>1.0</v>
      </c>
      <c r="G5556" s="60">
        <v>2.0</v>
      </c>
      <c r="H5556" s="60">
        <v>1.0</v>
      </c>
      <c r="I5556" s="60">
        <v>0.0</v>
      </c>
      <c r="J5556" s="59">
        <v>2.0</v>
      </c>
      <c r="K5556" s="61">
        <f t="shared" si="1"/>
        <v>0.5</v>
      </c>
      <c r="L5556" s="62">
        <f t="shared" si="2"/>
        <v>1</v>
      </c>
    </row>
    <row r="5557">
      <c r="A5557" s="58">
        <v>45748.0</v>
      </c>
      <c r="B5557" s="24" t="s">
        <v>155</v>
      </c>
      <c r="C5557" s="24" t="s">
        <v>6905</v>
      </c>
      <c r="D5557" s="59">
        <v>1.0</v>
      </c>
      <c r="E5557" s="59">
        <v>1.0</v>
      </c>
      <c r="F5557" s="59">
        <v>1.0</v>
      </c>
      <c r="G5557" s="60">
        <v>1.0</v>
      </c>
      <c r="H5557" s="60">
        <v>0.0</v>
      </c>
      <c r="I5557" s="60">
        <v>53.71911</v>
      </c>
      <c r="J5557" s="59">
        <v>1.0</v>
      </c>
      <c r="K5557" s="61">
        <f t="shared" si="1"/>
        <v>1</v>
      </c>
      <c r="L5557" s="62">
        <f t="shared" si="2"/>
        <v>1</v>
      </c>
    </row>
    <row r="5558">
      <c r="A5558" s="58">
        <v>45748.0</v>
      </c>
      <c r="B5558" s="24" t="s">
        <v>6787</v>
      </c>
      <c r="C5558" s="24" t="s">
        <v>7468</v>
      </c>
      <c r="D5558" s="59">
        <v>1.0</v>
      </c>
      <c r="E5558" s="59">
        <v>1.0</v>
      </c>
      <c r="F5558" s="59">
        <v>1.0</v>
      </c>
      <c r="G5558" s="60">
        <v>1.0</v>
      </c>
      <c r="H5558" s="60">
        <v>1.0</v>
      </c>
      <c r="I5558" s="60">
        <v>0.0</v>
      </c>
      <c r="J5558" s="59">
        <v>1.0</v>
      </c>
      <c r="K5558" s="61">
        <f t="shared" si="1"/>
        <v>1</v>
      </c>
      <c r="L5558" s="62">
        <f t="shared" si="2"/>
        <v>1</v>
      </c>
    </row>
    <row r="5559">
      <c r="A5559" s="58">
        <v>45748.0</v>
      </c>
      <c r="B5559" s="24" t="s">
        <v>6789</v>
      </c>
      <c r="C5559" s="24" t="s">
        <v>7468</v>
      </c>
      <c r="D5559" s="59">
        <v>1.0</v>
      </c>
      <c r="E5559" s="59">
        <v>2.0</v>
      </c>
      <c r="F5559" s="59">
        <v>0.0</v>
      </c>
      <c r="G5559" s="60">
        <v>2.0</v>
      </c>
      <c r="H5559" s="60">
        <v>0.5</v>
      </c>
      <c r="I5559" s="60">
        <v>102.9179845</v>
      </c>
      <c r="J5559" s="59">
        <v>11.0</v>
      </c>
      <c r="K5559" s="61">
        <f t="shared" si="1"/>
        <v>0</v>
      </c>
      <c r="L5559" s="62">
        <f t="shared" si="2"/>
        <v>5.5</v>
      </c>
    </row>
    <row r="5560">
      <c r="A5560" s="58">
        <v>45748.0</v>
      </c>
      <c r="B5560" s="24" t="s">
        <v>155</v>
      </c>
      <c r="C5560" s="24" t="s">
        <v>7468</v>
      </c>
      <c r="D5560" s="59">
        <v>1.0</v>
      </c>
      <c r="E5560" s="59">
        <v>1.0</v>
      </c>
      <c r="F5560" s="59">
        <v>0.0</v>
      </c>
      <c r="G5560" s="60">
        <v>1.0</v>
      </c>
      <c r="H5560" s="60">
        <v>0.0</v>
      </c>
      <c r="I5560" s="60">
        <v>57.543872</v>
      </c>
      <c r="J5560" s="59">
        <v>1.0</v>
      </c>
      <c r="K5560" s="61">
        <f t="shared" si="1"/>
        <v>0</v>
      </c>
      <c r="L5560" s="62">
        <f t="shared" si="2"/>
        <v>1</v>
      </c>
    </row>
    <row r="5561">
      <c r="A5561" s="58">
        <v>45748.0</v>
      </c>
      <c r="B5561" s="24" t="s">
        <v>155</v>
      </c>
      <c r="C5561" s="24" t="s">
        <v>7236</v>
      </c>
      <c r="D5561" s="59">
        <v>1.0</v>
      </c>
      <c r="E5561" s="59">
        <v>1.0</v>
      </c>
      <c r="F5561" s="59">
        <v>1.0</v>
      </c>
      <c r="G5561" s="60">
        <v>1.0</v>
      </c>
      <c r="H5561" s="60">
        <v>0.0</v>
      </c>
      <c r="I5561" s="60">
        <v>34.4036</v>
      </c>
      <c r="J5561" s="59">
        <v>2.0</v>
      </c>
      <c r="K5561" s="61">
        <f t="shared" si="1"/>
        <v>1</v>
      </c>
      <c r="L5561" s="62">
        <f t="shared" si="2"/>
        <v>2</v>
      </c>
    </row>
    <row r="5562">
      <c r="A5562" s="58">
        <v>45748.0</v>
      </c>
      <c r="B5562" s="24" t="s">
        <v>6794</v>
      </c>
      <c r="C5562" s="24" t="s">
        <v>7231</v>
      </c>
      <c r="D5562" s="59">
        <v>1.0</v>
      </c>
      <c r="E5562" s="59">
        <v>1.0</v>
      </c>
      <c r="F5562" s="59">
        <v>0.0</v>
      </c>
      <c r="G5562" s="60">
        <v>0.0</v>
      </c>
      <c r="H5562" s="60">
        <v>1.0</v>
      </c>
      <c r="I5562" s="60">
        <v>0.0</v>
      </c>
      <c r="J5562" s="59">
        <v>1.0</v>
      </c>
      <c r="K5562" s="61">
        <f t="shared" si="1"/>
        <v>0</v>
      </c>
      <c r="L5562" s="62">
        <f t="shared" si="2"/>
        <v>1</v>
      </c>
    </row>
    <row r="5563">
      <c r="A5563" s="58">
        <v>45748.0</v>
      </c>
      <c r="B5563" s="24" t="s">
        <v>6789</v>
      </c>
      <c r="C5563" s="24" t="s">
        <v>7232</v>
      </c>
      <c r="D5563" s="59">
        <v>1.0</v>
      </c>
      <c r="E5563" s="59">
        <v>1.0</v>
      </c>
      <c r="F5563" s="59">
        <v>1.0</v>
      </c>
      <c r="G5563" s="60">
        <v>1.0</v>
      </c>
      <c r="H5563" s="60">
        <v>0.0</v>
      </c>
      <c r="I5563" s="60">
        <v>1100.07347</v>
      </c>
      <c r="J5563" s="59">
        <v>6.0</v>
      </c>
      <c r="K5563" s="61">
        <f t="shared" si="1"/>
        <v>1</v>
      </c>
      <c r="L5563" s="62">
        <f t="shared" si="2"/>
        <v>6</v>
      </c>
    </row>
    <row r="5564">
      <c r="A5564" s="58">
        <v>45748.0</v>
      </c>
      <c r="B5564" s="24" t="s">
        <v>6787</v>
      </c>
      <c r="C5564" s="24" t="s">
        <v>7469</v>
      </c>
      <c r="D5564" s="59">
        <v>1.0</v>
      </c>
      <c r="E5564" s="59">
        <v>1.0</v>
      </c>
      <c r="F5564" s="59">
        <v>1.0</v>
      </c>
      <c r="G5564" s="60">
        <v>1.0</v>
      </c>
      <c r="H5564" s="60">
        <v>0.0</v>
      </c>
      <c r="I5564" s="60">
        <v>43.263942</v>
      </c>
      <c r="J5564" s="59">
        <v>4.0</v>
      </c>
      <c r="K5564" s="61">
        <f t="shared" si="1"/>
        <v>1</v>
      </c>
      <c r="L5564" s="62">
        <f t="shared" si="2"/>
        <v>4</v>
      </c>
    </row>
    <row r="5565">
      <c r="A5565" s="58">
        <v>45748.0</v>
      </c>
      <c r="B5565" s="24" t="s">
        <v>6787</v>
      </c>
      <c r="C5565" s="24" t="s">
        <v>6808</v>
      </c>
      <c r="D5565" s="59">
        <v>1.0</v>
      </c>
      <c r="E5565" s="59">
        <v>1.0</v>
      </c>
      <c r="F5565" s="59">
        <v>0.0</v>
      </c>
      <c r="G5565" s="60">
        <v>1.0</v>
      </c>
      <c r="H5565" s="60">
        <v>0.0</v>
      </c>
      <c r="I5565" s="60">
        <v>12.956097</v>
      </c>
      <c r="J5565" s="59">
        <v>1.0</v>
      </c>
      <c r="K5565" s="61">
        <f t="shared" si="1"/>
        <v>0</v>
      </c>
      <c r="L5565" s="62">
        <f t="shared" si="2"/>
        <v>1</v>
      </c>
    </row>
    <row r="5566">
      <c r="A5566" s="58">
        <v>45748.0</v>
      </c>
      <c r="B5566" s="24" t="s">
        <v>155</v>
      </c>
      <c r="C5566" s="24" t="s">
        <v>6808</v>
      </c>
      <c r="D5566" s="59">
        <v>1.0</v>
      </c>
      <c r="E5566" s="59">
        <v>1.0</v>
      </c>
      <c r="F5566" s="59">
        <v>0.0</v>
      </c>
      <c r="G5566" s="60">
        <v>1.0</v>
      </c>
      <c r="H5566" s="60">
        <v>1.0</v>
      </c>
      <c r="I5566" s="60">
        <v>3.301936</v>
      </c>
      <c r="J5566" s="59">
        <v>1.0</v>
      </c>
      <c r="K5566" s="61">
        <f t="shared" si="1"/>
        <v>0</v>
      </c>
      <c r="L5566" s="62">
        <f t="shared" si="2"/>
        <v>1</v>
      </c>
    </row>
    <row r="5567">
      <c r="A5567" s="58">
        <v>45748.0</v>
      </c>
      <c r="B5567" s="24" t="s">
        <v>6790</v>
      </c>
      <c r="C5567" s="24" t="s">
        <v>6808</v>
      </c>
      <c r="D5567" s="59">
        <v>1.0</v>
      </c>
      <c r="E5567" s="59">
        <v>1.0</v>
      </c>
      <c r="F5567" s="59">
        <v>0.0</v>
      </c>
      <c r="G5567" s="60">
        <v>1.0</v>
      </c>
      <c r="H5567" s="60">
        <v>1.0</v>
      </c>
      <c r="I5567" s="60">
        <v>0.0</v>
      </c>
      <c r="J5567" s="59">
        <v>1.0</v>
      </c>
      <c r="K5567" s="61">
        <f t="shared" si="1"/>
        <v>0</v>
      </c>
      <c r="L5567" s="62">
        <f t="shared" si="2"/>
        <v>1</v>
      </c>
    </row>
    <row r="5568">
      <c r="A5568" s="58">
        <v>45748.0</v>
      </c>
      <c r="B5568" s="24" t="s">
        <v>6789</v>
      </c>
      <c r="C5568" s="24" t="s">
        <v>7087</v>
      </c>
      <c r="D5568" s="59">
        <v>1.0</v>
      </c>
      <c r="E5568" s="59">
        <v>1.0</v>
      </c>
      <c r="F5568" s="59">
        <v>0.0</v>
      </c>
      <c r="G5568" s="60">
        <v>1.0</v>
      </c>
      <c r="H5568" s="60">
        <v>1.0</v>
      </c>
      <c r="I5568" s="60">
        <v>3.553524</v>
      </c>
      <c r="J5568" s="59">
        <v>1.0</v>
      </c>
      <c r="K5568" s="61">
        <f t="shared" si="1"/>
        <v>0</v>
      </c>
      <c r="L5568" s="62">
        <f t="shared" si="2"/>
        <v>1</v>
      </c>
    </row>
    <row r="5569">
      <c r="A5569" s="58">
        <v>45748.0</v>
      </c>
      <c r="B5569" s="24" t="s">
        <v>6790</v>
      </c>
      <c r="C5569" s="24" t="s">
        <v>7026</v>
      </c>
      <c r="D5569" s="59">
        <v>1.0</v>
      </c>
      <c r="E5569" s="59">
        <v>3.0</v>
      </c>
      <c r="F5569" s="59">
        <v>0.0</v>
      </c>
      <c r="G5569" s="60">
        <v>3.0</v>
      </c>
      <c r="H5569" s="60">
        <v>0.0</v>
      </c>
      <c r="I5569" s="60">
        <v>379.555927666666</v>
      </c>
      <c r="J5569" s="59">
        <v>8.0</v>
      </c>
      <c r="K5569" s="61">
        <f t="shared" si="1"/>
        <v>0</v>
      </c>
      <c r="L5569" s="62">
        <f t="shared" si="2"/>
        <v>2.666666667</v>
      </c>
    </row>
    <row r="5570">
      <c r="A5570" s="58">
        <v>45748.0</v>
      </c>
      <c r="B5570" s="24" t="s">
        <v>6794</v>
      </c>
      <c r="C5570" s="24" t="s">
        <v>7189</v>
      </c>
      <c r="D5570" s="59">
        <v>1.0</v>
      </c>
      <c r="E5570" s="59">
        <v>1.0</v>
      </c>
      <c r="F5570" s="59">
        <v>1.0</v>
      </c>
      <c r="G5570" s="60">
        <v>1.0</v>
      </c>
      <c r="H5570" s="60">
        <v>1.0</v>
      </c>
      <c r="I5570" s="60">
        <v>0.0</v>
      </c>
      <c r="J5570" s="59">
        <v>1.0</v>
      </c>
      <c r="K5570" s="61">
        <f t="shared" si="1"/>
        <v>1</v>
      </c>
      <c r="L5570" s="62">
        <f t="shared" si="2"/>
        <v>1</v>
      </c>
    </row>
    <row r="5571">
      <c r="A5571" s="58">
        <v>45748.0</v>
      </c>
      <c r="B5571" s="24" t="s">
        <v>155</v>
      </c>
      <c r="C5571" s="24" t="s">
        <v>7189</v>
      </c>
      <c r="D5571" s="59">
        <v>1.0</v>
      </c>
      <c r="E5571" s="59">
        <v>1.0</v>
      </c>
      <c r="F5571" s="59">
        <v>0.0</v>
      </c>
      <c r="G5571" s="60">
        <v>1.0</v>
      </c>
      <c r="H5571" s="60">
        <v>0.0</v>
      </c>
      <c r="I5571" s="60">
        <v>249.090432</v>
      </c>
      <c r="J5571" s="59">
        <v>4.0</v>
      </c>
      <c r="K5571" s="61">
        <f t="shared" si="1"/>
        <v>0</v>
      </c>
      <c r="L5571" s="62">
        <f t="shared" si="2"/>
        <v>4</v>
      </c>
    </row>
    <row r="5572">
      <c r="A5572" s="58">
        <v>45748.0</v>
      </c>
      <c r="B5572" s="24" t="s">
        <v>6794</v>
      </c>
      <c r="C5572" s="24" t="s">
        <v>7043</v>
      </c>
      <c r="D5572" s="59">
        <v>1.0</v>
      </c>
      <c r="E5572" s="59">
        <v>1.0</v>
      </c>
      <c r="F5572" s="59">
        <v>1.0</v>
      </c>
      <c r="G5572" s="60">
        <v>1.0</v>
      </c>
      <c r="H5572" s="60">
        <v>1.0</v>
      </c>
      <c r="I5572" s="60">
        <v>0.0</v>
      </c>
      <c r="J5572" s="59">
        <v>1.0</v>
      </c>
      <c r="K5572" s="61">
        <f t="shared" si="1"/>
        <v>1</v>
      </c>
      <c r="L5572" s="62">
        <f t="shared" si="2"/>
        <v>1</v>
      </c>
    </row>
    <row r="5573">
      <c r="A5573" s="58">
        <v>45748.0</v>
      </c>
      <c r="B5573" s="24" t="s">
        <v>155</v>
      </c>
      <c r="C5573" s="24" t="s">
        <v>7043</v>
      </c>
      <c r="D5573" s="59">
        <v>1.0</v>
      </c>
      <c r="E5573" s="59">
        <v>2.0</v>
      </c>
      <c r="F5573" s="59">
        <v>0.0</v>
      </c>
      <c r="G5573" s="60">
        <v>2.0</v>
      </c>
      <c r="H5573" s="60">
        <v>0.0</v>
      </c>
      <c r="I5573" s="60">
        <v>402.561389999999</v>
      </c>
      <c r="J5573" s="59">
        <v>3.0</v>
      </c>
      <c r="K5573" s="61">
        <f t="shared" si="1"/>
        <v>0</v>
      </c>
      <c r="L5573" s="62">
        <f t="shared" si="2"/>
        <v>1.5</v>
      </c>
    </row>
    <row r="5574">
      <c r="A5574" s="58">
        <v>45748.0</v>
      </c>
      <c r="B5574" s="24" t="s">
        <v>6787</v>
      </c>
      <c r="C5574" s="24" t="s">
        <v>7089</v>
      </c>
      <c r="D5574" s="59">
        <v>1.0</v>
      </c>
      <c r="E5574" s="59">
        <v>1.0</v>
      </c>
      <c r="F5574" s="59">
        <v>1.0</v>
      </c>
      <c r="G5574" s="60">
        <v>1.0</v>
      </c>
      <c r="H5574" s="60">
        <v>0.0</v>
      </c>
      <c r="I5574" s="60">
        <v>24.233848</v>
      </c>
      <c r="J5574" s="59">
        <v>1.0</v>
      </c>
      <c r="K5574" s="61">
        <f t="shared" si="1"/>
        <v>1</v>
      </c>
      <c r="L5574" s="62">
        <f t="shared" si="2"/>
        <v>1</v>
      </c>
    </row>
    <row r="5575">
      <c r="A5575" s="58">
        <v>45748.0</v>
      </c>
      <c r="B5575" s="24" t="s">
        <v>6794</v>
      </c>
      <c r="C5575" s="24" t="s">
        <v>7090</v>
      </c>
      <c r="D5575" s="59">
        <v>1.0</v>
      </c>
      <c r="E5575" s="59">
        <v>1.0</v>
      </c>
      <c r="F5575" s="59">
        <v>1.0</v>
      </c>
      <c r="G5575" s="60">
        <v>1.0</v>
      </c>
      <c r="H5575" s="60">
        <v>0.0</v>
      </c>
      <c r="I5575" s="60">
        <v>330.953729</v>
      </c>
      <c r="J5575" s="59">
        <v>3.0</v>
      </c>
      <c r="K5575" s="61">
        <f t="shared" si="1"/>
        <v>1</v>
      </c>
      <c r="L5575" s="62">
        <f t="shared" si="2"/>
        <v>3</v>
      </c>
    </row>
    <row r="5576">
      <c r="A5576" s="58">
        <v>45748.0</v>
      </c>
      <c r="B5576" s="24" t="s">
        <v>155</v>
      </c>
      <c r="C5576" s="24" t="s">
        <v>7190</v>
      </c>
      <c r="D5576" s="59">
        <v>1.0</v>
      </c>
      <c r="E5576" s="59">
        <v>1.0</v>
      </c>
      <c r="F5576" s="59">
        <v>1.0</v>
      </c>
      <c r="G5576" s="60">
        <v>1.0</v>
      </c>
      <c r="H5576" s="60">
        <v>1.0</v>
      </c>
      <c r="I5576" s="60">
        <v>7.879053</v>
      </c>
      <c r="J5576" s="59">
        <v>1.0</v>
      </c>
      <c r="K5576" s="61">
        <f t="shared" si="1"/>
        <v>1</v>
      </c>
      <c r="L5576" s="62">
        <f t="shared" si="2"/>
        <v>1</v>
      </c>
    </row>
    <row r="5577">
      <c r="A5577" s="58">
        <v>45748.0</v>
      </c>
      <c r="B5577" s="24" t="s">
        <v>155</v>
      </c>
      <c r="C5577" s="24" t="s">
        <v>7022</v>
      </c>
      <c r="D5577" s="59">
        <v>1.0</v>
      </c>
      <c r="E5577" s="59">
        <v>1.0</v>
      </c>
      <c r="F5577" s="59">
        <v>1.0</v>
      </c>
      <c r="G5577" s="60">
        <v>1.0</v>
      </c>
      <c r="H5577" s="60">
        <v>0.0</v>
      </c>
      <c r="I5577" s="60">
        <v>10.551723</v>
      </c>
      <c r="J5577" s="59">
        <v>1.0</v>
      </c>
      <c r="K5577" s="61">
        <f t="shared" si="1"/>
        <v>1</v>
      </c>
      <c r="L5577" s="62">
        <f t="shared" si="2"/>
        <v>1</v>
      </c>
    </row>
    <row r="5578">
      <c r="A5578" s="58">
        <v>45748.0</v>
      </c>
      <c r="B5578" s="24" t="s">
        <v>6787</v>
      </c>
      <c r="C5578" s="24" t="s">
        <v>7130</v>
      </c>
      <c r="D5578" s="59">
        <v>1.0</v>
      </c>
      <c r="E5578" s="59">
        <v>1.0</v>
      </c>
      <c r="F5578" s="59">
        <v>1.0</v>
      </c>
      <c r="G5578" s="60">
        <v>1.0</v>
      </c>
      <c r="H5578" s="60">
        <v>1.0</v>
      </c>
      <c r="I5578" s="60">
        <v>9.499011</v>
      </c>
      <c r="J5578" s="59">
        <v>1.0</v>
      </c>
      <c r="K5578" s="61">
        <f t="shared" si="1"/>
        <v>1</v>
      </c>
      <c r="L5578" s="62">
        <f t="shared" si="2"/>
        <v>1</v>
      </c>
    </row>
    <row r="5579">
      <c r="A5579" s="58">
        <v>45748.0</v>
      </c>
      <c r="B5579" s="24" t="s">
        <v>155</v>
      </c>
      <c r="C5579" s="24" t="s">
        <v>7094</v>
      </c>
      <c r="D5579" s="59">
        <v>1.0</v>
      </c>
      <c r="E5579" s="59">
        <v>1.0</v>
      </c>
      <c r="F5579" s="59">
        <v>1.0</v>
      </c>
      <c r="G5579" s="60">
        <v>1.0</v>
      </c>
      <c r="H5579" s="60">
        <v>0.0</v>
      </c>
      <c r="I5579" s="60">
        <v>1654.643246</v>
      </c>
      <c r="J5579" s="59">
        <v>8.0</v>
      </c>
      <c r="K5579" s="61">
        <f t="shared" si="1"/>
        <v>1</v>
      </c>
      <c r="L5579" s="62">
        <f t="shared" si="2"/>
        <v>8</v>
      </c>
    </row>
    <row r="5580">
      <c r="A5580" s="58">
        <v>45748.0</v>
      </c>
      <c r="B5580" s="24" t="s">
        <v>6789</v>
      </c>
      <c r="C5580" s="24" t="s">
        <v>7165</v>
      </c>
      <c r="D5580" s="59">
        <v>1.0</v>
      </c>
      <c r="E5580" s="59">
        <v>1.0</v>
      </c>
      <c r="F5580" s="59">
        <v>0.0</v>
      </c>
      <c r="G5580" s="60">
        <v>1.0</v>
      </c>
      <c r="H5580" s="60">
        <v>0.0</v>
      </c>
      <c r="I5580" s="60">
        <v>19.233216</v>
      </c>
      <c r="J5580" s="59">
        <v>1.0</v>
      </c>
      <c r="K5580" s="61">
        <f t="shared" si="1"/>
        <v>0</v>
      </c>
      <c r="L5580" s="62">
        <f t="shared" si="2"/>
        <v>1</v>
      </c>
    </row>
    <row r="5581">
      <c r="A5581" s="58">
        <v>45748.0</v>
      </c>
      <c r="B5581" s="24" t="s">
        <v>6789</v>
      </c>
      <c r="C5581" s="24" t="s">
        <v>7138</v>
      </c>
      <c r="D5581" s="59">
        <v>1.0</v>
      </c>
      <c r="E5581" s="59">
        <v>1.0</v>
      </c>
      <c r="F5581" s="59">
        <v>1.0</v>
      </c>
      <c r="G5581" s="60">
        <v>1.0</v>
      </c>
      <c r="H5581" s="60">
        <v>0.0</v>
      </c>
      <c r="I5581" s="60">
        <v>65.012851</v>
      </c>
      <c r="J5581" s="59">
        <v>2.0</v>
      </c>
      <c r="K5581" s="61">
        <f t="shared" si="1"/>
        <v>1</v>
      </c>
      <c r="L5581" s="62">
        <f t="shared" si="2"/>
        <v>2</v>
      </c>
    </row>
    <row r="5582">
      <c r="A5582" s="58">
        <v>45748.0</v>
      </c>
      <c r="B5582" s="24" t="s">
        <v>6787</v>
      </c>
      <c r="C5582" s="24" t="s">
        <v>7184</v>
      </c>
      <c r="D5582" s="59">
        <v>1.0</v>
      </c>
      <c r="E5582" s="59">
        <v>1.0</v>
      </c>
      <c r="F5582" s="59">
        <v>1.0</v>
      </c>
      <c r="G5582" s="60">
        <v>1.0</v>
      </c>
      <c r="H5582" s="60">
        <v>1.0</v>
      </c>
      <c r="I5582" s="60">
        <v>0.0</v>
      </c>
      <c r="J5582" s="59">
        <v>1.0</v>
      </c>
      <c r="K5582" s="61">
        <f t="shared" si="1"/>
        <v>1</v>
      </c>
      <c r="L5582" s="62">
        <f t="shared" si="2"/>
        <v>1</v>
      </c>
    </row>
    <row r="5583">
      <c r="A5583" s="58">
        <v>45748.0</v>
      </c>
      <c r="B5583" s="24" t="s">
        <v>6787</v>
      </c>
      <c r="C5583" s="24" t="s">
        <v>7013</v>
      </c>
      <c r="D5583" s="59">
        <v>1.0</v>
      </c>
      <c r="E5583" s="59">
        <v>1.0</v>
      </c>
      <c r="F5583" s="59">
        <v>1.0</v>
      </c>
      <c r="G5583" s="60">
        <v>1.0</v>
      </c>
      <c r="H5583" s="60">
        <v>1.0</v>
      </c>
      <c r="I5583" s="60">
        <v>4.195687</v>
      </c>
      <c r="J5583" s="59">
        <v>1.0</v>
      </c>
      <c r="K5583" s="61">
        <f t="shared" si="1"/>
        <v>1</v>
      </c>
      <c r="L5583" s="62">
        <f t="shared" si="2"/>
        <v>1</v>
      </c>
    </row>
    <row r="5584">
      <c r="A5584" s="58">
        <v>45748.0</v>
      </c>
      <c r="B5584" s="24" t="s">
        <v>6789</v>
      </c>
      <c r="C5584" s="24" t="s">
        <v>7013</v>
      </c>
      <c r="D5584" s="59">
        <v>1.0</v>
      </c>
      <c r="E5584" s="59">
        <v>1.0</v>
      </c>
      <c r="F5584" s="59">
        <v>1.0</v>
      </c>
      <c r="G5584" s="60">
        <v>1.0</v>
      </c>
      <c r="H5584" s="60">
        <v>0.0</v>
      </c>
      <c r="I5584" s="60">
        <v>382.403179</v>
      </c>
      <c r="J5584" s="59">
        <v>6.0</v>
      </c>
      <c r="K5584" s="61">
        <f t="shared" si="1"/>
        <v>1</v>
      </c>
      <c r="L5584" s="62">
        <f t="shared" si="2"/>
        <v>6</v>
      </c>
    </row>
    <row r="5585">
      <c r="A5585" s="58">
        <v>45748.0</v>
      </c>
      <c r="B5585" s="24" t="s">
        <v>155</v>
      </c>
      <c r="C5585" s="24" t="s">
        <v>6960</v>
      </c>
      <c r="D5585" s="59">
        <v>1.0</v>
      </c>
      <c r="E5585" s="59">
        <v>1.0</v>
      </c>
      <c r="F5585" s="59">
        <v>0.0</v>
      </c>
      <c r="G5585" s="60">
        <v>1.0</v>
      </c>
      <c r="H5585" s="60">
        <v>0.0</v>
      </c>
      <c r="I5585" s="60">
        <v>7.10784</v>
      </c>
      <c r="J5585" s="59">
        <v>2.0</v>
      </c>
      <c r="K5585" s="61">
        <f t="shared" si="1"/>
        <v>0</v>
      </c>
      <c r="L5585" s="62">
        <f t="shared" si="2"/>
        <v>2</v>
      </c>
    </row>
    <row r="5586">
      <c r="A5586" s="58">
        <v>45748.0</v>
      </c>
      <c r="B5586" s="24" t="s">
        <v>6790</v>
      </c>
      <c r="C5586" s="24" t="s">
        <v>6960</v>
      </c>
      <c r="D5586" s="59">
        <v>1.0</v>
      </c>
      <c r="E5586" s="59">
        <v>1.0</v>
      </c>
      <c r="F5586" s="59">
        <v>1.0</v>
      </c>
      <c r="G5586" s="60">
        <v>1.0</v>
      </c>
      <c r="H5586" s="60">
        <v>1.0</v>
      </c>
      <c r="I5586" s="60">
        <v>0.0</v>
      </c>
      <c r="J5586" s="59">
        <v>1.0</v>
      </c>
      <c r="K5586" s="61">
        <f t="shared" si="1"/>
        <v>1</v>
      </c>
      <c r="L5586" s="62">
        <f t="shared" si="2"/>
        <v>1</v>
      </c>
    </row>
    <row r="5587">
      <c r="A5587" s="58">
        <v>45748.0</v>
      </c>
      <c r="B5587" s="24" t="s">
        <v>6794</v>
      </c>
      <c r="C5587" s="24" t="s">
        <v>6809</v>
      </c>
      <c r="D5587" s="59">
        <v>1.0</v>
      </c>
      <c r="E5587" s="59">
        <v>1.0</v>
      </c>
      <c r="F5587" s="59">
        <v>0.0</v>
      </c>
      <c r="G5587" s="60">
        <v>1.0</v>
      </c>
      <c r="H5587" s="60">
        <v>0.0</v>
      </c>
      <c r="I5587" s="60">
        <v>70.591349</v>
      </c>
      <c r="J5587" s="59">
        <v>1.0</v>
      </c>
      <c r="K5587" s="61">
        <f t="shared" si="1"/>
        <v>0</v>
      </c>
      <c r="L5587" s="62">
        <f t="shared" si="2"/>
        <v>1</v>
      </c>
    </row>
    <row r="5588">
      <c r="A5588" s="58">
        <v>45748.0</v>
      </c>
      <c r="B5588" s="24" t="s">
        <v>155</v>
      </c>
      <c r="C5588" s="24" t="s">
        <v>6809</v>
      </c>
      <c r="D5588" s="59">
        <v>1.0</v>
      </c>
      <c r="E5588" s="59">
        <v>1.0</v>
      </c>
      <c r="F5588" s="59">
        <v>0.0</v>
      </c>
      <c r="G5588" s="60">
        <v>1.0</v>
      </c>
      <c r="H5588" s="60">
        <v>1.0</v>
      </c>
      <c r="I5588" s="60">
        <v>5.463427</v>
      </c>
      <c r="J5588" s="59">
        <v>1.0</v>
      </c>
      <c r="K5588" s="61">
        <f t="shared" si="1"/>
        <v>0</v>
      </c>
      <c r="L5588" s="62">
        <f t="shared" si="2"/>
        <v>1</v>
      </c>
    </row>
    <row r="5589">
      <c r="A5589" s="58">
        <v>45748.0</v>
      </c>
      <c r="B5589" s="24" t="s">
        <v>6790</v>
      </c>
      <c r="C5589" s="24" t="s">
        <v>6809</v>
      </c>
      <c r="D5589" s="59">
        <v>1.0</v>
      </c>
      <c r="E5589" s="59">
        <v>1.0</v>
      </c>
      <c r="F5589" s="59">
        <v>1.0</v>
      </c>
      <c r="G5589" s="60">
        <v>1.0</v>
      </c>
      <c r="H5589" s="60">
        <v>0.0</v>
      </c>
      <c r="I5589" s="60">
        <v>123.925417</v>
      </c>
      <c r="J5589" s="59">
        <v>3.0</v>
      </c>
      <c r="K5589" s="61">
        <f t="shared" si="1"/>
        <v>1</v>
      </c>
      <c r="L5589" s="62">
        <f t="shared" si="2"/>
        <v>3</v>
      </c>
    </row>
    <row r="5590">
      <c r="A5590" s="58">
        <v>45748.0</v>
      </c>
      <c r="B5590" s="24" t="s">
        <v>6787</v>
      </c>
      <c r="C5590" s="24" t="s">
        <v>6812</v>
      </c>
      <c r="D5590" s="59">
        <v>1.0</v>
      </c>
      <c r="E5590" s="59">
        <v>1.0</v>
      </c>
      <c r="F5590" s="59">
        <v>1.0</v>
      </c>
      <c r="G5590" s="60">
        <v>1.0</v>
      </c>
      <c r="H5590" s="60">
        <v>1.0</v>
      </c>
      <c r="I5590" s="60">
        <v>0.0</v>
      </c>
      <c r="J5590" s="59">
        <v>1.0</v>
      </c>
      <c r="K5590" s="61">
        <f t="shared" si="1"/>
        <v>1</v>
      </c>
      <c r="L5590" s="62">
        <f t="shared" si="2"/>
        <v>1</v>
      </c>
    </row>
    <row r="5591">
      <c r="A5591" s="58">
        <v>45748.0</v>
      </c>
      <c r="B5591" s="24" t="s">
        <v>6790</v>
      </c>
      <c r="C5591" s="24" t="s">
        <v>6812</v>
      </c>
      <c r="D5591" s="59">
        <v>1.0</v>
      </c>
      <c r="E5591" s="59">
        <v>1.0</v>
      </c>
      <c r="F5591" s="59">
        <v>0.0</v>
      </c>
      <c r="G5591" s="60">
        <v>1.0</v>
      </c>
      <c r="H5591" s="60">
        <v>0.0</v>
      </c>
      <c r="I5591" s="60">
        <v>486.643786</v>
      </c>
      <c r="J5591" s="59">
        <v>9.0</v>
      </c>
      <c r="K5591" s="61">
        <f t="shared" si="1"/>
        <v>0</v>
      </c>
      <c r="L5591" s="62">
        <f t="shared" si="2"/>
        <v>9</v>
      </c>
    </row>
    <row r="5592">
      <c r="A5592" s="58">
        <v>45748.0</v>
      </c>
      <c r="B5592" s="24" t="s">
        <v>6787</v>
      </c>
      <c r="C5592" s="24" t="s">
        <v>7044</v>
      </c>
      <c r="D5592" s="59">
        <v>1.0</v>
      </c>
      <c r="E5592" s="59">
        <v>1.0</v>
      </c>
      <c r="F5592" s="59">
        <v>1.0</v>
      </c>
      <c r="G5592" s="60">
        <v>1.0</v>
      </c>
      <c r="H5592" s="60">
        <v>0.0</v>
      </c>
      <c r="I5592" s="60">
        <v>12.684952</v>
      </c>
      <c r="J5592" s="59">
        <v>1.0</v>
      </c>
      <c r="K5592" s="61">
        <f t="shared" si="1"/>
        <v>1</v>
      </c>
      <c r="L5592" s="62">
        <f t="shared" si="2"/>
        <v>1</v>
      </c>
    </row>
    <row r="5593">
      <c r="A5593" s="58">
        <v>45748.0</v>
      </c>
      <c r="B5593" s="24" t="s">
        <v>155</v>
      </c>
      <c r="C5593" s="24" t="s">
        <v>7172</v>
      </c>
      <c r="D5593" s="59">
        <v>1.0</v>
      </c>
      <c r="E5593" s="59">
        <v>1.0</v>
      </c>
      <c r="F5593" s="59">
        <v>0.0</v>
      </c>
      <c r="G5593" s="60">
        <v>1.0</v>
      </c>
      <c r="H5593" s="60">
        <v>1.0</v>
      </c>
      <c r="I5593" s="60">
        <v>5.761136</v>
      </c>
      <c r="J5593" s="59">
        <v>1.0</v>
      </c>
      <c r="K5593" s="61">
        <f t="shared" si="1"/>
        <v>0</v>
      </c>
      <c r="L5593" s="62">
        <f t="shared" si="2"/>
        <v>1</v>
      </c>
    </row>
    <row r="5594">
      <c r="A5594" s="58">
        <v>45748.0</v>
      </c>
      <c r="B5594" s="24" t="s">
        <v>155</v>
      </c>
      <c r="C5594" s="24" t="s">
        <v>6851</v>
      </c>
      <c r="D5594" s="59">
        <v>1.0</v>
      </c>
      <c r="E5594" s="59">
        <v>2.0</v>
      </c>
      <c r="F5594" s="59">
        <v>0.0</v>
      </c>
      <c r="G5594" s="60">
        <v>2.0</v>
      </c>
      <c r="H5594" s="60">
        <v>0.5</v>
      </c>
      <c r="I5594" s="60">
        <v>36.357104</v>
      </c>
      <c r="J5594" s="59">
        <v>2.0</v>
      </c>
      <c r="K5594" s="61">
        <f t="shared" si="1"/>
        <v>0</v>
      </c>
      <c r="L5594" s="62">
        <f t="shared" si="2"/>
        <v>1</v>
      </c>
    </row>
    <row r="5595">
      <c r="A5595" s="58">
        <v>45748.0</v>
      </c>
      <c r="B5595" s="24" t="s">
        <v>6794</v>
      </c>
      <c r="C5595" s="24" t="s">
        <v>6801</v>
      </c>
      <c r="D5595" s="59">
        <v>1.0</v>
      </c>
      <c r="E5595" s="59">
        <v>1.0</v>
      </c>
      <c r="F5595" s="59">
        <v>0.0</v>
      </c>
      <c r="G5595" s="60">
        <v>1.0</v>
      </c>
      <c r="H5595" s="60">
        <v>0.0</v>
      </c>
      <c r="I5595" s="60">
        <v>21.991341</v>
      </c>
      <c r="J5595" s="59">
        <v>1.0</v>
      </c>
      <c r="K5595" s="61">
        <f t="shared" si="1"/>
        <v>0</v>
      </c>
      <c r="L5595" s="62">
        <f t="shared" si="2"/>
        <v>1</v>
      </c>
    </row>
    <row r="5596">
      <c r="A5596" s="58">
        <v>45748.0</v>
      </c>
      <c r="B5596" s="24" t="s">
        <v>6790</v>
      </c>
      <c r="C5596" s="24" t="s">
        <v>7102</v>
      </c>
      <c r="D5596" s="59">
        <v>1.0</v>
      </c>
      <c r="E5596" s="59">
        <v>1.0</v>
      </c>
      <c r="F5596" s="59">
        <v>1.0</v>
      </c>
      <c r="G5596" s="60">
        <v>1.0</v>
      </c>
      <c r="H5596" s="60">
        <v>0.0</v>
      </c>
      <c r="I5596" s="60">
        <v>56.691047</v>
      </c>
      <c r="J5596" s="59">
        <v>2.0</v>
      </c>
      <c r="K5596" s="61">
        <f t="shared" si="1"/>
        <v>1</v>
      </c>
      <c r="L5596" s="62">
        <f t="shared" si="2"/>
        <v>2</v>
      </c>
    </row>
    <row r="5597">
      <c r="A5597" s="58">
        <v>45748.0</v>
      </c>
      <c r="B5597" s="24" t="s">
        <v>6787</v>
      </c>
      <c r="C5597" s="24" t="s">
        <v>7104</v>
      </c>
      <c r="D5597" s="59">
        <v>1.0</v>
      </c>
      <c r="E5597" s="59">
        <v>1.0</v>
      </c>
      <c r="F5597" s="59">
        <v>1.0</v>
      </c>
      <c r="G5597" s="60">
        <v>1.0</v>
      </c>
      <c r="H5597" s="60">
        <v>1.0</v>
      </c>
      <c r="I5597" s="60">
        <v>3.616871</v>
      </c>
      <c r="J5597" s="59">
        <v>1.0</v>
      </c>
      <c r="K5597" s="61">
        <f t="shared" si="1"/>
        <v>1</v>
      </c>
      <c r="L5597" s="62">
        <f t="shared" si="2"/>
        <v>1</v>
      </c>
    </row>
    <row r="5598">
      <c r="A5598" s="58">
        <v>45748.0</v>
      </c>
      <c r="B5598" s="24" t="s">
        <v>6787</v>
      </c>
      <c r="C5598" s="24" t="s">
        <v>7173</v>
      </c>
      <c r="D5598" s="59">
        <v>1.0</v>
      </c>
      <c r="E5598" s="59">
        <v>1.0</v>
      </c>
      <c r="F5598" s="59">
        <v>1.0</v>
      </c>
      <c r="G5598" s="60">
        <v>1.0</v>
      </c>
      <c r="H5598" s="60">
        <v>1.0</v>
      </c>
      <c r="I5598" s="60">
        <v>0.0</v>
      </c>
      <c r="J5598" s="59">
        <v>1.0</v>
      </c>
      <c r="K5598" s="61">
        <f t="shared" si="1"/>
        <v>1</v>
      </c>
      <c r="L5598" s="62">
        <f t="shared" si="2"/>
        <v>1</v>
      </c>
    </row>
    <row r="5599">
      <c r="A5599" s="58">
        <v>45748.0</v>
      </c>
      <c r="B5599" s="24" t="s">
        <v>6787</v>
      </c>
      <c r="C5599" s="24" t="s">
        <v>6814</v>
      </c>
      <c r="D5599" s="59">
        <v>1.0</v>
      </c>
      <c r="E5599" s="59">
        <v>1.0</v>
      </c>
      <c r="F5599" s="59">
        <v>1.0</v>
      </c>
      <c r="G5599" s="60">
        <v>1.0</v>
      </c>
      <c r="H5599" s="60">
        <v>1.0</v>
      </c>
      <c r="I5599" s="60">
        <v>0.0</v>
      </c>
      <c r="J5599" s="59">
        <v>1.0</v>
      </c>
      <c r="K5599" s="61">
        <f t="shared" si="1"/>
        <v>1</v>
      </c>
      <c r="L5599" s="62">
        <f t="shared" si="2"/>
        <v>1</v>
      </c>
    </row>
    <row r="5600">
      <c r="A5600" s="58">
        <v>45748.0</v>
      </c>
      <c r="B5600" s="24" t="s">
        <v>155</v>
      </c>
      <c r="C5600" s="24" t="s">
        <v>6814</v>
      </c>
      <c r="D5600" s="59">
        <v>1.0</v>
      </c>
      <c r="E5600" s="59">
        <v>1.0</v>
      </c>
      <c r="F5600" s="59">
        <v>0.0</v>
      </c>
      <c r="G5600" s="60">
        <v>1.0</v>
      </c>
      <c r="H5600" s="60">
        <v>0.0</v>
      </c>
      <c r="I5600" s="60">
        <v>15.354522</v>
      </c>
      <c r="J5600" s="59">
        <v>4.0</v>
      </c>
      <c r="K5600" s="61">
        <f t="shared" si="1"/>
        <v>0</v>
      </c>
      <c r="L5600" s="62">
        <f t="shared" si="2"/>
        <v>4</v>
      </c>
    </row>
    <row r="5601">
      <c r="A5601" s="58">
        <v>45748.0</v>
      </c>
      <c r="B5601" s="24" t="s">
        <v>6787</v>
      </c>
      <c r="C5601" s="24" t="s">
        <v>7174</v>
      </c>
      <c r="D5601" s="59">
        <v>1.0</v>
      </c>
      <c r="E5601" s="59">
        <v>1.0</v>
      </c>
      <c r="F5601" s="59">
        <v>1.0</v>
      </c>
      <c r="G5601" s="60">
        <v>1.0</v>
      </c>
      <c r="H5601" s="60">
        <v>1.0</v>
      </c>
      <c r="I5601" s="60">
        <v>9.267099</v>
      </c>
      <c r="J5601" s="59">
        <v>1.0</v>
      </c>
      <c r="K5601" s="61">
        <f t="shared" si="1"/>
        <v>1</v>
      </c>
      <c r="L5601" s="62">
        <f t="shared" si="2"/>
        <v>1</v>
      </c>
    </row>
    <row r="5602">
      <c r="A5602" s="58">
        <v>45748.0</v>
      </c>
      <c r="B5602" s="24" t="s">
        <v>6787</v>
      </c>
      <c r="C5602" s="24" t="s">
        <v>7470</v>
      </c>
      <c r="D5602" s="59">
        <v>1.0</v>
      </c>
      <c r="E5602" s="59">
        <v>1.0</v>
      </c>
      <c r="F5602" s="59">
        <v>1.0</v>
      </c>
      <c r="G5602" s="60">
        <v>1.0</v>
      </c>
      <c r="H5602" s="60">
        <v>1.0</v>
      </c>
      <c r="I5602" s="60">
        <v>5.015036</v>
      </c>
      <c r="J5602" s="59">
        <v>1.0</v>
      </c>
      <c r="K5602" s="61">
        <f t="shared" si="1"/>
        <v>1</v>
      </c>
      <c r="L5602" s="62">
        <f t="shared" si="2"/>
        <v>1</v>
      </c>
    </row>
    <row r="5603">
      <c r="A5603" s="58">
        <v>45748.0</v>
      </c>
      <c r="B5603" s="24" t="s">
        <v>6787</v>
      </c>
      <c r="C5603" s="24" t="s">
        <v>7445</v>
      </c>
      <c r="D5603" s="59">
        <v>1.0</v>
      </c>
      <c r="E5603" s="59">
        <v>1.0</v>
      </c>
      <c r="F5603" s="59">
        <v>1.0</v>
      </c>
      <c r="G5603" s="60">
        <v>1.0</v>
      </c>
      <c r="H5603" s="60">
        <v>1.0</v>
      </c>
      <c r="I5603" s="60">
        <v>5.042552</v>
      </c>
      <c r="J5603" s="59">
        <v>1.0</v>
      </c>
      <c r="K5603" s="61">
        <f t="shared" si="1"/>
        <v>1</v>
      </c>
      <c r="L5603" s="62">
        <f t="shared" si="2"/>
        <v>1</v>
      </c>
    </row>
    <row r="5604">
      <c r="A5604" s="58">
        <v>45748.0</v>
      </c>
      <c r="B5604" s="24" t="s">
        <v>6787</v>
      </c>
      <c r="C5604" s="24" t="s">
        <v>7192</v>
      </c>
      <c r="D5604" s="59">
        <v>1.0</v>
      </c>
      <c r="E5604" s="59">
        <v>1.0</v>
      </c>
      <c r="F5604" s="59">
        <v>1.0</v>
      </c>
      <c r="G5604" s="60">
        <v>1.0</v>
      </c>
      <c r="H5604" s="60">
        <v>0.0</v>
      </c>
      <c r="I5604" s="60">
        <v>6.219644</v>
      </c>
      <c r="J5604" s="59">
        <v>2.0</v>
      </c>
      <c r="K5604" s="61">
        <f t="shared" si="1"/>
        <v>1</v>
      </c>
      <c r="L5604" s="62">
        <f t="shared" si="2"/>
        <v>2</v>
      </c>
    </row>
    <row r="5605">
      <c r="A5605" s="58">
        <v>45748.0</v>
      </c>
      <c r="B5605" s="24" t="s">
        <v>6790</v>
      </c>
      <c r="C5605" s="24" t="s">
        <v>7014</v>
      </c>
      <c r="D5605" s="59">
        <v>1.0</v>
      </c>
      <c r="E5605" s="59">
        <v>1.0</v>
      </c>
      <c r="F5605" s="59">
        <v>0.0</v>
      </c>
      <c r="G5605" s="60">
        <v>1.0</v>
      </c>
      <c r="H5605" s="60">
        <v>1.0</v>
      </c>
      <c r="I5605" s="60">
        <v>0.0</v>
      </c>
      <c r="J5605" s="59">
        <v>1.0</v>
      </c>
      <c r="K5605" s="61">
        <f t="shared" si="1"/>
        <v>0</v>
      </c>
      <c r="L5605" s="62">
        <f t="shared" si="2"/>
        <v>1</v>
      </c>
    </row>
    <row r="5606">
      <c r="A5606" s="58">
        <v>45748.0</v>
      </c>
      <c r="B5606" s="24" t="s">
        <v>6790</v>
      </c>
      <c r="C5606" s="24" t="s">
        <v>7106</v>
      </c>
      <c r="D5606" s="59">
        <v>1.0</v>
      </c>
      <c r="E5606" s="59">
        <v>1.0</v>
      </c>
      <c r="F5606" s="59">
        <v>0.0</v>
      </c>
      <c r="G5606" s="60">
        <v>1.0</v>
      </c>
      <c r="H5606" s="60">
        <v>1.0</v>
      </c>
      <c r="I5606" s="60">
        <v>4.627437</v>
      </c>
      <c r="J5606" s="59">
        <v>1.0</v>
      </c>
      <c r="K5606" s="61">
        <f t="shared" si="1"/>
        <v>0</v>
      </c>
      <c r="L5606" s="62">
        <f t="shared" si="2"/>
        <v>1</v>
      </c>
    </row>
    <row r="5607">
      <c r="A5607" s="58">
        <v>45748.0</v>
      </c>
      <c r="B5607" s="24" t="s">
        <v>6787</v>
      </c>
      <c r="C5607" s="24" t="s">
        <v>7180</v>
      </c>
      <c r="D5607" s="59">
        <v>1.0</v>
      </c>
      <c r="E5607" s="59">
        <v>2.0</v>
      </c>
      <c r="F5607" s="59">
        <v>0.0</v>
      </c>
      <c r="G5607" s="60">
        <v>2.0</v>
      </c>
      <c r="H5607" s="60">
        <v>0.0</v>
      </c>
      <c r="I5607" s="60">
        <v>527.3240685</v>
      </c>
      <c r="J5607" s="59">
        <v>5.0</v>
      </c>
      <c r="K5607" s="61">
        <f t="shared" si="1"/>
        <v>0</v>
      </c>
      <c r="L5607" s="62">
        <f t="shared" si="2"/>
        <v>2.5</v>
      </c>
    </row>
    <row r="5608">
      <c r="A5608" s="58">
        <v>45748.0</v>
      </c>
      <c r="B5608" s="24" t="s">
        <v>6794</v>
      </c>
      <c r="C5608" s="24" t="s">
        <v>6815</v>
      </c>
      <c r="D5608" s="59">
        <v>1.0</v>
      </c>
      <c r="E5608" s="59">
        <v>1.0</v>
      </c>
      <c r="F5608" s="59">
        <v>1.0</v>
      </c>
      <c r="G5608" s="60">
        <v>1.0</v>
      </c>
      <c r="H5608" s="60">
        <v>0.0</v>
      </c>
      <c r="I5608" s="60">
        <v>1486.765545</v>
      </c>
      <c r="J5608" s="59">
        <v>2.0</v>
      </c>
      <c r="K5608" s="61">
        <f t="shared" si="1"/>
        <v>1</v>
      </c>
      <c r="L5608" s="62">
        <f t="shared" si="2"/>
        <v>2</v>
      </c>
    </row>
    <row r="5609">
      <c r="A5609" s="58">
        <v>45748.0</v>
      </c>
      <c r="B5609" s="24" t="s">
        <v>6794</v>
      </c>
      <c r="C5609" s="24" t="s">
        <v>7471</v>
      </c>
      <c r="D5609" s="59">
        <v>1.0</v>
      </c>
      <c r="E5609" s="59">
        <v>1.0</v>
      </c>
      <c r="F5609" s="59">
        <v>1.0</v>
      </c>
      <c r="G5609" s="60">
        <v>1.0</v>
      </c>
      <c r="H5609" s="60">
        <v>0.0</v>
      </c>
      <c r="I5609" s="60">
        <v>362.301751</v>
      </c>
      <c r="J5609" s="59">
        <v>2.0</v>
      </c>
      <c r="K5609" s="61">
        <f t="shared" si="1"/>
        <v>1</v>
      </c>
      <c r="L5609" s="62">
        <f t="shared" si="2"/>
        <v>2</v>
      </c>
    </row>
    <row r="5610">
      <c r="A5610" s="58">
        <v>45748.0</v>
      </c>
      <c r="B5610" s="24" t="s">
        <v>6789</v>
      </c>
      <c r="C5610" s="24" t="s">
        <v>7426</v>
      </c>
      <c r="D5610" s="59">
        <v>1.0</v>
      </c>
      <c r="E5610" s="59">
        <v>1.0</v>
      </c>
      <c r="F5610" s="59">
        <v>0.0</v>
      </c>
      <c r="G5610" s="60">
        <v>0.0</v>
      </c>
      <c r="H5610" s="60">
        <v>1.0</v>
      </c>
      <c r="I5610" s="60">
        <v>0.0</v>
      </c>
      <c r="J5610" s="59">
        <v>1.0</v>
      </c>
      <c r="K5610" s="61">
        <f t="shared" si="1"/>
        <v>0</v>
      </c>
      <c r="L5610" s="62">
        <f t="shared" si="2"/>
        <v>1</v>
      </c>
    </row>
    <row r="5611">
      <c r="A5611" s="58">
        <v>45748.0</v>
      </c>
      <c r="B5611" s="24" t="s">
        <v>6789</v>
      </c>
      <c r="C5611" s="24" t="s">
        <v>6920</v>
      </c>
      <c r="D5611" s="59">
        <v>1.0</v>
      </c>
      <c r="E5611" s="59">
        <v>1.0</v>
      </c>
      <c r="F5611" s="59">
        <v>0.0</v>
      </c>
      <c r="G5611" s="60">
        <v>1.0</v>
      </c>
      <c r="H5611" s="60">
        <v>0.0</v>
      </c>
      <c r="I5611" s="60">
        <v>17.751735</v>
      </c>
      <c r="J5611" s="59">
        <v>1.0</v>
      </c>
      <c r="K5611" s="61">
        <f t="shared" si="1"/>
        <v>0</v>
      </c>
      <c r="L5611" s="62">
        <f t="shared" si="2"/>
        <v>1</v>
      </c>
    </row>
    <row r="5612">
      <c r="A5612" s="58">
        <v>45748.0</v>
      </c>
      <c r="B5612" s="24" t="s">
        <v>6787</v>
      </c>
      <c r="C5612" s="24" t="s">
        <v>6921</v>
      </c>
      <c r="D5612" s="59">
        <v>1.0</v>
      </c>
      <c r="E5612" s="59">
        <v>1.0</v>
      </c>
      <c r="F5612" s="59">
        <v>1.0</v>
      </c>
      <c r="G5612" s="60">
        <v>1.0</v>
      </c>
      <c r="H5612" s="60">
        <v>1.0</v>
      </c>
      <c r="I5612" s="60">
        <v>0.0</v>
      </c>
      <c r="J5612" s="59">
        <v>1.0</v>
      </c>
      <c r="K5612" s="61">
        <f t="shared" si="1"/>
        <v>1</v>
      </c>
      <c r="L5612" s="62">
        <f t="shared" si="2"/>
        <v>1</v>
      </c>
    </row>
    <row r="5613">
      <c r="A5613" s="58">
        <v>45748.0</v>
      </c>
      <c r="B5613" s="24" t="s">
        <v>6789</v>
      </c>
      <c r="C5613" s="24" t="s">
        <v>6921</v>
      </c>
      <c r="D5613" s="59">
        <v>1.0</v>
      </c>
      <c r="E5613" s="59">
        <v>1.0</v>
      </c>
      <c r="F5613" s="59">
        <v>0.0</v>
      </c>
      <c r="G5613" s="60">
        <v>1.0</v>
      </c>
      <c r="H5613" s="60">
        <v>1.0</v>
      </c>
      <c r="I5613" s="60">
        <v>0.0</v>
      </c>
      <c r="J5613" s="59">
        <v>1.0</v>
      </c>
      <c r="K5613" s="61">
        <f t="shared" si="1"/>
        <v>0</v>
      </c>
      <c r="L5613" s="62">
        <f t="shared" si="2"/>
        <v>1</v>
      </c>
    </row>
    <row r="5614">
      <c r="A5614" s="58">
        <v>45748.0</v>
      </c>
      <c r="B5614" s="24" t="s">
        <v>6787</v>
      </c>
      <c r="C5614" s="24" t="s">
        <v>6853</v>
      </c>
      <c r="D5614" s="59">
        <v>1.0</v>
      </c>
      <c r="E5614" s="59">
        <v>1.0</v>
      </c>
      <c r="F5614" s="59">
        <v>1.0</v>
      </c>
      <c r="G5614" s="60">
        <v>1.0</v>
      </c>
      <c r="H5614" s="60">
        <v>1.0</v>
      </c>
      <c r="I5614" s="60">
        <v>0.0</v>
      </c>
      <c r="J5614" s="59">
        <v>1.0</v>
      </c>
      <c r="K5614" s="61">
        <f t="shared" si="1"/>
        <v>1</v>
      </c>
      <c r="L5614" s="62">
        <f t="shared" si="2"/>
        <v>1</v>
      </c>
    </row>
    <row r="5615">
      <c r="A5615" s="58">
        <v>45748.0</v>
      </c>
      <c r="B5615" s="24" t="s">
        <v>6789</v>
      </c>
      <c r="C5615" s="24" t="s">
        <v>6853</v>
      </c>
      <c r="D5615" s="59">
        <v>1.0</v>
      </c>
      <c r="E5615" s="59">
        <v>1.0</v>
      </c>
      <c r="F5615" s="59">
        <v>0.0</v>
      </c>
      <c r="G5615" s="60">
        <v>1.0</v>
      </c>
      <c r="H5615" s="60">
        <v>0.0</v>
      </c>
      <c r="I5615" s="60">
        <v>19.668108</v>
      </c>
      <c r="J5615" s="59">
        <v>2.0</v>
      </c>
      <c r="K5615" s="61">
        <f t="shared" si="1"/>
        <v>0</v>
      </c>
      <c r="L5615" s="62">
        <f t="shared" si="2"/>
        <v>2</v>
      </c>
    </row>
    <row r="5616">
      <c r="A5616" s="58">
        <v>45748.0</v>
      </c>
      <c r="B5616" s="24" t="s">
        <v>6787</v>
      </c>
      <c r="C5616" s="24" t="s">
        <v>6816</v>
      </c>
      <c r="D5616" s="59">
        <v>1.0</v>
      </c>
      <c r="E5616" s="59">
        <v>1.0</v>
      </c>
      <c r="F5616" s="59">
        <v>1.0</v>
      </c>
      <c r="G5616" s="60">
        <v>1.0</v>
      </c>
      <c r="H5616" s="60">
        <v>1.0</v>
      </c>
      <c r="I5616" s="60">
        <v>0.0</v>
      </c>
      <c r="J5616" s="59">
        <v>1.0</v>
      </c>
      <c r="K5616" s="61">
        <f t="shared" si="1"/>
        <v>1</v>
      </c>
      <c r="L5616" s="62">
        <f t="shared" si="2"/>
        <v>1</v>
      </c>
    </row>
    <row r="5617">
      <c r="A5617" s="58">
        <v>45748.0</v>
      </c>
      <c r="B5617" s="24" t="s">
        <v>6794</v>
      </c>
      <c r="C5617" s="24" t="s">
        <v>6922</v>
      </c>
      <c r="D5617" s="59">
        <v>1.0</v>
      </c>
      <c r="E5617" s="59">
        <v>1.0</v>
      </c>
      <c r="F5617" s="59">
        <v>0.0</v>
      </c>
      <c r="G5617" s="60">
        <v>1.0</v>
      </c>
      <c r="H5617" s="60">
        <v>0.0</v>
      </c>
      <c r="I5617" s="60">
        <v>97.668996</v>
      </c>
      <c r="J5617" s="59">
        <v>1.0</v>
      </c>
      <c r="K5617" s="61">
        <f t="shared" si="1"/>
        <v>0</v>
      </c>
      <c r="L5617" s="62">
        <f t="shared" si="2"/>
        <v>1</v>
      </c>
    </row>
    <row r="5618">
      <c r="A5618" s="58">
        <v>45748.0</v>
      </c>
      <c r="B5618" s="24" t="s">
        <v>155</v>
      </c>
      <c r="C5618" s="24" t="s">
        <v>6922</v>
      </c>
      <c r="D5618" s="59">
        <v>1.0</v>
      </c>
      <c r="E5618" s="59">
        <v>1.0</v>
      </c>
      <c r="F5618" s="59">
        <v>0.0</v>
      </c>
      <c r="G5618" s="60">
        <v>1.0</v>
      </c>
      <c r="H5618" s="60">
        <v>1.0</v>
      </c>
      <c r="I5618" s="60">
        <v>1.14689</v>
      </c>
      <c r="J5618" s="59">
        <v>1.0</v>
      </c>
      <c r="K5618" s="61">
        <f t="shared" si="1"/>
        <v>0</v>
      </c>
      <c r="L5618" s="62">
        <f t="shared" si="2"/>
        <v>1</v>
      </c>
    </row>
    <row r="5619">
      <c r="A5619" s="58">
        <v>45748.0</v>
      </c>
      <c r="B5619" s="24" t="s">
        <v>6790</v>
      </c>
      <c r="C5619" s="24" t="s">
        <v>6922</v>
      </c>
      <c r="D5619" s="59">
        <v>1.0</v>
      </c>
      <c r="E5619" s="59">
        <v>1.0</v>
      </c>
      <c r="F5619" s="59">
        <v>0.0</v>
      </c>
      <c r="G5619" s="60">
        <v>1.0</v>
      </c>
      <c r="H5619" s="60">
        <v>0.0</v>
      </c>
      <c r="I5619" s="60">
        <v>715.466702</v>
      </c>
      <c r="J5619" s="59">
        <v>1.0</v>
      </c>
      <c r="K5619" s="61">
        <f t="shared" si="1"/>
        <v>0</v>
      </c>
      <c r="L5619" s="62">
        <f t="shared" si="2"/>
        <v>1</v>
      </c>
    </row>
    <row r="5620">
      <c r="A5620" s="58">
        <v>45748.0</v>
      </c>
      <c r="B5620" s="24" t="s">
        <v>6787</v>
      </c>
      <c r="C5620" s="24" t="s">
        <v>7047</v>
      </c>
      <c r="D5620" s="59">
        <v>1.0</v>
      </c>
      <c r="E5620" s="59">
        <v>1.0</v>
      </c>
      <c r="F5620" s="59">
        <v>1.0</v>
      </c>
      <c r="G5620" s="60">
        <v>1.0</v>
      </c>
      <c r="H5620" s="60">
        <v>1.0</v>
      </c>
      <c r="I5620" s="60">
        <v>0.0</v>
      </c>
      <c r="J5620" s="59">
        <v>1.0</v>
      </c>
      <c r="K5620" s="61">
        <f t="shared" si="1"/>
        <v>1</v>
      </c>
      <c r="L5620" s="62">
        <f t="shared" si="2"/>
        <v>1</v>
      </c>
    </row>
    <row r="5621">
      <c r="A5621" s="58">
        <v>45748.0</v>
      </c>
      <c r="B5621" s="24" t="s">
        <v>155</v>
      </c>
      <c r="C5621" s="24" t="s">
        <v>6810</v>
      </c>
      <c r="D5621" s="59">
        <v>1.0</v>
      </c>
      <c r="E5621" s="59">
        <v>1.0</v>
      </c>
      <c r="F5621" s="59">
        <v>0.0</v>
      </c>
      <c r="G5621" s="60">
        <v>1.0</v>
      </c>
      <c r="H5621" s="60">
        <v>0.0</v>
      </c>
      <c r="I5621" s="60">
        <v>179.572876</v>
      </c>
      <c r="J5621" s="59">
        <v>2.0</v>
      </c>
      <c r="K5621" s="61">
        <f t="shared" si="1"/>
        <v>0</v>
      </c>
      <c r="L5621" s="62">
        <f t="shared" si="2"/>
        <v>2</v>
      </c>
    </row>
    <row r="5622">
      <c r="A5622" s="58">
        <v>45748.0</v>
      </c>
      <c r="B5622" s="24" t="s">
        <v>155</v>
      </c>
      <c r="C5622" s="24" t="s">
        <v>6931</v>
      </c>
      <c r="D5622" s="59">
        <v>1.0</v>
      </c>
      <c r="E5622" s="59">
        <v>1.0</v>
      </c>
      <c r="F5622" s="59">
        <v>1.0</v>
      </c>
      <c r="G5622" s="60">
        <v>1.0</v>
      </c>
      <c r="H5622" s="60">
        <v>0.0</v>
      </c>
      <c r="I5622" s="60">
        <v>380.031413</v>
      </c>
      <c r="J5622" s="59">
        <v>2.0</v>
      </c>
      <c r="K5622" s="61">
        <f t="shared" si="1"/>
        <v>1</v>
      </c>
      <c r="L5622" s="62">
        <f t="shared" si="2"/>
        <v>2</v>
      </c>
    </row>
    <row r="5623">
      <c r="A5623" s="58">
        <v>45748.0</v>
      </c>
      <c r="B5623" s="24" t="s">
        <v>155</v>
      </c>
      <c r="C5623" s="24" t="s">
        <v>6962</v>
      </c>
      <c r="D5623" s="59">
        <v>1.0</v>
      </c>
      <c r="E5623" s="59">
        <v>2.0</v>
      </c>
      <c r="F5623" s="59">
        <v>0.0</v>
      </c>
      <c r="G5623" s="60">
        <v>2.0</v>
      </c>
      <c r="H5623" s="60">
        <v>0.0</v>
      </c>
      <c r="I5623" s="60">
        <v>1004.4768025</v>
      </c>
      <c r="J5623" s="59">
        <v>6.0</v>
      </c>
      <c r="K5623" s="61">
        <f t="shared" si="1"/>
        <v>0</v>
      </c>
      <c r="L5623" s="62">
        <f t="shared" si="2"/>
        <v>3</v>
      </c>
    </row>
    <row r="5624">
      <c r="A5624" s="58">
        <v>45748.0</v>
      </c>
      <c r="B5624" s="24" t="s">
        <v>155</v>
      </c>
      <c r="C5624" s="24" t="s">
        <v>6854</v>
      </c>
      <c r="D5624" s="59">
        <v>1.0</v>
      </c>
      <c r="E5624" s="59">
        <v>1.0</v>
      </c>
      <c r="F5624" s="59">
        <v>0.0</v>
      </c>
      <c r="G5624" s="60">
        <v>1.0</v>
      </c>
      <c r="H5624" s="60">
        <v>0.0</v>
      </c>
      <c r="I5624" s="60">
        <v>1724.240702</v>
      </c>
      <c r="J5624" s="59">
        <v>2.0</v>
      </c>
      <c r="K5624" s="61">
        <f t="shared" si="1"/>
        <v>0</v>
      </c>
      <c r="L5624" s="62">
        <f t="shared" si="2"/>
        <v>2</v>
      </c>
    </row>
    <row r="5625">
      <c r="A5625" s="58">
        <v>45748.0</v>
      </c>
      <c r="B5625" s="24" t="s">
        <v>6789</v>
      </c>
      <c r="C5625" s="24" t="s">
        <v>6924</v>
      </c>
      <c r="D5625" s="59">
        <v>1.0</v>
      </c>
      <c r="E5625" s="59">
        <v>2.0</v>
      </c>
      <c r="F5625" s="59">
        <v>1.0</v>
      </c>
      <c r="G5625" s="60">
        <v>2.0</v>
      </c>
      <c r="H5625" s="60">
        <v>0.5</v>
      </c>
      <c r="I5625" s="60">
        <v>50.0261975</v>
      </c>
      <c r="J5625" s="59">
        <v>3.0</v>
      </c>
      <c r="K5625" s="61">
        <f t="shared" si="1"/>
        <v>0.5</v>
      </c>
      <c r="L5625" s="62">
        <f t="shared" si="2"/>
        <v>1.5</v>
      </c>
    </row>
    <row r="5626">
      <c r="A5626" s="58">
        <v>45717.0</v>
      </c>
      <c r="B5626" s="24" t="s">
        <v>6789</v>
      </c>
      <c r="C5626" s="24" t="s">
        <v>6788</v>
      </c>
      <c r="D5626" s="59">
        <v>874.0</v>
      </c>
      <c r="E5626" s="59">
        <v>1161.0</v>
      </c>
      <c r="F5626" s="59">
        <v>708.0</v>
      </c>
      <c r="G5626" s="60">
        <v>1.37559241706161</v>
      </c>
      <c r="H5626" s="60">
        <v>0.472006890611541</v>
      </c>
      <c r="I5626" s="60">
        <v>219.750270371231</v>
      </c>
      <c r="J5626" s="59">
        <v>2208.0</v>
      </c>
      <c r="K5626" s="61">
        <f t="shared" si="1"/>
        <v>0.6098191214</v>
      </c>
      <c r="L5626" s="62">
        <f t="shared" si="2"/>
        <v>1.901808786</v>
      </c>
    </row>
    <row r="5627">
      <c r="A5627" s="58">
        <v>45717.0</v>
      </c>
      <c r="B5627" s="24" t="s">
        <v>6787</v>
      </c>
      <c r="C5627" s="24" t="s">
        <v>6788</v>
      </c>
      <c r="D5627" s="59">
        <v>859.0</v>
      </c>
      <c r="E5627" s="59">
        <v>1073.0</v>
      </c>
      <c r="F5627" s="59">
        <v>812.0</v>
      </c>
      <c r="G5627" s="60">
        <v>1.2593896713615</v>
      </c>
      <c r="H5627" s="60">
        <v>0.765144454799627</v>
      </c>
      <c r="I5627" s="60">
        <v>63.1325027520969</v>
      </c>
      <c r="J5627" s="59">
        <v>1462.0</v>
      </c>
      <c r="K5627" s="61">
        <f t="shared" si="1"/>
        <v>0.7567567568</v>
      </c>
      <c r="L5627" s="62">
        <f t="shared" si="2"/>
        <v>1.362534949</v>
      </c>
    </row>
    <row r="5628">
      <c r="A5628" s="58">
        <v>45717.0</v>
      </c>
      <c r="B5628" s="24" t="s">
        <v>6789</v>
      </c>
      <c r="C5628" s="24" t="s">
        <v>6792</v>
      </c>
      <c r="D5628" s="59">
        <v>250.0</v>
      </c>
      <c r="E5628" s="59">
        <v>318.0</v>
      </c>
      <c r="F5628" s="59">
        <v>0.0</v>
      </c>
      <c r="G5628" s="60">
        <v>1.9390243902439</v>
      </c>
      <c r="H5628" s="60">
        <v>0.977987421383647</v>
      </c>
      <c r="I5628" s="60">
        <v>6.83900921698113</v>
      </c>
      <c r="J5628" s="59">
        <v>0.0</v>
      </c>
      <c r="K5628" s="61">
        <f t="shared" si="1"/>
        <v>0</v>
      </c>
      <c r="L5628" s="62">
        <f t="shared" si="2"/>
        <v>0</v>
      </c>
    </row>
    <row r="5629">
      <c r="A5629" s="58">
        <v>45717.0</v>
      </c>
      <c r="B5629" s="24" t="s">
        <v>155</v>
      </c>
      <c r="C5629" s="24" t="s">
        <v>6788</v>
      </c>
      <c r="D5629" s="59">
        <v>184.0</v>
      </c>
      <c r="E5629" s="59">
        <v>334.0</v>
      </c>
      <c r="F5629" s="59">
        <v>134.0</v>
      </c>
      <c r="G5629" s="60">
        <v>1.82513661202185</v>
      </c>
      <c r="H5629" s="60">
        <v>0.682634730538922</v>
      </c>
      <c r="I5629" s="60">
        <v>149.039133146706</v>
      </c>
      <c r="J5629" s="59">
        <v>487.0</v>
      </c>
      <c r="K5629" s="61">
        <f t="shared" si="1"/>
        <v>0.4011976048</v>
      </c>
      <c r="L5629" s="62">
        <f t="shared" si="2"/>
        <v>1.458083832</v>
      </c>
    </row>
    <row r="5630">
      <c r="A5630" s="58">
        <v>45717.0</v>
      </c>
      <c r="B5630" s="24" t="s">
        <v>6789</v>
      </c>
      <c r="C5630" s="24" t="s">
        <v>7068</v>
      </c>
      <c r="D5630" s="59">
        <v>182.0</v>
      </c>
      <c r="E5630" s="59">
        <v>193.0</v>
      </c>
      <c r="F5630" s="59">
        <v>172.0</v>
      </c>
      <c r="G5630" s="60">
        <v>1.07222222222222</v>
      </c>
      <c r="H5630" s="60">
        <v>0.357512953367875</v>
      </c>
      <c r="I5630" s="60">
        <v>160.693607626942</v>
      </c>
      <c r="J5630" s="59">
        <v>205.0</v>
      </c>
      <c r="K5630" s="61">
        <f t="shared" si="1"/>
        <v>0.8911917098</v>
      </c>
      <c r="L5630" s="62">
        <f t="shared" si="2"/>
        <v>1.062176166</v>
      </c>
    </row>
    <row r="5631">
      <c r="A5631" s="58">
        <v>45717.0</v>
      </c>
      <c r="B5631" s="24" t="s">
        <v>6794</v>
      </c>
      <c r="C5631" s="24" t="s">
        <v>6788</v>
      </c>
      <c r="D5631" s="59">
        <v>114.0</v>
      </c>
      <c r="E5631" s="59">
        <v>123.0</v>
      </c>
      <c r="F5631" s="59">
        <v>106.0</v>
      </c>
      <c r="G5631" s="60">
        <v>1.08849557522123</v>
      </c>
      <c r="H5631" s="60">
        <v>0.308943089430894</v>
      </c>
      <c r="I5631" s="60">
        <v>132.043483674796</v>
      </c>
      <c r="J5631" s="59">
        <v>221.0</v>
      </c>
      <c r="K5631" s="61">
        <f t="shared" si="1"/>
        <v>0.8617886179</v>
      </c>
      <c r="L5631" s="62">
        <f t="shared" si="2"/>
        <v>1.796747967</v>
      </c>
    </row>
    <row r="5632">
      <c r="A5632" s="58">
        <v>45717.0</v>
      </c>
      <c r="B5632" s="24" t="s">
        <v>3216</v>
      </c>
      <c r="C5632" s="24" t="s">
        <v>7180</v>
      </c>
      <c r="D5632" s="59">
        <v>95.0</v>
      </c>
      <c r="E5632" s="59">
        <v>98.0</v>
      </c>
      <c r="F5632" s="59">
        <v>95.0</v>
      </c>
      <c r="G5632" s="60">
        <v>1.03157894736842</v>
      </c>
      <c r="H5632" s="60">
        <v>0.785714285714285</v>
      </c>
      <c r="I5632" s="60">
        <v>6.61499364285714</v>
      </c>
      <c r="J5632" s="59">
        <v>119.0</v>
      </c>
      <c r="K5632" s="61">
        <f t="shared" si="1"/>
        <v>0.9693877551</v>
      </c>
      <c r="L5632" s="62">
        <f t="shared" si="2"/>
        <v>1.214285714</v>
      </c>
    </row>
    <row r="5633">
      <c r="A5633" s="58">
        <v>45717.0</v>
      </c>
      <c r="B5633" s="24" t="s">
        <v>3216</v>
      </c>
      <c r="C5633" s="24" t="s">
        <v>6788</v>
      </c>
      <c r="D5633" s="59">
        <v>85.0</v>
      </c>
      <c r="E5633" s="59">
        <v>89.0</v>
      </c>
      <c r="F5633" s="59">
        <v>81.0</v>
      </c>
      <c r="G5633" s="60">
        <v>1.0595238095238</v>
      </c>
      <c r="H5633" s="60">
        <v>0.887640449438202</v>
      </c>
      <c r="I5633" s="60">
        <v>50.5865407640449</v>
      </c>
      <c r="J5633" s="59">
        <v>109.0</v>
      </c>
      <c r="K5633" s="61">
        <f t="shared" si="1"/>
        <v>0.9101123596</v>
      </c>
      <c r="L5633" s="62">
        <f t="shared" si="2"/>
        <v>1.224719101</v>
      </c>
    </row>
    <row r="5634">
      <c r="A5634" s="58">
        <v>45717.0</v>
      </c>
      <c r="B5634" s="24" t="s">
        <v>6787</v>
      </c>
      <c r="C5634" s="24" t="s">
        <v>6792</v>
      </c>
      <c r="D5634" s="59">
        <v>53.0</v>
      </c>
      <c r="E5634" s="59">
        <v>67.0</v>
      </c>
      <c r="F5634" s="59">
        <v>0.0</v>
      </c>
      <c r="G5634" s="60">
        <v>1.675</v>
      </c>
      <c r="H5634" s="60">
        <v>1.0</v>
      </c>
      <c r="I5634" s="60">
        <v>0.0338587313432835</v>
      </c>
      <c r="J5634" s="59">
        <v>0.0</v>
      </c>
      <c r="K5634" s="61">
        <f t="shared" si="1"/>
        <v>0</v>
      </c>
      <c r="L5634" s="62">
        <f t="shared" si="2"/>
        <v>0</v>
      </c>
    </row>
    <row r="5635">
      <c r="A5635" s="58">
        <v>45717.0</v>
      </c>
      <c r="B5635" s="24" t="s">
        <v>6789</v>
      </c>
      <c r="C5635" s="24" t="s">
        <v>6804</v>
      </c>
      <c r="D5635" s="59">
        <v>47.0</v>
      </c>
      <c r="E5635" s="59">
        <v>59.0</v>
      </c>
      <c r="F5635" s="59">
        <v>44.0</v>
      </c>
      <c r="G5635" s="60">
        <v>1.25531914893617</v>
      </c>
      <c r="H5635" s="60">
        <v>0.542372881355932</v>
      </c>
      <c r="I5635" s="60">
        <v>127.217668762711</v>
      </c>
      <c r="J5635" s="59">
        <v>69.0</v>
      </c>
      <c r="K5635" s="61">
        <f t="shared" si="1"/>
        <v>0.7457627119</v>
      </c>
      <c r="L5635" s="62">
        <f t="shared" si="2"/>
        <v>1.169491525</v>
      </c>
    </row>
    <row r="5636">
      <c r="A5636" s="58">
        <v>45717.0</v>
      </c>
      <c r="B5636" s="24" t="s">
        <v>6789</v>
      </c>
      <c r="C5636" s="24" t="s">
        <v>6882</v>
      </c>
      <c r="D5636" s="59">
        <v>47.0</v>
      </c>
      <c r="E5636" s="59">
        <v>52.0</v>
      </c>
      <c r="F5636" s="59">
        <v>40.0</v>
      </c>
      <c r="G5636" s="60">
        <v>1.15555555555555</v>
      </c>
      <c r="H5636" s="60">
        <v>0.403846153846153</v>
      </c>
      <c r="I5636" s="60">
        <v>211.203445442307</v>
      </c>
      <c r="J5636" s="59">
        <v>89.0</v>
      </c>
      <c r="K5636" s="61">
        <f t="shared" si="1"/>
        <v>0.7692307692</v>
      </c>
      <c r="L5636" s="62">
        <f t="shared" si="2"/>
        <v>1.711538462</v>
      </c>
    </row>
    <row r="5637">
      <c r="A5637" s="58">
        <v>45717.0</v>
      </c>
      <c r="B5637" s="24" t="s">
        <v>3216</v>
      </c>
      <c r="C5637" s="24" t="s">
        <v>7190</v>
      </c>
      <c r="D5637" s="59">
        <v>41.0</v>
      </c>
      <c r="E5637" s="59">
        <v>44.0</v>
      </c>
      <c r="F5637" s="59">
        <v>41.0</v>
      </c>
      <c r="G5637" s="60">
        <v>1.07317073170731</v>
      </c>
      <c r="H5637" s="60">
        <v>0.977272727272727</v>
      </c>
      <c r="I5637" s="60">
        <v>4.9028509090909</v>
      </c>
      <c r="J5637" s="59">
        <v>44.0</v>
      </c>
      <c r="K5637" s="61">
        <f t="shared" si="1"/>
        <v>0.9318181818</v>
      </c>
      <c r="L5637" s="62">
        <f t="shared" si="2"/>
        <v>1</v>
      </c>
    </row>
    <row r="5638">
      <c r="A5638" s="58">
        <v>45717.0</v>
      </c>
      <c r="B5638" s="24" t="s">
        <v>3216</v>
      </c>
      <c r="C5638" s="24" t="s">
        <v>7014</v>
      </c>
      <c r="D5638" s="59">
        <v>41.0</v>
      </c>
      <c r="E5638" s="59">
        <v>41.0</v>
      </c>
      <c r="F5638" s="59">
        <v>40.0</v>
      </c>
      <c r="G5638" s="60">
        <v>1.0</v>
      </c>
      <c r="H5638" s="60">
        <v>0.975609756097561</v>
      </c>
      <c r="I5638" s="60">
        <v>4.08976721951219</v>
      </c>
      <c r="J5638" s="59">
        <v>41.0</v>
      </c>
      <c r="K5638" s="61">
        <f t="shared" si="1"/>
        <v>0.9756097561</v>
      </c>
      <c r="L5638" s="62">
        <f t="shared" si="2"/>
        <v>1</v>
      </c>
    </row>
    <row r="5639">
      <c r="A5639" s="58">
        <v>45717.0</v>
      </c>
      <c r="B5639" s="24" t="s">
        <v>3216</v>
      </c>
      <c r="C5639" s="24" t="s">
        <v>6955</v>
      </c>
      <c r="D5639" s="59">
        <v>39.0</v>
      </c>
      <c r="E5639" s="59">
        <v>39.0</v>
      </c>
      <c r="F5639" s="59">
        <v>38.0</v>
      </c>
      <c r="G5639" s="60">
        <v>1.02631578947368</v>
      </c>
      <c r="H5639" s="60">
        <v>0.974358974358974</v>
      </c>
      <c r="I5639" s="60">
        <v>11.7156353333333</v>
      </c>
      <c r="J5639" s="59">
        <v>39.0</v>
      </c>
      <c r="K5639" s="61">
        <f t="shared" si="1"/>
        <v>0.9743589744</v>
      </c>
      <c r="L5639" s="62">
        <f t="shared" si="2"/>
        <v>1</v>
      </c>
    </row>
    <row r="5640">
      <c r="A5640" s="58">
        <v>45717.0</v>
      </c>
      <c r="B5640" s="24" t="s">
        <v>6789</v>
      </c>
      <c r="C5640" s="24" t="s">
        <v>6799</v>
      </c>
      <c r="D5640" s="59">
        <v>38.0</v>
      </c>
      <c r="E5640" s="59">
        <v>48.0</v>
      </c>
      <c r="F5640" s="59">
        <v>29.0</v>
      </c>
      <c r="G5640" s="60">
        <v>1.37142857142857</v>
      </c>
      <c r="H5640" s="60">
        <v>0.333333333333333</v>
      </c>
      <c r="I5640" s="60">
        <v>278.6770705625</v>
      </c>
      <c r="J5640" s="59">
        <v>102.0</v>
      </c>
      <c r="K5640" s="61">
        <f t="shared" si="1"/>
        <v>0.6041666667</v>
      </c>
      <c r="L5640" s="62">
        <f t="shared" si="2"/>
        <v>2.125</v>
      </c>
    </row>
    <row r="5641">
      <c r="A5641" s="58">
        <v>45717.0</v>
      </c>
      <c r="B5641" s="24" t="s">
        <v>6789</v>
      </c>
      <c r="C5641" s="24" t="s">
        <v>6815</v>
      </c>
      <c r="D5641" s="59">
        <v>35.0</v>
      </c>
      <c r="E5641" s="59">
        <v>37.0</v>
      </c>
      <c r="F5641" s="59">
        <v>32.0</v>
      </c>
      <c r="G5641" s="60">
        <v>1.08823529411764</v>
      </c>
      <c r="H5641" s="60">
        <v>0.216216216216216</v>
      </c>
      <c r="I5641" s="60">
        <v>69.5442023243243</v>
      </c>
      <c r="J5641" s="59">
        <v>51.0</v>
      </c>
      <c r="K5641" s="61">
        <f t="shared" si="1"/>
        <v>0.8648648649</v>
      </c>
      <c r="L5641" s="62">
        <f t="shared" si="2"/>
        <v>1.378378378</v>
      </c>
    </row>
    <row r="5642">
      <c r="A5642" s="58">
        <v>45717.0</v>
      </c>
      <c r="B5642" s="24" t="s">
        <v>3216</v>
      </c>
      <c r="C5642" s="24" t="s">
        <v>7159</v>
      </c>
      <c r="D5642" s="59">
        <v>32.0</v>
      </c>
      <c r="E5642" s="59">
        <v>33.0</v>
      </c>
      <c r="F5642" s="59">
        <v>31.0</v>
      </c>
      <c r="G5642" s="60">
        <v>1.03125</v>
      </c>
      <c r="H5642" s="60">
        <v>0.969696969696969</v>
      </c>
      <c r="I5642" s="60">
        <v>0.675415545454545</v>
      </c>
      <c r="J5642" s="59">
        <v>34.0</v>
      </c>
      <c r="K5642" s="61">
        <f t="shared" si="1"/>
        <v>0.9393939394</v>
      </c>
      <c r="L5642" s="62">
        <f t="shared" si="2"/>
        <v>1.03030303</v>
      </c>
    </row>
    <row r="5643">
      <c r="A5643" s="58">
        <v>45717.0</v>
      </c>
      <c r="B5643" s="24" t="s">
        <v>6787</v>
      </c>
      <c r="C5643" s="24" t="s">
        <v>6799</v>
      </c>
      <c r="D5643" s="59">
        <v>30.0</v>
      </c>
      <c r="E5643" s="59">
        <v>31.0</v>
      </c>
      <c r="F5643" s="59">
        <v>27.0</v>
      </c>
      <c r="G5643" s="60">
        <v>1.10714285714285</v>
      </c>
      <c r="H5643" s="60">
        <v>0.483870967741935</v>
      </c>
      <c r="I5643" s="60">
        <v>114.967537548387</v>
      </c>
      <c r="J5643" s="59">
        <v>45.0</v>
      </c>
      <c r="K5643" s="61">
        <f t="shared" si="1"/>
        <v>0.8709677419</v>
      </c>
      <c r="L5643" s="62">
        <f t="shared" si="2"/>
        <v>1.451612903</v>
      </c>
    </row>
    <row r="5644">
      <c r="A5644" s="58">
        <v>45717.0</v>
      </c>
      <c r="B5644" s="24" t="s">
        <v>3216</v>
      </c>
      <c r="C5644" s="24" t="s">
        <v>6854</v>
      </c>
      <c r="D5644" s="59">
        <v>29.0</v>
      </c>
      <c r="E5644" s="59">
        <v>29.0</v>
      </c>
      <c r="F5644" s="59">
        <v>28.0</v>
      </c>
      <c r="G5644" s="60">
        <v>1.0</v>
      </c>
      <c r="H5644" s="60">
        <v>0.862068965517241</v>
      </c>
      <c r="I5644" s="60">
        <v>16.568106275862</v>
      </c>
      <c r="J5644" s="59">
        <v>42.0</v>
      </c>
      <c r="K5644" s="61">
        <f t="shared" si="1"/>
        <v>0.9655172414</v>
      </c>
      <c r="L5644" s="62">
        <f t="shared" si="2"/>
        <v>1.448275862</v>
      </c>
    </row>
    <row r="5645">
      <c r="A5645" s="58">
        <v>45717.0</v>
      </c>
      <c r="B5645" s="24" t="s">
        <v>155</v>
      </c>
      <c r="C5645" s="24" t="s">
        <v>6792</v>
      </c>
      <c r="D5645" s="59">
        <v>25.0</v>
      </c>
      <c r="E5645" s="59">
        <v>31.0</v>
      </c>
      <c r="F5645" s="59">
        <v>0.0</v>
      </c>
      <c r="G5645" s="60">
        <v>1.9375</v>
      </c>
      <c r="H5645" s="60">
        <v>0.935483870967741</v>
      </c>
      <c r="I5645" s="60">
        <v>2.92316812903225</v>
      </c>
      <c r="J5645" s="59">
        <v>0.0</v>
      </c>
      <c r="K5645" s="61">
        <f t="shared" si="1"/>
        <v>0</v>
      </c>
      <c r="L5645" s="62">
        <f t="shared" si="2"/>
        <v>0</v>
      </c>
    </row>
    <row r="5646">
      <c r="A5646" s="58">
        <v>45717.0</v>
      </c>
      <c r="B5646" s="24" t="s">
        <v>6787</v>
      </c>
      <c r="C5646" s="24" t="s">
        <v>6955</v>
      </c>
      <c r="D5646" s="59">
        <v>24.0</v>
      </c>
      <c r="E5646" s="59">
        <v>24.0</v>
      </c>
      <c r="F5646" s="59">
        <v>24.0</v>
      </c>
      <c r="G5646" s="60">
        <v>1.0</v>
      </c>
      <c r="H5646" s="60">
        <v>0.958333333333333</v>
      </c>
      <c r="I5646" s="60">
        <v>2.18558654166666</v>
      </c>
      <c r="J5646" s="59">
        <v>24.0</v>
      </c>
      <c r="K5646" s="61">
        <f t="shared" si="1"/>
        <v>1</v>
      </c>
      <c r="L5646" s="62">
        <f t="shared" si="2"/>
        <v>1</v>
      </c>
    </row>
    <row r="5647">
      <c r="A5647" s="58">
        <v>45717.0</v>
      </c>
      <c r="B5647" s="24" t="s">
        <v>3216</v>
      </c>
      <c r="C5647" s="24" t="s">
        <v>7088</v>
      </c>
      <c r="D5647" s="59">
        <v>24.0</v>
      </c>
      <c r="E5647" s="59">
        <v>24.0</v>
      </c>
      <c r="F5647" s="59">
        <v>22.0</v>
      </c>
      <c r="G5647" s="60">
        <v>1.0</v>
      </c>
      <c r="H5647" s="60">
        <v>0.791666666666666</v>
      </c>
      <c r="I5647" s="60">
        <v>180.964734416666</v>
      </c>
      <c r="J5647" s="59">
        <v>33.0</v>
      </c>
      <c r="K5647" s="61">
        <f t="shared" si="1"/>
        <v>0.9166666667</v>
      </c>
      <c r="L5647" s="62">
        <f t="shared" si="2"/>
        <v>1.375</v>
      </c>
    </row>
    <row r="5648">
      <c r="A5648" s="58">
        <v>45717.0</v>
      </c>
      <c r="B5648" s="24" t="s">
        <v>6789</v>
      </c>
      <c r="C5648" s="24" t="s">
        <v>6910</v>
      </c>
      <c r="D5648" s="59">
        <v>24.0</v>
      </c>
      <c r="E5648" s="59">
        <v>29.0</v>
      </c>
      <c r="F5648" s="59">
        <v>12.0</v>
      </c>
      <c r="G5648" s="60">
        <v>1.31818181818181</v>
      </c>
      <c r="H5648" s="60">
        <v>0.448275862068965</v>
      </c>
      <c r="I5648" s="60">
        <v>229.188937896551</v>
      </c>
      <c r="J5648" s="59">
        <v>44.0</v>
      </c>
      <c r="K5648" s="61">
        <f t="shared" si="1"/>
        <v>0.4137931034</v>
      </c>
      <c r="L5648" s="62">
        <f t="shared" si="2"/>
        <v>1.517241379</v>
      </c>
    </row>
    <row r="5649">
      <c r="A5649" s="58">
        <v>45717.0</v>
      </c>
      <c r="B5649" s="24" t="s">
        <v>3216</v>
      </c>
      <c r="C5649" s="24" t="s">
        <v>6882</v>
      </c>
      <c r="D5649" s="59">
        <v>23.0</v>
      </c>
      <c r="E5649" s="59">
        <v>25.0</v>
      </c>
      <c r="F5649" s="59">
        <v>22.0</v>
      </c>
      <c r="G5649" s="60">
        <v>1.13636363636363</v>
      </c>
      <c r="H5649" s="60">
        <v>0.64</v>
      </c>
      <c r="I5649" s="60">
        <v>33.81923332</v>
      </c>
      <c r="J5649" s="59">
        <v>44.0</v>
      </c>
      <c r="K5649" s="61">
        <f t="shared" si="1"/>
        <v>0.88</v>
      </c>
      <c r="L5649" s="62">
        <f t="shared" si="2"/>
        <v>1.76</v>
      </c>
    </row>
    <row r="5650">
      <c r="A5650" s="58">
        <v>45717.0</v>
      </c>
      <c r="B5650" s="24" t="s">
        <v>3216</v>
      </c>
      <c r="C5650" s="24" t="s">
        <v>6801</v>
      </c>
      <c r="D5650" s="59">
        <v>23.0</v>
      </c>
      <c r="E5650" s="59">
        <v>23.0</v>
      </c>
      <c r="F5650" s="59">
        <v>23.0</v>
      </c>
      <c r="G5650" s="60">
        <v>1.0</v>
      </c>
      <c r="H5650" s="60">
        <v>0.869565217391304</v>
      </c>
      <c r="I5650" s="60">
        <v>2.05732639130434</v>
      </c>
      <c r="J5650" s="59">
        <v>27.0</v>
      </c>
      <c r="K5650" s="61">
        <f t="shared" si="1"/>
        <v>1</v>
      </c>
      <c r="L5650" s="62">
        <f t="shared" si="2"/>
        <v>1.173913043</v>
      </c>
    </row>
    <row r="5651">
      <c r="A5651" s="58">
        <v>45717.0</v>
      </c>
      <c r="B5651" s="24" t="s">
        <v>6789</v>
      </c>
      <c r="C5651" s="24" t="s">
        <v>6808</v>
      </c>
      <c r="D5651" s="59">
        <v>22.0</v>
      </c>
      <c r="E5651" s="59">
        <v>24.0</v>
      </c>
      <c r="F5651" s="59">
        <v>11.0</v>
      </c>
      <c r="G5651" s="60">
        <v>1.09090909090909</v>
      </c>
      <c r="H5651" s="60">
        <v>0.416666666666666</v>
      </c>
      <c r="I5651" s="60">
        <v>188.163286</v>
      </c>
      <c r="J5651" s="59">
        <v>44.0</v>
      </c>
      <c r="K5651" s="61">
        <f t="shared" si="1"/>
        <v>0.4583333333</v>
      </c>
      <c r="L5651" s="62">
        <f t="shared" si="2"/>
        <v>1.833333333</v>
      </c>
    </row>
    <row r="5652">
      <c r="A5652" s="58">
        <v>45717.0</v>
      </c>
      <c r="B5652" s="24" t="s">
        <v>6794</v>
      </c>
      <c r="C5652" s="24" t="s">
        <v>6792</v>
      </c>
      <c r="D5652" s="59">
        <v>20.0</v>
      </c>
      <c r="E5652" s="59">
        <v>24.0</v>
      </c>
      <c r="F5652" s="59">
        <v>0.0</v>
      </c>
      <c r="G5652" s="60">
        <v>1.5</v>
      </c>
      <c r="H5652" s="60">
        <v>0.958333333333333</v>
      </c>
      <c r="I5652" s="60">
        <v>2.62242579166666</v>
      </c>
      <c r="J5652" s="59">
        <v>0.0</v>
      </c>
      <c r="K5652" s="61">
        <f t="shared" si="1"/>
        <v>0</v>
      </c>
      <c r="L5652" s="62">
        <f t="shared" si="2"/>
        <v>0</v>
      </c>
    </row>
    <row r="5653">
      <c r="A5653" s="58">
        <v>45717.0</v>
      </c>
      <c r="B5653" s="24" t="s">
        <v>3216</v>
      </c>
      <c r="C5653" s="24" t="s">
        <v>7055</v>
      </c>
      <c r="D5653" s="59">
        <v>18.0</v>
      </c>
      <c r="E5653" s="59">
        <v>19.0</v>
      </c>
      <c r="F5653" s="59">
        <v>16.0</v>
      </c>
      <c r="G5653" s="60">
        <v>1.11764705882352</v>
      </c>
      <c r="H5653" s="60">
        <v>0.842105263157894</v>
      </c>
      <c r="I5653" s="60">
        <v>9.64870678947368</v>
      </c>
      <c r="J5653" s="59">
        <v>24.0</v>
      </c>
      <c r="K5653" s="61">
        <f t="shared" si="1"/>
        <v>0.8421052632</v>
      </c>
      <c r="L5653" s="62">
        <f t="shared" si="2"/>
        <v>1.263157895</v>
      </c>
    </row>
    <row r="5654">
      <c r="A5654" s="58">
        <v>45717.0</v>
      </c>
      <c r="B5654" s="24" t="s">
        <v>6789</v>
      </c>
      <c r="C5654" s="24" t="s">
        <v>7024</v>
      </c>
      <c r="D5654" s="59">
        <v>18.0</v>
      </c>
      <c r="E5654" s="59">
        <v>18.0</v>
      </c>
      <c r="F5654" s="59">
        <v>17.0</v>
      </c>
      <c r="G5654" s="60">
        <v>1.05882352941176</v>
      </c>
      <c r="H5654" s="60">
        <v>0.277777777777777</v>
      </c>
      <c r="I5654" s="60">
        <v>74.5074383888888</v>
      </c>
      <c r="J5654" s="59">
        <v>18.0</v>
      </c>
      <c r="K5654" s="61">
        <f t="shared" si="1"/>
        <v>0.9444444444</v>
      </c>
      <c r="L5654" s="62">
        <f t="shared" si="2"/>
        <v>1</v>
      </c>
    </row>
    <row r="5655">
      <c r="A5655" s="58">
        <v>45717.0</v>
      </c>
      <c r="B5655" s="24" t="s">
        <v>6790</v>
      </c>
      <c r="C5655" s="24" t="s">
        <v>6788</v>
      </c>
      <c r="D5655" s="59">
        <v>16.0</v>
      </c>
      <c r="E5655" s="59">
        <v>17.0</v>
      </c>
      <c r="F5655" s="59">
        <v>11.0</v>
      </c>
      <c r="G5655" s="60">
        <v>1.0625</v>
      </c>
      <c r="H5655" s="60">
        <v>0.529411764705882</v>
      </c>
      <c r="I5655" s="60">
        <v>244.657918294117</v>
      </c>
      <c r="J5655" s="59">
        <v>43.0</v>
      </c>
      <c r="K5655" s="61">
        <f t="shared" si="1"/>
        <v>0.6470588235</v>
      </c>
      <c r="L5655" s="62">
        <f t="shared" si="2"/>
        <v>2.529411765</v>
      </c>
    </row>
    <row r="5656">
      <c r="A5656" s="58">
        <v>45717.0</v>
      </c>
      <c r="B5656" s="24" t="s">
        <v>3216</v>
      </c>
      <c r="C5656" s="24" t="s">
        <v>7189</v>
      </c>
      <c r="D5656" s="59">
        <v>16.0</v>
      </c>
      <c r="E5656" s="59">
        <v>16.0</v>
      </c>
      <c r="F5656" s="59">
        <v>16.0</v>
      </c>
      <c r="G5656" s="60">
        <v>1.0</v>
      </c>
      <c r="H5656" s="60">
        <v>0.8125</v>
      </c>
      <c r="I5656" s="60">
        <v>0.425858874999999</v>
      </c>
      <c r="J5656" s="59">
        <v>24.0</v>
      </c>
      <c r="K5656" s="61">
        <f t="shared" si="1"/>
        <v>1</v>
      </c>
      <c r="L5656" s="62">
        <f t="shared" si="2"/>
        <v>1.5</v>
      </c>
    </row>
    <row r="5657">
      <c r="A5657" s="58">
        <v>45717.0</v>
      </c>
      <c r="B5657" s="24" t="s">
        <v>6789</v>
      </c>
      <c r="C5657" s="24" t="s">
        <v>6829</v>
      </c>
      <c r="D5657" s="59">
        <v>15.0</v>
      </c>
      <c r="E5657" s="59">
        <v>15.0</v>
      </c>
      <c r="F5657" s="59">
        <v>14.0</v>
      </c>
      <c r="G5657" s="60">
        <v>1.0</v>
      </c>
      <c r="H5657" s="60">
        <v>0.2</v>
      </c>
      <c r="I5657" s="60">
        <v>83.3250014666666</v>
      </c>
      <c r="J5657" s="59">
        <v>16.0</v>
      </c>
      <c r="K5657" s="61">
        <f t="shared" si="1"/>
        <v>0.9333333333</v>
      </c>
      <c r="L5657" s="62">
        <f t="shared" si="2"/>
        <v>1.066666667</v>
      </c>
    </row>
    <row r="5658">
      <c r="A5658" s="58">
        <v>45717.0</v>
      </c>
      <c r="B5658" s="24" t="s">
        <v>3216</v>
      </c>
      <c r="C5658" s="24" t="s">
        <v>6870</v>
      </c>
      <c r="D5658" s="59">
        <v>14.0</v>
      </c>
      <c r="E5658" s="59">
        <v>14.0</v>
      </c>
      <c r="F5658" s="59">
        <v>14.0</v>
      </c>
      <c r="G5658" s="60">
        <v>1.0</v>
      </c>
      <c r="H5658" s="60">
        <v>1.0</v>
      </c>
      <c r="I5658" s="60">
        <v>0.384181928571428</v>
      </c>
      <c r="J5658" s="59">
        <v>14.0</v>
      </c>
      <c r="K5658" s="61">
        <f t="shared" si="1"/>
        <v>1</v>
      </c>
      <c r="L5658" s="62">
        <f t="shared" si="2"/>
        <v>1</v>
      </c>
    </row>
    <row r="5659">
      <c r="A5659" s="58">
        <v>45717.0</v>
      </c>
      <c r="B5659" s="24" t="s">
        <v>3216</v>
      </c>
      <c r="C5659" s="24" t="s">
        <v>7106</v>
      </c>
      <c r="D5659" s="59">
        <v>14.0</v>
      </c>
      <c r="E5659" s="59">
        <v>15.0</v>
      </c>
      <c r="F5659" s="59">
        <v>13.0</v>
      </c>
      <c r="G5659" s="60">
        <v>1.07142857142857</v>
      </c>
      <c r="H5659" s="60">
        <v>0.933333333333333</v>
      </c>
      <c r="I5659" s="60">
        <v>1.1353954</v>
      </c>
      <c r="J5659" s="59">
        <v>15.0</v>
      </c>
      <c r="K5659" s="61">
        <f t="shared" si="1"/>
        <v>0.8666666667</v>
      </c>
      <c r="L5659" s="62">
        <f t="shared" si="2"/>
        <v>1</v>
      </c>
    </row>
    <row r="5660">
      <c r="A5660" s="58">
        <v>45717.0</v>
      </c>
      <c r="B5660" s="24" t="s">
        <v>6789</v>
      </c>
      <c r="C5660" s="24" t="s">
        <v>6841</v>
      </c>
      <c r="D5660" s="59">
        <v>13.0</v>
      </c>
      <c r="E5660" s="59">
        <v>21.0</v>
      </c>
      <c r="F5660" s="59">
        <v>11.0</v>
      </c>
      <c r="G5660" s="60">
        <v>1.9090909090909</v>
      </c>
      <c r="H5660" s="60">
        <v>0.523809523809523</v>
      </c>
      <c r="I5660" s="60">
        <v>177.13254695238</v>
      </c>
      <c r="J5660" s="59">
        <v>24.0</v>
      </c>
      <c r="K5660" s="61">
        <f t="shared" si="1"/>
        <v>0.5238095238</v>
      </c>
      <c r="L5660" s="62">
        <f t="shared" si="2"/>
        <v>1.142857143</v>
      </c>
    </row>
    <row r="5661">
      <c r="A5661" s="58">
        <v>45717.0</v>
      </c>
      <c r="B5661" s="24" t="s">
        <v>155</v>
      </c>
      <c r="C5661" s="24" t="s">
        <v>6800</v>
      </c>
      <c r="D5661" s="59">
        <v>13.0</v>
      </c>
      <c r="E5661" s="59">
        <v>13.0</v>
      </c>
      <c r="F5661" s="59">
        <v>12.0</v>
      </c>
      <c r="G5661" s="60">
        <v>1.0</v>
      </c>
      <c r="H5661" s="60">
        <v>0.153846153846153</v>
      </c>
      <c r="I5661" s="60">
        <v>34.8165527692307</v>
      </c>
      <c r="J5661" s="59">
        <v>25.0</v>
      </c>
      <c r="K5661" s="61">
        <f t="shared" si="1"/>
        <v>0.9230769231</v>
      </c>
      <c r="L5661" s="62">
        <f t="shared" si="2"/>
        <v>1.923076923</v>
      </c>
    </row>
    <row r="5662">
      <c r="A5662" s="58">
        <v>45717.0</v>
      </c>
      <c r="B5662" s="24" t="s">
        <v>6789</v>
      </c>
      <c r="C5662" s="24" t="s">
        <v>6802</v>
      </c>
      <c r="D5662" s="59">
        <v>13.0</v>
      </c>
      <c r="E5662" s="59">
        <v>17.0</v>
      </c>
      <c r="F5662" s="59">
        <v>3.0</v>
      </c>
      <c r="G5662" s="60">
        <v>1.88888888888888</v>
      </c>
      <c r="H5662" s="60">
        <v>0.647058823529411</v>
      </c>
      <c r="I5662" s="60">
        <v>302.819130999999</v>
      </c>
      <c r="J5662" s="59">
        <v>26.0</v>
      </c>
      <c r="K5662" s="61">
        <f t="shared" si="1"/>
        <v>0.1764705882</v>
      </c>
      <c r="L5662" s="62">
        <f t="shared" si="2"/>
        <v>1.529411765</v>
      </c>
    </row>
    <row r="5663">
      <c r="A5663" s="58">
        <v>45717.0</v>
      </c>
      <c r="B5663" s="24" t="s">
        <v>3216</v>
      </c>
      <c r="C5663" s="24" t="s">
        <v>6792</v>
      </c>
      <c r="D5663" s="59">
        <v>12.0</v>
      </c>
      <c r="E5663" s="59">
        <v>17.0</v>
      </c>
      <c r="F5663" s="59">
        <v>0.0</v>
      </c>
      <c r="G5663" s="60">
        <v>5.66666666666666</v>
      </c>
      <c r="H5663" s="60">
        <v>1.0</v>
      </c>
      <c r="I5663" s="60">
        <v>0.163681529411764</v>
      </c>
      <c r="J5663" s="59">
        <v>0.0</v>
      </c>
      <c r="K5663" s="61">
        <f t="shared" si="1"/>
        <v>0</v>
      </c>
      <c r="L5663" s="62">
        <f t="shared" si="2"/>
        <v>0</v>
      </c>
    </row>
    <row r="5664">
      <c r="A5664" s="58">
        <v>45717.0</v>
      </c>
      <c r="B5664" s="24" t="s">
        <v>6787</v>
      </c>
      <c r="C5664" s="24" t="s">
        <v>6800</v>
      </c>
      <c r="D5664" s="59">
        <v>12.0</v>
      </c>
      <c r="E5664" s="59">
        <v>12.0</v>
      </c>
      <c r="F5664" s="59">
        <v>12.0</v>
      </c>
      <c r="G5664" s="60">
        <v>1.0</v>
      </c>
      <c r="H5664" s="60">
        <v>0.833333333333333</v>
      </c>
      <c r="I5664" s="60">
        <v>32.0940076666666</v>
      </c>
      <c r="J5664" s="59">
        <v>13.0</v>
      </c>
      <c r="K5664" s="61">
        <f t="shared" si="1"/>
        <v>1</v>
      </c>
      <c r="L5664" s="62">
        <f t="shared" si="2"/>
        <v>1.083333333</v>
      </c>
    </row>
    <row r="5665">
      <c r="A5665" s="58">
        <v>45717.0</v>
      </c>
      <c r="B5665" s="24" t="s">
        <v>6789</v>
      </c>
      <c r="C5665" s="24" t="s">
        <v>6809</v>
      </c>
      <c r="D5665" s="59">
        <v>12.0</v>
      </c>
      <c r="E5665" s="59">
        <v>17.0</v>
      </c>
      <c r="F5665" s="59">
        <v>7.0</v>
      </c>
      <c r="G5665" s="60">
        <v>1.41666666666666</v>
      </c>
      <c r="H5665" s="60">
        <v>0.470588235294117</v>
      </c>
      <c r="I5665" s="60">
        <v>322.452803529411</v>
      </c>
      <c r="J5665" s="59">
        <v>27.0</v>
      </c>
      <c r="K5665" s="61">
        <f t="shared" si="1"/>
        <v>0.4117647059</v>
      </c>
      <c r="L5665" s="62">
        <f t="shared" si="2"/>
        <v>1.588235294</v>
      </c>
    </row>
    <row r="5666">
      <c r="A5666" s="58">
        <v>45717.0</v>
      </c>
      <c r="B5666" s="24" t="s">
        <v>6794</v>
      </c>
      <c r="C5666" s="24" t="s">
        <v>7472</v>
      </c>
      <c r="D5666" s="59">
        <v>11.0</v>
      </c>
      <c r="E5666" s="59">
        <v>12.0</v>
      </c>
      <c r="F5666" s="59">
        <v>9.0</v>
      </c>
      <c r="G5666" s="60">
        <v>1.2</v>
      </c>
      <c r="H5666" s="60">
        <v>0.416666666666666</v>
      </c>
      <c r="I5666" s="60">
        <v>81.7077909166666</v>
      </c>
      <c r="J5666" s="59">
        <v>17.0</v>
      </c>
      <c r="K5666" s="61">
        <f t="shared" si="1"/>
        <v>0.75</v>
      </c>
      <c r="L5666" s="62">
        <f t="shared" si="2"/>
        <v>1.416666667</v>
      </c>
    </row>
    <row r="5667">
      <c r="A5667" s="58">
        <v>45717.0</v>
      </c>
      <c r="B5667" s="24" t="s">
        <v>3216</v>
      </c>
      <c r="C5667" s="24" t="s">
        <v>7090</v>
      </c>
      <c r="D5667" s="59">
        <v>11.0</v>
      </c>
      <c r="E5667" s="59">
        <v>11.0</v>
      </c>
      <c r="F5667" s="59">
        <v>11.0</v>
      </c>
      <c r="G5667" s="60">
        <v>1.0</v>
      </c>
      <c r="H5667" s="60">
        <v>0.909090909090909</v>
      </c>
      <c r="I5667" s="60">
        <v>0.178246</v>
      </c>
      <c r="J5667" s="59">
        <v>13.0</v>
      </c>
      <c r="K5667" s="61">
        <f t="shared" si="1"/>
        <v>1</v>
      </c>
      <c r="L5667" s="62">
        <f t="shared" si="2"/>
        <v>1.181818182</v>
      </c>
    </row>
    <row r="5668">
      <c r="A5668" s="58">
        <v>45717.0</v>
      </c>
      <c r="B5668" s="24" t="s">
        <v>3216</v>
      </c>
      <c r="C5668" s="24" t="s">
        <v>6922</v>
      </c>
      <c r="D5668" s="59">
        <v>11.0</v>
      </c>
      <c r="E5668" s="59">
        <v>11.0</v>
      </c>
      <c r="F5668" s="59">
        <v>11.0</v>
      </c>
      <c r="G5668" s="60">
        <v>1.0</v>
      </c>
      <c r="H5668" s="60">
        <v>0.909090909090909</v>
      </c>
      <c r="I5668" s="60">
        <v>0.135923636363636</v>
      </c>
      <c r="J5668" s="59">
        <v>16.0</v>
      </c>
      <c r="K5668" s="61">
        <f t="shared" si="1"/>
        <v>1</v>
      </c>
      <c r="L5668" s="62">
        <f t="shared" si="2"/>
        <v>1.454545455</v>
      </c>
    </row>
    <row r="5669">
      <c r="A5669" s="58">
        <v>45717.0</v>
      </c>
      <c r="B5669" s="24" t="s">
        <v>6789</v>
      </c>
      <c r="C5669" s="24" t="s">
        <v>6835</v>
      </c>
      <c r="D5669" s="59">
        <v>10.0</v>
      </c>
      <c r="E5669" s="59">
        <v>11.0</v>
      </c>
      <c r="F5669" s="59">
        <v>7.0</v>
      </c>
      <c r="G5669" s="60">
        <v>1.22222222222222</v>
      </c>
      <c r="H5669" s="60">
        <v>0.272727272727272</v>
      </c>
      <c r="I5669" s="60">
        <v>527.764837545454</v>
      </c>
      <c r="J5669" s="59">
        <v>13.0</v>
      </c>
      <c r="K5669" s="61">
        <f t="shared" si="1"/>
        <v>0.6363636364</v>
      </c>
      <c r="L5669" s="62">
        <f t="shared" si="2"/>
        <v>1.181818182</v>
      </c>
    </row>
    <row r="5670">
      <c r="A5670" s="58">
        <v>45717.0</v>
      </c>
      <c r="B5670" s="24" t="s">
        <v>6787</v>
      </c>
      <c r="C5670" s="24" t="s">
        <v>6820</v>
      </c>
      <c r="D5670" s="59">
        <v>10.0</v>
      </c>
      <c r="E5670" s="59">
        <v>10.0</v>
      </c>
      <c r="F5670" s="59">
        <v>10.0</v>
      </c>
      <c r="G5670" s="60">
        <v>1.0</v>
      </c>
      <c r="H5670" s="60">
        <v>0.9</v>
      </c>
      <c r="I5670" s="60">
        <v>3.60143</v>
      </c>
      <c r="J5670" s="59">
        <v>10.0</v>
      </c>
      <c r="K5670" s="61">
        <f t="shared" si="1"/>
        <v>1</v>
      </c>
      <c r="L5670" s="62">
        <f t="shared" si="2"/>
        <v>1</v>
      </c>
    </row>
    <row r="5671">
      <c r="A5671" s="58">
        <v>45717.0</v>
      </c>
      <c r="B5671" s="24" t="s">
        <v>6787</v>
      </c>
      <c r="C5671" s="24" t="s">
        <v>6822</v>
      </c>
      <c r="D5671" s="59">
        <v>10.0</v>
      </c>
      <c r="E5671" s="59">
        <v>12.0</v>
      </c>
      <c r="F5671" s="59">
        <v>8.0</v>
      </c>
      <c r="G5671" s="60">
        <v>1.2</v>
      </c>
      <c r="H5671" s="60">
        <v>0.25</v>
      </c>
      <c r="I5671" s="60">
        <v>260.025514</v>
      </c>
      <c r="J5671" s="59">
        <v>34.0</v>
      </c>
      <c r="K5671" s="61">
        <f t="shared" si="1"/>
        <v>0.6666666667</v>
      </c>
      <c r="L5671" s="62">
        <f t="shared" si="2"/>
        <v>2.833333333</v>
      </c>
    </row>
    <row r="5672">
      <c r="A5672" s="58">
        <v>45717.0</v>
      </c>
      <c r="B5672" s="24" t="s">
        <v>6789</v>
      </c>
      <c r="C5672" s="24" t="s">
        <v>6822</v>
      </c>
      <c r="D5672" s="59">
        <v>10.0</v>
      </c>
      <c r="E5672" s="59">
        <v>13.0</v>
      </c>
      <c r="F5672" s="59">
        <v>3.0</v>
      </c>
      <c r="G5672" s="60">
        <v>1.3</v>
      </c>
      <c r="H5672" s="60">
        <v>0.23076923076923</v>
      </c>
      <c r="I5672" s="60">
        <v>512.345600307692</v>
      </c>
      <c r="J5672" s="59">
        <v>30.0</v>
      </c>
      <c r="K5672" s="61">
        <f t="shared" si="1"/>
        <v>0.2307692308</v>
      </c>
      <c r="L5672" s="62">
        <f t="shared" si="2"/>
        <v>2.307692308</v>
      </c>
    </row>
    <row r="5673">
      <c r="A5673" s="58">
        <v>45717.0</v>
      </c>
      <c r="B5673" s="24" t="s">
        <v>6789</v>
      </c>
      <c r="C5673" s="24" t="s">
        <v>6806</v>
      </c>
      <c r="D5673" s="59">
        <v>10.0</v>
      </c>
      <c r="E5673" s="59">
        <v>11.0</v>
      </c>
      <c r="F5673" s="59">
        <v>10.0</v>
      </c>
      <c r="G5673" s="60">
        <v>1.1</v>
      </c>
      <c r="H5673" s="60">
        <v>0.363636363636363</v>
      </c>
      <c r="I5673" s="60">
        <v>131.572547090909</v>
      </c>
      <c r="J5673" s="59">
        <v>15.0</v>
      </c>
      <c r="K5673" s="61">
        <f t="shared" si="1"/>
        <v>0.9090909091</v>
      </c>
      <c r="L5673" s="62">
        <f t="shared" si="2"/>
        <v>1.363636364</v>
      </c>
    </row>
    <row r="5674">
      <c r="A5674" s="58">
        <v>45717.0</v>
      </c>
      <c r="B5674" s="24" t="s">
        <v>3216</v>
      </c>
      <c r="C5674" s="24" t="s">
        <v>6811</v>
      </c>
      <c r="D5674" s="59">
        <v>10.0</v>
      </c>
      <c r="E5674" s="59">
        <v>10.0</v>
      </c>
      <c r="F5674" s="59">
        <v>10.0</v>
      </c>
      <c r="G5674" s="60">
        <v>1.0</v>
      </c>
      <c r="H5674" s="60">
        <v>0.9</v>
      </c>
      <c r="I5674" s="60">
        <v>13.4483932</v>
      </c>
      <c r="J5674" s="59">
        <v>12.0</v>
      </c>
      <c r="K5674" s="61">
        <f t="shared" si="1"/>
        <v>1</v>
      </c>
      <c r="L5674" s="62">
        <f t="shared" si="2"/>
        <v>1.2</v>
      </c>
    </row>
    <row r="5675">
      <c r="A5675" s="58">
        <v>45717.0</v>
      </c>
      <c r="B5675" s="24" t="s">
        <v>3216</v>
      </c>
      <c r="C5675" s="24" t="s">
        <v>7160</v>
      </c>
      <c r="D5675" s="59">
        <v>10.0</v>
      </c>
      <c r="E5675" s="59">
        <v>10.0</v>
      </c>
      <c r="F5675" s="59">
        <v>10.0</v>
      </c>
      <c r="G5675" s="60">
        <v>1.0</v>
      </c>
      <c r="H5675" s="60">
        <v>0.9</v>
      </c>
      <c r="I5675" s="60">
        <v>3.24E-5</v>
      </c>
      <c r="J5675" s="59">
        <v>11.0</v>
      </c>
      <c r="K5675" s="61">
        <f t="shared" si="1"/>
        <v>1</v>
      </c>
      <c r="L5675" s="62">
        <f t="shared" si="2"/>
        <v>1.1</v>
      </c>
    </row>
    <row r="5676">
      <c r="A5676" s="58">
        <v>45717.0</v>
      </c>
      <c r="B5676" s="24" t="s">
        <v>6789</v>
      </c>
      <c r="C5676" s="24" t="s">
        <v>6960</v>
      </c>
      <c r="D5676" s="59">
        <v>10.0</v>
      </c>
      <c r="E5676" s="59">
        <v>10.0</v>
      </c>
      <c r="F5676" s="59">
        <v>5.0</v>
      </c>
      <c r="G5676" s="60">
        <v>1.0</v>
      </c>
      <c r="H5676" s="60">
        <v>0.2</v>
      </c>
      <c r="I5676" s="60">
        <v>479.4121589</v>
      </c>
      <c r="J5676" s="59">
        <v>18.0</v>
      </c>
      <c r="K5676" s="61">
        <f t="shared" si="1"/>
        <v>0.5</v>
      </c>
      <c r="L5676" s="62">
        <f t="shared" si="2"/>
        <v>1.8</v>
      </c>
    </row>
    <row r="5677">
      <c r="A5677" s="58">
        <v>45717.0</v>
      </c>
      <c r="B5677" s="24" t="s">
        <v>6789</v>
      </c>
      <c r="C5677" s="24" t="s">
        <v>7102</v>
      </c>
      <c r="D5677" s="59">
        <v>10.0</v>
      </c>
      <c r="E5677" s="59">
        <v>11.0</v>
      </c>
      <c r="F5677" s="59">
        <v>6.0</v>
      </c>
      <c r="G5677" s="60">
        <v>1.1</v>
      </c>
      <c r="H5677" s="60">
        <v>0.181818181818181</v>
      </c>
      <c r="I5677" s="60">
        <v>272.813677727272</v>
      </c>
      <c r="J5677" s="59">
        <v>25.0</v>
      </c>
      <c r="K5677" s="61">
        <f t="shared" si="1"/>
        <v>0.5454545455</v>
      </c>
      <c r="L5677" s="62">
        <f t="shared" si="2"/>
        <v>2.272727273</v>
      </c>
    </row>
    <row r="5678">
      <c r="A5678" s="58">
        <v>45717.0</v>
      </c>
      <c r="B5678" s="24" t="s">
        <v>6787</v>
      </c>
      <c r="C5678" s="24" t="s">
        <v>6815</v>
      </c>
      <c r="D5678" s="59">
        <v>10.0</v>
      </c>
      <c r="E5678" s="59">
        <v>10.0</v>
      </c>
      <c r="F5678" s="59">
        <v>10.0</v>
      </c>
      <c r="G5678" s="60">
        <v>1.0</v>
      </c>
      <c r="H5678" s="60">
        <v>0.4</v>
      </c>
      <c r="I5678" s="60">
        <v>63.3100629999999</v>
      </c>
      <c r="J5678" s="59">
        <v>20.0</v>
      </c>
      <c r="K5678" s="61">
        <f t="shared" si="1"/>
        <v>1</v>
      </c>
      <c r="L5678" s="62">
        <f t="shared" si="2"/>
        <v>2</v>
      </c>
    </row>
    <row r="5679">
      <c r="A5679" s="58">
        <v>45717.0</v>
      </c>
      <c r="B5679" s="24" t="s">
        <v>6787</v>
      </c>
      <c r="C5679" s="24" t="s">
        <v>7426</v>
      </c>
      <c r="D5679" s="59">
        <v>10.0</v>
      </c>
      <c r="E5679" s="59">
        <v>11.0</v>
      </c>
      <c r="F5679" s="59">
        <v>10.0</v>
      </c>
      <c r="G5679" s="60">
        <v>1.1</v>
      </c>
      <c r="H5679" s="60">
        <v>0.545454545454545</v>
      </c>
      <c r="I5679" s="60">
        <v>39.2686459090909</v>
      </c>
      <c r="J5679" s="59">
        <v>18.0</v>
      </c>
      <c r="K5679" s="61">
        <f t="shared" si="1"/>
        <v>0.9090909091</v>
      </c>
      <c r="L5679" s="62">
        <f t="shared" si="2"/>
        <v>1.636363636</v>
      </c>
    </row>
    <row r="5680">
      <c r="A5680" s="58">
        <v>45717.0</v>
      </c>
      <c r="B5680" s="24" t="s">
        <v>6787</v>
      </c>
      <c r="C5680" s="24" t="s">
        <v>6802</v>
      </c>
      <c r="D5680" s="59">
        <v>10.0</v>
      </c>
      <c r="E5680" s="59">
        <v>11.0</v>
      </c>
      <c r="F5680" s="59">
        <v>8.0</v>
      </c>
      <c r="G5680" s="60">
        <v>1.22222222222222</v>
      </c>
      <c r="H5680" s="60">
        <v>0.363636363636363</v>
      </c>
      <c r="I5680" s="60">
        <v>166.58223290909</v>
      </c>
      <c r="J5680" s="59">
        <v>21.0</v>
      </c>
      <c r="K5680" s="61">
        <f t="shared" si="1"/>
        <v>0.7272727273</v>
      </c>
      <c r="L5680" s="62">
        <f t="shared" si="2"/>
        <v>1.909090909</v>
      </c>
    </row>
    <row r="5681">
      <c r="A5681" s="58">
        <v>45717.0</v>
      </c>
      <c r="B5681" s="24" t="s">
        <v>6789</v>
      </c>
      <c r="C5681" s="24" t="s">
        <v>6803</v>
      </c>
      <c r="D5681" s="59">
        <v>9.0</v>
      </c>
      <c r="E5681" s="59">
        <v>15.0</v>
      </c>
      <c r="F5681" s="59">
        <v>6.0</v>
      </c>
      <c r="G5681" s="60">
        <v>1.66666666666666</v>
      </c>
      <c r="H5681" s="60">
        <v>0.666666666666666</v>
      </c>
      <c r="I5681" s="60">
        <v>233.736685666666</v>
      </c>
      <c r="J5681" s="59">
        <v>18.0</v>
      </c>
      <c r="K5681" s="61">
        <f t="shared" si="1"/>
        <v>0.4</v>
      </c>
      <c r="L5681" s="62">
        <f t="shared" si="2"/>
        <v>1.2</v>
      </c>
    </row>
    <row r="5682">
      <c r="A5682" s="58">
        <v>45717.0</v>
      </c>
      <c r="B5682" s="24" t="s">
        <v>6789</v>
      </c>
      <c r="C5682" s="24" t="s">
        <v>6819</v>
      </c>
      <c r="D5682" s="59">
        <v>9.0</v>
      </c>
      <c r="E5682" s="59">
        <v>9.0</v>
      </c>
      <c r="F5682" s="59">
        <v>9.0</v>
      </c>
      <c r="G5682" s="60">
        <v>1.0</v>
      </c>
      <c r="H5682" s="60">
        <v>0.222222222222222</v>
      </c>
      <c r="I5682" s="60">
        <v>173.649580555555</v>
      </c>
      <c r="J5682" s="59">
        <v>18.0</v>
      </c>
      <c r="K5682" s="61">
        <f t="shared" si="1"/>
        <v>1</v>
      </c>
      <c r="L5682" s="62">
        <f t="shared" si="2"/>
        <v>2</v>
      </c>
    </row>
    <row r="5683">
      <c r="A5683" s="58">
        <v>45717.0</v>
      </c>
      <c r="B5683" s="24" t="s">
        <v>6789</v>
      </c>
      <c r="C5683" s="24" t="s">
        <v>6892</v>
      </c>
      <c r="D5683" s="59">
        <v>9.0</v>
      </c>
      <c r="E5683" s="59">
        <v>9.0</v>
      </c>
      <c r="F5683" s="59">
        <v>7.0</v>
      </c>
      <c r="G5683" s="60">
        <v>1.0</v>
      </c>
      <c r="H5683" s="60">
        <v>0.444444444444444</v>
      </c>
      <c r="I5683" s="60">
        <v>436.887028555555</v>
      </c>
      <c r="J5683" s="59">
        <v>13.0</v>
      </c>
      <c r="K5683" s="61">
        <f t="shared" si="1"/>
        <v>0.7777777778</v>
      </c>
      <c r="L5683" s="62">
        <f t="shared" si="2"/>
        <v>1.444444444</v>
      </c>
    </row>
    <row r="5684">
      <c r="A5684" s="58">
        <v>45717.0</v>
      </c>
      <c r="B5684" s="24" t="s">
        <v>6789</v>
      </c>
      <c r="C5684" s="24" t="s">
        <v>7077</v>
      </c>
      <c r="D5684" s="59">
        <v>9.0</v>
      </c>
      <c r="E5684" s="59">
        <v>10.0</v>
      </c>
      <c r="F5684" s="59">
        <v>8.0</v>
      </c>
      <c r="G5684" s="60">
        <v>1.11111111111111</v>
      </c>
      <c r="H5684" s="60">
        <v>0.7</v>
      </c>
      <c r="I5684" s="60">
        <v>22.3339109</v>
      </c>
      <c r="J5684" s="59">
        <v>11.0</v>
      </c>
      <c r="K5684" s="61">
        <f t="shared" si="1"/>
        <v>0.8</v>
      </c>
      <c r="L5684" s="62">
        <f t="shared" si="2"/>
        <v>1.1</v>
      </c>
    </row>
    <row r="5685">
      <c r="A5685" s="58">
        <v>45717.0</v>
      </c>
      <c r="B5685" s="24" t="s">
        <v>6787</v>
      </c>
      <c r="C5685" s="24" t="s">
        <v>7192</v>
      </c>
      <c r="D5685" s="59">
        <v>9.0</v>
      </c>
      <c r="E5685" s="59">
        <v>9.0</v>
      </c>
      <c r="F5685" s="59">
        <v>9.0</v>
      </c>
      <c r="G5685" s="60">
        <v>1.0</v>
      </c>
      <c r="H5685" s="60">
        <v>1.0</v>
      </c>
      <c r="I5685" s="60">
        <v>0.0</v>
      </c>
      <c r="J5685" s="59">
        <v>9.0</v>
      </c>
      <c r="K5685" s="61">
        <f t="shared" si="1"/>
        <v>1</v>
      </c>
      <c r="L5685" s="62">
        <f t="shared" si="2"/>
        <v>1</v>
      </c>
    </row>
    <row r="5686">
      <c r="A5686" s="58">
        <v>45717.0</v>
      </c>
      <c r="B5686" s="24" t="s">
        <v>6794</v>
      </c>
      <c r="C5686" s="24" t="s">
        <v>7426</v>
      </c>
      <c r="D5686" s="59">
        <v>9.0</v>
      </c>
      <c r="E5686" s="59">
        <v>12.0</v>
      </c>
      <c r="F5686" s="59">
        <v>8.0</v>
      </c>
      <c r="G5686" s="60">
        <v>1.33333333333333</v>
      </c>
      <c r="H5686" s="60">
        <v>0.333333333333333</v>
      </c>
      <c r="I5686" s="60">
        <v>239.910925416666</v>
      </c>
      <c r="J5686" s="59">
        <v>14.0</v>
      </c>
      <c r="K5686" s="61">
        <f t="shared" si="1"/>
        <v>0.6666666667</v>
      </c>
      <c r="L5686" s="62">
        <f t="shared" si="2"/>
        <v>1.166666667</v>
      </c>
    </row>
    <row r="5687">
      <c r="A5687" s="58">
        <v>45717.0</v>
      </c>
      <c r="B5687" s="24" t="s">
        <v>6787</v>
      </c>
      <c r="C5687" s="24" t="s">
        <v>6817</v>
      </c>
      <c r="D5687" s="59">
        <v>8.0</v>
      </c>
      <c r="E5687" s="59">
        <v>8.0</v>
      </c>
      <c r="F5687" s="59">
        <v>7.0</v>
      </c>
      <c r="G5687" s="60">
        <v>1.0</v>
      </c>
      <c r="H5687" s="60">
        <v>0.875</v>
      </c>
      <c r="I5687" s="60">
        <v>1.539080125</v>
      </c>
      <c r="J5687" s="59">
        <v>9.0</v>
      </c>
      <c r="K5687" s="61">
        <f t="shared" si="1"/>
        <v>0.875</v>
      </c>
      <c r="L5687" s="62">
        <f t="shared" si="2"/>
        <v>1.125</v>
      </c>
    </row>
    <row r="5688">
      <c r="A5688" s="58">
        <v>45717.0</v>
      </c>
      <c r="B5688" s="24" t="s">
        <v>6789</v>
      </c>
      <c r="C5688" s="24" t="s">
        <v>7021</v>
      </c>
      <c r="D5688" s="59">
        <v>8.0</v>
      </c>
      <c r="E5688" s="59">
        <v>9.0</v>
      </c>
      <c r="F5688" s="59">
        <v>3.0</v>
      </c>
      <c r="G5688" s="60">
        <v>1.28571428571428</v>
      </c>
      <c r="H5688" s="60">
        <v>0.444444444444444</v>
      </c>
      <c r="I5688" s="60">
        <v>123.764071555555</v>
      </c>
      <c r="J5688" s="59">
        <v>20.0</v>
      </c>
      <c r="K5688" s="61">
        <f t="shared" si="1"/>
        <v>0.3333333333</v>
      </c>
      <c r="L5688" s="62">
        <f t="shared" si="2"/>
        <v>2.222222222</v>
      </c>
    </row>
    <row r="5689">
      <c r="A5689" s="58">
        <v>45717.0</v>
      </c>
      <c r="B5689" s="24" t="s">
        <v>6789</v>
      </c>
      <c r="C5689" s="24" t="s">
        <v>6801</v>
      </c>
      <c r="D5689" s="59">
        <v>8.0</v>
      </c>
      <c r="E5689" s="59">
        <v>11.0</v>
      </c>
      <c r="F5689" s="59">
        <v>5.0</v>
      </c>
      <c r="G5689" s="60">
        <v>1.57142857142857</v>
      </c>
      <c r="H5689" s="60">
        <v>0.545454545454545</v>
      </c>
      <c r="I5689" s="60">
        <v>295.574370727272</v>
      </c>
      <c r="J5689" s="59">
        <v>19.0</v>
      </c>
      <c r="K5689" s="61">
        <f t="shared" si="1"/>
        <v>0.4545454545</v>
      </c>
      <c r="L5689" s="62">
        <f t="shared" si="2"/>
        <v>1.727272727</v>
      </c>
    </row>
    <row r="5690">
      <c r="A5690" s="58">
        <v>45717.0</v>
      </c>
      <c r="B5690" s="24" t="s">
        <v>6787</v>
      </c>
      <c r="C5690" s="24" t="s">
        <v>6819</v>
      </c>
      <c r="D5690" s="59">
        <v>7.0</v>
      </c>
      <c r="E5690" s="59">
        <v>7.0</v>
      </c>
      <c r="F5690" s="59">
        <v>7.0</v>
      </c>
      <c r="G5690" s="60">
        <v>1.0</v>
      </c>
      <c r="H5690" s="60">
        <v>0.857142857142857</v>
      </c>
      <c r="I5690" s="60">
        <v>108.762013285714</v>
      </c>
      <c r="J5690" s="59">
        <v>8.0</v>
      </c>
      <c r="K5690" s="61">
        <f t="shared" si="1"/>
        <v>1</v>
      </c>
      <c r="L5690" s="62">
        <f t="shared" si="2"/>
        <v>1.142857143</v>
      </c>
    </row>
    <row r="5691">
      <c r="A5691" s="58">
        <v>45717.0</v>
      </c>
      <c r="B5691" s="24" t="s">
        <v>6787</v>
      </c>
      <c r="C5691" s="24" t="s">
        <v>6882</v>
      </c>
      <c r="D5691" s="59">
        <v>7.0</v>
      </c>
      <c r="E5691" s="59">
        <v>7.0</v>
      </c>
      <c r="F5691" s="59">
        <v>7.0</v>
      </c>
      <c r="G5691" s="60">
        <v>1.0</v>
      </c>
      <c r="H5691" s="60">
        <v>0.285714285714285</v>
      </c>
      <c r="I5691" s="60">
        <v>294.733463428571</v>
      </c>
      <c r="J5691" s="59">
        <v>11.0</v>
      </c>
      <c r="K5691" s="61">
        <f t="shared" si="1"/>
        <v>1</v>
      </c>
      <c r="L5691" s="62">
        <f t="shared" si="2"/>
        <v>1.571428571</v>
      </c>
    </row>
    <row r="5692">
      <c r="A5692" s="58">
        <v>45717.0</v>
      </c>
      <c r="B5692" s="24" t="s">
        <v>6787</v>
      </c>
      <c r="C5692" s="24" t="s">
        <v>6904</v>
      </c>
      <c r="D5692" s="59">
        <v>7.0</v>
      </c>
      <c r="E5692" s="59">
        <v>9.0</v>
      </c>
      <c r="F5692" s="59">
        <v>7.0</v>
      </c>
      <c r="G5692" s="60">
        <v>1.28571428571428</v>
      </c>
      <c r="H5692" s="60">
        <v>0.444444444444444</v>
      </c>
      <c r="I5692" s="60">
        <v>308.438901777777</v>
      </c>
      <c r="J5692" s="59">
        <v>23.0</v>
      </c>
      <c r="K5692" s="61">
        <f t="shared" si="1"/>
        <v>0.7777777778</v>
      </c>
      <c r="L5692" s="62">
        <f t="shared" si="2"/>
        <v>2.555555556</v>
      </c>
    </row>
    <row r="5693">
      <c r="A5693" s="58">
        <v>45717.0</v>
      </c>
      <c r="B5693" s="24" t="s">
        <v>6787</v>
      </c>
      <c r="C5693" s="24" t="s">
        <v>6851</v>
      </c>
      <c r="D5693" s="59">
        <v>7.0</v>
      </c>
      <c r="E5693" s="59">
        <v>8.0</v>
      </c>
      <c r="F5693" s="59">
        <v>6.0</v>
      </c>
      <c r="G5693" s="60">
        <v>1.14285714285714</v>
      </c>
      <c r="H5693" s="60">
        <v>0.375</v>
      </c>
      <c r="I5693" s="60">
        <v>63.030091125</v>
      </c>
      <c r="J5693" s="59">
        <v>16.0</v>
      </c>
      <c r="K5693" s="61">
        <f t="shared" si="1"/>
        <v>0.75</v>
      </c>
      <c r="L5693" s="62">
        <f t="shared" si="2"/>
        <v>2</v>
      </c>
    </row>
    <row r="5694">
      <c r="A5694" s="58">
        <v>45717.0</v>
      </c>
      <c r="B5694" s="24" t="s">
        <v>6787</v>
      </c>
      <c r="C5694" s="24" t="s">
        <v>6922</v>
      </c>
      <c r="D5694" s="59">
        <v>7.0</v>
      </c>
      <c r="E5694" s="59">
        <v>7.0</v>
      </c>
      <c r="F5694" s="59">
        <v>7.0</v>
      </c>
      <c r="G5694" s="60">
        <v>1.0</v>
      </c>
      <c r="H5694" s="60">
        <v>0.857142857142857</v>
      </c>
      <c r="I5694" s="60">
        <v>166.853288</v>
      </c>
      <c r="J5694" s="59">
        <v>11.0</v>
      </c>
      <c r="K5694" s="61">
        <f t="shared" si="1"/>
        <v>1</v>
      </c>
      <c r="L5694" s="62">
        <f t="shared" si="2"/>
        <v>1.571428571</v>
      </c>
    </row>
    <row r="5695">
      <c r="A5695" s="58">
        <v>45717.0</v>
      </c>
      <c r="B5695" s="24" t="s">
        <v>6790</v>
      </c>
      <c r="C5695" s="24" t="s">
        <v>6792</v>
      </c>
      <c r="D5695" s="59">
        <v>6.0</v>
      </c>
      <c r="E5695" s="59">
        <v>6.0</v>
      </c>
      <c r="F5695" s="59">
        <v>0.0</v>
      </c>
      <c r="G5695" s="60">
        <v>1.0</v>
      </c>
      <c r="H5695" s="60">
        <v>1.0</v>
      </c>
      <c r="I5695" s="60">
        <v>11.8410828333333</v>
      </c>
      <c r="J5695" s="59">
        <v>0.0</v>
      </c>
      <c r="K5695" s="61">
        <f t="shared" si="1"/>
        <v>0</v>
      </c>
      <c r="L5695" s="62">
        <f t="shared" si="2"/>
        <v>0</v>
      </c>
    </row>
    <row r="5696">
      <c r="A5696" s="58">
        <v>45717.0</v>
      </c>
      <c r="B5696" s="24" t="s">
        <v>6787</v>
      </c>
      <c r="C5696" s="24" t="s">
        <v>6804</v>
      </c>
      <c r="D5696" s="59">
        <v>6.0</v>
      </c>
      <c r="E5696" s="59">
        <v>6.0</v>
      </c>
      <c r="F5696" s="59">
        <v>6.0</v>
      </c>
      <c r="G5696" s="60">
        <v>1.0</v>
      </c>
      <c r="H5696" s="60">
        <v>0.833333333333333</v>
      </c>
      <c r="I5696" s="60">
        <v>29.3690266666666</v>
      </c>
      <c r="J5696" s="59">
        <v>7.0</v>
      </c>
      <c r="K5696" s="61">
        <f t="shared" si="1"/>
        <v>1</v>
      </c>
      <c r="L5696" s="62">
        <f t="shared" si="2"/>
        <v>1.166666667</v>
      </c>
    </row>
    <row r="5697">
      <c r="A5697" s="58">
        <v>45717.0</v>
      </c>
      <c r="B5697" s="24" t="s">
        <v>6789</v>
      </c>
      <c r="C5697" s="24" t="s">
        <v>6986</v>
      </c>
      <c r="D5697" s="59">
        <v>6.0</v>
      </c>
      <c r="E5697" s="59">
        <v>7.0</v>
      </c>
      <c r="F5697" s="59">
        <v>5.0</v>
      </c>
      <c r="G5697" s="60">
        <v>1.16666666666666</v>
      </c>
      <c r="H5697" s="60">
        <v>0.428571428571428</v>
      </c>
      <c r="I5697" s="60">
        <v>793.583468571428</v>
      </c>
      <c r="J5697" s="59">
        <v>22.0</v>
      </c>
      <c r="K5697" s="61">
        <f t="shared" si="1"/>
        <v>0.7142857143</v>
      </c>
      <c r="L5697" s="62">
        <f t="shared" si="2"/>
        <v>3.142857143</v>
      </c>
    </row>
    <row r="5698">
      <c r="A5698" s="58">
        <v>45717.0</v>
      </c>
      <c r="B5698" s="24" t="s">
        <v>6789</v>
      </c>
      <c r="C5698" s="24" t="s">
        <v>6870</v>
      </c>
      <c r="D5698" s="59">
        <v>6.0</v>
      </c>
      <c r="E5698" s="59">
        <v>7.0</v>
      </c>
      <c r="F5698" s="59">
        <v>5.0</v>
      </c>
      <c r="G5698" s="60">
        <v>1.16666666666666</v>
      </c>
      <c r="H5698" s="60">
        <v>0.571428571428571</v>
      </c>
      <c r="I5698" s="60">
        <v>116.150697</v>
      </c>
      <c r="J5698" s="59">
        <v>23.0</v>
      </c>
      <c r="K5698" s="61">
        <f t="shared" si="1"/>
        <v>0.7142857143</v>
      </c>
      <c r="L5698" s="62">
        <f t="shared" si="2"/>
        <v>3.285714286</v>
      </c>
    </row>
    <row r="5699">
      <c r="A5699" s="58">
        <v>45717.0</v>
      </c>
      <c r="B5699" s="24" t="s">
        <v>6787</v>
      </c>
      <c r="C5699" s="24" t="s">
        <v>7068</v>
      </c>
      <c r="D5699" s="59">
        <v>6.0</v>
      </c>
      <c r="E5699" s="59">
        <v>6.0</v>
      </c>
      <c r="F5699" s="59">
        <v>6.0</v>
      </c>
      <c r="G5699" s="60">
        <v>1.0</v>
      </c>
      <c r="H5699" s="60">
        <v>0.5</v>
      </c>
      <c r="I5699" s="60">
        <v>335.0614935</v>
      </c>
      <c r="J5699" s="59">
        <v>7.0</v>
      </c>
      <c r="K5699" s="61">
        <f t="shared" si="1"/>
        <v>1</v>
      </c>
      <c r="L5699" s="62">
        <f t="shared" si="2"/>
        <v>1.166666667</v>
      </c>
    </row>
    <row r="5700">
      <c r="A5700" s="58">
        <v>45717.0</v>
      </c>
      <c r="B5700" s="24" t="s">
        <v>6787</v>
      </c>
      <c r="C5700" s="24" t="s">
        <v>7151</v>
      </c>
      <c r="D5700" s="59">
        <v>6.0</v>
      </c>
      <c r="E5700" s="59">
        <v>6.0</v>
      </c>
      <c r="F5700" s="59">
        <v>6.0</v>
      </c>
      <c r="G5700" s="60">
        <v>1.0</v>
      </c>
      <c r="H5700" s="60">
        <v>1.0</v>
      </c>
      <c r="I5700" s="60">
        <v>4.81449366666666</v>
      </c>
      <c r="J5700" s="59">
        <v>6.0</v>
      </c>
      <c r="K5700" s="61">
        <f t="shared" si="1"/>
        <v>1</v>
      </c>
      <c r="L5700" s="62">
        <f t="shared" si="2"/>
        <v>1</v>
      </c>
    </row>
    <row r="5701">
      <c r="A5701" s="58">
        <v>45717.0</v>
      </c>
      <c r="B5701" s="24" t="s">
        <v>6789</v>
      </c>
      <c r="C5701" s="24" t="s">
        <v>6898</v>
      </c>
      <c r="D5701" s="59">
        <v>6.0</v>
      </c>
      <c r="E5701" s="59">
        <v>8.0</v>
      </c>
      <c r="F5701" s="59">
        <v>4.0</v>
      </c>
      <c r="G5701" s="60">
        <v>1.33333333333333</v>
      </c>
      <c r="H5701" s="60">
        <v>0.25</v>
      </c>
      <c r="I5701" s="60">
        <v>730.825416</v>
      </c>
      <c r="J5701" s="59">
        <v>19.0</v>
      </c>
      <c r="K5701" s="61">
        <f t="shared" si="1"/>
        <v>0.5</v>
      </c>
      <c r="L5701" s="62">
        <f t="shared" si="2"/>
        <v>2.375</v>
      </c>
    </row>
    <row r="5702">
      <c r="A5702" s="58">
        <v>45717.0</v>
      </c>
      <c r="B5702" s="24" t="s">
        <v>6787</v>
      </c>
      <c r="C5702" s="24" t="s">
        <v>6808</v>
      </c>
      <c r="D5702" s="59">
        <v>6.0</v>
      </c>
      <c r="E5702" s="59">
        <v>6.0</v>
      </c>
      <c r="F5702" s="59">
        <v>6.0</v>
      </c>
      <c r="G5702" s="60">
        <v>1.0</v>
      </c>
      <c r="H5702" s="60">
        <v>0.666666666666666</v>
      </c>
      <c r="I5702" s="60">
        <v>8.74405033333333</v>
      </c>
      <c r="J5702" s="59">
        <v>6.0</v>
      </c>
      <c r="K5702" s="61">
        <f t="shared" si="1"/>
        <v>1</v>
      </c>
      <c r="L5702" s="62">
        <f t="shared" si="2"/>
        <v>1</v>
      </c>
    </row>
    <row r="5703">
      <c r="A5703" s="58">
        <v>45717.0</v>
      </c>
      <c r="B5703" s="24" t="s">
        <v>6787</v>
      </c>
      <c r="C5703" s="24" t="s">
        <v>6812</v>
      </c>
      <c r="D5703" s="59">
        <v>6.0</v>
      </c>
      <c r="E5703" s="59">
        <v>6.0</v>
      </c>
      <c r="F5703" s="59">
        <v>4.0</v>
      </c>
      <c r="G5703" s="60">
        <v>1.0</v>
      </c>
      <c r="H5703" s="60">
        <v>0.666666666666666</v>
      </c>
      <c r="I5703" s="60">
        <v>91.3954521666666</v>
      </c>
      <c r="J5703" s="59">
        <v>7.0</v>
      </c>
      <c r="K5703" s="61">
        <f t="shared" si="1"/>
        <v>0.6666666667</v>
      </c>
      <c r="L5703" s="62">
        <f t="shared" si="2"/>
        <v>1.166666667</v>
      </c>
    </row>
    <row r="5704">
      <c r="A5704" s="58">
        <v>45717.0</v>
      </c>
      <c r="B5704" s="24" t="s">
        <v>6791</v>
      </c>
      <c r="C5704" s="24" t="s">
        <v>6788</v>
      </c>
      <c r="D5704" s="59">
        <v>5.0</v>
      </c>
      <c r="E5704" s="59">
        <v>5.0</v>
      </c>
      <c r="F5704" s="59">
        <v>5.0</v>
      </c>
      <c r="G5704" s="60">
        <v>1.0</v>
      </c>
      <c r="H5704" s="60">
        <v>1.0</v>
      </c>
      <c r="I5704" s="60">
        <v>0.0</v>
      </c>
      <c r="J5704" s="59">
        <v>5.0</v>
      </c>
      <c r="K5704" s="61">
        <f t="shared" si="1"/>
        <v>1</v>
      </c>
      <c r="L5704" s="62">
        <f t="shared" si="2"/>
        <v>1</v>
      </c>
    </row>
    <row r="5705">
      <c r="A5705" s="58">
        <v>45717.0</v>
      </c>
      <c r="B5705" s="24" t="s">
        <v>6787</v>
      </c>
      <c r="C5705" s="24" t="s">
        <v>6881</v>
      </c>
      <c r="D5705" s="59">
        <v>5.0</v>
      </c>
      <c r="E5705" s="59">
        <v>5.0</v>
      </c>
      <c r="F5705" s="59">
        <v>5.0</v>
      </c>
      <c r="G5705" s="60">
        <v>1.0</v>
      </c>
      <c r="H5705" s="60">
        <v>1.0</v>
      </c>
      <c r="I5705" s="60">
        <v>0.3804586</v>
      </c>
      <c r="J5705" s="59">
        <v>5.0</v>
      </c>
      <c r="K5705" s="61">
        <f t="shared" si="1"/>
        <v>1</v>
      </c>
      <c r="L5705" s="62">
        <f t="shared" si="2"/>
        <v>1</v>
      </c>
    </row>
    <row r="5706">
      <c r="A5706" s="58">
        <v>45717.0</v>
      </c>
      <c r="B5706" s="24" t="s">
        <v>6789</v>
      </c>
      <c r="C5706" s="24" t="s">
        <v>7074</v>
      </c>
      <c r="D5706" s="59">
        <v>5.0</v>
      </c>
      <c r="E5706" s="59">
        <v>6.0</v>
      </c>
      <c r="F5706" s="59">
        <v>5.0</v>
      </c>
      <c r="G5706" s="60">
        <v>1.2</v>
      </c>
      <c r="H5706" s="60">
        <v>0.5</v>
      </c>
      <c r="I5706" s="60">
        <v>31.188774</v>
      </c>
      <c r="J5706" s="59">
        <v>6.0</v>
      </c>
      <c r="K5706" s="61">
        <f t="shared" si="1"/>
        <v>0.8333333333</v>
      </c>
      <c r="L5706" s="62">
        <f t="shared" si="2"/>
        <v>1</v>
      </c>
    </row>
    <row r="5707">
      <c r="A5707" s="58">
        <v>45717.0</v>
      </c>
      <c r="B5707" s="24" t="s">
        <v>6789</v>
      </c>
      <c r="C5707" s="24" t="s">
        <v>6838</v>
      </c>
      <c r="D5707" s="59">
        <v>5.0</v>
      </c>
      <c r="E5707" s="59">
        <v>6.0</v>
      </c>
      <c r="F5707" s="59">
        <v>4.0</v>
      </c>
      <c r="G5707" s="60">
        <v>1.2</v>
      </c>
      <c r="H5707" s="60">
        <v>0.666666666666666</v>
      </c>
      <c r="I5707" s="60">
        <v>19.3011296666666</v>
      </c>
      <c r="J5707" s="59">
        <v>8.0</v>
      </c>
      <c r="K5707" s="61">
        <f t="shared" si="1"/>
        <v>0.6666666667</v>
      </c>
      <c r="L5707" s="62">
        <f t="shared" si="2"/>
        <v>1.333333333</v>
      </c>
    </row>
    <row r="5708">
      <c r="A5708" s="58">
        <v>45717.0</v>
      </c>
      <c r="B5708" s="24" t="s">
        <v>6789</v>
      </c>
      <c r="C5708" s="24" t="s">
        <v>6997</v>
      </c>
      <c r="D5708" s="59">
        <v>5.0</v>
      </c>
      <c r="E5708" s="59">
        <v>6.0</v>
      </c>
      <c r="F5708" s="59">
        <v>5.0</v>
      </c>
      <c r="G5708" s="60">
        <v>1.2</v>
      </c>
      <c r="H5708" s="60">
        <v>0.666666666666666</v>
      </c>
      <c r="I5708" s="60">
        <v>59.9024298333333</v>
      </c>
      <c r="J5708" s="59">
        <v>13.0</v>
      </c>
      <c r="K5708" s="61">
        <f t="shared" si="1"/>
        <v>0.8333333333</v>
      </c>
      <c r="L5708" s="62">
        <f t="shared" si="2"/>
        <v>2.166666667</v>
      </c>
    </row>
    <row r="5709">
      <c r="A5709" s="58">
        <v>45717.0</v>
      </c>
      <c r="B5709" s="24" t="s">
        <v>6787</v>
      </c>
      <c r="C5709" s="24" t="s">
        <v>6841</v>
      </c>
      <c r="D5709" s="59">
        <v>5.0</v>
      </c>
      <c r="E5709" s="59">
        <v>5.0</v>
      </c>
      <c r="F5709" s="59">
        <v>5.0</v>
      </c>
      <c r="G5709" s="60">
        <v>1.0</v>
      </c>
      <c r="H5709" s="60">
        <v>1.0</v>
      </c>
      <c r="I5709" s="60">
        <v>0.3797022</v>
      </c>
      <c r="J5709" s="59">
        <v>5.0</v>
      </c>
      <c r="K5709" s="61">
        <f t="shared" si="1"/>
        <v>1</v>
      </c>
      <c r="L5709" s="62">
        <f t="shared" si="2"/>
        <v>1</v>
      </c>
    </row>
    <row r="5710">
      <c r="A5710" s="58">
        <v>45717.0</v>
      </c>
      <c r="B5710" s="24" t="s">
        <v>6789</v>
      </c>
      <c r="C5710" s="24" t="s">
        <v>6907</v>
      </c>
      <c r="D5710" s="59">
        <v>5.0</v>
      </c>
      <c r="E5710" s="59">
        <v>5.0</v>
      </c>
      <c r="F5710" s="59">
        <v>1.0</v>
      </c>
      <c r="G5710" s="60">
        <v>1.0</v>
      </c>
      <c r="H5710" s="60">
        <v>0.0</v>
      </c>
      <c r="I5710" s="60">
        <v>597.5876248</v>
      </c>
      <c r="J5710" s="59">
        <v>13.0</v>
      </c>
      <c r="K5710" s="61">
        <f t="shared" si="1"/>
        <v>0.2</v>
      </c>
      <c r="L5710" s="62">
        <f t="shared" si="2"/>
        <v>2.6</v>
      </c>
    </row>
    <row r="5711">
      <c r="A5711" s="58">
        <v>45717.0</v>
      </c>
      <c r="B5711" s="24" t="s">
        <v>6787</v>
      </c>
      <c r="C5711" s="24" t="s">
        <v>6809</v>
      </c>
      <c r="D5711" s="59">
        <v>5.0</v>
      </c>
      <c r="E5711" s="59">
        <v>7.0</v>
      </c>
      <c r="F5711" s="59">
        <v>3.0</v>
      </c>
      <c r="G5711" s="60">
        <v>1.4</v>
      </c>
      <c r="H5711" s="60">
        <v>0.714285714285714</v>
      </c>
      <c r="I5711" s="60">
        <v>294.237295285714</v>
      </c>
      <c r="J5711" s="59">
        <v>8.0</v>
      </c>
      <c r="K5711" s="61">
        <f t="shared" si="1"/>
        <v>0.4285714286</v>
      </c>
      <c r="L5711" s="62">
        <f t="shared" si="2"/>
        <v>1.142857143</v>
      </c>
    </row>
    <row r="5712">
      <c r="A5712" s="58">
        <v>45717.0</v>
      </c>
      <c r="B5712" s="24" t="s">
        <v>6787</v>
      </c>
      <c r="C5712" s="24" t="s">
        <v>6852</v>
      </c>
      <c r="D5712" s="59">
        <v>5.0</v>
      </c>
      <c r="E5712" s="59">
        <v>5.0</v>
      </c>
      <c r="F5712" s="59">
        <v>4.0</v>
      </c>
      <c r="G5712" s="60">
        <v>1.0</v>
      </c>
      <c r="H5712" s="60">
        <v>0.8</v>
      </c>
      <c r="I5712" s="60">
        <v>3.4638424</v>
      </c>
      <c r="J5712" s="59">
        <v>5.0</v>
      </c>
      <c r="K5712" s="61">
        <f t="shared" si="1"/>
        <v>0.8</v>
      </c>
      <c r="L5712" s="62">
        <f t="shared" si="2"/>
        <v>1</v>
      </c>
    </row>
    <row r="5713">
      <c r="A5713" s="58">
        <v>45717.0</v>
      </c>
      <c r="B5713" s="24" t="s">
        <v>6789</v>
      </c>
      <c r="C5713" s="24" t="s">
        <v>6922</v>
      </c>
      <c r="D5713" s="59">
        <v>5.0</v>
      </c>
      <c r="E5713" s="59">
        <v>12.0</v>
      </c>
      <c r="F5713" s="59">
        <v>1.0</v>
      </c>
      <c r="G5713" s="60">
        <v>12.0</v>
      </c>
      <c r="H5713" s="60">
        <v>1.0</v>
      </c>
      <c r="I5713" s="60">
        <v>0.383918999999999</v>
      </c>
      <c r="J5713" s="59">
        <v>12.0</v>
      </c>
      <c r="K5713" s="61">
        <f t="shared" si="1"/>
        <v>0.08333333333</v>
      </c>
      <c r="L5713" s="62">
        <f t="shared" si="2"/>
        <v>1</v>
      </c>
    </row>
    <row r="5714">
      <c r="A5714" s="58">
        <v>45717.0</v>
      </c>
      <c r="B5714" s="24" t="s">
        <v>6787</v>
      </c>
      <c r="C5714" s="24" t="s">
        <v>6810</v>
      </c>
      <c r="D5714" s="59">
        <v>5.0</v>
      </c>
      <c r="E5714" s="59">
        <v>5.0</v>
      </c>
      <c r="F5714" s="59">
        <v>5.0</v>
      </c>
      <c r="G5714" s="60">
        <v>1.0</v>
      </c>
      <c r="H5714" s="60">
        <v>0.6</v>
      </c>
      <c r="I5714" s="60">
        <v>67.0774027999999</v>
      </c>
      <c r="J5714" s="59">
        <v>5.0</v>
      </c>
      <c r="K5714" s="61">
        <f t="shared" si="1"/>
        <v>1</v>
      </c>
      <c r="L5714" s="62">
        <f t="shared" si="2"/>
        <v>1</v>
      </c>
    </row>
    <row r="5715">
      <c r="A5715" s="58">
        <v>45717.0</v>
      </c>
      <c r="B5715" s="24" t="s">
        <v>6789</v>
      </c>
      <c r="C5715" s="24" t="s">
        <v>6854</v>
      </c>
      <c r="D5715" s="59">
        <v>5.0</v>
      </c>
      <c r="E5715" s="59">
        <v>6.0</v>
      </c>
      <c r="F5715" s="59">
        <v>1.0</v>
      </c>
      <c r="G5715" s="60">
        <v>1.5</v>
      </c>
      <c r="H5715" s="60">
        <v>0.833333333333333</v>
      </c>
      <c r="I5715" s="60">
        <v>9.593925</v>
      </c>
      <c r="J5715" s="59">
        <v>7.0</v>
      </c>
      <c r="K5715" s="61">
        <f t="shared" si="1"/>
        <v>0.1666666667</v>
      </c>
      <c r="L5715" s="62">
        <f t="shared" si="2"/>
        <v>1.166666667</v>
      </c>
    </row>
    <row r="5716">
      <c r="A5716" s="58">
        <v>45717.0</v>
      </c>
      <c r="B5716" s="24" t="s">
        <v>6789</v>
      </c>
      <c r="C5716" s="24" t="s">
        <v>7058</v>
      </c>
      <c r="D5716" s="59">
        <v>4.0</v>
      </c>
      <c r="E5716" s="59">
        <v>4.0</v>
      </c>
      <c r="F5716" s="59">
        <v>3.0</v>
      </c>
      <c r="G5716" s="60">
        <v>1.0</v>
      </c>
      <c r="H5716" s="60">
        <v>0.5</v>
      </c>
      <c r="I5716" s="60">
        <v>571.33922175</v>
      </c>
      <c r="J5716" s="59">
        <v>6.0</v>
      </c>
      <c r="K5716" s="61">
        <f t="shared" si="1"/>
        <v>0.75</v>
      </c>
      <c r="L5716" s="62">
        <f t="shared" si="2"/>
        <v>1.5</v>
      </c>
    </row>
    <row r="5717">
      <c r="A5717" s="58">
        <v>45717.0</v>
      </c>
      <c r="B5717" s="24" t="s">
        <v>6789</v>
      </c>
      <c r="C5717" s="24" t="s">
        <v>6861</v>
      </c>
      <c r="D5717" s="59">
        <v>4.0</v>
      </c>
      <c r="E5717" s="59">
        <v>5.0</v>
      </c>
      <c r="F5717" s="59">
        <v>4.0</v>
      </c>
      <c r="G5717" s="60">
        <v>1.25</v>
      </c>
      <c r="H5717" s="60">
        <v>0.4</v>
      </c>
      <c r="I5717" s="60">
        <v>277.7276952</v>
      </c>
      <c r="J5717" s="59">
        <v>5.0</v>
      </c>
      <c r="K5717" s="61">
        <f t="shared" si="1"/>
        <v>0.8</v>
      </c>
      <c r="L5717" s="62">
        <f t="shared" si="2"/>
        <v>1</v>
      </c>
    </row>
    <row r="5718">
      <c r="A5718" s="58">
        <v>45717.0</v>
      </c>
      <c r="B5718" s="24" t="s">
        <v>6787</v>
      </c>
      <c r="C5718" s="24" t="s">
        <v>7024</v>
      </c>
      <c r="D5718" s="59">
        <v>4.0</v>
      </c>
      <c r="E5718" s="59">
        <v>4.0</v>
      </c>
      <c r="F5718" s="59">
        <v>4.0</v>
      </c>
      <c r="G5718" s="60">
        <v>1.0</v>
      </c>
      <c r="H5718" s="60">
        <v>1.0</v>
      </c>
      <c r="I5718" s="60">
        <v>0.0</v>
      </c>
      <c r="J5718" s="59">
        <v>4.0</v>
      </c>
      <c r="K5718" s="61">
        <f t="shared" si="1"/>
        <v>1</v>
      </c>
      <c r="L5718" s="62">
        <f t="shared" si="2"/>
        <v>1</v>
      </c>
    </row>
    <row r="5719">
      <c r="A5719" s="58">
        <v>45717.0</v>
      </c>
      <c r="B5719" s="24" t="s">
        <v>6789</v>
      </c>
      <c r="C5719" s="24" t="s">
        <v>6881</v>
      </c>
      <c r="D5719" s="59">
        <v>4.0</v>
      </c>
      <c r="E5719" s="59">
        <v>4.0</v>
      </c>
      <c r="F5719" s="59">
        <v>2.0</v>
      </c>
      <c r="G5719" s="60">
        <v>1.33333333333333</v>
      </c>
      <c r="H5719" s="60">
        <v>0.5</v>
      </c>
      <c r="I5719" s="60">
        <v>1263.445945</v>
      </c>
      <c r="J5719" s="59">
        <v>13.0</v>
      </c>
      <c r="K5719" s="61">
        <f t="shared" si="1"/>
        <v>0.5</v>
      </c>
      <c r="L5719" s="62">
        <f t="shared" si="2"/>
        <v>3.25</v>
      </c>
    </row>
    <row r="5720">
      <c r="A5720" s="58">
        <v>45717.0</v>
      </c>
      <c r="B5720" s="24" t="s">
        <v>155</v>
      </c>
      <c r="C5720" s="24" t="s">
        <v>7068</v>
      </c>
      <c r="D5720" s="59">
        <v>4.0</v>
      </c>
      <c r="E5720" s="59">
        <v>4.0</v>
      </c>
      <c r="F5720" s="59">
        <v>4.0</v>
      </c>
      <c r="G5720" s="60">
        <v>1.0</v>
      </c>
      <c r="H5720" s="60">
        <v>0.25</v>
      </c>
      <c r="I5720" s="60">
        <v>690.191827499999</v>
      </c>
      <c r="J5720" s="59">
        <v>6.0</v>
      </c>
      <c r="K5720" s="61">
        <f t="shared" si="1"/>
        <v>1</v>
      </c>
      <c r="L5720" s="62">
        <f t="shared" si="2"/>
        <v>1.5</v>
      </c>
    </row>
    <row r="5721">
      <c r="A5721" s="58">
        <v>45717.0</v>
      </c>
      <c r="B5721" s="24" t="s">
        <v>6787</v>
      </c>
      <c r="C5721" s="24" t="s">
        <v>6896</v>
      </c>
      <c r="D5721" s="59">
        <v>4.0</v>
      </c>
      <c r="E5721" s="59">
        <v>4.0</v>
      </c>
      <c r="F5721" s="59">
        <v>3.0</v>
      </c>
      <c r="G5721" s="60">
        <v>1.0</v>
      </c>
      <c r="H5721" s="60">
        <v>0.75</v>
      </c>
      <c r="I5721" s="60">
        <v>443.998961</v>
      </c>
      <c r="J5721" s="59">
        <v>6.0</v>
      </c>
      <c r="K5721" s="61">
        <f t="shared" si="1"/>
        <v>0.75</v>
      </c>
      <c r="L5721" s="62">
        <f t="shared" si="2"/>
        <v>1.5</v>
      </c>
    </row>
    <row r="5722">
      <c r="A5722" s="58">
        <v>45717.0</v>
      </c>
      <c r="B5722" s="24" t="s">
        <v>6789</v>
      </c>
      <c r="C5722" s="24" t="s">
        <v>6896</v>
      </c>
      <c r="D5722" s="59">
        <v>4.0</v>
      </c>
      <c r="E5722" s="59">
        <v>4.0</v>
      </c>
      <c r="F5722" s="59">
        <v>4.0</v>
      </c>
      <c r="G5722" s="60">
        <v>1.0</v>
      </c>
      <c r="H5722" s="60">
        <v>0.0</v>
      </c>
      <c r="I5722" s="60">
        <v>183.6046495</v>
      </c>
      <c r="J5722" s="59">
        <v>7.0</v>
      </c>
      <c r="K5722" s="61">
        <f t="shared" si="1"/>
        <v>1</v>
      </c>
      <c r="L5722" s="62">
        <f t="shared" si="2"/>
        <v>1.75</v>
      </c>
    </row>
    <row r="5723">
      <c r="A5723" s="58">
        <v>45717.0</v>
      </c>
      <c r="B5723" s="24" t="s">
        <v>6789</v>
      </c>
      <c r="C5723" s="24" t="s">
        <v>6807</v>
      </c>
      <c r="D5723" s="59">
        <v>4.0</v>
      </c>
      <c r="E5723" s="59">
        <v>4.0</v>
      </c>
      <c r="F5723" s="59">
        <v>2.0</v>
      </c>
      <c r="G5723" s="60">
        <v>1.0</v>
      </c>
      <c r="H5723" s="60">
        <v>0.5</v>
      </c>
      <c r="I5723" s="60">
        <v>885.4121915</v>
      </c>
      <c r="J5723" s="59">
        <v>18.0</v>
      </c>
      <c r="K5723" s="61">
        <f t="shared" si="1"/>
        <v>0.5</v>
      </c>
      <c r="L5723" s="62">
        <f t="shared" si="2"/>
        <v>4.5</v>
      </c>
    </row>
    <row r="5724">
      <c r="A5724" s="58">
        <v>45717.0</v>
      </c>
      <c r="B5724" s="24" t="s">
        <v>6789</v>
      </c>
      <c r="C5724" s="24" t="s">
        <v>7236</v>
      </c>
      <c r="D5724" s="59">
        <v>4.0</v>
      </c>
      <c r="E5724" s="59">
        <v>5.0</v>
      </c>
      <c r="F5724" s="59">
        <v>3.0</v>
      </c>
      <c r="G5724" s="60">
        <v>1.66666666666666</v>
      </c>
      <c r="H5724" s="60">
        <v>0.6</v>
      </c>
      <c r="I5724" s="60">
        <v>68.4527771999999</v>
      </c>
      <c r="J5724" s="59">
        <v>7.0</v>
      </c>
      <c r="K5724" s="61">
        <f t="shared" si="1"/>
        <v>0.6</v>
      </c>
      <c r="L5724" s="62">
        <f t="shared" si="2"/>
        <v>1.4</v>
      </c>
    </row>
    <row r="5725">
      <c r="A5725" s="58">
        <v>45717.0</v>
      </c>
      <c r="B5725" s="24" t="s">
        <v>6789</v>
      </c>
      <c r="C5725" s="24" t="s">
        <v>7234</v>
      </c>
      <c r="D5725" s="59">
        <v>4.0</v>
      </c>
      <c r="E5725" s="59">
        <v>4.0</v>
      </c>
      <c r="F5725" s="59">
        <v>4.0</v>
      </c>
      <c r="G5725" s="60">
        <v>1.0</v>
      </c>
      <c r="H5725" s="60">
        <v>0.25</v>
      </c>
      <c r="I5725" s="60">
        <v>286.21015725</v>
      </c>
      <c r="J5725" s="59">
        <v>7.0</v>
      </c>
      <c r="K5725" s="61">
        <f t="shared" si="1"/>
        <v>1</v>
      </c>
      <c r="L5725" s="62">
        <f t="shared" si="2"/>
        <v>1.75</v>
      </c>
    </row>
    <row r="5726">
      <c r="A5726" s="58">
        <v>45717.0</v>
      </c>
      <c r="B5726" s="24" t="s">
        <v>6789</v>
      </c>
      <c r="C5726" s="24" t="s">
        <v>7472</v>
      </c>
      <c r="D5726" s="59">
        <v>4.0</v>
      </c>
      <c r="E5726" s="59">
        <v>7.0</v>
      </c>
      <c r="F5726" s="59">
        <v>3.0</v>
      </c>
      <c r="G5726" s="60">
        <v>1.75</v>
      </c>
      <c r="H5726" s="60">
        <v>0.428571428571428</v>
      </c>
      <c r="I5726" s="60">
        <v>98.9932372857143</v>
      </c>
      <c r="J5726" s="59">
        <v>8.0</v>
      </c>
      <c r="K5726" s="61">
        <f t="shared" si="1"/>
        <v>0.4285714286</v>
      </c>
      <c r="L5726" s="62">
        <f t="shared" si="2"/>
        <v>1.142857143</v>
      </c>
    </row>
    <row r="5727">
      <c r="A5727" s="58">
        <v>45717.0</v>
      </c>
      <c r="B5727" s="24" t="s">
        <v>3216</v>
      </c>
      <c r="C5727" s="24" t="s">
        <v>7026</v>
      </c>
      <c r="D5727" s="59">
        <v>4.0</v>
      </c>
      <c r="E5727" s="59">
        <v>4.0</v>
      </c>
      <c r="F5727" s="59">
        <v>4.0</v>
      </c>
      <c r="G5727" s="60">
        <v>1.0</v>
      </c>
      <c r="H5727" s="60">
        <v>0.75</v>
      </c>
      <c r="I5727" s="60">
        <v>2.248143</v>
      </c>
      <c r="J5727" s="59">
        <v>7.0</v>
      </c>
      <c r="K5727" s="61">
        <f t="shared" si="1"/>
        <v>1</v>
      </c>
      <c r="L5727" s="62">
        <f t="shared" si="2"/>
        <v>1.75</v>
      </c>
    </row>
    <row r="5728">
      <c r="A5728" s="58">
        <v>45717.0</v>
      </c>
      <c r="B5728" s="24" t="s">
        <v>6787</v>
      </c>
      <c r="C5728" s="24" t="s">
        <v>6960</v>
      </c>
      <c r="D5728" s="59">
        <v>4.0</v>
      </c>
      <c r="E5728" s="59">
        <v>4.0</v>
      </c>
      <c r="F5728" s="59">
        <v>4.0</v>
      </c>
      <c r="G5728" s="60">
        <v>1.0</v>
      </c>
      <c r="H5728" s="60">
        <v>0.75</v>
      </c>
      <c r="I5728" s="60">
        <v>9.97329575</v>
      </c>
      <c r="J5728" s="59">
        <v>5.0</v>
      </c>
      <c r="K5728" s="61">
        <f t="shared" si="1"/>
        <v>1</v>
      </c>
      <c r="L5728" s="62">
        <f t="shared" si="2"/>
        <v>1.25</v>
      </c>
    </row>
    <row r="5729">
      <c r="A5729" s="58">
        <v>45717.0</v>
      </c>
      <c r="B5729" s="24" t="s">
        <v>6789</v>
      </c>
      <c r="C5729" s="24" t="s">
        <v>6812</v>
      </c>
      <c r="D5729" s="59">
        <v>4.0</v>
      </c>
      <c r="E5729" s="59">
        <v>4.0</v>
      </c>
      <c r="F5729" s="59">
        <v>1.0</v>
      </c>
      <c r="G5729" s="60">
        <v>1.0</v>
      </c>
      <c r="H5729" s="60">
        <v>0.25</v>
      </c>
      <c r="I5729" s="60">
        <v>943.091394249999</v>
      </c>
      <c r="J5729" s="59">
        <v>10.0</v>
      </c>
      <c r="K5729" s="61">
        <f t="shared" si="1"/>
        <v>0.25</v>
      </c>
      <c r="L5729" s="62">
        <f t="shared" si="2"/>
        <v>2.5</v>
      </c>
    </row>
    <row r="5730">
      <c r="A5730" s="58">
        <v>45717.0</v>
      </c>
      <c r="B5730" s="24" t="s">
        <v>6787</v>
      </c>
      <c r="C5730" s="24" t="s">
        <v>6849</v>
      </c>
      <c r="D5730" s="59">
        <v>4.0</v>
      </c>
      <c r="E5730" s="59">
        <v>5.0</v>
      </c>
      <c r="F5730" s="59">
        <v>2.0</v>
      </c>
      <c r="G5730" s="60">
        <v>1.25</v>
      </c>
      <c r="H5730" s="60">
        <v>0.4</v>
      </c>
      <c r="I5730" s="60">
        <v>410.7983576</v>
      </c>
      <c r="J5730" s="59">
        <v>12.0</v>
      </c>
      <c r="K5730" s="61">
        <f t="shared" si="1"/>
        <v>0.4</v>
      </c>
      <c r="L5730" s="62">
        <f t="shared" si="2"/>
        <v>2.4</v>
      </c>
    </row>
    <row r="5731">
      <c r="A5731" s="58">
        <v>45717.0</v>
      </c>
      <c r="B5731" s="24" t="s">
        <v>6789</v>
      </c>
      <c r="C5731" s="24" t="s">
        <v>6851</v>
      </c>
      <c r="D5731" s="59">
        <v>4.0</v>
      </c>
      <c r="E5731" s="59">
        <v>5.0</v>
      </c>
      <c r="F5731" s="59">
        <v>1.0</v>
      </c>
      <c r="G5731" s="60">
        <v>1.25</v>
      </c>
      <c r="H5731" s="60">
        <v>0.2</v>
      </c>
      <c r="I5731" s="60">
        <v>521.5337066</v>
      </c>
      <c r="J5731" s="59">
        <v>21.0</v>
      </c>
      <c r="K5731" s="61">
        <f t="shared" si="1"/>
        <v>0.2</v>
      </c>
      <c r="L5731" s="62">
        <f t="shared" si="2"/>
        <v>4.2</v>
      </c>
    </row>
    <row r="5732">
      <c r="A5732" s="58">
        <v>45717.0</v>
      </c>
      <c r="B5732" s="24" t="s">
        <v>6789</v>
      </c>
      <c r="C5732" s="24" t="s">
        <v>7104</v>
      </c>
      <c r="D5732" s="59">
        <v>4.0</v>
      </c>
      <c r="E5732" s="59">
        <v>4.0</v>
      </c>
      <c r="F5732" s="59">
        <v>4.0</v>
      </c>
      <c r="G5732" s="60">
        <v>1.0</v>
      </c>
      <c r="H5732" s="60">
        <v>0.75</v>
      </c>
      <c r="I5732" s="60">
        <v>13.066361</v>
      </c>
      <c r="J5732" s="59">
        <v>4.0</v>
      </c>
      <c r="K5732" s="61">
        <f t="shared" si="1"/>
        <v>1</v>
      </c>
      <c r="L5732" s="62">
        <f t="shared" si="2"/>
        <v>1</v>
      </c>
    </row>
    <row r="5733">
      <c r="A5733" s="58">
        <v>45717.0</v>
      </c>
      <c r="B5733" s="24" t="s">
        <v>6787</v>
      </c>
      <c r="C5733" s="24" t="s">
        <v>6814</v>
      </c>
      <c r="D5733" s="59">
        <v>4.0</v>
      </c>
      <c r="E5733" s="59">
        <v>4.0</v>
      </c>
      <c r="F5733" s="59">
        <v>3.0</v>
      </c>
      <c r="G5733" s="60">
        <v>1.0</v>
      </c>
      <c r="H5733" s="60">
        <v>0.75</v>
      </c>
      <c r="I5733" s="60">
        <v>209.138564749999</v>
      </c>
      <c r="J5733" s="59">
        <v>4.0</v>
      </c>
      <c r="K5733" s="61">
        <f t="shared" si="1"/>
        <v>0.75</v>
      </c>
      <c r="L5733" s="62">
        <f t="shared" si="2"/>
        <v>1</v>
      </c>
    </row>
    <row r="5734">
      <c r="A5734" s="58">
        <v>45717.0</v>
      </c>
      <c r="B5734" s="24" t="s">
        <v>6787</v>
      </c>
      <c r="C5734" s="24" t="s">
        <v>6797</v>
      </c>
      <c r="D5734" s="59">
        <v>4.0</v>
      </c>
      <c r="E5734" s="59">
        <v>6.0</v>
      </c>
      <c r="F5734" s="59">
        <v>2.0</v>
      </c>
      <c r="G5734" s="60">
        <v>1.5</v>
      </c>
      <c r="H5734" s="60">
        <v>0.5</v>
      </c>
      <c r="I5734" s="60">
        <v>719.430974333333</v>
      </c>
      <c r="J5734" s="59">
        <v>16.0</v>
      </c>
      <c r="K5734" s="61">
        <f t="shared" si="1"/>
        <v>0.3333333333</v>
      </c>
      <c r="L5734" s="62">
        <f t="shared" si="2"/>
        <v>2.666666667</v>
      </c>
    </row>
    <row r="5735">
      <c r="A5735" s="58">
        <v>45717.0</v>
      </c>
      <c r="B5735" s="24" t="s">
        <v>6789</v>
      </c>
      <c r="C5735" s="24" t="s">
        <v>6797</v>
      </c>
      <c r="D5735" s="59">
        <v>4.0</v>
      </c>
      <c r="E5735" s="59">
        <v>4.0</v>
      </c>
      <c r="F5735" s="59">
        <v>0.0</v>
      </c>
      <c r="G5735" s="60">
        <v>1.0</v>
      </c>
      <c r="H5735" s="60">
        <v>0.0</v>
      </c>
      <c r="I5735" s="60">
        <v>264.59842775</v>
      </c>
      <c r="J5735" s="59">
        <v>8.0</v>
      </c>
      <c r="K5735" s="61">
        <f t="shared" si="1"/>
        <v>0</v>
      </c>
      <c r="L5735" s="62">
        <f t="shared" si="2"/>
        <v>2</v>
      </c>
    </row>
    <row r="5736">
      <c r="A5736" s="58">
        <v>45717.0</v>
      </c>
      <c r="B5736" s="24" t="s">
        <v>6787</v>
      </c>
      <c r="C5736" s="24" t="s">
        <v>6803</v>
      </c>
      <c r="D5736" s="59">
        <v>3.0</v>
      </c>
      <c r="E5736" s="59">
        <v>3.0</v>
      </c>
      <c r="F5736" s="59">
        <v>3.0</v>
      </c>
      <c r="G5736" s="60">
        <v>1.0</v>
      </c>
      <c r="H5736" s="60">
        <v>0.333333333333333</v>
      </c>
      <c r="I5736" s="60">
        <v>93.5877026666666</v>
      </c>
      <c r="J5736" s="59">
        <v>3.0</v>
      </c>
      <c r="K5736" s="61">
        <f t="shared" si="1"/>
        <v>1</v>
      </c>
      <c r="L5736" s="62">
        <f t="shared" si="2"/>
        <v>1</v>
      </c>
    </row>
    <row r="5737">
      <c r="A5737" s="58">
        <v>45717.0</v>
      </c>
      <c r="B5737" s="24" t="s">
        <v>155</v>
      </c>
      <c r="C5737" s="24" t="s">
        <v>6804</v>
      </c>
      <c r="D5737" s="59">
        <v>3.0</v>
      </c>
      <c r="E5737" s="59">
        <v>3.0</v>
      </c>
      <c r="F5737" s="59">
        <v>2.0</v>
      </c>
      <c r="G5737" s="60">
        <v>1.0</v>
      </c>
      <c r="H5737" s="60">
        <v>0.666666666666666</v>
      </c>
      <c r="I5737" s="60">
        <v>408.103894</v>
      </c>
      <c r="J5737" s="59">
        <v>4.0</v>
      </c>
      <c r="K5737" s="61">
        <f t="shared" si="1"/>
        <v>0.6666666667</v>
      </c>
      <c r="L5737" s="62">
        <f t="shared" si="2"/>
        <v>1.333333333</v>
      </c>
    </row>
    <row r="5738">
      <c r="A5738" s="58">
        <v>45717.0</v>
      </c>
      <c r="B5738" s="24" t="s">
        <v>6789</v>
      </c>
      <c r="C5738" s="24" t="s">
        <v>6833</v>
      </c>
      <c r="D5738" s="59">
        <v>3.0</v>
      </c>
      <c r="E5738" s="59">
        <v>3.0</v>
      </c>
      <c r="F5738" s="59">
        <v>2.0</v>
      </c>
      <c r="G5738" s="60">
        <v>1.0</v>
      </c>
      <c r="H5738" s="60">
        <v>0.666666666666666</v>
      </c>
      <c r="I5738" s="60">
        <v>93.3686493333333</v>
      </c>
      <c r="J5738" s="59">
        <v>6.0</v>
      </c>
      <c r="K5738" s="61">
        <f t="shared" si="1"/>
        <v>0.6666666667</v>
      </c>
      <c r="L5738" s="62">
        <f t="shared" si="2"/>
        <v>2</v>
      </c>
    </row>
    <row r="5739">
      <c r="A5739" s="58">
        <v>45717.0</v>
      </c>
      <c r="B5739" s="24" t="s">
        <v>155</v>
      </c>
      <c r="C5739" s="24" t="s">
        <v>6882</v>
      </c>
      <c r="D5739" s="59">
        <v>3.0</v>
      </c>
      <c r="E5739" s="59">
        <v>3.0</v>
      </c>
      <c r="F5739" s="59">
        <v>3.0</v>
      </c>
      <c r="G5739" s="60">
        <v>1.0</v>
      </c>
      <c r="H5739" s="60">
        <v>0.333333333333333</v>
      </c>
      <c r="I5739" s="60">
        <v>71.9801266666666</v>
      </c>
      <c r="J5739" s="59">
        <v>7.0</v>
      </c>
      <c r="K5739" s="61">
        <f t="shared" si="1"/>
        <v>1</v>
      </c>
      <c r="L5739" s="62">
        <f t="shared" si="2"/>
        <v>2.333333333</v>
      </c>
    </row>
    <row r="5740">
      <c r="A5740" s="58">
        <v>45717.0</v>
      </c>
      <c r="B5740" s="24" t="s">
        <v>6787</v>
      </c>
      <c r="C5740" s="24" t="s">
        <v>6835</v>
      </c>
      <c r="D5740" s="59">
        <v>3.0</v>
      </c>
      <c r="E5740" s="59">
        <v>4.0</v>
      </c>
      <c r="F5740" s="59">
        <v>3.0</v>
      </c>
      <c r="G5740" s="60">
        <v>1.33333333333333</v>
      </c>
      <c r="H5740" s="60">
        <v>0.5</v>
      </c>
      <c r="I5740" s="60">
        <v>285.131042</v>
      </c>
      <c r="J5740" s="59">
        <v>5.0</v>
      </c>
      <c r="K5740" s="61">
        <f t="shared" si="1"/>
        <v>0.75</v>
      </c>
      <c r="L5740" s="62">
        <f t="shared" si="2"/>
        <v>1.25</v>
      </c>
    </row>
    <row r="5741">
      <c r="A5741" s="58">
        <v>45717.0</v>
      </c>
      <c r="B5741" s="24" t="s">
        <v>6789</v>
      </c>
      <c r="C5741" s="24" t="s">
        <v>6994</v>
      </c>
      <c r="D5741" s="59">
        <v>3.0</v>
      </c>
      <c r="E5741" s="59">
        <v>3.0</v>
      </c>
      <c r="F5741" s="59">
        <v>3.0</v>
      </c>
      <c r="G5741" s="60">
        <v>1.0</v>
      </c>
      <c r="H5741" s="60">
        <v>0.333333333333333</v>
      </c>
      <c r="I5741" s="60">
        <v>311.250921333333</v>
      </c>
      <c r="J5741" s="59">
        <v>3.0</v>
      </c>
      <c r="K5741" s="61">
        <f t="shared" si="1"/>
        <v>1</v>
      </c>
      <c r="L5741" s="62">
        <f t="shared" si="2"/>
        <v>1</v>
      </c>
    </row>
    <row r="5742">
      <c r="A5742" s="58">
        <v>45717.0</v>
      </c>
      <c r="B5742" s="24" t="s">
        <v>6787</v>
      </c>
      <c r="C5742" s="24" t="s">
        <v>6886</v>
      </c>
      <c r="D5742" s="59">
        <v>3.0</v>
      </c>
      <c r="E5742" s="59">
        <v>3.0</v>
      </c>
      <c r="F5742" s="59">
        <v>2.0</v>
      </c>
      <c r="G5742" s="60">
        <v>1.0</v>
      </c>
      <c r="H5742" s="60">
        <v>0.333333333333333</v>
      </c>
      <c r="I5742" s="60">
        <v>50.2782973333333</v>
      </c>
      <c r="J5742" s="59">
        <v>6.0</v>
      </c>
      <c r="K5742" s="61">
        <f t="shared" si="1"/>
        <v>0.6666666667</v>
      </c>
      <c r="L5742" s="62">
        <f t="shared" si="2"/>
        <v>2</v>
      </c>
    </row>
    <row r="5743">
      <c r="A5743" s="58">
        <v>45717.0</v>
      </c>
      <c r="B5743" s="24" t="s">
        <v>6789</v>
      </c>
      <c r="C5743" s="24" t="s">
        <v>6886</v>
      </c>
      <c r="D5743" s="59">
        <v>3.0</v>
      </c>
      <c r="E5743" s="59">
        <v>10.0</v>
      </c>
      <c r="F5743" s="59">
        <v>0.0</v>
      </c>
      <c r="G5743" s="60">
        <v>3.33333333333333</v>
      </c>
      <c r="H5743" s="60">
        <v>0.8</v>
      </c>
      <c r="I5743" s="60">
        <v>18.2372727</v>
      </c>
      <c r="J5743" s="59">
        <v>13.0</v>
      </c>
      <c r="K5743" s="61">
        <f t="shared" si="1"/>
        <v>0</v>
      </c>
      <c r="L5743" s="62">
        <f t="shared" si="2"/>
        <v>1.3</v>
      </c>
    </row>
    <row r="5744">
      <c r="A5744" s="58">
        <v>45717.0</v>
      </c>
      <c r="B5744" s="24" t="s">
        <v>155</v>
      </c>
      <c r="C5744" s="24" t="s">
        <v>6886</v>
      </c>
      <c r="D5744" s="59">
        <v>3.0</v>
      </c>
      <c r="E5744" s="59">
        <v>3.0</v>
      </c>
      <c r="F5744" s="59">
        <v>1.0</v>
      </c>
      <c r="G5744" s="60">
        <v>1.0</v>
      </c>
      <c r="H5744" s="60">
        <v>1.0</v>
      </c>
      <c r="I5744" s="60">
        <v>5.36472466666666</v>
      </c>
      <c r="J5744" s="59">
        <v>3.0</v>
      </c>
      <c r="K5744" s="61">
        <f t="shared" si="1"/>
        <v>0.3333333333</v>
      </c>
      <c r="L5744" s="62">
        <f t="shared" si="2"/>
        <v>1</v>
      </c>
    </row>
    <row r="5745">
      <c r="A5745" s="58">
        <v>45717.0</v>
      </c>
      <c r="B5745" s="24" t="s">
        <v>6787</v>
      </c>
      <c r="C5745" s="24" t="s">
        <v>6838</v>
      </c>
      <c r="D5745" s="59">
        <v>3.0</v>
      </c>
      <c r="E5745" s="59">
        <v>3.0</v>
      </c>
      <c r="F5745" s="59">
        <v>3.0</v>
      </c>
      <c r="G5745" s="60">
        <v>1.0</v>
      </c>
      <c r="H5745" s="60">
        <v>1.0</v>
      </c>
      <c r="I5745" s="60">
        <v>0.0</v>
      </c>
      <c r="J5745" s="59">
        <v>3.0</v>
      </c>
      <c r="K5745" s="61">
        <f t="shared" si="1"/>
        <v>1</v>
      </c>
      <c r="L5745" s="62">
        <f t="shared" si="2"/>
        <v>1</v>
      </c>
    </row>
    <row r="5746">
      <c r="A5746" s="58">
        <v>45717.0</v>
      </c>
      <c r="B5746" s="24" t="s">
        <v>6787</v>
      </c>
      <c r="C5746" s="24" t="s">
        <v>6840</v>
      </c>
      <c r="D5746" s="59">
        <v>3.0</v>
      </c>
      <c r="E5746" s="59">
        <v>4.0</v>
      </c>
      <c r="F5746" s="59">
        <v>3.0</v>
      </c>
      <c r="G5746" s="60">
        <v>1.33333333333333</v>
      </c>
      <c r="H5746" s="60">
        <v>1.0</v>
      </c>
      <c r="I5746" s="60">
        <v>0.0</v>
      </c>
      <c r="J5746" s="59">
        <v>4.0</v>
      </c>
      <c r="K5746" s="61">
        <f t="shared" si="1"/>
        <v>0.75</v>
      </c>
      <c r="L5746" s="62">
        <f t="shared" si="2"/>
        <v>1</v>
      </c>
    </row>
    <row r="5747">
      <c r="A5747" s="58">
        <v>45717.0</v>
      </c>
      <c r="B5747" s="24" t="s">
        <v>6787</v>
      </c>
      <c r="C5747" s="24" t="s">
        <v>7129</v>
      </c>
      <c r="D5747" s="59">
        <v>3.0</v>
      </c>
      <c r="E5747" s="59">
        <v>3.0</v>
      </c>
      <c r="F5747" s="59">
        <v>3.0</v>
      </c>
      <c r="G5747" s="60">
        <v>1.0</v>
      </c>
      <c r="H5747" s="60">
        <v>1.0</v>
      </c>
      <c r="I5747" s="60">
        <v>2.29867799999999</v>
      </c>
      <c r="J5747" s="59">
        <v>3.0</v>
      </c>
      <c r="K5747" s="61">
        <f t="shared" si="1"/>
        <v>1</v>
      </c>
      <c r="L5747" s="62">
        <f t="shared" si="2"/>
        <v>1</v>
      </c>
    </row>
    <row r="5748">
      <c r="A5748" s="58">
        <v>45717.0</v>
      </c>
      <c r="B5748" s="24" t="s">
        <v>6789</v>
      </c>
      <c r="C5748" s="24" t="s">
        <v>6811</v>
      </c>
      <c r="D5748" s="59">
        <v>3.0</v>
      </c>
      <c r="E5748" s="59">
        <v>6.0</v>
      </c>
      <c r="F5748" s="59">
        <v>2.0</v>
      </c>
      <c r="G5748" s="60">
        <v>2.0</v>
      </c>
      <c r="H5748" s="60">
        <v>0.166666666666666</v>
      </c>
      <c r="I5748" s="60">
        <v>678.3881295</v>
      </c>
      <c r="J5748" s="59">
        <v>10.0</v>
      </c>
      <c r="K5748" s="61">
        <f t="shared" si="1"/>
        <v>0.3333333333</v>
      </c>
      <c r="L5748" s="62">
        <f t="shared" si="2"/>
        <v>1.666666667</v>
      </c>
    </row>
    <row r="5749">
      <c r="A5749" s="58">
        <v>45717.0</v>
      </c>
      <c r="B5749" s="24" t="s">
        <v>6787</v>
      </c>
      <c r="C5749" s="24" t="s">
        <v>7087</v>
      </c>
      <c r="D5749" s="59">
        <v>3.0</v>
      </c>
      <c r="E5749" s="59">
        <v>3.0</v>
      </c>
      <c r="F5749" s="59">
        <v>3.0</v>
      </c>
      <c r="G5749" s="60">
        <v>1.0</v>
      </c>
      <c r="H5749" s="60">
        <v>0.666666666666666</v>
      </c>
      <c r="I5749" s="60">
        <v>36.0802886666666</v>
      </c>
      <c r="J5749" s="59">
        <v>5.0</v>
      </c>
      <c r="K5749" s="61">
        <f t="shared" si="1"/>
        <v>1</v>
      </c>
      <c r="L5749" s="62">
        <f t="shared" si="2"/>
        <v>1.666666667</v>
      </c>
    </row>
    <row r="5750">
      <c r="A5750" s="58">
        <v>45717.0</v>
      </c>
      <c r="B5750" s="24" t="s">
        <v>6789</v>
      </c>
      <c r="C5750" s="24" t="s">
        <v>7088</v>
      </c>
      <c r="D5750" s="59">
        <v>3.0</v>
      </c>
      <c r="E5750" s="59">
        <v>4.0</v>
      </c>
      <c r="F5750" s="59">
        <v>2.0</v>
      </c>
      <c r="G5750" s="60">
        <v>1.33333333333333</v>
      </c>
      <c r="H5750" s="60">
        <v>0.25</v>
      </c>
      <c r="I5750" s="60">
        <v>1537.026364</v>
      </c>
      <c r="J5750" s="59">
        <v>21.0</v>
      </c>
      <c r="K5750" s="61">
        <f t="shared" si="1"/>
        <v>0.5</v>
      </c>
      <c r="L5750" s="62">
        <f t="shared" si="2"/>
        <v>5.25</v>
      </c>
    </row>
    <row r="5751">
      <c r="A5751" s="58">
        <v>45717.0</v>
      </c>
      <c r="B5751" s="24" t="s">
        <v>6787</v>
      </c>
      <c r="C5751" s="24" t="s">
        <v>7313</v>
      </c>
      <c r="D5751" s="59">
        <v>3.0</v>
      </c>
      <c r="E5751" s="59">
        <v>10.0</v>
      </c>
      <c r="F5751" s="59">
        <v>2.0</v>
      </c>
      <c r="G5751" s="60">
        <v>3.33333333333333</v>
      </c>
      <c r="H5751" s="60">
        <v>0.8</v>
      </c>
      <c r="I5751" s="60">
        <v>19.9427308999999</v>
      </c>
      <c r="J5751" s="59">
        <v>13.0</v>
      </c>
      <c r="K5751" s="61">
        <f t="shared" si="1"/>
        <v>0.2</v>
      </c>
      <c r="L5751" s="62">
        <f t="shared" si="2"/>
        <v>1.3</v>
      </c>
    </row>
    <row r="5752">
      <c r="A5752" s="58">
        <v>45717.0</v>
      </c>
      <c r="B5752" s="24" t="s">
        <v>6789</v>
      </c>
      <c r="C5752" s="24" t="s">
        <v>7313</v>
      </c>
      <c r="D5752" s="59">
        <v>3.0</v>
      </c>
      <c r="E5752" s="59">
        <v>3.0</v>
      </c>
      <c r="F5752" s="59">
        <v>1.0</v>
      </c>
      <c r="G5752" s="60">
        <v>1.0</v>
      </c>
      <c r="H5752" s="60">
        <v>0.0</v>
      </c>
      <c r="I5752" s="60">
        <v>307.678514333333</v>
      </c>
      <c r="J5752" s="59">
        <v>12.0</v>
      </c>
      <c r="K5752" s="61">
        <f t="shared" si="1"/>
        <v>0.3333333333</v>
      </c>
      <c r="L5752" s="62">
        <f t="shared" si="2"/>
        <v>4</v>
      </c>
    </row>
    <row r="5753">
      <c r="A5753" s="58">
        <v>45717.0</v>
      </c>
      <c r="B5753" s="24" t="s">
        <v>6787</v>
      </c>
      <c r="C5753" s="24" t="s">
        <v>6801</v>
      </c>
      <c r="D5753" s="59">
        <v>3.0</v>
      </c>
      <c r="E5753" s="59">
        <v>3.0</v>
      </c>
      <c r="F5753" s="59">
        <v>3.0</v>
      </c>
      <c r="G5753" s="60">
        <v>1.0</v>
      </c>
      <c r="H5753" s="60">
        <v>0.666666666666666</v>
      </c>
      <c r="I5753" s="60">
        <v>4.33829166666666</v>
      </c>
      <c r="J5753" s="59">
        <v>3.0</v>
      </c>
      <c r="K5753" s="61">
        <f t="shared" si="1"/>
        <v>1</v>
      </c>
      <c r="L5753" s="62">
        <f t="shared" si="2"/>
        <v>1</v>
      </c>
    </row>
    <row r="5754">
      <c r="A5754" s="58">
        <v>45717.0</v>
      </c>
      <c r="B5754" s="24" t="s">
        <v>6787</v>
      </c>
      <c r="C5754" s="24" t="s">
        <v>7102</v>
      </c>
      <c r="D5754" s="59">
        <v>3.0</v>
      </c>
      <c r="E5754" s="59">
        <v>3.0</v>
      </c>
      <c r="F5754" s="59">
        <v>3.0</v>
      </c>
      <c r="G5754" s="60">
        <v>1.0</v>
      </c>
      <c r="H5754" s="60">
        <v>1.0</v>
      </c>
      <c r="I5754" s="60">
        <v>0.0</v>
      </c>
      <c r="J5754" s="59">
        <v>3.0</v>
      </c>
      <c r="K5754" s="61">
        <f t="shared" si="1"/>
        <v>1</v>
      </c>
      <c r="L5754" s="62">
        <f t="shared" si="2"/>
        <v>1</v>
      </c>
    </row>
    <row r="5755">
      <c r="A5755" s="58">
        <v>45717.0</v>
      </c>
      <c r="B5755" s="24" t="s">
        <v>6787</v>
      </c>
      <c r="C5755" s="24" t="s">
        <v>6912</v>
      </c>
      <c r="D5755" s="59">
        <v>3.0</v>
      </c>
      <c r="E5755" s="59">
        <v>3.0</v>
      </c>
      <c r="F5755" s="59">
        <v>3.0</v>
      </c>
      <c r="G5755" s="60">
        <v>1.0</v>
      </c>
      <c r="H5755" s="60">
        <v>1.0</v>
      </c>
      <c r="I5755" s="60">
        <v>0.0</v>
      </c>
      <c r="J5755" s="59">
        <v>3.0</v>
      </c>
      <c r="K5755" s="61">
        <f t="shared" si="1"/>
        <v>1</v>
      </c>
      <c r="L5755" s="62">
        <f t="shared" si="2"/>
        <v>1</v>
      </c>
    </row>
    <row r="5756">
      <c r="A5756" s="58">
        <v>45717.0</v>
      </c>
      <c r="B5756" s="24" t="s">
        <v>6789</v>
      </c>
      <c r="C5756" s="24" t="s">
        <v>6912</v>
      </c>
      <c r="D5756" s="59">
        <v>3.0</v>
      </c>
      <c r="E5756" s="59">
        <v>3.0</v>
      </c>
      <c r="F5756" s="59">
        <v>2.0</v>
      </c>
      <c r="G5756" s="60">
        <v>1.0</v>
      </c>
      <c r="H5756" s="60">
        <v>0.0</v>
      </c>
      <c r="I5756" s="60">
        <v>285.498088333333</v>
      </c>
      <c r="J5756" s="59">
        <v>5.0</v>
      </c>
      <c r="K5756" s="61">
        <f t="shared" si="1"/>
        <v>0.6666666667</v>
      </c>
      <c r="L5756" s="62">
        <f t="shared" si="2"/>
        <v>1.666666667</v>
      </c>
    </row>
    <row r="5757">
      <c r="A5757" s="58">
        <v>45717.0</v>
      </c>
      <c r="B5757" s="24" t="s">
        <v>6789</v>
      </c>
      <c r="C5757" s="24" t="s">
        <v>6814</v>
      </c>
      <c r="D5757" s="59">
        <v>3.0</v>
      </c>
      <c r="E5757" s="59">
        <v>3.0</v>
      </c>
      <c r="F5757" s="59">
        <v>0.0</v>
      </c>
      <c r="G5757" s="60">
        <v>1.5</v>
      </c>
      <c r="H5757" s="60">
        <v>0.333333333333333</v>
      </c>
      <c r="I5757" s="60">
        <v>382.389075</v>
      </c>
      <c r="J5757" s="59">
        <v>4.0</v>
      </c>
      <c r="K5757" s="61">
        <f t="shared" si="1"/>
        <v>0</v>
      </c>
      <c r="L5757" s="62">
        <f t="shared" si="2"/>
        <v>1.333333333</v>
      </c>
    </row>
    <row r="5758">
      <c r="A5758" s="58">
        <v>45717.0</v>
      </c>
      <c r="B5758" s="24" t="s">
        <v>6787</v>
      </c>
      <c r="C5758" s="24" t="s">
        <v>7106</v>
      </c>
      <c r="D5758" s="59">
        <v>3.0</v>
      </c>
      <c r="E5758" s="59">
        <v>3.0</v>
      </c>
      <c r="F5758" s="59">
        <v>3.0</v>
      </c>
      <c r="G5758" s="60">
        <v>1.0</v>
      </c>
      <c r="H5758" s="60">
        <v>0.666666666666666</v>
      </c>
      <c r="I5758" s="60">
        <v>54.5777503333333</v>
      </c>
      <c r="J5758" s="59">
        <v>4.0</v>
      </c>
      <c r="K5758" s="61">
        <f t="shared" si="1"/>
        <v>1</v>
      </c>
      <c r="L5758" s="62">
        <f t="shared" si="2"/>
        <v>1.333333333</v>
      </c>
    </row>
    <row r="5759">
      <c r="A5759" s="58">
        <v>45717.0</v>
      </c>
      <c r="B5759" s="24" t="s">
        <v>6789</v>
      </c>
      <c r="C5759" s="24" t="s">
        <v>7106</v>
      </c>
      <c r="D5759" s="59">
        <v>3.0</v>
      </c>
      <c r="E5759" s="59">
        <v>3.0</v>
      </c>
      <c r="F5759" s="59">
        <v>1.0</v>
      </c>
      <c r="G5759" s="60">
        <v>1.0</v>
      </c>
      <c r="H5759" s="60">
        <v>0.333333333333333</v>
      </c>
      <c r="I5759" s="60">
        <v>70.3018723333333</v>
      </c>
      <c r="J5759" s="59">
        <v>3.0</v>
      </c>
      <c r="K5759" s="61">
        <f t="shared" si="1"/>
        <v>0.3333333333</v>
      </c>
      <c r="L5759" s="62">
        <f t="shared" si="2"/>
        <v>1</v>
      </c>
    </row>
    <row r="5760">
      <c r="A5760" s="58">
        <v>45717.0</v>
      </c>
      <c r="B5760" s="24" t="s">
        <v>6789</v>
      </c>
      <c r="C5760" s="24" t="s">
        <v>7180</v>
      </c>
      <c r="D5760" s="59">
        <v>3.0</v>
      </c>
      <c r="E5760" s="59">
        <v>3.0</v>
      </c>
      <c r="F5760" s="59">
        <v>2.0</v>
      </c>
      <c r="G5760" s="60">
        <v>1.0</v>
      </c>
      <c r="H5760" s="60">
        <v>0.333333333333333</v>
      </c>
      <c r="I5760" s="60">
        <v>11.315766</v>
      </c>
      <c r="J5760" s="59">
        <v>5.0</v>
      </c>
      <c r="K5760" s="61">
        <f t="shared" si="1"/>
        <v>0.6666666667</v>
      </c>
      <c r="L5760" s="62">
        <f t="shared" si="2"/>
        <v>1.666666667</v>
      </c>
    </row>
    <row r="5761">
      <c r="A5761" s="58">
        <v>45717.0</v>
      </c>
      <c r="B5761" s="24" t="s">
        <v>6789</v>
      </c>
      <c r="C5761" s="24" t="s">
        <v>7426</v>
      </c>
      <c r="D5761" s="59">
        <v>3.0</v>
      </c>
      <c r="E5761" s="59">
        <v>21.0</v>
      </c>
      <c r="F5761" s="59">
        <v>1.0</v>
      </c>
      <c r="G5761" s="60">
        <v>7.0</v>
      </c>
      <c r="H5761" s="60">
        <v>0.571428571428571</v>
      </c>
      <c r="I5761" s="60">
        <v>391.254999047619</v>
      </c>
      <c r="J5761" s="59">
        <v>46.0</v>
      </c>
      <c r="K5761" s="61">
        <f t="shared" si="1"/>
        <v>0.04761904762</v>
      </c>
      <c r="L5761" s="62">
        <f t="shared" si="2"/>
        <v>2.19047619</v>
      </c>
    </row>
    <row r="5762">
      <c r="A5762" s="58">
        <v>45717.0</v>
      </c>
      <c r="B5762" s="24" t="s">
        <v>6789</v>
      </c>
      <c r="C5762" s="24" t="s">
        <v>6920</v>
      </c>
      <c r="D5762" s="59">
        <v>3.0</v>
      </c>
      <c r="E5762" s="59">
        <v>3.0</v>
      </c>
      <c r="F5762" s="59">
        <v>0.0</v>
      </c>
      <c r="G5762" s="60">
        <v>1.0</v>
      </c>
      <c r="H5762" s="60">
        <v>0.0</v>
      </c>
      <c r="I5762" s="60">
        <v>1509.51373166666</v>
      </c>
      <c r="J5762" s="59">
        <v>25.0</v>
      </c>
      <c r="K5762" s="61">
        <f t="shared" si="1"/>
        <v>0</v>
      </c>
      <c r="L5762" s="62">
        <f t="shared" si="2"/>
        <v>8.333333333</v>
      </c>
    </row>
    <row r="5763">
      <c r="A5763" s="58">
        <v>45717.0</v>
      </c>
      <c r="B5763" s="24" t="s">
        <v>6790</v>
      </c>
      <c r="C5763" s="24" t="s">
        <v>6920</v>
      </c>
      <c r="D5763" s="59">
        <v>3.0</v>
      </c>
      <c r="E5763" s="59">
        <v>4.0</v>
      </c>
      <c r="F5763" s="59">
        <v>2.0</v>
      </c>
      <c r="G5763" s="60">
        <v>1.33333333333333</v>
      </c>
      <c r="H5763" s="60">
        <v>0.25</v>
      </c>
      <c r="I5763" s="60">
        <v>564.5604695</v>
      </c>
      <c r="J5763" s="59">
        <v>37.0</v>
      </c>
      <c r="K5763" s="61">
        <f t="shared" si="1"/>
        <v>0.5</v>
      </c>
      <c r="L5763" s="62">
        <f t="shared" si="2"/>
        <v>9.25</v>
      </c>
    </row>
    <row r="5764">
      <c r="A5764" s="58">
        <v>45717.0</v>
      </c>
      <c r="B5764" s="24" t="s">
        <v>6789</v>
      </c>
      <c r="C5764" s="24" t="s">
        <v>6817</v>
      </c>
      <c r="D5764" s="59">
        <v>2.0</v>
      </c>
      <c r="E5764" s="59">
        <v>3.0</v>
      </c>
      <c r="F5764" s="59">
        <v>0.0</v>
      </c>
      <c r="G5764" s="60">
        <v>1.5</v>
      </c>
      <c r="H5764" s="60">
        <v>0.0</v>
      </c>
      <c r="I5764" s="60">
        <v>2168.79471166666</v>
      </c>
      <c r="J5764" s="59">
        <v>29.0</v>
      </c>
      <c r="K5764" s="61">
        <f t="shared" si="1"/>
        <v>0</v>
      </c>
      <c r="L5764" s="62">
        <f t="shared" si="2"/>
        <v>9.666666667</v>
      </c>
    </row>
    <row r="5765">
      <c r="A5765" s="58">
        <v>45717.0</v>
      </c>
      <c r="B5765" s="24" t="s">
        <v>6789</v>
      </c>
      <c r="C5765" s="24" t="s">
        <v>6953</v>
      </c>
      <c r="D5765" s="59">
        <v>2.0</v>
      </c>
      <c r="E5765" s="59">
        <v>2.0</v>
      </c>
      <c r="F5765" s="59">
        <v>2.0</v>
      </c>
      <c r="G5765" s="60">
        <v>1.0</v>
      </c>
      <c r="H5765" s="60">
        <v>0.5</v>
      </c>
      <c r="I5765" s="60">
        <v>402.6973095</v>
      </c>
      <c r="J5765" s="59">
        <v>2.0</v>
      </c>
      <c r="K5765" s="61">
        <f t="shared" si="1"/>
        <v>1</v>
      </c>
      <c r="L5765" s="62">
        <f t="shared" si="2"/>
        <v>1</v>
      </c>
    </row>
    <row r="5766">
      <c r="A5766" s="58">
        <v>45717.0</v>
      </c>
      <c r="B5766" s="24" t="s">
        <v>6787</v>
      </c>
      <c r="C5766" s="24" t="s">
        <v>7056</v>
      </c>
      <c r="D5766" s="59">
        <v>2.0</v>
      </c>
      <c r="E5766" s="59">
        <v>2.0</v>
      </c>
      <c r="F5766" s="59">
        <v>2.0</v>
      </c>
      <c r="G5766" s="60">
        <v>1.0</v>
      </c>
      <c r="H5766" s="60">
        <v>0.5</v>
      </c>
      <c r="I5766" s="60">
        <v>11.3737585</v>
      </c>
      <c r="J5766" s="59">
        <v>3.0</v>
      </c>
      <c r="K5766" s="61">
        <f t="shared" si="1"/>
        <v>1</v>
      </c>
      <c r="L5766" s="62">
        <f t="shared" si="2"/>
        <v>1.5</v>
      </c>
    </row>
    <row r="5767">
      <c r="A5767" s="58">
        <v>45717.0</v>
      </c>
      <c r="B5767" s="24" t="s">
        <v>6787</v>
      </c>
      <c r="C5767" s="24" t="s">
        <v>6986</v>
      </c>
      <c r="D5767" s="59">
        <v>2.0</v>
      </c>
      <c r="E5767" s="59">
        <v>2.0</v>
      </c>
      <c r="F5767" s="59">
        <v>2.0</v>
      </c>
      <c r="G5767" s="60">
        <v>1.0</v>
      </c>
      <c r="H5767" s="60">
        <v>0.5</v>
      </c>
      <c r="I5767" s="60">
        <v>17.448211</v>
      </c>
      <c r="J5767" s="59">
        <v>2.0</v>
      </c>
      <c r="K5767" s="61">
        <f t="shared" si="1"/>
        <v>1</v>
      </c>
      <c r="L5767" s="62">
        <f t="shared" si="2"/>
        <v>1</v>
      </c>
    </row>
    <row r="5768">
      <c r="A5768" s="58">
        <v>45717.0</v>
      </c>
      <c r="B5768" s="24" t="s">
        <v>6787</v>
      </c>
      <c r="C5768" s="24" t="s">
        <v>6870</v>
      </c>
      <c r="D5768" s="59">
        <v>2.0</v>
      </c>
      <c r="E5768" s="59">
        <v>2.0</v>
      </c>
      <c r="F5768" s="59">
        <v>2.0</v>
      </c>
      <c r="G5768" s="60">
        <v>1.0</v>
      </c>
      <c r="H5768" s="60">
        <v>0.5</v>
      </c>
      <c r="I5768" s="60">
        <v>314.661034</v>
      </c>
      <c r="J5768" s="59">
        <v>8.0</v>
      </c>
      <c r="K5768" s="61">
        <f t="shared" si="1"/>
        <v>1</v>
      </c>
      <c r="L5768" s="62">
        <f t="shared" si="2"/>
        <v>4</v>
      </c>
    </row>
    <row r="5769">
      <c r="A5769" s="58">
        <v>45717.0</v>
      </c>
      <c r="B5769" s="24" t="s">
        <v>6787</v>
      </c>
      <c r="C5769" s="24" t="s">
        <v>6880</v>
      </c>
      <c r="D5769" s="59">
        <v>2.0</v>
      </c>
      <c r="E5769" s="59">
        <v>3.0</v>
      </c>
      <c r="F5769" s="59">
        <v>2.0</v>
      </c>
      <c r="G5769" s="60">
        <v>1.5</v>
      </c>
      <c r="H5769" s="60">
        <v>1.0</v>
      </c>
      <c r="I5769" s="60">
        <v>0.0</v>
      </c>
      <c r="J5769" s="59">
        <v>3.0</v>
      </c>
      <c r="K5769" s="61">
        <f t="shared" si="1"/>
        <v>0.6666666667</v>
      </c>
      <c r="L5769" s="62">
        <f t="shared" si="2"/>
        <v>1</v>
      </c>
    </row>
    <row r="5770">
      <c r="A5770" s="58">
        <v>45717.0</v>
      </c>
      <c r="B5770" s="24" t="s">
        <v>155</v>
      </c>
      <c r="C5770" s="24" t="s">
        <v>6881</v>
      </c>
      <c r="D5770" s="59">
        <v>2.0</v>
      </c>
      <c r="E5770" s="59">
        <v>2.0</v>
      </c>
      <c r="F5770" s="59">
        <v>0.0</v>
      </c>
      <c r="G5770" s="60">
        <v>1.0</v>
      </c>
      <c r="H5770" s="60">
        <v>0.0</v>
      </c>
      <c r="I5770" s="60">
        <v>2346.0304765</v>
      </c>
      <c r="J5770" s="59">
        <v>17.0</v>
      </c>
      <c r="K5770" s="61">
        <f t="shared" si="1"/>
        <v>0</v>
      </c>
      <c r="L5770" s="62">
        <f t="shared" si="2"/>
        <v>8.5</v>
      </c>
    </row>
    <row r="5771">
      <c r="A5771" s="58">
        <v>45717.0</v>
      </c>
      <c r="B5771" s="24" t="s">
        <v>6789</v>
      </c>
      <c r="C5771" s="24" t="s">
        <v>6990</v>
      </c>
      <c r="D5771" s="59">
        <v>2.0</v>
      </c>
      <c r="E5771" s="59">
        <v>2.0</v>
      </c>
      <c r="F5771" s="59">
        <v>2.0</v>
      </c>
      <c r="G5771" s="60">
        <v>1.0</v>
      </c>
      <c r="H5771" s="60">
        <v>0.5</v>
      </c>
      <c r="I5771" s="60">
        <v>9.8459695</v>
      </c>
      <c r="J5771" s="59">
        <v>2.0</v>
      </c>
      <c r="K5771" s="61">
        <f t="shared" si="1"/>
        <v>1</v>
      </c>
      <c r="L5771" s="62">
        <f t="shared" si="2"/>
        <v>1</v>
      </c>
    </row>
    <row r="5772">
      <c r="A5772" s="58">
        <v>45717.0</v>
      </c>
      <c r="B5772" s="24" t="s">
        <v>6790</v>
      </c>
      <c r="C5772" s="24" t="s">
        <v>7068</v>
      </c>
      <c r="D5772" s="59">
        <v>2.0</v>
      </c>
      <c r="E5772" s="59">
        <v>2.0</v>
      </c>
      <c r="F5772" s="59">
        <v>2.0</v>
      </c>
      <c r="G5772" s="60">
        <v>1.0</v>
      </c>
      <c r="H5772" s="60">
        <v>0.0</v>
      </c>
      <c r="I5772" s="60">
        <v>66.9876025</v>
      </c>
      <c r="J5772" s="59">
        <v>2.0</v>
      </c>
      <c r="K5772" s="61">
        <f t="shared" si="1"/>
        <v>1</v>
      </c>
      <c r="L5772" s="62">
        <f t="shared" si="2"/>
        <v>1</v>
      </c>
    </row>
    <row r="5773">
      <c r="A5773" s="58">
        <v>45717.0</v>
      </c>
      <c r="B5773" s="24" t="s">
        <v>6789</v>
      </c>
      <c r="C5773" s="24" t="s">
        <v>6991</v>
      </c>
      <c r="D5773" s="59">
        <v>2.0</v>
      </c>
      <c r="E5773" s="59">
        <v>2.0</v>
      </c>
      <c r="F5773" s="59">
        <v>2.0</v>
      </c>
      <c r="G5773" s="60">
        <v>1.0</v>
      </c>
      <c r="H5773" s="60">
        <v>0.0</v>
      </c>
      <c r="I5773" s="60">
        <v>296.2533825</v>
      </c>
      <c r="J5773" s="59">
        <v>9.0</v>
      </c>
      <c r="K5773" s="61">
        <f t="shared" si="1"/>
        <v>1</v>
      </c>
      <c r="L5773" s="62">
        <f t="shared" si="2"/>
        <v>4.5</v>
      </c>
    </row>
    <row r="5774">
      <c r="A5774" s="58">
        <v>45717.0</v>
      </c>
      <c r="B5774" s="24" t="s">
        <v>155</v>
      </c>
      <c r="C5774" s="24" t="s">
        <v>6822</v>
      </c>
      <c r="D5774" s="59">
        <v>2.0</v>
      </c>
      <c r="E5774" s="59">
        <v>3.0</v>
      </c>
      <c r="F5774" s="59">
        <v>0.0</v>
      </c>
      <c r="G5774" s="60">
        <v>1.5</v>
      </c>
      <c r="H5774" s="60">
        <v>0.333333333333333</v>
      </c>
      <c r="I5774" s="60">
        <v>53.4096183333333</v>
      </c>
      <c r="J5774" s="59">
        <v>5.0</v>
      </c>
      <c r="K5774" s="61">
        <f t="shared" si="1"/>
        <v>0</v>
      </c>
      <c r="L5774" s="62">
        <f t="shared" si="2"/>
        <v>1.666666667</v>
      </c>
    </row>
    <row r="5775">
      <c r="A5775" s="58">
        <v>45717.0</v>
      </c>
      <c r="B5775" s="24" t="s">
        <v>6789</v>
      </c>
      <c r="C5775" s="24" t="s">
        <v>6891</v>
      </c>
      <c r="D5775" s="59">
        <v>2.0</v>
      </c>
      <c r="E5775" s="59">
        <v>2.0</v>
      </c>
      <c r="F5775" s="59">
        <v>0.0</v>
      </c>
      <c r="G5775" s="60">
        <v>1.0</v>
      </c>
      <c r="H5775" s="60">
        <v>0.0</v>
      </c>
      <c r="I5775" s="60">
        <v>1662.38788</v>
      </c>
      <c r="J5775" s="59">
        <v>13.0</v>
      </c>
      <c r="K5775" s="61">
        <f t="shared" si="1"/>
        <v>0</v>
      </c>
      <c r="L5775" s="62">
        <f t="shared" si="2"/>
        <v>6.5</v>
      </c>
    </row>
    <row r="5776">
      <c r="A5776" s="58">
        <v>45717.0</v>
      </c>
      <c r="B5776" s="24" t="s">
        <v>6790</v>
      </c>
      <c r="C5776" s="24" t="s">
        <v>6891</v>
      </c>
      <c r="D5776" s="59">
        <v>2.0</v>
      </c>
      <c r="E5776" s="59">
        <v>2.0</v>
      </c>
      <c r="F5776" s="59">
        <v>2.0</v>
      </c>
      <c r="G5776" s="60">
        <v>1.0</v>
      </c>
      <c r="H5776" s="60">
        <v>1.0</v>
      </c>
      <c r="I5776" s="60">
        <v>0.0</v>
      </c>
      <c r="J5776" s="59">
        <v>2.0</v>
      </c>
      <c r="K5776" s="61">
        <f t="shared" si="1"/>
        <v>1</v>
      </c>
      <c r="L5776" s="62">
        <f t="shared" si="2"/>
        <v>1</v>
      </c>
    </row>
    <row r="5777">
      <c r="A5777" s="58">
        <v>45717.0</v>
      </c>
      <c r="B5777" s="24" t="s">
        <v>6787</v>
      </c>
      <c r="C5777" s="24" t="s">
        <v>6892</v>
      </c>
      <c r="D5777" s="59">
        <v>2.0</v>
      </c>
      <c r="E5777" s="59">
        <v>2.0</v>
      </c>
      <c r="F5777" s="59">
        <v>2.0</v>
      </c>
      <c r="G5777" s="60">
        <v>1.0</v>
      </c>
      <c r="H5777" s="60">
        <v>0.5</v>
      </c>
      <c r="I5777" s="60">
        <v>7.087795</v>
      </c>
      <c r="J5777" s="59">
        <v>2.0</v>
      </c>
      <c r="K5777" s="61">
        <f t="shared" si="1"/>
        <v>1</v>
      </c>
      <c r="L5777" s="62">
        <f t="shared" si="2"/>
        <v>1</v>
      </c>
    </row>
    <row r="5778">
      <c r="A5778" s="58">
        <v>45717.0</v>
      </c>
      <c r="B5778" s="24" t="s">
        <v>6787</v>
      </c>
      <c r="C5778" s="24" t="s">
        <v>7032</v>
      </c>
      <c r="D5778" s="59">
        <v>2.0</v>
      </c>
      <c r="E5778" s="59">
        <v>2.0</v>
      </c>
      <c r="F5778" s="59">
        <v>1.0</v>
      </c>
      <c r="G5778" s="60">
        <v>1.0</v>
      </c>
      <c r="H5778" s="60">
        <v>0.0</v>
      </c>
      <c r="I5778" s="60">
        <v>45.885904</v>
      </c>
      <c r="J5778" s="59">
        <v>6.0</v>
      </c>
      <c r="K5778" s="61">
        <f t="shared" si="1"/>
        <v>0.5</v>
      </c>
      <c r="L5778" s="62">
        <f t="shared" si="2"/>
        <v>3</v>
      </c>
    </row>
    <row r="5779">
      <c r="A5779" s="58">
        <v>45717.0</v>
      </c>
      <c r="B5779" s="24" t="s">
        <v>6787</v>
      </c>
      <c r="C5779" s="24" t="s">
        <v>7301</v>
      </c>
      <c r="D5779" s="59">
        <v>2.0</v>
      </c>
      <c r="E5779" s="59">
        <v>2.0</v>
      </c>
      <c r="F5779" s="59">
        <v>2.0</v>
      </c>
      <c r="G5779" s="60">
        <v>1.0</v>
      </c>
      <c r="H5779" s="60">
        <v>0.5</v>
      </c>
      <c r="I5779" s="60">
        <v>16.402557</v>
      </c>
      <c r="J5779" s="59">
        <v>2.0</v>
      </c>
      <c r="K5779" s="61">
        <f t="shared" si="1"/>
        <v>1</v>
      </c>
      <c r="L5779" s="62">
        <f t="shared" si="2"/>
        <v>1</v>
      </c>
    </row>
    <row r="5780">
      <c r="A5780" s="58">
        <v>45717.0</v>
      </c>
      <c r="B5780" s="24" t="s">
        <v>6789</v>
      </c>
      <c r="C5780" s="24" t="s">
        <v>7301</v>
      </c>
      <c r="D5780" s="59">
        <v>2.0</v>
      </c>
      <c r="E5780" s="59">
        <v>3.0</v>
      </c>
      <c r="F5780" s="59">
        <v>2.0</v>
      </c>
      <c r="G5780" s="60">
        <v>1.5</v>
      </c>
      <c r="H5780" s="60">
        <v>0.333333333333333</v>
      </c>
      <c r="I5780" s="60">
        <v>544.762708333333</v>
      </c>
      <c r="J5780" s="59">
        <v>4.0</v>
      </c>
      <c r="K5780" s="61">
        <f t="shared" si="1"/>
        <v>0.6666666667</v>
      </c>
      <c r="L5780" s="62">
        <f t="shared" si="2"/>
        <v>1.333333333</v>
      </c>
    </row>
    <row r="5781">
      <c r="A5781" s="58">
        <v>45717.0</v>
      </c>
      <c r="B5781" s="24" t="s">
        <v>6787</v>
      </c>
      <c r="C5781" s="24" t="s">
        <v>6898</v>
      </c>
      <c r="D5781" s="59">
        <v>2.0</v>
      </c>
      <c r="E5781" s="59">
        <v>2.0</v>
      </c>
      <c r="F5781" s="59">
        <v>2.0</v>
      </c>
      <c r="G5781" s="60">
        <v>1.0</v>
      </c>
      <c r="H5781" s="60">
        <v>1.0</v>
      </c>
      <c r="I5781" s="60">
        <v>0.0</v>
      </c>
      <c r="J5781" s="59">
        <v>2.0</v>
      </c>
      <c r="K5781" s="61">
        <f t="shared" si="1"/>
        <v>1</v>
      </c>
      <c r="L5781" s="62">
        <f t="shared" si="2"/>
        <v>1</v>
      </c>
    </row>
    <row r="5782">
      <c r="A5782" s="58">
        <v>45717.0</v>
      </c>
      <c r="B5782" s="24" t="s">
        <v>6787</v>
      </c>
      <c r="C5782" s="24" t="s">
        <v>6901</v>
      </c>
      <c r="D5782" s="59">
        <v>2.0</v>
      </c>
      <c r="E5782" s="59">
        <v>2.0</v>
      </c>
      <c r="F5782" s="59">
        <v>2.0</v>
      </c>
      <c r="G5782" s="60">
        <v>1.0</v>
      </c>
      <c r="H5782" s="60">
        <v>1.0</v>
      </c>
      <c r="I5782" s="60">
        <v>0.0</v>
      </c>
      <c r="J5782" s="59">
        <v>2.0</v>
      </c>
      <c r="K5782" s="61">
        <f t="shared" si="1"/>
        <v>1</v>
      </c>
      <c r="L5782" s="62">
        <f t="shared" si="2"/>
        <v>1</v>
      </c>
    </row>
    <row r="5783">
      <c r="A5783" s="58">
        <v>45717.0</v>
      </c>
      <c r="B5783" s="24" t="s">
        <v>6787</v>
      </c>
      <c r="C5783" s="24" t="s">
        <v>6807</v>
      </c>
      <c r="D5783" s="59">
        <v>2.0</v>
      </c>
      <c r="E5783" s="59">
        <v>2.0</v>
      </c>
      <c r="F5783" s="59">
        <v>2.0</v>
      </c>
      <c r="G5783" s="60">
        <v>1.0</v>
      </c>
      <c r="H5783" s="60">
        <v>1.0</v>
      </c>
      <c r="I5783" s="60">
        <v>0.0</v>
      </c>
      <c r="J5783" s="59">
        <v>2.0</v>
      </c>
      <c r="K5783" s="61">
        <f t="shared" si="1"/>
        <v>1</v>
      </c>
      <c r="L5783" s="62">
        <f t="shared" si="2"/>
        <v>1</v>
      </c>
    </row>
    <row r="5784">
      <c r="A5784" s="58">
        <v>45717.0</v>
      </c>
      <c r="B5784" s="24" t="s">
        <v>6787</v>
      </c>
      <c r="C5784" s="24" t="s">
        <v>7079</v>
      </c>
      <c r="D5784" s="59">
        <v>2.0</v>
      </c>
      <c r="E5784" s="59">
        <v>2.0</v>
      </c>
      <c r="F5784" s="59">
        <v>1.0</v>
      </c>
      <c r="G5784" s="60">
        <v>1.0</v>
      </c>
      <c r="H5784" s="60">
        <v>0.0</v>
      </c>
      <c r="I5784" s="60">
        <v>216.532919</v>
      </c>
      <c r="J5784" s="59">
        <v>20.0</v>
      </c>
      <c r="K5784" s="61">
        <f t="shared" si="1"/>
        <v>0.5</v>
      </c>
      <c r="L5784" s="62">
        <f t="shared" si="2"/>
        <v>10</v>
      </c>
    </row>
    <row r="5785">
      <c r="A5785" s="58">
        <v>45717.0</v>
      </c>
      <c r="B5785" s="24" t="s">
        <v>6789</v>
      </c>
      <c r="C5785" s="24" t="s">
        <v>6904</v>
      </c>
      <c r="D5785" s="59">
        <v>2.0</v>
      </c>
      <c r="E5785" s="59">
        <v>6.0</v>
      </c>
      <c r="F5785" s="59">
        <v>0.0</v>
      </c>
      <c r="G5785" s="60">
        <v>3.0</v>
      </c>
      <c r="H5785" s="60">
        <v>0.166666666666666</v>
      </c>
      <c r="I5785" s="60">
        <v>431.457955</v>
      </c>
      <c r="J5785" s="59">
        <v>11.0</v>
      </c>
      <c r="K5785" s="61">
        <f t="shared" si="1"/>
        <v>0</v>
      </c>
      <c r="L5785" s="62">
        <f t="shared" si="2"/>
        <v>1.833333333</v>
      </c>
    </row>
    <row r="5786">
      <c r="A5786" s="58">
        <v>45717.0</v>
      </c>
      <c r="B5786" s="24" t="s">
        <v>155</v>
      </c>
      <c r="C5786" s="24" t="s">
        <v>6904</v>
      </c>
      <c r="D5786" s="59">
        <v>2.0</v>
      </c>
      <c r="E5786" s="59">
        <v>4.0</v>
      </c>
      <c r="F5786" s="59">
        <v>0.0</v>
      </c>
      <c r="G5786" s="60">
        <v>2.0</v>
      </c>
      <c r="H5786" s="60">
        <v>0.75</v>
      </c>
      <c r="I5786" s="60">
        <v>5.473439</v>
      </c>
      <c r="J5786" s="59">
        <v>4.0</v>
      </c>
      <c r="K5786" s="61">
        <f t="shared" si="1"/>
        <v>0</v>
      </c>
      <c r="L5786" s="62">
        <f t="shared" si="2"/>
        <v>1</v>
      </c>
    </row>
    <row r="5787">
      <c r="A5787" s="58">
        <v>45717.0</v>
      </c>
      <c r="B5787" s="24" t="s">
        <v>6789</v>
      </c>
      <c r="C5787" s="24" t="s">
        <v>6905</v>
      </c>
      <c r="D5787" s="59">
        <v>2.0</v>
      </c>
      <c r="E5787" s="59">
        <v>3.0</v>
      </c>
      <c r="F5787" s="59">
        <v>0.0</v>
      </c>
      <c r="G5787" s="60">
        <v>1.5</v>
      </c>
      <c r="H5787" s="60">
        <v>0.0</v>
      </c>
      <c r="I5787" s="60">
        <v>652.004019666666</v>
      </c>
      <c r="J5787" s="59">
        <v>10.0</v>
      </c>
      <c r="K5787" s="61">
        <f t="shared" si="1"/>
        <v>0</v>
      </c>
      <c r="L5787" s="62">
        <f t="shared" si="2"/>
        <v>3.333333333</v>
      </c>
    </row>
    <row r="5788">
      <c r="A5788" s="58">
        <v>45717.0</v>
      </c>
      <c r="B5788" s="24" t="s">
        <v>6789</v>
      </c>
      <c r="C5788" s="24" t="s">
        <v>7231</v>
      </c>
      <c r="D5788" s="59">
        <v>2.0</v>
      </c>
      <c r="E5788" s="59">
        <v>2.0</v>
      </c>
      <c r="F5788" s="59">
        <v>2.0</v>
      </c>
      <c r="G5788" s="60">
        <v>1.0</v>
      </c>
      <c r="H5788" s="60">
        <v>1.0</v>
      </c>
      <c r="I5788" s="60">
        <v>0.0</v>
      </c>
      <c r="J5788" s="59">
        <v>2.0</v>
      </c>
      <c r="K5788" s="61">
        <f t="shared" si="1"/>
        <v>1</v>
      </c>
      <c r="L5788" s="62">
        <f t="shared" si="2"/>
        <v>1</v>
      </c>
    </row>
    <row r="5789">
      <c r="A5789" s="58">
        <v>45717.0</v>
      </c>
      <c r="B5789" s="24" t="s">
        <v>6787</v>
      </c>
      <c r="C5789" s="24" t="s">
        <v>7472</v>
      </c>
      <c r="D5789" s="59">
        <v>2.0</v>
      </c>
      <c r="E5789" s="59">
        <v>2.0</v>
      </c>
      <c r="F5789" s="59">
        <v>2.0</v>
      </c>
      <c r="G5789" s="60">
        <v>1.0</v>
      </c>
      <c r="H5789" s="60">
        <v>0.5</v>
      </c>
      <c r="I5789" s="60">
        <v>8.8243005</v>
      </c>
      <c r="J5789" s="59">
        <v>2.0</v>
      </c>
      <c r="K5789" s="61">
        <f t="shared" si="1"/>
        <v>1</v>
      </c>
      <c r="L5789" s="62">
        <f t="shared" si="2"/>
        <v>1</v>
      </c>
    </row>
    <row r="5790">
      <c r="A5790" s="58">
        <v>45717.0</v>
      </c>
      <c r="B5790" s="24" t="s">
        <v>6789</v>
      </c>
      <c r="C5790" s="24" t="s">
        <v>7035</v>
      </c>
      <c r="D5790" s="59">
        <v>2.0</v>
      </c>
      <c r="E5790" s="59">
        <v>2.0</v>
      </c>
      <c r="F5790" s="59">
        <v>2.0</v>
      </c>
      <c r="G5790" s="60">
        <v>1.0</v>
      </c>
      <c r="H5790" s="60">
        <v>0.0</v>
      </c>
      <c r="I5790" s="60">
        <v>198.1489425</v>
      </c>
      <c r="J5790" s="59">
        <v>5.0</v>
      </c>
      <c r="K5790" s="61">
        <f t="shared" si="1"/>
        <v>1</v>
      </c>
      <c r="L5790" s="62">
        <f t="shared" si="2"/>
        <v>2.5</v>
      </c>
    </row>
    <row r="5791">
      <c r="A5791" s="58">
        <v>45717.0</v>
      </c>
      <c r="B5791" s="24" t="s">
        <v>6789</v>
      </c>
      <c r="C5791" s="24" t="s">
        <v>7026</v>
      </c>
      <c r="D5791" s="59">
        <v>2.0</v>
      </c>
      <c r="E5791" s="59">
        <v>2.0</v>
      </c>
      <c r="F5791" s="59">
        <v>1.0</v>
      </c>
      <c r="G5791" s="60">
        <v>1.0</v>
      </c>
      <c r="H5791" s="60">
        <v>0.5</v>
      </c>
      <c r="I5791" s="60">
        <v>12.1988309999999</v>
      </c>
      <c r="J5791" s="59">
        <v>3.0</v>
      </c>
      <c r="K5791" s="61">
        <f t="shared" si="1"/>
        <v>0.5</v>
      </c>
      <c r="L5791" s="62">
        <f t="shared" si="2"/>
        <v>1.5</v>
      </c>
    </row>
    <row r="5792">
      <c r="A5792" s="58">
        <v>45717.0</v>
      </c>
      <c r="B5792" s="24" t="s">
        <v>6794</v>
      </c>
      <c r="C5792" s="24" t="s">
        <v>7043</v>
      </c>
      <c r="D5792" s="59">
        <v>2.0</v>
      </c>
      <c r="E5792" s="59">
        <v>2.0</v>
      </c>
      <c r="F5792" s="59">
        <v>2.0</v>
      </c>
      <c r="G5792" s="60">
        <v>1.0</v>
      </c>
      <c r="H5792" s="60">
        <v>0.5</v>
      </c>
      <c r="I5792" s="60">
        <v>57.8724635</v>
      </c>
      <c r="J5792" s="59">
        <v>2.0</v>
      </c>
      <c r="K5792" s="61">
        <f t="shared" si="1"/>
        <v>1</v>
      </c>
      <c r="L5792" s="62">
        <f t="shared" si="2"/>
        <v>1</v>
      </c>
    </row>
    <row r="5793">
      <c r="A5793" s="58">
        <v>45717.0</v>
      </c>
      <c r="B5793" s="24" t="s">
        <v>155</v>
      </c>
      <c r="C5793" s="24" t="s">
        <v>7022</v>
      </c>
      <c r="D5793" s="59">
        <v>2.0</v>
      </c>
      <c r="E5793" s="59">
        <v>2.0</v>
      </c>
      <c r="F5793" s="59">
        <v>2.0</v>
      </c>
      <c r="G5793" s="60">
        <v>1.0</v>
      </c>
      <c r="H5793" s="60">
        <v>1.0</v>
      </c>
      <c r="I5793" s="60">
        <v>7.5087855</v>
      </c>
      <c r="J5793" s="59">
        <v>2.0</v>
      </c>
      <c r="K5793" s="61">
        <f t="shared" si="1"/>
        <v>1</v>
      </c>
      <c r="L5793" s="62">
        <f t="shared" si="2"/>
        <v>1</v>
      </c>
    </row>
    <row r="5794">
      <c r="A5794" s="58">
        <v>45717.0</v>
      </c>
      <c r="B5794" s="24" t="s">
        <v>6789</v>
      </c>
      <c r="C5794" s="24" t="s">
        <v>7166</v>
      </c>
      <c r="D5794" s="59">
        <v>2.0</v>
      </c>
      <c r="E5794" s="59">
        <v>2.0</v>
      </c>
      <c r="F5794" s="59">
        <v>2.0</v>
      </c>
      <c r="G5794" s="60">
        <v>1.0</v>
      </c>
      <c r="H5794" s="60">
        <v>0.5</v>
      </c>
      <c r="I5794" s="60">
        <v>40.63613</v>
      </c>
      <c r="J5794" s="59">
        <v>2.0</v>
      </c>
      <c r="K5794" s="61">
        <f t="shared" si="1"/>
        <v>1</v>
      </c>
      <c r="L5794" s="62">
        <f t="shared" si="2"/>
        <v>1</v>
      </c>
    </row>
    <row r="5795">
      <c r="A5795" s="58">
        <v>45717.0</v>
      </c>
      <c r="B5795" s="24" t="s">
        <v>155</v>
      </c>
      <c r="C5795" s="24" t="s">
        <v>6809</v>
      </c>
      <c r="D5795" s="59">
        <v>2.0</v>
      </c>
      <c r="E5795" s="59">
        <v>2.0</v>
      </c>
      <c r="F5795" s="59">
        <v>1.0</v>
      </c>
      <c r="G5795" s="60">
        <v>1.0</v>
      </c>
      <c r="H5795" s="60">
        <v>1.0</v>
      </c>
      <c r="I5795" s="60">
        <v>6.4858735</v>
      </c>
      <c r="J5795" s="59">
        <v>2.0</v>
      </c>
      <c r="K5795" s="61">
        <f t="shared" si="1"/>
        <v>0.5</v>
      </c>
      <c r="L5795" s="62">
        <f t="shared" si="2"/>
        <v>1</v>
      </c>
    </row>
    <row r="5796">
      <c r="A5796" s="58">
        <v>45717.0</v>
      </c>
      <c r="B5796" s="24" t="s">
        <v>6789</v>
      </c>
      <c r="C5796" s="24" t="s">
        <v>6849</v>
      </c>
      <c r="D5796" s="59">
        <v>2.0</v>
      </c>
      <c r="E5796" s="59">
        <v>3.0</v>
      </c>
      <c r="F5796" s="59">
        <v>0.0</v>
      </c>
      <c r="G5796" s="60">
        <v>1.5</v>
      </c>
      <c r="H5796" s="60">
        <v>1.0</v>
      </c>
      <c r="I5796" s="60">
        <v>3.62554833333333</v>
      </c>
      <c r="J5796" s="59">
        <v>3.0</v>
      </c>
      <c r="K5796" s="61">
        <f t="shared" si="1"/>
        <v>0</v>
      </c>
      <c r="L5796" s="62">
        <f t="shared" si="2"/>
        <v>1</v>
      </c>
    </row>
    <row r="5797">
      <c r="A5797" s="58">
        <v>45717.0</v>
      </c>
      <c r="B5797" s="24" t="s">
        <v>6789</v>
      </c>
      <c r="C5797" s="24" t="s">
        <v>6908</v>
      </c>
      <c r="D5797" s="59">
        <v>2.0</v>
      </c>
      <c r="E5797" s="59">
        <v>3.0</v>
      </c>
      <c r="F5797" s="59">
        <v>1.0</v>
      </c>
      <c r="G5797" s="60">
        <v>1.5</v>
      </c>
      <c r="H5797" s="60">
        <v>0.0</v>
      </c>
      <c r="I5797" s="60">
        <v>491.825744</v>
      </c>
      <c r="J5797" s="59">
        <v>14.0</v>
      </c>
      <c r="K5797" s="61">
        <f t="shared" si="1"/>
        <v>0.3333333333</v>
      </c>
      <c r="L5797" s="62">
        <f t="shared" si="2"/>
        <v>4.666666667</v>
      </c>
    </row>
    <row r="5798">
      <c r="A5798" s="58">
        <v>45717.0</v>
      </c>
      <c r="B5798" s="24" t="s">
        <v>155</v>
      </c>
      <c r="C5798" s="24" t="s">
        <v>6908</v>
      </c>
      <c r="D5798" s="59">
        <v>2.0</v>
      </c>
      <c r="E5798" s="59">
        <v>2.0</v>
      </c>
      <c r="F5798" s="59">
        <v>0.0</v>
      </c>
      <c r="G5798" s="60">
        <v>1.0</v>
      </c>
      <c r="H5798" s="60">
        <v>0.5</v>
      </c>
      <c r="I5798" s="60">
        <v>1436.07289</v>
      </c>
      <c r="J5798" s="59">
        <v>3.0</v>
      </c>
      <c r="K5798" s="61">
        <f t="shared" si="1"/>
        <v>0</v>
      </c>
      <c r="L5798" s="62">
        <f t="shared" si="2"/>
        <v>1.5</v>
      </c>
    </row>
    <row r="5799">
      <c r="A5799" s="58">
        <v>45717.0</v>
      </c>
      <c r="B5799" s="24" t="s">
        <v>6787</v>
      </c>
      <c r="C5799" s="24" t="s">
        <v>7172</v>
      </c>
      <c r="D5799" s="59">
        <v>2.0</v>
      </c>
      <c r="E5799" s="59">
        <v>2.0</v>
      </c>
      <c r="F5799" s="59">
        <v>2.0</v>
      </c>
      <c r="G5799" s="60">
        <v>1.0</v>
      </c>
      <c r="H5799" s="60">
        <v>1.0</v>
      </c>
      <c r="I5799" s="60">
        <v>0.0</v>
      </c>
      <c r="J5799" s="59">
        <v>2.0</v>
      </c>
      <c r="K5799" s="61">
        <f t="shared" si="1"/>
        <v>1</v>
      </c>
      <c r="L5799" s="62">
        <f t="shared" si="2"/>
        <v>1</v>
      </c>
    </row>
    <row r="5800">
      <c r="A5800" s="58">
        <v>45717.0</v>
      </c>
      <c r="B5800" s="24" t="s">
        <v>6789</v>
      </c>
      <c r="C5800" s="24" t="s">
        <v>7172</v>
      </c>
      <c r="D5800" s="59">
        <v>2.0</v>
      </c>
      <c r="E5800" s="59">
        <v>2.0</v>
      </c>
      <c r="F5800" s="59">
        <v>0.0</v>
      </c>
      <c r="G5800" s="60">
        <v>1.0</v>
      </c>
      <c r="H5800" s="60">
        <v>0.0</v>
      </c>
      <c r="I5800" s="60">
        <v>661.2173465</v>
      </c>
      <c r="J5800" s="59">
        <v>9.0</v>
      </c>
      <c r="K5800" s="61">
        <f t="shared" si="1"/>
        <v>0</v>
      </c>
      <c r="L5800" s="62">
        <f t="shared" si="2"/>
        <v>4.5</v>
      </c>
    </row>
    <row r="5801">
      <c r="A5801" s="58">
        <v>45717.0</v>
      </c>
      <c r="B5801" s="24" t="s">
        <v>6787</v>
      </c>
      <c r="C5801" s="24" t="s">
        <v>6910</v>
      </c>
      <c r="D5801" s="59">
        <v>2.0</v>
      </c>
      <c r="E5801" s="59">
        <v>2.0</v>
      </c>
      <c r="F5801" s="59">
        <v>2.0</v>
      </c>
      <c r="G5801" s="60">
        <v>1.0</v>
      </c>
      <c r="H5801" s="60">
        <v>0.5</v>
      </c>
      <c r="I5801" s="60">
        <v>327.285109</v>
      </c>
      <c r="J5801" s="59">
        <v>2.0</v>
      </c>
      <c r="K5801" s="61">
        <f t="shared" si="1"/>
        <v>1</v>
      </c>
      <c r="L5801" s="62">
        <f t="shared" si="2"/>
        <v>1</v>
      </c>
    </row>
    <row r="5802">
      <c r="A5802" s="58">
        <v>45717.0</v>
      </c>
      <c r="B5802" s="24" t="s">
        <v>6787</v>
      </c>
      <c r="C5802" s="24" t="s">
        <v>7173</v>
      </c>
      <c r="D5802" s="59">
        <v>2.0</v>
      </c>
      <c r="E5802" s="59">
        <v>2.0</v>
      </c>
      <c r="F5802" s="59">
        <v>2.0</v>
      </c>
      <c r="G5802" s="60">
        <v>1.0</v>
      </c>
      <c r="H5802" s="60">
        <v>1.0</v>
      </c>
      <c r="I5802" s="60">
        <v>0.0</v>
      </c>
      <c r="J5802" s="59">
        <v>2.0</v>
      </c>
      <c r="K5802" s="61">
        <f t="shared" si="1"/>
        <v>1</v>
      </c>
      <c r="L5802" s="62">
        <f t="shared" si="2"/>
        <v>1</v>
      </c>
    </row>
    <row r="5803">
      <c r="A5803" s="58">
        <v>45717.0</v>
      </c>
      <c r="B5803" s="24" t="s">
        <v>6787</v>
      </c>
      <c r="C5803" s="24" t="s">
        <v>7023</v>
      </c>
      <c r="D5803" s="59">
        <v>2.0</v>
      </c>
      <c r="E5803" s="59">
        <v>2.0</v>
      </c>
      <c r="F5803" s="59">
        <v>2.0</v>
      </c>
      <c r="G5803" s="60">
        <v>1.0</v>
      </c>
      <c r="H5803" s="60">
        <v>1.0</v>
      </c>
      <c r="I5803" s="60">
        <v>0.868525</v>
      </c>
      <c r="J5803" s="59">
        <v>2.0</v>
      </c>
      <c r="K5803" s="61">
        <f t="shared" si="1"/>
        <v>1</v>
      </c>
      <c r="L5803" s="62">
        <f t="shared" si="2"/>
        <v>1</v>
      </c>
    </row>
    <row r="5804">
      <c r="A5804" s="58">
        <v>45717.0</v>
      </c>
      <c r="B5804" s="24" t="s">
        <v>155</v>
      </c>
      <c r="C5804" s="24" t="s">
        <v>6912</v>
      </c>
      <c r="D5804" s="59">
        <v>2.0</v>
      </c>
      <c r="E5804" s="59">
        <v>3.0</v>
      </c>
      <c r="F5804" s="59">
        <v>0.0</v>
      </c>
      <c r="G5804" s="60">
        <v>3.0</v>
      </c>
      <c r="H5804" s="60">
        <v>1.0</v>
      </c>
      <c r="I5804" s="60">
        <v>0.0</v>
      </c>
      <c r="J5804" s="59">
        <v>3.0</v>
      </c>
      <c r="K5804" s="61">
        <f t="shared" si="1"/>
        <v>0</v>
      </c>
      <c r="L5804" s="62">
        <f t="shared" si="2"/>
        <v>1</v>
      </c>
    </row>
    <row r="5805">
      <c r="A5805" s="58">
        <v>45717.0</v>
      </c>
      <c r="B5805" s="24" t="s">
        <v>6787</v>
      </c>
      <c r="C5805" s="24" t="s">
        <v>7448</v>
      </c>
      <c r="D5805" s="59">
        <v>2.0</v>
      </c>
      <c r="E5805" s="59">
        <v>2.0</v>
      </c>
      <c r="F5805" s="59">
        <v>2.0</v>
      </c>
      <c r="G5805" s="60">
        <v>1.0</v>
      </c>
      <c r="H5805" s="60">
        <v>1.0</v>
      </c>
      <c r="I5805" s="60">
        <v>3.7593065</v>
      </c>
      <c r="J5805" s="59">
        <v>2.0</v>
      </c>
      <c r="K5805" s="61">
        <f t="shared" si="1"/>
        <v>1</v>
      </c>
      <c r="L5805" s="62">
        <f t="shared" si="2"/>
        <v>1</v>
      </c>
    </row>
    <row r="5806">
      <c r="A5806" s="58">
        <v>45717.0</v>
      </c>
      <c r="B5806" s="24" t="s">
        <v>155</v>
      </c>
      <c r="C5806" s="24" t="s">
        <v>7426</v>
      </c>
      <c r="D5806" s="59">
        <v>2.0</v>
      </c>
      <c r="E5806" s="59">
        <v>3.0</v>
      </c>
      <c r="F5806" s="59">
        <v>0.0</v>
      </c>
      <c r="G5806" s="60">
        <v>1.5</v>
      </c>
      <c r="H5806" s="60">
        <v>0.333333333333333</v>
      </c>
      <c r="I5806" s="60">
        <v>414.463246666666</v>
      </c>
      <c r="J5806" s="59">
        <v>4.0</v>
      </c>
      <c r="K5806" s="61">
        <f t="shared" si="1"/>
        <v>0</v>
      </c>
      <c r="L5806" s="62">
        <f t="shared" si="2"/>
        <v>1.333333333</v>
      </c>
    </row>
    <row r="5807">
      <c r="A5807" s="58">
        <v>45717.0</v>
      </c>
      <c r="B5807" s="24" t="s">
        <v>6789</v>
      </c>
      <c r="C5807" s="24" t="s">
        <v>6852</v>
      </c>
      <c r="D5807" s="59">
        <v>2.0</v>
      </c>
      <c r="E5807" s="59">
        <v>2.0</v>
      </c>
      <c r="F5807" s="59">
        <v>0.0</v>
      </c>
      <c r="G5807" s="60">
        <v>1.0</v>
      </c>
      <c r="H5807" s="60">
        <v>0.5</v>
      </c>
      <c r="I5807" s="60">
        <v>105.9657085</v>
      </c>
      <c r="J5807" s="59">
        <v>3.0</v>
      </c>
      <c r="K5807" s="61">
        <f t="shared" si="1"/>
        <v>0</v>
      </c>
      <c r="L5807" s="62">
        <f t="shared" si="2"/>
        <v>1.5</v>
      </c>
    </row>
    <row r="5808">
      <c r="A5808" s="58">
        <v>45717.0</v>
      </c>
      <c r="B5808" s="24" t="s">
        <v>6787</v>
      </c>
      <c r="C5808" s="24" t="s">
        <v>6853</v>
      </c>
      <c r="D5808" s="59">
        <v>2.0</v>
      </c>
      <c r="E5808" s="59">
        <v>3.0</v>
      </c>
      <c r="F5808" s="59">
        <v>1.0</v>
      </c>
      <c r="G5808" s="60">
        <v>1.5</v>
      </c>
      <c r="H5808" s="60">
        <v>0.333333333333333</v>
      </c>
      <c r="I5808" s="60">
        <v>720.635649333333</v>
      </c>
      <c r="J5808" s="59">
        <v>6.0</v>
      </c>
      <c r="K5808" s="61">
        <f t="shared" si="1"/>
        <v>0.3333333333</v>
      </c>
      <c r="L5808" s="62">
        <f t="shared" si="2"/>
        <v>2</v>
      </c>
    </row>
    <row r="5809">
      <c r="A5809" s="58">
        <v>45717.0</v>
      </c>
      <c r="B5809" s="24" t="s">
        <v>6789</v>
      </c>
      <c r="C5809" s="24" t="s">
        <v>6853</v>
      </c>
      <c r="D5809" s="59">
        <v>2.0</v>
      </c>
      <c r="E5809" s="59">
        <v>2.0</v>
      </c>
      <c r="F5809" s="59">
        <v>2.0</v>
      </c>
      <c r="G5809" s="60">
        <v>1.0</v>
      </c>
      <c r="H5809" s="60">
        <v>0.0</v>
      </c>
      <c r="I5809" s="60">
        <v>220.9547145</v>
      </c>
      <c r="J5809" s="59">
        <v>11.0</v>
      </c>
      <c r="K5809" s="61">
        <f t="shared" si="1"/>
        <v>1</v>
      </c>
      <c r="L5809" s="62">
        <f t="shared" si="2"/>
        <v>5.5</v>
      </c>
    </row>
    <row r="5810">
      <c r="A5810" s="58">
        <v>45717.0</v>
      </c>
      <c r="B5810" s="24" t="s">
        <v>6789</v>
      </c>
      <c r="C5810" s="24" t="s">
        <v>7047</v>
      </c>
      <c r="D5810" s="59">
        <v>2.0</v>
      </c>
      <c r="E5810" s="59">
        <v>2.0</v>
      </c>
      <c r="F5810" s="59">
        <v>2.0</v>
      </c>
      <c r="G5810" s="60">
        <v>1.0</v>
      </c>
      <c r="H5810" s="60">
        <v>0.5</v>
      </c>
      <c r="I5810" s="60">
        <v>33.692804</v>
      </c>
      <c r="J5810" s="59">
        <v>4.0</v>
      </c>
      <c r="K5810" s="61">
        <f t="shared" si="1"/>
        <v>1</v>
      </c>
      <c r="L5810" s="62">
        <f t="shared" si="2"/>
        <v>2</v>
      </c>
    </row>
    <row r="5811">
      <c r="A5811" s="58">
        <v>45717.0</v>
      </c>
      <c r="B5811" s="24" t="s">
        <v>6787</v>
      </c>
      <c r="C5811" s="24" t="s">
        <v>6931</v>
      </c>
      <c r="D5811" s="59">
        <v>2.0</v>
      </c>
      <c r="E5811" s="59">
        <v>2.0</v>
      </c>
      <c r="F5811" s="59">
        <v>2.0</v>
      </c>
      <c r="G5811" s="60">
        <v>1.0</v>
      </c>
      <c r="H5811" s="60">
        <v>1.0</v>
      </c>
      <c r="I5811" s="60">
        <v>0.0</v>
      </c>
      <c r="J5811" s="59">
        <v>2.0</v>
      </c>
      <c r="K5811" s="61">
        <f t="shared" si="1"/>
        <v>1</v>
      </c>
      <c r="L5811" s="62">
        <f t="shared" si="2"/>
        <v>1</v>
      </c>
    </row>
    <row r="5812">
      <c r="A5812" s="58">
        <v>45717.0</v>
      </c>
      <c r="B5812" s="24" t="s">
        <v>6789</v>
      </c>
      <c r="C5812" s="24" t="s">
        <v>6962</v>
      </c>
      <c r="D5812" s="59">
        <v>2.0</v>
      </c>
      <c r="E5812" s="59">
        <v>2.0</v>
      </c>
      <c r="F5812" s="59">
        <v>0.0</v>
      </c>
      <c r="G5812" s="60">
        <v>1.0</v>
      </c>
      <c r="H5812" s="60">
        <v>0.0</v>
      </c>
      <c r="I5812" s="60">
        <v>22.0118965</v>
      </c>
      <c r="J5812" s="59">
        <v>4.0</v>
      </c>
      <c r="K5812" s="61">
        <f t="shared" si="1"/>
        <v>0</v>
      </c>
      <c r="L5812" s="62">
        <f t="shared" si="2"/>
        <v>2</v>
      </c>
    </row>
    <row r="5813">
      <c r="A5813" s="58">
        <v>45717.0</v>
      </c>
      <c r="B5813" s="24" t="s">
        <v>6787</v>
      </c>
      <c r="C5813" s="24" t="s">
        <v>6854</v>
      </c>
      <c r="D5813" s="59">
        <v>2.0</v>
      </c>
      <c r="E5813" s="59">
        <v>2.0</v>
      </c>
      <c r="F5813" s="59">
        <v>0.0</v>
      </c>
      <c r="G5813" s="60">
        <v>1.0</v>
      </c>
      <c r="H5813" s="60">
        <v>0.0</v>
      </c>
      <c r="I5813" s="60">
        <v>938.7362635</v>
      </c>
      <c r="J5813" s="59">
        <v>14.0</v>
      </c>
      <c r="K5813" s="61">
        <f t="shared" si="1"/>
        <v>0</v>
      </c>
      <c r="L5813" s="62">
        <f t="shared" si="2"/>
        <v>7</v>
      </c>
    </row>
    <row r="5814">
      <c r="A5814" s="58">
        <v>45717.0</v>
      </c>
      <c r="B5814" s="24" t="s">
        <v>6787</v>
      </c>
      <c r="C5814" s="24" t="s">
        <v>6963</v>
      </c>
      <c r="D5814" s="59">
        <v>2.0</v>
      </c>
      <c r="E5814" s="59">
        <v>2.0</v>
      </c>
      <c r="F5814" s="59">
        <v>2.0</v>
      </c>
      <c r="G5814" s="60">
        <v>1.0</v>
      </c>
      <c r="H5814" s="60">
        <v>0.0</v>
      </c>
      <c r="I5814" s="60">
        <v>157.6516265</v>
      </c>
      <c r="J5814" s="59">
        <v>2.0</v>
      </c>
      <c r="K5814" s="61">
        <f t="shared" si="1"/>
        <v>1</v>
      </c>
      <c r="L5814" s="62">
        <f t="shared" si="2"/>
        <v>1</v>
      </c>
    </row>
    <row r="5815">
      <c r="A5815" s="58">
        <v>45717.0</v>
      </c>
      <c r="B5815" s="24" t="s">
        <v>6789</v>
      </c>
      <c r="C5815" s="24" t="s">
        <v>6963</v>
      </c>
      <c r="D5815" s="59">
        <v>2.0</v>
      </c>
      <c r="E5815" s="59">
        <v>2.0</v>
      </c>
      <c r="F5815" s="59">
        <v>0.0</v>
      </c>
      <c r="G5815" s="60">
        <v>1.0</v>
      </c>
      <c r="H5815" s="60">
        <v>0.0</v>
      </c>
      <c r="I5815" s="60">
        <v>1296.6314415</v>
      </c>
      <c r="J5815" s="59">
        <v>15.0</v>
      </c>
      <c r="K5815" s="61">
        <f t="shared" si="1"/>
        <v>0</v>
      </c>
      <c r="L5815" s="62">
        <f t="shared" si="2"/>
        <v>7.5</v>
      </c>
    </row>
    <row r="5816">
      <c r="A5816" s="58">
        <v>45717.0</v>
      </c>
      <c r="B5816" s="24" t="s">
        <v>155</v>
      </c>
      <c r="C5816" s="24" t="s">
        <v>6802</v>
      </c>
      <c r="D5816" s="59">
        <v>2.0</v>
      </c>
      <c r="E5816" s="59">
        <v>2.0</v>
      </c>
      <c r="F5816" s="59">
        <v>1.0</v>
      </c>
      <c r="G5816" s="60">
        <v>1.0</v>
      </c>
      <c r="H5816" s="60">
        <v>1.0</v>
      </c>
      <c r="I5816" s="60">
        <v>1.1242815</v>
      </c>
      <c r="J5816" s="59">
        <v>2.0</v>
      </c>
      <c r="K5816" s="61">
        <f t="shared" si="1"/>
        <v>0.5</v>
      </c>
      <c r="L5816" s="62">
        <f t="shared" si="2"/>
        <v>1</v>
      </c>
    </row>
    <row r="5817">
      <c r="A5817" s="58">
        <v>45717.0</v>
      </c>
      <c r="B5817" s="24" t="s">
        <v>7100</v>
      </c>
      <c r="C5817" s="24" t="s">
        <v>6792</v>
      </c>
      <c r="D5817" s="59">
        <v>1.0</v>
      </c>
      <c r="E5817" s="59">
        <v>1.0</v>
      </c>
      <c r="F5817" s="59">
        <v>0.0</v>
      </c>
      <c r="G5817" s="60">
        <v>1.0</v>
      </c>
      <c r="H5817" s="60">
        <v>1.0</v>
      </c>
      <c r="I5817" s="60">
        <v>0.0</v>
      </c>
      <c r="J5817" s="59">
        <v>0.0</v>
      </c>
      <c r="K5817" s="61">
        <f t="shared" si="1"/>
        <v>0</v>
      </c>
      <c r="L5817" s="62">
        <f t="shared" si="2"/>
        <v>0</v>
      </c>
    </row>
    <row r="5818">
      <c r="A5818" s="58">
        <v>45717.0</v>
      </c>
      <c r="B5818" s="24" t="s">
        <v>6787</v>
      </c>
      <c r="C5818" s="24" t="s">
        <v>7473</v>
      </c>
      <c r="D5818" s="59">
        <v>1.0</v>
      </c>
      <c r="E5818" s="59">
        <v>1.0</v>
      </c>
      <c r="F5818" s="59">
        <v>1.0</v>
      </c>
      <c r="G5818" s="60">
        <v>1.0</v>
      </c>
      <c r="H5818" s="60">
        <v>1.0</v>
      </c>
      <c r="I5818" s="60">
        <v>0.0</v>
      </c>
      <c r="J5818" s="59">
        <v>1.0</v>
      </c>
      <c r="K5818" s="61">
        <f t="shared" si="1"/>
        <v>1</v>
      </c>
      <c r="L5818" s="62">
        <f t="shared" si="2"/>
        <v>1</v>
      </c>
    </row>
    <row r="5819">
      <c r="A5819" s="58">
        <v>45717.0</v>
      </c>
      <c r="B5819" s="24" t="s">
        <v>6787</v>
      </c>
      <c r="C5819" s="24" t="s">
        <v>7474</v>
      </c>
      <c r="D5819" s="59">
        <v>1.0</v>
      </c>
      <c r="E5819" s="59">
        <v>1.0</v>
      </c>
      <c r="F5819" s="59">
        <v>1.0</v>
      </c>
      <c r="G5819" s="60">
        <v>1.0</v>
      </c>
      <c r="H5819" s="60">
        <v>1.0</v>
      </c>
      <c r="I5819" s="60">
        <v>0.0</v>
      </c>
      <c r="J5819" s="59">
        <v>1.0</v>
      </c>
      <c r="K5819" s="61">
        <f t="shared" si="1"/>
        <v>1</v>
      </c>
      <c r="L5819" s="62">
        <f t="shared" si="2"/>
        <v>1</v>
      </c>
    </row>
    <row r="5820">
      <c r="A5820" s="58">
        <v>45717.0</v>
      </c>
      <c r="B5820" s="24" t="s">
        <v>6787</v>
      </c>
      <c r="C5820" s="24" t="s">
        <v>7475</v>
      </c>
      <c r="D5820" s="59">
        <v>1.0</v>
      </c>
      <c r="E5820" s="59">
        <v>1.0</v>
      </c>
      <c r="F5820" s="59">
        <v>1.0</v>
      </c>
      <c r="G5820" s="60">
        <v>1.0</v>
      </c>
      <c r="H5820" s="60">
        <v>1.0</v>
      </c>
      <c r="I5820" s="60">
        <v>0.0</v>
      </c>
      <c r="J5820" s="59">
        <v>1.0</v>
      </c>
      <c r="K5820" s="61">
        <f t="shared" si="1"/>
        <v>1</v>
      </c>
      <c r="L5820" s="62">
        <f t="shared" si="2"/>
        <v>1</v>
      </c>
    </row>
    <row r="5821">
      <c r="A5821" s="58">
        <v>45717.0</v>
      </c>
      <c r="B5821" s="24" t="s">
        <v>6787</v>
      </c>
      <c r="C5821" s="24" t="s">
        <v>7476</v>
      </c>
      <c r="D5821" s="59">
        <v>1.0</v>
      </c>
      <c r="E5821" s="59">
        <v>1.0</v>
      </c>
      <c r="F5821" s="59">
        <v>1.0</v>
      </c>
      <c r="G5821" s="60">
        <v>1.0</v>
      </c>
      <c r="H5821" s="60">
        <v>1.0</v>
      </c>
      <c r="I5821" s="60">
        <v>0.0</v>
      </c>
      <c r="J5821" s="59">
        <v>1.0</v>
      </c>
      <c r="K5821" s="61">
        <f t="shared" si="1"/>
        <v>1</v>
      </c>
      <c r="L5821" s="62">
        <f t="shared" si="2"/>
        <v>1</v>
      </c>
    </row>
    <row r="5822">
      <c r="A5822" s="58">
        <v>45717.0</v>
      </c>
      <c r="B5822" s="24" t="s">
        <v>155</v>
      </c>
      <c r="C5822" s="24" t="s">
        <v>6817</v>
      </c>
      <c r="D5822" s="59">
        <v>1.0</v>
      </c>
      <c r="E5822" s="59">
        <v>2.0</v>
      </c>
      <c r="F5822" s="59">
        <v>0.0</v>
      </c>
      <c r="G5822" s="60">
        <v>2.0</v>
      </c>
      <c r="H5822" s="60">
        <v>0.5</v>
      </c>
      <c r="I5822" s="60">
        <v>896.263265999999</v>
      </c>
      <c r="J5822" s="59">
        <v>6.0</v>
      </c>
      <c r="K5822" s="61">
        <f t="shared" si="1"/>
        <v>0</v>
      </c>
      <c r="L5822" s="62">
        <f t="shared" si="2"/>
        <v>3</v>
      </c>
    </row>
    <row r="5823">
      <c r="A5823" s="58">
        <v>45717.0</v>
      </c>
      <c r="B5823" s="24" t="s">
        <v>6789</v>
      </c>
      <c r="C5823" s="24" t="s">
        <v>7055</v>
      </c>
      <c r="D5823" s="59">
        <v>1.0</v>
      </c>
      <c r="E5823" s="59">
        <v>1.0</v>
      </c>
      <c r="F5823" s="59">
        <v>1.0</v>
      </c>
      <c r="G5823" s="60">
        <v>1.0</v>
      </c>
      <c r="H5823" s="60">
        <v>0.0</v>
      </c>
      <c r="I5823" s="60">
        <v>478.918611</v>
      </c>
      <c r="J5823" s="59">
        <v>1.0</v>
      </c>
      <c r="K5823" s="61">
        <f t="shared" si="1"/>
        <v>1</v>
      </c>
      <c r="L5823" s="62">
        <f t="shared" si="2"/>
        <v>1</v>
      </c>
    </row>
    <row r="5824">
      <c r="A5824" s="58">
        <v>45717.0</v>
      </c>
      <c r="B5824" s="24" t="s">
        <v>155</v>
      </c>
      <c r="C5824" s="24" t="s">
        <v>7055</v>
      </c>
      <c r="D5824" s="59">
        <v>1.0</v>
      </c>
      <c r="E5824" s="59">
        <v>1.0</v>
      </c>
      <c r="F5824" s="59">
        <v>1.0</v>
      </c>
      <c r="G5824" s="60">
        <v>1.0</v>
      </c>
      <c r="H5824" s="60">
        <v>0.0</v>
      </c>
      <c r="I5824" s="60">
        <v>347.508557</v>
      </c>
      <c r="J5824" s="59">
        <v>2.0</v>
      </c>
      <c r="K5824" s="61">
        <f t="shared" si="1"/>
        <v>1</v>
      </c>
      <c r="L5824" s="62">
        <f t="shared" si="2"/>
        <v>2</v>
      </c>
    </row>
    <row r="5825">
      <c r="A5825" s="58">
        <v>45717.0</v>
      </c>
      <c r="B5825" s="24" t="s">
        <v>3216</v>
      </c>
      <c r="C5825" s="24" t="s">
        <v>6953</v>
      </c>
      <c r="D5825" s="59">
        <v>1.0</v>
      </c>
      <c r="E5825" s="59">
        <v>1.0</v>
      </c>
      <c r="F5825" s="59">
        <v>0.0</v>
      </c>
      <c r="G5825" s="60">
        <v>1.0</v>
      </c>
      <c r="H5825" s="60">
        <v>1.0</v>
      </c>
      <c r="I5825" s="60">
        <v>0.0</v>
      </c>
      <c r="J5825" s="59">
        <v>1.0</v>
      </c>
      <c r="K5825" s="61">
        <f t="shared" si="1"/>
        <v>0</v>
      </c>
      <c r="L5825" s="62">
        <f t="shared" si="2"/>
        <v>1</v>
      </c>
    </row>
    <row r="5826">
      <c r="A5826" s="58">
        <v>45717.0</v>
      </c>
      <c r="B5826" s="24" t="s">
        <v>6789</v>
      </c>
      <c r="C5826" s="24" t="s">
        <v>7056</v>
      </c>
      <c r="D5826" s="59">
        <v>1.0</v>
      </c>
      <c r="E5826" s="59">
        <v>1.0</v>
      </c>
      <c r="F5826" s="59">
        <v>0.0</v>
      </c>
      <c r="G5826" s="60">
        <v>1.0</v>
      </c>
      <c r="H5826" s="60">
        <v>0.0</v>
      </c>
      <c r="I5826" s="60">
        <v>66.375853</v>
      </c>
      <c r="J5826" s="59">
        <v>1.0</v>
      </c>
      <c r="K5826" s="61">
        <f t="shared" si="1"/>
        <v>0</v>
      </c>
      <c r="L5826" s="62">
        <f t="shared" si="2"/>
        <v>1</v>
      </c>
    </row>
    <row r="5827">
      <c r="A5827" s="58">
        <v>45717.0</v>
      </c>
      <c r="B5827" s="24" t="s">
        <v>6789</v>
      </c>
      <c r="C5827" s="24" t="s">
        <v>6983</v>
      </c>
      <c r="D5827" s="59">
        <v>1.0</v>
      </c>
      <c r="E5827" s="59">
        <v>1.0</v>
      </c>
      <c r="F5827" s="59">
        <v>0.0</v>
      </c>
      <c r="G5827" s="60">
        <v>1.0</v>
      </c>
      <c r="H5827" s="60">
        <v>1.0</v>
      </c>
      <c r="I5827" s="60">
        <v>0.0</v>
      </c>
      <c r="J5827" s="59">
        <v>1.0</v>
      </c>
      <c r="K5827" s="61">
        <f t="shared" si="1"/>
        <v>0</v>
      </c>
      <c r="L5827" s="62">
        <f t="shared" si="2"/>
        <v>1</v>
      </c>
    </row>
    <row r="5828">
      <c r="A5828" s="58">
        <v>45717.0</v>
      </c>
      <c r="B5828" s="24" t="s">
        <v>6790</v>
      </c>
      <c r="C5828" s="24" t="s">
        <v>6804</v>
      </c>
      <c r="D5828" s="59">
        <v>1.0</v>
      </c>
      <c r="E5828" s="59">
        <v>1.0</v>
      </c>
      <c r="F5828" s="59">
        <v>1.0</v>
      </c>
      <c r="G5828" s="60">
        <v>1.0</v>
      </c>
      <c r="H5828" s="60">
        <v>1.0</v>
      </c>
      <c r="I5828" s="60">
        <v>0.0</v>
      </c>
      <c r="J5828" s="59">
        <v>1.0</v>
      </c>
      <c r="K5828" s="61">
        <f t="shared" si="1"/>
        <v>1</v>
      </c>
      <c r="L5828" s="62">
        <f t="shared" si="2"/>
        <v>1</v>
      </c>
    </row>
    <row r="5829">
      <c r="A5829" s="58">
        <v>45717.0</v>
      </c>
      <c r="B5829" s="24" t="s">
        <v>6789</v>
      </c>
      <c r="C5829" s="24" t="s">
        <v>7477</v>
      </c>
      <c r="D5829" s="59">
        <v>1.0</v>
      </c>
      <c r="E5829" s="59">
        <v>1.0</v>
      </c>
      <c r="F5829" s="59">
        <v>0.0</v>
      </c>
      <c r="G5829" s="60">
        <v>1.0</v>
      </c>
      <c r="H5829" s="60">
        <v>0.0</v>
      </c>
      <c r="I5829" s="60">
        <v>28.187065</v>
      </c>
      <c r="J5829" s="59">
        <v>1.0</v>
      </c>
      <c r="K5829" s="61">
        <f t="shared" si="1"/>
        <v>0</v>
      </c>
      <c r="L5829" s="62">
        <f t="shared" si="2"/>
        <v>1</v>
      </c>
    </row>
    <row r="5830">
      <c r="A5830" s="58">
        <v>45717.0</v>
      </c>
      <c r="B5830" s="24" t="s">
        <v>6789</v>
      </c>
      <c r="C5830" s="24" t="s">
        <v>6955</v>
      </c>
      <c r="D5830" s="59">
        <v>1.0</v>
      </c>
      <c r="E5830" s="59">
        <v>1.0</v>
      </c>
      <c r="F5830" s="59">
        <v>1.0</v>
      </c>
      <c r="G5830" s="60">
        <v>1.0</v>
      </c>
      <c r="H5830" s="60">
        <v>0.0</v>
      </c>
      <c r="I5830" s="60">
        <v>35.048123</v>
      </c>
      <c r="J5830" s="59">
        <v>3.0</v>
      </c>
      <c r="K5830" s="61">
        <f t="shared" si="1"/>
        <v>1</v>
      </c>
      <c r="L5830" s="62">
        <f t="shared" si="2"/>
        <v>3</v>
      </c>
    </row>
    <row r="5831">
      <c r="A5831" s="58">
        <v>45717.0</v>
      </c>
      <c r="B5831" s="24" t="s">
        <v>6787</v>
      </c>
      <c r="C5831" s="24" t="s">
        <v>6956</v>
      </c>
      <c r="D5831" s="59">
        <v>1.0</v>
      </c>
      <c r="E5831" s="59">
        <v>1.0</v>
      </c>
      <c r="F5831" s="59">
        <v>1.0</v>
      </c>
      <c r="G5831" s="60">
        <v>1.0</v>
      </c>
      <c r="H5831" s="60">
        <v>1.0</v>
      </c>
      <c r="I5831" s="60">
        <v>0.0</v>
      </c>
      <c r="J5831" s="59">
        <v>1.0</v>
      </c>
      <c r="K5831" s="61">
        <f t="shared" si="1"/>
        <v>1</v>
      </c>
      <c r="L5831" s="62">
        <f t="shared" si="2"/>
        <v>1</v>
      </c>
    </row>
    <row r="5832">
      <c r="A5832" s="58">
        <v>45717.0</v>
      </c>
      <c r="B5832" s="24" t="s">
        <v>6787</v>
      </c>
      <c r="C5832" s="24" t="s">
        <v>7057</v>
      </c>
      <c r="D5832" s="59">
        <v>1.0</v>
      </c>
      <c r="E5832" s="59">
        <v>1.0</v>
      </c>
      <c r="F5832" s="59">
        <v>1.0</v>
      </c>
      <c r="G5832" s="60">
        <v>1.0</v>
      </c>
      <c r="H5832" s="60">
        <v>1.0</v>
      </c>
      <c r="I5832" s="60">
        <v>0.0</v>
      </c>
      <c r="J5832" s="59">
        <v>1.0</v>
      </c>
      <c r="K5832" s="61">
        <f t="shared" si="1"/>
        <v>1</v>
      </c>
      <c r="L5832" s="62">
        <f t="shared" si="2"/>
        <v>1</v>
      </c>
    </row>
    <row r="5833">
      <c r="A5833" s="58">
        <v>45717.0</v>
      </c>
      <c r="B5833" s="24" t="s">
        <v>6789</v>
      </c>
      <c r="C5833" s="24" t="s">
        <v>7057</v>
      </c>
      <c r="D5833" s="59">
        <v>1.0</v>
      </c>
      <c r="E5833" s="59">
        <v>1.0</v>
      </c>
      <c r="F5833" s="59">
        <v>0.0</v>
      </c>
      <c r="G5833" s="60">
        <v>1.0</v>
      </c>
      <c r="H5833" s="60">
        <v>1.0</v>
      </c>
      <c r="I5833" s="60">
        <v>0.0</v>
      </c>
      <c r="J5833" s="59">
        <v>1.0</v>
      </c>
      <c r="K5833" s="61">
        <f t="shared" si="1"/>
        <v>0</v>
      </c>
      <c r="L5833" s="62">
        <f t="shared" si="2"/>
        <v>1</v>
      </c>
    </row>
    <row r="5834">
      <c r="A5834" s="58">
        <v>45717.0</v>
      </c>
      <c r="B5834" s="24" t="s">
        <v>6787</v>
      </c>
      <c r="C5834" s="24" t="s">
        <v>7058</v>
      </c>
      <c r="D5834" s="59">
        <v>1.0</v>
      </c>
      <c r="E5834" s="59">
        <v>1.0</v>
      </c>
      <c r="F5834" s="59">
        <v>1.0</v>
      </c>
      <c r="G5834" s="60">
        <v>1.0</v>
      </c>
      <c r="H5834" s="60">
        <v>1.0</v>
      </c>
      <c r="I5834" s="60">
        <v>0.0</v>
      </c>
      <c r="J5834" s="59">
        <v>1.0</v>
      </c>
      <c r="K5834" s="61">
        <f t="shared" si="1"/>
        <v>1</v>
      </c>
      <c r="L5834" s="62">
        <f t="shared" si="2"/>
        <v>1</v>
      </c>
    </row>
    <row r="5835">
      <c r="A5835" s="58">
        <v>45717.0</v>
      </c>
      <c r="B5835" s="24" t="s">
        <v>6787</v>
      </c>
      <c r="C5835" s="24" t="s">
        <v>7478</v>
      </c>
      <c r="D5835" s="59">
        <v>1.0</v>
      </c>
      <c r="E5835" s="59">
        <v>1.0</v>
      </c>
      <c r="F5835" s="59">
        <v>1.0</v>
      </c>
      <c r="G5835" s="60">
        <v>1.0</v>
      </c>
      <c r="H5835" s="60">
        <v>0.0</v>
      </c>
      <c r="I5835" s="60">
        <v>27.242691</v>
      </c>
      <c r="J5835" s="59">
        <v>1.0</v>
      </c>
      <c r="K5835" s="61">
        <f t="shared" si="1"/>
        <v>1</v>
      </c>
      <c r="L5835" s="62">
        <f t="shared" si="2"/>
        <v>1</v>
      </c>
    </row>
    <row r="5836">
      <c r="A5836" s="58">
        <v>45717.0</v>
      </c>
      <c r="B5836" s="24" t="s">
        <v>6789</v>
      </c>
      <c r="C5836" s="24" t="s">
        <v>7059</v>
      </c>
      <c r="D5836" s="59">
        <v>1.0</v>
      </c>
      <c r="E5836" s="59">
        <v>1.0</v>
      </c>
      <c r="F5836" s="59">
        <v>1.0</v>
      </c>
      <c r="G5836" s="60">
        <v>1.0</v>
      </c>
      <c r="H5836" s="60">
        <v>0.0</v>
      </c>
      <c r="I5836" s="60">
        <v>46.07341</v>
      </c>
      <c r="J5836" s="59">
        <v>1.0</v>
      </c>
      <c r="K5836" s="61">
        <f t="shared" si="1"/>
        <v>1</v>
      </c>
      <c r="L5836" s="62">
        <f t="shared" si="2"/>
        <v>1</v>
      </c>
    </row>
    <row r="5837">
      <c r="A5837" s="58">
        <v>45717.0</v>
      </c>
      <c r="B5837" s="24" t="s">
        <v>6787</v>
      </c>
      <c r="C5837" s="24" t="s">
        <v>6985</v>
      </c>
      <c r="D5837" s="59">
        <v>1.0</v>
      </c>
      <c r="E5837" s="59">
        <v>1.0</v>
      </c>
      <c r="F5837" s="59">
        <v>1.0</v>
      </c>
      <c r="G5837" s="60">
        <v>1.0</v>
      </c>
      <c r="H5837" s="60">
        <v>1.0</v>
      </c>
      <c r="I5837" s="60">
        <v>0.0</v>
      </c>
      <c r="J5837" s="59">
        <v>1.0</v>
      </c>
      <c r="K5837" s="61">
        <f t="shared" si="1"/>
        <v>1</v>
      </c>
      <c r="L5837" s="62">
        <f t="shared" si="2"/>
        <v>1</v>
      </c>
    </row>
    <row r="5838">
      <c r="A5838" s="58">
        <v>45717.0</v>
      </c>
      <c r="B5838" s="24" t="s">
        <v>6789</v>
      </c>
      <c r="C5838" s="24" t="s">
        <v>6985</v>
      </c>
      <c r="D5838" s="59">
        <v>1.0</v>
      </c>
      <c r="E5838" s="59">
        <v>1.0</v>
      </c>
      <c r="F5838" s="59">
        <v>1.0</v>
      </c>
      <c r="G5838" s="60">
        <v>1.0</v>
      </c>
      <c r="H5838" s="60">
        <v>1.0</v>
      </c>
      <c r="I5838" s="60">
        <v>0.0</v>
      </c>
      <c r="J5838" s="59">
        <v>1.0</v>
      </c>
      <c r="K5838" s="61">
        <f t="shared" si="1"/>
        <v>1</v>
      </c>
      <c r="L5838" s="62">
        <f t="shared" si="2"/>
        <v>1</v>
      </c>
    </row>
    <row r="5839">
      <c r="A5839" s="58">
        <v>45717.0</v>
      </c>
      <c r="B5839" s="24" t="s">
        <v>6787</v>
      </c>
      <c r="C5839" s="24" t="s">
        <v>6833</v>
      </c>
      <c r="D5839" s="59">
        <v>1.0</v>
      </c>
      <c r="E5839" s="59">
        <v>1.0</v>
      </c>
      <c r="F5839" s="59">
        <v>1.0</v>
      </c>
      <c r="G5839" s="60">
        <v>1.0</v>
      </c>
      <c r="H5839" s="60">
        <v>1.0</v>
      </c>
      <c r="I5839" s="60">
        <v>0.0</v>
      </c>
      <c r="J5839" s="59">
        <v>1.0</v>
      </c>
      <c r="K5839" s="61">
        <f t="shared" si="1"/>
        <v>1</v>
      </c>
      <c r="L5839" s="62">
        <f t="shared" si="2"/>
        <v>1</v>
      </c>
    </row>
    <row r="5840">
      <c r="A5840" s="58">
        <v>45717.0</v>
      </c>
      <c r="B5840" s="24" t="s">
        <v>155</v>
      </c>
      <c r="C5840" s="24" t="s">
        <v>6819</v>
      </c>
      <c r="D5840" s="59">
        <v>1.0</v>
      </c>
      <c r="E5840" s="59">
        <v>1.0</v>
      </c>
      <c r="F5840" s="59">
        <v>1.0</v>
      </c>
      <c r="G5840" s="60">
        <v>1.0</v>
      </c>
      <c r="H5840" s="60">
        <v>1.0</v>
      </c>
      <c r="I5840" s="60">
        <v>3.81919</v>
      </c>
      <c r="J5840" s="59">
        <v>1.0</v>
      </c>
      <c r="K5840" s="61">
        <f t="shared" si="1"/>
        <v>1</v>
      </c>
      <c r="L5840" s="62">
        <f t="shared" si="2"/>
        <v>1</v>
      </c>
    </row>
    <row r="5841">
      <c r="A5841" s="58">
        <v>45717.0</v>
      </c>
      <c r="B5841" s="24" t="s">
        <v>6789</v>
      </c>
      <c r="C5841" s="24" t="s">
        <v>7061</v>
      </c>
      <c r="D5841" s="59">
        <v>1.0</v>
      </c>
      <c r="E5841" s="59">
        <v>1.0</v>
      </c>
      <c r="F5841" s="59">
        <v>1.0</v>
      </c>
      <c r="G5841" s="60">
        <v>1.0</v>
      </c>
      <c r="H5841" s="60">
        <v>1.0</v>
      </c>
      <c r="I5841" s="60">
        <v>0.0</v>
      </c>
      <c r="J5841" s="59">
        <v>1.0</v>
      </c>
      <c r="K5841" s="61">
        <f t="shared" si="1"/>
        <v>1</v>
      </c>
      <c r="L5841" s="62">
        <f t="shared" si="2"/>
        <v>1</v>
      </c>
    </row>
    <row r="5842">
      <c r="A5842" s="58">
        <v>45717.0</v>
      </c>
      <c r="B5842" s="24" t="s">
        <v>6787</v>
      </c>
      <c r="C5842" s="24" t="s">
        <v>6867</v>
      </c>
      <c r="D5842" s="59">
        <v>1.0</v>
      </c>
      <c r="E5842" s="59">
        <v>1.0</v>
      </c>
      <c r="F5842" s="59">
        <v>1.0</v>
      </c>
      <c r="G5842" s="60">
        <v>1.0</v>
      </c>
      <c r="H5842" s="60">
        <v>1.0</v>
      </c>
      <c r="I5842" s="60">
        <v>0.0</v>
      </c>
      <c r="J5842" s="59">
        <v>1.0</v>
      </c>
      <c r="K5842" s="61">
        <f t="shared" si="1"/>
        <v>1</v>
      </c>
      <c r="L5842" s="62">
        <f t="shared" si="2"/>
        <v>1</v>
      </c>
    </row>
    <row r="5843">
      <c r="A5843" s="58">
        <v>45717.0</v>
      </c>
      <c r="B5843" s="24" t="s">
        <v>6789</v>
      </c>
      <c r="C5843" s="24" t="s">
        <v>6867</v>
      </c>
      <c r="D5843" s="59">
        <v>1.0</v>
      </c>
      <c r="E5843" s="59">
        <v>1.0</v>
      </c>
      <c r="F5843" s="59">
        <v>1.0</v>
      </c>
      <c r="G5843" s="60">
        <v>1.0</v>
      </c>
      <c r="H5843" s="60">
        <v>1.0</v>
      </c>
      <c r="I5843" s="60">
        <v>0.0</v>
      </c>
      <c r="J5843" s="59">
        <v>1.0</v>
      </c>
      <c r="K5843" s="61">
        <f t="shared" si="1"/>
        <v>1</v>
      </c>
      <c r="L5843" s="62">
        <f t="shared" si="2"/>
        <v>1</v>
      </c>
    </row>
    <row r="5844">
      <c r="A5844" s="58">
        <v>45717.0</v>
      </c>
      <c r="B5844" s="24" t="s">
        <v>6794</v>
      </c>
      <c r="C5844" s="24" t="s">
        <v>6870</v>
      </c>
      <c r="D5844" s="59">
        <v>1.0</v>
      </c>
      <c r="E5844" s="59">
        <v>1.0</v>
      </c>
      <c r="F5844" s="59">
        <v>0.0</v>
      </c>
      <c r="G5844" s="60">
        <v>1.0</v>
      </c>
      <c r="H5844" s="60">
        <v>0.0</v>
      </c>
      <c r="I5844" s="60">
        <v>1871.63218</v>
      </c>
      <c r="J5844" s="59">
        <v>5.0</v>
      </c>
      <c r="K5844" s="61">
        <f t="shared" si="1"/>
        <v>0</v>
      </c>
      <c r="L5844" s="62">
        <f t="shared" si="2"/>
        <v>5</v>
      </c>
    </row>
    <row r="5845">
      <c r="A5845" s="58">
        <v>45717.0</v>
      </c>
      <c r="B5845" s="24" t="s">
        <v>155</v>
      </c>
      <c r="C5845" s="24" t="s">
        <v>6870</v>
      </c>
      <c r="D5845" s="59">
        <v>1.0</v>
      </c>
      <c r="E5845" s="59">
        <v>1.0</v>
      </c>
      <c r="F5845" s="59">
        <v>0.0</v>
      </c>
      <c r="G5845" s="60">
        <v>0.0</v>
      </c>
      <c r="H5845" s="60">
        <v>1.0</v>
      </c>
      <c r="I5845" s="60">
        <v>0.0</v>
      </c>
      <c r="J5845" s="59">
        <v>1.0</v>
      </c>
      <c r="K5845" s="61">
        <f t="shared" si="1"/>
        <v>0</v>
      </c>
      <c r="L5845" s="62">
        <f t="shared" si="2"/>
        <v>1</v>
      </c>
    </row>
    <row r="5846">
      <c r="A5846" s="58">
        <v>45717.0</v>
      </c>
      <c r="B5846" s="24" t="s">
        <v>6787</v>
      </c>
      <c r="C5846" s="24" t="s">
        <v>7065</v>
      </c>
      <c r="D5846" s="59">
        <v>1.0</v>
      </c>
      <c r="E5846" s="59">
        <v>1.0</v>
      </c>
      <c r="F5846" s="59">
        <v>1.0</v>
      </c>
      <c r="G5846" s="60">
        <v>1.0</v>
      </c>
      <c r="H5846" s="60">
        <v>1.0</v>
      </c>
      <c r="I5846" s="60">
        <v>0.0</v>
      </c>
      <c r="J5846" s="59">
        <v>1.0</v>
      </c>
      <c r="K5846" s="61">
        <f t="shared" si="1"/>
        <v>1</v>
      </c>
      <c r="L5846" s="62">
        <f t="shared" si="2"/>
        <v>1</v>
      </c>
    </row>
    <row r="5847">
      <c r="A5847" s="58">
        <v>45717.0</v>
      </c>
      <c r="B5847" s="24" t="s">
        <v>6789</v>
      </c>
      <c r="C5847" s="24" t="s">
        <v>6989</v>
      </c>
      <c r="D5847" s="59">
        <v>1.0</v>
      </c>
      <c r="E5847" s="59">
        <v>1.0</v>
      </c>
      <c r="F5847" s="59">
        <v>1.0</v>
      </c>
      <c r="G5847" s="60">
        <v>1.0</v>
      </c>
      <c r="H5847" s="60">
        <v>1.0</v>
      </c>
      <c r="I5847" s="60">
        <v>3.592163</v>
      </c>
      <c r="J5847" s="59">
        <v>1.0</v>
      </c>
      <c r="K5847" s="61">
        <f t="shared" si="1"/>
        <v>1</v>
      </c>
      <c r="L5847" s="62">
        <f t="shared" si="2"/>
        <v>1</v>
      </c>
    </row>
    <row r="5848">
      <c r="A5848" s="58">
        <v>45717.0</v>
      </c>
      <c r="B5848" s="24" t="s">
        <v>155</v>
      </c>
      <c r="C5848" s="24" t="s">
        <v>6989</v>
      </c>
      <c r="D5848" s="59">
        <v>1.0</v>
      </c>
      <c r="E5848" s="59">
        <v>1.0</v>
      </c>
      <c r="F5848" s="59">
        <v>1.0</v>
      </c>
      <c r="G5848" s="60">
        <v>1.0</v>
      </c>
      <c r="H5848" s="60">
        <v>0.0</v>
      </c>
      <c r="I5848" s="60">
        <v>250.89283</v>
      </c>
      <c r="J5848" s="59">
        <v>2.0</v>
      </c>
      <c r="K5848" s="61">
        <f t="shared" si="1"/>
        <v>1</v>
      </c>
      <c r="L5848" s="62">
        <f t="shared" si="2"/>
        <v>2</v>
      </c>
    </row>
    <row r="5849">
      <c r="A5849" s="58">
        <v>45717.0</v>
      </c>
      <c r="B5849" s="24" t="s">
        <v>6789</v>
      </c>
      <c r="C5849" s="24" t="s">
        <v>6880</v>
      </c>
      <c r="D5849" s="59">
        <v>1.0</v>
      </c>
      <c r="E5849" s="59">
        <v>2.0</v>
      </c>
      <c r="F5849" s="59">
        <v>0.0</v>
      </c>
      <c r="G5849" s="60">
        <v>2.0</v>
      </c>
      <c r="H5849" s="60">
        <v>0.0</v>
      </c>
      <c r="I5849" s="60">
        <v>2245.4229535</v>
      </c>
      <c r="J5849" s="59">
        <v>25.0</v>
      </c>
      <c r="K5849" s="61">
        <f t="shared" si="1"/>
        <v>0</v>
      </c>
      <c r="L5849" s="62">
        <f t="shared" si="2"/>
        <v>12.5</v>
      </c>
    </row>
    <row r="5850">
      <c r="A5850" s="58">
        <v>45717.0</v>
      </c>
      <c r="B5850" s="24" t="s">
        <v>155</v>
      </c>
      <c r="C5850" s="24" t="s">
        <v>6880</v>
      </c>
      <c r="D5850" s="59">
        <v>1.0</v>
      </c>
      <c r="E5850" s="59">
        <v>1.0</v>
      </c>
      <c r="F5850" s="59">
        <v>1.0</v>
      </c>
      <c r="G5850" s="60">
        <v>1.0</v>
      </c>
      <c r="H5850" s="60">
        <v>0.0</v>
      </c>
      <c r="I5850" s="60">
        <v>102.022054</v>
      </c>
      <c r="J5850" s="59">
        <v>1.0</v>
      </c>
      <c r="K5850" s="61">
        <f t="shared" si="1"/>
        <v>1</v>
      </c>
      <c r="L5850" s="62">
        <f t="shared" si="2"/>
        <v>1</v>
      </c>
    </row>
    <row r="5851">
      <c r="A5851" s="58">
        <v>45717.0</v>
      </c>
      <c r="B5851" s="24" t="s">
        <v>6787</v>
      </c>
      <c r="C5851" s="24" t="s">
        <v>6990</v>
      </c>
      <c r="D5851" s="59">
        <v>1.0</v>
      </c>
      <c r="E5851" s="59">
        <v>1.0</v>
      </c>
      <c r="F5851" s="59">
        <v>1.0</v>
      </c>
      <c r="G5851" s="60">
        <v>1.0</v>
      </c>
      <c r="H5851" s="60">
        <v>1.0</v>
      </c>
      <c r="I5851" s="60">
        <v>0.0</v>
      </c>
      <c r="J5851" s="59">
        <v>1.0</v>
      </c>
      <c r="K5851" s="61">
        <f t="shared" si="1"/>
        <v>1</v>
      </c>
      <c r="L5851" s="62">
        <f t="shared" si="2"/>
        <v>1</v>
      </c>
    </row>
    <row r="5852">
      <c r="A5852" s="58">
        <v>45717.0</v>
      </c>
      <c r="B5852" s="24" t="s">
        <v>155</v>
      </c>
      <c r="C5852" s="24" t="s">
        <v>6835</v>
      </c>
      <c r="D5852" s="59">
        <v>1.0</v>
      </c>
      <c r="E5852" s="59">
        <v>1.0</v>
      </c>
      <c r="F5852" s="59">
        <v>1.0</v>
      </c>
      <c r="G5852" s="60">
        <v>1.0</v>
      </c>
      <c r="H5852" s="60">
        <v>1.0</v>
      </c>
      <c r="I5852" s="60">
        <v>0.0</v>
      </c>
      <c r="J5852" s="59">
        <v>1.0</v>
      </c>
      <c r="K5852" s="61">
        <f t="shared" si="1"/>
        <v>1</v>
      </c>
      <c r="L5852" s="62">
        <f t="shared" si="2"/>
        <v>1</v>
      </c>
    </row>
    <row r="5853">
      <c r="A5853" s="58">
        <v>45717.0</v>
      </c>
      <c r="B5853" s="24" t="s">
        <v>6789</v>
      </c>
      <c r="C5853" s="24" t="s">
        <v>6992</v>
      </c>
      <c r="D5853" s="59">
        <v>1.0</v>
      </c>
      <c r="E5853" s="59">
        <v>1.0</v>
      </c>
      <c r="F5853" s="59">
        <v>1.0</v>
      </c>
      <c r="G5853" s="60">
        <v>1.0</v>
      </c>
      <c r="H5853" s="60">
        <v>1.0</v>
      </c>
      <c r="I5853" s="60">
        <v>0.0</v>
      </c>
      <c r="J5853" s="59">
        <v>1.0</v>
      </c>
      <c r="K5853" s="61">
        <f t="shared" si="1"/>
        <v>1</v>
      </c>
      <c r="L5853" s="62">
        <f t="shared" si="2"/>
        <v>1</v>
      </c>
    </row>
    <row r="5854">
      <c r="A5854" s="58">
        <v>45717.0</v>
      </c>
      <c r="B5854" s="24" t="s">
        <v>6789</v>
      </c>
      <c r="C5854" s="24" t="s">
        <v>7071</v>
      </c>
      <c r="D5854" s="59">
        <v>1.0</v>
      </c>
      <c r="E5854" s="59">
        <v>1.0</v>
      </c>
      <c r="F5854" s="59">
        <v>1.0</v>
      </c>
      <c r="G5854" s="60">
        <v>1.0</v>
      </c>
      <c r="H5854" s="60">
        <v>1.0</v>
      </c>
      <c r="I5854" s="60">
        <v>0.0</v>
      </c>
      <c r="J5854" s="59">
        <v>1.0</v>
      </c>
      <c r="K5854" s="61">
        <f t="shared" si="1"/>
        <v>1</v>
      </c>
      <c r="L5854" s="62">
        <f t="shared" si="2"/>
        <v>1</v>
      </c>
    </row>
    <row r="5855">
      <c r="A5855" s="58">
        <v>45717.0</v>
      </c>
      <c r="B5855" s="24" t="s">
        <v>6789</v>
      </c>
      <c r="C5855" s="24" t="s">
        <v>7072</v>
      </c>
      <c r="D5855" s="59">
        <v>1.0</v>
      </c>
      <c r="E5855" s="59">
        <v>1.0</v>
      </c>
      <c r="F5855" s="59">
        <v>1.0</v>
      </c>
      <c r="G5855" s="60">
        <v>1.0</v>
      </c>
      <c r="H5855" s="60">
        <v>1.0</v>
      </c>
      <c r="I5855" s="60">
        <v>9.866129</v>
      </c>
      <c r="J5855" s="59">
        <v>1.0</v>
      </c>
      <c r="K5855" s="61">
        <f t="shared" si="1"/>
        <v>1</v>
      </c>
      <c r="L5855" s="62">
        <f t="shared" si="2"/>
        <v>1</v>
      </c>
    </row>
    <row r="5856">
      <c r="A5856" s="58">
        <v>45717.0</v>
      </c>
      <c r="B5856" s="24" t="s">
        <v>6787</v>
      </c>
      <c r="C5856" s="24" t="s">
        <v>7073</v>
      </c>
      <c r="D5856" s="59">
        <v>1.0</v>
      </c>
      <c r="E5856" s="59">
        <v>1.0</v>
      </c>
      <c r="F5856" s="59">
        <v>1.0</v>
      </c>
      <c r="G5856" s="60">
        <v>1.0</v>
      </c>
      <c r="H5856" s="60">
        <v>1.0</v>
      </c>
      <c r="I5856" s="60">
        <v>0.0</v>
      </c>
      <c r="J5856" s="59">
        <v>1.0</v>
      </c>
      <c r="K5856" s="61">
        <f t="shared" si="1"/>
        <v>1</v>
      </c>
      <c r="L5856" s="62">
        <f t="shared" si="2"/>
        <v>1</v>
      </c>
    </row>
    <row r="5857">
      <c r="A5857" s="58">
        <v>45717.0</v>
      </c>
      <c r="B5857" s="24" t="s">
        <v>6787</v>
      </c>
      <c r="C5857" s="24" t="s">
        <v>6930</v>
      </c>
      <c r="D5857" s="59">
        <v>1.0</v>
      </c>
      <c r="E5857" s="59">
        <v>1.0</v>
      </c>
      <c r="F5857" s="59">
        <v>1.0</v>
      </c>
      <c r="G5857" s="60">
        <v>1.0</v>
      </c>
      <c r="H5857" s="60">
        <v>1.0</v>
      </c>
      <c r="I5857" s="60">
        <v>0.0</v>
      </c>
      <c r="J5857" s="59">
        <v>1.0</v>
      </c>
      <c r="K5857" s="61">
        <f t="shared" si="1"/>
        <v>1</v>
      </c>
      <c r="L5857" s="62">
        <f t="shared" si="2"/>
        <v>1</v>
      </c>
    </row>
    <row r="5858">
      <c r="A5858" s="58">
        <v>45717.0</v>
      </c>
      <c r="B5858" s="24" t="s">
        <v>3216</v>
      </c>
      <c r="C5858" s="24" t="s">
        <v>6886</v>
      </c>
      <c r="D5858" s="59">
        <v>1.0</v>
      </c>
      <c r="E5858" s="59">
        <v>1.0</v>
      </c>
      <c r="F5858" s="59">
        <v>0.0</v>
      </c>
      <c r="G5858" s="60">
        <v>1.0</v>
      </c>
      <c r="H5858" s="60">
        <v>1.0</v>
      </c>
      <c r="I5858" s="60">
        <v>0.0</v>
      </c>
      <c r="J5858" s="59">
        <v>1.0</v>
      </c>
      <c r="K5858" s="61">
        <f t="shared" si="1"/>
        <v>0</v>
      </c>
      <c r="L5858" s="62">
        <f t="shared" si="2"/>
        <v>1</v>
      </c>
    </row>
    <row r="5859">
      <c r="A5859" s="58">
        <v>45717.0</v>
      </c>
      <c r="B5859" s="24" t="s">
        <v>6790</v>
      </c>
      <c r="C5859" s="24" t="s">
        <v>6886</v>
      </c>
      <c r="D5859" s="59">
        <v>1.0</v>
      </c>
      <c r="E5859" s="59">
        <v>1.0</v>
      </c>
      <c r="F5859" s="59">
        <v>0.0</v>
      </c>
      <c r="G5859" s="60">
        <v>1.0</v>
      </c>
      <c r="H5859" s="60">
        <v>1.0</v>
      </c>
      <c r="I5859" s="60">
        <v>0.0</v>
      </c>
      <c r="J5859" s="59">
        <v>1.0</v>
      </c>
      <c r="K5859" s="61">
        <f t="shared" si="1"/>
        <v>0</v>
      </c>
      <c r="L5859" s="62">
        <f t="shared" si="2"/>
        <v>1</v>
      </c>
    </row>
    <row r="5860">
      <c r="A5860" s="58">
        <v>45717.0</v>
      </c>
      <c r="B5860" s="24" t="s">
        <v>6789</v>
      </c>
      <c r="C5860" s="24" t="s">
        <v>7465</v>
      </c>
      <c r="D5860" s="59">
        <v>1.0</v>
      </c>
      <c r="E5860" s="59">
        <v>2.0</v>
      </c>
      <c r="F5860" s="59">
        <v>0.0</v>
      </c>
      <c r="G5860" s="60">
        <v>2.0</v>
      </c>
      <c r="H5860" s="60">
        <v>1.0</v>
      </c>
      <c r="I5860" s="60">
        <v>6.765699</v>
      </c>
      <c r="J5860" s="59">
        <v>2.0</v>
      </c>
      <c r="K5860" s="61">
        <f t="shared" si="1"/>
        <v>0</v>
      </c>
      <c r="L5860" s="62">
        <f t="shared" si="2"/>
        <v>1</v>
      </c>
    </row>
    <row r="5861">
      <c r="A5861" s="58">
        <v>45717.0</v>
      </c>
      <c r="B5861" s="24" t="s">
        <v>155</v>
      </c>
      <c r="C5861" s="24" t="s">
        <v>7465</v>
      </c>
      <c r="D5861" s="59">
        <v>1.0</v>
      </c>
      <c r="E5861" s="59">
        <v>1.0</v>
      </c>
      <c r="F5861" s="59">
        <v>0.0</v>
      </c>
      <c r="G5861" s="60">
        <v>1.0</v>
      </c>
      <c r="H5861" s="60">
        <v>0.0</v>
      </c>
      <c r="I5861" s="60">
        <v>460.492173</v>
      </c>
      <c r="J5861" s="59">
        <v>2.0</v>
      </c>
      <c r="K5861" s="61">
        <f t="shared" si="1"/>
        <v>0</v>
      </c>
      <c r="L5861" s="62">
        <f t="shared" si="2"/>
        <v>2</v>
      </c>
    </row>
    <row r="5862">
      <c r="A5862" s="58">
        <v>45717.0</v>
      </c>
      <c r="B5862" s="24" t="s">
        <v>6794</v>
      </c>
      <c r="C5862" s="24" t="s">
        <v>6799</v>
      </c>
      <c r="D5862" s="59">
        <v>1.0</v>
      </c>
      <c r="E5862" s="59">
        <v>4.0</v>
      </c>
      <c r="F5862" s="59">
        <v>0.0</v>
      </c>
      <c r="G5862" s="60">
        <v>4.0</v>
      </c>
      <c r="H5862" s="60">
        <v>1.0</v>
      </c>
      <c r="I5862" s="60">
        <v>2.467042</v>
      </c>
      <c r="J5862" s="59">
        <v>4.0</v>
      </c>
      <c r="K5862" s="61">
        <f t="shared" si="1"/>
        <v>0</v>
      </c>
      <c r="L5862" s="62">
        <f t="shared" si="2"/>
        <v>1</v>
      </c>
    </row>
    <row r="5863">
      <c r="A5863" s="58">
        <v>45717.0</v>
      </c>
      <c r="B5863" s="24" t="s">
        <v>155</v>
      </c>
      <c r="C5863" s="24" t="s">
        <v>6799</v>
      </c>
      <c r="D5863" s="59">
        <v>1.0</v>
      </c>
      <c r="E5863" s="59">
        <v>1.0</v>
      </c>
      <c r="F5863" s="59">
        <v>0.0</v>
      </c>
      <c r="G5863" s="60">
        <v>0.0</v>
      </c>
      <c r="H5863" s="60">
        <v>1.0</v>
      </c>
      <c r="I5863" s="60">
        <v>0.0</v>
      </c>
      <c r="J5863" s="59">
        <v>1.0</v>
      </c>
      <c r="K5863" s="61">
        <f t="shared" si="1"/>
        <v>0</v>
      </c>
      <c r="L5863" s="62">
        <f t="shared" si="2"/>
        <v>1</v>
      </c>
    </row>
    <row r="5864">
      <c r="A5864" s="58">
        <v>45717.0</v>
      </c>
      <c r="B5864" s="24" t="s">
        <v>6789</v>
      </c>
      <c r="C5864" s="24" t="s">
        <v>6820</v>
      </c>
      <c r="D5864" s="59">
        <v>1.0</v>
      </c>
      <c r="E5864" s="59">
        <v>1.0</v>
      </c>
      <c r="F5864" s="59">
        <v>0.0</v>
      </c>
      <c r="G5864" s="60">
        <v>1.0</v>
      </c>
      <c r="H5864" s="60">
        <v>1.0</v>
      </c>
      <c r="I5864" s="60">
        <v>0.0</v>
      </c>
      <c r="J5864" s="59">
        <v>1.0</v>
      </c>
      <c r="K5864" s="61">
        <f t="shared" si="1"/>
        <v>0</v>
      </c>
      <c r="L5864" s="62">
        <f t="shared" si="2"/>
        <v>1</v>
      </c>
    </row>
    <row r="5865">
      <c r="A5865" s="58">
        <v>45717.0</v>
      </c>
      <c r="B5865" s="24" t="s">
        <v>6787</v>
      </c>
      <c r="C5865" s="24" t="s">
        <v>7021</v>
      </c>
      <c r="D5865" s="59">
        <v>1.0</v>
      </c>
      <c r="E5865" s="59">
        <v>1.0</v>
      </c>
      <c r="F5865" s="59">
        <v>0.0</v>
      </c>
      <c r="G5865" s="60">
        <v>0.0</v>
      </c>
      <c r="H5865" s="60">
        <v>1.0</v>
      </c>
      <c r="I5865" s="60">
        <v>0.0</v>
      </c>
      <c r="J5865" s="59">
        <v>1.0</v>
      </c>
      <c r="K5865" s="61">
        <f t="shared" si="1"/>
        <v>0</v>
      </c>
      <c r="L5865" s="62">
        <f t="shared" si="2"/>
        <v>1</v>
      </c>
    </row>
    <row r="5866">
      <c r="A5866" s="58">
        <v>45717.0</v>
      </c>
      <c r="B5866" s="24" t="s">
        <v>6790</v>
      </c>
      <c r="C5866" s="24" t="s">
        <v>7021</v>
      </c>
      <c r="D5866" s="59">
        <v>1.0</v>
      </c>
      <c r="E5866" s="59">
        <v>1.0</v>
      </c>
      <c r="F5866" s="59">
        <v>1.0</v>
      </c>
      <c r="G5866" s="60">
        <v>1.0</v>
      </c>
      <c r="H5866" s="60">
        <v>1.0</v>
      </c>
      <c r="I5866" s="60">
        <v>0.0</v>
      </c>
      <c r="J5866" s="59">
        <v>1.0</v>
      </c>
      <c r="K5866" s="61">
        <f t="shared" si="1"/>
        <v>1</v>
      </c>
      <c r="L5866" s="62">
        <f t="shared" si="2"/>
        <v>1</v>
      </c>
    </row>
    <row r="5867">
      <c r="A5867" s="58">
        <v>45717.0</v>
      </c>
      <c r="B5867" s="24" t="s">
        <v>6787</v>
      </c>
      <c r="C5867" s="24" t="s">
        <v>6891</v>
      </c>
      <c r="D5867" s="59">
        <v>1.0</v>
      </c>
      <c r="E5867" s="59">
        <v>1.0</v>
      </c>
      <c r="F5867" s="59">
        <v>1.0</v>
      </c>
      <c r="G5867" s="60">
        <v>1.0</v>
      </c>
      <c r="H5867" s="60">
        <v>0.0</v>
      </c>
      <c r="I5867" s="60">
        <v>13.143666</v>
      </c>
      <c r="J5867" s="59">
        <v>1.0</v>
      </c>
      <c r="K5867" s="61">
        <f t="shared" si="1"/>
        <v>1</v>
      </c>
      <c r="L5867" s="62">
        <f t="shared" si="2"/>
        <v>1</v>
      </c>
    </row>
    <row r="5868">
      <c r="A5868" s="58">
        <v>45717.0</v>
      </c>
      <c r="B5868" s="24" t="s">
        <v>155</v>
      </c>
      <c r="C5868" s="24" t="s">
        <v>6892</v>
      </c>
      <c r="D5868" s="59">
        <v>1.0</v>
      </c>
      <c r="E5868" s="59">
        <v>1.0</v>
      </c>
      <c r="F5868" s="59">
        <v>1.0</v>
      </c>
      <c r="G5868" s="60">
        <v>1.0</v>
      </c>
      <c r="H5868" s="60">
        <v>0.0</v>
      </c>
      <c r="I5868" s="60">
        <v>388.29781</v>
      </c>
      <c r="J5868" s="59">
        <v>1.0</v>
      </c>
      <c r="K5868" s="61">
        <f t="shared" si="1"/>
        <v>1</v>
      </c>
      <c r="L5868" s="62">
        <f t="shared" si="2"/>
        <v>1</v>
      </c>
    </row>
    <row r="5869">
      <c r="A5869" s="58">
        <v>45717.0</v>
      </c>
      <c r="B5869" s="24" t="s">
        <v>6789</v>
      </c>
      <c r="C5869" s="24" t="s">
        <v>6840</v>
      </c>
      <c r="D5869" s="59">
        <v>1.0</v>
      </c>
      <c r="E5869" s="59">
        <v>1.0</v>
      </c>
      <c r="F5869" s="59">
        <v>1.0</v>
      </c>
      <c r="G5869" s="60">
        <v>1.0</v>
      </c>
      <c r="H5869" s="60">
        <v>1.0</v>
      </c>
      <c r="I5869" s="60">
        <v>0.0</v>
      </c>
      <c r="J5869" s="59">
        <v>1.0</v>
      </c>
      <c r="K5869" s="61">
        <f t="shared" si="1"/>
        <v>1</v>
      </c>
      <c r="L5869" s="62">
        <f t="shared" si="2"/>
        <v>1</v>
      </c>
    </row>
    <row r="5870">
      <c r="A5870" s="58">
        <v>45717.0</v>
      </c>
      <c r="B5870" s="24" t="s">
        <v>6789</v>
      </c>
      <c r="C5870" s="24" t="s">
        <v>7032</v>
      </c>
      <c r="D5870" s="59">
        <v>1.0</v>
      </c>
      <c r="E5870" s="59">
        <v>2.0</v>
      </c>
      <c r="F5870" s="59">
        <v>0.0</v>
      </c>
      <c r="G5870" s="60">
        <v>2.0</v>
      </c>
      <c r="H5870" s="60">
        <v>0.0</v>
      </c>
      <c r="I5870" s="60">
        <v>272.3103215</v>
      </c>
      <c r="J5870" s="59">
        <v>5.0</v>
      </c>
      <c r="K5870" s="61">
        <f t="shared" si="1"/>
        <v>0</v>
      </c>
      <c r="L5870" s="62">
        <f t="shared" si="2"/>
        <v>2.5</v>
      </c>
    </row>
    <row r="5871">
      <c r="A5871" s="58">
        <v>45717.0</v>
      </c>
      <c r="B5871" s="24" t="s">
        <v>6790</v>
      </c>
      <c r="C5871" s="24" t="s">
        <v>7032</v>
      </c>
      <c r="D5871" s="59">
        <v>1.0</v>
      </c>
      <c r="E5871" s="59">
        <v>1.0</v>
      </c>
      <c r="F5871" s="59">
        <v>0.0</v>
      </c>
      <c r="G5871" s="60">
        <v>1.0</v>
      </c>
      <c r="H5871" s="60">
        <v>1.0</v>
      </c>
      <c r="I5871" s="60">
        <v>11.957125</v>
      </c>
      <c r="J5871" s="59">
        <v>2.0</v>
      </c>
      <c r="K5871" s="61">
        <f t="shared" si="1"/>
        <v>0</v>
      </c>
      <c r="L5871" s="62">
        <f t="shared" si="2"/>
        <v>2</v>
      </c>
    </row>
    <row r="5872">
      <c r="A5872" s="58">
        <v>45717.0</v>
      </c>
      <c r="B5872" s="24" t="s">
        <v>6789</v>
      </c>
      <c r="C5872" s="24" t="s">
        <v>7438</v>
      </c>
      <c r="D5872" s="59">
        <v>1.0</v>
      </c>
      <c r="E5872" s="59">
        <v>1.0</v>
      </c>
      <c r="F5872" s="59">
        <v>0.0</v>
      </c>
      <c r="G5872" s="60">
        <v>1.0</v>
      </c>
      <c r="H5872" s="60">
        <v>0.0</v>
      </c>
      <c r="I5872" s="60">
        <v>61.241526</v>
      </c>
      <c r="J5872" s="59">
        <v>3.0</v>
      </c>
      <c r="K5872" s="61">
        <f t="shared" si="1"/>
        <v>0</v>
      </c>
      <c r="L5872" s="62">
        <f t="shared" si="2"/>
        <v>3</v>
      </c>
    </row>
    <row r="5873">
      <c r="A5873" s="58">
        <v>45717.0</v>
      </c>
      <c r="B5873" s="24" t="s">
        <v>6794</v>
      </c>
      <c r="C5873" s="24" t="s">
        <v>7438</v>
      </c>
      <c r="D5873" s="59">
        <v>1.0</v>
      </c>
      <c r="E5873" s="59">
        <v>1.0</v>
      </c>
      <c r="F5873" s="59">
        <v>1.0</v>
      </c>
      <c r="G5873" s="60">
        <v>1.0</v>
      </c>
      <c r="H5873" s="60">
        <v>1.0</v>
      </c>
      <c r="I5873" s="60">
        <v>0.0</v>
      </c>
      <c r="J5873" s="59">
        <v>1.0</v>
      </c>
      <c r="K5873" s="61">
        <f t="shared" si="1"/>
        <v>1</v>
      </c>
      <c r="L5873" s="62">
        <f t="shared" si="2"/>
        <v>1</v>
      </c>
    </row>
    <row r="5874">
      <c r="A5874" s="58">
        <v>45717.0</v>
      </c>
      <c r="B5874" s="24" t="s">
        <v>6790</v>
      </c>
      <c r="C5874" s="24" t="s">
        <v>7438</v>
      </c>
      <c r="D5874" s="59">
        <v>1.0</v>
      </c>
      <c r="E5874" s="59">
        <v>1.0</v>
      </c>
      <c r="F5874" s="59">
        <v>1.0</v>
      </c>
      <c r="G5874" s="60">
        <v>1.0</v>
      </c>
      <c r="H5874" s="60">
        <v>1.0</v>
      </c>
      <c r="I5874" s="60">
        <v>0.0</v>
      </c>
      <c r="J5874" s="59">
        <v>1.0</v>
      </c>
      <c r="K5874" s="61">
        <f t="shared" si="1"/>
        <v>1</v>
      </c>
      <c r="L5874" s="62">
        <f t="shared" si="2"/>
        <v>1</v>
      </c>
    </row>
    <row r="5875">
      <c r="A5875" s="58">
        <v>45717.0</v>
      </c>
      <c r="B5875" s="24" t="s">
        <v>3216</v>
      </c>
      <c r="C5875" s="24" t="s">
        <v>7301</v>
      </c>
      <c r="D5875" s="59">
        <v>1.0</v>
      </c>
      <c r="E5875" s="59">
        <v>1.0</v>
      </c>
      <c r="F5875" s="59">
        <v>0.0</v>
      </c>
      <c r="G5875" s="60">
        <v>1.0</v>
      </c>
      <c r="H5875" s="60">
        <v>0.0</v>
      </c>
      <c r="I5875" s="60">
        <v>1578.559165</v>
      </c>
      <c r="J5875" s="59">
        <v>2.0</v>
      </c>
      <c r="K5875" s="61">
        <f t="shared" si="1"/>
        <v>0</v>
      </c>
      <c r="L5875" s="62">
        <f t="shared" si="2"/>
        <v>2</v>
      </c>
    </row>
    <row r="5876">
      <c r="A5876" s="58">
        <v>45717.0</v>
      </c>
      <c r="B5876" s="24" t="s">
        <v>155</v>
      </c>
      <c r="C5876" s="24" t="s">
        <v>7301</v>
      </c>
      <c r="D5876" s="59">
        <v>1.0</v>
      </c>
      <c r="E5876" s="59">
        <v>6.0</v>
      </c>
      <c r="F5876" s="59">
        <v>0.0</v>
      </c>
      <c r="G5876" s="60">
        <v>6.0</v>
      </c>
      <c r="H5876" s="60">
        <v>0.5</v>
      </c>
      <c r="I5876" s="60">
        <v>371.6144145</v>
      </c>
      <c r="J5876" s="59">
        <v>18.0</v>
      </c>
      <c r="K5876" s="61">
        <f t="shared" si="1"/>
        <v>0</v>
      </c>
      <c r="L5876" s="62">
        <f t="shared" si="2"/>
        <v>3</v>
      </c>
    </row>
    <row r="5877">
      <c r="A5877" s="58">
        <v>45717.0</v>
      </c>
      <c r="B5877" s="24" t="s">
        <v>6789</v>
      </c>
      <c r="C5877" s="24" t="s">
        <v>6897</v>
      </c>
      <c r="D5877" s="59">
        <v>1.0</v>
      </c>
      <c r="E5877" s="59">
        <v>1.0</v>
      </c>
      <c r="F5877" s="59">
        <v>1.0</v>
      </c>
      <c r="G5877" s="60">
        <v>1.0</v>
      </c>
      <c r="H5877" s="60">
        <v>0.0</v>
      </c>
      <c r="I5877" s="60">
        <v>66.097857</v>
      </c>
      <c r="J5877" s="59">
        <v>3.0</v>
      </c>
      <c r="K5877" s="61">
        <f t="shared" si="1"/>
        <v>1</v>
      </c>
      <c r="L5877" s="62">
        <f t="shared" si="2"/>
        <v>3</v>
      </c>
    </row>
    <row r="5878">
      <c r="A5878" s="58">
        <v>45717.0</v>
      </c>
      <c r="B5878" s="24" t="s">
        <v>155</v>
      </c>
      <c r="C5878" s="24" t="s">
        <v>6841</v>
      </c>
      <c r="D5878" s="59">
        <v>1.0</v>
      </c>
      <c r="E5878" s="59">
        <v>6.0</v>
      </c>
      <c r="F5878" s="59">
        <v>0.0</v>
      </c>
      <c r="G5878" s="60">
        <v>6.0</v>
      </c>
      <c r="H5878" s="60">
        <v>0.5</v>
      </c>
      <c r="I5878" s="60">
        <v>210.383018</v>
      </c>
      <c r="J5878" s="59">
        <v>17.0</v>
      </c>
      <c r="K5878" s="61">
        <f t="shared" si="1"/>
        <v>0</v>
      </c>
      <c r="L5878" s="62">
        <f t="shared" si="2"/>
        <v>2.833333333</v>
      </c>
    </row>
    <row r="5879">
      <c r="A5879" s="58">
        <v>45717.0</v>
      </c>
      <c r="B5879" s="24" t="s">
        <v>6787</v>
      </c>
      <c r="C5879" s="24" t="s">
        <v>6806</v>
      </c>
      <c r="D5879" s="59">
        <v>1.0</v>
      </c>
      <c r="E5879" s="59">
        <v>1.0</v>
      </c>
      <c r="F5879" s="59">
        <v>0.0</v>
      </c>
      <c r="G5879" s="60">
        <v>1.0</v>
      </c>
      <c r="H5879" s="60">
        <v>0.0</v>
      </c>
      <c r="I5879" s="60">
        <v>226.69571</v>
      </c>
      <c r="J5879" s="59">
        <v>2.0</v>
      </c>
      <c r="K5879" s="61">
        <f t="shared" si="1"/>
        <v>0</v>
      </c>
      <c r="L5879" s="62">
        <f t="shared" si="2"/>
        <v>2</v>
      </c>
    </row>
    <row r="5880">
      <c r="A5880" s="58">
        <v>45717.0</v>
      </c>
      <c r="B5880" s="24" t="s">
        <v>155</v>
      </c>
      <c r="C5880" s="24" t="s">
        <v>6899</v>
      </c>
      <c r="D5880" s="59">
        <v>1.0</v>
      </c>
      <c r="E5880" s="59">
        <v>1.0</v>
      </c>
      <c r="F5880" s="59">
        <v>0.0</v>
      </c>
      <c r="G5880" s="60">
        <v>1.0</v>
      </c>
      <c r="H5880" s="60">
        <v>0.0</v>
      </c>
      <c r="I5880" s="60">
        <v>1307.832071</v>
      </c>
      <c r="J5880" s="59">
        <v>6.0</v>
      </c>
      <c r="K5880" s="61">
        <f t="shared" si="1"/>
        <v>0</v>
      </c>
      <c r="L5880" s="62">
        <f t="shared" si="2"/>
        <v>6</v>
      </c>
    </row>
    <row r="5881">
      <c r="A5881" s="58">
        <v>45717.0</v>
      </c>
      <c r="B5881" s="24" t="s">
        <v>6789</v>
      </c>
      <c r="C5881" s="24" t="s">
        <v>6842</v>
      </c>
      <c r="D5881" s="59">
        <v>1.0</v>
      </c>
      <c r="E5881" s="59">
        <v>1.0</v>
      </c>
      <c r="F5881" s="59">
        <v>1.0</v>
      </c>
      <c r="G5881" s="60">
        <v>1.0</v>
      </c>
      <c r="H5881" s="60">
        <v>0.0</v>
      </c>
      <c r="I5881" s="60">
        <v>21.557608</v>
      </c>
      <c r="J5881" s="59">
        <v>1.0</v>
      </c>
      <c r="K5881" s="61">
        <f t="shared" si="1"/>
        <v>1</v>
      </c>
      <c r="L5881" s="62">
        <f t="shared" si="2"/>
        <v>1</v>
      </c>
    </row>
    <row r="5882">
      <c r="A5882" s="58">
        <v>45717.0</v>
      </c>
      <c r="B5882" s="24" t="s">
        <v>6789</v>
      </c>
      <c r="C5882" s="24" t="s">
        <v>7006</v>
      </c>
      <c r="D5882" s="59">
        <v>1.0</v>
      </c>
      <c r="E5882" s="59">
        <v>1.0</v>
      </c>
      <c r="F5882" s="59">
        <v>0.0</v>
      </c>
      <c r="G5882" s="60">
        <v>1.0</v>
      </c>
      <c r="H5882" s="60">
        <v>0.0</v>
      </c>
      <c r="I5882" s="60">
        <v>156.177221</v>
      </c>
      <c r="J5882" s="59">
        <v>1.0</v>
      </c>
      <c r="K5882" s="61">
        <f t="shared" si="1"/>
        <v>0</v>
      </c>
      <c r="L5882" s="62">
        <f t="shared" si="2"/>
        <v>1</v>
      </c>
    </row>
    <row r="5883">
      <c r="A5883" s="58">
        <v>45717.0</v>
      </c>
      <c r="B5883" s="24" t="s">
        <v>6789</v>
      </c>
      <c r="C5883" s="24" t="s">
        <v>6900</v>
      </c>
      <c r="D5883" s="59">
        <v>1.0</v>
      </c>
      <c r="E5883" s="59">
        <v>1.0</v>
      </c>
      <c r="F5883" s="59">
        <v>1.0</v>
      </c>
      <c r="G5883" s="60">
        <v>1.0</v>
      </c>
      <c r="H5883" s="60">
        <v>0.0</v>
      </c>
      <c r="I5883" s="60">
        <v>439.922441</v>
      </c>
      <c r="J5883" s="59">
        <v>1.0</v>
      </c>
      <c r="K5883" s="61">
        <f t="shared" si="1"/>
        <v>1</v>
      </c>
      <c r="L5883" s="62">
        <f t="shared" si="2"/>
        <v>1</v>
      </c>
    </row>
    <row r="5884">
      <c r="A5884" s="58">
        <v>45717.0</v>
      </c>
      <c r="B5884" s="24" t="s">
        <v>6794</v>
      </c>
      <c r="C5884" s="24" t="s">
        <v>7077</v>
      </c>
      <c r="D5884" s="59">
        <v>1.0</v>
      </c>
      <c r="E5884" s="59">
        <v>1.0</v>
      </c>
      <c r="F5884" s="59">
        <v>0.0</v>
      </c>
      <c r="G5884" s="60">
        <v>1.0</v>
      </c>
      <c r="H5884" s="60">
        <v>1.0</v>
      </c>
      <c r="I5884" s="60">
        <v>0.0</v>
      </c>
      <c r="J5884" s="59">
        <v>1.0</v>
      </c>
      <c r="K5884" s="61">
        <f t="shared" si="1"/>
        <v>0</v>
      </c>
      <c r="L5884" s="62">
        <f t="shared" si="2"/>
        <v>1</v>
      </c>
    </row>
    <row r="5885">
      <c r="A5885" s="58">
        <v>45717.0</v>
      </c>
      <c r="B5885" s="24" t="s">
        <v>6790</v>
      </c>
      <c r="C5885" s="24" t="s">
        <v>6807</v>
      </c>
      <c r="D5885" s="59">
        <v>1.0</v>
      </c>
      <c r="E5885" s="59">
        <v>1.0</v>
      </c>
      <c r="F5885" s="59">
        <v>1.0</v>
      </c>
      <c r="G5885" s="60">
        <v>1.0</v>
      </c>
      <c r="H5885" s="60">
        <v>0.0</v>
      </c>
      <c r="I5885" s="60">
        <v>110.90723</v>
      </c>
      <c r="J5885" s="59">
        <v>5.0</v>
      </c>
      <c r="K5885" s="61">
        <f t="shared" si="1"/>
        <v>1</v>
      </c>
      <c r="L5885" s="62">
        <f t="shared" si="2"/>
        <v>5</v>
      </c>
    </row>
    <row r="5886">
      <c r="A5886" s="58">
        <v>45717.0</v>
      </c>
      <c r="B5886" s="24" t="s">
        <v>6789</v>
      </c>
      <c r="C5886" s="24" t="s">
        <v>6844</v>
      </c>
      <c r="D5886" s="59">
        <v>1.0</v>
      </c>
      <c r="E5886" s="59">
        <v>1.0</v>
      </c>
      <c r="F5886" s="59">
        <v>0.0</v>
      </c>
      <c r="G5886" s="60">
        <v>1.0</v>
      </c>
      <c r="H5886" s="60">
        <v>0.0</v>
      </c>
      <c r="I5886" s="60">
        <v>905.4556</v>
      </c>
      <c r="J5886" s="59">
        <v>4.0</v>
      </c>
      <c r="K5886" s="61">
        <f t="shared" si="1"/>
        <v>0</v>
      </c>
      <c r="L5886" s="62">
        <f t="shared" si="2"/>
        <v>4</v>
      </c>
    </row>
    <row r="5887">
      <c r="A5887" s="58">
        <v>45717.0</v>
      </c>
      <c r="B5887" s="24" t="s">
        <v>6789</v>
      </c>
      <c r="C5887" s="24" t="s">
        <v>7079</v>
      </c>
      <c r="D5887" s="59">
        <v>1.0</v>
      </c>
      <c r="E5887" s="59">
        <v>2.0</v>
      </c>
      <c r="F5887" s="59">
        <v>0.0</v>
      </c>
      <c r="G5887" s="60">
        <v>2.0</v>
      </c>
      <c r="H5887" s="60">
        <v>0.0</v>
      </c>
      <c r="I5887" s="60">
        <v>1474.69875</v>
      </c>
      <c r="J5887" s="59">
        <v>13.0</v>
      </c>
      <c r="K5887" s="61">
        <f t="shared" si="1"/>
        <v>0</v>
      </c>
      <c r="L5887" s="62">
        <f t="shared" si="2"/>
        <v>6.5</v>
      </c>
    </row>
    <row r="5888">
      <c r="A5888" s="58">
        <v>45717.0</v>
      </c>
      <c r="B5888" s="24" t="s">
        <v>6789</v>
      </c>
      <c r="C5888" s="24" t="s">
        <v>7007</v>
      </c>
      <c r="D5888" s="59">
        <v>1.0</v>
      </c>
      <c r="E5888" s="59">
        <v>1.0</v>
      </c>
      <c r="F5888" s="59">
        <v>0.0</v>
      </c>
      <c r="G5888" s="60">
        <v>1.0</v>
      </c>
      <c r="H5888" s="60">
        <v>0.0</v>
      </c>
      <c r="I5888" s="60">
        <v>261.78757</v>
      </c>
      <c r="J5888" s="59">
        <v>4.0</v>
      </c>
      <c r="K5888" s="61">
        <f t="shared" si="1"/>
        <v>0</v>
      </c>
      <c r="L5888" s="62">
        <f t="shared" si="2"/>
        <v>4</v>
      </c>
    </row>
    <row r="5889">
      <c r="A5889" s="58">
        <v>45717.0</v>
      </c>
      <c r="B5889" s="24" t="s">
        <v>155</v>
      </c>
      <c r="C5889" s="24" t="s">
        <v>7009</v>
      </c>
      <c r="D5889" s="59">
        <v>1.0</v>
      </c>
      <c r="E5889" s="59">
        <v>1.0</v>
      </c>
      <c r="F5889" s="59">
        <v>1.0</v>
      </c>
      <c r="G5889" s="60">
        <v>1.0</v>
      </c>
      <c r="H5889" s="60">
        <v>0.0</v>
      </c>
      <c r="I5889" s="60">
        <v>128.546023</v>
      </c>
      <c r="J5889" s="59">
        <v>1.0</v>
      </c>
      <c r="K5889" s="61">
        <f t="shared" si="1"/>
        <v>1</v>
      </c>
      <c r="L5889" s="62">
        <f t="shared" si="2"/>
        <v>1</v>
      </c>
    </row>
    <row r="5890">
      <c r="A5890" s="58">
        <v>45717.0</v>
      </c>
      <c r="B5890" s="24" t="s">
        <v>6787</v>
      </c>
      <c r="C5890" s="24" t="s">
        <v>6905</v>
      </c>
      <c r="D5890" s="59">
        <v>1.0</v>
      </c>
      <c r="E5890" s="59">
        <v>1.0</v>
      </c>
      <c r="F5890" s="59">
        <v>1.0</v>
      </c>
      <c r="G5890" s="60">
        <v>1.0</v>
      </c>
      <c r="H5890" s="60">
        <v>0.0</v>
      </c>
      <c r="I5890" s="60">
        <v>1053.278246</v>
      </c>
      <c r="J5890" s="59">
        <v>3.0</v>
      </c>
      <c r="K5890" s="61">
        <f t="shared" si="1"/>
        <v>1</v>
      </c>
      <c r="L5890" s="62">
        <f t="shared" si="2"/>
        <v>3</v>
      </c>
    </row>
    <row r="5891">
      <c r="A5891" s="58">
        <v>45717.0</v>
      </c>
      <c r="B5891" s="24" t="s">
        <v>155</v>
      </c>
      <c r="C5891" s="24" t="s">
        <v>7468</v>
      </c>
      <c r="D5891" s="59">
        <v>1.0</v>
      </c>
      <c r="E5891" s="59">
        <v>1.0</v>
      </c>
      <c r="F5891" s="59">
        <v>0.0</v>
      </c>
      <c r="G5891" s="60">
        <v>1.0</v>
      </c>
      <c r="H5891" s="60">
        <v>0.0</v>
      </c>
      <c r="I5891" s="60">
        <v>139.056761</v>
      </c>
      <c r="J5891" s="59">
        <v>1.0</v>
      </c>
      <c r="K5891" s="61">
        <f t="shared" si="1"/>
        <v>0</v>
      </c>
      <c r="L5891" s="62">
        <f t="shared" si="2"/>
        <v>1</v>
      </c>
    </row>
    <row r="5892">
      <c r="A5892" s="58">
        <v>45717.0</v>
      </c>
      <c r="B5892" s="24" t="s">
        <v>6787</v>
      </c>
      <c r="C5892" s="24" t="s">
        <v>7236</v>
      </c>
      <c r="D5892" s="59">
        <v>1.0</v>
      </c>
      <c r="E5892" s="59">
        <v>1.0</v>
      </c>
      <c r="F5892" s="59">
        <v>0.0</v>
      </c>
      <c r="G5892" s="60">
        <v>1.0</v>
      </c>
      <c r="H5892" s="60">
        <v>0.0</v>
      </c>
      <c r="I5892" s="60">
        <v>11.004921</v>
      </c>
      <c r="J5892" s="59">
        <v>1.0</v>
      </c>
      <c r="K5892" s="61">
        <f t="shared" si="1"/>
        <v>0</v>
      </c>
      <c r="L5892" s="62">
        <f t="shared" si="2"/>
        <v>1</v>
      </c>
    </row>
    <row r="5893">
      <c r="A5893" s="58">
        <v>45717.0</v>
      </c>
      <c r="B5893" s="24" t="s">
        <v>6790</v>
      </c>
      <c r="C5893" s="24" t="s">
        <v>7236</v>
      </c>
      <c r="D5893" s="59">
        <v>1.0</v>
      </c>
      <c r="E5893" s="59">
        <v>1.0</v>
      </c>
      <c r="F5893" s="59">
        <v>1.0</v>
      </c>
      <c r="G5893" s="60">
        <v>1.0</v>
      </c>
      <c r="H5893" s="60">
        <v>1.0</v>
      </c>
      <c r="I5893" s="60">
        <v>0.0</v>
      </c>
      <c r="J5893" s="59">
        <v>1.0</v>
      </c>
      <c r="K5893" s="61">
        <f t="shared" si="1"/>
        <v>1</v>
      </c>
      <c r="L5893" s="62">
        <f t="shared" si="2"/>
        <v>1</v>
      </c>
    </row>
    <row r="5894">
      <c r="A5894" s="58">
        <v>45717.0</v>
      </c>
      <c r="B5894" s="24" t="s">
        <v>155</v>
      </c>
      <c r="C5894" s="24" t="s">
        <v>6808</v>
      </c>
      <c r="D5894" s="59">
        <v>1.0</v>
      </c>
      <c r="E5894" s="59">
        <v>1.0</v>
      </c>
      <c r="F5894" s="59">
        <v>0.0</v>
      </c>
      <c r="G5894" s="60">
        <v>1.0</v>
      </c>
      <c r="H5894" s="60">
        <v>0.0</v>
      </c>
      <c r="I5894" s="60">
        <v>22.648855</v>
      </c>
      <c r="J5894" s="59">
        <v>1.0</v>
      </c>
      <c r="K5894" s="61">
        <f t="shared" si="1"/>
        <v>0</v>
      </c>
      <c r="L5894" s="62">
        <f t="shared" si="2"/>
        <v>1</v>
      </c>
    </row>
    <row r="5895">
      <c r="A5895" s="58">
        <v>45717.0</v>
      </c>
      <c r="B5895" s="24" t="s">
        <v>155</v>
      </c>
      <c r="C5895" s="24" t="s">
        <v>7087</v>
      </c>
      <c r="D5895" s="59">
        <v>1.0</v>
      </c>
      <c r="E5895" s="59">
        <v>1.0</v>
      </c>
      <c r="F5895" s="59">
        <v>0.0</v>
      </c>
      <c r="G5895" s="60">
        <v>1.0</v>
      </c>
      <c r="H5895" s="60">
        <v>0.0</v>
      </c>
      <c r="I5895" s="60">
        <v>692.324594</v>
      </c>
      <c r="J5895" s="59">
        <v>1.0</v>
      </c>
      <c r="K5895" s="61">
        <f t="shared" si="1"/>
        <v>0</v>
      </c>
      <c r="L5895" s="62">
        <f t="shared" si="2"/>
        <v>1</v>
      </c>
    </row>
    <row r="5896">
      <c r="A5896" s="58">
        <v>45717.0</v>
      </c>
      <c r="B5896" s="24" t="s">
        <v>6787</v>
      </c>
      <c r="C5896" s="24" t="s">
        <v>7035</v>
      </c>
      <c r="D5896" s="59">
        <v>1.0</v>
      </c>
      <c r="E5896" s="59">
        <v>1.0</v>
      </c>
      <c r="F5896" s="59">
        <v>1.0</v>
      </c>
      <c r="G5896" s="60">
        <v>1.0</v>
      </c>
      <c r="H5896" s="60">
        <v>0.0</v>
      </c>
      <c r="I5896" s="60">
        <v>32.995195</v>
      </c>
      <c r="J5896" s="59">
        <v>2.0</v>
      </c>
      <c r="K5896" s="61">
        <f t="shared" si="1"/>
        <v>1</v>
      </c>
      <c r="L5896" s="62">
        <f t="shared" si="2"/>
        <v>2</v>
      </c>
    </row>
    <row r="5897">
      <c r="A5897" s="58">
        <v>45717.0</v>
      </c>
      <c r="B5897" s="24" t="s">
        <v>6787</v>
      </c>
      <c r="C5897" s="24" t="s">
        <v>7026</v>
      </c>
      <c r="D5897" s="59">
        <v>1.0</v>
      </c>
      <c r="E5897" s="59">
        <v>1.0</v>
      </c>
      <c r="F5897" s="59">
        <v>0.0</v>
      </c>
      <c r="G5897" s="60">
        <v>1.0</v>
      </c>
      <c r="H5897" s="60">
        <v>0.0</v>
      </c>
      <c r="I5897" s="60">
        <v>25.996819</v>
      </c>
      <c r="J5897" s="59">
        <v>4.0</v>
      </c>
      <c r="K5897" s="61">
        <f t="shared" si="1"/>
        <v>0</v>
      </c>
      <c r="L5897" s="62">
        <f t="shared" si="2"/>
        <v>4</v>
      </c>
    </row>
    <row r="5898">
      <c r="A5898" s="58">
        <v>45717.0</v>
      </c>
      <c r="B5898" s="24" t="s">
        <v>6789</v>
      </c>
      <c r="C5898" s="24" t="s">
        <v>7043</v>
      </c>
      <c r="D5898" s="59">
        <v>1.0</v>
      </c>
      <c r="E5898" s="59">
        <v>1.0</v>
      </c>
      <c r="F5898" s="59">
        <v>1.0</v>
      </c>
      <c r="G5898" s="60">
        <v>1.0</v>
      </c>
      <c r="H5898" s="60">
        <v>1.0</v>
      </c>
      <c r="I5898" s="60">
        <v>0.0</v>
      </c>
      <c r="J5898" s="59">
        <v>1.0</v>
      </c>
      <c r="K5898" s="61">
        <f t="shared" si="1"/>
        <v>1</v>
      </c>
      <c r="L5898" s="62">
        <f t="shared" si="2"/>
        <v>1</v>
      </c>
    </row>
    <row r="5899">
      <c r="A5899" s="58">
        <v>45717.0</v>
      </c>
      <c r="B5899" s="24" t="s">
        <v>6789</v>
      </c>
      <c r="C5899" s="24" t="s">
        <v>7090</v>
      </c>
      <c r="D5899" s="59">
        <v>1.0</v>
      </c>
      <c r="E5899" s="59">
        <v>1.0</v>
      </c>
      <c r="F5899" s="59">
        <v>1.0</v>
      </c>
      <c r="G5899" s="60">
        <v>1.0</v>
      </c>
      <c r="H5899" s="60">
        <v>1.0</v>
      </c>
      <c r="I5899" s="60">
        <v>0.0</v>
      </c>
      <c r="J5899" s="59">
        <v>1.0</v>
      </c>
      <c r="K5899" s="61">
        <f t="shared" si="1"/>
        <v>1</v>
      </c>
      <c r="L5899" s="62">
        <f t="shared" si="2"/>
        <v>1</v>
      </c>
    </row>
    <row r="5900">
      <c r="A5900" s="58">
        <v>45717.0</v>
      </c>
      <c r="B5900" s="24" t="s">
        <v>6790</v>
      </c>
      <c r="C5900" s="24" t="s">
        <v>7190</v>
      </c>
      <c r="D5900" s="59">
        <v>1.0</v>
      </c>
      <c r="E5900" s="59">
        <v>1.0</v>
      </c>
      <c r="F5900" s="59">
        <v>0.0</v>
      </c>
      <c r="G5900" s="60">
        <v>1.0</v>
      </c>
      <c r="H5900" s="60">
        <v>1.0</v>
      </c>
      <c r="I5900" s="60">
        <v>5.46E-4</v>
      </c>
      <c r="J5900" s="59">
        <v>3.0</v>
      </c>
      <c r="K5900" s="61">
        <f t="shared" si="1"/>
        <v>0</v>
      </c>
      <c r="L5900" s="62">
        <f t="shared" si="2"/>
        <v>3</v>
      </c>
    </row>
    <row r="5901">
      <c r="A5901" s="58">
        <v>45717.0</v>
      </c>
      <c r="B5901" s="24" t="s">
        <v>6787</v>
      </c>
      <c r="C5901" s="24" t="s">
        <v>7022</v>
      </c>
      <c r="D5901" s="59">
        <v>1.0</v>
      </c>
      <c r="E5901" s="59">
        <v>1.0</v>
      </c>
      <c r="F5901" s="59">
        <v>1.0</v>
      </c>
      <c r="G5901" s="60">
        <v>1.0</v>
      </c>
      <c r="H5901" s="60">
        <v>1.0</v>
      </c>
      <c r="I5901" s="60">
        <v>0.0</v>
      </c>
      <c r="J5901" s="59">
        <v>1.0</v>
      </c>
      <c r="K5901" s="61">
        <f t="shared" si="1"/>
        <v>1</v>
      </c>
      <c r="L5901" s="62">
        <f t="shared" si="2"/>
        <v>1</v>
      </c>
    </row>
    <row r="5902">
      <c r="A5902" s="58">
        <v>45717.0</v>
      </c>
      <c r="B5902" s="24" t="s">
        <v>6789</v>
      </c>
      <c r="C5902" s="24" t="s">
        <v>7036</v>
      </c>
      <c r="D5902" s="59">
        <v>1.0</v>
      </c>
      <c r="E5902" s="59">
        <v>1.0</v>
      </c>
      <c r="F5902" s="59">
        <v>1.0</v>
      </c>
      <c r="G5902" s="60">
        <v>1.0</v>
      </c>
      <c r="H5902" s="60">
        <v>0.0</v>
      </c>
      <c r="I5902" s="60">
        <v>289.949994</v>
      </c>
      <c r="J5902" s="59">
        <v>1.0</v>
      </c>
      <c r="K5902" s="61">
        <f t="shared" si="1"/>
        <v>1</v>
      </c>
      <c r="L5902" s="62">
        <f t="shared" si="2"/>
        <v>1</v>
      </c>
    </row>
    <row r="5903">
      <c r="A5903" s="58">
        <v>45717.0</v>
      </c>
      <c r="B5903" s="24" t="s">
        <v>6789</v>
      </c>
      <c r="C5903" s="24" t="s">
        <v>7161</v>
      </c>
      <c r="D5903" s="59">
        <v>1.0</v>
      </c>
      <c r="E5903" s="59">
        <v>1.0</v>
      </c>
      <c r="F5903" s="59">
        <v>1.0</v>
      </c>
      <c r="G5903" s="60">
        <v>1.0</v>
      </c>
      <c r="H5903" s="60">
        <v>0.0</v>
      </c>
      <c r="I5903" s="60">
        <v>1793.750637</v>
      </c>
      <c r="J5903" s="59">
        <v>1.0</v>
      </c>
      <c r="K5903" s="61">
        <f t="shared" si="1"/>
        <v>1</v>
      </c>
      <c r="L5903" s="62">
        <f t="shared" si="2"/>
        <v>1</v>
      </c>
    </row>
    <row r="5904">
      <c r="A5904" s="58">
        <v>45717.0</v>
      </c>
      <c r="B5904" s="24" t="s">
        <v>6789</v>
      </c>
      <c r="C5904" s="24" t="s">
        <v>7130</v>
      </c>
      <c r="D5904" s="59">
        <v>1.0</v>
      </c>
      <c r="E5904" s="59">
        <v>1.0</v>
      </c>
      <c r="F5904" s="59">
        <v>1.0</v>
      </c>
      <c r="G5904" s="60">
        <v>1.0</v>
      </c>
      <c r="H5904" s="60">
        <v>0.0</v>
      </c>
      <c r="I5904" s="60">
        <v>446.618784</v>
      </c>
      <c r="J5904" s="59">
        <v>1.0</v>
      </c>
      <c r="K5904" s="61">
        <f t="shared" si="1"/>
        <v>1</v>
      </c>
      <c r="L5904" s="62">
        <f t="shared" si="2"/>
        <v>1</v>
      </c>
    </row>
    <row r="5905">
      <c r="A5905" s="58">
        <v>45717.0</v>
      </c>
      <c r="B5905" s="24" t="s">
        <v>6789</v>
      </c>
      <c r="C5905" s="24" t="s">
        <v>7186</v>
      </c>
      <c r="D5905" s="59">
        <v>1.0</v>
      </c>
      <c r="E5905" s="59">
        <v>1.0</v>
      </c>
      <c r="F5905" s="59">
        <v>1.0</v>
      </c>
      <c r="G5905" s="60">
        <v>1.0</v>
      </c>
      <c r="H5905" s="60">
        <v>1.0</v>
      </c>
      <c r="I5905" s="60">
        <v>0.0</v>
      </c>
      <c r="J5905" s="59">
        <v>1.0</v>
      </c>
      <c r="K5905" s="61">
        <f t="shared" si="1"/>
        <v>1</v>
      </c>
      <c r="L5905" s="62">
        <f t="shared" si="2"/>
        <v>1</v>
      </c>
    </row>
    <row r="5906">
      <c r="A5906" s="58">
        <v>45717.0</v>
      </c>
      <c r="B5906" s="24" t="s">
        <v>155</v>
      </c>
      <c r="C5906" s="24" t="s">
        <v>7137</v>
      </c>
      <c r="D5906" s="59">
        <v>1.0</v>
      </c>
      <c r="E5906" s="59">
        <v>1.0</v>
      </c>
      <c r="F5906" s="59">
        <v>0.0</v>
      </c>
      <c r="G5906" s="60">
        <v>1.0</v>
      </c>
      <c r="H5906" s="60">
        <v>0.0</v>
      </c>
      <c r="I5906" s="60">
        <v>1620.024245</v>
      </c>
      <c r="J5906" s="59">
        <v>1.0</v>
      </c>
      <c r="K5906" s="61">
        <f t="shared" si="1"/>
        <v>0</v>
      </c>
      <c r="L5906" s="62">
        <f t="shared" si="2"/>
        <v>1</v>
      </c>
    </row>
    <row r="5907">
      <c r="A5907" s="58">
        <v>45717.0</v>
      </c>
      <c r="B5907" s="24" t="s">
        <v>6789</v>
      </c>
      <c r="C5907" s="24" t="s">
        <v>7138</v>
      </c>
      <c r="D5907" s="59">
        <v>1.0</v>
      </c>
      <c r="E5907" s="59">
        <v>1.0</v>
      </c>
      <c r="F5907" s="59">
        <v>1.0</v>
      </c>
      <c r="G5907" s="60">
        <v>1.0</v>
      </c>
      <c r="H5907" s="60">
        <v>0.0</v>
      </c>
      <c r="I5907" s="60">
        <v>18.371297</v>
      </c>
      <c r="J5907" s="59">
        <v>2.0</v>
      </c>
      <c r="K5907" s="61">
        <f t="shared" si="1"/>
        <v>1</v>
      </c>
      <c r="L5907" s="62">
        <f t="shared" si="2"/>
        <v>2</v>
      </c>
    </row>
    <row r="5908">
      <c r="A5908" s="58">
        <v>45717.0</v>
      </c>
      <c r="B5908" s="24" t="s">
        <v>155</v>
      </c>
      <c r="C5908" s="24" t="s">
        <v>7138</v>
      </c>
      <c r="D5908" s="59">
        <v>1.0</v>
      </c>
      <c r="E5908" s="59">
        <v>1.0</v>
      </c>
      <c r="F5908" s="59">
        <v>1.0</v>
      </c>
      <c r="G5908" s="60">
        <v>1.0</v>
      </c>
      <c r="H5908" s="60">
        <v>0.0</v>
      </c>
      <c r="I5908" s="60">
        <v>1807.553474</v>
      </c>
      <c r="J5908" s="59">
        <v>2.0</v>
      </c>
      <c r="K5908" s="61">
        <f t="shared" si="1"/>
        <v>1</v>
      </c>
      <c r="L5908" s="62">
        <f t="shared" si="2"/>
        <v>2</v>
      </c>
    </row>
    <row r="5909">
      <c r="A5909" s="58">
        <v>45717.0</v>
      </c>
      <c r="B5909" s="24" t="s">
        <v>6787</v>
      </c>
      <c r="C5909" s="24" t="s">
        <v>7184</v>
      </c>
      <c r="D5909" s="59">
        <v>1.0</v>
      </c>
      <c r="E5909" s="59">
        <v>1.0</v>
      </c>
      <c r="F5909" s="59">
        <v>1.0</v>
      </c>
      <c r="G5909" s="60">
        <v>1.0</v>
      </c>
      <c r="H5909" s="60">
        <v>1.0</v>
      </c>
      <c r="I5909" s="60">
        <v>0.0</v>
      </c>
      <c r="J5909" s="59">
        <v>1.0</v>
      </c>
      <c r="K5909" s="61">
        <f t="shared" si="1"/>
        <v>1</v>
      </c>
      <c r="L5909" s="62">
        <f t="shared" si="2"/>
        <v>1</v>
      </c>
    </row>
    <row r="5910">
      <c r="A5910" s="58">
        <v>45717.0</v>
      </c>
      <c r="B5910" s="24" t="s">
        <v>6787</v>
      </c>
      <c r="C5910" s="24" t="s">
        <v>7170</v>
      </c>
      <c r="D5910" s="59">
        <v>1.0</v>
      </c>
      <c r="E5910" s="59">
        <v>2.0</v>
      </c>
      <c r="F5910" s="59">
        <v>1.0</v>
      </c>
      <c r="G5910" s="60">
        <v>2.0</v>
      </c>
      <c r="H5910" s="60">
        <v>1.0</v>
      </c>
      <c r="I5910" s="60">
        <v>0.0</v>
      </c>
      <c r="J5910" s="59">
        <v>2.0</v>
      </c>
      <c r="K5910" s="61">
        <f t="shared" si="1"/>
        <v>0.5</v>
      </c>
      <c r="L5910" s="62">
        <f t="shared" si="2"/>
        <v>1</v>
      </c>
    </row>
    <row r="5911">
      <c r="A5911" s="58">
        <v>45717.0</v>
      </c>
      <c r="B5911" s="24" t="s">
        <v>6789</v>
      </c>
      <c r="C5911" s="24" t="s">
        <v>6800</v>
      </c>
      <c r="D5911" s="59">
        <v>1.0</v>
      </c>
      <c r="E5911" s="59">
        <v>1.0</v>
      </c>
      <c r="F5911" s="59">
        <v>0.0</v>
      </c>
      <c r="G5911" s="60">
        <v>0.0</v>
      </c>
      <c r="H5911" s="60">
        <v>1.0</v>
      </c>
      <c r="I5911" s="60">
        <v>0.0</v>
      </c>
      <c r="J5911" s="59">
        <v>1.0</v>
      </c>
      <c r="K5911" s="61">
        <f t="shared" si="1"/>
        <v>0</v>
      </c>
      <c r="L5911" s="62">
        <f t="shared" si="2"/>
        <v>1</v>
      </c>
    </row>
    <row r="5912">
      <c r="A5912" s="58">
        <v>45717.0</v>
      </c>
      <c r="B5912" s="24" t="s">
        <v>6787</v>
      </c>
      <c r="C5912" s="24" t="s">
        <v>7013</v>
      </c>
      <c r="D5912" s="59">
        <v>1.0</v>
      </c>
      <c r="E5912" s="59">
        <v>1.0</v>
      </c>
      <c r="F5912" s="59">
        <v>1.0</v>
      </c>
      <c r="G5912" s="60">
        <v>1.0</v>
      </c>
      <c r="H5912" s="60">
        <v>1.0</v>
      </c>
      <c r="I5912" s="60">
        <v>0.0</v>
      </c>
      <c r="J5912" s="59">
        <v>1.0</v>
      </c>
      <c r="K5912" s="61">
        <f t="shared" si="1"/>
        <v>1</v>
      </c>
      <c r="L5912" s="62">
        <f t="shared" si="2"/>
        <v>1</v>
      </c>
    </row>
    <row r="5913">
      <c r="A5913" s="58">
        <v>45717.0</v>
      </c>
      <c r="B5913" s="24" t="s">
        <v>6789</v>
      </c>
      <c r="C5913" s="24" t="s">
        <v>7013</v>
      </c>
      <c r="D5913" s="59">
        <v>1.0</v>
      </c>
      <c r="E5913" s="59">
        <v>1.0</v>
      </c>
      <c r="F5913" s="59">
        <v>1.0</v>
      </c>
      <c r="G5913" s="60">
        <v>1.0</v>
      </c>
      <c r="H5913" s="60">
        <v>0.0</v>
      </c>
      <c r="I5913" s="60">
        <v>30.291018</v>
      </c>
      <c r="J5913" s="59">
        <v>1.0</v>
      </c>
      <c r="K5913" s="61">
        <f t="shared" si="1"/>
        <v>1</v>
      </c>
      <c r="L5913" s="62">
        <f t="shared" si="2"/>
        <v>1</v>
      </c>
    </row>
    <row r="5914">
      <c r="A5914" s="58">
        <v>45717.0</v>
      </c>
      <c r="B5914" s="24" t="s">
        <v>155</v>
      </c>
      <c r="C5914" s="24" t="s">
        <v>6960</v>
      </c>
      <c r="D5914" s="59">
        <v>1.0</v>
      </c>
      <c r="E5914" s="59">
        <v>1.0</v>
      </c>
      <c r="F5914" s="59">
        <v>1.0</v>
      </c>
      <c r="G5914" s="60">
        <v>1.0</v>
      </c>
      <c r="H5914" s="60">
        <v>0.0</v>
      </c>
      <c r="I5914" s="60">
        <v>43.600475</v>
      </c>
      <c r="J5914" s="59">
        <v>1.0</v>
      </c>
      <c r="K5914" s="61">
        <f t="shared" si="1"/>
        <v>1</v>
      </c>
      <c r="L5914" s="62">
        <f t="shared" si="2"/>
        <v>1</v>
      </c>
    </row>
    <row r="5915">
      <c r="A5915" s="58">
        <v>45717.0</v>
      </c>
      <c r="B5915" s="24" t="s">
        <v>6790</v>
      </c>
      <c r="C5915" s="24" t="s">
        <v>6960</v>
      </c>
      <c r="D5915" s="59">
        <v>1.0</v>
      </c>
      <c r="E5915" s="59">
        <v>1.0</v>
      </c>
      <c r="F5915" s="59">
        <v>1.0</v>
      </c>
      <c r="G5915" s="60">
        <v>1.0</v>
      </c>
      <c r="H5915" s="60">
        <v>1.0</v>
      </c>
      <c r="I5915" s="60">
        <v>0.0</v>
      </c>
      <c r="J5915" s="59">
        <v>1.0</v>
      </c>
      <c r="K5915" s="61">
        <f t="shared" si="1"/>
        <v>1</v>
      </c>
      <c r="L5915" s="62">
        <f t="shared" si="2"/>
        <v>1</v>
      </c>
    </row>
    <row r="5916">
      <c r="A5916" s="58">
        <v>45717.0</v>
      </c>
      <c r="B5916" s="24" t="s">
        <v>6794</v>
      </c>
      <c r="C5916" s="24" t="s">
        <v>6809</v>
      </c>
      <c r="D5916" s="59">
        <v>1.0</v>
      </c>
      <c r="E5916" s="59">
        <v>1.0</v>
      </c>
      <c r="F5916" s="59">
        <v>0.0</v>
      </c>
      <c r="G5916" s="60">
        <v>1.0</v>
      </c>
      <c r="H5916" s="60">
        <v>0.0</v>
      </c>
      <c r="I5916" s="60">
        <v>27.31908</v>
      </c>
      <c r="J5916" s="59">
        <v>2.0</v>
      </c>
      <c r="K5916" s="61">
        <f t="shared" si="1"/>
        <v>0</v>
      </c>
      <c r="L5916" s="62">
        <f t="shared" si="2"/>
        <v>2</v>
      </c>
    </row>
    <row r="5917">
      <c r="A5917" s="58">
        <v>45717.0</v>
      </c>
      <c r="B5917" s="24" t="s">
        <v>7100</v>
      </c>
      <c r="C5917" s="24" t="s">
        <v>6809</v>
      </c>
      <c r="D5917" s="59">
        <v>1.0</v>
      </c>
      <c r="E5917" s="59">
        <v>2.0</v>
      </c>
      <c r="F5917" s="59">
        <v>1.0</v>
      </c>
      <c r="G5917" s="60">
        <v>2.0</v>
      </c>
      <c r="H5917" s="60">
        <v>0.5</v>
      </c>
      <c r="I5917" s="60">
        <v>600.0684</v>
      </c>
      <c r="J5917" s="59">
        <v>8.0</v>
      </c>
      <c r="K5917" s="61">
        <f t="shared" si="1"/>
        <v>0.5</v>
      </c>
      <c r="L5917" s="62">
        <f t="shared" si="2"/>
        <v>4</v>
      </c>
    </row>
    <row r="5918">
      <c r="A5918" s="58">
        <v>45717.0</v>
      </c>
      <c r="B5918" s="24" t="s">
        <v>6787</v>
      </c>
      <c r="C5918" s="24" t="s">
        <v>7101</v>
      </c>
      <c r="D5918" s="59">
        <v>1.0</v>
      </c>
      <c r="E5918" s="59">
        <v>1.0</v>
      </c>
      <c r="F5918" s="59">
        <v>1.0</v>
      </c>
      <c r="G5918" s="60">
        <v>1.0</v>
      </c>
      <c r="H5918" s="60">
        <v>1.0</v>
      </c>
      <c r="I5918" s="60">
        <v>0.639336</v>
      </c>
      <c r="J5918" s="59">
        <v>1.0</v>
      </c>
      <c r="K5918" s="61">
        <f t="shared" si="1"/>
        <v>1</v>
      </c>
      <c r="L5918" s="62">
        <f t="shared" si="2"/>
        <v>1</v>
      </c>
    </row>
    <row r="5919">
      <c r="A5919" s="58">
        <v>45717.0</v>
      </c>
      <c r="B5919" s="24" t="s">
        <v>6794</v>
      </c>
      <c r="C5919" s="24" t="s">
        <v>6849</v>
      </c>
      <c r="D5919" s="59">
        <v>1.0</v>
      </c>
      <c r="E5919" s="59">
        <v>1.0</v>
      </c>
      <c r="F5919" s="59">
        <v>0.0</v>
      </c>
      <c r="G5919" s="60">
        <v>1.0</v>
      </c>
      <c r="H5919" s="60">
        <v>0.0</v>
      </c>
      <c r="I5919" s="60">
        <v>413.234746</v>
      </c>
      <c r="J5919" s="59">
        <v>2.0</v>
      </c>
      <c r="K5919" s="61">
        <f t="shared" si="1"/>
        <v>0</v>
      </c>
      <c r="L5919" s="62">
        <f t="shared" si="2"/>
        <v>2</v>
      </c>
    </row>
    <row r="5920">
      <c r="A5920" s="58">
        <v>45717.0</v>
      </c>
      <c r="B5920" s="24" t="s">
        <v>155</v>
      </c>
      <c r="C5920" s="24" t="s">
        <v>6849</v>
      </c>
      <c r="D5920" s="59">
        <v>1.0</v>
      </c>
      <c r="E5920" s="59">
        <v>1.0</v>
      </c>
      <c r="F5920" s="59">
        <v>0.0</v>
      </c>
      <c r="G5920" s="60">
        <v>1.0</v>
      </c>
      <c r="H5920" s="60">
        <v>1.0</v>
      </c>
      <c r="I5920" s="60">
        <v>5.244118</v>
      </c>
      <c r="J5920" s="59">
        <v>1.0</v>
      </c>
      <c r="K5920" s="61">
        <f t="shared" si="1"/>
        <v>0</v>
      </c>
      <c r="L5920" s="62">
        <f t="shared" si="2"/>
        <v>1</v>
      </c>
    </row>
    <row r="5921">
      <c r="A5921" s="58">
        <v>45717.0</v>
      </c>
      <c r="B5921" s="24" t="s">
        <v>6787</v>
      </c>
      <c r="C5921" s="24" t="s">
        <v>7044</v>
      </c>
      <c r="D5921" s="59">
        <v>1.0</v>
      </c>
      <c r="E5921" s="59">
        <v>1.0</v>
      </c>
      <c r="F5921" s="59">
        <v>1.0</v>
      </c>
      <c r="G5921" s="60">
        <v>1.0</v>
      </c>
      <c r="H5921" s="60">
        <v>1.0</v>
      </c>
      <c r="I5921" s="60">
        <v>0.0</v>
      </c>
      <c r="J5921" s="59">
        <v>1.0</v>
      </c>
      <c r="K5921" s="61">
        <f t="shared" si="1"/>
        <v>1</v>
      </c>
      <c r="L5921" s="62">
        <f t="shared" si="2"/>
        <v>1</v>
      </c>
    </row>
    <row r="5922">
      <c r="A5922" s="58">
        <v>45717.0</v>
      </c>
      <c r="B5922" s="24" t="s">
        <v>6787</v>
      </c>
      <c r="C5922" s="24" t="s">
        <v>6908</v>
      </c>
      <c r="D5922" s="59">
        <v>1.0</v>
      </c>
      <c r="E5922" s="59">
        <v>1.0</v>
      </c>
      <c r="F5922" s="59">
        <v>1.0</v>
      </c>
      <c r="G5922" s="60">
        <v>1.0</v>
      </c>
      <c r="H5922" s="60">
        <v>1.0</v>
      </c>
      <c r="I5922" s="60">
        <v>0.0</v>
      </c>
      <c r="J5922" s="59">
        <v>1.0</v>
      </c>
      <c r="K5922" s="61">
        <f t="shared" si="1"/>
        <v>1</v>
      </c>
      <c r="L5922" s="62">
        <f t="shared" si="2"/>
        <v>1</v>
      </c>
    </row>
    <row r="5923">
      <c r="A5923" s="58">
        <v>45717.0</v>
      </c>
      <c r="B5923" s="24" t="s">
        <v>3216</v>
      </c>
      <c r="C5923" s="24" t="s">
        <v>7313</v>
      </c>
      <c r="D5923" s="59">
        <v>1.0</v>
      </c>
      <c r="E5923" s="59">
        <v>2.0</v>
      </c>
      <c r="F5923" s="59">
        <v>0.0</v>
      </c>
      <c r="G5923" s="60">
        <v>2.0</v>
      </c>
      <c r="H5923" s="60">
        <v>0.0</v>
      </c>
      <c r="I5923" s="60">
        <v>20.551467</v>
      </c>
      <c r="J5923" s="59">
        <v>3.0</v>
      </c>
      <c r="K5923" s="61">
        <f t="shared" si="1"/>
        <v>0</v>
      </c>
      <c r="L5923" s="62">
        <f t="shared" si="2"/>
        <v>1.5</v>
      </c>
    </row>
    <row r="5924">
      <c r="A5924" s="58">
        <v>45717.0</v>
      </c>
      <c r="B5924" s="24" t="s">
        <v>6787</v>
      </c>
      <c r="C5924" s="24" t="s">
        <v>7443</v>
      </c>
      <c r="D5924" s="59">
        <v>1.0</v>
      </c>
      <c r="E5924" s="59">
        <v>1.0</v>
      </c>
      <c r="F5924" s="59">
        <v>1.0</v>
      </c>
      <c r="G5924" s="60">
        <v>1.0</v>
      </c>
      <c r="H5924" s="60">
        <v>1.0</v>
      </c>
      <c r="I5924" s="60">
        <v>0.0</v>
      </c>
      <c r="J5924" s="59">
        <v>1.0</v>
      </c>
      <c r="K5924" s="61">
        <f t="shared" si="1"/>
        <v>1</v>
      </c>
      <c r="L5924" s="62">
        <f t="shared" si="2"/>
        <v>1</v>
      </c>
    </row>
    <row r="5925">
      <c r="A5925" s="58">
        <v>45717.0</v>
      </c>
      <c r="B5925" s="24" t="s">
        <v>6789</v>
      </c>
      <c r="C5925" s="24" t="s">
        <v>7443</v>
      </c>
      <c r="D5925" s="59">
        <v>1.0</v>
      </c>
      <c r="E5925" s="59">
        <v>1.0</v>
      </c>
      <c r="F5925" s="59">
        <v>0.0</v>
      </c>
      <c r="G5925" s="60">
        <v>1.0</v>
      </c>
      <c r="H5925" s="60">
        <v>0.0</v>
      </c>
      <c r="I5925" s="60">
        <v>2877.944669</v>
      </c>
      <c r="J5925" s="59">
        <v>9.0</v>
      </c>
      <c r="K5925" s="61">
        <f t="shared" si="1"/>
        <v>0</v>
      </c>
      <c r="L5925" s="62">
        <f t="shared" si="2"/>
        <v>9</v>
      </c>
    </row>
    <row r="5926">
      <c r="A5926" s="58">
        <v>45717.0</v>
      </c>
      <c r="B5926" s="24" t="s">
        <v>7100</v>
      </c>
      <c r="C5926" s="24" t="s">
        <v>7443</v>
      </c>
      <c r="D5926" s="59">
        <v>1.0</v>
      </c>
      <c r="E5926" s="59">
        <v>1.0</v>
      </c>
      <c r="F5926" s="59">
        <v>1.0</v>
      </c>
      <c r="G5926" s="60">
        <v>1.0</v>
      </c>
      <c r="H5926" s="60">
        <v>0.0</v>
      </c>
      <c r="I5926" s="60">
        <v>135.82537</v>
      </c>
      <c r="J5926" s="59">
        <v>3.0</v>
      </c>
      <c r="K5926" s="61">
        <f t="shared" si="1"/>
        <v>1</v>
      </c>
      <c r="L5926" s="62">
        <f t="shared" si="2"/>
        <v>3</v>
      </c>
    </row>
    <row r="5927">
      <c r="A5927" s="58">
        <v>45717.0</v>
      </c>
      <c r="B5927" s="24" t="s">
        <v>6794</v>
      </c>
      <c r="C5927" s="24" t="s">
        <v>6801</v>
      </c>
      <c r="D5927" s="59">
        <v>1.0</v>
      </c>
      <c r="E5927" s="59">
        <v>1.0</v>
      </c>
      <c r="F5927" s="59">
        <v>0.0</v>
      </c>
      <c r="G5927" s="60">
        <v>1.0</v>
      </c>
      <c r="H5927" s="60">
        <v>1.0</v>
      </c>
      <c r="I5927" s="60">
        <v>4.112141</v>
      </c>
      <c r="J5927" s="59">
        <v>1.0</v>
      </c>
      <c r="K5927" s="61">
        <f t="shared" si="1"/>
        <v>0</v>
      </c>
      <c r="L5927" s="62">
        <f t="shared" si="2"/>
        <v>1</v>
      </c>
    </row>
    <row r="5928">
      <c r="A5928" s="58">
        <v>45717.0</v>
      </c>
      <c r="B5928" s="24" t="s">
        <v>6787</v>
      </c>
      <c r="C5928" s="24" t="s">
        <v>7104</v>
      </c>
      <c r="D5928" s="59">
        <v>1.0</v>
      </c>
      <c r="E5928" s="59">
        <v>1.0</v>
      </c>
      <c r="F5928" s="59">
        <v>1.0</v>
      </c>
      <c r="G5928" s="60">
        <v>1.0</v>
      </c>
      <c r="H5928" s="60">
        <v>1.0</v>
      </c>
      <c r="I5928" s="60">
        <v>0.0</v>
      </c>
      <c r="J5928" s="59">
        <v>1.0</v>
      </c>
      <c r="K5928" s="61">
        <f t="shared" si="1"/>
        <v>1</v>
      </c>
      <c r="L5928" s="62">
        <f t="shared" si="2"/>
        <v>1</v>
      </c>
    </row>
    <row r="5929">
      <c r="A5929" s="58">
        <v>45717.0</v>
      </c>
      <c r="B5929" s="24" t="s">
        <v>6789</v>
      </c>
      <c r="C5929" s="24" t="s">
        <v>7023</v>
      </c>
      <c r="D5929" s="59">
        <v>1.0</v>
      </c>
      <c r="E5929" s="59">
        <v>1.0</v>
      </c>
      <c r="F5929" s="59">
        <v>1.0</v>
      </c>
      <c r="G5929" s="60">
        <v>1.0</v>
      </c>
      <c r="H5929" s="60">
        <v>0.0</v>
      </c>
      <c r="I5929" s="60">
        <v>48.168087</v>
      </c>
      <c r="J5929" s="59">
        <v>4.0</v>
      </c>
      <c r="K5929" s="61">
        <f t="shared" si="1"/>
        <v>1</v>
      </c>
      <c r="L5929" s="62">
        <f t="shared" si="2"/>
        <v>4</v>
      </c>
    </row>
    <row r="5930">
      <c r="A5930" s="58">
        <v>45717.0</v>
      </c>
      <c r="B5930" s="24" t="s">
        <v>6787</v>
      </c>
      <c r="C5930" s="24" t="s">
        <v>7174</v>
      </c>
      <c r="D5930" s="59">
        <v>1.0</v>
      </c>
      <c r="E5930" s="59">
        <v>1.0</v>
      </c>
      <c r="F5930" s="59">
        <v>1.0</v>
      </c>
      <c r="G5930" s="60">
        <v>1.0</v>
      </c>
      <c r="H5930" s="60">
        <v>1.0</v>
      </c>
      <c r="I5930" s="60">
        <v>0.0</v>
      </c>
      <c r="J5930" s="59">
        <v>1.0</v>
      </c>
      <c r="K5930" s="61">
        <f t="shared" si="1"/>
        <v>1</v>
      </c>
      <c r="L5930" s="62">
        <f t="shared" si="2"/>
        <v>1</v>
      </c>
    </row>
    <row r="5931">
      <c r="A5931" s="58">
        <v>45717.0</v>
      </c>
      <c r="B5931" s="24" t="s">
        <v>6789</v>
      </c>
      <c r="C5931" s="24" t="s">
        <v>7192</v>
      </c>
      <c r="D5931" s="59">
        <v>1.0</v>
      </c>
      <c r="E5931" s="59">
        <v>1.0</v>
      </c>
      <c r="F5931" s="59">
        <v>0.0</v>
      </c>
      <c r="G5931" s="60">
        <v>1.0</v>
      </c>
      <c r="H5931" s="60">
        <v>0.0</v>
      </c>
      <c r="I5931" s="60">
        <v>175.208424</v>
      </c>
      <c r="J5931" s="59">
        <v>2.0</v>
      </c>
      <c r="K5931" s="61">
        <f t="shared" si="1"/>
        <v>0</v>
      </c>
      <c r="L5931" s="62">
        <f t="shared" si="2"/>
        <v>2</v>
      </c>
    </row>
    <row r="5932">
      <c r="A5932" s="58">
        <v>45717.0</v>
      </c>
      <c r="B5932" s="24" t="s">
        <v>6789</v>
      </c>
      <c r="C5932" s="24" t="s">
        <v>7014</v>
      </c>
      <c r="D5932" s="59">
        <v>1.0</v>
      </c>
      <c r="E5932" s="59">
        <v>1.0</v>
      </c>
      <c r="F5932" s="59">
        <v>1.0</v>
      </c>
      <c r="G5932" s="60">
        <v>1.0</v>
      </c>
      <c r="H5932" s="60">
        <v>0.0</v>
      </c>
      <c r="I5932" s="60">
        <v>27.82573</v>
      </c>
      <c r="J5932" s="59">
        <v>1.0</v>
      </c>
      <c r="K5932" s="61">
        <f t="shared" si="1"/>
        <v>1</v>
      </c>
      <c r="L5932" s="62">
        <f t="shared" si="2"/>
        <v>1</v>
      </c>
    </row>
    <row r="5933">
      <c r="A5933" s="58">
        <v>45717.0</v>
      </c>
      <c r="B5933" s="24" t="s">
        <v>155</v>
      </c>
      <c r="C5933" s="24" t="s">
        <v>7014</v>
      </c>
      <c r="D5933" s="59">
        <v>1.0</v>
      </c>
      <c r="E5933" s="59">
        <v>1.0</v>
      </c>
      <c r="F5933" s="59">
        <v>0.0</v>
      </c>
      <c r="G5933" s="60">
        <v>1.0</v>
      </c>
      <c r="H5933" s="60">
        <v>1.0</v>
      </c>
      <c r="I5933" s="60">
        <v>0.0</v>
      </c>
      <c r="J5933" s="59">
        <v>1.0</v>
      </c>
      <c r="K5933" s="61">
        <f t="shared" si="1"/>
        <v>0</v>
      </c>
      <c r="L5933" s="62">
        <f t="shared" si="2"/>
        <v>1</v>
      </c>
    </row>
    <row r="5934">
      <c r="A5934" s="58">
        <v>45717.0</v>
      </c>
      <c r="B5934" s="24" t="s">
        <v>155</v>
      </c>
      <c r="C5934" s="24" t="s">
        <v>7106</v>
      </c>
      <c r="D5934" s="59">
        <v>1.0</v>
      </c>
      <c r="E5934" s="59">
        <v>1.0</v>
      </c>
      <c r="F5934" s="59">
        <v>1.0</v>
      </c>
      <c r="G5934" s="60">
        <v>1.0</v>
      </c>
      <c r="H5934" s="60">
        <v>1.0</v>
      </c>
      <c r="I5934" s="60">
        <v>0.0</v>
      </c>
      <c r="J5934" s="59">
        <v>1.0</v>
      </c>
      <c r="K5934" s="61">
        <f t="shared" si="1"/>
        <v>1</v>
      </c>
      <c r="L5934" s="62">
        <f t="shared" si="2"/>
        <v>1</v>
      </c>
    </row>
    <row r="5935">
      <c r="A5935" s="58">
        <v>45717.0</v>
      </c>
      <c r="B5935" s="24" t="s">
        <v>6787</v>
      </c>
      <c r="C5935" s="24" t="s">
        <v>7180</v>
      </c>
      <c r="D5935" s="59">
        <v>1.0</v>
      </c>
      <c r="E5935" s="59">
        <v>1.0</v>
      </c>
      <c r="F5935" s="59">
        <v>1.0</v>
      </c>
      <c r="G5935" s="60">
        <v>1.0</v>
      </c>
      <c r="H5935" s="60">
        <v>1.0</v>
      </c>
      <c r="I5935" s="60">
        <v>0.0</v>
      </c>
      <c r="J5935" s="59">
        <v>1.0</v>
      </c>
      <c r="K5935" s="61">
        <f t="shared" si="1"/>
        <v>1</v>
      </c>
      <c r="L5935" s="62">
        <f t="shared" si="2"/>
        <v>1</v>
      </c>
    </row>
    <row r="5936">
      <c r="A5936" s="58">
        <v>45717.0</v>
      </c>
      <c r="B5936" s="24" t="s">
        <v>6790</v>
      </c>
      <c r="C5936" s="24" t="s">
        <v>7180</v>
      </c>
      <c r="D5936" s="59">
        <v>1.0</v>
      </c>
      <c r="E5936" s="59">
        <v>1.0</v>
      </c>
      <c r="F5936" s="59">
        <v>0.0</v>
      </c>
      <c r="G5936" s="60">
        <v>1.0</v>
      </c>
      <c r="H5936" s="60">
        <v>1.0</v>
      </c>
      <c r="I5936" s="60">
        <v>0.0</v>
      </c>
      <c r="J5936" s="59">
        <v>1.0</v>
      </c>
      <c r="K5936" s="61">
        <f t="shared" si="1"/>
        <v>0</v>
      </c>
      <c r="L5936" s="62">
        <f t="shared" si="2"/>
        <v>1</v>
      </c>
    </row>
    <row r="5937">
      <c r="A5937" s="58">
        <v>45717.0</v>
      </c>
      <c r="B5937" s="24" t="s">
        <v>6794</v>
      </c>
      <c r="C5937" s="24" t="s">
        <v>6815</v>
      </c>
      <c r="D5937" s="59">
        <v>1.0</v>
      </c>
      <c r="E5937" s="59">
        <v>1.0</v>
      </c>
      <c r="F5937" s="59">
        <v>1.0</v>
      </c>
      <c r="G5937" s="60">
        <v>1.0</v>
      </c>
      <c r="H5937" s="60">
        <v>0.0</v>
      </c>
      <c r="I5937" s="60">
        <v>152.694742</v>
      </c>
      <c r="J5937" s="59">
        <v>1.0</v>
      </c>
      <c r="K5937" s="61">
        <f t="shared" si="1"/>
        <v>1</v>
      </c>
      <c r="L5937" s="62">
        <f t="shared" si="2"/>
        <v>1</v>
      </c>
    </row>
    <row r="5938">
      <c r="A5938" s="58">
        <v>45717.0</v>
      </c>
      <c r="B5938" s="24" t="s">
        <v>155</v>
      </c>
      <c r="C5938" s="24" t="s">
        <v>6815</v>
      </c>
      <c r="D5938" s="59">
        <v>1.0</v>
      </c>
      <c r="E5938" s="59">
        <v>1.0</v>
      </c>
      <c r="F5938" s="59">
        <v>1.0</v>
      </c>
      <c r="G5938" s="60">
        <v>1.0</v>
      </c>
      <c r="H5938" s="60">
        <v>0.0</v>
      </c>
      <c r="I5938" s="60">
        <v>102.654245</v>
      </c>
      <c r="J5938" s="59">
        <v>1.0</v>
      </c>
      <c r="K5938" s="61">
        <f t="shared" si="1"/>
        <v>1</v>
      </c>
      <c r="L5938" s="62">
        <f t="shared" si="2"/>
        <v>1</v>
      </c>
    </row>
    <row r="5939">
      <c r="A5939" s="58">
        <v>45717.0</v>
      </c>
      <c r="B5939" s="24" t="s">
        <v>6790</v>
      </c>
      <c r="C5939" s="24" t="s">
        <v>6815</v>
      </c>
      <c r="D5939" s="59">
        <v>1.0</v>
      </c>
      <c r="E5939" s="59">
        <v>1.0</v>
      </c>
      <c r="F5939" s="59">
        <v>1.0</v>
      </c>
      <c r="G5939" s="60">
        <v>1.0</v>
      </c>
      <c r="H5939" s="60">
        <v>0.0</v>
      </c>
      <c r="I5939" s="60">
        <v>81.152078</v>
      </c>
      <c r="J5939" s="59">
        <v>4.0</v>
      </c>
      <c r="K5939" s="61">
        <f t="shared" si="1"/>
        <v>1</v>
      </c>
      <c r="L5939" s="62">
        <f t="shared" si="2"/>
        <v>4</v>
      </c>
    </row>
    <row r="5940">
      <c r="A5940" s="58">
        <v>45717.0</v>
      </c>
      <c r="B5940" s="24" t="s">
        <v>6787</v>
      </c>
      <c r="C5940" s="24" t="s">
        <v>7107</v>
      </c>
      <c r="D5940" s="59">
        <v>1.0</v>
      </c>
      <c r="E5940" s="59">
        <v>1.0</v>
      </c>
      <c r="F5940" s="59">
        <v>1.0</v>
      </c>
      <c r="G5940" s="60">
        <v>1.0</v>
      </c>
      <c r="H5940" s="60">
        <v>1.0</v>
      </c>
      <c r="I5940" s="60">
        <v>0.0</v>
      </c>
      <c r="J5940" s="59">
        <v>1.0</v>
      </c>
      <c r="K5940" s="61">
        <f t="shared" si="1"/>
        <v>1</v>
      </c>
      <c r="L5940" s="62">
        <f t="shared" si="2"/>
        <v>1</v>
      </c>
    </row>
    <row r="5941">
      <c r="A5941" s="58">
        <v>45717.0</v>
      </c>
      <c r="B5941" s="24" t="s">
        <v>6789</v>
      </c>
      <c r="C5941" s="24" t="s">
        <v>7107</v>
      </c>
      <c r="D5941" s="59">
        <v>1.0</v>
      </c>
      <c r="E5941" s="59">
        <v>1.0</v>
      </c>
      <c r="F5941" s="59">
        <v>1.0</v>
      </c>
      <c r="G5941" s="60">
        <v>1.0</v>
      </c>
      <c r="H5941" s="60">
        <v>0.0</v>
      </c>
      <c r="I5941" s="60">
        <v>152.114929</v>
      </c>
      <c r="J5941" s="59">
        <v>1.0</v>
      </c>
      <c r="K5941" s="61">
        <f t="shared" si="1"/>
        <v>1</v>
      </c>
      <c r="L5941" s="62">
        <f t="shared" si="2"/>
        <v>1</v>
      </c>
    </row>
    <row r="5942">
      <c r="A5942" s="58">
        <v>45717.0</v>
      </c>
      <c r="B5942" s="24" t="s">
        <v>6789</v>
      </c>
      <c r="C5942" s="24" t="s">
        <v>7479</v>
      </c>
      <c r="D5942" s="59">
        <v>1.0</v>
      </c>
      <c r="E5942" s="59">
        <v>2.0</v>
      </c>
      <c r="F5942" s="59">
        <v>1.0</v>
      </c>
      <c r="G5942" s="60">
        <v>2.0</v>
      </c>
      <c r="H5942" s="60">
        <v>0.5</v>
      </c>
      <c r="I5942" s="60">
        <v>724.6411</v>
      </c>
      <c r="J5942" s="59">
        <v>2.0</v>
      </c>
      <c r="K5942" s="61">
        <f t="shared" si="1"/>
        <v>0.5</v>
      </c>
      <c r="L5942" s="62">
        <f t="shared" si="2"/>
        <v>1</v>
      </c>
    </row>
    <row r="5943">
      <c r="A5943" s="58">
        <v>45717.0</v>
      </c>
      <c r="B5943" s="24" t="s">
        <v>3216</v>
      </c>
      <c r="C5943" s="24" t="s">
        <v>7426</v>
      </c>
      <c r="D5943" s="59">
        <v>1.0</v>
      </c>
      <c r="E5943" s="59">
        <v>1.0</v>
      </c>
      <c r="F5943" s="59">
        <v>1.0</v>
      </c>
      <c r="G5943" s="60">
        <v>1.0</v>
      </c>
      <c r="H5943" s="60">
        <v>0.0</v>
      </c>
      <c r="I5943" s="60">
        <v>15.258466</v>
      </c>
      <c r="J5943" s="59">
        <v>1.0</v>
      </c>
      <c r="K5943" s="61">
        <f t="shared" si="1"/>
        <v>1</v>
      </c>
      <c r="L5943" s="62">
        <f t="shared" si="2"/>
        <v>1</v>
      </c>
    </row>
    <row r="5944">
      <c r="A5944" s="58">
        <v>45717.0</v>
      </c>
      <c r="B5944" s="24" t="s">
        <v>6789</v>
      </c>
      <c r="C5944" s="24" t="s">
        <v>7480</v>
      </c>
      <c r="D5944" s="59">
        <v>1.0</v>
      </c>
      <c r="E5944" s="59">
        <v>1.0</v>
      </c>
      <c r="F5944" s="59">
        <v>0.0</v>
      </c>
      <c r="G5944" s="60">
        <v>1.0</v>
      </c>
      <c r="H5944" s="60">
        <v>0.0</v>
      </c>
      <c r="I5944" s="60">
        <v>13.707498</v>
      </c>
      <c r="J5944" s="59">
        <v>2.0</v>
      </c>
      <c r="K5944" s="61">
        <f t="shared" si="1"/>
        <v>0</v>
      </c>
      <c r="L5944" s="62">
        <f t="shared" si="2"/>
        <v>2</v>
      </c>
    </row>
    <row r="5945">
      <c r="A5945" s="58">
        <v>45717.0</v>
      </c>
      <c r="B5945" s="24" t="s">
        <v>6787</v>
      </c>
      <c r="C5945" s="24" t="s">
        <v>7481</v>
      </c>
      <c r="D5945" s="59">
        <v>1.0</v>
      </c>
      <c r="E5945" s="59">
        <v>1.0</v>
      </c>
      <c r="F5945" s="59">
        <v>1.0</v>
      </c>
      <c r="G5945" s="60">
        <v>1.0</v>
      </c>
      <c r="H5945" s="60">
        <v>0.0</v>
      </c>
      <c r="I5945" s="60">
        <v>22.75857</v>
      </c>
      <c r="J5945" s="59">
        <v>1.0</v>
      </c>
      <c r="K5945" s="61">
        <f t="shared" si="1"/>
        <v>1</v>
      </c>
      <c r="L5945" s="62">
        <f t="shared" si="2"/>
        <v>1</v>
      </c>
    </row>
    <row r="5946">
      <c r="A5946" s="58">
        <v>45717.0</v>
      </c>
      <c r="B5946" s="24" t="s">
        <v>6787</v>
      </c>
      <c r="C5946" s="24" t="s">
        <v>6920</v>
      </c>
      <c r="D5946" s="59">
        <v>1.0</v>
      </c>
      <c r="E5946" s="59">
        <v>1.0</v>
      </c>
      <c r="F5946" s="59">
        <v>1.0</v>
      </c>
      <c r="G5946" s="60">
        <v>1.0</v>
      </c>
      <c r="H5946" s="60">
        <v>1.0</v>
      </c>
      <c r="I5946" s="60">
        <v>0.0</v>
      </c>
      <c r="J5946" s="59">
        <v>1.0</v>
      </c>
      <c r="K5946" s="61">
        <f t="shared" si="1"/>
        <v>1</v>
      </c>
      <c r="L5946" s="62">
        <f t="shared" si="2"/>
        <v>1</v>
      </c>
    </row>
    <row r="5947">
      <c r="A5947" s="58">
        <v>45717.0</v>
      </c>
      <c r="B5947" s="24" t="s">
        <v>7100</v>
      </c>
      <c r="C5947" s="24" t="s">
        <v>6920</v>
      </c>
      <c r="D5947" s="59">
        <v>1.0</v>
      </c>
      <c r="E5947" s="59">
        <v>1.0</v>
      </c>
      <c r="F5947" s="59">
        <v>0.0</v>
      </c>
      <c r="G5947" s="60">
        <v>1.0</v>
      </c>
      <c r="H5947" s="60">
        <v>1.0</v>
      </c>
      <c r="I5947" s="60">
        <v>0.0</v>
      </c>
      <c r="J5947" s="59">
        <v>1.0</v>
      </c>
      <c r="K5947" s="61">
        <f t="shared" si="1"/>
        <v>0</v>
      </c>
      <c r="L5947" s="62">
        <f t="shared" si="2"/>
        <v>1</v>
      </c>
    </row>
    <row r="5948">
      <c r="A5948" s="58">
        <v>45717.0</v>
      </c>
      <c r="B5948" s="24" t="s">
        <v>155</v>
      </c>
      <c r="C5948" s="24" t="s">
        <v>6920</v>
      </c>
      <c r="D5948" s="59">
        <v>1.0</v>
      </c>
      <c r="E5948" s="59">
        <v>1.0</v>
      </c>
      <c r="F5948" s="59">
        <v>0.0</v>
      </c>
      <c r="G5948" s="60">
        <v>1.0</v>
      </c>
      <c r="H5948" s="60">
        <v>0.0</v>
      </c>
      <c r="I5948" s="60">
        <v>75.184052</v>
      </c>
      <c r="J5948" s="59">
        <v>1.0</v>
      </c>
      <c r="K5948" s="61">
        <f t="shared" si="1"/>
        <v>0</v>
      </c>
      <c r="L5948" s="62">
        <f t="shared" si="2"/>
        <v>1</v>
      </c>
    </row>
    <row r="5949">
      <c r="A5949" s="58">
        <v>45717.0</v>
      </c>
      <c r="B5949" s="24" t="s">
        <v>6787</v>
      </c>
      <c r="C5949" s="24" t="s">
        <v>6816</v>
      </c>
      <c r="D5949" s="59">
        <v>1.0</v>
      </c>
      <c r="E5949" s="59">
        <v>1.0</v>
      </c>
      <c r="F5949" s="59">
        <v>1.0</v>
      </c>
      <c r="G5949" s="60">
        <v>1.0</v>
      </c>
      <c r="H5949" s="60">
        <v>1.0</v>
      </c>
      <c r="I5949" s="60">
        <v>0.0</v>
      </c>
      <c r="J5949" s="59">
        <v>1.0</v>
      </c>
      <c r="K5949" s="61">
        <f t="shared" si="1"/>
        <v>1</v>
      </c>
      <c r="L5949" s="62">
        <f t="shared" si="2"/>
        <v>1</v>
      </c>
    </row>
    <row r="5950">
      <c r="A5950" s="58">
        <v>45717.0</v>
      </c>
      <c r="B5950" s="24" t="s">
        <v>6789</v>
      </c>
      <c r="C5950" s="24" t="s">
        <v>6816</v>
      </c>
      <c r="D5950" s="59">
        <v>1.0</v>
      </c>
      <c r="E5950" s="59">
        <v>1.0</v>
      </c>
      <c r="F5950" s="59">
        <v>1.0</v>
      </c>
      <c r="G5950" s="60">
        <v>1.0</v>
      </c>
      <c r="H5950" s="60">
        <v>0.0</v>
      </c>
      <c r="I5950" s="60">
        <v>49.367806</v>
      </c>
      <c r="J5950" s="59">
        <v>2.0</v>
      </c>
      <c r="K5950" s="61">
        <f t="shared" si="1"/>
        <v>1</v>
      </c>
      <c r="L5950" s="62">
        <f t="shared" si="2"/>
        <v>2</v>
      </c>
    </row>
    <row r="5951">
      <c r="A5951" s="58">
        <v>45717.0</v>
      </c>
      <c r="B5951" s="24" t="s">
        <v>6787</v>
      </c>
      <c r="C5951" s="24" t="s">
        <v>7047</v>
      </c>
      <c r="D5951" s="59">
        <v>1.0</v>
      </c>
      <c r="E5951" s="59">
        <v>1.0</v>
      </c>
      <c r="F5951" s="59">
        <v>1.0</v>
      </c>
      <c r="G5951" s="60">
        <v>1.0</v>
      </c>
      <c r="H5951" s="60">
        <v>1.0</v>
      </c>
      <c r="I5951" s="60">
        <v>5.900468</v>
      </c>
      <c r="J5951" s="59">
        <v>1.0</v>
      </c>
      <c r="K5951" s="61">
        <f t="shared" si="1"/>
        <v>1</v>
      </c>
      <c r="L5951" s="62">
        <f t="shared" si="2"/>
        <v>1</v>
      </c>
    </row>
    <row r="5952">
      <c r="A5952" s="58">
        <v>45717.0</v>
      </c>
      <c r="B5952" s="24" t="s">
        <v>6789</v>
      </c>
      <c r="C5952" s="24" t="s">
        <v>6810</v>
      </c>
      <c r="D5952" s="59">
        <v>1.0</v>
      </c>
      <c r="E5952" s="59">
        <v>1.0</v>
      </c>
      <c r="F5952" s="59">
        <v>0.0</v>
      </c>
      <c r="G5952" s="60">
        <v>1.0</v>
      </c>
      <c r="H5952" s="60">
        <v>0.0</v>
      </c>
      <c r="I5952" s="60">
        <v>168.03496</v>
      </c>
      <c r="J5952" s="59">
        <v>2.0</v>
      </c>
      <c r="K5952" s="61">
        <f t="shared" si="1"/>
        <v>0</v>
      </c>
      <c r="L5952" s="62">
        <f t="shared" si="2"/>
        <v>2</v>
      </c>
    </row>
    <row r="5953">
      <c r="A5953" s="58">
        <v>45717.0</v>
      </c>
      <c r="B5953" s="24" t="s">
        <v>6794</v>
      </c>
      <c r="C5953" s="24" t="s">
        <v>6810</v>
      </c>
      <c r="D5953" s="59">
        <v>1.0</v>
      </c>
      <c r="E5953" s="59">
        <v>1.0</v>
      </c>
      <c r="F5953" s="59">
        <v>0.0</v>
      </c>
      <c r="G5953" s="60">
        <v>0.0</v>
      </c>
      <c r="H5953" s="60">
        <v>1.0</v>
      </c>
      <c r="I5953" s="60">
        <v>0.0</v>
      </c>
      <c r="J5953" s="59">
        <v>1.0</v>
      </c>
      <c r="K5953" s="61">
        <f t="shared" si="1"/>
        <v>0</v>
      </c>
      <c r="L5953" s="62">
        <f t="shared" si="2"/>
        <v>1</v>
      </c>
    </row>
    <row r="5954">
      <c r="A5954" s="58">
        <v>45717.0</v>
      </c>
      <c r="B5954" s="24" t="s">
        <v>155</v>
      </c>
      <c r="C5954" s="24" t="s">
        <v>6810</v>
      </c>
      <c r="D5954" s="59">
        <v>1.0</v>
      </c>
      <c r="E5954" s="59">
        <v>1.0</v>
      </c>
      <c r="F5954" s="59">
        <v>0.0</v>
      </c>
      <c r="G5954" s="60">
        <v>1.0</v>
      </c>
      <c r="H5954" s="60">
        <v>0.0</v>
      </c>
      <c r="I5954" s="60">
        <v>663.274754</v>
      </c>
      <c r="J5954" s="59">
        <v>1.0</v>
      </c>
      <c r="K5954" s="61">
        <f t="shared" si="1"/>
        <v>0</v>
      </c>
      <c r="L5954" s="62">
        <f t="shared" si="2"/>
        <v>1</v>
      </c>
    </row>
    <row r="5955">
      <c r="A5955" s="58">
        <v>45717.0</v>
      </c>
      <c r="B5955" s="24" t="s">
        <v>155</v>
      </c>
      <c r="C5955" s="24" t="s">
        <v>6931</v>
      </c>
      <c r="D5955" s="59">
        <v>1.0</v>
      </c>
      <c r="E5955" s="59">
        <v>1.0</v>
      </c>
      <c r="F5955" s="59">
        <v>1.0</v>
      </c>
      <c r="G5955" s="60">
        <v>1.0</v>
      </c>
      <c r="H5955" s="60">
        <v>0.0</v>
      </c>
      <c r="I5955" s="60">
        <v>797.935027</v>
      </c>
      <c r="J5955" s="59">
        <v>5.0</v>
      </c>
      <c r="K5955" s="61">
        <f t="shared" si="1"/>
        <v>1</v>
      </c>
      <c r="L5955" s="62">
        <f t="shared" si="2"/>
        <v>5</v>
      </c>
    </row>
    <row r="5956">
      <c r="A5956" s="58">
        <v>45717.0</v>
      </c>
      <c r="B5956" s="24" t="s">
        <v>6787</v>
      </c>
      <c r="C5956" s="24" t="s">
        <v>6962</v>
      </c>
      <c r="D5956" s="59">
        <v>1.0</v>
      </c>
      <c r="E5956" s="59">
        <v>1.0</v>
      </c>
      <c r="F5956" s="59">
        <v>1.0</v>
      </c>
      <c r="G5956" s="60">
        <v>1.0</v>
      </c>
      <c r="H5956" s="60">
        <v>0.0</v>
      </c>
      <c r="I5956" s="60">
        <v>14.493248</v>
      </c>
      <c r="J5956" s="59">
        <v>2.0</v>
      </c>
      <c r="K5956" s="61">
        <f t="shared" si="1"/>
        <v>1</v>
      </c>
      <c r="L5956" s="62">
        <f t="shared" si="2"/>
        <v>2</v>
      </c>
    </row>
    <row r="5957">
      <c r="A5957" s="58">
        <v>45717.0</v>
      </c>
      <c r="B5957" s="24" t="s">
        <v>3216</v>
      </c>
      <c r="C5957" s="24" t="s">
        <v>6962</v>
      </c>
      <c r="D5957" s="59">
        <v>1.0</v>
      </c>
      <c r="E5957" s="59">
        <v>1.0</v>
      </c>
      <c r="F5957" s="59">
        <v>0.0</v>
      </c>
      <c r="G5957" s="60">
        <v>1.0</v>
      </c>
      <c r="H5957" s="60">
        <v>0.0</v>
      </c>
      <c r="I5957" s="60">
        <v>53.258519</v>
      </c>
      <c r="J5957" s="59">
        <v>1.0</v>
      </c>
      <c r="K5957" s="61">
        <f t="shared" si="1"/>
        <v>0</v>
      </c>
      <c r="L5957" s="62">
        <f t="shared" si="2"/>
        <v>1</v>
      </c>
    </row>
    <row r="5958">
      <c r="A5958" s="58">
        <v>45717.0</v>
      </c>
      <c r="B5958" s="24" t="s">
        <v>6789</v>
      </c>
      <c r="C5958" s="24" t="s">
        <v>7118</v>
      </c>
      <c r="D5958" s="59">
        <v>1.0</v>
      </c>
      <c r="E5958" s="59">
        <v>1.0</v>
      </c>
      <c r="F5958" s="59">
        <v>1.0</v>
      </c>
      <c r="G5958" s="60">
        <v>1.0</v>
      </c>
      <c r="H5958" s="60">
        <v>0.0</v>
      </c>
      <c r="I5958" s="60">
        <v>1542.573128</v>
      </c>
      <c r="J5958" s="59">
        <v>3.0</v>
      </c>
      <c r="K5958" s="61">
        <f t="shared" si="1"/>
        <v>1</v>
      </c>
      <c r="L5958" s="62">
        <f t="shared" si="2"/>
        <v>3</v>
      </c>
    </row>
    <row r="5959">
      <c r="A5959" s="58">
        <v>45717.0</v>
      </c>
      <c r="B5959" s="24" t="s">
        <v>155</v>
      </c>
      <c r="C5959" s="24" t="s">
        <v>6854</v>
      </c>
      <c r="D5959" s="59">
        <v>1.0</v>
      </c>
      <c r="E5959" s="59">
        <v>1.0</v>
      </c>
      <c r="F5959" s="59">
        <v>0.0</v>
      </c>
      <c r="G5959" s="60">
        <v>1.0</v>
      </c>
      <c r="H5959" s="60">
        <v>0.0</v>
      </c>
      <c r="I5959" s="60">
        <v>11.747425</v>
      </c>
      <c r="J5959" s="59">
        <v>1.0</v>
      </c>
      <c r="K5959" s="61">
        <f t="shared" si="1"/>
        <v>0</v>
      </c>
      <c r="L5959" s="62">
        <f t="shared" si="2"/>
        <v>1</v>
      </c>
    </row>
    <row r="5960">
      <c r="A5960" s="58">
        <v>45717.0</v>
      </c>
      <c r="B5960" s="24" t="s">
        <v>6790</v>
      </c>
      <c r="C5960" s="24" t="s">
        <v>6854</v>
      </c>
      <c r="D5960" s="59">
        <v>1.0</v>
      </c>
      <c r="E5960" s="59">
        <v>1.0</v>
      </c>
      <c r="F5960" s="59">
        <v>1.0</v>
      </c>
      <c r="G5960" s="60">
        <v>1.0</v>
      </c>
      <c r="H5960" s="60">
        <v>1.0</v>
      </c>
      <c r="I5960" s="60">
        <v>0.0</v>
      </c>
      <c r="J5960" s="59">
        <v>1.0</v>
      </c>
      <c r="K5960" s="61">
        <f t="shared" si="1"/>
        <v>1</v>
      </c>
      <c r="L5960" s="62">
        <f t="shared" si="2"/>
        <v>1</v>
      </c>
    </row>
    <row r="5961">
      <c r="A5961" s="58">
        <v>45717.0</v>
      </c>
      <c r="B5961" s="24" t="s">
        <v>6794</v>
      </c>
      <c r="C5961" s="24" t="s">
        <v>6963</v>
      </c>
      <c r="D5961" s="59">
        <v>1.0</v>
      </c>
      <c r="E5961" s="59">
        <v>1.0</v>
      </c>
      <c r="F5961" s="59">
        <v>1.0</v>
      </c>
      <c r="G5961" s="60">
        <v>1.0</v>
      </c>
      <c r="H5961" s="60">
        <v>1.0</v>
      </c>
      <c r="I5961" s="60">
        <v>0.0</v>
      </c>
      <c r="J5961" s="59">
        <v>1.0</v>
      </c>
      <c r="K5961" s="61">
        <f t="shared" si="1"/>
        <v>1</v>
      </c>
      <c r="L5961" s="62">
        <f t="shared" si="2"/>
        <v>1</v>
      </c>
    </row>
    <row r="5962">
      <c r="A5962" s="58">
        <v>45689.0</v>
      </c>
      <c r="B5962" s="24" t="s">
        <v>6789</v>
      </c>
      <c r="C5962" s="24" t="s">
        <v>6788</v>
      </c>
      <c r="D5962" s="59">
        <v>880.0</v>
      </c>
      <c r="E5962" s="59">
        <v>1212.0</v>
      </c>
      <c r="F5962" s="59">
        <v>730.0</v>
      </c>
      <c r="G5962" s="60">
        <v>1.41258741258741</v>
      </c>
      <c r="H5962" s="60">
        <v>0.508250825082508</v>
      </c>
      <c r="I5962" s="60">
        <v>183.916140829207</v>
      </c>
      <c r="J5962" s="59">
        <v>2244.0</v>
      </c>
      <c r="K5962" s="61">
        <f t="shared" si="1"/>
        <v>0.602310231</v>
      </c>
      <c r="L5962" s="62">
        <f t="shared" si="2"/>
        <v>1.851485149</v>
      </c>
    </row>
    <row r="5963">
      <c r="A5963" s="58">
        <v>45689.0</v>
      </c>
      <c r="B5963" s="24" t="s">
        <v>6787</v>
      </c>
      <c r="C5963" s="24" t="s">
        <v>6788</v>
      </c>
      <c r="D5963" s="59">
        <v>701.0</v>
      </c>
      <c r="E5963" s="59">
        <v>879.0</v>
      </c>
      <c r="F5963" s="59">
        <v>651.0</v>
      </c>
      <c r="G5963" s="60">
        <v>1.26474820143884</v>
      </c>
      <c r="H5963" s="60">
        <v>0.736063708759954</v>
      </c>
      <c r="I5963" s="60">
        <v>84.7954053981797</v>
      </c>
      <c r="J5963" s="59">
        <v>1199.0</v>
      </c>
      <c r="K5963" s="61">
        <f t="shared" si="1"/>
        <v>0.7406143345</v>
      </c>
      <c r="L5963" s="62">
        <f t="shared" si="2"/>
        <v>1.364050057</v>
      </c>
    </row>
    <row r="5964">
      <c r="A5964" s="58">
        <v>45689.0</v>
      </c>
      <c r="B5964" s="24" t="s">
        <v>6789</v>
      </c>
      <c r="C5964" s="24" t="s">
        <v>7068</v>
      </c>
      <c r="D5964" s="59">
        <v>263.0</v>
      </c>
      <c r="E5964" s="59">
        <v>278.0</v>
      </c>
      <c r="F5964" s="59">
        <v>255.0</v>
      </c>
      <c r="G5964" s="60">
        <v>1.06513409961685</v>
      </c>
      <c r="H5964" s="60">
        <v>0.280575539568345</v>
      </c>
      <c r="I5964" s="60">
        <v>149.52340073741</v>
      </c>
      <c r="J5964" s="59">
        <v>335.0</v>
      </c>
      <c r="K5964" s="61">
        <f t="shared" si="1"/>
        <v>0.9172661871</v>
      </c>
      <c r="L5964" s="62">
        <f t="shared" si="2"/>
        <v>1.205035971</v>
      </c>
    </row>
    <row r="5965">
      <c r="A5965" s="58">
        <v>45689.0</v>
      </c>
      <c r="B5965" s="24" t="s">
        <v>6789</v>
      </c>
      <c r="C5965" s="24" t="s">
        <v>6792</v>
      </c>
      <c r="D5965" s="59">
        <v>218.0</v>
      </c>
      <c r="E5965" s="59">
        <v>280.0</v>
      </c>
      <c r="F5965" s="59">
        <v>0.0</v>
      </c>
      <c r="G5965" s="60">
        <v>1.97183098591549</v>
      </c>
      <c r="H5965" s="60">
        <v>0.957142857142857</v>
      </c>
      <c r="I5965" s="60">
        <v>24.9948461607142</v>
      </c>
      <c r="J5965" s="59">
        <v>0.0</v>
      </c>
      <c r="K5965" s="61">
        <f t="shared" si="1"/>
        <v>0</v>
      </c>
      <c r="L5965" s="62">
        <f t="shared" si="2"/>
        <v>0</v>
      </c>
    </row>
    <row r="5966">
      <c r="A5966" s="58">
        <v>45689.0</v>
      </c>
      <c r="B5966" s="24" t="s">
        <v>155</v>
      </c>
      <c r="C5966" s="24" t="s">
        <v>6788</v>
      </c>
      <c r="D5966" s="59">
        <v>153.0</v>
      </c>
      <c r="E5966" s="59">
        <v>305.0</v>
      </c>
      <c r="F5966" s="59">
        <v>107.0</v>
      </c>
      <c r="G5966" s="60">
        <v>2.03333333333333</v>
      </c>
      <c r="H5966" s="60">
        <v>0.61311475409836</v>
      </c>
      <c r="I5966" s="60">
        <v>142.459125295082</v>
      </c>
      <c r="J5966" s="59">
        <v>491.0</v>
      </c>
      <c r="K5966" s="61">
        <f t="shared" si="1"/>
        <v>0.3508196721</v>
      </c>
      <c r="L5966" s="62">
        <f t="shared" si="2"/>
        <v>1.609836066</v>
      </c>
    </row>
    <row r="5967">
      <c r="A5967" s="58">
        <v>45689.0</v>
      </c>
      <c r="B5967" s="24" t="s">
        <v>6794</v>
      </c>
      <c r="C5967" s="24" t="s">
        <v>6788</v>
      </c>
      <c r="D5967" s="59">
        <v>141.0</v>
      </c>
      <c r="E5967" s="59">
        <v>161.0</v>
      </c>
      <c r="F5967" s="59">
        <v>136.0</v>
      </c>
      <c r="G5967" s="60">
        <v>1.15</v>
      </c>
      <c r="H5967" s="60">
        <v>0.391304347826087</v>
      </c>
      <c r="I5967" s="60">
        <v>124.788548329192</v>
      </c>
      <c r="J5967" s="59">
        <v>284.0</v>
      </c>
      <c r="K5967" s="61">
        <f t="shared" si="1"/>
        <v>0.8447204969</v>
      </c>
      <c r="L5967" s="62">
        <f t="shared" si="2"/>
        <v>1.763975155</v>
      </c>
    </row>
    <row r="5968">
      <c r="A5968" s="58">
        <v>45689.0</v>
      </c>
      <c r="B5968" s="24" t="s">
        <v>6787</v>
      </c>
      <c r="C5968" s="24" t="s">
        <v>6960</v>
      </c>
      <c r="D5968" s="59">
        <v>138.0</v>
      </c>
      <c r="E5968" s="59">
        <v>138.0</v>
      </c>
      <c r="F5968" s="59">
        <v>138.0</v>
      </c>
      <c r="G5968" s="60">
        <v>1.0</v>
      </c>
      <c r="H5968" s="60">
        <v>0.884057971014492</v>
      </c>
      <c r="I5968" s="60">
        <v>5.54638103623188</v>
      </c>
      <c r="J5968" s="59">
        <v>150.0</v>
      </c>
      <c r="K5968" s="61">
        <f t="shared" si="1"/>
        <v>1</v>
      </c>
      <c r="L5968" s="62">
        <f t="shared" si="2"/>
        <v>1.086956522</v>
      </c>
    </row>
    <row r="5969">
      <c r="A5969" s="58">
        <v>45689.0</v>
      </c>
      <c r="B5969" s="24" t="s">
        <v>6787</v>
      </c>
      <c r="C5969" s="24" t="s">
        <v>6792</v>
      </c>
      <c r="D5969" s="59">
        <v>47.0</v>
      </c>
      <c r="E5969" s="59">
        <v>52.0</v>
      </c>
      <c r="F5969" s="59">
        <v>0.0</v>
      </c>
      <c r="G5969" s="60">
        <v>1.6774193548387</v>
      </c>
      <c r="H5969" s="60">
        <v>1.0</v>
      </c>
      <c r="I5969" s="60">
        <v>0.00579061538461538</v>
      </c>
      <c r="J5969" s="59">
        <v>0.0</v>
      </c>
      <c r="K5969" s="61">
        <f t="shared" si="1"/>
        <v>0</v>
      </c>
      <c r="L5969" s="62">
        <f t="shared" si="2"/>
        <v>0</v>
      </c>
    </row>
    <row r="5970">
      <c r="A5970" s="58">
        <v>45689.0</v>
      </c>
      <c r="B5970" s="24" t="s">
        <v>6789</v>
      </c>
      <c r="C5970" s="24" t="s">
        <v>6815</v>
      </c>
      <c r="D5970" s="59">
        <v>47.0</v>
      </c>
      <c r="E5970" s="59">
        <v>48.0</v>
      </c>
      <c r="F5970" s="59">
        <v>43.0</v>
      </c>
      <c r="G5970" s="60">
        <v>1.02127659574468</v>
      </c>
      <c r="H5970" s="60">
        <v>0.1875</v>
      </c>
      <c r="I5970" s="60">
        <v>147.670344208333</v>
      </c>
      <c r="J5970" s="59">
        <v>84.0</v>
      </c>
      <c r="K5970" s="61">
        <f t="shared" si="1"/>
        <v>0.8958333333</v>
      </c>
      <c r="L5970" s="62">
        <f t="shared" si="2"/>
        <v>1.75</v>
      </c>
    </row>
    <row r="5971">
      <c r="A5971" s="58">
        <v>45689.0</v>
      </c>
      <c r="B5971" s="24" t="s">
        <v>3216</v>
      </c>
      <c r="C5971" s="24" t="s">
        <v>6854</v>
      </c>
      <c r="D5971" s="59">
        <v>40.0</v>
      </c>
      <c r="E5971" s="59">
        <v>40.0</v>
      </c>
      <c r="F5971" s="59">
        <v>40.0</v>
      </c>
      <c r="G5971" s="60">
        <v>1.0</v>
      </c>
      <c r="H5971" s="60">
        <v>0.975</v>
      </c>
      <c r="I5971" s="60">
        <v>19.1380221499999</v>
      </c>
      <c r="J5971" s="59">
        <v>50.0</v>
      </c>
      <c r="K5971" s="61">
        <f t="shared" si="1"/>
        <v>1</v>
      </c>
      <c r="L5971" s="62">
        <f t="shared" si="2"/>
        <v>1.25</v>
      </c>
    </row>
    <row r="5972">
      <c r="A5972" s="58">
        <v>45689.0</v>
      </c>
      <c r="B5972" s="24" t="s">
        <v>6789</v>
      </c>
      <c r="C5972" s="24" t="s">
        <v>6799</v>
      </c>
      <c r="D5972" s="59">
        <v>37.0</v>
      </c>
      <c r="E5972" s="59">
        <v>41.0</v>
      </c>
      <c r="F5972" s="59">
        <v>23.0</v>
      </c>
      <c r="G5972" s="60">
        <v>1.13888888888888</v>
      </c>
      <c r="H5972" s="60">
        <v>0.292682926829268</v>
      </c>
      <c r="I5972" s="60">
        <v>388.42562904878</v>
      </c>
      <c r="J5972" s="59">
        <v>79.0</v>
      </c>
      <c r="K5972" s="61">
        <f t="shared" si="1"/>
        <v>0.5609756098</v>
      </c>
      <c r="L5972" s="62">
        <f t="shared" si="2"/>
        <v>1.926829268</v>
      </c>
    </row>
    <row r="5973">
      <c r="A5973" s="58">
        <v>45689.0</v>
      </c>
      <c r="B5973" s="24" t="s">
        <v>6789</v>
      </c>
      <c r="C5973" s="24" t="s">
        <v>6808</v>
      </c>
      <c r="D5973" s="59">
        <v>32.0</v>
      </c>
      <c r="E5973" s="59">
        <v>33.0</v>
      </c>
      <c r="F5973" s="59">
        <v>22.0</v>
      </c>
      <c r="G5973" s="60">
        <v>1.1</v>
      </c>
      <c r="H5973" s="60">
        <v>0.484848484848484</v>
      </c>
      <c r="I5973" s="60">
        <v>606.378625848484</v>
      </c>
      <c r="J5973" s="59">
        <v>89.0</v>
      </c>
      <c r="K5973" s="61">
        <f t="shared" si="1"/>
        <v>0.6666666667</v>
      </c>
      <c r="L5973" s="62">
        <f t="shared" si="2"/>
        <v>2.696969697</v>
      </c>
    </row>
    <row r="5974">
      <c r="A5974" s="58">
        <v>45689.0</v>
      </c>
      <c r="B5974" s="24" t="s">
        <v>3216</v>
      </c>
      <c r="C5974" s="24" t="s">
        <v>7180</v>
      </c>
      <c r="D5974" s="59">
        <v>29.0</v>
      </c>
      <c r="E5974" s="59">
        <v>29.0</v>
      </c>
      <c r="F5974" s="59">
        <v>28.0</v>
      </c>
      <c r="G5974" s="60">
        <v>1.0</v>
      </c>
      <c r="H5974" s="60">
        <v>0.827586206896551</v>
      </c>
      <c r="I5974" s="60">
        <v>29.2486206896551</v>
      </c>
      <c r="J5974" s="59">
        <v>36.0</v>
      </c>
      <c r="K5974" s="61">
        <f t="shared" si="1"/>
        <v>0.9655172414</v>
      </c>
      <c r="L5974" s="62">
        <f t="shared" si="2"/>
        <v>1.24137931</v>
      </c>
    </row>
    <row r="5975">
      <c r="A5975" s="58">
        <v>45689.0</v>
      </c>
      <c r="B5975" s="24" t="s">
        <v>6789</v>
      </c>
      <c r="C5975" s="24" t="s">
        <v>6882</v>
      </c>
      <c r="D5975" s="59">
        <v>27.0</v>
      </c>
      <c r="E5975" s="59">
        <v>28.0</v>
      </c>
      <c r="F5975" s="59">
        <v>25.0</v>
      </c>
      <c r="G5975" s="60">
        <v>1.07692307692307</v>
      </c>
      <c r="H5975" s="60">
        <v>0.321428571428571</v>
      </c>
      <c r="I5975" s="60">
        <v>154.588251285714</v>
      </c>
      <c r="J5975" s="59">
        <v>38.0</v>
      </c>
      <c r="K5975" s="61">
        <f t="shared" si="1"/>
        <v>0.8928571429</v>
      </c>
      <c r="L5975" s="62">
        <f t="shared" si="2"/>
        <v>1.357142857</v>
      </c>
    </row>
    <row r="5976">
      <c r="A5976" s="58">
        <v>45689.0</v>
      </c>
      <c r="B5976" s="24" t="s">
        <v>6789</v>
      </c>
      <c r="C5976" s="24" t="s">
        <v>6804</v>
      </c>
      <c r="D5976" s="59">
        <v>26.0</v>
      </c>
      <c r="E5976" s="59">
        <v>31.0</v>
      </c>
      <c r="F5976" s="59">
        <v>22.0</v>
      </c>
      <c r="G5976" s="60">
        <v>1.19230769230769</v>
      </c>
      <c r="H5976" s="60">
        <v>0.516129032258064</v>
      </c>
      <c r="I5976" s="60">
        <v>123.35942532258</v>
      </c>
      <c r="J5976" s="59">
        <v>45.0</v>
      </c>
      <c r="K5976" s="61">
        <f t="shared" si="1"/>
        <v>0.7096774194</v>
      </c>
      <c r="L5976" s="62">
        <f t="shared" si="2"/>
        <v>1.451612903</v>
      </c>
    </row>
    <row r="5977">
      <c r="A5977" s="58">
        <v>45689.0</v>
      </c>
      <c r="B5977" s="24" t="s">
        <v>3216</v>
      </c>
      <c r="C5977" s="24" t="s">
        <v>7159</v>
      </c>
      <c r="D5977" s="59">
        <v>26.0</v>
      </c>
      <c r="E5977" s="59">
        <v>32.0</v>
      </c>
      <c r="F5977" s="59">
        <v>26.0</v>
      </c>
      <c r="G5977" s="60">
        <v>1.23076923076923</v>
      </c>
      <c r="H5977" s="60">
        <v>0.96875</v>
      </c>
      <c r="I5977" s="60">
        <v>6.1788331875</v>
      </c>
      <c r="J5977" s="59">
        <v>32.0</v>
      </c>
      <c r="K5977" s="61">
        <f t="shared" si="1"/>
        <v>0.8125</v>
      </c>
      <c r="L5977" s="62">
        <f t="shared" si="2"/>
        <v>1</v>
      </c>
    </row>
    <row r="5978">
      <c r="A5978" s="58">
        <v>45689.0</v>
      </c>
      <c r="B5978" s="24" t="s">
        <v>3216</v>
      </c>
      <c r="C5978" s="24" t="s">
        <v>7190</v>
      </c>
      <c r="D5978" s="59">
        <v>26.0</v>
      </c>
      <c r="E5978" s="59">
        <v>26.0</v>
      </c>
      <c r="F5978" s="59">
        <v>25.0</v>
      </c>
      <c r="G5978" s="60">
        <v>1.0</v>
      </c>
      <c r="H5978" s="60">
        <v>0.961538461538461</v>
      </c>
      <c r="I5978" s="60">
        <v>8.63974265384615</v>
      </c>
      <c r="J5978" s="59">
        <v>27.0</v>
      </c>
      <c r="K5978" s="61">
        <f t="shared" si="1"/>
        <v>0.9615384615</v>
      </c>
      <c r="L5978" s="62">
        <f t="shared" si="2"/>
        <v>1.038461538</v>
      </c>
    </row>
    <row r="5979">
      <c r="A5979" s="58">
        <v>45689.0</v>
      </c>
      <c r="B5979" s="24" t="s">
        <v>3216</v>
      </c>
      <c r="C5979" s="24" t="s">
        <v>7189</v>
      </c>
      <c r="D5979" s="59">
        <v>25.0</v>
      </c>
      <c r="E5979" s="59">
        <v>25.0</v>
      </c>
      <c r="F5979" s="59">
        <v>25.0</v>
      </c>
      <c r="G5979" s="60">
        <v>1.0</v>
      </c>
      <c r="H5979" s="60">
        <v>1.0</v>
      </c>
      <c r="I5979" s="60">
        <v>0.19352692</v>
      </c>
      <c r="J5979" s="59">
        <v>25.0</v>
      </c>
      <c r="K5979" s="61">
        <f t="shared" si="1"/>
        <v>1</v>
      </c>
      <c r="L5979" s="62">
        <f t="shared" si="2"/>
        <v>1</v>
      </c>
    </row>
    <row r="5980">
      <c r="A5980" s="58">
        <v>45689.0</v>
      </c>
      <c r="B5980" s="24" t="s">
        <v>155</v>
      </c>
      <c r="C5980" s="24" t="s">
        <v>6792</v>
      </c>
      <c r="D5980" s="59">
        <v>23.0</v>
      </c>
      <c r="E5980" s="59">
        <v>35.0</v>
      </c>
      <c r="F5980" s="59">
        <v>0.0</v>
      </c>
      <c r="G5980" s="60">
        <v>3.5</v>
      </c>
      <c r="H5980" s="60">
        <v>1.0</v>
      </c>
      <c r="I5980" s="60">
        <v>0.0400402571428571</v>
      </c>
      <c r="J5980" s="59">
        <v>0.0</v>
      </c>
      <c r="K5980" s="61">
        <f t="shared" si="1"/>
        <v>0</v>
      </c>
      <c r="L5980" s="62">
        <f t="shared" si="2"/>
        <v>0</v>
      </c>
    </row>
    <row r="5981">
      <c r="A5981" s="58">
        <v>45689.0</v>
      </c>
      <c r="B5981" s="24" t="s">
        <v>3216</v>
      </c>
      <c r="C5981" s="24" t="s">
        <v>6870</v>
      </c>
      <c r="D5981" s="59">
        <v>23.0</v>
      </c>
      <c r="E5981" s="59">
        <v>23.0</v>
      </c>
      <c r="F5981" s="59">
        <v>23.0</v>
      </c>
      <c r="G5981" s="60">
        <v>1.0</v>
      </c>
      <c r="H5981" s="60">
        <v>1.0</v>
      </c>
      <c r="I5981" s="60">
        <v>1.75739091304347</v>
      </c>
      <c r="J5981" s="59">
        <v>23.0</v>
      </c>
      <c r="K5981" s="61">
        <f t="shared" si="1"/>
        <v>1</v>
      </c>
      <c r="L5981" s="62">
        <f t="shared" si="2"/>
        <v>1</v>
      </c>
    </row>
    <row r="5982">
      <c r="A5982" s="58">
        <v>45689.0</v>
      </c>
      <c r="B5982" s="24" t="s">
        <v>6790</v>
      </c>
      <c r="C5982" s="24" t="s">
        <v>6788</v>
      </c>
      <c r="D5982" s="59">
        <v>20.0</v>
      </c>
      <c r="E5982" s="59">
        <v>31.0</v>
      </c>
      <c r="F5982" s="59">
        <v>16.0</v>
      </c>
      <c r="G5982" s="60">
        <v>1.55</v>
      </c>
      <c r="H5982" s="60">
        <v>0.32258064516129</v>
      </c>
      <c r="I5982" s="60">
        <v>404.80493116129</v>
      </c>
      <c r="J5982" s="59">
        <v>92.0</v>
      </c>
      <c r="K5982" s="61">
        <f t="shared" si="1"/>
        <v>0.5161290323</v>
      </c>
      <c r="L5982" s="62">
        <f t="shared" si="2"/>
        <v>2.967741935</v>
      </c>
    </row>
    <row r="5983">
      <c r="A5983" s="58">
        <v>45689.0</v>
      </c>
      <c r="B5983" s="24" t="s">
        <v>3216</v>
      </c>
      <c r="C5983" s="24" t="s">
        <v>7088</v>
      </c>
      <c r="D5983" s="59">
        <v>19.0</v>
      </c>
      <c r="E5983" s="59">
        <v>19.0</v>
      </c>
      <c r="F5983" s="59">
        <v>19.0</v>
      </c>
      <c r="G5983" s="60">
        <v>1.0</v>
      </c>
      <c r="H5983" s="60">
        <v>0.894736842105263</v>
      </c>
      <c r="I5983" s="60">
        <v>0.271884894736842</v>
      </c>
      <c r="J5983" s="59">
        <v>24.0</v>
      </c>
      <c r="K5983" s="61">
        <f t="shared" si="1"/>
        <v>1</v>
      </c>
      <c r="L5983" s="62">
        <f t="shared" si="2"/>
        <v>1.263157895</v>
      </c>
    </row>
    <row r="5984">
      <c r="A5984" s="58">
        <v>45689.0</v>
      </c>
      <c r="B5984" s="24" t="s">
        <v>3216</v>
      </c>
      <c r="C5984" s="24" t="s">
        <v>7106</v>
      </c>
      <c r="D5984" s="59">
        <v>18.0</v>
      </c>
      <c r="E5984" s="59">
        <v>18.0</v>
      </c>
      <c r="F5984" s="59">
        <v>18.0</v>
      </c>
      <c r="G5984" s="60">
        <v>1.0</v>
      </c>
      <c r="H5984" s="60">
        <v>0.888888888888888</v>
      </c>
      <c r="I5984" s="60">
        <v>1.04745172222222</v>
      </c>
      <c r="J5984" s="59">
        <v>20.0</v>
      </c>
      <c r="K5984" s="61">
        <f t="shared" si="1"/>
        <v>1</v>
      </c>
      <c r="L5984" s="62">
        <f t="shared" si="2"/>
        <v>1.111111111</v>
      </c>
    </row>
    <row r="5985">
      <c r="A5985" s="58">
        <v>45689.0</v>
      </c>
      <c r="B5985" s="24" t="s">
        <v>6789</v>
      </c>
      <c r="C5985" s="24" t="s">
        <v>6802</v>
      </c>
      <c r="D5985" s="59">
        <v>17.0</v>
      </c>
      <c r="E5985" s="59">
        <v>26.0</v>
      </c>
      <c r="F5985" s="59">
        <v>3.0</v>
      </c>
      <c r="G5985" s="60">
        <v>1.52941176470588</v>
      </c>
      <c r="H5985" s="60">
        <v>0.384615384615384</v>
      </c>
      <c r="I5985" s="60">
        <v>293.745468076923</v>
      </c>
      <c r="J5985" s="59">
        <v>80.0</v>
      </c>
      <c r="K5985" s="61">
        <f t="shared" si="1"/>
        <v>0.1153846154</v>
      </c>
      <c r="L5985" s="62">
        <f t="shared" si="2"/>
        <v>3.076923077</v>
      </c>
    </row>
    <row r="5986">
      <c r="A5986" s="58">
        <v>45689.0</v>
      </c>
      <c r="B5986" s="24" t="s">
        <v>6794</v>
      </c>
      <c r="C5986" s="24" t="s">
        <v>6792</v>
      </c>
      <c r="D5986" s="59">
        <v>16.0</v>
      </c>
      <c r="E5986" s="59">
        <v>17.0</v>
      </c>
      <c r="F5986" s="59">
        <v>0.0</v>
      </c>
      <c r="G5986" s="60">
        <v>1.54545454545454</v>
      </c>
      <c r="H5986" s="60">
        <v>1.0</v>
      </c>
      <c r="I5986" s="60">
        <v>0.353329</v>
      </c>
      <c r="J5986" s="59">
        <v>0.0</v>
      </c>
      <c r="K5986" s="61">
        <f t="shared" si="1"/>
        <v>0</v>
      </c>
      <c r="L5986" s="62">
        <f t="shared" si="2"/>
        <v>0</v>
      </c>
    </row>
    <row r="5987">
      <c r="A5987" s="58">
        <v>45689.0</v>
      </c>
      <c r="B5987" s="24" t="s">
        <v>6789</v>
      </c>
      <c r="C5987" s="24" t="s">
        <v>7024</v>
      </c>
      <c r="D5987" s="59">
        <v>16.0</v>
      </c>
      <c r="E5987" s="59">
        <v>18.0</v>
      </c>
      <c r="F5987" s="59">
        <v>15.0</v>
      </c>
      <c r="G5987" s="60">
        <v>1.125</v>
      </c>
      <c r="H5987" s="60">
        <v>0.777777777777777</v>
      </c>
      <c r="I5987" s="60">
        <v>103.994872222222</v>
      </c>
      <c r="J5987" s="59">
        <v>18.0</v>
      </c>
      <c r="K5987" s="61">
        <f t="shared" si="1"/>
        <v>0.8333333333</v>
      </c>
      <c r="L5987" s="62">
        <f t="shared" si="2"/>
        <v>1</v>
      </c>
    </row>
    <row r="5988">
      <c r="A5988" s="58">
        <v>45689.0</v>
      </c>
      <c r="B5988" s="24" t="s">
        <v>6787</v>
      </c>
      <c r="C5988" s="24" t="s">
        <v>6808</v>
      </c>
      <c r="D5988" s="59">
        <v>16.0</v>
      </c>
      <c r="E5988" s="59">
        <v>18.0</v>
      </c>
      <c r="F5988" s="59">
        <v>12.0</v>
      </c>
      <c r="G5988" s="60">
        <v>1.125</v>
      </c>
      <c r="H5988" s="60">
        <v>0.388888888888888</v>
      </c>
      <c r="I5988" s="60">
        <v>94.0029885555555</v>
      </c>
      <c r="J5988" s="59">
        <v>27.0</v>
      </c>
      <c r="K5988" s="61">
        <f t="shared" si="1"/>
        <v>0.6666666667</v>
      </c>
      <c r="L5988" s="62">
        <f t="shared" si="2"/>
        <v>1.5</v>
      </c>
    </row>
    <row r="5989">
      <c r="A5989" s="58">
        <v>45689.0</v>
      </c>
      <c r="B5989" s="24" t="s">
        <v>6787</v>
      </c>
      <c r="C5989" s="24" t="s">
        <v>6854</v>
      </c>
      <c r="D5989" s="59">
        <v>16.0</v>
      </c>
      <c r="E5989" s="59">
        <v>17.0</v>
      </c>
      <c r="F5989" s="59">
        <v>15.0</v>
      </c>
      <c r="G5989" s="60">
        <v>1.0625</v>
      </c>
      <c r="H5989" s="60">
        <v>0.529411764705882</v>
      </c>
      <c r="I5989" s="60">
        <v>105.292970411764</v>
      </c>
      <c r="J5989" s="59">
        <v>18.0</v>
      </c>
      <c r="K5989" s="61">
        <f t="shared" si="1"/>
        <v>0.8823529412</v>
      </c>
      <c r="L5989" s="62">
        <f t="shared" si="2"/>
        <v>1.058823529</v>
      </c>
    </row>
    <row r="5990">
      <c r="A5990" s="58">
        <v>45689.0</v>
      </c>
      <c r="B5990" s="24" t="s">
        <v>6787</v>
      </c>
      <c r="C5990" s="27"/>
      <c r="D5990" s="59">
        <v>15.0</v>
      </c>
      <c r="E5990" s="59">
        <v>15.0</v>
      </c>
      <c r="F5990" s="59">
        <v>15.0</v>
      </c>
      <c r="G5990" s="60">
        <v>1.0</v>
      </c>
      <c r="H5990" s="60">
        <v>0.733333333333333</v>
      </c>
      <c r="I5990" s="60">
        <v>11.0397059333333</v>
      </c>
      <c r="J5990" s="59">
        <v>15.0</v>
      </c>
      <c r="K5990" s="61">
        <f t="shared" si="1"/>
        <v>1</v>
      </c>
      <c r="L5990" s="62">
        <f t="shared" si="2"/>
        <v>1</v>
      </c>
    </row>
    <row r="5991">
      <c r="A5991" s="58">
        <v>45689.0</v>
      </c>
      <c r="B5991" s="24" t="s">
        <v>6787</v>
      </c>
      <c r="C5991" s="24" t="s">
        <v>6799</v>
      </c>
      <c r="D5991" s="59">
        <v>15.0</v>
      </c>
      <c r="E5991" s="59">
        <v>19.0</v>
      </c>
      <c r="F5991" s="59">
        <v>14.0</v>
      </c>
      <c r="G5991" s="60">
        <v>1.35714285714285</v>
      </c>
      <c r="H5991" s="60">
        <v>0.578947368421052</v>
      </c>
      <c r="I5991" s="60">
        <v>19.1818185263157</v>
      </c>
      <c r="J5991" s="59">
        <v>24.0</v>
      </c>
      <c r="K5991" s="61">
        <f t="shared" si="1"/>
        <v>0.7368421053</v>
      </c>
      <c r="L5991" s="62">
        <f t="shared" si="2"/>
        <v>1.263157895</v>
      </c>
    </row>
    <row r="5992">
      <c r="A5992" s="58">
        <v>45689.0</v>
      </c>
      <c r="B5992" s="24" t="s">
        <v>3216</v>
      </c>
      <c r="C5992" s="24" t="s">
        <v>6811</v>
      </c>
      <c r="D5992" s="59">
        <v>15.0</v>
      </c>
      <c r="E5992" s="59">
        <v>15.0</v>
      </c>
      <c r="F5992" s="59">
        <v>14.0</v>
      </c>
      <c r="G5992" s="60">
        <v>1.07142857142857</v>
      </c>
      <c r="H5992" s="60">
        <v>1.0</v>
      </c>
      <c r="I5992" s="60">
        <v>0.122082733333333</v>
      </c>
      <c r="J5992" s="59">
        <v>15.0</v>
      </c>
      <c r="K5992" s="61">
        <f t="shared" si="1"/>
        <v>0.9333333333</v>
      </c>
      <c r="L5992" s="62">
        <f t="shared" si="2"/>
        <v>1</v>
      </c>
    </row>
    <row r="5993">
      <c r="A5993" s="58">
        <v>45689.0</v>
      </c>
      <c r="B5993" s="24" t="s">
        <v>6789</v>
      </c>
      <c r="C5993" s="24" t="s">
        <v>6829</v>
      </c>
      <c r="D5993" s="59">
        <v>14.0</v>
      </c>
      <c r="E5993" s="59">
        <v>14.0</v>
      </c>
      <c r="F5993" s="59">
        <v>14.0</v>
      </c>
      <c r="G5993" s="60">
        <v>1.0</v>
      </c>
      <c r="H5993" s="60">
        <v>0.428571428571428</v>
      </c>
      <c r="I5993" s="60">
        <v>109.98811</v>
      </c>
      <c r="J5993" s="59">
        <v>14.0</v>
      </c>
      <c r="K5993" s="61">
        <f t="shared" si="1"/>
        <v>1</v>
      </c>
      <c r="L5993" s="62">
        <f t="shared" si="2"/>
        <v>1</v>
      </c>
    </row>
    <row r="5994">
      <c r="A5994" s="58">
        <v>45689.0</v>
      </c>
      <c r="B5994" s="24" t="s">
        <v>6789</v>
      </c>
      <c r="C5994" s="24" t="s">
        <v>6841</v>
      </c>
      <c r="D5994" s="59">
        <v>14.0</v>
      </c>
      <c r="E5994" s="59">
        <v>15.0</v>
      </c>
      <c r="F5994" s="59">
        <v>12.0</v>
      </c>
      <c r="G5994" s="60">
        <v>1.07142857142857</v>
      </c>
      <c r="H5994" s="60">
        <v>0.533333333333333</v>
      </c>
      <c r="I5994" s="60">
        <v>44.8233404</v>
      </c>
      <c r="J5994" s="59">
        <v>19.0</v>
      </c>
      <c r="K5994" s="61">
        <f t="shared" si="1"/>
        <v>0.8</v>
      </c>
      <c r="L5994" s="62">
        <f t="shared" si="2"/>
        <v>1.266666667</v>
      </c>
    </row>
    <row r="5995">
      <c r="A5995" s="58">
        <v>45689.0</v>
      </c>
      <c r="B5995" s="24" t="s">
        <v>6787</v>
      </c>
      <c r="C5995" s="24" t="s">
        <v>6851</v>
      </c>
      <c r="D5995" s="59">
        <v>14.0</v>
      </c>
      <c r="E5995" s="59">
        <v>14.0</v>
      </c>
      <c r="F5995" s="59">
        <v>12.0</v>
      </c>
      <c r="G5995" s="60">
        <v>1.0</v>
      </c>
      <c r="H5995" s="60">
        <v>0.214285714285714</v>
      </c>
      <c r="I5995" s="60">
        <v>25.7448426428571</v>
      </c>
      <c r="J5995" s="59">
        <v>35.0</v>
      </c>
      <c r="K5995" s="61">
        <f t="shared" si="1"/>
        <v>0.8571428571</v>
      </c>
      <c r="L5995" s="62">
        <f t="shared" si="2"/>
        <v>2.5</v>
      </c>
    </row>
    <row r="5996">
      <c r="A5996" s="58">
        <v>45689.0</v>
      </c>
      <c r="B5996" s="24" t="s">
        <v>6790</v>
      </c>
      <c r="C5996" s="24" t="s">
        <v>6792</v>
      </c>
      <c r="D5996" s="59">
        <v>13.0</v>
      </c>
      <c r="E5996" s="59">
        <v>13.0</v>
      </c>
      <c r="F5996" s="59">
        <v>0.0</v>
      </c>
      <c r="G5996" s="60">
        <v>1.08333333333333</v>
      </c>
      <c r="H5996" s="60">
        <v>1.0</v>
      </c>
      <c r="I5996" s="60">
        <v>1.17461538461538E-4</v>
      </c>
      <c r="J5996" s="59">
        <v>0.0</v>
      </c>
      <c r="K5996" s="61">
        <f t="shared" si="1"/>
        <v>0</v>
      </c>
      <c r="L5996" s="62">
        <f t="shared" si="2"/>
        <v>0</v>
      </c>
    </row>
    <row r="5997">
      <c r="A5997" s="58">
        <v>45689.0</v>
      </c>
      <c r="B5997" s="24" t="s">
        <v>6787</v>
      </c>
      <c r="C5997" s="24" t="s">
        <v>6815</v>
      </c>
      <c r="D5997" s="59">
        <v>13.0</v>
      </c>
      <c r="E5997" s="59">
        <v>13.0</v>
      </c>
      <c r="F5997" s="59">
        <v>12.0</v>
      </c>
      <c r="G5997" s="60">
        <v>1.0</v>
      </c>
      <c r="H5997" s="60">
        <v>0.23076923076923</v>
      </c>
      <c r="I5997" s="60">
        <v>101.969030384615</v>
      </c>
      <c r="J5997" s="59">
        <v>23.0</v>
      </c>
      <c r="K5997" s="61">
        <f t="shared" si="1"/>
        <v>0.9230769231</v>
      </c>
      <c r="L5997" s="62">
        <f t="shared" si="2"/>
        <v>1.769230769</v>
      </c>
    </row>
    <row r="5998">
      <c r="A5998" s="58">
        <v>45689.0</v>
      </c>
      <c r="B5998" s="24" t="s">
        <v>6789</v>
      </c>
      <c r="C5998" s="24" t="s">
        <v>6854</v>
      </c>
      <c r="D5998" s="59">
        <v>13.0</v>
      </c>
      <c r="E5998" s="59">
        <v>14.0</v>
      </c>
      <c r="F5998" s="59">
        <v>4.0</v>
      </c>
      <c r="G5998" s="60">
        <v>1.07692307692307</v>
      </c>
      <c r="H5998" s="60">
        <v>0.214285714285714</v>
      </c>
      <c r="I5998" s="60">
        <v>195.983115214285</v>
      </c>
      <c r="J5998" s="59">
        <v>34.0</v>
      </c>
      <c r="K5998" s="61">
        <f t="shared" si="1"/>
        <v>0.2857142857</v>
      </c>
      <c r="L5998" s="62">
        <f t="shared" si="2"/>
        <v>2.428571429</v>
      </c>
    </row>
    <row r="5999">
      <c r="A5999" s="58">
        <v>45689.0</v>
      </c>
      <c r="B5999" s="24" t="s">
        <v>3216</v>
      </c>
      <c r="C5999" s="24" t="s">
        <v>6882</v>
      </c>
      <c r="D5999" s="59">
        <v>11.0</v>
      </c>
      <c r="E5999" s="59">
        <v>12.0</v>
      </c>
      <c r="F5999" s="59">
        <v>9.0</v>
      </c>
      <c r="G5999" s="60">
        <v>1.09090909090909</v>
      </c>
      <c r="H5999" s="60">
        <v>0.75</v>
      </c>
      <c r="I5999" s="60">
        <v>106.246499416666</v>
      </c>
      <c r="J5999" s="59">
        <v>13.0</v>
      </c>
      <c r="K5999" s="61">
        <f t="shared" si="1"/>
        <v>0.75</v>
      </c>
      <c r="L5999" s="62">
        <f t="shared" si="2"/>
        <v>1.083333333</v>
      </c>
    </row>
    <row r="6000">
      <c r="A6000" s="58">
        <v>45689.0</v>
      </c>
      <c r="B6000" s="24" t="s">
        <v>155</v>
      </c>
      <c r="C6000" s="24" t="s">
        <v>6800</v>
      </c>
      <c r="D6000" s="59">
        <v>11.0</v>
      </c>
      <c r="E6000" s="59">
        <v>11.0</v>
      </c>
      <c r="F6000" s="59">
        <v>11.0</v>
      </c>
      <c r="G6000" s="60">
        <v>1.0</v>
      </c>
      <c r="H6000" s="60">
        <v>0.181818181818181</v>
      </c>
      <c r="I6000" s="60">
        <v>38.7767007272727</v>
      </c>
      <c r="J6000" s="59">
        <v>20.0</v>
      </c>
      <c r="K6000" s="61">
        <f t="shared" si="1"/>
        <v>1</v>
      </c>
      <c r="L6000" s="62">
        <f t="shared" si="2"/>
        <v>1.818181818</v>
      </c>
    </row>
    <row r="6001">
      <c r="A6001" s="58">
        <v>45689.0</v>
      </c>
      <c r="B6001" s="24" t="s">
        <v>6789</v>
      </c>
      <c r="C6001" s="24" t="s">
        <v>6910</v>
      </c>
      <c r="D6001" s="59">
        <v>11.0</v>
      </c>
      <c r="E6001" s="59">
        <v>12.0</v>
      </c>
      <c r="F6001" s="59">
        <v>7.0</v>
      </c>
      <c r="G6001" s="60">
        <v>1.09090909090909</v>
      </c>
      <c r="H6001" s="60">
        <v>0.5</v>
      </c>
      <c r="I6001" s="60">
        <v>184.492077416666</v>
      </c>
      <c r="J6001" s="59">
        <v>27.0</v>
      </c>
      <c r="K6001" s="61">
        <f t="shared" si="1"/>
        <v>0.5833333333</v>
      </c>
      <c r="L6001" s="62">
        <f t="shared" si="2"/>
        <v>2.25</v>
      </c>
    </row>
    <row r="6002">
      <c r="A6002" s="58">
        <v>45689.0</v>
      </c>
      <c r="B6002" s="24" t="s">
        <v>6787</v>
      </c>
      <c r="C6002" s="24" t="s">
        <v>7107</v>
      </c>
      <c r="D6002" s="59">
        <v>11.0</v>
      </c>
      <c r="E6002" s="59">
        <v>11.0</v>
      </c>
      <c r="F6002" s="59">
        <v>11.0</v>
      </c>
      <c r="G6002" s="60">
        <v>1.0</v>
      </c>
      <c r="H6002" s="60">
        <v>0.727272727272727</v>
      </c>
      <c r="I6002" s="60">
        <v>3.78679918181818</v>
      </c>
      <c r="J6002" s="59">
        <v>11.0</v>
      </c>
      <c r="K6002" s="61">
        <f t="shared" si="1"/>
        <v>1</v>
      </c>
      <c r="L6002" s="62">
        <f t="shared" si="2"/>
        <v>1</v>
      </c>
    </row>
    <row r="6003">
      <c r="A6003" s="58">
        <v>45689.0</v>
      </c>
      <c r="B6003" s="24" t="s">
        <v>6787</v>
      </c>
      <c r="C6003" s="24" t="s">
        <v>6817</v>
      </c>
      <c r="D6003" s="59">
        <v>10.0</v>
      </c>
      <c r="E6003" s="59">
        <v>12.0</v>
      </c>
      <c r="F6003" s="59">
        <v>9.0</v>
      </c>
      <c r="G6003" s="60">
        <v>1.2</v>
      </c>
      <c r="H6003" s="60">
        <v>0.833333333333333</v>
      </c>
      <c r="I6003" s="60">
        <v>80.1413453333333</v>
      </c>
      <c r="J6003" s="59">
        <v>17.0</v>
      </c>
      <c r="K6003" s="61">
        <f t="shared" si="1"/>
        <v>0.75</v>
      </c>
      <c r="L6003" s="62">
        <f t="shared" si="2"/>
        <v>1.416666667</v>
      </c>
    </row>
    <row r="6004">
      <c r="A6004" s="58">
        <v>45689.0</v>
      </c>
      <c r="B6004" s="24" t="s">
        <v>6787</v>
      </c>
      <c r="C6004" s="24" t="s">
        <v>6822</v>
      </c>
      <c r="D6004" s="59">
        <v>10.0</v>
      </c>
      <c r="E6004" s="59">
        <v>10.0</v>
      </c>
      <c r="F6004" s="59">
        <v>10.0</v>
      </c>
      <c r="G6004" s="60">
        <v>1.0</v>
      </c>
      <c r="H6004" s="60">
        <v>0.2</v>
      </c>
      <c r="I6004" s="60">
        <v>18.7605616</v>
      </c>
      <c r="J6004" s="59">
        <v>25.0</v>
      </c>
      <c r="K6004" s="61">
        <f t="shared" si="1"/>
        <v>1</v>
      </c>
      <c r="L6004" s="62">
        <f t="shared" si="2"/>
        <v>2.5</v>
      </c>
    </row>
    <row r="6005">
      <c r="A6005" s="58">
        <v>45689.0</v>
      </c>
      <c r="B6005" s="24" t="s">
        <v>6787</v>
      </c>
      <c r="C6005" s="24" t="s">
        <v>6802</v>
      </c>
      <c r="D6005" s="59">
        <v>10.0</v>
      </c>
      <c r="E6005" s="59">
        <v>10.0</v>
      </c>
      <c r="F6005" s="59">
        <v>8.0</v>
      </c>
      <c r="G6005" s="60">
        <v>1.0</v>
      </c>
      <c r="H6005" s="60">
        <v>0.5</v>
      </c>
      <c r="I6005" s="60">
        <v>101.231512299999</v>
      </c>
      <c r="J6005" s="59">
        <v>15.0</v>
      </c>
      <c r="K6005" s="61">
        <f t="shared" si="1"/>
        <v>0.8</v>
      </c>
      <c r="L6005" s="62">
        <f t="shared" si="2"/>
        <v>1.5</v>
      </c>
    </row>
    <row r="6006">
      <c r="A6006" s="58">
        <v>45689.0</v>
      </c>
      <c r="B6006" s="24" t="s">
        <v>3216</v>
      </c>
      <c r="C6006" s="24" t="s">
        <v>6788</v>
      </c>
      <c r="D6006" s="59">
        <v>9.0</v>
      </c>
      <c r="E6006" s="59">
        <v>9.0</v>
      </c>
      <c r="F6006" s="59">
        <v>8.0</v>
      </c>
      <c r="G6006" s="60">
        <v>1.125</v>
      </c>
      <c r="H6006" s="60">
        <v>1.0</v>
      </c>
      <c r="I6006" s="60">
        <v>0.785209555555555</v>
      </c>
      <c r="J6006" s="59">
        <v>9.0</v>
      </c>
      <c r="K6006" s="61">
        <f t="shared" si="1"/>
        <v>0.8888888889</v>
      </c>
      <c r="L6006" s="62">
        <f t="shared" si="2"/>
        <v>1</v>
      </c>
    </row>
    <row r="6007">
      <c r="A6007" s="58">
        <v>45689.0</v>
      </c>
      <c r="B6007" s="24" t="s">
        <v>6787</v>
      </c>
      <c r="C6007" s="24" t="s">
        <v>6820</v>
      </c>
      <c r="D6007" s="59">
        <v>9.0</v>
      </c>
      <c r="E6007" s="59">
        <v>10.0</v>
      </c>
      <c r="F6007" s="59">
        <v>9.0</v>
      </c>
      <c r="G6007" s="60">
        <v>1.11111111111111</v>
      </c>
      <c r="H6007" s="60">
        <v>0.8</v>
      </c>
      <c r="I6007" s="60">
        <v>23.2917907</v>
      </c>
      <c r="J6007" s="59">
        <v>10.0</v>
      </c>
      <c r="K6007" s="61">
        <f t="shared" si="1"/>
        <v>0.9</v>
      </c>
      <c r="L6007" s="62">
        <f t="shared" si="2"/>
        <v>1</v>
      </c>
    </row>
    <row r="6008">
      <c r="A6008" s="58">
        <v>45689.0</v>
      </c>
      <c r="B6008" s="24" t="s">
        <v>6787</v>
      </c>
      <c r="C6008" s="24" t="s">
        <v>6898</v>
      </c>
      <c r="D6008" s="59">
        <v>9.0</v>
      </c>
      <c r="E6008" s="59">
        <v>9.0</v>
      </c>
      <c r="F6008" s="59">
        <v>7.0</v>
      </c>
      <c r="G6008" s="60">
        <v>1.125</v>
      </c>
      <c r="H6008" s="60">
        <v>0.333333333333333</v>
      </c>
      <c r="I6008" s="60">
        <v>400.185420333333</v>
      </c>
      <c r="J6008" s="59">
        <v>27.0</v>
      </c>
      <c r="K6008" s="61">
        <f t="shared" si="1"/>
        <v>0.7777777778</v>
      </c>
      <c r="L6008" s="62">
        <f t="shared" si="2"/>
        <v>3</v>
      </c>
    </row>
    <row r="6009">
      <c r="A6009" s="58">
        <v>45689.0</v>
      </c>
      <c r="B6009" s="24" t="s">
        <v>6789</v>
      </c>
      <c r="C6009" s="24" t="s">
        <v>6898</v>
      </c>
      <c r="D6009" s="59">
        <v>9.0</v>
      </c>
      <c r="E6009" s="59">
        <v>11.0</v>
      </c>
      <c r="F6009" s="59">
        <v>7.0</v>
      </c>
      <c r="G6009" s="60">
        <v>1.22222222222222</v>
      </c>
      <c r="H6009" s="60">
        <v>0.545454545454545</v>
      </c>
      <c r="I6009" s="60">
        <v>63.8659752727272</v>
      </c>
      <c r="J6009" s="59">
        <v>14.0</v>
      </c>
      <c r="K6009" s="61">
        <f t="shared" si="1"/>
        <v>0.6363636364</v>
      </c>
      <c r="L6009" s="62">
        <f t="shared" si="2"/>
        <v>1.272727273</v>
      </c>
    </row>
    <row r="6010">
      <c r="A6010" s="58">
        <v>45689.0</v>
      </c>
      <c r="B6010" s="24" t="s">
        <v>6789</v>
      </c>
      <c r="C6010" s="24" t="s">
        <v>7234</v>
      </c>
      <c r="D6010" s="59">
        <v>9.0</v>
      </c>
      <c r="E6010" s="59">
        <v>9.0</v>
      </c>
      <c r="F6010" s="59">
        <v>8.0</v>
      </c>
      <c r="G6010" s="60">
        <v>1.0</v>
      </c>
      <c r="H6010" s="60">
        <v>0.111111111111111</v>
      </c>
      <c r="I6010" s="60">
        <v>129.422433222222</v>
      </c>
      <c r="J6010" s="59">
        <v>18.0</v>
      </c>
      <c r="K6010" s="61">
        <f t="shared" si="1"/>
        <v>0.8888888889</v>
      </c>
      <c r="L6010" s="62">
        <f t="shared" si="2"/>
        <v>2</v>
      </c>
    </row>
    <row r="6011">
      <c r="A6011" s="58">
        <v>45689.0</v>
      </c>
      <c r="B6011" s="24" t="s">
        <v>6787</v>
      </c>
      <c r="C6011" s="24" t="s">
        <v>6800</v>
      </c>
      <c r="D6011" s="59">
        <v>9.0</v>
      </c>
      <c r="E6011" s="59">
        <v>9.0</v>
      </c>
      <c r="F6011" s="59">
        <v>9.0</v>
      </c>
      <c r="G6011" s="60">
        <v>1.0</v>
      </c>
      <c r="H6011" s="60">
        <v>0.777777777777777</v>
      </c>
      <c r="I6011" s="60">
        <v>14.2200424444444</v>
      </c>
      <c r="J6011" s="59">
        <v>10.0</v>
      </c>
      <c r="K6011" s="61">
        <f t="shared" si="1"/>
        <v>1</v>
      </c>
      <c r="L6011" s="62">
        <f t="shared" si="2"/>
        <v>1.111111111</v>
      </c>
    </row>
    <row r="6012">
      <c r="A6012" s="58">
        <v>45689.0</v>
      </c>
      <c r="B6012" s="24" t="s">
        <v>3216</v>
      </c>
      <c r="C6012" s="24" t="s">
        <v>6792</v>
      </c>
      <c r="D6012" s="59">
        <v>8.0</v>
      </c>
      <c r="E6012" s="59">
        <v>9.0</v>
      </c>
      <c r="F6012" s="59">
        <v>0.0</v>
      </c>
      <c r="G6012" s="60">
        <v>1.8</v>
      </c>
      <c r="H6012" s="60">
        <v>1.0</v>
      </c>
      <c r="I6012" s="60">
        <v>0.0</v>
      </c>
      <c r="J6012" s="59">
        <v>0.0</v>
      </c>
      <c r="K6012" s="61">
        <f t="shared" si="1"/>
        <v>0</v>
      </c>
      <c r="L6012" s="62">
        <f t="shared" si="2"/>
        <v>0</v>
      </c>
    </row>
    <row r="6013">
      <c r="A6013" s="58">
        <v>45689.0</v>
      </c>
      <c r="B6013" s="24" t="s">
        <v>6789</v>
      </c>
      <c r="C6013" s="24" t="s">
        <v>6835</v>
      </c>
      <c r="D6013" s="59">
        <v>8.0</v>
      </c>
      <c r="E6013" s="59">
        <v>8.0</v>
      </c>
      <c r="F6013" s="59">
        <v>8.0</v>
      </c>
      <c r="G6013" s="60">
        <v>1.0</v>
      </c>
      <c r="H6013" s="60">
        <v>0.125</v>
      </c>
      <c r="I6013" s="60">
        <v>605.476482875</v>
      </c>
      <c r="J6013" s="59">
        <v>11.0</v>
      </c>
      <c r="K6013" s="61">
        <f t="shared" si="1"/>
        <v>1</v>
      </c>
      <c r="L6013" s="62">
        <f t="shared" si="2"/>
        <v>1.375</v>
      </c>
    </row>
    <row r="6014">
      <c r="A6014" s="58">
        <v>45689.0</v>
      </c>
      <c r="B6014" s="24" t="s">
        <v>6789</v>
      </c>
      <c r="C6014" s="24" t="s">
        <v>6838</v>
      </c>
      <c r="D6014" s="59">
        <v>8.0</v>
      </c>
      <c r="E6014" s="59">
        <v>8.0</v>
      </c>
      <c r="F6014" s="59">
        <v>5.0</v>
      </c>
      <c r="G6014" s="60">
        <v>1.0</v>
      </c>
      <c r="H6014" s="60">
        <v>0.125</v>
      </c>
      <c r="I6014" s="60">
        <v>436.57859125</v>
      </c>
      <c r="J6014" s="59">
        <v>27.0</v>
      </c>
      <c r="K6014" s="61">
        <f t="shared" si="1"/>
        <v>0.625</v>
      </c>
      <c r="L6014" s="62">
        <f t="shared" si="2"/>
        <v>3.375</v>
      </c>
    </row>
    <row r="6015">
      <c r="A6015" s="58">
        <v>45689.0</v>
      </c>
      <c r="B6015" s="24" t="s">
        <v>6789</v>
      </c>
      <c r="C6015" s="24" t="s">
        <v>6806</v>
      </c>
      <c r="D6015" s="59">
        <v>8.0</v>
      </c>
      <c r="E6015" s="59">
        <v>10.0</v>
      </c>
      <c r="F6015" s="59">
        <v>4.0</v>
      </c>
      <c r="G6015" s="60">
        <v>1.25</v>
      </c>
      <c r="H6015" s="60">
        <v>0.3</v>
      </c>
      <c r="I6015" s="60">
        <v>486.1436878</v>
      </c>
      <c r="J6015" s="59">
        <v>30.0</v>
      </c>
      <c r="K6015" s="61">
        <f t="shared" si="1"/>
        <v>0.4</v>
      </c>
      <c r="L6015" s="62">
        <f t="shared" si="2"/>
        <v>3</v>
      </c>
    </row>
    <row r="6016">
      <c r="A6016" s="58">
        <v>45689.0</v>
      </c>
      <c r="B6016" s="24" t="s">
        <v>6794</v>
      </c>
      <c r="C6016" s="24" t="s">
        <v>7472</v>
      </c>
      <c r="D6016" s="59">
        <v>8.0</v>
      </c>
      <c r="E6016" s="59">
        <v>13.0</v>
      </c>
      <c r="F6016" s="59">
        <v>7.0</v>
      </c>
      <c r="G6016" s="60">
        <v>1.625</v>
      </c>
      <c r="H6016" s="60">
        <v>0.692307692307692</v>
      </c>
      <c r="I6016" s="60">
        <v>232.135838</v>
      </c>
      <c r="J6016" s="59">
        <v>16.0</v>
      </c>
      <c r="K6016" s="61">
        <f t="shared" si="1"/>
        <v>0.5384615385</v>
      </c>
      <c r="L6016" s="62">
        <f t="shared" si="2"/>
        <v>1.230769231</v>
      </c>
    </row>
    <row r="6017">
      <c r="A6017" s="58">
        <v>45689.0</v>
      </c>
      <c r="B6017" s="24" t="s">
        <v>7100</v>
      </c>
      <c r="C6017" s="24" t="s">
        <v>6960</v>
      </c>
      <c r="D6017" s="59">
        <v>8.0</v>
      </c>
      <c r="E6017" s="59">
        <v>8.0</v>
      </c>
      <c r="F6017" s="59">
        <v>8.0</v>
      </c>
      <c r="G6017" s="60">
        <v>1.0</v>
      </c>
      <c r="H6017" s="60">
        <v>0.75</v>
      </c>
      <c r="I6017" s="60">
        <v>6.27098475</v>
      </c>
      <c r="J6017" s="59">
        <v>8.0</v>
      </c>
      <c r="K6017" s="61">
        <f t="shared" si="1"/>
        <v>1</v>
      </c>
      <c r="L6017" s="62">
        <f t="shared" si="2"/>
        <v>1</v>
      </c>
    </row>
    <row r="6018">
      <c r="A6018" s="58">
        <v>45689.0</v>
      </c>
      <c r="B6018" s="24" t="s">
        <v>6789</v>
      </c>
      <c r="C6018" s="24" t="s">
        <v>6803</v>
      </c>
      <c r="D6018" s="59">
        <v>7.0</v>
      </c>
      <c r="E6018" s="59">
        <v>7.0</v>
      </c>
      <c r="F6018" s="59">
        <v>5.0</v>
      </c>
      <c r="G6018" s="60">
        <v>1.16666666666666</v>
      </c>
      <c r="H6018" s="60">
        <v>0.571428571428571</v>
      </c>
      <c r="I6018" s="60">
        <v>46.1521265714285</v>
      </c>
      <c r="J6018" s="59">
        <v>7.0</v>
      </c>
      <c r="K6018" s="61">
        <f t="shared" si="1"/>
        <v>0.7142857143</v>
      </c>
      <c r="L6018" s="62">
        <f t="shared" si="2"/>
        <v>1</v>
      </c>
    </row>
    <row r="6019">
      <c r="A6019" s="58">
        <v>45689.0</v>
      </c>
      <c r="B6019" s="24" t="s">
        <v>6787</v>
      </c>
      <c r="C6019" s="24" t="s">
        <v>6882</v>
      </c>
      <c r="D6019" s="59">
        <v>7.0</v>
      </c>
      <c r="E6019" s="59">
        <v>7.0</v>
      </c>
      <c r="F6019" s="59">
        <v>7.0</v>
      </c>
      <c r="G6019" s="60">
        <v>1.0</v>
      </c>
      <c r="H6019" s="60">
        <v>0.714285714285714</v>
      </c>
      <c r="I6019" s="60">
        <v>109.368884714285</v>
      </c>
      <c r="J6019" s="59">
        <v>7.0</v>
      </c>
      <c r="K6019" s="61">
        <f t="shared" si="1"/>
        <v>1</v>
      </c>
      <c r="L6019" s="62">
        <f t="shared" si="2"/>
        <v>1</v>
      </c>
    </row>
    <row r="6020">
      <c r="A6020" s="58">
        <v>45689.0</v>
      </c>
      <c r="B6020" s="24" t="s">
        <v>155</v>
      </c>
      <c r="C6020" s="24" t="s">
        <v>7068</v>
      </c>
      <c r="D6020" s="59">
        <v>7.0</v>
      </c>
      <c r="E6020" s="59">
        <v>7.0</v>
      </c>
      <c r="F6020" s="59">
        <v>7.0</v>
      </c>
      <c r="G6020" s="60">
        <v>1.0</v>
      </c>
      <c r="H6020" s="60">
        <v>0.428571428571428</v>
      </c>
      <c r="I6020" s="60">
        <v>202.326316285714</v>
      </c>
      <c r="J6020" s="59">
        <v>9.0</v>
      </c>
      <c r="K6020" s="61">
        <f t="shared" si="1"/>
        <v>1</v>
      </c>
      <c r="L6020" s="62">
        <f t="shared" si="2"/>
        <v>1.285714286</v>
      </c>
    </row>
    <row r="6021">
      <c r="A6021" s="58">
        <v>45689.0</v>
      </c>
      <c r="B6021" s="24" t="s">
        <v>6787</v>
      </c>
      <c r="C6021" s="24" t="s">
        <v>7021</v>
      </c>
      <c r="D6021" s="59">
        <v>7.0</v>
      </c>
      <c r="E6021" s="59">
        <v>7.0</v>
      </c>
      <c r="F6021" s="59">
        <v>5.0</v>
      </c>
      <c r="G6021" s="60">
        <v>1.16666666666666</v>
      </c>
      <c r="H6021" s="60">
        <v>0.428571428571428</v>
      </c>
      <c r="I6021" s="60">
        <v>239.861601857142</v>
      </c>
      <c r="J6021" s="59">
        <v>12.0</v>
      </c>
      <c r="K6021" s="61">
        <f t="shared" si="1"/>
        <v>0.7142857143</v>
      </c>
      <c r="L6021" s="62">
        <f t="shared" si="2"/>
        <v>1.714285714</v>
      </c>
    </row>
    <row r="6022">
      <c r="A6022" s="58">
        <v>45689.0</v>
      </c>
      <c r="B6022" s="24" t="s">
        <v>6789</v>
      </c>
      <c r="C6022" s="24" t="s">
        <v>6892</v>
      </c>
      <c r="D6022" s="59">
        <v>7.0</v>
      </c>
      <c r="E6022" s="59">
        <v>8.0</v>
      </c>
      <c r="F6022" s="59">
        <v>5.0</v>
      </c>
      <c r="G6022" s="60">
        <v>1.33333333333333</v>
      </c>
      <c r="H6022" s="60">
        <v>0.75</v>
      </c>
      <c r="I6022" s="60">
        <v>51.406597</v>
      </c>
      <c r="J6022" s="59">
        <v>13.0</v>
      </c>
      <c r="K6022" s="61">
        <f t="shared" si="1"/>
        <v>0.625</v>
      </c>
      <c r="L6022" s="62">
        <f t="shared" si="2"/>
        <v>1.625</v>
      </c>
    </row>
    <row r="6023">
      <c r="A6023" s="58">
        <v>45689.0</v>
      </c>
      <c r="B6023" s="24" t="s">
        <v>6789</v>
      </c>
      <c r="C6023" s="24" t="s">
        <v>7077</v>
      </c>
      <c r="D6023" s="59">
        <v>7.0</v>
      </c>
      <c r="E6023" s="59">
        <v>8.0</v>
      </c>
      <c r="F6023" s="59">
        <v>7.0</v>
      </c>
      <c r="G6023" s="60">
        <v>1.14285714285714</v>
      </c>
      <c r="H6023" s="60">
        <v>0.5</v>
      </c>
      <c r="I6023" s="60">
        <v>113.149765124999</v>
      </c>
      <c r="J6023" s="59">
        <v>8.0</v>
      </c>
      <c r="K6023" s="61">
        <f t="shared" si="1"/>
        <v>0.875</v>
      </c>
      <c r="L6023" s="62">
        <f t="shared" si="2"/>
        <v>1</v>
      </c>
    </row>
    <row r="6024">
      <c r="A6024" s="58">
        <v>45689.0</v>
      </c>
      <c r="B6024" s="24" t="s">
        <v>3216</v>
      </c>
      <c r="C6024" s="24" t="s">
        <v>6801</v>
      </c>
      <c r="D6024" s="59">
        <v>7.0</v>
      </c>
      <c r="E6024" s="59">
        <v>7.0</v>
      </c>
      <c r="F6024" s="59">
        <v>7.0</v>
      </c>
      <c r="G6024" s="60">
        <v>1.0</v>
      </c>
      <c r="H6024" s="60">
        <v>1.0</v>
      </c>
      <c r="I6024" s="60">
        <v>0.0</v>
      </c>
      <c r="J6024" s="59">
        <v>7.0</v>
      </c>
      <c r="K6024" s="61">
        <f t="shared" si="1"/>
        <v>1</v>
      </c>
      <c r="L6024" s="62">
        <f t="shared" si="2"/>
        <v>1</v>
      </c>
    </row>
    <row r="6025">
      <c r="A6025" s="58">
        <v>45689.0</v>
      </c>
      <c r="B6025" s="24" t="s">
        <v>3216</v>
      </c>
      <c r="C6025" s="24" t="s">
        <v>7055</v>
      </c>
      <c r="D6025" s="59">
        <v>6.0</v>
      </c>
      <c r="E6025" s="59">
        <v>6.0</v>
      </c>
      <c r="F6025" s="59">
        <v>4.0</v>
      </c>
      <c r="G6025" s="60">
        <v>1.0</v>
      </c>
      <c r="H6025" s="60">
        <v>0.5</v>
      </c>
      <c r="I6025" s="60">
        <v>33.0717271666666</v>
      </c>
      <c r="J6025" s="59">
        <v>8.0</v>
      </c>
      <c r="K6025" s="61">
        <f t="shared" si="1"/>
        <v>0.6666666667</v>
      </c>
      <c r="L6025" s="62">
        <f t="shared" si="2"/>
        <v>1.333333333</v>
      </c>
    </row>
    <row r="6026">
      <c r="A6026" s="58">
        <v>45689.0</v>
      </c>
      <c r="B6026" s="24" t="s">
        <v>6789</v>
      </c>
      <c r="C6026" s="24" t="s">
        <v>6819</v>
      </c>
      <c r="D6026" s="59">
        <v>6.0</v>
      </c>
      <c r="E6026" s="59">
        <v>8.0</v>
      </c>
      <c r="F6026" s="59">
        <v>5.0</v>
      </c>
      <c r="G6026" s="60">
        <v>1.33333333333333</v>
      </c>
      <c r="H6026" s="60">
        <v>0.5</v>
      </c>
      <c r="I6026" s="60">
        <v>157.838396</v>
      </c>
      <c r="J6026" s="59">
        <v>9.0</v>
      </c>
      <c r="K6026" s="61">
        <f t="shared" si="1"/>
        <v>0.625</v>
      </c>
      <c r="L6026" s="62">
        <f t="shared" si="2"/>
        <v>1.125</v>
      </c>
    </row>
    <row r="6027">
      <c r="A6027" s="58">
        <v>45689.0</v>
      </c>
      <c r="B6027" s="24" t="s">
        <v>6787</v>
      </c>
      <c r="C6027" s="24" t="s">
        <v>7068</v>
      </c>
      <c r="D6027" s="59">
        <v>6.0</v>
      </c>
      <c r="E6027" s="59">
        <v>6.0</v>
      </c>
      <c r="F6027" s="59">
        <v>5.0</v>
      </c>
      <c r="G6027" s="60">
        <v>1.2</v>
      </c>
      <c r="H6027" s="60">
        <v>0.5</v>
      </c>
      <c r="I6027" s="60">
        <v>49.8925996666666</v>
      </c>
      <c r="J6027" s="59">
        <v>8.0</v>
      </c>
      <c r="K6027" s="61">
        <f t="shared" si="1"/>
        <v>0.8333333333</v>
      </c>
      <c r="L6027" s="62">
        <f t="shared" si="2"/>
        <v>1.333333333</v>
      </c>
    </row>
    <row r="6028">
      <c r="A6028" s="58">
        <v>45689.0</v>
      </c>
      <c r="B6028" s="24" t="s">
        <v>6787</v>
      </c>
      <c r="C6028" s="24" t="s">
        <v>6841</v>
      </c>
      <c r="D6028" s="59">
        <v>6.0</v>
      </c>
      <c r="E6028" s="59">
        <v>6.0</v>
      </c>
      <c r="F6028" s="59">
        <v>5.0</v>
      </c>
      <c r="G6028" s="60">
        <v>1.2</v>
      </c>
      <c r="H6028" s="60">
        <v>0.666666666666666</v>
      </c>
      <c r="I6028" s="60">
        <v>85.9000243333333</v>
      </c>
      <c r="J6028" s="59">
        <v>10.0</v>
      </c>
      <c r="K6028" s="61">
        <f t="shared" si="1"/>
        <v>0.8333333333</v>
      </c>
      <c r="L6028" s="62">
        <f t="shared" si="2"/>
        <v>1.666666667</v>
      </c>
    </row>
    <row r="6029">
      <c r="A6029" s="58">
        <v>45689.0</v>
      </c>
      <c r="B6029" s="24" t="s">
        <v>6789</v>
      </c>
      <c r="C6029" s="24" t="s">
        <v>6811</v>
      </c>
      <c r="D6029" s="59">
        <v>6.0</v>
      </c>
      <c r="E6029" s="59">
        <v>6.0</v>
      </c>
      <c r="F6029" s="59">
        <v>2.0</v>
      </c>
      <c r="G6029" s="60">
        <v>1.0</v>
      </c>
      <c r="H6029" s="60">
        <v>0.166666666666666</v>
      </c>
      <c r="I6029" s="60">
        <v>922.963791666666</v>
      </c>
      <c r="J6029" s="59">
        <v>36.0</v>
      </c>
      <c r="K6029" s="61">
        <f t="shared" si="1"/>
        <v>0.3333333333</v>
      </c>
      <c r="L6029" s="62">
        <f t="shared" si="2"/>
        <v>6</v>
      </c>
    </row>
    <row r="6030">
      <c r="A6030" s="58">
        <v>45689.0</v>
      </c>
      <c r="B6030" s="24" t="s">
        <v>6787</v>
      </c>
      <c r="C6030" s="24" t="s">
        <v>6904</v>
      </c>
      <c r="D6030" s="59">
        <v>6.0</v>
      </c>
      <c r="E6030" s="59">
        <v>6.0</v>
      </c>
      <c r="F6030" s="59">
        <v>6.0</v>
      </c>
      <c r="G6030" s="60">
        <v>1.0</v>
      </c>
      <c r="H6030" s="60">
        <v>0.666666666666666</v>
      </c>
      <c r="I6030" s="60">
        <v>32.51087</v>
      </c>
      <c r="J6030" s="59">
        <v>7.0</v>
      </c>
      <c r="K6030" s="61">
        <f t="shared" si="1"/>
        <v>1</v>
      </c>
      <c r="L6030" s="62">
        <f t="shared" si="2"/>
        <v>1.166666667</v>
      </c>
    </row>
    <row r="6031">
      <c r="A6031" s="58">
        <v>45689.0</v>
      </c>
      <c r="B6031" s="24" t="s">
        <v>6789</v>
      </c>
      <c r="C6031" s="24" t="s">
        <v>7236</v>
      </c>
      <c r="D6031" s="59">
        <v>6.0</v>
      </c>
      <c r="E6031" s="59">
        <v>10.0</v>
      </c>
      <c r="F6031" s="59">
        <v>0.0</v>
      </c>
      <c r="G6031" s="60">
        <v>2.0</v>
      </c>
      <c r="H6031" s="60">
        <v>0.2</v>
      </c>
      <c r="I6031" s="60">
        <v>857.044019399999</v>
      </c>
      <c r="J6031" s="59">
        <v>37.0</v>
      </c>
      <c r="K6031" s="61">
        <f t="shared" si="1"/>
        <v>0</v>
      </c>
      <c r="L6031" s="62">
        <f t="shared" si="2"/>
        <v>3.7</v>
      </c>
    </row>
    <row r="6032">
      <c r="A6032" s="58">
        <v>45689.0</v>
      </c>
      <c r="B6032" s="24" t="s">
        <v>6787</v>
      </c>
      <c r="C6032" s="24" t="s">
        <v>7172</v>
      </c>
      <c r="D6032" s="59">
        <v>6.0</v>
      </c>
      <c r="E6032" s="59">
        <v>6.0</v>
      </c>
      <c r="F6032" s="59">
        <v>6.0</v>
      </c>
      <c r="G6032" s="60">
        <v>1.0</v>
      </c>
      <c r="H6032" s="60">
        <v>0.5</v>
      </c>
      <c r="I6032" s="60">
        <v>51.630387</v>
      </c>
      <c r="J6032" s="59">
        <v>12.0</v>
      </c>
      <c r="K6032" s="61">
        <f t="shared" si="1"/>
        <v>1</v>
      </c>
      <c r="L6032" s="62">
        <f t="shared" si="2"/>
        <v>2</v>
      </c>
    </row>
    <row r="6033">
      <c r="A6033" s="58">
        <v>45689.0</v>
      </c>
      <c r="B6033" s="24" t="s">
        <v>6789</v>
      </c>
      <c r="C6033" s="24" t="s">
        <v>7172</v>
      </c>
      <c r="D6033" s="59">
        <v>6.0</v>
      </c>
      <c r="E6033" s="59">
        <v>10.0</v>
      </c>
      <c r="F6033" s="59">
        <v>0.0</v>
      </c>
      <c r="G6033" s="60">
        <v>2.0</v>
      </c>
      <c r="H6033" s="60">
        <v>0.8</v>
      </c>
      <c r="I6033" s="60">
        <v>97.08603</v>
      </c>
      <c r="J6033" s="59">
        <v>17.0</v>
      </c>
      <c r="K6033" s="61">
        <f t="shared" si="1"/>
        <v>0</v>
      </c>
      <c r="L6033" s="62">
        <f t="shared" si="2"/>
        <v>1.7</v>
      </c>
    </row>
    <row r="6034">
      <c r="A6034" s="58">
        <v>45689.0</v>
      </c>
      <c r="B6034" s="24" t="s">
        <v>6789</v>
      </c>
      <c r="C6034" s="24" t="s">
        <v>7313</v>
      </c>
      <c r="D6034" s="59">
        <v>6.0</v>
      </c>
      <c r="E6034" s="59">
        <v>8.0</v>
      </c>
      <c r="F6034" s="59">
        <v>2.0</v>
      </c>
      <c r="G6034" s="60">
        <v>1.6</v>
      </c>
      <c r="H6034" s="60">
        <v>0.625</v>
      </c>
      <c r="I6034" s="60">
        <v>14.6657641249999</v>
      </c>
      <c r="J6034" s="59">
        <v>10.0</v>
      </c>
      <c r="K6034" s="61">
        <f t="shared" si="1"/>
        <v>0.25</v>
      </c>
      <c r="L6034" s="62">
        <f t="shared" si="2"/>
        <v>1.25</v>
      </c>
    </row>
    <row r="6035">
      <c r="A6035" s="58">
        <v>45689.0</v>
      </c>
      <c r="B6035" s="24" t="s">
        <v>6787</v>
      </c>
      <c r="C6035" s="24" t="s">
        <v>7180</v>
      </c>
      <c r="D6035" s="59">
        <v>6.0</v>
      </c>
      <c r="E6035" s="59">
        <v>6.0</v>
      </c>
      <c r="F6035" s="59">
        <v>6.0</v>
      </c>
      <c r="G6035" s="60">
        <v>1.0</v>
      </c>
      <c r="H6035" s="60">
        <v>0.833333333333333</v>
      </c>
      <c r="I6035" s="60">
        <v>1.81027633333333</v>
      </c>
      <c r="J6035" s="59">
        <v>6.0</v>
      </c>
      <c r="K6035" s="61">
        <f t="shared" si="1"/>
        <v>1</v>
      </c>
      <c r="L6035" s="62">
        <f t="shared" si="2"/>
        <v>1</v>
      </c>
    </row>
    <row r="6036">
      <c r="A6036" s="58">
        <v>45689.0</v>
      </c>
      <c r="B6036" s="24" t="s">
        <v>6789</v>
      </c>
      <c r="C6036" s="24" t="s">
        <v>7180</v>
      </c>
      <c r="D6036" s="59">
        <v>6.0</v>
      </c>
      <c r="E6036" s="59">
        <v>6.0</v>
      </c>
      <c r="F6036" s="59">
        <v>5.0</v>
      </c>
      <c r="G6036" s="60">
        <v>1.2</v>
      </c>
      <c r="H6036" s="60">
        <v>0.666666666666666</v>
      </c>
      <c r="I6036" s="60">
        <v>25.1541115</v>
      </c>
      <c r="J6036" s="59">
        <v>6.0</v>
      </c>
      <c r="K6036" s="61">
        <f t="shared" si="1"/>
        <v>0.8333333333</v>
      </c>
      <c r="L6036" s="62">
        <f t="shared" si="2"/>
        <v>1</v>
      </c>
    </row>
    <row r="6037">
      <c r="A6037" s="58">
        <v>45689.0</v>
      </c>
      <c r="B6037" s="24" t="s">
        <v>6787</v>
      </c>
      <c r="C6037" s="24" t="s">
        <v>7472</v>
      </c>
      <c r="D6037" s="59">
        <v>5.0</v>
      </c>
      <c r="E6037" s="59">
        <v>6.0</v>
      </c>
      <c r="F6037" s="59">
        <v>5.0</v>
      </c>
      <c r="G6037" s="60">
        <v>1.2</v>
      </c>
      <c r="H6037" s="60">
        <v>0.333333333333333</v>
      </c>
      <c r="I6037" s="60">
        <v>198.722664166666</v>
      </c>
      <c r="J6037" s="59">
        <v>15.0</v>
      </c>
      <c r="K6037" s="61">
        <f t="shared" si="1"/>
        <v>0.8333333333</v>
      </c>
      <c r="L6037" s="62">
        <f t="shared" si="2"/>
        <v>2.5</v>
      </c>
    </row>
    <row r="6038">
      <c r="A6038" s="58">
        <v>45689.0</v>
      </c>
      <c r="B6038" s="24" t="s">
        <v>6789</v>
      </c>
      <c r="C6038" s="24" t="s">
        <v>6809</v>
      </c>
      <c r="D6038" s="59">
        <v>5.0</v>
      </c>
      <c r="E6038" s="59">
        <v>7.0</v>
      </c>
      <c r="F6038" s="59">
        <v>1.0</v>
      </c>
      <c r="G6038" s="60">
        <v>1.4</v>
      </c>
      <c r="H6038" s="60">
        <v>0.428571428571428</v>
      </c>
      <c r="I6038" s="60">
        <v>763.581168428571</v>
      </c>
      <c r="J6038" s="59">
        <v>28.0</v>
      </c>
      <c r="K6038" s="61">
        <f t="shared" si="1"/>
        <v>0.1428571429</v>
      </c>
      <c r="L6038" s="62">
        <f t="shared" si="2"/>
        <v>4</v>
      </c>
    </row>
    <row r="6039">
      <c r="A6039" s="58">
        <v>45689.0</v>
      </c>
      <c r="B6039" s="24" t="s">
        <v>6789</v>
      </c>
      <c r="C6039" s="24" t="s">
        <v>6812</v>
      </c>
      <c r="D6039" s="59">
        <v>5.0</v>
      </c>
      <c r="E6039" s="59">
        <v>5.0</v>
      </c>
      <c r="F6039" s="59">
        <v>3.0</v>
      </c>
      <c r="G6039" s="60">
        <v>1.0</v>
      </c>
      <c r="H6039" s="60">
        <v>0.2</v>
      </c>
      <c r="I6039" s="60">
        <v>215.710837</v>
      </c>
      <c r="J6039" s="59">
        <v>10.0</v>
      </c>
      <c r="K6039" s="61">
        <f t="shared" si="1"/>
        <v>0.6</v>
      </c>
      <c r="L6039" s="62">
        <f t="shared" si="2"/>
        <v>2</v>
      </c>
    </row>
    <row r="6040">
      <c r="A6040" s="58">
        <v>45689.0</v>
      </c>
      <c r="B6040" s="24" t="s">
        <v>6787</v>
      </c>
      <c r="C6040" s="24" t="s">
        <v>6849</v>
      </c>
      <c r="D6040" s="59">
        <v>5.0</v>
      </c>
      <c r="E6040" s="59">
        <v>5.0</v>
      </c>
      <c r="F6040" s="59">
        <v>3.0</v>
      </c>
      <c r="G6040" s="60">
        <v>1.0</v>
      </c>
      <c r="H6040" s="60">
        <v>0.8</v>
      </c>
      <c r="I6040" s="60">
        <v>18.8292134</v>
      </c>
      <c r="J6040" s="59">
        <v>6.0</v>
      </c>
      <c r="K6040" s="61">
        <f t="shared" si="1"/>
        <v>0.6</v>
      </c>
      <c r="L6040" s="62">
        <f t="shared" si="2"/>
        <v>1.2</v>
      </c>
    </row>
    <row r="6041">
      <c r="A6041" s="58">
        <v>45689.0</v>
      </c>
      <c r="B6041" s="24" t="s">
        <v>6787</v>
      </c>
      <c r="C6041" s="24" t="s">
        <v>6910</v>
      </c>
      <c r="D6041" s="59">
        <v>5.0</v>
      </c>
      <c r="E6041" s="59">
        <v>5.0</v>
      </c>
      <c r="F6041" s="59">
        <v>5.0</v>
      </c>
      <c r="G6041" s="60">
        <v>1.0</v>
      </c>
      <c r="H6041" s="60">
        <v>0.6</v>
      </c>
      <c r="I6041" s="60">
        <v>307.605347599999</v>
      </c>
      <c r="J6041" s="59">
        <v>5.0</v>
      </c>
      <c r="K6041" s="61">
        <f t="shared" si="1"/>
        <v>1</v>
      </c>
      <c r="L6041" s="62">
        <f t="shared" si="2"/>
        <v>1</v>
      </c>
    </row>
    <row r="6042">
      <c r="A6042" s="58">
        <v>45689.0</v>
      </c>
      <c r="B6042" s="24" t="s">
        <v>6787</v>
      </c>
      <c r="C6042" s="24" t="s">
        <v>7102</v>
      </c>
      <c r="D6042" s="59">
        <v>5.0</v>
      </c>
      <c r="E6042" s="59">
        <v>5.0</v>
      </c>
      <c r="F6042" s="59">
        <v>4.0</v>
      </c>
      <c r="G6042" s="60">
        <v>1.25</v>
      </c>
      <c r="H6042" s="60">
        <v>0.6</v>
      </c>
      <c r="I6042" s="60">
        <v>70.6064682</v>
      </c>
      <c r="J6042" s="59">
        <v>19.0</v>
      </c>
      <c r="K6042" s="61">
        <f t="shared" si="1"/>
        <v>0.8</v>
      </c>
      <c r="L6042" s="62">
        <f t="shared" si="2"/>
        <v>3.8</v>
      </c>
    </row>
    <row r="6043">
      <c r="A6043" s="58">
        <v>45689.0</v>
      </c>
      <c r="B6043" s="24" t="s">
        <v>6789</v>
      </c>
      <c r="C6043" s="24" t="s">
        <v>6922</v>
      </c>
      <c r="D6043" s="59">
        <v>5.0</v>
      </c>
      <c r="E6043" s="59">
        <v>10.0</v>
      </c>
      <c r="F6043" s="59">
        <v>1.0</v>
      </c>
      <c r="G6043" s="60">
        <v>3.33333333333333</v>
      </c>
      <c r="H6043" s="60">
        <v>0.9</v>
      </c>
      <c r="I6043" s="60">
        <v>11.4230622</v>
      </c>
      <c r="J6043" s="59">
        <v>14.0</v>
      </c>
      <c r="K6043" s="61">
        <f t="shared" si="1"/>
        <v>0.1</v>
      </c>
      <c r="L6043" s="62">
        <f t="shared" si="2"/>
        <v>1.4</v>
      </c>
    </row>
    <row r="6044">
      <c r="A6044" s="58">
        <v>45689.0</v>
      </c>
      <c r="B6044" s="24" t="s">
        <v>6789</v>
      </c>
      <c r="C6044" s="24" t="s">
        <v>6797</v>
      </c>
      <c r="D6044" s="59">
        <v>5.0</v>
      </c>
      <c r="E6044" s="59">
        <v>5.0</v>
      </c>
      <c r="F6044" s="59">
        <v>2.0</v>
      </c>
      <c r="G6044" s="60">
        <v>1.0</v>
      </c>
      <c r="H6044" s="60">
        <v>0.6</v>
      </c>
      <c r="I6044" s="60">
        <v>342.47357</v>
      </c>
      <c r="J6044" s="59">
        <v>6.0</v>
      </c>
      <c r="K6044" s="61">
        <f t="shared" si="1"/>
        <v>0.4</v>
      </c>
      <c r="L6044" s="62">
        <f t="shared" si="2"/>
        <v>1.2</v>
      </c>
    </row>
    <row r="6045">
      <c r="A6045" s="58">
        <v>45689.0</v>
      </c>
      <c r="B6045" s="24" t="s">
        <v>6787</v>
      </c>
      <c r="C6045" s="24" t="s">
        <v>6803</v>
      </c>
      <c r="D6045" s="59">
        <v>4.0</v>
      </c>
      <c r="E6045" s="59">
        <v>4.0</v>
      </c>
      <c r="F6045" s="59">
        <v>4.0</v>
      </c>
      <c r="G6045" s="60">
        <v>1.0</v>
      </c>
      <c r="H6045" s="60">
        <v>0.25</v>
      </c>
      <c r="I6045" s="60">
        <v>155.0239705</v>
      </c>
      <c r="J6045" s="59">
        <v>4.0</v>
      </c>
      <c r="K6045" s="61">
        <f t="shared" si="1"/>
        <v>1</v>
      </c>
      <c r="L6045" s="62">
        <f t="shared" si="2"/>
        <v>1</v>
      </c>
    </row>
    <row r="6046">
      <c r="A6046" s="58">
        <v>45689.0</v>
      </c>
      <c r="B6046" s="24" t="s">
        <v>6789</v>
      </c>
      <c r="C6046" s="24" t="s">
        <v>6817</v>
      </c>
      <c r="D6046" s="59">
        <v>4.0</v>
      </c>
      <c r="E6046" s="59">
        <v>6.0</v>
      </c>
      <c r="F6046" s="59">
        <v>2.0</v>
      </c>
      <c r="G6046" s="60">
        <v>1.5</v>
      </c>
      <c r="H6046" s="60">
        <v>0.5</v>
      </c>
      <c r="I6046" s="60">
        <v>623.482665833333</v>
      </c>
      <c r="J6046" s="59">
        <v>28.0</v>
      </c>
      <c r="K6046" s="61">
        <f t="shared" si="1"/>
        <v>0.3333333333</v>
      </c>
      <c r="L6046" s="62">
        <f t="shared" si="2"/>
        <v>4.666666667</v>
      </c>
    </row>
    <row r="6047">
      <c r="A6047" s="58">
        <v>45689.0</v>
      </c>
      <c r="B6047" s="24" t="s">
        <v>6789</v>
      </c>
      <c r="C6047" s="24" t="s">
        <v>6953</v>
      </c>
      <c r="D6047" s="59">
        <v>4.0</v>
      </c>
      <c r="E6047" s="59">
        <v>4.0</v>
      </c>
      <c r="F6047" s="59">
        <v>4.0</v>
      </c>
      <c r="G6047" s="60">
        <v>1.0</v>
      </c>
      <c r="H6047" s="60">
        <v>0.25</v>
      </c>
      <c r="I6047" s="60">
        <v>151.117689</v>
      </c>
      <c r="J6047" s="59">
        <v>4.0</v>
      </c>
      <c r="K6047" s="61">
        <f t="shared" si="1"/>
        <v>1</v>
      </c>
      <c r="L6047" s="62">
        <f t="shared" si="2"/>
        <v>1</v>
      </c>
    </row>
    <row r="6048">
      <c r="A6048" s="58">
        <v>45689.0</v>
      </c>
      <c r="B6048" s="24" t="s">
        <v>6789</v>
      </c>
      <c r="C6048" s="24" t="s">
        <v>7058</v>
      </c>
      <c r="D6048" s="59">
        <v>4.0</v>
      </c>
      <c r="E6048" s="59">
        <v>4.0</v>
      </c>
      <c r="F6048" s="59">
        <v>4.0</v>
      </c>
      <c r="G6048" s="60">
        <v>1.0</v>
      </c>
      <c r="H6048" s="60">
        <v>0.75</v>
      </c>
      <c r="I6048" s="60">
        <v>15.9808755</v>
      </c>
      <c r="J6048" s="59">
        <v>4.0</v>
      </c>
      <c r="K6048" s="61">
        <f t="shared" si="1"/>
        <v>1</v>
      </c>
      <c r="L6048" s="62">
        <f t="shared" si="2"/>
        <v>1</v>
      </c>
    </row>
    <row r="6049">
      <c r="A6049" s="58">
        <v>45689.0</v>
      </c>
      <c r="B6049" s="24" t="s">
        <v>6787</v>
      </c>
      <c r="C6049" s="24" t="s">
        <v>7073</v>
      </c>
      <c r="D6049" s="59">
        <v>4.0</v>
      </c>
      <c r="E6049" s="59">
        <v>4.0</v>
      </c>
      <c r="F6049" s="59">
        <v>4.0</v>
      </c>
      <c r="G6049" s="60">
        <v>1.0</v>
      </c>
      <c r="H6049" s="60">
        <v>0.75</v>
      </c>
      <c r="I6049" s="60">
        <v>3.70832325</v>
      </c>
      <c r="J6049" s="59">
        <v>4.0</v>
      </c>
      <c r="K6049" s="61">
        <f t="shared" si="1"/>
        <v>1</v>
      </c>
      <c r="L6049" s="62">
        <f t="shared" si="2"/>
        <v>1</v>
      </c>
    </row>
    <row r="6050">
      <c r="A6050" s="58">
        <v>45689.0</v>
      </c>
      <c r="B6050" s="24" t="s">
        <v>6789</v>
      </c>
      <c r="C6050" s="24" t="s">
        <v>7074</v>
      </c>
      <c r="D6050" s="59">
        <v>4.0</v>
      </c>
      <c r="E6050" s="59">
        <v>4.0</v>
      </c>
      <c r="F6050" s="59">
        <v>4.0</v>
      </c>
      <c r="G6050" s="60">
        <v>1.0</v>
      </c>
      <c r="H6050" s="60">
        <v>0.75</v>
      </c>
      <c r="I6050" s="60">
        <v>7.18140775</v>
      </c>
      <c r="J6050" s="59">
        <v>4.0</v>
      </c>
      <c r="K6050" s="61">
        <f t="shared" si="1"/>
        <v>1</v>
      </c>
      <c r="L6050" s="62">
        <f t="shared" si="2"/>
        <v>1</v>
      </c>
    </row>
    <row r="6051">
      <c r="A6051" s="58">
        <v>45689.0</v>
      </c>
      <c r="B6051" s="24" t="s">
        <v>6787</v>
      </c>
      <c r="C6051" s="24" t="s">
        <v>6886</v>
      </c>
      <c r="D6051" s="59">
        <v>4.0</v>
      </c>
      <c r="E6051" s="59">
        <v>6.0</v>
      </c>
      <c r="F6051" s="59">
        <v>2.0</v>
      </c>
      <c r="G6051" s="60">
        <v>2.0</v>
      </c>
      <c r="H6051" s="60">
        <v>0.666666666666666</v>
      </c>
      <c r="I6051" s="60">
        <v>35.0709416666666</v>
      </c>
      <c r="J6051" s="59">
        <v>14.0</v>
      </c>
      <c r="K6051" s="61">
        <f t="shared" si="1"/>
        <v>0.3333333333</v>
      </c>
      <c r="L6051" s="62">
        <f t="shared" si="2"/>
        <v>2.333333333</v>
      </c>
    </row>
    <row r="6052">
      <c r="A6052" s="58">
        <v>45689.0</v>
      </c>
      <c r="B6052" s="24" t="s">
        <v>6789</v>
      </c>
      <c r="C6052" s="24" t="s">
        <v>6822</v>
      </c>
      <c r="D6052" s="59">
        <v>4.0</v>
      </c>
      <c r="E6052" s="59">
        <v>6.0</v>
      </c>
      <c r="F6052" s="59">
        <v>1.0</v>
      </c>
      <c r="G6052" s="60">
        <v>1.5</v>
      </c>
      <c r="H6052" s="60">
        <v>0.333333333333333</v>
      </c>
      <c r="I6052" s="60">
        <v>466.2078305</v>
      </c>
      <c r="J6052" s="59">
        <v>23.0</v>
      </c>
      <c r="K6052" s="61">
        <f t="shared" si="1"/>
        <v>0.1666666667</v>
      </c>
      <c r="L6052" s="62">
        <f t="shared" si="2"/>
        <v>3.833333333</v>
      </c>
    </row>
    <row r="6053">
      <c r="A6053" s="58">
        <v>45689.0</v>
      </c>
      <c r="B6053" s="24" t="s">
        <v>6787</v>
      </c>
      <c r="C6053" s="24" t="s">
        <v>6892</v>
      </c>
      <c r="D6053" s="59">
        <v>4.0</v>
      </c>
      <c r="E6053" s="59">
        <v>7.0</v>
      </c>
      <c r="F6053" s="59">
        <v>4.0</v>
      </c>
      <c r="G6053" s="60">
        <v>1.75</v>
      </c>
      <c r="H6053" s="60">
        <v>1.0</v>
      </c>
      <c r="I6053" s="60">
        <v>1.29998042857142</v>
      </c>
      <c r="J6053" s="59">
        <v>7.0</v>
      </c>
      <c r="K6053" s="61">
        <f t="shared" si="1"/>
        <v>0.5714285714</v>
      </c>
      <c r="L6053" s="62">
        <f t="shared" si="2"/>
        <v>1</v>
      </c>
    </row>
    <row r="6054">
      <c r="A6054" s="58">
        <v>45689.0</v>
      </c>
      <c r="B6054" s="24" t="s">
        <v>6787</v>
      </c>
      <c r="C6054" s="24" t="s">
        <v>6807</v>
      </c>
      <c r="D6054" s="59">
        <v>4.0</v>
      </c>
      <c r="E6054" s="59">
        <v>4.0</v>
      </c>
      <c r="F6054" s="59">
        <v>1.0</v>
      </c>
      <c r="G6054" s="60">
        <v>1.0</v>
      </c>
      <c r="H6054" s="60">
        <v>0.5</v>
      </c>
      <c r="I6054" s="60">
        <v>68.9966032499999</v>
      </c>
      <c r="J6054" s="59">
        <v>8.0</v>
      </c>
      <c r="K6054" s="61">
        <f t="shared" si="1"/>
        <v>0.25</v>
      </c>
      <c r="L6054" s="62">
        <f t="shared" si="2"/>
        <v>2</v>
      </c>
    </row>
    <row r="6055">
      <c r="A6055" s="58">
        <v>45689.0</v>
      </c>
      <c r="B6055" s="24" t="s">
        <v>6789</v>
      </c>
      <c r="C6055" s="24" t="s">
        <v>6907</v>
      </c>
      <c r="D6055" s="59">
        <v>4.0</v>
      </c>
      <c r="E6055" s="59">
        <v>4.0</v>
      </c>
      <c r="F6055" s="59">
        <v>3.0</v>
      </c>
      <c r="G6055" s="60">
        <v>1.0</v>
      </c>
      <c r="H6055" s="60">
        <v>0.0</v>
      </c>
      <c r="I6055" s="60">
        <v>822.849804</v>
      </c>
      <c r="J6055" s="59">
        <v>12.0</v>
      </c>
      <c r="K6055" s="61">
        <f t="shared" si="1"/>
        <v>0.75</v>
      </c>
      <c r="L6055" s="62">
        <f t="shared" si="2"/>
        <v>3</v>
      </c>
    </row>
    <row r="6056">
      <c r="A6056" s="58">
        <v>45689.0</v>
      </c>
      <c r="B6056" s="24" t="s">
        <v>6789</v>
      </c>
      <c r="C6056" s="24" t="s">
        <v>6960</v>
      </c>
      <c r="D6056" s="59">
        <v>4.0</v>
      </c>
      <c r="E6056" s="59">
        <v>5.0</v>
      </c>
      <c r="F6056" s="59">
        <v>1.0</v>
      </c>
      <c r="G6056" s="60">
        <v>1.66666666666666</v>
      </c>
      <c r="H6056" s="60">
        <v>0.6</v>
      </c>
      <c r="I6056" s="60">
        <v>146.361498999999</v>
      </c>
      <c r="J6056" s="59">
        <v>6.0</v>
      </c>
      <c r="K6056" s="61">
        <f t="shared" si="1"/>
        <v>0.2</v>
      </c>
      <c r="L6056" s="62">
        <f t="shared" si="2"/>
        <v>1.2</v>
      </c>
    </row>
    <row r="6057">
      <c r="A6057" s="58">
        <v>45689.0</v>
      </c>
      <c r="B6057" s="24" t="s">
        <v>6787</v>
      </c>
      <c r="C6057" s="24" t="s">
        <v>7044</v>
      </c>
      <c r="D6057" s="59">
        <v>4.0</v>
      </c>
      <c r="E6057" s="59">
        <v>4.0</v>
      </c>
      <c r="F6057" s="59">
        <v>4.0</v>
      </c>
      <c r="G6057" s="60">
        <v>1.0</v>
      </c>
      <c r="H6057" s="60">
        <v>1.0</v>
      </c>
      <c r="I6057" s="60">
        <v>0.0</v>
      </c>
      <c r="J6057" s="59">
        <v>4.0</v>
      </c>
      <c r="K6057" s="61">
        <f t="shared" si="1"/>
        <v>1</v>
      </c>
      <c r="L6057" s="62">
        <f t="shared" si="2"/>
        <v>1</v>
      </c>
    </row>
    <row r="6058">
      <c r="A6058" s="58">
        <v>45689.0</v>
      </c>
      <c r="B6058" s="24" t="s">
        <v>6789</v>
      </c>
      <c r="C6058" s="24" t="s">
        <v>7102</v>
      </c>
      <c r="D6058" s="59">
        <v>4.0</v>
      </c>
      <c r="E6058" s="59">
        <v>6.0</v>
      </c>
      <c r="F6058" s="59">
        <v>1.0</v>
      </c>
      <c r="G6058" s="60">
        <v>1.5</v>
      </c>
      <c r="H6058" s="60">
        <v>0.333333333333333</v>
      </c>
      <c r="I6058" s="60">
        <v>188.4047065</v>
      </c>
      <c r="J6058" s="59">
        <v>10.0</v>
      </c>
      <c r="K6058" s="61">
        <f t="shared" si="1"/>
        <v>0.1666666667</v>
      </c>
      <c r="L6058" s="62">
        <f t="shared" si="2"/>
        <v>1.666666667</v>
      </c>
    </row>
    <row r="6059">
      <c r="A6059" s="58">
        <v>45689.0</v>
      </c>
      <c r="B6059" s="24" t="s">
        <v>6789</v>
      </c>
      <c r="C6059" s="24" t="s">
        <v>7104</v>
      </c>
      <c r="D6059" s="59">
        <v>4.0</v>
      </c>
      <c r="E6059" s="59">
        <v>8.0</v>
      </c>
      <c r="F6059" s="59">
        <v>3.0</v>
      </c>
      <c r="G6059" s="60">
        <v>2.0</v>
      </c>
      <c r="H6059" s="60">
        <v>0.375</v>
      </c>
      <c r="I6059" s="60">
        <v>202.82524275</v>
      </c>
      <c r="J6059" s="59">
        <v>10.0</v>
      </c>
      <c r="K6059" s="61">
        <f t="shared" si="1"/>
        <v>0.375</v>
      </c>
      <c r="L6059" s="62">
        <f t="shared" si="2"/>
        <v>1.25</v>
      </c>
    </row>
    <row r="6060">
      <c r="A6060" s="58">
        <v>45689.0</v>
      </c>
      <c r="B6060" s="24" t="s">
        <v>6789</v>
      </c>
      <c r="C6060" s="24" t="s">
        <v>7023</v>
      </c>
      <c r="D6060" s="59">
        <v>4.0</v>
      </c>
      <c r="E6060" s="59">
        <v>4.0</v>
      </c>
      <c r="F6060" s="59">
        <v>2.0</v>
      </c>
      <c r="G6060" s="60">
        <v>1.0</v>
      </c>
      <c r="H6060" s="60">
        <v>0.25</v>
      </c>
      <c r="I6060" s="60">
        <v>117.39468575</v>
      </c>
      <c r="J6060" s="59">
        <v>8.0</v>
      </c>
      <c r="K6060" s="61">
        <f t="shared" si="1"/>
        <v>0.5</v>
      </c>
      <c r="L6060" s="62">
        <f t="shared" si="2"/>
        <v>2</v>
      </c>
    </row>
    <row r="6061">
      <c r="A6061" s="58">
        <v>45689.0</v>
      </c>
      <c r="B6061" s="24" t="s">
        <v>6787</v>
      </c>
      <c r="C6061" s="24" t="s">
        <v>6912</v>
      </c>
      <c r="D6061" s="59">
        <v>4.0</v>
      </c>
      <c r="E6061" s="59">
        <v>4.0</v>
      </c>
      <c r="F6061" s="59">
        <v>4.0</v>
      </c>
      <c r="G6061" s="60">
        <v>1.0</v>
      </c>
      <c r="H6061" s="60">
        <v>0.75</v>
      </c>
      <c r="I6061" s="60">
        <v>5.62241375</v>
      </c>
      <c r="J6061" s="59">
        <v>5.0</v>
      </c>
      <c r="K6061" s="61">
        <f t="shared" si="1"/>
        <v>1</v>
      </c>
      <c r="L6061" s="62">
        <f t="shared" si="2"/>
        <v>1.25</v>
      </c>
    </row>
    <row r="6062">
      <c r="A6062" s="58">
        <v>45689.0</v>
      </c>
      <c r="B6062" s="24" t="s">
        <v>6787</v>
      </c>
      <c r="C6062" s="24" t="s">
        <v>7106</v>
      </c>
      <c r="D6062" s="59">
        <v>4.0</v>
      </c>
      <c r="E6062" s="59">
        <v>4.0</v>
      </c>
      <c r="F6062" s="59">
        <v>4.0</v>
      </c>
      <c r="G6062" s="60">
        <v>1.0</v>
      </c>
      <c r="H6062" s="60">
        <v>0.5</v>
      </c>
      <c r="I6062" s="60">
        <v>120.63712525</v>
      </c>
      <c r="J6062" s="59">
        <v>14.0</v>
      </c>
      <c r="K6062" s="61">
        <f t="shared" si="1"/>
        <v>1</v>
      </c>
      <c r="L6062" s="62">
        <f t="shared" si="2"/>
        <v>3.5</v>
      </c>
    </row>
    <row r="6063">
      <c r="A6063" s="58">
        <v>45689.0</v>
      </c>
      <c r="B6063" s="24" t="s">
        <v>6787</v>
      </c>
      <c r="C6063" s="24" t="s">
        <v>6853</v>
      </c>
      <c r="D6063" s="59">
        <v>4.0</v>
      </c>
      <c r="E6063" s="59">
        <v>4.0</v>
      </c>
      <c r="F6063" s="59">
        <v>4.0</v>
      </c>
      <c r="G6063" s="60">
        <v>1.0</v>
      </c>
      <c r="H6063" s="60">
        <v>0.5</v>
      </c>
      <c r="I6063" s="60">
        <v>50.1812259999999</v>
      </c>
      <c r="J6063" s="59">
        <v>5.0</v>
      </c>
      <c r="K6063" s="61">
        <f t="shared" si="1"/>
        <v>1</v>
      </c>
      <c r="L6063" s="62">
        <f t="shared" si="2"/>
        <v>1.25</v>
      </c>
    </row>
    <row r="6064">
      <c r="A6064" s="58">
        <v>45689.0</v>
      </c>
      <c r="B6064" s="24" t="s">
        <v>6789</v>
      </c>
      <c r="C6064" s="24" t="s">
        <v>7047</v>
      </c>
      <c r="D6064" s="59">
        <v>4.0</v>
      </c>
      <c r="E6064" s="59">
        <v>4.0</v>
      </c>
      <c r="F6064" s="59">
        <v>2.0</v>
      </c>
      <c r="G6064" s="60">
        <v>1.0</v>
      </c>
      <c r="H6064" s="60">
        <v>0.25</v>
      </c>
      <c r="I6064" s="60">
        <v>144.132627249999</v>
      </c>
      <c r="J6064" s="59">
        <v>9.0</v>
      </c>
      <c r="K6064" s="61">
        <f t="shared" si="1"/>
        <v>0.5</v>
      </c>
      <c r="L6064" s="62">
        <f t="shared" si="2"/>
        <v>2.25</v>
      </c>
    </row>
    <row r="6065">
      <c r="A6065" s="58">
        <v>45689.0</v>
      </c>
      <c r="B6065" s="24" t="s">
        <v>6787</v>
      </c>
      <c r="C6065" s="24" t="s">
        <v>6810</v>
      </c>
      <c r="D6065" s="59">
        <v>4.0</v>
      </c>
      <c r="E6065" s="59">
        <v>4.0</v>
      </c>
      <c r="F6065" s="59">
        <v>4.0</v>
      </c>
      <c r="G6065" s="60">
        <v>1.0</v>
      </c>
      <c r="H6065" s="60">
        <v>0.75</v>
      </c>
      <c r="I6065" s="60">
        <v>0.480195</v>
      </c>
      <c r="J6065" s="59">
        <v>5.0</v>
      </c>
      <c r="K6065" s="61">
        <f t="shared" si="1"/>
        <v>1</v>
      </c>
      <c r="L6065" s="62">
        <f t="shared" si="2"/>
        <v>1.25</v>
      </c>
    </row>
    <row r="6066">
      <c r="A6066" s="58">
        <v>45689.0</v>
      </c>
      <c r="B6066" s="24" t="s">
        <v>6789</v>
      </c>
      <c r="C6066" s="24" t="s">
        <v>6986</v>
      </c>
      <c r="D6066" s="59">
        <v>3.0</v>
      </c>
      <c r="E6066" s="59">
        <v>3.0</v>
      </c>
      <c r="F6066" s="59">
        <v>3.0</v>
      </c>
      <c r="G6066" s="60">
        <v>1.0</v>
      </c>
      <c r="H6066" s="60">
        <v>0.666666666666666</v>
      </c>
      <c r="I6066" s="60">
        <v>272.283186666666</v>
      </c>
      <c r="J6066" s="59">
        <v>4.0</v>
      </c>
      <c r="K6066" s="61">
        <f t="shared" si="1"/>
        <v>1</v>
      </c>
      <c r="L6066" s="62">
        <f t="shared" si="2"/>
        <v>1.333333333</v>
      </c>
    </row>
    <row r="6067">
      <c r="A6067" s="58">
        <v>45689.0</v>
      </c>
      <c r="B6067" s="24" t="s">
        <v>6787</v>
      </c>
      <c r="C6067" s="24" t="s">
        <v>6870</v>
      </c>
      <c r="D6067" s="59">
        <v>3.0</v>
      </c>
      <c r="E6067" s="59">
        <v>3.0</v>
      </c>
      <c r="F6067" s="59">
        <v>3.0</v>
      </c>
      <c r="G6067" s="60">
        <v>1.0</v>
      </c>
      <c r="H6067" s="60">
        <v>1.0</v>
      </c>
      <c r="I6067" s="60">
        <v>0.0</v>
      </c>
      <c r="J6067" s="59">
        <v>3.0</v>
      </c>
      <c r="K6067" s="61">
        <f t="shared" si="1"/>
        <v>1</v>
      </c>
      <c r="L6067" s="62">
        <f t="shared" si="2"/>
        <v>1</v>
      </c>
    </row>
    <row r="6068">
      <c r="A6068" s="58">
        <v>45689.0</v>
      </c>
      <c r="B6068" s="24" t="s">
        <v>6789</v>
      </c>
      <c r="C6068" s="24" t="s">
        <v>6989</v>
      </c>
      <c r="D6068" s="59">
        <v>3.0</v>
      </c>
      <c r="E6068" s="59">
        <v>4.0</v>
      </c>
      <c r="F6068" s="59">
        <v>2.0</v>
      </c>
      <c r="G6068" s="60">
        <v>2.0</v>
      </c>
      <c r="H6068" s="60">
        <v>0.75</v>
      </c>
      <c r="I6068" s="60">
        <v>2.67043775</v>
      </c>
      <c r="J6068" s="59">
        <v>4.0</v>
      </c>
      <c r="K6068" s="61">
        <f t="shared" si="1"/>
        <v>0.5</v>
      </c>
      <c r="L6068" s="62">
        <f t="shared" si="2"/>
        <v>1</v>
      </c>
    </row>
    <row r="6069">
      <c r="A6069" s="58">
        <v>45689.0</v>
      </c>
      <c r="B6069" s="24" t="s">
        <v>6787</v>
      </c>
      <c r="C6069" s="24" t="s">
        <v>6880</v>
      </c>
      <c r="D6069" s="59">
        <v>3.0</v>
      </c>
      <c r="E6069" s="59">
        <v>4.0</v>
      </c>
      <c r="F6069" s="59">
        <v>2.0</v>
      </c>
      <c r="G6069" s="60">
        <v>1.33333333333333</v>
      </c>
      <c r="H6069" s="60">
        <v>1.0</v>
      </c>
      <c r="I6069" s="60">
        <v>0.0</v>
      </c>
      <c r="J6069" s="59">
        <v>4.0</v>
      </c>
      <c r="K6069" s="61">
        <f t="shared" si="1"/>
        <v>0.5</v>
      </c>
      <c r="L6069" s="62">
        <f t="shared" si="2"/>
        <v>1</v>
      </c>
    </row>
    <row r="6070">
      <c r="A6070" s="58">
        <v>45689.0</v>
      </c>
      <c r="B6070" s="24" t="s">
        <v>6789</v>
      </c>
      <c r="C6070" s="24" t="s">
        <v>6880</v>
      </c>
      <c r="D6070" s="59">
        <v>3.0</v>
      </c>
      <c r="E6070" s="59">
        <v>3.0</v>
      </c>
      <c r="F6070" s="59">
        <v>3.0</v>
      </c>
      <c r="G6070" s="60">
        <v>1.0</v>
      </c>
      <c r="H6070" s="60">
        <v>0.666666666666666</v>
      </c>
      <c r="I6070" s="60">
        <v>185.598784333333</v>
      </c>
      <c r="J6070" s="59">
        <v>4.0</v>
      </c>
      <c r="K6070" s="61">
        <f t="shared" si="1"/>
        <v>1</v>
      </c>
      <c r="L6070" s="62">
        <f t="shared" si="2"/>
        <v>1.333333333</v>
      </c>
    </row>
    <row r="6071">
      <c r="A6071" s="58">
        <v>45689.0</v>
      </c>
      <c r="B6071" s="24" t="s">
        <v>3216</v>
      </c>
      <c r="C6071" s="24" t="s">
        <v>6930</v>
      </c>
      <c r="D6071" s="59">
        <v>3.0</v>
      </c>
      <c r="E6071" s="59">
        <v>3.0</v>
      </c>
      <c r="F6071" s="59">
        <v>1.0</v>
      </c>
      <c r="G6071" s="60">
        <v>1.0</v>
      </c>
      <c r="H6071" s="60">
        <v>0.333333333333333</v>
      </c>
      <c r="I6071" s="60">
        <v>126.666909999999</v>
      </c>
      <c r="J6071" s="59">
        <v>8.0</v>
      </c>
      <c r="K6071" s="61">
        <f t="shared" si="1"/>
        <v>0.3333333333</v>
      </c>
      <c r="L6071" s="62">
        <f t="shared" si="2"/>
        <v>2.666666667</v>
      </c>
    </row>
    <row r="6072">
      <c r="A6072" s="58">
        <v>45689.0</v>
      </c>
      <c r="B6072" s="24" t="s">
        <v>6789</v>
      </c>
      <c r="C6072" s="24" t="s">
        <v>6930</v>
      </c>
      <c r="D6072" s="59">
        <v>3.0</v>
      </c>
      <c r="E6072" s="59">
        <v>14.0</v>
      </c>
      <c r="F6072" s="59">
        <v>1.0</v>
      </c>
      <c r="G6072" s="60">
        <v>4.66666666666666</v>
      </c>
      <c r="H6072" s="60">
        <v>0.928571428571428</v>
      </c>
      <c r="I6072" s="60">
        <v>90.6980884285714</v>
      </c>
      <c r="J6072" s="59">
        <v>18.0</v>
      </c>
      <c r="K6072" s="61">
        <f t="shared" si="1"/>
        <v>0.07142857143</v>
      </c>
      <c r="L6072" s="62">
        <f t="shared" si="2"/>
        <v>1.285714286</v>
      </c>
    </row>
    <row r="6073">
      <c r="A6073" s="58">
        <v>45689.0</v>
      </c>
      <c r="B6073" s="24" t="s">
        <v>6789</v>
      </c>
      <c r="C6073" s="24" t="s">
        <v>6886</v>
      </c>
      <c r="D6073" s="59">
        <v>3.0</v>
      </c>
      <c r="E6073" s="59">
        <v>3.0</v>
      </c>
      <c r="F6073" s="59">
        <v>0.0</v>
      </c>
      <c r="G6073" s="60">
        <v>1.0</v>
      </c>
      <c r="H6073" s="60">
        <v>0.333333333333333</v>
      </c>
      <c r="I6073" s="60">
        <v>539.919050333333</v>
      </c>
      <c r="J6073" s="59">
        <v>12.0</v>
      </c>
      <c r="K6073" s="61">
        <f t="shared" si="1"/>
        <v>0</v>
      </c>
      <c r="L6073" s="62">
        <f t="shared" si="2"/>
        <v>4</v>
      </c>
    </row>
    <row r="6074">
      <c r="A6074" s="58">
        <v>45689.0</v>
      </c>
      <c r="B6074" s="24" t="s">
        <v>6787</v>
      </c>
      <c r="C6074" s="24" t="s">
        <v>6838</v>
      </c>
      <c r="D6074" s="59">
        <v>3.0</v>
      </c>
      <c r="E6074" s="59">
        <v>3.0</v>
      </c>
      <c r="F6074" s="59">
        <v>3.0</v>
      </c>
      <c r="G6074" s="60">
        <v>1.0</v>
      </c>
      <c r="H6074" s="60">
        <v>1.0</v>
      </c>
      <c r="I6074" s="60">
        <v>0.0</v>
      </c>
      <c r="J6074" s="59">
        <v>3.0</v>
      </c>
      <c r="K6074" s="61">
        <f t="shared" si="1"/>
        <v>1</v>
      </c>
      <c r="L6074" s="62">
        <f t="shared" si="2"/>
        <v>1</v>
      </c>
    </row>
    <row r="6075">
      <c r="A6075" s="58">
        <v>45689.0</v>
      </c>
      <c r="B6075" s="24" t="s">
        <v>6789</v>
      </c>
      <c r="C6075" s="24" t="s">
        <v>6997</v>
      </c>
      <c r="D6075" s="59">
        <v>3.0</v>
      </c>
      <c r="E6075" s="59">
        <v>3.0</v>
      </c>
      <c r="F6075" s="59">
        <v>2.0</v>
      </c>
      <c r="G6075" s="60">
        <v>1.0</v>
      </c>
      <c r="H6075" s="60">
        <v>0.333333333333333</v>
      </c>
      <c r="I6075" s="60">
        <v>26.4184263333333</v>
      </c>
      <c r="J6075" s="59">
        <v>3.0</v>
      </c>
      <c r="K6075" s="61">
        <f t="shared" si="1"/>
        <v>0.6666666667</v>
      </c>
      <c r="L6075" s="62">
        <f t="shared" si="2"/>
        <v>1</v>
      </c>
    </row>
    <row r="6076">
      <c r="A6076" s="58">
        <v>45689.0</v>
      </c>
      <c r="B6076" s="24" t="s">
        <v>6789</v>
      </c>
      <c r="C6076" s="24" t="s">
        <v>7021</v>
      </c>
      <c r="D6076" s="59">
        <v>3.0</v>
      </c>
      <c r="E6076" s="59">
        <v>3.0</v>
      </c>
      <c r="F6076" s="59">
        <v>0.0</v>
      </c>
      <c r="G6076" s="60">
        <v>1.0</v>
      </c>
      <c r="H6076" s="60">
        <v>0.666666666666666</v>
      </c>
      <c r="I6076" s="60">
        <v>323.262278666666</v>
      </c>
      <c r="J6076" s="59">
        <v>6.0</v>
      </c>
      <c r="K6076" s="61">
        <f t="shared" si="1"/>
        <v>0</v>
      </c>
      <c r="L6076" s="62">
        <f t="shared" si="2"/>
        <v>2</v>
      </c>
    </row>
    <row r="6077">
      <c r="A6077" s="58">
        <v>45689.0</v>
      </c>
      <c r="B6077" s="24" t="s">
        <v>6787</v>
      </c>
      <c r="C6077" s="24" t="s">
        <v>6896</v>
      </c>
      <c r="D6077" s="59">
        <v>3.0</v>
      </c>
      <c r="E6077" s="59">
        <v>3.0</v>
      </c>
      <c r="F6077" s="59">
        <v>3.0</v>
      </c>
      <c r="G6077" s="60">
        <v>1.0</v>
      </c>
      <c r="H6077" s="60">
        <v>0.0</v>
      </c>
      <c r="I6077" s="60">
        <v>149.855609999999</v>
      </c>
      <c r="J6077" s="59">
        <v>11.0</v>
      </c>
      <c r="K6077" s="61">
        <f t="shared" si="1"/>
        <v>1</v>
      </c>
      <c r="L6077" s="62">
        <f t="shared" si="2"/>
        <v>3.666666667</v>
      </c>
    </row>
    <row r="6078">
      <c r="A6078" s="58">
        <v>45689.0</v>
      </c>
      <c r="B6078" s="24" t="s">
        <v>6789</v>
      </c>
      <c r="C6078" s="24" t="s">
        <v>6896</v>
      </c>
      <c r="D6078" s="59">
        <v>3.0</v>
      </c>
      <c r="E6078" s="59">
        <v>3.0</v>
      </c>
      <c r="F6078" s="59">
        <v>3.0</v>
      </c>
      <c r="G6078" s="60">
        <v>1.0</v>
      </c>
      <c r="H6078" s="60">
        <v>0.333333333333333</v>
      </c>
      <c r="I6078" s="60">
        <v>143.466218</v>
      </c>
      <c r="J6078" s="59">
        <v>3.0</v>
      </c>
      <c r="K6078" s="61">
        <f t="shared" si="1"/>
        <v>1</v>
      </c>
      <c r="L6078" s="62">
        <f t="shared" si="2"/>
        <v>1</v>
      </c>
    </row>
    <row r="6079">
      <c r="A6079" s="58">
        <v>45689.0</v>
      </c>
      <c r="B6079" s="24" t="s">
        <v>6787</v>
      </c>
      <c r="C6079" s="24" t="s">
        <v>6842</v>
      </c>
      <c r="D6079" s="59">
        <v>3.0</v>
      </c>
      <c r="E6079" s="59">
        <v>3.0</v>
      </c>
      <c r="F6079" s="59">
        <v>2.0</v>
      </c>
      <c r="G6079" s="60">
        <v>1.0</v>
      </c>
      <c r="H6079" s="60">
        <v>1.0</v>
      </c>
      <c r="I6079" s="60">
        <v>6.485845</v>
      </c>
      <c r="J6079" s="59">
        <v>3.0</v>
      </c>
      <c r="K6079" s="61">
        <f t="shared" si="1"/>
        <v>0.6666666667</v>
      </c>
      <c r="L6079" s="62">
        <f t="shared" si="2"/>
        <v>1</v>
      </c>
    </row>
    <row r="6080">
      <c r="A6080" s="58">
        <v>45689.0</v>
      </c>
      <c r="B6080" s="24" t="s">
        <v>6789</v>
      </c>
      <c r="C6080" s="24" t="s">
        <v>7006</v>
      </c>
      <c r="D6080" s="59">
        <v>3.0</v>
      </c>
      <c r="E6080" s="59">
        <v>3.0</v>
      </c>
      <c r="F6080" s="59">
        <v>2.0</v>
      </c>
      <c r="G6080" s="60">
        <v>1.0</v>
      </c>
      <c r="H6080" s="60">
        <v>0.333333333333333</v>
      </c>
      <c r="I6080" s="60">
        <v>1118.59227533333</v>
      </c>
      <c r="J6080" s="59">
        <v>25.0</v>
      </c>
      <c r="K6080" s="61">
        <f t="shared" si="1"/>
        <v>0.6666666667</v>
      </c>
      <c r="L6080" s="62">
        <f t="shared" si="2"/>
        <v>8.333333333</v>
      </c>
    </row>
    <row r="6081">
      <c r="A6081" s="58">
        <v>45689.0</v>
      </c>
      <c r="B6081" s="24" t="s">
        <v>6789</v>
      </c>
      <c r="C6081" s="24" t="s">
        <v>6807</v>
      </c>
      <c r="D6081" s="59">
        <v>3.0</v>
      </c>
      <c r="E6081" s="59">
        <v>5.0</v>
      </c>
      <c r="F6081" s="59">
        <v>1.0</v>
      </c>
      <c r="G6081" s="60">
        <v>1.66666666666666</v>
      </c>
      <c r="H6081" s="60">
        <v>0.0</v>
      </c>
      <c r="I6081" s="60">
        <v>168.904988399999</v>
      </c>
      <c r="J6081" s="59">
        <v>11.0</v>
      </c>
      <c r="K6081" s="61">
        <f t="shared" si="1"/>
        <v>0.2</v>
      </c>
      <c r="L6081" s="62">
        <f t="shared" si="2"/>
        <v>2.2</v>
      </c>
    </row>
    <row r="6082">
      <c r="A6082" s="58">
        <v>45689.0</v>
      </c>
      <c r="B6082" s="24" t="s">
        <v>155</v>
      </c>
      <c r="C6082" s="24" t="s">
        <v>6904</v>
      </c>
      <c r="D6082" s="59">
        <v>3.0</v>
      </c>
      <c r="E6082" s="59">
        <v>6.0</v>
      </c>
      <c r="F6082" s="59">
        <v>0.0</v>
      </c>
      <c r="G6082" s="60">
        <v>2.0</v>
      </c>
      <c r="H6082" s="60">
        <v>0.333333333333333</v>
      </c>
      <c r="I6082" s="60">
        <v>1488.92535299999</v>
      </c>
      <c r="J6082" s="59">
        <v>32.0</v>
      </c>
      <c r="K6082" s="61">
        <f t="shared" si="1"/>
        <v>0</v>
      </c>
      <c r="L6082" s="62">
        <f t="shared" si="2"/>
        <v>5.333333333</v>
      </c>
    </row>
    <row r="6083">
      <c r="A6083" s="58">
        <v>45689.0</v>
      </c>
      <c r="B6083" s="24" t="s">
        <v>6789</v>
      </c>
      <c r="C6083" s="24" t="s">
        <v>7232</v>
      </c>
      <c r="D6083" s="59">
        <v>3.0</v>
      </c>
      <c r="E6083" s="59">
        <v>3.0</v>
      </c>
      <c r="F6083" s="59">
        <v>3.0</v>
      </c>
      <c r="G6083" s="60">
        <v>1.0</v>
      </c>
      <c r="H6083" s="60">
        <v>1.0</v>
      </c>
      <c r="I6083" s="60">
        <v>0.0</v>
      </c>
      <c r="J6083" s="59">
        <v>3.0</v>
      </c>
      <c r="K6083" s="61">
        <f t="shared" si="1"/>
        <v>1</v>
      </c>
      <c r="L6083" s="62">
        <f t="shared" si="2"/>
        <v>1</v>
      </c>
    </row>
    <row r="6084">
      <c r="A6084" s="58">
        <v>45689.0</v>
      </c>
      <c r="B6084" s="24" t="s">
        <v>6789</v>
      </c>
      <c r="C6084" s="24" t="s">
        <v>7087</v>
      </c>
      <c r="D6084" s="59">
        <v>3.0</v>
      </c>
      <c r="E6084" s="59">
        <v>3.0</v>
      </c>
      <c r="F6084" s="59">
        <v>2.0</v>
      </c>
      <c r="G6084" s="60">
        <v>1.0</v>
      </c>
      <c r="H6084" s="60">
        <v>0.333333333333333</v>
      </c>
      <c r="I6084" s="60">
        <v>1168.80180866666</v>
      </c>
      <c r="J6084" s="59">
        <v>13.0</v>
      </c>
      <c r="K6084" s="61">
        <f t="shared" si="1"/>
        <v>0.6666666667</v>
      </c>
      <c r="L6084" s="62">
        <f t="shared" si="2"/>
        <v>4.333333333</v>
      </c>
    </row>
    <row r="6085">
      <c r="A6085" s="58">
        <v>45689.0</v>
      </c>
      <c r="B6085" s="24" t="s">
        <v>6787</v>
      </c>
      <c r="C6085" s="24" t="s">
        <v>7022</v>
      </c>
      <c r="D6085" s="59">
        <v>3.0</v>
      </c>
      <c r="E6085" s="59">
        <v>3.0</v>
      </c>
      <c r="F6085" s="59">
        <v>3.0</v>
      </c>
      <c r="G6085" s="60">
        <v>1.0</v>
      </c>
      <c r="H6085" s="60">
        <v>0.333333333333333</v>
      </c>
      <c r="I6085" s="60">
        <v>25.698449</v>
      </c>
      <c r="J6085" s="59">
        <v>7.0</v>
      </c>
      <c r="K6085" s="61">
        <f t="shared" si="1"/>
        <v>1</v>
      </c>
      <c r="L6085" s="62">
        <f t="shared" si="2"/>
        <v>2.333333333</v>
      </c>
    </row>
    <row r="6086">
      <c r="A6086" s="58">
        <v>45689.0</v>
      </c>
      <c r="B6086" s="24" t="s">
        <v>6789</v>
      </c>
      <c r="C6086" s="24" t="s">
        <v>7022</v>
      </c>
      <c r="D6086" s="59">
        <v>3.0</v>
      </c>
      <c r="E6086" s="59">
        <v>3.0</v>
      </c>
      <c r="F6086" s="59">
        <v>2.0</v>
      </c>
      <c r="G6086" s="60">
        <v>1.0</v>
      </c>
      <c r="H6086" s="60">
        <v>0.333333333333333</v>
      </c>
      <c r="I6086" s="60">
        <v>789.122883</v>
      </c>
      <c r="J6086" s="59">
        <v>5.0</v>
      </c>
      <c r="K6086" s="61">
        <f t="shared" si="1"/>
        <v>0.6666666667</v>
      </c>
      <c r="L6086" s="62">
        <f t="shared" si="2"/>
        <v>1.666666667</v>
      </c>
    </row>
    <row r="6087">
      <c r="A6087" s="58">
        <v>45689.0</v>
      </c>
      <c r="B6087" s="24" t="s">
        <v>6789</v>
      </c>
      <c r="C6087" s="24" t="s">
        <v>7036</v>
      </c>
      <c r="D6087" s="59">
        <v>3.0</v>
      </c>
      <c r="E6087" s="59">
        <v>3.0</v>
      </c>
      <c r="F6087" s="59">
        <v>3.0</v>
      </c>
      <c r="G6087" s="60">
        <v>1.0</v>
      </c>
      <c r="H6087" s="60">
        <v>0.333333333333333</v>
      </c>
      <c r="I6087" s="60">
        <v>11.6579843333333</v>
      </c>
      <c r="J6087" s="59">
        <v>3.0</v>
      </c>
      <c r="K6087" s="61">
        <f t="shared" si="1"/>
        <v>1</v>
      </c>
      <c r="L6087" s="62">
        <f t="shared" si="2"/>
        <v>1</v>
      </c>
    </row>
    <row r="6088">
      <c r="A6088" s="58">
        <v>45689.0</v>
      </c>
      <c r="B6088" s="24" t="s">
        <v>6789</v>
      </c>
      <c r="C6088" s="24" t="s">
        <v>6800</v>
      </c>
      <c r="D6088" s="59">
        <v>3.0</v>
      </c>
      <c r="E6088" s="59">
        <v>3.0</v>
      </c>
      <c r="F6088" s="59">
        <v>1.0</v>
      </c>
      <c r="G6088" s="60">
        <v>1.5</v>
      </c>
      <c r="H6088" s="60">
        <v>0.333333333333333</v>
      </c>
      <c r="I6088" s="60">
        <v>133.36658</v>
      </c>
      <c r="J6088" s="59">
        <v>3.0</v>
      </c>
      <c r="K6088" s="61">
        <f t="shared" si="1"/>
        <v>0.3333333333</v>
      </c>
      <c r="L6088" s="62">
        <f t="shared" si="2"/>
        <v>1</v>
      </c>
    </row>
    <row r="6089">
      <c r="A6089" s="58">
        <v>45689.0</v>
      </c>
      <c r="B6089" s="24" t="s">
        <v>6790</v>
      </c>
      <c r="C6089" s="24" t="s">
        <v>6960</v>
      </c>
      <c r="D6089" s="59">
        <v>3.0</v>
      </c>
      <c r="E6089" s="59">
        <v>3.0</v>
      </c>
      <c r="F6089" s="59">
        <v>2.0</v>
      </c>
      <c r="G6089" s="60">
        <v>1.0</v>
      </c>
      <c r="H6089" s="60">
        <v>0.666666666666666</v>
      </c>
      <c r="I6089" s="60">
        <v>7.46217933333333</v>
      </c>
      <c r="J6089" s="59">
        <v>3.0</v>
      </c>
      <c r="K6089" s="61">
        <f t="shared" si="1"/>
        <v>0.6666666667</v>
      </c>
      <c r="L6089" s="62">
        <f t="shared" si="2"/>
        <v>1</v>
      </c>
    </row>
    <row r="6090">
      <c r="A6090" s="58">
        <v>45689.0</v>
      </c>
      <c r="B6090" s="24" t="s">
        <v>6787</v>
      </c>
      <c r="C6090" s="24" t="s">
        <v>7313</v>
      </c>
      <c r="D6090" s="59">
        <v>3.0</v>
      </c>
      <c r="E6090" s="59">
        <v>3.0</v>
      </c>
      <c r="F6090" s="59">
        <v>3.0</v>
      </c>
      <c r="G6090" s="60">
        <v>1.0</v>
      </c>
      <c r="H6090" s="60">
        <v>0.333333333333333</v>
      </c>
      <c r="I6090" s="60">
        <v>28.5258213333333</v>
      </c>
      <c r="J6090" s="59">
        <v>11.0</v>
      </c>
      <c r="K6090" s="61">
        <f t="shared" si="1"/>
        <v>1</v>
      </c>
      <c r="L6090" s="62">
        <f t="shared" si="2"/>
        <v>3.666666667</v>
      </c>
    </row>
    <row r="6091">
      <c r="A6091" s="58">
        <v>45689.0</v>
      </c>
      <c r="B6091" s="24" t="s">
        <v>6787</v>
      </c>
      <c r="C6091" s="24" t="s">
        <v>7443</v>
      </c>
      <c r="D6091" s="59">
        <v>3.0</v>
      </c>
      <c r="E6091" s="59">
        <v>3.0</v>
      </c>
      <c r="F6091" s="59">
        <v>3.0</v>
      </c>
      <c r="G6091" s="60">
        <v>1.0</v>
      </c>
      <c r="H6091" s="60">
        <v>0.0</v>
      </c>
      <c r="I6091" s="60">
        <v>39.5918073333333</v>
      </c>
      <c r="J6091" s="59">
        <v>9.0</v>
      </c>
      <c r="K6091" s="61">
        <f t="shared" si="1"/>
        <v>1</v>
      </c>
      <c r="L6091" s="62">
        <f t="shared" si="2"/>
        <v>3</v>
      </c>
    </row>
    <row r="6092">
      <c r="A6092" s="58">
        <v>45689.0</v>
      </c>
      <c r="B6092" s="24" t="s">
        <v>6787</v>
      </c>
      <c r="C6092" s="24" t="s">
        <v>7023</v>
      </c>
      <c r="D6092" s="59">
        <v>3.0</v>
      </c>
      <c r="E6092" s="59">
        <v>3.0</v>
      </c>
      <c r="F6092" s="59">
        <v>3.0</v>
      </c>
      <c r="G6092" s="60">
        <v>1.0</v>
      </c>
      <c r="H6092" s="60">
        <v>0.333333333333333</v>
      </c>
      <c r="I6092" s="60">
        <v>78.513758</v>
      </c>
      <c r="J6092" s="59">
        <v>10.0</v>
      </c>
      <c r="K6092" s="61">
        <f t="shared" si="1"/>
        <v>1</v>
      </c>
      <c r="L6092" s="62">
        <f t="shared" si="2"/>
        <v>3.333333333</v>
      </c>
    </row>
    <row r="6093">
      <c r="A6093" s="58">
        <v>45689.0</v>
      </c>
      <c r="B6093" s="24" t="s">
        <v>6787</v>
      </c>
      <c r="C6093" s="24" t="s">
        <v>7448</v>
      </c>
      <c r="D6093" s="59">
        <v>3.0</v>
      </c>
      <c r="E6093" s="59">
        <v>3.0</v>
      </c>
      <c r="F6093" s="59">
        <v>3.0</v>
      </c>
      <c r="G6093" s="60">
        <v>1.0</v>
      </c>
      <c r="H6093" s="60">
        <v>0.666666666666666</v>
      </c>
      <c r="I6093" s="60">
        <v>6.46641999999999</v>
      </c>
      <c r="J6093" s="59">
        <v>3.0</v>
      </c>
      <c r="K6093" s="61">
        <f t="shared" si="1"/>
        <v>1</v>
      </c>
      <c r="L6093" s="62">
        <f t="shared" si="2"/>
        <v>1</v>
      </c>
    </row>
    <row r="6094">
      <c r="A6094" s="58">
        <v>45689.0</v>
      </c>
      <c r="B6094" s="24" t="s">
        <v>6789</v>
      </c>
      <c r="C6094" s="24" t="s">
        <v>7192</v>
      </c>
      <c r="D6094" s="59">
        <v>3.0</v>
      </c>
      <c r="E6094" s="59">
        <v>3.0</v>
      </c>
      <c r="F6094" s="59">
        <v>0.0</v>
      </c>
      <c r="G6094" s="60">
        <v>1.0</v>
      </c>
      <c r="H6094" s="60">
        <v>0.666666666666666</v>
      </c>
      <c r="I6094" s="60">
        <v>10.1831919999999</v>
      </c>
      <c r="J6094" s="59">
        <v>3.0</v>
      </c>
      <c r="K6094" s="61">
        <f t="shared" si="1"/>
        <v>0</v>
      </c>
      <c r="L6094" s="62">
        <f t="shared" si="2"/>
        <v>1</v>
      </c>
    </row>
    <row r="6095">
      <c r="A6095" s="58">
        <v>45689.0</v>
      </c>
      <c r="B6095" s="24" t="s">
        <v>6789</v>
      </c>
      <c r="C6095" s="24" t="s">
        <v>7106</v>
      </c>
      <c r="D6095" s="59">
        <v>3.0</v>
      </c>
      <c r="E6095" s="59">
        <v>4.0</v>
      </c>
      <c r="F6095" s="59">
        <v>1.0</v>
      </c>
      <c r="G6095" s="60">
        <v>4.0</v>
      </c>
      <c r="H6095" s="60">
        <v>0.75</v>
      </c>
      <c r="I6095" s="60">
        <v>15.43459625</v>
      </c>
      <c r="J6095" s="59">
        <v>4.0</v>
      </c>
      <c r="K6095" s="61">
        <f t="shared" si="1"/>
        <v>0.25</v>
      </c>
      <c r="L6095" s="62">
        <f t="shared" si="2"/>
        <v>1</v>
      </c>
    </row>
    <row r="6096">
      <c r="A6096" s="58">
        <v>45689.0</v>
      </c>
      <c r="B6096" s="24" t="s">
        <v>6789</v>
      </c>
      <c r="C6096" s="24" t="s">
        <v>6920</v>
      </c>
      <c r="D6096" s="59">
        <v>3.0</v>
      </c>
      <c r="E6096" s="59">
        <v>7.0</v>
      </c>
      <c r="F6096" s="59">
        <v>0.0</v>
      </c>
      <c r="G6096" s="60">
        <v>2.33333333333333</v>
      </c>
      <c r="H6096" s="60">
        <v>0.285714285714285</v>
      </c>
      <c r="I6096" s="60">
        <v>308.437964571428</v>
      </c>
      <c r="J6096" s="59">
        <v>20.0</v>
      </c>
      <c r="K6096" s="61">
        <f t="shared" si="1"/>
        <v>0</v>
      </c>
      <c r="L6096" s="62">
        <f t="shared" si="2"/>
        <v>2.857142857</v>
      </c>
    </row>
    <row r="6097">
      <c r="A6097" s="58">
        <v>45689.0</v>
      </c>
      <c r="B6097" s="24" t="s">
        <v>6787</v>
      </c>
      <c r="C6097" s="24" t="s">
        <v>6921</v>
      </c>
      <c r="D6097" s="59">
        <v>3.0</v>
      </c>
      <c r="E6097" s="59">
        <v>3.0</v>
      </c>
      <c r="F6097" s="59">
        <v>3.0</v>
      </c>
      <c r="G6097" s="60">
        <v>1.0</v>
      </c>
      <c r="H6097" s="60">
        <v>1.0</v>
      </c>
      <c r="I6097" s="60">
        <v>3.14963966666666</v>
      </c>
      <c r="J6097" s="59">
        <v>3.0</v>
      </c>
      <c r="K6097" s="61">
        <f t="shared" si="1"/>
        <v>1</v>
      </c>
      <c r="L6097" s="62">
        <f t="shared" si="2"/>
        <v>1</v>
      </c>
    </row>
    <row r="6098">
      <c r="A6098" s="58">
        <v>45689.0</v>
      </c>
      <c r="B6098" s="24" t="s">
        <v>6787</v>
      </c>
      <c r="C6098" s="24" t="s">
        <v>7208</v>
      </c>
      <c r="D6098" s="59">
        <v>3.0</v>
      </c>
      <c r="E6098" s="59">
        <v>3.0</v>
      </c>
      <c r="F6098" s="59">
        <v>2.0</v>
      </c>
      <c r="G6098" s="60">
        <v>1.0</v>
      </c>
      <c r="H6098" s="60">
        <v>0.0</v>
      </c>
      <c r="I6098" s="60">
        <v>24.6073493333333</v>
      </c>
      <c r="J6098" s="59">
        <v>6.0</v>
      </c>
      <c r="K6098" s="61">
        <f t="shared" si="1"/>
        <v>0.6666666667</v>
      </c>
      <c r="L6098" s="62">
        <f t="shared" si="2"/>
        <v>2</v>
      </c>
    </row>
    <row r="6099">
      <c r="A6099" s="58">
        <v>45689.0</v>
      </c>
      <c r="B6099" s="24" t="s">
        <v>6787</v>
      </c>
      <c r="C6099" s="24" t="s">
        <v>6956</v>
      </c>
      <c r="D6099" s="59">
        <v>2.0</v>
      </c>
      <c r="E6099" s="59">
        <v>2.0</v>
      </c>
      <c r="F6099" s="59">
        <v>2.0</v>
      </c>
      <c r="G6099" s="60">
        <v>1.0</v>
      </c>
      <c r="H6099" s="60">
        <v>0.5</v>
      </c>
      <c r="I6099" s="60">
        <v>2.870359</v>
      </c>
      <c r="J6099" s="59">
        <v>3.0</v>
      </c>
      <c r="K6099" s="61">
        <f t="shared" si="1"/>
        <v>1</v>
      </c>
      <c r="L6099" s="62">
        <f t="shared" si="2"/>
        <v>1.5</v>
      </c>
    </row>
    <row r="6100">
      <c r="A6100" s="58">
        <v>45689.0</v>
      </c>
      <c r="B6100" s="24" t="s">
        <v>155</v>
      </c>
      <c r="C6100" s="24" t="s">
        <v>6956</v>
      </c>
      <c r="D6100" s="59">
        <v>2.0</v>
      </c>
      <c r="E6100" s="59">
        <v>2.0</v>
      </c>
      <c r="F6100" s="59">
        <v>0.0</v>
      </c>
      <c r="G6100" s="60">
        <v>1.0</v>
      </c>
      <c r="H6100" s="60">
        <v>0.5</v>
      </c>
      <c r="I6100" s="60">
        <v>47.1841285</v>
      </c>
      <c r="J6100" s="59">
        <v>4.0</v>
      </c>
      <c r="K6100" s="61">
        <f t="shared" si="1"/>
        <v>0</v>
      </c>
      <c r="L6100" s="62">
        <f t="shared" si="2"/>
        <v>2</v>
      </c>
    </row>
    <row r="6101">
      <c r="A6101" s="58">
        <v>45689.0</v>
      </c>
      <c r="B6101" s="24" t="s">
        <v>6789</v>
      </c>
      <c r="C6101" s="24" t="s">
        <v>7057</v>
      </c>
      <c r="D6101" s="59">
        <v>2.0</v>
      </c>
      <c r="E6101" s="59">
        <v>2.0</v>
      </c>
      <c r="F6101" s="59">
        <v>2.0</v>
      </c>
      <c r="G6101" s="60">
        <v>1.0</v>
      </c>
      <c r="H6101" s="60">
        <v>0.5</v>
      </c>
      <c r="I6101" s="60">
        <v>170.359353</v>
      </c>
      <c r="J6101" s="59">
        <v>2.0</v>
      </c>
      <c r="K6101" s="61">
        <f t="shared" si="1"/>
        <v>1</v>
      </c>
      <c r="L6101" s="62">
        <f t="shared" si="2"/>
        <v>1</v>
      </c>
    </row>
    <row r="6102">
      <c r="A6102" s="58">
        <v>45689.0</v>
      </c>
      <c r="B6102" s="24" t="s">
        <v>6789</v>
      </c>
      <c r="C6102" s="24" t="s">
        <v>7059</v>
      </c>
      <c r="D6102" s="59">
        <v>2.0</v>
      </c>
      <c r="E6102" s="59">
        <v>3.0</v>
      </c>
      <c r="F6102" s="59">
        <v>2.0</v>
      </c>
      <c r="G6102" s="60">
        <v>1.5</v>
      </c>
      <c r="H6102" s="60">
        <v>1.0</v>
      </c>
      <c r="I6102" s="60">
        <v>1.874089</v>
      </c>
      <c r="J6102" s="59">
        <v>3.0</v>
      </c>
      <c r="K6102" s="61">
        <f t="shared" si="1"/>
        <v>0.6666666667</v>
      </c>
      <c r="L6102" s="62">
        <f t="shared" si="2"/>
        <v>1</v>
      </c>
    </row>
    <row r="6103">
      <c r="A6103" s="58">
        <v>45689.0</v>
      </c>
      <c r="B6103" s="24" t="s">
        <v>6787</v>
      </c>
      <c r="C6103" s="24" t="s">
        <v>6985</v>
      </c>
      <c r="D6103" s="59">
        <v>2.0</v>
      </c>
      <c r="E6103" s="59">
        <v>2.0</v>
      </c>
      <c r="F6103" s="59">
        <v>2.0</v>
      </c>
      <c r="G6103" s="60">
        <v>1.0</v>
      </c>
      <c r="H6103" s="60">
        <v>1.0</v>
      </c>
      <c r="I6103" s="60">
        <v>0.0</v>
      </c>
      <c r="J6103" s="59">
        <v>2.0</v>
      </c>
      <c r="K6103" s="61">
        <f t="shared" si="1"/>
        <v>1</v>
      </c>
      <c r="L6103" s="62">
        <f t="shared" si="2"/>
        <v>1</v>
      </c>
    </row>
    <row r="6104">
      <c r="A6104" s="58">
        <v>45689.0</v>
      </c>
      <c r="B6104" s="24" t="s">
        <v>6789</v>
      </c>
      <c r="C6104" s="24" t="s">
        <v>6833</v>
      </c>
      <c r="D6104" s="59">
        <v>2.0</v>
      </c>
      <c r="E6104" s="59">
        <v>2.0</v>
      </c>
      <c r="F6104" s="59">
        <v>2.0</v>
      </c>
      <c r="G6104" s="60">
        <v>1.0</v>
      </c>
      <c r="H6104" s="60">
        <v>0.0</v>
      </c>
      <c r="I6104" s="60">
        <v>43.562601</v>
      </c>
      <c r="J6104" s="59">
        <v>2.0</v>
      </c>
      <c r="K6104" s="61">
        <f t="shared" si="1"/>
        <v>1</v>
      </c>
      <c r="L6104" s="62">
        <f t="shared" si="2"/>
        <v>1</v>
      </c>
    </row>
    <row r="6105">
      <c r="A6105" s="58">
        <v>45689.0</v>
      </c>
      <c r="B6105" s="24" t="s">
        <v>6787</v>
      </c>
      <c r="C6105" s="24" t="s">
        <v>6819</v>
      </c>
      <c r="D6105" s="59">
        <v>2.0</v>
      </c>
      <c r="E6105" s="59">
        <v>2.0</v>
      </c>
      <c r="F6105" s="59">
        <v>2.0</v>
      </c>
      <c r="G6105" s="60">
        <v>1.0</v>
      </c>
      <c r="H6105" s="60">
        <v>1.0</v>
      </c>
      <c r="I6105" s="60">
        <v>1.999044</v>
      </c>
      <c r="J6105" s="59">
        <v>2.0</v>
      </c>
      <c r="K6105" s="61">
        <f t="shared" si="1"/>
        <v>1</v>
      </c>
      <c r="L6105" s="62">
        <f t="shared" si="2"/>
        <v>1</v>
      </c>
    </row>
    <row r="6106">
      <c r="A6106" s="58">
        <v>45689.0</v>
      </c>
      <c r="B6106" s="24" t="s">
        <v>6794</v>
      </c>
      <c r="C6106" s="24" t="s">
        <v>6882</v>
      </c>
      <c r="D6106" s="59">
        <v>2.0</v>
      </c>
      <c r="E6106" s="59">
        <v>2.0</v>
      </c>
      <c r="F6106" s="59">
        <v>2.0</v>
      </c>
      <c r="G6106" s="60">
        <v>1.0</v>
      </c>
      <c r="H6106" s="60">
        <v>1.0</v>
      </c>
      <c r="I6106" s="60">
        <v>0.0</v>
      </c>
      <c r="J6106" s="59">
        <v>2.0</v>
      </c>
      <c r="K6106" s="61">
        <f t="shared" si="1"/>
        <v>1</v>
      </c>
      <c r="L6106" s="62">
        <f t="shared" si="2"/>
        <v>1</v>
      </c>
    </row>
    <row r="6107">
      <c r="A6107" s="58">
        <v>45689.0</v>
      </c>
      <c r="B6107" s="24" t="s">
        <v>6790</v>
      </c>
      <c r="C6107" s="24" t="s">
        <v>6882</v>
      </c>
      <c r="D6107" s="59">
        <v>2.0</v>
      </c>
      <c r="E6107" s="59">
        <v>2.0</v>
      </c>
      <c r="F6107" s="59">
        <v>2.0</v>
      </c>
      <c r="G6107" s="60">
        <v>1.0</v>
      </c>
      <c r="H6107" s="60">
        <v>0.5</v>
      </c>
      <c r="I6107" s="60">
        <v>13.5802</v>
      </c>
      <c r="J6107" s="59">
        <v>2.0</v>
      </c>
      <c r="K6107" s="61">
        <f t="shared" si="1"/>
        <v>1</v>
      </c>
      <c r="L6107" s="62">
        <f t="shared" si="2"/>
        <v>1</v>
      </c>
    </row>
    <row r="6108">
      <c r="A6108" s="58">
        <v>45689.0</v>
      </c>
      <c r="B6108" s="24" t="s">
        <v>6789</v>
      </c>
      <c r="C6108" s="24" t="s">
        <v>6990</v>
      </c>
      <c r="D6108" s="59">
        <v>2.0</v>
      </c>
      <c r="E6108" s="59">
        <v>2.0</v>
      </c>
      <c r="F6108" s="59">
        <v>2.0</v>
      </c>
      <c r="G6108" s="60">
        <v>1.0</v>
      </c>
      <c r="H6108" s="60">
        <v>0.5</v>
      </c>
      <c r="I6108" s="60">
        <v>42.7984185</v>
      </c>
      <c r="J6108" s="59">
        <v>2.0</v>
      </c>
      <c r="K6108" s="61">
        <f t="shared" si="1"/>
        <v>1</v>
      </c>
      <c r="L6108" s="62">
        <f t="shared" si="2"/>
        <v>1</v>
      </c>
    </row>
    <row r="6109">
      <c r="A6109" s="58">
        <v>45689.0</v>
      </c>
      <c r="B6109" s="24" t="s">
        <v>6790</v>
      </c>
      <c r="C6109" s="24" t="s">
        <v>7068</v>
      </c>
      <c r="D6109" s="59">
        <v>2.0</v>
      </c>
      <c r="E6109" s="59">
        <v>2.0</v>
      </c>
      <c r="F6109" s="59">
        <v>2.0</v>
      </c>
      <c r="G6109" s="60">
        <v>1.0</v>
      </c>
      <c r="H6109" s="60">
        <v>0.5</v>
      </c>
      <c r="I6109" s="60">
        <v>12.998443</v>
      </c>
      <c r="J6109" s="59">
        <v>2.0</v>
      </c>
      <c r="K6109" s="61">
        <f t="shared" si="1"/>
        <v>1</v>
      </c>
      <c r="L6109" s="62">
        <f t="shared" si="2"/>
        <v>1</v>
      </c>
    </row>
    <row r="6110">
      <c r="A6110" s="58">
        <v>45689.0</v>
      </c>
      <c r="B6110" s="24" t="s">
        <v>155</v>
      </c>
      <c r="C6110" s="24" t="s">
        <v>6835</v>
      </c>
      <c r="D6110" s="59">
        <v>2.0</v>
      </c>
      <c r="E6110" s="59">
        <v>2.0</v>
      </c>
      <c r="F6110" s="59">
        <v>2.0</v>
      </c>
      <c r="G6110" s="60">
        <v>1.0</v>
      </c>
      <c r="H6110" s="60">
        <v>0.0</v>
      </c>
      <c r="I6110" s="60">
        <v>567.7411725</v>
      </c>
      <c r="J6110" s="59">
        <v>2.0</v>
      </c>
      <c r="K6110" s="61">
        <f t="shared" si="1"/>
        <v>1</v>
      </c>
      <c r="L6110" s="62">
        <f t="shared" si="2"/>
        <v>1</v>
      </c>
    </row>
    <row r="6111">
      <c r="A6111" s="58">
        <v>45689.0</v>
      </c>
      <c r="B6111" s="24" t="s">
        <v>6787</v>
      </c>
      <c r="C6111" s="24" t="s">
        <v>6945</v>
      </c>
      <c r="D6111" s="59">
        <v>2.0</v>
      </c>
      <c r="E6111" s="59">
        <v>2.0</v>
      </c>
      <c r="F6111" s="59">
        <v>2.0</v>
      </c>
      <c r="G6111" s="60">
        <v>1.0</v>
      </c>
      <c r="H6111" s="60">
        <v>0.5</v>
      </c>
      <c r="I6111" s="60">
        <v>31.062812</v>
      </c>
      <c r="J6111" s="59">
        <v>6.0</v>
      </c>
      <c r="K6111" s="61">
        <f t="shared" si="1"/>
        <v>1</v>
      </c>
      <c r="L6111" s="62">
        <f t="shared" si="2"/>
        <v>3</v>
      </c>
    </row>
    <row r="6112">
      <c r="A6112" s="58">
        <v>45689.0</v>
      </c>
      <c r="B6112" s="24" t="s">
        <v>6789</v>
      </c>
      <c r="C6112" s="24" t="s">
        <v>7073</v>
      </c>
      <c r="D6112" s="59">
        <v>2.0</v>
      </c>
      <c r="E6112" s="59">
        <v>2.0</v>
      </c>
      <c r="F6112" s="59">
        <v>1.0</v>
      </c>
      <c r="G6112" s="60">
        <v>1.0</v>
      </c>
      <c r="H6112" s="60">
        <v>0.0</v>
      </c>
      <c r="I6112" s="60">
        <v>874.5032255</v>
      </c>
      <c r="J6112" s="59">
        <v>4.0</v>
      </c>
      <c r="K6112" s="61">
        <f t="shared" si="1"/>
        <v>0.5</v>
      </c>
      <c r="L6112" s="62">
        <f t="shared" si="2"/>
        <v>2</v>
      </c>
    </row>
    <row r="6113">
      <c r="A6113" s="58">
        <v>45689.0</v>
      </c>
      <c r="B6113" s="24" t="s">
        <v>155</v>
      </c>
      <c r="C6113" s="24" t="s">
        <v>7073</v>
      </c>
      <c r="D6113" s="59">
        <v>2.0</v>
      </c>
      <c r="E6113" s="59">
        <v>2.0</v>
      </c>
      <c r="F6113" s="59">
        <v>0.0</v>
      </c>
      <c r="G6113" s="60">
        <v>2.0</v>
      </c>
      <c r="H6113" s="60">
        <v>0.5</v>
      </c>
      <c r="I6113" s="60">
        <v>718.9483835</v>
      </c>
      <c r="J6113" s="59">
        <v>10.0</v>
      </c>
      <c r="K6113" s="61">
        <f t="shared" si="1"/>
        <v>0</v>
      </c>
      <c r="L6113" s="62">
        <f t="shared" si="2"/>
        <v>5</v>
      </c>
    </row>
    <row r="6114">
      <c r="A6114" s="58">
        <v>45689.0</v>
      </c>
      <c r="B6114" s="24" t="s">
        <v>6794</v>
      </c>
      <c r="C6114" s="24" t="s">
        <v>6799</v>
      </c>
      <c r="D6114" s="59">
        <v>2.0</v>
      </c>
      <c r="E6114" s="59">
        <v>2.0</v>
      </c>
      <c r="F6114" s="59">
        <v>0.0</v>
      </c>
      <c r="G6114" s="60">
        <v>1.0</v>
      </c>
      <c r="H6114" s="60">
        <v>0.5</v>
      </c>
      <c r="I6114" s="60">
        <v>291.123585</v>
      </c>
      <c r="J6114" s="59">
        <v>14.0</v>
      </c>
      <c r="K6114" s="61">
        <f t="shared" si="1"/>
        <v>0</v>
      </c>
      <c r="L6114" s="62">
        <f t="shared" si="2"/>
        <v>7</v>
      </c>
    </row>
    <row r="6115">
      <c r="A6115" s="58">
        <v>45689.0</v>
      </c>
      <c r="B6115" s="24" t="s">
        <v>6790</v>
      </c>
      <c r="C6115" s="24" t="s">
        <v>6891</v>
      </c>
      <c r="D6115" s="59">
        <v>2.0</v>
      </c>
      <c r="E6115" s="59">
        <v>2.0</v>
      </c>
      <c r="F6115" s="59">
        <v>1.0</v>
      </c>
      <c r="G6115" s="60">
        <v>1.0</v>
      </c>
      <c r="H6115" s="60">
        <v>1.0</v>
      </c>
      <c r="I6115" s="60">
        <v>0.0</v>
      </c>
      <c r="J6115" s="59">
        <v>2.0</v>
      </c>
      <c r="K6115" s="61">
        <f t="shared" si="1"/>
        <v>0.5</v>
      </c>
      <c r="L6115" s="62">
        <f t="shared" si="2"/>
        <v>1</v>
      </c>
    </row>
    <row r="6116">
      <c r="A6116" s="58">
        <v>45689.0</v>
      </c>
      <c r="B6116" s="24" t="s">
        <v>6787</v>
      </c>
      <c r="C6116" s="24" t="s">
        <v>7438</v>
      </c>
      <c r="D6116" s="59">
        <v>2.0</v>
      </c>
      <c r="E6116" s="59">
        <v>2.0</v>
      </c>
      <c r="F6116" s="59">
        <v>2.0</v>
      </c>
      <c r="G6116" s="60">
        <v>1.0</v>
      </c>
      <c r="H6116" s="60">
        <v>0.0</v>
      </c>
      <c r="I6116" s="60">
        <v>17.047448</v>
      </c>
      <c r="J6116" s="59">
        <v>5.0</v>
      </c>
      <c r="K6116" s="61">
        <f t="shared" si="1"/>
        <v>1</v>
      </c>
      <c r="L6116" s="62">
        <f t="shared" si="2"/>
        <v>2.5</v>
      </c>
    </row>
    <row r="6117">
      <c r="A6117" s="58">
        <v>45689.0</v>
      </c>
      <c r="B6117" s="24" t="s">
        <v>6789</v>
      </c>
      <c r="C6117" s="24" t="s">
        <v>7438</v>
      </c>
      <c r="D6117" s="59">
        <v>2.0</v>
      </c>
      <c r="E6117" s="59">
        <v>2.0</v>
      </c>
      <c r="F6117" s="59">
        <v>1.0</v>
      </c>
      <c r="G6117" s="60">
        <v>1.0</v>
      </c>
      <c r="H6117" s="60">
        <v>0.5</v>
      </c>
      <c r="I6117" s="60">
        <v>204.6495425</v>
      </c>
      <c r="J6117" s="59">
        <v>3.0</v>
      </c>
      <c r="K6117" s="61">
        <f t="shared" si="1"/>
        <v>0.5</v>
      </c>
      <c r="L6117" s="62">
        <f t="shared" si="2"/>
        <v>1.5</v>
      </c>
    </row>
    <row r="6118">
      <c r="A6118" s="58">
        <v>45689.0</v>
      </c>
      <c r="B6118" s="24" t="s">
        <v>6787</v>
      </c>
      <c r="C6118" s="24" t="s">
        <v>7129</v>
      </c>
      <c r="D6118" s="59">
        <v>2.0</v>
      </c>
      <c r="E6118" s="59">
        <v>2.0</v>
      </c>
      <c r="F6118" s="59">
        <v>2.0</v>
      </c>
      <c r="G6118" s="60">
        <v>1.0</v>
      </c>
      <c r="H6118" s="60">
        <v>0.0</v>
      </c>
      <c r="I6118" s="60">
        <v>18.870095</v>
      </c>
      <c r="J6118" s="59">
        <v>4.0</v>
      </c>
      <c r="K6118" s="61">
        <f t="shared" si="1"/>
        <v>1</v>
      </c>
      <c r="L6118" s="62">
        <f t="shared" si="2"/>
        <v>2</v>
      </c>
    </row>
    <row r="6119">
      <c r="A6119" s="58">
        <v>45689.0</v>
      </c>
      <c r="B6119" s="24" t="s">
        <v>6787</v>
      </c>
      <c r="C6119" s="24" t="s">
        <v>6823</v>
      </c>
      <c r="D6119" s="59">
        <v>2.0</v>
      </c>
      <c r="E6119" s="59">
        <v>2.0</v>
      </c>
      <c r="F6119" s="59">
        <v>1.0</v>
      </c>
      <c r="G6119" s="60">
        <v>1.0</v>
      </c>
      <c r="H6119" s="60">
        <v>0.0</v>
      </c>
      <c r="I6119" s="60">
        <v>57.8858475</v>
      </c>
      <c r="J6119" s="59">
        <v>6.0</v>
      </c>
      <c r="K6119" s="61">
        <f t="shared" si="1"/>
        <v>0.5</v>
      </c>
      <c r="L6119" s="62">
        <f t="shared" si="2"/>
        <v>3</v>
      </c>
    </row>
    <row r="6120">
      <c r="A6120" s="58">
        <v>45689.0</v>
      </c>
      <c r="B6120" s="24" t="s">
        <v>6787</v>
      </c>
      <c r="C6120" s="24" t="s">
        <v>6897</v>
      </c>
      <c r="D6120" s="59">
        <v>2.0</v>
      </c>
      <c r="E6120" s="59">
        <v>2.0</v>
      </c>
      <c r="F6120" s="59">
        <v>2.0</v>
      </c>
      <c r="G6120" s="60">
        <v>1.0</v>
      </c>
      <c r="H6120" s="60">
        <v>0.0</v>
      </c>
      <c r="I6120" s="60">
        <v>211.060192</v>
      </c>
      <c r="J6120" s="59">
        <v>5.0</v>
      </c>
      <c r="K6120" s="61">
        <f t="shared" si="1"/>
        <v>1</v>
      </c>
      <c r="L6120" s="62">
        <f t="shared" si="2"/>
        <v>2.5</v>
      </c>
    </row>
    <row r="6121">
      <c r="A6121" s="58">
        <v>45689.0</v>
      </c>
      <c r="B6121" s="24" t="s">
        <v>6789</v>
      </c>
      <c r="C6121" s="24" t="s">
        <v>6897</v>
      </c>
      <c r="D6121" s="59">
        <v>2.0</v>
      </c>
      <c r="E6121" s="59">
        <v>2.0</v>
      </c>
      <c r="F6121" s="59">
        <v>1.0</v>
      </c>
      <c r="G6121" s="60">
        <v>1.0</v>
      </c>
      <c r="H6121" s="60">
        <v>0.0</v>
      </c>
      <c r="I6121" s="60">
        <v>456.150354</v>
      </c>
      <c r="J6121" s="59">
        <v>3.0</v>
      </c>
      <c r="K6121" s="61">
        <f t="shared" si="1"/>
        <v>0.5</v>
      </c>
      <c r="L6121" s="62">
        <f t="shared" si="2"/>
        <v>1.5</v>
      </c>
    </row>
    <row r="6122">
      <c r="A6122" s="58">
        <v>45689.0</v>
      </c>
      <c r="B6122" s="24" t="s">
        <v>155</v>
      </c>
      <c r="C6122" s="24" t="s">
        <v>6842</v>
      </c>
      <c r="D6122" s="59">
        <v>2.0</v>
      </c>
      <c r="E6122" s="59">
        <v>2.0</v>
      </c>
      <c r="F6122" s="59">
        <v>0.0</v>
      </c>
      <c r="G6122" s="60">
        <v>1.0</v>
      </c>
      <c r="H6122" s="60">
        <v>0.5</v>
      </c>
      <c r="I6122" s="60">
        <v>447.991671</v>
      </c>
      <c r="J6122" s="59">
        <v>8.0</v>
      </c>
      <c r="K6122" s="61">
        <f t="shared" si="1"/>
        <v>0</v>
      </c>
      <c r="L6122" s="62">
        <f t="shared" si="2"/>
        <v>4</v>
      </c>
    </row>
    <row r="6123">
      <c r="A6123" s="58">
        <v>45689.0</v>
      </c>
      <c r="B6123" s="24" t="s">
        <v>155</v>
      </c>
      <c r="C6123" s="24" t="s">
        <v>7077</v>
      </c>
      <c r="D6123" s="59">
        <v>2.0</v>
      </c>
      <c r="E6123" s="59">
        <v>5.0</v>
      </c>
      <c r="F6123" s="59">
        <v>2.0</v>
      </c>
      <c r="G6123" s="60">
        <v>2.5</v>
      </c>
      <c r="H6123" s="60">
        <v>0.6</v>
      </c>
      <c r="I6123" s="60">
        <v>530.1990162</v>
      </c>
      <c r="J6123" s="59">
        <v>7.0</v>
      </c>
      <c r="K6123" s="61">
        <f t="shared" si="1"/>
        <v>0.4</v>
      </c>
      <c r="L6123" s="62">
        <f t="shared" si="2"/>
        <v>1.4</v>
      </c>
    </row>
    <row r="6124">
      <c r="A6124" s="58">
        <v>45689.0</v>
      </c>
      <c r="B6124" s="24" t="s">
        <v>155</v>
      </c>
      <c r="C6124" s="24" t="s">
        <v>7242</v>
      </c>
      <c r="D6124" s="59">
        <v>2.0</v>
      </c>
      <c r="E6124" s="59">
        <v>2.0</v>
      </c>
      <c r="F6124" s="59">
        <v>0.0</v>
      </c>
      <c r="G6124" s="60">
        <v>1.0</v>
      </c>
      <c r="H6124" s="60">
        <v>0.5</v>
      </c>
      <c r="I6124" s="60">
        <v>1371.3363525</v>
      </c>
      <c r="J6124" s="59">
        <v>3.0</v>
      </c>
      <c r="K6124" s="61">
        <f t="shared" si="1"/>
        <v>0</v>
      </c>
      <c r="L6124" s="62">
        <f t="shared" si="2"/>
        <v>1.5</v>
      </c>
    </row>
    <row r="6125">
      <c r="A6125" s="58">
        <v>45689.0</v>
      </c>
      <c r="B6125" s="24" t="s">
        <v>155</v>
      </c>
      <c r="C6125" s="24" t="s">
        <v>7236</v>
      </c>
      <c r="D6125" s="59">
        <v>2.0</v>
      </c>
      <c r="E6125" s="59">
        <v>2.0</v>
      </c>
      <c r="F6125" s="59">
        <v>0.0</v>
      </c>
      <c r="G6125" s="60">
        <v>1.0</v>
      </c>
      <c r="H6125" s="60">
        <v>0.5</v>
      </c>
      <c r="I6125" s="60">
        <v>353.9691255</v>
      </c>
      <c r="J6125" s="59">
        <v>3.0</v>
      </c>
      <c r="K6125" s="61">
        <f t="shared" si="1"/>
        <v>0</v>
      </c>
      <c r="L6125" s="62">
        <f t="shared" si="2"/>
        <v>1.5</v>
      </c>
    </row>
    <row r="6126">
      <c r="A6126" s="58">
        <v>45689.0</v>
      </c>
      <c r="B6126" s="24" t="s">
        <v>155</v>
      </c>
      <c r="C6126" s="24" t="s">
        <v>7232</v>
      </c>
      <c r="D6126" s="59">
        <v>2.0</v>
      </c>
      <c r="E6126" s="59">
        <v>2.0</v>
      </c>
      <c r="F6126" s="59">
        <v>1.0</v>
      </c>
      <c r="G6126" s="60">
        <v>1.0</v>
      </c>
      <c r="H6126" s="60">
        <v>0.0</v>
      </c>
      <c r="I6126" s="60">
        <v>49.44747</v>
      </c>
      <c r="J6126" s="59">
        <v>2.0</v>
      </c>
      <c r="K6126" s="61">
        <f t="shared" si="1"/>
        <v>0.5</v>
      </c>
      <c r="L6126" s="62">
        <f t="shared" si="2"/>
        <v>1</v>
      </c>
    </row>
    <row r="6127">
      <c r="A6127" s="58">
        <v>45689.0</v>
      </c>
      <c r="B6127" s="24" t="s">
        <v>155</v>
      </c>
      <c r="C6127" s="24" t="s">
        <v>7472</v>
      </c>
      <c r="D6127" s="59">
        <v>2.0</v>
      </c>
      <c r="E6127" s="59">
        <v>12.0</v>
      </c>
      <c r="F6127" s="59">
        <v>2.0</v>
      </c>
      <c r="G6127" s="60">
        <v>6.0</v>
      </c>
      <c r="H6127" s="60">
        <v>0.333333333333333</v>
      </c>
      <c r="I6127" s="60">
        <v>778.69142125</v>
      </c>
      <c r="J6127" s="59">
        <v>37.0</v>
      </c>
      <c r="K6127" s="61">
        <f t="shared" si="1"/>
        <v>0.1666666667</v>
      </c>
      <c r="L6127" s="62">
        <f t="shared" si="2"/>
        <v>3.083333333</v>
      </c>
    </row>
    <row r="6128">
      <c r="A6128" s="58">
        <v>45689.0</v>
      </c>
      <c r="B6128" s="24" t="s">
        <v>6787</v>
      </c>
      <c r="C6128" s="24" t="s">
        <v>6907</v>
      </c>
      <c r="D6128" s="59">
        <v>2.0</v>
      </c>
      <c r="E6128" s="59">
        <v>2.0</v>
      </c>
      <c r="F6128" s="59">
        <v>2.0</v>
      </c>
      <c r="G6128" s="60">
        <v>1.0</v>
      </c>
      <c r="H6128" s="60">
        <v>0.5</v>
      </c>
      <c r="I6128" s="60">
        <v>12.035445</v>
      </c>
      <c r="J6128" s="59">
        <v>5.0</v>
      </c>
      <c r="K6128" s="61">
        <f t="shared" si="1"/>
        <v>1</v>
      </c>
      <c r="L6128" s="62">
        <f t="shared" si="2"/>
        <v>2.5</v>
      </c>
    </row>
    <row r="6129">
      <c r="A6129" s="58">
        <v>45689.0</v>
      </c>
      <c r="B6129" s="24" t="s">
        <v>155</v>
      </c>
      <c r="C6129" s="24" t="s">
        <v>6808</v>
      </c>
      <c r="D6129" s="59">
        <v>2.0</v>
      </c>
      <c r="E6129" s="59">
        <v>3.0</v>
      </c>
      <c r="F6129" s="59">
        <v>0.0</v>
      </c>
      <c r="G6129" s="60">
        <v>1.5</v>
      </c>
      <c r="H6129" s="60">
        <v>0.0</v>
      </c>
      <c r="I6129" s="60">
        <v>750.324878999999</v>
      </c>
      <c r="J6129" s="59">
        <v>5.0</v>
      </c>
      <c r="K6129" s="61">
        <f t="shared" si="1"/>
        <v>0</v>
      </c>
      <c r="L6129" s="62">
        <f t="shared" si="2"/>
        <v>1.666666667</v>
      </c>
    </row>
    <row r="6130">
      <c r="A6130" s="58">
        <v>45689.0</v>
      </c>
      <c r="B6130" s="24" t="s">
        <v>6794</v>
      </c>
      <c r="C6130" s="24" t="s">
        <v>7043</v>
      </c>
      <c r="D6130" s="59">
        <v>2.0</v>
      </c>
      <c r="E6130" s="59">
        <v>2.0</v>
      </c>
      <c r="F6130" s="59">
        <v>2.0</v>
      </c>
      <c r="G6130" s="60">
        <v>1.0</v>
      </c>
      <c r="H6130" s="60">
        <v>0.5</v>
      </c>
      <c r="I6130" s="60">
        <v>22.0763185</v>
      </c>
      <c r="J6130" s="59">
        <v>2.0</v>
      </c>
      <c r="K6130" s="61">
        <f t="shared" si="1"/>
        <v>1</v>
      </c>
      <c r="L6130" s="62">
        <f t="shared" si="2"/>
        <v>1</v>
      </c>
    </row>
    <row r="6131">
      <c r="A6131" s="58">
        <v>45689.0</v>
      </c>
      <c r="B6131" s="24" t="s">
        <v>3216</v>
      </c>
      <c r="C6131" s="24" t="s">
        <v>7090</v>
      </c>
      <c r="D6131" s="59">
        <v>2.0</v>
      </c>
      <c r="E6131" s="59">
        <v>2.0</v>
      </c>
      <c r="F6131" s="59">
        <v>2.0</v>
      </c>
      <c r="G6131" s="60">
        <v>1.0</v>
      </c>
      <c r="H6131" s="60">
        <v>0.0</v>
      </c>
      <c r="I6131" s="60">
        <v>123.176031</v>
      </c>
      <c r="J6131" s="59">
        <v>2.0</v>
      </c>
      <c r="K6131" s="61">
        <f t="shared" si="1"/>
        <v>1</v>
      </c>
      <c r="L6131" s="62">
        <f t="shared" si="2"/>
        <v>1</v>
      </c>
    </row>
    <row r="6132">
      <c r="A6132" s="58">
        <v>45689.0</v>
      </c>
      <c r="B6132" s="24" t="s">
        <v>6789</v>
      </c>
      <c r="C6132" s="24" t="s">
        <v>7090</v>
      </c>
      <c r="D6132" s="59">
        <v>2.0</v>
      </c>
      <c r="E6132" s="59">
        <v>2.0</v>
      </c>
      <c r="F6132" s="59">
        <v>2.0</v>
      </c>
      <c r="G6132" s="60">
        <v>1.0</v>
      </c>
      <c r="H6132" s="60">
        <v>0.5</v>
      </c>
      <c r="I6132" s="60">
        <v>190.3498295</v>
      </c>
      <c r="J6132" s="59">
        <v>2.0</v>
      </c>
      <c r="K6132" s="61">
        <f t="shared" si="1"/>
        <v>1</v>
      </c>
      <c r="L6132" s="62">
        <f t="shared" si="2"/>
        <v>1</v>
      </c>
    </row>
    <row r="6133">
      <c r="A6133" s="58">
        <v>45689.0</v>
      </c>
      <c r="B6133" s="24" t="s">
        <v>6794</v>
      </c>
      <c r="C6133" s="24" t="s">
        <v>7159</v>
      </c>
      <c r="D6133" s="59">
        <v>2.0</v>
      </c>
      <c r="E6133" s="59">
        <v>2.0</v>
      </c>
      <c r="F6133" s="59">
        <v>2.0</v>
      </c>
      <c r="G6133" s="60">
        <v>1.0</v>
      </c>
      <c r="H6133" s="60">
        <v>0.5</v>
      </c>
      <c r="I6133" s="60">
        <v>380.7098605</v>
      </c>
      <c r="J6133" s="59">
        <v>2.0</v>
      </c>
      <c r="K6133" s="61">
        <f t="shared" si="1"/>
        <v>1</v>
      </c>
      <c r="L6133" s="62">
        <f t="shared" si="2"/>
        <v>1</v>
      </c>
    </row>
    <row r="6134">
      <c r="A6134" s="58">
        <v>45689.0</v>
      </c>
      <c r="B6134" s="24" t="s">
        <v>3216</v>
      </c>
      <c r="C6134" s="24" t="s">
        <v>7160</v>
      </c>
      <c r="D6134" s="59">
        <v>2.0</v>
      </c>
      <c r="E6134" s="59">
        <v>2.0</v>
      </c>
      <c r="F6134" s="59">
        <v>2.0</v>
      </c>
      <c r="G6134" s="60">
        <v>1.0</v>
      </c>
      <c r="H6134" s="60">
        <v>1.0</v>
      </c>
      <c r="I6134" s="60">
        <v>0.0</v>
      </c>
      <c r="J6134" s="59">
        <v>2.0</v>
      </c>
      <c r="K6134" s="61">
        <f t="shared" si="1"/>
        <v>1</v>
      </c>
      <c r="L6134" s="62">
        <f t="shared" si="2"/>
        <v>1</v>
      </c>
    </row>
    <row r="6135">
      <c r="A6135" s="58">
        <v>45689.0</v>
      </c>
      <c r="B6135" s="24" t="s">
        <v>6789</v>
      </c>
      <c r="C6135" s="24" t="s">
        <v>7091</v>
      </c>
      <c r="D6135" s="59">
        <v>2.0</v>
      </c>
      <c r="E6135" s="59">
        <v>2.0</v>
      </c>
      <c r="F6135" s="59">
        <v>2.0</v>
      </c>
      <c r="G6135" s="60">
        <v>1.0</v>
      </c>
      <c r="H6135" s="60">
        <v>0.0</v>
      </c>
      <c r="I6135" s="60">
        <v>29.4480129999999</v>
      </c>
      <c r="J6135" s="59">
        <v>4.0</v>
      </c>
      <c r="K6135" s="61">
        <f t="shared" si="1"/>
        <v>1</v>
      </c>
      <c r="L6135" s="62">
        <f t="shared" si="2"/>
        <v>2</v>
      </c>
    </row>
    <row r="6136">
      <c r="A6136" s="58">
        <v>45689.0</v>
      </c>
      <c r="B6136" s="24" t="s">
        <v>6787</v>
      </c>
      <c r="C6136" s="24" t="s">
        <v>7092</v>
      </c>
      <c r="D6136" s="59">
        <v>2.0</v>
      </c>
      <c r="E6136" s="59">
        <v>2.0</v>
      </c>
      <c r="F6136" s="59">
        <v>2.0</v>
      </c>
      <c r="G6136" s="60">
        <v>1.0</v>
      </c>
      <c r="H6136" s="60">
        <v>1.0</v>
      </c>
      <c r="I6136" s="60">
        <v>3.8117005</v>
      </c>
      <c r="J6136" s="59">
        <v>2.0</v>
      </c>
      <c r="K6136" s="61">
        <f t="shared" si="1"/>
        <v>1</v>
      </c>
      <c r="L6136" s="62">
        <f t="shared" si="2"/>
        <v>1</v>
      </c>
    </row>
    <row r="6137">
      <c r="A6137" s="58">
        <v>45689.0</v>
      </c>
      <c r="B6137" s="24" t="s">
        <v>6789</v>
      </c>
      <c r="C6137" s="24" t="s">
        <v>7092</v>
      </c>
      <c r="D6137" s="59">
        <v>2.0</v>
      </c>
      <c r="E6137" s="59">
        <v>2.0</v>
      </c>
      <c r="F6137" s="59">
        <v>2.0</v>
      </c>
      <c r="G6137" s="60">
        <v>1.0</v>
      </c>
      <c r="H6137" s="60">
        <v>0.5</v>
      </c>
      <c r="I6137" s="60">
        <v>12.0405804999999</v>
      </c>
      <c r="J6137" s="59">
        <v>2.0</v>
      </c>
      <c r="K6137" s="61">
        <f t="shared" si="1"/>
        <v>1</v>
      </c>
      <c r="L6137" s="62">
        <f t="shared" si="2"/>
        <v>1</v>
      </c>
    </row>
    <row r="6138">
      <c r="A6138" s="58">
        <v>45689.0</v>
      </c>
      <c r="B6138" s="24" t="s">
        <v>3216</v>
      </c>
      <c r="C6138" s="24" t="s">
        <v>6800</v>
      </c>
      <c r="D6138" s="59">
        <v>2.0</v>
      </c>
      <c r="E6138" s="59">
        <v>2.0</v>
      </c>
      <c r="F6138" s="59">
        <v>1.0</v>
      </c>
      <c r="G6138" s="60">
        <v>1.0</v>
      </c>
      <c r="H6138" s="60">
        <v>0.5</v>
      </c>
      <c r="I6138" s="60">
        <v>639.353527</v>
      </c>
      <c r="J6138" s="59">
        <v>2.0</v>
      </c>
      <c r="K6138" s="61">
        <f t="shared" si="1"/>
        <v>0.5</v>
      </c>
      <c r="L6138" s="62">
        <f t="shared" si="2"/>
        <v>1</v>
      </c>
    </row>
    <row r="6139">
      <c r="A6139" s="58">
        <v>45689.0</v>
      </c>
      <c r="B6139" s="24" t="s">
        <v>155</v>
      </c>
      <c r="C6139" s="24" t="s">
        <v>6960</v>
      </c>
      <c r="D6139" s="59">
        <v>2.0</v>
      </c>
      <c r="E6139" s="59">
        <v>3.0</v>
      </c>
      <c r="F6139" s="59">
        <v>1.0</v>
      </c>
      <c r="G6139" s="60">
        <v>1.5</v>
      </c>
      <c r="H6139" s="60">
        <v>0.333333333333333</v>
      </c>
      <c r="I6139" s="60">
        <v>56.438838</v>
      </c>
      <c r="J6139" s="59">
        <v>3.0</v>
      </c>
      <c r="K6139" s="61">
        <f t="shared" si="1"/>
        <v>0.3333333333</v>
      </c>
      <c r="L6139" s="62">
        <f t="shared" si="2"/>
        <v>1</v>
      </c>
    </row>
    <row r="6140">
      <c r="A6140" s="58">
        <v>45689.0</v>
      </c>
      <c r="B6140" s="24" t="s">
        <v>6787</v>
      </c>
      <c r="C6140" s="24" t="s">
        <v>6809</v>
      </c>
      <c r="D6140" s="59">
        <v>2.0</v>
      </c>
      <c r="E6140" s="59">
        <v>2.0</v>
      </c>
      <c r="F6140" s="59">
        <v>2.0</v>
      </c>
      <c r="G6140" s="60">
        <v>1.0</v>
      </c>
      <c r="H6140" s="60">
        <v>0.0</v>
      </c>
      <c r="I6140" s="60">
        <v>92.14399</v>
      </c>
      <c r="J6140" s="59">
        <v>9.0</v>
      </c>
      <c r="K6140" s="61">
        <f t="shared" si="1"/>
        <v>1</v>
      </c>
      <c r="L6140" s="62">
        <f t="shared" si="2"/>
        <v>4.5</v>
      </c>
    </row>
    <row r="6141">
      <c r="A6141" s="58">
        <v>45689.0</v>
      </c>
      <c r="B6141" s="24" t="s">
        <v>6787</v>
      </c>
      <c r="C6141" s="24" t="s">
        <v>6812</v>
      </c>
      <c r="D6141" s="59">
        <v>2.0</v>
      </c>
      <c r="E6141" s="59">
        <v>2.0</v>
      </c>
      <c r="F6141" s="59">
        <v>2.0</v>
      </c>
      <c r="G6141" s="60">
        <v>1.0</v>
      </c>
      <c r="H6141" s="60">
        <v>0.5</v>
      </c>
      <c r="I6141" s="60">
        <v>55.2978535</v>
      </c>
      <c r="J6141" s="59">
        <v>2.0</v>
      </c>
      <c r="K6141" s="61">
        <f t="shared" si="1"/>
        <v>1</v>
      </c>
      <c r="L6141" s="62">
        <f t="shared" si="2"/>
        <v>1</v>
      </c>
    </row>
    <row r="6142">
      <c r="A6142" s="58">
        <v>45689.0</v>
      </c>
      <c r="B6142" s="24" t="s">
        <v>6789</v>
      </c>
      <c r="C6142" s="24" t="s">
        <v>6849</v>
      </c>
      <c r="D6142" s="59">
        <v>2.0</v>
      </c>
      <c r="E6142" s="59">
        <v>2.0</v>
      </c>
      <c r="F6142" s="59">
        <v>0.0</v>
      </c>
      <c r="G6142" s="60">
        <v>1.0</v>
      </c>
      <c r="H6142" s="60">
        <v>0.0</v>
      </c>
      <c r="I6142" s="60">
        <v>760.3183945</v>
      </c>
      <c r="J6142" s="59">
        <v>4.0</v>
      </c>
      <c r="K6142" s="61">
        <f t="shared" si="1"/>
        <v>0</v>
      </c>
      <c r="L6142" s="62">
        <f t="shared" si="2"/>
        <v>2</v>
      </c>
    </row>
    <row r="6143">
      <c r="A6143" s="58">
        <v>45689.0</v>
      </c>
      <c r="B6143" s="24" t="s">
        <v>6787</v>
      </c>
      <c r="C6143" s="24" t="s">
        <v>6908</v>
      </c>
      <c r="D6143" s="59">
        <v>2.0</v>
      </c>
      <c r="E6143" s="59">
        <v>2.0</v>
      </c>
      <c r="F6143" s="59">
        <v>2.0</v>
      </c>
      <c r="G6143" s="60">
        <v>1.0</v>
      </c>
      <c r="H6143" s="60">
        <v>1.0</v>
      </c>
      <c r="I6143" s="60">
        <v>0.0</v>
      </c>
      <c r="J6143" s="59">
        <v>2.0</v>
      </c>
      <c r="K6143" s="61">
        <f t="shared" si="1"/>
        <v>1</v>
      </c>
      <c r="L6143" s="62">
        <f t="shared" si="2"/>
        <v>1</v>
      </c>
    </row>
    <row r="6144">
      <c r="A6144" s="58">
        <v>45689.0</v>
      </c>
      <c r="B6144" s="24" t="s">
        <v>6789</v>
      </c>
      <c r="C6144" s="24" t="s">
        <v>6908</v>
      </c>
      <c r="D6144" s="59">
        <v>2.0</v>
      </c>
      <c r="E6144" s="59">
        <v>3.0</v>
      </c>
      <c r="F6144" s="59">
        <v>1.0</v>
      </c>
      <c r="G6144" s="60">
        <v>1.5</v>
      </c>
      <c r="H6144" s="60">
        <v>0.0</v>
      </c>
      <c r="I6144" s="60">
        <v>676.684784666666</v>
      </c>
      <c r="J6144" s="59">
        <v>6.0</v>
      </c>
      <c r="K6144" s="61">
        <f t="shared" si="1"/>
        <v>0.3333333333</v>
      </c>
      <c r="L6144" s="62">
        <f t="shared" si="2"/>
        <v>2</v>
      </c>
    </row>
    <row r="6145">
      <c r="A6145" s="58">
        <v>45689.0</v>
      </c>
      <c r="B6145" s="24" t="s">
        <v>6789</v>
      </c>
      <c r="C6145" s="24" t="s">
        <v>7443</v>
      </c>
      <c r="D6145" s="59">
        <v>2.0</v>
      </c>
      <c r="E6145" s="59">
        <v>4.0</v>
      </c>
      <c r="F6145" s="59">
        <v>1.0</v>
      </c>
      <c r="G6145" s="60">
        <v>4.0</v>
      </c>
      <c r="H6145" s="60">
        <v>0.75</v>
      </c>
      <c r="I6145" s="60">
        <v>6.905309</v>
      </c>
      <c r="J6145" s="59">
        <v>5.0</v>
      </c>
      <c r="K6145" s="61">
        <f t="shared" si="1"/>
        <v>0.25</v>
      </c>
      <c r="L6145" s="62">
        <f t="shared" si="2"/>
        <v>1.25</v>
      </c>
    </row>
    <row r="6146">
      <c r="A6146" s="58">
        <v>45689.0</v>
      </c>
      <c r="B6146" s="24" t="s">
        <v>155</v>
      </c>
      <c r="C6146" s="24" t="s">
        <v>6910</v>
      </c>
      <c r="D6146" s="59">
        <v>2.0</v>
      </c>
      <c r="E6146" s="59">
        <v>2.0</v>
      </c>
      <c r="F6146" s="59">
        <v>0.0</v>
      </c>
      <c r="G6146" s="60">
        <v>1.0</v>
      </c>
      <c r="H6146" s="60">
        <v>0.0</v>
      </c>
      <c r="I6146" s="60">
        <v>1074.7058575</v>
      </c>
      <c r="J6146" s="59">
        <v>18.0</v>
      </c>
      <c r="K6146" s="61">
        <f t="shared" si="1"/>
        <v>0</v>
      </c>
      <c r="L6146" s="62">
        <f t="shared" si="2"/>
        <v>9</v>
      </c>
    </row>
    <row r="6147">
      <c r="A6147" s="58">
        <v>45689.0</v>
      </c>
      <c r="B6147" s="24" t="s">
        <v>6789</v>
      </c>
      <c r="C6147" s="24" t="s">
        <v>6801</v>
      </c>
      <c r="D6147" s="59">
        <v>2.0</v>
      </c>
      <c r="E6147" s="59">
        <v>2.0</v>
      </c>
      <c r="F6147" s="59">
        <v>1.0</v>
      </c>
      <c r="G6147" s="60">
        <v>1.0</v>
      </c>
      <c r="H6147" s="60">
        <v>0.5</v>
      </c>
      <c r="I6147" s="60">
        <v>58.39795</v>
      </c>
      <c r="J6147" s="59">
        <v>4.0</v>
      </c>
      <c r="K6147" s="61">
        <f t="shared" si="1"/>
        <v>0.5</v>
      </c>
      <c r="L6147" s="62">
        <f t="shared" si="2"/>
        <v>2</v>
      </c>
    </row>
    <row r="6148">
      <c r="A6148" s="58">
        <v>45689.0</v>
      </c>
      <c r="B6148" s="24" t="s">
        <v>155</v>
      </c>
      <c r="C6148" s="24" t="s">
        <v>6801</v>
      </c>
      <c r="D6148" s="59">
        <v>2.0</v>
      </c>
      <c r="E6148" s="59">
        <v>2.0</v>
      </c>
      <c r="F6148" s="59">
        <v>2.0</v>
      </c>
      <c r="G6148" s="60">
        <v>1.0</v>
      </c>
      <c r="H6148" s="60">
        <v>0.5</v>
      </c>
      <c r="I6148" s="60">
        <v>289.1591885</v>
      </c>
      <c r="J6148" s="59">
        <v>2.0</v>
      </c>
      <c r="K6148" s="61">
        <f t="shared" si="1"/>
        <v>1</v>
      </c>
      <c r="L6148" s="62">
        <f t="shared" si="2"/>
        <v>1</v>
      </c>
    </row>
    <row r="6149">
      <c r="A6149" s="58">
        <v>45689.0</v>
      </c>
      <c r="B6149" s="24" t="s">
        <v>6787</v>
      </c>
      <c r="C6149" s="24" t="s">
        <v>7104</v>
      </c>
      <c r="D6149" s="59">
        <v>2.0</v>
      </c>
      <c r="E6149" s="59">
        <v>2.0</v>
      </c>
      <c r="F6149" s="59">
        <v>2.0</v>
      </c>
      <c r="G6149" s="60">
        <v>1.0</v>
      </c>
      <c r="H6149" s="60">
        <v>0.5</v>
      </c>
      <c r="I6149" s="60">
        <v>97.514786</v>
      </c>
      <c r="J6149" s="59">
        <v>4.0</v>
      </c>
      <c r="K6149" s="61">
        <f t="shared" si="1"/>
        <v>1</v>
      </c>
      <c r="L6149" s="62">
        <f t="shared" si="2"/>
        <v>2</v>
      </c>
    </row>
    <row r="6150">
      <c r="A6150" s="58">
        <v>45689.0</v>
      </c>
      <c r="B6150" s="24" t="s">
        <v>6787</v>
      </c>
      <c r="C6150" s="24" t="s">
        <v>7173</v>
      </c>
      <c r="D6150" s="59">
        <v>2.0</v>
      </c>
      <c r="E6150" s="59">
        <v>2.0</v>
      </c>
      <c r="F6150" s="59">
        <v>2.0</v>
      </c>
      <c r="G6150" s="60">
        <v>1.0</v>
      </c>
      <c r="H6150" s="60">
        <v>0.5</v>
      </c>
      <c r="I6150" s="60">
        <v>59.6485815</v>
      </c>
      <c r="J6150" s="59">
        <v>2.0</v>
      </c>
      <c r="K6150" s="61">
        <f t="shared" si="1"/>
        <v>1</v>
      </c>
      <c r="L6150" s="62">
        <f t="shared" si="2"/>
        <v>1</v>
      </c>
    </row>
    <row r="6151">
      <c r="A6151" s="58">
        <v>45689.0</v>
      </c>
      <c r="B6151" s="24" t="s">
        <v>6789</v>
      </c>
      <c r="C6151" s="24" t="s">
        <v>6912</v>
      </c>
      <c r="D6151" s="59">
        <v>2.0</v>
      </c>
      <c r="E6151" s="59">
        <v>2.0</v>
      </c>
      <c r="F6151" s="59">
        <v>0.0</v>
      </c>
      <c r="G6151" s="60">
        <v>1.0</v>
      </c>
      <c r="H6151" s="60">
        <v>0.5</v>
      </c>
      <c r="I6151" s="60">
        <v>430.022019</v>
      </c>
      <c r="J6151" s="59">
        <v>8.0</v>
      </c>
      <c r="K6151" s="61">
        <f t="shared" si="1"/>
        <v>0</v>
      </c>
      <c r="L6151" s="62">
        <f t="shared" si="2"/>
        <v>4</v>
      </c>
    </row>
    <row r="6152">
      <c r="A6152" s="58">
        <v>45689.0</v>
      </c>
      <c r="B6152" s="24" t="s">
        <v>6789</v>
      </c>
      <c r="C6152" s="24" t="s">
        <v>7014</v>
      </c>
      <c r="D6152" s="59">
        <v>2.0</v>
      </c>
      <c r="E6152" s="59">
        <v>2.0</v>
      </c>
      <c r="F6152" s="59">
        <v>2.0</v>
      </c>
      <c r="G6152" s="60">
        <v>1.0</v>
      </c>
      <c r="H6152" s="60">
        <v>0.0</v>
      </c>
      <c r="I6152" s="60">
        <v>33.011127</v>
      </c>
      <c r="J6152" s="59">
        <v>4.0</v>
      </c>
      <c r="K6152" s="61">
        <f t="shared" si="1"/>
        <v>1</v>
      </c>
      <c r="L6152" s="62">
        <f t="shared" si="2"/>
        <v>2</v>
      </c>
    </row>
    <row r="6153">
      <c r="A6153" s="58">
        <v>45689.0</v>
      </c>
      <c r="B6153" s="24" t="s">
        <v>6789</v>
      </c>
      <c r="C6153" s="24" t="s">
        <v>7107</v>
      </c>
      <c r="D6153" s="59">
        <v>2.0</v>
      </c>
      <c r="E6153" s="59">
        <v>2.0</v>
      </c>
      <c r="F6153" s="59">
        <v>0.0</v>
      </c>
      <c r="G6153" s="60">
        <v>1.0</v>
      </c>
      <c r="H6153" s="60">
        <v>0.5</v>
      </c>
      <c r="I6153" s="60">
        <v>6.4810735</v>
      </c>
      <c r="J6153" s="59">
        <v>5.0</v>
      </c>
      <c r="K6153" s="61">
        <f t="shared" si="1"/>
        <v>0</v>
      </c>
      <c r="L6153" s="62">
        <f t="shared" si="2"/>
        <v>2.5</v>
      </c>
    </row>
    <row r="6154">
      <c r="A6154" s="58">
        <v>45689.0</v>
      </c>
      <c r="B6154" s="24" t="s">
        <v>6789</v>
      </c>
      <c r="C6154" s="24" t="s">
        <v>7426</v>
      </c>
      <c r="D6154" s="59">
        <v>2.0</v>
      </c>
      <c r="E6154" s="59">
        <v>5.0</v>
      </c>
      <c r="F6154" s="59">
        <v>0.0</v>
      </c>
      <c r="G6154" s="60">
        <v>2.5</v>
      </c>
      <c r="H6154" s="60">
        <v>0.6</v>
      </c>
      <c r="I6154" s="60">
        <v>24.1274624</v>
      </c>
      <c r="J6154" s="59">
        <v>7.0</v>
      </c>
      <c r="K6154" s="61">
        <f t="shared" si="1"/>
        <v>0</v>
      </c>
      <c r="L6154" s="62">
        <f t="shared" si="2"/>
        <v>1.4</v>
      </c>
    </row>
    <row r="6155">
      <c r="A6155" s="58">
        <v>45689.0</v>
      </c>
      <c r="B6155" s="24" t="s">
        <v>155</v>
      </c>
      <c r="C6155" s="24" t="s">
        <v>7426</v>
      </c>
      <c r="D6155" s="59">
        <v>2.0</v>
      </c>
      <c r="E6155" s="59">
        <v>4.0</v>
      </c>
      <c r="F6155" s="59">
        <v>0.0</v>
      </c>
      <c r="G6155" s="60">
        <v>2.0</v>
      </c>
      <c r="H6155" s="60">
        <v>0.5</v>
      </c>
      <c r="I6155" s="60">
        <v>11.639401</v>
      </c>
      <c r="J6155" s="59">
        <v>6.0</v>
      </c>
      <c r="K6155" s="61">
        <f t="shared" si="1"/>
        <v>0</v>
      </c>
      <c r="L6155" s="62">
        <f t="shared" si="2"/>
        <v>1.5</v>
      </c>
    </row>
    <row r="6156">
      <c r="A6156" s="58">
        <v>45689.0</v>
      </c>
      <c r="B6156" s="24" t="s">
        <v>6787</v>
      </c>
      <c r="C6156" s="24" t="s">
        <v>7482</v>
      </c>
      <c r="D6156" s="59">
        <v>2.0</v>
      </c>
      <c r="E6156" s="59">
        <v>3.0</v>
      </c>
      <c r="F6156" s="59">
        <v>2.0</v>
      </c>
      <c r="G6156" s="60">
        <v>1.5</v>
      </c>
      <c r="H6156" s="60">
        <v>0.0</v>
      </c>
      <c r="I6156" s="60">
        <v>75.6490576666666</v>
      </c>
      <c r="J6156" s="59">
        <v>19.0</v>
      </c>
      <c r="K6156" s="61">
        <f t="shared" si="1"/>
        <v>0.6666666667</v>
      </c>
      <c r="L6156" s="62">
        <f t="shared" si="2"/>
        <v>6.333333333</v>
      </c>
    </row>
    <row r="6157">
      <c r="A6157" s="58">
        <v>45689.0</v>
      </c>
      <c r="B6157" s="24" t="s">
        <v>6789</v>
      </c>
      <c r="C6157" s="24" t="s">
        <v>6852</v>
      </c>
      <c r="D6157" s="59">
        <v>2.0</v>
      </c>
      <c r="E6157" s="59">
        <v>2.0</v>
      </c>
      <c r="F6157" s="59">
        <v>0.0</v>
      </c>
      <c r="G6157" s="60">
        <v>1.0</v>
      </c>
      <c r="H6157" s="60">
        <v>0.0</v>
      </c>
      <c r="I6157" s="60">
        <v>315.370537</v>
      </c>
      <c r="J6157" s="59">
        <v>2.0</v>
      </c>
      <c r="K6157" s="61">
        <f t="shared" si="1"/>
        <v>0</v>
      </c>
      <c r="L6157" s="62">
        <f t="shared" si="2"/>
        <v>1</v>
      </c>
    </row>
    <row r="6158">
      <c r="A6158" s="58">
        <v>45689.0</v>
      </c>
      <c r="B6158" s="24" t="s">
        <v>6789</v>
      </c>
      <c r="C6158" s="24" t="s">
        <v>6853</v>
      </c>
      <c r="D6158" s="59">
        <v>2.0</v>
      </c>
      <c r="E6158" s="59">
        <v>2.0</v>
      </c>
      <c r="F6158" s="59">
        <v>1.0</v>
      </c>
      <c r="G6158" s="60">
        <v>1.0</v>
      </c>
      <c r="H6158" s="60">
        <v>0.5</v>
      </c>
      <c r="I6158" s="60">
        <v>36.7405155</v>
      </c>
      <c r="J6158" s="59">
        <v>5.0</v>
      </c>
      <c r="K6158" s="61">
        <f t="shared" si="1"/>
        <v>0.5</v>
      </c>
      <c r="L6158" s="62">
        <f t="shared" si="2"/>
        <v>2.5</v>
      </c>
    </row>
    <row r="6159">
      <c r="A6159" s="58">
        <v>45689.0</v>
      </c>
      <c r="B6159" s="24" t="s">
        <v>6787</v>
      </c>
      <c r="C6159" s="24" t="s">
        <v>6816</v>
      </c>
      <c r="D6159" s="59">
        <v>2.0</v>
      </c>
      <c r="E6159" s="59">
        <v>2.0</v>
      </c>
      <c r="F6159" s="59">
        <v>2.0</v>
      </c>
      <c r="G6159" s="60">
        <v>1.0</v>
      </c>
      <c r="H6159" s="60">
        <v>1.0</v>
      </c>
      <c r="I6159" s="60">
        <v>0.0</v>
      </c>
      <c r="J6159" s="59">
        <v>2.0</v>
      </c>
      <c r="K6159" s="61">
        <f t="shared" si="1"/>
        <v>1</v>
      </c>
      <c r="L6159" s="62">
        <f t="shared" si="2"/>
        <v>1</v>
      </c>
    </row>
    <row r="6160">
      <c r="A6160" s="58">
        <v>45689.0</v>
      </c>
      <c r="B6160" s="24" t="s">
        <v>6787</v>
      </c>
      <c r="C6160" s="24" t="s">
        <v>6922</v>
      </c>
      <c r="D6160" s="59">
        <v>2.0</v>
      </c>
      <c r="E6160" s="59">
        <v>2.0</v>
      </c>
      <c r="F6160" s="59">
        <v>2.0</v>
      </c>
      <c r="G6160" s="60">
        <v>1.0</v>
      </c>
      <c r="H6160" s="60">
        <v>0.5</v>
      </c>
      <c r="I6160" s="60">
        <v>7.302363</v>
      </c>
      <c r="J6160" s="59">
        <v>2.0</v>
      </c>
      <c r="K6160" s="61">
        <f t="shared" si="1"/>
        <v>1</v>
      </c>
      <c r="L6160" s="62">
        <f t="shared" si="2"/>
        <v>1</v>
      </c>
    </row>
    <row r="6161">
      <c r="A6161" s="58">
        <v>45689.0</v>
      </c>
      <c r="B6161" s="24" t="s">
        <v>6787</v>
      </c>
      <c r="C6161" s="24" t="s">
        <v>6797</v>
      </c>
      <c r="D6161" s="59">
        <v>2.0</v>
      </c>
      <c r="E6161" s="59">
        <v>2.0</v>
      </c>
      <c r="F6161" s="59">
        <v>2.0</v>
      </c>
      <c r="G6161" s="60">
        <v>1.0</v>
      </c>
      <c r="H6161" s="60">
        <v>1.0</v>
      </c>
      <c r="I6161" s="60">
        <v>0.0</v>
      </c>
      <c r="J6161" s="59">
        <v>2.0</v>
      </c>
      <c r="K6161" s="61">
        <f t="shared" si="1"/>
        <v>1</v>
      </c>
      <c r="L6161" s="62">
        <f t="shared" si="2"/>
        <v>1</v>
      </c>
    </row>
    <row r="6162">
      <c r="A6162" s="58">
        <v>45689.0</v>
      </c>
      <c r="B6162" s="24" t="s">
        <v>6787</v>
      </c>
      <c r="C6162" s="24" t="s">
        <v>7483</v>
      </c>
      <c r="D6162" s="59">
        <v>2.0</v>
      </c>
      <c r="E6162" s="59">
        <v>2.0</v>
      </c>
      <c r="F6162" s="59">
        <v>2.0</v>
      </c>
      <c r="G6162" s="60">
        <v>1.0</v>
      </c>
      <c r="H6162" s="60">
        <v>1.0</v>
      </c>
      <c r="I6162" s="60">
        <v>1.0493115</v>
      </c>
      <c r="J6162" s="59">
        <v>2.0</v>
      </c>
      <c r="K6162" s="61">
        <f t="shared" si="1"/>
        <v>1</v>
      </c>
      <c r="L6162" s="62">
        <f t="shared" si="2"/>
        <v>1</v>
      </c>
    </row>
    <row r="6163">
      <c r="A6163" s="58">
        <v>45689.0</v>
      </c>
      <c r="B6163" s="24" t="s">
        <v>6789</v>
      </c>
      <c r="C6163" s="24" t="s">
        <v>6810</v>
      </c>
      <c r="D6163" s="59">
        <v>2.0</v>
      </c>
      <c r="E6163" s="59">
        <v>2.0</v>
      </c>
      <c r="F6163" s="59">
        <v>1.0</v>
      </c>
      <c r="G6163" s="60">
        <v>1.0</v>
      </c>
      <c r="H6163" s="60">
        <v>1.0</v>
      </c>
      <c r="I6163" s="60">
        <v>4.685558</v>
      </c>
      <c r="J6163" s="59">
        <v>2.0</v>
      </c>
      <c r="K6163" s="61">
        <f t="shared" si="1"/>
        <v>0.5</v>
      </c>
      <c r="L6163" s="62">
        <f t="shared" si="2"/>
        <v>1</v>
      </c>
    </row>
    <row r="6164">
      <c r="A6164" s="58">
        <v>45689.0</v>
      </c>
      <c r="B6164" s="24" t="s">
        <v>6787</v>
      </c>
      <c r="C6164" s="24" t="s">
        <v>6931</v>
      </c>
      <c r="D6164" s="59">
        <v>2.0</v>
      </c>
      <c r="E6164" s="59">
        <v>2.0</v>
      </c>
      <c r="F6164" s="59">
        <v>2.0</v>
      </c>
      <c r="G6164" s="60">
        <v>1.0</v>
      </c>
      <c r="H6164" s="60">
        <v>1.0</v>
      </c>
      <c r="I6164" s="60">
        <v>0.0</v>
      </c>
      <c r="J6164" s="59">
        <v>2.0</v>
      </c>
      <c r="K6164" s="61">
        <f t="shared" si="1"/>
        <v>1</v>
      </c>
      <c r="L6164" s="62">
        <f t="shared" si="2"/>
        <v>1</v>
      </c>
    </row>
    <row r="6165">
      <c r="A6165" s="58">
        <v>45689.0</v>
      </c>
      <c r="B6165" s="24" t="s">
        <v>155</v>
      </c>
      <c r="C6165" s="24" t="s">
        <v>6854</v>
      </c>
      <c r="D6165" s="59">
        <v>2.0</v>
      </c>
      <c r="E6165" s="59">
        <v>2.0</v>
      </c>
      <c r="F6165" s="59">
        <v>0.0</v>
      </c>
      <c r="G6165" s="60">
        <v>1.0</v>
      </c>
      <c r="H6165" s="60">
        <v>0.0</v>
      </c>
      <c r="I6165" s="60">
        <v>167.184014</v>
      </c>
      <c r="J6165" s="59">
        <v>2.0</v>
      </c>
      <c r="K6165" s="61">
        <f t="shared" si="1"/>
        <v>0</v>
      </c>
      <c r="L6165" s="62">
        <f t="shared" si="2"/>
        <v>1</v>
      </c>
    </row>
    <row r="6166">
      <c r="A6166" s="58">
        <v>45689.0</v>
      </c>
      <c r="B6166" s="24" t="s">
        <v>6790</v>
      </c>
      <c r="C6166" s="24" t="s">
        <v>6854</v>
      </c>
      <c r="D6166" s="59">
        <v>2.0</v>
      </c>
      <c r="E6166" s="59">
        <v>2.0</v>
      </c>
      <c r="F6166" s="59">
        <v>1.0</v>
      </c>
      <c r="G6166" s="60">
        <v>1.0</v>
      </c>
      <c r="H6166" s="60">
        <v>0.5</v>
      </c>
      <c r="I6166" s="60">
        <v>97.169171</v>
      </c>
      <c r="J6166" s="59">
        <v>2.0</v>
      </c>
      <c r="K6166" s="61">
        <f t="shared" si="1"/>
        <v>0.5</v>
      </c>
      <c r="L6166" s="62">
        <f t="shared" si="2"/>
        <v>1</v>
      </c>
    </row>
    <row r="6167">
      <c r="A6167" s="58">
        <v>45689.0</v>
      </c>
      <c r="B6167" s="24" t="s">
        <v>6794</v>
      </c>
      <c r="C6167" s="24" t="s">
        <v>6963</v>
      </c>
      <c r="D6167" s="59">
        <v>2.0</v>
      </c>
      <c r="E6167" s="59">
        <v>2.0</v>
      </c>
      <c r="F6167" s="59">
        <v>2.0</v>
      </c>
      <c r="G6167" s="60">
        <v>1.0</v>
      </c>
      <c r="H6167" s="60">
        <v>0.5</v>
      </c>
      <c r="I6167" s="60">
        <v>103.21156</v>
      </c>
      <c r="J6167" s="59">
        <v>4.0</v>
      </c>
      <c r="K6167" s="61">
        <f t="shared" si="1"/>
        <v>1</v>
      </c>
      <c r="L6167" s="62">
        <f t="shared" si="2"/>
        <v>2</v>
      </c>
    </row>
    <row r="6168">
      <c r="A6168" s="58">
        <v>45689.0</v>
      </c>
      <c r="B6168" s="24" t="s">
        <v>6787</v>
      </c>
      <c r="C6168" s="24" t="s">
        <v>6924</v>
      </c>
      <c r="D6168" s="59">
        <v>2.0</v>
      </c>
      <c r="E6168" s="59">
        <v>2.0</v>
      </c>
      <c r="F6168" s="59">
        <v>2.0</v>
      </c>
      <c r="G6168" s="60">
        <v>1.0</v>
      </c>
      <c r="H6168" s="60">
        <v>1.0</v>
      </c>
      <c r="I6168" s="60">
        <v>0.0</v>
      </c>
      <c r="J6168" s="59">
        <v>2.0</v>
      </c>
      <c r="K6168" s="61">
        <f t="shared" si="1"/>
        <v>1</v>
      </c>
      <c r="L6168" s="62">
        <f t="shared" si="2"/>
        <v>1</v>
      </c>
    </row>
    <row r="6169">
      <c r="A6169" s="58">
        <v>45689.0</v>
      </c>
      <c r="B6169" s="24" t="s">
        <v>6787</v>
      </c>
      <c r="C6169" s="24" t="s">
        <v>7484</v>
      </c>
      <c r="D6169" s="59">
        <v>2.0</v>
      </c>
      <c r="E6169" s="59">
        <v>3.0</v>
      </c>
      <c r="F6169" s="59">
        <v>0.0</v>
      </c>
      <c r="G6169" s="60">
        <v>1.5</v>
      </c>
      <c r="H6169" s="60">
        <v>0.0</v>
      </c>
      <c r="I6169" s="60">
        <v>895.718695</v>
      </c>
      <c r="J6169" s="59">
        <v>19.0</v>
      </c>
      <c r="K6169" s="61">
        <f t="shared" si="1"/>
        <v>0</v>
      </c>
      <c r="L6169" s="62">
        <f t="shared" si="2"/>
        <v>6.333333333</v>
      </c>
    </row>
    <row r="6170">
      <c r="A6170" s="58">
        <v>45689.0</v>
      </c>
      <c r="B6170" s="24" t="s">
        <v>6789</v>
      </c>
      <c r="C6170" s="24" t="s">
        <v>7484</v>
      </c>
      <c r="D6170" s="59">
        <v>2.0</v>
      </c>
      <c r="E6170" s="59">
        <v>2.0</v>
      </c>
      <c r="F6170" s="59">
        <v>0.0</v>
      </c>
      <c r="G6170" s="60">
        <v>1.0</v>
      </c>
      <c r="H6170" s="60">
        <v>0.0</v>
      </c>
      <c r="I6170" s="60">
        <v>1623.2550245</v>
      </c>
      <c r="J6170" s="59">
        <v>12.0</v>
      </c>
      <c r="K6170" s="61">
        <f t="shared" si="1"/>
        <v>0</v>
      </c>
      <c r="L6170" s="62">
        <f t="shared" si="2"/>
        <v>6</v>
      </c>
    </row>
    <row r="6171">
      <c r="A6171" s="58">
        <v>45689.0</v>
      </c>
      <c r="B6171" s="24" t="s">
        <v>155</v>
      </c>
      <c r="C6171" s="24" t="s">
        <v>6802</v>
      </c>
      <c r="D6171" s="59">
        <v>2.0</v>
      </c>
      <c r="E6171" s="59">
        <v>3.0</v>
      </c>
      <c r="F6171" s="59">
        <v>0.0</v>
      </c>
      <c r="G6171" s="60">
        <v>3.0</v>
      </c>
      <c r="H6171" s="60">
        <v>0.666666666666666</v>
      </c>
      <c r="I6171" s="60">
        <v>286.766642333333</v>
      </c>
      <c r="J6171" s="59">
        <v>5.0</v>
      </c>
      <c r="K6171" s="61">
        <f t="shared" si="1"/>
        <v>0</v>
      </c>
      <c r="L6171" s="62">
        <f t="shared" si="2"/>
        <v>1.666666667</v>
      </c>
    </row>
    <row r="6172">
      <c r="A6172" s="58">
        <v>45689.0</v>
      </c>
      <c r="B6172" s="24" t="s">
        <v>6790</v>
      </c>
      <c r="C6172" s="24" t="s">
        <v>6802</v>
      </c>
      <c r="D6172" s="59">
        <v>2.0</v>
      </c>
      <c r="E6172" s="59">
        <v>2.0</v>
      </c>
      <c r="F6172" s="59">
        <v>1.0</v>
      </c>
      <c r="G6172" s="60">
        <v>1.0</v>
      </c>
      <c r="H6172" s="60">
        <v>0.5</v>
      </c>
      <c r="I6172" s="60">
        <v>4.62610199999999</v>
      </c>
      <c r="J6172" s="59">
        <v>3.0</v>
      </c>
      <c r="K6172" s="61">
        <f t="shared" si="1"/>
        <v>0.5</v>
      </c>
      <c r="L6172" s="62">
        <f t="shared" si="2"/>
        <v>1.5</v>
      </c>
    </row>
    <row r="6173">
      <c r="A6173" s="58">
        <v>45689.0</v>
      </c>
      <c r="B6173" s="24" t="s">
        <v>7100</v>
      </c>
      <c r="C6173" s="24" t="s">
        <v>6788</v>
      </c>
      <c r="D6173" s="59">
        <v>1.0</v>
      </c>
      <c r="E6173" s="59">
        <v>2.0</v>
      </c>
      <c r="F6173" s="59">
        <v>0.0</v>
      </c>
      <c r="G6173" s="60">
        <v>2.0</v>
      </c>
      <c r="H6173" s="60">
        <v>0.5</v>
      </c>
      <c r="I6173" s="60">
        <v>544.246003</v>
      </c>
      <c r="J6173" s="59">
        <v>3.0</v>
      </c>
      <c r="K6173" s="61">
        <f t="shared" si="1"/>
        <v>0</v>
      </c>
      <c r="L6173" s="62">
        <f t="shared" si="2"/>
        <v>1.5</v>
      </c>
    </row>
    <row r="6174">
      <c r="A6174" s="58">
        <v>45689.0</v>
      </c>
      <c r="B6174" s="24" t="s">
        <v>6787</v>
      </c>
      <c r="C6174" s="24" t="s">
        <v>7473</v>
      </c>
      <c r="D6174" s="59">
        <v>1.0</v>
      </c>
      <c r="E6174" s="59">
        <v>1.0</v>
      </c>
      <c r="F6174" s="59">
        <v>1.0</v>
      </c>
      <c r="G6174" s="60">
        <v>1.0</v>
      </c>
      <c r="H6174" s="60">
        <v>1.0</v>
      </c>
      <c r="I6174" s="60">
        <v>0.0</v>
      </c>
      <c r="J6174" s="59">
        <v>1.0</v>
      </c>
      <c r="K6174" s="61">
        <f t="shared" si="1"/>
        <v>1</v>
      </c>
      <c r="L6174" s="62">
        <f t="shared" si="2"/>
        <v>1</v>
      </c>
    </row>
    <row r="6175">
      <c r="A6175" s="58">
        <v>45689.0</v>
      </c>
      <c r="B6175" s="24" t="s">
        <v>6787</v>
      </c>
      <c r="C6175" s="24" t="s">
        <v>7485</v>
      </c>
      <c r="D6175" s="59">
        <v>1.0</v>
      </c>
      <c r="E6175" s="59">
        <v>1.0</v>
      </c>
      <c r="F6175" s="59">
        <v>1.0</v>
      </c>
      <c r="G6175" s="60">
        <v>1.0</v>
      </c>
      <c r="H6175" s="60">
        <v>1.0</v>
      </c>
      <c r="I6175" s="60">
        <v>0.0</v>
      </c>
      <c r="J6175" s="59">
        <v>1.0</v>
      </c>
      <c r="K6175" s="61">
        <f t="shared" si="1"/>
        <v>1</v>
      </c>
      <c r="L6175" s="62">
        <f t="shared" si="2"/>
        <v>1</v>
      </c>
    </row>
    <row r="6176">
      <c r="A6176" s="58">
        <v>45689.0</v>
      </c>
      <c r="B6176" s="24" t="s">
        <v>6787</v>
      </c>
      <c r="C6176" s="24" t="s">
        <v>7486</v>
      </c>
      <c r="D6176" s="59">
        <v>1.0</v>
      </c>
      <c r="E6176" s="59">
        <v>1.0</v>
      </c>
      <c r="F6176" s="59">
        <v>1.0</v>
      </c>
      <c r="G6176" s="60">
        <v>1.0</v>
      </c>
      <c r="H6176" s="60">
        <v>1.0</v>
      </c>
      <c r="I6176" s="60">
        <v>0.0</v>
      </c>
      <c r="J6176" s="59">
        <v>1.0</v>
      </c>
      <c r="K6176" s="61">
        <f t="shared" si="1"/>
        <v>1</v>
      </c>
      <c r="L6176" s="62">
        <f t="shared" si="2"/>
        <v>1</v>
      </c>
    </row>
    <row r="6177">
      <c r="A6177" s="58">
        <v>45689.0</v>
      </c>
      <c r="B6177" s="24" t="s">
        <v>6787</v>
      </c>
      <c r="C6177" s="24" t="s">
        <v>7487</v>
      </c>
      <c r="D6177" s="59">
        <v>1.0</v>
      </c>
      <c r="E6177" s="59">
        <v>1.0</v>
      </c>
      <c r="F6177" s="59">
        <v>1.0</v>
      </c>
      <c r="G6177" s="60">
        <v>1.0</v>
      </c>
      <c r="H6177" s="60">
        <v>1.0</v>
      </c>
      <c r="I6177" s="60">
        <v>0.0</v>
      </c>
      <c r="J6177" s="59">
        <v>1.0</v>
      </c>
      <c r="K6177" s="61">
        <f t="shared" si="1"/>
        <v>1</v>
      </c>
      <c r="L6177" s="62">
        <f t="shared" si="2"/>
        <v>1</v>
      </c>
    </row>
    <row r="6178">
      <c r="A6178" s="58">
        <v>45689.0</v>
      </c>
      <c r="B6178" s="24" t="s">
        <v>6787</v>
      </c>
      <c r="C6178" s="24" t="s">
        <v>7488</v>
      </c>
      <c r="D6178" s="59">
        <v>1.0</v>
      </c>
      <c r="E6178" s="59">
        <v>1.0</v>
      </c>
      <c r="F6178" s="59">
        <v>1.0</v>
      </c>
      <c r="G6178" s="60">
        <v>1.0</v>
      </c>
      <c r="H6178" s="60">
        <v>1.0</v>
      </c>
      <c r="I6178" s="60">
        <v>4.36083</v>
      </c>
      <c r="J6178" s="59">
        <v>1.0</v>
      </c>
      <c r="K6178" s="61">
        <f t="shared" si="1"/>
        <v>1</v>
      </c>
      <c r="L6178" s="62">
        <f t="shared" si="2"/>
        <v>1</v>
      </c>
    </row>
    <row r="6179">
      <c r="A6179" s="58">
        <v>45689.0</v>
      </c>
      <c r="B6179" s="24" t="s">
        <v>155</v>
      </c>
      <c r="C6179" s="24" t="s">
        <v>6803</v>
      </c>
      <c r="D6179" s="59">
        <v>1.0</v>
      </c>
      <c r="E6179" s="59">
        <v>1.0</v>
      </c>
      <c r="F6179" s="59">
        <v>1.0</v>
      </c>
      <c r="G6179" s="60">
        <v>1.0</v>
      </c>
      <c r="H6179" s="60">
        <v>0.0</v>
      </c>
      <c r="I6179" s="60">
        <v>91.165843</v>
      </c>
      <c r="J6179" s="59">
        <v>2.0</v>
      </c>
      <c r="K6179" s="61">
        <f t="shared" si="1"/>
        <v>1</v>
      </c>
      <c r="L6179" s="62">
        <f t="shared" si="2"/>
        <v>2</v>
      </c>
    </row>
    <row r="6180">
      <c r="A6180" s="58">
        <v>45689.0</v>
      </c>
      <c r="B6180" s="24" t="s">
        <v>6790</v>
      </c>
      <c r="C6180" s="24" t="s">
        <v>6803</v>
      </c>
      <c r="D6180" s="59">
        <v>1.0</v>
      </c>
      <c r="E6180" s="59">
        <v>1.0</v>
      </c>
      <c r="F6180" s="59">
        <v>1.0</v>
      </c>
      <c r="G6180" s="60">
        <v>1.0</v>
      </c>
      <c r="H6180" s="60">
        <v>1.0</v>
      </c>
      <c r="I6180" s="60">
        <v>0.0</v>
      </c>
      <c r="J6180" s="59">
        <v>1.0</v>
      </c>
      <c r="K6180" s="61">
        <f t="shared" si="1"/>
        <v>1</v>
      </c>
      <c r="L6180" s="62">
        <f t="shared" si="2"/>
        <v>1</v>
      </c>
    </row>
    <row r="6181">
      <c r="A6181" s="58">
        <v>45689.0</v>
      </c>
      <c r="B6181" s="24" t="s">
        <v>155</v>
      </c>
      <c r="C6181" s="24" t="s">
        <v>6817</v>
      </c>
      <c r="D6181" s="59">
        <v>1.0</v>
      </c>
      <c r="E6181" s="59">
        <v>1.0</v>
      </c>
      <c r="F6181" s="59">
        <v>0.0</v>
      </c>
      <c r="G6181" s="60">
        <v>1.0</v>
      </c>
      <c r="H6181" s="60">
        <v>0.0</v>
      </c>
      <c r="I6181" s="60">
        <v>32.545195</v>
      </c>
      <c r="J6181" s="59">
        <v>2.0</v>
      </c>
      <c r="K6181" s="61">
        <f t="shared" si="1"/>
        <v>0</v>
      </c>
      <c r="L6181" s="62">
        <f t="shared" si="2"/>
        <v>2</v>
      </c>
    </row>
    <row r="6182">
      <c r="A6182" s="58">
        <v>45689.0</v>
      </c>
      <c r="B6182" s="24" t="s">
        <v>6789</v>
      </c>
      <c r="C6182" s="24" t="s">
        <v>7056</v>
      </c>
      <c r="D6182" s="59">
        <v>1.0</v>
      </c>
      <c r="E6182" s="59">
        <v>1.0</v>
      </c>
      <c r="F6182" s="59">
        <v>1.0</v>
      </c>
      <c r="G6182" s="60">
        <v>1.0</v>
      </c>
      <c r="H6182" s="60">
        <v>0.0</v>
      </c>
      <c r="I6182" s="60">
        <v>16.424158</v>
      </c>
      <c r="J6182" s="59">
        <v>1.0</v>
      </c>
      <c r="K6182" s="61">
        <f t="shared" si="1"/>
        <v>1</v>
      </c>
      <c r="L6182" s="62">
        <f t="shared" si="2"/>
        <v>1</v>
      </c>
    </row>
    <row r="6183">
      <c r="A6183" s="58">
        <v>45689.0</v>
      </c>
      <c r="B6183" s="24" t="s">
        <v>6787</v>
      </c>
      <c r="C6183" s="24" t="s">
        <v>6867</v>
      </c>
      <c r="D6183" s="59">
        <v>1.0</v>
      </c>
      <c r="E6183" s="59">
        <v>1.0</v>
      </c>
      <c r="F6183" s="59">
        <v>1.0</v>
      </c>
      <c r="G6183" s="60">
        <v>1.0</v>
      </c>
      <c r="H6183" s="60">
        <v>1.0</v>
      </c>
      <c r="I6183" s="60">
        <v>0.0</v>
      </c>
      <c r="J6183" s="59">
        <v>1.0</v>
      </c>
      <c r="K6183" s="61">
        <f t="shared" si="1"/>
        <v>1</v>
      </c>
      <c r="L6183" s="62">
        <f t="shared" si="2"/>
        <v>1</v>
      </c>
    </row>
    <row r="6184">
      <c r="A6184" s="58">
        <v>45689.0</v>
      </c>
      <c r="B6184" s="24" t="s">
        <v>6787</v>
      </c>
      <c r="C6184" s="24" t="s">
        <v>7063</v>
      </c>
      <c r="D6184" s="59">
        <v>1.0</v>
      </c>
      <c r="E6184" s="59">
        <v>1.0</v>
      </c>
      <c r="F6184" s="59">
        <v>1.0</v>
      </c>
      <c r="G6184" s="60">
        <v>1.0</v>
      </c>
      <c r="H6184" s="60">
        <v>1.0</v>
      </c>
      <c r="I6184" s="60">
        <v>0.0</v>
      </c>
      <c r="J6184" s="59">
        <v>1.0</v>
      </c>
      <c r="K6184" s="61">
        <f t="shared" si="1"/>
        <v>1</v>
      </c>
      <c r="L6184" s="62">
        <f t="shared" si="2"/>
        <v>1</v>
      </c>
    </row>
    <row r="6185">
      <c r="A6185" s="58">
        <v>45689.0</v>
      </c>
      <c r="B6185" s="24" t="s">
        <v>6790</v>
      </c>
      <c r="C6185" s="24" t="s">
        <v>7024</v>
      </c>
      <c r="D6185" s="59">
        <v>1.0</v>
      </c>
      <c r="E6185" s="59">
        <v>1.0</v>
      </c>
      <c r="F6185" s="59">
        <v>1.0</v>
      </c>
      <c r="G6185" s="60">
        <v>1.0</v>
      </c>
      <c r="H6185" s="60">
        <v>0.0</v>
      </c>
      <c r="I6185" s="60">
        <v>47.919962</v>
      </c>
      <c r="J6185" s="59">
        <v>1.0</v>
      </c>
      <c r="K6185" s="61">
        <f t="shared" si="1"/>
        <v>1</v>
      </c>
      <c r="L6185" s="62">
        <f t="shared" si="2"/>
        <v>1</v>
      </c>
    </row>
    <row r="6186">
      <c r="A6186" s="58">
        <v>45689.0</v>
      </c>
      <c r="B6186" s="24" t="s">
        <v>6789</v>
      </c>
      <c r="C6186" s="24" t="s">
        <v>7064</v>
      </c>
      <c r="D6186" s="59">
        <v>1.0</v>
      </c>
      <c r="E6186" s="59">
        <v>1.0</v>
      </c>
      <c r="F6186" s="59">
        <v>1.0</v>
      </c>
      <c r="G6186" s="60">
        <v>1.0</v>
      </c>
      <c r="H6186" s="60">
        <v>1.0</v>
      </c>
      <c r="I6186" s="60">
        <v>4.318848</v>
      </c>
      <c r="J6186" s="59">
        <v>1.0</v>
      </c>
      <c r="K6186" s="61">
        <f t="shared" si="1"/>
        <v>1</v>
      </c>
      <c r="L6186" s="62">
        <f t="shared" si="2"/>
        <v>1</v>
      </c>
    </row>
    <row r="6187">
      <c r="A6187" s="58">
        <v>45689.0</v>
      </c>
      <c r="B6187" s="24" t="s">
        <v>6787</v>
      </c>
      <c r="C6187" s="24" t="s">
        <v>7065</v>
      </c>
      <c r="D6187" s="59">
        <v>1.0</v>
      </c>
      <c r="E6187" s="59">
        <v>1.0</v>
      </c>
      <c r="F6187" s="59">
        <v>1.0</v>
      </c>
      <c r="G6187" s="60">
        <v>1.0</v>
      </c>
      <c r="H6187" s="60">
        <v>1.0</v>
      </c>
      <c r="I6187" s="60">
        <v>0.0</v>
      </c>
      <c r="J6187" s="59">
        <v>1.0</v>
      </c>
      <c r="K6187" s="61">
        <f t="shared" si="1"/>
        <v>1</v>
      </c>
      <c r="L6187" s="62">
        <f t="shared" si="2"/>
        <v>1</v>
      </c>
    </row>
    <row r="6188">
      <c r="A6188" s="58">
        <v>45689.0</v>
      </c>
      <c r="B6188" s="24" t="s">
        <v>155</v>
      </c>
      <c r="C6188" s="24" t="s">
        <v>6882</v>
      </c>
      <c r="D6188" s="59">
        <v>1.0</v>
      </c>
      <c r="E6188" s="59">
        <v>1.0</v>
      </c>
      <c r="F6188" s="59">
        <v>1.0</v>
      </c>
      <c r="G6188" s="60">
        <v>1.0</v>
      </c>
      <c r="H6188" s="60">
        <v>0.0</v>
      </c>
      <c r="I6188" s="60">
        <v>414.290014</v>
      </c>
      <c r="J6188" s="59">
        <v>4.0</v>
      </c>
      <c r="K6188" s="61">
        <f t="shared" si="1"/>
        <v>1</v>
      </c>
      <c r="L6188" s="62">
        <f t="shared" si="2"/>
        <v>4</v>
      </c>
    </row>
    <row r="6189">
      <c r="A6189" s="58">
        <v>45689.0</v>
      </c>
      <c r="B6189" s="24" t="s">
        <v>6787</v>
      </c>
      <c r="C6189" s="24" t="s">
        <v>6990</v>
      </c>
      <c r="D6189" s="59">
        <v>1.0</v>
      </c>
      <c r="E6189" s="59">
        <v>1.0</v>
      </c>
      <c r="F6189" s="59">
        <v>1.0</v>
      </c>
      <c r="G6189" s="60">
        <v>1.0</v>
      </c>
      <c r="H6189" s="60">
        <v>1.0</v>
      </c>
      <c r="I6189" s="60">
        <v>0.0</v>
      </c>
      <c r="J6189" s="59">
        <v>1.0</v>
      </c>
      <c r="K6189" s="61">
        <f t="shared" si="1"/>
        <v>1</v>
      </c>
      <c r="L6189" s="62">
        <f t="shared" si="2"/>
        <v>1</v>
      </c>
    </row>
    <row r="6190">
      <c r="A6190" s="58">
        <v>45689.0</v>
      </c>
      <c r="B6190" s="24" t="s">
        <v>6787</v>
      </c>
      <c r="C6190" s="24" t="s">
        <v>7067</v>
      </c>
      <c r="D6190" s="59">
        <v>1.0</v>
      </c>
      <c r="E6190" s="59">
        <v>1.0</v>
      </c>
      <c r="F6190" s="59">
        <v>1.0</v>
      </c>
      <c r="G6190" s="60">
        <v>1.0</v>
      </c>
      <c r="H6190" s="60">
        <v>1.0</v>
      </c>
      <c r="I6190" s="60">
        <v>0.0</v>
      </c>
      <c r="J6190" s="59">
        <v>1.0</v>
      </c>
      <c r="K6190" s="61">
        <f t="shared" si="1"/>
        <v>1</v>
      </c>
      <c r="L6190" s="62">
        <f t="shared" si="2"/>
        <v>1</v>
      </c>
    </row>
    <row r="6191">
      <c r="A6191" s="58">
        <v>45689.0</v>
      </c>
      <c r="B6191" s="24" t="s">
        <v>6789</v>
      </c>
      <c r="C6191" s="24" t="s">
        <v>7067</v>
      </c>
      <c r="D6191" s="59">
        <v>1.0</v>
      </c>
      <c r="E6191" s="59">
        <v>1.0</v>
      </c>
      <c r="F6191" s="59">
        <v>1.0</v>
      </c>
      <c r="G6191" s="60">
        <v>1.0</v>
      </c>
      <c r="H6191" s="60">
        <v>0.0</v>
      </c>
      <c r="I6191" s="60">
        <v>44.507882</v>
      </c>
      <c r="J6191" s="59">
        <v>2.0</v>
      </c>
      <c r="K6191" s="61">
        <f t="shared" si="1"/>
        <v>1</v>
      </c>
      <c r="L6191" s="62">
        <f t="shared" si="2"/>
        <v>2</v>
      </c>
    </row>
    <row r="6192">
      <c r="A6192" s="58">
        <v>45689.0</v>
      </c>
      <c r="B6192" s="24" t="s">
        <v>6787</v>
      </c>
      <c r="C6192" s="24" t="s">
        <v>6835</v>
      </c>
      <c r="D6192" s="59">
        <v>1.0</v>
      </c>
      <c r="E6192" s="59">
        <v>1.0</v>
      </c>
      <c r="F6192" s="59">
        <v>1.0</v>
      </c>
      <c r="G6192" s="60">
        <v>1.0</v>
      </c>
      <c r="H6192" s="60">
        <v>1.0</v>
      </c>
      <c r="I6192" s="60">
        <v>0.0</v>
      </c>
      <c r="J6192" s="59">
        <v>1.0</v>
      </c>
      <c r="K6192" s="61">
        <f t="shared" si="1"/>
        <v>1</v>
      </c>
      <c r="L6192" s="62">
        <f t="shared" si="2"/>
        <v>1</v>
      </c>
    </row>
    <row r="6193">
      <c r="A6193" s="58">
        <v>45689.0</v>
      </c>
      <c r="B6193" s="24" t="s">
        <v>6790</v>
      </c>
      <c r="C6193" s="24" t="s">
        <v>6835</v>
      </c>
      <c r="D6193" s="59">
        <v>1.0</v>
      </c>
      <c r="E6193" s="59">
        <v>1.0</v>
      </c>
      <c r="F6193" s="59">
        <v>1.0</v>
      </c>
      <c r="G6193" s="60">
        <v>1.0</v>
      </c>
      <c r="H6193" s="60">
        <v>0.0</v>
      </c>
      <c r="I6193" s="60">
        <v>21.022244</v>
      </c>
      <c r="J6193" s="59">
        <v>1.0</v>
      </c>
      <c r="K6193" s="61">
        <f t="shared" si="1"/>
        <v>1</v>
      </c>
      <c r="L6193" s="62">
        <f t="shared" si="2"/>
        <v>1</v>
      </c>
    </row>
    <row r="6194">
      <c r="A6194" s="58">
        <v>45689.0</v>
      </c>
      <c r="B6194" s="24" t="s">
        <v>6789</v>
      </c>
      <c r="C6194" s="24" t="s">
        <v>6991</v>
      </c>
      <c r="D6194" s="59">
        <v>1.0</v>
      </c>
      <c r="E6194" s="59">
        <v>1.0</v>
      </c>
      <c r="F6194" s="59">
        <v>1.0</v>
      </c>
      <c r="G6194" s="60">
        <v>1.0</v>
      </c>
      <c r="H6194" s="60">
        <v>0.0</v>
      </c>
      <c r="I6194" s="60">
        <v>62.97952</v>
      </c>
      <c r="J6194" s="59">
        <v>2.0</v>
      </c>
      <c r="K6194" s="61">
        <f t="shared" si="1"/>
        <v>1</v>
      </c>
      <c r="L6194" s="62">
        <f t="shared" si="2"/>
        <v>2</v>
      </c>
    </row>
    <row r="6195">
      <c r="A6195" s="58">
        <v>45689.0</v>
      </c>
      <c r="B6195" s="24" t="s">
        <v>6789</v>
      </c>
      <c r="C6195" s="24" t="s">
        <v>6992</v>
      </c>
      <c r="D6195" s="59">
        <v>1.0</v>
      </c>
      <c r="E6195" s="59">
        <v>1.0</v>
      </c>
      <c r="F6195" s="59">
        <v>1.0</v>
      </c>
      <c r="G6195" s="60">
        <v>1.0</v>
      </c>
      <c r="H6195" s="60">
        <v>0.0</v>
      </c>
      <c r="I6195" s="60">
        <v>419.227339</v>
      </c>
      <c r="J6195" s="59">
        <v>2.0</v>
      </c>
      <c r="K6195" s="61">
        <f t="shared" si="1"/>
        <v>1</v>
      </c>
      <c r="L6195" s="62">
        <f t="shared" si="2"/>
        <v>2</v>
      </c>
    </row>
    <row r="6196">
      <c r="A6196" s="58">
        <v>45689.0</v>
      </c>
      <c r="B6196" s="24" t="s">
        <v>6787</v>
      </c>
      <c r="C6196" s="24" t="s">
        <v>7071</v>
      </c>
      <c r="D6196" s="59">
        <v>1.0</v>
      </c>
      <c r="E6196" s="59">
        <v>1.0</v>
      </c>
      <c r="F6196" s="59">
        <v>1.0</v>
      </c>
      <c r="G6196" s="60">
        <v>1.0</v>
      </c>
      <c r="H6196" s="60">
        <v>0.0</v>
      </c>
      <c r="I6196" s="60">
        <v>91.556295</v>
      </c>
      <c r="J6196" s="59">
        <v>1.0</v>
      </c>
      <c r="K6196" s="61">
        <f t="shared" si="1"/>
        <v>1</v>
      </c>
      <c r="L6196" s="62">
        <f t="shared" si="2"/>
        <v>1</v>
      </c>
    </row>
    <row r="6197">
      <c r="A6197" s="58">
        <v>45689.0</v>
      </c>
      <c r="B6197" s="24" t="s">
        <v>6789</v>
      </c>
      <c r="C6197" s="24" t="s">
        <v>6994</v>
      </c>
      <c r="D6197" s="59">
        <v>1.0</v>
      </c>
      <c r="E6197" s="59">
        <v>1.0</v>
      </c>
      <c r="F6197" s="59">
        <v>1.0</v>
      </c>
      <c r="G6197" s="60">
        <v>1.0</v>
      </c>
      <c r="H6197" s="60">
        <v>0.0</v>
      </c>
      <c r="I6197" s="60">
        <v>40.723699</v>
      </c>
      <c r="J6197" s="59">
        <v>1.0</v>
      </c>
      <c r="K6197" s="61">
        <f t="shared" si="1"/>
        <v>1</v>
      </c>
      <c r="L6197" s="62">
        <f t="shared" si="2"/>
        <v>1</v>
      </c>
    </row>
    <row r="6198">
      <c r="A6198" s="58">
        <v>45689.0</v>
      </c>
      <c r="B6198" s="24" t="s">
        <v>6789</v>
      </c>
      <c r="C6198" s="24" t="s">
        <v>7072</v>
      </c>
      <c r="D6198" s="59">
        <v>1.0</v>
      </c>
      <c r="E6198" s="59">
        <v>1.0</v>
      </c>
      <c r="F6198" s="59">
        <v>1.0</v>
      </c>
      <c r="G6198" s="60">
        <v>1.0</v>
      </c>
      <c r="H6198" s="60">
        <v>1.0</v>
      </c>
      <c r="I6198" s="60">
        <v>0.0</v>
      </c>
      <c r="J6198" s="59">
        <v>1.0</v>
      </c>
      <c r="K6198" s="61">
        <f t="shared" si="1"/>
        <v>1</v>
      </c>
      <c r="L6198" s="62">
        <f t="shared" si="2"/>
        <v>1</v>
      </c>
    </row>
    <row r="6199">
      <c r="A6199" s="58">
        <v>45689.0</v>
      </c>
      <c r="B6199" s="24" t="s">
        <v>155</v>
      </c>
      <c r="C6199" s="24" t="s">
        <v>6945</v>
      </c>
      <c r="D6199" s="59">
        <v>1.0</v>
      </c>
      <c r="E6199" s="59">
        <v>2.0</v>
      </c>
      <c r="F6199" s="59">
        <v>0.0</v>
      </c>
      <c r="G6199" s="60">
        <v>2.0</v>
      </c>
      <c r="H6199" s="60">
        <v>0.5</v>
      </c>
      <c r="I6199" s="60">
        <v>146.0056935</v>
      </c>
      <c r="J6199" s="59">
        <v>2.0</v>
      </c>
      <c r="K6199" s="61">
        <f t="shared" si="1"/>
        <v>0</v>
      </c>
      <c r="L6199" s="62">
        <f t="shared" si="2"/>
        <v>1</v>
      </c>
    </row>
    <row r="6200">
      <c r="A6200" s="58">
        <v>45689.0</v>
      </c>
      <c r="B6200" s="24" t="s">
        <v>6789</v>
      </c>
      <c r="C6200" s="24" t="s">
        <v>7489</v>
      </c>
      <c r="D6200" s="59">
        <v>1.0</v>
      </c>
      <c r="E6200" s="59">
        <v>2.0</v>
      </c>
      <c r="F6200" s="59">
        <v>0.0</v>
      </c>
      <c r="G6200" s="60">
        <v>2.0</v>
      </c>
      <c r="H6200" s="60">
        <v>0.5</v>
      </c>
      <c r="I6200" s="60">
        <v>12.1048754999999</v>
      </c>
      <c r="J6200" s="59">
        <v>2.0</v>
      </c>
      <c r="K6200" s="61">
        <f t="shared" si="1"/>
        <v>0</v>
      </c>
      <c r="L6200" s="62">
        <f t="shared" si="2"/>
        <v>1</v>
      </c>
    </row>
    <row r="6201">
      <c r="A6201" s="58">
        <v>45689.0</v>
      </c>
      <c r="B6201" s="24" t="s">
        <v>155</v>
      </c>
      <c r="C6201" s="24" t="s">
        <v>6799</v>
      </c>
      <c r="D6201" s="59">
        <v>1.0</v>
      </c>
      <c r="E6201" s="59">
        <v>1.0</v>
      </c>
      <c r="F6201" s="59">
        <v>1.0</v>
      </c>
      <c r="G6201" s="60">
        <v>1.0</v>
      </c>
      <c r="H6201" s="60">
        <v>0.0</v>
      </c>
      <c r="I6201" s="60">
        <v>1586.328025</v>
      </c>
      <c r="J6201" s="59">
        <v>1.0</v>
      </c>
      <c r="K6201" s="61">
        <f t="shared" si="1"/>
        <v>1</v>
      </c>
      <c r="L6201" s="62">
        <f t="shared" si="2"/>
        <v>1</v>
      </c>
    </row>
    <row r="6202">
      <c r="A6202" s="58">
        <v>45689.0</v>
      </c>
      <c r="B6202" s="24" t="s">
        <v>6789</v>
      </c>
      <c r="C6202" s="24" t="s">
        <v>6820</v>
      </c>
      <c r="D6202" s="59">
        <v>1.0</v>
      </c>
      <c r="E6202" s="59">
        <v>1.0</v>
      </c>
      <c r="F6202" s="59">
        <v>0.0</v>
      </c>
      <c r="G6202" s="60">
        <v>1.0</v>
      </c>
      <c r="H6202" s="60">
        <v>1.0</v>
      </c>
      <c r="I6202" s="60">
        <v>9.425587</v>
      </c>
      <c r="J6202" s="59">
        <v>1.0</v>
      </c>
      <c r="K6202" s="61">
        <f t="shared" si="1"/>
        <v>0</v>
      </c>
      <c r="L6202" s="62">
        <f t="shared" si="2"/>
        <v>1</v>
      </c>
    </row>
    <row r="6203">
      <c r="A6203" s="58">
        <v>45689.0</v>
      </c>
      <c r="B6203" s="24" t="s">
        <v>155</v>
      </c>
      <c r="C6203" s="24" t="s">
        <v>6820</v>
      </c>
      <c r="D6203" s="59">
        <v>1.0</v>
      </c>
      <c r="E6203" s="59">
        <v>1.0</v>
      </c>
      <c r="F6203" s="59">
        <v>1.0</v>
      </c>
      <c r="G6203" s="60">
        <v>1.0</v>
      </c>
      <c r="H6203" s="60">
        <v>0.0</v>
      </c>
      <c r="I6203" s="60">
        <v>75.607785</v>
      </c>
      <c r="J6203" s="59">
        <v>3.0</v>
      </c>
      <c r="K6203" s="61">
        <f t="shared" si="1"/>
        <v>1</v>
      </c>
      <c r="L6203" s="62">
        <f t="shared" si="2"/>
        <v>3</v>
      </c>
    </row>
    <row r="6204">
      <c r="A6204" s="58">
        <v>45689.0</v>
      </c>
      <c r="B6204" s="24" t="s">
        <v>6794</v>
      </c>
      <c r="C6204" s="24" t="s">
        <v>6838</v>
      </c>
      <c r="D6204" s="59">
        <v>1.0</v>
      </c>
      <c r="E6204" s="59">
        <v>1.0</v>
      </c>
      <c r="F6204" s="59">
        <v>1.0</v>
      </c>
      <c r="G6204" s="60">
        <v>1.0</v>
      </c>
      <c r="H6204" s="60">
        <v>0.0</v>
      </c>
      <c r="I6204" s="60">
        <v>111.85636</v>
      </c>
      <c r="J6204" s="59">
        <v>3.0</v>
      </c>
      <c r="K6204" s="61">
        <f t="shared" si="1"/>
        <v>1</v>
      </c>
      <c r="L6204" s="62">
        <f t="shared" si="2"/>
        <v>3</v>
      </c>
    </row>
    <row r="6205">
      <c r="A6205" s="58">
        <v>45689.0</v>
      </c>
      <c r="B6205" s="24" t="s">
        <v>6794</v>
      </c>
      <c r="C6205" s="24" t="s">
        <v>6997</v>
      </c>
      <c r="D6205" s="59">
        <v>1.0</v>
      </c>
      <c r="E6205" s="59">
        <v>1.0</v>
      </c>
      <c r="F6205" s="59">
        <v>1.0</v>
      </c>
      <c r="G6205" s="60">
        <v>1.0</v>
      </c>
      <c r="H6205" s="60">
        <v>0.0</v>
      </c>
      <c r="I6205" s="60">
        <v>41.60396</v>
      </c>
      <c r="J6205" s="59">
        <v>1.0</v>
      </c>
      <c r="K6205" s="61">
        <f t="shared" si="1"/>
        <v>1</v>
      </c>
      <c r="L6205" s="62">
        <f t="shared" si="2"/>
        <v>1</v>
      </c>
    </row>
    <row r="6206">
      <c r="A6206" s="58">
        <v>45689.0</v>
      </c>
      <c r="B6206" s="24" t="s">
        <v>6790</v>
      </c>
      <c r="C6206" s="24" t="s">
        <v>6997</v>
      </c>
      <c r="D6206" s="59">
        <v>1.0</v>
      </c>
      <c r="E6206" s="59">
        <v>1.0</v>
      </c>
      <c r="F6206" s="59">
        <v>0.0</v>
      </c>
      <c r="G6206" s="60">
        <v>1.0</v>
      </c>
      <c r="H6206" s="60">
        <v>1.0</v>
      </c>
      <c r="I6206" s="60">
        <v>0.0</v>
      </c>
      <c r="J6206" s="59">
        <v>1.0</v>
      </c>
      <c r="K6206" s="61">
        <f t="shared" si="1"/>
        <v>0</v>
      </c>
      <c r="L6206" s="62">
        <f t="shared" si="2"/>
        <v>1</v>
      </c>
    </row>
    <row r="6207">
      <c r="A6207" s="58">
        <v>45689.0</v>
      </c>
      <c r="B6207" s="24" t="s">
        <v>6794</v>
      </c>
      <c r="C6207" s="24" t="s">
        <v>7021</v>
      </c>
      <c r="D6207" s="59">
        <v>1.0</v>
      </c>
      <c r="E6207" s="59">
        <v>2.0</v>
      </c>
      <c r="F6207" s="59">
        <v>0.0</v>
      </c>
      <c r="G6207" s="60">
        <v>0.0</v>
      </c>
      <c r="H6207" s="60">
        <v>1.0</v>
      </c>
      <c r="I6207" s="60">
        <v>0.0</v>
      </c>
      <c r="J6207" s="59">
        <v>2.0</v>
      </c>
      <c r="K6207" s="61">
        <f t="shared" si="1"/>
        <v>0</v>
      </c>
      <c r="L6207" s="62">
        <f t="shared" si="2"/>
        <v>1</v>
      </c>
    </row>
    <row r="6208">
      <c r="A6208" s="58">
        <v>45689.0</v>
      </c>
      <c r="B6208" s="24" t="s">
        <v>6790</v>
      </c>
      <c r="C6208" s="24" t="s">
        <v>7021</v>
      </c>
      <c r="D6208" s="59">
        <v>1.0</v>
      </c>
      <c r="E6208" s="59">
        <v>1.0</v>
      </c>
      <c r="F6208" s="59">
        <v>0.0</v>
      </c>
      <c r="G6208" s="60">
        <v>1.0</v>
      </c>
      <c r="H6208" s="60">
        <v>0.0</v>
      </c>
      <c r="I6208" s="60">
        <v>1195.319005</v>
      </c>
      <c r="J6208" s="59">
        <v>6.0</v>
      </c>
      <c r="K6208" s="61">
        <f t="shared" si="1"/>
        <v>0</v>
      </c>
      <c r="L6208" s="62">
        <f t="shared" si="2"/>
        <v>6</v>
      </c>
    </row>
    <row r="6209">
      <c r="A6209" s="58">
        <v>45689.0</v>
      </c>
      <c r="B6209" s="24" t="s">
        <v>155</v>
      </c>
      <c r="C6209" s="24" t="s">
        <v>6822</v>
      </c>
      <c r="D6209" s="59">
        <v>1.0</v>
      </c>
      <c r="E6209" s="59">
        <v>1.0</v>
      </c>
      <c r="F6209" s="59">
        <v>0.0</v>
      </c>
      <c r="G6209" s="60">
        <v>1.0</v>
      </c>
      <c r="H6209" s="60">
        <v>0.0</v>
      </c>
      <c r="I6209" s="60">
        <v>4214.541577</v>
      </c>
      <c r="J6209" s="59">
        <v>9.0</v>
      </c>
      <c r="K6209" s="61">
        <f t="shared" si="1"/>
        <v>0</v>
      </c>
      <c r="L6209" s="62">
        <f t="shared" si="2"/>
        <v>9</v>
      </c>
    </row>
    <row r="6210">
      <c r="A6210" s="58">
        <v>45689.0</v>
      </c>
      <c r="B6210" s="24" t="s">
        <v>6787</v>
      </c>
      <c r="C6210" s="24" t="s">
        <v>6891</v>
      </c>
      <c r="D6210" s="59">
        <v>1.0</v>
      </c>
      <c r="E6210" s="59">
        <v>1.0</v>
      </c>
      <c r="F6210" s="59">
        <v>1.0</v>
      </c>
      <c r="G6210" s="60">
        <v>1.0</v>
      </c>
      <c r="H6210" s="60">
        <v>1.0</v>
      </c>
      <c r="I6210" s="60">
        <v>0.0</v>
      </c>
      <c r="J6210" s="59">
        <v>1.0</v>
      </c>
      <c r="K6210" s="61">
        <f t="shared" si="1"/>
        <v>1</v>
      </c>
      <c r="L6210" s="62">
        <f t="shared" si="2"/>
        <v>1</v>
      </c>
    </row>
    <row r="6211">
      <c r="A6211" s="58">
        <v>45689.0</v>
      </c>
      <c r="B6211" s="24" t="s">
        <v>6789</v>
      </c>
      <c r="C6211" s="24" t="s">
        <v>6891</v>
      </c>
      <c r="D6211" s="59">
        <v>1.0</v>
      </c>
      <c r="E6211" s="59">
        <v>4.0</v>
      </c>
      <c r="F6211" s="59">
        <v>0.0</v>
      </c>
      <c r="G6211" s="60">
        <v>4.0</v>
      </c>
      <c r="H6211" s="60">
        <v>0.75</v>
      </c>
      <c r="I6211" s="60">
        <v>348.2670195</v>
      </c>
      <c r="J6211" s="59">
        <v>6.0</v>
      </c>
      <c r="K6211" s="61">
        <f t="shared" si="1"/>
        <v>0</v>
      </c>
      <c r="L6211" s="62">
        <f t="shared" si="2"/>
        <v>1.5</v>
      </c>
    </row>
    <row r="6212">
      <c r="A6212" s="58">
        <v>45689.0</v>
      </c>
      <c r="B6212" s="24" t="s">
        <v>6794</v>
      </c>
      <c r="C6212" s="24" t="s">
        <v>6891</v>
      </c>
      <c r="D6212" s="59">
        <v>1.0</v>
      </c>
      <c r="E6212" s="59">
        <v>1.0</v>
      </c>
      <c r="F6212" s="59">
        <v>0.0</v>
      </c>
      <c r="G6212" s="60">
        <v>1.0</v>
      </c>
      <c r="H6212" s="60">
        <v>1.0</v>
      </c>
      <c r="I6212" s="60">
        <v>2.132129</v>
      </c>
      <c r="J6212" s="59">
        <v>1.0</v>
      </c>
      <c r="K6212" s="61">
        <f t="shared" si="1"/>
        <v>0</v>
      </c>
      <c r="L6212" s="62">
        <f t="shared" si="2"/>
        <v>1</v>
      </c>
    </row>
    <row r="6213">
      <c r="A6213" s="58">
        <v>45689.0</v>
      </c>
      <c r="B6213" s="24" t="s">
        <v>6787</v>
      </c>
      <c r="C6213" s="24" t="s">
        <v>6840</v>
      </c>
      <c r="D6213" s="59">
        <v>1.0</v>
      </c>
      <c r="E6213" s="59">
        <v>2.0</v>
      </c>
      <c r="F6213" s="59">
        <v>1.0</v>
      </c>
      <c r="G6213" s="60">
        <v>2.0</v>
      </c>
      <c r="H6213" s="60">
        <v>1.0</v>
      </c>
      <c r="I6213" s="60">
        <v>0.0</v>
      </c>
      <c r="J6213" s="59">
        <v>2.0</v>
      </c>
      <c r="K6213" s="61">
        <f t="shared" si="1"/>
        <v>0.5</v>
      </c>
      <c r="L6213" s="62">
        <f t="shared" si="2"/>
        <v>1</v>
      </c>
    </row>
    <row r="6214">
      <c r="A6214" s="58">
        <v>45689.0</v>
      </c>
      <c r="B6214" s="24" t="s">
        <v>6789</v>
      </c>
      <c r="C6214" s="24" t="s">
        <v>6840</v>
      </c>
      <c r="D6214" s="59">
        <v>1.0</v>
      </c>
      <c r="E6214" s="59">
        <v>1.0</v>
      </c>
      <c r="F6214" s="59">
        <v>1.0</v>
      </c>
      <c r="G6214" s="60">
        <v>1.0</v>
      </c>
      <c r="H6214" s="60">
        <v>0.0</v>
      </c>
      <c r="I6214" s="60">
        <v>154.794322</v>
      </c>
      <c r="J6214" s="59">
        <v>1.0</v>
      </c>
      <c r="K6214" s="61">
        <f t="shared" si="1"/>
        <v>1</v>
      </c>
      <c r="L6214" s="62">
        <f t="shared" si="2"/>
        <v>1</v>
      </c>
    </row>
    <row r="6215">
      <c r="A6215" s="58">
        <v>45689.0</v>
      </c>
      <c r="B6215" s="24" t="s">
        <v>6794</v>
      </c>
      <c r="C6215" s="24" t="s">
        <v>6840</v>
      </c>
      <c r="D6215" s="59">
        <v>1.0</v>
      </c>
      <c r="E6215" s="59">
        <v>1.0</v>
      </c>
      <c r="F6215" s="59">
        <v>0.0</v>
      </c>
      <c r="G6215" s="60">
        <v>1.0</v>
      </c>
      <c r="H6215" s="60">
        <v>0.0</v>
      </c>
      <c r="I6215" s="60">
        <v>256.047375</v>
      </c>
      <c r="J6215" s="59">
        <v>8.0</v>
      </c>
      <c r="K6215" s="61">
        <f t="shared" si="1"/>
        <v>0</v>
      </c>
      <c r="L6215" s="62">
        <f t="shared" si="2"/>
        <v>8</v>
      </c>
    </row>
    <row r="6216">
      <c r="A6216" s="58">
        <v>45689.0</v>
      </c>
      <c r="B6216" s="24" t="s">
        <v>155</v>
      </c>
      <c r="C6216" s="24" t="s">
        <v>6896</v>
      </c>
      <c r="D6216" s="59">
        <v>1.0</v>
      </c>
      <c r="E6216" s="59">
        <v>1.0</v>
      </c>
      <c r="F6216" s="59">
        <v>0.0</v>
      </c>
      <c r="G6216" s="60">
        <v>1.0</v>
      </c>
      <c r="H6216" s="60">
        <v>0.0</v>
      </c>
      <c r="I6216" s="60">
        <v>28.957339</v>
      </c>
      <c r="J6216" s="59">
        <v>2.0</v>
      </c>
      <c r="K6216" s="61">
        <f t="shared" si="1"/>
        <v>0</v>
      </c>
      <c r="L6216" s="62">
        <f t="shared" si="2"/>
        <v>2</v>
      </c>
    </row>
    <row r="6217">
      <c r="A6217" s="58">
        <v>45689.0</v>
      </c>
      <c r="B6217" s="24" t="s">
        <v>6790</v>
      </c>
      <c r="C6217" s="24" t="s">
        <v>6823</v>
      </c>
      <c r="D6217" s="59">
        <v>1.0</v>
      </c>
      <c r="E6217" s="59">
        <v>1.0</v>
      </c>
      <c r="F6217" s="59">
        <v>0.0</v>
      </c>
      <c r="G6217" s="60">
        <v>1.0</v>
      </c>
      <c r="H6217" s="60">
        <v>0.0</v>
      </c>
      <c r="I6217" s="60">
        <v>1447.862227</v>
      </c>
      <c r="J6217" s="59">
        <v>4.0</v>
      </c>
      <c r="K6217" s="61">
        <f t="shared" si="1"/>
        <v>0</v>
      </c>
      <c r="L6217" s="62">
        <f t="shared" si="2"/>
        <v>4</v>
      </c>
    </row>
    <row r="6218">
      <c r="A6218" s="58">
        <v>45689.0</v>
      </c>
      <c r="B6218" s="24" t="s">
        <v>6789</v>
      </c>
      <c r="C6218" s="24" t="s">
        <v>7195</v>
      </c>
      <c r="D6218" s="59">
        <v>1.0</v>
      </c>
      <c r="E6218" s="59">
        <v>1.0</v>
      </c>
      <c r="F6218" s="59">
        <v>1.0</v>
      </c>
      <c r="G6218" s="60">
        <v>1.0</v>
      </c>
      <c r="H6218" s="60">
        <v>1.0</v>
      </c>
      <c r="I6218" s="60">
        <v>4.80798</v>
      </c>
      <c r="J6218" s="59">
        <v>1.0</v>
      </c>
      <c r="K6218" s="61">
        <f t="shared" si="1"/>
        <v>1</v>
      </c>
      <c r="L6218" s="62">
        <f t="shared" si="2"/>
        <v>1</v>
      </c>
    </row>
    <row r="6219">
      <c r="A6219" s="58">
        <v>45689.0</v>
      </c>
      <c r="B6219" s="24" t="s">
        <v>155</v>
      </c>
      <c r="C6219" s="24" t="s">
        <v>7002</v>
      </c>
      <c r="D6219" s="59">
        <v>1.0</v>
      </c>
      <c r="E6219" s="59">
        <v>1.0</v>
      </c>
      <c r="F6219" s="59">
        <v>0.0</v>
      </c>
      <c r="G6219" s="60">
        <v>1.0</v>
      </c>
      <c r="H6219" s="60">
        <v>1.0</v>
      </c>
      <c r="I6219" s="60">
        <v>0.0</v>
      </c>
      <c r="J6219" s="59">
        <v>1.0</v>
      </c>
      <c r="K6219" s="61">
        <f t="shared" si="1"/>
        <v>0</v>
      </c>
      <c r="L6219" s="62">
        <f t="shared" si="2"/>
        <v>1</v>
      </c>
    </row>
    <row r="6220">
      <c r="A6220" s="58">
        <v>45689.0</v>
      </c>
      <c r="B6220" s="24" t="s">
        <v>6790</v>
      </c>
      <c r="C6220" s="24" t="s">
        <v>7002</v>
      </c>
      <c r="D6220" s="59">
        <v>1.0</v>
      </c>
      <c r="E6220" s="59">
        <v>2.0</v>
      </c>
      <c r="F6220" s="59">
        <v>0.0</v>
      </c>
      <c r="G6220" s="60">
        <v>2.0</v>
      </c>
      <c r="H6220" s="60">
        <v>0.0</v>
      </c>
      <c r="I6220" s="60">
        <v>238.656882</v>
      </c>
      <c r="J6220" s="59">
        <v>6.0</v>
      </c>
      <c r="K6220" s="61">
        <f t="shared" si="1"/>
        <v>0</v>
      </c>
      <c r="L6220" s="62">
        <f t="shared" si="2"/>
        <v>3</v>
      </c>
    </row>
    <row r="6221">
      <c r="A6221" s="58">
        <v>45689.0</v>
      </c>
      <c r="B6221" s="24" t="s">
        <v>155</v>
      </c>
      <c r="C6221" s="24" t="s">
        <v>6841</v>
      </c>
      <c r="D6221" s="59">
        <v>1.0</v>
      </c>
      <c r="E6221" s="59">
        <v>1.0</v>
      </c>
      <c r="F6221" s="59">
        <v>1.0</v>
      </c>
      <c r="G6221" s="60">
        <v>1.0</v>
      </c>
      <c r="H6221" s="60">
        <v>1.0</v>
      </c>
      <c r="I6221" s="60">
        <v>0.0</v>
      </c>
      <c r="J6221" s="59">
        <v>1.0</v>
      </c>
      <c r="K6221" s="61">
        <f t="shared" si="1"/>
        <v>1</v>
      </c>
      <c r="L6221" s="62">
        <f t="shared" si="2"/>
        <v>1</v>
      </c>
    </row>
    <row r="6222">
      <c r="A6222" s="58">
        <v>45689.0</v>
      </c>
      <c r="B6222" s="24" t="s">
        <v>6787</v>
      </c>
      <c r="C6222" s="24" t="s">
        <v>6899</v>
      </c>
      <c r="D6222" s="59">
        <v>1.0</v>
      </c>
      <c r="E6222" s="59">
        <v>1.0</v>
      </c>
      <c r="F6222" s="59">
        <v>1.0</v>
      </c>
      <c r="G6222" s="60">
        <v>1.0</v>
      </c>
      <c r="H6222" s="60">
        <v>1.0</v>
      </c>
      <c r="I6222" s="60">
        <v>0.0</v>
      </c>
      <c r="J6222" s="59">
        <v>1.0</v>
      </c>
      <c r="K6222" s="61">
        <f t="shared" si="1"/>
        <v>1</v>
      </c>
      <c r="L6222" s="62">
        <f t="shared" si="2"/>
        <v>1</v>
      </c>
    </row>
    <row r="6223">
      <c r="A6223" s="58">
        <v>45689.0</v>
      </c>
      <c r="B6223" s="24" t="s">
        <v>6789</v>
      </c>
      <c r="C6223" s="24" t="s">
        <v>6899</v>
      </c>
      <c r="D6223" s="59">
        <v>1.0</v>
      </c>
      <c r="E6223" s="59">
        <v>2.0</v>
      </c>
      <c r="F6223" s="59">
        <v>0.0</v>
      </c>
      <c r="G6223" s="60">
        <v>2.0</v>
      </c>
      <c r="H6223" s="60">
        <v>0.0</v>
      </c>
      <c r="I6223" s="60">
        <v>1692.2863585</v>
      </c>
      <c r="J6223" s="59">
        <v>11.0</v>
      </c>
      <c r="K6223" s="61">
        <f t="shared" si="1"/>
        <v>0</v>
      </c>
      <c r="L6223" s="62">
        <f t="shared" si="2"/>
        <v>5.5</v>
      </c>
    </row>
    <row r="6224">
      <c r="A6224" s="58">
        <v>45689.0</v>
      </c>
      <c r="B6224" s="24" t="s">
        <v>6789</v>
      </c>
      <c r="C6224" s="24" t="s">
        <v>6842</v>
      </c>
      <c r="D6224" s="59">
        <v>1.0</v>
      </c>
      <c r="E6224" s="59">
        <v>1.0</v>
      </c>
      <c r="F6224" s="59">
        <v>0.0</v>
      </c>
      <c r="G6224" s="60">
        <v>1.0</v>
      </c>
      <c r="H6224" s="60">
        <v>0.0</v>
      </c>
      <c r="I6224" s="60">
        <v>37.33797</v>
      </c>
      <c r="J6224" s="59">
        <v>5.0</v>
      </c>
      <c r="K6224" s="61">
        <f t="shared" si="1"/>
        <v>0</v>
      </c>
      <c r="L6224" s="62">
        <f t="shared" si="2"/>
        <v>5</v>
      </c>
    </row>
    <row r="6225">
      <c r="A6225" s="58">
        <v>45689.0</v>
      </c>
      <c r="B6225" s="24" t="s">
        <v>6787</v>
      </c>
      <c r="C6225" s="24" t="s">
        <v>6811</v>
      </c>
      <c r="D6225" s="59">
        <v>1.0</v>
      </c>
      <c r="E6225" s="59">
        <v>1.0</v>
      </c>
      <c r="F6225" s="59">
        <v>1.0</v>
      </c>
      <c r="G6225" s="60">
        <v>1.0</v>
      </c>
      <c r="H6225" s="60">
        <v>0.0</v>
      </c>
      <c r="I6225" s="60">
        <v>122.311765</v>
      </c>
      <c r="J6225" s="59">
        <v>6.0</v>
      </c>
      <c r="K6225" s="61">
        <f t="shared" si="1"/>
        <v>1</v>
      </c>
      <c r="L6225" s="62">
        <f t="shared" si="2"/>
        <v>6</v>
      </c>
    </row>
    <row r="6226">
      <c r="A6226" s="58">
        <v>45689.0</v>
      </c>
      <c r="B6226" s="24" t="s">
        <v>155</v>
      </c>
      <c r="C6226" s="24" t="s">
        <v>6811</v>
      </c>
      <c r="D6226" s="59">
        <v>1.0</v>
      </c>
      <c r="E6226" s="59">
        <v>1.0</v>
      </c>
      <c r="F6226" s="59">
        <v>1.0</v>
      </c>
      <c r="G6226" s="60">
        <v>1.0</v>
      </c>
      <c r="H6226" s="60">
        <v>0.0</v>
      </c>
      <c r="I6226" s="60">
        <v>1956.221534</v>
      </c>
      <c r="J6226" s="59">
        <v>3.0</v>
      </c>
      <c r="K6226" s="61">
        <f t="shared" si="1"/>
        <v>1</v>
      </c>
      <c r="L6226" s="62">
        <f t="shared" si="2"/>
        <v>3</v>
      </c>
    </row>
    <row r="6227">
      <c r="A6227" s="58">
        <v>45689.0</v>
      </c>
      <c r="B6227" s="24" t="s">
        <v>6787</v>
      </c>
      <c r="C6227" s="24" t="s">
        <v>7006</v>
      </c>
      <c r="D6227" s="59">
        <v>1.0</v>
      </c>
      <c r="E6227" s="59">
        <v>1.0</v>
      </c>
      <c r="F6227" s="59">
        <v>1.0</v>
      </c>
      <c r="G6227" s="60">
        <v>1.0</v>
      </c>
      <c r="H6227" s="60">
        <v>1.0</v>
      </c>
      <c r="I6227" s="60">
        <v>2.70146</v>
      </c>
      <c r="J6227" s="59">
        <v>1.0</v>
      </c>
      <c r="K6227" s="61">
        <f t="shared" si="1"/>
        <v>1</v>
      </c>
      <c r="L6227" s="62">
        <f t="shared" si="2"/>
        <v>1</v>
      </c>
    </row>
    <row r="6228">
      <c r="A6228" s="58">
        <v>45689.0</v>
      </c>
      <c r="B6228" s="24" t="s">
        <v>6787</v>
      </c>
      <c r="C6228" s="24" t="s">
        <v>6900</v>
      </c>
      <c r="D6228" s="59">
        <v>1.0</v>
      </c>
      <c r="E6228" s="59">
        <v>2.0</v>
      </c>
      <c r="F6228" s="59">
        <v>1.0</v>
      </c>
      <c r="G6228" s="60">
        <v>2.0</v>
      </c>
      <c r="H6228" s="60">
        <v>0.5</v>
      </c>
      <c r="I6228" s="60">
        <v>2.6771815</v>
      </c>
      <c r="J6228" s="59">
        <v>3.0</v>
      </c>
      <c r="K6228" s="61">
        <f t="shared" si="1"/>
        <v>0.5</v>
      </c>
      <c r="L6228" s="62">
        <f t="shared" si="2"/>
        <v>1.5</v>
      </c>
    </row>
    <row r="6229">
      <c r="A6229" s="58">
        <v>45689.0</v>
      </c>
      <c r="B6229" s="24" t="s">
        <v>6787</v>
      </c>
      <c r="C6229" s="24" t="s">
        <v>7077</v>
      </c>
      <c r="D6229" s="59">
        <v>1.0</v>
      </c>
      <c r="E6229" s="59">
        <v>1.0</v>
      </c>
      <c r="F6229" s="59">
        <v>1.0</v>
      </c>
      <c r="G6229" s="60">
        <v>1.0</v>
      </c>
      <c r="H6229" s="60">
        <v>1.0</v>
      </c>
      <c r="I6229" s="60">
        <v>2.083664</v>
      </c>
      <c r="J6229" s="59">
        <v>1.0</v>
      </c>
      <c r="K6229" s="61">
        <f t="shared" si="1"/>
        <v>1</v>
      </c>
      <c r="L6229" s="62">
        <f t="shared" si="2"/>
        <v>1</v>
      </c>
    </row>
    <row r="6230">
      <c r="A6230" s="58">
        <v>45689.0</v>
      </c>
      <c r="B6230" s="24" t="s">
        <v>6794</v>
      </c>
      <c r="C6230" s="24" t="s">
        <v>7077</v>
      </c>
      <c r="D6230" s="59">
        <v>1.0</v>
      </c>
      <c r="E6230" s="59">
        <v>1.0</v>
      </c>
      <c r="F6230" s="59">
        <v>0.0</v>
      </c>
      <c r="G6230" s="60">
        <v>1.0</v>
      </c>
      <c r="H6230" s="60">
        <v>1.0</v>
      </c>
      <c r="I6230" s="60">
        <v>4.948619</v>
      </c>
      <c r="J6230" s="59">
        <v>1.0</v>
      </c>
      <c r="K6230" s="61">
        <f t="shared" si="1"/>
        <v>0</v>
      </c>
      <c r="L6230" s="62">
        <f t="shared" si="2"/>
        <v>1</v>
      </c>
    </row>
    <row r="6231">
      <c r="A6231" s="58">
        <v>45689.0</v>
      </c>
      <c r="B6231" s="24" t="s">
        <v>6790</v>
      </c>
      <c r="C6231" s="24" t="s">
        <v>6807</v>
      </c>
      <c r="D6231" s="59">
        <v>1.0</v>
      </c>
      <c r="E6231" s="59">
        <v>1.0</v>
      </c>
      <c r="F6231" s="59">
        <v>0.0</v>
      </c>
      <c r="G6231" s="60">
        <v>1.0</v>
      </c>
      <c r="H6231" s="60">
        <v>0.0</v>
      </c>
      <c r="I6231" s="60">
        <v>1846.345725</v>
      </c>
      <c r="J6231" s="59">
        <v>14.0</v>
      </c>
      <c r="K6231" s="61">
        <f t="shared" si="1"/>
        <v>0</v>
      </c>
      <c r="L6231" s="62">
        <f t="shared" si="2"/>
        <v>14</v>
      </c>
    </row>
    <row r="6232">
      <c r="A6232" s="58">
        <v>45689.0</v>
      </c>
      <c r="B6232" s="24" t="s">
        <v>155</v>
      </c>
      <c r="C6232" s="24" t="s">
        <v>7009</v>
      </c>
      <c r="D6232" s="59">
        <v>1.0</v>
      </c>
      <c r="E6232" s="59">
        <v>1.0</v>
      </c>
      <c r="F6232" s="59">
        <v>1.0</v>
      </c>
      <c r="G6232" s="60">
        <v>1.0</v>
      </c>
      <c r="H6232" s="60">
        <v>1.0</v>
      </c>
      <c r="I6232" s="60">
        <v>0.0</v>
      </c>
      <c r="J6232" s="59">
        <v>1.0</v>
      </c>
      <c r="K6232" s="61">
        <f t="shared" si="1"/>
        <v>1</v>
      </c>
      <c r="L6232" s="62">
        <f t="shared" si="2"/>
        <v>1</v>
      </c>
    </row>
    <row r="6233">
      <c r="A6233" s="58">
        <v>45689.0</v>
      </c>
      <c r="B6233" s="24" t="s">
        <v>6787</v>
      </c>
      <c r="C6233" s="24" t="s">
        <v>7401</v>
      </c>
      <c r="D6233" s="59">
        <v>1.0</v>
      </c>
      <c r="E6233" s="59">
        <v>1.0</v>
      </c>
      <c r="F6233" s="59">
        <v>1.0</v>
      </c>
      <c r="G6233" s="60">
        <v>1.0</v>
      </c>
      <c r="H6233" s="60">
        <v>0.0</v>
      </c>
      <c r="I6233" s="60">
        <v>210.733277</v>
      </c>
      <c r="J6233" s="59">
        <v>1.0</v>
      </c>
      <c r="K6233" s="61">
        <f t="shared" si="1"/>
        <v>1</v>
      </c>
      <c r="L6233" s="62">
        <f t="shared" si="2"/>
        <v>1</v>
      </c>
    </row>
    <row r="6234">
      <c r="A6234" s="58">
        <v>45689.0</v>
      </c>
      <c r="B6234" s="24" t="s">
        <v>6789</v>
      </c>
      <c r="C6234" s="24" t="s">
        <v>6904</v>
      </c>
      <c r="D6234" s="59">
        <v>1.0</v>
      </c>
      <c r="E6234" s="59">
        <v>1.0</v>
      </c>
      <c r="F6234" s="59">
        <v>0.0</v>
      </c>
      <c r="G6234" s="60">
        <v>1.0</v>
      </c>
      <c r="H6234" s="60">
        <v>0.0</v>
      </c>
      <c r="I6234" s="60">
        <v>43.947704</v>
      </c>
      <c r="J6234" s="59">
        <v>2.0</v>
      </c>
      <c r="K6234" s="61">
        <f t="shared" si="1"/>
        <v>0</v>
      </c>
      <c r="L6234" s="62">
        <f t="shared" si="2"/>
        <v>2</v>
      </c>
    </row>
    <row r="6235">
      <c r="A6235" s="58">
        <v>45689.0</v>
      </c>
      <c r="B6235" s="24" t="s">
        <v>6787</v>
      </c>
      <c r="C6235" s="24" t="s">
        <v>6905</v>
      </c>
      <c r="D6235" s="59">
        <v>1.0</v>
      </c>
      <c r="E6235" s="59">
        <v>1.0</v>
      </c>
      <c r="F6235" s="59">
        <v>1.0</v>
      </c>
      <c r="G6235" s="60">
        <v>1.0</v>
      </c>
      <c r="H6235" s="60">
        <v>0.0</v>
      </c>
      <c r="I6235" s="60">
        <v>49.001182</v>
      </c>
      <c r="J6235" s="59">
        <v>3.0</v>
      </c>
      <c r="K6235" s="61">
        <f t="shared" si="1"/>
        <v>1</v>
      </c>
      <c r="L6235" s="62">
        <f t="shared" si="2"/>
        <v>3</v>
      </c>
    </row>
    <row r="6236">
      <c r="A6236" s="58">
        <v>45689.0</v>
      </c>
      <c r="B6236" s="24" t="s">
        <v>6787</v>
      </c>
      <c r="C6236" s="24" t="s">
        <v>7236</v>
      </c>
      <c r="D6236" s="59">
        <v>1.0</v>
      </c>
      <c r="E6236" s="59">
        <v>1.0</v>
      </c>
      <c r="F6236" s="59">
        <v>0.0</v>
      </c>
      <c r="G6236" s="60">
        <v>1.0</v>
      </c>
      <c r="H6236" s="60">
        <v>0.0</v>
      </c>
      <c r="I6236" s="60">
        <v>1095.081693</v>
      </c>
      <c r="J6236" s="59">
        <v>1.0</v>
      </c>
      <c r="K6236" s="61">
        <f t="shared" si="1"/>
        <v>0</v>
      </c>
      <c r="L6236" s="62">
        <f t="shared" si="2"/>
        <v>1</v>
      </c>
    </row>
    <row r="6237">
      <c r="A6237" s="58">
        <v>45689.0</v>
      </c>
      <c r="B6237" s="24" t="s">
        <v>6790</v>
      </c>
      <c r="C6237" s="24" t="s">
        <v>7236</v>
      </c>
      <c r="D6237" s="59">
        <v>1.0</v>
      </c>
      <c r="E6237" s="59">
        <v>1.0</v>
      </c>
      <c r="F6237" s="59">
        <v>0.0</v>
      </c>
      <c r="G6237" s="60">
        <v>1.0</v>
      </c>
      <c r="H6237" s="60">
        <v>0.0</v>
      </c>
      <c r="I6237" s="60">
        <v>1205.237305</v>
      </c>
      <c r="J6237" s="59">
        <v>2.0</v>
      </c>
      <c r="K6237" s="61">
        <f t="shared" si="1"/>
        <v>0</v>
      </c>
      <c r="L6237" s="62">
        <f t="shared" si="2"/>
        <v>2</v>
      </c>
    </row>
    <row r="6238">
      <c r="A6238" s="58">
        <v>45689.0</v>
      </c>
      <c r="B6238" s="24" t="s">
        <v>3216</v>
      </c>
      <c r="C6238" s="24" t="s">
        <v>7472</v>
      </c>
      <c r="D6238" s="59">
        <v>1.0</v>
      </c>
      <c r="E6238" s="59">
        <v>1.0</v>
      </c>
      <c r="F6238" s="59">
        <v>1.0</v>
      </c>
      <c r="G6238" s="60">
        <v>1.0</v>
      </c>
      <c r="H6238" s="60">
        <v>0.0</v>
      </c>
      <c r="I6238" s="60">
        <v>19.825575</v>
      </c>
      <c r="J6238" s="59">
        <v>1.0</v>
      </c>
      <c r="K6238" s="61">
        <f t="shared" si="1"/>
        <v>1</v>
      </c>
      <c r="L6238" s="62">
        <f t="shared" si="2"/>
        <v>1</v>
      </c>
    </row>
    <row r="6239">
      <c r="A6239" s="58">
        <v>45689.0</v>
      </c>
      <c r="B6239" s="24" t="s">
        <v>6789</v>
      </c>
      <c r="C6239" s="24" t="s">
        <v>7472</v>
      </c>
      <c r="D6239" s="59">
        <v>1.0</v>
      </c>
      <c r="E6239" s="59">
        <v>1.0</v>
      </c>
      <c r="F6239" s="59">
        <v>0.0</v>
      </c>
      <c r="G6239" s="60">
        <v>1.0</v>
      </c>
      <c r="H6239" s="60">
        <v>0.0</v>
      </c>
      <c r="I6239" s="60">
        <v>528.083391</v>
      </c>
      <c r="J6239" s="59">
        <v>1.0</v>
      </c>
      <c r="K6239" s="61">
        <f t="shared" si="1"/>
        <v>0</v>
      </c>
      <c r="L6239" s="62">
        <f t="shared" si="2"/>
        <v>1</v>
      </c>
    </row>
    <row r="6240">
      <c r="A6240" s="58">
        <v>45689.0</v>
      </c>
      <c r="B6240" s="24" t="s">
        <v>6790</v>
      </c>
      <c r="C6240" s="24" t="s">
        <v>6808</v>
      </c>
      <c r="D6240" s="59">
        <v>1.0</v>
      </c>
      <c r="E6240" s="59">
        <v>1.0</v>
      </c>
      <c r="F6240" s="59">
        <v>0.0</v>
      </c>
      <c r="G6240" s="60">
        <v>1.0</v>
      </c>
      <c r="H6240" s="60">
        <v>0.0</v>
      </c>
      <c r="I6240" s="60">
        <v>754.872992</v>
      </c>
      <c r="J6240" s="59">
        <v>4.0</v>
      </c>
      <c r="K6240" s="61">
        <f t="shared" si="1"/>
        <v>0</v>
      </c>
      <c r="L6240" s="62">
        <f t="shared" si="2"/>
        <v>4</v>
      </c>
    </row>
    <row r="6241">
      <c r="A6241" s="58">
        <v>45689.0</v>
      </c>
      <c r="B6241" s="24" t="s">
        <v>6789</v>
      </c>
      <c r="C6241" s="24" t="s">
        <v>7035</v>
      </c>
      <c r="D6241" s="59">
        <v>1.0</v>
      </c>
      <c r="E6241" s="59">
        <v>1.0</v>
      </c>
      <c r="F6241" s="59">
        <v>1.0</v>
      </c>
      <c r="G6241" s="60">
        <v>1.0</v>
      </c>
      <c r="H6241" s="60">
        <v>1.0</v>
      </c>
      <c r="I6241" s="60">
        <v>0.0</v>
      </c>
      <c r="J6241" s="59">
        <v>1.0</v>
      </c>
      <c r="K6241" s="61">
        <f t="shared" si="1"/>
        <v>1</v>
      </c>
      <c r="L6241" s="62">
        <f t="shared" si="2"/>
        <v>1</v>
      </c>
    </row>
    <row r="6242">
      <c r="A6242" s="58">
        <v>45689.0</v>
      </c>
      <c r="B6242" s="24" t="s">
        <v>6789</v>
      </c>
      <c r="C6242" s="24" t="s">
        <v>7026</v>
      </c>
      <c r="D6242" s="59">
        <v>1.0</v>
      </c>
      <c r="E6242" s="59">
        <v>1.0</v>
      </c>
      <c r="F6242" s="59">
        <v>0.0</v>
      </c>
      <c r="G6242" s="60">
        <v>1.0</v>
      </c>
      <c r="H6242" s="60">
        <v>1.0</v>
      </c>
      <c r="I6242" s="60">
        <v>7.236667</v>
      </c>
      <c r="J6242" s="59">
        <v>1.0</v>
      </c>
      <c r="K6242" s="61">
        <f t="shared" si="1"/>
        <v>0</v>
      </c>
      <c r="L6242" s="62">
        <f t="shared" si="2"/>
        <v>1</v>
      </c>
    </row>
    <row r="6243">
      <c r="A6243" s="58">
        <v>45689.0</v>
      </c>
      <c r="B6243" s="24" t="s">
        <v>155</v>
      </c>
      <c r="C6243" s="24" t="s">
        <v>7026</v>
      </c>
      <c r="D6243" s="59">
        <v>1.0</v>
      </c>
      <c r="E6243" s="59">
        <v>7.0</v>
      </c>
      <c r="F6243" s="59">
        <v>0.0</v>
      </c>
      <c r="G6243" s="60">
        <v>0.0</v>
      </c>
      <c r="H6243" s="60">
        <v>1.0</v>
      </c>
      <c r="I6243" s="60">
        <v>0.0</v>
      </c>
      <c r="J6243" s="59">
        <v>7.0</v>
      </c>
      <c r="K6243" s="61">
        <f t="shared" si="1"/>
        <v>0</v>
      </c>
      <c r="L6243" s="62">
        <f t="shared" si="2"/>
        <v>1</v>
      </c>
    </row>
    <row r="6244">
      <c r="A6244" s="58">
        <v>45689.0</v>
      </c>
      <c r="B6244" s="24" t="s">
        <v>6789</v>
      </c>
      <c r="C6244" s="24" t="s">
        <v>7088</v>
      </c>
      <c r="D6244" s="59">
        <v>1.0</v>
      </c>
      <c r="E6244" s="59">
        <v>2.0</v>
      </c>
      <c r="F6244" s="59">
        <v>1.0</v>
      </c>
      <c r="G6244" s="60">
        <v>2.0</v>
      </c>
      <c r="H6244" s="60">
        <v>1.0</v>
      </c>
      <c r="I6244" s="60">
        <v>0.0</v>
      </c>
      <c r="J6244" s="59">
        <v>2.0</v>
      </c>
      <c r="K6244" s="61">
        <f t="shared" si="1"/>
        <v>0.5</v>
      </c>
      <c r="L6244" s="62">
        <f t="shared" si="2"/>
        <v>1</v>
      </c>
    </row>
    <row r="6245">
      <c r="A6245" s="58">
        <v>45689.0</v>
      </c>
      <c r="B6245" s="24" t="s">
        <v>6787</v>
      </c>
      <c r="C6245" s="24" t="s">
        <v>7189</v>
      </c>
      <c r="D6245" s="59">
        <v>1.0</v>
      </c>
      <c r="E6245" s="59">
        <v>1.0</v>
      </c>
      <c r="F6245" s="59">
        <v>1.0</v>
      </c>
      <c r="G6245" s="60">
        <v>1.0</v>
      </c>
      <c r="H6245" s="60">
        <v>0.0</v>
      </c>
      <c r="I6245" s="60">
        <v>74.679916</v>
      </c>
      <c r="J6245" s="59">
        <v>1.0</v>
      </c>
      <c r="K6245" s="61">
        <f t="shared" si="1"/>
        <v>1</v>
      </c>
      <c r="L6245" s="62">
        <f t="shared" si="2"/>
        <v>1</v>
      </c>
    </row>
    <row r="6246">
      <c r="A6246" s="58">
        <v>45689.0</v>
      </c>
      <c r="B6246" s="24" t="s">
        <v>6789</v>
      </c>
      <c r="C6246" s="24" t="s">
        <v>7189</v>
      </c>
      <c r="D6246" s="59">
        <v>1.0</v>
      </c>
      <c r="E6246" s="59">
        <v>1.0</v>
      </c>
      <c r="F6246" s="59">
        <v>0.0</v>
      </c>
      <c r="G6246" s="60">
        <v>1.0</v>
      </c>
      <c r="H6246" s="60">
        <v>0.0</v>
      </c>
      <c r="I6246" s="60">
        <v>278.146021</v>
      </c>
      <c r="J6246" s="59">
        <v>2.0</v>
      </c>
      <c r="K6246" s="61">
        <f t="shared" si="1"/>
        <v>0</v>
      </c>
      <c r="L6246" s="62">
        <f t="shared" si="2"/>
        <v>2</v>
      </c>
    </row>
    <row r="6247">
      <c r="A6247" s="58">
        <v>45689.0</v>
      </c>
      <c r="B6247" s="24" t="s">
        <v>155</v>
      </c>
      <c r="C6247" s="24" t="s">
        <v>7189</v>
      </c>
      <c r="D6247" s="59">
        <v>1.0</v>
      </c>
      <c r="E6247" s="59">
        <v>1.0</v>
      </c>
      <c r="F6247" s="59">
        <v>0.0</v>
      </c>
      <c r="G6247" s="60">
        <v>1.0</v>
      </c>
      <c r="H6247" s="60">
        <v>0.0</v>
      </c>
      <c r="I6247" s="60">
        <v>11.399025</v>
      </c>
      <c r="J6247" s="59">
        <v>1.0</v>
      </c>
      <c r="K6247" s="61">
        <f t="shared" si="1"/>
        <v>0</v>
      </c>
      <c r="L6247" s="62">
        <f t="shared" si="2"/>
        <v>1</v>
      </c>
    </row>
    <row r="6248">
      <c r="A6248" s="58">
        <v>45689.0</v>
      </c>
      <c r="B6248" s="24" t="s">
        <v>6787</v>
      </c>
      <c r="C6248" s="24" t="s">
        <v>7043</v>
      </c>
      <c r="D6248" s="59">
        <v>1.0</v>
      </c>
      <c r="E6248" s="59">
        <v>1.0</v>
      </c>
      <c r="F6248" s="59">
        <v>1.0</v>
      </c>
      <c r="G6248" s="60">
        <v>1.0</v>
      </c>
      <c r="H6248" s="60">
        <v>1.0</v>
      </c>
      <c r="I6248" s="60">
        <v>0.0</v>
      </c>
      <c r="J6248" s="59">
        <v>1.0</v>
      </c>
      <c r="K6248" s="61">
        <f t="shared" si="1"/>
        <v>1</v>
      </c>
      <c r="L6248" s="62">
        <f t="shared" si="2"/>
        <v>1</v>
      </c>
    </row>
    <row r="6249">
      <c r="A6249" s="58">
        <v>45689.0</v>
      </c>
      <c r="B6249" s="24" t="s">
        <v>6789</v>
      </c>
      <c r="C6249" s="24" t="s">
        <v>7043</v>
      </c>
      <c r="D6249" s="59">
        <v>1.0</v>
      </c>
      <c r="E6249" s="59">
        <v>1.0</v>
      </c>
      <c r="F6249" s="59">
        <v>0.0</v>
      </c>
      <c r="G6249" s="60">
        <v>1.0</v>
      </c>
      <c r="H6249" s="60">
        <v>0.0</v>
      </c>
      <c r="I6249" s="60">
        <v>1396.600695</v>
      </c>
      <c r="J6249" s="59">
        <v>1.0</v>
      </c>
      <c r="K6249" s="61">
        <f t="shared" si="1"/>
        <v>0</v>
      </c>
      <c r="L6249" s="62">
        <f t="shared" si="2"/>
        <v>1</v>
      </c>
    </row>
    <row r="6250">
      <c r="A6250" s="58">
        <v>45689.0</v>
      </c>
      <c r="B6250" s="24" t="s">
        <v>155</v>
      </c>
      <c r="C6250" s="24" t="s">
        <v>7090</v>
      </c>
      <c r="D6250" s="59">
        <v>1.0</v>
      </c>
      <c r="E6250" s="59">
        <v>1.0</v>
      </c>
      <c r="F6250" s="59">
        <v>1.0</v>
      </c>
      <c r="G6250" s="60">
        <v>1.0</v>
      </c>
      <c r="H6250" s="60">
        <v>1.0</v>
      </c>
      <c r="I6250" s="60">
        <v>0.0</v>
      </c>
      <c r="J6250" s="59">
        <v>1.0</v>
      </c>
      <c r="K6250" s="61">
        <f t="shared" si="1"/>
        <v>1</v>
      </c>
      <c r="L6250" s="62">
        <f t="shared" si="2"/>
        <v>1</v>
      </c>
    </row>
    <row r="6251">
      <c r="A6251" s="58">
        <v>45689.0</v>
      </c>
      <c r="B6251" s="24" t="s">
        <v>155</v>
      </c>
      <c r="C6251" s="24" t="s">
        <v>7159</v>
      </c>
      <c r="D6251" s="59">
        <v>1.0</v>
      </c>
      <c r="E6251" s="59">
        <v>1.0</v>
      </c>
      <c r="F6251" s="59">
        <v>0.0</v>
      </c>
      <c r="G6251" s="60">
        <v>1.0</v>
      </c>
      <c r="H6251" s="60">
        <v>1.0</v>
      </c>
      <c r="I6251" s="60">
        <v>0.0</v>
      </c>
      <c r="J6251" s="59">
        <v>1.0</v>
      </c>
      <c r="K6251" s="61">
        <f t="shared" si="1"/>
        <v>0</v>
      </c>
      <c r="L6251" s="62">
        <f t="shared" si="2"/>
        <v>1</v>
      </c>
    </row>
    <row r="6252">
      <c r="A6252" s="58">
        <v>45689.0</v>
      </c>
      <c r="B6252" s="24" t="s">
        <v>6787</v>
      </c>
      <c r="C6252" s="24" t="s">
        <v>7161</v>
      </c>
      <c r="D6252" s="59">
        <v>1.0</v>
      </c>
      <c r="E6252" s="59">
        <v>1.0</v>
      </c>
      <c r="F6252" s="59">
        <v>1.0</v>
      </c>
      <c r="G6252" s="60">
        <v>1.0</v>
      </c>
      <c r="H6252" s="60">
        <v>1.0</v>
      </c>
      <c r="I6252" s="60">
        <v>0.0</v>
      </c>
      <c r="J6252" s="59">
        <v>1.0</v>
      </c>
      <c r="K6252" s="61">
        <f t="shared" si="1"/>
        <v>1</v>
      </c>
      <c r="L6252" s="62">
        <f t="shared" si="2"/>
        <v>1</v>
      </c>
    </row>
    <row r="6253">
      <c r="A6253" s="58">
        <v>45689.0</v>
      </c>
      <c r="B6253" s="24" t="s">
        <v>6789</v>
      </c>
      <c r="C6253" s="24" t="s">
        <v>7191</v>
      </c>
      <c r="D6253" s="59">
        <v>1.0</v>
      </c>
      <c r="E6253" s="59">
        <v>1.0</v>
      </c>
      <c r="F6253" s="59">
        <v>1.0</v>
      </c>
      <c r="G6253" s="60">
        <v>1.0</v>
      </c>
      <c r="H6253" s="60">
        <v>1.0</v>
      </c>
      <c r="I6253" s="60">
        <v>0.0</v>
      </c>
      <c r="J6253" s="59">
        <v>1.0</v>
      </c>
      <c r="K6253" s="61">
        <f t="shared" si="1"/>
        <v>1</v>
      </c>
      <c r="L6253" s="62">
        <f t="shared" si="2"/>
        <v>1</v>
      </c>
    </row>
    <row r="6254">
      <c r="A6254" s="58">
        <v>45689.0</v>
      </c>
      <c r="B6254" s="24" t="s">
        <v>6789</v>
      </c>
      <c r="C6254" s="24" t="s">
        <v>7131</v>
      </c>
      <c r="D6254" s="59">
        <v>1.0</v>
      </c>
      <c r="E6254" s="59">
        <v>2.0</v>
      </c>
      <c r="F6254" s="59">
        <v>1.0</v>
      </c>
      <c r="G6254" s="60">
        <v>2.0</v>
      </c>
      <c r="H6254" s="60">
        <v>1.0</v>
      </c>
      <c r="I6254" s="60">
        <v>0.0</v>
      </c>
      <c r="J6254" s="59">
        <v>2.0</v>
      </c>
      <c r="K6254" s="61">
        <f t="shared" si="1"/>
        <v>0.5</v>
      </c>
      <c r="L6254" s="62">
        <f t="shared" si="2"/>
        <v>1</v>
      </c>
    </row>
    <row r="6255">
      <c r="A6255" s="58">
        <v>45689.0</v>
      </c>
      <c r="B6255" s="24" t="s">
        <v>6789</v>
      </c>
      <c r="C6255" s="24" t="s">
        <v>7094</v>
      </c>
      <c r="D6255" s="59">
        <v>1.0</v>
      </c>
      <c r="E6255" s="59">
        <v>1.0</v>
      </c>
      <c r="F6255" s="59">
        <v>0.0</v>
      </c>
      <c r="G6255" s="60">
        <v>0.0</v>
      </c>
      <c r="H6255" s="60">
        <v>1.0</v>
      </c>
      <c r="I6255" s="60">
        <v>0.0</v>
      </c>
      <c r="J6255" s="59">
        <v>1.0</v>
      </c>
      <c r="K6255" s="61">
        <f t="shared" si="1"/>
        <v>0</v>
      </c>
      <c r="L6255" s="62">
        <f t="shared" si="2"/>
        <v>1</v>
      </c>
    </row>
    <row r="6256">
      <c r="A6256" s="58">
        <v>45689.0</v>
      </c>
      <c r="B6256" s="24" t="s">
        <v>6789</v>
      </c>
      <c r="C6256" s="24" t="s">
        <v>7166</v>
      </c>
      <c r="D6256" s="59">
        <v>1.0</v>
      </c>
      <c r="E6256" s="59">
        <v>1.0</v>
      </c>
      <c r="F6256" s="59">
        <v>1.0</v>
      </c>
      <c r="G6256" s="60">
        <v>1.0</v>
      </c>
      <c r="H6256" s="60">
        <v>0.0</v>
      </c>
      <c r="I6256" s="60">
        <v>57.796691</v>
      </c>
      <c r="J6256" s="59">
        <v>1.0</v>
      </c>
      <c r="K6256" s="61">
        <f t="shared" si="1"/>
        <v>1</v>
      </c>
      <c r="L6256" s="62">
        <f t="shared" si="2"/>
        <v>1</v>
      </c>
    </row>
    <row r="6257">
      <c r="A6257" s="58">
        <v>45689.0</v>
      </c>
      <c r="B6257" s="24" t="s">
        <v>6787</v>
      </c>
      <c r="C6257" s="24" t="s">
        <v>7185</v>
      </c>
      <c r="D6257" s="59">
        <v>1.0</v>
      </c>
      <c r="E6257" s="59">
        <v>1.0</v>
      </c>
      <c r="F6257" s="59">
        <v>0.0</v>
      </c>
      <c r="G6257" s="60">
        <v>1.0</v>
      </c>
      <c r="H6257" s="60">
        <v>0.0</v>
      </c>
      <c r="I6257" s="60">
        <v>340.192427</v>
      </c>
      <c r="J6257" s="59">
        <v>1.0</v>
      </c>
      <c r="K6257" s="61">
        <f t="shared" si="1"/>
        <v>0</v>
      </c>
      <c r="L6257" s="62">
        <f t="shared" si="2"/>
        <v>1</v>
      </c>
    </row>
    <row r="6258">
      <c r="A6258" s="58">
        <v>45689.0</v>
      </c>
      <c r="B6258" s="24" t="s">
        <v>6787</v>
      </c>
      <c r="C6258" s="24" t="s">
        <v>7137</v>
      </c>
      <c r="D6258" s="59">
        <v>1.0</v>
      </c>
      <c r="E6258" s="59">
        <v>1.0</v>
      </c>
      <c r="F6258" s="59">
        <v>1.0</v>
      </c>
      <c r="G6258" s="60">
        <v>1.0</v>
      </c>
      <c r="H6258" s="60">
        <v>1.0</v>
      </c>
      <c r="I6258" s="60">
        <v>0.0</v>
      </c>
      <c r="J6258" s="59">
        <v>1.0</v>
      </c>
      <c r="K6258" s="61">
        <f t="shared" si="1"/>
        <v>1</v>
      </c>
      <c r="L6258" s="62">
        <f t="shared" si="2"/>
        <v>1</v>
      </c>
    </row>
    <row r="6259">
      <c r="A6259" s="58">
        <v>45689.0</v>
      </c>
      <c r="B6259" s="24" t="s">
        <v>6789</v>
      </c>
      <c r="C6259" s="24" t="s">
        <v>7137</v>
      </c>
      <c r="D6259" s="59">
        <v>1.0</v>
      </c>
      <c r="E6259" s="59">
        <v>1.0</v>
      </c>
      <c r="F6259" s="59">
        <v>1.0</v>
      </c>
      <c r="G6259" s="60">
        <v>1.0</v>
      </c>
      <c r="H6259" s="60">
        <v>0.0</v>
      </c>
      <c r="I6259" s="60">
        <v>39.876599</v>
      </c>
      <c r="J6259" s="59">
        <v>1.0</v>
      </c>
      <c r="K6259" s="61">
        <f t="shared" si="1"/>
        <v>1</v>
      </c>
      <c r="L6259" s="62">
        <f t="shared" si="2"/>
        <v>1</v>
      </c>
    </row>
    <row r="6260">
      <c r="A6260" s="58">
        <v>45689.0</v>
      </c>
      <c r="B6260" s="24" t="s">
        <v>6789</v>
      </c>
      <c r="C6260" s="24" t="s">
        <v>7098</v>
      </c>
      <c r="D6260" s="59">
        <v>1.0</v>
      </c>
      <c r="E6260" s="59">
        <v>1.0</v>
      </c>
      <c r="F6260" s="59">
        <v>1.0</v>
      </c>
      <c r="G6260" s="60">
        <v>1.0</v>
      </c>
      <c r="H6260" s="60">
        <v>1.0</v>
      </c>
      <c r="I6260" s="60">
        <v>0.0</v>
      </c>
      <c r="J6260" s="59">
        <v>1.0</v>
      </c>
      <c r="K6260" s="61">
        <f t="shared" si="1"/>
        <v>1</v>
      </c>
      <c r="L6260" s="62">
        <f t="shared" si="2"/>
        <v>1</v>
      </c>
    </row>
    <row r="6261">
      <c r="A6261" s="58">
        <v>45689.0</v>
      </c>
      <c r="B6261" s="24" t="s">
        <v>6787</v>
      </c>
      <c r="C6261" s="24" t="s">
        <v>7169</v>
      </c>
      <c r="D6261" s="59">
        <v>1.0</v>
      </c>
      <c r="E6261" s="59">
        <v>1.0</v>
      </c>
      <c r="F6261" s="59">
        <v>1.0</v>
      </c>
      <c r="G6261" s="60">
        <v>1.0</v>
      </c>
      <c r="H6261" s="60">
        <v>0.0</v>
      </c>
      <c r="I6261" s="60">
        <v>26.996731</v>
      </c>
      <c r="J6261" s="59">
        <v>1.0</v>
      </c>
      <c r="K6261" s="61">
        <f t="shared" si="1"/>
        <v>1</v>
      </c>
      <c r="L6261" s="62">
        <f t="shared" si="2"/>
        <v>1</v>
      </c>
    </row>
    <row r="6262">
      <c r="A6262" s="58">
        <v>45689.0</v>
      </c>
      <c r="B6262" s="24" t="s">
        <v>155</v>
      </c>
      <c r="C6262" s="24" t="s">
        <v>7237</v>
      </c>
      <c r="D6262" s="59">
        <v>1.0</v>
      </c>
      <c r="E6262" s="59">
        <v>1.0</v>
      </c>
      <c r="F6262" s="59">
        <v>1.0</v>
      </c>
      <c r="G6262" s="60">
        <v>1.0</v>
      </c>
      <c r="H6262" s="60">
        <v>0.0</v>
      </c>
      <c r="I6262" s="60">
        <v>331.222973</v>
      </c>
      <c r="J6262" s="59">
        <v>4.0</v>
      </c>
      <c r="K6262" s="61">
        <f t="shared" si="1"/>
        <v>1</v>
      </c>
      <c r="L6262" s="62">
        <f t="shared" si="2"/>
        <v>4</v>
      </c>
    </row>
    <row r="6263">
      <c r="A6263" s="58">
        <v>45689.0</v>
      </c>
      <c r="B6263" s="24" t="s">
        <v>6787</v>
      </c>
      <c r="C6263" s="24" t="s">
        <v>7013</v>
      </c>
      <c r="D6263" s="59">
        <v>1.0</v>
      </c>
      <c r="E6263" s="59">
        <v>1.0</v>
      </c>
      <c r="F6263" s="59">
        <v>1.0</v>
      </c>
      <c r="G6263" s="60">
        <v>1.0</v>
      </c>
      <c r="H6263" s="60">
        <v>0.0</v>
      </c>
      <c r="I6263" s="60">
        <v>90.458229</v>
      </c>
      <c r="J6263" s="59">
        <v>4.0</v>
      </c>
      <c r="K6263" s="61">
        <f t="shared" si="1"/>
        <v>1</v>
      </c>
      <c r="L6263" s="62">
        <f t="shared" si="2"/>
        <v>4</v>
      </c>
    </row>
    <row r="6264">
      <c r="A6264" s="58">
        <v>45689.0</v>
      </c>
      <c r="B6264" s="24" t="s">
        <v>6789</v>
      </c>
      <c r="C6264" s="24" t="s">
        <v>7013</v>
      </c>
      <c r="D6264" s="59">
        <v>1.0</v>
      </c>
      <c r="E6264" s="59">
        <v>2.0</v>
      </c>
      <c r="F6264" s="59">
        <v>1.0</v>
      </c>
      <c r="G6264" s="60">
        <v>2.0</v>
      </c>
      <c r="H6264" s="60">
        <v>1.0</v>
      </c>
      <c r="I6264" s="60">
        <v>0.0</v>
      </c>
      <c r="J6264" s="59">
        <v>2.0</v>
      </c>
      <c r="K6264" s="61">
        <f t="shared" si="1"/>
        <v>0.5</v>
      </c>
      <c r="L6264" s="62">
        <f t="shared" si="2"/>
        <v>1</v>
      </c>
    </row>
    <row r="6265">
      <c r="A6265" s="58">
        <v>45689.0</v>
      </c>
      <c r="B6265" s="24" t="s">
        <v>6794</v>
      </c>
      <c r="C6265" s="24" t="s">
        <v>6960</v>
      </c>
      <c r="D6265" s="59">
        <v>1.0</v>
      </c>
      <c r="E6265" s="59">
        <v>1.0</v>
      </c>
      <c r="F6265" s="59">
        <v>0.0</v>
      </c>
      <c r="G6265" s="60">
        <v>1.0</v>
      </c>
      <c r="H6265" s="60">
        <v>0.0</v>
      </c>
      <c r="I6265" s="60">
        <v>11.44852</v>
      </c>
      <c r="J6265" s="59">
        <v>2.0</v>
      </c>
      <c r="K6265" s="61">
        <f t="shared" si="1"/>
        <v>0</v>
      </c>
      <c r="L6265" s="62">
        <f t="shared" si="2"/>
        <v>2</v>
      </c>
    </row>
    <row r="6266">
      <c r="A6266" s="58">
        <v>45689.0</v>
      </c>
      <c r="B6266" s="24" t="s">
        <v>6790</v>
      </c>
      <c r="C6266" s="24" t="s">
        <v>6809</v>
      </c>
      <c r="D6266" s="59">
        <v>1.0</v>
      </c>
      <c r="E6266" s="59">
        <v>1.0</v>
      </c>
      <c r="F6266" s="59">
        <v>1.0</v>
      </c>
      <c r="G6266" s="60">
        <v>1.0</v>
      </c>
      <c r="H6266" s="60">
        <v>1.0</v>
      </c>
      <c r="I6266" s="60">
        <v>0.0</v>
      </c>
      <c r="J6266" s="59">
        <v>1.0</v>
      </c>
      <c r="K6266" s="61">
        <f t="shared" si="1"/>
        <v>1</v>
      </c>
      <c r="L6266" s="62">
        <f t="shared" si="2"/>
        <v>1</v>
      </c>
    </row>
    <row r="6267">
      <c r="A6267" s="58">
        <v>45689.0</v>
      </c>
      <c r="B6267" s="24" t="s">
        <v>6787</v>
      </c>
      <c r="C6267" s="24" t="s">
        <v>7101</v>
      </c>
      <c r="D6267" s="59">
        <v>1.0</v>
      </c>
      <c r="E6267" s="59">
        <v>1.0</v>
      </c>
      <c r="F6267" s="59">
        <v>1.0</v>
      </c>
      <c r="G6267" s="60">
        <v>1.0</v>
      </c>
      <c r="H6267" s="60">
        <v>1.0</v>
      </c>
      <c r="I6267" s="60">
        <v>0.0</v>
      </c>
      <c r="J6267" s="59">
        <v>1.0</v>
      </c>
      <c r="K6267" s="61">
        <f t="shared" si="1"/>
        <v>1</v>
      </c>
      <c r="L6267" s="62">
        <f t="shared" si="2"/>
        <v>1</v>
      </c>
    </row>
    <row r="6268">
      <c r="A6268" s="58">
        <v>45689.0</v>
      </c>
      <c r="B6268" s="24" t="s">
        <v>155</v>
      </c>
      <c r="C6268" s="24" t="s">
        <v>6849</v>
      </c>
      <c r="D6268" s="59">
        <v>1.0</v>
      </c>
      <c r="E6268" s="59">
        <v>1.0</v>
      </c>
      <c r="F6268" s="59">
        <v>1.0</v>
      </c>
      <c r="G6268" s="60">
        <v>1.0</v>
      </c>
      <c r="H6268" s="60">
        <v>1.0</v>
      </c>
      <c r="I6268" s="60">
        <v>8.325491</v>
      </c>
      <c r="J6268" s="59">
        <v>1.0</v>
      </c>
      <c r="K6268" s="61">
        <f t="shared" si="1"/>
        <v>1</v>
      </c>
      <c r="L6268" s="62">
        <f t="shared" si="2"/>
        <v>1</v>
      </c>
    </row>
    <row r="6269">
      <c r="A6269" s="58">
        <v>45689.0</v>
      </c>
      <c r="B6269" s="24" t="s">
        <v>6794</v>
      </c>
      <c r="C6269" s="24" t="s">
        <v>7172</v>
      </c>
      <c r="D6269" s="59">
        <v>1.0</v>
      </c>
      <c r="E6269" s="59">
        <v>1.0</v>
      </c>
      <c r="F6269" s="59">
        <v>0.0</v>
      </c>
      <c r="G6269" s="60">
        <v>1.0</v>
      </c>
      <c r="H6269" s="60">
        <v>1.0</v>
      </c>
      <c r="I6269" s="60">
        <v>1.987833</v>
      </c>
      <c r="J6269" s="59">
        <v>1.0</v>
      </c>
      <c r="K6269" s="61">
        <f t="shared" si="1"/>
        <v>0</v>
      </c>
      <c r="L6269" s="62">
        <f t="shared" si="2"/>
        <v>1</v>
      </c>
    </row>
    <row r="6270">
      <c r="A6270" s="58">
        <v>45689.0</v>
      </c>
      <c r="B6270" s="24" t="s">
        <v>6790</v>
      </c>
      <c r="C6270" s="24" t="s">
        <v>7172</v>
      </c>
      <c r="D6270" s="59">
        <v>1.0</v>
      </c>
      <c r="E6270" s="59">
        <v>1.0</v>
      </c>
      <c r="F6270" s="59">
        <v>1.0</v>
      </c>
      <c r="G6270" s="60">
        <v>1.0</v>
      </c>
      <c r="H6270" s="60">
        <v>1.0</v>
      </c>
      <c r="I6270" s="60">
        <v>0.0</v>
      </c>
      <c r="J6270" s="59">
        <v>1.0</v>
      </c>
      <c r="K6270" s="61">
        <f t="shared" si="1"/>
        <v>1</v>
      </c>
      <c r="L6270" s="62">
        <f t="shared" si="2"/>
        <v>1</v>
      </c>
    </row>
    <row r="6271">
      <c r="A6271" s="58">
        <v>45689.0</v>
      </c>
      <c r="B6271" s="24" t="s">
        <v>6790</v>
      </c>
      <c r="C6271" s="24" t="s">
        <v>7443</v>
      </c>
      <c r="D6271" s="59">
        <v>1.0</v>
      </c>
      <c r="E6271" s="59">
        <v>1.0</v>
      </c>
      <c r="F6271" s="59">
        <v>1.0</v>
      </c>
      <c r="G6271" s="60">
        <v>1.0</v>
      </c>
      <c r="H6271" s="60">
        <v>1.0</v>
      </c>
      <c r="I6271" s="60">
        <v>0.0</v>
      </c>
      <c r="J6271" s="59">
        <v>1.0</v>
      </c>
      <c r="K6271" s="61">
        <f t="shared" si="1"/>
        <v>1</v>
      </c>
      <c r="L6271" s="62">
        <f t="shared" si="2"/>
        <v>1</v>
      </c>
    </row>
    <row r="6272">
      <c r="A6272" s="58">
        <v>45689.0</v>
      </c>
      <c r="B6272" s="24" t="s">
        <v>6789</v>
      </c>
      <c r="C6272" s="24" t="s">
        <v>6851</v>
      </c>
      <c r="D6272" s="59">
        <v>1.0</v>
      </c>
      <c r="E6272" s="59">
        <v>1.0</v>
      </c>
      <c r="F6272" s="59">
        <v>0.0</v>
      </c>
      <c r="G6272" s="60">
        <v>1.0</v>
      </c>
      <c r="H6272" s="60">
        <v>0.0</v>
      </c>
      <c r="I6272" s="60">
        <v>203.719515</v>
      </c>
      <c r="J6272" s="59">
        <v>5.0</v>
      </c>
      <c r="K6272" s="61">
        <f t="shared" si="1"/>
        <v>0</v>
      </c>
      <c r="L6272" s="62">
        <f t="shared" si="2"/>
        <v>5</v>
      </c>
    </row>
    <row r="6273">
      <c r="A6273" s="58">
        <v>45689.0</v>
      </c>
      <c r="B6273" s="24" t="s">
        <v>6794</v>
      </c>
      <c r="C6273" s="24" t="s">
        <v>6851</v>
      </c>
      <c r="D6273" s="59">
        <v>1.0</v>
      </c>
      <c r="E6273" s="59">
        <v>1.0</v>
      </c>
      <c r="F6273" s="59">
        <v>0.0</v>
      </c>
      <c r="G6273" s="60">
        <v>1.0</v>
      </c>
      <c r="H6273" s="60">
        <v>0.0</v>
      </c>
      <c r="I6273" s="60">
        <v>963.268622</v>
      </c>
      <c r="J6273" s="59">
        <v>5.0</v>
      </c>
      <c r="K6273" s="61">
        <f t="shared" si="1"/>
        <v>0</v>
      </c>
      <c r="L6273" s="62">
        <f t="shared" si="2"/>
        <v>5</v>
      </c>
    </row>
    <row r="6274">
      <c r="A6274" s="58">
        <v>45689.0</v>
      </c>
      <c r="B6274" s="24" t="s">
        <v>6790</v>
      </c>
      <c r="C6274" s="24" t="s">
        <v>6851</v>
      </c>
      <c r="D6274" s="59">
        <v>1.0</v>
      </c>
      <c r="E6274" s="59">
        <v>1.0</v>
      </c>
      <c r="F6274" s="59">
        <v>1.0</v>
      </c>
      <c r="G6274" s="60">
        <v>1.0</v>
      </c>
      <c r="H6274" s="60">
        <v>1.0</v>
      </c>
      <c r="I6274" s="60">
        <v>0.0</v>
      </c>
      <c r="J6274" s="59">
        <v>1.0</v>
      </c>
      <c r="K6274" s="61">
        <f t="shared" si="1"/>
        <v>1</v>
      </c>
      <c r="L6274" s="62">
        <f t="shared" si="2"/>
        <v>1</v>
      </c>
    </row>
    <row r="6275">
      <c r="A6275" s="58">
        <v>45689.0</v>
      </c>
      <c r="B6275" s="24" t="s">
        <v>6787</v>
      </c>
      <c r="C6275" s="24" t="s">
        <v>6801</v>
      </c>
      <c r="D6275" s="59">
        <v>1.0</v>
      </c>
      <c r="E6275" s="59">
        <v>1.0</v>
      </c>
      <c r="F6275" s="59">
        <v>1.0</v>
      </c>
      <c r="G6275" s="60">
        <v>1.0</v>
      </c>
      <c r="H6275" s="60">
        <v>0.0</v>
      </c>
      <c r="I6275" s="60">
        <v>104.994932</v>
      </c>
      <c r="J6275" s="59">
        <v>1.0</v>
      </c>
      <c r="K6275" s="61">
        <f t="shared" si="1"/>
        <v>1</v>
      </c>
      <c r="L6275" s="62">
        <f t="shared" si="2"/>
        <v>1</v>
      </c>
    </row>
    <row r="6276">
      <c r="A6276" s="58">
        <v>45689.0</v>
      </c>
      <c r="B6276" s="24" t="s">
        <v>6789</v>
      </c>
      <c r="C6276" s="24" t="s">
        <v>7173</v>
      </c>
      <c r="D6276" s="59">
        <v>1.0</v>
      </c>
      <c r="E6276" s="59">
        <v>1.0</v>
      </c>
      <c r="F6276" s="59">
        <v>0.0</v>
      </c>
      <c r="G6276" s="60">
        <v>1.0</v>
      </c>
      <c r="H6276" s="60">
        <v>0.0</v>
      </c>
      <c r="I6276" s="60">
        <v>10.947231</v>
      </c>
      <c r="J6276" s="59">
        <v>1.0</v>
      </c>
      <c r="K6276" s="61">
        <f t="shared" si="1"/>
        <v>0</v>
      </c>
      <c r="L6276" s="62">
        <f t="shared" si="2"/>
        <v>1</v>
      </c>
    </row>
    <row r="6277">
      <c r="A6277" s="58">
        <v>45689.0</v>
      </c>
      <c r="B6277" s="24" t="s">
        <v>6787</v>
      </c>
      <c r="C6277" s="24" t="s">
        <v>6814</v>
      </c>
      <c r="D6277" s="59">
        <v>1.0</v>
      </c>
      <c r="E6277" s="59">
        <v>1.0</v>
      </c>
      <c r="F6277" s="59">
        <v>1.0</v>
      </c>
      <c r="G6277" s="60">
        <v>1.0</v>
      </c>
      <c r="H6277" s="60">
        <v>1.0</v>
      </c>
      <c r="I6277" s="60">
        <v>0.0</v>
      </c>
      <c r="J6277" s="59">
        <v>1.0</v>
      </c>
      <c r="K6277" s="61">
        <f t="shared" si="1"/>
        <v>1</v>
      </c>
      <c r="L6277" s="62">
        <f t="shared" si="2"/>
        <v>1</v>
      </c>
    </row>
    <row r="6278">
      <c r="A6278" s="58">
        <v>45689.0</v>
      </c>
      <c r="B6278" s="24" t="s">
        <v>6787</v>
      </c>
      <c r="C6278" s="24" t="s">
        <v>7174</v>
      </c>
      <c r="D6278" s="59">
        <v>1.0</v>
      </c>
      <c r="E6278" s="59">
        <v>1.0</v>
      </c>
      <c r="F6278" s="59">
        <v>1.0</v>
      </c>
      <c r="G6278" s="60">
        <v>1.0</v>
      </c>
      <c r="H6278" s="60">
        <v>1.0</v>
      </c>
      <c r="I6278" s="60">
        <v>0.0</v>
      </c>
      <c r="J6278" s="59">
        <v>1.0</v>
      </c>
      <c r="K6278" s="61">
        <f t="shared" si="1"/>
        <v>1</v>
      </c>
      <c r="L6278" s="62">
        <f t="shared" si="2"/>
        <v>1</v>
      </c>
    </row>
    <row r="6279">
      <c r="A6279" s="58">
        <v>45689.0</v>
      </c>
      <c r="B6279" s="24" t="s">
        <v>6787</v>
      </c>
      <c r="C6279" s="24" t="s">
        <v>7470</v>
      </c>
      <c r="D6279" s="59">
        <v>1.0</v>
      </c>
      <c r="E6279" s="59">
        <v>1.0</v>
      </c>
      <c r="F6279" s="59">
        <v>1.0</v>
      </c>
      <c r="G6279" s="60">
        <v>1.0</v>
      </c>
      <c r="H6279" s="60">
        <v>1.0</v>
      </c>
      <c r="I6279" s="60">
        <v>0.0</v>
      </c>
      <c r="J6279" s="59">
        <v>1.0</v>
      </c>
      <c r="K6279" s="61">
        <f t="shared" si="1"/>
        <v>1</v>
      </c>
      <c r="L6279" s="62">
        <f t="shared" si="2"/>
        <v>1</v>
      </c>
    </row>
    <row r="6280">
      <c r="A6280" s="58">
        <v>45689.0</v>
      </c>
      <c r="B6280" s="24" t="s">
        <v>6787</v>
      </c>
      <c r="C6280" s="24" t="s">
        <v>7192</v>
      </c>
      <c r="D6280" s="59">
        <v>1.0</v>
      </c>
      <c r="E6280" s="59">
        <v>1.0</v>
      </c>
      <c r="F6280" s="59">
        <v>0.0</v>
      </c>
      <c r="G6280" s="60">
        <v>1.0</v>
      </c>
      <c r="H6280" s="60">
        <v>0.0</v>
      </c>
      <c r="I6280" s="60">
        <v>5.676096</v>
      </c>
      <c r="J6280" s="59">
        <v>2.0</v>
      </c>
      <c r="K6280" s="61">
        <f t="shared" si="1"/>
        <v>0</v>
      </c>
      <c r="L6280" s="62">
        <f t="shared" si="2"/>
        <v>2</v>
      </c>
    </row>
    <row r="6281">
      <c r="A6281" s="58">
        <v>45689.0</v>
      </c>
      <c r="B6281" s="24" t="s">
        <v>6787</v>
      </c>
      <c r="C6281" s="24" t="s">
        <v>7014</v>
      </c>
      <c r="D6281" s="59">
        <v>1.0</v>
      </c>
      <c r="E6281" s="59">
        <v>1.0</v>
      </c>
      <c r="F6281" s="59">
        <v>1.0</v>
      </c>
      <c r="G6281" s="60">
        <v>1.0</v>
      </c>
      <c r="H6281" s="60">
        <v>0.0</v>
      </c>
      <c r="I6281" s="60">
        <v>13.139266</v>
      </c>
      <c r="J6281" s="59">
        <v>2.0</v>
      </c>
      <c r="K6281" s="61">
        <f t="shared" si="1"/>
        <v>1</v>
      </c>
      <c r="L6281" s="62">
        <f t="shared" si="2"/>
        <v>2</v>
      </c>
    </row>
    <row r="6282">
      <c r="A6282" s="58">
        <v>45689.0</v>
      </c>
      <c r="B6282" s="24" t="s">
        <v>155</v>
      </c>
      <c r="C6282" s="24" t="s">
        <v>7106</v>
      </c>
      <c r="D6282" s="59">
        <v>1.0</v>
      </c>
      <c r="E6282" s="59">
        <v>1.0</v>
      </c>
      <c r="F6282" s="59">
        <v>1.0</v>
      </c>
      <c r="G6282" s="60">
        <v>1.0</v>
      </c>
      <c r="H6282" s="60">
        <v>1.0</v>
      </c>
      <c r="I6282" s="60">
        <v>0.0</v>
      </c>
      <c r="J6282" s="59">
        <v>1.0</v>
      </c>
      <c r="K6282" s="61">
        <f t="shared" si="1"/>
        <v>1</v>
      </c>
      <c r="L6282" s="62">
        <f t="shared" si="2"/>
        <v>1</v>
      </c>
    </row>
    <row r="6283">
      <c r="A6283" s="58">
        <v>45689.0</v>
      </c>
      <c r="B6283" s="24" t="s">
        <v>6794</v>
      </c>
      <c r="C6283" s="24" t="s">
        <v>7180</v>
      </c>
      <c r="D6283" s="59">
        <v>1.0</v>
      </c>
      <c r="E6283" s="59">
        <v>1.0</v>
      </c>
      <c r="F6283" s="59">
        <v>1.0</v>
      </c>
      <c r="G6283" s="60">
        <v>1.0</v>
      </c>
      <c r="H6283" s="60">
        <v>1.0</v>
      </c>
      <c r="I6283" s="60">
        <v>0.0</v>
      </c>
      <c r="J6283" s="59">
        <v>1.0</v>
      </c>
      <c r="K6283" s="61">
        <f t="shared" si="1"/>
        <v>1</v>
      </c>
      <c r="L6283" s="62">
        <f t="shared" si="2"/>
        <v>1</v>
      </c>
    </row>
    <row r="6284">
      <c r="A6284" s="58">
        <v>45689.0</v>
      </c>
      <c r="B6284" s="24" t="s">
        <v>6794</v>
      </c>
      <c r="C6284" s="24" t="s">
        <v>6815</v>
      </c>
      <c r="D6284" s="59">
        <v>1.0</v>
      </c>
      <c r="E6284" s="59">
        <v>1.0</v>
      </c>
      <c r="F6284" s="59">
        <v>1.0</v>
      </c>
      <c r="G6284" s="60">
        <v>1.0</v>
      </c>
      <c r="H6284" s="60">
        <v>0.0</v>
      </c>
      <c r="I6284" s="60">
        <v>1822.982052</v>
      </c>
      <c r="J6284" s="59">
        <v>2.0</v>
      </c>
      <c r="K6284" s="61">
        <f t="shared" si="1"/>
        <v>1</v>
      </c>
      <c r="L6284" s="62">
        <f t="shared" si="2"/>
        <v>2</v>
      </c>
    </row>
    <row r="6285">
      <c r="A6285" s="58">
        <v>45689.0</v>
      </c>
      <c r="B6285" s="24" t="s">
        <v>155</v>
      </c>
      <c r="C6285" s="24" t="s">
        <v>6815</v>
      </c>
      <c r="D6285" s="59">
        <v>1.0</v>
      </c>
      <c r="E6285" s="59">
        <v>1.0</v>
      </c>
      <c r="F6285" s="59">
        <v>0.0</v>
      </c>
      <c r="G6285" s="60">
        <v>1.0</v>
      </c>
      <c r="H6285" s="60">
        <v>0.0</v>
      </c>
      <c r="I6285" s="60">
        <v>1.592837</v>
      </c>
      <c r="J6285" s="59">
        <v>2.0</v>
      </c>
      <c r="K6285" s="61">
        <f t="shared" si="1"/>
        <v>0</v>
      </c>
      <c r="L6285" s="62">
        <f t="shared" si="2"/>
        <v>2</v>
      </c>
    </row>
    <row r="6286">
      <c r="A6286" s="58">
        <v>45689.0</v>
      </c>
      <c r="B6286" s="24" t="s">
        <v>3216</v>
      </c>
      <c r="C6286" s="24" t="s">
        <v>7426</v>
      </c>
      <c r="D6286" s="59">
        <v>1.0</v>
      </c>
      <c r="E6286" s="59">
        <v>1.0</v>
      </c>
      <c r="F6286" s="59">
        <v>1.0</v>
      </c>
      <c r="G6286" s="60">
        <v>1.0</v>
      </c>
      <c r="H6286" s="60">
        <v>0.0</v>
      </c>
      <c r="I6286" s="60">
        <v>17.555119</v>
      </c>
      <c r="J6286" s="59">
        <v>1.0</v>
      </c>
      <c r="K6286" s="61">
        <f t="shared" si="1"/>
        <v>1</v>
      </c>
      <c r="L6286" s="62">
        <f t="shared" si="2"/>
        <v>1</v>
      </c>
    </row>
    <row r="6287">
      <c r="A6287" s="58">
        <v>45689.0</v>
      </c>
      <c r="B6287" s="24" t="s">
        <v>6794</v>
      </c>
      <c r="C6287" s="24" t="s">
        <v>7426</v>
      </c>
      <c r="D6287" s="59">
        <v>1.0</v>
      </c>
      <c r="E6287" s="59">
        <v>1.0</v>
      </c>
      <c r="F6287" s="59">
        <v>1.0</v>
      </c>
      <c r="G6287" s="60">
        <v>1.0</v>
      </c>
      <c r="H6287" s="60">
        <v>0.0</v>
      </c>
      <c r="I6287" s="60">
        <v>290.730643</v>
      </c>
      <c r="J6287" s="59">
        <v>1.0</v>
      </c>
      <c r="K6287" s="61">
        <f t="shared" si="1"/>
        <v>1</v>
      </c>
      <c r="L6287" s="62">
        <f t="shared" si="2"/>
        <v>1</v>
      </c>
    </row>
    <row r="6288">
      <c r="A6288" s="58">
        <v>45689.0</v>
      </c>
      <c r="B6288" s="24" t="s">
        <v>155</v>
      </c>
      <c r="C6288" s="24" t="s">
        <v>7490</v>
      </c>
      <c r="D6288" s="59">
        <v>1.0</v>
      </c>
      <c r="E6288" s="59">
        <v>1.0</v>
      </c>
      <c r="F6288" s="59">
        <v>0.0</v>
      </c>
      <c r="G6288" s="60">
        <v>1.0</v>
      </c>
      <c r="H6288" s="60">
        <v>0.0</v>
      </c>
      <c r="I6288" s="60">
        <v>847.149258</v>
      </c>
      <c r="J6288" s="59">
        <v>5.0</v>
      </c>
      <c r="K6288" s="61">
        <f t="shared" si="1"/>
        <v>0</v>
      </c>
      <c r="L6288" s="62">
        <f t="shared" si="2"/>
        <v>5</v>
      </c>
    </row>
    <row r="6289">
      <c r="A6289" s="58">
        <v>45689.0</v>
      </c>
      <c r="B6289" s="24" t="s">
        <v>6789</v>
      </c>
      <c r="C6289" s="24" t="s">
        <v>7482</v>
      </c>
      <c r="D6289" s="59">
        <v>1.0</v>
      </c>
      <c r="E6289" s="59">
        <v>1.0</v>
      </c>
      <c r="F6289" s="59">
        <v>0.0</v>
      </c>
      <c r="G6289" s="60">
        <v>1.0</v>
      </c>
      <c r="H6289" s="60">
        <v>0.0</v>
      </c>
      <c r="I6289" s="60">
        <v>4250.841696</v>
      </c>
      <c r="J6289" s="59">
        <v>46.0</v>
      </c>
      <c r="K6289" s="61">
        <f t="shared" si="1"/>
        <v>0</v>
      </c>
      <c r="L6289" s="62">
        <f t="shared" si="2"/>
        <v>46</v>
      </c>
    </row>
    <row r="6290">
      <c r="A6290" s="58">
        <v>45689.0</v>
      </c>
      <c r="B6290" s="24" t="s">
        <v>6789</v>
      </c>
      <c r="C6290" s="24" t="s">
        <v>7491</v>
      </c>
      <c r="D6290" s="59">
        <v>1.0</v>
      </c>
      <c r="E6290" s="59">
        <v>1.0</v>
      </c>
      <c r="F6290" s="59">
        <v>0.0</v>
      </c>
      <c r="G6290" s="60">
        <v>1.0</v>
      </c>
      <c r="H6290" s="60">
        <v>0.0</v>
      </c>
      <c r="I6290" s="60">
        <v>550.440783</v>
      </c>
      <c r="J6290" s="59">
        <v>1.0</v>
      </c>
      <c r="K6290" s="61">
        <f t="shared" si="1"/>
        <v>0</v>
      </c>
      <c r="L6290" s="62">
        <f t="shared" si="2"/>
        <v>1</v>
      </c>
    </row>
    <row r="6291">
      <c r="A6291" s="58">
        <v>45689.0</v>
      </c>
      <c r="B6291" s="24" t="s">
        <v>6787</v>
      </c>
      <c r="C6291" s="24" t="s">
        <v>6852</v>
      </c>
      <c r="D6291" s="59">
        <v>1.0</v>
      </c>
      <c r="E6291" s="59">
        <v>1.0</v>
      </c>
      <c r="F6291" s="59">
        <v>1.0</v>
      </c>
      <c r="G6291" s="60">
        <v>1.0</v>
      </c>
      <c r="H6291" s="60">
        <v>0.0</v>
      </c>
      <c r="I6291" s="60">
        <v>325.645668</v>
      </c>
      <c r="J6291" s="59">
        <v>1.0</v>
      </c>
      <c r="K6291" s="61">
        <f t="shared" si="1"/>
        <v>1</v>
      </c>
      <c r="L6291" s="62">
        <f t="shared" si="2"/>
        <v>1</v>
      </c>
    </row>
    <row r="6292">
      <c r="A6292" s="58">
        <v>45689.0</v>
      </c>
      <c r="B6292" s="24" t="s">
        <v>6787</v>
      </c>
      <c r="C6292" s="24" t="s">
        <v>6920</v>
      </c>
      <c r="D6292" s="59">
        <v>1.0</v>
      </c>
      <c r="E6292" s="59">
        <v>1.0</v>
      </c>
      <c r="F6292" s="59">
        <v>0.0</v>
      </c>
      <c r="G6292" s="60">
        <v>1.0</v>
      </c>
      <c r="H6292" s="60">
        <v>0.0</v>
      </c>
      <c r="I6292" s="60">
        <v>81.358029</v>
      </c>
      <c r="J6292" s="59">
        <v>3.0</v>
      </c>
      <c r="K6292" s="61">
        <f t="shared" si="1"/>
        <v>0</v>
      </c>
      <c r="L6292" s="62">
        <f t="shared" si="2"/>
        <v>3</v>
      </c>
    </row>
    <row r="6293">
      <c r="A6293" s="58">
        <v>45689.0</v>
      </c>
      <c r="B6293" s="24" t="s">
        <v>6790</v>
      </c>
      <c r="C6293" s="24" t="s">
        <v>6920</v>
      </c>
      <c r="D6293" s="59">
        <v>1.0</v>
      </c>
      <c r="E6293" s="59">
        <v>3.0</v>
      </c>
      <c r="F6293" s="59">
        <v>0.0</v>
      </c>
      <c r="G6293" s="60">
        <v>3.0</v>
      </c>
      <c r="H6293" s="60">
        <v>0.666666666666666</v>
      </c>
      <c r="I6293" s="60">
        <v>19.789343</v>
      </c>
      <c r="J6293" s="59">
        <v>4.0</v>
      </c>
      <c r="K6293" s="61">
        <f t="shared" si="1"/>
        <v>0</v>
      </c>
      <c r="L6293" s="62">
        <f t="shared" si="2"/>
        <v>1.333333333</v>
      </c>
    </row>
    <row r="6294">
      <c r="A6294" s="58">
        <v>45689.0</v>
      </c>
      <c r="B6294" s="24" t="s">
        <v>3216</v>
      </c>
      <c r="C6294" s="24" t="s">
        <v>6922</v>
      </c>
      <c r="D6294" s="59">
        <v>1.0</v>
      </c>
      <c r="E6294" s="59">
        <v>1.0</v>
      </c>
      <c r="F6294" s="59">
        <v>1.0</v>
      </c>
      <c r="G6294" s="60">
        <v>1.0</v>
      </c>
      <c r="H6294" s="60">
        <v>1.0</v>
      </c>
      <c r="I6294" s="60">
        <v>2.176304</v>
      </c>
      <c r="J6294" s="59">
        <v>1.0</v>
      </c>
      <c r="K6294" s="61">
        <f t="shared" si="1"/>
        <v>1</v>
      </c>
      <c r="L6294" s="62">
        <f t="shared" si="2"/>
        <v>1</v>
      </c>
    </row>
    <row r="6295">
      <c r="A6295" s="58">
        <v>45689.0</v>
      </c>
      <c r="B6295" s="24" t="s">
        <v>6787</v>
      </c>
      <c r="C6295" s="24" t="s">
        <v>7047</v>
      </c>
      <c r="D6295" s="59">
        <v>1.0</v>
      </c>
      <c r="E6295" s="59">
        <v>1.0</v>
      </c>
      <c r="F6295" s="59">
        <v>1.0</v>
      </c>
      <c r="G6295" s="60">
        <v>1.0</v>
      </c>
      <c r="H6295" s="60">
        <v>1.0</v>
      </c>
      <c r="I6295" s="60">
        <v>0.0</v>
      </c>
      <c r="J6295" s="59">
        <v>1.0</v>
      </c>
      <c r="K6295" s="61">
        <f t="shared" si="1"/>
        <v>1</v>
      </c>
      <c r="L6295" s="62">
        <f t="shared" si="2"/>
        <v>1</v>
      </c>
    </row>
    <row r="6296">
      <c r="A6296" s="58">
        <v>45689.0</v>
      </c>
      <c r="B6296" s="24" t="s">
        <v>155</v>
      </c>
      <c r="C6296" s="24" t="s">
        <v>6810</v>
      </c>
      <c r="D6296" s="59">
        <v>1.0</v>
      </c>
      <c r="E6296" s="59">
        <v>2.0</v>
      </c>
      <c r="F6296" s="59">
        <v>0.0</v>
      </c>
      <c r="G6296" s="60">
        <v>2.0</v>
      </c>
      <c r="H6296" s="60">
        <v>0.5</v>
      </c>
      <c r="I6296" s="60">
        <v>448.779267</v>
      </c>
      <c r="J6296" s="59">
        <v>3.0</v>
      </c>
      <c r="K6296" s="61">
        <f t="shared" si="1"/>
        <v>0</v>
      </c>
      <c r="L6296" s="62">
        <f t="shared" si="2"/>
        <v>1.5</v>
      </c>
    </row>
    <row r="6297">
      <c r="A6297" s="58">
        <v>45689.0</v>
      </c>
      <c r="B6297" s="24" t="s">
        <v>6789</v>
      </c>
      <c r="C6297" s="24" t="s">
        <v>6931</v>
      </c>
      <c r="D6297" s="59">
        <v>1.0</v>
      </c>
      <c r="E6297" s="59">
        <v>1.0</v>
      </c>
      <c r="F6297" s="59">
        <v>1.0</v>
      </c>
      <c r="G6297" s="60">
        <v>1.0</v>
      </c>
      <c r="H6297" s="60">
        <v>1.0</v>
      </c>
      <c r="I6297" s="60">
        <v>1.19401</v>
      </c>
      <c r="J6297" s="59">
        <v>1.0</v>
      </c>
      <c r="K6297" s="61">
        <f t="shared" si="1"/>
        <v>1</v>
      </c>
      <c r="L6297" s="62">
        <f t="shared" si="2"/>
        <v>1</v>
      </c>
    </row>
    <row r="6298">
      <c r="A6298" s="58">
        <v>45689.0</v>
      </c>
      <c r="B6298" s="24" t="s">
        <v>155</v>
      </c>
      <c r="C6298" s="24" t="s">
        <v>6931</v>
      </c>
      <c r="D6298" s="59">
        <v>1.0</v>
      </c>
      <c r="E6298" s="59">
        <v>1.0</v>
      </c>
      <c r="F6298" s="59">
        <v>1.0</v>
      </c>
      <c r="G6298" s="60">
        <v>1.0</v>
      </c>
      <c r="H6298" s="60">
        <v>0.0</v>
      </c>
      <c r="I6298" s="60">
        <v>33.37526</v>
      </c>
      <c r="J6298" s="59">
        <v>1.0</v>
      </c>
      <c r="K6298" s="61">
        <f t="shared" si="1"/>
        <v>1</v>
      </c>
      <c r="L6298" s="62">
        <f t="shared" si="2"/>
        <v>1</v>
      </c>
    </row>
    <row r="6299">
      <c r="A6299" s="58">
        <v>45689.0</v>
      </c>
      <c r="B6299" s="24" t="s">
        <v>6790</v>
      </c>
      <c r="C6299" s="24" t="s">
        <v>6931</v>
      </c>
      <c r="D6299" s="59">
        <v>1.0</v>
      </c>
      <c r="E6299" s="59">
        <v>1.0</v>
      </c>
      <c r="F6299" s="59">
        <v>0.0</v>
      </c>
      <c r="G6299" s="60">
        <v>1.0</v>
      </c>
      <c r="H6299" s="60">
        <v>1.0</v>
      </c>
      <c r="I6299" s="60">
        <v>14.74201</v>
      </c>
      <c r="J6299" s="59">
        <v>2.0</v>
      </c>
      <c r="K6299" s="61">
        <f t="shared" si="1"/>
        <v>0</v>
      </c>
      <c r="L6299" s="62">
        <f t="shared" si="2"/>
        <v>2</v>
      </c>
    </row>
    <row r="6300">
      <c r="A6300" s="58">
        <v>45689.0</v>
      </c>
      <c r="B6300" s="24" t="s">
        <v>6789</v>
      </c>
      <c r="C6300" s="24" t="s">
        <v>7118</v>
      </c>
      <c r="D6300" s="59">
        <v>1.0</v>
      </c>
      <c r="E6300" s="59">
        <v>4.0</v>
      </c>
      <c r="F6300" s="59">
        <v>1.0</v>
      </c>
      <c r="G6300" s="60">
        <v>4.0</v>
      </c>
      <c r="H6300" s="60">
        <v>0.0</v>
      </c>
      <c r="I6300" s="60">
        <v>839.15111525</v>
      </c>
      <c r="J6300" s="59">
        <v>16.0</v>
      </c>
      <c r="K6300" s="61">
        <f t="shared" si="1"/>
        <v>0.25</v>
      </c>
      <c r="L6300" s="62">
        <f t="shared" si="2"/>
        <v>4</v>
      </c>
    </row>
    <row r="6301">
      <c r="A6301" s="58">
        <v>45689.0</v>
      </c>
      <c r="B6301" s="24" t="s">
        <v>6794</v>
      </c>
      <c r="C6301" s="24" t="s">
        <v>6854</v>
      </c>
      <c r="D6301" s="59">
        <v>1.0</v>
      </c>
      <c r="E6301" s="59">
        <v>1.0</v>
      </c>
      <c r="F6301" s="59">
        <v>0.0</v>
      </c>
      <c r="G6301" s="60">
        <v>1.0</v>
      </c>
      <c r="H6301" s="60">
        <v>1.0</v>
      </c>
      <c r="I6301" s="60">
        <v>8.874845</v>
      </c>
      <c r="J6301" s="59">
        <v>1.0</v>
      </c>
      <c r="K6301" s="61">
        <f t="shared" si="1"/>
        <v>0</v>
      </c>
      <c r="L6301" s="62">
        <f t="shared" si="2"/>
        <v>1</v>
      </c>
    </row>
    <row r="6302">
      <c r="A6302" s="58">
        <v>45689.0</v>
      </c>
      <c r="B6302" s="24" t="s">
        <v>7100</v>
      </c>
      <c r="C6302" s="24" t="s">
        <v>6854</v>
      </c>
      <c r="D6302" s="59">
        <v>1.0</v>
      </c>
      <c r="E6302" s="59">
        <v>1.0</v>
      </c>
      <c r="F6302" s="59">
        <v>1.0</v>
      </c>
      <c r="G6302" s="60">
        <v>1.0</v>
      </c>
      <c r="H6302" s="60">
        <v>1.0</v>
      </c>
      <c r="I6302" s="60">
        <v>0.0</v>
      </c>
      <c r="J6302" s="59">
        <v>1.0</v>
      </c>
      <c r="K6302" s="61">
        <f t="shared" si="1"/>
        <v>1</v>
      </c>
      <c r="L6302" s="62">
        <f t="shared" si="2"/>
        <v>1</v>
      </c>
    </row>
    <row r="6303">
      <c r="A6303" s="58">
        <v>45689.0</v>
      </c>
      <c r="B6303" s="24" t="s">
        <v>6787</v>
      </c>
      <c r="C6303" s="24" t="s">
        <v>6963</v>
      </c>
      <c r="D6303" s="59">
        <v>1.0</v>
      </c>
      <c r="E6303" s="59">
        <v>1.0</v>
      </c>
      <c r="F6303" s="59">
        <v>1.0</v>
      </c>
      <c r="G6303" s="60">
        <v>1.0</v>
      </c>
      <c r="H6303" s="60">
        <v>1.0</v>
      </c>
      <c r="I6303" s="60">
        <v>0.0</v>
      </c>
      <c r="J6303" s="59">
        <v>1.0</v>
      </c>
      <c r="K6303" s="61">
        <f t="shared" si="1"/>
        <v>1</v>
      </c>
      <c r="L6303" s="62">
        <f t="shared" si="2"/>
        <v>1</v>
      </c>
    </row>
    <row r="6304">
      <c r="A6304" s="58">
        <v>45658.0</v>
      </c>
      <c r="B6304" s="24" t="s">
        <v>6789</v>
      </c>
      <c r="C6304" s="24" t="s">
        <v>6788</v>
      </c>
      <c r="D6304" s="59">
        <v>969.0</v>
      </c>
      <c r="E6304" s="59">
        <v>1404.0</v>
      </c>
      <c r="F6304" s="59">
        <v>809.0</v>
      </c>
      <c r="G6304" s="60">
        <v>1.49044585987261</v>
      </c>
      <c r="H6304" s="60">
        <v>0.474358974358974</v>
      </c>
      <c r="I6304" s="60">
        <v>211.759977866809</v>
      </c>
      <c r="J6304" s="59">
        <v>2608.0</v>
      </c>
      <c r="K6304" s="61">
        <f t="shared" si="1"/>
        <v>0.5762108262</v>
      </c>
      <c r="L6304" s="62">
        <f t="shared" si="2"/>
        <v>1.857549858</v>
      </c>
    </row>
    <row r="6305">
      <c r="A6305" s="58">
        <v>45658.0</v>
      </c>
      <c r="B6305" s="24" t="s">
        <v>6787</v>
      </c>
      <c r="C6305" s="24" t="s">
        <v>6788</v>
      </c>
      <c r="D6305" s="59">
        <v>655.0</v>
      </c>
      <c r="E6305" s="59">
        <v>845.0</v>
      </c>
      <c r="F6305" s="59">
        <v>610.0</v>
      </c>
      <c r="G6305" s="60">
        <v>1.30602782071097</v>
      </c>
      <c r="H6305" s="60">
        <v>0.583431952662721</v>
      </c>
      <c r="I6305" s="60">
        <v>113.955049275739</v>
      </c>
      <c r="J6305" s="59">
        <v>1509.0</v>
      </c>
      <c r="K6305" s="61">
        <f t="shared" si="1"/>
        <v>0.7218934911</v>
      </c>
      <c r="L6305" s="62">
        <f t="shared" si="2"/>
        <v>1.785798817</v>
      </c>
    </row>
    <row r="6306">
      <c r="A6306" s="58">
        <v>45658.0</v>
      </c>
      <c r="B6306" s="24" t="s">
        <v>6789</v>
      </c>
      <c r="C6306" s="24" t="s">
        <v>7068</v>
      </c>
      <c r="D6306" s="59">
        <v>356.0</v>
      </c>
      <c r="E6306" s="59">
        <v>600.0</v>
      </c>
      <c r="F6306" s="59">
        <v>350.0</v>
      </c>
      <c r="G6306" s="60">
        <v>1.69971671388101</v>
      </c>
      <c r="H6306" s="60">
        <v>0.59</v>
      </c>
      <c r="I6306" s="60">
        <v>87.65128565</v>
      </c>
      <c r="J6306" s="59">
        <v>658.0</v>
      </c>
      <c r="K6306" s="61">
        <f t="shared" si="1"/>
        <v>0.5833333333</v>
      </c>
      <c r="L6306" s="62">
        <f t="shared" si="2"/>
        <v>1.096666667</v>
      </c>
    </row>
    <row r="6307">
      <c r="A6307" s="58">
        <v>45658.0</v>
      </c>
      <c r="B6307" s="24" t="s">
        <v>6789</v>
      </c>
      <c r="C6307" s="24" t="s">
        <v>6792</v>
      </c>
      <c r="D6307" s="59">
        <v>261.0</v>
      </c>
      <c r="E6307" s="59">
        <v>318.0</v>
      </c>
      <c r="F6307" s="59">
        <v>0.0</v>
      </c>
      <c r="G6307" s="60">
        <v>1.84883720930232</v>
      </c>
      <c r="H6307" s="60">
        <v>0.962264150943396</v>
      </c>
      <c r="I6307" s="60">
        <v>9.68867666037735</v>
      </c>
      <c r="J6307" s="59">
        <v>0.0</v>
      </c>
      <c r="K6307" s="61">
        <f t="shared" si="1"/>
        <v>0</v>
      </c>
      <c r="L6307" s="62">
        <f t="shared" si="2"/>
        <v>0</v>
      </c>
    </row>
    <row r="6308">
      <c r="A6308" s="58">
        <v>45658.0</v>
      </c>
      <c r="B6308" s="24" t="s">
        <v>155</v>
      </c>
      <c r="C6308" s="24" t="s">
        <v>6788</v>
      </c>
      <c r="D6308" s="59">
        <v>170.0</v>
      </c>
      <c r="E6308" s="59">
        <v>355.0</v>
      </c>
      <c r="F6308" s="59">
        <v>115.0</v>
      </c>
      <c r="G6308" s="60">
        <v>2.10059171597633</v>
      </c>
      <c r="H6308" s="60">
        <v>0.585915492957746</v>
      </c>
      <c r="I6308" s="60">
        <v>153.982935566197</v>
      </c>
      <c r="J6308" s="59">
        <v>527.0</v>
      </c>
      <c r="K6308" s="61">
        <f t="shared" si="1"/>
        <v>0.323943662</v>
      </c>
      <c r="L6308" s="62">
        <f t="shared" si="2"/>
        <v>1.484507042</v>
      </c>
    </row>
    <row r="6309">
      <c r="A6309" s="58">
        <v>45658.0</v>
      </c>
      <c r="B6309" s="24" t="s">
        <v>6794</v>
      </c>
      <c r="C6309" s="24" t="s">
        <v>6788</v>
      </c>
      <c r="D6309" s="59">
        <v>76.0</v>
      </c>
      <c r="E6309" s="59">
        <v>80.0</v>
      </c>
      <c r="F6309" s="59">
        <v>75.0</v>
      </c>
      <c r="G6309" s="60">
        <v>1.05263157894736</v>
      </c>
      <c r="H6309" s="60">
        <v>0.3375</v>
      </c>
      <c r="I6309" s="60">
        <v>164.7076187125</v>
      </c>
      <c r="J6309" s="59">
        <v>125.0</v>
      </c>
      <c r="K6309" s="61">
        <f t="shared" si="1"/>
        <v>0.9375</v>
      </c>
      <c r="L6309" s="62">
        <f t="shared" si="2"/>
        <v>1.5625</v>
      </c>
    </row>
    <row r="6310">
      <c r="A6310" s="58">
        <v>45658.0</v>
      </c>
      <c r="B6310" s="24" t="s">
        <v>6787</v>
      </c>
      <c r="C6310" s="24" t="s">
        <v>6792</v>
      </c>
      <c r="D6310" s="59">
        <v>64.0</v>
      </c>
      <c r="E6310" s="59">
        <v>80.0</v>
      </c>
      <c r="F6310" s="59">
        <v>0.0</v>
      </c>
      <c r="G6310" s="60">
        <v>1.86046511627906</v>
      </c>
      <c r="H6310" s="60">
        <v>1.0</v>
      </c>
      <c r="I6310" s="60">
        <v>0.18411305</v>
      </c>
      <c r="J6310" s="59">
        <v>0.0</v>
      </c>
      <c r="K6310" s="61">
        <f t="shared" si="1"/>
        <v>0</v>
      </c>
      <c r="L6310" s="62">
        <f t="shared" si="2"/>
        <v>0</v>
      </c>
    </row>
    <row r="6311">
      <c r="A6311" s="58">
        <v>45658.0</v>
      </c>
      <c r="B6311" s="24" t="s">
        <v>6789</v>
      </c>
      <c r="C6311" s="24" t="s">
        <v>6815</v>
      </c>
      <c r="D6311" s="59">
        <v>43.0</v>
      </c>
      <c r="E6311" s="59">
        <v>58.0</v>
      </c>
      <c r="F6311" s="59">
        <v>41.0</v>
      </c>
      <c r="G6311" s="60">
        <v>1.34883720930232</v>
      </c>
      <c r="H6311" s="60">
        <v>0.43103448275862</v>
      </c>
      <c r="I6311" s="60">
        <v>140.384297224137</v>
      </c>
      <c r="J6311" s="59">
        <v>82.0</v>
      </c>
      <c r="K6311" s="61">
        <f t="shared" si="1"/>
        <v>0.7068965517</v>
      </c>
      <c r="L6311" s="62">
        <f t="shared" si="2"/>
        <v>1.413793103</v>
      </c>
    </row>
    <row r="6312">
      <c r="A6312" s="58">
        <v>45658.0</v>
      </c>
      <c r="B6312" s="24" t="s">
        <v>6789</v>
      </c>
      <c r="C6312" s="24" t="s">
        <v>6882</v>
      </c>
      <c r="D6312" s="59">
        <v>42.0</v>
      </c>
      <c r="E6312" s="59">
        <v>46.0</v>
      </c>
      <c r="F6312" s="59">
        <v>37.0</v>
      </c>
      <c r="G6312" s="60">
        <v>1.09523809523809</v>
      </c>
      <c r="H6312" s="60">
        <v>0.326086956521739</v>
      </c>
      <c r="I6312" s="60">
        <v>181.980264304347</v>
      </c>
      <c r="J6312" s="59">
        <v>79.0</v>
      </c>
      <c r="K6312" s="61">
        <f t="shared" si="1"/>
        <v>0.8043478261</v>
      </c>
      <c r="L6312" s="62">
        <f t="shared" si="2"/>
        <v>1.717391304</v>
      </c>
    </row>
    <row r="6313">
      <c r="A6313" s="58">
        <v>45658.0</v>
      </c>
      <c r="B6313" s="24" t="s">
        <v>6789</v>
      </c>
      <c r="C6313" s="24" t="s">
        <v>6799</v>
      </c>
      <c r="D6313" s="59">
        <v>41.0</v>
      </c>
      <c r="E6313" s="59">
        <v>56.0</v>
      </c>
      <c r="F6313" s="59">
        <v>26.0</v>
      </c>
      <c r="G6313" s="60">
        <v>1.43589743589743</v>
      </c>
      <c r="H6313" s="60">
        <v>0.464285714285714</v>
      </c>
      <c r="I6313" s="60">
        <v>295.094930375</v>
      </c>
      <c r="J6313" s="59">
        <v>94.0</v>
      </c>
      <c r="K6313" s="61">
        <f t="shared" si="1"/>
        <v>0.4642857143</v>
      </c>
      <c r="L6313" s="62">
        <f t="shared" si="2"/>
        <v>1.678571429</v>
      </c>
    </row>
    <row r="6314">
      <c r="A6314" s="58">
        <v>45658.0</v>
      </c>
      <c r="B6314" s="24" t="s">
        <v>6789</v>
      </c>
      <c r="C6314" s="24" t="s">
        <v>6804</v>
      </c>
      <c r="D6314" s="59">
        <v>37.0</v>
      </c>
      <c r="E6314" s="59">
        <v>41.0</v>
      </c>
      <c r="F6314" s="59">
        <v>37.0</v>
      </c>
      <c r="G6314" s="60">
        <v>1.1081081081081</v>
      </c>
      <c r="H6314" s="60">
        <v>0.585365853658536</v>
      </c>
      <c r="I6314" s="60">
        <v>162.863521560975</v>
      </c>
      <c r="J6314" s="59">
        <v>45.0</v>
      </c>
      <c r="K6314" s="61">
        <f t="shared" si="1"/>
        <v>0.9024390244</v>
      </c>
      <c r="L6314" s="62">
        <f t="shared" si="2"/>
        <v>1.097560976</v>
      </c>
    </row>
    <row r="6315">
      <c r="A6315" s="58">
        <v>45658.0</v>
      </c>
      <c r="B6315" s="24" t="s">
        <v>3216</v>
      </c>
      <c r="C6315" s="24" t="s">
        <v>6882</v>
      </c>
      <c r="D6315" s="59">
        <v>27.0</v>
      </c>
      <c r="E6315" s="59">
        <v>28.0</v>
      </c>
      <c r="F6315" s="59">
        <v>27.0</v>
      </c>
      <c r="G6315" s="60">
        <v>1.03703703703703</v>
      </c>
      <c r="H6315" s="60">
        <v>0.964285714285714</v>
      </c>
      <c r="I6315" s="60">
        <v>1.21539035714285</v>
      </c>
      <c r="J6315" s="59">
        <v>28.0</v>
      </c>
      <c r="K6315" s="61">
        <f t="shared" si="1"/>
        <v>0.9642857143</v>
      </c>
      <c r="L6315" s="62">
        <f t="shared" si="2"/>
        <v>1</v>
      </c>
    </row>
    <row r="6316">
      <c r="A6316" s="58">
        <v>45658.0</v>
      </c>
      <c r="B6316" s="24" t="s">
        <v>6789</v>
      </c>
      <c r="C6316" s="24" t="s">
        <v>6910</v>
      </c>
      <c r="D6316" s="59">
        <v>27.0</v>
      </c>
      <c r="E6316" s="59">
        <v>31.0</v>
      </c>
      <c r="F6316" s="59">
        <v>12.0</v>
      </c>
      <c r="G6316" s="60">
        <v>1.24</v>
      </c>
      <c r="H6316" s="60">
        <v>0.387096774193548</v>
      </c>
      <c r="I6316" s="60">
        <v>197.071820548387</v>
      </c>
      <c r="J6316" s="59">
        <v>72.0</v>
      </c>
      <c r="K6316" s="61">
        <f t="shared" si="1"/>
        <v>0.3870967742</v>
      </c>
      <c r="L6316" s="62">
        <f t="shared" si="2"/>
        <v>2.322580645</v>
      </c>
    </row>
    <row r="6317">
      <c r="A6317" s="58">
        <v>45658.0</v>
      </c>
      <c r="B6317" s="24" t="s">
        <v>155</v>
      </c>
      <c r="C6317" s="24" t="s">
        <v>6792</v>
      </c>
      <c r="D6317" s="59">
        <v>26.0</v>
      </c>
      <c r="E6317" s="59">
        <v>41.0</v>
      </c>
      <c r="F6317" s="59">
        <v>0.0</v>
      </c>
      <c r="G6317" s="60">
        <v>1.95238095238095</v>
      </c>
      <c r="H6317" s="60">
        <v>0.951219512195121</v>
      </c>
      <c r="I6317" s="60">
        <v>43.1354748292683</v>
      </c>
      <c r="J6317" s="59">
        <v>0.0</v>
      </c>
      <c r="K6317" s="61">
        <f t="shared" si="1"/>
        <v>0</v>
      </c>
      <c r="L6317" s="62">
        <f t="shared" si="2"/>
        <v>0</v>
      </c>
    </row>
    <row r="6318">
      <c r="A6318" s="58">
        <v>45658.0</v>
      </c>
      <c r="B6318" s="24" t="s">
        <v>6789</v>
      </c>
      <c r="C6318" s="24" t="s">
        <v>6829</v>
      </c>
      <c r="D6318" s="59">
        <v>25.0</v>
      </c>
      <c r="E6318" s="59">
        <v>28.0</v>
      </c>
      <c r="F6318" s="59">
        <v>21.0</v>
      </c>
      <c r="G6318" s="60">
        <v>1.16666666666666</v>
      </c>
      <c r="H6318" s="60">
        <v>0.5</v>
      </c>
      <c r="I6318" s="60">
        <v>273.67408025</v>
      </c>
      <c r="J6318" s="59">
        <v>33.0</v>
      </c>
      <c r="K6318" s="61">
        <f t="shared" si="1"/>
        <v>0.75</v>
      </c>
      <c r="L6318" s="62">
        <f t="shared" si="2"/>
        <v>1.178571429</v>
      </c>
    </row>
    <row r="6319">
      <c r="A6319" s="58">
        <v>45658.0</v>
      </c>
      <c r="B6319" s="24" t="s">
        <v>6787</v>
      </c>
      <c r="C6319" s="24" t="s">
        <v>6799</v>
      </c>
      <c r="D6319" s="59">
        <v>24.0</v>
      </c>
      <c r="E6319" s="59">
        <v>27.0</v>
      </c>
      <c r="F6319" s="59">
        <v>21.0</v>
      </c>
      <c r="G6319" s="60">
        <v>1.125</v>
      </c>
      <c r="H6319" s="60">
        <v>0.777777777777777</v>
      </c>
      <c r="I6319" s="60">
        <v>15.5005154444444</v>
      </c>
      <c r="J6319" s="59">
        <v>29.0</v>
      </c>
      <c r="K6319" s="61">
        <f t="shared" si="1"/>
        <v>0.7777777778</v>
      </c>
      <c r="L6319" s="62">
        <f t="shared" si="2"/>
        <v>1.074074074</v>
      </c>
    </row>
    <row r="6320">
      <c r="A6320" s="58">
        <v>45658.0</v>
      </c>
      <c r="B6320" s="24" t="s">
        <v>6789</v>
      </c>
      <c r="C6320" s="24" t="s">
        <v>6808</v>
      </c>
      <c r="D6320" s="59">
        <v>23.0</v>
      </c>
      <c r="E6320" s="59">
        <v>26.0</v>
      </c>
      <c r="F6320" s="59">
        <v>13.0</v>
      </c>
      <c r="G6320" s="60">
        <v>1.18181818181818</v>
      </c>
      <c r="H6320" s="60">
        <v>0.192307692307692</v>
      </c>
      <c r="I6320" s="60">
        <v>497.185765923076</v>
      </c>
      <c r="J6320" s="59">
        <v>61.0</v>
      </c>
      <c r="K6320" s="61">
        <f t="shared" si="1"/>
        <v>0.5</v>
      </c>
      <c r="L6320" s="62">
        <f t="shared" si="2"/>
        <v>2.346153846</v>
      </c>
    </row>
    <row r="6321">
      <c r="A6321" s="58">
        <v>45658.0</v>
      </c>
      <c r="B6321" s="24" t="s">
        <v>3216</v>
      </c>
      <c r="C6321" s="24" t="s">
        <v>6854</v>
      </c>
      <c r="D6321" s="59">
        <v>20.0</v>
      </c>
      <c r="E6321" s="59">
        <v>20.0</v>
      </c>
      <c r="F6321" s="59">
        <v>20.0</v>
      </c>
      <c r="G6321" s="60">
        <v>1.0</v>
      </c>
      <c r="H6321" s="60">
        <v>1.0</v>
      </c>
      <c r="I6321" s="60">
        <v>0.0</v>
      </c>
      <c r="J6321" s="59">
        <v>20.0</v>
      </c>
      <c r="K6321" s="61">
        <f t="shared" si="1"/>
        <v>1</v>
      </c>
      <c r="L6321" s="62">
        <f t="shared" si="2"/>
        <v>1</v>
      </c>
    </row>
    <row r="6322">
      <c r="A6322" s="58">
        <v>45658.0</v>
      </c>
      <c r="B6322" s="24" t="s">
        <v>6789</v>
      </c>
      <c r="C6322" s="24" t="s">
        <v>7024</v>
      </c>
      <c r="D6322" s="59">
        <v>19.0</v>
      </c>
      <c r="E6322" s="59">
        <v>19.0</v>
      </c>
      <c r="F6322" s="59">
        <v>19.0</v>
      </c>
      <c r="G6322" s="60">
        <v>1.0</v>
      </c>
      <c r="H6322" s="60">
        <v>0.473684210526315</v>
      </c>
      <c r="I6322" s="60">
        <v>52.8325335789473</v>
      </c>
      <c r="J6322" s="59">
        <v>19.0</v>
      </c>
      <c r="K6322" s="61">
        <f t="shared" si="1"/>
        <v>1</v>
      </c>
      <c r="L6322" s="62">
        <f t="shared" si="2"/>
        <v>1</v>
      </c>
    </row>
    <row r="6323">
      <c r="A6323" s="58">
        <v>45658.0</v>
      </c>
      <c r="B6323" s="24" t="s">
        <v>6789</v>
      </c>
      <c r="C6323" s="24" t="s">
        <v>6898</v>
      </c>
      <c r="D6323" s="59">
        <v>18.0</v>
      </c>
      <c r="E6323" s="59">
        <v>18.0</v>
      </c>
      <c r="F6323" s="59">
        <v>16.0</v>
      </c>
      <c r="G6323" s="60">
        <v>1.0</v>
      </c>
      <c r="H6323" s="60">
        <v>0.5</v>
      </c>
      <c r="I6323" s="60">
        <v>118.510487277777</v>
      </c>
      <c r="J6323" s="59">
        <v>22.0</v>
      </c>
      <c r="K6323" s="61">
        <f t="shared" si="1"/>
        <v>0.8888888889</v>
      </c>
      <c r="L6323" s="62">
        <f t="shared" si="2"/>
        <v>1.222222222</v>
      </c>
    </row>
    <row r="6324">
      <c r="A6324" s="58">
        <v>45658.0</v>
      </c>
      <c r="B6324" s="24" t="s">
        <v>6787</v>
      </c>
      <c r="C6324" s="24" t="s">
        <v>6800</v>
      </c>
      <c r="D6324" s="59">
        <v>17.0</v>
      </c>
      <c r="E6324" s="59">
        <v>17.0</v>
      </c>
      <c r="F6324" s="59">
        <v>17.0</v>
      </c>
      <c r="G6324" s="60">
        <v>1.0</v>
      </c>
      <c r="H6324" s="60">
        <v>0.941176470588235</v>
      </c>
      <c r="I6324" s="60">
        <v>59.2689467647058</v>
      </c>
      <c r="J6324" s="59">
        <v>38.0</v>
      </c>
      <c r="K6324" s="61">
        <f t="shared" si="1"/>
        <v>1</v>
      </c>
      <c r="L6324" s="62">
        <f t="shared" si="2"/>
        <v>2.235294118</v>
      </c>
    </row>
    <row r="6325">
      <c r="A6325" s="58">
        <v>45658.0</v>
      </c>
      <c r="B6325" s="24" t="s">
        <v>6789</v>
      </c>
      <c r="C6325" s="24" t="s">
        <v>6802</v>
      </c>
      <c r="D6325" s="59">
        <v>17.0</v>
      </c>
      <c r="E6325" s="59">
        <v>29.0</v>
      </c>
      <c r="F6325" s="59">
        <v>2.0</v>
      </c>
      <c r="G6325" s="60">
        <v>1.8125</v>
      </c>
      <c r="H6325" s="60">
        <v>0.448275862068965</v>
      </c>
      <c r="I6325" s="60">
        <v>515.346978275862</v>
      </c>
      <c r="J6325" s="59">
        <v>100.0</v>
      </c>
      <c r="K6325" s="61">
        <f t="shared" si="1"/>
        <v>0.06896551724</v>
      </c>
      <c r="L6325" s="62">
        <f t="shared" si="2"/>
        <v>3.448275862</v>
      </c>
    </row>
    <row r="6326">
      <c r="A6326" s="58">
        <v>45658.0</v>
      </c>
      <c r="B6326" s="24" t="s">
        <v>3216</v>
      </c>
      <c r="C6326" s="24" t="s">
        <v>7055</v>
      </c>
      <c r="D6326" s="59">
        <v>16.0</v>
      </c>
      <c r="E6326" s="59">
        <v>18.0</v>
      </c>
      <c r="F6326" s="59">
        <v>16.0</v>
      </c>
      <c r="G6326" s="60">
        <v>1.125</v>
      </c>
      <c r="H6326" s="60">
        <v>0.888888888888888</v>
      </c>
      <c r="I6326" s="60">
        <v>3.84079949999999</v>
      </c>
      <c r="J6326" s="59">
        <v>20.0</v>
      </c>
      <c r="K6326" s="61">
        <f t="shared" si="1"/>
        <v>0.8888888889</v>
      </c>
      <c r="L6326" s="62">
        <f t="shared" si="2"/>
        <v>1.111111111</v>
      </c>
    </row>
    <row r="6327">
      <c r="A6327" s="58">
        <v>45658.0</v>
      </c>
      <c r="B6327" s="24" t="s">
        <v>3216</v>
      </c>
      <c r="C6327" s="24" t="s">
        <v>7160</v>
      </c>
      <c r="D6327" s="59">
        <v>15.0</v>
      </c>
      <c r="E6327" s="59">
        <v>15.0</v>
      </c>
      <c r="F6327" s="59">
        <v>15.0</v>
      </c>
      <c r="G6327" s="60">
        <v>1.0</v>
      </c>
      <c r="H6327" s="60">
        <v>1.0</v>
      </c>
      <c r="I6327" s="60">
        <v>0.0</v>
      </c>
      <c r="J6327" s="59">
        <v>15.0</v>
      </c>
      <c r="K6327" s="61">
        <f t="shared" si="1"/>
        <v>1</v>
      </c>
      <c r="L6327" s="62">
        <f t="shared" si="2"/>
        <v>1</v>
      </c>
    </row>
    <row r="6328">
      <c r="A6328" s="58">
        <v>45658.0</v>
      </c>
      <c r="B6328" s="24" t="s">
        <v>6790</v>
      </c>
      <c r="C6328" s="24" t="s">
        <v>6788</v>
      </c>
      <c r="D6328" s="59">
        <v>14.0</v>
      </c>
      <c r="E6328" s="59">
        <v>17.0</v>
      </c>
      <c r="F6328" s="59">
        <v>12.0</v>
      </c>
      <c r="G6328" s="60">
        <v>1.21428571428571</v>
      </c>
      <c r="H6328" s="60">
        <v>0.705882352941176</v>
      </c>
      <c r="I6328" s="60">
        <v>217.483859647058</v>
      </c>
      <c r="J6328" s="59">
        <v>31.0</v>
      </c>
      <c r="K6328" s="61">
        <f t="shared" si="1"/>
        <v>0.7058823529</v>
      </c>
      <c r="L6328" s="62">
        <f t="shared" si="2"/>
        <v>1.823529412</v>
      </c>
    </row>
    <row r="6329">
      <c r="A6329" s="58">
        <v>45658.0</v>
      </c>
      <c r="B6329" s="24" t="s">
        <v>3216</v>
      </c>
      <c r="C6329" s="24" t="s">
        <v>7090</v>
      </c>
      <c r="D6329" s="59">
        <v>14.0</v>
      </c>
      <c r="E6329" s="59">
        <v>14.0</v>
      </c>
      <c r="F6329" s="59">
        <v>14.0</v>
      </c>
      <c r="G6329" s="60">
        <v>1.0</v>
      </c>
      <c r="H6329" s="60">
        <v>0.857142857142857</v>
      </c>
      <c r="I6329" s="60">
        <v>9.71454828571428</v>
      </c>
      <c r="J6329" s="59">
        <v>14.0</v>
      </c>
      <c r="K6329" s="61">
        <f t="shared" si="1"/>
        <v>1</v>
      </c>
      <c r="L6329" s="62">
        <f t="shared" si="2"/>
        <v>1</v>
      </c>
    </row>
    <row r="6330">
      <c r="A6330" s="58">
        <v>45658.0</v>
      </c>
      <c r="B6330" s="24" t="s">
        <v>6787</v>
      </c>
      <c r="C6330" s="24" t="s">
        <v>6815</v>
      </c>
      <c r="D6330" s="59">
        <v>14.0</v>
      </c>
      <c r="E6330" s="59">
        <v>15.0</v>
      </c>
      <c r="F6330" s="59">
        <v>13.0</v>
      </c>
      <c r="G6330" s="60">
        <v>1.07142857142857</v>
      </c>
      <c r="H6330" s="60">
        <v>0.466666666666666</v>
      </c>
      <c r="I6330" s="60">
        <v>121.069403266666</v>
      </c>
      <c r="J6330" s="59">
        <v>20.0</v>
      </c>
      <c r="K6330" s="61">
        <f t="shared" si="1"/>
        <v>0.8666666667</v>
      </c>
      <c r="L6330" s="62">
        <f t="shared" si="2"/>
        <v>1.333333333</v>
      </c>
    </row>
    <row r="6331">
      <c r="A6331" s="58">
        <v>45658.0</v>
      </c>
      <c r="B6331" s="24" t="s">
        <v>6787</v>
      </c>
      <c r="C6331" s="24" t="s">
        <v>6802</v>
      </c>
      <c r="D6331" s="59">
        <v>14.0</v>
      </c>
      <c r="E6331" s="59">
        <v>22.0</v>
      </c>
      <c r="F6331" s="59">
        <v>9.0</v>
      </c>
      <c r="G6331" s="60">
        <v>1.69230769230769</v>
      </c>
      <c r="H6331" s="60">
        <v>0.5</v>
      </c>
      <c r="I6331" s="60">
        <v>61.3952554090909</v>
      </c>
      <c r="J6331" s="59">
        <v>42.0</v>
      </c>
      <c r="K6331" s="61">
        <f t="shared" si="1"/>
        <v>0.4090909091</v>
      </c>
      <c r="L6331" s="62">
        <f t="shared" si="2"/>
        <v>1.909090909</v>
      </c>
    </row>
    <row r="6332">
      <c r="A6332" s="58">
        <v>45658.0</v>
      </c>
      <c r="B6332" s="24" t="s">
        <v>6794</v>
      </c>
      <c r="C6332" s="24" t="s">
        <v>7043</v>
      </c>
      <c r="D6332" s="59">
        <v>13.0</v>
      </c>
      <c r="E6332" s="59">
        <v>13.0</v>
      </c>
      <c r="F6332" s="59">
        <v>11.0</v>
      </c>
      <c r="G6332" s="60">
        <v>1.18181818181818</v>
      </c>
      <c r="H6332" s="60">
        <v>0.769230769230769</v>
      </c>
      <c r="I6332" s="60">
        <v>173.653399846153</v>
      </c>
      <c r="J6332" s="59">
        <v>20.0</v>
      </c>
      <c r="K6332" s="61">
        <f t="shared" si="1"/>
        <v>0.8461538462</v>
      </c>
      <c r="L6332" s="62">
        <f t="shared" si="2"/>
        <v>1.538461538</v>
      </c>
    </row>
    <row r="6333">
      <c r="A6333" s="58">
        <v>45658.0</v>
      </c>
      <c r="B6333" s="24" t="s">
        <v>6789</v>
      </c>
      <c r="C6333" s="24" t="s">
        <v>6838</v>
      </c>
      <c r="D6333" s="59">
        <v>12.0</v>
      </c>
      <c r="E6333" s="59">
        <v>12.0</v>
      </c>
      <c r="F6333" s="59">
        <v>9.0</v>
      </c>
      <c r="G6333" s="60">
        <v>1.0</v>
      </c>
      <c r="H6333" s="60">
        <v>0.416666666666666</v>
      </c>
      <c r="I6333" s="60">
        <v>102.143612666666</v>
      </c>
      <c r="J6333" s="59">
        <v>16.0</v>
      </c>
      <c r="K6333" s="61">
        <f t="shared" si="1"/>
        <v>0.75</v>
      </c>
      <c r="L6333" s="62">
        <f t="shared" si="2"/>
        <v>1.333333333</v>
      </c>
    </row>
    <row r="6334">
      <c r="A6334" s="58">
        <v>45658.0</v>
      </c>
      <c r="B6334" s="24" t="s">
        <v>3216</v>
      </c>
      <c r="C6334" s="24" t="s">
        <v>6801</v>
      </c>
      <c r="D6334" s="59">
        <v>12.0</v>
      </c>
      <c r="E6334" s="59">
        <v>12.0</v>
      </c>
      <c r="F6334" s="59">
        <v>12.0</v>
      </c>
      <c r="G6334" s="60">
        <v>1.0</v>
      </c>
      <c r="H6334" s="60">
        <v>1.0</v>
      </c>
      <c r="I6334" s="60">
        <v>0.0</v>
      </c>
      <c r="J6334" s="59">
        <v>12.0</v>
      </c>
      <c r="K6334" s="61">
        <f t="shared" si="1"/>
        <v>1</v>
      </c>
      <c r="L6334" s="62">
        <f t="shared" si="2"/>
        <v>1</v>
      </c>
    </row>
    <row r="6335">
      <c r="A6335" s="58">
        <v>45658.0</v>
      </c>
      <c r="B6335" s="24" t="s">
        <v>6787</v>
      </c>
      <c r="C6335" s="24" t="s">
        <v>7068</v>
      </c>
      <c r="D6335" s="59">
        <v>11.0</v>
      </c>
      <c r="E6335" s="59">
        <v>11.0</v>
      </c>
      <c r="F6335" s="59">
        <v>11.0</v>
      </c>
      <c r="G6335" s="60">
        <v>1.0</v>
      </c>
      <c r="H6335" s="60">
        <v>0.727272727272727</v>
      </c>
      <c r="I6335" s="60">
        <v>19.0864839090909</v>
      </c>
      <c r="J6335" s="59">
        <v>11.0</v>
      </c>
      <c r="K6335" s="61">
        <f t="shared" si="1"/>
        <v>1</v>
      </c>
      <c r="L6335" s="62">
        <f t="shared" si="2"/>
        <v>1</v>
      </c>
    </row>
    <row r="6336">
      <c r="A6336" s="58">
        <v>45658.0</v>
      </c>
      <c r="B6336" s="24" t="s">
        <v>6789</v>
      </c>
      <c r="C6336" s="24" t="s">
        <v>6841</v>
      </c>
      <c r="D6336" s="59">
        <v>11.0</v>
      </c>
      <c r="E6336" s="59">
        <v>21.0</v>
      </c>
      <c r="F6336" s="59">
        <v>8.0</v>
      </c>
      <c r="G6336" s="60">
        <v>1.9090909090909</v>
      </c>
      <c r="H6336" s="60">
        <v>0.666666666666666</v>
      </c>
      <c r="I6336" s="60">
        <v>187.843733904761</v>
      </c>
      <c r="J6336" s="59">
        <v>30.0</v>
      </c>
      <c r="K6336" s="61">
        <f t="shared" si="1"/>
        <v>0.380952381</v>
      </c>
      <c r="L6336" s="62">
        <f t="shared" si="2"/>
        <v>1.428571429</v>
      </c>
    </row>
    <row r="6337">
      <c r="A6337" s="58">
        <v>45658.0</v>
      </c>
      <c r="B6337" s="24" t="s">
        <v>6789</v>
      </c>
      <c r="C6337" s="24" t="s">
        <v>7180</v>
      </c>
      <c r="D6337" s="59">
        <v>11.0</v>
      </c>
      <c r="E6337" s="59">
        <v>11.0</v>
      </c>
      <c r="F6337" s="59">
        <v>8.0</v>
      </c>
      <c r="G6337" s="60">
        <v>1.1</v>
      </c>
      <c r="H6337" s="60">
        <v>0.545454545454545</v>
      </c>
      <c r="I6337" s="60">
        <v>161.954749636363</v>
      </c>
      <c r="J6337" s="59">
        <v>16.0</v>
      </c>
      <c r="K6337" s="61">
        <f t="shared" si="1"/>
        <v>0.7272727273</v>
      </c>
      <c r="L6337" s="62">
        <f t="shared" si="2"/>
        <v>1.454545455</v>
      </c>
    </row>
    <row r="6338">
      <c r="A6338" s="58">
        <v>45658.0</v>
      </c>
      <c r="B6338" s="24" t="s">
        <v>6787</v>
      </c>
      <c r="C6338" s="24" t="s">
        <v>6931</v>
      </c>
      <c r="D6338" s="59">
        <v>11.0</v>
      </c>
      <c r="E6338" s="59">
        <v>11.0</v>
      </c>
      <c r="F6338" s="59">
        <v>11.0</v>
      </c>
      <c r="G6338" s="60">
        <v>1.0</v>
      </c>
      <c r="H6338" s="60">
        <v>0.909090909090909</v>
      </c>
      <c r="I6338" s="60">
        <v>2.42895436363636</v>
      </c>
      <c r="J6338" s="59">
        <v>11.0</v>
      </c>
      <c r="K6338" s="61">
        <f t="shared" si="1"/>
        <v>1</v>
      </c>
      <c r="L6338" s="62">
        <f t="shared" si="2"/>
        <v>1</v>
      </c>
    </row>
    <row r="6339">
      <c r="A6339" s="58">
        <v>45658.0</v>
      </c>
      <c r="B6339" s="24" t="s">
        <v>6794</v>
      </c>
      <c r="C6339" s="24" t="s">
        <v>6792</v>
      </c>
      <c r="D6339" s="59">
        <v>10.0</v>
      </c>
      <c r="E6339" s="59">
        <v>10.0</v>
      </c>
      <c r="F6339" s="59">
        <v>0.0</v>
      </c>
      <c r="G6339" s="60">
        <v>1.0</v>
      </c>
      <c r="H6339" s="60">
        <v>1.0</v>
      </c>
      <c r="I6339" s="60">
        <v>0.0</v>
      </c>
      <c r="J6339" s="59">
        <v>0.0</v>
      </c>
      <c r="K6339" s="61">
        <f t="shared" si="1"/>
        <v>0</v>
      </c>
      <c r="L6339" s="62">
        <f t="shared" si="2"/>
        <v>0</v>
      </c>
    </row>
    <row r="6340">
      <c r="A6340" s="58">
        <v>45658.0</v>
      </c>
      <c r="B6340" s="24" t="s">
        <v>6787</v>
      </c>
      <c r="C6340" s="24" t="s">
        <v>6896</v>
      </c>
      <c r="D6340" s="59">
        <v>10.0</v>
      </c>
      <c r="E6340" s="59">
        <v>11.0</v>
      </c>
      <c r="F6340" s="59">
        <v>6.0</v>
      </c>
      <c r="G6340" s="60">
        <v>1.1</v>
      </c>
      <c r="H6340" s="60">
        <v>0.545454545454545</v>
      </c>
      <c r="I6340" s="60">
        <v>140.284977090909</v>
      </c>
      <c r="J6340" s="59">
        <v>24.0</v>
      </c>
      <c r="K6340" s="61">
        <f t="shared" si="1"/>
        <v>0.5454545455</v>
      </c>
      <c r="L6340" s="62">
        <f t="shared" si="2"/>
        <v>2.181818182</v>
      </c>
    </row>
    <row r="6341">
      <c r="A6341" s="58">
        <v>45658.0</v>
      </c>
      <c r="B6341" s="24" t="s">
        <v>3216</v>
      </c>
      <c r="C6341" s="24" t="s">
        <v>7088</v>
      </c>
      <c r="D6341" s="59">
        <v>10.0</v>
      </c>
      <c r="E6341" s="59">
        <v>10.0</v>
      </c>
      <c r="F6341" s="59">
        <v>10.0</v>
      </c>
      <c r="G6341" s="60">
        <v>1.0</v>
      </c>
      <c r="H6341" s="60">
        <v>0.8</v>
      </c>
      <c r="I6341" s="60">
        <v>18.2983293</v>
      </c>
      <c r="J6341" s="59">
        <v>10.0</v>
      </c>
      <c r="K6341" s="61">
        <f t="shared" si="1"/>
        <v>1</v>
      </c>
      <c r="L6341" s="62">
        <f t="shared" si="2"/>
        <v>1</v>
      </c>
    </row>
    <row r="6342">
      <c r="A6342" s="58">
        <v>45658.0</v>
      </c>
      <c r="B6342" s="24" t="s">
        <v>6787</v>
      </c>
      <c r="C6342" s="24" t="s">
        <v>6809</v>
      </c>
      <c r="D6342" s="59">
        <v>10.0</v>
      </c>
      <c r="E6342" s="59">
        <v>11.0</v>
      </c>
      <c r="F6342" s="59">
        <v>8.0</v>
      </c>
      <c r="G6342" s="60">
        <v>1.1</v>
      </c>
      <c r="H6342" s="60">
        <v>0.636363636363636</v>
      </c>
      <c r="I6342" s="60">
        <v>57.4221876363636</v>
      </c>
      <c r="J6342" s="59">
        <v>11.0</v>
      </c>
      <c r="K6342" s="61">
        <f t="shared" si="1"/>
        <v>0.7272727273</v>
      </c>
      <c r="L6342" s="62">
        <f t="shared" si="2"/>
        <v>1</v>
      </c>
    </row>
    <row r="6343">
      <c r="A6343" s="58">
        <v>45658.0</v>
      </c>
      <c r="B6343" s="24" t="s">
        <v>3216</v>
      </c>
      <c r="C6343" s="24" t="s">
        <v>7189</v>
      </c>
      <c r="D6343" s="59">
        <v>9.0</v>
      </c>
      <c r="E6343" s="59">
        <v>9.0</v>
      </c>
      <c r="F6343" s="59">
        <v>9.0</v>
      </c>
      <c r="G6343" s="60">
        <v>1.0</v>
      </c>
      <c r="H6343" s="60">
        <v>1.0</v>
      </c>
      <c r="I6343" s="60">
        <v>0.0</v>
      </c>
      <c r="J6343" s="59">
        <v>9.0</v>
      </c>
      <c r="K6343" s="61">
        <f t="shared" si="1"/>
        <v>1</v>
      </c>
      <c r="L6343" s="62">
        <f t="shared" si="2"/>
        <v>1</v>
      </c>
    </row>
    <row r="6344">
      <c r="A6344" s="58">
        <v>45658.0</v>
      </c>
      <c r="B6344" s="24" t="s">
        <v>6787</v>
      </c>
      <c r="C6344" s="24" t="s">
        <v>7172</v>
      </c>
      <c r="D6344" s="59">
        <v>9.0</v>
      </c>
      <c r="E6344" s="59">
        <v>10.0</v>
      </c>
      <c r="F6344" s="59">
        <v>7.0</v>
      </c>
      <c r="G6344" s="60">
        <v>1.25</v>
      </c>
      <c r="H6344" s="60">
        <v>0.5</v>
      </c>
      <c r="I6344" s="60">
        <v>78.3642273</v>
      </c>
      <c r="J6344" s="59">
        <v>14.0</v>
      </c>
      <c r="K6344" s="61">
        <f t="shared" si="1"/>
        <v>0.7</v>
      </c>
      <c r="L6344" s="62">
        <f t="shared" si="2"/>
        <v>1.4</v>
      </c>
    </row>
    <row r="6345">
      <c r="A6345" s="58">
        <v>45658.0</v>
      </c>
      <c r="B6345" s="24" t="s">
        <v>6787</v>
      </c>
      <c r="C6345" s="24" t="s">
        <v>6810</v>
      </c>
      <c r="D6345" s="59">
        <v>9.0</v>
      </c>
      <c r="E6345" s="59">
        <v>9.0</v>
      </c>
      <c r="F6345" s="59">
        <v>9.0</v>
      </c>
      <c r="G6345" s="60">
        <v>1.0</v>
      </c>
      <c r="H6345" s="60">
        <v>0.888888888888888</v>
      </c>
      <c r="I6345" s="60">
        <v>3.41657766666666</v>
      </c>
      <c r="J6345" s="59">
        <v>10.0</v>
      </c>
      <c r="K6345" s="61">
        <f t="shared" si="1"/>
        <v>1</v>
      </c>
      <c r="L6345" s="62">
        <f t="shared" si="2"/>
        <v>1.111111111</v>
      </c>
    </row>
    <row r="6346">
      <c r="A6346" s="58">
        <v>45658.0</v>
      </c>
      <c r="B6346" s="24" t="s">
        <v>6789</v>
      </c>
      <c r="C6346" s="24" t="s">
        <v>7058</v>
      </c>
      <c r="D6346" s="59">
        <v>8.0</v>
      </c>
      <c r="E6346" s="59">
        <v>8.0</v>
      </c>
      <c r="F6346" s="59">
        <v>8.0</v>
      </c>
      <c r="G6346" s="60">
        <v>1.0</v>
      </c>
      <c r="H6346" s="60">
        <v>0.5</v>
      </c>
      <c r="I6346" s="60">
        <v>33.42742725</v>
      </c>
      <c r="J6346" s="59">
        <v>9.0</v>
      </c>
      <c r="K6346" s="61">
        <f t="shared" si="1"/>
        <v>1</v>
      </c>
      <c r="L6346" s="62">
        <f t="shared" si="2"/>
        <v>1.125</v>
      </c>
    </row>
    <row r="6347">
      <c r="A6347" s="58">
        <v>45658.0</v>
      </c>
      <c r="B6347" s="24" t="s">
        <v>6789</v>
      </c>
      <c r="C6347" s="24" t="s">
        <v>6819</v>
      </c>
      <c r="D6347" s="59">
        <v>8.0</v>
      </c>
      <c r="E6347" s="59">
        <v>9.0</v>
      </c>
      <c r="F6347" s="59">
        <v>6.0</v>
      </c>
      <c r="G6347" s="60">
        <v>1.125</v>
      </c>
      <c r="H6347" s="60">
        <v>0.555555555555555</v>
      </c>
      <c r="I6347" s="60">
        <v>79.1707574444444</v>
      </c>
      <c r="J6347" s="59">
        <v>10.0</v>
      </c>
      <c r="K6347" s="61">
        <f t="shared" si="1"/>
        <v>0.6666666667</v>
      </c>
      <c r="L6347" s="62">
        <f t="shared" si="2"/>
        <v>1.111111111</v>
      </c>
    </row>
    <row r="6348">
      <c r="A6348" s="58">
        <v>45658.0</v>
      </c>
      <c r="B6348" s="24" t="s">
        <v>6789</v>
      </c>
      <c r="C6348" s="24" t="s">
        <v>6835</v>
      </c>
      <c r="D6348" s="59">
        <v>8.0</v>
      </c>
      <c r="E6348" s="59">
        <v>8.0</v>
      </c>
      <c r="F6348" s="59">
        <v>8.0</v>
      </c>
      <c r="G6348" s="60">
        <v>1.0</v>
      </c>
      <c r="H6348" s="60">
        <v>0.375</v>
      </c>
      <c r="I6348" s="60">
        <v>70.830340875</v>
      </c>
      <c r="J6348" s="59">
        <v>8.0</v>
      </c>
      <c r="K6348" s="61">
        <f t="shared" si="1"/>
        <v>1</v>
      </c>
      <c r="L6348" s="62">
        <f t="shared" si="2"/>
        <v>1</v>
      </c>
    </row>
    <row r="6349">
      <c r="A6349" s="58">
        <v>45658.0</v>
      </c>
      <c r="B6349" s="24" t="s">
        <v>3216</v>
      </c>
      <c r="C6349" s="24" t="s">
        <v>7190</v>
      </c>
      <c r="D6349" s="59">
        <v>8.0</v>
      </c>
      <c r="E6349" s="59">
        <v>8.0</v>
      </c>
      <c r="F6349" s="59">
        <v>8.0</v>
      </c>
      <c r="G6349" s="60">
        <v>1.0</v>
      </c>
      <c r="H6349" s="60">
        <v>1.0</v>
      </c>
      <c r="I6349" s="60">
        <v>0.0</v>
      </c>
      <c r="J6349" s="59">
        <v>8.0</v>
      </c>
      <c r="K6349" s="61">
        <f t="shared" si="1"/>
        <v>1</v>
      </c>
      <c r="L6349" s="62">
        <f t="shared" si="2"/>
        <v>1</v>
      </c>
    </row>
    <row r="6350">
      <c r="A6350" s="58">
        <v>45658.0</v>
      </c>
      <c r="B6350" s="24" t="s">
        <v>155</v>
      </c>
      <c r="C6350" s="24" t="s">
        <v>6800</v>
      </c>
      <c r="D6350" s="59">
        <v>8.0</v>
      </c>
      <c r="E6350" s="59">
        <v>9.0</v>
      </c>
      <c r="F6350" s="59">
        <v>7.0</v>
      </c>
      <c r="G6350" s="60">
        <v>1.125</v>
      </c>
      <c r="H6350" s="60">
        <v>0.111111111111111</v>
      </c>
      <c r="I6350" s="60">
        <v>176.483650111111</v>
      </c>
      <c r="J6350" s="59">
        <v>19.0</v>
      </c>
      <c r="K6350" s="61">
        <f t="shared" si="1"/>
        <v>0.7777777778</v>
      </c>
      <c r="L6350" s="62">
        <f t="shared" si="2"/>
        <v>2.111111111</v>
      </c>
    </row>
    <row r="6351">
      <c r="A6351" s="58">
        <v>45658.0</v>
      </c>
      <c r="B6351" s="24" t="s">
        <v>6787</v>
      </c>
      <c r="C6351" s="24" t="s">
        <v>7107</v>
      </c>
      <c r="D6351" s="59">
        <v>8.0</v>
      </c>
      <c r="E6351" s="59">
        <v>8.0</v>
      </c>
      <c r="F6351" s="59">
        <v>6.0</v>
      </c>
      <c r="G6351" s="60">
        <v>1.0</v>
      </c>
      <c r="H6351" s="60">
        <v>0.75</v>
      </c>
      <c r="I6351" s="60">
        <v>100.4016655</v>
      </c>
      <c r="J6351" s="59">
        <v>15.0</v>
      </c>
      <c r="K6351" s="61">
        <f t="shared" si="1"/>
        <v>0.75</v>
      </c>
      <c r="L6351" s="62">
        <f t="shared" si="2"/>
        <v>1.875</v>
      </c>
    </row>
    <row r="6352">
      <c r="A6352" s="58">
        <v>45658.0</v>
      </c>
      <c r="B6352" s="24" t="s">
        <v>3216</v>
      </c>
      <c r="C6352" s="24" t="s">
        <v>6922</v>
      </c>
      <c r="D6352" s="59">
        <v>8.0</v>
      </c>
      <c r="E6352" s="59">
        <v>8.0</v>
      </c>
      <c r="F6352" s="59">
        <v>8.0</v>
      </c>
      <c r="G6352" s="60">
        <v>1.0</v>
      </c>
      <c r="H6352" s="60">
        <v>1.0</v>
      </c>
      <c r="I6352" s="60">
        <v>0.9141995</v>
      </c>
      <c r="J6352" s="59">
        <v>8.0</v>
      </c>
      <c r="K6352" s="61">
        <f t="shared" si="1"/>
        <v>1</v>
      </c>
      <c r="L6352" s="62">
        <f t="shared" si="2"/>
        <v>1</v>
      </c>
    </row>
    <row r="6353">
      <c r="A6353" s="58">
        <v>45658.0</v>
      </c>
      <c r="B6353" s="24" t="s">
        <v>6787</v>
      </c>
      <c r="C6353" s="24" t="s">
        <v>6822</v>
      </c>
      <c r="D6353" s="59">
        <v>7.0</v>
      </c>
      <c r="E6353" s="59">
        <v>8.0</v>
      </c>
      <c r="F6353" s="59">
        <v>7.0</v>
      </c>
      <c r="G6353" s="60">
        <v>1.14285714285714</v>
      </c>
      <c r="H6353" s="60">
        <v>0.625</v>
      </c>
      <c r="I6353" s="60">
        <v>7.921476</v>
      </c>
      <c r="J6353" s="59">
        <v>8.0</v>
      </c>
      <c r="K6353" s="61">
        <f t="shared" si="1"/>
        <v>0.875</v>
      </c>
      <c r="L6353" s="62">
        <f t="shared" si="2"/>
        <v>1</v>
      </c>
    </row>
    <row r="6354">
      <c r="A6354" s="58">
        <v>45658.0</v>
      </c>
      <c r="B6354" s="24" t="s">
        <v>3216</v>
      </c>
      <c r="C6354" s="24" t="s">
        <v>6811</v>
      </c>
      <c r="D6354" s="59">
        <v>7.0</v>
      </c>
      <c r="E6354" s="59">
        <v>7.0</v>
      </c>
      <c r="F6354" s="59">
        <v>6.0</v>
      </c>
      <c r="G6354" s="60">
        <v>1.16666666666666</v>
      </c>
      <c r="H6354" s="60">
        <v>1.0</v>
      </c>
      <c r="I6354" s="60">
        <v>0.0</v>
      </c>
      <c r="J6354" s="59">
        <v>7.0</v>
      </c>
      <c r="K6354" s="61">
        <f t="shared" si="1"/>
        <v>0.8571428571</v>
      </c>
      <c r="L6354" s="62">
        <f t="shared" si="2"/>
        <v>1</v>
      </c>
    </row>
    <row r="6355">
      <c r="A6355" s="58">
        <v>45658.0</v>
      </c>
      <c r="B6355" s="24" t="s">
        <v>6787</v>
      </c>
      <c r="C6355" s="24" t="s">
        <v>7467</v>
      </c>
      <c r="D6355" s="59">
        <v>7.0</v>
      </c>
      <c r="E6355" s="59">
        <v>13.0</v>
      </c>
      <c r="F6355" s="59">
        <v>5.0</v>
      </c>
      <c r="G6355" s="60">
        <v>1.85714285714285</v>
      </c>
      <c r="H6355" s="60">
        <v>0.23076923076923</v>
      </c>
      <c r="I6355" s="60">
        <v>444.792287384615</v>
      </c>
      <c r="J6355" s="59">
        <v>56.0</v>
      </c>
      <c r="K6355" s="61">
        <f t="shared" si="1"/>
        <v>0.3846153846</v>
      </c>
      <c r="L6355" s="62">
        <f t="shared" si="2"/>
        <v>4.307692308</v>
      </c>
    </row>
    <row r="6356">
      <c r="A6356" s="58">
        <v>45658.0</v>
      </c>
      <c r="B6356" s="24" t="s">
        <v>6787</v>
      </c>
      <c r="C6356" s="24" t="s">
        <v>6904</v>
      </c>
      <c r="D6356" s="59">
        <v>7.0</v>
      </c>
      <c r="E6356" s="59">
        <v>7.0</v>
      </c>
      <c r="F6356" s="59">
        <v>5.0</v>
      </c>
      <c r="G6356" s="60">
        <v>1.4</v>
      </c>
      <c r="H6356" s="60">
        <v>0.571428571428571</v>
      </c>
      <c r="I6356" s="60">
        <v>71.3087788571428</v>
      </c>
      <c r="J6356" s="59">
        <v>9.0</v>
      </c>
      <c r="K6356" s="61">
        <f t="shared" si="1"/>
        <v>0.7142857143</v>
      </c>
      <c r="L6356" s="62">
        <f t="shared" si="2"/>
        <v>1.285714286</v>
      </c>
    </row>
    <row r="6357">
      <c r="A6357" s="58">
        <v>45658.0</v>
      </c>
      <c r="B6357" s="24" t="s">
        <v>6787</v>
      </c>
      <c r="C6357" s="24" t="s">
        <v>7492</v>
      </c>
      <c r="D6357" s="59">
        <v>7.0</v>
      </c>
      <c r="E6357" s="59">
        <v>8.0</v>
      </c>
      <c r="F6357" s="59">
        <v>2.0</v>
      </c>
      <c r="G6357" s="60">
        <v>1.14285714285714</v>
      </c>
      <c r="H6357" s="60">
        <v>0.25</v>
      </c>
      <c r="I6357" s="60">
        <v>518.985090625</v>
      </c>
      <c r="J6357" s="59">
        <v>74.0</v>
      </c>
      <c r="K6357" s="61">
        <f t="shared" si="1"/>
        <v>0.25</v>
      </c>
      <c r="L6357" s="62">
        <f t="shared" si="2"/>
        <v>9.25</v>
      </c>
    </row>
    <row r="6358">
      <c r="A6358" s="58">
        <v>45658.0</v>
      </c>
      <c r="B6358" s="24" t="s">
        <v>6789</v>
      </c>
      <c r="C6358" s="24" t="s">
        <v>6922</v>
      </c>
      <c r="D6358" s="59">
        <v>7.0</v>
      </c>
      <c r="E6358" s="59">
        <v>8.0</v>
      </c>
      <c r="F6358" s="59">
        <v>3.0</v>
      </c>
      <c r="G6358" s="60">
        <v>1.6</v>
      </c>
      <c r="H6358" s="60">
        <v>0.625</v>
      </c>
      <c r="I6358" s="60">
        <v>61.053424125</v>
      </c>
      <c r="J6358" s="59">
        <v>10.0</v>
      </c>
      <c r="K6358" s="61">
        <f t="shared" si="1"/>
        <v>0.375</v>
      </c>
      <c r="L6358" s="62">
        <f t="shared" si="2"/>
        <v>1.25</v>
      </c>
    </row>
    <row r="6359">
      <c r="A6359" s="58">
        <v>45658.0</v>
      </c>
      <c r="B6359" s="24" t="s">
        <v>6789</v>
      </c>
      <c r="C6359" s="24" t="s">
        <v>6817</v>
      </c>
      <c r="D6359" s="59">
        <v>6.0</v>
      </c>
      <c r="E6359" s="59">
        <v>6.0</v>
      </c>
      <c r="F6359" s="59">
        <v>0.0</v>
      </c>
      <c r="G6359" s="60">
        <v>1.2</v>
      </c>
      <c r="H6359" s="60">
        <v>0.166666666666666</v>
      </c>
      <c r="I6359" s="60">
        <v>482.989999166666</v>
      </c>
      <c r="J6359" s="59">
        <v>27.0</v>
      </c>
      <c r="K6359" s="61">
        <f t="shared" si="1"/>
        <v>0</v>
      </c>
      <c r="L6359" s="62">
        <f t="shared" si="2"/>
        <v>4.5</v>
      </c>
    </row>
    <row r="6360">
      <c r="A6360" s="58">
        <v>45658.0</v>
      </c>
      <c r="B6360" s="24" t="s">
        <v>6789</v>
      </c>
      <c r="C6360" s="24" t="s">
        <v>7055</v>
      </c>
      <c r="D6360" s="59">
        <v>6.0</v>
      </c>
      <c r="E6360" s="59">
        <v>7.0</v>
      </c>
      <c r="F6360" s="59">
        <v>3.0</v>
      </c>
      <c r="G6360" s="60">
        <v>1.4</v>
      </c>
      <c r="H6360" s="60">
        <v>0.428571428571428</v>
      </c>
      <c r="I6360" s="60">
        <v>34.4383492857142</v>
      </c>
      <c r="J6360" s="59">
        <v>7.0</v>
      </c>
      <c r="K6360" s="61">
        <f t="shared" si="1"/>
        <v>0.4285714286</v>
      </c>
      <c r="L6360" s="62">
        <f t="shared" si="2"/>
        <v>1</v>
      </c>
    </row>
    <row r="6361">
      <c r="A6361" s="58">
        <v>45658.0</v>
      </c>
      <c r="B6361" s="24" t="s">
        <v>6789</v>
      </c>
      <c r="C6361" s="24" t="s">
        <v>7056</v>
      </c>
      <c r="D6361" s="59">
        <v>6.0</v>
      </c>
      <c r="E6361" s="59">
        <v>6.0</v>
      </c>
      <c r="F6361" s="59">
        <v>5.0</v>
      </c>
      <c r="G6361" s="60">
        <v>1.0</v>
      </c>
      <c r="H6361" s="60">
        <v>0.166666666666666</v>
      </c>
      <c r="I6361" s="60">
        <v>310.675954333333</v>
      </c>
      <c r="J6361" s="59">
        <v>8.0</v>
      </c>
      <c r="K6361" s="61">
        <f t="shared" si="1"/>
        <v>0.8333333333</v>
      </c>
      <c r="L6361" s="62">
        <f t="shared" si="2"/>
        <v>1.333333333</v>
      </c>
    </row>
    <row r="6362">
      <c r="A6362" s="58">
        <v>45658.0</v>
      </c>
      <c r="B6362" s="24" t="s">
        <v>6789</v>
      </c>
      <c r="C6362" s="24" t="s">
        <v>6986</v>
      </c>
      <c r="D6362" s="59">
        <v>6.0</v>
      </c>
      <c r="E6362" s="59">
        <v>10.0</v>
      </c>
      <c r="F6362" s="59">
        <v>4.0</v>
      </c>
      <c r="G6362" s="60">
        <v>1.66666666666666</v>
      </c>
      <c r="H6362" s="60">
        <v>0.4</v>
      </c>
      <c r="I6362" s="60">
        <v>452.9657239</v>
      </c>
      <c r="J6362" s="59">
        <v>13.0</v>
      </c>
      <c r="K6362" s="61">
        <f t="shared" si="1"/>
        <v>0.4</v>
      </c>
      <c r="L6362" s="62">
        <f t="shared" si="2"/>
        <v>1.3</v>
      </c>
    </row>
    <row r="6363">
      <c r="A6363" s="58">
        <v>45658.0</v>
      </c>
      <c r="B6363" s="24" t="s">
        <v>6789</v>
      </c>
      <c r="C6363" s="24" t="s">
        <v>7021</v>
      </c>
      <c r="D6363" s="59">
        <v>6.0</v>
      </c>
      <c r="E6363" s="59">
        <v>7.0</v>
      </c>
      <c r="F6363" s="59">
        <v>1.0</v>
      </c>
      <c r="G6363" s="60">
        <v>1.16666666666666</v>
      </c>
      <c r="H6363" s="60">
        <v>0.571428571428571</v>
      </c>
      <c r="I6363" s="60">
        <v>50.0846178571428</v>
      </c>
      <c r="J6363" s="59">
        <v>11.0</v>
      </c>
      <c r="K6363" s="61">
        <f t="shared" si="1"/>
        <v>0.1428571429</v>
      </c>
      <c r="L6363" s="62">
        <f t="shared" si="2"/>
        <v>1.571428571</v>
      </c>
    </row>
    <row r="6364">
      <c r="A6364" s="58">
        <v>45658.0</v>
      </c>
      <c r="B6364" s="24" t="s">
        <v>6789</v>
      </c>
      <c r="C6364" s="24" t="s">
        <v>6896</v>
      </c>
      <c r="D6364" s="59">
        <v>6.0</v>
      </c>
      <c r="E6364" s="59">
        <v>8.0</v>
      </c>
      <c r="F6364" s="59">
        <v>3.0</v>
      </c>
      <c r="G6364" s="60">
        <v>1.33333333333333</v>
      </c>
      <c r="H6364" s="60">
        <v>0.125</v>
      </c>
      <c r="I6364" s="60">
        <v>111.436979</v>
      </c>
      <c r="J6364" s="59">
        <v>9.0</v>
      </c>
      <c r="K6364" s="61">
        <f t="shared" si="1"/>
        <v>0.375</v>
      </c>
      <c r="L6364" s="62">
        <f t="shared" si="2"/>
        <v>1.125</v>
      </c>
    </row>
    <row r="6365">
      <c r="A6365" s="58">
        <v>45658.0</v>
      </c>
      <c r="B6365" s="24" t="s">
        <v>6787</v>
      </c>
      <c r="C6365" s="24" t="s">
        <v>6841</v>
      </c>
      <c r="D6365" s="59">
        <v>6.0</v>
      </c>
      <c r="E6365" s="59">
        <v>8.0</v>
      </c>
      <c r="F6365" s="59">
        <v>6.0</v>
      </c>
      <c r="G6365" s="60">
        <v>1.33333333333333</v>
      </c>
      <c r="H6365" s="60">
        <v>0.625</v>
      </c>
      <c r="I6365" s="60">
        <v>219.668792375</v>
      </c>
      <c r="J6365" s="59">
        <v>12.0</v>
      </c>
      <c r="K6365" s="61">
        <f t="shared" si="1"/>
        <v>0.75</v>
      </c>
      <c r="L6365" s="62">
        <f t="shared" si="2"/>
        <v>1.5</v>
      </c>
    </row>
    <row r="6366">
      <c r="A6366" s="58">
        <v>45658.0</v>
      </c>
      <c r="B6366" s="24" t="s">
        <v>6789</v>
      </c>
      <c r="C6366" s="24" t="s">
        <v>6801</v>
      </c>
      <c r="D6366" s="59">
        <v>6.0</v>
      </c>
      <c r="E6366" s="59">
        <v>6.0</v>
      </c>
      <c r="F6366" s="59">
        <v>3.0</v>
      </c>
      <c r="G6366" s="60">
        <v>1.0</v>
      </c>
      <c r="H6366" s="60">
        <v>0.333333333333333</v>
      </c>
      <c r="I6366" s="60">
        <v>975.777321</v>
      </c>
      <c r="J6366" s="59">
        <v>21.0</v>
      </c>
      <c r="K6366" s="61">
        <f t="shared" si="1"/>
        <v>0.5</v>
      </c>
      <c r="L6366" s="62">
        <f t="shared" si="2"/>
        <v>3.5</v>
      </c>
    </row>
    <row r="6367">
      <c r="A6367" s="58">
        <v>45658.0</v>
      </c>
      <c r="B6367" s="24" t="s">
        <v>6789</v>
      </c>
      <c r="C6367" s="24" t="s">
        <v>7102</v>
      </c>
      <c r="D6367" s="59">
        <v>6.0</v>
      </c>
      <c r="E6367" s="59">
        <v>6.0</v>
      </c>
      <c r="F6367" s="59">
        <v>3.0</v>
      </c>
      <c r="G6367" s="60">
        <v>1.0</v>
      </c>
      <c r="H6367" s="60">
        <v>0.333333333333333</v>
      </c>
      <c r="I6367" s="60">
        <v>179.219234833333</v>
      </c>
      <c r="J6367" s="59">
        <v>34.0</v>
      </c>
      <c r="K6367" s="61">
        <f t="shared" si="1"/>
        <v>0.5</v>
      </c>
      <c r="L6367" s="62">
        <f t="shared" si="2"/>
        <v>5.666666667</v>
      </c>
    </row>
    <row r="6368">
      <c r="A6368" s="58">
        <v>45658.0</v>
      </c>
      <c r="B6368" s="24" t="s">
        <v>7100</v>
      </c>
      <c r="C6368" s="24" t="s">
        <v>7106</v>
      </c>
      <c r="D6368" s="59">
        <v>6.0</v>
      </c>
      <c r="E6368" s="59">
        <v>6.0</v>
      </c>
      <c r="F6368" s="59">
        <v>4.0</v>
      </c>
      <c r="G6368" s="60">
        <v>1.0</v>
      </c>
      <c r="H6368" s="60">
        <v>0.666666666666666</v>
      </c>
      <c r="I6368" s="60">
        <v>352.101199</v>
      </c>
      <c r="J6368" s="59">
        <v>7.0</v>
      </c>
      <c r="K6368" s="61">
        <f t="shared" si="1"/>
        <v>0.6666666667</v>
      </c>
      <c r="L6368" s="62">
        <f t="shared" si="2"/>
        <v>1.166666667</v>
      </c>
    </row>
    <row r="6369">
      <c r="A6369" s="58">
        <v>45658.0</v>
      </c>
      <c r="B6369" s="24" t="s">
        <v>6789</v>
      </c>
      <c r="C6369" s="24" t="s">
        <v>6797</v>
      </c>
      <c r="D6369" s="59">
        <v>6.0</v>
      </c>
      <c r="E6369" s="59">
        <v>7.0</v>
      </c>
      <c r="F6369" s="59">
        <v>1.0</v>
      </c>
      <c r="G6369" s="60">
        <v>1.16666666666666</v>
      </c>
      <c r="H6369" s="60">
        <v>0.142857142857142</v>
      </c>
      <c r="I6369" s="60">
        <v>524.462772428571</v>
      </c>
      <c r="J6369" s="59">
        <v>20.0</v>
      </c>
      <c r="K6369" s="61">
        <f t="shared" si="1"/>
        <v>0.1428571429</v>
      </c>
      <c r="L6369" s="62">
        <f t="shared" si="2"/>
        <v>2.857142857</v>
      </c>
    </row>
    <row r="6370">
      <c r="A6370" s="58">
        <v>45658.0</v>
      </c>
      <c r="B6370" s="24" t="s">
        <v>3216</v>
      </c>
      <c r="C6370" s="24" t="s">
        <v>6792</v>
      </c>
      <c r="D6370" s="59">
        <v>5.0</v>
      </c>
      <c r="E6370" s="59">
        <v>5.0</v>
      </c>
      <c r="F6370" s="59">
        <v>0.0</v>
      </c>
      <c r="G6370" s="60">
        <v>5.0</v>
      </c>
      <c r="H6370" s="60">
        <v>1.0</v>
      </c>
      <c r="I6370" s="60">
        <v>0.0</v>
      </c>
      <c r="J6370" s="59">
        <v>0.0</v>
      </c>
      <c r="K6370" s="61">
        <f t="shared" si="1"/>
        <v>0</v>
      </c>
      <c r="L6370" s="62">
        <f t="shared" si="2"/>
        <v>0</v>
      </c>
    </row>
    <row r="6371">
      <c r="A6371" s="58">
        <v>45658.0</v>
      </c>
      <c r="B6371" s="24" t="s">
        <v>6787</v>
      </c>
      <c r="C6371" s="24" t="s">
        <v>6817</v>
      </c>
      <c r="D6371" s="59">
        <v>5.0</v>
      </c>
      <c r="E6371" s="59">
        <v>5.0</v>
      </c>
      <c r="F6371" s="59">
        <v>5.0</v>
      </c>
      <c r="G6371" s="60">
        <v>1.0</v>
      </c>
      <c r="H6371" s="60">
        <v>0.8</v>
      </c>
      <c r="I6371" s="60">
        <v>3.8617254</v>
      </c>
      <c r="J6371" s="59">
        <v>5.0</v>
      </c>
      <c r="K6371" s="61">
        <f t="shared" si="1"/>
        <v>1</v>
      </c>
      <c r="L6371" s="62">
        <f t="shared" si="2"/>
        <v>1</v>
      </c>
    </row>
    <row r="6372">
      <c r="A6372" s="58">
        <v>45658.0</v>
      </c>
      <c r="B6372" s="24" t="s">
        <v>6787</v>
      </c>
      <c r="C6372" s="24" t="s">
        <v>6882</v>
      </c>
      <c r="D6372" s="59">
        <v>5.0</v>
      </c>
      <c r="E6372" s="59">
        <v>5.0</v>
      </c>
      <c r="F6372" s="59">
        <v>4.0</v>
      </c>
      <c r="G6372" s="60">
        <v>1.0</v>
      </c>
      <c r="H6372" s="60">
        <v>0.6</v>
      </c>
      <c r="I6372" s="60">
        <v>46.9204002</v>
      </c>
      <c r="J6372" s="59">
        <v>6.0</v>
      </c>
      <c r="K6372" s="61">
        <f t="shared" si="1"/>
        <v>0.8</v>
      </c>
      <c r="L6372" s="62">
        <f t="shared" si="2"/>
        <v>1.2</v>
      </c>
    </row>
    <row r="6373">
      <c r="A6373" s="58">
        <v>45658.0</v>
      </c>
      <c r="B6373" s="24" t="s">
        <v>6787</v>
      </c>
      <c r="C6373" s="24" t="s">
        <v>6835</v>
      </c>
      <c r="D6373" s="59">
        <v>5.0</v>
      </c>
      <c r="E6373" s="59">
        <v>6.0</v>
      </c>
      <c r="F6373" s="59">
        <v>5.0</v>
      </c>
      <c r="G6373" s="60">
        <v>1.2</v>
      </c>
      <c r="H6373" s="60">
        <v>0.333333333333333</v>
      </c>
      <c r="I6373" s="60">
        <v>267.375372499999</v>
      </c>
      <c r="J6373" s="59">
        <v>9.0</v>
      </c>
      <c r="K6373" s="61">
        <f t="shared" si="1"/>
        <v>0.8333333333</v>
      </c>
      <c r="L6373" s="62">
        <f t="shared" si="2"/>
        <v>1.5</v>
      </c>
    </row>
    <row r="6374">
      <c r="A6374" s="58">
        <v>45658.0</v>
      </c>
      <c r="B6374" s="24" t="s">
        <v>6789</v>
      </c>
      <c r="C6374" s="24" t="s">
        <v>6994</v>
      </c>
      <c r="D6374" s="59">
        <v>5.0</v>
      </c>
      <c r="E6374" s="59">
        <v>6.0</v>
      </c>
      <c r="F6374" s="59">
        <v>5.0</v>
      </c>
      <c r="G6374" s="60">
        <v>1.2</v>
      </c>
      <c r="H6374" s="60">
        <v>0.333333333333333</v>
      </c>
      <c r="I6374" s="60">
        <v>148.428838</v>
      </c>
      <c r="J6374" s="59">
        <v>10.0</v>
      </c>
      <c r="K6374" s="61">
        <f t="shared" si="1"/>
        <v>0.8333333333</v>
      </c>
      <c r="L6374" s="62">
        <f t="shared" si="2"/>
        <v>1.666666667</v>
      </c>
    </row>
    <row r="6375">
      <c r="A6375" s="58">
        <v>45658.0</v>
      </c>
      <c r="B6375" s="24" t="s">
        <v>6789</v>
      </c>
      <c r="C6375" s="24" t="s">
        <v>7074</v>
      </c>
      <c r="D6375" s="59">
        <v>5.0</v>
      </c>
      <c r="E6375" s="59">
        <v>6.0</v>
      </c>
      <c r="F6375" s="59">
        <v>5.0</v>
      </c>
      <c r="G6375" s="60">
        <v>1.2</v>
      </c>
      <c r="H6375" s="60">
        <v>0.5</v>
      </c>
      <c r="I6375" s="60">
        <v>26.1177445</v>
      </c>
      <c r="J6375" s="59">
        <v>6.0</v>
      </c>
      <c r="K6375" s="61">
        <f t="shared" si="1"/>
        <v>0.8333333333</v>
      </c>
      <c r="L6375" s="62">
        <f t="shared" si="2"/>
        <v>1</v>
      </c>
    </row>
    <row r="6376">
      <c r="A6376" s="58">
        <v>45658.0</v>
      </c>
      <c r="B6376" s="24" t="s">
        <v>6787</v>
      </c>
      <c r="C6376" s="24" t="s">
        <v>6898</v>
      </c>
      <c r="D6376" s="59">
        <v>5.0</v>
      </c>
      <c r="E6376" s="59">
        <v>10.0</v>
      </c>
      <c r="F6376" s="59">
        <v>5.0</v>
      </c>
      <c r="G6376" s="60">
        <v>2.0</v>
      </c>
      <c r="H6376" s="60">
        <v>0.8</v>
      </c>
      <c r="I6376" s="60">
        <v>5.4810684</v>
      </c>
      <c r="J6376" s="59">
        <v>10.0</v>
      </c>
      <c r="K6376" s="61">
        <f t="shared" si="1"/>
        <v>0.5</v>
      </c>
      <c r="L6376" s="62">
        <f t="shared" si="2"/>
        <v>1</v>
      </c>
    </row>
    <row r="6377">
      <c r="A6377" s="58">
        <v>45658.0</v>
      </c>
      <c r="B6377" s="24" t="s">
        <v>6789</v>
      </c>
      <c r="C6377" s="24" t="s">
        <v>7077</v>
      </c>
      <c r="D6377" s="59">
        <v>5.0</v>
      </c>
      <c r="E6377" s="59">
        <v>6.0</v>
      </c>
      <c r="F6377" s="59">
        <v>4.0</v>
      </c>
      <c r="G6377" s="60">
        <v>1.2</v>
      </c>
      <c r="H6377" s="60">
        <v>0.333333333333333</v>
      </c>
      <c r="I6377" s="60">
        <v>64.4639215</v>
      </c>
      <c r="J6377" s="59">
        <v>10.0</v>
      </c>
      <c r="K6377" s="61">
        <f t="shared" si="1"/>
        <v>0.6666666667</v>
      </c>
      <c r="L6377" s="62">
        <f t="shared" si="2"/>
        <v>1.666666667</v>
      </c>
    </row>
    <row r="6378">
      <c r="A6378" s="58">
        <v>45658.0</v>
      </c>
      <c r="B6378" s="24" t="s">
        <v>6787</v>
      </c>
      <c r="C6378" s="24" t="s">
        <v>6808</v>
      </c>
      <c r="D6378" s="59">
        <v>5.0</v>
      </c>
      <c r="E6378" s="59">
        <v>8.0</v>
      </c>
      <c r="F6378" s="59">
        <v>3.0</v>
      </c>
      <c r="G6378" s="60">
        <v>1.6</v>
      </c>
      <c r="H6378" s="60">
        <v>0.75</v>
      </c>
      <c r="I6378" s="60">
        <v>5.125453</v>
      </c>
      <c r="J6378" s="59">
        <v>8.0</v>
      </c>
      <c r="K6378" s="61">
        <f t="shared" si="1"/>
        <v>0.375</v>
      </c>
      <c r="L6378" s="62">
        <f t="shared" si="2"/>
        <v>1</v>
      </c>
    </row>
    <row r="6379">
      <c r="A6379" s="58">
        <v>45658.0</v>
      </c>
      <c r="B6379" s="24" t="s">
        <v>6787</v>
      </c>
      <c r="C6379" s="24" t="s">
        <v>7493</v>
      </c>
      <c r="D6379" s="59">
        <v>5.0</v>
      </c>
      <c r="E6379" s="59">
        <v>7.0</v>
      </c>
      <c r="F6379" s="59">
        <v>0.0</v>
      </c>
      <c r="G6379" s="60">
        <v>1.4</v>
      </c>
      <c r="H6379" s="60">
        <v>0.142857142857142</v>
      </c>
      <c r="I6379" s="60">
        <v>1076.09567685714</v>
      </c>
      <c r="J6379" s="59">
        <v>91.0</v>
      </c>
      <c r="K6379" s="61">
        <f t="shared" si="1"/>
        <v>0</v>
      </c>
      <c r="L6379" s="62">
        <f t="shared" si="2"/>
        <v>13</v>
      </c>
    </row>
    <row r="6380">
      <c r="A6380" s="58">
        <v>45658.0</v>
      </c>
      <c r="B6380" s="24" t="s">
        <v>6789</v>
      </c>
      <c r="C6380" s="24" t="s">
        <v>6809</v>
      </c>
      <c r="D6380" s="59">
        <v>5.0</v>
      </c>
      <c r="E6380" s="59">
        <v>7.0</v>
      </c>
      <c r="F6380" s="59">
        <v>0.0</v>
      </c>
      <c r="G6380" s="60">
        <v>1.75</v>
      </c>
      <c r="H6380" s="60">
        <v>0.428571428571428</v>
      </c>
      <c r="I6380" s="60">
        <v>45.6311164285714</v>
      </c>
      <c r="J6380" s="59">
        <v>12.0</v>
      </c>
      <c r="K6380" s="61">
        <f t="shared" si="1"/>
        <v>0</v>
      </c>
      <c r="L6380" s="62">
        <f t="shared" si="2"/>
        <v>1.714285714</v>
      </c>
    </row>
    <row r="6381">
      <c r="A6381" s="58">
        <v>45658.0</v>
      </c>
      <c r="B6381" s="24" t="s">
        <v>6789</v>
      </c>
      <c r="C6381" s="24" t="s">
        <v>7104</v>
      </c>
      <c r="D6381" s="59">
        <v>5.0</v>
      </c>
      <c r="E6381" s="59">
        <v>6.0</v>
      </c>
      <c r="F6381" s="59">
        <v>5.0</v>
      </c>
      <c r="G6381" s="60">
        <v>1.2</v>
      </c>
      <c r="H6381" s="60">
        <v>0.333333333333333</v>
      </c>
      <c r="I6381" s="60">
        <v>355.889901833333</v>
      </c>
      <c r="J6381" s="59">
        <v>7.0</v>
      </c>
      <c r="K6381" s="61">
        <f t="shared" si="1"/>
        <v>0.8333333333</v>
      </c>
      <c r="L6381" s="62">
        <f t="shared" si="2"/>
        <v>1.166666667</v>
      </c>
    </row>
    <row r="6382">
      <c r="A6382" s="58">
        <v>45658.0</v>
      </c>
      <c r="B6382" s="24" t="s">
        <v>6789</v>
      </c>
      <c r="C6382" s="24" t="s">
        <v>7107</v>
      </c>
      <c r="D6382" s="59">
        <v>5.0</v>
      </c>
      <c r="E6382" s="59">
        <v>5.0</v>
      </c>
      <c r="F6382" s="59">
        <v>0.0</v>
      </c>
      <c r="G6382" s="60">
        <v>1.25</v>
      </c>
      <c r="H6382" s="60">
        <v>0.4</v>
      </c>
      <c r="I6382" s="60">
        <v>315.4710412</v>
      </c>
      <c r="J6382" s="59">
        <v>9.0</v>
      </c>
      <c r="K6382" s="61">
        <f t="shared" si="1"/>
        <v>0</v>
      </c>
      <c r="L6382" s="62">
        <f t="shared" si="2"/>
        <v>1.8</v>
      </c>
    </row>
    <row r="6383">
      <c r="A6383" s="58">
        <v>45658.0</v>
      </c>
      <c r="B6383" s="24" t="s">
        <v>6789</v>
      </c>
      <c r="C6383" s="24" t="s">
        <v>6803</v>
      </c>
      <c r="D6383" s="59">
        <v>4.0</v>
      </c>
      <c r="E6383" s="59">
        <v>7.0</v>
      </c>
      <c r="F6383" s="59">
        <v>3.0</v>
      </c>
      <c r="G6383" s="60">
        <v>1.75</v>
      </c>
      <c r="H6383" s="60">
        <v>0.857142857142857</v>
      </c>
      <c r="I6383" s="60">
        <v>4.04130757142857</v>
      </c>
      <c r="J6383" s="59">
        <v>7.0</v>
      </c>
      <c r="K6383" s="61">
        <f t="shared" si="1"/>
        <v>0.4285714286</v>
      </c>
      <c r="L6383" s="62">
        <f t="shared" si="2"/>
        <v>1</v>
      </c>
    </row>
    <row r="6384">
      <c r="A6384" s="58">
        <v>45658.0</v>
      </c>
      <c r="B6384" s="24" t="s">
        <v>6789</v>
      </c>
      <c r="C6384" s="24" t="s">
        <v>6990</v>
      </c>
      <c r="D6384" s="59">
        <v>4.0</v>
      </c>
      <c r="E6384" s="59">
        <v>4.0</v>
      </c>
      <c r="F6384" s="59">
        <v>4.0</v>
      </c>
      <c r="G6384" s="60">
        <v>1.0</v>
      </c>
      <c r="H6384" s="60">
        <v>0.75</v>
      </c>
      <c r="I6384" s="60">
        <v>42.2896545</v>
      </c>
      <c r="J6384" s="59">
        <v>4.0</v>
      </c>
      <c r="K6384" s="61">
        <f t="shared" si="1"/>
        <v>1</v>
      </c>
      <c r="L6384" s="62">
        <f t="shared" si="2"/>
        <v>1</v>
      </c>
    </row>
    <row r="6385">
      <c r="A6385" s="58">
        <v>45658.0</v>
      </c>
      <c r="B6385" s="24" t="s">
        <v>6789</v>
      </c>
      <c r="C6385" s="24" t="s">
        <v>6997</v>
      </c>
      <c r="D6385" s="59">
        <v>4.0</v>
      </c>
      <c r="E6385" s="59">
        <v>4.0</v>
      </c>
      <c r="F6385" s="59">
        <v>4.0</v>
      </c>
      <c r="G6385" s="60">
        <v>1.0</v>
      </c>
      <c r="H6385" s="60">
        <v>0.75</v>
      </c>
      <c r="I6385" s="60">
        <v>9.13589199999999</v>
      </c>
      <c r="J6385" s="59">
        <v>4.0</v>
      </c>
      <c r="K6385" s="61">
        <f t="shared" si="1"/>
        <v>1</v>
      </c>
      <c r="L6385" s="62">
        <f t="shared" si="2"/>
        <v>1</v>
      </c>
    </row>
    <row r="6386">
      <c r="A6386" s="58">
        <v>45658.0</v>
      </c>
      <c r="B6386" s="24" t="s">
        <v>6789</v>
      </c>
      <c r="C6386" s="24" t="s">
        <v>6811</v>
      </c>
      <c r="D6386" s="59">
        <v>4.0</v>
      </c>
      <c r="E6386" s="59">
        <v>4.0</v>
      </c>
      <c r="F6386" s="59">
        <v>3.0</v>
      </c>
      <c r="G6386" s="60">
        <v>1.0</v>
      </c>
      <c r="H6386" s="60">
        <v>0.25</v>
      </c>
      <c r="I6386" s="60">
        <v>221.70758025</v>
      </c>
      <c r="J6386" s="59">
        <v>14.0</v>
      </c>
      <c r="K6386" s="61">
        <f t="shared" si="1"/>
        <v>0.75</v>
      </c>
      <c r="L6386" s="62">
        <f t="shared" si="2"/>
        <v>3.5</v>
      </c>
    </row>
    <row r="6387">
      <c r="A6387" s="58">
        <v>45658.0</v>
      </c>
      <c r="B6387" s="24" t="s">
        <v>6787</v>
      </c>
      <c r="C6387" s="24" t="s">
        <v>7087</v>
      </c>
      <c r="D6387" s="59">
        <v>4.0</v>
      </c>
      <c r="E6387" s="59">
        <v>4.0</v>
      </c>
      <c r="F6387" s="59">
        <v>4.0</v>
      </c>
      <c r="G6387" s="60">
        <v>1.0</v>
      </c>
      <c r="H6387" s="60">
        <v>0.75</v>
      </c>
      <c r="I6387" s="60">
        <v>8.99656225</v>
      </c>
      <c r="J6387" s="59">
        <v>5.0</v>
      </c>
      <c r="K6387" s="61">
        <f t="shared" si="1"/>
        <v>1</v>
      </c>
      <c r="L6387" s="62">
        <f t="shared" si="2"/>
        <v>1.25</v>
      </c>
    </row>
    <row r="6388">
      <c r="A6388" s="58">
        <v>45658.0</v>
      </c>
      <c r="B6388" s="24" t="s">
        <v>6789</v>
      </c>
      <c r="C6388" s="24" t="s">
        <v>7172</v>
      </c>
      <c r="D6388" s="59">
        <v>4.0</v>
      </c>
      <c r="E6388" s="59">
        <v>4.0</v>
      </c>
      <c r="F6388" s="59">
        <v>1.0</v>
      </c>
      <c r="G6388" s="60">
        <v>2.0</v>
      </c>
      <c r="H6388" s="60">
        <v>0.75</v>
      </c>
      <c r="I6388" s="60">
        <v>53.89783625</v>
      </c>
      <c r="J6388" s="59">
        <v>5.0</v>
      </c>
      <c r="K6388" s="61">
        <f t="shared" si="1"/>
        <v>0.25</v>
      </c>
      <c r="L6388" s="62">
        <f t="shared" si="2"/>
        <v>1.25</v>
      </c>
    </row>
    <row r="6389">
      <c r="A6389" s="58">
        <v>45658.0</v>
      </c>
      <c r="B6389" s="24" t="s">
        <v>6787</v>
      </c>
      <c r="C6389" s="24" t="s">
        <v>7313</v>
      </c>
      <c r="D6389" s="59">
        <v>4.0</v>
      </c>
      <c r="E6389" s="59">
        <v>4.0</v>
      </c>
      <c r="F6389" s="59">
        <v>2.0</v>
      </c>
      <c r="G6389" s="60">
        <v>1.0</v>
      </c>
      <c r="H6389" s="60">
        <v>0.75</v>
      </c>
      <c r="I6389" s="60">
        <v>20.22259125</v>
      </c>
      <c r="J6389" s="59">
        <v>5.0</v>
      </c>
      <c r="K6389" s="61">
        <f t="shared" si="1"/>
        <v>0.5</v>
      </c>
      <c r="L6389" s="62">
        <f t="shared" si="2"/>
        <v>1.25</v>
      </c>
    </row>
    <row r="6390">
      <c r="A6390" s="58">
        <v>45658.0</v>
      </c>
      <c r="B6390" s="24" t="s">
        <v>6789</v>
      </c>
      <c r="C6390" s="24" t="s">
        <v>7313</v>
      </c>
      <c r="D6390" s="59">
        <v>4.0</v>
      </c>
      <c r="E6390" s="59">
        <v>4.0</v>
      </c>
      <c r="F6390" s="59">
        <v>0.0</v>
      </c>
      <c r="G6390" s="60">
        <v>1.33333333333333</v>
      </c>
      <c r="H6390" s="60">
        <v>0.25</v>
      </c>
      <c r="I6390" s="60">
        <v>163.133847</v>
      </c>
      <c r="J6390" s="59">
        <v>6.0</v>
      </c>
      <c r="K6390" s="61">
        <f t="shared" si="1"/>
        <v>0</v>
      </c>
      <c r="L6390" s="62">
        <f t="shared" si="2"/>
        <v>1.5</v>
      </c>
    </row>
    <row r="6391">
      <c r="A6391" s="58">
        <v>45658.0</v>
      </c>
      <c r="B6391" s="24" t="s">
        <v>6787</v>
      </c>
      <c r="C6391" s="24" t="s">
        <v>7104</v>
      </c>
      <c r="D6391" s="59">
        <v>4.0</v>
      </c>
      <c r="E6391" s="59">
        <v>4.0</v>
      </c>
      <c r="F6391" s="59">
        <v>4.0</v>
      </c>
      <c r="G6391" s="60">
        <v>1.0</v>
      </c>
      <c r="H6391" s="60">
        <v>0.5</v>
      </c>
      <c r="I6391" s="60">
        <v>32.89674975</v>
      </c>
      <c r="J6391" s="59">
        <v>4.0</v>
      </c>
      <c r="K6391" s="61">
        <f t="shared" si="1"/>
        <v>1</v>
      </c>
      <c r="L6391" s="62">
        <f t="shared" si="2"/>
        <v>1</v>
      </c>
    </row>
    <row r="6392">
      <c r="A6392" s="58">
        <v>45658.0</v>
      </c>
      <c r="B6392" s="24" t="s">
        <v>6789</v>
      </c>
      <c r="C6392" s="24" t="s">
        <v>7023</v>
      </c>
      <c r="D6392" s="59">
        <v>4.0</v>
      </c>
      <c r="E6392" s="59">
        <v>4.0</v>
      </c>
      <c r="F6392" s="59">
        <v>2.0</v>
      </c>
      <c r="G6392" s="60">
        <v>1.33333333333333</v>
      </c>
      <c r="H6392" s="60">
        <v>0.75</v>
      </c>
      <c r="I6392" s="60">
        <v>146.262052999999</v>
      </c>
      <c r="J6392" s="59">
        <v>5.0</v>
      </c>
      <c r="K6392" s="61">
        <f t="shared" si="1"/>
        <v>0.5</v>
      </c>
      <c r="L6392" s="62">
        <f t="shared" si="2"/>
        <v>1.25</v>
      </c>
    </row>
    <row r="6393">
      <c r="A6393" s="58">
        <v>45658.0</v>
      </c>
      <c r="B6393" s="24" t="s">
        <v>6789</v>
      </c>
      <c r="C6393" s="24" t="s">
        <v>7106</v>
      </c>
      <c r="D6393" s="59">
        <v>4.0</v>
      </c>
      <c r="E6393" s="59">
        <v>5.0</v>
      </c>
      <c r="F6393" s="59">
        <v>0.0</v>
      </c>
      <c r="G6393" s="60">
        <v>1.25</v>
      </c>
      <c r="H6393" s="60">
        <v>0.0</v>
      </c>
      <c r="I6393" s="60">
        <v>365.3397346</v>
      </c>
      <c r="J6393" s="59">
        <v>7.0</v>
      </c>
      <c r="K6393" s="61">
        <f t="shared" si="1"/>
        <v>0</v>
      </c>
      <c r="L6393" s="62">
        <f t="shared" si="2"/>
        <v>1.4</v>
      </c>
    </row>
    <row r="6394">
      <c r="A6394" s="58">
        <v>45658.0</v>
      </c>
      <c r="B6394" s="24" t="s">
        <v>6787</v>
      </c>
      <c r="C6394" s="24" t="s">
        <v>6922</v>
      </c>
      <c r="D6394" s="59">
        <v>4.0</v>
      </c>
      <c r="E6394" s="59">
        <v>4.0</v>
      </c>
      <c r="F6394" s="59">
        <v>4.0</v>
      </c>
      <c r="G6394" s="60">
        <v>1.0</v>
      </c>
      <c r="H6394" s="60">
        <v>0.75</v>
      </c>
      <c r="I6394" s="60">
        <v>5.18530475</v>
      </c>
      <c r="J6394" s="59">
        <v>4.0</v>
      </c>
      <c r="K6394" s="61">
        <f t="shared" si="1"/>
        <v>1</v>
      </c>
      <c r="L6394" s="62">
        <f t="shared" si="2"/>
        <v>1</v>
      </c>
    </row>
    <row r="6395">
      <c r="A6395" s="58">
        <v>45658.0</v>
      </c>
      <c r="B6395" s="24" t="s">
        <v>3216</v>
      </c>
      <c r="C6395" s="24" t="s">
        <v>6788</v>
      </c>
      <c r="D6395" s="59">
        <v>3.0</v>
      </c>
      <c r="E6395" s="59">
        <v>3.0</v>
      </c>
      <c r="F6395" s="59">
        <v>2.0</v>
      </c>
      <c r="G6395" s="60">
        <v>1.0</v>
      </c>
      <c r="H6395" s="60">
        <v>0.333333333333333</v>
      </c>
      <c r="I6395" s="60">
        <v>25.325293</v>
      </c>
      <c r="J6395" s="59">
        <v>4.0</v>
      </c>
      <c r="K6395" s="61">
        <f t="shared" si="1"/>
        <v>0.6666666667</v>
      </c>
      <c r="L6395" s="62">
        <f t="shared" si="2"/>
        <v>1.333333333</v>
      </c>
    </row>
    <row r="6396">
      <c r="A6396" s="58">
        <v>45658.0</v>
      </c>
      <c r="B6396" s="24" t="s">
        <v>155</v>
      </c>
      <c r="C6396" s="24" t="s">
        <v>6804</v>
      </c>
      <c r="D6396" s="59">
        <v>3.0</v>
      </c>
      <c r="E6396" s="59">
        <v>3.0</v>
      </c>
      <c r="F6396" s="59">
        <v>2.0</v>
      </c>
      <c r="G6396" s="60">
        <v>1.0</v>
      </c>
      <c r="H6396" s="60">
        <v>0.666666666666666</v>
      </c>
      <c r="I6396" s="60">
        <v>28.4086846666666</v>
      </c>
      <c r="J6396" s="59">
        <v>3.0</v>
      </c>
      <c r="K6396" s="61">
        <f t="shared" si="1"/>
        <v>0.6666666667</v>
      </c>
      <c r="L6396" s="62">
        <f t="shared" si="2"/>
        <v>1</v>
      </c>
    </row>
    <row r="6397">
      <c r="A6397" s="58">
        <v>45658.0</v>
      </c>
      <c r="B6397" s="24" t="s">
        <v>6789</v>
      </c>
      <c r="C6397" s="24" t="s">
        <v>6880</v>
      </c>
      <c r="D6397" s="59">
        <v>3.0</v>
      </c>
      <c r="E6397" s="59">
        <v>3.0</v>
      </c>
      <c r="F6397" s="59">
        <v>2.0</v>
      </c>
      <c r="G6397" s="60">
        <v>1.0</v>
      </c>
      <c r="H6397" s="60">
        <v>0.666666666666666</v>
      </c>
      <c r="I6397" s="60">
        <v>5.65899833333333</v>
      </c>
      <c r="J6397" s="59">
        <v>3.0</v>
      </c>
      <c r="K6397" s="61">
        <f t="shared" si="1"/>
        <v>0.6666666667</v>
      </c>
      <c r="L6397" s="62">
        <f t="shared" si="2"/>
        <v>1</v>
      </c>
    </row>
    <row r="6398">
      <c r="A6398" s="58">
        <v>45658.0</v>
      </c>
      <c r="B6398" s="24" t="s">
        <v>155</v>
      </c>
      <c r="C6398" s="24" t="s">
        <v>7068</v>
      </c>
      <c r="D6398" s="59">
        <v>3.0</v>
      </c>
      <c r="E6398" s="59">
        <v>4.0</v>
      </c>
      <c r="F6398" s="59">
        <v>3.0</v>
      </c>
      <c r="G6398" s="60">
        <v>1.33333333333333</v>
      </c>
      <c r="H6398" s="60">
        <v>0.5</v>
      </c>
      <c r="I6398" s="60">
        <v>165.595542</v>
      </c>
      <c r="J6398" s="59">
        <v>4.0</v>
      </c>
      <c r="K6398" s="61">
        <f t="shared" si="1"/>
        <v>0.75</v>
      </c>
      <c r="L6398" s="62">
        <f t="shared" si="2"/>
        <v>1</v>
      </c>
    </row>
    <row r="6399">
      <c r="A6399" s="58">
        <v>45658.0</v>
      </c>
      <c r="B6399" s="24" t="s">
        <v>6787</v>
      </c>
      <c r="C6399" s="24" t="s">
        <v>7073</v>
      </c>
      <c r="D6399" s="59">
        <v>3.0</v>
      </c>
      <c r="E6399" s="59">
        <v>4.0</v>
      </c>
      <c r="F6399" s="59">
        <v>2.0</v>
      </c>
      <c r="G6399" s="60">
        <v>1.33333333333333</v>
      </c>
      <c r="H6399" s="60">
        <v>0.25</v>
      </c>
      <c r="I6399" s="60">
        <v>17.0452085</v>
      </c>
      <c r="J6399" s="59">
        <v>6.0</v>
      </c>
      <c r="K6399" s="61">
        <f t="shared" si="1"/>
        <v>0.5</v>
      </c>
      <c r="L6399" s="62">
        <f t="shared" si="2"/>
        <v>1.5</v>
      </c>
    </row>
    <row r="6400">
      <c r="A6400" s="58">
        <v>45658.0</v>
      </c>
      <c r="B6400" s="24" t="s">
        <v>6789</v>
      </c>
      <c r="C6400" s="24" t="s">
        <v>6886</v>
      </c>
      <c r="D6400" s="59">
        <v>3.0</v>
      </c>
      <c r="E6400" s="59">
        <v>3.0</v>
      </c>
      <c r="F6400" s="59">
        <v>1.0</v>
      </c>
      <c r="G6400" s="60">
        <v>1.0</v>
      </c>
      <c r="H6400" s="60">
        <v>0.0</v>
      </c>
      <c r="I6400" s="60">
        <v>1478.68762033333</v>
      </c>
      <c r="J6400" s="59">
        <v>32.0</v>
      </c>
      <c r="K6400" s="61">
        <f t="shared" si="1"/>
        <v>0.3333333333</v>
      </c>
      <c r="L6400" s="62">
        <f t="shared" si="2"/>
        <v>10.66666667</v>
      </c>
    </row>
    <row r="6401">
      <c r="A6401" s="58">
        <v>45658.0</v>
      </c>
      <c r="B6401" s="24" t="s">
        <v>6787</v>
      </c>
      <c r="C6401" s="24" t="s">
        <v>6820</v>
      </c>
      <c r="D6401" s="59">
        <v>3.0</v>
      </c>
      <c r="E6401" s="59">
        <v>3.0</v>
      </c>
      <c r="F6401" s="59">
        <v>3.0</v>
      </c>
      <c r="G6401" s="60">
        <v>1.0</v>
      </c>
      <c r="H6401" s="60">
        <v>1.0</v>
      </c>
      <c r="I6401" s="60">
        <v>2.97777566666666</v>
      </c>
      <c r="J6401" s="59">
        <v>3.0</v>
      </c>
      <c r="K6401" s="61">
        <f t="shared" si="1"/>
        <v>1</v>
      </c>
      <c r="L6401" s="62">
        <f t="shared" si="2"/>
        <v>1</v>
      </c>
    </row>
    <row r="6402">
      <c r="A6402" s="58">
        <v>45658.0</v>
      </c>
      <c r="B6402" s="24" t="s">
        <v>6787</v>
      </c>
      <c r="C6402" s="24" t="s">
        <v>6838</v>
      </c>
      <c r="D6402" s="59">
        <v>3.0</v>
      </c>
      <c r="E6402" s="59">
        <v>3.0</v>
      </c>
      <c r="F6402" s="59">
        <v>3.0</v>
      </c>
      <c r="G6402" s="60">
        <v>1.0</v>
      </c>
      <c r="H6402" s="60">
        <v>0.0</v>
      </c>
      <c r="I6402" s="60">
        <v>180.201598333333</v>
      </c>
      <c r="J6402" s="59">
        <v>4.0</v>
      </c>
      <c r="K6402" s="61">
        <f t="shared" si="1"/>
        <v>1</v>
      </c>
      <c r="L6402" s="62">
        <f t="shared" si="2"/>
        <v>1.333333333</v>
      </c>
    </row>
    <row r="6403">
      <c r="A6403" s="58">
        <v>45658.0</v>
      </c>
      <c r="B6403" s="24" t="s">
        <v>6789</v>
      </c>
      <c r="C6403" s="24" t="s">
        <v>6892</v>
      </c>
      <c r="D6403" s="59">
        <v>3.0</v>
      </c>
      <c r="E6403" s="59">
        <v>3.0</v>
      </c>
      <c r="F6403" s="59">
        <v>3.0</v>
      </c>
      <c r="G6403" s="60">
        <v>1.0</v>
      </c>
      <c r="H6403" s="60">
        <v>0.666666666666666</v>
      </c>
      <c r="I6403" s="60">
        <v>9.75177066666666</v>
      </c>
      <c r="J6403" s="59">
        <v>3.0</v>
      </c>
      <c r="K6403" s="61">
        <f t="shared" si="1"/>
        <v>1</v>
      </c>
      <c r="L6403" s="62">
        <f t="shared" si="2"/>
        <v>1</v>
      </c>
    </row>
    <row r="6404">
      <c r="A6404" s="58">
        <v>45658.0</v>
      </c>
      <c r="B6404" s="24" t="s">
        <v>6789</v>
      </c>
      <c r="C6404" s="24" t="s">
        <v>6840</v>
      </c>
      <c r="D6404" s="59">
        <v>3.0</v>
      </c>
      <c r="E6404" s="59">
        <v>3.0</v>
      </c>
      <c r="F6404" s="59">
        <v>2.0</v>
      </c>
      <c r="G6404" s="60">
        <v>1.0</v>
      </c>
      <c r="H6404" s="60">
        <v>0.666666666666666</v>
      </c>
      <c r="I6404" s="60">
        <v>268.679717</v>
      </c>
      <c r="J6404" s="59">
        <v>4.0</v>
      </c>
      <c r="K6404" s="61">
        <f t="shared" si="1"/>
        <v>0.6666666667</v>
      </c>
      <c r="L6404" s="62">
        <f t="shared" si="2"/>
        <v>1.333333333</v>
      </c>
    </row>
    <row r="6405">
      <c r="A6405" s="58">
        <v>45658.0</v>
      </c>
      <c r="B6405" s="24" t="s">
        <v>155</v>
      </c>
      <c r="C6405" s="24" t="s">
        <v>6841</v>
      </c>
      <c r="D6405" s="59">
        <v>3.0</v>
      </c>
      <c r="E6405" s="59">
        <v>3.0</v>
      </c>
      <c r="F6405" s="59">
        <v>2.0</v>
      </c>
      <c r="G6405" s="60">
        <v>1.0</v>
      </c>
      <c r="H6405" s="60">
        <v>0.333333333333333</v>
      </c>
      <c r="I6405" s="60">
        <v>746.519214999999</v>
      </c>
      <c r="J6405" s="59">
        <v>5.0</v>
      </c>
      <c r="K6405" s="61">
        <f t="shared" si="1"/>
        <v>0.6666666667</v>
      </c>
      <c r="L6405" s="62">
        <f t="shared" si="2"/>
        <v>1.666666667</v>
      </c>
    </row>
    <row r="6406">
      <c r="A6406" s="58">
        <v>45658.0</v>
      </c>
      <c r="B6406" s="24" t="s">
        <v>6787</v>
      </c>
      <c r="C6406" s="24" t="s">
        <v>7261</v>
      </c>
      <c r="D6406" s="59">
        <v>3.0</v>
      </c>
      <c r="E6406" s="59">
        <v>4.0</v>
      </c>
      <c r="F6406" s="59">
        <v>2.0</v>
      </c>
      <c r="G6406" s="60">
        <v>1.33333333333333</v>
      </c>
      <c r="H6406" s="60">
        <v>0.0</v>
      </c>
      <c r="I6406" s="60">
        <v>878.5802665</v>
      </c>
      <c r="J6406" s="59">
        <v>23.0</v>
      </c>
      <c r="K6406" s="61">
        <f t="shared" si="1"/>
        <v>0.5</v>
      </c>
      <c r="L6406" s="62">
        <f t="shared" si="2"/>
        <v>5.75</v>
      </c>
    </row>
    <row r="6407">
      <c r="A6407" s="58">
        <v>45658.0</v>
      </c>
      <c r="B6407" s="24" t="s">
        <v>155</v>
      </c>
      <c r="C6407" s="24" t="s">
        <v>6808</v>
      </c>
      <c r="D6407" s="59">
        <v>3.0</v>
      </c>
      <c r="E6407" s="59">
        <v>3.0</v>
      </c>
      <c r="F6407" s="59">
        <v>0.0</v>
      </c>
      <c r="G6407" s="60">
        <v>1.0</v>
      </c>
      <c r="H6407" s="60">
        <v>0.666666666666666</v>
      </c>
      <c r="I6407" s="60">
        <v>335.215283666666</v>
      </c>
      <c r="J6407" s="59">
        <v>3.0</v>
      </c>
      <c r="K6407" s="61">
        <f t="shared" si="1"/>
        <v>0</v>
      </c>
      <c r="L6407" s="62">
        <f t="shared" si="2"/>
        <v>1</v>
      </c>
    </row>
    <row r="6408">
      <c r="A6408" s="58">
        <v>45658.0</v>
      </c>
      <c r="B6408" s="24" t="s">
        <v>6787</v>
      </c>
      <c r="C6408" s="24" t="s">
        <v>7043</v>
      </c>
      <c r="D6408" s="59">
        <v>3.0</v>
      </c>
      <c r="E6408" s="59">
        <v>3.0</v>
      </c>
      <c r="F6408" s="59">
        <v>2.0</v>
      </c>
      <c r="G6408" s="60">
        <v>1.5</v>
      </c>
      <c r="H6408" s="60">
        <v>1.0</v>
      </c>
      <c r="I6408" s="60">
        <v>0.0</v>
      </c>
      <c r="J6408" s="59">
        <v>3.0</v>
      </c>
      <c r="K6408" s="61">
        <f t="shared" si="1"/>
        <v>0.6666666667</v>
      </c>
      <c r="L6408" s="62">
        <f t="shared" si="2"/>
        <v>1</v>
      </c>
    </row>
    <row r="6409">
      <c r="A6409" s="58">
        <v>45658.0</v>
      </c>
      <c r="B6409" s="24" t="s">
        <v>6789</v>
      </c>
      <c r="C6409" s="24" t="s">
        <v>7043</v>
      </c>
      <c r="D6409" s="59">
        <v>3.0</v>
      </c>
      <c r="E6409" s="59">
        <v>4.0</v>
      </c>
      <c r="F6409" s="59">
        <v>0.0</v>
      </c>
      <c r="G6409" s="60">
        <v>1.33333333333333</v>
      </c>
      <c r="H6409" s="60">
        <v>0.25</v>
      </c>
      <c r="I6409" s="60">
        <v>795.710202499999</v>
      </c>
      <c r="J6409" s="59">
        <v>11.0</v>
      </c>
      <c r="K6409" s="61">
        <f t="shared" si="1"/>
        <v>0</v>
      </c>
      <c r="L6409" s="62">
        <f t="shared" si="2"/>
        <v>2.75</v>
      </c>
    </row>
    <row r="6410">
      <c r="A6410" s="58">
        <v>45658.0</v>
      </c>
      <c r="B6410" s="24" t="s">
        <v>6789</v>
      </c>
      <c r="C6410" s="24" t="s">
        <v>7094</v>
      </c>
      <c r="D6410" s="59">
        <v>3.0</v>
      </c>
      <c r="E6410" s="59">
        <v>3.0</v>
      </c>
      <c r="F6410" s="59">
        <v>3.0</v>
      </c>
      <c r="G6410" s="60">
        <v>1.0</v>
      </c>
      <c r="H6410" s="60">
        <v>0.333333333333333</v>
      </c>
      <c r="I6410" s="60">
        <v>13.6494183333333</v>
      </c>
      <c r="J6410" s="59">
        <v>3.0</v>
      </c>
      <c r="K6410" s="61">
        <f t="shared" si="1"/>
        <v>1</v>
      </c>
      <c r="L6410" s="62">
        <f t="shared" si="2"/>
        <v>1</v>
      </c>
    </row>
    <row r="6411">
      <c r="A6411" s="58">
        <v>45658.0</v>
      </c>
      <c r="B6411" s="24" t="s">
        <v>6789</v>
      </c>
      <c r="C6411" s="24" t="s">
        <v>7184</v>
      </c>
      <c r="D6411" s="59">
        <v>3.0</v>
      </c>
      <c r="E6411" s="59">
        <v>3.0</v>
      </c>
      <c r="F6411" s="59">
        <v>3.0</v>
      </c>
      <c r="G6411" s="60">
        <v>1.0</v>
      </c>
      <c r="H6411" s="60">
        <v>0.333333333333333</v>
      </c>
      <c r="I6411" s="60">
        <v>222.320214333333</v>
      </c>
      <c r="J6411" s="59">
        <v>3.0</v>
      </c>
      <c r="K6411" s="61">
        <f t="shared" si="1"/>
        <v>1</v>
      </c>
      <c r="L6411" s="62">
        <f t="shared" si="2"/>
        <v>1</v>
      </c>
    </row>
    <row r="6412">
      <c r="A6412" s="58">
        <v>45658.0</v>
      </c>
      <c r="B6412" s="24" t="s">
        <v>6789</v>
      </c>
      <c r="C6412" s="24" t="s">
        <v>6908</v>
      </c>
      <c r="D6412" s="59">
        <v>3.0</v>
      </c>
      <c r="E6412" s="59">
        <v>4.0</v>
      </c>
      <c r="F6412" s="59">
        <v>1.0</v>
      </c>
      <c r="G6412" s="60">
        <v>1.33333333333333</v>
      </c>
      <c r="H6412" s="60">
        <v>0.75</v>
      </c>
      <c r="I6412" s="60">
        <v>105.23370575</v>
      </c>
      <c r="J6412" s="59">
        <v>4.0</v>
      </c>
      <c r="K6412" s="61">
        <f t="shared" si="1"/>
        <v>0.25</v>
      </c>
      <c r="L6412" s="62">
        <f t="shared" si="2"/>
        <v>1</v>
      </c>
    </row>
    <row r="6413">
      <c r="A6413" s="58">
        <v>45658.0</v>
      </c>
      <c r="B6413" s="24" t="s">
        <v>6787</v>
      </c>
      <c r="C6413" s="24" t="s">
        <v>6910</v>
      </c>
      <c r="D6413" s="59">
        <v>3.0</v>
      </c>
      <c r="E6413" s="59">
        <v>4.0</v>
      </c>
      <c r="F6413" s="59">
        <v>3.0</v>
      </c>
      <c r="G6413" s="60">
        <v>1.33333333333333</v>
      </c>
      <c r="H6413" s="60">
        <v>0.25</v>
      </c>
      <c r="I6413" s="60">
        <v>49.0574665</v>
      </c>
      <c r="J6413" s="59">
        <v>6.0</v>
      </c>
      <c r="K6413" s="61">
        <f t="shared" si="1"/>
        <v>0.75</v>
      </c>
      <c r="L6413" s="62">
        <f t="shared" si="2"/>
        <v>1.5</v>
      </c>
    </row>
    <row r="6414">
      <c r="A6414" s="58">
        <v>45658.0</v>
      </c>
      <c r="B6414" s="24" t="s">
        <v>6790</v>
      </c>
      <c r="C6414" s="24" t="s">
        <v>6851</v>
      </c>
      <c r="D6414" s="59">
        <v>3.0</v>
      </c>
      <c r="E6414" s="59">
        <v>3.0</v>
      </c>
      <c r="F6414" s="59">
        <v>3.0</v>
      </c>
      <c r="G6414" s="60">
        <v>1.0</v>
      </c>
      <c r="H6414" s="60">
        <v>1.0</v>
      </c>
      <c r="I6414" s="60">
        <v>0.0</v>
      </c>
      <c r="J6414" s="59">
        <v>3.0</v>
      </c>
      <c r="K6414" s="61">
        <f t="shared" si="1"/>
        <v>1</v>
      </c>
      <c r="L6414" s="62">
        <f t="shared" si="2"/>
        <v>1</v>
      </c>
    </row>
    <row r="6415">
      <c r="A6415" s="58">
        <v>45658.0</v>
      </c>
      <c r="B6415" s="24" t="s">
        <v>6787</v>
      </c>
      <c r="C6415" s="24" t="s">
        <v>7023</v>
      </c>
      <c r="D6415" s="59">
        <v>3.0</v>
      </c>
      <c r="E6415" s="59">
        <v>8.0</v>
      </c>
      <c r="F6415" s="59">
        <v>2.0</v>
      </c>
      <c r="G6415" s="60">
        <v>2.66666666666666</v>
      </c>
      <c r="H6415" s="60">
        <v>1.0</v>
      </c>
      <c r="I6415" s="60">
        <v>0.0</v>
      </c>
      <c r="J6415" s="59">
        <v>8.0</v>
      </c>
      <c r="K6415" s="61">
        <f t="shared" si="1"/>
        <v>0.25</v>
      </c>
      <c r="L6415" s="62">
        <f t="shared" si="2"/>
        <v>1</v>
      </c>
    </row>
    <row r="6416">
      <c r="A6416" s="58">
        <v>45658.0</v>
      </c>
      <c r="B6416" s="24" t="s">
        <v>6787</v>
      </c>
      <c r="C6416" s="24" t="s">
        <v>6912</v>
      </c>
      <c r="D6416" s="59">
        <v>3.0</v>
      </c>
      <c r="E6416" s="59">
        <v>3.0</v>
      </c>
      <c r="F6416" s="59">
        <v>2.0</v>
      </c>
      <c r="G6416" s="60">
        <v>1.0</v>
      </c>
      <c r="H6416" s="60">
        <v>0.666666666666666</v>
      </c>
      <c r="I6416" s="60">
        <v>552.160943666666</v>
      </c>
      <c r="J6416" s="59">
        <v>9.0</v>
      </c>
      <c r="K6416" s="61">
        <f t="shared" si="1"/>
        <v>0.6666666667</v>
      </c>
      <c r="L6416" s="62">
        <f t="shared" si="2"/>
        <v>3</v>
      </c>
    </row>
    <row r="6417">
      <c r="A6417" s="58">
        <v>45658.0</v>
      </c>
      <c r="B6417" s="24" t="s">
        <v>6789</v>
      </c>
      <c r="C6417" s="24" t="s">
        <v>6912</v>
      </c>
      <c r="D6417" s="59">
        <v>3.0</v>
      </c>
      <c r="E6417" s="59">
        <v>15.0</v>
      </c>
      <c r="F6417" s="59">
        <v>1.0</v>
      </c>
      <c r="G6417" s="60">
        <v>5.0</v>
      </c>
      <c r="H6417" s="60">
        <v>0.866666666666666</v>
      </c>
      <c r="I6417" s="60">
        <v>107.534082666666</v>
      </c>
      <c r="J6417" s="59">
        <v>19.0</v>
      </c>
      <c r="K6417" s="61">
        <f t="shared" si="1"/>
        <v>0.06666666667</v>
      </c>
      <c r="L6417" s="62">
        <f t="shared" si="2"/>
        <v>1.266666667</v>
      </c>
    </row>
    <row r="6418">
      <c r="A6418" s="58">
        <v>45658.0</v>
      </c>
      <c r="B6418" s="24" t="s">
        <v>6787</v>
      </c>
      <c r="C6418" s="24" t="s">
        <v>7014</v>
      </c>
      <c r="D6418" s="59">
        <v>3.0</v>
      </c>
      <c r="E6418" s="59">
        <v>3.0</v>
      </c>
      <c r="F6418" s="59">
        <v>1.0</v>
      </c>
      <c r="G6418" s="60">
        <v>1.0</v>
      </c>
      <c r="H6418" s="60">
        <v>0.0</v>
      </c>
      <c r="I6418" s="60">
        <v>205.999721</v>
      </c>
      <c r="J6418" s="59">
        <v>8.0</v>
      </c>
      <c r="K6418" s="61">
        <f t="shared" si="1"/>
        <v>0.3333333333</v>
      </c>
      <c r="L6418" s="62">
        <f t="shared" si="2"/>
        <v>2.666666667</v>
      </c>
    </row>
    <row r="6419">
      <c r="A6419" s="58">
        <v>45658.0</v>
      </c>
      <c r="B6419" s="24" t="s">
        <v>6787</v>
      </c>
      <c r="C6419" s="24" t="s">
        <v>7180</v>
      </c>
      <c r="D6419" s="59">
        <v>3.0</v>
      </c>
      <c r="E6419" s="59">
        <v>3.0</v>
      </c>
      <c r="F6419" s="59">
        <v>3.0</v>
      </c>
      <c r="G6419" s="60">
        <v>1.0</v>
      </c>
      <c r="H6419" s="60">
        <v>0.666666666666666</v>
      </c>
      <c r="I6419" s="60">
        <v>10.4625716666666</v>
      </c>
      <c r="J6419" s="59">
        <v>3.0</v>
      </c>
      <c r="K6419" s="61">
        <f t="shared" si="1"/>
        <v>1</v>
      </c>
      <c r="L6419" s="62">
        <f t="shared" si="2"/>
        <v>1</v>
      </c>
    </row>
    <row r="6420">
      <c r="A6420" s="58">
        <v>45658.0</v>
      </c>
      <c r="B6420" s="24" t="s">
        <v>6794</v>
      </c>
      <c r="C6420" s="24" t="s">
        <v>6815</v>
      </c>
      <c r="D6420" s="59">
        <v>3.0</v>
      </c>
      <c r="E6420" s="59">
        <v>4.0</v>
      </c>
      <c r="F6420" s="59">
        <v>3.0</v>
      </c>
      <c r="G6420" s="60">
        <v>1.33333333333333</v>
      </c>
      <c r="H6420" s="60">
        <v>0.25</v>
      </c>
      <c r="I6420" s="60">
        <v>235.87709625</v>
      </c>
      <c r="J6420" s="59">
        <v>6.0</v>
      </c>
      <c r="K6420" s="61">
        <f t="shared" si="1"/>
        <v>0.75</v>
      </c>
      <c r="L6420" s="62">
        <f t="shared" si="2"/>
        <v>1.5</v>
      </c>
    </row>
    <row r="6421">
      <c r="A6421" s="58">
        <v>45658.0</v>
      </c>
      <c r="B6421" s="24" t="s">
        <v>6789</v>
      </c>
      <c r="C6421" s="24" t="s">
        <v>6810</v>
      </c>
      <c r="D6421" s="59">
        <v>3.0</v>
      </c>
      <c r="E6421" s="59">
        <v>4.0</v>
      </c>
      <c r="F6421" s="59">
        <v>2.0</v>
      </c>
      <c r="G6421" s="60">
        <v>2.0</v>
      </c>
      <c r="H6421" s="60">
        <v>0.5</v>
      </c>
      <c r="I6421" s="60">
        <v>28.45329875</v>
      </c>
      <c r="J6421" s="59">
        <v>5.0</v>
      </c>
      <c r="K6421" s="61">
        <f t="shared" si="1"/>
        <v>0.5</v>
      </c>
      <c r="L6421" s="62">
        <f t="shared" si="2"/>
        <v>1.25</v>
      </c>
    </row>
    <row r="6422">
      <c r="A6422" s="58">
        <v>45658.0</v>
      </c>
      <c r="B6422" s="24" t="s">
        <v>6794</v>
      </c>
      <c r="C6422" s="24" t="s">
        <v>6963</v>
      </c>
      <c r="D6422" s="59">
        <v>3.0</v>
      </c>
      <c r="E6422" s="59">
        <v>3.0</v>
      </c>
      <c r="F6422" s="59">
        <v>3.0</v>
      </c>
      <c r="G6422" s="60">
        <v>1.0</v>
      </c>
      <c r="H6422" s="60">
        <v>0.666666666666666</v>
      </c>
      <c r="I6422" s="60">
        <v>5.91439</v>
      </c>
      <c r="J6422" s="59">
        <v>3.0</v>
      </c>
      <c r="K6422" s="61">
        <f t="shared" si="1"/>
        <v>1</v>
      </c>
      <c r="L6422" s="62">
        <f t="shared" si="2"/>
        <v>1</v>
      </c>
    </row>
    <row r="6423">
      <c r="A6423" s="58">
        <v>45658.0</v>
      </c>
      <c r="B6423" s="24" t="s">
        <v>7100</v>
      </c>
      <c r="C6423" s="24" t="s">
        <v>6792</v>
      </c>
      <c r="D6423" s="59">
        <v>2.0</v>
      </c>
      <c r="E6423" s="59">
        <v>2.0</v>
      </c>
      <c r="F6423" s="59">
        <v>0.0</v>
      </c>
      <c r="G6423" s="60">
        <v>2.0</v>
      </c>
      <c r="H6423" s="60">
        <v>1.0</v>
      </c>
      <c r="I6423" s="60">
        <v>0.0</v>
      </c>
      <c r="J6423" s="59">
        <v>0.0</v>
      </c>
      <c r="K6423" s="61">
        <f t="shared" si="1"/>
        <v>0</v>
      </c>
      <c r="L6423" s="62">
        <f t="shared" si="2"/>
        <v>0</v>
      </c>
    </row>
    <row r="6424">
      <c r="A6424" s="58">
        <v>45658.0</v>
      </c>
      <c r="B6424" s="24" t="s">
        <v>6790</v>
      </c>
      <c r="C6424" s="24" t="s">
        <v>6792</v>
      </c>
      <c r="D6424" s="59">
        <v>2.0</v>
      </c>
      <c r="E6424" s="59">
        <v>2.0</v>
      </c>
      <c r="F6424" s="59">
        <v>0.0</v>
      </c>
      <c r="G6424" s="60">
        <v>1.0</v>
      </c>
      <c r="H6424" s="60">
        <v>1.0</v>
      </c>
      <c r="I6424" s="60">
        <v>0.0</v>
      </c>
      <c r="J6424" s="59">
        <v>0.0</v>
      </c>
      <c r="K6424" s="61">
        <f t="shared" si="1"/>
        <v>0</v>
      </c>
      <c r="L6424" s="62">
        <f t="shared" si="2"/>
        <v>0</v>
      </c>
    </row>
    <row r="6425">
      <c r="A6425" s="58">
        <v>45658.0</v>
      </c>
      <c r="B6425" s="24" t="s">
        <v>7100</v>
      </c>
      <c r="C6425" s="24" t="s">
        <v>6788</v>
      </c>
      <c r="D6425" s="59">
        <v>2.0</v>
      </c>
      <c r="E6425" s="59">
        <v>13.0</v>
      </c>
      <c r="F6425" s="59">
        <v>0.0</v>
      </c>
      <c r="G6425" s="60">
        <v>6.5</v>
      </c>
      <c r="H6425" s="60">
        <v>0.692307692307692</v>
      </c>
      <c r="I6425" s="60">
        <v>180.359514692307</v>
      </c>
      <c r="J6425" s="59">
        <v>15.0</v>
      </c>
      <c r="K6425" s="61">
        <f t="shared" si="1"/>
        <v>0</v>
      </c>
      <c r="L6425" s="62">
        <f t="shared" si="2"/>
        <v>1.153846154</v>
      </c>
    </row>
    <row r="6426">
      <c r="A6426" s="58">
        <v>45658.0</v>
      </c>
      <c r="B6426" s="24" t="s">
        <v>155</v>
      </c>
      <c r="C6426" s="24" t="s">
        <v>6803</v>
      </c>
      <c r="D6426" s="59">
        <v>2.0</v>
      </c>
      <c r="E6426" s="59">
        <v>2.0</v>
      </c>
      <c r="F6426" s="59">
        <v>2.0</v>
      </c>
      <c r="G6426" s="60">
        <v>1.0</v>
      </c>
      <c r="H6426" s="60">
        <v>1.0</v>
      </c>
      <c r="I6426" s="60">
        <v>0.0</v>
      </c>
      <c r="J6426" s="59">
        <v>2.0</v>
      </c>
      <c r="K6426" s="61">
        <f t="shared" si="1"/>
        <v>1</v>
      </c>
      <c r="L6426" s="62">
        <f t="shared" si="2"/>
        <v>1</v>
      </c>
    </row>
    <row r="6427">
      <c r="A6427" s="58">
        <v>45658.0</v>
      </c>
      <c r="B6427" s="24" t="s">
        <v>6787</v>
      </c>
      <c r="C6427" s="24" t="s">
        <v>7055</v>
      </c>
      <c r="D6427" s="59">
        <v>2.0</v>
      </c>
      <c r="E6427" s="59">
        <v>4.0</v>
      </c>
      <c r="F6427" s="59">
        <v>2.0</v>
      </c>
      <c r="G6427" s="60">
        <v>2.0</v>
      </c>
      <c r="H6427" s="60">
        <v>0.75</v>
      </c>
      <c r="I6427" s="60">
        <v>264.69882825</v>
      </c>
      <c r="J6427" s="59">
        <v>4.0</v>
      </c>
      <c r="K6427" s="61">
        <f t="shared" si="1"/>
        <v>0.5</v>
      </c>
      <c r="L6427" s="62">
        <f t="shared" si="2"/>
        <v>1</v>
      </c>
    </row>
    <row r="6428">
      <c r="A6428" s="58">
        <v>45658.0</v>
      </c>
      <c r="B6428" s="24" t="s">
        <v>155</v>
      </c>
      <c r="C6428" s="24" t="s">
        <v>7055</v>
      </c>
      <c r="D6428" s="59">
        <v>2.0</v>
      </c>
      <c r="E6428" s="59">
        <v>2.0</v>
      </c>
      <c r="F6428" s="59">
        <v>0.0</v>
      </c>
      <c r="G6428" s="60">
        <v>1.0</v>
      </c>
      <c r="H6428" s="60">
        <v>0.0</v>
      </c>
      <c r="I6428" s="60">
        <v>1344.796085</v>
      </c>
      <c r="J6428" s="59">
        <v>4.0</v>
      </c>
      <c r="K6428" s="61">
        <f t="shared" si="1"/>
        <v>0</v>
      </c>
      <c r="L6428" s="62">
        <f t="shared" si="2"/>
        <v>2</v>
      </c>
    </row>
    <row r="6429">
      <c r="A6429" s="58">
        <v>45658.0</v>
      </c>
      <c r="B6429" s="24" t="s">
        <v>6787</v>
      </c>
      <c r="C6429" s="24" t="s">
        <v>6953</v>
      </c>
      <c r="D6429" s="59">
        <v>2.0</v>
      </c>
      <c r="E6429" s="59">
        <v>2.0</v>
      </c>
      <c r="F6429" s="59">
        <v>2.0</v>
      </c>
      <c r="G6429" s="60">
        <v>1.0</v>
      </c>
      <c r="H6429" s="60">
        <v>0.0</v>
      </c>
      <c r="I6429" s="60">
        <v>742.5496555</v>
      </c>
      <c r="J6429" s="59">
        <v>2.0</v>
      </c>
      <c r="K6429" s="61">
        <f t="shared" si="1"/>
        <v>1</v>
      </c>
      <c r="L6429" s="62">
        <f t="shared" si="2"/>
        <v>1</v>
      </c>
    </row>
    <row r="6430">
      <c r="A6430" s="58">
        <v>45658.0</v>
      </c>
      <c r="B6430" s="24" t="s">
        <v>6789</v>
      </c>
      <c r="C6430" s="24" t="s">
        <v>6861</v>
      </c>
      <c r="D6430" s="59">
        <v>2.0</v>
      </c>
      <c r="E6430" s="59">
        <v>2.0</v>
      </c>
      <c r="F6430" s="59">
        <v>1.0</v>
      </c>
      <c r="G6430" s="60">
        <v>1.0</v>
      </c>
      <c r="H6430" s="60">
        <v>0.5</v>
      </c>
      <c r="I6430" s="60">
        <v>567.724307</v>
      </c>
      <c r="J6430" s="59">
        <v>2.0</v>
      </c>
      <c r="K6430" s="61">
        <f t="shared" si="1"/>
        <v>0.5</v>
      </c>
      <c r="L6430" s="62">
        <f t="shared" si="2"/>
        <v>1</v>
      </c>
    </row>
    <row r="6431">
      <c r="A6431" s="58">
        <v>45658.0</v>
      </c>
      <c r="B6431" s="24" t="s">
        <v>6789</v>
      </c>
      <c r="C6431" s="24" t="s">
        <v>7060</v>
      </c>
      <c r="D6431" s="59">
        <v>2.0</v>
      </c>
      <c r="E6431" s="59">
        <v>3.0</v>
      </c>
      <c r="F6431" s="59">
        <v>1.0</v>
      </c>
      <c r="G6431" s="60">
        <v>1.5</v>
      </c>
      <c r="H6431" s="60">
        <v>0.666666666666666</v>
      </c>
      <c r="I6431" s="60">
        <v>16.7983156666666</v>
      </c>
      <c r="J6431" s="59">
        <v>3.0</v>
      </c>
      <c r="K6431" s="61">
        <f t="shared" si="1"/>
        <v>0.3333333333</v>
      </c>
      <c r="L6431" s="62">
        <f t="shared" si="2"/>
        <v>1</v>
      </c>
    </row>
    <row r="6432">
      <c r="A6432" s="58">
        <v>45658.0</v>
      </c>
      <c r="B6432" s="24" t="s">
        <v>6789</v>
      </c>
      <c r="C6432" s="24" t="s">
        <v>6833</v>
      </c>
      <c r="D6432" s="59">
        <v>2.0</v>
      </c>
      <c r="E6432" s="59">
        <v>2.0</v>
      </c>
      <c r="F6432" s="59">
        <v>1.0</v>
      </c>
      <c r="G6432" s="60">
        <v>2.0</v>
      </c>
      <c r="H6432" s="60">
        <v>1.0</v>
      </c>
      <c r="I6432" s="60">
        <v>0.0</v>
      </c>
      <c r="J6432" s="59">
        <v>2.0</v>
      </c>
      <c r="K6432" s="61">
        <f t="shared" si="1"/>
        <v>0.5</v>
      </c>
      <c r="L6432" s="62">
        <f t="shared" si="2"/>
        <v>1</v>
      </c>
    </row>
    <row r="6433">
      <c r="A6433" s="58">
        <v>45658.0</v>
      </c>
      <c r="B6433" s="24" t="s">
        <v>6789</v>
      </c>
      <c r="C6433" s="24" t="s">
        <v>7061</v>
      </c>
      <c r="D6433" s="59">
        <v>2.0</v>
      </c>
      <c r="E6433" s="59">
        <v>2.0</v>
      </c>
      <c r="F6433" s="59">
        <v>2.0</v>
      </c>
      <c r="G6433" s="60">
        <v>1.0</v>
      </c>
      <c r="H6433" s="60">
        <v>0.0</v>
      </c>
      <c r="I6433" s="60">
        <v>1013.753499</v>
      </c>
      <c r="J6433" s="59">
        <v>8.0</v>
      </c>
      <c r="K6433" s="61">
        <f t="shared" si="1"/>
        <v>1</v>
      </c>
      <c r="L6433" s="62">
        <f t="shared" si="2"/>
        <v>4</v>
      </c>
    </row>
    <row r="6434">
      <c r="A6434" s="58">
        <v>45658.0</v>
      </c>
      <c r="B6434" s="24" t="s">
        <v>6789</v>
      </c>
      <c r="C6434" s="24" t="s">
        <v>6989</v>
      </c>
      <c r="D6434" s="59">
        <v>2.0</v>
      </c>
      <c r="E6434" s="59">
        <v>2.0</v>
      </c>
      <c r="F6434" s="59">
        <v>2.0</v>
      </c>
      <c r="G6434" s="60">
        <v>1.0</v>
      </c>
      <c r="H6434" s="60">
        <v>0.5</v>
      </c>
      <c r="I6434" s="60">
        <v>446.866901</v>
      </c>
      <c r="J6434" s="59">
        <v>2.0</v>
      </c>
      <c r="K6434" s="61">
        <f t="shared" si="1"/>
        <v>1</v>
      </c>
      <c r="L6434" s="62">
        <f t="shared" si="2"/>
        <v>1</v>
      </c>
    </row>
    <row r="6435">
      <c r="A6435" s="58">
        <v>45658.0</v>
      </c>
      <c r="B6435" s="24" t="s">
        <v>6794</v>
      </c>
      <c r="C6435" s="24" t="s">
        <v>6882</v>
      </c>
      <c r="D6435" s="59">
        <v>2.0</v>
      </c>
      <c r="E6435" s="59">
        <v>2.0</v>
      </c>
      <c r="F6435" s="59">
        <v>0.0</v>
      </c>
      <c r="G6435" s="60">
        <v>1.0</v>
      </c>
      <c r="H6435" s="60">
        <v>0.0</v>
      </c>
      <c r="I6435" s="60">
        <v>109.6967245</v>
      </c>
      <c r="J6435" s="59">
        <v>6.0</v>
      </c>
      <c r="K6435" s="61">
        <f t="shared" si="1"/>
        <v>0</v>
      </c>
      <c r="L6435" s="62">
        <f t="shared" si="2"/>
        <v>3</v>
      </c>
    </row>
    <row r="6436">
      <c r="A6436" s="58">
        <v>45658.0</v>
      </c>
      <c r="B6436" s="24" t="s">
        <v>155</v>
      </c>
      <c r="C6436" s="24" t="s">
        <v>6882</v>
      </c>
      <c r="D6436" s="59">
        <v>2.0</v>
      </c>
      <c r="E6436" s="59">
        <v>2.0</v>
      </c>
      <c r="F6436" s="59">
        <v>0.0</v>
      </c>
      <c r="G6436" s="60">
        <v>1.0</v>
      </c>
      <c r="H6436" s="60">
        <v>0.0</v>
      </c>
      <c r="I6436" s="60">
        <v>130.3715665</v>
      </c>
      <c r="J6436" s="59">
        <v>10.0</v>
      </c>
      <c r="K6436" s="61">
        <f t="shared" si="1"/>
        <v>0</v>
      </c>
      <c r="L6436" s="62">
        <f t="shared" si="2"/>
        <v>5</v>
      </c>
    </row>
    <row r="6437">
      <c r="A6437" s="58">
        <v>45658.0</v>
      </c>
      <c r="B6437" s="24" t="s">
        <v>6789</v>
      </c>
      <c r="C6437" s="24" t="s">
        <v>7067</v>
      </c>
      <c r="D6437" s="59">
        <v>2.0</v>
      </c>
      <c r="E6437" s="59">
        <v>2.0</v>
      </c>
      <c r="F6437" s="59">
        <v>2.0</v>
      </c>
      <c r="G6437" s="60">
        <v>1.0</v>
      </c>
      <c r="H6437" s="60">
        <v>0.0</v>
      </c>
      <c r="I6437" s="60">
        <v>14.259427</v>
      </c>
      <c r="J6437" s="59">
        <v>3.0</v>
      </c>
      <c r="K6437" s="61">
        <f t="shared" si="1"/>
        <v>1</v>
      </c>
      <c r="L6437" s="62">
        <f t="shared" si="2"/>
        <v>1.5</v>
      </c>
    </row>
    <row r="6438">
      <c r="A6438" s="58">
        <v>45658.0</v>
      </c>
      <c r="B6438" s="24" t="s">
        <v>6789</v>
      </c>
      <c r="C6438" s="24" t="s">
        <v>6991</v>
      </c>
      <c r="D6438" s="59">
        <v>2.0</v>
      </c>
      <c r="E6438" s="59">
        <v>2.0</v>
      </c>
      <c r="F6438" s="59">
        <v>1.0</v>
      </c>
      <c r="G6438" s="60">
        <v>1.0</v>
      </c>
      <c r="H6438" s="60">
        <v>0.0</v>
      </c>
      <c r="I6438" s="60">
        <v>846.762287</v>
      </c>
      <c r="J6438" s="59">
        <v>20.0</v>
      </c>
      <c r="K6438" s="61">
        <f t="shared" si="1"/>
        <v>0.5</v>
      </c>
      <c r="L6438" s="62">
        <f t="shared" si="2"/>
        <v>10</v>
      </c>
    </row>
    <row r="6439">
      <c r="A6439" s="58">
        <v>45658.0</v>
      </c>
      <c r="B6439" s="24" t="s">
        <v>6789</v>
      </c>
      <c r="C6439" s="24" t="s">
        <v>7071</v>
      </c>
      <c r="D6439" s="59">
        <v>2.0</v>
      </c>
      <c r="E6439" s="59">
        <v>3.0</v>
      </c>
      <c r="F6439" s="59">
        <v>1.0</v>
      </c>
      <c r="G6439" s="60">
        <v>1.5</v>
      </c>
      <c r="H6439" s="60">
        <v>0.0</v>
      </c>
      <c r="I6439" s="60">
        <v>421.993024666666</v>
      </c>
      <c r="J6439" s="59">
        <v>4.0</v>
      </c>
      <c r="K6439" s="61">
        <f t="shared" si="1"/>
        <v>0.3333333333</v>
      </c>
      <c r="L6439" s="62">
        <f t="shared" si="2"/>
        <v>1.333333333</v>
      </c>
    </row>
    <row r="6440">
      <c r="A6440" s="58">
        <v>45658.0</v>
      </c>
      <c r="B6440" s="24" t="s">
        <v>6789</v>
      </c>
      <c r="C6440" s="24" t="s">
        <v>6930</v>
      </c>
      <c r="D6440" s="59">
        <v>2.0</v>
      </c>
      <c r="E6440" s="59">
        <v>3.0</v>
      </c>
      <c r="F6440" s="59">
        <v>1.0</v>
      </c>
      <c r="G6440" s="60">
        <v>1.5</v>
      </c>
      <c r="H6440" s="60">
        <v>0.666666666666666</v>
      </c>
      <c r="I6440" s="60">
        <v>21.381702</v>
      </c>
      <c r="J6440" s="59">
        <v>5.0</v>
      </c>
      <c r="K6440" s="61">
        <f t="shared" si="1"/>
        <v>0.3333333333</v>
      </c>
      <c r="L6440" s="62">
        <f t="shared" si="2"/>
        <v>1.666666667</v>
      </c>
    </row>
    <row r="6441">
      <c r="A6441" s="58">
        <v>45658.0</v>
      </c>
      <c r="B6441" s="24" t="s">
        <v>6787</v>
      </c>
      <c r="C6441" s="24" t="s">
        <v>6886</v>
      </c>
      <c r="D6441" s="59">
        <v>2.0</v>
      </c>
      <c r="E6441" s="59">
        <v>2.0</v>
      </c>
      <c r="F6441" s="59">
        <v>2.0</v>
      </c>
      <c r="G6441" s="60">
        <v>1.0</v>
      </c>
      <c r="H6441" s="60">
        <v>1.0</v>
      </c>
      <c r="I6441" s="60">
        <v>0.0</v>
      </c>
      <c r="J6441" s="59">
        <v>2.0</v>
      </c>
      <c r="K6441" s="61">
        <f t="shared" si="1"/>
        <v>1</v>
      </c>
      <c r="L6441" s="62">
        <f t="shared" si="2"/>
        <v>1</v>
      </c>
    </row>
    <row r="6442">
      <c r="A6442" s="58">
        <v>45658.0</v>
      </c>
      <c r="B6442" s="24" t="s">
        <v>155</v>
      </c>
      <c r="C6442" s="24" t="s">
        <v>7021</v>
      </c>
      <c r="D6442" s="59">
        <v>2.0</v>
      </c>
      <c r="E6442" s="59">
        <v>2.0</v>
      </c>
      <c r="F6442" s="59">
        <v>1.0</v>
      </c>
      <c r="G6442" s="60">
        <v>1.0</v>
      </c>
      <c r="H6442" s="60">
        <v>0.0</v>
      </c>
      <c r="I6442" s="60">
        <v>135.0725175</v>
      </c>
      <c r="J6442" s="59">
        <v>9.0</v>
      </c>
      <c r="K6442" s="61">
        <f t="shared" si="1"/>
        <v>0.5</v>
      </c>
      <c r="L6442" s="62">
        <f t="shared" si="2"/>
        <v>4.5</v>
      </c>
    </row>
    <row r="6443">
      <c r="A6443" s="58">
        <v>45658.0</v>
      </c>
      <c r="B6443" s="24" t="s">
        <v>6789</v>
      </c>
      <c r="C6443" s="24" t="s">
        <v>6822</v>
      </c>
      <c r="D6443" s="59">
        <v>2.0</v>
      </c>
      <c r="E6443" s="59">
        <v>2.0</v>
      </c>
      <c r="F6443" s="59">
        <v>1.0</v>
      </c>
      <c r="G6443" s="60">
        <v>1.0</v>
      </c>
      <c r="H6443" s="60">
        <v>0.0</v>
      </c>
      <c r="I6443" s="60">
        <v>14.6043224999999</v>
      </c>
      <c r="J6443" s="59">
        <v>2.0</v>
      </c>
      <c r="K6443" s="61">
        <f t="shared" si="1"/>
        <v>0.5</v>
      </c>
      <c r="L6443" s="62">
        <f t="shared" si="2"/>
        <v>1</v>
      </c>
    </row>
    <row r="6444">
      <c r="A6444" s="58">
        <v>45658.0</v>
      </c>
      <c r="B6444" s="24" t="s">
        <v>6787</v>
      </c>
      <c r="C6444" s="24" t="s">
        <v>6892</v>
      </c>
      <c r="D6444" s="59">
        <v>2.0</v>
      </c>
      <c r="E6444" s="59">
        <v>2.0</v>
      </c>
      <c r="F6444" s="59">
        <v>2.0</v>
      </c>
      <c r="G6444" s="60">
        <v>1.0</v>
      </c>
      <c r="H6444" s="60">
        <v>0.0</v>
      </c>
      <c r="I6444" s="60">
        <v>13.1676295</v>
      </c>
      <c r="J6444" s="59">
        <v>2.0</v>
      </c>
      <c r="K6444" s="61">
        <f t="shared" si="1"/>
        <v>1</v>
      </c>
      <c r="L6444" s="62">
        <f t="shared" si="2"/>
        <v>1</v>
      </c>
    </row>
    <row r="6445">
      <c r="A6445" s="58">
        <v>45658.0</v>
      </c>
      <c r="B6445" s="24" t="s">
        <v>6787</v>
      </c>
      <c r="C6445" s="24" t="s">
        <v>7438</v>
      </c>
      <c r="D6445" s="59">
        <v>2.0</v>
      </c>
      <c r="E6445" s="59">
        <v>2.0</v>
      </c>
      <c r="F6445" s="59">
        <v>2.0</v>
      </c>
      <c r="G6445" s="60">
        <v>1.0</v>
      </c>
      <c r="H6445" s="60">
        <v>0.5</v>
      </c>
      <c r="I6445" s="60">
        <v>8.4340235</v>
      </c>
      <c r="J6445" s="59">
        <v>2.0</v>
      </c>
      <c r="K6445" s="61">
        <f t="shared" si="1"/>
        <v>1</v>
      </c>
      <c r="L6445" s="62">
        <f t="shared" si="2"/>
        <v>1</v>
      </c>
    </row>
    <row r="6446">
      <c r="A6446" s="58">
        <v>45658.0</v>
      </c>
      <c r="B6446" s="24" t="s">
        <v>6787</v>
      </c>
      <c r="C6446" s="24" t="s">
        <v>7129</v>
      </c>
      <c r="D6446" s="59">
        <v>2.0</v>
      </c>
      <c r="E6446" s="59">
        <v>2.0</v>
      </c>
      <c r="F6446" s="59">
        <v>2.0</v>
      </c>
      <c r="G6446" s="60">
        <v>1.0</v>
      </c>
      <c r="H6446" s="60">
        <v>0.5</v>
      </c>
      <c r="I6446" s="60">
        <v>19.2262895</v>
      </c>
      <c r="J6446" s="59">
        <v>4.0</v>
      </c>
      <c r="K6446" s="61">
        <f t="shared" si="1"/>
        <v>1</v>
      </c>
      <c r="L6446" s="62">
        <f t="shared" si="2"/>
        <v>2</v>
      </c>
    </row>
    <row r="6447">
      <c r="A6447" s="58">
        <v>45658.0</v>
      </c>
      <c r="B6447" s="24" t="s">
        <v>6787</v>
      </c>
      <c r="C6447" s="24" t="s">
        <v>6900</v>
      </c>
      <c r="D6447" s="59">
        <v>2.0</v>
      </c>
      <c r="E6447" s="59">
        <v>3.0</v>
      </c>
      <c r="F6447" s="59">
        <v>2.0</v>
      </c>
      <c r="G6447" s="60">
        <v>1.5</v>
      </c>
      <c r="H6447" s="60">
        <v>0.666666666666666</v>
      </c>
      <c r="I6447" s="60">
        <v>9.281514</v>
      </c>
      <c r="J6447" s="59">
        <v>3.0</v>
      </c>
      <c r="K6447" s="61">
        <f t="shared" si="1"/>
        <v>0.6666666667</v>
      </c>
      <c r="L6447" s="62">
        <f t="shared" si="2"/>
        <v>1</v>
      </c>
    </row>
    <row r="6448">
      <c r="A6448" s="58">
        <v>45658.0</v>
      </c>
      <c r="B6448" s="24" t="s">
        <v>6787</v>
      </c>
      <c r="C6448" s="24" t="s">
        <v>7077</v>
      </c>
      <c r="D6448" s="59">
        <v>2.0</v>
      </c>
      <c r="E6448" s="59">
        <v>4.0</v>
      </c>
      <c r="F6448" s="59">
        <v>0.0</v>
      </c>
      <c r="G6448" s="60">
        <v>2.0</v>
      </c>
      <c r="H6448" s="60">
        <v>0.0</v>
      </c>
      <c r="I6448" s="60">
        <v>491.922022499999</v>
      </c>
      <c r="J6448" s="59">
        <v>14.0</v>
      </c>
      <c r="K6448" s="61">
        <f t="shared" si="1"/>
        <v>0</v>
      </c>
      <c r="L6448" s="62">
        <f t="shared" si="2"/>
        <v>3.5</v>
      </c>
    </row>
    <row r="6449">
      <c r="A6449" s="58">
        <v>45658.0</v>
      </c>
      <c r="B6449" s="24" t="s">
        <v>155</v>
      </c>
      <c r="C6449" s="24" t="s">
        <v>7009</v>
      </c>
      <c r="D6449" s="59">
        <v>2.0</v>
      </c>
      <c r="E6449" s="59">
        <v>4.0</v>
      </c>
      <c r="F6449" s="59">
        <v>1.0</v>
      </c>
      <c r="G6449" s="60">
        <v>2.0</v>
      </c>
      <c r="H6449" s="60">
        <v>0.25</v>
      </c>
      <c r="I6449" s="60">
        <v>24.1462815</v>
      </c>
      <c r="J6449" s="59">
        <v>5.0</v>
      </c>
      <c r="K6449" s="61">
        <f t="shared" si="1"/>
        <v>0.25</v>
      </c>
      <c r="L6449" s="62">
        <f t="shared" si="2"/>
        <v>1.25</v>
      </c>
    </row>
    <row r="6450">
      <c r="A6450" s="58">
        <v>45658.0</v>
      </c>
      <c r="B6450" s="24" t="s">
        <v>6789</v>
      </c>
      <c r="C6450" s="24" t="s">
        <v>6904</v>
      </c>
      <c r="D6450" s="59">
        <v>2.0</v>
      </c>
      <c r="E6450" s="59">
        <v>2.0</v>
      </c>
      <c r="F6450" s="59">
        <v>0.0</v>
      </c>
      <c r="G6450" s="60">
        <v>1.0</v>
      </c>
      <c r="H6450" s="60">
        <v>0.5</v>
      </c>
      <c r="I6450" s="60">
        <v>16.9332145</v>
      </c>
      <c r="J6450" s="59">
        <v>4.0</v>
      </c>
      <c r="K6450" s="61">
        <f t="shared" si="1"/>
        <v>0</v>
      </c>
      <c r="L6450" s="62">
        <f t="shared" si="2"/>
        <v>2</v>
      </c>
    </row>
    <row r="6451">
      <c r="A6451" s="58">
        <v>45658.0</v>
      </c>
      <c r="B6451" s="24" t="s">
        <v>6787</v>
      </c>
      <c r="C6451" s="24" t="s">
        <v>7494</v>
      </c>
      <c r="D6451" s="59">
        <v>2.0</v>
      </c>
      <c r="E6451" s="59">
        <v>3.0</v>
      </c>
      <c r="F6451" s="59">
        <v>1.0</v>
      </c>
      <c r="G6451" s="60">
        <v>1.5</v>
      </c>
      <c r="H6451" s="60">
        <v>0.0</v>
      </c>
      <c r="I6451" s="60">
        <v>103.269477</v>
      </c>
      <c r="J6451" s="59">
        <v>12.0</v>
      </c>
      <c r="K6451" s="61">
        <f t="shared" si="1"/>
        <v>0.3333333333</v>
      </c>
      <c r="L6451" s="62">
        <f t="shared" si="2"/>
        <v>4</v>
      </c>
    </row>
    <row r="6452">
      <c r="A6452" s="58">
        <v>45658.0</v>
      </c>
      <c r="B6452" s="24" t="s">
        <v>6789</v>
      </c>
      <c r="C6452" s="24" t="s">
        <v>7494</v>
      </c>
      <c r="D6452" s="59">
        <v>2.0</v>
      </c>
      <c r="E6452" s="59">
        <v>4.0</v>
      </c>
      <c r="F6452" s="59">
        <v>0.0</v>
      </c>
      <c r="G6452" s="60">
        <v>2.0</v>
      </c>
      <c r="H6452" s="60">
        <v>0.0</v>
      </c>
      <c r="I6452" s="60">
        <v>697.04955925</v>
      </c>
      <c r="J6452" s="59">
        <v>15.0</v>
      </c>
      <c r="K6452" s="61">
        <f t="shared" si="1"/>
        <v>0</v>
      </c>
      <c r="L6452" s="62">
        <f t="shared" si="2"/>
        <v>3.75</v>
      </c>
    </row>
    <row r="6453">
      <c r="A6453" s="58">
        <v>45658.0</v>
      </c>
      <c r="B6453" s="24" t="s">
        <v>6789</v>
      </c>
      <c r="C6453" s="24" t="s">
        <v>7035</v>
      </c>
      <c r="D6453" s="59">
        <v>2.0</v>
      </c>
      <c r="E6453" s="59">
        <v>2.0</v>
      </c>
      <c r="F6453" s="59">
        <v>1.0</v>
      </c>
      <c r="G6453" s="60">
        <v>1.0</v>
      </c>
      <c r="H6453" s="60">
        <v>0.0</v>
      </c>
      <c r="I6453" s="60">
        <v>1643.1909535</v>
      </c>
      <c r="J6453" s="59">
        <v>9.0</v>
      </c>
      <c r="K6453" s="61">
        <f t="shared" si="1"/>
        <v>0.5</v>
      </c>
      <c r="L6453" s="62">
        <f t="shared" si="2"/>
        <v>4.5</v>
      </c>
    </row>
    <row r="6454">
      <c r="A6454" s="58">
        <v>45658.0</v>
      </c>
      <c r="B6454" s="24" t="s">
        <v>6789</v>
      </c>
      <c r="C6454" s="24" t="s">
        <v>7026</v>
      </c>
      <c r="D6454" s="59">
        <v>2.0</v>
      </c>
      <c r="E6454" s="59">
        <v>4.0</v>
      </c>
      <c r="F6454" s="59">
        <v>0.0</v>
      </c>
      <c r="G6454" s="60">
        <v>2.0</v>
      </c>
      <c r="H6454" s="60">
        <v>0.0</v>
      </c>
      <c r="I6454" s="60">
        <v>73.47273475</v>
      </c>
      <c r="J6454" s="59">
        <v>10.0</v>
      </c>
      <c r="K6454" s="61">
        <f t="shared" si="1"/>
        <v>0</v>
      </c>
      <c r="L6454" s="62">
        <f t="shared" si="2"/>
        <v>2.5</v>
      </c>
    </row>
    <row r="6455">
      <c r="A6455" s="58">
        <v>45658.0</v>
      </c>
      <c r="B6455" s="24" t="s">
        <v>6789</v>
      </c>
      <c r="C6455" s="24" t="s">
        <v>7090</v>
      </c>
      <c r="D6455" s="59">
        <v>2.0</v>
      </c>
      <c r="E6455" s="59">
        <v>2.0</v>
      </c>
      <c r="F6455" s="59">
        <v>2.0</v>
      </c>
      <c r="G6455" s="60">
        <v>1.0</v>
      </c>
      <c r="H6455" s="60">
        <v>1.0</v>
      </c>
      <c r="I6455" s="60">
        <v>3.620984</v>
      </c>
      <c r="J6455" s="59">
        <v>2.0</v>
      </c>
      <c r="K6455" s="61">
        <f t="shared" si="1"/>
        <v>1</v>
      </c>
      <c r="L6455" s="62">
        <f t="shared" si="2"/>
        <v>1</v>
      </c>
    </row>
    <row r="6456">
      <c r="A6456" s="58">
        <v>45658.0</v>
      </c>
      <c r="B6456" s="24" t="s">
        <v>6789</v>
      </c>
      <c r="C6456" s="24" t="s">
        <v>7159</v>
      </c>
      <c r="D6456" s="59">
        <v>2.0</v>
      </c>
      <c r="E6456" s="59">
        <v>4.0</v>
      </c>
      <c r="F6456" s="59">
        <v>0.0</v>
      </c>
      <c r="G6456" s="60">
        <v>2.0</v>
      </c>
      <c r="H6456" s="60">
        <v>0.5</v>
      </c>
      <c r="I6456" s="60">
        <v>358.85482625</v>
      </c>
      <c r="J6456" s="59">
        <v>23.0</v>
      </c>
      <c r="K6456" s="61">
        <f t="shared" si="1"/>
        <v>0</v>
      </c>
      <c r="L6456" s="62">
        <f t="shared" si="2"/>
        <v>5.75</v>
      </c>
    </row>
    <row r="6457">
      <c r="A6457" s="58">
        <v>45658.0</v>
      </c>
      <c r="B6457" s="24" t="s">
        <v>6794</v>
      </c>
      <c r="C6457" s="24" t="s">
        <v>7159</v>
      </c>
      <c r="D6457" s="59">
        <v>2.0</v>
      </c>
      <c r="E6457" s="59">
        <v>2.0</v>
      </c>
      <c r="F6457" s="59">
        <v>1.0</v>
      </c>
      <c r="G6457" s="60">
        <v>1.0</v>
      </c>
      <c r="H6457" s="60">
        <v>0.5</v>
      </c>
      <c r="I6457" s="60">
        <v>20.0534605</v>
      </c>
      <c r="J6457" s="59">
        <v>2.0</v>
      </c>
      <c r="K6457" s="61">
        <f t="shared" si="1"/>
        <v>0.5</v>
      </c>
      <c r="L6457" s="62">
        <f t="shared" si="2"/>
        <v>1</v>
      </c>
    </row>
    <row r="6458">
      <c r="A6458" s="58">
        <v>45658.0</v>
      </c>
      <c r="B6458" s="24" t="s">
        <v>6789</v>
      </c>
      <c r="C6458" s="24" t="s">
        <v>7022</v>
      </c>
      <c r="D6458" s="59">
        <v>2.0</v>
      </c>
      <c r="E6458" s="59">
        <v>2.0</v>
      </c>
      <c r="F6458" s="59">
        <v>0.0</v>
      </c>
      <c r="G6458" s="60">
        <v>2.0</v>
      </c>
      <c r="H6458" s="60">
        <v>0.5</v>
      </c>
      <c r="I6458" s="60">
        <v>1398.97374</v>
      </c>
      <c r="J6458" s="59">
        <v>13.0</v>
      </c>
      <c r="K6458" s="61">
        <f t="shared" si="1"/>
        <v>0</v>
      </c>
      <c r="L6458" s="62">
        <f t="shared" si="2"/>
        <v>6.5</v>
      </c>
    </row>
    <row r="6459">
      <c r="A6459" s="58">
        <v>45658.0</v>
      </c>
      <c r="B6459" s="24" t="s">
        <v>6789</v>
      </c>
      <c r="C6459" s="24" t="s">
        <v>7091</v>
      </c>
      <c r="D6459" s="59">
        <v>2.0</v>
      </c>
      <c r="E6459" s="59">
        <v>2.0</v>
      </c>
      <c r="F6459" s="59">
        <v>2.0</v>
      </c>
      <c r="G6459" s="60">
        <v>1.0</v>
      </c>
      <c r="H6459" s="60">
        <v>0.0</v>
      </c>
      <c r="I6459" s="60">
        <v>541.3252235</v>
      </c>
      <c r="J6459" s="59">
        <v>4.0</v>
      </c>
      <c r="K6459" s="61">
        <f t="shared" si="1"/>
        <v>1</v>
      </c>
      <c r="L6459" s="62">
        <f t="shared" si="2"/>
        <v>2</v>
      </c>
    </row>
    <row r="6460">
      <c r="A6460" s="58">
        <v>45658.0</v>
      </c>
      <c r="B6460" s="24" t="s">
        <v>6789</v>
      </c>
      <c r="C6460" s="24" t="s">
        <v>7495</v>
      </c>
      <c r="D6460" s="59">
        <v>2.0</v>
      </c>
      <c r="E6460" s="59">
        <v>4.0</v>
      </c>
      <c r="F6460" s="59">
        <v>0.0</v>
      </c>
      <c r="G6460" s="60">
        <v>2.0</v>
      </c>
      <c r="H6460" s="60">
        <v>0.0</v>
      </c>
      <c r="I6460" s="60">
        <v>476.344105</v>
      </c>
      <c r="J6460" s="59">
        <v>11.0</v>
      </c>
      <c r="K6460" s="61">
        <f t="shared" si="1"/>
        <v>0</v>
      </c>
      <c r="L6460" s="62">
        <f t="shared" si="2"/>
        <v>2.75</v>
      </c>
    </row>
    <row r="6461">
      <c r="A6461" s="58">
        <v>45658.0</v>
      </c>
      <c r="B6461" s="24" t="s">
        <v>6787</v>
      </c>
      <c r="C6461" s="24" t="s">
        <v>7496</v>
      </c>
      <c r="D6461" s="59">
        <v>2.0</v>
      </c>
      <c r="E6461" s="59">
        <v>2.0</v>
      </c>
      <c r="F6461" s="59">
        <v>0.0</v>
      </c>
      <c r="G6461" s="60">
        <v>1.0</v>
      </c>
      <c r="H6461" s="60">
        <v>0.0</v>
      </c>
      <c r="I6461" s="60">
        <v>2598.6340295</v>
      </c>
      <c r="J6461" s="59">
        <v>34.0</v>
      </c>
      <c r="K6461" s="61">
        <f t="shared" si="1"/>
        <v>0</v>
      </c>
      <c r="L6461" s="62">
        <f t="shared" si="2"/>
        <v>17</v>
      </c>
    </row>
    <row r="6462">
      <c r="A6462" s="58">
        <v>45658.0</v>
      </c>
      <c r="B6462" s="24" t="s">
        <v>6787</v>
      </c>
      <c r="C6462" s="24" t="s">
        <v>7497</v>
      </c>
      <c r="D6462" s="59">
        <v>2.0</v>
      </c>
      <c r="E6462" s="59">
        <v>3.0</v>
      </c>
      <c r="F6462" s="59">
        <v>1.0</v>
      </c>
      <c r="G6462" s="60">
        <v>1.5</v>
      </c>
      <c r="H6462" s="60">
        <v>0.333333333333333</v>
      </c>
      <c r="I6462" s="60">
        <v>6.83002533333333</v>
      </c>
      <c r="J6462" s="59">
        <v>5.0</v>
      </c>
      <c r="K6462" s="61">
        <f t="shared" si="1"/>
        <v>0.3333333333</v>
      </c>
      <c r="L6462" s="62">
        <f t="shared" si="2"/>
        <v>1.666666667</v>
      </c>
    </row>
    <row r="6463">
      <c r="A6463" s="58">
        <v>45658.0</v>
      </c>
      <c r="B6463" s="24" t="s">
        <v>155</v>
      </c>
      <c r="C6463" s="24" t="s">
        <v>6809</v>
      </c>
      <c r="D6463" s="59">
        <v>2.0</v>
      </c>
      <c r="E6463" s="59">
        <v>2.0</v>
      </c>
      <c r="F6463" s="59">
        <v>0.0</v>
      </c>
      <c r="G6463" s="60">
        <v>1.0</v>
      </c>
      <c r="H6463" s="60">
        <v>0.5</v>
      </c>
      <c r="I6463" s="60">
        <v>55.660601</v>
      </c>
      <c r="J6463" s="59">
        <v>2.0</v>
      </c>
      <c r="K6463" s="61">
        <f t="shared" si="1"/>
        <v>0</v>
      </c>
      <c r="L6463" s="62">
        <f t="shared" si="2"/>
        <v>1</v>
      </c>
    </row>
    <row r="6464">
      <c r="A6464" s="58">
        <v>45658.0</v>
      </c>
      <c r="B6464" s="24" t="s">
        <v>6787</v>
      </c>
      <c r="C6464" s="24" t="s">
        <v>6801</v>
      </c>
      <c r="D6464" s="59">
        <v>2.0</v>
      </c>
      <c r="E6464" s="59">
        <v>2.0</v>
      </c>
      <c r="F6464" s="59">
        <v>0.0</v>
      </c>
      <c r="G6464" s="60">
        <v>1.0</v>
      </c>
      <c r="H6464" s="60">
        <v>0.0</v>
      </c>
      <c r="I6464" s="60">
        <v>64.256924</v>
      </c>
      <c r="J6464" s="59">
        <v>4.0</v>
      </c>
      <c r="K6464" s="61">
        <f t="shared" si="1"/>
        <v>0</v>
      </c>
      <c r="L6464" s="62">
        <f t="shared" si="2"/>
        <v>2</v>
      </c>
    </row>
    <row r="6465">
      <c r="A6465" s="58">
        <v>45658.0</v>
      </c>
      <c r="B6465" s="24" t="s">
        <v>6789</v>
      </c>
      <c r="C6465" s="24" t="s">
        <v>7014</v>
      </c>
      <c r="D6465" s="59">
        <v>2.0</v>
      </c>
      <c r="E6465" s="59">
        <v>4.0</v>
      </c>
      <c r="F6465" s="59">
        <v>0.0</v>
      </c>
      <c r="G6465" s="60">
        <v>2.0</v>
      </c>
      <c r="H6465" s="60">
        <v>0.25</v>
      </c>
      <c r="I6465" s="60">
        <v>1088.45225949999</v>
      </c>
      <c r="J6465" s="59">
        <v>12.0</v>
      </c>
      <c r="K6465" s="61">
        <f t="shared" si="1"/>
        <v>0</v>
      </c>
      <c r="L6465" s="62">
        <f t="shared" si="2"/>
        <v>3</v>
      </c>
    </row>
    <row r="6466">
      <c r="A6466" s="58">
        <v>45658.0</v>
      </c>
      <c r="B6466" s="24" t="s">
        <v>7100</v>
      </c>
      <c r="C6466" s="24" t="s">
        <v>7107</v>
      </c>
      <c r="D6466" s="59">
        <v>2.0</v>
      </c>
      <c r="E6466" s="59">
        <v>3.0</v>
      </c>
      <c r="F6466" s="59">
        <v>2.0</v>
      </c>
      <c r="G6466" s="60">
        <v>1.5</v>
      </c>
      <c r="H6466" s="60">
        <v>0.666666666666666</v>
      </c>
      <c r="I6466" s="60">
        <v>456.134456666666</v>
      </c>
      <c r="J6466" s="59">
        <v>5.0</v>
      </c>
      <c r="K6466" s="61">
        <f t="shared" si="1"/>
        <v>0.6666666667</v>
      </c>
      <c r="L6466" s="62">
        <f t="shared" si="2"/>
        <v>1.666666667</v>
      </c>
    </row>
    <row r="6467">
      <c r="A6467" s="58">
        <v>45658.0</v>
      </c>
      <c r="B6467" s="24" t="s">
        <v>155</v>
      </c>
      <c r="C6467" s="24" t="s">
        <v>7107</v>
      </c>
      <c r="D6467" s="59">
        <v>2.0</v>
      </c>
      <c r="E6467" s="59">
        <v>3.0</v>
      </c>
      <c r="F6467" s="59">
        <v>0.0</v>
      </c>
      <c r="G6467" s="60">
        <v>3.0</v>
      </c>
      <c r="H6467" s="60">
        <v>0.333333333333333</v>
      </c>
      <c r="I6467" s="60">
        <v>2441.80144</v>
      </c>
      <c r="J6467" s="59">
        <v>41.0</v>
      </c>
      <c r="K6467" s="61">
        <f t="shared" si="1"/>
        <v>0</v>
      </c>
      <c r="L6467" s="62">
        <f t="shared" si="2"/>
        <v>13.66666667</v>
      </c>
    </row>
    <row r="6468">
      <c r="A6468" s="58">
        <v>45658.0</v>
      </c>
      <c r="B6468" s="24" t="s">
        <v>6789</v>
      </c>
      <c r="C6468" s="24" t="s">
        <v>7492</v>
      </c>
      <c r="D6468" s="59">
        <v>2.0</v>
      </c>
      <c r="E6468" s="59">
        <v>4.0</v>
      </c>
      <c r="F6468" s="59">
        <v>0.0</v>
      </c>
      <c r="G6468" s="60">
        <v>2.0</v>
      </c>
      <c r="H6468" s="60">
        <v>0.75</v>
      </c>
      <c r="I6468" s="60">
        <v>786.55312625</v>
      </c>
      <c r="J6468" s="59">
        <v>13.0</v>
      </c>
      <c r="K6468" s="61">
        <f t="shared" si="1"/>
        <v>0</v>
      </c>
      <c r="L6468" s="62">
        <f t="shared" si="2"/>
        <v>3.25</v>
      </c>
    </row>
    <row r="6469">
      <c r="A6469" s="58">
        <v>45658.0</v>
      </c>
      <c r="B6469" s="24" t="s">
        <v>6787</v>
      </c>
      <c r="C6469" s="24" t="s">
        <v>6797</v>
      </c>
      <c r="D6469" s="59">
        <v>2.0</v>
      </c>
      <c r="E6469" s="59">
        <v>2.0</v>
      </c>
      <c r="F6469" s="59">
        <v>2.0</v>
      </c>
      <c r="G6469" s="60">
        <v>1.0</v>
      </c>
      <c r="H6469" s="60">
        <v>1.0</v>
      </c>
      <c r="I6469" s="60">
        <v>3.1532595</v>
      </c>
      <c r="J6469" s="59">
        <v>2.0</v>
      </c>
      <c r="K6469" s="61">
        <f t="shared" si="1"/>
        <v>1</v>
      </c>
      <c r="L6469" s="62">
        <f t="shared" si="2"/>
        <v>1</v>
      </c>
    </row>
    <row r="6470">
      <c r="A6470" s="58">
        <v>45658.0</v>
      </c>
      <c r="B6470" s="24" t="s">
        <v>6787</v>
      </c>
      <c r="C6470" s="24" t="s">
        <v>6854</v>
      </c>
      <c r="D6470" s="59">
        <v>2.0</v>
      </c>
      <c r="E6470" s="59">
        <v>2.0</v>
      </c>
      <c r="F6470" s="59">
        <v>2.0</v>
      </c>
      <c r="G6470" s="60">
        <v>1.0</v>
      </c>
      <c r="H6470" s="60">
        <v>0.5</v>
      </c>
      <c r="I6470" s="60">
        <v>53.4205285</v>
      </c>
      <c r="J6470" s="59">
        <v>3.0</v>
      </c>
      <c r="K6470" s="61">
        <f t="shared" si="1"/>
        <v>1</v>
      </c>
      <c r="L6470" s="62">
        <f t="shared" si="2"/>
        <v>1.5</v>
      </c>
    </row>
    <row r="6471">
      <c r="A6471" s="58">
        <v>45658.0</v>
      </c>
      <c r="B6471" s="24" t="s">
        <v>6789</v>
      </c>
      <c r="C6471" s="24" t="s">
        <v>6854</v>
      </c>
      <c r="D6471" s="59">
        <v>2.0</v>
      </c>
      <c r="E6471" s="59">
        <v>2.0</v>
      </c>
      <c r="F6471" s="59">
        <v>1.0</v>
      </c>
      <c r="G6471" s="60">
        <v>1.0</v>
      </c>
      <c r="H6471" s="60">
        <v>0.0</v>
      </c>
      <c r="I6471" s="60">
        <v>102.361571</v>
      </c>
      <c r="J6471" s="59">
        <v>4.0</v>
      </c>
      <c r="K6471" s="61">
        <f t="shared" si="1"/>
        <v>0.5</v>
      </c>
      <c r="L6471" s="62">
        <f t="shared" si="2"/>
        <v>2</v>
      </c>
    </row>
    <row r="6472">
      <c r="A6472" s="58">
        <v>45658.0</v>
      </c>
      <c r="B6472" s="24" t="s">
        <v>6790</v>
      </c>
      <c r="C6472" s="24" t="s">
        <v>6854</v>
      </c>
      <c r="D6472" s="59">
        <v>2.0</v>
      </c>
      <c r="E6472" s="59">
        <v>2.0</v>
      </c>
      <c r="F6472" s="59">
        <v>2.0</v>
      </c>
      <c r="G6472" s="60">
        <v>1.0</v>
      </c>
      <c r="H6472" s="60">
        <v>1.0</v>
      </c>
      <c r="I6472" s="60">
        <v>0.0</v>
      </c>
      <c r="J6472" s="59">
        <v>2.0</v>
      </c>
      <c r="K6472" s="61">
        <f t="shared" si="1"/>
        <v>1</v>
      </c>
      <c r="L6472" s="62">
        <f t="shared" si="2"/>
        <v>1</v>
      </c>
    </row>
    <row r="6473">
      <c r="A6473" s="58">
        <v>45658.0</v>
      </c>
      <c r="B6473" s="24" t="s">
        <v>7030</v>
      </c>
      <c r="C6473" s="24" t="s">
        <v>6788</v>
      </c>
      <c r="D6473" s="59">
        <v>1.0</v>
      </c>
      <c r="E6473" s="59">
        <v>1.0</v>
      </c>
      <c r="F6473" s="59">
        <v>0.0</v>
      </c>
      <c r="G6473" s="60">
        <v>1.0</v>
      </c>
      <c r="H6473" s="60">
        <v>1.0</v>
      </c>
      <c r="I6473" s="60">
        <v>1.04736</v>
      </c>
      <c r="J6473" s="59">
        <v>1.0</v>
      </c>
      <c r="K6473" s="61">
        <f t="shared" si="1"/>
        <v>0</v>
      </c>
      <c r="L6473" s="62">
        <f t="shared" si="2"/>
        <v>1</v>
      </c>
    </row>
    <row r="6474">
      <c r="A6474" s="58">
        <v>45658.0</v>
      </c>
      <c r="B6474" s="24" t="s">
        <v>6787</v>
      </c>
      <c r="C6474" s="24" t="s">
        <v>7498</v>
      </c>
      <c r="D6474" s="59">
        <v>1.0</v>
      </c>
      <c r="E6474" s="59">
        <v>1.0</v>
      </c>
      <c r="F6474" s="59">
        <v>1.0</v>
      </c>
      <c r="G6474" s="60">
        <v>1.0</v>
      </c>
      <c r="H6474" s="60">
        <v>0.0</v>
      </c>
      <c r="I6474" s="60">
        <v>9.462692</v>
      </c>
      <c r="J6474" s="59">
        <v>2.0</v>
      </c>
      <c r="K6474" s="61">
        <f t="shared" si="1"/>
        <v>1</v>
      </c>
      <c r="L6474" s="62">
        <f t="shared" si="2"/>
        <v>2</v>
      </c>
    </row>
    <row r="6475">
      <c r="A6475" s="58">
        <v>45658.0</v>
      </c>
      <c r="B6475" s="24" t="s">
        <v>6787</v>
      </c>
      <c r="C6475" s="24" t="s">
        <v>7499</v>
      </c>
      <c r="D6475" s="59">
        <v>1.0</v>
      </c>
      <c r="E6475" s="59">
        <v>1.0</v>
      </c>
      <c r="F6475" s="59">
        <v>1.0</v>
      </c>
      <c r="G6475" s="60">
        <v>1.0</v>
      </c>
      <c r="H6475" s="60">
        <v>0.0</v>
      </c>
      <c r="I6475" s="60">
        <v>32.461159</v>
      </c>
      <c r="J6475" s="59">
        <v>1.0</v>
      </c>
      <c r="K6475" s="61">
        <f t="shared" si="1"/>
        <v>1</v>
      </c>
      <c r="L6475" s="62">
        <f t="shared" si="2"/>
        <v>1</v>
      </c>
    </row>
    <row r="6476">
      <c r="A6476" s="58">
        <v>45658.0</v>
      </c>
      <c r="B6476" s="24" t="s">
        <v>6787</v>
      </c>
      <c r="C6476" s="24" t="s">
        <v>7500</v>
      </c>
      <c r="D6476" s="59">
        <v>1.0</v>
      </c>
      <c r="E6476" s="59">
        <v>1.0</v>
      </c>
      <c r="F6476" s="59">
        <v>1.0</v>
      </c>
      <c r="G6476" s="60">
        <v>1.0</v>
      </c>
      <c r="H6476" s="60">
        <v>1.0</v>
      </c>
      <c r="I6476" s="60">
        <v>0.0</v>
      </c>
      <c r="J6476" s="59">
        <v>1.0</v>
      </c>
      <c r="K6476" s="61">
        <f t="shared" si="1"/>
        <v>1</v>
      </c>
      <c r="L6476" s="62">
        <f t="shared" si="2"/>
        <v>1</v>
      </c>
    </row>
    <row r="6477">
      <c r="A6477" s="58">
        <v>45658.0</v>
      </c>
      <c r="B6477" s="24" t="s">
        <v>6787</v>
      </c>
      <c r="C6477" s="24" t="s">
        <v>7501</v>
      </c>
      <c r="D6477" s="59">
        <v>1.0</v>
      </c>
      <c r="E6477" s="59">
        <v>1.0</v>
      </c>
      <c r="F6477" s="59">
        <v>1.0</v>
      </c>
      <c r="G6477" s="60">
        <v>1.0</v>
      </c>
      <c r="H6477" s="60">
        <v>1.0</v>
      </c>
      <c r="I6477" s="60">
        <v>0.0</v>
      </c>
      <c r="J6477" s="59">
        <v>1.0</v>
      </c>
      <c r="K6477" s="61">
        <f t="shared" si="1"/>
        <v>1</v>
      </c>
      <c r="L6477" s="62">
        <f t="shared" si="2"/>
        <v>1</v>
      </c>
    </row>
    <row r="6478">
      <c r="A6478" s="58">
        <v>45658.0</v>
      </c>
      <c r="B6478" s="24" t="s">
        <v>6789</v>
      </c>
      <c r="C6478" s="24" t="s">
        <v>7200</v>
      </c>
      <c r="D6478" s="59">
        <v>1.0</v>
      </c>
      <c r="E6478" s="59">
        <v>1.0</v>
      </c>
      <c r="F6478" s="59">
        <v>1.0</v>
      </c>
      <c r="G6478" s="60">
        <v>1.0</v>
      </c>
      <c r="H6478" s="60">
        <v>0.0</v>
      </c>
      <c r="I6478" s="60">
        <v>37.143121</v>
      </c>
      <c r="J6478" s="59">
        <v>1.0</v>
      </c>
      <c r="K6478" s="61">
        <f t="shared" si="1"/>
        <v>1</v>
      </c>
      <c r="L6478" s="62">
        <f t="shared" si="2"/>
        <v>1</v>
      </c>
    </row>
    <row r="6479">
      <c r="A6479" s="58">
        <v>45658.0</v>
      </c>
      <c r="B6479" s="24" t="s">
        <v>6787</v>
      </c>
      <c r="C6479" s="24" t="s">
        <v>6980</v>
      </c>
      <c r="D6479" s="59">
        <v>1.0</v>
      </c>
      <c r="E6479" s="59">
        <v>1.0</v>
      </c>
      <c r="F6479" s="59">
        <v>1.0</v>
      </c>
      <c r="G6479" s="60">
        <v>1.0</v>
      </c>
      <c r="H6479" s="60">
        <v>1.0</v>
      </c>
      <c r="I6479" s="60">
        <v>0.0</v>
      </c>
      <c r="J6479" s="59">
        <v>1.0</v>
      </c>
      <c r="K6479" s="61">
        <f t="shared" si="1"/>
        <v>1</v>
      </c>
      <c r="L6479" s="62">
        <f t="shared" si="2"/>
        <v>1</v>
      </c>
    </row>
    <row r="6480">
      <c r="A6480" s="58">
        <v>45658.0</v>
      </c>
      <c r="B6480" s="24" t="s">
        <v>6787</v>
      </c>
      <c r="C6480" s="24" t="s">
        <v>6803</v>
      </c>
      <c r="D6480" s="59">
        <v>1.0</v>
      </c>
      <c r="E6480" s="59">
        <v>1.0</v>
      </c>
      <c r="F6480" s="59">
        <v>1.0</v>
      </c>
      <c r="G6480" s="60">
        <v>1.0</v>
      </c>
      <c r="H6480" s="60">
        <v>1.0</v>
      </c>
      <c r="I6480" s="60">
        <v>6.910308</v>
      </c>
      <c r="J6480" s="59">
        <v>1.0</v>
      </c>
      <c r="K6480" s="61">
        <f t="shared" si="1"/>
        <v>1</v>
      </c>
      <c r="L6480" s="62">
        <f t="shared" si="2"/>
        <v>1</v>
      </c>
    </row>
    <row r="6481">
      <c r="A6481" s="58">
        <v>45658.0</v>
      </c>
      <c r="B6481" s="24" t="s">
        <v>155</v>
      </c>
      <c r="C6481" s="24" t="s">
        <v>6817</v>
      </c>
      <c r="D6481" s="59">
        <v>1.0</v>
      </c>
      <c r="E6481" s="59">
        <v>1.0</v>
      </c>
      <c r="F6481" s="59">
        <v>0.0</v>
      </c>
      <c r="G6481" s="60">
        <v>1.0</v>
      </c>
      <c r="H6481" s="60">
        <v>0.0</v>
      </c>
      <c r="I6481" s="60">
        <v>225.654835</v>
      </c>
      <c r="J6481" s="59">
        <v>1.0</v>
      </c>
      <c r="K6481" s="61">
        <f t="shared" si="1"/>
        <v>0</v>
      </c>
      <c r="L6481" s="62">
        <f t="shared" si="2"/>
        <v>1</v>
      </c>
    </row>
    <row r="6482">
      <c r="A6482" s="58">
        <v>45658.0</v>
      </c>
      <c r="B6482" s="24" t="s">
        <v>6789</v>
      </c>
      <c r="C6482" s="24" t="s">
        <v>6953</v>
      </c>
      <c r="D6482" s="59">
        <v>1.0</v>
      </c>
      <c r="E6482" s="59">
        <v>1.0</v>
      </c>
      <c r="F6482" s="59">
        <v>1.0</v>
      </c>
      <c r="G6482" s="60">
        <v>1.0</v>
      </c>
      <c r="H6482" s="60">
        <v>0.0</v>
      </c>
      <c r="I6482" s="60">
        <v>12.974559</v>
      </c>
      <c r="J6482" s="59">
        <v>1.0</v>
      </c>
      <c r="K6482" s="61">
        <f t="shared" si="1"/>
        <v>1</v>
      </c>
      <c r="L6482" s="62">
        <f t="shared" si="2"/>
        <v>1</v>
      </c>
    </row>
    <row r="6483">
      <c r="A6483" s="58">
        <v>45658.0</v>
      </c>
      <c r="B6483" s="24" t="s">
        <v>6789</v>
      </c>
      <c r="C6483" s="24" t="s">
        <v>6983</v>
      </c>
      <c r="D6483" s="59">
        <v>1.0</v>
      </c>
      <c r="E6483" s="59">
        <v>2.0</v>
      </c>
      <c r="F6483" s="59">
        <v>0.0</v>
      </c>
      <c r="G6483" s="60">
        <v>2.0</v>
      </c>
      <c r="H6483" s="60">
        <v>0.5</v>
      </c>
      <c r="I6483" s="60">
        <v>8.741084</v>
      </c>
      <c r="J6483" s="59">
        <v>3.0</v>
      </c>
      <c r="K6483" s="61">
        <f t="shared" si="1"/>
        <v>0</v>
      </c>
      <c r="L6483" s="62">
        <f t="shared" si="2"/>
        <v>1.5</v>
      </c>
    </row>
    <row r="6484">
      <c r="A6484" s="58">
        <v>45658.0</v>
      </c>
      <c r="B6484" s="24" t="s">
        <v>6787</v>
      </c>
      <c r="C6484" s="24" t="s">
        <v>6804</v>
      </c>
      <c r="D6484" s="59">
        <v>1.0</v>
      </c>
      <c r="E6484" s="59">
        <v>1.0</v>
      </c>
      <c r="F6484" s="59">
        <v>1.0</v>
      </c>
      <c r="G6484" s="60">
        <v>1.0</v>
      </c>
      <c r="H6484" s="60">
        <v>1.0</v>
      </c>
      <c r="I6484" s="60">
        <v>0.0</v>
      </c>
      <c r="J6484" s="59">
        <v>1.0</v>
      </c>
      <c r="K6484" s="61">
        <f t="shared" si="1"/>
        <v>1</v>
      </c>
      <c r="L6484" s="62">
        <f t="shared" si="2"/>
        <v>1</v>
      </c>
    </row>
    <row r="6485">
      <c r="A6485" s="58">
        <v>45658.0</v>
      </c>
      <c r="B6485" s="24" t="s">
        <v>6787</v>
      </c>
      <c r="C6485" s="24" t="s">
        <v>6829</v>
      </c>
      <c r="D6485" s="59">
        <v>1.0</v>
      </c>
      <c r="E6485" s="59">
        <v>1.0</v>
      </c>
      <c r="F6485" s="59">
        <v>1.0</v>
      </c>
      <c r="G6485" s="60">
        <v>1.0</v>
      </c>
      <c r="H6485" s="60">
        <v>1.0</v>
      </c>
      <c r="I6485" s="60">
        <v>0.0</v>
      </c>
      <c r="J6485" s="59">
        <v>1.0</v>
      </c>
      <c r="K6485" s="61">
        <f t="shared" si="1"/>
        <v>1</v>
      </c>
      <c r="L6485" s="62">
        <f t="shared" si="2"/>
        <v>1</v>
      </c>
    </row>
    <row r="6486">
      <c r="A6486" s="58">
        <v>45658.0</v>
      </c>
      <c r="B6486" s="24" t="s">
        <v>155</v>
      </c>
      <c r="C6486" s="24" t="s">
        <v>6829</v>
      </c>
      <c r="D6486" s="59">
        <v>1.0</v>
      </c>
      <c r="E6486" s="59">
        <v>2.0</v>
      </c>
      <c r="F6486" s="59">
        <v>0.0</v>
      </c>
      <c r="G6486" s="60">
        <v>2.0</v>
      </c>
      <c r="H6486" s="60">
        <v>0.5</v>
      </c>
      <c r="I6486" s="60">
        <v>9.3264415</v>
      </c>
      <c r="J6486" s="59">
        <v>2.0</v>
      </c>
      <c r="K6486" s="61">
        <f t="shared" si="1"/>
        <v>0</v>
      </c>
      <c r="L6486" s="62">
        <f t="shared" si="2"/>
        <v>1</v>
      </c>
    </row>
    <row r="6487">
      <c r="A6487" s="58">
        <v>45658.0</v>
      </c>
      <c r="B6487" s="24" t="s">
        <v>6787</v>
      </c>
      <c r="C6487" s="24" t="s">
        <v>6956</v>
      </c>
      <c r="D6487" s="59">
        <v>1.0</v>
      </c>
      <c r="E6487" s="59">
        <v>1.0</v>
      </c>
      <c r="F6487" s="59">
        <v>1.0</v>
      </c>
      <c r="G6487" s="60">
        <v>1.0</v>
      </c>
      <c r="H6487" s="60">
        <v>1.0</v>
      </c>
      <c r="I6487" s="60">
        <v>0.0</v>
      </c>
      <c r="J6487" s="59">
        <v>1.0</v>
      </c>
      <c r="K6487" s="61">
        <f t="shared" si="1"/>
        <v>1</v>
      </c>
      <c r="L6487" s="62">
        <f t="shared" si="2"/>
        <v>1</v>
      </c>
    </row>
    <row r="6488">
      <c r="A6488" s="58">
        <v>45658.0</v>
      </c>
      <c r="B6488" s="24" t="s">
        <v>6789</v>
      </c>
      <c r="C6488" s="24" t="s">
        <v>7057</v>
      </c>
      <c r="D6488" s="59">
        <v>1.0</v>
      </c>
      <c r="E6488" s="59">
        <v>1.0</v>
      </c>
      <c r="F6488" s="59">
        <v>1.0</v>
      </c>
      <c r="G6488" s="60">
        <v>1.0</v>
      </c>
      <c r="H6488" s="60">
        <v>1.0</v>
      </c>
      <c r="I6488" s="60">
        <v>0.0</v>
      </c>
      <c r="J6488" s="59">
        <v>1.0</v>
      </c>
      <c r="K6488" s="61">
        <f t="shared" si="1"/>
        <v>1</v>
      </c>
      <c r="L6488" s="62">
        <f t="shared" si="2"/>
        <v>1</v>
      </c>
    </row>
    <row r="6489">
      <c r="A6489" s="58">
        <v>45658.0</v>
      </c>
      <c r="B6489" s="24" t="s">
        <v>6789</v>
      </c>
      <c r="C6489" s="24" t="s">
        <v>7059</v>
      </c>
      <c r="D6489" s="59">
        <v>1.0</v>
      </c>
      <c r="E6489" s="59">
        <v>1.0</v>
      </c>
      <c r="F6489" s="59">
        <v>1.0</v>
      </c>
      <c r="G6489" s="60">
        <v>1.0</v>
      </c>
      <c r="H6489" s="60">
        <v>0.0</v>
      </c>
      <c r="I6489" s="60">
        <v>34.161989</v>
      </c>
      <c r="J6489" s="59">
        <v>1.0</v>
      </c>
      <c r="K6489" s="61">
        <f t="shared" si="1"/>
        <v>1</v>
      </c>
      <c r="L6489" s="62">
        <f t="shared" si="2"/>
        <v>1</v>
      </c>
    </row>
    <row r="6490">
      <c r="A6490" s="58">
        <v>45658.0</v>
      </c>
      <c r="B6490" s="24" t="s">
        <v>155</v>
      </c>
      <c r="C6490" s="24" t="s">
        <v>7060</v>
      </c>
      <c r="D6490" s="59">
        <v>1.0</v>
      </c>
      <c r="E6490" s="59">
        <v>1.0</v>
      </c>
      <c r="F6490" s="59">
        <v>0.0</v>
      </c>
      <c r="G6490" s="60">
        <v>1.0</v>
      </c>
      <c r="H6490" s="60">
        <v>0.0</v>
      </c>
      <c r="I6490" s="60">
        <v>13.654715</v>
      </c>
      <c r="J6490" s="59">
        <v>1.0</v>
      </c>
      <c r="K6490" s="61">
        <f t="shared" si="1"/>
        <v>0</v>
      </c>
      <c r="L6490" s="62">
        <f t="shared" si="2"/>
        <v>1</v>
      </c>
    </row>
    <row r="6491">
      <c r="A6491" s="58">
        <v>45658.0</v>
      </c>
      <c r="B6491" s="24" t="s">
        <v>6787</v>
      </c>
      <c r="C6491" s="24" t="s">
        <v>6985</v>
      </c>
      <c r="D6491" s="59">
        <v>1.0</v>
      </c>
      <c r="E6491" s="59">
        <v>1.0</v>
      </c>
      <c r="F6491" s="59">
        <v>1.0</v>
      </c>
      <c r="G6491" s="60">
        <v>1.0</v>
      </c>
      <c r="H6491" s="60">
        <v>1.0</v>
      </c>
      <c r="I6491" s="60">
        <v>0.0</v>
      </c>
      <c r="J6491" s="59">
        <v>1.0</v>
      </c>
      <c r="K6491" s="61">
        <f t="shared" si="1"/>
        <v>1</v>
      </c>
      <c r="L6491" s="62">
        <f t="shared" si="2"/>
        <v>1</v>
      </c>
    </row>
    <row r="6492">
      <c r="A6492" s="58">
        <v>45658.0</v>
      </c>
      <c r="B6492" s="24" t="s">
        <v>6789</v>
      </c>
      <c r="C6492" s="24" t="s">
        <v>6985</v>
      </c>
      <c r="D6492" s="59">
        <v>1.0</v>
      </c>
      <c r="E6492" s="59">
        <v>1.0</v>
      </c>
      <c r="F6492" s="59">
        <v>0.0</v>
      </c>
      <c r="G6492" s="60">
        <v>1.0</v>
      </c>
      <c r="H6492" s="60">
        <v>0.0</v>
      </c>
      <c r="I6492" s="60">
        <v>360.628092</v>
      </c>
      <c r="J6492" s="59">
        <v>1.0</v>
      </c>
      <c r="K6492" s="61">
        <f t="shared" si="1"/>
        <v>0</v>
      </c>
      <c r="L6492" s="62">
        <f t="shared" si="2"/>
        <v>1</v>
      </c>
    </row>
    <row r="6493">
      <c r="A6493" s="58">
        <v>45658.0</v>
      </c>
      <c r="B6493" s="24" t="s">
        <v>6794</v>
      </c>
      <c r="C6493" s="24" t="s">
        <v>6833</v>
      </c>
      <c r="D6493" s="59">
        <v>1.0</v>
      </c>
      <c r="E6493" s="59">
        <v>1.0</v>
      </c>
      <c r="F6493" s="59">
        <v>0.0</v>
      </c>
      <c r="G6493" s="60">
        <v>1.0</v>
      </c>
      <c r="H6493" s="60">
        <v>1.0</v>
      </c>
      <c r="I6493" s="60">
        <v>0.0</v>
      </c>
      <c r="J6493" s="59">
        <v>1.0</v>
      </c>
      <c r="K6493" s="61">
        <f t="shared" si="1"/>
        <v>0</v>
      </c>
      <c r="L6493" s="62">
        <f t="shared" si="2"/>
        <v>1</v>
      </c>
    </row>
    <row r="6494">
      <c r="A6494" s="58">
        <v>45658.0</v>
      </c>
      <c r="B6494" s="24" t="s">
        <v>6787</v>
      </c>
      <c r="C6494" s="24" t="s">
        <v>6986</v>
      </c>
      <c r="D6494" s="59">
        <v>1.0</v>
      </c>
      <c r="E6494" s="59">
        <v>1.0</v>
      </c>
      <c r="F6494" s="59">
        <v>1.0</v>
      </c>
      <c r="G6494" s="60">
        <v>1.0</v>
      </c>
      <c r="H6494" s="60">
        <v>0.0</v>
      </c>
      <c r="I6494" s="60">
        <v>77.127115</v>
      </c>
      <c r="J6494" s="59">
        <v>2.0</v>
      </c>
      <c r="K6494" s="61">
        <f t="shared" si="1"/>
        <v>1</v>
      </c>
      <c r="L6494" s="62">
        <f t="shared" si="2"/>
        <v>2</v>
      </c>
    </row>
    <row r="6495">
      <c r="A6495" s="58">
        <v>45658.0</v>
      </c>
      <c r="B6495" s="24" t="s">
        <v>155</v>
      </c>
      <c r="C6495" s="24" t="s">
        <v>6986</v>
      </c>
      <c r="D6495" s="59">
        <v>1.0</v>
      </c>
      <c r="E6495" s="59">
        <v>1.0</v>
      </c>
      <c r="F6495" s="59">
        <v>1.0</v>
      </c>
      <c r="G6495" s="60">
        <v>1.0</v>
      </c>
      <c r="H6495" s="60">
        <v>0.0</v>
      </c>
      <c r="I6495" s="60">
        <v>211.741568</v>
      </c>
      <c r="J6495" s="59">
        <v>1.0</v>
      </c>
      <c r="K6495" s="61">
        <f t="shared" si="1"/>
        <v>1</v>
      </c>
      <c r="L6495" s="62">
        <f t="shared" si="2"/>
        <v>1</v>
      </c>
    </row>
    <row r="6496">
      <c r="A6496" s="58">
        <v>45658.0</v>
      </c>
      <c r="B6496" s="24" t="s">
        <v>6787</v>
      </c>
      <c r="C6496" s="24" t="s">
        <v>7061</v>
      </c>
      <c r="D6496" s="59">
        <v>1.0</v>
      </c>
      <c r="E6496" s="59">
        <v>1.0</v>
      </c>
      <c r="F6496" s="59">
        <v>1.0</v>
      </c>
      <c r="G6496" s="60">
        <v>1.0</v>
      </c>
      <c r="H6496" s="60">
        <v>1.0</v>
      </c>
      <c r="I6496" s="60">
        <v>0.0</v>
      </c>
      <c r="J6496" s="59">
        <v>1.0</v>
      </c>
      <c r="K6496" s="61">
        <f t="shared" si="1"/>
        <v>1</v>
      </c>
      <c r="L6496" s="62">
        <f t="shared" si="2"/>
        <v>1</v>
      </c>
    </row>
    <row r="6497">
      <c r="A6497" s="58">
        <v>45658.0</v>
      </c>
      <c r="B6497" s="24" t="s">
        <v>6787</v>
      </c>
      <c r="C6497" s="24" t="s">
        <v>6867</v>
      </c>
      <c r="D6497" s="59">
        <v>1.0</v>
      </c>
      <c r="E6497" s="59">
        <v>1.0</v>
      </c>
      <c r="F6497" s="59">
        <v>1.0</v>
      </c>
      <c r="G6497" s="60">
        <v>1.0</v>
      </c>
      <c r="H6497" s="60">
        <v>1.0</v>
      </c>
      <c r="I6497" s="60">
        <v>0.0</v>
      </c>
      <c r="J6497" s="59">
        <v>1.0</v>
      </c>
      <c r="K6497" s="61">
        <f t="shared" si="1"/>
        <v>1</v>
      </c>
      <c r="L6497" s="62">
        <f t="shared" si="2"/>
        <v>1</v>
      </c>
    </row>
    <row r="6498">
      <c r="A6498" s="58">
        <v>45658.0</v>
      </c>
      <c r="B6498" s="24" t="s">
        <v>6789</v>
      </c>
      <c r="C6498" s="24" t="s">
        <v>7063</v>
      </c>
      <c r="D6498" s="59">
        <v>1.0</v>
      </c>
      <c r="E6498" s="59">
        <v>1.0</v>
      </c>
      <c r="F6498" s="59">
        <v>0.0</v>
      </c>
      <c r="G6498" s="60">
        <v>1.0</v>
      </c>
      <c r="H6498" s="60">
        <v>0.0</v>
      </c>
      <c r="I6498" s="60">
        <v>22.558748</v>
      </c>
      <c r="J6498" s="59">
        <v>2.0</v>
      </c>
      <c r="K6498" s="61">
        <f t="shared" si="1"/>
        <v>0</v>
      </c>
      <c r="L6498" s="62">
        <f t="shared" si="2"/>
        <v>2</v>
      </c>
    </row>
    <row r="6499">
      <c r="A6499" s="58">
        <v>45658.0</v>
      </c>
      <c r="B6499" s="24" t="s">
        <v>6787</v>
      </c>
      <c r="C6499" s="24" t="s">
        <v>7024</v>
      </c>
      <c r="D6499" s="59">
        <v>1.0</v>
      </c>
      <c r="E6499" s="59">
        <v>1.0</v>
      </c>
      <c r="F6499" s="59">
        <v>1.0</v>
      </c>
      <c r="G6499" s="60">
        <v>1.0</v>
      </c>
      <c r="H6499" s="60">
        <v>1.0</v>
      </c>
      <c r="I6499" s="60">
        <v>0.0</v>
      </c>
      <c r="J6499" s="59">
        <v>1.0</v>
      </c>
      <c r="K6499" s="61">
        <f t="shared" si="1"/>
        <v>1</v>
      </c>
      <c r="L6499" s="62">
        <f t="shared" si="2"/>
        <v>1</v>
      </c>
    </row>
    <row r="6500">
      <c r="A6500" s="58">
        <v>45658.0</v>
      </c>
      <c r="B6500" s="24" t="s">
        <v>6787</v>
      </c>
      <c r="C6500" s="24" t="s">
        <v>7065</v>
      </c>
      <c r="D6500" s="59">
        <v>1.0</v>
      </c>
      <c r="E6500" s="59">
        <v>1.0</v>
      </c>
      <c r="F6500" s="59">
        <v>1.0</v>
      </c>
      <c r="G6500" s="60">
        <v>1.0</v>
      </c>
      <c r="H6500" s="60">
        <v>1.0</v>
      </c>
      <c r="I6500" s="60">
        <v>0.0</v>
      </c>
      <c r="J6500" s="59">
        <v>1.0</v>
      </c>
      <c r="K6500" s="61">
        <f t="shared" si="1"/>
        <v>1</v>
      </c>
      <c r="L6500" s="62">
        <f t="shared" si="2"/>
        <v>1</v>
      </c>
    </row>
    <row r="6501">
      <c r="A6501" s="58">
        <v>45658.0</v>
      </c>
      <c r="B6501" s="24" t="s">
        <v>155</v>
      </c>
      <c r="C6501" s="24" t="s">
        <v>6880</v>
      </c>
      <c r="D6501" s="59">
        <v>1.0</v>
      </c>
      <c r="E6501" s="59">
        <v>1.0</v>
      </c>
      <c r="F6501" s="59">
        <v>0.0</v>
      </c>
      <c r="G6501" s="60">
        <v>1.0</v>
      </c>
      <c r="H6501" s="60">
        <v>0.0</v>
      </c>
      <c r="I6501" s="60">
        <v>640.215245</v>
      </c>
      <c r="J6501" s="59">
        <v>16.0</v>
      </c>
      <c r="K6501" s="61">
        <f t="shared" si="1"/>
        <v>0</v>
      </c>
      <c r="L6501" s="62">
        <f t="shared" si="2"/>
        <v>16</v>
      </c>
    </row>
    <row r="6502">
      <c r="A6502" s="58">
        <v>45658.0</v>
      </c>
      <c r="B6502" s="24" t="s">
        <v>6787</v>
      </c>
      <c r="C6502" s="24" t="s">
        <v>6990</v>
      </c>
      <c r="D6502" s="59">
        <v>1.0</v>
      </c>
      <c r="E6502" s="59">
        <v>1.0</v>
      </c>
      <c r="F6502" s="59">
        <v>1.0</v>
      </c>
      <c r="G6502" s="60">
        <v>1.0</v>
      </c>
      <c r="H6502" s="60">
        <v>1.0</v>
      </c>
      <c r="I6502" s="60">
        <v>0.0</v>
      </c>
      <c r="J6502" s="59">
        <v>1.0</v>
      </c>
      <c r="K6502" s="61">
        <f t="shared" si="1"/>
        <v>1</v>
      </c>
      <c r="L6502" s="62">
        <f t="shared" si="2"/>
        <v>1</v>
      </c>
    </row>
    <row r="6503">
      <c r="A6503" s="58">
        <v>45658.0</v>
      </c>
      <c r="B6503" s="24" t="s">
        <v>155</v>
      </c>
      <c r="C6503" s="24" t="s">
        <v>6835</v>
      </c>
      <c r="D6503" s="59">
        <v>1.0</v>
      </c>
      <c r="E6503" s="59">
        <v>1.0</v>
      </c>
      <c r="F6503" s="59">
        <v>0.0</v>
      </c>
      <c r="G6503" s="60">
        <v>1.0</v>
      </c>
      <c r="H6503" s="60">
        <v>0.0</v>
      </c>
      <c r="I6503" s="60">
        <v>87.778662</v>
      </c>
      <c r="J6503" s="59">
        <v>1.0</v>
      </c>
      <c r="K6503" s="61">
        <f t="shared" si="1"/>
        <v>0</v>
      </c>
      <c r="L6503" s="62">
        <f t="shared" si="2"/>
        <v>1</v>
      </c>
    </row>
    <row r="6504">
      <c r="A6504" s="58">
        <v>45658.0</v>
      </c>
      <c r="B6504" s="24" t="s">
        <v>6790</v>
      </c>
      <c r="C6504" s="24" t="s">
        <v>6835</v>
      </c>
      <c r="D6504" s="59">
        <v>1.0</v>
      </c>
      <c r="E6504" s="59">
        <v>1.0</v>
      </c>
      <c r="F6504" s="59">
        <v>0.0</v>
      </c>
      <c r="G6504" s="60">
        <v>1.0</v>
      </c>
      <c r="H6504" s="60">
        <v>1.0</v>
      </c>
      <c r="I6504" s="60">
        <v>0.0</v>
      </c>
      <c r="J6504" s="59">
        <v>1.0</v>
      </c>
      <c r="K6504" s="61">
        <f t="shared" si="1"/>
        <v>0</v>
      </c>
      <c r="L6504" s="62">
        <f t="shared" si="2"/>
        <v>1</v>
      </c>
    </row>
    <row r="6505">
      <c r="A6505" s="58">
        <v>45658.0</v>
      </c>
      <c r="B6505" s="24" t="s">
        <v>6787</v>
      </c>
      <c r="C6505" s="24" t="s">
        <v>6992</v>
      </c>
      <c r="D6505" s="59">
        <v>1.0</v>
      </c>
      <c r="E6505" s="59">
        <v>1.0</v>
      </c>
      <c r="F6505" s="59">
        <v>0.0</v>
      </c>
      <c r="G6505" s="60">
        <v>1.0</v>
      </c>
      <c r="H6505" s="60">
        <v>0.0</v>
      </c>
      <c r="I6505" s="60">
        <v>16.691979</v>
      </c>
      <c r="J6505" s="59">
        <v>1.0</v>
      </c>
      <c r="K6505" s="61">
        <f t="shared" si="1"/>
        <v>0</v>
      </c>
      <c r="L6505" s="62">
        <f t="shared" si="2"/>
        <v>1</v>
      </c>
    </row>
    <row r="6506">
      <c r="A6506" s="58">
        <v>45658.0</v>
      </c>
      <c r="B6506" s="24" t="s">
        <v>6790</v>
      </c>
      <c r="C6506" s="24" t="s">
        <v>6886</v>
      </c>
      <c r="D6506" s="59">
        <v>1.0</v>
      </c>
      <c r="E6506" s="59">
        <v>1.0</v>
      </c>
      <c r="F6506" s="59">
        <v>0.0</v>
      </c>
      <c r="G6506" s="60">
        <v>1.0</v>
      </c>
      <c r="H6506" s="60">
        <v>1.0</v>
      </c>
      <c r="I6506" s="60">
        <v>493.221674</v>
      </c>
      <c r="J6506" s="59">
        <v>2.0</v>
      </c>
      <c r="K6506" s="61">
        <f t="shared" si="1"/>
        <v>0</v>
      </c>
      <c r="L6506" s="62">
        <f t="shared" si="2"/>
        <v>2</v>
      </c>
    </row>
    <row r="6507">
      <c r="A6507" s="58">
        <v>45658.0</v>
      </c>
      <c r="B6507" s="24" t="s">
        <v>155</v>
      </c>
      <c r="C6507" s="24" t="s">
        <v>6799</v>
      </c>
      <c r="D6507" s="59">
        <v>1.0</v>
      </c>
      <c r="E6507" s="59">
        <v>3.0</v>
      </c>
      <c r="F6507" s="59">
        <v>0.0</v>
      </c>
      <c r="G6507" s="60">
        <v>3.0</v>
      </c>
      <c r="H6507" s="60">
        <v>1.0</v>
      </c>
      <c r="I6507" s="60">
        <v>0.0</v>
      </c>
      <c r="J6507" s="59">
        <v>3.0</v>
      </c>
      <c r="K6507" s="61">
        <f t="shared" si="1"/>
        <v>0</v>
      </c>
      <c r="L6507" s="62">
        <f t="shared" si="2"/>
        <v>1</v>
      </c>
    </row>
    <row r="6508">
      <c r="A6508" s="58">
        <v>45658.0</v>
      </c>
      <c r="B6508" s="24" t="s">
        <v>155</v>
      </c>
      <c r="C6508" s="24" t="s">
        <v>6820</v>
      </c>
      <c r="D6508" s="59">
        <v>1.0</v>
      </c>
      <c r="E6508" s="59">
        <v>1.0</v>
      </c>
      <c r="F6508" s="59">
        <v>1.0</v>
      </c>
      <c r="G6508" s="60">
        <v>1.0</v>
      </c>
      <c r="H6508" s="60">
        <v>0.0</v>
      </c>
      <c r="I6508" s="60">
        <v>511.452017</v>
      </c>
      <c r="J6508" s="59">
        <v>6.0</v>
      </c>
      <c r="K6508" s="61">
        <f t="shared" si="1"/>
        <v>1</v>
      </c>
      <c r="L6508" s="62">
        <f t="shared" si="2"/>
        <v>6</v>
      </c>
    </row>
    <row r="6509">
      <c r="A6509" s="58">
        <v>45658.0</v>
      </c>
      <c r="B6509" s="24" t="s">
        <v>6787</v>
      </c>
      <c r="C6509" s="24" t="s">
        <v>7021</v>
      </c>
      <c r="D6509" s="59">
        <v>1.0</v>
      </c>
      <c r="E6509" s="59">
        <v>2.0</v>
      </c>
      <c r="F6509" s="59">
        <v>0.0</v>
      </c>
      <c r="G6509" s="60">
        <v>2.0</v>
      </c>
      <c r="H6509" s="60">
        <v>0.5</v>
      </c>
      <c r="I6509" s="60">
        <v>28.0274565</v>
      </c>
      <c r="J6509" s="59">
        <v>2.0</v>
      </c>
      <c r="K6509" s="61">
        <f t="shared" si="1"/>
        <v>0</v>
      </c>
      <c r="L6509" s="62">
        <f t="shared" si="2"/>
        <v>1</v>
      </c>
    </row>
    <row r="6510">
      <c r="A6510" s="58">
        <v>45658.0</v>
      </c>
      <c r="B6510" s="24" t="s">
        <v>6787</v>
      </c>
      <c r="C6510" s="24" t="s">
        <v>6891</v>
      </c>
      <c r="D6510" s="59">
        <v>1.0</v>
      </c>
      <c r="E6510" s="59">
        <v>1.0</v>
      </c>
      <c r="F6510" s="59">
        <v>1.0</v>
      </c>
      <c r="G6510" s="60">
        <v>1.0</v>
      </c>
      <c r="H6510" s="60">
        <v>0.0</v>
      </c>
      <c r="I6510" s="60">
        <v>11.925224</v>
      </c>
      <c r="J6510" s="59">
        <v>1.0</v>
      </c>
      <c r="K6510" s="61">
        <f t="shared" si="1"/>
        <v>1</v>
      </c>
      <c r="L6510" s="62">
        <f t="shared" si="2"/>
        <v>1</v>
      </c>
    </row>
    <row r="6511">
      <c r="A6511" s="58">
        <v>45658.0</v>
      </c>
      <c r="B6511" s="24" t="s">
        <v>6787</v>
      </c>
      <c r="C6511" s="24" t="s">
        <v>6840</v>
      </c>
      <c r="D6511" s="59">
        <v>1.0</v>
      </c>
      <c r="E6511" s="59">
        <v>2.0</v>
      </c>
      <c r="F6511" s="59">
        <v>0.0</v>
      </c>
      <c r="G6511" s="60">
        <v>0.0</v>
      </c>
      <c r="H6511" s="60">
        <v>1.0</v>
      </c>
      <c r="I6511" s="60">
        <v>0.0</v>
      </c>
      <c r="J6511" s="59">
        <v>2.0</v>
      </c>
      <c r="K6511" s="61">
        <f t="shared" si="1"/>
        <v>0</v>
      </c>
      <c r="L6511" s="62">
        <f t="shared" si="2"/>
        <v>1</v>
      </c>
    </row>
    <row r="6512">
      <c r="A6512" s="58">
        <v>45658.0</v>
      </c>
      <c r="B6512" s="24" t="s">
        <v>155</v>
      </c>
      <c r="C6512" s="24" t="s">
        <v>6840</v>
      </c>
      <c r="D6512" s="59">
        <v>1.0</v>
      </c>
      <c r="E6512" s="59">
        <v>1.0</v>
      </c>
      <c r="F6512" s="59">
        <v>0.0</v>
      </c>
      <c r="G6512" s="60">
        <v>0.0</v>
      </c>
      <c r="H6512" s="60">
        <v>1.0</v>
      </c>
      <c r="I6512" s="60">
        <v>0.0</v>
      </c>
      <c r="J6512" s="59">
        <v>1.0</v>
      </c>
      <c r="K6512" s="61">
        <f t="shared" si="1"/>
        <v>0</v>
      </c>
      <c r="L6512" s="62">
        <f t="shared" si="2"/>
        <v>1</v>
      </c>
    </row>
    <row r="6513">
      <c r="A6513" s="58">
        <v>45658.0</v>
      </c>
      <c r="B6513" s="24" t="s">
        <v>6789</v>
      </c>
      <c r="C6513" s="24" t="s">
        <v>7438</v>
      </c>
      <c r="D6513" s="59">
        <v>1.0</v>
      </c>
      <c r="E6513" s="59">
        <v>1.0</v>
      </c>
      <c r="F6513" s="59">
        <v>1.0</v>
      </c>
      <c r="G6513" s="60">
        <v>1.0</v>
      </c>
      <c r="H6513" s="60">
        <v>0.0</v>
      </c>
      <c r="I6513" s="60">
        <v>65.492705</v>
      </c>
      <c r="J6513" s="59">
        <v>1.0</v>
      </c>
      <c r="K6513" s="61">
        <f t="shared" si="1"/>
        <v>1</v>
      </c>
      <c r="L6513" s="62">
        <f t="shared" si="2"/>
        <v>1</v>
      </c>
    </row>
    <row r="6514">
      <c r="A6514" s="58">
        <v>45658.0</v>
      </c>
      <c r="B6514" s="24" t="s">
        <v>155</v>
      </c>
      <c r="C6514" s="24" t="s">
        <v>6896</v>
      </c>
      <c r="D6514" s="59">
        <v>1.0</v>
      </c>
      <c r="E6514" s="59">
        <v>2.0</v>
      </c>
      <c r="F6514" s="59">
        <v>0.0</v>
      </c>
      <c r="G6514" s="60">
        <v>2.0</v>
      </c>
      <c r="H6514" s="60">
        <v>0.5</v>
      </c>
      <c r="I6514" s="60">
        <v>42.63525</v>
      </c>
      <c r="J6514" s="59">
        <v>2.0</v>
      </c>
      <c r="K6514" s="61">
        <f t="shared" si="1"/>
        <v>0</v>
      </c>
      <c r="L6514" s="62">
        <f t="shared" si="2"/>
        <v>1</v>
      </c>
    </row>
    <row r="6515">
      <c r="A6515" s="58">
        <v>45658.0</v>
      </c>
      <c r="B6515" s="24" t="s">
        <v>6787</v>
      </c>
      <c r="C6515" s="24" t="s">
        <v>6823</v>
      </c>
      <c r="D6515" s="59">
        <v>1.0</v>
      </c>
      <c r="E6515" s="59">
        <v>1.0</v>
      </c>
      <c r="F6515" s="59">
        <v>1.0</v>
      </c>
      <c r="G6515" s="60">
        <v>1.0</v>
      </c>
      <c r="H6515" s="60">
        <v>1.0</v>
      </c>
      <c r="I6515" s="60">
        <v>0.0</v>
      </c>
      <c r="J6515" s="59">
        <v>1.0</v>
      </c>
      <c r="K6515" s="61">
        <f t="shared" si="1"/>
        <v>1</v>
      </c>
      <c r="L6515" s="62">
        <f t="shared" si="2"/>
        <v>1</v>
      </c>
    </row>
    <row r="6516">
      <c r="A6516" s="58">
        <v>45658.0</v>
      </c>
      <c r="B6516" s="24" t="s">
        <v>6789</v>
      </c>
      <c r="C6516" s="24" t="s">
        <v>6823</v>
      </c>
      <c r="D6516" s="59">
        <v>1.0</v>
      </c>
      <c r="E6516" s="59">
        <v>2.0</v>
      </c>
      <c r="F6516" s="59">
        <v>0.0</v>
      </c>
      <c r="G6516" s="60">
        <v>2.0</v>
      </c>
      <c r="H6516" s="60">
        <v>0.5</v>
      </c>
      <c r="I6516" s="60">
        <v>75.1543995</v>
      </c>
      <c r="J6516" s="59">
        <v>2.0</v>
      </c>
      <c r="K6516" s="61">
        <f t="shared" si="1"/>
        <v>0</v>
      </c>
      <c r="L6516" s="62">
        <f t="shared" si="2"/>
        <v>1</v>
      </c>
    </row>
    <row r="6517">
      <c r="A6517" s="58">
        <v>45658.0</v>
      </c>
      <c r="B6517" s="24" t="s">
        <v>6789</v>
      </c>
      <c r="C6517" s="24" t="s">
        <v>7195</v>
      </c>
      <c r="D6517" s="59">
        <v>1.0</v>
      </c>
      <c r="E6517" s="59">
        <v>1.0</v>
      </c>
      <c r="F6517" s="59">
        <v>1.0</v>
      </c>
      <c r="G6517" s="60">
        <v>1.0</v>
      </c>
      <c r="H6517" s="60">
        <v>0.0</v>
      </c>
      <c r="I6517" s="60">
        <v>11.793004</v>
      </c>
      <c r="J6517" s="59">
        <v>1.0</v>
      </c>
      <c r="K6517" s="61">
        <f t="shared" si="1"/>
        <v>1</v>
      </c>
      <c r="L6517" s="62">
        <f t="shared" si="2"/>
        <v>1</v>
      </c>
    </row>
    <row r="6518">
      <c r="A6518" s="58">
        <v>45658.0</v>
      </c>
      <c r="B6518" s="24" t="s">
        <v>6789</v>
      </c>
      <c r="C6518" s="24" t="s">
        <v>7002</v>
      </c>
      <c r="D6518" s="59">
        <v>1.0</v>
      </c>
      <c r="E6518" s="59">
        <v>1.0</v>
      </c>
      <c r="F6518" s="59">
        <v>0.0</v>
      </c>
      <c r="G6518" s="60">
        <v>1.0</v>
      </c>
      <c r="H6518" s="60">
        <v>0.0</v>
      </c>
      <c r="I6518" s="60">
        <v>224.144335</v>
      </c>
      <c r="J6518" s="59">
        <v>1.0</v>
      </c>
      <c r="K6518" s="61">
        <f t="shared" si="1"/>
        <v>0</v>
      </c>
      <c r="L6518" s="62">
        <f t="shared" si="2"/>
        <v>1</v>
      </c>
    </row>
    <row r="6519">
      <c r="A6519" s="58">
        <v>45658.0</v>
      </c>
      <c r="B6519" s="24" t="s">
        <v>155</v>
      </c>
      <c r="C6519" s="24" t="s">
        <v>7002</v>
      </c>
      <c r="D6519" s="59">
        <v>1.0</v>
      </c>
      <c r="E6519" s="59">
        <v>1.0</v>
      </c>
      <c r="F6519" s="59">
        <v>1.0</v>
      </c>
      <c r="G6519" s="60">
        <v>1.0</v>
      </c>
      <c r="H6519" s="60">
        <v>1.0</v>
      </c>
      <c r="I6519" s="60">
        <v>0.0</v>
      </c>
      <c r="J6519" s="59">
        <v>1.0</v>
      </c>
      <c r="K6519" s="61">
        <f t="shared" si="1"/>
        <v>1</v>
      </c>
      <c r="L6519" s="62">
        <f t="shared" si="2"/>
        <v>1</v>
      </c>
    </row>
    <row r="6520">
      <c r="A6520" s="58">
        <v>45658.0</v>
      </c>
      <c r="B6520" s="24" t="s">
        <v>6787</v>
      </c>
      <c r="C6520" s="24" t="s">
        <v>6897</v>
      </c>
      <c r="D6520" s="59">
        <v>1.0</v>
      </c>
      <c r="E6520" s="59">
        <v>1.0</v>
      </c>
      <c r="F6520" s="59">
        <v>1.0</v>
      </c>
      <c r="G6520" s="60">
        <v>1.0</v>
      </c>
      <c r="H6520" s="60">
        <v>1.0</v>
      </c>
      <c r="I6520" s="60">
        <v>0.0</v>
      </c>
      <c r="J6520" s="59">
        <v>1.0</v>
      </c>
      <c r="K6520" s="61">
        <f t="shared" si="1"/>
        <v>1</v>
      </c>
      <c r="L6520" s="62">
        <f t="shared" si="2"/>
        <v>1</v>
      </c>
    </row>
    <row r="6521">
      <c r="A6521" s="58">
        <v>45658.0</v>
      </c>
      <c r="B6521" s="24" t="s">
        <v>6789</v>
      </c>
      <c r="C6521" s="24" t="s">
        <v>6897</v>
      </c>
      <c r="D6521" s="59">
        <v>1.0</v>
      </c>
      <c r="E6521" s="59">
        <v>1.0</v>
      </c>
      <c r="F6521" s="59">
        <v>0.0</v>
      </c>
      <c r="G6521" s="60">
        <v>1.0</v>
      </c>
      <c r="H6521" s="60">
        <v>0.0</v>
      </c>
      <c r="I6521" s="60">
        <v>24.216747</v>
      </c>
      <c r="J6521" s="59">
        <v>2.0</v>
      </c>
      <c r="K6521" s="61">
        <f t="shared" si="1"/>
        <v>0</v>
      </c>
      <c r="L6521" s="62">
        <f t="shared" si="2"/>
        <v>2</v>
      </c>
    </row>
    <row r="6522">
      <c r="A6522" s="58">
        <v>45658.0</v>
      </c>
      <c r="B6522" s="24" t="s">
        <v>6794</v>
      </c>
      <c r="C6522" s="24" t="s">
        <v>6841</v>
      </c>
      <c r="D6522" s="59">
        <v>1.0</v>
      </c>
      <c r="E6522" s="59">
        <v>1.0</v>
      </c>
      <c r="F6522" s="59">
        <v>1.0</v>
      </c>
      <c r="G6522" s="60">
        <v>1.0</v>
      </c>
      <c r="H6522" s="60">
        <v>1.0</v>
      </c>
      <c r="I6522" s="60">
        <v>0.0</v>
      </c>
      <c r="J6522" s="59">
        <v>1.0</v>
      </c>
      <c r="K6522" s="61">
        <f t="shared" si="1"/>
        <v>1</v>
      </c>
      <c r="L6522" s="62">
        <f t="shared" si="2"/>
        <v>1</v>
      </c>
    </row>
    <row r="6523">
      <c r="A6523" s="58">
        <v>45658.0</v>
      </c>
      <c r="B6523" s="24" t="s">
        <v>6787</v>
      </c>
      <c r="C6523" s="24" t="s">
        <v>6806</v>
      </c>
      <c r="D6523" s="59">
        <v>1.0</v>
      </c>
      <c r="E6523" s="59">
        <v>1.0</v>
      </c>
      <c r="F6523" s="59">
        <v>1.0</v>
      </c>
      <c r="G6523" s="60">
        <v>1.0</v>
      </c>
      <c r="H6523" s="60">
        <v>1.0</v>
      </c>
      <c r="I6523" s="60">
        <v>2.499063</v>
      </c>
      <c r="J6523" s="59">
        <v>1.0</v>
      </c>
      <c r="K6523" s="61">
        <f t="shared" si="1"/>
        <v>1</v>
      </c>
      <c r="L6523" s="62">
        <f t="shared" si="2"/>
        <v>1</v>
      </c>
    </row>
    <row r="6524">
      <c r="A6524" s="58">
        <v>45658.0</v>
      </c>
      <c r="B6524" s="24" t="s">
        <v>6789</v>
      </c>
      <c r="C6524" s="24" t="s">
        <v>6806</v>
      </c>
      <c r="D6524" s="59">
        <v>1.0</v>
      </c>
      <c r="E6524" s="59">
        <v>1.0</v>
      </c>
      <c r="F6524" s="59">
        <v>1.0</v>
      </c>
      <c r="G6524" s="60">
        <v>1.0</v>
      </c>
      <c r="H6524" s="60">
        <v>0.0</v>
      </c>
      <c r="I6524" s="60">
        <v>488.845346</v>
      </c>
      <c r="J6524" s="59">
        <v>1.0</v>
      </c>
      <c r="K6524" s="61">
        <f t="shared" si="1"/>
        <v>1</v>
      </c>
      <c r="L6524" s="62">
        <f t="shared" si="2"/>
        <v>1</v>
      </c>
    </row>
    <row r="6525">
      <c r="A6525" s="58">
        <v>45658.0</v>
      </c>
      <c r="B6525" s="24" t="s">
        <v>6789</v>
      </c>
      <c r="C6525" s="24" t="s">
        <v>7224</v>
      </c>
      <c r="D6525" s="59">
        <v>1.0</v>
      </c>
      <c r="E6525" s="59">
        <v>1.0</v>
      </c>
      <c r="F6525" s="59">
        <v>1.0</v>
      </c>
      <c r="G6525" s="60">
        <v>1.0</v>
      </c>
      <c r="H6525" s="60">
        <v>0.0</v>
      </c>
      <c r="I6525" s="60">
        <v>1221.009833</v>
      </c>
      <c r="J6525" s="59">
        <v>2.0</v>
      </c>
      <c r="K6525" s="61">
        <f t="shared" si="1"/>
        <v>1</v>
      </c>
      <c r="L6525" s="62">
        <f t="shared" si="2"/>
        <v>2</v>
      </c>
    </row>
    <row r="6526">
      <c r="A6526" s="58">
        <v>45658.0</v>
      </c>
      <c r="B6526" s="24" t="s">
        <v>155</v>
      </c>
      <c r="C6526" s="24" t="s">
        <v>6811</v>
      </c>
      <c r="D6526" s="59">
        <v>1.0</v>
      </c>
      <c r="E6526" s="59">
        <v>1.0</v>
      </c>
      <c r="F6526" s="59">
        <v>0.0</v>
      </c>
      <c r="G6526" s="60">
        <v>1.0</v>
      </c>
      <c r="H6526" s="60">
        <v>0.0</v>
      </c>
      <c r="I6526" s="60">
        <v>792.736809</v>
      </c>
      <c r="J6526" s="59">
        <v>3.0</v>
      </c>
      <c r="K6526" s="61">
        <f t="shared" si="1"/>
        <v>0</v>
      </c>
      <c r="L6526" s="62">
        <f t="shared" si="2"/>
        <v>3</v>
      </c>
    </row>
    <row r="6527">
      <c r="A6527" s="58">
        <v>45658.0</v>
      </c>
      <c r="B6527" s="24" t="s">
        <v>6789</v>
      </c>
      <c r="C6527" s="24" t="s">
        <v>7006</v>
      </c>
      <c r="D6527" s="59">
        <v>1.0</v>
      </c>
      <c r="E6527" s="59">
        <v>1.0</v>
      </c>
      <c r="F6527" s="59">
        <v>1.0</v>
      </c>
      <c r="G6527" s="60">
        <v>1.0</v>
      </c>
      <c r="H6527" s="60">
        <v>0.0</v>
      </c>
      <c r="I6527" s="60">
        <v>161.957492</v>
      </c>
      <c r="J6527" s="59">
        <v>3.0</v>
      </c>
      <c r="K6527" s="61">
        <f t="shared" si="1"/>
        <v>1</v>
      </c>
      <c r="L6527" s="62">
        <f t="shared" si="2"/>
        <v>3</v>
      </c>
    </row>
    <row r="6528">
      <c r="A6528" s="58">
        <v>45658.0</v>
      </c>
      <c r="B6528" s="24" t="s">
        <v>155</v>
      </c>
      <c r="C6528" s="24" t="s">
        <v>6901</v>
      </c>
      <c r="D6528" s="59">
        <v>1.0</v>
      </c>
      <c r="E6528" s="59">
        <v>1.0</v>
      </c>
      <c r="F6528" s="59">
        <v>0.0</v>
      </c>
      <c r="G6528" s="60">
        <v>1.0</v>
      </c>
      <c r="H6528" s="60">
        <v>0.0</v>
      </c>
      <c r="I6528" s="60">
        <v>112.500447</v>
      </c>
      <c r="J6528" s="59">
        <v>8.0</v>
      </c>
      <c r="K6528" s="61">
        <f t="shared" si="1"/>
        <v>0</v>
      </c>
      <c r="L6528" s="62">
        <f t="shared" si="2"/>
        <v>8</v>
      </c>
    </row>
    <row r="6529">
      <c r="A6529" s="58">
        <v>45658.0</v>
      </c>
      <c r="B6529" s="24" t="s">
        <v>6789</v>
      </c>
      <c r="C6529" s="24" t="s">
        <v>6843</v>
      </c>
      <c r="D6529" s="59">
        <v>1.0</v>
      </c>
      <c r="E6529" s="59">
        <v>1.0</v>
      </c>
      <c r="F6529" s="59">
        <v>1.0</v>
      </c>
      <c r="G6529" s="60">
        <v>1.0</v>
      </c>
      <c r="H6529" s="60">
        <v>0.0</v>
      </c>
      <c r="I6529" s="60">
        <v>453.374384</v>
      </c>
      <c r="J6529" s="59">
        <v>8.0</v>
      </c>
      <c r="K6529" s="61">
        <f t="shared" si="1"/>
        <v>1</v>
      </c>
      <c r="L6529" s="62">
        <f t="shared" si="2"/>
        <v>8</v>
      </c>
    </row>
    <row r="6530">
      <c r="A6530" s="58">
        <v>45658.0</v>
      </c>
      <c r="B6530" s="24" t="s">
        <v>6789</v>
      </c>
      <c r="C6530" s="24" t="s">
        <v>7467</v>
      </c>
      <c r="D6530" s="59">
        <v>1.0</v>
      </c>
      <c r="E6530" s="59">
        <v>5.0</v>
      </c>
      <c r="F6530" s="59">
        <v>0.0</v>
      </c>
      <c r="G6530" s="60">
        <v>5.0</v>
      </c>
      <c r="H6530" s="60">
        <v>0.0</v>
      </c>
      <c r="I6530" s="60">
        <v>2273.0633944</v>
      </c>
      <c r="J6530" s="59">
        <v>50.0</v>
      </c>
      <c r="K6530" s="61">
        <f t="shared" si="1"/>
        <v>0</v>
      </c>
      <c r="L6530" s="62">
        <f t="shared" si="2"/>
        <v>10</v>
      </c>
    </row>
    <row r="6531">
      <c r="A6531" s="58">
        <v>45658.0</v>
      </c>
      <c r="B6531" s="24" t="s">
        <v>6787</v>
      </c>
      <c r="C6531" s="24" t="s">
        <v>7401</v>
      </c>
      <c r="D6531" s="59">
        <v>1.0</v>
      </c>
      <c r="E6531" s="59">
        <v>1.0</v>
      </c>
      <c r="F6531" s="59">
        <v>1.0</v>
      </c>
      <c r="G6531" s="60">
        <v>1.0</v>
      </c>
      <c r="H6531" s="60">
        <v>1.0</v>
      </c>
      <c r="I6531" s="60">
        <v>2.452531</v>
      </c>
      <c r="J6531" s="59">
        <v>1.0</v>
      </c>
      <c r="K6531" s="61">
        <f t="shared" si="1"/>
        <v>1</v>
      </c>
      <c r="L6531" s="62">
        <f t="shared" si="2"/>
        <v>1</v>
      </c>
    </row>
    <row r="6532">
      <c r="A6532" s="58">
        <v>45658.0</v>
      </c>
      <c r="B6532" s="24" t="s">
        <v>155</v>
      </c>
      <c r="C6532" s="24" t="s">
        <v>7242</v>
      </c>
      <c r="D6532" s="59">
        <v>1.0</v>
      </c>
      <c r="E6532" s="59">
        <v>1.0</v>
      </c>
      <c r="F6532" s="59">
        <v>0.0</v>
      </c>
      <c r="G6532" s="60">
        <v>1.0</v>
      </c>
      <c r="H6532" s="60">
        <v>0.0</v>
      </c>
      <c r="I6532" s="60">
        <v>36.016809</v>
      </c>
      <c r="J6532" s="59">
        <v>2.0</v>
      </c>
      <c r="K6532" s="61">
        <f t="shared" si="1"/>
        <v>0</v>
      </c>
      <c r="L6532" s="62">
        <f t="shared" si="2"/>
        <v>2</v>
      </c>
    </row>
    <row r="6533">
      <c r="A6533" s="58">
        <v>45658.0</v>
      </c>
      <c r="B6533" s="24" t="s">
        <v>6789</v>
      </c>
      <c r="C6533" s="24" t="s">
        <v>7236</v>
      </c>
      <c r="D6533" s="59">
        <v>1.0</v>
      </c>
      <c r="E6533" s="59">
        <v>1.0</v>
      </c>
      <c r="F6533" s="59">
        <v>0.0</v>
      </c>
      <c r="G6533" s="60">
        <v>1.0</v>
      </c>
      <c r="H6533" s="60">
        <v>0.0</v>
      </c>
      <c r="I6533" s="60">
        <v>107.180201</v>
      </c>
      <c r="J6533" s="59">
        <v>2.0</v>
      </c>
      <c r="K6533" s="61">
        <f t="shared" si="1"/>
        <v>0</v>
      </c>
      <c r="L6533" s="62">
        <f t="shared" si="2"/>
        <v>2</v>
      </c>
    </row>
    <row r="6534">
      <c r="A6534" s="58">
        <v>45658.0</v>
      </c>
      <c r="B6534" s="24" t="s">
        <v>155</v>
      </c>
      <c r="C6534" s="24" t="s">
        <v>7236</v>
      </c>
      <c r="D6534" s="59">
        <v>1.0</v>
      </c>
      <c r="E6534" s="59">
        <v>2.0</v>
      </c>
      <c r="F6534" s="59">
        <v>0.0</v>
      </c>
      <c r="G6534" s="60">
        <v>0.0</v>
      </c>
      <c r="H6534" s="60">
        <v>1.0</v>
      </c>
      <c r="I6534" s="60">
        <v>0.0</v>
      </c>
      <c r="J6534" s="59">
        <v>2.0</v>
      </c>
      <c r="K6534" s="61">
        <f t="shared" si="1"/>
        <v>0</v>
      </c>
      <c r="L6534" s="62">
        <f t="shared" si="2"/>
        <v>1</v>
      </c>
    </row>
    <row r="6535">
      <c r="A6535" s="58">
        <v>45658.0</v>
      </c>
      <c r="B6535" s="24" t="s">
        <v>6789</v>
      </c>
      <c r="C6535" s="24" t="s">
        <v>7234</v>
      </c>
      <c r="D6535" s="59">
        <v>1.0</v>
      </c>
      <c r="E6535" s="59">
        <v>1.0</v>
      </c>
      <c r="F6535" s="59">
        <v>1.0</v>
      </c>
      <c r="G6535" s="60">
        <v>1.0</v>
      </c>
      <c r="H6535" s="60">
        <v>0.0</v>
      </c>
      <c r="I6535" s="60">
        <v>104.447109</v>
      </c>
      <c r="J6535" s="59">
        <v>4.0</v>
      </c>
      <c r="K6535" s="61">
        <f t="shared" si="1"/>
        <v>1</v>
      </c>
      <c r="L6535" s="62">
        <f t="shared" si="2"/>
        <v>4</v>
      </c>
    </row>
    <row r="6536">
      <c r="A6536" s="58">
        <v>45658.0</v>
      </c>
      <c r="B6536" s="24" t="s">
        <v>155</v>
      </c>
      <c r="C6536" s="24" t="s">
        <v>7231</v>
      </c>
      <c r="D6536" s="59">
        <v>1.0</v>
      </c>
      <c r="E6536" s="59">
        <v>1.0</v>
      </c>
      <c r="F6536" s="59">
        <v>1.0</v>
      </c>
      <c r="G6536" s="60">
        <v>1.0</v>
      </c>
      <c r="H6536" s="60">
        <v>0.0</v>
      </c>
      <c r="I6536" s="60">
        <v>32.872499</v>
      </c>
      <c r="J6536" s="59">
        <v>2.0</v>
      </c>
      <c r="K6536" s="61">
        <f t="shared" si="1"/>
        <v>1</v>
      </c>
      <c r="L6536" s="62">
        <f t="shared" si="2"/>
        <v>2</v>
      </c>
    </row>
    <row r="6537">
      <c r="A6537" s="58">
        <v>45658.0</v>
      </c>
      <c r="B6537" s="24" t="s">
        <v>6790</v>
      </c>
      <c r="C6537" s="24" t="s">
        <v>7231</v>
      </c>
      <c r="D6537" s="59">
        <v>1.0</v>
      </c>
      <c r="E6537" s="59">
        <v>1.0</v>
      </c>
      <c r="F6537" s="59">
        <v>1.0</v>
      </c>
      <c r="G6537" s="60">
        <v>1.0</v>
      </c>
      <c r="H6537" s="60">
        <v>1.0</v>
      </c>
      <c r="I6537" s="60">
        <v>0.0</v>
      </c>
      <c r="J6537" s="59">
        <v>1.0</v>
      </c>
      <c r="K6537" s="61">
        <f t="shared" si="1"/>
        <v>1</v>
      </c>
      <c r="L6537" s="62">
        <f t="shared" si="2"/>
        <v>1</v>
      </c>
    </row>
    <row r="6538">
      <c r="A6538" s="58">
        <v>45658.0</v>
      </c>
      <c r="B6538" s="24" t="s">
        <v>6787</v>
      </c>
      <c r="C6538" s="24" t="s">
        <v>7232</v>
      </c>
      <c r="D6538" s="59">
        <v>1.0</v>
      </c>
      <c r="E6538" s="59">
        <v>1.0</v>
      </c>
      <c r="F6538" s="59">
        <v>1.0</v>
      </c>
      <c r="G6538" s="60">
        <v>1.0</v>
      </c>
      <c r="H6538" s="60">
        <v>0.0</v>
      </c>
      <c r="I6538" s="60">
        <v>21.19948</v>
      </c>
      <c r="J6538" s="59">
        <v>2.0</v>
      </c>
      <c r="K6538" s="61">
        <f t="shared" si="1"/>
        <v>1</v>
      </c>
      <c r="L6538" s="62">
        <f t="shared" si="2"/>
        <v>2</v>
      </c>
    </row>
    <row r="6539">
      <c r="A6539" s="58">
        <v>45658.0</v>
      </c>
      <c r="B6539" s="24" t="s">
        <v>6789</v>
      </c>
      <c r="C6539" s="24" t="s">
        <v>7232</v>
      </c>
      <c r="D6539" s="59">
        <v>1.0</v>
      </c>
      <c r="E6539" s="59">
        <v>1.0</v>
      </c>
      <c r="F6539" s="59">
        <v>1.0</v>
      </c>
      <c r="G6539" s="60">
        <v>1.0</v>
      </c>
      <c r="H6539" s="60">
        <v>1.0</v>
      </c>
      <c r="I6539" s="60">
        <v>0.0</v>
      </c>
      <c r="J6539" s="59">
        <v>1.0</v>
      </c>
      <c r="K6539" s="61">
        <f t="shared" si="1"/>
        <v>1</v>
      </c>
      <c r="L6539" s="62">
        <f t="shared" si="2"/>
        <v>1</v>
      </c>
    </row>
    <row r="6540">
      <c r="A6540" s="58">
        <v>45658.0</v>
      </c>
      <c r="B6540" s="24" t="s">
        <v>6789</v>
      </c>
      <c r="C6540" s="24" t="s">
        <v>7261</v>
      </c>
      <c r="D6540" s="59">
        <v>1.0</v>
      </c>
      <c r="E6540" s="59">
        <v>1.0</v>
      </c>
      <c r="F6540" s="59">
        <v>0.0</v>
      </c>
      <c r="G6540" s="60">
        <v>1.0</v>
      </c>
      <c r="H6540" s="60">
        <v>0.0</v>
      </c>
      <c r="I6540" s="60">
        <v>774.135593</v>
      </c>
      <c r="J6540" s="59">
        <v>1.0</v>
      </c>
      <c r="K6540" s="61">
        <f t="shared" si="1"/>
        <v>0</v>
      </c>
      <c r="L6540" s="62">
        <f t="shared" si="2"/>
        <v>1</v>
      </c>
    </row>
    <row r="6541">
      <c r="A6541" s="58">
        <v>45658.0</v>
      </c>
      <c r="B6541" s="24" t="s">
        <v>155</v>
      </c>
      <c r="C6541" s="24" t="s">
        <v>7261</v>
      </c>
      <c r="D6541" s="59">
        <v>1.0</v>
      </c>
      <c r="E6541" s="59">
        <v>2.0</v>
      </c>
      <c r="F6541" s="59">
        <v>0.0</v>
      </c>
      <c r="G6541" s="60">
        <v>2.0</v>
      </c>
      <c r="H6541" s="60">
        <v>0.0</v>
      </c>
      <c r="I6541" s="60">
        <v>1174.129545</v>
      </c>
      <c r="J6541" s="59">
        <v>8.0</v>
      </c>
      <c r="K6541" s="61">
        <f t="shared" si="1"/>
        <v>0</v>
      </c>
      <c r="L6541" s="62">
        <f t="shared" si="2"/>
        <v>4</v>
      </c>
    </row>
    <row r="6542">
      <c r="A6542" s="58">
        <v>45658.0</v>
      </c>
      <c r="B6542" s="24" t="s">
        <v>6789</v>
      </c>
      <c r="C6542" s="24" t="s">
        <v>7087</v>
      </c>
      <c r="D6542" s="59">
        <v>1.0</v>
      </c>
      <c r="E6542" s="59">
        <v>1.0</v>
      </c>
      <c r="F6542" s="59">
        <v>1.0</v>
      </c>
      <c r="G6542" s="60">
        <v>1.0</v>
      </c>
      <c r="H6542" s="60">
        <v>0.0</v>
      </c>
      <c r="I6542" s="60">
        <v>103.017456</v>
      </c>
      <c r="J6542" s="59">
        <v>2.0</v>
      </c>
      <c r="K6542" s="61">
        <f t="shared" si="1"/>
        <v>1</v>
      </c>
      <c r="L6542" s="62">
        <f t="shared" si="2"/>
        <v>2</v>
      </c>
    </row>
    <row r="6543">
      <c r="A6543" s="58">
        <v>45658.0</v>
      </c>
      <c r="B6543" s="24" t="s">
        <v>6787</v>
      </c>
      <c r="C6543" s="24" t="s">
        <v>7026</v>
      </c>
      <c r="D6543" s="59">
        <v>1.0</v>
      </c>
      <c r="E6543" s="59">
        <v>1.0</v>
      </c>
      <c r="F6543" s="59">
        <v>1.0</v>
      </c>
      <c r="G6543" s="60">
        <v>1.0</v>
      </c>
      <c r="H6543" s="60">
        <v>0.0</v>
      </c>
      <c r="I6543" s="60">
        <v>5.308739</v>
      </c>
      <c r="J6543" s="59">
        <v>2.0</v>
      </c>
      <c r="K6543" s="61">
        <f t="shared" si="1"/>
        <v>1</v>
      </c>
      <c r="L6543" s="62">
        <f t="shared" si="2"/>
        <v>2</v>
      </c>
    </row>
    <row r="6544">
      <c r="A6544" s="58">
        <v>45658.0</v>
      </c>
      <c r="B6544" s="24" t="s">
        <v>6794</v>
      </c>
      <c r="C6544" s="24" t="s">
        <v>7026</v>
      </c>
      <c r="D6544" s="59">
        <v>1.0</v>
      </c>
      <c r="E6544" s="59">
        <v>1.0</v>
      </c>
      <c r="F6544" s="59">
        <v>0.0</v>
      </c>
      <c r="G6544" s="60">
        <v>1.0</v>
      </c>
      <c r="H6544" s="60">
        <v>0.0</v>
      </c>
      <c r="I6544" s="60">
        <v>11.501014</v>
      </c>
      <c r="J6544" s="59">
        <v>2.0</v>
      </c>
      <c r="K6544" s="61">
        <f t="shared" si="1"/>
        <v>0</v>
      </c>
      <c r="L6544" s="62">
        <f t="shared" si="2"/>
        <v>2</v>
      </c>
    </row>
    <row r="6545">
      <c r="A6545" s="58">
        <v>45658.0</v>
      </c>
      <c r="B6545" s="24" t="s">
        <v>155</v>
      </c>
      <c r="C6545" s="24" t="s">
        <v>7088</v>
      </c>
      <c r="D6545" s="59">
        <v>1.0</v>
      </c>
      <c r="E6545" s="59">
        <v>1.0</v>
      </c>
      <c r="F6545" s="59">
        <v>0.0</v>
      </c>
      <c r="G6545" s="60">
        <v>1.0</v>
      </c>
      <c r="H6545" s="60">
        <v>0.0</v>
      </c>
      <c r="I6545" s="60">
        <v>36.234488</v>
      </c>
      <c r="J6545" s="59">
        <v>6.0</v>
      </c>
      <c r="K6545" s="61">
        <f t="shared" si="1"/>
        <v>0</v>
      </c>
      <c r="L6545" s="62">
        <f t="shared" si="2"/>
        <v>6</v>
      </c>
    </row>
    <row r="6546">
      <c r="A6546" s="58">
        <v>45658.0</v>
      </c>
      <c r="B6546" s="24" t="s">
        <v>6789</v>
      </c>
      <c r="C6546" s="24" t="s">
        <v>7189</v>
      </c>
      <c r="D6546" s="59">
        <v>1.0</v>
      </c>
      <c r="E6546" s="59">
        <v>1.0</v>
      </c>
      <c r="F6546" s="59">
        <v>0.0</v>
      </c>
      <c r="G6546" s="60">
        <v>1.0</v>
      </c>
      <c r="H6546" s="60">
        <v>0.0</v>
      </c>
      <c r="I6546" s="60">
        <v>287.119409</v>
      </c>
      <c r="J6546" s="59">
        <v>3.0</v>
      </c>
      <c r="K6546" s="61">
        <f t="shared" si="1"/>
        <v>0</v>
      </c>
      <c r="L6546" s="62">
        <f t="shared" si="2"/>
        <v>3</v>
      </c>
    </row>
    <row r="6547">
      <c r="A6547" s="58">
        <v>45658.0</v>
      </c>
      <c r="B6547" s="24" t="s">
        <v>155</v>
      </c>
      <c r="C6547" s="24" t="s">
        <v>7043</v>
      </c>
      <c r="D6547" s="59">
        <v>1.0</v>
      </c>
      <c r="E6547" s="59">
        <v>1.0</v>
      </c>
      <c r="F6547" s="59">
        <v>0.0</v>
      </c>
      <c r="G6547" s="60">
        <v>0.0</v>
      </c>
      <c r="H6547" s="60">
        <v>1.0</v>
      </c>
      <c r="I6547" s="60">
        <v>0.0</v>
      </c>
      <c r="J6547" s="59">
        <v>1.0</v>
      </c>
      <c r="K6547" s="61">
        <f t="shared" si="1"/>
        <v>0</v>
      </c>
      <c r="L6547" s="62">
        <f t="shared" si="2"/>
        <v>1</v>
      </c>
    </row>
    <row r="6548">
      <c r="A6548" s="58">
        <v>45658.0</v>
      </c>
      <c r="B6548" s="24" t="s">
        <v>6787</v>
      </c>
      <c r="C6548" s="24" t="s">
        <v>7090</v>
      </c>
      <c r="D6548" s="59">
        <v>1.0</v>
      </c>
      <c r="E6548" s="59">
        <v>1.0</v>
      </c>
      <c r="F6548" s="59">
        <v>1.0</v>
      </c>
      <c r="G6548" s="60">
        <v>1.0</v>
      </c>
      <c r="H6548" s="60">
        <v>1.0</v>
      </c>
      <c r="I6548" s="60">
        <v>0.0</v>
      </c>
      <c r="J6548" s="59">
        <v>1.0</v>
      </c>
      <c r="K6548" s="61">
        <f t="shared" si="1"/>
        <v>1</v>
      </c>
      <c r="L6548" s="62">
        <f t="shared" si="2"/>
        <v>1</v>
      </c>
    </row>
    <row r="6549">
      <c r="A6549" s="58">
        <v>45658.0</v>
      </c>
      <c r="B6549" s="24" t="s">
        <v>6794</v>
      </c>
      <c r="C6549" s="24" t="s">
        <v>7090</v>
      </c>
      <c r="D6549" s="59">
        <v>1.0</v>
      </c>
      <c r="E6549" s="59">
        <v>1.0</v>
      </c>
      <c r="F6549" s="59">
        <v>0.0</v>
      </c>
      <c r="G6549" s="60">
        <v>1.0</v>
      </c>
      <c r="H6549" s="60">
        <v>0.0</v>
      </c>
      <c r="I6549" s="60">
        <v>79.870827</v>
      </c>
      <c r="J6549" s="59">
        <v>2.0</v>
      </c>
      <c r="K6549" s="61">
        <f t="shared" si="1"/>
        <v>0</v>
      </c>
      <c r="L6549" s="62">
        <f t="shared" si="2"/>
        <v>2</v>
      </c>
    </row>
    <row r="6550">
      <c r="A6550" s="58">
        <v>45658.0</v>
      </c>
      <c r="B6550" s="24" t="s">
        <v>6787</v>
      </c>
      <c r="C6550" s="24" t="s">
        <v>7159</v>
      </c>
      <c r="D6550" s="59">
        <v>1.0</v>
      </c>
      <c r="E6550" s="59">
        <v>1.0</v>
      </c>
      <c r="F6550" s="59">
        <v>0.0</v>
      </c>
      <c r="G6550" s="60">
        <v>1.0</v>
      </c>
      <c r="H6550" s="60">
        <v>0.0</v>
      </c>
      <c r="I6550" s="60">
        <v>30.15269</v>
      </c>
      <c r="J6550" s="59">
        <v>2.0</v>
      </c>
      <c r="K6550" s="61">
        <f t="shared" si="1"/>
        <v>0</v>
      </c>
      <c r="L6550" s="62">
        <f t="shared" si="2"/>
        <v>2</v>
      </c>
    </row>
    <row r="6551">
      <c r="A6551" s="58">
        <v>45658.0</v>
      </c>
      <c r="B6551" s="24" t="s">
        <v>6789</v>
      </c>
      <c r="C6551" s="24" t="s">
        <v>7160</v>
      </c>
      <c r="D6551" s="59">
        <v>1.0</v>
      </c>
      <c r="E6551" s="59">
        <v>1.0</v>
      </c>
      <c r="F6551" s="59">
        <v>1.0</v>
      </c>
      <c r="G6551" s="60">
        <v>1.0</v>
      </c>
      <c r="H6551" s="60">
        <v>1.0</v>
      </c>
      <c r="I6551" s="60">
        <v>1.509866</v>
      </c>
      <c r="J6551" s="59">
        <v>1.0</v>
      </c>
      <c r="K6551" s="61">
        <f t="shared" si="1"/>
        <v>1</v>
      </c>
      <c r="L6551" s="62">
        <f t="shared" si="2"/>
        <v>1</v>
      </c>
    </row>
    <row r="6552">
      <c r="A6552" s="58">
        <v>45658.0</v>
      </c>
      <c r="B6552" s="24" t="s">
        <v>6787</v>
      </c>
      <c r="C6552" s="24" t="s">
        <v>7022</v>
      </c>
      <c r="D6552" s="59">
        <v>1.0</v>
      </c>
      <c r="E6552" s="59">
        <v>1.0</v>
      </c>
      <c r="F6552" s="59">
        <v>1.0</v>
      </c>
      <c r="G6552" s="60">
        <v>1.0</v>
      </c>
      <c r="H6552" s="60">
        <v>1.0</v>
      </c>
      <c r="I6552" s="60">
        <v>0.0</v>
      </c>
      <c r="J6552" s="59">
        <v>1.0</v>
      </c>
      <c r="K6552" s="61">
        <f t="shared" si="1"/>
        <v>1</v>
      </c>
      <c r="L6552" s="62">
        <f t="shared" si="2"/>
        <v>1</v>
      </c>
    </row>
    <row r="6553">
      <c r="A6553" s="58">
        <v>45658.0</v>
      </c>
      <c r="B6553" s="24" t="s">
        <v>6789</v>
      </c>
      <c r="C6553" s="24" t="s">
        <v>7036</v>
      </c>
      <c r="D6553" s="59">
        <v>1.0</v>
      </c>
      <c r="E6553" s="59">
        <v>1.0</v>
      </c>
      <c r="F6553" s="59">
        <v>1.0</v>
      </c>
      <c r="G6553" s="60">
        <v>1.0</v>
      </c>
      <c r="H6553" s="60">
        <v>0.0</v>
      </c>
      <c r="I6553" s="60">
        <v>82.154314</v>
      </c>
      <c r="J6553" s="59">
        <v>1.0</v>
      </c>
      <c r="K6553" s="61">
        <f t="shared" si="1"/>
        <v>1</v>
      </c>
      <c r="L6553" s="62">
        <f t="shared" si="2"/>
        <v>1</v>
      </c>
    </row>
    <row r="6554">
      <c r="A6554" s="58">
        <v>45658.0</v>
      </c>
      <c r="B6554" s="24" t="s">
        <v>6789</v>
      </c>
      <c r="C6554" s="24" t="s">
        <v>7163</v>
      </c>
      <c r="D6554" s="59">
        <v>1.0</v>
      </c>
      <c r="E6554" s="59">
        <v>1.0</v>
      </c>
      <c r="F6554" s="59">
        <v>1.0</v>
      </c>
      <c r="G6554" s="60">
        <v>1.0</v>
      </c>
      <c r="H6554" s="60">
        <v>0.0</v>
      </c>
      <c r="I6554" s="60">
        <v>172.702718</v>
      </c>
      <c r="J6554" s="59">
        <v>1.0</v>
      </c>
      <c r="K6554" s="61">
        <f t="shared" si="1"/>
        <v>1</v>
      </c>
      <c r="L6554" s="62">
        <f t="shared" si="2"/>
        <v>1</v>
      </c>
    </row>
    <row r="6555">
      <c r="A6555" s="58">
        <v>45658.0</v>
      </c>
      <c r="B6555" s="24" t="s">
        <v>6789</v>
      </c>
      <c r="C6555" s="24" t="s">
        <v>7136</v>
      </c>
      <c r="D6555" s="59">
        <v>1.0</v>
      </c>
      <c r="E6555" s="59">
        <v>1.0</v>
      </c>
      <c r="F6555" s="59">
        <v>1.0</v>
      </c>
      <c r="G6555" s="60">
        <v>1.0</v>
      </c>
      <c r="H6555" s="60">
        <v>0.0</v>
      </c>
      <c r="I6555" s="60">
        <v>24.280824</v>
      </c>
      <c r="J6555" s="59">
        <v>1.0</v>
      </c>
      <c r="K6555" s="61">
        <f t="shared" si="1"/>
        <v>1</v>
      </c>
      <c r="L6555" s="62">
        <f t="shared" si="2"/>
        <v>1</v>
      </c>
    </row>
    <row r="6556">
      <c r="A6556" s="58">
        <v>45658.0</v>
      </c>
      <c r="B6556" s="24" t="s">
        <v>6789</v>
      </c>
      <c r="C6556" s="24" t="s">
        <v>7186</v>
      </c>
      <c r="D6556" s="59">
        <v>1.0</v>
      </c>
      <c r="E6556" s="59">
        <v>1.0</v>
      </c>
      <c r="F6556" s="59">
        <v>1.0</v>
      </c>
      <c r="G6556" s="60">
        <v>1.0</v>
      </c>
      <c r="H6556" s="60">
        <v>1.0</v>
      </c>
      <c r="I6556" s="60">
        <v>7.024566</v>
      </c>
      <c r="J6556" s="59">
        <v>1.0</v>
      </c>
      <c r="K6556" s="61">
        <f t="shared" si="1"/>
        <v>1</v>
      </c>
      <c r="L6556" s="62">
        <f t="shared" si="2"/>
        <v>1</v>
      </c>
    </row>
    <row r="6557">
      <c r="A6557" s="58">
        <v>45658.0</v>
      </c>
      <c r="B6557" s="24" t="s">
        <v>6789</v>
      </c>
      <c r="C6557" s="24" t="s">
        <v>7097</v>
      </c>
      <c r="D6557" s="59">
        <v>1.0</v>
      </c>
      <c r="E6557" s="59">
        <v>1.0</v>
      </c>
      <c r="F6557" s="59">
        <v>0.0</v>
      </c>
      <c r="G6557" s="60">
        <v>1.0</v>
      </c>
      <c r="H6557" s="60">
        <v>1.0</v>
      </c>
      <c r="I6557" s="60">
        <v>8.784194</v>
      </c>
      <c r="J6557" s="59">
        <v>1.0</v>
      </c>
      <c r="K6557" s="61">
        <f t="shared" si="1"/>
        <v>0</v>
      </c>
      <c r="L6557" s="62">
        <f t="shared" si="2"/>
        <v>1</v>
      </c>
    </row>
    <row r="6558">
      <c r="A6558" s="58">
        <v>45658.0</v>
      </c>
      <c r="B6558" s="24" t="s">
        <v>6787</v>
      </c>
      <c r="C6558" s="24" t="s">
        <v>7237</v>
      </c>
      <c r="D6558" s="59">
        <v>1.0</v>
      </c>
      <c r="E6558" s="59">
        <v>1.0</v>
      </c>
      <c r="F6558" s="59">
        <v>1.0</v>
      </c>
      <c r="G6558" s="60">
        <v>1.0</v>
      </c>
      <c r="H6558" s="60">
        <v>1.0</v>
      </c>
      <c r="I6558" s="60">
        <v>4.933493</v>
      </c>
      <c r="J6558" s="59">
        <v>1.0</v>
      </c>
      <c r="K6558" s="61">
        <f t="shared" si="1"/>
        <v>1</v>
      </c>
      <c r="L6558" s="62">
        <f t="shared" si="2"/>
        <v>1</v>
      </c>
    </row>
    <row r="6559">
      <c r="A6559" s="58">
        <v>45658.0</v>
      </c>
      <c r="B6559" s="24" t="s">
        <v>6789</v>
      </c>
      <c r="C6559" s="24" t="s">
        <v>6800</v>
      </c>
      <c r="D6559" s="59">
        <v>1.0</v>
      </c>
      <c r="E6559" s="59">
        <v>1.0</v>
      </c>
      <c r="F6559" s="59">
        <v>1.0</v>
      </c>
      <c r="G6559" s="60">
        <v>1.0</v>
      </c>
      <c r="H6559" s="60">
        <v>0.0</v>
      </c>
      <c r="I6559" s="60">
        <v>30.531499</v>
      </c>
      <c r="J6559" s="59">
        <v>1.0</v>
      </c>
      <c r="K6559" s="61">
        <f t="shared" si="1"/>
        <v>1</v>
      </c>
      <c r="L6559" s="62">
        <f t="shared" si="2"/>
        <v>1</v>
      </c>
    </row>
    <row r="6560">
      <c r="A6560" s="58">
        <v>45658.0</v>
      </c>
      <c r="B6560" s="24" t="s">
        <v>6789</v>
      </c>
      <c r="C6560" s="24" t="s">
        <v>7502</v>
      </c>
      <c r="D6560" s="59">
        <v>1.0</v>
      </c>
      <c r="E6560" s="59">
        <v>1.0</v>
      </c>
      <c r="F6560" s="59">
        <v>0.0</v>
      </c>
      <c r="G6560" s="60">
        <v>1.0</v>
      </c>
      <c r="H6560" s="60">
        <v>0.0</v>
      </c>
      <c r="I6560" s="60">
        <v>17.309045</v>
      </c>
      <c r="J6560" s="59">
        <v>3.0</v>
      </c>
      <c r="K6560" s="61">
        <f t="shared" si="1"/>
        <v>0</v>
      </c>
      <c r="L6560" s="62">
        <f t="shared" si="2"/>
        <v>3</v>
      </c>
    </row>
    <row r="6561">
      <c r="A6561" s="58">
        <v>45658.0</v>
      </c>
      <c r="B6561" s="24" t="s">
        <v>6789</v>
      </c>
      <c r="C6561" s="24" t="s">
        <v>7503</v>
      </c>
      <c r="D6561" s="59">
        <v>1.0</v>
      </c>
      <c r="E6561" s="59">
        <v>1.0</v>
      </c>
      <c r="F6561" s="59">
        <v>0.0</v>
      </c>
      <c r="G6561" s="60">
        <v>1.0</v>
      </c>
      <c r="H6561" s="60">
        <v>0.0</v>
      </c>
      <c r="I6561" s="60">
        <v>4589.071882</v>
      </c>
      <c r="J6561" s="59">
        <v>15.0</v>
      </c>
      <c r="K6561" s="61">
        <f t="shared" si="1"/>
        <v>0</v>
      </c>
      <c r="L6561" s="62">
        <f t="shared" si="2"/>
        <v>15</v>
      </c>
    </row>
    <row r="6562">
      <c r="A6562" s="58">
        <v>45658.0</v>
      </c>
      <c r="B6562" s="24" t="s">
        <v>6789</v>
      </c>
      <c r="C6562" s="24" t="s">
        <v>7493</v>
      </c>
      <c r="D6562" s="59">
        <v>1.0</v>
      </c>
      <c r="E6562" s="59">
        <v>2.0</v>
      </c>
      <c r="F6562" s="59">
        <v>0.0</v>
      </c>
      <c r="G6562" s="60">
        <v>2.0</v>
      </c>
      <c r="H6562" s="60">
        <v>0.0</v>
      </c>
      <c r="I6562" s="60">
        <v>4147.8616395</v>
      </c>
      <c r="J6562" s="59">
        <v>56.0</v>
      </c>
      <c r="K6562" s="61">
        <f t="shared" si="1"/>
        <v>0</v>
      </c>
      <c r="L6562" s="62">
        <f t="shared" si="2"/>
        <v>28</v>
      </c>
    </row>
    <row r="6563">
      <c r="A6563" s="58">
        <v>45658.0</v>
      </c>
      <c r="B6563" s="24" t="s">
        <v>6787</v>
      </c>
      <c r="C6563" s="24" t="s">
        <v>7504</v>
      </c>
      <c r="D6563" s="59">
        <v>1.0</v>
      </c>
      <c r="E6563" s="59">
        <v>1.0</v>
      </c>
      <c r="F6563" s="59">
        <v>0.0</v>
      </c>
      <c r="G6563" s="60">
        <v>1.0</v>
      </c>
      <c r="H6563" s="60">
        <v>0.0</v>
      </c>
      <c r="I6563" s="60">
        <v>278.278398</v>
      </c>
      <c r="J6563" s="59">
        <v>6.0</v>
      </c>
      <c r="K6563" s="61">
        <f t="shared" si="1"/>
        <v>0</v>
      </c>
      <c r="L6563" s="62">
        <f t="shared" si="2"/>
        <v>6</v>
      </c>
    </row>
    <row r="6564">
      <c r="A6564" s="58">
        <v>45658.0</v>
      </c>
      <c r="B6564" s="24" t="s">
        <v>6789</v>
      </c>
      <c r="C6564" s="24" t="s">
        <v>7504</v>
      </c>
      <c r="D6564" s="59">
        <v>1.0</v>
      </c>
      <c r="E6564" s="59">
        <v>1.0</v>
      </c>
      <c r="F6564" s="59">
        <v>0.0</v>
      </c>
      <c r="G6564" s="60">
        <v>1.0</v>
      </c>
      <c r="H6564" s="60">
        <v>0.0</v>
      </c>
      <c r="I6564" s="60">
        <v>114.222279</v>
      </c>
      <c r="J6564" s="59">
        <v>5.0</v>
      </c>
      <c r="K6564" s="61">
        <f t="shared" si="1"/>
        <v>0</v>
      </c>
      <c r="L6564" s="62">
        <f t="shared" si="2"/>
        <v>5</v>
      </c>
    </row>
    <row r="6565">
      <c r="A6565" s="58">
        <v>45658.0</v>
      </c>
      <c r="B6565" s="24" t="s">
        <v>155</v>
      </c>
      <c r="C6565" s="24" t="s">
        <v>7013</v>
      </c>
      <c r="D6565" s="59">
        <v>1.0</v>
      </c>
      <c r="E6565" s="59">
        <v>1.0</v>
      </c>
      <c r="F6565" s="59">
        <v>1.0</v>
      </c>
      <c r="G6565" s="60">
        <v>1.0</v>
      </c>
      <c r="H6565" s="60">
        <v>0.0</v>
      </c>
      <c r="I6565" s="60">
        <v>74.586637</v>
      </c>
      <c r="J6565" s="59">
        <v>1.0</v>
      </c>
      <c r="K6565" s="61">
        <f t="shared" si="1"/>
        <v>1</v>
      </c>
      <c r="L6565" s="62">
        <f t="shared" si="2"/>
        <v>1</v>
      </c>
    </row>
    <row r="6566">
      <c r="A6566" s="58">
        <v>45658.0</v>
      </c>
      <c r="B6566" s="24" t="s">
        <v>6787</v>
      </c>
      <c r="C6566" s="24" t="s">
        <v>6960</v>
      </c>
      <c r="D6566" s="59">
        <v>1.0</v>
      </c>
      <c r="E6566" s="59">
        <v>1.0</v>
      </c>
      <c r="F6566" s="59">
        <v>1.0</v>
      </c>
      <c r="G6566" s="60">
        <v>1.0</v>
      </c>
      <c r="H6566" s="60">
        <v>1.0</v>
      </c>
      <c r="I6566" s="60">
        <v>0.0</v>
      </c>
      <c r="J6566" s="59">
        <v>1.0</v>
      </c>
      <c r="K6566" s="61">
        <f t="shared" si="1"/>
        <v>1</v>
      </c>
      <c r="L6566" s="62">
        <f t="shared" si="2"/>
        <v>1</v>
      </c>
    </row>
    <row r="6567">
      <c r="A6567" s="58">
        <v>45658.0</v>
      </c>
      <c r="B6567" s="24" t="s">
        <v>6794</v>
      </c>
      <c r="C6567" s="24" t="s">
        <v>6809</v>
      </c>
      <c r="D6567" s="59">
        <v>1.0</v>
      </c>
      <c r="E6567" s="59">
        <v>1.0</v>
      </c>
      <c r="F6567" s="59">
        <v>1.0</v>
      </c>
      <c r="G6567" s="60">
        <v>1.0</v>
      </c>
      <c r="H6567" s="60">
        <v>0.0</v>
      </c>
      <c r="I6567" s="60">
        <v>15.330919</v>
      </c>
      <c r="J6567" s="59">
        <v>1.0</v>
      </c>
      <c r="K6567" s="61">
        <f t="shared" si="1"/>
        <v>1</v>
      </c>
      <c r="L6567" s="62">
        <f t="shared" si="2"/>
        <v>1</v>
      </c>
    </row>
    <row r="6568">
      <c r="A6568" s="58">
        <v>45658.0</v>
      </c>
      <c r="B6568" s="24" t="s">
        <v>6790</v>
      </c>
      <c r="C6568" s="24" t="s">
        <v>6809</v>
      </c>
      <c r="D6568" s="59">
        <v>1.0</v>
      </c>
      <c r="E6568" s="59">
        <v>1.0</v>
      </c>
      <c r="F6568" s="59">
        <v>1.0</v>
      </c>
      <c r="G6568" s="60">
        <v>1.0</v>
      </c>
      <c r="H6568" s="60">
        <v>0.0</v>
      </c>
      <c r="I6568" s="60">
        <v>34.842953</v>
      </c>
      <c r="J6568" s="59">
        <v>2.0</v>
      </c>
      <c r="K6568" s="61">
        <f t="shared" si="1"/>
        <v>1</v>
      </c>
      <c r="L6568" s="62">
        <f t="shared" si="2"/>
        <v>2</v>
      </c>
    </row>
    <row r="6569">
      <c r="A6569" s="58">
        <v>45658.0</v>
      </c>
      <c r="B6569" s="24" t="s">
        <v>6787</v>
      </c>
      <c r="C6569" s="24" t="s">
        <v>6812</v>
      </c>
      <c r="D6569" s="59">
        <v>1.0</v>
      </c>
      <c r="E6569" s="59">
        <v>1.0</v>
      </c>
      <c r="F6569" s="59">
        <v>1.0</v>
      </c>
      <c r="G6569" s="60">
        <v>1.0</v>
      </c>
      <c r="H6569" s="60">
        <v>0.0</v>
      </c>
      <c r="I6569" s="60">
        <v>12.264926</v>
      </c>
      <c r="J6569" s="59">
        <v>1.0</v>
      </c>
      <c r="K6569" s="61">
        <f t="shared" si="1"/>
        <v>1</v>
      </c>
      <c r="L6569" s="62">
        <f t="shared" si="2"/>
        <v>1</v>
      </c>
    </row>
    <row r="6570">
      <c r="A6570" s="58">
        <v>45658.0</v>
      </c>
      <c r="B6570" s="24" t="s">
        <v>6789</v>
      </c>
      <c r="C6570" s="24" t="s">
        <v>6812</v>
      </c>
      <c r="D6570" s="59">
        <v>1.0</v>
      </c>
      <c r="E6570" s="59">
        <v>1.0</v>
      </c>
      <c r="F6570" s="59">
        <v>0.0</v>
      </c>
      <c r="G6570" s="60">
        <v>1.0</v>
      </c>
      <c r="H6570" s="60">
        <v>0.0</v>
      </c>
      <c r="I6570" s="60">
        <v>5163.632486</v>
      </c>
      <c r="J6570" s="59">
        <v>56.0</v>
      </c>
      <c r="K6570" s="61">
        <f t="shared" si="1"/>
        <v>0</v>
      </c>
      <c r="L6570" s="62">
        <f t="shared" si="2"/>
        <v>56</v>
      </c>
    </row>
    <row r="6571">
      <c r="A6571" s="58">
        <v>45658.0</v>
      </c>
      <c r="B6571" s="24" t="s">
        <v>6787</v>
      </c>
      <c r="C6571" s="24" t="s">
        <v>7101</v>
      </c>
      <c r="D6571" s="59">
        <v>1.0</v>
      </c>
      <c r="E6571" s="59">
        <v>1.0</v>
      </c>
      <c r="F6571" s="59">
        <v>1.0</v>
      </c>
      <c r="G6571" s="60">
        <v>1.0</v>
      </c>
      <c r="H6571" s="60">
        <v>1.0</v>
      </c>
      <c r="I6571" s="60">
        <v>0.0</v>
      </c>
      <c r="J6571" s="59">
        <v>1.0</v>
      </c>
      <c r="K6571" s="61">
        <f t="shared" si="1"/>
        <v>1</v>
      </c>
      <c r="L6571" s="62">
        <f t="shared" si="2"/>
        <v>1</v>
      </c>
    </row>
    <row r="6572">
      <c r="A6572" s="58">
        <v>45658.0</v>
      </c>
      <c r="B6572" s="24" t="s">
        <v>6787</v>
      </c>
      <c r="C6572" s="24" t="s">
        <v>6849</v>
      </c>
      <c r="D6572" s="59">
        <v>1.0</v>
      </c>
      <c r="E6572" s="59">
        <v>1.0</v>
      </c>
      <c r="F6572" s="59">
        <v>1.0</v>
      </c>
      <c r="G6572" s="60">
        <v>1.0</v>
      </c>
      <c r="H6572" s="60">
        <v>1.0</v>
      </c>
      <c r="I6572" s="60">
        <v>0.0</v>
      </c>
      <c r="J6572" s="59">
        <v>1.0</v>
      </c>
      <c r="K6572" s="61">
        <f t="shared" si="1"/>
        <v>1</v>
      </c>
      <c r="L6572" s="62">
        <f t="shared" si="2"/>
        <v>1</v>
      </c>
    </row>
    <row r="6573">
      <c r="A6573" s="58">
        <v>45658.0</v>
      </c>
      <c r="B6573" s="24" t="s">
        <v>6789</v>
      </c>
      <c r="C6573" s="24" t="s">
        <v>7044</v>
      </c>
      <c r="D6573" s="59">
        <v>1.0</v>
      </c>
      <c r="E6573" s="59">
        <v>1.0</v>
      </c>
      <c r="F6573" s="59">
        <v>1.0</v>
      </c>
      <c r="G6573" s="60">
        <v>1.0</v>
      </c>
      <c r="H6573" s="60">
        <v>0.0</v>
      </c>
      <c r="I6573" s="60">
        <v>66.081188</v>
      </c>
      <c r="J6573" s="59">
        <v>1.0</v>
      </c>
      <c r="K6573" s="61">
        <f t="shared" si="1"/>
        <v>1</v>
      </c>
      <c r="L6573" s="62">
        <f t="shared" si="2"/>
        <v>1</v>
      </c>
    </row>
    <row r="6574">
      <c r="A6574" s="58">
        <v>45658.0</v>
      </c>
      <c r="B6574" s="24" t="s">
        <v>6787</v>
      </c>
      <c r="C6574" s="24" t="s">
        <v>6908</v>
      </c>
      <c r="D6574" s="59">
        <v>1.0</v>
      </c>
      <c r="E6574" s="59">
        <v>6.0</v>
      </c>
      <c r="F6574" s="59">
        <v>0.0</v>
      </c>
      <c r="G6574" s="60">
        <v>6.0</v>
      </c>
      <c r="H6574" s="60">
        <v>0.833333333333333</v>
      </c>
      <c r="I6574" s="60">
        <v>228.0714625</v>
      </c>
      <c r="J6574" s="59">
        <v>7.0</v>
      </c>
      <c r="K6574" s="61">
        <f t="shared" si="1"/>
        <v>0</v>
      </c>
      <c r="L6574" s="62">
        <f t="shared" si="2"/>
        <v>1.166666667</v>
      </c>
    </row>
    <row r="6575">
      <c r="A6575" s="58">
        <v>45658.0</v>
      </c>
      <c r="B6575" s="24" t="s">
        <v>155</v>
      </c>
      <c r="C6575" s="24" t="s">
        <v>7313</v>
      </c>
      <c r="D6575" s="59">
        <v>1.0</v>
      </c>
      <c r="E6575" s="59">
        <v>3.0</v>
      </c>
      <c r="F6575" s="59">
        <v>0.0</v>
      </c>
      <c r="G6575" s="60">
        <v>3.0</v>
      </c>
      <c r="H6575" s="60">
        <v>0.333333333333333</v>
      </c>
      <c r="I6575" s="60">
        <v>628.980326666666</v>
      </c>
      <c r="J6575" s="59">
        <v>4.0</v>
      </c>
      <c r="K6575" s="61">
        <f t="shared" si="1"/>
        <v>0</v>
      </c>
      <c r="L6575" s="62">
        <f t="shared" si="2"/>
        <v>1.333333333</v>
      </c>
    </row>
    <row r="6576">
      <c r="A6576" s="58">
        <v>45658.0</v>
      </c>
      <c r="B6576" s="24" t="s">
        <v>6787</v>
      </c>
      <c r="C6576" s="24" t="s">
        <v>7443</v>
      </c>
      <c r="D6576" s="59">
        <v>1.0</v>
      </c>
      <c r="E6576" s="59">
        <v>1.0</v>
      </c>
      <c r="F6576" s="59">
        <v>1.0</v>
      </c>
      <c r="G6576" s="60">
        <v>1.0</v>
      </c>
      <c r="H6576" s="60">
        <v>1.0</v>
      </c>
      <c r="I6576" s="60">
        <v>0.0</v>
      </c>
      <c r="J6576" s="59">
        <v>1.0</v>
      </c>
      <c r="K6576" s="61">
        <f t="shared" si="1"/>
        <v>1</v>
      </c>
      <c r="L6576" s="62">
        <f t="shared" si="2"/>
        <v>1</v>
      </c>
    </row>
    <row r="6577">
      <c r="A6577" s="58">
        <v>45658.0</v>
      </c>
      <c r="B6577" s="24" t="s">
        <v>6789</v>
      </c>
      <c r="C6577" s="24" t="s">
        <v>7443</v>
      </c>
      <c r="D6577" s="59">
        <v>1.0</v>
      </c>
      <c r="E6577" s="59">
        <v>1.0</v>
      </c>
      <c r="F6577" s="59">
        <v>0.0</v>
      </c>
      <c r="G6577" s="60">
        <v>1.0</v>
      </c>
      <c r="H6577" s="60">
        <v>1.0</v>
      </c>
      <c r="I6577" s="60">
        <v>0.0</v>
      </c>
      <c r="J6577" s="59">
        <v>1.0</v>
      </c>
      <c r="K6577" s="61">
        <f t="shared" si="1"/>
        <v>0</v>
      </c>
      <c r="L6577" s="62">
        <f t="shared" si="2"/>
        <v>1</v>
      </c>
    </row>
    <row r="6578">
      <c r="A6578" s="58">
        <v>45658.0</v>
      </c>
      <c r="B6578" s="24" t="s">
        <v>155</v>
      </c>
      <c r="C6578" s="24" t="s">
        <v>7443</v>
      </c>
      <c r="D6578" s="59">
        <v>1.0</v>
      </c>
      <c r="E6578" s="59">
        <v>1.0</v>
      </c>
      <c r="F6578" s="59">
        <v>0.0</v>
      </c>
      <c r="G6578" s="60">
        <v>1.0</v>
      </c>
      <c r="H6578" s="60">
        <v>0.0</v>
      </c>
      <c r="I6578" s="60">
        <v>1675.160944</v>
      </c>
      <c r="J6578" s="59">
        <v>3.0</v>
      </c>
      <c r="K6578" s="61">
        <f t="shared" si="1"/>
        <v>0</v>
      </c>
      <c r="L6578" s="62">
        <f t="shared" si="2"/>
        <v>3</v>
      </c>
    </row>
    <row r="6579">
      <c r="A6579" s="58">
        <v>45658.0</v>
      </c>
      <c r="B6579" s="24" t="s">
        <v>155</v>
      </c>
      <c r="C6579" s="24" t="s">
        <v>6910</v>
      </c>
      <c r="D6579" s="59">
        <v>1.0</v>
      </c>
      <c r="E6579" s="59">
        <v>1.0</v>
      </c>
      <c r="F6579" s="59">
        <v>0.0</v>
      </c>
      <c r="G6579" s="60">
        <v>1.0</v>
      </c>
      <c r="H6579" s="60">
        <v>0.0</v>
      </c>
      <c r="I6579" s="60">
        <v>245.416868</v>
      </c>
      <c r="J6579" s="59">
        <v>2.0</v>
      </c>
      <c r="K6579" s="61">
        <f t="shared" si="1"/>
        <v>0</v>
      </c>
      <c r="L6579" s="62">
        <f t="shared" si="2"/>
        <v>2</v>
      </c>
    </row>
    <row r="6580">
      <c r="A6580" s="58">
        <v>45658.0</v>
      </c>
      <c r="B6580" s="24" t="s">
        <v>6787</v>
      </c>
      <c r="C6580" s="24" t="s">
        <v>6851</v>
      </c>
      <c r="D6580" s="59">
        <v>1.0</v>
      </c>
      <c r="E6580" s="59">
        <v>1.0</v>
      </c>
      <c r="F6580" s="59">
        <v>1.0</v>
      </c>
      <c r="G6580" s="60">
        <v>1.0</v>
      </c>
      <c r="H6580" s="60">
        <v>1.0</v>
      </c>
      <c r="I6580" s="60">
        <v>0.0</v>
      </c>
      <c r="J6580" s="59">
        <v>1.0</v>
      </c>
      <c r="K6580" s="61">
        <f t="shared" si="1"/>
        <v>1</v>
      </c>
      <c r="L6580" s="62">
        <f t="shared" si="2"/>
        <v>1</v>
      </c>
    </row>
    <row r="6581">
      <c r="A6581" s="58">
        <v>45658.0</v>
      </c>
      <c r="B6581" s="24" t="s">
        <v>6789</v>
      </c>
      <c r="C6581" s="24" t="s">
        <v>6851</v>
      </c>
      <c r="D6581" s="59">
        <v>1.0</v>
      </c>
      <c r="E6581" s="59">
        <v>1.0</v>
      </c>
      <c r="F6581" s="59">
        <v>0.0</v>
      </c>
      <c r="G6581" s="60">
        <v>1.0</v>
      </c>
      <c r="H6581" s="60">
        <v>1.0</v>
      </c>
      <c r="I6581" s="60">
        <v>5.830169</v>
      </c>
      <c r="J6581" s="59">
        <v>1.0</v>
      </c>
      <c r="K6581" s="61">
        <f t="shared" si="1"/>
        <v>0</v>
      </c>
      <c r="L6581" s="62">
        <f t="shared" si="2"/>
        <v>1</v>
      </c>
    </row>
    <row r="6582">
      <c r="A6582" s="58">
        <v>45658.0</v>
      </c>
      <c r="B6582" s="24" t="s">
        <v>6787</v>
      </c>
      <c r="C6582" s="24" t="s">
        <v>7102</v>
      </c>
      <c r="D6582" s="59">
        <v>1.0</v>
      </c>
      <c r="E6582" s="59">
        <v>1.0</v>
      </c>
      <c r="F6582" s="59">
        <v>1.0</v>
      </c>
      <c r="G6582" s="60">
        <v>1.0</v>
      </c>
      <c r="H6582" s="60">
        <v>0.0</v>
      </c>
      <c r="I6582" s="60">
        <v>11.096147</v>
      </c>
      <c r="J6582" s="59">
        <v>1.0</v>
      </c>
      <c r="K6582" s="61">
        <f t="shared" si="1"/>
        <v>1</v>
      </c>
      <c r="L6582" s="62">
        <f t="shared" si="2"/>
        <v>1</v>
      </c>
    </row>
    <row r="6583">
      <c r="A6583" s="58">
        <v>45658.0</v>
      </c>
      <c r="B6583" s="24" t="s">
        <v>6787</v>
      </c>
      <c r="C6583" s="24" t="s">
        <v>7173</v>
      </c>
      <c r="D6583" s="59">
        <v>1.0</v>
      </c>
      <c r="E6583" s="59">
        <v>1.0</v>
      </c>
      <c r="F6583" s="59">
        <v>1.0</v>
      </c>
      <c r="G6583" s="60">
        <v>1.0</v>
      </c>
      <c r="H6583" s="60">
        <v>1.0</v>
      </c>
      <c r="I6583" s="60">
        <v>0.0</v>
      </c>
      <c r="J6583" s="59">
        <v>1.0</v>
      </c>
      <c r="K6583" s="61">
        <f t="shared" si="1"/>
        <v>1</v>
      </c>
      <c r="L6583" s="62">
        <f t="shared" si="2"/>
        <v>1</v>
      </c>
    </row>
    <row r="6584">
      <c r="A6584" s="58">
        <v>45658.0</v>
      </c>
      <c r="B6584" s="24" t="s">
        <v>155</v>
      </c>
      <c r="C6584" s="24" t="s">
        <v>6912</v>
      </c>
      <c r="D6584" s="59">
        <v>1.0</v>
      </c>
      <c r="E6584" s="59">
        <v>1.0</v>
      </c>
      <c r="F6584" s="59">
        <v>1.0</v>
      </c>
      <c r="G6584" s="60">
        <v>1.0</v>
      </c>
      <c r="H6584" s="60">
        <v>1.0</v>
      </c>
      <c r="I6584" s="60">
        <v>0.0</v>
      </c>
      <c r="J6584" s="59">
        <v>1.0</v>
      </c>
      <c r="K6584" s="61">
        <f t="shared" si="1"/>
        <v>1</v>
      </c>
      <c r="L6584" s="62">
        <f t="shared" si="2"/>
        <v>1</v>
      </c>
    </row>
    <row r="6585">
      <c r="A6585" s="58">
        <v>45658.0</v>
      </c>
      <c r="B6585" s="24" t="s">
        <v>6790</v>
      </c>
      <c r="C6585" s="24" t="s">
        <v>6912</v>
      </c>
      <c r="D6585" s="59">
        <v>1.0</v>
      </c>
      <c r="E6585" s="59">
        <v>1.0</v>
      </c>
      <c r="F6585" s="59">
        <v>1.0</v>
      </c>
      <c r="G6585" s="60">
        <v>1.0</v>
      </c>
      <c r="H6585" s="60">
        <v>1.0</v>
      </c>
      <c r="I6585" s="60">
        <v>0.0</v>
      </c>
      <c r="J6585" s="59">
        <v>1.0</v>
      </c>
      <c r="K6585" s="61">
        <f t="shared" si="1"/>
        <v>1</v>
      </c>
      <c r="L6585" s="62">
        <f t="shared" si="2"/>
        <v>1</v>
      </c>
    </row>
    <row r="6586">
      <c r="A6586" s="58">
        <v>45658.0</v>
      </c>
      <c r="B6586" s="24" t="s">
        <v>6787</v>
      </c>
      <c r="C6586" s="24" t="s">
        <v>6814</v>
      </c>
      <c r="D6586" s="59">
        <v>1.0</v>
      </c>
      <c r="E6586" s="59">
        <v>1.0</v>
      </c>
      <c r="F6586" s="59">
        <v>1.0</v>
      </c>
      <c r="G6586" s="60">
        <v>1.0</v>
      </c>
      <c r="H6586" s="60">
        <v>1.0</v>
      </c>
      <c r="I6586" s="60">
        <v>0.0</v>
      </c>
      <c r="J6586" s="59">
        <v>1.0</v>
      </c>
      <c r="K6586" s="61">
        <f t="shared" si="1"/>
        <v>1</v>
      </c>
      <c r="L6586" s="62">
        <f t="shared" si="2"/>
        <v>1</v>
      </c>
    </row>
    <row r="6587">
      <c r="A6587" s="58">
        <v>45658.0</v>
      </c>
      <c r="B6587" s="24" t="s">
        <v>155</v>
      </c>
      <c r="C6587" s="24" t="s">
        <v>7505</v>
      </c>
      <c r="D6587" s="59">
        <v>1.0</v>
      </c>
      <c r="E6587" s="59">
        <v>1.0</v>
      </c>
      <c r="F6587" s="59">
        <v>0.0</v>
      </c>
      <c r="G6587" s="60">
        <v>1.0</v>
      </c>
      <c r="H6587" s="60">
        <v>0.0</v>
      </c>
      <c r="I6587" s="60">
        <v>36.523627</v>
      </c>
      <c r="J6587" s="59">
        <v>2.0</v>
      </c>
      <c r="K6587" s="61">
        <f t="shared" si="1"/>
        <v>0</v>
      </c>
      <c r="L6587" s="62">
        <f t="shared" si="2"/>
        <v>2</v>
      </c>
    </row>
    <row r="6588">
      <c r="A6588" s="58">
        <v>45658.0</v>
      </c>
      <c r="B6588" s="24" t="s">
        <v>6789</v>
      </c>
      <c r="C6588" s="24" t="s">
        <v>7174</v>
      </c>
      <c r="D6588" s="59">
        <v>1.0</v>
      </c>
      <c r="E6588" s="59">
        <v>1.0</v>
      </c>
      <c r="F6588" s="59">
        <v>1.0</v>
      </c>
      <c r="G6588" s="60">
        <v>1.0</v>
      </c>
      <c r="H6588" s="60">
        <v>0.0</v>
      </c>
      <c r="I6588" s="60">
        <v>36.72565</v>
      </c>
      <c r="J6588" s="59">
        <v>1.0</v>
      </c>
      <c r="K6588" s="61">
        <f t="shared" si="1"/>
        <v>1</v>
      </c>
      <c r="L6588" s="62">
        <f t="shared" si="2"/>
        <v>1</v>
      </c>
    </row>
    <row r="6589">
      <c r="A6589" s="58">
        <v>45658.0</v>
      </c>
      <c r="B6589" s="24" t="s">
        <v>6787</v>
      </c>
      <c r="C6589" s="24" t="s">
        <v>7448</v>
      </c>
      <c r="D6589" s="59">
        <v>1.0</v>
      </c>
      <c r="E6589" s="59">
        <v>1.0</v>
      </c>
      <c r="F6589" s="59">
        <v>1.0</v>
      </c>
      <c r="G6589" s="60">
        <v>1.0</v>
      </c>
      <c r="H6589" s="60">
        <v>1.0</v>
      </c>
      <c r="I6589" s="60">
        <v>3.531232</v>
      </c>
      <c r="J6589" s="59">
        <v>1.0</v>
      </c>
      <c r="K6589" s="61">
        <f t="shared" si="1"/>
        <v>1</v>
      </c>
      <c r="L6589" s="62">
        <f t="shared" si="2"/>
        <v>1</v>
      </c>
    </row>
    <row r="6590">
      <c r="A6590" s="58">
        <v>45658.0</v>
      </c>
      <c r="B6590" s="24" t="s">
        <v>6787</v>
      </c>
      <c r="C6590" s="24" t="s">
        <v>7192</v>
      </c>
      <c r="D6590" s="59">
        <v>1.0</v>
      </c>
      <c r="E6590" s="59">
        <v>1.0</v>
      </c>
      <c r="F6590" s="59">
        <v>1.0</v>
      </c>
      <c r="G6590" s="60">
        <v>1.0</v>
      </c>
      <c r="H6590" s="60">
        <v>1.0</v>
      </c>
      <c r="I6590" s="60">
        <v>0.0</v>
      </c>
      <c r="J6590" s="59">
        <v>1.0</v>
      </c>
      <c r="K6590" s="61">
        <f t="shared" si="1"/>
        <v>1</v>
      </c>
      <c r="L6590" s="62">
        <f t="shared" si="2"/>
        <v>1</v>
      </c>
    </row>
    <row r="6591">
      <c r="A6591" s="58">
        <v>45658.0</v>
      </c>
      <c r="B6591" s="24" t="s">
        <v>6789</v>
      </c>
      <c r="C6591" s="24" t="s">
        <v>7192</v>
      </c>
      <c r="D6591" s="59">
        <v>1.0</v>
      </c>
      <c r="E6591" s="59">
        <v>1.0</v>
      </c>
      <c r="F6591" s="59">
        <v>0.0</v>
      </c>
      <c r="G6591" s="60">
        <v>1.0</v>
      </c>
      <c r="H6591" s="60">
        <v>0.0</v>
      </c>
      <c r="I6591" s="60">
        <v>30.690449</v>
      </c>
      <c r="J6591" s="59">
        <v>1.0</v>
      </c>
      <c r="K6591" s="61">
        <f t="shared" si="1"/>
        <v>0</v>
      </c>
      <c r="L6591" s="62">
        <f t="shared" si="2"/>
        <v>1</v>
      </c>
    </row>
    <row r="6592">
      <c r="A6592" s="58">
        <v>45658.0</v>
      </c>
      <c r="B6592" s="24" t="s">
        <v>6787</v>
      </c>
      <c r="C6592" s="24" t="s">
        <v>7243</v>
      </c>
      <c r="D6592" s="59">
        <v>1.0</v>
      </c>
      <c r="E6592" s="59">
        <v>1.0</v>
      </c>
      <c r="F6592" s="59">
        <v>1.0</v>
      </c>
      <c r="G6592" s="60">
        <v>1.0</v>
      </c>
      <c r="H6592" s="60">
        <v>1.0</v>
      </c>
      <c r="I6592" s="60">
        <v>0.0</v>
      </c>
      <c r="J6592" s="59">
        <v>1.0</v>
      </c>
      <c r="K6592" s="61">
        <f t="shared" si="1"/>
        <v>1</v>
      </c>
      <c r="L6592" s="62">
        <f t="shared" si="2"/>
        <v>1</v>
      </c>
    </row>
    <row r="6593">
      <c r="A6593" s="58">
        <v>45658.0</v>
      </c>
      <c r="B6593" s="24" t="s">
        <v>6787</v>
      </c>
      <c r="C6593" s="24" t="s">
        <v>7276</v>
      </c>
      <c r="D6593" s="59">
        <v>1.0</v>
      </c>
      <c r="E6593" s="59">
        <v>1.0</v>
      </c>
      <c r="F6593" s="59">
        <v>1.0</v>
      </c>
      <c r="G6593" s="60">
        <v>1.0</v>
      </c>
      <c r="H6593" s="60">
        <v>0.0</v>
      </c>
      <c r="I6593" s="60">
        <v>155.186949</v>
      </c>
      <c r="J6593" s="59">
        <v>1.0</v>
      </c>
      <c r="K6593" s="61">
        <f t="shared" si="1"/>
        <v>1</v>
      </c>
      <c r="L6593" s="62">
        <f t="shared" si="2"/>
        <v>1</v>
      </c>
    </row>
    <row r="6594">
      <c r="A6594" s="58">
        <v>45658.0</v>
      </c>
      <c r="B6594" s="24" t="s">
        <v>155</v>
      </c>
      <c r="C6594" s="24" t="s">
        <v>7014</v>
      </c>
      <c r="D6594" s="59">
        <v>1.0</v>
      </c>
      <c r="E6594" s="59">
        <v>1.0</v>
      </c>
      <c r="F6594" s="59">
        <v>0.0</v>
      </c>
      <c r="G6594" s="60">
        <v>1.0</v>
      </c>
      <c r="H6594" s="60">
        <v>0.0</v>
      </c>
      <c r="I6594" s="60">
        <v>283.940345</v>
      </c>
      <c r="J6594" s="59">
        <v>6.0</v>
      </c>
      <c r="K6594" s="61">
        <f t="shared" si="1"/>
        <v>0</v>
      </c>
      <c r="L6594" s="62">
        <f t="shared" si="2"/>
        <v>6</v>
      </c>
    </row>
    <row r="6595">
      <c r="A6595" s="58">
        <v>45658.0</v>
      </c>
      <c r="B6595" s="24" t="s">
        <v>6787</v>
      </c>
      <c r="C6595" s="24" t="s">
        <v>7106</v>
      </c>
      <c r="D6595" s="59">
        <v>1.0</v>
      </c>
      <c r="E6595" s="59">
        <v>1.0</v>
      </c>
      <c r="F6595" s="59">
        <v>1.0</v>
      </c>
      <c r="G6595" s="60">
        <v>1.0</v>
      </c>
      <c r="H6595" s="60">
        <v>1.0</v>
      </c>
      <c r="I6595" s="60">
        <v>0.0</v>
      </c>
      <c r="J6595" s="59">
        <v>1.0</v>
      </c>
      <c r="K6595" s="61">
        <f t="shared" si="1"/>
        <v>1</v>
      </c>
      <c r="L6595" s="62">
        <f t="shared" si="2"/>
        <v>1</v>
      </c>
    </row>
    <row r="6596">
      <c r="A6596" s="58">
        <v>45658.0</v>
      </c>
      <c r="B6596" s="24" t="s">
        <v>6794</v>
      </c>
      <c r="C6596" s="24" t="s">
        <v>7106</v>
      </c>
      <c r="D6596" s="59">
        <v>1.0</v>
      </c>
      <c r="E6596" s="59">
        <v>1.0</v>
      </c>
      <c r="F6596" s="59">
        <v>1.0</v>
      </c>
      <c r="G6596" s="60">
        <v>1.0</v>
      </c>
      <c r="H6596" s="60">
        <v>1.0</v>
      </c>
      <c r="I6596" s="60">
        <v>0.0</v>
      </c>
      <c r="J6596" s="59">
        <v>1.0</v>
      </c>
      <c r="K6596" s="61">
        <f t="shared" si="1"/>
        <v>1</v>
      </c>
      <c r="L6596" s="62">
        <f t="shared" si="2"/>
        <v>1</v>
      </c>
    </row>
    <row r="6597">
      <c r="A6597" s="58">
        <v>45658.0</v>
      </c>
      <c r="B6597" s="24" t="s">
        <v>155</v>
      </c>
      <c r="C6597" s="24" t="s">
        <v>7106</v>
      </c>
      <c r="D6597" s="59">
        <v>1.0</v>
      </c>
      <c r="E6597" s="59">
        <v>1.0</v>
      </c>
      <c r="F6597" s="59">
        <v>1.0</v>
      </c>
      <c r="G6597" s="60">
        <v>1.0</v>
      </c>
      <c r="H6597" s="60">
        <v>1.0</v>
      </c>
      <c r="I6597" s="60">
        <v>3.013413</v>
      </c>
      <c r="J6597" s="59">
        <v>1.0</v>
      </c>
      <c r="K6597" s="61">
        <f t="shared" si="1"/>
        <v>1</v>
      </c>
      <c r="L6597" s="62">
        <f t="shared" si="2"/>
        <v>1</v>
      </c>
    </row>
    <row r="6598">
      <c r="A6598" s="58">
        <v>45658.0</v>
      </c>
      <c r="B6598" s="24" t="s">
        <v>3216</v>
      </c>
      <c r="C6598" s="24" t="s">
        <v>7180</v>
      </c>
      <c r="D6598" s="59">
        <v>1.0</v>
      </c>
      <c r="E6598" s="59">
        <v>6.0</v>
      </c>
      <c r="F6598" s="59">
        <v>1.0</v>
      </c>
      <c r="G6598" s="60">
        <v>6.0</v>
      </c>
      <c r="H6598" s="60">
        <v>1.0</v>
      </c>
      <c r="I6598" s="60">
        <v>0.0</v>
      </c>
      <c r="J6598" s="59">
        <v>6.0</v>
      </c>
      <c r="K6598" s="61">
        <f t="shared" si="1"/>
        <v>0.1666666667</v>
      </c>
      <c r="L6598" s="62">
        <f t="shared" si="2"/>
        <v>1</v>
      </c>
    </row>
    <row r="6599">
      <c r="A6599" s="58">
        <v>45658.0</v>
      </c>
      <c r="B6599" s="24" t="s">
        <v>6790</v>
      </c>
      <c r="C6599" s="24" t="s">
        <v>6815</v>
      </c>
      <c r="D6599" s="59">
        <v>1.0</v>
      </c>
      <c r="E6599" s="59">
        <v>1.0</v>
      </c>
      <c r="F6599" s="59">
        <v>1.0</v>
      </c>
      <c r="G6599" s="60">
        <v>1.0</v>
      </c>
      <c r="H6599" s="60">
        <v>1.0</v>
      </c>
      <c r="I6599" s="60">
        <v>0.0</v>
      </c>
      <c r="J6599" s="59">
        <v>1.0</v>
      </c>
      <c r="K6599" s="61">
        <f t="shared" si="1"/>
        <v>1</v>
      </c>
      <c r="L6599" s="62">
        <f t="shared" si="2"/>
        <v>1</v>
      </c>
    </row>
    <row r="6600">
      <c r="A6600" s="58">
        <v>45658.0</v>
      </c>
      <c r="B6600" s="24" t="s">
        <v>155</v>
      </c>
      <c r="C6600" s="24" t="s">
        <v>7479</v>
      </c>
      <c r="D6600" s="59">
        <v>1.0</v>
      </c>
      <c r="E6600" s="59">
        <v>1.0</v>
      </c>
      <c r="F6600" s="59">
        <v>0.0</v>
      </c>
      <c r="G6600" s="60">
        <v>1.0</v>
      </c>
      <c r="H6600" s="60">
        <v>1.0</v>
      </c>
      <c r="I6600" s="60">
        <v>1.940231</v>
      </c>
      <c r="J6600" s="59">
        <v>1.0</v>
      </c>
      <c r="K6600" s="61">
        <f t="shared" si="1"/>
        <v>0</v>
      </c>
      <c r="L6600" s="62">
        <f t="shared" si="2"/>
        <v>1</v>
      </c>
    </row>
    <row r="6601">
      <c r="A6601" s="58">
        <v>45658.0</v>
      </c>
      <c r="B6601" s="24" t="s">
        <v>6787</v>
      </c>
      <c r="C6601" s="24" t="s">
        <v>7506</v>
      </c>
      <c r="D6601" s="59">
        <v>1.0</v>
      </c>
      <c r="E6601" s="59">
        <v>1.0</v>
      </c>
      <c r="F6601" s="59">
        <v>0.0</v>
      </c>
      <c r="G6601" s="60">
        <v>1.0</v>
      </c>
      <c r="H6601" s="60">
        <v>1.0</v>
      </c>
      <c r="I6601" s="60">
        <v>9.327692</v>
      </c>
      <c r="J6601" s="59">
        <v>1.0</v>
      </c>
      <c r="K6601" s="61">
        <f t="shared" si="1"/>
        <v>0</v>
      </c>
      <c r="L6601" s="62">
        <f t="shared" si="2"/>
        <v>1</v>
      </c>
    </row>
    <row r="6602">
      <c r="A6602" s="58">
        <v>45658.0</v>
      </c>
      <c r="B6602" s="24" t="s">
        <v>6789</v>
      </c>
      <c r="C6602" s="24" t="s">
        <v>7506</v>
      </c>
      <c r="D6602" s="59">
        <v>1.0</v>
      </c>
      <c r="E6602" s="59">
        <v>1.0</v>
      </c>
      <c r="F6602" s="59">
        <v>0.0</v>
      </c>
      <c r="G6602" s="60">
        <v>1.0</v>
      </c>
      <c r="H6602" s="60">
        <v>0.0</v>
      </c>
      <c r="I6602" s="60">
        <v>1803.378235</v>
      </c>
      <c r="J6602" s="59">
        <v>2.0</v>
      </c>
      <c r="K6602" s="61">
        <f t="shared" si="1"/>
        <v>0</v>
      </c>
      <c r="L6602" s="62">
        <f t="shared" si="2"/>
        <v>2</v>
      </c>
    </row>
    <row r="6603">
      <c r="A6603" s="58">
        <v>45658.0</v>
      </c>
      <c r="B6603" s="24" t="s">
        <v>6787</v>
      </c>
      <c r="C6603" s="24" t="s">
        <v>7507</v>
      </c>
      <c r="D6603" s="59">
        <v>1.0</v>
      </c>
      <c r="E6603" s="59">
        <v>2.0</v>
      </c>
      <c r="F6603" s="59">
        <v>0.0</v>
      </c>
      <c r="G6603" s="60">
        <v>2.0</v>
      </c>
      <c r="H6603" s="60">
        <v>0.0</v>
      </c>
      <c r="I6603" s="60">
        <v>30.848094</v>
      </c>
      <c r="J6603" s="59">
        <v>8.0</v>
      </c>
      <c r="K6603" s="61">
        <f t="shared" si="1"/>
        <v>0</v>
      </c>
      <c r="L6603" s="62">
        <f t="shared" si="2"/>
        <v>4</v>
      </c>
    </row>
    <row r="6604">
      <c r="A6604" s="58">
        <v>45658.0</v>
      </c>
      <c r="B6604" s="24" t="s">
        <v>6789</v>
      </c>
      <c r="C6604" s="24" t="s">
        <v>7507</v>
      </c>
      <c r="D6604" s="59">
        <v>1.0</v>
      </c>
      <c r="E6604" s="59">
        <v>1.0</v>
      </c>
      <c r="F6604" s="59">
        <v>0.0</v>
      </c>
      <c r="G6604" s="60">
        <v>1.0</v>
      </c>
      <c r="H6604" s="60">
        <v>0.0</v>
      </c>
      <c r="I6604" s="60">
        <v>107.326167</v>
      </c>
      <c r="J6604" s="59">
        <v>1.0</v>
      </c>
      <c r="K6604" s="61">
        <f t="shared" si="1"/>
        <v>0</v>
      </c>
      <c r="L6604" s="62">
        <f t="shared" si="2"/>
        <v>1</v>
      </c>
    </row>
    <row r="6605">
      <c r="A6605" s="58">
        <v>45658.0</v>
      </c>
      <c r="B6605" s="24" t="s">
        <v>6790</v>
      </c>
      <c r="C6605" s="24" t="s">
        <v>7492</v>
      </c>
      <c r="D6605" s="59">
        <v>1.0</v>
      </c>
      <c r="E6605" s="59">
        <v>1.0</v>
      </c>
      <c r="F6605" s="59">
        <v>0.0</v>
      </c>
      <c r="G6605" s="60">
        <v>1.0</v>
      </c>
      <c r="H6605" s="60">
        <v>1.0</v>
      </c>
      <c r="I6605" s="60">
        <v>0.0</v>
      </c>
      <c r="J6605" s="59">
        <v>1.0</v>
      </c>
      <c r="K6605" s="61">
        <f t="shared" si="1"/>
        <v>0</v>
      </c>
      <c r="L6605" s="62">
        <f t="shared" si="2"/>
        <v>1</v>
      </c>
    </row>
    <row r="6606">
      <c r="A6606" s="58">
        <v>45658.0</v>
      </c>
      <c r="B6606" s="24" t="s">
        <v>6787</v>
      </c>
      <c r="C6606" s="24" t="s">
        <v>6921</v>
      </c>
      <c r="D6606" s="59">
        <v>1.0</v>
      </c>
      <c r="E6606" s="59">
        <v>1.0</v>
      </c>
      <c r="F6606" s="59">
        <v>1.0</v>
      </c>
      <c r="G6606" s="60">
        <v>1.0</v>
      </c>
      <c r="H6606" s="60">
        <v>1.0</v>
      </c>
      <c r="I6606" s="60">
        <v>0.0</v>
      </c>
      <c r="J6606" s="59">
        <v>1.0</v>
      </c>
      <c r="K6606" s="61">
        <f t="shared" si="1"/>
        <v>1</v>
      </c>
      <c r="L6606" s="62">
        <f t="shared" si="2"/>
        <v>1</v>
      </c>
    </row>
    <row r="6607">
      <c r="A6607" s="58">
        <v>45658.0</v>
      </c>
      <c r="B6607" s="24" t="s">
        <v>6789</v>
      </c>
      <c r="C6607" s="24" t="s">
        <v>6921</v>
      </c>
      <c r="D6607" s="59">
        <v>1.0</v>
      </c>
      <c r="E6607" s="59">
        <v>1.0</v>
      </c>
      <c r="F6607" s="59">
        <v>0.0</v>
      </c>
      <c r="G6607" s="60">
        <v>1.0</v>
      </c>
      <c r="H6607" s="60">
        <v>0.0</v>
      </c>
      <c r="I6607" s="60">
        <v>1267.286896</v>
      </c>
      <c r="J6607" s="59">
        <v>2.0</v>
      </c>
      <c r="K6607" s="61">
        <f t="shared" si="1"/>
        <v>0</v>
      </c>
      <c r="L6607" s="62">
        <f t="shared" si="2"/>
        <v>2</v>
      </c>
    </row>
    <row r="6608">
      <c r="A6608" s="58">
        <v>45658.0</v>
      </c>
      <c r="B6608" s="24" t="s">
        <v>6787</v>
      </c>
      <c r="C6608" s="24" t="s">
        <v>6853</v>
      </c>
      <c r="D6608" s="59">
        <v>1.0</v>
      </c>
      <c r="E6608" s="59">
        <v>1.0</v>
      </c>
      <c r="F6608" s="59">
        <v>1.0</v>
      </c>
      <c r="G6608" s="60">
        <v>1.0</v>
      </c>
      <c r="H6608" s="60">
        <v>1.0</v>
      </c>
      <c r="I6608" s="60">
        <v>8.623594</v>
      </c>
      <c r="J6608" s="59">
        <v>1.0</v>
      </c>
      <c r="K6608" s="61">
        <f t="shared" si="1"/>
        <v>1</v>
      </c>
      <c r="L6608" s="62">
        <f t="shared" si="2"/>
        <v>1</v>
      </c>
    </row>
    <row r="6609">
      <c r="A6609" s="58">
        <v>45658.0</v>
      </c>
      <c r="B6609" s="24" t="s">
        <v>6787</v>
      </c>
      <c r="C6609" s="24" t="s">
        <v>6816</v>
      </c>
      <c r="D6609" s="59">
        <v>1.0</v>
      </c>
      <c r="E6609" s="59">
        <v>1.0</v>
      </c>
      <c r="F6609" s="59">
        <v>1.0</v>
      </c>
      <c r="G6609" s="60">
        <v>1.0</v>
      </c>
      <c r="H6609" s="60">
        <v>1.0</v>
      </c>
      <c r="I6609" s="60">
        <v>0.0</v>
      </c>
      <c r="J6609" s="59">
        <v>1.0</v>
      </c>
      <c r="K6609" s="61">
        <f t="shared" si="1"/>
        <v>1</v>
      </c>
      <c r="L6609" s="62">
        <f t="shared" si="2"/>
        <v>1</v>
      </c>
    </row>
    <row r="6610">
      <c r="A6610" s="58">
        <v>45658.0</v>
      </c>
      <c r="B6610" s="24" t="s">
        <v>6789</v>
      </c>
      <c r="C6610" s="24" t="s">
        <v>7047</v>
      </c>
      <c r="D6610" s="59">
        <v>1.0</v>
      </c>
      <c r="E6610" s="59">
        <v>1.0</v>
      </c>
      <c r="F6610" s="59">
        <v>0.0</v>
      </c>
      <c r="G6610" s="60">
        <v>1.0</v>
      </c>
      <c r="H6610" s="60">
        <v>0.0</v>
      </c>
      <c r="I6610" s="60">
        <v>1185.111803</v>
      </c>
      <c r="J6610" s="59">
        <v>1.0</v>
      </c>
      <c r="K6610" s="61">
        <f t="shared" si="1"/>
        <v>0</v>
      </c>
      <c r="L6610" s="62">
        <f t="shared" si="2"/>
        <v>1</v>
      </c>
    </row>
    <row r="6611">
      <c r="A6611" s="58">
        <v>45658.0</v>
      </c>
      <c r="B6611" s="24" t="s">
        <v>6790</v>
      </c>
      <c r="C6611" s="24" t="s">
        <v>6810</v>
      </c>
      <c r="D6611" s="59">
        <v>1.0</v>
      </c>
      <c r="E6611" s="59">
        <v>1.0</v>
      </c>
      <c r="F6611" s="59">
        <v>0.0</v>
      </c>
      <c r="G6611" s="60">
        <v>1.0</v>
      </c>
      <c r="H6611" s="60">
        <v>1.0</v>
      </c>
      <c r="I6611" s="60">
        <v>30.376108</v>
      </c>
      <c r="J6611" s="59">
        <v>1.0</v>
      </c>
      <c r="K6611" s="61">
        <f t="shared" si="1"/>
        <v>0</v>
      </c>
      <c r="L6611" s="62">
        <f t="shared" si="2"/>
        <v>1</v>
      </c>
    </row>
    <row r="6612">
      <c r="A6612" s="58">
        <v>45658.0</v>
      </c>
      <c r="B6612" s="24" t="s">
        <v>6789</v>
      </c>
      <c r="C6612" s="24" t="s">
        <v>6931</v>
      </c>
      <c r="D6612" s="59">
        <v>1.0</v>
      </c>
      <c r="E6612" s="59">
        <v>1.0</v>
      </c>
      <c r="F6612" s="59">
        <v>1.0</v>
      </c>
      <c r="G6612" s="60">
        <v>1.0</v>
      </c>
      <c r="H6612" s="60">
        <v>0.0</v>
      </c>
      <c r="I6612" s="60">
        <v>425.125024</v>
      </c>
      <c r="J6612" s="59">
        <v>4.0</v>
      </c>
      <c r="K6612" s="61">
        <f t="shared" si="1"/>
        <v>1</v>
      </c>
      <c r="L6612" s="62">
        <f t="shared" si="2"/>
        <v>4</v>
      </c>
    </row>
    <row r="6613">
      <c r="A6613" s="58">
        <v>45658.0</v>
      </c>
      <c r="B6613" s="24" t="s">
        <v>6789</v>
      </c>
      <c r="C6613" s="24" t="s">
        <v>6962</v>
      </c>
      <c r="D6613" s="59">
        <v>1.0</v>
      </c>
      <c r="E6613" s="59">
        <v>1.0</v>
      </c>
      <c r="F6613" s="59">
        <v>0.0</v>
      </c>
      <c r="G6613" s="60">
        <v>1.0</v>
      </c>
      <c r="H6613" s="60">
        <v>0.0</v>
      </c>
      <c r="I6613" s="60">
        <v>18.204579</v>
      </c>
      <c r="J6613" s="59">
        <v>2.0</v>
      </c>
      <c r="K6613" s="61">
        <f t="shared" si="1"/>
        <v>0</v>
      </c>
      <c r="L6613" s="62">
        <f t="shared" si="2"/>
        <v>2</v>
      </c>
    </row>
    <row r="6614">
      <c r="A6614" s="58">
        <v>45658.0</v>
      </c>
      <c r="B6614" s="24" t="s">
        <v>6789</v>
      </c>
      <c r="C6614" s="24" t="s">
        <v>7208</v>
      </c>
      <c r="D6614" s="59">
        <v>1.0</v>
      </c>
      <c r="E6614" s="59">
        <v>1.0</v>
      </c>
      <c r="F6614" s="59">
        <v>0.0</v>
      </c>
      <c r="G6614" s="60">
        <v>1.0</v>
      </c>
      <c r="H6614" s="60">
        <v>0.0</v>
      </c>
      <c r="I6614" s="60">
        <v>0.007542</v>
      </c>
      <c r="J6614" s="59">
        <v>1.0</v>
      </c>
      <c r="K6614" s="61">
        <f t="shared" si="1"/>
        <v>0</v>
      </c>
      <c r="L6614" s="62">
        <f t="shared" si="2"/>
        <v>1</v>
      </c>
    </row>
    <row r="6615">
      <c r="A6615" s="58">
        <v>45658.0</v>
      </c>
      <c r="B6615" s="24" t="s">
        <v>155</v>
      </c>
      <c r="C6615" s="24" t="s">
        <v>7208</v>
      </c>
      <c r="D6615" s="59">
        <v>1.0</v>
      </c>
      <c r="E6615" s="59">
        <v>2.0</v>
      </c>
      <c r="F6615" s="59">
        <v>0.0</v>
      </c>
      <c r="G6615" s="60">
        <v>2.0</v>
      </c>
      <c r="H6615" s="60">
        <v>0.0</v>
      </c>
      <c r="I6615" s="60">
        <v>3.268773</v>
      </c>
      <c r="J6615" s="59">
        <v>2.0</v>
      </c>
      <c r="K6615" s="61">
        <f t="shared" si="1"/>
        <v>0</v>
      </c>
      <c r="L6615" s="62">
        <f t="shared" si="2"/>
        <v>1</v>
      </c>
    </row>
    <row r="6616">
      <c r="A6616" s="58">
        <v>45658.0</v>
      </c>
      <c r="B6616" s="24" t="s">
        <v>6789</v>
      </c>
      <c r="C6616" s="24" t="s">
        <v>7118</v>
      </c>
      <c r="D6616" s="59">
        <v>1.0</v>
      </c>
      <c r="E6616" s="59">
        <v>1.0</v>
      </c>
      <c r="F6616" s="59">
        <v>0.0</v>
      </c>
      <c r="G6616" s="60">
        <v>1.0</v>
      </c>
      <c r="H6616" s="60">
        <v>0.0</v>
      </c>
      <c r="I6616" s="60">
        <v>601.177385</v>
      </c>
      <c r="J6616" s="59">
        <v>1.0</v>
      </c>
      <c r="K6616" s="61">
        <f t="shared" si="1"/>
        <v>0</v>
      </c>
      <c r="L6616" s="62">
        <f t="shared" si="2"/>
        <v>1</v>
      </c>
    </row>
    <row r="6617">
      <c r="A6617" s="58">
        <v>45658.0</v>
      </c>
      <c r="B6617" s="24" t="s">
        <v>7100</v>
      </c>
      <c r="C6617" s="24" t="s">
        <v>6854</v>
      </c>
      <c r="D6617" s="59">
        <v>1.0</v>
      </c>
      <c r="E6617" s="59">
        <v>1.0</v>
      </c>
      <c r="F6617" s="59">
        <v>1.0</v>
      </c>
      <c r="G6617" s="60">
        <v>1.0</v>
      </c>
      <c r="H6617" s="60">
        <v>0.0</v>
      </c>
      <c r="I6617" s="60">
        <v>125.260402</v>
      </c>
      <c r="J6617" s="59">
        <v>1.0</v>
      </c>
      <c r="K6617" s="61">
        <f t="shared" si="1"/>
        <v>1</v>
      </c>
      <c r="L6617" s="62">
        <f t="shared" si="2"/>
        <v>1</v>
      </c>
    </row>
    <row r="6618">
      <c r="A6618" s="58">
        <v>45658.0</v>
      </c>
      <c r="B6618" s="24" t="s">
        <v>155</v>
      </c>
      <c r="C6618" s="24" t="s">
        <v>6854</v>
      </c>
      <c r="D6618" s="59">
        <v>1.0</v>
      </c>
      <c r="E6618" s="59">
        <v>1.0</v>
      </c>
      <c r="F6618" s="59">
        <v>0.0</v>
      </c>
      <c r="G6618" s="60">
        <v>1.0</v>
      </c>
      <c r="H6618" s="60">
        <v>1.0</v>
      </c>
      <c r="I6618" s="60">
        <v>0.0</v>
      </c>
      <c r="J6618" s="59">
        <v>1.0</v>
      </c>
      <c r="K6618" s="61">
        <f t="shared" si="1"/>
        <v>0</v>
      </c>
      <c r="L6618" s="62">
        <f t="shared" si="2"/>
        <v>1</v>
      </c>
    </row>
    <row r="6619">
      <c r="A6619" s="58">
        <v>45658.0</v>
      </c>
      <c r="B6619" s="24" t="s">
        <v>6787</v>
      </c>
      <c r="C6619" s="24" t="s">
        <v>7508</v>
      </c>
      <c r="D6619" s="59">
        <v>1.0</v>
      </c>
      <c r="E6619" s="59">
        <v>1.0</v>
      </c>
      <c r="F6619" s="59">
        <v>1.0</v>
      </c>
      <c r="G6619" s="60">
        <v>1.0</v>
      </c>
      <c r="H6619" s="60">
        <v>1.0</v>
      </c>
      <c r="I6619" s="60">
        <v>4.968861</v>
      </c>
      <c r="J6619" s="59">
        <v>1.0</v>
      </c>
      <c r="K6619" s="61">
        <f t="shared" si="1"/>
        <v>1</v>
      </c>
      <c r="L6619" s="62">
        <f t="shared" si="2"/>
        <v>1</v>
      </c>
    </row>
    <row r="6620">
      <c r="A6620" s="58">
        <v>45658.0</v>
      </c>
      <c r="B6620" s="24" t="s">
        <v>6789</v>
      </c>
      <c r="C6620" s="24" t="s">
        <v>6963</v>
      </c>
      <c r="D6620" s="59">
        <v>1.0</v>
      </c>
      <c r="E6620" s="59">
        <v>1.0</v>
      </c>
      <c r="F6620" s="59">
        <v>0.0</v>
      </c>
      <c r="G6620" s="60">
        <v>1.0</v>
      </c>
      <c r="H6620" s="60">
        <v>1.0</v>
      </c>
      <c r="I6620" s="60">
        <v>0.0</v>
      </c>
      <c r="J6620" s="59">
        <v>1.0</v>
      </c>
      <c r="K6620" s="61">
        <f t="shared" si="1"/>
        <v>0</v>
      </c>
      <c r="L6620" s="62">
        <f t="shared" si="2"/>
        <v>1</v>
      </c>
    </row>
    <row r="6621">
      <c r="A6621" s="58">
        <v>45658.0</v>
      </c>
      <c r="B6621" s="24" t="s">
        <v>155</v>
      </c>
      <c r="C6621" s="24" t="s">
        <v>6963</v>
      </c>
      <c r="D6621" s="59">
        <v>1.0</v>
      </c>
      <c r="E6621" s="59">
        <v>2.0</v>
      </c>
      <c r="F6621" s="59">
        <v>0.0</v>
      </c>
      <c r="G6621" s="60">
        <v>2.0</v>
      </c>
      <c r="H6621" s="60">
        <v>0.5</v>
      </c>
      <c r="I6621" s="60">
        <v>280.781037</v>
      </c>
      <c r="J6621" s="59">
        <v>15.0</v>
      </c>
      <c r="K6621" s="61">
        <f t="shared" si="1"/>
        <v>0</v>
      </c>
      <c r="L6621" s="62">
        <f t="shared" si="2"/>
        <v>7.5</v>
      </c>
    </row>
    <row r="6622">
      <c r="A6622" s="58">
        <v>45658.0</v>
      </c>
      <c r="B6622" s="24" t="s">
        <v>6789</v>
      </c>
      <c r="C6622" s="24" t="s">
        <v>6924</v>
      </c>
      <c r="D6622" s="59">
        <v>1.0</v>
      </c>
      <c r="E6622" s="59">
        <v>1.0</v>
      </c>
      <c r="F6622" s="59">
        <v>0.0</v>
      </c>
      <c r="G6622" s="60">
        <v>1.0</v>
      </c>
      <c r="H6622" s="60">
        <v>1.0</v>
      </c>
      <c r="I6622" s="60">
        <v>5.156461</v>
      </c>
      <c r="J6622" s="59">
        <v>1.0</v>
      </c>
      <c r="K6622" s="61">
        <f t="shared" si="1"/>
        <v>0</v>
      </c>
      <c r="L6622" s="62">
        <f t="shared" si="2"/>
        <v>1</v>
      </c>
    </row>
    <row r="6623">
      <c r="A6623" s="58">
        <v>45658.0</v>
      </c>
      <c r="B6623" s="24" t="s">
        <v>155</v>
      </c>
      <c r="C6623" s="24" t="s">
        <v>6924</v>
      </c>
      <c r="D6623" s="59">
        <v>1.0</v>
      </c>
      <c r="E6623" s="59">
        <v>1.0</v>
      </c>
      <c r="F6623" s="59">
        <v>0.0</v>
      </c>
      <c r="G6623" s="60">
        <v>1.0</v>
      </c>
      <c r="H6623" s="60">
        <v>0.0</v>
      </c>
      <c r="I6623" s="60">
        <v>1066.407926</v>
      </c>
      <c r="J6623" s="59">
        <v>9.0</v>
      </c>
      <c r="K6623" s="61">
        <f t="shared" si="1"/>
        <v>0</v>
      </c>
      <c r="L6623" s="62">
        <f t="shared" si="2"/>
        <v>9</v>
      </c>
    </row>
    <row r="6624">
      <c r="A6624" s="58">
        <v>45658.0</v>
      </c>
      <c r="B6624" s="24" t="s">
        <v>155</v>
      </c>
      <c r="C6624" s="24" t="s">
        <v>6802</v>
      </c>
      <c r="D6624" s="59">
        <v>1.0</v>
      </c>
      <c r="E6624" s="59">
        <v>1.0</v>
      </c>
      <c r="F6624" s="59">
        <v>0.0</v>
      </c>
      <c r="G6624" s="60">
        <v>1.0</v>
      </c>
      <c r="H6624" s="60">
        <v>1.0</v>
      </c>
      <c r="I6624" s="60">
        <v>0.0</v>
      </c>
      <c r="J6624" s="59">
        <v>1.0</v>
      </c>
      <c r="K6624" s="61">
        <f t="shared" si="1"/>
        <v>0</v>
      </c>
      <c r="L6624" s="62">
        <f t="shared" si="2"/>
        <v>1</v>
      </c>
    </row>
    <row r="6625">
      <c r="A6625" s="58">
        <v>45627.0</v>
      </c>
      <c r="B6625" s="24" t="s">
        <v>6789</v>
      </c>
      <c r="C6625" s="24" t="s">
        <v>6788</v>
      </c>
      <c r="D6625" s="59">
        <v>802.0</v>
      </c>
      <c r="E6625" s="59">
        <v>1032.0</v>
      </c>
      <c r="F6625" s="59">
        <v>666.0</v>
      </c>
      <c r="G6625" s="60">
        <v>1.32307692307692</v>
      </c>
      <c r="H6625" s="60">
        <v>0.470930232558139</v>
      </c>
      <c r="I6625" s="60">
        <v>179.171662689922</v>
      </c>
      <c r="J6625" s="59">
        <v>1775.0</v>
      </c>
      <c r="K6625" s="61">
        <f t="shared" si="1"/>
        <v>0.6453488372</v>
      </c>
      <c r="L6625" s="62">
        <f t="shared" si="2"/>
        <v>1.71996124</v>
      </c>
    </row>
    <row r="6626">
      <c r="A6626" s="58">
        <v>45627.0</v>
      </c>
      <c r="B6626" s="24" t="s">
        <v>6787</v>
      </c>
      <c r="C6626" s="24" t="s">
        <v>6788</v>
      </c>
      <c r="D6626" s="59">
        <v>592.0</v>
      </c>
      <c r="E6626" s="59">
        <v>725.0</v>
      </c>
      <c r="F6626" s="59">
        <v>549.0</v>
      </c>
      <c r="G6626" s="60">
        <v>1.24784853700516</v>
      </c>
      <c r="H6626" s="60">
        <v>0.609655172413793</v>
      </c>
      <c r="I6626" s="60">
        <v>183.260584089655</v>
      </c>
      <c r="J6626" s="59">
        <v>1586.0</v>
      </c>
      <c r="K6626" s="61">
        <f t="shared" si="1"/>
        <v>0.7572413793</v>
      </c>
      <c r="L6626" s="62">
        <f t="shared" si="2"/>
        <v>2.187586207</v>
      </c>
    </row>
    <row r="6627">
      <c r="A6627" s="58">
        <v>45627.0</v>
      </c>
      <c r="B6627" s="24" t="s">
        <v>6789</v>
      </c>
      <c r="C6627" s="24" t="s">
        <v>6792</v>
      </c>
      <c r="D6627" s="59">
        <v>182.0</v>
      </c>
      <c r="E6627" s="59">
        <v>224.0</v>
      </c>
      <c r="F6627" s="59">
        <v>0.0</v>
      </c>
      <c r="G6627" s="60">
        <v>2.01801801801801</v>
      </c>
      <c r="H6627" s="60">
        <v>0.982142857142857</v>
      </c>
      <c r="I6627" s="60">
        <v>0.918188678571428</v>
      </c>
      <c r="J6627" s="59">
        <v>0.0</v>
      </c>
      <c r="K6627" s="61">
        <f t="shared" si="1"/>
        <v>0</v>
      </c>
      <c r="L6627" s="62">
        <f t="shared" si="2"/>
        <v>0</v>
      </c>
    </row>
    <row r="6628">
      <c r="A6628" s="58">
        <v>45627.0</v>
      </c>
      <c r="B6628" s="24" t="s">
        <v>155</v>
      </c>
      <c r="C6628" s="24" t="s">
        <v>6788</v>
      </c>
      <c r="D6628" s="59">
        <v>140.0</v>
      </c>
      <c r="E6628" s="59">
        <v>253.0</v>
      </c>
      <c r="F6628" s="59">
        <v>95.0</v>
      </c>
      <c r="G6628" s="60">
        <v>1.80714285714285</v>
      </c>
      <c r="H6628" s="60">
        <v>0.541501976284585</v>
      </c>
      <c r="I6628" s="60">
        <v>152.085651509881</v>
      </c>
      <c r="J6628" s="59">
        <v>424.0</v>
      </c>
      <c r="K6628" s="61">
        <f t="shared" si="1"/>
        <v>0.3754940711</v>
      </c>
      <c r="L6628" s="62">
        <f t="shared" si="2"/>
        <v>1.675889328</v>
      </c>
    </row>
    <row r="6629">
      <c r="A6629" s="58">
        <v>45627.0</v>
      </c>
      <c r="B6629" s="24" t="s">
        <v>6790</v>
      </c>
      <c r="C6629" s="24" t="s">
        <v>6788</v>
      </c>
      <c r="D6629" s="59">
        <v>111.0</v>
      </c>
      <c r="E6629" s="59">
        <v>118.0</v>
      </c>
      <c r="F6629" s="59">
        <v>108.0</v>
      </c>
      <c r="G6629" s="60">
        <v>1.06306306306306</v>
      </c>
      <c r="H6629" s="60">
        <v>0.949152542372881</v>
      </c>
      <c r="I6629" s="60">
        <v>7.25316440677966</v>
      </c>
      <c r="J6629" s="59">
        <v>121.0</v>
      </c>
      <c r="K6629" s="61">
        <f t="shared" si="1"/>
        <v>0.9152542373</v>
      </c>
      <c r="L6629" s="62">
        <f t="shared" si="2"/>
        <v>1.025423729</v>
      </c>
    </row>
    <row r="6630">
      <c r="A6630" s="58">
        <v>45627.0</v>
      </c>
      <c r="B6630" s="24" t="s">
        <v>6789</v>
      </c>
      <c r="C6630" s="24" t="s">
        <v>7068</v>
      </c>
      <c r="D6630" s="59">
        <v>111.0</v>
      </c>
      <c r="E6630" s="59">
        <v>116.0</v>
      </c>
      <c r="F6630" s="59">
        <v>105.0</v>
      </c>
      <c r="G6630" s="60">
        <v>1.06422018348623</v>
      </c>
      <c r="H6630" s="60">
        <v>0.448275862068965</v>
      </c>
      <c r="I6630" s="60">
        <v>121.218962172413</v>
      </c>
      <c r="J6630" s="59">
        <v>132.0</v>
      </c>
      <c r="K6630" s="61">
        <f t="shared" si="1"/>
        <v>0.9051724138</v>
      </c>
      <c r="L6630" s="62">
        <f t="shared" si="2"/>
        <v>1.137931034</v>
      </c>
    </row>
    <row r="6631">
      <c r="A6631" s="58">
        <v>45627.0</v>
      </c>
      <c r="B6631" s="24" t="s">
        <v>6794</v>
      </c>
      <c r="C6631" s="24" t="s">
        <v>6788</v>
      </c>
      <c r="D6631" s="59">
        <v>90.0</v>
      </c>
      <c r="E6631" s="59">
        <v>93.0</v>
      </c>
      <c r="F6631" s="59">
        <v>82.0</v>
      </c>
      <c r="G6631" s="60">
        <v>1.06896551724137</v>
      </c>
      <c r="H6631" s="60">
        <v>0.408602150537634</v>
      </c>
      <c r="I6631" s="60">
        <v>106.888621268817</v>
      </c>
      <c r="J6631" s="59">
        <v>129.0</v>
      </c>
      <c r="K6631" s="61">
        <f t="shared" si="1"/>
        <v>0.8817204301</v>
      </c>
      <c r="L6631" s="62">
        <f t="shared" si="2"/>
        <v>1.387096774</v>
      </c>
    </row>
    <row r="6632">
      <c r="A6632" s="58">
        <v>45627.0</v>
      </c>
      <c r="B6632" s="24" t="s">
        <v>6789</v>
      </c>
      <c r="C6632" s="24" t="s">
        <v>6799</v>
      </c>
      <c r="D6632" s="59">
        <v>51.0</v>
      </c>
      <c r="E6632" s="59">
        <v>59.0</v>
      </c>
      <c r="F6632" s="59">
        <v>34.0</v>
      </c>
      <c r="G6632" s="60">
        <v>1.18</v>
      </c>
      <c r="H6632" s="60">
        <v>0.440677966101694</v>
      </c>
      <c r="I6632" s="60">
        <v>156.430234050847</v>
      </c>
      <c r="J6632" s="59">
        <v>99.0</v>
      </c>
      <c r="K6632" s="61">
        <f t="shared" si="1"/>
        <v>0.5762711864</v>
      </c>
      <c r="L6632" s="62">
        <f t="shared" si="2"/>
        <v>1.677966102</v>
      </c>
    </row>
    <row r="6633">
      <c r="A6633" s="58">
        <v>45627.0</v>
      </c>
      <c r="B6633" s="24" t="s">
        <v>6787</v>
      </c>
      <c r="C6633" s="24" t="s">
        <v>6792</v>
      </c>
      <c r="D6633" s="59">
        <v>48.0</v>
      </c>
      <c r="E6633" s="59">
        <v>50.0</v>
      </c>
      <c r="F6633" s="59">
        <v>0.0</v>
      </c>
      <c r="G6633" s="60">
        <v>1.47058823529411</v>
      </c>
      <c r="H6633" s="60">
        <v>0.98</v>
      </c>
      <c r="I6633" s="60">
        <v>0.62138756</v>
      </c>
      <c r="J6633" s="59">
        <v>0.0</v>
      </c>
      <c r="K6633" s="61">
        <f t="shared" si="1"/>
        <v>0</v>
      </c>
      <c r="L6633" s="62">
        <f t="shared" si="2"/>
        <v>0</v>
      </c>
    </row>
    <row r="6634">
      <c r="A6634" s="58">
        <v>45627.0</v>
      </c>
      <c r="B6634" s="24" t="s">
        <v>6789</v>
      </c>
      <c r="C6634" s="24" t="s">
        <v>6815</v>
      </c>
      <c r="D6634" s="59">
        <v>33.0</v>
      </c>
      <c r="E6634" s="59">
        <v>34.0</v>
      </c>
      <c r="F6634" s="59">
        <v>29.0</v>
      </c>
      <c r="G6634" s="60">
        <v>1.03030303030303</v>
      </c>
      <c r="H6634" s="60">
        <v>0.264705882352941</v>
      </c>
      <c r="I6634" s="60">
        <v>146.946460647058</v>
      </c>
      <c r="J6634" s="59">
        <v>41.0</v>
      </c>
      <c r="K6634" s="61">
        <f t="shared" si="1"/>
        <v>0.8529411765</v>
      </c>
      <c r="L6634" s="62">
        <f t="shared" si="2"/>
        <v>1.205882353</v>
      </c>
    </row>
    <row r="6635">
      <c r="A6635" s="58">
        <v>45627.0</v>
      </c>
      <c r="B6635" s="24" t="s">
        <v>6789</v>
      </c>
      <c r="C6635" s="24" t="s">
        <v>6804</v>
      </c>
      <c r="D6635" s="59">
        <v>27.0</v>
      </c>
      <c r="E6635" s="59">
        <v>32.0</v>
      </c>
      <c r="F6635" s="59">
        <v>26.0</v>
      </c>
      <c r="G6635" s="60">
        <v>1.23076923076923</v>
      </c>
      <c r="H6635" s="60">
        <v>0.59375</v>
      </c>
      <c r="I6635" s="60">
        <v>62.4771688125</v>
      </c>
      <c r="J6635" s="59">
        <v>36.0</v>
      </c>
      <c r="K6635" s="61">
        <f t="shared" si="1"/>
        <v>0.8125</v>
      </c>
      <c r="L6635" s="62">
        <f t="shared" si="2"/>
        <v>1.125</v>
      </c>
    </row>
    <row r="6636">
      <c r="A6636" s="58">
        <v>45627.0</v>
      </c>
      <c r="B6636" s="24" t="s">
        <v>3216</v>
      </c>
      <c r="C6636" s="24" t="s">
        <v>7180</v>
      </c>
      <c r="D6636" s="59">
        <v>25.0</v>
      </c>
      <c r="E6636" s="59">
        <v>25.0</v>
      </c>
      <c r="F6636" s="59">
        <v>25.0</v>
      </c>
      <c r="G6636" s="60">
        <v>1.0</v>
      </c>
      <c r="H6636" s="60">
        <v>0.84</v>
      </c>
      <c r="I6636" s="60">
        <v>44.45009748</v>
      </c>
      <c r="J6636" s="59">
        <v>29.0</v>
      </c>
      <c r="K6636" s="61">
        <f t="shared" si="1"/>
        <v>1</v>
      </c>
      <c r="L6636" s="62">
        <f t="shared" si="2"/>
        <v>1.16</v>
      </c>
    </row>
    <row r="6637">
      <c r="A6637" s="58">
        <v>45627.0</v>
      </c>
      <c r="B6637" s="24" t="s">
        <v>6787</v>
      </c>
      <c r="C6637" s="24" t="s">
        <v>6800</v>
      </c>
      <c r="D6637" s="59">
        <v>19.0</v>
      </c>
      <c r="E6637" s="59">
        <v>19.0</v>
      </c>
      <c r="F6637" s="59">
        <v>18.0</v>
      </c>
      <c r="G6637" s="60">
        <v>1.0</v>
      </c>
      <c r="H6637" s="60">
        <v>0.736842105263157</v>
      </c>
      <c r="I6637" s="60">
        <v>96.5849715789473</v>
      </c>
      <c r="J6637" s="59">
        <v>61.0</v>
      </c>
      <c r="K6637" s="61">
        <f t="shared" si="1"/>
        <v>0.9473684211</v>
      </c>
      <c r="L6637" s="62">
        <f t="shared" si="2"/>
        <v>3.210526316</v>
      </c>
    </row>
    <row r="6638">
      <c r="A6638" s="58">
        <v>45627.0</v>
      </c>
      <c r="B6638" s="24" t="s">
        <v>6787</v>
      </c>
      <c r="C6638" s="24" t="s">
        <v>7174</v>
      </c>
      <c r="D6638" s="59">
        <v>19.0</v>
      </c>
      <c r="E6638" s="59">
        <v>19.0</v>
      </c>
      <c r="F6638" s="59">
        <v>19.0</v>
      </c>
      <c r="G6638" s="60">
        <v>1.0</v>
      </c>
      <c r="H6638" s="60">
        <v>1.0</v>
      </c>
      <c r="I6638" s="60">
        <v>0.0</v>
      </c>
      <c r="J6638" s="59">
        <v>19.0</v>
      </c>
      <c r="K6638" s="61">
        <f t="shared" si="1"/>
        <v>1</v>
      </c>
      <c r="L6638" s="62">
        <f t="shared" si="2"/>
        <v>1</v>
      </c>
    </row>
    <row r="6639">
      <c r="A6639" s="58">
        <v>45627.0</v>
      </c>
      <c r="B6639" s="24" t="s">
        <v>6789</v>
      </c>
      <c r="C6639" s="24" t="s">
        <v>6997</v>
      </c>
      <c r="D6639" s="59">
        <v>18.0</v>
      </c>
      <c r="E6639" s="59">
        <v>19.0</v>
      </c>
      <c r="F6639" s="59">
        <v>16.0</v>
      </c>
      <c r="G6639" s="60">
        <v>1.05555555555555</v>
      </c>
      <c r="H6639" s="60">
        <v>0.526315789473684</v>
      </c>
      <c r="I6639" s="60">
        <v>222.86241868421</v>
      </c>
      <c r="J6639" s="59">
        <v>22.0</v>
      </c>
      <c r="K6639" s="61">
        <f t="shared" si="1"/>
        <v>0.8421052632</v>
      </c>
      <c r="L6639" s="62">
        <f t="shared" si="2"/>
        <v>1.157894737</v>
      </c>
    </row>
    <row r="6640">
      <c r="A6640" s="58">
        <v>45627.0</v>
      </c>
      <c r="B6640" s="24" t="s">
        <v>6787</v>
      </c>
      <c r="C6640" s="24" t="s">
        <v>6822</v>
      </c>
      <c r="D6640" s="59">
        <v>17.0</v>
      </c>
      <c r="E6640" s="59">
        <v>17.0</v>
      </c>
      <c r="F6640" s="59">
        <v>16.0</v>
      </c>
      <c r="G6640" s="60">
        <v>1.0</v>
      </c>
      <c r="H6640" s="60">
        <v>0.88235294117647</v>
      </c>
      <c r="I6640" s="60">
        <v>221.876952588235</v>
      </c>
      <c r="J6640" s="59">
        <v>93.0</v>
      </c>
      <c r="K6640" s="61">
        <f t="shared" si="1"/>
        <v>0.9411764706</v>
      </c>
      <c r="L6640" s="62">
        <f t="shared" si="2"/>
        <v>5.470588235</v>
      </c>
    </row>
    <row r="6641">
      <c r="A6641" s="58">
        <v>45627.0</v>
      </c>
      <c r="B6641" s="24" t="s">
        <v>3216</v>
      </c>
      <c r="C6641" s="24" t="s">
        <v>7190</v>
      </c>
      <c r="D6641" s="59">
        <v>17.0</v>
      </c>
      <c r="E6641" s="59">
        <v>17.0</v>
      </c>
      <c r="F6641" s="59">
        <v>17.0</v>
      </c>
      <c r="G6641" s="60">
        <v>1.0</v>
      </c>
      <c r="H6641" s="60">
        <v>1.0</v>
      </c>
      <c r="I6641" s="60">
        <v>0.0</v>
      </c>
      <c r="J6641" s="59">
        <v>17.0</v>
      </c>
      <c r="K6641" s="61">
        <f t="shared" si="1"/>
        <v>1</v>
      </c>
      <c r="L6641" s="62">
        <f t="shared" si="2"/>
        <v>1</v>
      </c>
    </row>
    <row r="6642">
      <c r="A6642" s="58">
        <v>45627.0</v>
      </c>
      <c r="B6642" s="24" t="s">
        <v>7100</v>
      </c>
      <c r="C6642" s="24" t="s">
        <v>7106</v>
      </c>
      <c r="D6642" s="59">
        <v>17.0</v>
      </c>
      <c r="E6642" s="59">
        <v>19.0</v>
      </c>
      <c r="F6642" s="59">
        <v>16.0</v>
      </c>
      <c r="G6642" s="60">
        <v>1.11764705882352</v>
      </c>
      <c r="H6642" s="60">
        <v>0.789473684210526</v>
      </c>
      <c r="I6642" s="60">
        <v>4.74768526315789</v>
      </c>
      <c r="J6642" s="59">
        <v>20.0</v>
      </c>
      <c r="K6642" s="61">
        <f t="shared" si="1"/>
        <v>0.8421052632</v>
      </c>
      <c r="L6642" s="62">
        <f t="shared" si="2"/>
        <v>1.052631579</v>
      </c>
    </row>
    <row r="6643">
      <c r="A6643" s="58">
        <v>45627.0</v>
      </c>
      <c r="B6643" s="24" t="s">
        <v>6787</v>
      </c>
      <c r="C6643" s="24" t="s">
        <v>6896</v>
      </c>
      <c r="D6643" s="59">
        <v>16.0</v>
      </c>
      <c r="E6643" s="59">
        <v>17.0</v>
      </c>
      <c r="F6643" s="59">
        <v>14.0</v>
      </c>
      <c r="G6643" s="60">
        <v>1.0625</v>
      </c>
      <c r="H6643" s="60">
        <v>0.705882352941176</v>
      </c>
      <c r="I6643" s="60">
        <v>275.800243529411</v>
      </c>
      <c r="J6643" s="59">
        <v>31.0</v>
      </c>
      <c r="K6643" s="61">
        <f t="shared" si="1"/>
        <v>0.8235294118</v>
      </c>
      <c r="L6643" s="62">
        <f t="shared" si="2"/>
        <v>1.823529412</v>
      </c>
    </row>
    <row r="6644">
      <c r="A6644" s="58">
        <v>45627.0</v>
      </c>
      <c r="B6644" s="24" t="s">
        <v>3216</v>
      </c>
      <c r="C6644" s="24" t="s">
        <v>7088</v>
      </c>
      <c r="D6644" s="59">
        <v>16.0</v>
      </c>
      <c r="E6644" s="59">
        <v>16.0</v>
      </c>
      <c r="F6644" s="59">
        <v>16.0</v>
      </c>
      <c r="G6644" s="60">
        <v>1.0</v>
      </c>
      <c r="H6644" s="60">
        <v>1.0</v>
      </c>
      <c r="I6644" s="60">
        <v>0.0</v>
      </c>
      <c r="J6644" s="59">
        <v>16.0</v>
      </c>
      <c r="K6644" s="61">
        <f t="shared" si="1"/>
        <v>1</v>
      </c>
      <c r="L6644" s="62">
        <f t="shared" si="2"/>
        <v>1</v>
      </c>
    </row>
    <row r="6645">
      <c r="A6645" s="58">
        <v>45627.0</v>
      </c>
      <c r="B6645" s="24" t="s">
        <v>6787</v>
      </c>
      <c r="C6645" s="24" t="s">
        <v>7044</v>
      </c>
      <c r="D6645" s="59">
        <v>16.0</v>
      </c>
      <c r="E6645" s="59">
        <v>16.0</v>
      </c>
      <c r="F6645" s="59">
        <v>16.0</v>
      </c>
      <c r="G6645" s="60">
        <v>1.0</v>
      </c>
      <c r="H6645" s="60">
        <v>1.0</v>
      </c>
      <c r="I6645" s="60">
        <v>0.0</v>
      </c>
      <c r="J6645" s="59">
        <v>16.0</v>
      </c>
      <c r="K6645" s="61">
        <f t="shared" si="1"/>
        <v>1</v>
      </c>
      <c r="L6645" s="62">
        <f t="shared" si="2"/>
        <v>1</v>
      </c>
    </row>
    <row r="6646">
      <c r="A6646" s="58">
        <v>45627.0</v>
      </c>
      <c r="B6646" s="24" t="s">
        <v>6787</v>
      </c>
      <c r="C6646" s="24" t="s">
        <v>6910</v>
      </c>
      <c r="D6646" s="59">
        <v>16.0</v>
      </c>
      <c r="E6646" s="59">
        <v>16.0</v>
      </c>
      <c r="F6646" s="59">
        <v>16.0</v>
      </c>
      <c r="G6646" s="60">
        <v>1.0</v>
      </c>
      <c r="H6646" s="60">
        <v>0.9375</v>
      </c>
      <c r="I6646" s="60">
        <v>1.3122196875</v>
      </c>
      <c r="J6646" s="59">
        <v>17.0</v>
      </c>
      <c r="K6646" s="61">
        <f t="shared" si="1"/>
        <v>1</v>
      </c>
      <c r="L6646" s="62">
        <f t="shared" si="2"/>
        <v>1.0625</v>
      </c>
    </row>
    <row r="6647">
      <c r="A6647" s="58">
        <v>45627.0</v>
      </c>
      <c r="B6647" s="24" t="s">
        <v>6787</v>
      </c>
      <c r="C6647" s="24" t="s">
        <v>6801</v>
      </c>
      <c r="D6647" s="59">
        <v>15.0</v>
      </c>
      <c r="E6647" s="59">
        <v>16.0</v>
      </c>
      <c r="F6647" s="59">
        <v>15.0</v>
      </c>
      <c r="G6647" s="60">
        <v>1.06666666666666</v>
      </c>
      <c r="H6647" s="60">
        <v>0.9375</v>
      </c>
      <c r="I6647" s="60">
        <v>42.81469625</v>
      </c>
      <c r="J6647" s="59">
        <v>19.0</v>
      </c>
      <c r="K6647" s="61">
        <f t="shared" si="1"/>
        <v>0.9375</v>
      </c>
      <c r="L6647" s="62">
        <f t="shared" si="2"/>
        <v>1.1875</v>
      </c>
    </row>
    <row r="6648">
      <c r="A6648" s="58">
        <v>45627.0</v>
      </c>
      <c r="B6648" s="24" t="s">
        <v>6787</v>
      </c>
      <c r="C6648" s="24" t="s">
        <v>6810</v>
      </c>
      <c r="D6648" s="59">
        <v>15.0</v>
      </c>
      <c r="E6648" s="59">
        <v>15.0</v>
      </c>
      <c r="F6648" s="59">
        <v>15.0</v>
      </c>
      <c r="G6648" s="60">
        <v>1.0</v>
      </c>
      <c r="H6648" s="60">
        <v>0.466666666666666</v>
      </c>
      <c r="I6648" s="60">
        <v>55.2950643333333</v>
      </c>
      <c r="J6648" s="59">
        <v>21.0</v>
      </c>
      <c r="K6648" s="61">
        <f t="shared" si="1"/>
        <v>1</v>
      </c>
      <c r="L6648" s="62">
        <f t="shared" si="2"/>
        <v>1.4</v>
      </c>
    </row>
    <row r="6649">
      <c r="A6649" s="58">
        <v>45627.0</v>
      </c>
      <c r="B6649" s="24" t="s">
        <v>6789</v>
      </c>
      <c r="C6649" s="24" t="s">
        <v>6802</v>
      </c>
      <c r="D6649" s="59">
        <v>15.0</v>
      </c>
      <c r="E6649" s="59">
        <v>28.0</v>
      </c>
      <c r="F6649" s="59">
        <v>4.0</v>
      </c>
      <c r="G6649" s="60">
        <v>2.33333333333333</v>
      </c>
      <c r="H6649" s="60">
        <v>0.678571428571428</v>
      </c>
      <c r="I6649" s="60">
        <v>167.904559071428</v>
      </c>
      <c r="J6649" s="59">
        <v>41.0</v>
      </c>
      <c r="K6649" s="61">
        <f t="shared" si="1"/>
        <v>0.1428571429</v>
      </c>
      <c r="L6649" s="62">
        <f t="shared" si="2"/>
        <v>1.464285714</v>
      </c>
    </row>
    <row r="6650">
      <c r="A6650" s="58">
        <v>45627.0</v>
      </c>
      <c r="B6650" s="24" t="s">
        <v>6789</v>
      </c>
      <c r="C6650" s="24" t="s">
        <v>7024</v>
      </c>
      <c r="D6650" s="59">
        <v>14.0</v>
      </c>
      <c r="E6650" s="59">
        <v>14.0</v>
      </c>
      <c r="F6650" s="59">
        <v>14.0</v>
      </c>
      <c r="G6650" s="60">
        <v>1.0</v>
      </c>
      <c r="H6650" s="60">
        <v>0.5</v>
      </c>
      <c r="I6650" s="60">
        <v>212.688372071428</v>
      </c>
      <c r="J6650" s="59">
        <v>14.0</v>
      </c>
      <c r="K6650" s="61">
        <f t="shared" si="1"/>
        <v>1</v>
      </c>
      <c r="L6650" s="62">
        <f t="shared" si="2"/>
        <v>1</v>
      </c>
    </row>
    <row r="6651">
      <c r="A6651" s="58">
        <v>45627.0</v>
      </c>
      <c r="B6651" s="24" t="s">
        <v>6789</v>
      </c>
      <c r="C6651" s="24" t="s">
        <v>6989</v>
      </c>
      <c r="D6651" s="59">
        <v>14.0</v>
      </c>
      <c r="E6651" s="59">
        <v>15.0</v>
      </c>
      <c r="F6651" s="59">
        <v>14.0</v>
      </c>
      <c r="G6651" s="60">
        <v>1.07142857142857</v>
      </c>
      <c r="H6651" s="60">
        <v>0.533333333333333</v>
      </c>
      <c r="I6651" s="60">
        <v>57.4050811333333</v>
      </c>
      <c r="J6651" s="59">
        <v>16.0</v>
      </c>
      <c r="K6651" s="61">
        <f t="shared" si="1"/>
        <v>0.9333333333</v>
      </c>
      <c r="L6651" s="62">
        <f t="shared" si="2"/>
        <v>1.066666667</v>
      </c>
    </row>
    <row r="6652">
      <c r="A6652" s="58">
        <v>45627.0</v>
      </c>
      <c r="B6652" s="24" t="s">
        <v>6789</v>
      </c>
      <c r="C6652" s="24" t="s">
        <v>6882</v>
      </c>
      <c r="D6652" s="59">
        <v>14.0</v>
      </c>
      <c r="E6652" s="59">
        <v>17.0</v>
      </c>
      <c r="F6652" s="59">
        <v>14.0</v>
      </c>
      <c r="G6652" s="60">
        <v>1.21428571428571</v>
      </c>
      <c r="H6652" s="60">
        <v>0.352941176470588</v>
      </c>
      <c r="I6652" s="60">
        <v>91.7329856470588</v>
      </c>
      <c r="J6652" s="59">
        <v>24.0</v>
      </c>
      <c r="K6652" s="61">
        <f t="shared" si="1"/>
        <v>0.8235294118</v>
      </c>
      <c r="L6652" s="62">
        <f t="shared" si="2"/>
        <v>1.411764706</v>
      </c>
    </row>
    <row r="6653">
      <c r="A6653" s="58">
        <v>45627.0</v>
      </c>
      <c r="B6653" s="24" t="s">
        <v>6789</v>
      </c>
      <c r="C6653" s="24" t="s">
        <v>6808</v>
      </c>
      <c r="D6653" s="59">
        <v>14.0</v>
      </c>
      <c r="E6653" s="59">
        <v>14.0</v>
      </c>
      <c r="F6653" s="59">
        <v>8.0</v>
      </c>
      <c r="G6653" s="60">
        <v>1.07692307692307</v>
      </c>
      <c r="H6653" s="60">
        <v>0.5</v>
      </c>
      <c r="I6653" s="60">
        <v>117.054997142857</v>
      </c>
      <c r="J6653" s="59">
        <v>25.0</v>
      </c>
      <c r="K6653" s="61">
        <f t="shared" si="1"/>
        <v>0.5714285714</v>
      </c>
      <c r="L6653" s="62">
        <f t="shared" si="2"/>
        <v>1.785714286</v>
      </c>
    </row>
    <row r="6654">
      <c r="A6654" s="58">
        <v>45627.0</v>
      </c>
      <c r="B6654" s="24" t="s">
        <v>155</v>
      </c>
      <c r="C6654" s="24" t="s">
        <v>6792</v>
      </c>
      <c r="D6654" s="59">
        <v>13.0</v>
      </c>
      <c r="E6654" s="59">
        <v>14.0</v>
      </c>
      <c r="F6654" s="59">
        <v>0.0</v>
      </c>
      <c r="G6654" s="60">
        <v>1.55555555555555</v>
      </c>
      <c r="H6654" s="60">
        <v>0.928571428571428</v>
      </c>
      <c r="I6654" s="60">
        <v>74.0145307142857</v>
      </c>
      <c r="J6654" s="59">
        <v>0.0</v>
      </c>
      <c r="K6654" s="61">
        <f t="shared" si="1"/>
        <v>0</v>
      </c>
      <c r="L6654" s="62">
        <f t="shared" si="2"/>
        <v>0</v>
      </c>
    </row>
    <row r="6655">
      <c r="A6655" s="58">
        <v>45627.0</v>
      </c>
      <c r="B6655" s="24" t="s">
        <v>6789</v>
      </c>
      <c r="C6655" s="24" t="s">
        <v>6910</v>
      </c>
      <c r="D6655" s="59">
        <v>12.0</v>
      </c>
      <c r="E6655" s="59">
        <v>13.0</v>
      </c>
      <c r="F6655" s="59">
        <v>7.0</v>
      </c>
      <c r="G6655" s="60">
        <v>1.3</v>
      </c>
      <c r="H6655" s="60">
        <v>0.23076923076923</v>
      </c>
      <c r="I6655" s="60">
        <v>160.895643384615</v>
      </c>
      <c r="J6655" s="59">
        <v>21.0</v>
      </c>
      <c r="K6655" s="61">
        <f t="shared" si="1"/>
        <v>0.5384615385</v>
      </c>
      <c r="L6655" s="62">
        <f t="shared" si="2"/>
        <v>1.615384615</v>
      </c>
    </row>
    <row r="6656">
      <c r="A6656" s="58">
        <v>45627.0</v>
      </c>
      <c r="B6656" s="24" t="s">
        <v>6789</v>
      </c>
      <c r="C6656" s="24" t="s">
        <v>6829</v>
      </c>
      <c r="D6656" s="59">
        <v>11.0</v>
      </c>
      <c r="E6656" s="59">
        <v>15.0</v>
      </c>
      <c r="F6656" s="59">
        <v>11.0</v>
      </c>
      <c r="G6656" s="60">
        <v>1.36363636363636</v>
      </c>
      <c r="H6656" s="60">
        <v>0.6</v>
      </c>
      <c r="I6656" s="60">
        <v>181.887302066666</v>
      </c>
      <c r="J6656" s="59">
        <v>16.0</v>
      </c>
      <c r="K6656" s="61">
        <f t="shared" si="1"/>
        <v>0.7333333333</v>
      </c>
      <c r="L6656" s="62">
        <f t="shared" si="2"/>
        <v>1.066666667</v>
      </c>
    </row>
    <row r="6657">
      <c r="A6657" s="58">
        <v>45627.0</v>
      </c>
      <c r="B6657" s="24" t="s">
        <v>6787</v>
      </c>
      <c r="C6657" s="24" t="s">
        <v>6815</v>
      </c>
      <c r="D6657" s="59">
        <v>11.0</v>
      </c>
      <c r="E6657" s="59">
        <v>11.0</v>
      </c>
      <c r="F6657" s="59">
        <v>11.0</v>
      </c>
      <c r="G6657" s="60">
        <v>1.0</v>
      </c>
      <c r="H6657" s="60">
        <v>0.727272727272727</v>
      </c>
      <c r="I6657" s="60">
        <v>15.0857749090909</v>
      </c>
      <c r="J6657" s="59">
        <v>20.0</v>
      </c>
      <c r="K6657" s="61">
        <f t="shared" si="1"/>
        <v>1</v>
      </c>
      <c r="L6657" s="62">
        <f t="shared" si="2"/>
        <v>1.818181818</v>
      </c>
    </row>
    <row r="6658">
      <c r="A6658" s="58">
        <v>45627.0</v>
      </c>
      <c r="B6658" s="24" t="s">
        <v>6787</v>
      </c>
      <c r="C6658" s="24" t="s">
        <v>6797</v>
      </c>
      <c r="D6658" s="59">
        <v>11.0</v>
      </c>
      <c r="E6658" s="59">
        <v>11.0</v>
      </c>
      <c r="F6658" s="59">
        <v>10.0</v>
      </c>
      <c r="G6658" s="60">
        <v>1.0</v>
      </c>
      <c r="H6658" s="60">
        <v>0.727272727272727</v>
      </c>
      <c r="I6658" s="60">
        <v>252.15453090909</v>
      </c>
      <c r="J6658" s="59">
        <v>19.0</v>
      </c>
      <c r="K6658" s="61">
        <f t="shared" si="1"/>
        <v>0.9090909091</v>
      </c>
      <c r="L6658" s="62">
        <f t="shared" si="2"/>
        <v>1.727272727</v>
      </c>
    </row>
    <row r="6659">
      <c r="A6659" s="58">
        <v>45627.0</v>
      </c>
      <c r="B6659" s="24" t="s">
        <v>6787</v>
      </c>
      <c r="C6659" s="24" t="s">
        <v>6931</v>
      </c>
      <c r="D6659" s="59">
        <v>11.0</v>
      </c>
      <c r="E6659" s="59">
        <v>11.0</v>
      </c>
      <c r="F6659" s="59">
        <v>11.0</v>
      </c>
      <c r="G6659" s="60">
        <v>1.0</v>
      </c>
      <c r="H6659" s="60">
        <v>0.727272727272727</v>
      </c>
      <c r="I6659" s="60">
        <v>3.55994754545454</v>
      </c>
      <c r="J6659" s="59">
        <v>18.0</v>
      </c>
      <c r="K6659" s="61">
        <f t="shared" si="1"/>
        <v>1</v>
      </c>
      <c r="L6659" s="62">
        <f t="shared" si="2"/>
        <v>1.636363636</v>
      </c>
    </row>
    <row r="6660">
      <c r="A6660" s="58">
        <v>45627.0</v>
      </c>
      <c r="B6660" s="24" t="s">
        <v>6787</v>
      </c>
      <c r="C6660" s="24" t="s">
        <v>6799</v>
      </c>
      <c r="D6660" s="59">
        <v>10.0</v>
      </c>
      <c r="E6660" s="59">
        <v>11.0</v>
      </c>
      <c r="F6660" s="59">
        <v>10.0</v>
      </c>
      <c r="G6660" s="60">
        <v>1.1</v>
      </c>
      <c r="H6660" s="60">
        <v>0.545454545454545</v>
      </c>
      <c r="I6660" s="60">
        <v>157.562365181818</v>
      </c>
      <c r="J6660" s="59">
        <v>15.0</v>
      </c>
      <c r="K6660" s="61">
        <f t="shared" si="1"/>
        <v>0.9090909091</v>
      </c>
      <c r="L6660" s="62">
        <f t="shared" si="2"/>
        <v>1.363636364</v>
      </c>
    </row>
    <row r="6661">
      <c r="A6661" s="58">
        <v>45627.0</v>
      </c>
      <c r="B6661" s="24" t="s">
        <v>155</v>
      </c>
      <c r="C6661" s="24" t="s">
        <v>6800</v>
      </c>
      <c r="D6661" s="59">
        <v>10.0</v>
      </c>
      <c r="E6661" s="59">
        <v>10.0</v>
      </c>
      <c r="F6661" s="59">
        <v>10.0</v>
      </c>
      <c r="G6661" s="60">
        <v>1.0</v>
      </c>
      <c r="H6661" s="60">
        <v>0.0</v>
      </c>
      <c r="I6661" s="60">
        <v>39.0405457</v>
      </c>
      <c r="J6661" s="59">
        <v>20.0</v>
      </c>
      <c r="K6661" s="61">
        <f t="shared" si="1"/>
        <v>1</v>
      </c>
      <c r="L6661" s="62">
        <f t="shared" si="2"/>
        <v>2</v>
      </c>
    </row>
    <row r="6662">
      <c r="A6662" s="58">
        <v>45627.0</v>
      </c>
      <c r="B6662" s="24" t="s">
        <v>6787</v>
      </c>
      <c r="C6662" s="24" t="s">
        <v>7172</v>
      </c>
      <c r="D6662" s="59">
        <v>10.0</v>
      </c>
      <c r="E6662" s="59">
        <v>10.0</v>
      </c>
      <c r="F6662" s="59">
        <v>10.0</v>
      </c>
      <c r="G6662" s="60">
        <v>1.0</v>
      </c>
      <c r="H6662" s="60">
        <v>1.0</v>
      </c>
      <c r="I6662" s="60">
        <v>0.0</v>
      </c>
      <c r="J6662" s="59">
        <v>10.0</v>
      </c>
      <c r="K6662" s="61">
        <f t="shared" si="1"/>
        <v>1</v>
      </c>
      <c r="L6662" s="62">
        <f t="shared" si="2"/>
        <v>1</v>
      </c>
    </row>
    <row r="6663">
      <c r="A6663" s="58">
        <v>45627.0</v>
      </c>
      <c r="B6663" s="24" t="s">
        <v>6794</v>
      </c>
      <c r="C6663" s="24" t="s">
        <v>7106</v>
      </c>
      <c r="D6663" s="59">
        <v>10.0</v>
      </c>
      <c r="E6663" s="59">
        <v>10.0</v>
      </c>
      <c r="F6663" s="59">
        <v>8.0</v>
      </c>
      <c r="G6663" s="60">
        <v>1.0</v>
      </c>
      <c r="H6663" s="60">
        <v>0.5</v>
      </c>
      <c r="I6663" s="60">
        <v>106.1850657</v>
      </c>
      <c r="J6663" s="59">
        <v>11.0</v>
      </c>
      <c r="K6663" s="61">
        <f t="shared" si="1"/>
        <v>0.8</v>
      </c>
      <c r="L6663" s="62">
        <f t="shared" si="2"/>
        <v>1.1</v>
      </c>
    </row>
    <row r="6664">
      <c r="A6664" s="58">
        <v>45627.0</v>
      </c>
      <c r="B6664" s="24" t="s">
        <v>6789</v>
      </c>
      <c r="C6664" s="24" t="s">
        <v>6841</v>
      </c>
      <c r="D6664" s="59">
        <v>9.0</v>
      </c>
      <c r="E6664" s="59">
        <v>11.0</v>
      </c>
      <c r="F6664" s="59">
        <v>8.0</v>
      </c>
      <c r="G6664" s="60">
        <v>1.375</v>
      </c>
      <c r="H6664" s="60">
        <v>0.545454545454545</v>
      </c>
      <c r="I6664" s="60">
        <v>46.8133804545454</v>
      </c>
      <c r="J6664" s="59">
        <v>11.0</v>
      </c>
      <c r="K6664" s="61">
        <f t="shared" si="1"/>
        <v>0.7272727273</v>
      </c>
      <c r="L6664" s="62">
        <f t="shared" si="2"/>
        <v>1</v>
      </c>
    </row>
    <row r="6665">
      <c r="A6665" s="58">
        <v>45627.0</v>
      </c>
      <c r="B6665" s="24" t="s">
        <v>6787</v>
      </c>
      <c r="C6665" s="24" t="s">
        <v>6904</v>
      </c>
      <c r="D6665" s="59">
        <v>9.0</v>
      </c>
      <c r="E6665" s="59">
        <v>9.0</v>
      </c>
      <c r="F6665" s="59">
        <v>9.0</v>
      </c>
      <c r="G6665" s="60">
        <v>1.0</v>
      </c>
      <c r="H6665" s="60">
        <v>0.555555555555555</v>
      </c>
      <c r="I6665" s="60">
        <v>64.1618095555555</v>
      </c>
      <c r="J6665" s="59">
        <v>12.0</v>
      </c>
      <c r="K6665" s="61">
        <f t="shared" si="1"/>
        <v>1</v>
      </c>
      <c r="L6665" s="62">
        <f t="shared" si="2"/>
        <v>1.333333333</v>
      </c>
    </row>
    <row r="6666">
      <c r="A6666" s="58">
        <v>45627.0</v>
      </c>
      <c r="B6666" s="24" t="s">
        <v>3216</v>
      </c>
      <c r="C6666" s="24" t="s">
        <v>7090</v>
      </c>
      <c r="D6666" s="59">
        <v>9.0</v>
      </c>
      <c r="E6666" s="59">
        <v>9.0</v>
      </c>
      <c r="F6666" s="59">
        <v>8.0</v>
      </c>
      <c r="G6666" s="60">
        <v>1.0</v>
      </c>
      <c r="H6666" s="60">
        <v>0.777777777777777</v>
      </c>
      <c r="I6666" s="60">
        <v>6.67597877777777</v>
      </c>
      <c r="J6666" s="59">
        <v>9.0</v>
      </c>
      <c r="K6666" s="61">
        <f t="shared" si="1"/>
        <v>0.8888888889</v>
      </c>
      <c r="L6666" s="62">
        <f t="shared" si="2"/>
        <v>1</v>
      </c>
    </row>
    <row r="6667">
      <c r="A6667" s="58">
        <v>45627.0</v>
      </c>
      <c r="B6667" s="24" t="s">
        <v>6787</v>
      </c>
      <c r="C6667" s="24" t="s">
        <v>7106</v>
      </c>
      <c r="D6667" s="59">
        <v>9.0</v>
      </c>
      <c r="E6667" s="59">
        <v>10.0</v>
      </c>
      <c r="F6667" s="59">
        <v>6.0</v>
      </c>
      <c r="G6667" s="60">
        <v>1.25</v>
      </c>
      <c r="H6667" s="60">
        <v>0.4</v>
      </c>
      <c r="I6667" s="60">
        <v>362.851827</v>
      </c>
      <c r="J6667" s="59">
        <v>15.0</v>
      </c>
      <c r="K6667" s="61">
        <f t="shared" si="1"/>
        <v>0.6</v>
      </c>
      <c r="L6667" s="62">
        <f t="shared" si="2"/>
        <v>1.5</v>
      </c>
    </row>
    <row r="6668">
      <c r="A6668" s="58">
        <v>45627.0</v>
      </c>
      <c r="B6668" s="24" t="s">
        <v>6789</v>
      </c>
      <c r="C6668" s="24" t="s">
        <v>6803</v>
      </c>
      <c r="D6668" s="59">
        <v>8.0</v>
      </c>
      <c r="E6668" s="59">
        <v>8.0</v>
      </c>
      <c r="F6668" s="59">
        <v>7.0</v>
      </c>
      <c r="G6668" s="60">
        <v>1.0</v>
      </c>
      <c r="H6668" s="60">
        <v>0.25</v>
      </c>
      <c r="I6668" s="60">
        <v>419.204064375</v>
      </c>
      <c r="J6668" s="59">
        <v>17.0</v>
      </c>
      <c r="K6668" s="61">
        <f t="shared" si="1"/>
        <v>0.875</v>
      </c>
      <c r="L6668" s="62">
        <f t="shared" si="2"/>
        <v>2.125</v>
      </c>
    </row>
    <row r="6669">
      <c r="A6669" s="58">
        <v>45627.0</v>
      </c>
      <c r="B6669" s="24" t="s">
        <v>6787</v>
      </c>
      <c r="C6669" s="24" t="s">
        <v>6817</v>
      </c>
      <c r="D6669" s="59">
        <v>8.0</v>
      </c>
      <c r="E6669" s="59">
        <v>11.0</v>
      </c>
      <c r="F6669" s="59">
        <v>6.0</v>
      </c>
      <c r="G6669" s="60">
        <v>1.375</v>
      </c>
      <c r="H6669" s="60">
        <v>0.636363636363636</v>
      </c>
      <c r="I6669" s="60">
        <v>594.965690363636</v>
      </c>
      <c r="J6669" s="59">
        <v>34.0</v>
      </c>
      <c r="K6669" s="61">
        <f t="shared" si="1"/>
        <v>0.5454545455</v>
      </c>
      <c r="L6669" s="62">
        <f t="shared" si="2"/>
        <v>3.090909091</v>
      </c>
    </row>
    <row r="6670">
      <c r="A6670" s="58">
        <v>45627.0</v>
      </c>
      <c r="B6670" s="24" t="s">
        <v>6789</v>
      </c>
      <c r="C6670" s="24" t="s">
        <v>7055</v>
      </c>
      <c r="D6670" s="59">
        <v>8.0</v>
      </c>
      <c r="E6670" s="59">
        <v>9.0</v>
      </c>
      <c r="F6670" s="59">
        <v>6.0</v>
      </c>
      <c r="G6670" s="60">
        <v>1.125</v>
      </c>
      <c r="H6670" s="60">
        <v>0.333333333333333</v>
      </c>
      <c r="I6670" s="60">
        <v>145.412489111111</v>
      </c>
      <c r="J6670" s="59">
        <v>19.0</v>
      </c>
      <c r="K6670" s="61">
        <f t="shared" si="1"/>
        <v>0.6666666667</v>
      </c>
      <c r="L6670" s="62">
        <f t="shared" si="2"/>
        <v>2.111111111</v>
      </c>
    </row>
    <row r="6671">
      <c r="A6671" s="58">
        <v>45627.0</v>
      </c>
      <c r="B6671" s="24" t="s">
        <v>6789</v>
      </c>
      <c r="C6671" s="24" t="s">
        <v>6835</v>
      </c>
      <c r="D6671" s="59">
        <v>8.0</v>
      </c>
      <c r="E6671" s="59">
        <v>8.0</v>
      </c>
      <c r="F6671" s="59">
        <v>7.0</v>
      </c>
      <c r="G6671" s="60">
        <v>1.0</v>
      </c>
      <c r="H6671" s="60">
        <v>0.125</v>
      </c>
      <c r="I6671" s="60">
        <v>400.763827875</v>
      </c>
      <c r="J6671" s="59">
        <v>8.0</v>
      </c>
      <c r="K6671" s="61">
        <f t="shared" si="1"/>
        <v>0.875</v>
      </c>
      <c r="L6671" s="62">
        <f t="shared" si="2"/>
        <v>1</v>
      </c>
    </row>
    <row r="6672">
      <c r="A6672" s="58">
        <v>45627.0</v>
      </c>
      <c r="B6672" s="24" t="s">
        <v>6787</v>
      </c>
      <c r="C6672" s="24" t="s">
        <v>7129</v>
      </c>
      <c r="D6672" s="59">
        <v>8.0</v>
      </c>
      <c r="E6672" s="59">
        <v>8.0</v>
      </c>
      <c r="F6672" s="59">
        <v>8.0</v>
      </c>
      <c r="G6672" s="60">
        <v>1.0</v>
      </c>
      <c r="H6672" s="60">
        <v>0.25</v>
      </c>
      <c r="I6672" s="60">
        <v>21.925333625</v>
      </c>
      <c r="J6672" s="59">
        <v>14.0</v>
      </c>
      <c r="K6672" s="61">
        <f t="shared" si="1"/>
        <v>1</v>
      </c>
      <c r="L6672" s="62">
        <f t="shared" si="2"/>
        <v>1.75</v>
      </c>
    </row>
    <row r="6673">
      <c r="A6673" s="58">
        <v>45627.0</v>
      </c>
      <c r="B6673" s="24" t="s">
        <v>6789</v>
      </c>
      <c r="C6673" s="24" t="s">
        <v>6811</v>
      </c>
      <c r="D6673" s="59">
        <v>8.0</v>
      </c>
      <c r="E6673" s="59">
        <v>9.0</v>
      </c>
      <c r="F6673" s="59">
        <v>7.0</v>
      </c>
      <c r="G6673" s="60">
        <v>1.125</v>
      </c>
      <c r="H6673" s="60">
        <v>0.666666666666666</v>
      </c>
      <c r="I6673" s="60">
        <v>68.5276315555555</v>
      </c>
      <c r="J6673" s="59">
        <v>14.0</v>
      </c>
      <c r="K6673" s="61">
        <f t="shared" si="1"/>
        <v>0.7777777778</v>
      </c>
      <c r="L6673" s="62">
        <f t="shared" si="2"/>
        <v>1.555555556</v>
      </c>
    </row>
    <row r="6674">
      <c r="A6674" s="58">
        <v>45627.0</v>
      </c>
      <c r="B6674" s="24" t="s">
        <v>6789</v>
      </c>
      <c r="C6674" s="24" t="s">
        <v>6840</v>
      </c>
      <c r="D6674" s="59">
        <v>7.0</v>
      </c>
      <c r="E6674" s="59">
        <v>7.0</v>
      </c>
      <c r="F6674" s="59">
        <v>7.0</v>
      </c>
      <c r="G6674" s="60">
        <v>1.0</v>
      </c>
      <c r="H6674" s="60">
        <v>0.428571428571428</v>
      </c>
      <c r="I6674" s="60">
        <v>35.6736567142857</v>
      </c>
      <c r="J6674" s="59">
        <v>11.0</v>
      </c>
      <c r="K6674" s="61">
        <f t="shared" si="1"/>
        <v>1</v>
      </c>
      <c r="L6674" s="62">
        <f t="shared" si="2"/>
        <v>1.571428571</v>
      </c>
    </row>
    <row r="6675">
      <c r="A6675" s="58">
        <v>45627.0</v>
      </c>
      <c r="B6675" s="24" t="s">
        <v>6787</v>
      </c>
      <c r="C6675" s="24" t="s">
        <v>6808</v>
      </c>
      <c r="D6675" s="59">
        <v>7.0</v>
      </c>
      <c r="E6675" s="59">
        <v>7.0</v>
      </c>
      <c r="F6675" s="59">
        <v>6.0</v>
      </c>
      <c r="G6675" s="60">
        <v>1.0</v>
      </c>
      <c r="H6675" s="60">
        <v>0.571428571428571</v>
      </c>
      <c r="I6675" s="60">
        <v>78.2165015714285</v>
      </c>
      <c r="J6675" s="59">
        <v>8.0</v>
      </c>
      <c r="K6675" s="61">
        <f t="shared" si="1"/>
        <v>0.8571428571</v>
      </c>
      <c r="L6675" s="62">
        <f t="shared" si="2"/>
        <v>1.142857143</v>
      </c>
    </row>
    <row r="6676">
      <c r="A6676" s="58">
        <v>45627.0</v>
      </c>
      <c r="B6676" s="24" t="s">
        <v>6787</v>
      </c>
      <c r="C6676" s="24" t="s">
        <v>7087</v>
      </c>
      <c r="D6676" s="59">
        <v>7.0</v>
      </c>
      <c r="E6676" s="59">
        <v>7.0</v>
      </c>
      <c r="F6676" s="59">
        <v>7.0</v>
      </c>
      <c r="G6676" s="60">
        <v>1.0</v>
      </c>
      <c r="H6676" s="60">
        <v>1.0</v>
      </c>
      <c r="I6676" s="60">
        <v>0.0</v>
      </c>
      <c r="J6676" s="59">
        <v>7.0</v>
      </c>
      <c r="K6676" s="61">
        <f t="shared" si="1"/>
        <v>1</v>
      </c>
      <c r="L6676" s="62">
        <f t="shared" si="2"/>
        <v>1</v>
      </c>
    </row>
    <row r="6677">
      <c r="A6677" s="58">
        <v>45627.0</v>
      </c>
      <c r="B6677" s="24" t="s">
        <v>6789</v>
      </c>
      <c r="C6677" s="24" t="s">
        <v>6797</v>
      </c>
      <c r="D6677" s="59">
        <v>7.0</v>
      </c>
      <c r="E6677" s="59">
        <v>9.0</v>
      </c>
      <c r="F6677" s="59">
        <v>1.0</v>
      </c>
      <c r="G6677" s="60">
        <v>1.5</v>
      </c>
      <c r="H6677" s="60">
        <v>0.444444444444444</v>
      </c>
      <c r="I6677" s="60">
        <v>175.508602</v>
      </c>
      <c r="J6677" s="59">
        <v>12.0</v>
      </c>
      <c r="K6677" s="61">
        <f t="shared" si="1"/>
        <v>0.1111111111</v>
      </c>
      <c r="L6677" s="62">
        <f t="shared" si="2"/>
        <v>1.333333333</v>
      </c>
    </row>
    <row r="6678">
      <c r="A6678" s="58">
        <v>45627.0</v>
      </c>
      <c r="B6678" s="24" t="s">
        <v>6794</v>
      </c>
      <c r="C6678" s="24" t="s">
        <v>6792</v>
      </c>
      <c r="D6678" s="59">
        <v>6.0</v>
      </c>
      <c r="E6678" s="59">
        <v>6.0</v>
      </c>
      <c r="F6678" s="59">
        <v>0.0</v>
      </c>
      <c r="G6678" s="60">
        <v>2.0</v>
      </c>
      <c r="H6678" s="60">
        <v>0.833333333333333</v>
      </c>
      <c r="I6678" s="60">
        <v>7.84218016666666</v>
      </c>
      <c r="J6678" s="59">
        <v>0.0</v>
      </c>
      <c r="K6678" s="61">
        <f t="shared" si="1"/>
        <v>0</v>
      </c>
      <c r="L6678" s="62">
        <f t="shared" si="2"/>
        <v>0</v>
      </c>
    </row>
    <row r="6679">
      <c r="A6679" s="58">
        <v>45627.0</v>
      </c>
      <c r="B6679" s="24" t="s">
        <v>155</v>
      </c>
      <c r="C6679" s="24" t="s">
        <v>6804</v>
      </c>
      <c r="D6679" s="59">
        <v>6.0</v>
      </c>
      <c r="E6679" s="59">
        <v>6.0</v>
      </c>
      <c r="F6679" s="59">
        <v>5.0</v>
      </c>
      <c r="G6679" s="60">
        <v>1.2</v>
      </c>
      <c r="H6679" s="60">
        <v>1.0</v>
      </c>
      <c r="I6679" s="60">
        <v>0.0</v>
      </c>
      <c r="J6679" s="59">
        <v>6.0</v>
      </c>
      <c r="K6679" s="61">
        <f t="shared" si="1"/>
        <v>0.8333333333</v>
      </c>
      <c r="L6679" s="62">
        <f t="shared" si="2"/>
        <v>1</v>
      </c>
    </row>
    <row r="6680">
      <c r="A6680" s="58">
        <v>45627.0</v>
      </c>
      <c r="B6680" s="24" t="s">
        <v>6789</v>
      </c>
      <c r="C6680" s="24" t="s">
        <v>6898</v>
      </c>
      <c r="D6680" s="59">
        <v>6.0</v>
      </c>
      <c r="E6680" s="59">
        <v>6.0</v>
      </c>
      <c r="F6680" s="59">
        <v>4.0</v>
      </c>
      <c r="G6680" s="60">
        <v>1.0</v>
      </c>
      <c r="H6680" s="60">
        <v>0.333333333333333</v>
      </c>
      <c r="I6680" s="60">
        <v>469.880167999999</v>
      </c>
      <c r="J6680" s="59">
        <v>18.0</v>
      </c>
      <c r="K6680" s="61">
        <f t="shared" si="1"/>
        <v>0.6666666667</v>
      </c>
      <c r="L6680" s="62">
        <f t="shared" si="2"/>
        <v>3</v>
      </c>
    </row>
    <row r="6681">
      <c r="A6681" s="58">
        <v>45627.0</v>
      </c>
      <c r="B6681" s="24" t="s">
        <v>6789</v>
      </c>
      <c r="C6681" s="24" t="s">
        <v>6800</v>
      </c>
      <c r="D6681" s="59">
        <v>6.0</v>
      </c>
      <c r="E6681" s="59">
        <v>6.0</v>
      </c>
      <c r="F6681" s="59">
        <v>2.0</v>
      </c>
      <c r="G6681" s="60">
        <v>1.0</v>
      </c>
      <c r="H6681" s="60">
        <v>0.166666666666666</v>
      </c>
      <c r="I6681" s="60">
        <v>562.563521999999</v>
      </c>
      <c r="J6681" s="59">
        <v>20.0</v>
      </c>
      <c r="K6681" s="61">
        <f t="shared" si="1"/>
        <v>0.3333333333</v>
      </c>
      <c r="L6681" s="62">
        <f t="shared" si="2"/>
        <v>3.333333333</v>
      </c>
    </row>
    <row r="6682">
      <c r="A6682" s="58">
        <v>45627.0</v>
      </c>
      <c r="B6682" s="24" t="s">
        <v>6789</v>
      </c>
      <c r="C6682" s="24" t="s">
        <v>7313</v>
      </c>
      <c r="D6682" s="59">
        <v>6.0</v>
      </c>
      <c r="E6682" s="59">
        <v>7.0</v>
      </c>
      <c r="F6682" s="59">
        <v>1.0</v>
      </c>
      <c r="G6682" s="60">
        <v>1.4</v>
      </c>
      <c r="H6682" s="60">
        <v>0.714285714285714</v>
      </c>
      <c r="I6682" s="60">
        <v>40.3539958571428</v>
      </c>
      <c r="J6682" s="59">
        <v>9.0</v>
      </c>
      <c r="K6682" s="61">
        <f t="shared" si="1"/>
        <v>0.1428571429</v>
      </c>
      <c r="L6682" s="62">
        <f t="shared" si="2"/>
        <v>1.285714286</v>
      </c>
    </row>
    <row r="6683">
      <c r="A6683" s="58">
        <v>45627.0</v>
      </c>
      <c r="B6683" s="24" t="s">
        <v>6789</v>
      </c>
      <c r="C6683" s="24" t="s">
        <v>7102</v>
      </c>
      <c r="D6683" s="59">
        <v>6.0</v>
      </c>
      <c r="E6683" s="59">
        <v>6.0</v>
      </c>
      <c r="F6683" s="59">
        <v>2.0</v>
      </c>
      <c r="G6683" s="60">
        <v>1.0</v>
      </c>
      <c r="H6683" s="60">
        <v>0.5</v>
      </c>
      <c r="I6683" s="60">
        <v>288.5747685</v>
      </c>
      <c r="J6683" s="59">
        <v>9.0</v>
      </c>
      <c r="K6683" s="61">
        <f t="shared" si="1"/>
        <v>0.3333333333</v>
      </c>
      <c r="L6683" s="62">
        <f t="shared" si="2"/>
        <v>1.5</v>
      </c>
    </row>
    <row r="6684">
      <c r="A6684" s="58">
        <v>45627.0</v>
      </c>
      <c r="B6684" s="24" t="s">
        <v>6789</v>
      </c>
      <c r="C6684" s="24" t="s">
        <v>7106</v>
      </c>
      <c r="D6684" s="59">
        <v>6.0</v>
      </c>
      <c r="E6684" s="59">
        <v>9.0</v>
      </c>
      <c r="F6684" s="59">
        <v>0.0</v>
      </c>
      <c r="G6684" s="60">
        <v>1.5</v>
      </c>
      <c r="H6684" s="60">
        <v>0.111111111111111</v>
      </c>
      <c r="I6684" s="60">
        <v>724.352516111111</v>
      </c>
      <c r="J6684" s="59">
        <v>16.0</v>
      </c>
      <c r="K6684" s="61">
        <f t="shared" si="1"/>
        <v>0</v>
      </c>
      <c r="L6684" s="62">
        <f t="shared" si="2"/>
        <v>1.777777778</v>
      </c>
    </row>
    <row r="6685">
      <c r="A6685" s="58">
        <v>45627.0</v>
      </c>
      <c r="B6685" s="24" t="s">
        <v>6789</v>
      </c>
      <c r="C6685" s="24" t="s">
        <v>7180</v>
      </c>
      <c r="D6685" s="59">
        <v>6.0</v>
      </c>
      <c r="E6685" s="59">
        <v>6.0</v>
      </c>
      <c r="F6685" s="59">
        <v>5.0</v>
      </c>
      <c r="G6685" s="60">
        <v>1.0</v>
      </c>
      <c r="H6685" s="60">
        <v>0.666666666666666</v>
      </c>
      <c r="I6685" s="60">
        <v>51.6621523333333</v>
      </c>
      <c r="J6685" s="59">
        <v>6.0</v>
      </c>
      <c r="K6685" s="61">
        <f t="shared" si="1"/>
        <v>0.8333333333</v>
      </c>
      <c r="L6685" s="62">
        <f t="shared" si="2"/>
        <v>1</v>
      </c>
    </row>
    <row r="6686">
      <c r="A6686" s="58">
        <v>45627.0</v>
      </c>
      <c r="B6686" s="24" t="s">
        <v>6789</v>
      </c>
      <c r="C6686" s="24" t="s">
        <v>7107</v>
      </c>
      <c r="D6686" s="59">
        <v>6.0</v>
      </c>
      <c r="E6686" s="59">
        <v>21.0</v>
      </c>
      <c r="F6686" s="59">
        <v>0.0</v>
      </c>
      <c r="G6686" s="60">
        <v>3.5</v>
      </c>
      <c r="H6686" s="60">
        <v>0.809523809523809</v>
      </c>
      <c r="I6686" s="60">
        <v>145.676103666666</v>
      </c>
      <c r="J6686" s="59">
        <v>33.0</v>
      </c>
      <c r="K6686" s="61">
        <f t="shared" si="1"/>
        <v>0</v>
      </c>
      <c r="L6686" s="62">
        <f t="shared" si="2"/>
        <v>1.571428571</v>
      </c>
    </row>
    <row r="6687">
      <c r="A6687" s="58">
        <v>45627.0</v>
      </c>
      <c r="B6687" s="24" t="s">
        <v>6787</v>
      </c>
      <c r="C6687" s="24" t="s">
        <v>7479</v>
      </c>
      <c r="D6687" s="59">
        <v>6.0</v>
      </c>
      <c r="E6687" s="59">
        <v>9.0</v>
      </c>
      <c r="F6687" s="59">
        <v>5.0</v>
      </c>
      <c r="G6687" s="60">
        <v>1.5</v>
      </c>
      <c r="H6687" s="60">
        <v>0.333333333333333</v>
      </c>
      <c r="I6687" s="60">
        <v>5769.44997122222</v>
      </c>
      <c r="J6687" s="59">
        <v>457.0</v>
      </c>
      <c r="K6687" s="61">
        <f t="shared" si="1"/>
        <v>0.5555555556</v>
      </c>
      <c r="L6687" s="62">
        <f t="shared" si="2"/>
        <v>50.77777778</v>
      </c>
    </row>
    <row r="6688">
      <c r="A6688" s="58">
        <v>45627.0</v>
      </c>
      <c r="B6688" s="24" t="s">
        <v>6789</v>
      </c>
      <c r="C6688" s="24" t="s">
        <v>6854</v>
      </c>
      <c r="D6688" s="59">
        <v>6.0</v>
      </c>
      <c r="E6688" s="59">
        <v>6.0</v>
      </c>
      <c r="F6688" s="59">
        <v>2.0</v>
      </c>
      <c r="G6688" s="60">
        <v>1.2</v>
      </c>
      <c r="H6688" s="60">
        <v>0.166666666666666</v>
      </c>
      <c r="I6688" s="60">
        <v>215.196252999999</v>
      </c>
      <c r="J6688" s="59">
        <v>15.0</v>
      </c>
      <c r="K6688" s="61">
        <f t="shared" si="1"/>
        <v>0.3333333333</v>
      </c>
      <c r="L6688" s="62">
        <f t="shared" si="2"/>
        <v>2.5</v>
      </c>
    </row>
    <row r="6689">
      <c r="A6689" s="58">
        <v>45627.0</v>
      </c>
      <c r="B6689" s="24" t="s">
        <v>6787</v>
      </c>
      <c r="C6689" s="24" t="s">
        <v>6802</v>
      </c>
      <c r="D6689" s="59">
        <v>6.0</v>
      </c>
      <c r="E6689" s="59">
        <v>6.0</v>
      </c>
      <c r="F6689" s="59">
        <v>4.0</v>
      </c>
      <c r="G6689" s="60">
        <v>1.2</v>
      </c>
      <c r="H6689" s="60">
        <v>0.666666666666666</v>
      </c>
      <c r="I6689" s="60">
        <v>228.794568</v>
      </c>
      <c r="J6689" s="59">
        <v>7.0</v>
      </c>
      <c r="K6689" s="61">
        <f t="shared" si="1"/>
        <v>0.6666666667</v>
      </c>
      <c r="L6689" s="62">
        <f t="shared" si="2"/>
        <v>1.166666667</v>
      </c>
    </row>
    <row r="6690">
      <c r="A6690" s="58">
        <v>45627.0</v>
      </c>
      <c r="B6690" s="24" t="s">
        <v>155</v>
      </c>
      <c r="C6690" s="24" t="s">
        <v>7068</v>
      </c>
      <c r="D6690" s="59">
        <v>5.0</v>
      </c>
      <c r="E6690" s="59">
        <v>8.0</v>
      </c>
      <c r="F6690" s="59">
        <v>5.0</v>
      </c>
      <c r="G6690" s="60">
        <v>1.6</v>
      </c>
      <c r="H6690" s="60">
        <v>0.375</v>
      </c>
      <c r="I6690" s="60">
        <v>177.1330305</v>
      </c>
      <c r="J6690" s="59">
        <v>10.0</v>
      </c>
      <c r="K6690" s="61">
        <f t="shared" si="1"/>
        <v>0.625</v>
      </c>
      <c r="L6690" s="62">
        <f t="shared" si="2"/>
        <v>1.25</v>
      </c>
    </row>
    <row r="6691">
      <c r="A6691" s="58">
        <v>45627.0</v>
      </c>
      <c r="B6691" s="24" t="s">
        <v>6789</v>
      </c>
      <c r="C6691" s="24" t="s">
        <v>6838</v>
      </c>
      <c r="D6691" s="59">
        <v>5.0</v>
      </c>
      <c r="E6691" s="59">
        <v>6.0</v>
      </c>
      <c r="F6691" s="59">
        <v>3.0</v>
      </c>
      <c r="G6691" s="60">
        <v>1.5</v>
      </c>
      <c r="H6691" s="60">
        <v>0.5</v>
      </c>
      <c r="I6691" s="60">
        <v>209.762292166666</v>
      </c>
      <c r="J6691" s="59">
        <v>9.0</v>
      </c>
      <c r="K6691" s="61">
        <f t="shared" si="1"/>
        <v>0.5</v>
      </c>
      <c r="L6691" s="62">
        <f t="shared" si="2"/>
        <v>1.5</v>
      </c>
    </row>
    <row r="6692">
      <c r="A6692" s="58">
        <v>45627.0</v>
      </c>
      <c r="B6692" s="24" t="s">
        <v>3216</v>
      </c>
      <c r="C6692" s="24" t="s">
        <v>7160</v>
      </c>
      <c r="D6692" s="59">
        <v>5.0</v>
      </c>
      <c r="E6692" s="59">
        <v>5.0</v>
      </c>
      <c r="F6692" s="59">
        <v>5.0</v>
      </c>
      <c r="G6692" s="60">
        <v>1.0</v>
      </c>
      <c r="H6692" s="60">
        <v>1.0</v>
      </c>
      <c r="I6692" s="60">
        <v>0.0</v>
      </c>
      <c r="J6692" s="59">
        <v>5.0</v>
      </c>
      <c r="K6692" s="61">
        <f t="shared" si="1"/>
        <v>1</v>
      </c>
      <c r="L6692" s="62">
        <f t="shared" si="2"/>
        <v>1</v>
      </c>
    </row>
    <row r="6693">
      <c r="A6693" s="58">
        <v>45627.0</v>
      </c>
      <c r="B6693" s="24" t="s">
        <v>6787</v>
      </c>
      <c r="C6693" s="24" t="s">
        <v>6912</v>
      </c>
      <c r="D6693" s="59">
        <v>5.0</v>
      </c>
      <c r="E6693" s="59">
        <v>7.0</v>
      </c>
      <c r="F6693" s="59">
        <v>5.0</v>
      </c>
      <c r="G6693" s="60">
        <v>1.4</v>
      </c>
      <c r="H6693" s="60">
        <v>0.571428571428571</v>
      </c>
      <c r="I6693" s="60">
        <v>23.0735285714285</v>
      </c>
      <c r="J6693" s="59">
        <v>11.0</v>
      </c>
      <c r="K6693" s="61">
        <f t="shared" si="1"/>
        <v>0.7142857143</v>
      </c>
      <c r="L6693" s="62">
        <f t="shared" si="2"/>
        <v>1.571428571</v>
      </c>
    </row>
    <row r="6694">
      <c r="A6694" s="58">
        <v>45627.0</v>
      </c>
      <c r="B6694" s="24" t="s">
        <v>6787</v>
      </c>
      <c r="C6694" s="24" t="s">
        <v>7107</v>
      </c>
      <c r="D6694" s="59">
        <v>5.0</v>
      </c>
      <c r="E6694" s="59">
        <v>5.0</v>
      </c>
      <c r="F6694" s="59">
        <v>5.0</v>
      </c>
      <c r="G6694" s="60">
        <v>1.0</v>
      </c>
      <c r="H6694" s="60">
        <v>0.8</v>
      </c>
      <c r="I6694" s="60">
        <v>4.303931</v>
      </c>
      <c r="J6694" s="59">
        <v>6.0</v>
      </c>
      <c r="K6694" s="61">
        <f t="shared" si="1"/>
        <v>1</v>
      </c>
      <c r="L6694" s="62">
        <f t="shared" si="2"/>
        <v>1.2</v>
      </c>
    </row>
    <row r="6695">
      <c r="A6695" s="58">
        <v>45627.0</v>
      </c>
      <c r="B6695" s="24" t="s">
        <v>6789</v>
      </c>
      <c r="C6695" s="24" t="s">
        <v>6810</v>
      </c>
      <c r="D6695" s="59">
        <v>5.0</v>
      </c>
      <c r="E6695" s="59">
        <v>9.0</v>
      </c>
      <c r="F6695" s="59">
        <v>2.0</v>
      </c>
      <c r="G6695" s="60">
        <v>1.8</v>
      </c>
      <c r="H6695" s="60">
        <v>0.333333333333333</v>
      </c>
      <c r="I6695" s="60">
        <v>30.1229269999999</v>
      </c>
      <c r="J6695" s="59">
        <v>12.0</v>
      </c>
      <c r="K6695" s="61">
        <f t="shared" si="1"/>
        <v>0.2222222222</v>
      </c>
      <c r="L6695" s="62">
        <f t="shared" si="2"/>
        <v>1.333333333</v>
      </c>
    </row>
    <row r="6696">
      <c r="A6696" s="58">
        <v>45627.0</v>
      </c>
      <c r="B6696" s="24" t="s">
        <v>3216</v>
      </c>
      <c r="C6696" s="24" t="s">
        <v>6792</v>
      </c>
      <c r="D6696" s="59">
        <v>4.0</v>
      </c>
      <c r="E6696" s="59">
        <v>4.0</v>
      </c>
      <c r="F6696" s="59">
        <v>0.0</v>
      </c>
      <c r="G6696" s="60">
        <v>1.33333333333333</v>
      </c>
      <c r="H6696" s="60">
        <v>1.0</v>
      </c>
      <c r="I6696" s="60">
        <v>0.0</v>
      </c>
      <c r="J6696" s="59">
        <v>0.0</v>
      </c>
      <c r="K6696" s="61">
        <f t="shared" si="1"/>
        <v>0</v>
      </c>
      <c r="L6696" s="62">
        <f t="shared" si="2"/>
        <v>0</v>
      </c>
    </row>
    <row r="6697">
      <c r="A6697" s="58">
        <v>45627.0</v>
      </c>
      <c r="B6697" s="24" t="s">
        <v>6789</v>
      </c>
      <c r="C6697" s="24" t="s">
        <v>6817</v>
      </c>
      <c r="D6697" s="59">
        <v>4.0</v>
      </c>
      <c r="E6697" s="59">
        <v>4.0</v>
      </c>
      <c r="F6697" s="59">
        <v>2.0</v>
      </c>
      <c r="G6697" s="60">
        <v>1.0</v>
      </c>
      <c r="H6697" s="60">
        <v>0.25</v>
      </c>
      <c r="I6697" s="60">
        <v>225.5283385</v>
      </c>
      <c r="J6697" s="59">
        <v>13.0</v>
      </c>
      <c r="K6697" s="61">
        <f t="shared" si="1"/>
        <v>0.5</v>
      </c>
      <c r="L6697" s="62">
        <f t="shared" si="2"/>
        <v>3.25</v>
      </c>
    </row>
    <row r="6698">
      <c r="A6698" s="58">
        <v>45627.0</v>
      </c>
      <c r="B6698" s="24" t="s">
        <v>6789</v>
      </c>
      <c r="C6698" s="24" t="s">
        <v>7056</v>
      </c>
      <c r="D6698" s="59">
        <v>4.0</v>
      </c>
      <c r="E6698" s="59">
        <v>4.0</v>
      </c>
      <c r="F6698" s="59">
        <v>3.0</v>
      </c>
      <c r="G6698" s="60">
        <v>1.33333333333333</v>
      </c>
      <c r="H6698" s="60">
        <v>1.0</v>
      </c>
      <c r="I6698" s="60">
        <v>3.58792225</v>
      </c>
      <c r="J6698" s="59">
        <v>4.0</v>
      </c>
      <c r="K6698" s="61">
        <f t="shared" si="1"/>
        <v>0.75</v>
      </c>
      <c r="L6698" s="62">
        <f t="shared" si="2"/>
        <v>1</v>
      </c>
    </row>
    <row r="6699">
      <c r="A6699" s="58">
        <v>45627.0</v>
      </c>
      <c r="B6699" s="24" t="s">
        <v>6789</v>
      </c>
      <c r="C6699" s="24" t="s">
        <v>6986</v>
      </c>
      <c r="D6699" s="59">
        <v>4.0</v>
      </c>
      <c r="E6699" s="59">
        <v>6.0</v>
      </c>
      <c r="F6699" s="59">
        <v>4.0</v>
      </c>
      <c r="G6699" s="60">
        <v>1.5</v>
      </c>
      <c r="H6699" s="60">
        <v>0.666666666666666</v>
      </c>
      <c r="I6699" s="60">
        <v>99.621074</v>
      </c>
      <c r="J6699" s="59">
        <v>7.0</v>
      </c>
      <c r="K6699" s="61">
        <f t="shared" si="1"/>
        <v>0.6666666667</v>
      </c>
      <c r="L6699" s="62">
        <f t="shared" si="2"/>
        <v>1.166666667</v>
      </c>
    </row>
    <row r="6700">
      <c r="A6700" s="58">
        <v>45627.0</v>
      </c>
      <c r="B6700" s="24" t="s">
        <v>6787</v>
      </c>
      <c r="C6700" s="24" t="s">
        <v>6835</v>
      </c>
      <c r="D6700" s="59">
        <v>4.0</v>
      </c>
      <c r="E6700" s="59">
        <v>4.0</v>
      </c>
      <c r="F6700" s="59">
        <v>4.0</v>
      </c>
      <c r="G6700" s="60">
        <v>1.0</v>
      </c>
      <c r="H6700" s="60">
        <v>0.5</v>
      </c>
      <c r="I6700" s="60">
        <v>224.92807</v>
      </c>
      <c r="J6700" s="59">
        <v>5.0</v>
      </c>
      <c r="K6700" s="61">
        <f t="shared" si="1"/>
        <v>1</v>
      </c>
      <c r="L6700" s="62">
        <f t="shared" si="2"/>
        <v>1.25</v>
      </c>
    </row>
    <row r="6701">
      <c r="A6701" s="58">
        <v>45627.0</v>
      </c>
      <c r="B6701" s="24" t="s">
        <v>6789</v>
      </c>
      <c r="C6701" s="24" t="s">
        <v>6994</v>
      </c>
      <c r="D6701" s="59">
        <v>4.0</v>
      </c>
      <c r="E6701" s="59">
        <v>4.0</v>
      </c>
      <c r="F6701" s="59">
        <v>3.0</v>
      </c>
      <c r="G6701" s="60">
        <v>1.0</v>
      </c>
      <c r="H6701" s="60">
        <v>0.0</v>
      </c>
      <c r="I6701" s="60">
        <v>203.05073025</v>
      </c>
      <c r="J6701" s="59">
        <v>4.0</v>
      </c>
      <c r="K6701" s="61">
        <f t="shared" si="1"/>
        <v>0.75</v>
      </c>
      <c r="L6701" s="62">
        <f t="shared" si="2"/>
        <v>1</v>
      </c>
    </row>
    <row r="6702">
      <c r="A6702" s="58">
        <v>45627.0</v>
      </c>
      <c r="B6702" s="24" t="s">
        <v>6787</v>
      </c>
      <c r="C6702" s="24" t="s">
        <v>6820</v>
      </c>
      <c r="D6702" s="59">
        <v>4.0</v>
      </c>
      <c r="E6702" s="59">
        <v>4.0</v>
      </c>
      <c r="F6702" s="59">
        <v>3.0</v>
      </c>
      <c r="G6702" s="60">
        <v>1.0</v>
      </c>
      <c r="H6702" s="60">
        <v>0.75</v>
      </c>
      <c r="I6702" s="60">
        <v>22.45926975</v>
      </c>
      <c r="J6702" s="59">
        <v>4.0</v>
      </c>
      <c r="K6702" s="61">
        <f t="shared" si="1"/>
        <v>0.75</v>
      </c>
      <c r="L6702" s="62">
        <f t="shared" si="2"/>
        <v>1</v>
      </c>
    </row>
    <row r="6703">
      <c r="A6703" s="58">
        <v>45627.0</v>
      </c>
      <c r="B6703" s="24" t="s">
        <v>6787</v>
      </c>
      <c r="C6703" s="24" t="s">
        <v>6892</v>
      </c>
      <c r="D6703" s="59">
        <v>4.0</v>
      </c>
      <c r="E6703" s="59">
        <v>4.0</v>
      </c>
      <c r="F6703" s="59">
        <v>4.0</v>
      </c>
      <c r="G6703" s="60">
        <v>1.0</v>
      </c>
      <c r="H6703" s="60">
        <v>0.75</v>
      </c>
      <c r="I6703" s="60">
        <v>3.270205</v>
      </c>
      <c r="J6703" s="59">
        <v>4.0</v>
      </c>
      <c r="K6703" s="61">
        <f t="shared" si="1"/>
        <v>1</v>
      </c>
      <c r="L6703" s="62">
        <f t="shared" si="2"/>
        <v>1</v>
      </c>
    </row>
    <row r="6704">
      <c r="A6704" s="58">
        <v>45627.0</v>
      </c>
      <c r="B6704" s="24" t="s">
        <v>6789</v>
      </c>
      <c r="C6704" s="24" t="s">
        <v>6896</v>
      </c>
      <c r="D6704" s="59">
        <v>4.0</v>
      </c>
      <c r="E6704" s="59">
        <v>5.0</v>
      </c>
      <c r="F6704" s="59">
        <v>1.0</v>
      </c>
      <c r="G6704" s="60">
        <v>1.25</v>
      </c>
      <c r="H6704" s="60">
        <v>0.2</v>
      </c>
      <c r="I6704" s="60">
        <v>474.157488</v>
      </c>
      <c r="J6704" s="59">
        <v>6.0</v>
      </c>
      <c r="K6704" s="61">
        <f t="shared" si="1"/>
        <v>0.2</v>
      </c>
      <c r="L6704" s="62">
        <f t="shared" si="2"/>
        <v>1.2</v>
      </c>
    </row>
    <row r="6705">
      <c r="A6705" s="58">
        <v>45627.0</v>
      </c>
      <c r="B6705" s="24" t="s">
        <v>6787</v>
      </c>
      <c r="C6705" s="24" t="s">
        <v>7467</v>
      </c>
      <c r="D6705" s="59">
        <v>4.0</v>
      </c>
      <c r="E6705" s="59">
        <v>5.0</v>
      </c>
      <c r="F6705" s="59">
        <v>2.0</v>
      </c>
      <c r="G6705" s="60">
        <v>1.25</v>
      </c>
      <c r="H6705" s="60">
        <v>0.0</v>
      </c>
      <c r="I6705" s="60">
        <v>430.085649399999</v>
      </c>
      <c r="J6705" s="59">
        <v>9.0</v>
      </c>
      <c r="K6705" s="61">
        <f t="shared" si="1"/>
        <v>0.4</v>
      </c>
      <c r="L6705" s="62">
        <f t="shared" si="2"/>
        <v>1.8</v>
      </c>
    </row>
    <row r="6706">
      <c r="A6706" s="58">
        <v>45627.0</v>
      </c>
      <c r="B6706" s="24" t="s">
        <v>6787</v>
      </c>
      <c r="C6706" s="24" t="s">
        <v>7232</v>
      </c>
      <c r="D6706" s="59">
        <v>4.0</v>
      </c>
      <c r="E6706" s="59">
        <v>4.0</v>
      </c>
      <c r="F6706" s="59">
        <v>3.0</v>
      </c>
      <c r="G6706" s="60">
        <v>1.33333333333333</v>
      </c>
      <c r="H6706" s="60">
        <v>1.0</v>
      </c>
      <c r="I6706" s="60">
        <v>0.0</v>
      </c>
      <c r="J6706" s="59">
        <v>4.0</v>
      </c>
      <c r="K6706" s="61">
        <f t="shared" si="1"/>
        <v>0.75</v>
      </c>
      <c r="L6706" s="62">
        <f t="shared" si="2"/>
        <v>1</v>
      </c>
    </row>
    <row r="6707">
      <c r="A6707" s="58">
        <v>45627.0</v>
      </c>
      <c r="B6707" s="24" t="s">
        <v>6789</v>
      </c>
      <c r="C6707" s="24" t="s">
        <v>7035</v>
      </c>
      <c r="D6707" s="59">
        <v>4.0</v>
      </c>
      <c r="E6707" s="59">
        <v>4.0</v>
      </c>
      <c r="F6707" s="59">
        <v>3.0</v>
      </c>
      <c r="G6707" s="60">
        <v>1.0</v>
      </c>
      <c r="H6707" s="60">
        <v>0.0</v>
      </c>
      <c r="I6707" s="60">
        <v>453.931003</v>
      </c>
      <c r="J6707" s="59">
        <v>4.0</v>
      </c>
      <c r="K6707" s="61">
        <f t="shared" si="1"/>
        <v>0.75</v>
      </c>
      <c r="L6707" s="62">
        <f t="shared" si="2"/>
        <v>1</v>
      </c>
    </row>
    <row r="6708">
      <c r="A6708" s="58">
        <v>45627.0</v>
      </c>
      <c r="B6708" s="24" t="s">
        <v>6789</v>
      </c>
      <c r="C6708" s="24" t="s">
        <v>6801</v>
      </c>
      <c r="D6708" s="59">
        <v>4.0</v>
      </c>
      <c r="E6708" s="59">
        <v>4.0</v>
      </c>
      <c r="F6708" s="59">
        <v>0.0</v>
      </c>
      <c r="G6708" s="60">
        <v>1.33333333333333</v>
      </c>
      <c r="H6708" s="60">
        <v>0.25</v>
      </c>
      <c r="I6708" s="60">
        <v>40.0619977499999</v>
      </c>
      <c r="J6708" s="59">
        <v>6.0</v>
      </c>
      <c r="K6708" s="61">
        <f t="shared" si="1"/>
        <v>0</v>
      </c>
      <c r="L6708" s="62">
        <f t="shared" si="2"/>
        <v>1.5</v>
      </c>
    </row>
    <row r="6709">
      <c r="A6709" s="58">
        <v>45627.0</v>
      </c>
      <c r="B6709" s="24" t="s">
        <v>6789</v>
      </c>
      <c r="C6709" s="24" t="s">
        <v>7192</v>
      </c>
      <c r="D6709" s="59">
        <v>4.0</v>
      </c>
      <c r="E6709" s="59">
        <v>6.0</v>
      </c>
      <c r="F6709" s="59">
        <v>1.0</v>
      </c>
      <c r="G6709" s="60">
        <v>1.5</v>
      </c>
      <c r="H6709" s="60">
        <v>0.5</v>
      </c>
      <c r="I6709" s="60">
        <v>17.4806283333333</v>
      </c>
      <c r="J6709" s="59">
        <v>9.0</v>
      </c>
      <c r="K6709" s="61">
        <f t="shared" si="1"/>
        <v>0.1666666667</v>
      </c>
      <c r="L6709" s="62">
        <f t="shared" si="2"/>
        <v>1.5</v>
      </c>
    </row>
    <row r="6710">
      <c r="A6710" s="58">
        <v>45627.0</v>
      </c>
      <c r="B6710" s="24" t="s">
        <v>6787</v>
      </c>
      <c r="C6710" s="24" t="s">
        <v>6803</v>
      </c>
      <c r="D6710" s="59">
        <v>3.0</v>
      </c>
      <c r="E6710" s="59">
        <v>3.0</v>
      </c>
      <c r="F6710" s="59">
        <v>3.0</v>
      </c>
      <c r="G6710" s="60">
        <v>1.0</v>
      </c>
      <c r="H6710" s="60">
        <v>0.666666666666666</v>
      </c>
      <c r="I6710" s="60">
        <v>28.4671766666666</v>
      </c>
      <c r="J6710" s="59">
        <v>3.0</v>
      </c>
      <c r="K6710" s="61">
        <f t="shared" si="1"/>
        <v>1</v>
      </c>
      <c r="L6710" s="62">
        <f t="shared" si="2"/>
        <v>1</v>
      </c>
    </row>
    <row r="6711">
      <c r="A6711" s="58">
        <v>45627.0</v>
      </c>
      <c r="B6711" s="24" t="s">
        <v>6787</v>
      </c>
      <c r="C6711" s="24" t="s">
        <v>7055</v>
      </c>
      <c r="D6711" s="59">
        <v>3.0</v>
      </c>
      <c r="E6711" s="59">
        <v>3.0</v>
      </c>
      <c r="F6711" s="59">
        <v>3.0</v>
      </c>
      <c r="G6711" s="60">
        <v>1.0</v>
      </c>
      <c r="H6711" s="60">
        <v>0.666666666666666</v>
      </c>
      <c r="I6711" s="60">
        <v>4.66766933333333</v>
      </c>
      <c r="J6711" s="59">
        <v>3.0</v>
      </c>
      <c r="K6711" s="61">
        <f t="shared" si="1"/>
        <v>1</v>
      </c>
      <c r="L6711" s="62">
        <f t="shared" si="2"/>
        <v>1</v>
      </c>
    </row>
    <row r="6712">
      <c r="A6712" s="58">
        <v>45627.0</v>
      </c>
      <c r="B6712" s="24" t="s">
        <v>155</v>
      </c>
      <c r="C6712" s="24" t="s">
        <v>7055</v>
      </c>
      <c r="D6712" s="59">
        <v>3.0</v>
      </c>
      <c r="E6712" s="59">
        <v>4.0</v>
      </c>
      <c r="F6712" s="59">
        <v>0.0</v>
      </c>
      <c r="G6712" s="60">
        <v>1.33333333333333</v>
      </c>
      <c r="H6712" s="60">
        <v>0.25</v>
      </c>
      <c r="I6712" s="60">
        <v>2639.061857</v>
      </c>
      <c r="J6712" s="59">
        <v>75.0</v>
      </c>
      <c r="K6712" s="61">
        <f t="shared" si="1"/>
        <v>0</v>
      </c>
      <c r="L6712" s="62">
        <f t="shared" si="2"/>
        <v>18.75</v>
      </c>
    </row>
    <row r="6713">
      <c r="A6713" s="58">
        <v>45627.0</v>
      </c>
      <c r="B6713" s="24" t="s">
        <v>6789</v>
      </c>
      <c r="C6713" s="24" t="s">
        <v>7058</v>
      </c>
      <c r="D6713" s="59">
        <v>3.0</v>
      </c>
      <c r="E6713" s="59">
        <v>3.0</v>
      </c>
      <c r="F6713" s="59">
        <v>2.0</v>
      </c>
      <c r="G6713" s="60">
        <v>1.0</v>
      </c>
      <c r="H6713" s="60">
        <v>0.666666666666666</v>
      </c>
      <c r="I6713" s="60">
        <v>542.849174333333</v>
      </c>
      <c r="J6713" s="59">
        <v>7.0</v>
      </c>
      <c r="K6713" s="61">
        <f t="shared" si="1"/>
        <v>0.6666666667</v>
      </c>
      <c r="L6713" s="62">
        <f t="shared" si="2"/>
        <v>2.333333333</v>
      </c>
    </row>
    <row r="6714">
      <c r="A6714" s="58">
        <v>45627.0</v>
      </c>
      <c r="B6714" s="24" t="s">
        <v>6789</v>
      </c>
      <c r="C6714" s="24" t="s">
        <v>6819</v>
      </c>
      <c r="D6714" s="59">
        <v>3.0</v>
      </c>
      <c r="E6714" s="59">
        <v>3.0</v>
      </c>
      <c r="F6714" s="59">
        <v>1.0</v>
      </c>
      <c r="G6714" s="60">
        <v>1.0</v>
      </c>
      <c r="H6714" s="60">
        <v>0.0</v>
      </c>
      <c r="I6714" s="60">
        <v>1396.95147499999</v>
      </c>
      <c r="J6714" s="59">
        <v>70.0</v>
      </c>
      <c r="K6714" s="61">
        <f t="shared" si="1"/>
        <v>0.3333333333</v>
      </c>
      <c r="L6714" s="62">
        <f t="shared" si="2"/>
        <v>23.33333333</v>
      </c>
    </row>
    <row r="6715">
      <c r="A6715" s="58">
        <v>45627.0</v>
      </c>
      <c r="B6715" s="24" t="s">
        <v>6787</v>
      </c>
      <c r="C6715" s="24" t="s">
        <v>7065</v>
      </c>
      <c r="D6715" s="59">
        <v>3.0</v>
      </c>
      <c r="E6715" s="59">
        <v>3.0</v>
      </c>
      <c r="F6715" s="59">
        <v>3.0</v>
      </c>
      <c r="G6715" s="60">
        <v>1.0</v>
      </c>
      <c r="H6715" s="60">
        <v>0.666666666666666</v>
      </c>
      <c r="I6715" s="60">
        <v>4.11334366666666</v>
      </c>
      <c r="J6715" s="59">
        <v>3.0</v>
      </c>
      <c r="K6715" s="61">
        <f t="shared" si="1"/>
        <v>1</v>
      </c>
      <c r="L6715" s="62">
        <f t="shared" si="2"/>
        <v>1</v>
      </c>
    </row>
    <row r="6716">
      <c r="A6716" s="58">
        <v>45627.0</v>
      </c>
      <c r="B6716" s="24" t="s">
        <v>6787</v>
      </c>
      <c r="C6716" s="24" t="s">
        <v>7068</v>
      </c>
      <c r="D6716" s="59">
        <v>3.0</v>
      </c>
      <c r="E6716" s="59">
        <v>3.0</v>
      </c>
      <c r="F6716" s="59">
        <v>2.0</v>
      </c>
      <c r="G6716" s="60">
        <v>1.0</v>
      </c>
      <c r="H6716" s="60">
        <v>0.333333333333333</v>
      </c>
      <c r="I6716" s="60">
        <v>13.7613293333333</v>
      </c>
      <c r="J6716" s="59">
        <v>3.0</v>
      </c>
      <c r="K6716" s="61">
        <f t="shared" si="1"/>
        <v>0.6666666667</v>
      </c>
      <c r="L6716" s="62">
        <f t="shared" si="2"/>
        <v>1</v>
      </c>
    </row>
    <row r="6717">
      <c r="A6717" s="58">
        <v>45627.0</v>
      </c>
      <c r="B6717" s="24" t="s">
        <v>6789</v>
      </c>
      <c r="C6717" s="24" t="s">
        <v>7074</v>
      </c>
      <c r="D6717" s="59">
        <v>3.0</v>
      </c>
      <c r="E6717" s="59">
        <v>3.0</v>
      </c>
      <c r="F6717" s="59">
        <v>3.0</v>
      </c>
      <c r="G6717" s="60">
        <v>1.0</v>
      </c>
      <c r="H6717" s="60">
        <v>0.0</v>
      </c>
      <c r="I6717" s="60">
        <v>65.4721476666666</v>
      </c>
      <c r="J6717" s="59">
        <v>3.0</v>
      </c>
      <c r="K6717" s="61">
        <f t="shared" si="1"/>
        <v>1</v>
      </c>
      <c r="L6717" s="62">
        <f t="shared" si="2"/>
        <v>1</v>
      </c>
    </row>
    <row r="6718">
      <c r="A6718" s="58">
        <v>45627.0</v>
      </c>
      <c r="B6718" s="24" t="s">
        <v>6787</v>
      </c>
      <c r="C6718" s="24" t="s">
        <v>6888</v>
      </c>
      <c r="D6718" s="59">
        <v>3.0</v>
      </c>
      <c r="E6718" s="59">
        <v>3.0</v>
      </c>
      <c r="F6718" s="59">
        <v>3.0</v>
      </c>
      <c r="G6718" s="60">
        <v>1.0</v>
      </c>
      <c r="H6718" s="60">
        <v>1.0</v>
      </c>
      <c r="I6718" s="60">
        <v>0.0</v>
      </c>
      <c r="J6718" s="59">
        <v>3.0</v>
      </c>
      <c r="K6718" s="61">
        <f t="shared" si="1"/>
        <v>1</v>
      </c>
      <c r="L6718" s="62">
        <f t="shared" si="2"/>
        <v>1</v>
      </c>
    </row>
    <row r="6719">
      <c r="A6719" s="58">
        <v>45627.0</v>
      </c>
      <c r="B6719" s="24" t="s">
        <v>6789</v>
      </c>
      <c r="C6719" s="24" t="s">
        <v>6892</v>
      </c>
      <c r="D6719" s="59">
        <v>3.0</v>
      </c>
      <c r="E6719" s="59">
        <v>3.0</v>
      </c>
      <c r="F6719" s="59">
        <v>2.0</v>
      </c>
      <c r="G6719" s="60">
        <v>1.0</v>
      </c>
      <c r="H6719" s="60">
        <v>0.666666666666666</v>
      </c>
      <c r="I6719" s="60">
        <v>2.86644699999999</v>
      </c>
      <c r="J6719" s="59">
        <v>4.0</v>
      </c>
      <c r="K6719" s="61">
        <f t="shared" si="1"/>
        <v>0.6666666667</v>
      </c>
      <c r="L6719" s="62">
        <f t="shared" si="2"/>
        <v>1.333333333</v>
      </c>
    </row>
    <row r="6720">
      <c r="A6720" s="58">
        <v>45627.0</v>
      </c>
      <c r="B6720" s="24" t="s">
        <v>6789</v>
      </c>
      <c r="C6720" s="24" t="s">
        <v>7509</v>
      </c>
      <c r="D6720" s="59">
        <v>3.0</v>
      </c>
      <c r="E6720" s="59">
        <v>7.0</v>
      </c>
      <c r="F6720" s="59">
        <v>1.0</v>
      </c>
      <c r="G6720" s="60">
        <v>2.33333333333333</v>
      </c>
      <c r="H6720" s="60">
        <v>0.0</v>
      </c>
      <c r="I6720" s="60">
        <v>962.479128714285</v>
      </c>
      <c r="J6720" s="59">
        <v>53.0</v>
      </c>
      <c r="K6720" s="61">
        <f t="shared" si="1"/>
        <v>0.1428571429</v>
      </c>
      <c r="L6720" s="62">
        <f t="shared" si="2"/>
        <v>7.571428571</v>
      </c>
    </row>
    <row r="6721">
      <c r="A6721" s="58">
        <v>45627.0</v>
      </c>
      <c r="B6721" s="24" t="s">
        <v>6789</v>
      </c>
      <c r="C6721" s="24" t="s">
        <v>7467</v>
      </c>
      <c r="D6721" s="59">
        <v>3.0</v>
      </c>
      <c r="E6721" s="59">
        <v>13.0</v>
      </c>
      <c r="F6721" s="59">
        <v>0.0</v>
      </c>
      <c r="G6721" s="60">
        <v>4.33333333333333</v>
      </c>
      <c r="H6721" s="60">
        <v>0.0769230769230769</v>
      </c>
      <c r="I6721" s="60">
        <v>622.689399230769</v>
      </c>
      <c r="J6721" s="59">
        <v>53.0</v>
      </c>
      <c r="K6721" s="61">
        <f t="shared" si="1"/>
        <v>0</v>
      </c>
      <c r="L6721" s="62">
        <f t="shared" si="2"/>
        <v>4.076923077</v>
      </c>
    </row>
    <row r="6722">
      <c r="A6722" s="58">
        <v>45627.0</v>
      </c>
      <c r="B6722" s="24" t="s">
        <v>6789</v>
      </c>
      <c r="C6722" s="24" t="s">
        <v>7234</v>
      </c>
      <c r="D6722" s="59">
        <v>3.0</v>
      </c>
      <c r="E6722" s="59">
        <v>3.0</v>
      </c>
      <c r="F6722" s="59">
        <v>3.0</v>
      </c>
      <c r="G6722" s="60">
        <v>1.0</v>
      </c>
      <c r="H6722" s="60">
        <v>0.0</v>
      </c>
      <c r="I6722" s="60">
        <v>173.198317333333</v>
      </c>
      <c r="J6722" s="59">
        <v>5.0</v>
      </c>
      <c r="K6722" s="61">
        <f t="shared" si="1"/>
        <v>1</v>
      </c>
      <c r="L6722" s="62">
        <f t="shared" si="2"/>
        <v>1.666666667</v>
      </c>
    </row>
    <row r="6723">
      <c r="A6723" s="58">
        <v>45627.0</v>
      </c>
      <c r="B6723" s="24" t="s">
        <v>6789</v>
      </c>
      <c r="C6723" s="24" t="s">
        <v>7232</v>
      </c>
      <c r="D6723" s="59">
        <v>3.0</v>
      </c>
      <c r="E6723" s="59">
        <v>3.0</v>
      </c>
      <c r="F6723" s="59">
        <v>3.0</v>
      </c>
      <c r="G6723" s="60">
        <v>1.0</v>
      </c>
      <c r="H6723" s="60">
        <v>0.666666666666666</v>
      </c>
      <c r="I6723" s="60">
        <v>2.746498</v>
      </c>
      <c r="J6723" s="59">
        <v>4.0</v>
      </c>
      <c r="K6723" s="61">
        <f t="shared" si="1"/>
        <v>1</v>
      </c>
      <c r="L6723" s="62">
        <f t="shared" si="2"/>
        <v>1.333333333</v>
      </c>
    </row>
    <row r="6724">
      <c r="A6724" s="58">
        <v>45627.0</v>
      </c>
      <c r="B6724" s="24" t="s">
        <v>6789</v>
      </c>
      <c r="C6724" s="24" t="s">
        <v>7036</v>
      </c>
      <c r="D6724" s="59">
        <v>3.0</v>
      </c>
      <c r="E6724" s="59">
        <v>3.0</v>
      </c>
      <c r="F6724" s="59">
        <v>3.0</v>
      </c>
      <c r="G6724" s="60">
        <v>1.0</v>
      </c>
      <c r="H6724" s="60">
        <v>0.333333333333333</v>
      </c>
      <c r="I6724" s="60">
        <v>89.1959883333333</v>
      </c>
      <c r="J6724" s="59">
        <v>6.0</v>
      </c>
      <c r="K6724" s="61">
        <f t="shared" si="1"/>
        <v>1</v>
      </c>
      <c r="L6724" s="62">
        <f t="shared" si="2"/>
        <v>2</v>
      </c>
    </row>
    <row r="6725">
      <c r="A6725" s="58">
        <v>45627.0</v>
      </c>
      <c r="B6725" s="24" t="s">
        <v>6789</v>
      </c>
      <c r="C6725" s="24" t="s">
        <v>7092</v>
      </c>
      <c r="D6725" s="59">
        <v>3.0</v>
      </c>
      <c r="E6725" s="59">
        <v>4.0</v>
      </c>
      <c r="F6725" s="59">
        <v>3.0</v>
      </c>
      <c r="G6725" s="60">
        <v>1.33333333333333</v>
      </c>
      <c r="H6725" s="60">
        <v>0.5</v>
      </c>
      <c r="I6725" s="60">
        <v>408.161657</v>
      </c>
      <c r="J6725" s="59">
        <v>5.0</v>
      </c>
      <c r="K6725" s="61">
        <f t="shared" si="1"/>
        <v>0.75</v>
      </c>
      <c r="L6725" s="62">
        <f t="shared" si="2"/>
        <v>1.25</v>
      </c>
    </row>
    <row r="6726">
      <c r="A6726" s="58">
        <v>45627.0</v>
      </c>
      <c r="B6726" s="24" t="s">
        <v>6789</v>
      </c>
      <c r="C6726" s="24" t="s">
        <v>7013</v>
      </c>
      <c r="D6726" s="59">
        <v>3.0</v>
      </c>
      <c r="E6726" s="59">
        <v>3.0</v>
      </c>
      <c r="F6726" s="59">
        <v>3.0</v>
      </c>
      <c r="G6726" s="60">
        <v>1.0</v>
      </c>
      <c r="H6726" s="60">
        <v>0.0</v>
      </c>
      <c r="I6726" s="60">
        <v>450.877802333333</v>
      </c>
      <c r="J6726" s="59">
        <v>3.0</v>
      </c>
      <c r="K6726" s="61">
        <f t="shared" si="1"/>
        <v>1</v>
      </c>
      <c r="L6726" s="62">
        <f t="shared" si="2"/>
        <v>1</v>
      </c>
    </row>
    <row r="6727">
      <c r="A6727" s="58">
        <v>45627.0</v>
      </c>
      <c r="B6727" s="24" t="s">
        <v>6787</v>
      </c>
      <c r="C6727" s="24" t="s">
        <v>6809</v>
      </c>
      <c r="D6727" s="59">
        <v>3.0</v>
      </c>
      <c r="E6727" s="59">
        <v>3.0</v>
      </c>
      <c r="F6727" s="59">
        <v>3.0</v>
      </c>
      <c r="G6727" s="60">
        <v>1.0</v>
      </c>
      <c r="H6727" s="60">
        <v>0.666666666666666</v>
      </c>
      <c r="I6727" s="60">
        <v>34.6887953333333</v>
      </c>
      <c r="J6727" s="59">
        <v>3.0</v>
      </c>
      <c r="K6727" s="61">
        <f t="shared" si="1"/>
        <v>1</v>
      </c>
      <c r="L6727" s="62">
        <f t="shared" si="2"/>
        <v>1</v>
      </c>
    </row>
    <row r="6728">
      <c r="A6728" s="58">
        <v>45627.0</v>
      </c>
      <c r="B6728" s="24" t="s">
        <v>6789</v>
      </c>
      <c r="C6728" s="24" t="s">
        <v>7172</v>
      </c>
      <c r="D6728" s="59">
        <v>3.0</v>
      </c>
      <c r="E6728" s="59">
        <v>4.0</v>
      </c>
      <c r="F6728" s="59">
        <v>2.0</v>
      </c>
      <c r="G6728" s="60">
        <v>1.33333333333333</v>
      </c>
      <c r="H6728" s="60">
        <v>0.75</v>
      </c>
      <c r="I6728" s="60">
        <v>4.9683535</v>
      </c>
      <c r="J6728" s="59">
        <v>6.0</v>
      </c>
      <c r="K6728" s="61">
        <f t="shared" si="1"/>
        <v>0.5</v>
      </c>
      <c r="L6728" s="62">
        <f t="shared" si="2"/>
        <v>1.5</v>
      </c>
    </row>
    <row r="6729">
      <c r="A6729" s="58">
        <v>45627.0</v>
      </c>
      <c r="B6729" s="24" t="s">
        <v>6787</v>
      </c>
      <c r="C6729" s="24" t="s">
        <v>7313</v>
      </c>
      <c r="D6729" s="59">
        <v>3.0</v>
      </c>
      <c r="E6729" s="59">
        <v>3.0</v>
      </c>
      <c r="F6729" s="59">
        <v>3.0</v>
      </c>
      <c r="G6729" s="60">
        <v>1.0</v>
      </c>
      <c r="H6729" s="60">
        <v>0.666666666666666</v>
      </c>
      <c r="I6729" s="60">
        <v>27.3754453333333</v>
      </c>
      <c r="J6729" s="59">
        <v>6.0</v>
      </c>
      <c r="K6729" s="61">
        <f t="shared" si="1"/>
        <v>1</v>
      </c>
      <c r="L6729" s="62">
        <f t="shared" si="2"/>
        <v>2</v>
      </c>
    </row>
    <row r="6730">
      <c r="A6730" s="58">
        <v>45627.0</v>
      </c>
      <c r="B6730" s="24" t="s">
        <v>6790</v>
      </c>
      <c r="C6730" s="24" t="s">
        <v>6801</v>
      </c>
      <c r="D6730" s="59">
        <v>3.0</v>
      </c>
      <c r="E6730" s="59">
        <v>3.0</v>
      </c>
      <c r="F6730" s="59">
        <v>3.0</v>
      </c>
      <c r="G6730" s="60">
        <v>1.0</v>
      </c>
      <c r="H6730" s="60">
        <v>0.333333333333333</v>
      </c>
      <c r="I6730" s="60">
        <v>66.4938186666666</v>
      </c>
      <c r="J6730" s="59">
        <v>5.0</v>
      </c>
      <c r="K6730" s="61">
        <f t="shared" si="1"/>
        <v>1</v>
      </c>
      <c r="L6730" s="62">
        <f t="shared" si="2"/>
        <v>1.666666667</v>
      </c>
    </row>
    <row r="6731">
      <c r="A6731" s="58">
        <v>45627.0</v>
      </c>
      <c r="B6731" s="24" t="s">
        <v>6787</v>
      </c>
      <c r="C6731" s="24" t="s">
        <v>7102</v>
      </c>
      <c r="D6731" s="59">
        <v>3.0</v>
      </c>
      <c r="E6731" s="59">
        <v>4.0</v>
      </c>
      <c r="F6731" s="59">
        <v>3.0</v>
      </c>
      <c r="G6731" s="60">
        <v>1.33333333333333</v>
      </c>
      <c r="H6731" s="60">
        <v>0.75</v>
      </c>
      <c r="I6731" s="60">
        <v>248.42392975</v>
      </c>
      <c r="J6731" s="59">
        <v>5.0</v>
      </c>
      <c r="K6731" s="61">
        <f t="shared" si="1"/>
        <v>0.75</v>
      </c>
      <c r="L6731" s="62">
        <f t="shared" si="2"/>
        <v>1.25</v>
      </c>
    </row>
    <row r="6732">
      <c r="A6732" s="58">
        <v>45627.0</v>
      </c>
      <c r="B6732" s="24" t="s">
        <v>6787</v>
      </c>
      <c r="C6732" s="24" t="s">
        <v>7510</v>
      </c>
      <c r="D6732" s="59">
        <v>3.0</v>
      </c>
      <c r="E6732" s="59">
        <v>14.0</v>
      </c>
      <c r="F6732" s="59">
        <v>3.0</v>
      </c>
      <c r="G6732" s="60">
        <v>4.66666666666666</v>
      </c>
      <c r="H6732" s="60">
        <v>0.142857142857142</v>
      </c>
      <c r="I6732" s="60">
        <v>4784.69625214285</v>
      </c>
      <c r="J6732" s="59">
        <v>326.0</v>
      </c>
      <c r="K6732" s="61">
        <f t="shared" si="1"/>
        <v>0.2142857143</v>
      </c>
      <c r="L6732" s="62">
        <f t="shared" si="2"/>
        <v>23.28571429</v>
      </c>
    </row>
    <row r="6733">
      <c r="A6733" s="58">
        <v>45627.0</v>
      </c>
      <c r="B6733" s="24" t="s">
        <v>6787</v>
      </c>
      <c r="C6733" s="24" t="s">
        <v>6922</v>
      </c>
      <c r="D6733" s="59">
        <v>3.0</v>
      </c>
      <c r="E6733" s="59">
        <v>3.0</v>
      </c>
      <c r="F6733" s="59">
        <v>2.0</v>
      </c>
      <c r="G6733" s="60">
        <v>1.0</v>
      </c>
      <c r="H6733" s="60">
        <v>0.666666666666666</v>
      </c>
      <c r="I6733" s="60">
        <v>22.8058586666666</v>
      </c>
      <c r="J6733" s="59">
        <v>3.0</v>
      </c>
      <c r="K6733" s="61">
        <f t="shared" si="1"/>
        <v>0.6666666667</v>
      </c>
      <c r="L6733" s="62">
        <f t="shared" si="2"/>
        <v>1</v>
      </c>
    </row>
    <row r="6734">
      <c r="A6734" s="58">
        <v>45627.0</v>
      </c>
      <c r="B6734" s="24" t="s">
        <v>3216</v>
      </c>
      <c r="C6734" s="24" t="s">
        <v>6922</v>
      </c>
      <c r="D6734" s="59">
        <v>3.0</v>
      </c>
      <c r="E6734" s="59">
        <v>3.0</v>
      </c>
      <c r="F6734" s="59">
        <v>3.0</v>
      </c>
      <c r="G6734" s="60">
        <v>1.0</v>
      </c>
      <c r="H6734" s="60">
        <v>0.666666666666666</v>
      </c>
      <c r="I6734" s="60">
        <v>3.38561833333333</v>
      </c>
      <c r="J6734" s="59">
        <v>4.0</v>
      </c>
      <c r="K6734" s="61">
        <f t="shared" si="1"/>
        <v>1</v>
      </c>
      <c r="L6734" s="62">
        <f t="shared" si="2"/>
        <v>1.333333333</v>
      </c>
    </row>
    <row r="6735">
      <c r="A6735" s="58">
        <v>45627.0</v>
      </c>
      <c r="B6735" s="24" t="s">
        <v>6789</v>
      </c>
      <c r="C6735" s="24" t="s">
        <v>6922</v>
      </c>
      <c r="D6735" s="59">
        <v>3.0</v>
      </c>
      <c r="E6735" s="59">
        <v>3.0</v>
      </c>
      <c r="F6735" s="59">
        <v>1.0</v>
      </c>
      <c r="G6735" s="60">
        <v>1.0</v>
      </c>
      <c r="H6735" s="60">
        <v>0.333333333333333</v>
      </c>
      <c r="I6735" s="60">
        <v>400.022036</v>
      </c>
      <c r="J6735" s="59">
        <v>7.0</v>
      </c>
      <c r="K6735" s="61">
        <f t="shared" si="1"/>
        <v>0.3333333333</v>
      </c>
      <c r="L6735" s="62">
        <f t="shared" si="2"/>
        <v>2.333333333</v>
      </c>
    </row>
    <row r="6736">
      <c r="A6736" s="58">
        <v>45627.0</v>
      </c>
      <c r="B6736" s="24" t="s">
        <v>7030</v>
      </c>
      <c r="C6736" s="24" t="s">
        <v>6788</v>
      </c>
      <c r="D6736" s="59">
        <v>2.0</v>
      </c>
      <c r="E6736" s="59">
        <v>2.0</v>
      </c>
      <c r="F6736" s="59">
        <v>1.0</v>
      </c>
      <c r="G6736" s="60">
        <v>1.0</v>
      </c>
      <c r="H6736" s="60">
        <v>0.5</v>
      </c>
      <c r="I6736" s="60">
        <v>567.6104625</v>
      </c>
      <c r="J6736" s="59">
        <v>3.0</v>
      </c>
      <c r="K6736" s="61">
        <f t="shared" si="1"/>
        <v>0.5</v>
      </c>
      <c r="L6736" s="62">
        <f t="shared" si="2"/>
        <v>1.5</v>
      </c>
    </row>
    <row r="6737">
      <c r="A6737" s="58">
        <v>45627.0</v>
      </c>
      <c r="B6737" s="24" t="s">
        <v>155</v>
      </c>
      <c r="C6737" s="24" t="s">
        <v>6817</v>
      </c>
      <c r="D6737" s="59">
        <v>2.0</v>
      </c>
      <c r="E6737" s="59">
        <v>6.0</v>
      </c>
      <c r="F6737" s="59">
        <v>0.0</v>
      </c>
      <c r="G6737" s="60">
        <v>3.0</v>
      </c>
      <c r="H6737" s="60">
        <v>0.166666666666666</v>
      </c>
      <c r="I6737" s="60">
        <v>2266.94704316666</v>
      </c>
      <c r="J6737" s="59">
        <v>78.0</v>
      </c>
      <c r="K6737" s="61">
        <f t="shared" si="1"/>
        <v>0</v>
      </c>
      <c r="L6737" s="62">
        <f t="shared" si="2"/>
        <v>13</v>
      </c>
    </row>
    <row r="6738">
      <c r="A6738" s="58">
        <v>45627.0</v>
      </c>
      <c r="B6738" s="24" t="s">
        <v>6789</v>
      </c>
      <c r="C6738" s="24" t="s">
        <v>6953</v>
      </c>
      <c r="D6738" s="59">
        <v>2.0</v>
      </c>
      <c r="E6738" s="59">
        <v>2.0</v>
      </c>
      <c r="F6738" s="59">
        <v>2.0</v>
      </c>
      <c r="G6738" s="60">
        <v>1.0</v>
      </c>
      <c r="H6738" s="60">
        <v>0.5</v>
      </c>
      <c r="I6738" s="60">
        <v>49.409108</v>
      </c>
      <c r="J6738" s="59">
        <v>2.0</v>
      </c>
      <c r="K6738" s="61">
        <f t="shared" si="1"/>
        <v>1</v>
      </c>
      <c r="L6738" s="62">
        <f t="shared" si="2"/>
        <v>1</v>
      </c>
    </row>
    <row r="6739">
      <c r="A6739" s="58">
        <v>45627.0</v>
      </c>
      <c r="B6739" s="24" t="s">
        <v>6789</v>
      </c>
      <c r="C6739" s="24" t="s">
        <v>7057</v>
      </c>
      <c r="D6739" s="59">
        <v>2.0</v>
      </c>
      <c r="E6739" s="59">
        <v>2.0</v>
      </c>
      <c r="F6739" s="59">
        <v>2.0</v>
      </c>
      <c r="G6739" s="60">
        <v>1.0</v>
      </c>
      <c r="H6739" s="60">
        <v>1.0</v>
      </c>
      <c r="I6739" s="60">
        <v>0.0</v>
      </c>
      <c r="J6739" s="59">
        <v>2.0</v>
      </c>
      <c r="K6739" s="61">
        <f t="shared" si="1"/>
        <v>1</v>
      </c>
      <c r="L6739" s="62">
        <f t="shared" si="2"/>
        <v>1</v>
      </c>
    </row>
    <row r="6740">
      <c r="A6740" s="58">
        <v>45627.0</v>
      </c>
      <c r="B6740" s="24" t="s">
        <v>6787</v>
      </c>
      <c r="C6740" s="24" t="s">
        <v>7058</v>
      </c>
      <c r="D6740" s="59">
        <v>2.0</v>
      </c>
      <c r="E6740" s="59">
        <v>2.0</v>
      </c>
      <c r="F6740" s="59">
        <v>1.0</v>
      </c>
      <c r="G6740" s="60">
        <v>1.0</v>
      </c>
      <c r="H6740" s="60">
        <v>0.5</v>
      </c>
      <c r="I6740" s="60">
        <v>617.7369145</v>
      </c>
      <c r="J6740" s="59">
        <v>2.0</v>
      </c>
      <c r="K6740" s="61">
        <f t="shared" si="1"/>
        <v>0.5</v>
      </c>
      <c r="L6740" s="62">
        <f t="shared" si="2"/>
        <v>1</v>
      </c>
    </row>
    <row r="6741">
      <c r="A6741" s="58">
        <v>45627.0</v>
      </c>
      <c r="B6741" s="24" t="s">
        <v>6789</v>
      </c>
      <c r="C6741" s="24" t="s">
        <v>7059</v>
      </c>
      <c r="D6741" s="59">
        <v>2.0</v>
      </c>
      <c r="E6741" s="59">
        <v>2.0</v>
      </c>
      <c r="F6741" s="59">
        <v>2.0</v>
      </c>
      <c r="G6741" s="60">
        <v>1.0</v>
      </c>
      <c r="H6741" s="60">
        <v>0.5</v>
      </c>
      <c r="I6741" s="60">
        <v>16.129932</v>
      </c>
      <c r="J6741" s="59">
        <v>2.0</v>
      </c>
      <c r="K6741" s="61">
        <f t="shared" si="1"/>
        <v>1</v>
      </c>
      <c r="L6741" s="62">
        <f t="shared" si="2"/>
        <v>1</v>
      </c>
    </row>
    <row r="6742">
      <c r="A6742" s="58">
        <v>45627.0</v>
      </c>
      <c r="B6742" s="24" t="s">
        <v>6787</v>
      </c>
      <c r="C6742" s="24" t="s">
        <v>6985</v>
      </c>
      <c r="D6742" s="59">
        <v>2.0</v>
      </c>
      <c r="E6742" s="59">
        <v>2.0</v>
      </c>
      <c r="F6742" s="59">
        <v>2.0</v>
      </c>
      <c r="G6742" s="60">
        <v>1.0</v>
      </c>
      <c r="H6742" s="60">
        <v>1.0</v>
      </c>
      <c r="I6742" s="60">
        <v>0.0</v>
      </c>
      <c r="J6742" s="59">
        <v>2.0</v>
      </c>
      <c r="K6742" s="61">
        <f t="shared" si="1"/>
        <v>1</v>
      </c>
      <c r="L6742" s="62">
        <f t="shared" si="2"/>
        <v>1</v>
      </c>
    </row>
    <row r="6743">
      <c r="A6743" s="58">
        <v>45627.0</v>
      </c>
      <c r="B6743" s="24" t="s">
        <v>6789</v>
      </c>
      <c r="C6743" s="24" t="s">
        <v>6833</v>
      </c>
      <c r="D6743" s="59">
        <v>2.0</v>
      </c>
      <c r="E6743" s="59">
        <v>5.0</v>
      </c>
      <c r="F6743" s="59">
        <v>2.0</v>
      </c>
      <c r="G6743" s="60">
        <v>2.5</v>
      </c>
      <c r="H6743" s="60">
        <v>0.6</v>
      </c>
      <c r="I6743" s="60">
        <v>30.1010702</v>
      </c>
      <c r="J6743" s="59">
        <v>5.0</v>
      </c>
      <c r="K6743" s="61">
        <f t="shared" si="1"/>
        <v>0.4</v>
      </c>
      <c r="L6743" s="62">
        <f t="shared" si="2"/>
        <v>1</v>
      </c>
    </row>
    <row r="6744">
      <c r="A6744" s="58">
        <v>45627.0</v>
      </c>
      <c r="B6744" s="24" t="s">
        <v>6787</v>
      </c>
      <c r="C6744" s="24" t="s">
        <v>6867</v>
      </c>
      <c r="D6744" s="59">
        <v>2.0</v>
      </c>
      <c r="E6744" s="59">
        <v>2.0</v>
      </c>
      <c r="F6744" s="59">
        <v>2.0</v>
      </c>
      <c r="G6744" s="60">
        <v>1.0</v>
      </c>
      <c r="H6744" s="60">
        <v>1.0</v>
      </c>
      <c r="I6744" s="60">
        <v>0.0</v>
      </c>
      <c r="J6744" s="59">
        <v>2.0</v>
      </c>
      <c r="K6744" s="61">
        <f t="shared" si="1"/>
        <v>1</v>
      </c>
      <c r="L6744" s="62">
        <f t="shared" si="2"/>
        <v>1</v>
      </c>
    </row>
    <row r="6745">
      <c r="A6745" s="58">
        <v>45627.0</v>
      </c>
      <c r="B6745" s="24" t="s">
        <v>6789</v>
      </c>
      <c r="C6745" s="24" t="s">
        <v>7063</v>
      </c>
      <c r="D6745" s="59">
        <v>2.0</v>
      </c>
      <c r="E6745" s="59">
        <v>2.0</v>
      </c>
      <c r="F6745" s="59">
        <v>2.0</v>
      </c>
      <c r="G6745" s="60">
        <v>1.0</v>
      </c>
      <c r="H6745" s="60">
        <v>0.0</v>
      </c>
      <c r="I6745" s="60">
        <v>126.5512655</v>
      </c>
      <c r="J6745" s="59">
        <v>5.0</v>
      </c>
      <c r="K6745" s="61">
        <f t="shared" si="1"/>
        <v>1</v>
      </c>
      <c r="L6745" s="62">
        <f t="shared" si="2"/>
        <v>2.5</v>
      </c>
    </row>
    <row r="6746">
      <c r="A6746" s="58">
        <v>45627.0</v>
      </c>
      <c r="B6746" s="24" t="s">
        <v>6787</v>
      </c>
      <c r="C6746" s="24" t="s">
        <v>6880</v>
      </c>
      <c r="D6746" s="59">
        <v>2.0</v>
      </c>
      <c r="E6746" s="59">
        <v>2.0</v>
      </c>
      <c r="F6746" s="59">
        <v>2.0</v>
      </c>
      <c r="G6746" s="60">
        <v>1.0</v>
      </c>
      <c r="H6746" s="60">
        <v>1.0</v>
      </c>
      <c r="I6746" s="60">
        <v>2.5575285</v>
      </c>
      <c r="J6746" s="59">
        <v>2.0</v>
      </c>
      <c r="K6746" s="61">
        <f t="shared" si="1"/>
        <v>1</v>
      </c>
      <c r="L6746" s="62">
        <f t="shared" si="2"/>
        <v>1</v>
      </c>
    </row>
    <row r="6747">
      <c r="A6747" s="58">
        <v>45627.0</v>
      </c>
      <c r="B6747" s="24" t="s">
        <v>6789</v>
      </c>
      <c r="C6747" s="24" t="s">
        <v>6880</v>
      </c>
      <c r="D6747" s="59">
        <v>2.0</v>
      </c>
      <c r="E6747" s="59">
        <v>2.0</v>
      </c>
      <c r="F6747" s="59">
        <v>2.0</v>
      </c>
      <c r="G6747" s="60">
        <v>1.0</v>
      </c>
      <c r="H6747" s="60">
        <v>0.0</v>
      </c>
      <c r="I6747" s="60">
        <v>102.191152</v>
      </c>
      <c r="J6747" s="59">
        <v>2.0</v>
      </c>
      <c r="K6747" s="61">
        <f t="shared" si="1"/>
        <v>1</v>
      </c>
      <c r="L6747" s="62">
        <f t="shared" si="2"/>
        <v>1</v>
      </c>
    </row>
    <row r="6748">
      <c r="A6748" s="58">
        <v>45627.0</v>
      </c>
      <c r="B6748" s="24" t="s">
        <v>6794</v>
      </c>
      <c r="C6748" s="24" t="s">
        <v>6880</v>
      </c>
      <c r="D6748" s="59">
        <v>2.0</v>
      </c>
      <c r="E6748" s="59">
        <v>4.0</v>
      </c>
      <c r="F6748" s="59">
        <v>2.0</v>
      </c>
      <c r="G6748" s="60">
        <v>2.0</v>
      </c>
      <c r="H6748" s="60">
        <v>0.5</v>
      </c>
      <c r="I6748" s="60">
        <v>102.327870749999</v>
      </c>
      <c r="J6748" s="59">
        <v>4.0</v>
      </c>
      <c r="K6748" s="61">
        <f t="shared" si="1"/>
        <v>0.5</v>
      </c>
      <c r="L6748" s="62">
        <f t="shared" si="2"/>
        <v>1</v>
      </c>
    </row>
    <row r="6749">
      <c r="A6749" s="58">
        <v>45627.0</v>
      </c>
      <c r="B6749" s="24" t="s">
        <v>6787</v>
      </c>
      <c r="C6749" s="24" t="s">
        <v>6882</v>
      </c>
      <c r="D6749" s="59">
        <v>2.0</v>
      </c>
      <c r="E6749" s="59">
        <v>2.0</v>
      </c>
      <c r="F6749" s="59">
        <v>2.0</v>
      </c>
      <c r="G6749" s="60">
        <v>1.0</v>
      </c>
      <c r="H6749" s="60">
        <v>1.0</v>
      </c>
      <c r="I6749" s="60">
        <v>0.0</v>
      </c>
      <c r="J6749" s="59">
        <v>2.0</v>
      </c>
      <c r="K6749" s="61">
        <f t="shared" si="1"/>
        <v>1</v>
      </c>
      <c r="L6749" s="62">
        <f t="shared" si="2"/>
        <v>1</v>
      </c>
    </row>
    <row r="6750">
      <c r="A6750" s="58">
        <v>45627.0</v>
      </c>
      <c r="B6750" s="24" t="s">
        <v>155</v>
      </c>
      <c r="C6750" s="24" t="s">
        <v>6882</v>
      </c>
      <c r="D6750" s="59">
        <v>2.0</v>
      </c>
      <c r="E6750" s="59">
        <v>2.0</v>
      </c>
      <c r="F6750" s="59">
        <v>0.0</v>
      </c>
      <c r="G6750" s="60">
        <v>1.0</v>
      </c>
      <c r="H6750" s="60">
        <v>1.0</v>
      </c>
      <c r="I6750" s="60">
        <v>4.1619615</v>
      </c>
      <c r="J6750" s="59">
        <v>2.0</v>
      </c>
      <c r="K6750" s="61">
        <f t="shared" si="1"/>
        <v>0</v>
      </c>
      <c r="L6750" s="62">
        <f t="shared" si="2"/>
        <v>1</v>
      </c>
    </row>
    <row r="6751">
      <c r="A6751" s="58">
        <v>45627.0</v>
      </c>
      <c r="B6751" s="24" t="s">
        <v>6787</v>
      </c>
      <c r="C6751" s="24" t="s">
        <v>6990</v>
      </c>
      <c r="D6751" s="59">
        <v>2.0</v>
      </c>
      <c r="E6751" s="59">
        <v>2.0</v>
      </c>
      <c r="F6751" s="59">
        <v>2.0</v>
      </c>
      <c r="G6751" s="60">
        <v>1.0</v>
      </c>
      <c r="H6751" s="60">
        <v>1.0</v>
      </c>
      <c r="I6751" s="60">
        <v>0.0</v>
      </c>
      <c r="J6751" s="59">
        <v>2.0</v>
      </c>
      <c r="K6751" s="61">
        <f t="shared" si="1"/>
        <v>1</v>
      </c>
      <c r="L6751" s="62">
        <f t="shared" si="2"/>
        <v>1</v>
      </c>
    </row>
    <row r="6752">
      <c r="A6752" s="58">
        <v>45627.0</v>
      </c>
      <c r="B6752" s="24" t="s">
        <v>6787</v>
      </c>
      <c r="C6752" s="24" t="s">
        <v>6886</v>
      </c>
      <c r="D6752" s="59">
        <v>2.0</v>
      </c>
      <c r="E6752" s="59">
        <v>2.0</v>
      </c>
      <c r="F6752" s="59">
        <v>1.0</v>
      </c>
      <c r="G6752" s="60">
        <v>1.0</v>
      </c>
      <c r="H6752" s="60">
        <v>0.5</v>
      </c>
      <c r="I6752" s="60">
        <v>36.1460025</v>
      </c>
      <c r="J6752" s="59">
        <v>5.0</v>
      </c>
      <c r="K6752" s="61">
        <f t="shared" si="1"/>
        <v>0.5</v>
      </c>
      <c r="L6752" s="62">
        <f t="shared" si="2"/>
        <v>2.5</v>
      </c>
    </row>
    <row r="6753">
      <c r="A6753" s="58">
        <v>45627.0</v>
      </c>
      <c r="B6753" s="24" t="s">
        <v>6789</v>
      </c>
      <c r="C6753" s="24" t="s">
        <v>6886</v>
      </c>
      <c r="D6753" s="59">
        <v>2.0</v>
      </c>
      <c r="E6753" s="59">
        <v>3.0</v>
      </c>
      <c r="F6753" s="59">
        <v>0.0</v>
      </c>
      <c r="G6753" s="60">
        <v>1.5</v>
      </c>
      <c r="H6753" s="60">
        <v>0.333333333333333</v>
      </c>
      <c r="I6753" s="60">
        <v>871.159799333333</v>
      </c>
      <c r="J6753" s="59">
        <v>5.0</v>
      </c>
      <c r="K6753" s="61">
        <f t="shared" si="1"/>
        <v>0</v>
      </c>
      <c r="L6753" s="62">
        <f t="shared" si="2"/>
        <v>1.666666667</v>
      </c>
    </row>
    <row r="6754">
      <c r="A6754" s="58">
        <v>45627.0</v>
      </c>
      <c r="B6754" s="24" t="s">
        <v>6787</v>
      </c>
      <c r="C6754" s="24" t="s">
        <v>6838</v>
      </c>
      <c r="D6754" s="59">
        <v>2.0</v>
      </c>
      <c r="E6754" s="59">
        <v>2.0</v>
      </c>
      <c r="F6754" s="59">
        <v>2.0</v>
      </c>
      <c r="G6754" s="60">
        <v>1.0</v>
      </c>
      <c r="H6754" s="60">
        <v>0.5</v>
      </c>
      <c r="I6754" s="60">
        <v>316.657859</v>
      </c>
      <c r="J6754" s="59">
        <v>6.0</v>
      </c>
      <c r="K6754" s="61">
        <f t="shared" si="1"/>
        <v>1</v>
      </c>
      <c r="L6754" s="62">
        <f t="shared" si="2"/>
        <v>3</v>
      </c>
    </row>
    <row r="6755">
      <c r="A6755" s="58">
        <v>45627.0</v>
      </c>
      <c r="B6755" s="24" t="s">
        <v>6787</v>
      </c>
      <c r="C6755" s="24" t="s">
        <v>7021</v>
      </c>
      <c r="D6755" s="59">
        <v>2.0</v>
      </c>
      <c r="E6755" s="59">
        <v>2.0</v>
      </c>
      <c r="F6755" s="59">
        <v>1.0</v>
      </c>
      <c r="G6755" s="60">
        <v>1.0</v>
      </c>
      <c r="H6755" s="60">
        <v>1.0</v>
      </c>
      <c r="I6755" s="60">
        <v>2.791923</v>
      </c>
      <c r="J6755" s="59">
        <v>2.0</v>
      </c>
      <c r="K6755" s="61">
        <f t="shared" si="1"/>
        <v>0.5</v>
      </c>
      <c r="L6755" s="62">
        <f t="shared" si="2"/>
        <v>1</v>
      </c>
    </row>
    <row r="6756">
      <c r="A6756" s="58">
        <v>45627.0</v>
      </c>
      <c r="B6756" s="24" t="s">
        <v>6789</v>
      </c>
      <c r="C6756" s="24" t="s">
        <v>6822</v>
      </c>
      <c r="D6756" s="59">
        <v>2.0</v>
      </c>
      <c r="E6756" s="59">
        <v>2.0</v>
      </c>
      <c r="F6756" s="59">
        <v>0.0</v>
      </c>
      <c r="G6756" s="60">
        <v>1.0</v>
      </c>
      <c r="H6756" s="60">
        <v>0.5</v>
      </c>
      <c r="I6756" s="60">
        <v>177.5076985</v>
      </c>
      <c r="J6756" s="59">
        <v>2.0</v>
      </c>
      <c r="K6756" s="61">
        <f t="shared" si="1"/>
        <v>0</v>
      </c>
      <c r="L6756" s="62">
        <f t="shared" si="2"/>
        <v>1</v>
      </c>
    </row>
    <row r="6757">
      <c r="A6757" s="58">
        <v>45627.0</v>
      </c>
      <c r="B6757" s="24" t="s">
        <v>6787</v>
      </c>
      <c r="C6757" s="24" t="s">
        <v>6840</v>
      </c>
      <c r="D6757" s="59">
        <v>2.0</v>
      </c>
      <c r="E6757" s="59">
        <v>6.0</v>
      </c>
      <c r="F6757" s="59">
        <v>1.0</v>
      </c>
      <c r="G6757" s="60">
        <v>6.0</v>
      </c>
      <c r="H6757" s="60">
        <v>1.0</v>
      </c>
      <c r="I6757" s="60">
        <v>0.0</v>
      </c>
      <c r="J6757" s="59">
        <v>6.0</v>
      </c>
      <c r="K6757" s="61">
        <f t="shared" si="1"/>
        <v>0.1666666667</v>
      </c>
      <c r="L6757" s="62">
        <f t="shared" si="2"/>
        <v>1</v>
      </c>
    </row>
    <row r="6758">
      <c r="A6758" s="58">
        <v>45627.0</v>
      </c>
      <c r="B6758" s="24" t="s">
        <v>6789</v>
      </c>
      <c r="C6758" s="24" t="s">
        <v>6897</v>
      </c>
      <c r="D6758" s="59">
        <v>2.0</v>
      </c>
      <c r="E6758" s="59">
        <v>3.0</v>
      </c>
      <c r="F6758" s="59">
        <v>1.0</v>
      </c>
      <c r="G6758" s="60">
        <v>1.5</v>
      </c>
      <c r="H6758" s="60">
        <v>0.333333333333333</v>
      </c>
      <c r="I6758" s="60">
        <v>191.467987333333</v>
      </c>
      <c r="J6758" s="59">
        <v>6.0</v>
      </c>
      <c r="K6758" s="61">
        <f t="shared" si="1"/>
        <v>0.3333333333</v>
      </c>
      <c r="L6758" s="62">
        <f t="shared" si="2"/>
        <v>2</v>
      </c>
    </row>
    <row r="6759">
      <c r="A6759" s="58">
        <v>45627.0</v>
      </c>
      <c r="B6759" s="24" t="s">
        <v>6787</v>
      </c>
      <c r="C6759" s="24" t="s">
        <v>6841</v>
      </c>
      <c r="D6759" s="59">
        <v>2.0</v>
      </c>
      <c r="E6759" s="59">
        <v>2.0</v>
      </c>
      <c r="F6759" s="59">
        <v>2.0</v>
      </c>
      <c r="G6759" s="60">
        <v>1.0</v>
      </c>
      <c r="H6759" s="60">
        <v>0.5</v>
      </c>
      <c r="I6759" s="60">
        <v>227.221271</v>
      </c>
      <c r="J6759" s="59">
        <v>3.0</v>
      </c>
      <c r="K6759" s="61">
        <f t="shared" si="1"/>
        <v>1</v>
      </c>
      <c r="L6759" s="62">
        <f t="shared" si="2"/>
        <v>1.5</v>
      </c>
    </row>
    <row r="6760">
      <c r="A6760" s="58">
        <v>45627.0</v>
      </c>
      <c r="B6760" s="24" t="s">
        <v>6787</v>
      </c>
      <c r="C6760" s="24" t="s">
        <v>6898</v>
      </c>
      <c r="D6760" s="59">
        <v>2.0</v>
      </c>
      <c r="E6760" s="59">
        <v>2.0</v>
      </c>
      <c r="F6760" s="59">
        <v>2.0</v>
      </c>
      <c r="G6760" s="60">
        <v>1.0</v>
      </c>
      <c r="H6760" s="60">
        <v>0.0</v>
      </c>
      <c r="I6760" s="60">
        <v>15.923196</v>
      </c>
      <c r="J6760" s="59">
        <v>2.0</v>
      </c>
      <c r="K6760" s="61">
        <f t="shared" si="1"/>
        <v>1</v>
      </c>
      <c r="L6760" s="62">
        <f t="shared" si="2"/>
        <v>1</v>
      </c>
    </row>
    <row r="6761">
      <c r="A6761" s="58">
        <v>45627.0</v>
      </c>
      <c r="B6761" s="24" t="s">
        <v>6789</v>
      </c>
      <c r="C6761" s="24" t="s">
        <v>6806</v>
      </c>
      <c r="D6761" s="59">
        <v>2.0</v>
      </c>
      <c r="E6761" s="59">
        <v>3.0</v>
      </c>
      <c r="F6761" s="59">
        <v>1.0</v>
      </c>
      <c r="G6761" s="60">
        <v>1.5</v>
      </c>
      <c r="H6761" s="60">
        <v>0.333333333333333</v>
      </c>
      <c r="I6761" s="60">
        <v>483.680213666666</v>
      </c>
      <c r="J6761" s="59">
        <v>12.0</v>
      </c>
      <c r="K6761" s="61">
        <f t="shared" si="1"/>
        <v>0.3333333333</v>
      </c>
      <c r="L6761" s="62">
        <f t="shared" si="2"/>
        <v>4</v>
      </c>
    </row>
    <row r="6762">
      <c r="A6762" s="58">
        <v>45627.0</v>
      </c>
      <c r="B6762" s="24" t="s">
        <v>6787</v>
      </c>
      <c r="C6762" s="24" t="s">
        <v>7509</v>
      </c>
      <c r="D6762" s="59">
        <v>2.0</v>
      </c>
      <c r="E6762" s="59">
        <v>2.0</v>
      </c>
      <c r="F6762" s="59">
        <v>2.0</v>
      </c>
      <c r="G6762" s="60">
        <v>1.0</v>
      </c>
      <c r="H6762" s="60">
        <v>0.5</v>
      </c>
      <c r="I6762" s="60">
        <v>26.4943735</v>
      </c>
      <c r="J6762" s="59">
        <v>7.0</v>
      </c>
      <c r="K6762" s="61">
        <f t="shared" si="1"/>
        <v>1</v>
      </c>
      <c r="L6762" s="62">
        <f t="shared" si="2"/>
        <v>3.5</v>
      </c>
    </row>
    <row r="6763">
      <c r="A6763" s="58">
        <v>45627.0</v>
      </c>
      <c r="B6763" s="24" t="s">
        <v>6789</v>
      </c>
      <c r="C6763" s="24" t="s">
        <v>6904</v>
      </c>
      <c r="D6763" s="59">
        <v>2.0</v>
      </c>
      <c r="E6763" s="59">
        <v>2.0</v>
      </c>
      <c r="F6763" s="59">
        <v>0.0</v>
      </c>
      <c r="G6763" s="60">
        <v>2.0</v>
      </c>
      <c r="H6763" s="60">
        <v>1.0</v>
      </c>
      <c r="I6763" s="60">
        <v>0.0</v>
      </c>
      <c r="J6763" s="59">
        <v>2.0</v>
      </c>
      <c r="K6763" s="61">
        <f t="shared" si="1"/>
        <v>0</v>
      </c>
      <c r="L6763" s="62">
        <f t="shared" si="2"/>
        <v>1</v>
      </c>
    </row>
    <row r="6764">
      <c r="A6764" s="58">
        <v>45627.0</v>
      </c>
      <c r="B6764" s="24" t="s">
        <v>6789</v>
      </c>
      <c r="C6764" s="24" t="s">
        <v>7236</v>
      </c>
      <c r="D6764" s="59">
        <v>2.0</v>
      </c>
      <c r="E6764" s="59">
        <v>2.0</v>
      </c>
      <c r="F6764" s="59">
        <v>2.0</v>
      </c>
      <c r="G6764" s="60">
        <v>1.0</v>
      </c>
      <c r="H6764" s="60">
        <v>0.5</v>
      </c>
      <c r="I6764" s="60">
        <v>131.4938585</v>
      </c>
      <c r="J6764" s="59">
        <v>2.0</v>
      </c>
      <c r="K6764" s="61">
        <f t="shared" si="1"/>
        <v>1</v>
      </c>
      <c r="L6764" s="62">
        <f t="shared" si="2"/>
        <v>1</v>
      </c>
    </row>
    <row r="6765">
      <c r="A6765" s="58">
        <v>45627.0</v>
      </c>
      <c r="B6765" s="24" t="s">
        <v>6789</v>
      </c>
      <c r="C6765" s="24" t="s">
        <v>7087</v>
      </c>
      <c r="D6765" s="59">
        <v>2.0</v>
      </c>
      <c r="E6765" s="59">
        <v>2.0</v>
      </c>
      <c r="F6765" s="59">
        <v>1.0</v>
      </c>
      <c r="G6765" s="60">
        <v>1.0</v>
      </c>
      <c r="H6765" s="60">
        <v>0.0</v>
      </c>
      <c r="I6765" s="60">
        <v>1578.8197425</v>
      </c>
      <c r="J6765" s="59">
        <v>12.0</v>
      </c>
      <c r="K6765" s="61">
        <f t="shared" si="1"/>
        <v>0.5</v>
      </c>
      <c r="L6765" s="62">
        <f t="shared" si="2"/>
        <v>6</v>
      </c>
    </row>
    <row r="6766">
      <c r="A6766" s="58">
        <v>45627.0</v>
      </c>
      <c r="B6766" s="24" t="s">
        <v>6789</v>
      </c>
      <c r="C6766" s="24" t="s">
        <v>7026</v>
      </c>
      <c r="D6766" s="59">
        <v>2.0</v>
      </c>
      <c r="E6766" s="59">
        <v>2.0</v>
      </c>
      <c r="F6766" s="59">
        <v>1.0</v>
      </c>
      <c r="G6766" s="60">
        <v>1.0</v>
      </c>
      <c r="H6766" s="60">
        <v>0.0</v>
      </c>
      <c r="I6766" s="60">
        <v>111.557424</v>
      </c>
      <c r="J6766" s="59">
        <v>4.0</v>
      </c>
      <c r="K6766" s="61">
        <f t="shared" si="1"/>
        <v>0.5</v>
      </c>
      <c r="L6766" s="62">
        <f t="shared" si="2"/>
        <v>2</v>
      </c>
    </row>
    <row r="6767">
      <c r="A6767" s="58">
        <v>45627.0</v>
      </c>
      <c r="B6767" s="24" t="s">
        <v>6789</v>
      </c>
      <c r="C6767" s="24" t="s">
        <v>7022</v>
      </c>
      <c r="D6767" s="59">
        <v>2.0</v>
      </c>
      <c r="E6767" s="59">
        <v>3.0</v>
      </c>
      <c r="F6767" s="59">
        <v>0.0</v>
      </c>
      <c r="G6767" s="60">
        <v>1.5</v>
      </c>
      <c r="H6767" s="60">
        <v>0.666666666666666</v>
      </c>
      <c r="I6767" s="60">
        <v>318.804311</v>
      </c>
      <c r="J6767" s="59">
        <v>9.0</v>
      </c>
      <c r="K6767" s="61">
        <f t="shared" si="1"/>
        <v>0</v>
      </c>
      <c r="L6767" s="62">
        <f t="shared" si="2"/>
        <v>3</v>
      </c>
    </row>
    <row r="6768">
      <c r="A6768" s="58">
        <v>45627.0</v>
      </c>
      <c r="B6768" s="24" t="s">
        <v>6789</v>
      </c>
      <c r="C6768" s="24" t="s">
        <v>7136</v>
      </c>
      <c r="D6768" s="59">
        <v>2.0</v>
      </c>
      <c r="E6768" s="59">
        <v>2.0</v>
      </c>
      <c r="F6768" s="59">
        <v>2.0</v>
      </c>
      <c r="G6768" s="60">
        <v>1.0</v>
      </c>
      <c r="H6768" s="60">
        <v>0.0</v>
      </c>
      <c r="I6768" s="60">
        <v>106.1252945</v>
      </c>
      <c r="J6768" s="59">
        <v>3.0</v>
      </c>
      <c r="K6768" s="61">
        <f t="shared" si="1"/>
        <v>1</v>
      </c>
      <c r="L6768" s="62">
        <f t="shared" si="2"/>
        <v>1.5</v>
      </c>
    </row>
    <row r="6769">
      <c r="A6769" s="58">
        <v>45627.0</v>
      </c>
      <c r="B6769" s="24" t="s">
        <v>6789</v>
      </c>
      <c r="C6769" s="24" t="s">
        <v>7184</v>
      </c>
      <c r="D6769" s="59">
        <v>2.0</v>
      </c>
      <c r="E6769" s="59">
        <v>2.0</v>
      </c>
      <c r="F6769" s="59">
        <v>2.0</v>
      </c>
      <c r="G6769" s="60">
        <v>1.0</v>
      </c>
      <c r="H6769" s="60">
        <v>0.5</v>
      </c>
      <c r="I6769" s="60">
        <v>599.8723105</v>
      </c>
      <c r="J6769" s="59">
        <v>2.0</v>
      </c>
      <c r="K6769" s="61">
        <f t="shared" si="1"/>
        <v>1</v>
      </c>
      <c r="L6769" s="62">
        <f t="shared" si="2"/>
        <v>1</v>
      </c>
    </row>
    <row r="6770">
      <c r="A6770" s="58">
        <v>45627.0</v>
      </c>
      <c r="B6770" s="24" t="s">
        <v>6787</v>
      </c>
      <c r="C6770" s="24" t="s">
        <v>7101</v>
      </c>
      <c r="D6770" s="59">
        <v>2.0</v>
      </c>
      <c r="E6770" s="59">
        <v>2.0</v>
      </c>
      <c r="F6770" s="59">
        <v>2.0</v>
      </c>
      <c r="G6770" s="60">
        <v>1.0</v>
      </c>
      <c r="H6770" s="60">
        <v>1.0</v>
      </c>
      <c r="I6770" s="60">
        <v>0.0</v>
      </c>
      <c r="J6770" s="59">
        <v>2.0</v>
      </c>
      <c r="K6770" s="61">
        <f t="shared" si="1"/>
        <v>1</v>
      </c>
      <c r="L6770" s="62">
        <f t="shared" si="2"/>
        <v>1</v>
      </c>
    </row>
    <row r="6771">
      <c r="A6771" s="58">
        <v>45627.0</v>
      </c>
      <c r="B6771" s="24" t="s">
        <v>6787</v>
      </c>
      <c r="C6771" s="24" t="s">
        <v>6908</v>
      </c>
      <c r="D6771" s="59">
        <v>2.0</v>
      </c>
      <c r="E6771" s="59">
        <v>2.0</v>
      </c>
      <c r="F6771" s="59">
        <v>2.0</v>
      </c>
      <c r="G6771" s="60">
        <v>1.0</v>
      </c>
      <c r="H6771" s="60">
        <v>1.0</v>
      </c>
      <c r="I6771" s="60">
        <v>0.0</v>
      </c>
      <c r="J6771" s="59">
        <v>2.0</v>
      </c>
      <c r="K6771" s="61">
        <f t="shared" si="1"/>
        <v>1</v>
      </c>
      <c r="L6771" s="62">
        <f t="shared" si="2"/>
        <v>1</v>
      </c>
    </row>
    <row r="6772">
      <c r="A6772" s="58">
        <v>45627.0</v>
      </c>
      <c r="B6772" s="24" t="s">
        <v>6789</v>
      </c>
      <c r="C6772" s="24" t="s">
        <v>6908</v>
      </c>
      <c r="D6772" s="59">
        <v>2.0</v>
      </c>
      <c r="E6772" s="59">
        <v>2.0</v>
      </c>
      <c r="F6772" s="59">
        <v>0.0</v>
      </c>
      <c r="G6772" s="60">
        <v>1.0</v>
      </c>
      <c r="H6772" s="60">
        <v>0.0</v>
      </c>
      <c r="I6772" s="60">
        <v>103.135405499999</v>
      </c>
      <c r="J6772" s="59">
        <v>4.0</v>
      </c>
      <c r="K6772" s="61">
        <f t="shared" si="1"/>
        <v>0</v>
      </c>
      <c r="L6772" s="62">
        <f t="shared" si="2"/>
        <v>2</v>
      </c>
    </row>
    <row r="6773">
      <c r="A6773" s="58">
        <v>45627.0</v>
      </c>
      <c r="B6773" s="24" t="s">
        <v>6787</v>
      </c>
      <c r="C6773" s="24" t="s">
        <v>7104</v>
      </c>
      <c r="D6773" s="59">
        <v>2.0</v>
      </c>
      <c r="E6773" s="59">
        <v>2.0</v>
      </c>
      <c r="F6773" s="59">
        <v>2.0</v>
      </c>
      <c r="G6773" s="60">
        <v>1.0</v>
      </c>
      <c r="H6773" s="60">
        <v>1.0</v>
      </c>
      <c r="I6773" s="60">
        <v>0.0</v>
      </c>
      <c r="J6773" s="59">
        <v>2.0</v>
      </c>
      <c r="K6773" s="61">
        <f t="shared" si="1"/>
        <v>1</v>
      </c>
      <c r="L6773" s="62">
        <f t="shared" si="2"/>
        <v>1</v>
      </c>
    </row>
    <row r="6774">
      <c r="A6774" s="58">
        <v>45627.0</v>
      </c>
      <c r="B6774" s="24" t="s">
        <v>6789</v>
      </c>
      <c r="C6774" s="24" t="s">
        <v>6912</v>
      </c>
      <c r="D6774" s="59">
        <v>2.0</v>
      </c>
      <c r="E6774" s="59">
        <v>2.0</v>
      </c>
      <c r="F6774" s="59">
        <v>1.0</v>
      </c>
      <c r="G6774" s="60">
        <v>1.0</v>
      </c>
      <c r="H6774" s="60">
        <v>0.5</v>
      </c>
      <c r="I6774" s="60">
        <v>151.225441</v>
      </c>
      <c r="J6774" s="59">
        <v>7.0</v>
      </c>
      <c r="K6774" s="61">
        <f t="shared" si="1"/>
        <v>0.5</v>
      </c>
      <c r="L6774" s="62">
        <f t="shared" si="2"/>
        <v>3.5</v>
      </c>
    </row>
    <row r="6775">
      <c r="A6775" s="58">
        <v>45627.0</v>
      </c>
      <c r="B6775" s="24" t="s">
        <v>6787</v>
      </c>
      <c r="C6775" s="24" t="s">
        <v>7180</v>
      </c>
      <c r="D6775" s="59">
        <v>2.0</v>
      </c>
      <c r="E6775" s="59">
        <v>2.0</v>
      </c>
      <c r="F6775" s="59">
        <v>0.0</v>
      </c>
      <c r="G6775" s="60">
        <v>1.0</v>
      </c>
      <c r="H6775" s="60">
        <v>0.0</v>
      </c>
      <c r="I6775" s="60">
        <v>208.809278</v>
      </c>
      <c r="J6775" s="59">
        <v>2.0</v>
      </c>
      <c r="K6775" s="61">
        <f t="shared" si="1"/>
        <v>0</v>
      </c>
      <c r="L6775" s="62">
        <f t="shared" si="2"/>
        <v>1</v>
      </c>
    </row>
    <row r="6776">
      <c r="A6776" s="58">
        <v>45627.0</v>
      </c>
      <c r="B6776" s="24" t="s">
        <v>6789</v>
      </c>
      <c r="C6776" s="24" t="s">
        <v>7510</v>
      </c>
      <c r="D6776" s="59">
        <v>2.0</v>
      </c>
      <c r="E6776" s="59">
        <v>2.0</v>
      </c>
      <c r="F6776" s="59">
        <v>1.0</v>
      </c>
      <c r="G6776" s="60">
        <v>1.0</v>
      </c>
      <c r="H6776" s="60">
        <v>0.0</v>
      </c>
      <c r="I6776" s="60">
        <v>78.6643715</v>
      </c>
      <c r="J6776" s="59">
        <v>9.0</v>
      </c>
      <c r="K6776" s="61">
        <f t="shared" si="1"/>
        <v>0.5</v>
      </c>
      <c r="L6776" s="62">
        <f t="shared" si="2"/>
        <v>4.5</v>
      </c>
    </row>
    <row r="6777">
      <c r="A6777" s="58">
        <v>45627.0</v>
      </c>
      <c r="B6777" s="24" t="s">
        <v>155</v>
      </c>
      <c r="C6777" s="24" t="s">
        <v>7479</v>
      </c>
      <c r="D6777" s="59">
        <v>2.0</v>
      </c>
      <c r="E6777" s="59">
        <v>6.0</v>
      </c>
      <c r="F6777" s="59">
        <v>2.0</v>
      </c>
      <c r="G6777" s="60">
        <v>3.0</v>
      </c>
      <c r="H6777" s="60">
        <v>0.0</v>
      </c>
      <c r="I6777" s="60">
        <v>4824.06536666666</v>
      </c>
      <c r="J6777" s="59">
        <v>120.0</v>
      </c>
      <c r="K6777" s="61">
        <f t="shared" si="1"/>
        <v>0.3333333333</v>
      </c>
      <c r="L6777" s="62">
        <f t="shared" si="2"/>
        <v>20</v>
      </c>
    </row>
    <row r="6778">
      <c r="A6778" s="58">
        <v>45627.0</v>
      </c>
      <c r="B6778" s="24" t="s">
        <v>6790</v>
      </c>
      <c r="C6778" s="24" t="s">
        <v>7479</v>
      </c>
      <c r="D6778" s="59">
        <v>2.0</v>
      </c>
      <c r="E6778" s="59">
        <v>2.0</v>
      </c>
      <c r="F6778" s="59">
        <v>0.0</v>
      </c>
      <c r="G6778" s="60">
        <v>1.0</v>
      </c>
      <c r="H6778" s="60">
        <v>1.0</v>
      </c>
      <c r="I6778" s="60">
        <v>21744.141764</v>
      </c>
      <c r="J6778" s="59">
        <v>438.0</v>
      </c>
      <c r="K6778" s="61">
        <f t="shared" si="1"/>
        <v>0</v>
      </c>
      <c r="L6778" s="62">
        <f t="shared" si="2"/>
        <v>219</v>
      </c>
    </row>
    <row r="6779">
      <c r="A6779" s="58">
        <v>45627.0</v>
      </c>
      <c r="B6779" s="24" t="s">
        <v>6787</v>
      </c>
      <c r="C6779" s="24" t="s">
        <v>7047</v>
      </c>
      <c r="D6779" s="59">
        <v>2.0</v>
      </c>
      <c r="E6779" s="59">
        <v>2.0</v>
      </c>
      <c r="F6779" s="59">
        <v>2.0</v>
      </c>
      <c r="G6779" s="60">
        <v>1.0</v>
      </c>
      <c r="H6779" s="60">
        <v>1.0</v>
      </c>
      <c r="I6779" s="60">
        <v>0.0</v>
      </c>
      <c r="J6779" s="59">
        <v>2.0</v>
      </c>
      <c r="K6779" s="61">
        <f t="shared" si="1"/>
        <v>1</v>
      </c>
      <c r="L6779" s="62">
        <f t="shared" si="2"/>
        <v>1</v>
      </c>
    </row>
    <row r="6780">
      <c r="A6780" s="58">
        <v>45627.0</v>
      </c>
      <c r="B6780" s="24" t="s">
        <v>6790</v>
      </c>
      <c r="C6780" s="24" t="s">
        <v>6792</v>
      </c>
      <c r="D6780" s="59">
        <v>1.0</v>
      </c>
      <c r="E6780" s="59">
        <v>1.0</v>
      </c>
      <c r="F6780" s="59">
        <v>0.0</v>
      </c>
      <c r="G6780" s="60">
        <v>1.0</v>
      </c>
      <c r="H6780" s="60">
        <v>1.0</v>
      </c>
      <c r="I6780" s="60">
        <v>0.0</v>
      </c>
      <c r="J6780" s="59">
        <v>0.0</v>
      </c>
      <c r="K6780" s="61">
        <f t="shared" si="1"/>
        <v>0</v>
      </c>
      <c r="L6780" s="62">
        <f t="shared" si="2"/>
        <v>0</v>
      </c>
    </row>
    <row r="6781">
      <c r="A6781" s="58">
        <v>45627.0</v>
      </c>
      <c r="B6781" s="24" t="s">
        <v>3216</v>
      </c>
      <c r="C6781" s="24" t="s">
        <v>6788</v>
      </c>
      <c r="D6781" s="59">
        <v>1.0</v>
      </c>
      <c r="E6781" s="59">
        <v>1.0</v>
      </c>
      <c r="F6781" s="59">
        <v>0.0</v>
      </c>
      <c r="G6781" s="60">
        <v>1.0</v>
      </c>
      <c r="H6781" s="60">
        <v>0.0</v>
      </c>
      <c r="I6781" s="60">
        <v>16.079903</v>
      </c>
      <c r="J6781" s="59">
        <v>1.0</v>
      </c>
      <c r="K6781" s="61">
        <f t="shared" si="1"/>
        <v>0</v>
      </c>
      <c r="L6781" s="62">
        <f t="shared" si="2"/>
        <v>1</v>
      </c>
    </row>
    <row r="6782">
      <c r="A6782" s="58">
        <v>45627.0</v>
      </c>
      <c r="B6782" s="24" t="s">
        <v>6791</v>
      </c>
      <c r="C6782" s="24" t="s">
        <v>6788</v>
      </c>
      <c r="D6782" s="59">
        <v>1.0</v>
      </c>
      <c r="E6782" s="59">
        <v>1.0</v>
      </c>
      <c r="F6782" s="59">
        <v>1.0</v>
      </c>
      <c r="G6782" s="60">
        <v>1.0</v>
      </c>
      <c r="H6782" s="60">
        <v>0.0</v>
      </c>
      <c r="I6782" s="60">
        <v>102.842704</v>
      </c>
      <c r="J6782" s="59">
        <v>1.0</v>
      </c>
      <c r="K6782" s="61">
        <f t="shared" si="1"/>
        <v>1</v>
      </c>
      <c r="L6782" s="62">
        <f t="shared" si="2"/>
        <v>1</v>
      </c>
    </row>
    <row r="6783">
      <c r="A6783" s="58">
        <v>45627.0</v>
      </c>
      <c r="B6783" s="24" t="s">
        <v>6789</v>
      </c>
      <c r="C6783" s="24" t="s">
        <v>7200</v>
      </c>
      <c r="D6783" s="59">
        <v>1.0</v>
      </c>
      <c r="E6783" s="59">
        <v>1.0</v>
      </c>
      <c r="F6783" s="59">
        <v>1.0</v>
      </c>
      <c r="G6783" s="60">
        <v>1.0</v>
      </c>
      <c r="H6783" s="60">
        <v>0.0</v>
      </c>
      <c r="I6783" s="60">
        <v>33.705845</v>
      </c>
      <c r="J6783" s="59">
        <v>1.0</v>
      </c>
      <c r="K6783" s="61">
        <f t="shared" si="1"/>
        <v>1</v>
      </c>
      <c r="L6783" s="62">
        <f t="shared" si="2"/>
        <v>1</v>
      </c>
    </row>
    <row r="6784">
      <c r="A6784" s="58">
        <v>45627.0</v>
      </c>
      <c r="B6784" s="24" t="s">
        <v>6787</v>
      </c>
      <c r="C6784" s="24" t="s">
        <v>6980</v>
      </c>
      <c r="D6784" s="59">
        <v>1.0</v>
      </c>
      <c r="E6784" s="59">
        <v>1.0</v>
      </c>
      <c r="F6784" s="59">
        <v>1.0</v>
      </c>
      <c r="G6784" s="60">
        <v>1.0</v>
      </c>
      <c r="H6784" s="60">
        <v>0.0</v>
      </c>
      <c r="I6784" s="60">
        <v>14.525176</v>
      </c>
      <c r="J6784" s="59">
        <v>4.0</v>
      </c>
      <c r="K6784" s="61">
        <f t="shared" si="1"/>
        <v>1</v>
      </c>
      <c r="L6784" s="62">
        <f t="shared" si="2"/>
        <v>4</v>
      </c>
    </row>
    <row r="6785">
      <c r="A6785" s="58">
        <v>45627.0</v>
      </c>
      <c r="B6785" s="24" t="s">
        <v>6789</v>
      </c>
      <c r="C6785" s="24" t="s">
        <v>7146</v>
      </c>
      <c r="D6785" s="59">
        <v>1.0</v>
      </c>
      <c r="E6785" s="59">
        <v>1.0</v>
      </c>
      <c r="F6785" s="59">
        <v>0.0</v>
      </c>
      <c r="G6785" s="60">
        <v>1.0</v>
      </c>
      <c r="H6785" s="60">
        <v>0.0</v>
      </c>
      <c r="I6785" s="60">
        <v>60.2918</v>
      </c>
      <c r="J6785" s="59">
        <v>3.0</v>
      </c>
      <c r="K6785" s="61">
        <f t="shared" si="1"/>
        <v>0</v>
      </c>
      <c r="L6785" s="62">
        <f t="shared" si="2"/>
        <v>3</v>
      </c>
    </row>
    <row r="6786">
      <c r="A6786" s="58">
        <v>45627.0</v>
      </c>
      <c r="B6786" s="24" t="s">
        <v>155</v>
      </c>
      <c r="C6786" s="24" t="s">
        <v>6803</v>
      </c>
      <c r="D6786" s="59">
        <v>1.0</v>
      </c>
      <c r="E6786" s="59">
        <v>1.0</v>
      </c>
      <c r="F6786" s="59">
        <v>0.0</v>
      </c>
      <c r="G6786" s="60">
        <v>1.0</v>
      </c>
      <c r="H6786" s="60">
        <v>0.0</v>
      </c>
      <c r="I6786" s="60">
        <v>543.273346</v>
      </c>
      <c r="J6786" s="59">
        <v>1.0</v>
      </c>
      <c r="K6786" s="61">
        <f t="shared" si="1"/>
        <v>0</v>
      </c>
      <c r="L6786" s="62">
        <f t="shared" si="2"/>
        <v>1</v>
      </c>
    </row>
    <row r="6787">
      <c r="A6787" s="58">
        <v>45627.0</v>
      </c>
      <c r="B6787" s="24" t="s">
        <v>6790</v>
      </c>
      <c r="C6787" s="24" t="s">
        <v>7055</v>
      </c>
      <c r="D6787" s="59">
        <v>1.0</v>
      </c>
      <c r="E6787" s="59">
        <v>8.0</v>
      </c>
      <c r="F6787" s="59">
        <v>0.0</v>
      </c>
      <c r="G6787" s="60">
        <v>8.0</v>
      </c>
      <c r="H6787" s="60">
        <v>0.625</v>
      </c>
      <c r="I6787" s="60">
        <v>242.29518925</v>
      </c>
      <c r="J6787" s="59">
        <v>14.0</v>
      </c>
      <c r="K6787" s="61">
        <f t="shared" si="1"/>
        <v>0</v>
      </c>
      <c r="L6787" s="62">
        <f t="shared" si="2"/>
        <v>1.75</v>
      </c>
    </row>
    <row r="6788">
      <c r="A6788" s="58">
        <v>45627.0</v>
      </c>
      <c r="B6788" s="24" t="s">
        <v>6787</v>
      </c>
      <c r="C6788" s="24" t="s">
        <v>6953</v>
      </c>
      <c r="D6788" s="59">
        <v>1.0</v>
      </c>
      <c r="E6788" s="59">
        <v>1.0</v>
      </c>
      <c r="F6788" s="59">
        <v>1.0</v>
      </c>
      <c r="G6788" s="60">
        <v>1.0</v>
      </c>
      <c r="H6788" s="60">
        <v>1.0</v>
      </c>
      <c r="I6788" s="60">
        <v>0.0</v>
      </c>
      <c r="J6788" s="59">
        <v>1.0</v>
      </c>
      <c r="K6788" s="61">
        <f t="shared" si="1"/>
        <v>1</v>
      </c>
      <c r="L6788" s="62">
        <f t="shared" si="2"/>
        <v>1</v>
      </c>
    </row>
    <row r="6789">
      <c r="A6789" s="58">
        <v>45627.0</v>
      </c>
      <c r="B6789" s="24" t="s">
        <v>6787</v>
      </c>
      <c r="C6789" s="24" t="s">
        <v>7056</v>
      </c>
      <c r="D6789" s="59">
        <v>1.0</v>
      </c>
      <c r="E6789" s="59">
        <v>1.0</v>
      </c>
      <c r="F6789" s="59">
        <v>1.0</v>
      </c>
      <c r="G6789" s="60">
        <v>1.0</v>
      </c>
      <c r="H6789" s="60">
        <v>1.0</v>
      </c>
      <c r="I6789" s="60">
        <v>0.0</v>
      </c>
      <c r="J6789" s="59">
        <v>1.0</v>
      </c>
      <c r="K6789" s="61">
        <f t="shared" si="1"/>
        <v>1</v>
      </c>
      <c r="L6789" s="62">
        <f t="shared" si="2"/>
        <v>1</v>
      </c>
    </row>
    <row r="6790">
      <c r="A6790" s="58">
        <v>45627.0</v>
      </c>
      <c r="B6790" s="24" t="s">
        <v>6790</v>
      </c>
      <c r="C6790" s="24" t="s">
        <v>7056</v>
      </c>
      <c r="D6790" s="59">
        <v>1.0</v>
      </c>
      <c r="E6790" s="59">
        <v>1.0</v>
      </c>
      <c r="F6790" s="59">
        <v>1.0</v>
      </c>
      <c r="G6790" s="60">
        <v>1.0</v>
      </c>
      <c r="H6790" s="60">
        <v>0.0</v>
      </c>
      <c r="I6790" s="60">
        <v>329.542781</v>
      </c>
      <c r="J6790" s="59">
        <v>1.0</v>
      </c>
      <c r="K6790" s="61">
        <f t="shared" si="1"/>
        <v>1</v>
      </c>
      <c r="L6790" s="62">
        <f t="shared" si="2"/>
        <v>1</v>
      </c>
    </row>
    <row r="6791">
      <c r="A6791" s="58">
        <v>45627.0</v>
      </c>
      <c r="B6791" s="24" t="s">
        <v>6789</v>
      </c>
      <c r="C6791" s="24" t="s">
        <v>6983</v>
      </c>
      <c r="D6791" s="59">
        <v>1.0</v>
      </c>
      <c r="E6791" s="59">
        <v>1.0</v>
      </c>
      <c r="F6791" s="59">
        <v>0.0</v>
      </c>
      <c r="G6791" s="60">
        <v>1.0</v>
      </c>
      <c r="H6791" s="60">
        <v>0.0</v>
      </c>
      <c r="I6791" s="60">
        <v>266.745775</v>
      </c>
      <c r="J6791" s="59">
        <v>4.0</v>
      </c>
      <c r="K6791" s="61">
        <f t="shared" si="1"/>
        <v>0</v>
      </c>
      <c r="L6791" s="62">
        <f t="shared" si="2"/>
        <v>4</v>
      </c>
    </row>
    <row r="6792">
      <c r="A6792" s="58">
        <v>45627.0</v>
      </c>
      <c r="B6792" s="24" t="s">
        <v>6787</v>
      </c>
      <c r="C6792" s="24" t="s">
        <v>6804</v>
      </c>
      <c r="D6792" s="59">
        <v>1.0</v>
      </c>
      <c r="E6792" s="59">
        <v>1.0</v>
      </c>
      <c r="F6792" s="59">
        <v>1.0</v>
      </c>
      <c r="G6792" s="60">
        <v>1.0</v>
      </c>
      <c r="H6792" s="60">
        <v>1.0</v>
      </c>
      <c r="I6792" s="60">
        <v>0.0</v>
      </c>
      <c r="J6792" s="59">
        <v>1.0</v>
      </c>
      <c r="K6792" s="61">
        <f t="shared" si="1"/>
        <v>1</v>
      </c>
      <c r="L6792" s="62">
        <f t="shared" si="2"/>
        <v>1</v>
      </c>
    </row>
    <row r="6793">
      <c r="A6793" s="58">
        <v>45627.0</v>
      </c>
      <c r="B6793" s="24" t="s">
        <v>6787</v>
      </c>
      <c r="C6793" s="24" t="s">
        <v>7057</v>
      </c>
      <c r="D6793" s="59">
        <v>1.0</v>
      </c>
      <c r="E6793" s="59">
        <v>1.0</v>
      </c>
      <c r="F6793" s="59">
        <v>1.0</v>
      </c>
      <c r="G6793" s="60">
        <v>1.0</v>
      </c>
      <c r="H6793" s="60">
        <v>1.0</v>
      </c>
      <c r="I6793" s="60">
        <v>0.0</v>
      </c>
      <c r="J6793" s="59">
        <v>1.0</v>
      </c>
      <c r="K6793" s="61">
        <f t="shared" si="1"/>
        <v>1</v>
      </c>
      <c r="L6793" s="62">
        <f t="shared" si="2"/>
        <v>1</v>
      </c>
    </row>
    <row r="6794">
      <c r="A6794" s="58">
        <v>45627.0</v>
      </c>
      <c r="B6794" s="24" t="s">
        <v>155</v>
      </c>
      <c r="C6794" s="24" t="s">
        <v>7057</v>
      </c>
      <c r="D6794" s="59">
        <v>1.0</v>
      </c>
      <c r="E6794" s="59">
        <v>1.0</v>
      </c>
      <c r="F6794" s="59">
        <v>1.0</v>
      </c>
      <c r="G6794" s="60">
        <v>1.0</v>
      </c>
      <c r="H6794" s="60">
        <v>1.0</v>
      </c>
      <c r="I6794" s="60">
        <v>0.0</v>
      </c>
      <c r="J6794" s="59">
        <v>1.0</v>
      </c>
      <c r="K6794" s="61">
        <f t="shared" si="1"/>
        <v>1</v>
      </c>
      <c r="L6794" s="62">
        <f t="shared" si="2"/>
        <v>1</v>
      </c>
    </row>
    <row r="6795">
      <c r="A6795" s="58">
        <v>45627.0</v>
      </c>
      <c r="B6795" s="24" t="s">
        <v>6789</v>
      </c>
      <c r="C6795" s="24" t="s">
        <v>6861</v>
      </c>
      <c r="D6795" s="59">
        <v>1.0</v>
      </c>
      <c r="E6795" s="59">
        <v>1.0</v>
      </c>
      <c r="F6795" s="59">
        <v>1.0</v>
      </c>
      <c r="G6795" s="60">
        <v>1.0</v>
      </c>
      <c r="H6795" s="60">
        <v>1.0</v>
      </c>
      <c r="I6795" s="60">
        <v>0.0</v>
      </c>
      <c r="J6795" s="59">
        <v>1.0</v>
      </c>
      <c r="K6795" s="61">
        <f t="shared" si="1"/>
        <v>1</v>
      </c>
      <c r="L6795" s="62">
        <f t="shared" si="2"/>
        <v>1</v>
      </c>
    </row>
    <row r="6796">
      <c r="A6796" s="58">
        <v>45627.0</v>
      </c>
      <c r="B6796" s="24" t="s">
        <v>6787</v>
      </c>
      <c r="C6796" s="24" t="s">
        <v>7059</v>
      </c>
      <c r="D6796" s="59">
        <v>1.0</v>
      </c>
      <c r="E6796" s="59">
        <v>1.0</v>
      </c>
      <c r="F6796" s="59">
        <v>1.0</v>
      </c>
      <c r="G6796" s="60">
        <v>1.0</v>
      </c>
      <c r="H6796" s="60">
        <v>1.0</v>
      </c>
      <c r="I6796" s="60">
        <v>0.0</v>
      </c>
      <c r="J6796" s="59">
        <v>1.0</v>
      </c>
      <c r="K6796" s="61">
        <f t="shared" si="1"/>
        <v>1</v>
      </c>
      <c r="L6796" s="62">
        <f t="shared" si="2"/>
        <v>1</v>
      </c>
    </row>
    <row r="6797">
      <c r="A6797" s="58">
        <v>45627.0</v>
      </c>
      <c r="B6797" s="24" t="s">
        <v>6787</v>
      </c>
      <c r="C6797" s="24" t="s">
        <v>6819</v>
      </c>
      <c r="D6797" s="59">
        <v>1.0</v>
      </c>
      <c r="E6797" s="59">
        <v>1.0</v>
      </c>
      <c r="F6797" s="59">
        <v>1.0</v>
      </c>
      <c r="G6797" s="60">
        <v>1.0</v>
      </c>
      <c r="H6797" s="60">
        <v>1.0</v>
      </c>
      <c r="I6797" s="60">
        <v>0.0</v>
      </c>
      <c r="J6797" s="59">
        <v>1.0</v>
      </c>
      <c r="K6797" s="61">
        <f t="shared" si="1"/>
        <v>1</v>
      </c>
      <c r="L6797" s="62">
        <f t="shared" si="2"/>
        <v>1</v>
      </c>
    </row>
    <row r="6798">
      <c r="A6798" s="58">
        <v>45627.0</v>
      </c>
      <c r="B6798" s="24" t="s">
        <v>6787</v>
      </c>
      <c r="C6798" s="24" t="s">
        <v>7061</v>
      </c>
      <c r="D6798" s="59">
        <v>1.0</v>
      </c>
      <c r="E6798" s="59">
        <v>1.0</v>
      </c>
      <c r="F6798" s="59">
        <v>1.0</v>
      </c>
      <c r="G6798" s="60">
        <v>1.0</v>
      </c>
      <c r="H6798" s="60">
        <v>1.0</v>
      </c>
      <c r="I6798" s="60">
        <v>2.736694</v>
      </c>
      <c r="J6798" s="59">
        <v>1.0</v>
      </c>
      <c r="K6798" s="61">
        <f t="shared" si="1"/>
        <v>1</v>
      </c>
      <c r="L6798" s="62">
        <f t="shared" si="2"/>
        <v>1</v>
      </c>
    </row>
    <row r="6799">
      <c r="A6799" s="58">
        <v>45627.0</v>
      </c>
      <c r="B6799" s="24" t="s">
        <v>6789</v>
      </c>
      <c r="C6799" s="24" t="s">
        <v>7437</v>
      </c>
      <c r="D6799" s="59">
        <v>1.0</v>
      </c>
      <c r="E6799" s="59">
        <v>1.0</v>
      </c>
      <c r="F6799" s="59">
        <v>1.0</v>
      </c>
      <c r="G6799" s="60">
        <v>1.0</v>
      </c>
      <c r="H6799" s="60">
        <v>1.0</v>
      </c>
      <c r="I6799" s="60">
        <v>0.0</v>
      </c>
      <c r="J6799" s="59">
        <v>1.0</v>
      </c>
      <c r="K6799" s="61">
        <f t="shared" si="1"/>
        <v>1</v>
      </c>
      <c r="L6799" s="62">
        <f t="shared" si="2"/>
        <v>1</v>
      </c>
    </row>
    <row r="6800">
      <c r="A6800" s="58">
        <v>45627.0</v>
      </c>
      <c r="B6800" s="24" t="s">
        <v>6787</v>
      </c>
      <c r="C6800" s="24" t="s">
        <v>7024</v>
      </c>
      <c r="D6800" s="59">
        <v>1.0</v>
      </c>
      <c r="E6800" s="59">
        <v>1.0</v>
      </c>
      <c r="F6800" s="59">
        <v>1.0</v>
      </c>
      <c r="G6800" s="60">
        <v>1.0</v>
      </c>
      <c r="H6800" s="60">
        <v>1.0</v>
      </c>
      <c r="I6800" s="60">
        <v>0.0</v>
      </c>
      <c r="J6800" s="59">
        <v>1.0</v>
      </c>
      <c r="K6800" s="61">
        <f t="shared" si="1"/>
        <v>1</v>
      </c>
      <c r="L6800" s="62">
        <f t="shared" si="2"/>
        <v>1</v>
      </c>
    </row>
    <row r="6801">
      <c r="A6801" s="58">
        <v>45627.0</v>
      </c>
      <c r="B6801" s="24" t="s">
        <v>6789</v>
      </c>
      <c r="C6801" s="24" t="s">
        <v>7064</v>
      </c>
      <c r="D6801" s="59">
        <v>1.0</v>
      </c>
      <c r="E6801" s="59">
        <v>1.0</v>
      </c>
      <c r="F6801" s="59">
        <v>1.0</v>
      </c>
      <c r="G6801" s="60">
        <v>1.0</v>
      </c>
      <c r="H6801" s="60">
        <v>0.0</v>
      </c>
      <c r="I6801" s="60">
        <v>72.984425</v>
      </c>
      <c r="J6801" s="59">
        <v>6.0</v>
      </c>
      <c r="K6801" s="61">
        <f t="shared" si="1"/>
        <v>1</v>
      </c>
      <c r="L6801" s="62">
        <f t="shared" si="2"/>
        <v>6</v>
      </c>
    </row>
    <row r="6802">
      <c r="A6802" s="58">
        <v>45627.0</v>
      </c>
      <c r="B6802" s="24" t="s">
        <v>6789</v>
      </c>
      <c r="C6802" s="24" t="s">
        <v>7065</v>
      </c>
      <c r="D6802" s="59">
        <v>1.0</v>
      </c>
      <c r="E6802" s="59">
        <v>1.0</v>
      </c>
      <c r="F6802" s="59">
        <v>0.0</v>
      </c>
      <c r="G6802" s="60">
        <v>1.0</v>
      </c>
      <c r="H6802" s="60">
        <v>1.0</v>
      </c>
      <c r="I6802" s="60">
        <v>0.0</v>
      </c>
      <c r="J6802" s="59">
        <v>1.0</v>
      </c>
      <c r="K6802" s="61">
        <f t="shared" si="1"/>
        <v>0</v>
      </c>
      <c r="L6802" s="62">
        <f t="shared" si="2"/>
        <v>1</v>
      </c>
    </row>
    <row r="6803">
      <c r="A6803" s="58">
        <v>45627.0</v>
      </c>
      <c r="B6803" s="24" t="s">
        <v>6787</v>
      </c>
      <c r="C6803" s="24" t="s">
        <v>6989</v>
      </c>
      <c r="D6803" s="59">
        <v>1.0</v>
      </c>
      <c r="E6803" s="59">
        <v>1.0</v>
      </c>
      <c r="F6803" s="59">
        <v>1.0</v>
      </c>
      <c r="G6803" s="60">
        <v>1.0</v>
      </c>
      <c r="H6803" s="60">
        <v>1.0</v>
      </c>
      <c r="I6803" s="60">
        <v>0.0</v>
      </c>
      <c r="J6803" s="59">
        <v>1.0</v>
      </c>
      <c r="K6803" s="61">
        <f t="shared" si="1"/>
        <v>1</v>
      </c>
      <c r="L6803" s="62">
        <f t="shared" si="2"/>
        <v>1</v>
      </c>
    </row>
    <row r="6804">
      <c r="A6804" s="58">
        <v>45627.0</v>
      </c>
      <c r="B6804" s="24" t="s">
        <v>155</v>
      </c>
      <c r="C6804" s="24" t="s">
        <v>6880</v>
      </c>
      <c r="D6804" s="59">
        <v>1.0</v>
      </c>
      <c r="E6804" s="59">
        <v>1.0</v>
      </c>
      <c r="F6804" s="59">
        <v>1.0</v>
      </c>
      <c r="G6804" s="60">
        <v>1.0</v>
      </c>
      <c r="H6804" s="60">
        <v>1.0</v>
      </c>
      <c r="I6804" s="60">
        <v>0.0</v>
      </c>
      <c r="J6804" s="59">
        <v>1.0</v>
      </c>
      <c r="K6804" s="61">
        <f t="shared" si="1"/>
        <v>1</v>
      </c>
      <c r="L6804" s="62">
        <f t="shared" si="2"/>
        <v>1</v>
      </c>
    </row>
    <row r="6805">
      <c r="A6805" s="58">
        <v>45627.0</v>
      </c>
      <c r="B6805" s="24" t="s">
        <v>6787</v>
      </c>
      <c r="C6805" s="24" t="s">
        <v>7067</v>
      </c>
      <c r="D6805" s="59">
        <v>1.0</v>
      </c>
      <c r="E6805" s="59">
        <v>1.0</v>
      </c>
      <c r="F6805" s="59">
        <v>1.0</v>
      </c>
      <c r="G6805" s="60">
        <v>1.0</v>
      </c>
      <c r="H6805" s="60">
        <v>1.0</v>
      </c>
      <c r="I6805" s="60">
        <v>0.0</v>
      </c>
      <c r="J6805" s="59">
        <v>1.0</v>
      </c>
      <c r="K6805" s="61">
        <f t="shared" si="1"/>
        <v>1</v>
      </c>
      <c r="L6805" s="62">
        <f t="shared" si="2"/>
        <v>1</v>
      </c>
    </row>
    <row r="6806">
      <c r="A6806" s="58">
        <v>45627.0</v>
      </c>
      <c r="B6806" s="24" t="s">
        <v>6790</v>
      </c>
      <c r="C6806" s="24" t="s">
        <v>7068</v>
      </c>
      <c r="D6806" s="59">
        <v>1.0</v>
      </c>
      <c r="E6806" s="59">
        <v>1.0</v>
      </c>
      <c r="F6806" s="59">
        <v>1.0</v>
      </c>
      <c r="G6806" s="60">
        <v>1.0</v>
      </c>
      <c r="H6806" s="60">
        <v>0.0</v>
      </c>
      <c r="I6806" s="60">
        <v>455.9259</v>
      </c>
      <c r="J6806" s="59">
        <v>1.0</v>
      </c>
      <c r="K6806" s="61">
        <f t="shared" si="1"/>
        <v>1</v>
      </c>
      <c r="L6806" s="62">
        <f t="shared" si="2"/>
        <v>1</v>
      </c>
    </row>
    <row r="6807">
      <c r="A6807" s="58">
        <v>45627.0</v>
      </c>
      <c r="B6807" s="24" t="s">
        <v>3216</v>
      </c>
      <c r="C6807" s="24" t="s">
        <v>6835</v>
      </c>
      <c r="D6807" s="59">
        <v>1.0</v>
      </c>
      <c r="E6807" s="59">
        <v>2.0</v>
      </c>
      <c r="F6807" s="59">
        <v>0.0</v>
      </c>
      <c r="G6807" s="60">
        <v>2.0</v>
      </c>
      <c r="H6807" s="60">
        <v>0.5</v>
      </c>
      <c r="I6807" s="60">
        <v>80.0615395</v>
      </c>
      <c r="J6807" s="59">
        <v>7.0</v>
      </c>
      <c r="K6807" s="61">
        <f t="shared" si="1"/>
        <v>0</v>
      </c>
      <c r="L6807" s="62">
        <f t="shared" si="2"/>
        <v>3.5</v>
      </c>
    </row>
    <row r="6808">
      <c r="A6808" s="58">
        <v>45627.0</v>
      </c>
      <c r="B6808" s="24" t="s">
        <v>6789</v>
      </c>
      <c r="C6808" s="24" t="s">
        <v>6991</v>
      </c>
      <c r="D6808" s="59">
        <v>1.0</v>
      </c>
      <c r="E6808" s="59">
        <v>1.0</v>
      </c>
      <c r="F6808" s="59">
        <v>1.0</v>
      </c>
      <c r="G6808" s="60">
        <v>1.0</v>
      </c>
      <c r="H6808" s="60">
        <v>1.0</v>
      </c>
      <c r="I6808" s="60">
        <v>0.0</v>
      </c>
      <c r="J6808" s="59">
        <v>1.0</v>
      </c>
      <c r="K6808" s="61">
        <f t="shared" si="1"/>
        <v>1</v>
      </c>
      <c r="L6808" s="62">
        <f t="shared" si="2"/>
        <v>1</v>
      </c>
    </row>
    <row r="6809">
      <c r="A6809" s="58">
        <v>45627.0</v>
      </c>
      <c r="B6809" s="24" t="s">
        <v>6789</v>
      </c>
      <c r="C6809" s="24" t="s">
        <v>6992</v>
      </c>
      <c r="D6809" s="59">
        <v>1.0</v>
      </c>
      <c r="E6809" s="59">
        <v>1.0</v>
      </c>
      <c r="F6809" s="59">
        <v>1.0</v>
      </c>
      <c r="G6809" s="60">
        <v>1.0</v>
      </c>
      <c r="H6809" s="60">
        <v>1.0</v>
      </c>
      <c r="I6809" s="60">
        <v>0.0</v>
      </c>
      <c r="J6809" s="59">
        <v>1.0</v>
      </c>
      <c r="K6809" s="61">
        <f t="shared" si="1"/>
        <v>1</v>
      </c>
      <c r="L6809" s="62">
        <f t="shared" si="2"/>
        <v>1</v>
      </c>
    </row>
    <row r="6810">
      <c r="A6810" s="58">
        <v>45627.0</v>
      </c>
      <c r="B6810" s="24" t="s">
        <v>6787</v>
      </c>
      <c r="C6810" s="24" t="s">
        <v>6930</v>
      </c>
      <c r="D6810" s="59">
        <v>1.0</v>
      </c>
      <c r="E6810" s="59">
        <v>1.0</v>
      </c>
      <c r="F6810" s="59">
        <v>1.0</v>
      </c>
      <c r="G6810" s="60">
        <v>1.0</v>
      </c>
      <c r="H6810" s="60">
        <v>1.0</v>
      </c>
      <c r="I6810" s="60">
        <v>0.0</v>
      </c>
      <c r="J6810" s="59">
        <v>1.0</v>
      </c>
      <c r="K6810" s="61">
        <f t="shared" si="1"/>
        <v>1</v>
      </c>
      <c r="L6810" s="62">
        <f t="shared" si="2"/>
        <v>1</v>
      </c>
    </row>
    <row r="6811">
      <c r="A6811" s="58">
        <v>45627.0</v>
      </c>
      <c r="B6811" s="24" t="s">
        <v>6789</v>
      </c>
      <c r="C6811" s="24" t="s">
        <v>6930</v>
      </c>
      <c r="D6811" s="59">
        <v>1.0</v>
      </c>
      <c r="E6811" s="59">
        <v>1.0</v>
      </c>
      <c r="F6811" s="59">
        <v>0.0</v>
      </c>
      <c r="G6811" s="60">
        <v>1.0</v>
      </c>
      <c r="H6811" s="60">
        <v>0.0</v>
      </c>
      <c r="I6811" s="60">
        <v>555.299509</v>
      </c>
      <c r="J6811" s="59">
        <v>5.0</v>
      </c>
      <c r="K6811" s="61">
        <f t="shared" si="1"/>
        <v>0</v>
      </c>
      <c r="L6811" s="62">
        <f t="shared" si="2"/>
        <v>5</v>
      </c>
    </row>
    <row r="6812">
      <c r="A6812" s="58">
        <v>45627.0</v>
      </c>
      <c r="B6812" s="24" t="s">
        <v>155</v>
      </c>
      <c r="C6812" s="24" t="s">
        <v>7511</v>
      </c>
      <c r="D6812" s="59">
        <v>1.0</v>
      </c>
      <c r="E6812" s="59">
        <v>1.0</v>
      </c>
      <c r="F6812" s="59">
        <v>0.0</v>
      </c>
      <c r="G6812" s="60">
        <v>1.0</v>
      </c>
      <c r="H6812" s="60">
        <v>0.0</v>
      </c>
      <c r="I6812" s="60">
        <v>3199.365554</v>
      </c>
      <c r="J6812" s="59">
        <v>7.0</v>
      </c>
      <c r="K6812" s="61">
        <f t="shared" si="1"/>
        <v>0</v>
      </c>
      <c r="L6812" s="62">
        <f t="shared" si="2"/>
        <v>7</v>
      </c>
    </row>
    <row r="6813">
      <c r="A6813" s="58">
        <v>45627.0</v>
      </c>
      <c r="B6813" s="24" t="s">
        <v>6794</v>
      </c>
      <c r="C6813" s="24" t="s">
        <v>6799</v>
      </c>
      <c r="D6813" s="59">
        <v>1.0</v>
      </c>
      <c r="E6813" s="59">
        <v>1.0</v>
      </c>
      <c r="F6813" s="59">
        <v>0.0</v>
      </c>
      <c r="G6813" s="60">
        <v>1.0</v>
      </c>
      <c r="H6813" s="60">
        <v>1.0</v>
      </c>
      <c r="I6813" s="60">
        <v>6.459779</v>
      </c>
      <c r="J6813" s="59">
        <v>1.0</v>
      </c>
      <c r="K6813" s="61">
        <f t="shared" si="1"/>
        <v>0</v>
      </c>
      <c r="L6813" s="62">
        <f t="shared" si="2"/>
        <v>1</v>
      </c>
    </row>
    <row r="6814">
      <c r="A6814" s="58">
        <v>45627.0</v>
      </c>
      <c r="B6814" s="24" t="s">
        <v>6790</v>
      </c>
      <c r="C6814" s="24" t="s">
        <v>6799</v>
      </c>
      <c r="D6814" s="59">
        <v>1.0</v>
      </c>
      <c r="E6814" s="59">
        <v>1.0</v>
      </c>
      <c r="F6814" s="59">
        <v>0.0</v>
      </c>
      <c r="G6814" s="60">
        <v>1.0</v>
      </c>
      <c r="H6814" s="60">
        <v>0.0</v>
      </c>
      <c r="I6814" s="60">
        <v>1370.206696</v>
      </c>
      <c r="J6814" s="59">
        <v>10.0</v>
      </c>
      <c r="K6814" s="61">
        <f t="shared" si="1"/>
        <v>0</v>
      </c>
      <c r="L6814" s="62">
        <f t="shared" si="2"/>
        <v>10</v>
      </c>
    </row>
    <row r="6815">
      <c r="A6815" s="58">
        <v>45627.0</v>
      </c>
      <c r="B6815" s="24" t="s">
        <v>155</v>
      </c>
      <c r="C6815" s="24" t="s">
        <v>6820</v>
      </c>
      <c r="D6815" s="59">
        <v>1.0</v>
      </c>
      <c r="E6815" s="59">
        <v>1.0</v>
      </c>
      <c r="F6815" s="59">
        <v>0.0</v>
      </c>
      <c r="G6815" s="60">
        <v>1.0</v>
      </c>
      <c r="H6815" s="60">
        <v>0.0</v>
      </c>
      <c r="I6815" s="60">
        <v>37.371706</v>
      </c>
      <c r="J6815" s="59">
        <v>1.0</v>
      </c>
      <c r="K6815" s="61">
        <f t="shared" si="1"/>
        <v>0</v>
      </c>
      <c r="L6815" s="62">
        <f t="shared" si="2"/>
        <v>1</v>
      </c>
    </row>
    <row r="6816">
      <c r="A6816" s="58">
        <v>45627.0</v>
      </c>
      <c r="B6816" s="24" t="s">
        <v>6789</v>
      </c>
      <c r="C6816" s="24" t="s">
        <v>6888</v>
      </c>
      <c r="D6816" s="59">
        <v>1.0</v>
      </c>
      <c r="E6816" s="59">
        <v>1.0</v>
      </c>
      <c r="F6816" s="59">
        <v>0.0</v>
      </c>
      <c r="G6816" s="60">
        <v>1.0</v>
      </c>
      <c r="H6816" s="60">
        <v>0.0</v>
      </c>
      <c r="I6816" s="60">
        <v>5043.734396</v>
      </c>
      <c r="J6816" s="59">
        <v>29.0</v>
      </c>
      <c r="K6816" s="61">
        <f t="shared" si="1"/>
        <v>0</v>
      </c>
      <c r="L6816" s="62">
        <f t="shared" si="2"/>
        <v>29</v>
      </c>
    </row>
    <row r="6817">
      <c r="A6817" s="58">
        <v>45627.0</v>
      </c>
      <c r="B6817" s="24" t="s">
        <v>6787</v>
      </c>
      <c r="C6817" s="24" t="s">
        <v>6997</v>
      </c>
      <c r="D6817" s="59">
        <v>1.0</v>
      </c>
      <c r="E6817" s="59">
        <v>1.0</v>
      </c>
      <c r="F6817" s="59">
        <v>1.0</v>
      </c>
      <c r="G6817" s="60">
        <v>1.0</v>
      </c>
      <c r="H6817" s="60">
        <v>1.0</v>
      </c>
      <c r="I6817" s="60">
        <v>0.0</v>
      </c>
      <c r="J6817" s="59">
        <v>1.0</v>
      </c>
      <c r="K6817" s="61">
        <f t="shared" si="1"/>
        <v>1</v>
      </c>
      <c r="L6817" s="62">
        <f t="shared" si="2"/>
        <v>1</v>
      </c>
    </row>
    <row r="6818">
      <c r="A6818" s="58">
        <v>45627.0</v>
      </c>
      <c r="B6818" s="24" t="s">
        <v>6787</v>
      </c>
      <c r="C6818" s="24" t="s">
        <v>7438</v>
      </c>
      <c r="D6818" s="59">
        <v>1.0</v>
      </c>
      <c r="E6818" s="59">
        <v>1.0</v>
      </c>
      <c r="F6818" s="59">
        <v>1.0</v>
      </c>
      <c r="G6818" s="60">
        <v>1.0</v>
      </c>
      <c r="H6818" s="60">
        <v>1.0</v>
      </c>
      <c r="I6818" s="60">
        <v>0.0</v>
      </c>
      <c r="J6818" s="59">
        <v>1.0</v>
      </c>
      <c r="K6818" s="61">
        <f t="shared" si="1"/>
        <v>1</v>
      </c>
      <c r="L6818" s="62">
        <f t="shared" si="2"/>
        <v>1</v>
      </c>
    </row>
    <row r="6819">
      <c r="A6819" s="58">
        <v>45627.0</v>
      </c>
      <c r="B6819" s="24" t="s">
        <v>6789</v>
      </c>
      <c r="C6819" s="24" t="s">
        <v>7438</v>
      </c>
      <c r="D6819" s="59">
        <v>1.0</v>
      </c>
      <c r="E6819" s="59">
        <v>1.0</v>
      </c>
      <c r="F6819" s="59">
        <v>0.0</v>
      </c>
      <c r="G6819" s="60">
        <v>1.0</v>
      </c>
      <c r="H6819" s="60">
        <v>0.0</v>
      </c>
      <c r="I6819" s="60">
        <v>14.920705</v>
      </c>
      <c r="J6819" s="59">
        <v>1.0</v>
      </c>
      <c r="K6819" s="61">
        <f t="shared" si="1"/>
        <v>0</v>
      </c>
      <c r="L6819" s="62">
        <f t="shared" si="2"/>
        <v>1</v>
      </c>
    </row>
    <row r="6820">
      <c r="A6820" s="58">
        <v>45627.0</v>
      </c>
      <c r="B6820" s="24" t="s">
        <v>155</v>
      </c>
      <c r="C6820" s="24" t="s">
        <v>6896</v>
      </c>
      <c r="D6820" s="59">
        <v>1.0</v>
      </c>
      <c r="E6820" s="59">
        <v>1.0</v>
      </c>
      <c r="F6820" s="59">
        <v>0.0</v>
      </c>
      <c r="G6820" s="60">
        <v>1.0</v>
      </c>
      <c r="H6820" s="60">
        <v>0.0</v>
      </c>
      <c r="I6820" s="60">
        <v>2135.746517</v>
      </c>
      <c r="J6820" s="59">
        <v>3.0</v>
      </c>
      <c r="K6820" s="61">
        <f t="shared" si="1"/>
        <v>0</v>
      </c>
      <c r="L6820" s="62">
        <f t="shared" si="2"/>
        <v>3</v>
      </c>
    </row>
    <row r="6821">
      <c r="A6821" s="58">
        <v>45627.0</v>
      </c>
      <c r="B6821" s="24" t="s">
        <v>6789</v>
      </c>
      <c r="C6821" s="24" t="s">
        <v>6823</v>
      </c>
      <c r="D6821" s="59">
        <v>1.0</v>
      </c>
      <c r="E6821" s="59">
        <v>1.0</v>
      </c>
      <c r="F6821" s="59">
        <v>0.0</v>
      </c>
      <c r="G6821" s="60">
        <v>1.0</v>
      </c>
      <c r="H6821" s="60">
        <v>0.0</v>
      </c>
      <c r="I6821" s="60">
        <v>713.761931</v>
      </c>
      <c r="J6821" s="59">
        <v>2.0</v>
      </c>
      <c r="K6821" s="61">
        <f t="shared" si="1"/>
        <v>0</v>
      </c>
      <c r="L6821" s="62">
        <f t="shared" si="2"/>
        <v>2</v>
      </c>
    </row>
    <row r="6822">
      <c r="A6822" s="58">
        <v>45627.0</v>
      </c>
      <c r="B6822" s="24" t="s">
        <v>6790</v>
      </c>
      <c r="C6822" s="24" t="s">
        <v>6806</v>
      </c>
      <c r="D6822" s="59">
        <v>1.0</v>
      </c>
      <c r="E6822" s="59">
        <v>1.0</v>
      </c>
      <c r="F6822" s="59">
        <v>1.0</v>
      </c>
      <c r="G6822" s="60">
        <v>1.0</v>
      </c>
      <c r="H6822" s="60">
        <v>0.0</v>
      </c>
      <c r="I6822" s="60">
        <v>216.454992</v>
      </c>
      <c r="J6822" s="59">
        <v>2.0</v>
      </c>
      <c r="K6822" s="61">
        <f t="shared" si="1"/>
        <v>1</v>
      </c>
      <c r="L6822" s="62">
        <f t="shared" si="2"/>
        <v>2</v>
      </c>
    </row>
    <row r="6823">
      <c r="A6823" s="58">
        <v>45627.0</v>
      </c>
      <c r="B6823" s="24" t="s">
        <v>6787</v>
      </c>
      <c r="C6823" s="24" t="s">
        <v>6811</v>
      </c>
      <c r="D6823" s="59">
        <v>1.0</v>
      </c>
      <c r="E6823" s="59">
        <v>1.0</v>
      </c>
      <c r="F6823" s="59">
        <v>0.0</v>
      </c>
      <c r="G6823" s="60">
        <v>1.0</v>
      </c>
      <c r="H6823" s="60">
        <v>1.0</v>
      </c>
      <c r="I6823" s="60">
        <v>5.33243</v>
      </c>
      <c r="J6823" s="59">
        <v>1.0</v>
      </c>
      <c r="K6823" s="61">
        <f t="shared" si="1"/>
        <v>0</v>
      </c>
      <c r="L6823" s="62">
        <f t="shared" si="2"/>
        <v>1</v>
      </c>
    </row>
    <row r="6824">
      <c r="A6824" s="58">
        <v>45627.0</v>
      </c>
      <c r="B6824" s="24" t="s">
        <v>3216</v>
      </c>
      <c r="C6824" s="24" t="s">
        <v>6811</v>
      </c>
      <c r="D6824" s="59">
        <v>1.0</v>
      </c>
      <c r="E6824" s="59">
        <v>2.0</v>
      </c>
      <c r="F6824" s="59">
        <v>0.0</v>
      </c>
      <c r="G6824" s="60">
        <v>2.0</v>
      </c>
      <c r="H6824" s="60">
        <v>0.5</v>
      </c>
      <c r="I6824" s="60">
        <v>22.5132975</v>
      </c>
      <c r="J6824" s="59">
        <v>2.0</v>
      </c>
      <c r="K6824" s="61">
        <f t="shared" si="1"/>
        <v>0</v>
      </c>
      <c r="L6824" s="62">
        <f t="shared" si="2"/>
        <v>1</v>
      </c>
    </row>
    <row r="6825">
      <c r="A6825" s="58">
        <v>45627.0</v>
      </c>
      <c r="B6825" s="24" t="s">
        <v>6789</v>
      </c>
      <c r="C6825" s="24" t="s">
        <v>7512</v>
      </c>
      <c r="D6825" s="59">
        <v>1.0</v>
      </c>
      <c r="E6825" s="59">
        <v>1.0</v>
      </c>
      <c r="F6825" s="59">
        <v>1.0</v>
      </c>
      <c r="G6825" s="60">
        <v>1.0</v>
      </c>
      <c r="H6825" s="60">
        <v>0.0</v>
      </c>
      <c r="I6825" s="60">
        <v>197.633148</v>
      </c>
      <c r="J6825" s="59">
        <v>1.0</v>
      </c>
      <c r="K6825" s="61">
        <f t="shared" si="1"/>
        <v>1</v>
      </c>
      <c r="L6825" s="62">
        <f t="shared" si="2"/>
        <v>1</v>
      </c>
    </row>
    <row r="6826">
      <c r="A6826" s="58">
        <v>45627.0</v>
      </c>
      <c r="B6826" s="24" t="s">
        <v>6789</v>
      </c>
      <c r="C6826" s="24" t="s">
        <v>7006</v>
      </c>
      <c r="D6826" s="59">
        <v>1.0</v>
      </c>
      <c r="E6826" s="59">
        <v>1.0</v>
      </c>
      <c r="F6826" s="59">
        <v>0.0</v>
      </c>
      <c r="G6826" s="60">
        <v>1.0</v>
      </c>
      <c r="H6826" s="60">
        <v>0.0</v>
      </c>
      <c r="I6826" s="60">
        <v>1896.694923</v>
      </c>
      <c r="J6826" s="59">
        <v>2.0</v>
      </c>
      <c r="K6826" s="61">
        <f t="shared" si="1"/>
        <v>0</v>
      </c>
      <c r="L6826" s="62">
        <f t="shared" si="2"/>
        <v>2</v>
      </c>
    </row>
    <row r="6827">
      <c r="A6827" s="58">
        <v>45627.0</v>
      </c>
      <c r="B6827" s="24" t="s">
        <v>155</v>
      </c>
      <c r="C6827" s="24" t="s">
        <v>6901</v>
      </c>
      <c r="D6827" s="59">
        <v>1.0</v>
      </c>
      <c r="E6827" s="59">
        <v>1.0</v>
      </c>
      <c r="F6827" s="59">
        <v>0.0</v>
      </c>
      <c r="G6827" s="60">
        <v>1.0</v>
      </c>
      <c r="H6827" s="60">
        <v>1.0</v>
      </c>
      <c r="I6827" s="60">
        <v>0.0</v>
      </c>
      <c r="J6827" s="59">
        <v>1.0</v>
      </c>
      <c r="K6827" s="61">
        <f t="shared" si="1"/>
        <v>0</v>
      </c>
      <c r="L6827" s="62">
        <f t="shared" si="2"/>
        <v>1</v>
      </c>
    </row>
    <row r="6828">
      <c r="A6828" s="58">
        <v>45627.0</v>
      </c>
      <c r="B6828" s="24" t="s">
        <v>6789</v>
      </c>
      <c r="C6828" s="24" t="s">
        <v>7077</v>
      </c>
      <c r="D6828" s="59">
        <v>1.0</v>
      </c>
      <c r="E6828" s="59">
        <v>1.0</v>
      </c>
      <c r="F6828" s="59">
        <v>0.0</v>
      </c>
      <c r="G6828" s="60">
        <v>1.0</v>
      </c>
      <c r="H6828" s="60">
        <v>0.0</v>
      </c>
      <c r="I6828" s="60">
        <v>52.853267</v>
      </c>
      <c r="J6828" s="59">
        <v>4.0</v>
      </c>
      <c r="K6828" s="61">
        <f t="shared" si="1"/>
        <v>0</v>
      </c>
      <c r="L6828" s="62">
        <f t="shared" si="2"/>
        <v>4</v>
      </c>
    </row>
    <row r="6829">
      <c r="A6829" s="58">
        <v>45627.0</v>
      </c>
      <c r="B6829" s="24" t="s">
        <v>6789</v>
      </c>
      <c r="C6829" s="24" t="s">
        <v>7513</v>
      </c>
      <c r="D6829" s="59">
        <v>1.0</v>
      </c>
      <c r="E6829" s="59">
        <v>1.0</v>
      </c>
      <c r="F6829" s="59">
        <v>0.0</v>
      </c>
      <c r="G6829" s="60">
        <v>1.0</v>
      </c>
      <c r="H6829" s="60">
        <v>1.0</v>
      </c>
      <c r="I6829" s="60">
        <v>6.168027</v>
      </c>
      <c r="J6829" s="59">
        <v>1.0</v>
      </c>
      <c r="K6829" s="61">
        <f t="shared" si="1"/>
        <v>0</v>
      </c>
      <c r="L6829" s="62">
        <f t="shared" si="2"/>
        <v>1</v>
      </c>
    </row>
    <row r="6830">
      <c r="A6830" s="58">
        <v>45627.0</v>
      </c>
      <c r="B6830" s="24" t="s">
        <v>6787</v>
      </c>
      <c r="C6830" s="24" t="s">
        <v>7514</v>
      </c>
      <c r="D6830" s="59">
        <v>1.0</v>
      </c>
      <c r="E6830" s="59">
        <v>1.0</v>
      </c>
      <c r="F6830" s="59">
        <v>1.0</v>
      </c>
      <c r="G6830" s="60">
        <v>1.0</v>
      </c>
      <c r="H6830" s="60">
        <v>0.0</v>
      </c>
      <c r="I6830" s="60">
        <v>188.754597</v>
      </c>
      <c r="J6830" s="59">
        <v>5.0</v>
      </c>
      <c r="K6830" s="61">
        <f t="shared" si="1"/>
        <v>1</v>
      </c>
      <c r="L6830" s="62">
        <f t="shared" si="2"/>
        <v>5</v>
      </c>
    </row>
    <row r="6831">
      <c r="A6831" s="58">
        <v>45627.0</v>
      </c>
      <c r="B6831" s="24" t="s">
        <v>155</v>
      </c>
      <c r="C6831" s="24" t="s">
        <v>7232</v>
      </c>
      <c r="D6831" s="59">
        <v>1.0</v>
      </c>
      <c r="E6831" s="59">
        <v>1.0</v>
      </c>
      <c r="F6831" s="59">
        <v>0.0</v>
      </c>
      <c r="G6831" s="60">
        <v>1.0</v>
      </c>
      <c r="H6831" s="60">
        <v>1.0</v>
      </c>
      <c r="I6831" s="60">
        <v>0.0</v>
      </c>
      <c r="J6831" s="59">
        <v>1.0</v>
      </c>
      <c r="K6831" s="61">
        <f t="shared" si="1"/>
        <v>0</v>
      </c>
      <c r="L6831" s="62">
        <f t="shared" si="2"/>
        <v>1</v>
      </c>
    </row>
    <row r="6832">
      <c r="A6832" s="58">
        <v>45627.0</v>
      </c>
      <c r="B6832" s="24" t="s">
        <v>6787</v>
      </c>
      <c r="C6832" s="24" t="s">
        <v>6907</v>
      </c>
      <c r="D6832" s="59">
        <v>1.0</v>
      </c>
      <c r="E6832" s="59">
        <v>1.0</v>
      </c>
      <c r="F6832" s="59">
        <v>1.0</v>
      </c>
      <c r="G6832" s="60">
        <v>1.0</v>
      </c>
      <c r="H6832" s="60">
        <v>1.0</v>
      </c>
      <c r="I6832" s="60">
        <v>0.0</v>
      </c>
      <c r="J6832" s="59">
        <v>1.0</v>
      </c>
      <c r="K6832" s="61">
        <f t="shared" si="1"/>
        <v>1</v>
      </c>
      <c r="L6832" s="62">
        <f t="shared" si="2"/>
        <v>1</v>
      </c>
    </row>
    <row r="6833">
      <c r="A6833" s="58">
        <v>45627.0</v>
      </c>
      <c r="B6833" s="24" t="s">
        <v>6789</v>
      </c>
      <c r="C6833" s="24" t="s">
        <v>6907</v>
      </c>
      <c r="D6833" s="59">
        <v>1.0</v>
      </c>
      <c r="E6833" s="59">
        <v>1.0</v>
      </c>
      <c r="F6833" s="59">
        <v>0.0</v>
      </c>
      <c r="G6833" s="60">
        <v>1.0</v>
      </c>
      <c r="H6833" s="60">
        <v>0.0</v>
      </c>
      <c r="I6833" s="60">
        <v>439.565703</v>
      </c>
      <c r="J6833" s="59">
        <v>1.0</v>
      </c>
      <c r="K6833" s="61">
        <f t="shared" si="1"/>
        <v>0</v>
      </c>
      <c r="L6833" s="62">
        <f t="shared" si="2"/>
        <v>1</v>
      </c>
    </row>
    <row r="6834">
      <c r="A6834" s="58">
        <v>45627.0</v>
      </c>
      <c r="B6834" s="24" t="s">
        <v>155</v>
      </c>
      <c r="C6834" s="24" t="s">
        <v>6808</v>
      </c>
      <c r="D6834" s="59">
        <v>1.0</v>
      </c>
      <c r="E6834" s="59">
        <v>1.0</v>
      </c>
      <c r="F6834" s="59">
        <v>0.0</v>
      </c>
      <c r="G6834" s="60">
        <v>0.0</v>
      </c>
      <c r="H6834" s="60">
        <v>1.0</v>
      </c>
      <c r="I6834" s="60">
        <v>0.0</v>
      </c>
      <c r="J6834" s="59">
        <v>1.0</v>
      </c>
      <c r="K6834" s="61">
        <f t="shared" si="1"/>
        <v>0</v>
      </c>
      <c r="L6834" s="62">
        <f t="shared" si="2"/>
        <v>1</v>
      </c>
    </row>
    <row r="6835">
      <c r="A6835" s="58">
        <v>45627.0</v>
      </c>
      <c r="B6835" s="24" t="s">
        <v>155</v>
      </c>
      <c r="C6835" s="24" t="s">
        <v>7088</v>
      </c>
      <c r="D6835" s="59">
        <v>1.0</v>
      </c>
      <c r="E6835" s="59">
        <v>1.0</v>
      </c>
      <c r="F6835" s="59">
        <v>0.0</v>
      </c>
      <c r="G6835" s="60">
        <v>1.0</v>
      </c>
      <c r="H6835" s="60">
        <v>0.0</v>
      </c>
      <c r="I6835" s="60">
        <v>1414.160864</v>
      </c>
      <c r="J6835" s="59">
        <v>5.0</v>
      </c>
      <c r="K6835" s="61">
        <f t="shared" si="1"/>
        <v>0</v>
      </c>
      <c r="L6835" s="62">
        <f t="shared" si="2"/>
        <v>5</v>
      </c>
    </row>
    <row r="6836">
      <c r="A6836" s="58">
        <v>45627.0</v>
      </c>
      <c r="B6836" s="24" t="s">
        <v>6787</v>
      </c>
      <c r="C6836" s="24" t="s">
        <v>7189</v>
      </c>
      <c r="D6836" s="59">
        <v>1.0</v>
      </c>
      <c r="E6836" s="59">
        <v>1.0</v>
      </c>
      <c r="F6836" s="59">
        <v>0.0</v>
      </c>
      <c r="G6836" s="60">
        <v>1.0</v>
      </c>
      <c r="H6836" s="60">
        <v>0.0</v>
      </c>
      <c r="I6836" s="60">
        <v>1795.668729</v>
      </c>
      <c r="J6836" s="59">
        <v>3.0</v>
      </c>
      <c r="K6836" s="61">
        <f t="shared" si="1"/>
        <v>0</v>
      </c>
      <c r="L6836" s="62">
        <f t="shared" si="2"/>
        <v>3</v>
      </c>
    </row>
    <row r="6837">
      <c r="A6837" s="58">
        <v>45627.0</v>
      </c>
      <c r="B6837" s="24" t="s">
        <v>6787</v>
      </c>
      <c r="C6837" s="24" t="s">
        <v>7089</v>
      </c>
      <c r="D6837" s="59">
        <v>1.0</v>
      </c>
      <c r="E6837" s="59">
        <v>1.0</v>
      </c>
      <c r="F6837" s="59">
        <v>1.0</v>
      </c>
      <c r="G6837" s="60">
        <v>1.0</v>
      </c>
      <c r="H6837" s="60">
        <v>1.0</v>
      </c>
      <c r="I6837" s="60">
        <v>0.0</v>
      </c>
      <c r="J6837" s="59">
        <v>1.0</v>
      </c>
      <c r="K6837" s="61">
        <f t="shared" si="1"/>
        <v>1</v>
      </c>
      <c r="L6837" s="62">
        <f t="shared" si="2"/>
        <v>1</v>
      </c>
    </row>
    <row r="6838">
      <c r="A6838" s="58">
        <v>45627.0</v>
      </c>
      <c r="B6838" s="24" t="s">
        <v>6794</v>
      </c>
      <c r="C6838" s="24" t="s">
        <v>7090</v>
      </c>
      <c r="D6838" s="59">
        <v>1.0</v>
      </c>
      <c r="E6838" s="59">
        <v>1.0</v>
      </c>
      <c r="F6838" s="59">
        <v>1.0</v>
      </c>
      <c r="G6838" s="60">
        <v>1.0</v>
      </c>
      <c r="H6838" s="60">
        <v>1.0</v>
      </c>
      <c r="I6838" s="60">
        <v>0.0</v>
      </c>
      <c r="J6838" s="59">
        <v>1.0</v>
      </c>
      <c r="K6838" s="61">
        <f t="shared" si="1"/>
        <v>1</v>
      </c>
      <c r="L6838" s="62">
        <f t="shared" si="2"/>
        <v>1</v>
      </c>
    </row>
    <row r="6839">
      <c r="A6839" s="58">
        <v>45627.0</v>
      </c>
      <c r="B6839" s="24" t="s">
        <v>6789</v>
      </c>
      <c r="C6839" s="24" t="s">
        <v>7160</v>
      </c>
      <c r="D6839" s="59">
        <v>1.0</v>
      </c>
      <c r="E6839" s="59">
        <v>1.0</v>
      </c>
      <c r="F6839" s="59">
        <v>0.0</v>
      </c>
      <c r="G6839" s="60">
        <v>1.0</v>
      </c>
      <c r="H6839" s="60">
        <v>1.0</v>
      </c>
      <c r="I6839" s="60">
        <v>6.272303</v>
      </c>
      <c r="J6839" s="59">
        <v>1.0</v>
      </c>
      <c r="K6839" s="61">
        <f t="shared" si="1"/>
        <v>0</v>
      </c>
      <c r="L6839" s="62">
        <f t="shared" si="2"/>
        <v>1</v>
      </c>
    </row>
    <row r="6840">
      <c r="A6840" s="58">
        <v>45627.0</v>
      </c>
      <c r="B6840" s="24" t="s">
        <v>155</v>
      </c>
      <c r="C6840" s="24" t="s">
        <v>7022</v>
      </c>
      <c r="D6840" s="59">
        <v>1.0</v>
      </c>
      <c r="E6840" s="59">
        <v>1.0</v>
      </c>
      <c r="F6840" s="59">
        <v>0.0</v>
      </c>
      <c r="G6840" s="60">
        <v>1.0</v>
      </c>
      <c r="H6840" s="60">
        <v>0.0</v>
      </c>
      <c r="I6840" s="60">
        <v>3521.315358</v>
      </c>
      <c r="J6840" s="59">
        <v>25.0</v>
      </c>
      <c r="K6840" s="61">
        <f t="shared" si="1"/>
        <v>0</v>
      </c>
      <c r="L6840" s="62">
        <f t="shared" si="2"/>
        <v>25</v>
      </c>
    </row>
    <row r="6841">
      <c r="A6841" s="58">
        <v>45627.0</v>
      </c>
      <c r="B6841" s="24" t="s">
        <v>6789</v>
      </c>
      <c r="C6841" s="24" t="s">
        <v>7091</v>
      </c>
      <c r="D6841" s="59">
        <v>1.0</v>
      </c>
      <c r="E6841" s="59">
        <v>1.0</v>
      </c>
      <c r="F6841" s="59">
        <v>1.0</v>
      </c>
      <c r="G6841" s="60">
        <v>1.0</v>
      </c>
      <c r="H6841" s="60">
        <v>1.0</v>
      </c>
      <c r="I6841" s="60">
        <v>5.781715</v>
      </c>
      <c r="J6841" s="59">
        <v>1.0</v>
      </c>
      <c r="K6841" s="61">
        <f t="shared" si="1"/>
        <v>1</v>
      </c>
      <c r="L6841" s="62">
        <f t="shared" si="2"/>
        <v>1</v>
      </c>
    </row>
    <row r="6842">
      <c r="A6842" s="58">
        <v>45627.0</v>
      </c>
      <c r="B6842" s="24" t="s">
        <v>6789</v>
      </c>
      <c r="C6842" s="24" t="s">
        <v>7191</v>
      </c>
      <c r="D6842" s="59">
        <v>1.0</v>
      </c>
      <c r="E6842" s="59">
        <v>1.0</v>
      </c>
      <c r="F6842" s="59">
        <v>1.0</v>
      </c>
      <c r="G6842" s="60">
        <v>1.0</v>
      </c>
      <c r="H6842" s="60">
        <v>0.0</v>
      </c>
      <c r="I6842" s="60">
        <v>24.126419</v>
      </c>
      <c r="J6842" s="59">
        <v>1.0</v>
      </c>
      <c r="K6842" s="61">
        <f t="shared" si="1"/>
        <v>1</v>
      </c>
      <c r="L6842" s="62">
        <f t="shared" si="2"/>
        <v>1</v>
      </c>
    </row>
    <row r="6843">
      <c r="A6843" s="58">
        <v>45627.0</v>
      </c>
      <c r="B6843" s="24" t="s">
        <v>6789</v>
      </c>
      <c r="C6843" s="24" t="s">
        <v>7131</v>
      </c>
      <c r="D6843" s="59">
        <v>1.0</v>
      </c>
      <c r="E6843" s="59">
        <v>1.0</v>
      </c>
      <c r="F6843" s="59">
        <v>1.0</v>
      </c>
      <c r="G6843" s="60">
        <v>1.0</v>
      </c>
      <c r="H6843" s="60">
        <v>0.0</v>
      </c>
      <c r="I6843" s="60">
        <v>18.183211</v>
      </c>
      <c r="J6843" s="59">
        <v>1.0</v>
      </c>
      <c r="K6843" s="61">
        <f t="shared" si="1"/>
        <v>1</v>
      </c>
      <c r="L6843" s="62">
        <f t="shared" si="2"/>
        <v>1</v>
      </c>
    </row>
    <row r="6844">
      <c r="A6844" s="58">
        <v>45627.0</v>
      </c>
      <c r="B6844" s="24" t="s">
        <v>6789</v>
      </c>
      <c r="C6844" s="24" t="s">
        <v>7186</v>
      </c>
      <c r="D6844" s="59">
        <v>1.0</v>
      </c>
      <c r="E6844" s="59">
        <v>1.0</v>
      </c>
      <c r="F6844" s="59">
        <v>1.0</v>
      </c>
      <c r="G6844" s="60">
        <v>1.0</v>
      </c>
      <c r="H6844" s="60">
        <v>1.0</v>
      </c>
      <c r="I6844" s="60">
        <v>0.0</v>
      </c>
      <c r="J6844" s="59">
        <v>1.0</v>
      </c>
      <c r="K6844" s="61">
        <f t="shared" si="1"/>
        <v>1</v>
      </c>
      <c r="L6844" s="62">
        <f t="shared" si="2"/>
        <v>1</v>
      </c>
    </row>
    <row r="6845">
      <c r="A6845" s="58">
        <v>45627.0</v>
      </c>
      <c r="B6845" s="24" t="s">
        <v>6789</v>
      </c>
      <c r="C6845" s="24" t="s">
        <v>7097</v>
      </c>
      <c r="D6845" s="59">
        <v>1.0</v>
      </c>
      <c r="E6845" s="59">
        <v>1.0</v>
      </c>
      <c r="F6845" s="59">
        <v>1.0</v>
      </c>
      <c r="G6845" s="60">
        <v>1.0</v>
      </c>
      <c r="H6845" s="60">
        <v>0.0</v>
      </c>
      <c r="I6845" s="60">
        <v>387.027901</v>
      </c>
      <c r="J6845" s="59">
        <v>1.0</v>
      </c>
      <c r="K6845" s="61">
        <f t="shared" si="1"/>
        <v>1</v>
      </c>
      <c r="L6845" s="62">
        <f t="shared" si="2"/>
        <v>1</v>
      </c>
    </row>
    <row r="6846">
      <c r="A6846" s="58">
        <v>45627.0</v>
      </c>
      <c r="B6846" s="24" t="s">
        <v>6789</v>
      </c>
      <c r="C6846" s="24" t="s">
        <v>7098</v>
      </c>
      <c r="D6846" s="59">
        <v>1.0</v>
      </c>
      <c r="E6846" s="59">
        <v>1.0</v>
      </c>
      <c r="F6846" s="59">
        <v>1.0</v>
      </c>
      <c r="G6846" s="60">
        <v>1.0</v>
      </c>
      <c r="H6846" s="60">
        <v>0.0</v>
      </c>
      <c r="I6846" s="60">
        <v>18.238303</v>
      </c>
      <c r="J6846" s="59">
        <v>1.0</v>
      </c>
      <c r="K6846" s="61">
        <f t="shared" si="1"/>
        <v>1</v>
      </c>
      <c r="L6846" s="62">
        <f t="shared" si="2"/>
        <v>1</v>
      </c>
    </row>
    <row r="6847">
      <c r="A6847" s="58">
        <v>45627.0</v>
      </c>
      <c r="B6847" s="24" t="s">
        <v>6787</v>
      </c>
      <c r="C6847" s="24" t="s">
        <v>7013</v>
      </c>
      <c r="D6847" s="59">
        <v>1.0</v>
      </c>
      <c r="E6847" s="59">
        <v>1.0</v>
      </c>
      <c r="F6847" s="59">
        <v>1.0</v>
      </c>
      <c r="G6847" s="60">
        <v>1.0</v>
      </c>
      <c r="H6847" s="60">
        <v>1.0</v>
      </c>
      <c r="I6847" s="60">
        <v>0.0</v>
      </c>
      <c r="J6847" s="59">
        <v>1.0</v>
      </c>
      <c r="K6847" s="61">
        <f t="shared" si="1"/>
        <v>1</v>
      </c>
      <c r="L6847" s="62">
        <f t="shared" si="2"/>
        <v>1</v>
      </c>
    </row>
    <row r="6848">
      <c r="A6848" s="58">
        <v>45627.0</v>
      </c>
      <c r="B6848" s="24" t="s">
        <v>6789</v>
      </c>
      <c r="C6848" s="24" t="s">
        <v>6809</v>
      </c>
      <c r="D6848" s="59">
        <v>1.0</v>
      </c>
      <c r="E6848" s="59">
        <v>2.0</v>
      </c>
      <c r="F6848" s="59">
        <v>1.0</v>
      </c>
      <c r="G6848" s="60">
        <v>2.0</v>
      </c>
      <c r="H6848" s="60">
        <v>0.5</v>
      </c>
      <c r="I6848" s="60">
        <v>1108.943553</v>
      </c>
      <c r="J6848" s="59">
        <v>6.0</v>
      </c>
      <c r="K6848" s="61">
        <f t="shared" si="1"/>
        <v>0.5</v>
      </c>
      <c r="L6848" s="62">
        <f t="shared" si="2"/>
        <v>3</v>
      </c>
    </row>
    <row r="6849">
      <c r="A6849" s="58">
        <v>45627.0</v>
      </c>
      <c r="B6849" s="24" t="s">
        <v>6789</v>
      </c>
      <c r="C6849" s="24" t="s">
        <v>7101</v>
      </c>
      <c r="D6849" s="59">
        <v>1.0</v>
      </c>
      <c r="E6849" s="59">
        <v>1.0</v>
      </c>
      <c r="F6849" s="59">
        <v>1.0</v>
      </c>
      <c r="G6849" s="60">
        <v>1.0</v>
      </c>
      <c r="H6849" s="60">
        <v>0.0</v>
      </c>
      <c r="I6849" s="60">
        <v>22.024924</v>
      </c>
      <c r="J6849" s="59">
        <v>1.0</v>
      </c>
      <c r="K6849" s="61">
        <f t="shared" si="1"/>
        <v>1</v>
      </c>
      <c r="L6849" s="62">
        <f t="shared" si="2"/>
        <v>1</v>
      </c>
    </row>
    <row r="6850">
      <c r="A6850" s="58">
        <v>45627.0</v>
      </c>
      <c r="B6850" s="24" t="s">
        <v>6789</v>
      </c>
      <c r="C6850" s="24" t="s">
        <v>7044</v>
      </c>
      <c r="D6850" s="59">
        <v>1.0</v>
      </c>
      <c r="E6850" s="59">
        <v>1.0</v>
      </c>
      <c r="F6850" s="59">
        <v>1.0</v>
      </c>
      <c r="G6850" s="60">
        <v>1.0</v>
      </c>
      <c r="H6850" s="60">
        <v>1.0</v>
      </c>
      <c r="I6850" s="60">
        <v>0.0</v>
      </c>
      <c r="J6850" s="59">
        <v>1.0</v>
      </c>
      <c r="K6850" s="61">
        <f t="shared" si="1"/>
        <v>1</v>
      </c>
      <c r="L6850" s="62">
        <f t="shared" si="2"/>
        <v>1</v>
      </c>
    </row>
    <row r="6851">
      <c r="A6851" s="58">
        <v>45627.0</v>
      </c>
      <c r="B6851" s="24" t="s">
        <v>155</v>
      </c>
      <c r="C6851" s="24" t="s">
        <v>7172</v>
      </c>
      <c r="D6851" s="59">
        <v>1.0</v>
      </c>
      <c r="E6851" s="59">
        <v>1.0</v>
      </c>
      <c r="F6851" s="59">
        <v>0.0</v>
      </c>
      <c r="G6851" s="60">
        <v>1.0</v>
      </c>
      <c r="H6851" s="60">
        <v>0.0</v>
      </c>
      <c r="I6851" s="60">
        <v>102.184507</v>
      </c>
      <c r="J6851" s="59">
        <v>2.0</v>
      </c>
      <c r="K6851" s="61">
        <f t="shared" si="1"/>
        <v>0</v>
      </c>
      <c r="L6851" s="62">
        <f t="shared" si="2"/>
        <v>2</v>
      </c>
    </row>
    <row r="6852">
      <c r="A6852" s="58">
        <v>45627.0</v>
      </c>
      <c r="B6852" s="24" t="s">
        <v>155</v>
      </c>
      <c r="C6852" s="24" t="s">
        <v>6801</v>
      </c>
      <c r="D6852" s="59">
        <v>1.0</v>
      </c>
      <c r="E6852" s="59">
        <v>1.0</v>
      </c>
      <c r="F6852" s="59">
        <v>0.0</v>
      </c>
      <c r="G6852" s="60">
        <v>1.0</v>
      </c>
      <c r="H6852" s="60">
        <v>0.0</v>
      </c>
      <c r="I6852" s="60">
        <v>812.273335</v>
      </c>
      <c r="J6852" s="59">
        <v>10.0</v>
      </c>
      <c r="K6852" s="61">
        <f t="shared" si="1"/>
        <v>0</v>
      </c>
      <c r="L6852" s="62">
        <f t="shared" si="2"/>
        <v>10</v>
      </c>
    </row>
    <row r="6853">
      <c r="A6853" s="58">
        <v>45627.0</v>
      </c>
      <c r="B6853" s="24" t="s">
        <v>6787</v>
      </c>
      <c r="C6853" s="24" t="s">
        <v>7023</v>
      </c>
      <c r="D6853" s="59">
        <v>1.0</v>
      </c>
      <c r="E6853" s="59">
        <v>1.0</v>
      </c>
      <c r="F6853" s="59">
        <v>1.0</v>
      </c>
      <c r="G6853" s="60">
        <v>1.0</v>
      </c>
      <c r="H6853" s="60">
        <v>1.0</v>
      </c>
      <c r="I6853" s="60">
        <v>0.0</v>
      </c>
      <c r="J6853" s="59">
        <v>1.0</v>
      </c>
      <c r="K6853" s="61">
        <f t="shared" si="1"/>
        <v>1</v>
      </c>
      <c r="L6853" s="62">
        <f t="shared" si="2"/>
        <v>1</v>
      </c>
    </row>
    <row r="6854">
      <c r="A6854" s="58">
        <v>45627.0</v>
      </c>
      <c r="B6854" s="24" t="s">
        <v>6789</v>
      </c>
      <c r="C6854" s="24" t="s">
        <v>7023</v>
      </c>
      <c r="D6854" s="59">
        <v>1.0</v>
      </c>
      <c r="E6854" s="59">
        <v>1.0</v>
      </c>
      <c r="F6854" s="59">
        <v>1.0</v>
      </c>
      <c r="G6854" s="60">
        <v>1.0</v>
      </c>
      <c r="H6854" s="60">
        <v>0.0</v>
      </c>
      <c r="I6854" s="60">
        <v>116.548769</v>
      </c>
      <c r="J6854" s="59">
        <v>2.0</v>
      </c>
      <c r="K6854" s="61">
        <f t="shared" si="1"/>
        <v>1</v>
      </c>
      <c r="L6854" s="62">
        <f t="shared" si="2"/>
        <v>2</v>
      </c>
    </row>
    <row r="6855">
      <c r="A6855" s="58">
        <v>45627.0</v>
      </c>
      <c r="B6855" s="24" t="s">
        <v>6790</v>
      </c>
      <c r="C6855" s="24" t="s">
        <v>6912</v>
      </c>
      <c r="D6855" s="59">
        <v>1.0</v>
      </c>
      <c r="E6855" s="59">
        <v>1.0</v>
      </c>
      <c r="F6855" s="59">
        <v>0.0</v>
      </c>
      <c r="G6855" s="60">
        <v>1.0</v>
      </c>
      <c r="H6855" s="60">
        <v>1.0</v>
      </c>
      <c r="I6855" s="60">
        <v>0.0</v>
      </c>
      <c r="J6855" s="59">
        <v>1.0</v>
      </c>
      <c r="K6855" s="61">
        <f t="shared" si="1"/>
        <v>0</v>
      </c>
      <c r="L6855" s="62">
        <f t="shared" si="2"/>
        <v>1</v>
      </c>
    </row>
    <row r="6856">
      <c r="A6856" s="58">
        <v>45627.0</v>
      </c>
      <c r="B6856" s="24" t="s">
        <v>6787</v>
      </c>
      <c r="C6856" s="24" t="s">
        <v>7448</v>
      </c>
      <c r="D6856" s="59">
        <v>1.0</v>
      </c>
      <c r="E6856" s="59">
        <v>1.0</v>
      </c>
      <c r="F6856" s="59">
        <v>1.0</v>
      </c>
      <c r="G6856" s="60">
        <v>1.0</v>
      </c>
      <c r="H6856" s="60">
        <v>1.0</v>
      </c>
      <c r="I6856" s="60">
        <v>3.164481</v>
      </c>
      <c r="J6856" s="59">
        <v>1.0</v>
      </c>
      <c r="K6856" s="61">
        <f t="shared" si="1"/>
        <v>1</v>
      </c>
      <c r="L6856" s="62">
        <f t="shared" si="2"/>
        <v>1</v>
      </c>
    </row>
    <row r="6857">
      <c r="A6857" s="58">
        <v>45627.0</v>
      </c>
      <c r="B6857" s="24" t="s">
        <v>6787</v>
      </c>
      <c r="C6857" s="24" t="s">
        <v>7515</v>
      </c>
      <c r="D6857" s="59">
        <v>1.0</v>
      </c>
      <c r="E6857" s="59">
        <v>1.0</v>
      </c>
      <c r="F6857" s="59">
        <v>0.0</v>
      </c>
      <c r="G6857" s="60">
        <v>1.0</v>
      </c>
      <c r="H6857" s="60">
        <v>0.0</v>
      </c>
      <c r="I6857" s="60">
        <v>1590.591118</v>
      </c>
      <c r="J6857" s="59">
        <v>2.0</v>
      </c>
      <c r="K6857" s="61">
        <f t="shared" si="1"/>
        <v>0</v>
      </c>
      <c r="L6857" s="62">
        <f t="shared" si="2"/>
        <v>2</v>
      </c>
    </row>
    <row r="6858">
      <c r="A6858" s="58">
        <v>45627.0</v>
      </c>
      <c r="B6858" s="24" t="s">
        <v>6789</v>
      </c>
      <c r="C6858" s="24" t="s">
        <v>7515</v>
      </c>
      <c r="D6858" s="59">
        <v>1.0</v>
      </c>
      <c r="E6858" s="59">
        <v>3.0</v>
      </c>
      <c r="F6858" s="59">
        <v>0.0</v>
      </c>
      <c r="G6858" s="60">
        <v>3.0</v>
      </c>
      <c r="H6858" s="60">
        <v>0.0</v>
      </c>
      <c r="I6858" s="60">
        <v>188.809928333333</v>
      </c>
      <c r="J6858" s="59">
        <v>6.0</v>
      </c>
      <c r="K6858" s="61">
        <f t="shared" si="1"/>
        <v>0</v>
      </c>
      <c r="L6858" s="62">
        <f t="shared" si="2"/>
        <v>2</v>
      </c>
    </row>
    <row r="6859">
      <c r="A6859" s="58">
        <v>45627.0</v>
      </c>
      <c r="B6859" s="24" t="s">
        <v>155</v>
      </c>
      <c r="C6859" s="24" t="s">
        <v>7106</v>
      </c>
      <c r="D6859" s="59">
        <v>1.0</v>
      </c>
      <c r="E6859" s="59">
        <v>1.0</v>
      </c>
      <c r="F6859" s="59">
        <v>1.0</v>
      </c>
      <c r="G6859" s="60">
        <v>1.0</v>
      </c>
      <c r="H6859" s="60">
        <v>1.0</v>
      </c>
      <c r="I6859" s="60">
        <v>0.0</v>
      </c>
      <c r="J6859" s="59">
        <v>1.0</v>
      </c>
      <c r="K6859" s="61">
        <f t="shared" si="1"/>
        <v>1</v>
      </c>
      <c r="L6859" s="62">
        <f t="shared" si="2"/>
        <v>1</v>
      </c>
    </row>
    <row r="6860">
      <c r="A6860" s="58">
        <v>45627.0</v>
      </c>
      <c r="B6860" s="24" t="s">
        <v>155</v>
      </c>
      <c r="C6860" s="24" t="s">
        <v>7180</v>
      </c>
      <c r="D6860" s="59">
        <v>1.0</v>
      </c>
      <c r="E6860" s="59">
        <v>1.0</v>
      </c>
      <c r="F6860" s="59">
        <v>1.0</v>
      </c>
      <c r="G6860" s="60">
        <v>1.0</v>
      </c>
      <c r="H6860" s="60">
        <v>1.0</v>
      </c>
      <c r="I6860" s="60">
        <v>0.0</v>
      </c>
      <c r="J6860" s="59">
        <v>1.0</v>
      </c>
      <c r="K6860" s="61">
        <f t="shared" si="1"/>
        <v>1</v>
      </c>
      <c r="L6860" s="62">
        <f t="shared" si="2"/>
        <v>1</v>
      </c>
    </row>
    <row r="6861">
      <c r="A6861" s="58">
        <v>45627.0</v>
      </c>
      <c r="B6861" s="24" t="s">
        <v>6794</v>
      </c>
      <c r="C6861" s="24" t="s">
        <v>6815</v>
      </c>
      <c r="D6861" s="59">
        <v>1.0</v>
      </c>
      <c r="E6861" s="59">
        <v>1.0</v>
      </c>
      <c r="F6861" s="59">
        <v>1.0</v>
      </c>
      <c r="G6861" s="60">
        <v>1.0</v>
      </c>
      <c r="H6861" s="60">
        <v>0.0</v>
      </c>
      <c r="I6861" s="60">
        <v>28.222091</v>
      </c>
      <c r="J6861" s="59">
        <v>1.0</v>
      </c>
      <c r="K6861" s="61">
        <f t="shared" si="1"/>
        <v>1</v>
      </c>
      <c r="L6861" s="62">
        <f t="shared" si="2"/>
        <v>1</v>
      </c>
    </row>
    <row r="6862">
      <c r="A6862" s="58">
        <v>45627.0</v>
      </c>
      <c r="B6862" s="24" t="s">
        <v>155</v>
      </c>
      <c r="C6862" s="24" t="s">
        <v>6815</v>
      </c>
      <c r="D6862" s="59">
        <v>1.0</v>
      </c>
      <c r="E6862" s="59">
        <v>2.0</v>
      </c>
      <c r="F6862" s="59">
        <v>1.0</v>
      </c>
      <c r="G6862" s="60">
        <v>2.0</v>
      </c>
      <c r="H6862" s="60">
        <v>1.0</v>
      </c>
      <c r="I6862" s="60">
        <v>0.0</v>
      </c>
      <c r="J6862" s="59">
        <v>2.0</v>
      </c>
      <c r="K6862" s="61">
        <f t="shared" si="1"/>
        <v>0.5</v>
      </c>
      <c r="L6862" s="62">
        <f t="shared" si="2"/>
        <v>1</v>
      </c>
    </row>
    <row r="6863">
      <c r="A6863" s="58">
        <v>45627.0</v>
      </c>
      <c r="B6863" s="24" t="s">
        <v>155</v>
      </c>
      <c r="C6863" s="24" t="s">
        <v>7516</v>
      </c>
      <c r="D6863" s="59">
        <v>1.0</v>
      </c>
      <c r="E6863" s="59">
        <v>1.0</v>
      </c>
      <c r="F6863" s="59">
        <v>0.0</v>
      </c>
      <c r="G6863" s="60">
        <v>1.0</v>
      </c>
      <c r="H6863" s="60">
        <v>0.0</v>
      </c>
      <c r="I6863" s="60">
        <v>24.074014</v>
      </c>
      <c r="J6863" s="59">
        <v>1.0</v>
      </c>
      <c r="K6863" s="61">
        <f t="shared" si="1"/>
        <v>0</v>
      </c>
      <c r="L6863" s="62">
        <f t="shared" si="2"/>
        <v>1</v>
      </c>
    </row>
    <row r="6864">
      <c r="A6864" s="58">
        <v>45627.0</v>
      </c>
      <c r="B6864" s="24" t="s">
        <v>6789</v>
      </c>
      <c r="C6864" s="24" t="s">
        <v>7517</v>
      </c>
      <c r="D6864" s="59">
        <v>1.0</v>
      </c>
      <c r="E6864" s="59">
        <v>2.0</v>
      </c>
      <c r="F6864" s="59">
        <v>0.0</v>
      </c>
      <c r="G6864" s="60">
        <v>2.0</v>
      </c>
      <c r="H6864" s="60">
        <v>0.0</v>
      </c>
      <c r="I6864" s="60">
        <v>1541.6560295</v>
      </c>
      <c r="J6864" s="59">
        <v>22.0</v>
      </c>
      <c r="K6864" s="61">
        <f t="shared" si="1"/>
        <v>0</v>
      </c>
      <c r="L6864" s="62">
        <f t="shared" si="2"/>
        <v>11</v>
      </c>
    </row>
    <row r="6865">
      <c r="A6865" s="58">
        <v>45627.0</v>
      </c>
      <c r="B6865" s="24" t="s">
        <v>6789</v>
      </c>
      <c r="C6865" s="24" t="s">
        <v>7479</v>
      </c>
      <c r="D6865" s="59">
        <v>1.0</v>
      </c>
      <c r="E6865" s="59">
        <v>1.0</v>
      </c>
      <c r="F6865" s="59">
        <v>1.0</v>
      </c>
      <c r="G6865" s="60">
        <v>1.0</v>
      </c>
      <c r="H6865" s="60">
        <v>0.0</v>
      </c>
      <c r="I6865" s="60">
        <v>1445.253138</v>
      </c>
      <c r="J6865" s="59">
        <v>10.0</v>
      </c>
      <c r="K6865" s="61">
        <f t="shared" si="1"/>
        <v>1</v>
      </c>
      <c r="L6865" s="62">
        <f t="shared" si="2"/>
        <v>10</v>
      </c>
    </row>
    <row r="6866">
      <c r="A6866" s="58">
        <v>45627.0</v>
      </c>
      <c r="B6866" s="24" t="s">
        <v>6789</v>
      </c>
      <c r="C6866" s="24" t="s">
        <v>6921</v>
      </c>
      <c r="D6866" s="59">
        <v>1.0</v>
      </c>
      <c r="E6866" s="59">
        <v>1.0</v>
      </c>
      <c r="F6866" s="59">
        <v>0.0</v>
      </c>
      <c r="G6866" s="60">
        <v>0.0</v>
      </c>
      <c r="H6866" s="60">
        <v>1.0</v>
      </c>
      <c r="I6866" s="60">
        <v>0.0</v>
      </c>
      <c r="J6866" s="59">
        <v>1.0</v>
      </c>
      <c r="K6866" s="61">
        <f t="shared" si="1"/>
        <v>0</v>
      </c>
      <c r="L6866" s="62">
        <f t="shared" si="2"/>
        <v>1</v>
      </c>
    </row>
    <row r="6867">
      <c r="A6867" s="58">
        <v>45627.0</v>
      </c>
      <c r="B6867" s="24" t="s">
        <v>6789</v>
      </c>
      <c r="C6867" s="24" t="s">
        <v>7047</v>
      </c>
      <c r="D6867" s="59">
        <v>1.0</v>
      </c>
      <c r="E6867" s="59">
        <v>1.0</v>
      </c>
      <c r="F6867" s="59">
        <v>0.0</v>
      </c>
      <c r="G6867" s="60">
        <v>1.0</v>
      </c>
      <c r="H6867" s="60">
        <v>0.0</v>
      </c>
      <c r="I6867" s="60">
        <v>1236.467291</v>
      </c>
      <c r="J6867" s="59">
        <v>2.0</v>
      </c>
      <c r="K6867" s="61">
        <f t="shared" si="1"/>
        <v>0</v>
      </c>
      <c r="L6867" s="62">
        <f t="shared" si="2"/>
        <v>2</v>
      </c>
    </row>
    <row r="6868">
      <c r="A6868" s="58">
        <v>45627.0</v>
      </c>
      <c r="B6868" s="24" t="s">
        <v>6794</v>
      </c>
      <c r="C6868" s="24" t="s">
        <v>6797</v>
      </c>
      <c r="D6868" s="59">
        <v>1.0</v>
      </c>
      <c r="E6868" s="59">
        <v>1.0</v>
      </c>
      <c r="F6868" s="59">
        <v>0.0</v>
      </c>
      <c r="G6868" s="60">
        <v>1.0</v>
      </c>
      <c r="H6868" s="60">
        <v>0.0</v>
      </c>
      <c r="I6868" s="60">
        <v>88.883187</v>
      </c>
      <c r="J6868" s="59">
        <v>3.0</v>
      </c>
      <c r="K6868" s="61">
        <f t="shared" si="1"/>
        <v>0</v>
      </c>
      <c r="L6868" s="62">
        <f t="shared" si="2"/>
        <v>3</v>
      </c>
    </row>
    <row r="6869">
      <c r="A6869" s="58">
        <v>45627.0</v>
      </c>
      <c r="B6869" s="24" t="s">
        <v>155</v>
      </c>
      <c r="C6869" s="24" t="s">
        <v>6797</v>
      </c>
      <c r="D6869" s="59">
        <v>1.0</v>
      </c>
      <c r="E6869" s="59">
        <v>1.0</v>
      </c>
      <c r="F6869" s="59">
        <v>1.0</v>
      </c>
      <c r="G6869" s="60">
        <v>1.0</v>
      </c>
      <c r="H6869" s="60">
        <v>1.0</v>
      </c>
      <c r="I6869" s="60">
        <v>0.960117</v>
      </c>
      <c r="J6869" s="59">
        <v>1.0</v>
      </c>
      <c r="K6869" s="61">
        <f t="shared" si="1"/>
        <v>1</v>
      </c>
      <c r="L6869" s="62">
        <f t="shared" si="2"/>
        <v>1</v>
      </c>
    </row>
    <row r="6870">
      <c r="A6870" s="58">
        <v>45627.0</v>
      </c>
      <c r="B6870" s="24" t="s">
        <v>6789</v>
      </c>
      <c r="C6870" s="24" t="s">
        <v>6931</v>
      </c>
      <c r="D6870" s="59">
        <v>1.0</v>
      </c>
      <c r="E6870" s="59">
        <v>1.0</v>
      </c>
      <c r="F6870" s="59">
        <v>0.0</v>
      </c>
      <c r="G6870" s="60">
        <v>1.0</v>
      </c>
      <c r="H6870" s="60">
        <v>0.0</v>
      </c>
      <c r="I6870" s="60">
        <v>20.710064</v>
      </c>
      <c r="J6870" s="59">
        <v>1.0</v>
      </c>
      <c r="K6870" s="61">
        <f t="shared" si="1"/>
        <v>0</v>
      </c>
      <c r="L6870" s="62">
        <f t="shared" si="2"/>
        <v>1</v>
      </c>
    </row>
    <row r="6871">
      <c r="A6871" s="58">
        <v>45627.0</v>
      </c>
      <c r="B6871" s="24" t="s">
        <v>6789</v>
      </c>
      <c r="C6871" s="24" t="s">
        <v>6962</v>
      </c>
      <c r="D6871" s="59">
        <v>1.0</v>
      </c>
      <c r="E6871" s="59">
        <v>1.0</v>
      </c>
      <c r="F6871" s="59">
        <v>0.0</v>
      </c>
      <c r="G6871" s="60">
        <v>1.0</v>
      </c>
      <c r="H6871" s="60">
        <v>0.0</v>
      </c>
      <c r="I6871" s="60">
        <v>1.1811</v>
      </c>
      <c r="J6871" s="59">
        <v>1.0</v>
      </c>
      <c r="K6871" s="61">
        <f t="shared" si="1"/>
        <v>0</v>
      </c>
      <c r="L6871" s="62">
        <f t="shared" si="2"/>
        <v>1</v>
      </c>
    </row>
    <row r="6872">
      <c r="A6872" s="58">
        <v>45627.0</v>
      </c>
      <c r="B6872" s="24" t="s">
        <v>6794</v>
      </c>
      <c r="C6872" s="24" t="s">
        <v>6854</v>
      </c>
      <c r="D6872" s="59">
        <v>1.0</v>
      </c>
      <c r="E6872" s="59">
        <v>1.0</v>
      </c>
      <c r="F6872" s="59">
        <v>0.0</v>
      </c>
      <c r="G6872" s="60">
        <v>1.0</v>
      </c>
      <c r="H6872" s="60">
        <v>1.0</v>
      </c>
      <c r="I6872" s="60">
        <v>5.495236</v>
      </c>
      <c r="J6872" s="59">
        <v>1.0</v>
      </c>
      <c r="K6872" s="61">
        <f t="shared" si="1"/>
        <v>0</v>
      </c>
      <c r="L6872" s="62">
        <f t="shared" si="2"/>
        <v>1</v>
      </c>
    </row>
    <row r="6873">
      <c r="A6873" s="58">
        <v>45627.0</v>
      </c>
      <c r="B6873" s="24" t="s">
        <v>6790</v>
      </c>
      <c r="C6873" s="24" t="s">
        <v>6854</v>
      </c>
      <c r="D6873" s="59">
        <v>1.0</v>
      </c>
      <c r="E6873" s="59">
        <v>1.0</v>
      </c>
      <c r="F6873" s="59">
        <v>1.0</v>
      </c>
      <c r="G6873" s="60">
        <v>1.0</v>
      </c>
      <c r="H6873" s="60">
        <v>1.0</v>
      </c>
      <c r="I6873" s="60">
        <v>0.0</v>
      </c>
      <c r="J6873" s="59">
        <v>1.0</v>
      </c>
      <c r="K6873" s="61">
        <f t="shared" si="1"/>
        <v>1</v>
      </c>
      <c r="L6873" s="62">
        <f t="shared" si="2"/>
        <v>1</v>
      </c>
    </row>
    <row r="6874">
      <c r="A6874" s="58">
        <v>45627.0</v>
      </c>
      <c r="B6874" s="24" t="s">
        <v>155</v>
      </c>
      <c r="C6874" s="24" t="s">
        <v>6802</v>
      </c>
      <c r="D6874" s="59">
        <v>1.0</v>
      </c>
      <c r="E6874" s="59">
        <v>1.0</v>
      </c>
      <c r="F6874" s="59">
        <v>0.0</v>
      </c>
      <c r="G6874" s="60">
        <v>1.0</v>
      </c>
      <c r="H6874" s="60">
        <v>0.0</v>
      </c>
      <c r="I6874" s="60">
        <v>152.063265</v>
      </c>
      <c r="J6874" s="59">
        <v>1.0</v>
      </c>
      <c r="K6874" s="61">
        <f t="shared" si="1"/>
        <v>0</v>
      </c>
      <c r="L6874" s="62">
        <f t="shared" si="2"/>
        <v>1</v>
      </c>
    </row>
    <row r="6875">
      <c r="A6875" s="58">
        <v>45597.0</v>
      </c>
      <c r="B6875" s="24" t="s">
        <v>6789</v>
      </c>
      <c r="C6875" s="24" t="s">
        <v>6788</v>
      </c>
      <c r="D6875" s="59">
        <v>826.0</v>
      </c>
      <c r="E6875" s="59">
        <v>1086.0</v>
      </c>
      <c r="F6875" s="59">
        <v>698.0</v>
      </c>
      <c r="G6875" s="60">
        <v>1.35074626865671</v>
      </c>
      <c r="H6875" s="60">
        <v>0.556169429097605</v>
      </c>
      <c r="I6875" s="60">
        <v>151.880582665745</v>
      </c>
      <c r="J6875" s="59">
        <v>1819.0</v>
      </c>
      <c r="K6875" s="61">
        <f t="shared" si="1"/>
        <v>0.6427255985</v>
      </c>
      <c r="L6875" s="62">
        <f t="shared" si="2"/>
        <v>1.674953959</v>
      </c>
    </row>
    <row r="6876">
      <c r="A6876" s="58">
        <v>45597.0</v>
      </c>
      <c r="B6876" s="24" t="s">
        <v>6787</v>
      </c>
      <c r="C6876" s="24" t="s">
        <v>6788</v>
      </c>
      <c r="D6876" s="59">
        <v>658.0</v>
      </c>
      <c r="E6876" s="59">
        <v>782.0</v>
      </c>
      <c r="F6876" s="59">
        <v>618.0</v>
      </c>
      <c r="G6876" s="60">
        <v>1.20122887864823</v>
      </c>
      <c r="H6876" s="60">
        <v>0.723785166240409</v>
      </c>
      <c r="I6876" s="60">
        <v>52.3516051828644</v>
      </c>
      <c r="J6876" s="59">
        <v>1019.0</v>
      </c>
      <c r="K6876" s="61">
        <f t="shared" si="1"/>
        <v>0.7902813299</v>
      </c>
      <c r="L6876" s="62">
        <f t="shared" si="2"/>
        <v>1.303069054</v>
      </c>
    </row>
    <row r="6877">
      <c r="A6877" s="58">
        <v>45597.0</v>
      </c>
      <c r="B6877" s="24" t="s">
        <v>6789</v>
      </c>
      <c r="C6877" s="24" t="s">
        <v>6792</v>
      </c>
      <c r="D6877" s="59">
        <v>186.0</v>
      </c>
      <c r="E6877" s="59">
        <v>223.0</v>
      </c>
      <c r="F6877" s="59">
        <v>0.0</v>
      </c>
      <c r="G6877" s="60">
        <v>2.009009009009</v>
      </c>
      <c r="H6877" s="60">
        <v>0.986547085201793</v>
      </c>
      <c r="I6877" s="60">
        <v>2.55436143497757</v>
      </c>
      <c r="J6877" s="59">
        <v>0.0</v>
      </c>
      <c r="K6877" s="61">
        <f t="shared" si="1"/>
        <v>0</v>
      </c>
      <c r="L6877" s="62">
        <f t="shared" si="2"/>
        <v>0</v>
      </c>
    </row>
    <row r="6878">
      <c r="A6878" s="58">
        <v>45597.0</v>
      </c>
      <c r="B6878" s="24" t="s">
        <v>155</v>
      </c>
      <c r="C6878" s="24" t="s">
        <v>6788</v>
      </c>
      <c r="D6878" s="59">
        <v>144.0</v>
      </c>
      <c r="E6878" s="59">
        <v>285.0</v>
      </c>
      <c r="F6878" s="59">
        <v>104.0</v>
      </c>
      <c r="G6878" s="60">
        <v>2.03571428571428</v>
      </c>
      <c r="H6878" s="60">
        <v>0.557894736842105</v>
      </c>
      <c r="I6878" s="60">
        <v>131.833554726315</v>
      </c>
      <c r="J6878" s="59">
        <v>432.0</v>
      </c>
      <c r="K6878" s="61">
        <f t="shared" si="1"/>
        <v>0.3649122807</v>
      </c>
      <c r="L6878" s="62">
        <f t="shared" si="2"/>
        <v>1.515789474</v>
      </c>
    </row>
    <row r="6879">
      <c r="A6879" s="58">
        <v>45597.0</v>
      </c>
      <c r="B6879" s="24" t="s">
        <v>6789</v>
      </c>
      <c r="C6879" s="24" t="s">
        <v>7068</v>
      </c>
      <c r="D6879" s="59">
        <v>92.0</v>
      </c>
      <c r="E6879" s="59">
        <v>101.0</v>
      </c>
      <c r="F6879" s="59">
        <v>87.0</v>
      </c>
      <c r="G6879" s="60">
        <v>1.10989010989011</v>
      </c>
      <c r="H6879" s="60">
        <v>0.326732673267326</v>
      </c>
      <c r="I6879" s="60">
        <v>156.691691475247</v>
      </c>
      <c r="J6879" s="59">
        <v>116.0</v>
      </c>
      <c r="K6879" s="61">
        <f t="shared" si="1"/>
        <v>0.8613861386</v>
      </c>
      <c r="L6879" s="62">
        <f t="shared" si="2"/>
        <v>1.148514851</v>
      </c>
    </row>
    <row r="6880">
      <c r="A6880" s="58">
        <v>45597.0</v>
      </c>
      <c r="B6880" s="24" t="s">
        <v>6794</v>
      </c>
      <c r="C6880" s="24" t="s">
        <v>6788</v>
      </c>
      <c r="D6880" s="59">
        <v>78.0</v>
      </c>
      <c r="E6880" s="59">
        <v>87.0</v>
      </c>
      <c r="F6880" s="59">
        <v>74.0</v>
      </c>
      <c r="G6880" s="60">
        <v>1.11538461538461</v>
      </c>
      <c r="H6880" s="60">
        <v>0.310344827586206</v>
      </c>
      <c r="I6880" s="60">
        <v>201.620120862068</v>
      </c>
      <c r="J6880" s="59">
        <v>175.0</v>
      </c>
      <c r="K6880" s="61">
        <f t="shared" si="1"/>
        <v>0.8505747126</v>
      </c>
      <c r="L6880" s="62">
        <f t="shared" si="2"/>
        <v>2.011494253</v>
      </c>
    </row>
    <row r="6881">
      <c r="A6881" s="58">
        <v>45597.0</v>
      </c>
      <c r="B6881" s="24" t="s">
        <v>6787</v>
      </c>
      <c r="C6881" s="24" t="s">
        <v>6802</v>
      </c>
      <c r="D6881" s="59">
        <v>54.0</v>
      </c>
      <c r="E6881" s="59">
        <v>54.0</v>
      </c>
      <c r="F6881" s="59">
        <v>53.0</v>
      </c>
      <c r="G6881" s="60">
        <v>1.0</v>
      </c>
      <c r="H6881" s="60">
        <v>0.24074074074074</v>
      </c>
      <c r="I6881" s="60">
        <v>27.6362903888888</v>
      </c>
      <c r="J6881" s="59">
        <v>129.0</v>
      </c>
      <c r="K6881" s="61">
        <f t="shared" si="1"/>
        <v>0.9814814815</v>
      </c>
      <c r="L6881" s="62">
        <f t="shared" si="2"/>
        <v>2.388888889</v>
      </c>
    </row>
    <row r="6882">
      <c r="A6882" s="58">
        <v>45597.0</v>
      </c>
      <c r="B6882" s="24" t="s">
        <v>6790</v>
      </c>
      <c r="C6882" s="24" t="s">
        <v>6788</v>
      </c>
      <c r="D6882" s="59">
        <v>49.0</v>
      </c>
      <c r="E6882" s="59">
        <v>54.0</v>
      </c>
      <c r="F6882" s="59">
        <v>45.0</v>
      </c>
      <c r="G6882" s="60">
        <v>1.10204081632653</v>
      </c>
      <c r="H6882" s="60">
        <v>0.888888888888888</v>
      </c>
      <c r="I6882" s="60">
        <v>66.5184146111111</v>
      </c>
      <c r="J6882" s="59">
        <v>64.0</v>
      </c>
      <c r="K6882" s="61">
        <f t="shared" si="1"/>
        <v>0.8333333333</v>
      </c>
      <c r="L6882" s="62">
        <f t="shared" si="2"/>
        <v>1.185185185</v>
      </c>
    </row>
    <row r="6883">
      <c r="A6883" s="58">
        <v>45597.0</v>
      </c>
      <c r="B6883" s="24" t="s">
        <v>6787</v>
      </c>
      <c r="C6883" s="24" t="s">
        <v>6792</v>
      </c>
      <c r="D6883" s="59">
        <v>42.0</v>
      </c>
      <c r="E6883" s="59">
        <v>52.0</v>
      </c>
      <c r="F6883" s="59">
        <v>0.0</v>
      </c>
      <c r="G6883" s="60">
        <v>1.85714285714285</v>
      </c>
      <c r="H6883" s="60">
        <v>0.98076923076923</v>
      </c>
      <c r="I6883" s="60">
        <v>4.60773119230769</v>
      </c>
      <c r="J6883" s="59">
        <v>0.0</v>
      </c>
      <c r="K6883" s="61">
        <f t="shared" si="1"/>
        <v>0</v>
      </c>
      <c r="L6883" s="62">
        <f t="shared" si="2"/>
        <v>0</v>
      </c>
    </row>
    <row r="6884">
      <c r="A6884" s="58">
        <v>45597.0</v>
      </c>
      <c r="B6884" s="24" t="s">
        <v>6789</v>
      </c>
      <c r="C6884" s="24" t="s">
        <v>6799</v>
      </c>
      <c r="D6884" s="59">
        <v>38.0</v>
      </c>
      <c r="E6884" s="59">
        <v>38.0</v>
      </c>
      <c r="F6884" s="59">
        <v>25.0</v>
      </c>
      <c r="G6884" s="60">
        <v>1.05555555555555</v>
      </c>
      <c r="H6884" s="60">
        <v>0.210526315789473</v>
      </c>
      <c r="I6884" s="60">
        <v>269.564958789473</v>
      </c>
      <c r="J6884" s="59">
        <v>69.0</v>
      </c>
      <c r="K6884" s="61">
        <f t="shared" si="1"/>
        <v>0.6578947368</v>
      </c>
      <c r="L6884" s="62">
        <f t="shared" si="2"/>
        <v>1.815789474</v>
      </c>
    </row>
    <row r="6885">
      <c r="A6885" s="58">
        <v>45597.0</v>
      </c>
      <c r="B6885" s="24" t="s">
        <v>6789</v>
      </c>
      <c r="C6885" s="24" t="s">
        <v>6815</v>
      </c>
      <c r="D6885" s="59">
        <v>38.0</v>
      </c>
      <c r="E6885" s="59">
        <v>41.0</v>
      </c>
      <c r="F6885" s="59">
        <v>37.0</v>
      </c>
      <c r="G6885" s="60">
        <v>1.07894736842105</v>
      </c>
      <c r="H6885" s="60">
        <v>0.24390243902439</v>
      </c>
      <c r="I6885" s="60">
        <v>105.274123853658</v>
      </c>
      <c r="J6885" s="59">
        <v>59.0</v>
      </c>
      <c r="K6885" s="61">
        <f t="shared" si="1"/>
        <v>0.9024390244</v>
      </c>
      <c r="L6885" s="62">
        <f t="shared" si="2"/>
        <v>1.43902439</v>
      </c>
    </row>
    <row r="6886">
      <c r="A6886" s="58">
        <v>45597.0</v>
      </c>
      <c r="B6886" s="24" t="s">
        <v>6787</v>
      </c>
      <c r="C6886" s="24" t="s">
        <v>7231</v>
      </c>
      <c r="D6886" s="59">
        <v>30.0</v>
      </c>
      <c r="E6886" s="59">
        <v>30.0</v>
      </c>
      <c r="F6886" s="59">
        <v>29.0</v>
      </c>
      <c r="G6886" s="60">
        <v>1.0</v>
      </c>
      <c r="H6886" s="60">
        <v>0.533333333333333</v>
      </c>
      <c r="I6886" s="60">
        <v>36.6682129666666</v>
      </c>
      <c r="J6886" s="59">
        <v>45.0</v>
      </c>
      <c r="K6886" s="61">
        <f t="shared" si="1"/>
        <v>0.9666666667</v>
      </c>
      <c r="L6886" s="62">
        <f t="shared" si="2"/>
        <v>1.5</v>
      </c>
    </row>
    <row r="6887">
      <c r="A6887" s="58">
        <v>45597.0</v>
      </c>
      <c r="B6887" s="24" t="s">
        <v>6789</v>
      </c>
      <c r="C6887" s="24" t="s">
        <v>6804</v>
      </c>
      <c r="D6887" s="59">
        <v>24.0</v>
      </c>
      <c r="E6887" s="59">
        <v>27.0</v>
      </c>
      <c r="F6887" s="59">
        <v>23.0</v>
      </c>
      <c r="G6887" s="60">
        <v>1.17391304347826</v>
      </c>
      <c r="H6887" s="60">
        <v>0.555555555555555</v>
      </c>
      <c r="I6887" s="60">
        <v>133.929636185185</v>
      </c>
      <c r="J6887" s="59">
        <v>29.0</v>
      </c>
      <c r="K6887" s="61">
        <f t="shared" si="1"/>
        <v>0.8518518519</v>
      </c>
      <c r="L6887" s="62">
        <f t="shared" si="2"/>
        <v>1.074074074</v>
      </c>
    </row>
    <row r="6888">
      <c r="A6888" s="58">
        <v>45597.0</v>
      </c>
      <c r="B6888" s="24" t="s">
        <v>6787</v>
      </c>
      <c r="C6888" s="24" t="s">
        <v>6799</v>
      </c>
      <c r="D6888" s="59">
        <v>21.0</v>
      </c>
      <c r="E6888" s="59">
        <v>21.0</v>
      </c>
      <c r="F6888" s="59">
        <v>15.0</v>
      </c>
      <c r="G6888" s="60">
        <v>1.05</v>
      </c>
      <c r="H6888" s="60">
        <v>0.714285714285714</v>
      </c>
      <c r="I6888" s="60">
        <v>200.334674333333</v>
      </c>
      <c r="J6888" s="59">
        <v>25.0</v>
      </c>
      <c r="K6888" s="61">
        <f t="shared" si="1"/>
        <v>0.7142857143</v>
      </c>
      <c r="L6888" s="62">
        <f t="shared" si="2"/>
        <v>1.19047619</v>
      </c>
    </row>
    <row r="6889">
      <c r="A6889" s="58">
        <v>45597.0</v>
      </c>
      <c r="B6889" s="24" t="s">
        <v>6787</v>
      </c>
      <c r="C6889" s="24" t="s">
        <v>6817</v>
      </c>
      <c r="D6889" s="59">
        <v>18.0</v>
      </c>
      <c r="E6889" s="59">
        <v>22.0</v>
      </c>
      <c r="F6889" s="59">
        <v>14.0</v>
      </c>
      <c r="G6889" s="60">
        <v>1.22222222222222</v>
      </c>
      <c r="H6889" s="60">
        <v>0.636363636363636</v>
      </c>
      <c r="I6889" s="60">
        <v>196.302225</v>
      </c>
      <c r="J6889" s="59">
        <v>40.0</v>
      </c>
      <c r="K6889" s="61">
        <f t="shared" si="1"/>
        <v>0.6363636364</v>
      </c>
      <c r="L6889" s="62">
        <f t="shared" si="2"/>
        <v>1.818181818</v>
      </c>
    </row>
    <row r="6890">
      <c r="A6890" s="58">
        <v>45597.0</v>
      </c>
      <c r="B6890" s="24" t="s">
        <v>6789</v>
      </c>
      <c r="C6890" s="24" t="s">
        <v>7024</v>
      </c>
      <c r="D6890" s="59">
        <v>18.0</v>
      </c>
      <c r="E6890" s="59">
        <v>21.0</v>
      </c>
      <c r="F6890" s="59">
        <v>18.0</v>
      </c>
      <c r="G6890" s="60">
        <v>1.16666666666666</v>
      </c>
      <c r="H6890" s="60">
        <v>0.476190476190476</v>
      </c>
      <c r="I6890" s="60">
        <v>79.087151</v>
      </c>
      <c r="J6890" s="59">
        <v>23.0</v>
      </c>
      <c r="K6890" s="61">
        <f t="shared" si="1"/>
        <v>0.8571428571</v>
      </c>
      <c r="L6890" s="62">
        <f t="shared" si="2"/>
        <v>1.095238095</v>
      </c>
    </row>
    <row r="6891">
      <c r="A6891" s="58">
        <v>45597.0</v>
      </c>
      <c r="B6891" s="24" t="s">
        <v>6791</v>
      </c>
      <c r="C6891" s="24" t="s">
        <v>7236</v>
      </c>
      <c r="D6891" s="59">
        <v>15.0</v>
      </c>
      <c r="E6891" s="59">
        <v>15.0</v>
      </c>
      <c r="F6891" s="59">
        <v>15.0</v>
      </c>
      <c r="G6891" s="60">
        <v>1.0</v>
      </c>
      <c r="H6891" s="60">
        <v>0.266666666666666</v>
      </c>
      <c r="I6891" s="60">
        <v>55.0175884</v>
      </c>
      <c r="J6891" s="59">
        <v>18.0</v>
      </c>
      <c r="K6891" s="61">
        <f t="shared" si="1"/>
        <v>1</v>
      </c>
      <c r="L6891" s="62">
        <f t="shared" si="2"/>
        <v>1.2</v>
      </c>
    </row>
    <row r="6892">
      <c r="A6892" s="58">
        <v>45597.0</v>
      </c>
      <c r="B6892" s="24" t="s">
        <v>6789</v>
      </c>
      <c r="C6892" s="24" t="s">
        <v>6835</v>
      </c>
      <c r="D6892" s="59">
        <v>14.0</v>
      </c>
      <c r="E6892" s="59">
        <v>15.0</v>
      </c>
      <c r="F6892" s="59">
        <v>12.0</v>
      </c>
      <c r="G6892" s="60">
        <v>1.07142857142857</v>
      </c>
      <c r="H6892" s="60">
        <v>0.133333333333333</v>
      </c>
      <c r="I6892" s="60">
        <v>173.882989399999</v>
      </c>
      <c r="J6892" s="59">
        <v>16.0</v>
      </c>
      <c r="K6892" s="61">
        <f t="shared" si="1"/>
        <v>0.8</v>
      </c>
      <c r="L6892" s="62">
        <f t="shared" si="2"/>
        <v>1.066666667</v>
      </c>
    </row>
    <row r="6893">
      <c r="A6893" s="58">
        <v>45597.0</v>
      </c>
      <c r="B6893" s="24" t="s">
        <v>6789</v>
      </c>
      <c r="C6893" s="24" t="s">
        <v>6808</v>
      </c>
      <c r="D6893" s="59">
        <v>14.0</v>
      </c>
      <c r="E6893" s="59">
        <v>14.0</v>
      </c>
      <c r="F6893" s="59">
        <v>8.0</v>
      </c>
      <c r="G6893" s="60">
        <v>1.07692307692307</v>
      </c>
      <c r="H6893" s="60">
        <v>0.428571428571428</v>
      </c>
      <c r="I6893" s="60">
        <v>576.829312928571</v>
      </c>
      <c r="J6893" s="59">
        <v>42.0</v>
      </c>
      <c r="K6893" s="61">
        <f t="shared" si="1"/>
        <v>0.5714285714</v>
      </c>
      <c r="L6893" s="62">
        <f t="shared" si="2"/>
        <v>3</v>
      </c>
    </row>
    <row r="6894">
      <c r="A6894" s="58">
        <v>45597.0</v>
      </c>
      <c r="B6894" s="24" t="s">
        <v>155</v>
      </c>
      <c r="C6894" s="24" t="s">
        <v>6804</v>
      </c>
      <c r="D6894" s="59">
        <v>13.0</v>
      </c>
      <c r="E6894" s="59">
        <v>16.0</v>
      </c>
      <c r="F6894" s="59">
        <v>13.0</v>
      </c>
      <c r="G6894" s="60">
        <v>1.23076923076923</v>
      </c>
      <c r="H6894" s="60">
        <v>0.9375</v>
      </c>
      <c r="I6894" s="60">
        <v>1.085438</v>
      </c>
      <c r="J6894" s="59">
        <v>16.0</v>
      </c>
      <c r="K6894" s="61">
        <f t="shared" si="1"/>
        <v>0.8125</v>
      </c>
      <c r="L6894" s="62">
        <f t="shared" si="2"/>
        <v>1</v>
      </c>
    </row>
    <row r="6895">
      <c r="A6895" s="58">
        <v>45597.0</v>
      </c>
      <c r="B6895" s="24" t="s">
        <v>6791</v>
      </c>
      <c r="C6895" s="24" t="s">
        <v>7231</v>
      </c>
      <c r="D6895" s="59">
        <v>13.0</v>
      </c>
      <c r="E6895" s="59">
        <v>14.0</v>
      </c>
      <c r="F6895" s="59">
        <v>13.0</v>
      </c>
      <c r="G6895" s="60">
        <v>1.07692307692307</v>
      </c>
      <c r="H6895" s="60">
        <v>0.428571428571428</v>
      </c>
      <c r="I6895" s="60">
        <v>118.211432642857</v>
      </c>
      <c r="J6895" s="59">
        <v>17.0</v>
      </c>
      <c r="K6895" s="61">
        <f t="shared" si="1"/>
        <v>0.9285714286</v>
      </c>
      <c r="L6895" s="62">
        <f t="shared" si="2"/>
        <v>1.214285714</v>
      </c>
    </row>
    <row r="6896">
      <c r="A6896" s="58">
        <v>45597.0</v>
      </c>
      <c r="B6896" s="24" t="s">
        <v>6787</v>
      </c>
      <c r="C6896" s="24" t="s">
        <v>6801</v>
      </c>
      <c r="D6896" s="59">
        <v>13.0</v>
      </c>
      <c r="E6896" s="59">
        <v>12.0</v>
      </c>
      <c r="F6896" s="59">
        <v>12.0</v>
      </c>
      <c r="G6896" s="60">
        <v>1.0</v>
      </c>
      <c r="H6896" s="60">
        <v>0.5</v>
      </c>
      <c r="I6896" s="60">
        <v>185.182457083333</v>
      </c>
      <c r="J6896" s="59">
        <v>30.0</v>
      </c>
      <c r="K6896" s="61">
        <f t="shared" si="1"/>
        <v>1</v>
      </c>
      <c r="L6896" s="62">
        <f t="shared" si="2"/>
        <v>2.5</v>
      </c>
    </row>
    <row r="6897">
      <c r="A6897" s="58">
        <v>45597.0</v>
      </c>
      <c r="B6897" s="24" t="s">
        <v>6789</v>
      </c>
      <c r="C6897" s="24" t="s">
        <v>6801</v>
      </c>
      <c r="D6897" s="59">
        <v>13.0</v>
      </c>
      <c r="E6897" s="59">
        <v>18.0</v>
      </c>
      <c r="F6897" s="59">
        <v>7.0</v>
      </c>
      <c r="G6897" s="60">
        <v>1.63636363636363</v>
      </c>
      <c r="H6897" s="60">
        <v>0.444444444444444</v>
      </c>
      <c r="I6897" s="60">
        <v>288.509433611111</v>
      </c>
      <c r="J6897" s="59">
        <v>63.0</v>
      </c>
      <c r="K6897" s="61">
        <f t="shared" si="1"/>
        <v>0.3888888889</v>
      </c>
      <c r="L6897" s="62">
        <f t="shared" si="2"/>
        <v>3.5</v>
      </c>
    </row>
    <row r="6898">
      <c r="A6898" s="58">
        <v>45597.0</v>
      </c>
      <c r="B6898" s="24" t="s">
        <v>6787</v>
      </c>
      <c r="C6898" s="24" t="s">
        <v>6803</v>
      </c>
      <c r="D6898" s="59">
        <v>12.0</v>
      </c>
      <c r="E6898" s="59">
        <v>32.0</v>
      </c>
      <c r="F6898" s="59">
        <v>11.0</v>
      </c>
      <c r="G6898" s="60">
        <v>2.66666666666666</v>
      </c>
      <c r="H6898" s="60">
        <v>0.71875</v>
      </c>
      <c r="I6898" s="60">
        <v>133.6087859375</v>
      </c>
      <c r="J6898" s="59">
        <v>35.0</v>
      </c>
      <c r="K6898" s="61">
        <f t="shared" si="1"/>
        <v>0.34375</v>
      </c>
      <c r="L6898" s="62">
        <f t="shared" si="2"/>
        <v>1.09375</v>
      </c>
    </row>
    <row r="6899">
      <c r="A6899" s="58">
        <v>45597.0</v>
      </c>
      <c r="B6899" s="24" t="s">
        <v>155</v>
      </c>
      <c r="C6899" s="24" t="s">
        <v>6800</v>
      </c>
      <c r="D6899" s="59">
        <v>12.0</v>
      </c>
      <c r="E6899" s="59">
        <v>12.0</v>
      </c>
      <c r="F6899" s="59">
        <v>12.0</v>
      </c>
      <c r="G6899" s="60">
        <v>1.0</v>
      </c>
      <c r="H6899" s="60">
        <v>0.0</v>
      </c>
      <c r="I6899" s="60">
        <v>103.073842166666</v>
      </c>
      <c r="J6899" s="59">
        <v>26.0</v>
      </c>
      <c r="K6899" s="61">
        <f t="shared" si="1"/>
        <v>1</v>
      </c>
      <c r="L6899" s="62">
        <f t="shared" si="2"/>
        <v>2.166666667</v>
      </c>
    </row>
    <row r="6900">
      <c r="A6900" s="58">
        <v>45597.0</v>
      </c>
      <c r="B6900" s="24" t="s">
        <v>6789</v>
      </c>
      <c r="C6900" s="24" t="s">
        <v>6910</v>
      </c>
      <c r="D6900" s="59">
        <v>12.0</v>
      </c>
      <c r="E6900" s="59">
        <v>18.0</v>
      </c>
      <c r="F6900" s="59">
        <v>5.0</v>
      </c>
      <c r="G6900" s="60">
        <v>1.63636363636363</v>
      </c>
      <c r="H6900" s="60">
        <v>0.5</v>
      </c>
      <c r="I6900" s="60">
        <v>110.073091333333</v>
      </c>
      <c r="J6900" s="59">
        <v>36.0</v>
      </c>
      <c r="K6900" s="61">
        <f t="shared" si="1"/>
        <v>0.2777777778</v>
      </c>
      <c r="L6900" s="62">
        <f t="shared" si="2"/>
        <v>2</v>
      </c>
    </row>
    <row r="6901">
      <c r="A6901" s="58">
        <v>45597.0</v>
      </c>
      <c r="B6901" s="24" t="s">
        <v>155</v>
      </c>
      <c r="C6901" s="24" t="s">
        <v>6792</v>
      </c>
      <c r="D6901" s="59">
        <v>10.0</v>
      </c>
      <c r="E6901" s="59">
        <v>19.0</v>
      </c>
      <c r="F6901" s="59">
        <v>0.0</v>
      </c>
      <c r="G6901" s="60">
        <v>3.16666666666666</v>
      </c>
      <c r="H6901" s="60">
        <v>0.947368421052631</v>
      </c>
      <c r="I6901" s="60">
        <v>30.4185387368421</v>
      </c>
      <c r="J6901" s="59">
        <v>0.0</v>
      </c>
      <c r="K6901" s="61">
        <f t="shared" si="1"/>
        <v>0</v>
      </c>
      <c r="L6901" s="62">
        <f t="shared" si="2"/>
        <v>0</v>
      </c>
    </row>
    <row r="6902">
      <c r="A6902" s="58">
        <v>45597.0</v>
      </c>
      <c r="B6902" s="24" t="s">
        <v>6787</v>
      </c>
      <c r="C6902" s="24" t="s">
        <v>6820</v>
      </c>
      <c r="D6902" s="59">
        <v>10.0</v>
      </c>
      <c r="E6902" s="59">
        <v>10.0</v>
      </c>
      <c r="F6902" s="59">
        <v>10.0</v>
      </c>
      <c r="G6902" s="60">
        <v>1.0</v>
      </c>
      <c r="H6902" s="60">
        <v>1.0</v>
      </c>
      <c r="I6902" s="60">
        <v>0.0</v>
      </c>
      <c r="J6902" s="59">
        <v>10.0</v>
      </c>
      <c r="K6902" s="61">
        <f t="shared" si="1"/>
        <v>1</v>
      </c>
      <c r="L6902" s="62">
        <f t="shared" si="2"/>
        <v>1</v>
      </c>
    </row>
    <row r="6903">
      <c r="A6903" s="58">
        <v>45597.0</v>
      </c>
      <c r="B6903" s="24" t="s">
        <v>6787</v>
      </c>
      <c r="C6903" s="24" t="s">
        <v>6815</v>
      </c>
      <c r="D6903" s="59">
        <v>10.0</v>
      </c>
      <c r="E6903" s="59">
        <v>13.0</v>
      </c>
      <c r="F6903" s="59">
        <v>9.0</v>
      </c>
      <c r="G6903" s="60">
        <v>1.3</v>
      </c>
      <c r="H6903" s="60">
        <v>0.769230769230769</v>
      </c>
      <c r="I6903" s="60">
        <v>11.2340276153846</v>
      </c>
      <c r="J6903" s="59">
        <v>16.0</v>
      </c>
      <c r="K6903" s="61">
        <f t="shared" si="1"/>
        <v>0.6923076923</v>
      </c>
      <c r="L6903" s="62">
        <f t="shared" si="2"/>
        <v>1.230769231</v>
      </c>
    </row>
    <row r="6904">
      <c r="A6904" s="58">
        <v>45597.0</v>
      </c>
      <c r="B6904" s="24" t="s">
        <v>6789</v>
      </c>
      <c r="C6904" s="24" t="s">
        <v>6829</v>
      </c>
      <c r="D6904" s="59">
        <v>9.0</v>
      </c>
      <c r="E6904" s="59">
        <v>11.0</v>
      </c>
      <c r="F6904" s="59">
        <v>9.0</v>
      </c>
      <c r="G6904" s="60">
        <v>1.22222222222222</v>
      </c>
      <c r="H6904" s="60">
        <v>0.272727272727272</v>
      </c>
      <c r="I6904" s="60">
        <v>293.848160545454</v>
      </c>
      <c r="J6904" s="59">
        <v>19.0</v>
      </c>
      <c r="K6904" s="61">
        <f t="shared" si="1"/>
        <v>0.8181818182</v>
      </c>
      <c r="L6904" s="62">
        <f t="shared" si="2"/>
        <v>1.727272727</v>
      </c>
    </row>
    <row r="6905">
      <c r="A6905" s="58">
        <v>45597.0</v>
      </c>
      <c r="B6905" s="24" t="s">
        <v>6787</v>
      </c>
      <c r="C6905" s="24" t="s">
        <v>6886</v>
      </c>
      <c r="D6905" s="59">
        <v>9.0</v>
      </c>
      <c r="E6905" s="59">
        <v>9.0</v>
      </c>
      <c r="F6905" s="59">
        <v>9.0</v>
      </c>
      <c r="G6905" s="60">
        <v>1.0</v>
      </c>
      <c r="H6905" s="60">
        <v>0.666666666666666</v>
      </c>
      <c r="I6905" s="60">
        <v>12.2335608888888</v>
      </c>
      <c r="J6905" s="59">
        <v>11.0</v>
      </c>
      <c r="K6905" s="61">
        <f t="shared" si="1"/>
        <v>1</v>
      </c>
      <c r="L6905" s="62">
        <f t="shared" si="2"/>
        <v>1.222222222</v>
      </c>
    </row>
    <row r="6906">
      <c r="A6906" s="58">
        <v>45597.0</v>
      </c>
      <c r="B6906" s="24" t="s">
        <v>6789</v>
      </c>
      <c r="C6906" s="24" t="s">
        <v>6997</v>
      </c>
      <c r="D6906" s="59">
        <v>9.0</v>
      </c>
      <c r="E6906" s="59">
        <v>11.0</v>
      </c>
      <c r="F6906" s="59">
        <v>6.0</v>
      </c>
      <c r="G6906" s="60">
        <v>1.22222222222222</v>
      </c>
      <c r="H6906" s="60">
        <v>0.363636363636363</v>
      </c>
      <c r="I6906" s="60">
        <v>353.163763636363</v>
      </c>
      <c r="J6906" s="59">
        <v>31.0</v>
      </c>
      <c r="K6906" s="61">
        <f t="shared" si="1"/>
        <v>0.5454545455</v>
      </c>
      <c r="L6906" s="62">
        <f t="shared" si="2"/>
        <v>2.818181818</v>
      </c>
    </row>
    <row r="6907">
      <c r="A6907" s="58">
        <v>45597.0</v>
      </c>
      <c r="B6907" s="24" t="s">
        <v>6787</v>
      </c>
      <c r="C6907" s="24" t="s">
        <v>7026</v>
      </c>
      <c r="D6907" s="59">
        <v>9.0</v>
      </c>
      <c r="E6907" s="59">
        <v>10.0</v>
      </c>
      <c r="F6907" s="59">
        <v>6.0</v>
      </c>
      <c r="G6907" s="60">
        <v>1.11111111111111</v>
      </c>
      <c r="H6907" s="60">
        <v>0.3</v>
      </c>
      <c r="I6907" s="60">
        <v>62.5563195</v>
      </c>
      <c r="J6907" s="59">
        <v>25.0</v>
      </c>
      <c r="K6907" s="61">
        <f t="shared" si="1"/>
        <v>0.6</v>
      </c>
      <c r="L6907" s="62">
        <f t="shared" si="2"/>
        <v>2.5</v>
      </c>
    </row>
    <row r="6908">
      <c r="A6908" s="58">
        <v>45597.0</v>
      </c>
      <c r="B6908" s="24" t="s">
        <v>6787</v>
      </c>
      <c r="C6908" s="24" t="s">
        <v>6800</v>
      </c>
      <c r="D6908" s="59">
        <v>9.0</v>
      </c>
      <c r="E6908" s="59">
        <v>9.0</v>
      </c>
      <c r="F6908" s="59">
        <v>9.0</v>
      </c>
      <c r="G6908" s="60">
        <v>1.0</v>
      </c>
      <c r="H6908" s="60">
        <v>0.777777777777777</v>
      </c>
      <c r="I6908" s="60">
        <v>11.0051283333333</v>
      </c>
      <c r="J6908" s="59">
        <v>9.0</v>
      </c>
      <c r="K6908" s="61">
        <f t="shared" si="1"/>
        <v>1</v>
      </c>
      <c r="L6908" s="62">
        <f t="shared" si="2"/>
        <v>1</v>
      </c>
    </row>
    <row r="6909">
      <c r="A6909" s="58">
        <v>45597.0</v>
      </c>
      <c r="B6909" s="24" t="s">
        <v>6789</v>
      </c>
      <c r="C6909" s="24" t="s">
        <v>7180</v>
      </c>
      <c r="D6909" s="59">
        <v>9.0</v>
      </c>
      <c r="E6909" s="59">
        <v>9.0</v>
      </c>
      <c r="F6909" s="59">
        <v>7.0</v>
      </c>
      <c r="G6909" s="60">
        <v>1.125</v>
      </c>
      <c r="H6909" s="60">
        <v>0.666666666666666</v>
      </c>
      <c r="I6909" s="60">
        <v>75.1856706666666</v>
      </c>
      <c r="J6909" s="59">
        <v>9.0</v>
      </c>
      <c r="K6909" s="61">
        <f t="shared" si="1"/>
        <v>0.7777777778</v>
      </c>
      <c r="L6909" s="62">
        <f t="shared" si="2"/>
        <v>1</v>
      </c>
    </row>
    <row r="6910">
      <c r="A6910" s="58">
        <v>45597.0</v>
      </c>
      <c r="B6910" s="24" t="s">
        <v>6789</v>
      </c>
      <c r="C6910" s="24" t="s">
        <v>6802</v>
      </c>
      <c r="D6910" s="59">
        <v>9.0</v>
      </c>
      <c r="E6910" s="59">
        <v>18.0</v>
      </c>
      <c r="F6910" s="59">
        <v>3.0</v>
      </c>
      <c r="G6910" s="60">
        <v>2.25</v>
      </c>
      <c r="H6910" s="60">
        <v>0.777777777777777</v>
      </c>
      <c r="I6910" s="60">
        <v>22.7762942222222</v>
      </c>
      <c r="J6910" s="59">
        <v>24.0</v>
      </c>
      <c r="K6910" s="61">
        <f t="shared" si="1"/>
        <v>0.1666666667</v>
      </c>
      <c r="L6910" s="62">
        <f t="shared" si="2"/>
        <v>1.333333333</v>
      </c>
    </row>
    <row r="6911">
      <c r="A6911" s="58">
        <v>45597.0</v>
      </c>
      <c r="B6911" s="24" t="s">
        <v>6794</v>
      </c>
      <c r="C6911" s="24" t="s">
        <v>6792</v>
      </c>
      <c r="D6911" s="59">
        <v>8.0</v>
      </c>
      <c r="E6911" s="59">
        <v>9.0</v>
      </c>
      <c r="F6911" s="59">
        <v>0.0</v>
      </c>
      <c r="G6911" s="60">
        <v>2.25</v>
      </c>
      <c r="H6911" s="60">
        <v>1.0</v>
      </c>
      <c r="I6911" s="60">
        <v>0.0310161111111111</v>
      </c>
      <c r="J6911" s="59">
        <v>0.0</v>
      </c>
      <c r="K6911" s="61">
        <f t="shared" si="1"/>
        <v>0</v>
      </c>
      <c r="L6911" s="62">
        <f t="shared" si="2"/>
        <v>0</v>
      </c>
    </row>
    <row r="6912">
      <c r="A6912" s="58">
        <v>45597.0</v>
      </c>
      <c r="B6912" s="24" t="s">
        <v>6789</v>
      </c>
      <c r="C6912" s="24" t="s">
        <v>6803</v>
      </c>
      <c r="D6912" s="59">
        <v>8.0</v>
      </c>
      <c r="E6912" s="59">
        <v>9.0</v>
      </c>
      <c r="F6912" s="59">
        <v>5.0</v>
      </c>
      <c r="G6912" s="60">
        <v>1.125</v>
      </c>
      <c r="H6912" s="60">
        <v>0.555555555555555</v>
      </c>
      <c r="I6912" s="60">
        <v>595.078373111111</v>
      </c>
      <c r="J6912" s="59">
        <v>22.0</v>
      </c>
      <c r="K6912" s="61">
        <f t="shared" si="1"/>
        <v>0.5555555556</v>
      </c>
      <c r="L6912" s="62">
        <f t="shared" si="2"/>
        <v>2.444444444</v>
      </c>
    </row>
    <row r="6913">
      <c r="A6913" s="58">
        <v>45597.0</v>
      </c>
      <c r="B6913" s="24" t="s">
        <v>6789</v>
      </c>
      <c r="C6913" s="24" t="s">
        <v>6892</v>
      </c>
      <c r="D6913" s="59">
        <v>8.0</v>
      </c>
      <c r="E6913" s="59">
        <v>8.0</v>
      </c>
      <c r="F6913" s="59">
        <v>7.0</v>
      </c>
      <c r="G6913" s="60">
        <v>1.0</v>
      </c>
      <c r="H6913" s="60">
        <v>0.625</v>
      </c>
      <c r="I6913" s="60">
        <v>56.357296375</v>
      </c>
      <c r="J6913" s="59">
        <v>12.0</v>
      </c>
      <c r="K6913" s="61">
        <f t="shared" si="1"/>
        <v>0.875</v>
      </c>
      <c r="L6913" s="62">
        <f t="shared" si="2"/>
        <v>1.5</v>
      </c>
    </row>
    <row r="6914">
      <c r="A6914" s="58">
        <v>45597.0</v>
      </c>
      <c r="B6914" s="24" t="s">
        <v>6787</v>
      </c>
      <c r="C6914" s="24" t="s">
        <v>6922</v>
      </c>
      <c r="D6914" s="59">
        <v>8.0</v>
      </c>
      <c r="E6914" s="59">
        <v>8.0</v>
      </c>
      <c r="F6914" s="59">
        <v>8.0</v>
      </c>
      <c r="G6914" s="60">
        <v>1.0</v>
      </c>
      <c r="H6914" s="60">
        <v>1.0</v>
      </c>
      <c r="I6914" s="60">
        <v>0.0</v>
      </c>
      <c r="J6914" s="59">
        <v>8.0</v>
      </c>
      <c r="K6914" s="61">
        <f t="shared" si="1"/>
        <v>1</v>
      </c>
      <c r="L6914" s="62">
        <f t="shared" si="2"/>
        <v>1</v>
      </c>
    </row>
    <row r="6915">
      <c r="A6915" s="58">
        <v>45597.0</v>
      </c>
      <c r="B6915" s="24" t="s">
        <v>6789</v>
      </c>
      <c r="C6915" s="24" t="s">
        <v>6817</v>
      </c>
      <c r="D6915" s="59">
        <v>7.0</v>
      </c>
      <c r="E6915" s="59">
        <v>14.0</v>
      </c>
      <c r="F6915" s="59">
        <v>1.0</v>
      </c>
      <c r="G6915" s="60">
        <v>2.33333333333333</v>
      </c>
      <c r="H6915" s="60">
        <v>0.285714285714285</v>
      </c>
      <c r="I6915" s="60">
        <v>439.810706428571</v>
      </c>
      <c r="J6915" s="59">
        <v>38.0</v>
      </c>
      <c r="K6915" s="61">
        <f t="shared" si="1"/>
        <v>0.07142857143</v>
      </c>
      <c r="L6915" s="62">
        <f t="shared" si="2"/>
        <v>2.714285714</v>
      </c>
    </row>
    <row r="6916">
      <c r="A6916" s="58">
        <v>45597.0</v>
      </c>
      <c r="B6916" s="24" t="s">
        <v>6787</v>
      </c>
      <c r="C6916" s="24" t="s">
        <v>7071</v>
      </c>
      <c r="D6916" s="59">
        <v>7.0</v>
      </c>
      <c r="E6916" s="59">
        <v>9.0</v>
      </c>
      <c r="F6916" s="59">
        <v>3.0</v>
      </c>
      <c r="G6916" s="60">
        <v>1.8</v>
      </c>
      <c r="H6916" s="60">
        <v>0.555555555555555</v>
      </c>
      <c r="I6916" s="60">
        <v>429.589464555555</v>
      </c>
      <c r="J6916" s="59">
        <v>27.0</v>
      </c>
      <c r="K6916" s="61">
        <f t="shared" si="1"/>
        <v>0.3333333333</v>
      </c>
      <c r="L6916" s="62">
        <f t="shared" si="2"/>
        <v>3</v>
      </c>
    </row>
    <row r="6917">
      <c r="A6917" s="58">
        <v>45597.0</v>
      </c>
      <c r="B6917" s="24" t="s">
        <v>6789</v>
      </c>
      <c r="C6917" s="24" t="s">
        <v>7107</v>
      </c>
      <c r="D6917" s="59">
        <v>7.0</v>
      </c>
      <c r="E6917" s="59">
        <v>7.0</v>
      </c>
      <c r="F6917" s="59">
        <v>0.0</v>
      </c>
      <c r="G6917" s="60">
        <v>1.16666666666666</v>
      </c>
      <c r="H6917" s="60">
        <v>0.285714285714285</v>
      </c>
      <c r="I6917" s="60">
        <v>239.954765857142</v>
      </c>
      <c r="J6917" s="59">
        <v>24.0</v>
      </c>
      <c r="K6917" s="61">
        <f t="shared" si="1"/>
        <v>0</v>
      </c>
      <c r="L6917" s="62">
        <f t="shared" si="2"/>
        <v>3.428571429</v>
      </c>
    </row>
    <row r="6918">
      <c r="A6918" s="58">
        <v>45597.0</v>
      </c>
      <c r="B6918" s="24" t="s">
        <v>6789</v>
      </c>
      <c r="C6918" s="24" t="s">
        <v>7056</v>
      </c>
      <c r="D6918" s="59">
        <v>6.0</v>
      </c>
      <c r="E6918" s="59">
        <v>7.0</v>
      </c>
      <c r="F6918" s="59">
        <v>6.0</v>
      </c>
      <c r="G6918" s="60">
        <v>1.16666666666666</v>
      </c>
      <c r="H6918" s="60">
        <v>0.285714285714285</v>
      </c>
      <c r="I6918" s="60">
        <v>362.034121714285</v>
      </c>
      <c r="J6918" s="59">
        <v>7.0</v>
      </c>
      <c r="K6918" s="61">
        <f t="shared" si="1"/>
        <v>0.8571428571</v>
      </c>
      <c r="L6918" s="62">
        <f t="shared" si="2"/>
        <v>1</v>
      </c>
    </row>
    <row r="6919">
      <c r="A6919" s="58">
        <v>45597.0</v>
      </c>
      <c r="B6919" s="24" t="s">
        <v>6787</v>
      </c>
      <c r="C6919" s="24" t="s">
        <v>7437</v>
      </c>
      <c r="D6919" s="59">
        <v>6.0</v>
      </c>
      <c r="E6919" s="59">
        <v>6.0</v>
      </c>
      <c r="F6919" s="59">
        <v>6.0</v>
      </c>
      <c r="G6919" s="60">
        <v>1.0</v>
      </c>
      <c r="H6919" s="60">
        <v>1.0</v>
      </c>
      <c r="I6919" s="60">
        <v>0.0</v>
      </c>
      <c r="J6919" s="59">
        <v>6.0</v>
      </c>
      <c r="K6919" s="61">
        <f t="shared" si="1"/>
        <v>1</v>
      </c>
      <c r="L6919" s="62">
        <f t="shared" si="2"/>
        <v>1</v>
      </c>
    </row>
    <row r="6920">
      <c r="A6920" s="58">
        <v>45597.0</v>
      </c>
      <c r="B6920" s="24" t="s">
        <v>6789</v>
      </c>
      <c r="C6920" s="24" t="s">
        <v>6838</v>
      </c>
      <c r="D6920" s="59">
        <v>6.0</v>
      </c>
      <c r="E6920" s="59">
        <v>6.0</v>
      </c>
      <c r="F6920" s="59">
        <v>4.0</v>
      </c>
      <c r="G6920" s="60">
        <v>1.0</v>
      </c>
      <c r="H6920" s="60">
        <v>0.5</v>
      </c>
      <c r="I6920" s="60">
        <v>102.096040833333</v>
      </c>
      <c r="J6920" s="59">
        <v>7.0</v>
      </c>
      <c r="K6920" s="61">
        <f t="shared" si="1"/>
        <v>0.6666666667</v>
      </c>
      <c r="L6920" s="62">
        <f t="shared" si="2"/>
        <v>1.166666667</v>
      </c>
    </row>
    <row r="6921">
      <c r="A6921" s="58">
        <v>45597.0</v>
      </c>
      <c r="B6921" s="24" t="s">
        <v>6787</v>
      </c>
      <c r="C6921" s="24" t="s">
        <v>6997</v>
      </c>
      <c r="D6921" s="59">
        <v>6.0</v>
      </c>
      <c r="E6921" s="59">
        <v>7.0</v>
      </c>
      <c r="F6921" s="59">
        <v>5.0</v>
      </c>
      <c r="G6921" s="60">
        <v>1.16666666666666</v>
      </c>
      <c r="H6921" s="60">
        <v>0.714285714285714</v>
      </c>
      <c r="I6921" s="60">
        <v>252.877732571428</v>
      </c>
      <c r="J6921" s="59">
        <v>9.0</v>
      </c>
      <c r="K6921" s="61">
        <f t="shared" si="1"/>
        <v>0.7142857143</v>
      </c>
      <c r="L6921" s="62">
        <f t="shared" si="2"/>
        <v>1.285714286</v>
      </c>
    </row>
    <row r="6922">
      <c r="A6922" s="58">
        <v>45597.0</v>
      </c>
      <c r="B6922" s="24" t="s">
        <v>6789</v>
      </c>
      <c r="C6922" s="24" t="s">
        <v>7021</v>
      </c>
      <c r="D6922" s="59">
        <v>6.0</v>
      </c>
      <c r="E6922" s="59">
        <v>11.0</v>
      </c>
      <c r="F6922" s="59">
        <v>2.0</v>
      </c>
      <c r="G6922" s="60">
        <v>1.83333333333333</v>
      </c>
      <c r="H6922" s="60">
        <v>0.181818181818181</v>
      </c>
      <c r="I6922" s="60">
        <v>925.030899181818</v>
      </c>
      <c r="J6922" s="59">
        <v>57.0</v>
      </c>
      <c r="K6922" s="61">
        <f t="shared" si="1"/>
        <v>0.1818181818</v>
      </c>
      <c r="L6922" s="62">
        <f t="shared" si="2"/>
        <v>5.181818182</v>
      </c>
    </row>
    <row r="6923">
      <c r="A6923" s="58">
        <v>45597.0</v>
      </c>
      <c r="B6923" s="24" t="s">
        <v>6787</v>
      </c>
      <c r="C6923" s="24" t="s">
        <v>6896</v>
      </c>
      <c r="D6923" s="59">
        <v>6.0</v>
      </c>
      <c r="E6923" s="59">
        <v>7.0</v>
      </c>
      <c r="F6923" s="59">
        <v>6.0</v>
      </c>
      <c r="G6923" s="60">
        <v>1.16666666666666</v>
      </c>
      <c r="H6923" s="60">
        <v>1.0</v>
      </c>
      <c r="I6923" s="60">
        <v>0.0</v>
      </c>
      <c r="J6923" s="59">
        <v>7.0</v>
      </c>
      <c r="K6923" s="61">
        <f t="shared" si="1"/>
        <v>0.8571428571</v>
      </c>
      <c r="L6923" s="62">
        <f t="shared" si="2"/>
        <v>1</v>
      </c>
    </row>
    <row r="6924">
      <c r="A6924" s="58">
        <v>45597.0</v>
      </c>
      <c r="B6924" s="24" t="s">
        <v>6787</v>
      </c>
      <c r="C6924" s="24" t="s">
        <v>6904</v>
      </c>
      <c r="D6924" s="59">
        <v>6.0</v>
      </c>
      <c r="E6924" s="59">
        <v>6.0</v>
      </c>
      <c r="F6924" s="59">
        <v>6.0</v>
      </c>
      <c r="G6924" s="60">
        <v>1.0</v>
      </c>
      <c r="H6924" s="60">
        <v>0.0</v>
      </c>
      <c r="I6924" s="60">
        <v>143.005674166666</v>
      </c>
      <c r="J6924" s="59">
        <v>16.0</v>
      </c>
      <c r="K6924" s="61">
        <f t="shared" si="1"/>
        <v>1</v>
      </c>
      <c r="L6924" s="62">
        <f t="shared" si="2"/>
        <v>2.666666667</v>
      </c>
    </row>
    <row r="6925">
      <c r="A6925" s="58">
        <v>45597.0</v>
      </c>
      <c r="B6925" s="24" t="s">
        <v>6789</v>
      </c>
      <c r="C6925" s="24" t="s">
        <v>7026</v>
      </c>
      <c r="D6925" s="59">
        <v>6.0</v>
      </c>
      <c r="E6925" s="59">
        <v>8.0</v>
      </c>
      <c r="F6925" s="59">
        <v>1.0</v>
      </c>
      <c r="G6925" s="60">
        <v>1.33333333333333</v>
      </c>
      <c r="H6925" s="60">
        <v>0.125</v>
      </c>
      <c r="I6925" s="60">
        <v>95.06535075</v>
      </c>
      <c r="J6925" s="59">
        <v>20.0</v>
      </c>
      <c r="K6925" s="61">
        <f t="shared" si="1"/>
        <v>0.125</v>
      </c>
      <c r="L6925" s="62">
        <f t="shared" si="2"/>
        <v>2.5</v>
      </c>
    </row>
    <row r="6926">
      <c r="A6926" s="58">
        <v>45597.0</v>
      </c>
      <c r="B6926" s="24" t="s">
        <v>6787</v>
      </c>
      <c r="C6926" s="24" t="s">
        <v>7013</v>
      </c>
      <c r="D6926" s="59">
        <v>6.0</v>
      </c>
      <c r="E6926" s="59">
        <v>6.0</v>
      </c>
      <c r="F6926" s="59">
        <v>6.0</v>
      </c>
      <c r="G6926" s="60">
        <v>1.0</v>
      </c>
      <c r="H6926" s="60">
        <v>1.0</v>
      </c>
      <c r="I6926" s="60">
        <v>0.0</v>
      </c>
      <c r="J6926" s="59">
        <v>6.0</v>
      </c>
      <c r="K6926" s="61">
        <f t="shared" si="1"/>
        <v>1</v>
      </c>
      <c r="L6926" s="62">
        <f t="shared" si="2"/>
        <v>1</v>
      </c>
    </row>
    <row r="6927">
      <c r="A6927" s="58">
        <v>45597.0</v>
      </c>
      <c r="B6927" s="24" t="s">
        <v>6789</v>
      </c>
      <c r="C6927" s="24" t="s">
        <v>7172</v>
      </c>
      <c r="D6927" s="59">
        <v>6.0</v>
      </c>
      <c r="E6927" s="59">
        <v>8.0</v>
      </c>
      <c r="F6927" s="59">
        <v>3.0</v>
      </c>
      <c r="G6927" s="60">
        <v>1.33333333333333</v>
      </c>
      <c r="H6927" s="60">
        <v>0.5</v>
      </c>
      <c r="I6927" s="60">
        <v>26.12079225</v>
      </c>
      <c r="J6927" s="59">
        <v>14.0</v>
      </c>
      <c r="K6927" s="61">
        <f t="shared" si="1"/>
        <v>0.375</v>
      </c>
      <c r="L6927" s="62">
        <f t="shared" si="2"/>
        <v>1.75</v>
      </c>
    </row>
    <row r="6928">
      <c r="A6928" s="58">
        <v>45597.0</v>
      </c>
      <c r="B6928" s="24" t="s">
        <v>6787</v>
      </c>
      <c r="C6928" s="24" t="s">
        <v>7313</v>
      </c>
      <c r="D6928" s="59">
        <v>6.0</v>
      </c>
      <c r="E6928" s="59">
        <v>7.0</v>
      </c>
      <c r="F6928" s="59">
        <v>6.0</v>
      </c>
      <c r="G6928" s="60">
        <v>1.16666666666666</v>
      </c>
      <c r="H6928" s="60">
        <v>0.714285714285714</v>
      </c>
      <c r="I6928" s="60">
        <v>24.4530317142857</v>
      </c>
      <c r="J6928" s="59">
        <v>11.0</v>
      </c>
      <c r="K6928" s="61">
        <f t="shared" si="1"/>
        <v>0.8571428571</v>
      </c>
      <c r="L6928" s="62">
        <f t="shared" si="2"/>
        <v>1.571428571</v>
      </c>
    </row>
    <row r="6929">
      <c r="A6929" s="58">
        <v>45597.0</v>
      </c>
      <c r="B6929" s="24" t="s">
        <v>6942</v>
      </c>
      <c r="C6929" s="24" t="s">
        <v>7313</v>
      </c>
      <c r="D6929" s="59">
        <v>6.0</v>
      </c>
      <c r="E6929" s="59">
        <v>6.0</v>
      </c>
      <c r="F6929" s="59">
        <v>6.0</v>
      </c>
      <c r="G6929" s="60">
        <v>1.0</v>
      </c>
      <c r="H6929" s="60">
        <v>1.0</v>
      </c>
      <c r="I6929" s="60">
        <v>0.0</v>
      </c>
      <c r="J6929" s="59">
        <v>6.0</v>
      </c>
      <c r="K6929" s="61">
        <f t="shared" si="1"/>
        <v>1</v>
      </c>
      <c r="L6929" s="62">
        <f t="shared" si="2"/>
        <v>1</v>
      </c>
    </row>
    <row r="6930">
      <c r="A6930" s="58">
        <v>45597.0</v>
      </c>
      <c r="B6930" s="24" t="s">
        <v>6787</v>
      </c>
      <c r="C6930" s="24" t="s">
        <v>7102</v>
      </c>
      <c r="D6930" s="59">
        <v>6.0</v>
      </c>
      <c r="E6930" s="59">
        <v>6.0</v>
      </c>
      <c r="F6930" s="59">
        <v>6.0</v>
      </c>
      <c r="G6930" s="60">
        <v>1.0</v>
      </c>
      <c r="H6930" s="60">
        <v>0.833333333333333</v>
      </c>
      <c r="I6930" s="60">
        <v>216.2200265</v>
      </c>
      <c r="J6930" s="59">
        <v>6.0</v>
      </c>
      <c r="K6930" s="61">
        <f t="shared" si="1"/>
        <v>1</v>
      </c>
      <c r="L6930" s="62">
        <f t="shared" si="2"/>
        <v>1</v>
      </c>
    </row>
    <row r="6931">
      <c r="A6931" s="58">
        <v>45597.0</v>
      </c>
      <c r="B6931" s="24" t="s">
        <v>6789</v>
      </c>
      <c r="C6931" s="24" t="s">
        <v>7102</v>
      </c>
      <c r="D6931" s="59">
        <v>6.0</v>
      </c>
      <c r="E6931" s="59">
        <v>7.0</v>
      </c>
      <c r="F6931" s="59">
        <v>2.0</v>
      </c>
      <c r="G6931" s="60">
        <v>1.4</v>
      </c>
      <c r="H6931" s="60">
        <v>0.571428571428571</v>
      </c>
      <c r="I6931" s="60">
        <v>59.3191459999999</v>
      </c>
      <c r="J6931" s="59">
        <v>8.0</v>
      </c>
      <c r="K6931" s="61">
        <f t="shared" si="1"/>
        <v>0.2857142857</v>
      </c>
      <c r="L6931" s="62">
        <f t="shared" si="2"/>
        <v>1.142857143</v>
      </c>
    </row>
    <row r="6932">
      <c r="A6932" s="58">
        <v>45597.0</v>
      </c>
      <c r="B6932" s="24" t="s">
        <v>6787</v>
      </c>
      <c r="C6932" s="24" t="s">
        <v>6797</v>
      </c>
      <c r="D6932" s="59">
        <v>6.0</v>
      </c>
      <c r="E6932" s="59">
        <v>6.0</v>
      </c>
      <c r="F6932" s="59">
        <v>5.0</v>
      </c>
      <c r="G6932" s="60">
        <v>1.0</v>
      </c>
      <c r="H6932" s="60">
        <v>0.666666666666666</v>
      </c>
      <c r="I6932" s="60">
        <v>18.4093795</v>
      </c>
      <c r="J6932" s="59">
        <v>9.0</v>
      </c>
      <c r="K6932" s="61">
        <f t="shared" si="1"/>
        <v>0.8333333333</v>
      </c>
      <c r="L6932" s="62">
        <f t="shared" si="2"/>
        <v>1.5</v>
      </c>
    </row>
    <row r="6933">
      <c r="A6933" s="58">
        <v>45597.0</v>
      </c>
      <c r="B6933" s="24" t="s">
        <v>6789</v>
      </c>
      <c r="C6933" s="24" t="s">
        <v>6797</v>
      </c>
      <c r="D6933" s="59">
        <v>6.0</v>
      </c>
      <c r="E6933" s="59">
        <v>7.0</v>
      </c>
      <c r="F6933" s="59">
        <v>0.0</v>
      </c>
      <c r="G6933" s="60">
        <v>1.75</v>
      </c>
      <c r="H6933" s="60">
        <v>0.571428571428571</v>
      </c>
      <c r="I6933" s="60">
        <v>42.3376822857142</v>
      </c>
      <c r="J6933" s="59">
        <v>12.0</v>
      </c>
      <c r="K6933" s="61">
        <f t="shared" si="1"/>
        <v>0</v>
      </c>
      <c r="L6933" s="62">
        <f t="shared" si="2"/>
        <v>1.714285714</v>
      </c>
    </row>
    <row r="6934">
      <c r="A6934" s="58">
        <v>45597.0</v>
      </c>
      <c r="B6934" s="24" t="s">
        <v>6787</v>
      </c>
      <c r="C6934" s="24" t="s">
        <v>7062</v>
      </c>
      <c r="D6934" s="59">
        <v>5.0</v>
      </c>
      <c r="E6934" s="59">
        <v>5.0</v>
      </c>
      <c r="F6934" s="59">
        <v>5.0</v>
      </c>
      <c r="G6934" s="60">
        <v>1.0</v>
      </c>
      <c r="H6934" s="60">
        <v>1.0</v>
      </c>
      <c r="I6934" s="60">
        <v>0.0</v>
      </c>
      <c r="J6934" s="59">
        <v>5.0</v>
      </c>
      <c r="K6934" s="61">
        <f t="shared" si="1"/>
        <v>1</v>
      </c>
      <c r="L6934" s="62">
        <f t="shared" si="2"/>
        <v>1</v>
      </c>
    </row>
    <row r="6935">
      <c r="A6935" s="58">
        <v>45597.0</v>
      </c>
      <c r="B6935" s="24" t="s">
        <v>6789</v>
      </c>
      <c r="C6935" s="24" t="s">
        <v>7071</v>
      </c>
      <c r="D6935" s="59">
        <v>5.0</v>
      </c>
      <c r="E6935" s="59">
        <v>7.0</v>
      </c>
      <c r="F6935" s="59">
        <v>3.0</v>
      </c>
      <c r="G6935" s="60">
        <v>1.4</v>
      </c>
      <c r="H6935" s="60">
        <v>0.571428571428571</v>
      </c>
      <c r="I6935" s="60">
        <v>18.5819468571428</v>
      </c>
      <c r="J6935" s="59">
        <v>9.0</v>
      </c>
      <c r="K6935" s="61">
        <f t="shared" si="1"/>
        <v>0.4285714286</v>
      </c>
      <c r="L6935" s="62">
        <f t="shared" si="2"/>
        <v>1.285714286</v>
      </c>
    </row>
    <row r="6936">
      <c r="A6936" s="58">
        <v>45597.0</v>
      </c>
      <c r="B6936" s="24" t="s">
        <v>6787</v>
      </c>
      <c r="C6936" s="24" t="s">
        <v>6822</v>
      </c>
      <c r="D6936" s="59">
        <v>5.0</v>
      </c>
      <c r="E6936" s="59">
        <v>5.0</v>
      </c>
      <c r="F6936" s="59">
        <v>4.0</v>
      </c>
      <c r="G6936" s="60">
        <v>1.25</v>
      </c>
      <c r="H6936" s="60">
        <v>0.8</v>
      </c>
      <c r="I6936" s="60">
        <v>2.4171964</v>
      </c>
      <c r="J6936" s="59">
        <v>5.0</v>
      </c>
      <c r="K6936" s="61">
        <f t="shared" si="1"/>
        <v>0.8</v>
      </c>
      <c r="L6936" s="62">
        <f t="shared" si="2"/>
        <v>1</v>
      </c>
    </row>
    <row r="6937">
      <c r="A6937" s="58">
        <v>45597.0</v>
      </c>
      <c r="B6937" s="24" t="s">
        <v>6789</v>
      </c>
      <c r="C6937" s="24" t="s">
        <v>7236</v>
      </c>
      <c r="D6937" s="59">
        <v>5.0</v>
      </c>
      <c r="E6937" s="59">
        <v>5.0</v>
      </c>
      <c r="F6937" s="59">
        <v>0.0</v>
      </c>
      <c r="G6937" s="60">
        <v>1.0</v>
      </c>
      <c r="H6937" s="60">
        <v>0.2</v>
      </c>
      <c r="I6937" s="60">
        <v>1311.2326464</v>
      </c>
      <c r="J6937" s="59">
        <v>18.0</v>
      </c>
      <c r="K6937" s="61">
        <f t="shared" si="1"/>
        <v>0</v>
      </c>
      <c r="L6937" s="62">
        <f t="shared" si="2"/>
        <v>3.6</v>
      </c>
    </row>
    <row r="6938">
      <c r="A6938" s="58">
        <v>45597.0</v>
      </c>
      <c r="B6938" s="24" t="s">
        <v>6787</v>
      </c>
      <c r="C6938" s="24" t="s">
        <v>7189</v>
      </c>
      <c r="D6938" s="59">
        <v>5.0</v>
      </c>
      <c r="E6938" s="59">
        <v>7.0</v>
      </c>
      <c r="F6938" s="59">
        <v>3.0</v>
      </c>
      <c r="G6938" s="60">
        <v>1.4</v>
      </c>
      <c r="H6938" s="60">
        <v>0.857142857142857</v>
      </c>
      <c r="I6938" s="60">
        <v>4.28318271428571</v>
      </c>
      <c r="J6938" s="59">
        <v>7.0</v>
      </c>
      <c r="K6938" s="61">
        <f t="shared" si="1"/>
        <v>0.4285714286</v>
      </c>
      <c r="L6938" s="62">
        <f t="shared" si="2"/>
        <v>1</v>
      </c>
    </row>
    <row r="6939">
      <c r="A6939" s="58">
        <v>45597.0</v>
      </c>
      <c r="B6939" s="24" t="s">
        <v>6789</v>
      </c>
      <c r="C6939" s="24" t="s">
        <v>7013</v>
      </c>
      <c r="D6939" s="59">
        <v>5.0</v>
      </c>
      <c r="E6939" s="59">
        <v>6.0</v>
      </c>
      <c r="F6939" s="59">
        <v>4.0</v>
      </c>
      <c r="G6939" s="60">
        <v>1.5</v>
      </c>
      <c r="H6939" s="60">
        <v>0.5</v>
      </c>
      <c r="I6939" s="60">
        <v>14.094524</v>
      </c>
      <c r="J6939" s="59">
        <v>6.0</v>
      </c>
      <c r="K6939" s="61">
        <f t="shared" si="1"/>
        <v>0.6666666667</v>
      </c>
      <c r="L6939" s="62">
        <f t="shared" si="2"/>
        <v>1</v>
      </c>
    </row>
    <row r="6940">
      <c r="A6940" s="58">
        <v>45597.0</v>
      </c>
      <c r="B6940" s="24" t="s">
        <v>6787</v>
      </c>
      <c r="C6940" s="24" t="s">
        <v>6809</v>
      </c>
      <c r="D6940" s="59">
        <v>5.0</v>
      </c>
      <c r="E6940" s="59">
        <v>6.0</v>
      </c>
      <c r="F6940" s="59">
        <v>2.0</v>
      </c>
      <c r="G6940" s="60">
        <v>1.2</v>
      </c>
      <c r="H6940" s="60">
        <v>0.333333333333333</v>
      </c>
      <c r="I6940" s="60">
        <v>452.626655833333</v>
      </c>
      <c r="J6940" s="59">
        <v>12.0</v>
      </c>
      <c r="K6940" s="61">
        <f t="shared" si="1"/>
        <v>0.3333333333</v>
      </c>
      <c r="L6940" s="62">
        <f t="shared" si="2"/>
        <v>2</v>
      </c>
    </row>
    <row r="6941">
      <c r="A6941" s="58">
        <v>45597.0</v>
      </c>
      <c r="B6941" s="24" t="s">
        <v>6789</v>
      </c>
      <c r="C6941" s="24" t="s">
        <v>7313</v>
      </c>
      <c r="D6941" s="59">
        <v>5.0</v>
      </c>
      <c r="E6941" s="59">
        <v>5.0</v>
      </c>
      <c r="F6941" s="59">
        <v>3.0</v>
      </c>
      <c r="G6941" s="60">
        <v>1.0</v>
      </c>
      <c r="H6941" s="60">
        <v>0.0</v>
      </c>
      <c r="I6941" s="60">
        <v>242.972846399999</v>
      </c>
      <c r="J6941" s="59">
        <v>12.0</v>
      </c>
      <c r="K6941" s="61">
        <f t="shared" si="1"/>
        <v>0.6</v>
      </c>
      <c r="L6941" s="62">
        <f t="shared" si="2"/>
        <v>2.4</v>
      </c>
    </row>
    <row r="6942">
      <c r="A6942" s="58">
        <v>45597.0</v>
      </c>
      <c r="B6942" s="24" t="s">
        <v>6787</v>
      </c>
      <c r="C6942" s="24" t="s">
        <v>6983</v>
      </c>
      <c r="D6942" s="59">
        <v>4.0</v>
      </c>
      <c r="E6942" s="59">
        <v>4.0</v>
      </c>
      <c r="F6942" s="59">
        <v>1.0</v>
      </c>
      <c r="G6942" s="60">
        <v>1.33333333333333</v>
      </c>
      <c r="H6942" s="60">
        <v>0.5</v>
      </c>
      <c r="I6942" s="60">
        <v>50.517127</v>
      </c>
      <c r="J6942" s="59">
        <v>6.0</v>
      </c>
      <c r="K6942" s="61">
        <f t="shared" si="1"/>
        <v>0.25</v>
      </c>
      <c r="L6942" s="62">
        <f t="shared" si="2"/>
        <v>1.5</v>
      </c>
    </row>
    <row r="6943">
      <c r="A6943" s="58">
        <v>45597.0</v>
      </c>
      <c r="B6943" s="24" t="s">
        <v>6789</v>
      </c>
      <c r="C6943" s="24" t="s">
        <v>6833</v>
      </c>
      <c r="D6943" s="59">
        <v>4.0</v>
      </c>
      <c r="E6943" s="59">
        <v>4.0</v>
      </c>
      <c r="F6943" s="59">
        <v>3.0</v>
      </c>
      <c r="G6943" s="60">
        <v>1.0</v>
      </c>
      <c r="H6943" s="60">
        <v>0.75</v>
      </c>
      <c r="I6943" s="60">
        <v>22.49995875</v>
      </c>
      <c r="J6943" s="59">
        <v>4.0</v>
      </c>
      <c r="K6943" s="61">
        <f t="shared" si="1"/>
        <v>0.75</v>
      </c>
      <c r="L6943" s="62">
        <f t="shared" si="2"/>
        <v>1</v>
      </c>
    </row>
    <row r="6944">
      <c r="A6944" s="58">
        <v>45597.0</v>
      </c>
      <c r="B6944" s="24" t="s">
        <v>6789</v>
      </c>
      <c r="C6944" s="24" t="s">
        <v>6867</v>
      </c>
      <c r="D6944" s="59">
        <v>4.0</v>
      </c>
      <c r="E6944" s="59">
        <v>4.0</v>
      </c>
      <c r="F6944" s="59">
        <v>3.0</v>
      </c>
      <c r="G6944" s="60">
        <v>1.0</v>
      </c>
      <c r="H6944" s="60">
        <v>0.0</v>
      </c>
      <c r="I6944" s="60">
        <v>212.309400249999</v>
      </c>
      <c r="J6944" s="59">
        <v>4.0</v>
      </c>
      <c r="K6944" s="61">
        <f t="shared" si="1"/>
        <v>0.75</v>
      </c>
      <c r="L6944" s="62">
        <f t="shared" si="2"/>
        <v>1</v>
      </c>
    </row>
    <row r="6945">
      <c r="A6945" s="58">
        <v>45597.0</v>
      </c>
      <c r="B6945" s="24" t="s">
        <v>6787</v>
      </c>
      <c r="C6945" s="24" t="s">
        <v>7064</v>
      </c>
      <c r="D6945" s="59">
        <v>4.0</v>
      </c>
      <c r="E6945" s="59">
        <v>4.0</v>
      </c>
      <c r="F6945" s="59">
        <v>4.0</v>
      </c>
      <c r="G6945" s="60">
        <v>1.0</v>
      </c>
      <c r="H6945" s="60">
        <v>0.75</v>
      </c>
      <c r="I6945" s="60">
        <v>96.6721875</v>
      </c>
      <c r="J6945" s="59">
        <v>4.0</v>
      </c>
      <c r="K6945" s="61">
        <f t="shared" si="1"/>
        <v>1</v>
      </c>
      <c r="L6945" s="62">
        <f t="shared" si="2"/>
        <v>1</v>
      </c>
    </row>
    <row r="6946">
      <c r="A6946" s="58">
        <v>45597.0</v>
      </c>
      <c r="B6946" s="24" t="s">
        <v>6787</v>
      </c>
      <c r="C6946" s="24" t="s">
        <v>6888</v>
      </c>
      <c r="D6946" s="59">
        <v>4.0</v>
      </c>
      <c r="E6946" s="59">
        <v>4.0</v>
      </c>
      <c r="F6946" s="59">
        <v>4.0</v>
      </c>
      <c r="G6946" s="60">
        <v>1.0</v>
      </c>
      <c r="H6946" s="60">
        <v>1.0</v>
      </c>
      <c r="I6946" s="60">
        <v>0.0</v>
      </c>
      <c r="J6946" s="59">
        <v>4.0</v>
      </c>
      <c r="K6946" s="61">
        <f t="shared" si="1"/>
        <v>1</v>
      </c>
      <c r="L6946" s="62">
        <f t="shared" si="2"/>
        <v>1</v>
      </c>
    </row>
    <row r="6947">
      <c r="A6947" s="58">
        <v>45597.0</v>
      </c>
      <c r="B6947" s="24" t="s">
        <v>6789</v>
      </c>
      <c r="C6947" s="24" t="s">
        <v>6822</v>
      </c>
      <c r="D6947" s="59">
        <v>4.0</v>
      </c>
      <c r="E6947" s="59">
        <v>4.0</v>
      </c>
      <c r="F6947" s="59">
        <v>0.0</v>
      </c>
      <c r="G6947" s="60">
        <v>1.0</v>
      </c>
      <c r="H6947" s="60">
        <v>0.25</v>
      </c>
      <c r="I6947" s="60">
        <v>44.2633025</v>
      </c>
      <c r="J6947" s="59">
        <v>4.0</v>
      </c>
      <c r="K6947" s="61">
        <f t="shared" si="1"/>
        <v>0</v>
      </c>
      <c r="L6947" s="62">
        <f t="shared" si="2"/>
        <v>1</v>
      </c>
    </row>
    <row r="6948">
      <c r="A6948" s="58">
        <v>45597.0</v>
      </c>
      <c r="B6948" s="24" t="s">
        <v>6789</v>
      </c>
      <c r="C6948" s="24" t="s">
        <v>6898</v>
      </c>
      <c r="D6948" s="59">
        <v>4.0</v>
      </c>
      <c r="E6948" s="59">
        <v>4.0</v>
      </c>
      <c r="F6948" s="59">
        <v>3.0</v>
      </c>
      <c r="G6948" s="60">
        <v>1.0</v>
      </c>
      <c r="H6948" s="60">
        <v>0.5</v>
      </c>
      <c r="I6948" s="60">
        <v>340.0428365</v>
      </c>
      <c r="J6948" s="59">
        <v>11.0</v>
      </c>
      <c r="K6948" s="61">
        <f t="shared" si="1"/>
        <v>0.75</v>
      </c>
      <c r="L6948" s="62">
        <f t="shared" si="2"/>
        <v>2.75</v>
      </c>
    </row>
    <row r="6949">
      <c r="A6949" s="58">
        <v>45597.0</v>
      </c>
      <c r="B6949" s="24" t="s">
        <v>6789</v>
      </c>
      <c r="C6949" s="24" t="s">
        <v>7231</v>
      </c>
      <c r="D6949" s="59">
        <v>4.0</v>
      </c>
      <c r="E6949" s="59">
        <v>4.0</v>
      </c>
      <c r="F6949" s="59">
        <v>3.0</v>
      </c>
      <c r="G6949" s="60">
        <v>1.0</v>
      </c>
      <c r="H6949" s="60">
        <v>0.25</v>
      </c>
      <c r="I6949" s="60">
        <v>369.09696725</v>
      </c>
      <c r="J6949" s="59">
        <v>9.0</v>
      </c>
      <c r="K6949" s="61">
        <f t="shared" si="1"/>
        <v>0.75</v>
      </c>
      <c r="L6949" s="62">
        <f t="shared" si="2"/>
        <v>2.25</v>
      </c>
    </row>
    <row r="6950">
      <c r="A6950" s="58">
        <v>45597.0</v>
      </c>
      <c r="B6950" s="24" t="s">
        <v>6789</v>
      </c>
      <c r="C6950" s="24" t="s">
        <v>6907</v>
      </c>
      <c r="D6950" s="59">
        <v>4.0</v>
      </c>
      <c r="E6950" s="59">
        <v>4.0</v>
      </c>
      <c r="F6950" s="59">
        <v>2.0</v>
      </c>
      <c r="G6950" s="60">
        <v>1.33333333333333</v>
      </c>
      <c r="H6950" s="60">
        <v>1.0</v>
      </c>
      <c r="I6950" s="60">
        <v>0.81347925</v>
      </c>
      <c r="J6950" s="59">
        <v>4.0</v>
      </c>
      <c r="K6950" s="61">
        <f t="shared" si="1"/>
        <v>0.5</v>
      </c>
      <c r="L6950" s="62">
        <f t="shared" si="2"/>
        <v>1</v>
      </c>
    </row>
    <row r="6951">
      <c r="A6951" s="58">
        <v>45597.0</v>
      </c>
      <c r="B6951" s="24" t="s">
        <v>6787</v>
      </c>
      <c r="C6951" s="24" t="s">
        <v>7087</v>
      </c>
      <c r="D6951" s="59">
        <v>4.0</v>
      </c>
      <c r="E6951" s="59">
        <v>4.0</v>
      </c>
      <c r="F6951" s="59">
        <v>4.0</v>
      </c>
      <c r="G6951" s="60">
        <v>1.0</v>
      </c>
      <c r="H6951" s="60">
        <v>1.0</v>
      </c>
      <c r="I6951" s="60">
        <v>0.0</v>
      </c>
      <c r="J6951" s="59">
        <v>4.0</v>
      </c>
      <c r="K6951" s="61">
        <f t="shared" si="1"/>
        <v>1</v>
      </c>
      <c r="L6951" s="62">
        <f t="shared" si="2"/>
        <v>1</v>
      </c>
    </row>
    <row r="6952">
      <c r="A6952" s="58">
        <v>45597.0</v>
      </c>
      <c r="B6952" s="24" t="s">
        <v>6794</v>
      </c>
      <c r="C6952" s="24" t="s">
        <v>7189</v>
      </c>
      <c r="D6952" s="59">
        <v>4.0</v>
      </c>
      <c r="E6952" s="59">
        <v>5.0</v>
      </c>
      <c r="F6952" s="59">
        <v>3.0</v>
      </c>
      <c r="G6952" s="60">
        <v>1.66666666666666</v>
      </c>
      <c r="H6952" s="60">
        <v>1.0</v>
      </c>
      <c r="I6952" s="60">
        <v>0.0</v>
      </c>
      <c r="J6952" s="59">
        <v>5.0</v>
      </c>
      <c r="K6952" s="61">
        <f t="shared" si="1"/>
        <v>0.6</v>
      </c>
      <c r="L6952" s="62">
        <f t="shared" si="2"/>
        <v>1</v>
      </c>
    </row>
    <row r="6953">
      <c r="A6953" s="58">
        <v>45597.0</v>
      </c>
      <c r="B6953" s="24" t="s">
        <v>6787</v>
      </c>
      <c r="C6953" s="24" t="s">
        <v>7160</v>
      </c>
      <c r="D6953" s="59">
        <v>4.0</v>
      </c>
      <c r="E6953" s="59">
        <v>4.0</v>
      </c>
      <c r="F6953" s="59">
        <v>4.0</v>
      </c>
      <c r="G6953" s="60">
        <v>1.0</v>
      </c>
      <c r="H6953" s="60">
        <v>0.75</v>
      </c>
      <c r="I6953" s="60">
        <v>5.01364875</v>
      </c>
      <c r="J6953" s="59">
        <v>5.0</v>
      </c>
      <c r="K6953" s="61">
        <f t="shared" si="1"/>
        <v>1</v>
      </c>
      <c r="L6953" s="62">
        <f t="shared" si="2"/>
        <v>1.25</v>
      </c>
    </row>
    <row r="6954">
      <c r="A6954" s="58">
        <v>45597.0</v>
      </c>
      <c r="B6954" s="24" t="s">
        <v>6789</v>
      </c>
      <c r="C6954" s="24" t="s">
        <v>7092</v>
      </c>
      <c r="D6954" s="59">
        <v>4.0</v>
      </c>
      <c r="E6954" s="59">
        <v>8.0</v>
      </c>
      <c r="F6954" s="59">
        <v>3.0</v>
      </c>
      <c r="G6954" s="60">
        <v>2.66666666666666</v>
      </c>
      <c r="H6954" s="60">
        <v>0.75</v>
      </c>
      <c r="I6954" s="60">
        <v>44.950412625</v>
      </c>
      <c r="J6954" s="59">
        <v>9.0</v>
      </c>
      <c r="K6954" s="61">
        <f t="shared" si="1"/>
        <v>0.375</v>
      </c>
      <c r="L6954" s="62">
        <f t="shared" si="2"/>
        <v>1.125</v>
      </c>
    </row>
    <row r="6955">
      <c r="A6955" s="58">
        <v>45597.0</v>
      </c>
      <c r="B6955" s="24" t="s">
        <v>6789</v>
      </c>
      <c r="C6955" s="24" t="s">
        <v>7167</v>
      </c>
      <c r="D6955" s="59">
        <v>4.0</v>
      </c>
      <c r="E6955" s="59">
        <v>6.0</v>
      </c>
      <c r="F6955" s="59">
        <v>4.0</v>
      </c>
      <c r="G6955" s="60">
        <v>1.5</v>
      </c>
      <c r="H6955" s="60">
        <v>0.833333333333333</v>
      </c>
      <c r="I6955" s="60">
        <v>23.4689721666666</v>
      </c>
      <c r="J6955" s="59">
        <v>6.0</v>
      </c>
      <c r="K6955" s="61">
        <f t="shared" si="1"/>
        <v>0.6666666667</v>
      </c>
      <c r="L6955" s="62">
        <f t="shared" si="2"/>
        <v>1</v>
      </c>
    </row>
    <row r="6956">
      <c r="A6956" s="58">
        <v>45597.0</v>
      </c>
      <c r="B6956" s="24" t="s">
        <v>6789</v>
      </c>
      <c r="C6956" s="24" t="s">
        <v>6800</v>
      </c>
      <c r="D6956" s="59">
        <v>4.0</v>
      </c>
      <c r="E6956" s="59">
        <v>4.0</v>
      </c>
      <c r="F6956" s="59">
        <v>3.0</v>
      </c>
      <c r="G6956" s="60">
        <v>1.0</v>
      </c>
      <c r="H6956" s="60">
        <v>0.25</v>
      </c>
      <c r="I6956" s="60">
        <v>224.1291225</v>
      </c>
      <c r="J6956" s="59">
        <v>17.0</v>
      </c>
      <c r="K6956" s="61">
        <f t="shared" si="1"/>
        <v>0.75</v>
      </c>
      <c r="L6956" s="62">
        <f t="shared" si="2"/>
        <v>4.25</v>
      </c>
    </row>
    <row r="6957">
      <c r="A6957" s="58">
        <v>45597.0</v>
      </c>
      <c r="B6957" s="24" t="s">
        <v>6789</v>
      </c>
      <c r="C6957" s="24" t="s">
        <v>6809</v>
      </c>
      <c r="D6957" s="59">
        <v>4.0</v>
      </c>
      <c r="E6957" s="59">
        <v>7.0</v>
      </c>
      <c r="F6957" s="59">
        <v>1.0</v>
      </c>
      <c r="G6957" s="60">
        <v>1.75</v>
      </c>
      <c r="H6957" s="60">
        <v>0.0</v>
      </c>
      <c r="I6957" s="60">
        <v>1366.82613142857</v>
      </c>
      <c r="J6957" s="59">
        <v>48.0</v>
      </c>
      <c r="K6957" s="61">
        <f t="shared" si="1"/>
        <v>0.1428571429</v>
      </c>
      <c r="L6957" s="62">
        <f t="shared" si="2"/>
        <v>6.857142857</v>
      </c>
    </row>
    <row r="6958">
      <c r="A6958" s="58">
        <v>45597.0</v>
      </c>
      <c r="B6958" s="24" t="s">
        <v>6789</v>
      </c>
      <c r="C6958" s="24" t="s">
        <v>7044</v>
      </c>
      <c r="D6958" s="59">
        <v>4.0</v>
      </c>
      <c r="E6958" s="59">
        <v>6.0</v>
      </c>
      <c r="F6958" s="59">
        <v>4.0</v>
      </c>
      <c r="G6958" s="60">
        <v>1.5</v>
      </c>
      <c r="H6958" s="60">
        <v>0.833333333333333</v>
      </c>
      <c r="I6958" s="60">
        <v>212.545886833333</v>
      </c>
      <c r="J6958" s="59">
        <v>6.0</v>
      </c>
      <c r="K6958" s="61">
        <f t="shared" si="1"/>
        <v>0.6666666667</v>
      </c>
      <c r="L6958" s="62">
        <f t="shared" si="2"/>
        <v>1</v>
      </c>
    </row>
    <row r="6959">
      <c r="A6959" s="58">
        <v>45597.0</v>
      </c>
      <c r="B6959" s="24" t="s">
        <v>6787</v>
      </c>
      <c r="C6959" s="24" t="s">
        <v>7172</v>
      </c>
      <c r="D6959" s="59">
        <v>4.0</v>
      </c>
      <c r="E6959" s="59">
        <v>5.0</v>
      </c>
      <c r="F6959" s="59">
        <v>4.0</v>
      </c>
      <c r="G6959" s="60">
        <v>1.25</v>
      </c>
      <c r="H6959" s="60">
        <v>1.0</v>
      </c>
      <c r="I6959" s="60">
        <v>2.123305</v>
      </c>
      <c r="J6959" s="59">
        <v>5.0</v>
      </c>
      <c r="K6959" s="61">
        <f t="shared" si="1"/>
        <v>0.8</v>
      </c>
      <c r="L6959" s="62">
        <f t="shared" si="2"/>
        <v>1</v>
      </c>
    </row>
    <row r="6960">
      <c r="A6960" s="58">
        <v>45597.0</v>
      </c>
      <c r="B6960" s="24" t="s">
        <v>6787</v>
      </c>
      <c r="C6960" s="24" t="s">
        <v>7107</v>
      </c>
      <c r="D6960" s="59">
        <v>4.0</v>
      </c>
      <c r="E6960" s="59">
        <v>4.0</v>
      </c>
      <c r="F6960" s="59">
        <v>3.0</v>
      </c>
      <c r="G6960" s="60">
        <v>1.0</v>
      </c>
      <c r="H6960" s="60">
        <v>1.0</v>
      </c>
      <c r="I6960" s="60">
        <v>0.0</v>
      </c>
      <c r="J6960" s="59">
        <v>4.0</v>
      </c>
      <c r="K6960" s="61">
        <f t="shared" si="1"/>
        <v>0.75</v>
      </c>
      <c r="L6960" s="62">
        <f t="shared" si="2"/>
        <v>1</v>
      </c>
    </row>
    <row r="6961">
      <c r="A6961" s="58">
        <v>45597.0</v>
      </c>
      <c r="B6961" s="24" t="s">
        <v>6789</v>
      </c>
      <c r="C6961" s="24" t="s">
        <v>6810</v>
      </c>
      <c r="D6961" s="59">
        <v>4.0</v>
      </c>
      <c r="E6961" s="59">
        <v>9.0</v>
      </c>
      <c r="F6961" s="59">
        <v>1.0</v>
      </c>
      <c r="G6961" s="60">
        <v>4.5</v>
      </c>
      <c r="H6961" s="60">
        <v>0.777777777777777</v>
      </c>
      <c r="I6961" s="60">
        <v>6.23894066666666</v>
      </c>
      <c r="J6961" s="59">
        <v>11.0</v>
      </c>
      <c r="K6961" s="61">
        <f t="shared" si="1"/>
        <v>0.1111111111</v>
      </c>
      <c r="L6961" s="62">
        <f t="shared" si="2"/>
        <v>1.222222222</v>
      </c>
    </row>
    <row r="6962">
      <c r="A6962" s="58">
        <v>45597.0</v>
      </c>
      <c r="B6962" s="24" t="s">
        <v>6787</v>
      </c>
      <c r="C6962" s="24" t="s">
        <v>6924</v>
      </c>
      <c r="D6962" s="59">
        <v>4.0</v>
      </c>
      <c r="E6962" s="59">
        <v>4.0</v>
      </c>
      <c r="F6962" s="59">
        <v>4.0</v>
      </c>
      <c r="G6962" s="60">
        <v>1.0</v>
      </c>
      <c r="H6962" s="60">
        <v>1.0</v>
      </c>
      <c r="I6962" s="60">
        <v>0.0</v>
      </c>
      <c r="J6962" s="59">
        <v>4.0</v>
      </c>
      <c r="K6962" s="61">
        <f t="shared" si="1"/>
        <v>1</v>
      </c>
      <c r="L6962" s="62">
        <f t="shared" si="2"/>
        <v>1</v>
      </c>
    </row>
    <row r="6963">
      <c r="A6963" s="58">
        <v>45597.0</v>
      </c>
      <c r="B6963" s="24" t="s">
        <v>6791</v>
      </c>
      <c r="C6963" s="24" t="s">
        <v>6792</v>
      </c>
      <c r="D6963" s="59">
        <v>3.0</v>
      </c>
      <c r="E6963" s="59">
        <v>3.0</v>
      </c>
      <c r="F6963" s="59">
        <v>0.0</v>
      </c>
      <c r="G6963" s="60">
        <v>1.5</v>
      </c>
      <c r="H6963" s="60">
        <v>1.0</v>
      </c>
      <c r="I6963" s="60">
        <v>0.0</v>
      </c>
      <c r="J6963" s="59">
        <v>0.0</v>
      </c>
      <c r="K6963" s="61">
        <f t="shared" si="1"/>
        <v>0</v>
      </c>
      <c r="L6963" s="62">
        <f t="shared" si="2"/>
        <v>0</v>
      </c>
    </row>
    <row r="6964">
      <c r="A6964" s="58">
        <v>45597.0</v>
      </c>
      <c r="B6964" s="24" t="s">
        <v>6790</v>
      </c>
      <c r="C6964" s="24" t="s">
        <v>6792</v>
      </c>
      <c r="D6964" s="59">
        <v>3.0</v>
      </c>
      <c r="E6964" s="59">
        <v>3.0</v>
      </c>
      <c r="F6964" s="59">
        <v>0.0</v>
      </c>
      <c r="G6964" s="60">
        <v>1.0</v>
      </c>
      <c r="H6964" s="60">
        <v>1.0</v>
      </c>
      <c r="I6964" s="60">
        <v>422.550236666666</v>
      </c>
      <c r="J6964" s="59">
        <v>0.0</v>
      </c>
      <c r="K6964" s="61">
        <f t="shared" si="1"/>
        <v>0</v>
      </c>
      <c r="L6964" s="62">
        <f t="shared" si="2"/>
        <v>0</v>
      </c>
    </row>
    <row r="6965">
      <c r="A6965" s="58">
        <v>45597.0</v>
      </c>
      <c r="B6965" s="24" t="s">
        <v>6789</v>
      </c>
      <c r="C6965" s="24" t="s">
        <v>7057</v>
      </c>
      <c r="D6965" s="59">
        <v>3.0</v>
      </c>
      <c r="E6965" s="59">
        <v>3.0</v>
      </c>
      <c r="F6965" s="59">
        <v>3.0</v>
      </c>
      <c r="G6965" s="60">
        <v>1.0</v>
      </c>
      <c r="H6965" s="60">
        <v>0.666666666666666</v>
      </c>
      <c r="I6965" s="60">
        <v>56.3574203333333</v>
      </c>
      <c r="J6965" s="59">
        <v>3.0</v>
      </c>
      <c r="K6965" s="61">
        <f t="shared" si="1"/>
        <v>1</v>
      </c>
      <c r="L6965" s="62">
        <f t="shared" si="2"/>
        <v>1</v>
      </c>
    </row>
    <row r="6966">
      <c r="A6966" s="58">
        <v>45597.0</v>
      </c>
      <c r="B6966" s="24" t="s">
        <v>6789</v>
      </c>
      <c r="C6966" s="24" t="s">
        <v>6819</v>
      </c>
      <c r="D6966" s="59">
        <v>3.0</v>
      </c>
      <c r="E6966" s="59">
        <v>3.0</v>
      </c>
      <c r="F6966" s="59">
        <v>2.0</v>
      </c>
      <c r="G6966" s="60">
        <v>1.0</v>
      </c>
      <c r="H6966" s="60">
        <v>0.333333333333333</v>
      </c>
      <c r="I6966" s="60">
        <v>651.612801</v>
      </c>
      <c r="J6966" s="59">
        <v>4.0</v>
      </c>
      <c r="K6966" s="61">
        <f t="shared" si="1"/>
        <v>0.6666666667</v>
      </c>
      <c r="L6966" s="62">
        <f t="shared" si="2"/>
        <v>1.333333333</v>
      </c>
    </row>
    <row r="6967">
      <c r="A6967" s="58">
        <v>45597.0</v>
      </c>
      <c r="B6967" s="24" t="s">
        <v>6787</v>
      </c>
      <c r="C6967" s="24" t="s">
        <v>7024</v>
      </c>
      <c r="D6967" s="59">
        <v>3.0</v>
      </c>
      <c r="E6967" s="59">
        <v>3.0</v>
      </c>
      <c r="F6967" s="59">
        <v>3.0</v>
      </c>
      <c r="G6967" s="60">
        <v>1.0</v>
      </c>
      <c r="H6967" s="60">
        <v>0.666666666666666</v>
      </c>
      <c r="I6967" s="60">
        <v>16.459862</v>
      </c>
      <c r="J6967" s="59">
        <v>3.0</v>
      </c>
      <c r="K6967" s="61">
        <f t="shared" si="1"/>
        <v>1</v>
      </c>
      <c r="L6967" s="62">
        <f t="shared" si="2"/>
        <v>1</v>
      </c>
    </row>
    <row r="6968">
      <c r="A6968" s="58">
        <v>45597.0</v>
      </c>
      <c r="B6968" s="24" t="s">
        <v>6787</v>
      </c>
      <c r="C6968" s="24" t="s">
        <v>7021</v>
      </c>
      <c r="D6968" s="59">
        <v>3.0</v>
      </c>
      <c r="E6968" s="59">
        <v>3.0</v>
      </c>
      <c r="F6968" s="59">
        <v>1.0</v>
      </c>
      <c r="G6968" s="60">
        <v>1.0</v>
      </c>
      <c r="H6968" s="60">
        <v>0.333333333333333</v>
      </c>
      <c r="I6968" s="60">
        <v>233.289413333333</v>
      </c>
      <c r="J6968" s="59">
        <v>8.0</v>
      </c>
      <c r="K6968" s="61">
        <f t="shared" si="1"/>
        <v>0.3333333333</v>
      </c>
      <c r="L6968" s="62">
        <f t="shared" si="2"/>
        <v>2.666666667</v>
      </c>
    </row>
    <row r="6969">
      <c r="A6969" s="58">
        <v>45597.0</v>
      </c>
      <c r="B6969" s="24" t="s">
        <v>6787</v>
      </c>
      <c r="C6969" s="24" t="s">
        <v>6892</v>
      </c>
      <c r="D6969" s="59">
        <v>3.0</v>
      </c>
      <c r="E6969" s="59">
        <v>3.0</v>
      </c>
      <c r="F6969" s="59">
        <v>3.0</v>
      </c>
      <c r="G6969" s="60">
        <v>1.0</v>
      </c>
      <c r="H6969" s="60">
        <v>0.666666666666666</v>
      </c>
      <c r="I6969" s="60">
        <v>4.36306133333333</v>
      </c>
      <c r="J6969" s="59">
        <v>3.0</v>
      </c>
      <c r="K6969" s="61">
        <f t="shared" si="1"/>
        <v>1</v>
      </c>
      <c r="L6969" s="62">
        <f t="shared" si="2"/>
        <v>1</v>
      </c>
    </row>
    <row r="6970">
      <c r="A6970" s="58">
        <v>45597.0</v>
      </c>
      <c r="B6970" s="24" t="s">
        <v>6787</v>
      </c>
      <c r="C6970" s="24" t="s">
        <v>6840</v>
      </c>
      <c r="D6970" s="59">
        <v>3.0</v>
      </c>
      <c r="E6970" s="59">
        <v>6.0</v>
      </c>
      <c r="F6970" s="59">
        <v>1.0</v>
      </c>
      <c r="G6970" s="60">
        <v>3.0</v>
      </c>
      <c r="H6970" s="60">
        <v>0.833333333333333</v>
      </c>
      <c r="I6970" s="60">
        <v>286.923877</v>
      </c>
      <c r="J6970" s="59">
        <v>11.0</v>
      </c>
      <c r="K6970" s="61">
        <f t="shared" si="1"/>
        <v>0.1666666667</v>
      </c>
      <c r="L6970" s="62">
        <f t="shared" si="2"/>
        <v>1.833333333</v>
      </c>
    </row>
    <row r="6971">
      <c r="A6971" s="58">
        <v>45597.0</v>
      </c>
      <c r="B6971" s="24" t="s">
        <v>6789</v>
      </c>
      <c r="C6971" s="24" t="s">
        <v>6840</v>
      </c>
      <c r="D6971" s="59">
        <v>3.0</v>
      </c>
      <c r="E6971" s="59">
        <v>5.0</v>
      </c>
      <c r="F6971" s="59">
        <v>3.0</v>
      </c>
      <c r="G6971" s="60">
        <v>1.66666666666666</v>
      </c>
      <c r="H6971" s="60">
        <v>0.6</v>
      </c>
      <c r="I6971" s="60">
        <v>8.6759946</v>
      </c>
      <c r="J6971" s="59">
        <v>6.0</v>
      </c>
      <c r="K6971" s="61">
        <f t="shared" si="1"/>
        <v>0.6</v>
      </c>
      <c r="L6971" s="62">
        <f t="shared" si="2"/>
        <v>1.2</v>
      </c>
    </row>
    <row r="6972">
      <c r="A6972" s="58">
        <v>45597.0</v>
      </c>
      <c r="B6972" s="24" t="s">
        <v>6787</v>
      </c>
      <c r="C6972" s="24" t="s">
        <v>6823</v>
      </c>
      <c r="D6972" s="59">
        <v>3.0</v>
      </c>
      <c r="E6972" s="59">
        <v>3.0</v>
      </c>
      <c r="F6972" s="59">
        <v>3.0</v>
      </c>
      <c r="G6972" s="60">
        <v>1.0</v>
      </c>
      <c r="H6972" s="60">
        <v>1.0</v>
      </c>
      <c r="I6972" s="60">
        <v>0.0</v>
      </c>
      <c r="J6972" s="59">
        <v>3.0</v>
      </c>
      <c r="K6972" s="61">
        <f t="shared" si="1"/>
        <v>1</v>
      </c>
      <c r="L6972" s="62">
        <f t="shared" si="2"/>
        <v>1</v>
      </c>
    </row>
    <row r="6973">
      <c r="A6973" s="58">
        <v>45597.0</v>
      </c>
      <c r="B6973" s="24" t="s">
        <v>6787</v>
      </c>
      <c r="C6973" s="24" t="s">
        <v>7518</v>
      </c>
      <c r="D6973" s="59">
        <v>3.0</v>
      </c>
      <c r="E6973" s="59">
        <v>5.0</v>
      </c>
      <c r="F6973" s="59">
        <v>0.0</v>
      </c>
      <c r="G6973" s="60">
        <v>1.66666666666666</v>
      </c>
      <c r="H6973" s="60">
        <v>0.2</v>
      </c>
      <c r="I6973" s="60">
        <v>524.4715526</v>
      </c>
      <c r="J6973" s="59">
        <v>27.0</v>
      </c>
      <c r="K6973" s="61">
        <f t="shared" si="1"/>
        <v>0</v>
      </c>
      <c r="L6973" s="62">
        <f t="shared" si="2"/>
        <v>5.4</v>
      </c>
    </row>
    <row r="6974">
      <c r="A6974" s="58">
        <v>45597.0</v>
      </c>
      <c r="B6974" s="24" t="s">
        <v>6787</v>
      </c>
      <c r="C6974" s="24" t="s">
        <v>6898</v>
      </c>
      <c r="D6974" s="59">
        <v>3.0</v>
      </c>
      <c r="E6974" s="59">
        <v>3.0</v>
      </c>
      <c r="F6974" s="59">
        <v>3.0</v>
      </c>
      <c r="G6974" s="60">
        <v>1.0</v>
      </c>
      <c r="H6974" s="60">
        <v>0.333333333333333</v>
      </c>
      <c r="I6974" s="60">
        <v>8.67366833333333</v>
      </c>
      <c r="J6974" s="59">
        <v>3.0</v>
      </c>
      <c r="K6974" s="61">
        <f t="shared" si="1"/>
        <v>1</v>
      </c>
      <c r="L6974" s="62">
        <f t="shared" si="2"/>
        <v>1</v>
      </c>
    </row>
    <row r="6975">
      <c r="A6975" s="58">
        <v>45597.0</v>
      </c>
      <c r="B6975" s="24" t="s">
        <v>6787</v>
      </c>
      <c r="C6975" s="24" t="s">
        <v>6811</v>
      </c>
      <c r="D6975" s="59">
        <v>3.0</v>
      </c>
      <c r="E6975" s="59">
        <v>3.0</v>
      </c>
      <c r="F6975" s="59">
        <v>1.0</v>
      </c>
      <c r="G6975" s="60">
        <v>1.0</v>
      </c>
      <c r="H6975" s="60">
        <v>0.333333333333333</v>
      </c>
      <c r="I6975" s="60">
        <v>10.1678823333333</v>
      </c>
      <c r="J6975" s="59">
        <v>8.0</v>
      </c>
      <c r="K6975" s="61">
        <f t="shared" si="1"/>
        <v>0.3333333333</v>
      </c>
      <c r="L6975" s="62">
        <f t="shared" si="2"/>
        <v>2.666666667</v>
      </c>
    </row>
    <row r="6976">
      <c r="A6976" s="58">
        <v>45597.0</v>
      </c>
      <c r="B6976" s="24" t="s">
        <v>6789</v>
      </c>
      <c r="C6976" s="24" t="s">
        <v>6904</v>
      </c>
      <c r="D6976" s="59">
        <v>3.0</v>
      </c>
      <c r="E6976" s="59">
        <v>3.0</v>
      </c>
      <c r="F6976" s="59">
        <v>0.0</v>
      </c>
      <c r="G6976" s="60">
        <v>1.5</v>
      </c>
      <c r="H6976" s="60">
        <v>0.333333333333333</v>
      </c>
      <c r="I6976" s="60">
        <v>206.615462</v>
      </c>
      <c r="J6976" s="59">
        <v>6.0</v>
      </c>
      <c r="K6976" s="61">
        <f t="shared" si="1"/>
        <v>0</v>
      </c>
      <c r="L6976" s="62">
        <f t="shared" si="2"/>
        <v>2</v>
      </c>
    </row>
    <row r="6977">
      <c r="A6977" s="58">
        <v>45597.0</v>
      </c>
      <c r="B6977" s="24" t="s">
        <v>6942</v>
      </c>
      <c r="C6977" s="24" t="s">
        <v>7231</v>
      </c>
      <c r="D6977" s="59">
        <v>3.0</v>
      </c>
      <c r="E6977" s="59">
        <v>3.0</v>
      </c>
      <c r="F6977" s="59">
        <v>3.0</v>
      </c>
      <c r="G6977" s="60">
        <v>1.0</v>
      </c>
      <c r="H6977" s="60">
        <v>1.0</v>
      </c>
      <c r="I6977" s="60">
        <v>0.0</v>
      </c>
      <c r="J6977" s="59">
        <v>3.0</v>
      </c>
      <c r="K6977" s="61">
        <f t="shared" si="1"/>
        <v>1</v>
      </c>
      <c r="L6977" s="62">
        <f t="shared" si="2"/>
        <v>1</v>
      </c>
    </row>
    <row r="6978">
      <c r="A6978" s="58">
        <v>45597.0</v>
      </c>
      <c r="B6978" s="24" t="s">
        <v>6791</v>
      </c>
      <c r="C6978" s="24" t="s">
        <v>7232</v>
      </c>
      <c r="D6978" s="59">
        <v>3.0</v>
      </c>
      <c r="E6978" s="59">
        <v>3.0</v>
      </c>
      <c r="F6978" s="59">
        <v>3.0</v>
      </c>
      <c r="G6978" s="60">
        <v>1.0</v>
      </c>
      <c r="H6978" s="60">
        <v>0.666666666666666</v>
      </c>
      <c r="I6978" s="60">
        <v>30.8417666666666</v>
      </c>
      <c r="J6978" s="59">
        <v>5.0</v>
      </c>
      <c r="K6978" s="61">
        <f t="shared" si="1"/>
        <v>1</v>
      </c>
      <c r="L6978" s="62">
        <f t="shared" si="2"/>
        <v>1.666666667</v>
      </c>
    </row>
    <row r="6979">
      <c r="A6979" s="58">
        <v>45597.0</v>
      </c>
      <c r="B6979" s="24" t="s">
        <v>6790</v>
      </c>
      <c r="C6979" s="24" t="s">
        <v>6907</v>
      </c>
      <c r="D6979" s="59">
        <v>3.0</v>
      </c>
      <c r="E6979" s="59">
        <v>4.0</v>
      </c>
      <c r="F6979" s="59">
        <v>2.0</v>
      </c>
      <c r="G6979" s="60">
        <v>1.33333333333333</v>
      </c>
      <c r="H6979" s="60">
        <v>0.75</v>
      </c>
      <c r="I6979" s="60">
        <v>24.80463925</v>
      </c>
      <c r="J6979" s="59">
        <v>4.0</v>
      </c>
      <c r="K6979" s="61">
        <f t="shared" si="1"/>
        <v>0.5</v>
      </c>
      <c r="L6979" s="62">
        <f t="shared" si="2"/>
        <v>1</v>
      </c>
    </row>
    <row r="6980">
      <c r="A6980" s="58">
        <v>45597.0</v>
      </c>
      <c r="B6980" s="24" t="s">
        <v>6789</v>
      </c>
      <c r="C6980" s="24" t="s">
        <v>7087</v>
      </c>
      <c r="D6980" s="59">
        <v>3.0</v>
      </c>
      <c r="E6980" s="59">
        <v>5.0</v>
      </c>
      <c r="F6980" s="59">
        <v>3.0</v>
      </c>
      <c r="G6980" s="60">
        <v>1.66666666666666</v>
      </c>
      <c r="H6980" s="60">
        <v>0.4</v>
      </c>
      <c r="I6980" s="60">
        <v>250.871593</v>
      </c>
      <c r="J6980" s="59">
        <v>5.0</v>
      </c>
      <c r="K6980" s="61">
        <f t="shared" si="1"/>
        <v>0.6</v>
      </c>
      <c r="L6980" s="62">
        <f t="shared" si="2"/>
        <v>1</v>
      </c>
    </row>
    <row r="6981">
      <c r="A6981" s="58">
        <v>45597.0</v>
      </c>
      <c r="B6981" s="24" t="s">
        <v>6787</v>
      </c>
      <c r="C6981" s="24" t="s">
        <v>7035</v>
      </c>
      <c r="D6981" s="59">
        <v>3.0</v>
      </c>
      <c r="E6981" s="59">
        <v>3.0</v>
      </c>
      <c r="F6981" s="59">
        <v>3.0</v>
      </c>
      <c r="G6981" s="60">
        <v>1.0</v>
      </c>
      <c r="H6981" s="60">
        <v>1.0</v>
      </c>
      <c r="I6981" s="60">
        <v>0.0</v>
      </c>
      <c r="J6981" s="59">
        <v>3.0</v>
      </c>
      <c r="K6981" s="61">
        <f t="shared" si="1"/>
        <v>1</v>
      </c>
      <c r="L6981" s="62">
        <f t="shared" si="2"/>
        <v>1</v>
      </c>
    </row>
    <row r="6982">
      <c r="A6982" s="58">
        <v>45597.0</v>
      </c>
      <c r="B6982" s="24" t="s">
        <v>155</v>
      </c>
      <c r="C6982" s="24" t="s">
        <v>7026</v>
      </c>
      <c r="D6982" s="59">
        <v>3.0</v>
      </c>
      <c r="E6982" s="59">
        <v>9.0</v>
      </c>
      <c r="F6982" s="59">
        <v>1.0</v>
      </c>
      <c r="G6982" s="60">
        <v>3.0</v>
      </c>
      <c r="H6982" s="60">
        <v>0.222222222222222</v>
      </c>
      <c r="I6982" s="60">
        <v>187.541402111111</v>
      </c>
      <c r="J6982" s="59">
        <v>22.0</v>
      </c>
      <c r="K6982" s="61">
        <f t="shared" si="1"/>
        <v>0.1111111111</v>
      </c>
      <c r="L6982" s="62">
        <f t="shared" si="2"/>
        <v>2.444444444</v>
      </c>
    </row>
    <row r="6983">
      <c r="A6983" s="58">
        <v>45597.0</v>
      </c>
      <c r="B6983" s="24" t="s">
        <v>6787</v>
      </c>
      <c r="C6983" s="24" t="s">
        <v>7088</v>
      </c>
      <c r="D6983" s="59">
        <v>3.0</v>
      </c>
      <c r="E6983" s="59">
        <v>3.0</v>
      </c>
      <c r="F6983" s="59">
        <v>3.0</v>
      </c>
      <c r="G6983" s="60">
        <v>1.0</v>
      </c>
      <c r="H6983" s="60">
        <v>1.0</v>
      </c>
      <c r="I6983" s="60">
        <v>0.0</v>
      </c>
      <c r="J6983" s="59">
        <v>3.0</v>
      </c>
      <c r="K6983" s="61">
        <f t="shared" si="1"/>
        <v>1</v>
      </c>
      <c r="L6983" s="62">
        <f t="shared" si="2"/>
        <v>1</v>
      </c>
    </row>
    <row r="6984">
      <c r="A6984" s="58">
        <v>45597.0</v>
      </c>
      <c r="B6984" s="24" t="s">
        <v>6789</v>
      </c>
      <c r="C6984" s="24" t="s">
        <v>7189</v>
      </c>
      <c r="D6984" s="59">
        <v>3.0</v>
      </c>
      <c r="E6984" s="59">
        <v>5.0</v>
      </c>
      <c r="F6984" s="59">
        <v>0.0</v>
      </c>
      <c r="G6984" s="60">
        <v>1.66666666666666</v>
      </c>
      <c r="H6984" s="60">
        <v>0.4</v>
      </c>
      <c r="I6984" s="60">
        <v>40.6237056</v>
      </c>
      <c r="J6984" s="59">
        <v>11.0</v>
      </c>
      <c r="K6984" s="61">
        <f t="shared" si="1"/>
        <v>0</v>
      </c>
      <c r="L6984" s="62">
        <f t="shared" si="2"/>
        <v>2.2</v>
      </c>
    </row>
    <row r="6985">
      <c r="A6985" s="58">
        <v>45597.0</v>
      </c>
      <c r="B6985" s="24" t="s">
        <v>6787</v>
      </c>
      <c r="C6985" s="24" t="s">
        <v>7089</v>
      </c>
      <c r="D6985" s="59">
        <v>3.0</v>
      </c>
      <c r="E6985" s="59">
        <v>3.0</v>
      </c>
      <c r="F6985" s="59">
        <v>0.0</v>
      </c>
      <c r="G6985" s="60">
        <v>1.5</v>
      </c>
      <c r="H6985" s="60">
        <v>0.666666666666666</v>
      </c>
      <c r="I6985" s="60">
        <v>20.06187</v>
      </c>
      <c r="J6985" s="59">
        <v>5.0</v>
      </c>
      <c r="K6985" s="61">
        <f t="shared" si="1"/>
        <v>0</v>
      </c>
      <c r="L6985" s="62">
        <f t="shared" si="2"/>
        <v>1.666666667</v>
      </c>
    </row>
    <row r="6986">
      <c r="A6986" s="58">
        <v>45597.0</v>
      </c>
      <c r="B6986" s="24" t="s">
        <v>6789</v>
      </c>
      <c r="C6986" s="24" t="s">
        <v>7089</v>
      </c>
      <c r="D6986" s="59">
        <v>3.0</v>
      </c>
      <c r="E6986" s="59">
        <v>6.0</v>
      </c>
      <c r="F6986" s="59">
        <v>0.0</v>
      </c>
      <c r="G6986" s="60">
        <v>2.0</v>
      </c>
      <c r="H6986" s="60">
        <v>0.666666666666666</v>
      </c>
      <c r="I6986" s="60">
        <v>185.396378333333</v>
      </c>
      <c r="J6986" s="59">
        <v>9.0</v>
      </c>
      <c r="K6986" s="61">
        <f t="shared" si="1"/>
        <v>0</v>
      </c>
      <c r="L6986" s="62">
        <f t="shared" si="2"/>
        <v>1.5</v>
      </c>
    </row>
    <row r="6987">
      <c r="A6987" s="58">
        <v>45597.0</v>
      </c>
      <c r="B6987" s="24" t="s">
        <v>6794</v>
      </c>
      <c r="C6987" s="24" t="s">
        <v>7089</v>
      </c>
      <c r="D6987" s="59">
        <v>3.0</v>
      </c>
      <c r="E6987" s="59">
        <v>3.0</v>
      </c>
      <c r="F6987" s="59">
        <v>2.0</v>
      </c>
      <c r="G6987" s="60">
        <v>1.5</v>
      </c>
      <c r="H6987" s="60">
        <v>1.0</v>
      </c>
      <c r="I6987" s="60">
        <v>0.425570333333333</v>
      </c>
      <c r="J6987" s="59">
        <v>3.0</v>
      </c>
      <c r="K6987" s="61">
        <f t="shared" si="1"/>
        <v>0.6666666667</v>
      </c>
      <c r="L6987" s="62">
        <f t="shared" si="2"/>
        <v>1</v>
      </c>
    </row>
    <row r="6988">
      <c r="A6988" s="58">
        <v>45597.0</v>
      </c>
      <c r="B6988" s="24" t="s">
        <v>6787</v>
      </c>
      <c r="C6988" s="24" t="s">
        <v>7090</v>
      </c>
      <c r="D6988" s="59">
        <v>3.0</v>
      </c>
      <c r="E6988" s="59">
        <v>3.0</v>
      </c>
      <c r="F6988" s="59">
        <v>3.0</v>
      </c>
      <c r="G6988" s="60">
        <v>1.0</v>
      </c>
      <c r="H6988" s="60">
        <v>1.0</v>
      </c>
      <c r="I6988" s="60">
        <v>0.0</v>
      </c>
      <c r="J6988" s="59">
        <v>3.0</v>
      </c>
      <c r="K6988" s="61">
        <f t="shared" si="1"/>
        <v>1</v>
      </c>
      <c r="L6988" s="62">
        <f t="shared" si="2"/>
        <v>1</v>
      </c>
    </row>
    <row r="6989">
      <c r="A6989" s="58">
        <v>45597.0</v>
      </c>
      <c r="B6989" s="24" t="s">
        <v>6789</v>
      </c>
      <c r="C6989" s="24" t="s">
        <v>7090</v>
      </c>
      <c r="D6989" s="59">
        <v>3.0</v>
      </c>
      <c r="E6989" s="59">
        <v>3.0</v>
      </c>
      <c r="F6989" s="59">
        <v>3.0</v>
      </c>
      <c r="G6989" s="60">
        <v>1.0</v>
      </c>
      <c r="H6989" s="60">
        <v>0.0</v>
      </c>
      <c r="I6989" s="60">
        <v>1091.886688</v>
      </c>
      <c r="J6989" s="59">
        <v>3.0</v>
      </c>
      <c r="K6989" s="61">
        <f t="shared" si="1"/>
        <v>1</v>
      </c>
      <c r="L6989" s="62">
        <f t="shared" si="2"/>
        <v>1</v>
      </c>
    </row>
    <row r="6990">
      <c r="A6990" s="58">
        <v>45597.0</v>
      </c>
      <c r="B6990" s="24" t="s">
        <v>6787</v>
      </c>
      <c r="C6990" s="24" t="s">
        <v>7190</v>
      </c>
      <c r="D6990" s="59">
        <v>3.0</v>
      </c>
      <c r="E6990" s="59">
        <v>3.0</v>
      </c>
      <c r="F6990" s="59">
        <v>3.0</v>
      </c>
      <c r="G6990" s="60">
        <v>1.0</v>
      </c>
      <c r="H6990" s="60">
        <v>1.0</v>
      </c>
      <c r="I6990" s="60">
        <v>0.0</v>
      </c>
      <c r="J6990" s="59">
        <v>3.0</v>
      </c>
      <c r="K6990" s="61">
        <f t="shared" si="1"/>
        <v>1</v>
      </c>
      <c r="L6990" s="62">
        <f t="shared" si="2"/>
        <v>1</v>
      </c>
    </row>
    <row r="6991">
      <c r="A6991" s="58">
        <v>45597.0</v>
      </c>
      <c r="B6991" s="24" t="s">
        <v>6787</v>
      </c>
      <c r="C6991" s="24" t="s">
        <v>7022</v>
      </c>
      <c r="D6991" s="59">
        <v>3.0</v>
      </c>
      <c r="E6991" s="59">
        <v>3.0</v>
      </c>
      <c r="F6991" s="59">
        <v>2.0</v>
      </c>
      <c r="G6991" s="60">
        <v>1.0</v>
      </c>
      <c r="H6991" s="60">
        <v>0.666666666666666</v>
      </c>
      <c r="I6991" s="60">
        <v>26.2336739999999</v>
      </c>
      <c r="J6991" s="59">
        <v>8.0</v>
      </c>
      <c r="K6991" s="61">
        <f t="shared" si="1"/>
        <v>0.6666666667</v>
      </c>
      <c r="L6991" s="62">
        <f t="shared" si="2"/>
        <v>2.666666667</v>
      </c>
    </row>
    <row r="6992">
      <c r="A6992" s="58">
        <v>45597.0</v>
      </c>
      <c r="B6992" s="24" t="s">
        <v>6787</v>
      </c>
      <c r="C6992" s="24" t="s">
        <v>7101</v>
      </c>
      <c r="D6992" s="59">
        <v>3.0</v>
      </c>
      <c r="E6992" s="59">
        <v>3.0</v>
      </c>
      <c r="F6992" s="59">
        <v>3.0</v>
      </c>
      <c r="G6992" s="60">
        <v>1.0</v>
      </c>
      <c r="H6992" s="60">
        <v>1.0</v>
      </c>
      <c r="I6992" s="60">
        <v>0.0</v>
      </c>
      <c r="J6992" s="59">
        <v>3.0</v>
      </c>
      <c r="K6992" s="61">
        <f t="shared" si="1"/>
        <v>1</v>
      </c>
      <c r="L6992" s="62">
        <f t="shared" si="2"/>
        <v>1</v>
      </c>
    </row>
    <row r="6993">
      <c r="A6993" s="58">
        <v>45597.0</v>
      </c>
      <c r="B6993" s="24" t="s">
        <v>6787</v>
      </c>
      <c r="C6993" s="24" t="s">
        <v>7044</v>
      </c>
      <c r="D6993" s="59">
        <v>3.0</v>
      </c>
      <c r="E6993" s="59">
        <v>3.0</v>
      </c>
      <c r="F6993" s="59">
        <v>3.0</v>
      </c>
      <c r="G6993" s="60">
        <v>1.0</v>
      </c>
      <c r="H6993" s="60">
        <v>1.0</v>
      </c>
      <c r="I6993" s="60">
        <v>0.0</v>
      </c>
      <c r="J6993" s="59">
        <v>3.0</v>
      </c>
      <c r="K6993" s="61">
        <f t="shared" si="1"/>
        <v>1</v>
      </c>
      <c r="L6993" s="62">
        <f t="shared" si="2"/>
        <v>1</v>
      </c>
    </row>
    <row r="6994">
      <c r="A6994" s="58">
        <v>45597.0</v>
      </c>
      <c r="B6994" s="24" t="s">
        <v>155</v>
      </c>
      <c r="C6994" s="24" t="s">
        <v>7313</v>
      </c>
      <c r="D6994" s="59">
        <v>3.0</v>
      </c>
      <c r="E6994" s="59">
        <v>3.0</v>
      </c>
      <c r="F6994" s="59">
        <v>1.0</v>
      </c>
      <c r="G6994" s="60">
        <v>1.0</v>
      </c>
      <c r="H6994" s="60">
        <v>0.0</v>
      </c>
      <c r="I6994" s="60">
        <v>652.659045</v>
      </c>
      <c r="J6994" s="59">
        <v>18.0</v>
      </c>
      <c r="K6994" s="61">
        <f t="shared" si="1"/>
        <v>0.3333333333</v>
      </c>
      <c r="L6994" s="62">
        <f t="shared" si="2"/>
        <v>6</v>
      </c>
    </row>
    <row r="6995">
      <c r="A6995" s="58">
        <v>45597.0</v>
      </c>
      <c r="B6995" s="24" t="s">
        <v>6787</v>
      </c>
      <c r="C6995" s="24" t="s">
        <v>6910</v>
      </c>
      <c r="D6995" s="59">
        <v>3.0</v>
      </c>
      <c r="E6995" s="59">
        <v>3.0</v>
      </c>
      <c r="F6995" s="59">
        <v>2.0</v>
      </c>
      <c r="G6995" s="60">
        <v>1.0</v>
      </c>
      <c r="H6995" s="60">
        <v>0.666666666666666</v>
      </c>
      <c r="I6995" s="60">
        <v>31.4429683333333</v>
      </c>
      <c r="J6995" s="59">
        <v>8.0</v>
      </c>
      <c r="K6995" s="61">
        <f t="shared" si="1"/>
        <v>0.6666666667</v>
      </c>
      <c r="L6995" s="62">
        <f t="shared" si="2"/>
        <v>2.666666667</v>
      </c>
    </row>
    <row r="6996">
      <c r="A6996" s="58">
        <v>45597.0</v>
      </c>
      <c r="B6996" s="24" t="s">
        <v>6787</v>
      </c>
      <c r="C6996" s="24" t="s">
        <v>7023</v>
      </c>
      <c r="D6996" s="59">
        <v>3.0</v>
      </c>
      <c r="E6996" s="59">
        <v>3.0</v>
      </c>
      <c r="F6996" s="59">
        <v>3.0</v>
      </c>
      <c r="G6996" s="60">
        <v>1.0</v>
      </c>
      <c r="H6996" s="60">
        <v>1.0</v>
      </c>
      <c r="I6996" s="60">
        <v>0.0</v>
      </c>
      <c r="J6996" s="59">
        <v>3.0</v>
      </c>
      <c r="K6996" s="61">
        <f t="shared" si="1"/>
        <v>1</v>
      </c>
      <c r="L6996" s="62">
        <f t="shared" si="2"/>
        <v>1</v>
      </c>
    </row>
    <row r="6997">
      <c r="A6997" s="58">
        <v>45597.0</v>
      </c>
      <c r="B6997" s="24" t="s">
        <v>6789</v>
      </c>
      <c r="C6997" s="24" t="s">
        <v>7023</v>
      </c>
      <c r="D6997" s="59">
        <v>3.0</v>
      </c>
      <c r="E6997" s="59">
        <v>3.0</v>
      </c>
      <c r="F6997" s="59">
        <v>1.0</v>
      </c>
      <c r="G6997" s="60">
        <v>1.5</v>
      </c>
      <c r="H6997" s="60">
        <v>0.333333333333333</v>
      </c>
      <c r="I6997" s="60">
        <v>73.8750606666666</v>
      </c>
      <c r="J6997" s="59">
        <v>10.0</v>
      </c>
      <c r="K6997" s="61">
        <f t="shared" si="1"/>
        <v>0.3333333333</v>
      </c>
      <c r="L6997" s="62">
        <f t="shared" si="2"/>
        <v>3.333333333</v>
      </c>
    </row>
    <row r="6998">
      <c r="A6998" s="58">
        <v>45597.0</v>
      </c>
      <c r="B6998" s="24" t="s">
        <v>6787</v>
      </c>
      <c r="C6998" s="24" t="s">
        <v>7180</v>
      </c>
      <c r="D6998" s="59">
        <v>3.0</v>
      </c>
      <c r="E6998" s="59">
        <v>3.0</v>
      </c>
      <c r="F6998" s="59">
        <v>2.0</v>
      </c>
      <c r="G6998" s="60">
        <v>1.0</v>
      </c>
      <c r="H6998" s="60">
        <v>0.333333333333333</v>
      </c>
      <c r="I6998" s="60">
        <v>779.427846333333</v>
      </c>
      <c r="J6998" s="59">
        <v>17.0</v>
      </c>
      <c r="K6998" s="61">
        <f t="shared" si="1"/>
        <v>0.6666666667</v>
      </c>
      <c r="L6998" s="62">
        <f t="shared" si="2"/>
        <v>5.666666667</v>
      </c>
    </row>
    <row r="6999">
      <c r="A6999" s="58">
        <v>45597.0</v>
      </c>
      <c r="B6999" s="24" t="s">
        <v>6787</v>
      </c>
      <c r="C6999" s="24" t="s">
        <v>6921</v>
      </c>
      <c r="D6999" s="59">
        <v>3.0</v>
      </c>
      <c r="E6999" s="59">
        <v>3.0</v>
      </c>
      <c r="F6999" s="59">
        <v>3.0</v>
      </c>
      <c r="G6999" s="60">
        <v>1.0</v>
      </c>
      <c r="H6999" s="60">
        <v>0.666666666666666</v>
      </c>
      <c r="I6999" s="60">
        <v>764.936928333333</v>
      </c>
      <c r="J6999" s="59">
        <v>15.0</v>
      </c>
      <c r="K6999" s="61">
        <f t="shared" si="1"/>
        <v>1</v>
      </c>
      <c r="L6999" s="62">
        <f t="shared" si="2"/>
        <v>5</v>
      </c>
    </row>
    <row r="7000">
      <c r="A7000" s="58">
        <v>45597.0</v>
      </c>
      <c r="B7000" s="24" t="s">
        <v>6789</v>
      </c>
      <c r="C7000" s="24" t="s">
        <v>6921</v>
      </c>
      <c r="D7000" s="59">
        <v>3.0</v>
      </c>
      <c r="E7000" s="59">
        <v>3.0</v>
      </c>
      <c r="F7000" s="59">
        <v>0.0</v>
      </c>
      <c r="G7000" s="60">
        <v>1.0</v>
      </c>
      <c r="H7000" s="60">
        <v>0.666666666666666</v>
      </c>
      <c r="I7000" s="60">
        <v>45.9246676666666</v>
      </c>
      <c r="J7000" s="59">
        <v>3.0</v>
      </c>
      <c r="K7000" s="61">
        <f t="shared" si="1"/>
        <v>0</v>
      </c>
      <c r="L7000" s="62">
        <f t="shared" si="2"/>
        <v>1</v>
      </c>
    </row>
    <row r="7001">
      <c r="A7001" s="58">
        <v>45597.0</v>
      </c>
      <c r="B7001" s="24" t="s">
        <v>6787</v>
      </c>
      <c r="C7001" s="24" t="s">
        <v>7047</v>
      </c>
      <c r="D7001" s="59">
        <v>3.0</v>
      </c>
      <c r="E7001" s="59">
        <v>3.0</v>
      </c>
      <c r="F7001" s="59">
        <v>3.0</v>
      </c>
      <c r="G7001" s="60">
        <v>1.0</v>
      </c>
      <c r="H7001" s="60">
        <v>1.0</v>
      </c>
      <c r="I7001" s="60">
        <v>0.0</v>
      </c>
      <c r="J7001" s="59">
        <v>3.0</v>
      </c>
      <c r="K7001" s="61">
        <f t="shared" si="1"/>
        <v>1</v>
      </c>
      <c r="L7001" s="62">
        <f t="shared" si="2"/>
        <v>1</v>
      </c>
    </row>
    <row r="7002">
      <c r="A7002" s="58">
        <v>45597.0</v>
      </c>
      <c r="B7002" s="24" t="s">
        <v>6787</v>
      </c>
      <c r="C7002" s="24" t="s">
        <v>6810</v>
      </c>
      <c r="D7002" s="59">
        <v>3.0</v>
      </c>
      <c r="E7002" s="59">
        <v>3.0</v>
      </c>
      <c r="F7002" s="59">
        <v>3.0</v>
      </c>
      <c r="G7002" s="60">
        <v>1.0</v>
      </c>
      <c r="H7002" s="60">
        <v>1.0</v>
      </c>
      <c r="I7002" s="60">
        <v>0.0</v>
      </c>
      <c r="J7002" s="59">
        <v>3.0</v>
      </c>
      <c r="K7002" s="61">
        <f t="shared" si="1"/>
        <v>1</v>
      </c>
      <c r="L7002" s="62">
        <f t="shared" si="2"/>
        <v>1</v>
      </c>
    </row>
    <row r="7003">
      <c r="A7003" s="58">
        <v>45597.0</v>
      </c>
      <c r="B7003" s="24" t="s">
        <v>6787</v>
      </c>
      <c r="C7003" s="24" t="s">
        <v>6931</v>
      </c>
      <c r="D7003" s="59">
        <v>3.0</v>
      </c>
      <c r="E7003" s="59">
        <v>3.0</v>
      </c>
      <c r="F7003" s="59">
        <v>3.0</v>
      </c>
      <c r="G7003" s="60">
        <v>1.0</v>
      </c>
      <c r="H7003" s="60">
        <v>1.0</v>
      </c>
      <c r="I7003" s="60">
        <v>0.0</v>
      </c>
      <c r="J7003" s="59">
        <v>3.0</v>
      </c>
      <c r="K7003" s="61">
        <f t="shared" si="1"/>
        <v>1</v>
      </c>
      <c r="L7003" s="62">
        <f t="shared" si="2"/>
        <v>1</v>
      </c>
    </row>
    <row r="7004">
      <c r="A7004" s="58">
        <v>45597.0</v>
      </c>
      <c r="B7004" s="24" t="s">
        <v>6789</v>
      </c>
      <c r="C7004" s="24" t="s">
        <v>6854</v>
      </c>
      <c r="D7004" s="59">
        <v>3.0</v>
      </c>
      <c r="E7004" s="59">
        <v>3.0</v>
      </c>
      <c r="F7004" s="59">
        <v>2.0</v>
      </c>
      <c r="G7004" s="60">
        <v>1.0</v>
      </c>
      <c r="H7004" s="60">
        <v>0.333333333333333</v>
      </c>
      <c r="I7004" s="60">
        <v>44.83059</v>
      </c>
      <c r="J7004" s="59">
        <v>6.0</v>
      </c>
      <c r="K7004" s="61">
        <f t="shared" si="1"/>
        <v>0.6666666667</v>
      </c>
      <c r="L7004" s="62">
        <f t="shared" si="2"/>
        <v>2</v>
      </c>
    </row>
    <row r="7005">
      <c r="A7005" s="58">
        <v>45597.0</v>
      </c>
      <c r="B7005" s="24" t="s">
        <v>155</v>
      </c>
      <c r="C7005" s="24" t="s">
        <v>6817</v>
      </c>
      <c r="D7005" s="59">
        <v>2.0</v>
      </c>
      <c r="E7005" s="59">
        <v>3.0</v>
      </c>
      <c r="F7005" s="59">
        <v>0.0</v>
      </c>
      <c r="G7005" s="60">
        <v>1.5</v>
      </c>
      <c r="H7005" s="60">
        <v>0.333333333333333</v>
      </c>
      <c r="I7005" s="60">
        <v>208.736991</v>
      </c>
      <c r="J7005" s="59">
        <v>14.0</v>
      </c>
      <c r="K7005" s="61">
        <f t="shared" si="1"/>
        <v>0</v>
      </c>
      <c r="L7005" s="62">
        <f t="shared" si="2"/>
        <v>4.666666667</v>
      </c>
    </row>
    <row r="7006">
      <c r="A7006" s="58">
        <v>45597.0</v>
      </c>
      <c r="B7006" s="24" t="s">
        <v>6789</v>
      </c>
      <c r="C7006" s="24" t="s">
        <v>6953</v>
      </c>
      <c r="D7006" s="59">
        <v>2.0</v>
      </c>
      <c r="E7006" s="59">
        <v>2.0</v>
      </c>
      <c r="F7006" s="59">
        <v>2.0</v>
      </c>
      <c r="G7006" s="60">
        <v>1.0</v>
      </c>
      <c r="H7006" s="60">
        <v>1.0</v>
      </c>
      <c r="I7006" s="60">
        <v>0.0</v>
      </c>
      <c r="J7006" s="59">
        <v>2.0</v>
      </c>
      <c r="K7006" s="61">
        <f t="shared" si="1"/>
        <v>1</v>
      </c>
      <c r="L7006" s="62">
        <f t="shared" si="2"/>
        <v>1</v>
      </c>
    </row>
    <row r="7007">
      <c r="A7007" s="58">
        <v>45597.0</v>
      </c>
      <c r="B7007" s="24" t="s">
        <v>6789</v>
      </c>
      <c r="C7007" s="24" t="s">
        <v>6983</v>
      </c>
      <c r="D7007" s="59">
        <v>2.0</v>
      </c>
      <c r="E7007" s="59">
        <v>4.0</v>
      </c>
      <c r="F7007" s="59">
        <v>0.0</v>
      </c>
      <c r="G7007" s="60">
        <v>2.0</v>
      </c>
      <c r="H7007" s="60">
        <v>0.25</v>
      </c>
      <c r="I7007" s="60">
        <v>531.4217445</v>
      </c>
      <c r="J7007" s="59">
        <v>14.0</v>
      </c>
      <c r="K7007" s="61">
        <f t="shared" si="1"/>
        <v>0</v>
      </c>
      <c r="L7007" s="62">
        <f t="shared" si="2"/>
        <v>3.5</v>
      </c>
    </row>
    <row r="7008">
      <c r="A7008" s="58">
        <v>45597.0</v>
      </c>
      <c r="B7008" s="24" t="s">
        <v>155</v>
      </c>
      <c r="C7008" s="24" t="s">
        <v>6983</v>
      </c>
      <c r="D7008" s="59">
        <v>2.0</v>
      </c>
      <c r="E7008" s="59">
        <v>2.0</v>
      </c>
      <c r="F7008" s="59">
        <v>0.0</v>
      </c>
      <c r="G7008" s="60">
        <v>1.0</v>
      </c>
      <c r="H7008" s="60">
        <v>0.0</v>
      </c>
      <c r="I7008" s="60">
        <v>321.199797</v>
      </c>
      <c r="J7008" s="59">
        <v>7.0</v>
      </c>
      <c r="K7008" s="61">
        <f t="shared" si="1"/>
        <v>0</v>
      </c>
      <c r="L7008" s="62">
        <f t="shared" si="2"/>
        <v>3.5</v>
      </c>
    </row>
    <row r="7009">
      <c r="A7009" s="58">
        <v>45597.0</v>
      </c>
      <c r="B7009" s="24" t="s">
        <v>6789</v>
      </c>
      <c r="C7009" s="24" t="s">
        <v>7058</v>
      </c>
      <c r="D7009" s="59">
        <v>2.0</v>
      </c>
      <c r="E7009" s="59">
        <v>2.0</v>
      </c>
      <c r="F7009" s="59">
        <v>1.0</v>
      </c>
      <c r="G7009" s="60">
        <v>1.0</v>
      </c>
      <c r="H7009" s="60">
        <v>0.0</v>
      </c>
      <c r="I7009" s="60">
        <v>526.862929</v>
      </c>
      <c r="J7009" s="59">
        <v>4.0</v>
      </c>
      <c r="K7009" s="61">
        <f t="shared" si="1"/>
        <v>0.5</v>
      </c>
      <c r="L7009" s="62">
        <f t="shared" si="2"/>
        <v>2</v>
      </c>
    </row>
    <row r="7010">
      <c r="A7010" s="58">
        <v>45597.0</v>
      </c>
      <c r="B7010" s="24" t="s">
        <v>6789</v>
      </c>
      <c r="C7010" s="24" t="s">
        <v>6985</v>
      </c>
      <c r="D7010" s="59">
        <v>2.0</v>
      </c>
      <c r="E7010" s="59">
        <v>4.0</v>
      </c>
      <c r="F7010" s="59">
        <v>2.0</v>
      </c>
      <c r="G7010" s="60">
        <v>2.0</v>
      </c>
      <c r="H7010" s="60">
        <v>0.25</v>
      </c>
      <c r="I7010" s="60">
        <v>15.59532625</v>
      </c>
      <c r="J7010" s="59">
        <v>4.0</v>
      </c>
      <c r="K7010" s="61">
        <f t="shared" si="1"/>
        <v>0.5</v>
      </c>
      <c r="L7010" s="62">
        <f t="shared" si="2"/>
        <v>1</v>
      </c>
    </row>
    <row r="7011">
      <c r="A7011" s="58">
        <v>45597.0</v>
      </c>
      <c r="B7011" s="24" t="s">
        <v>6789</v>
      </c>
      <c r="C7011" s="24" t="s">
        <v>6986</v>
      </c>
      <c r="D7011" s="59">
        <v>2.0</v>
      </c>
      <c r="E7011" s="59">
        <v>3.0</v>
      </c>
      <c r="F7011" s="59">
        <v>2.0</v>
      </c>
      <c r="G7011" s="60">
        <v>1.5</v>
      </c>
      <c r="H7011" s="60">
        <v>0.666666666666666</v>
      </c>
      <c r="I7011" s="60">
        <v>5.76400166666666</v>
      </c>
      <c r="J7011" s="59">
        <v>3.0</v>
      </c>
      <c r="K7011" s="61">
        <f t="shared" si="1"/>
        <v>0.6666666667</v>
      </c>
      <c r="L7011" s="62">
        <f t="shared" si="2"/>
        <v>1</v>
      </c>
    </row>
    <row r="7012">
      <c r="A7012" s="58">
        <v>45597.0</v>
      </c>
      <c r="B7012" s="24" t="s">
        <v>6787</v>
      </c>
      <c r="C7012" s="24" t="s">
        <v>6867</v>
      </c>
      <c r="D7012" s="59">
        <v>2.0</v>
      </c>
      <c r="E7012" s="59">
        <v>2.0</v>
      </c>
      <c r="F7012" s="59">
        <v>2.0</v>
      </c>
      <c r="G7012" s="60">
        <v>1.0</v>
      </c>
      <c r="H7012" s="60">
        <v>0.5</v>
      </c>
      <c r="I7012" s="60">
        <v>45.149835</v>
      </c>
      <c r="J7012" s="59">
        <v>4.0</v>
      </c>
      <c r="K7012" s="61">
        <f t="shared" si="1"/>
        <v>1</v>
      </c>
      <c r="L7012" s="62">
        <f t="shared" si="2"/>
        <v>2</v>
      </c>
    </row>
    <row r="7013">
      <c r="A7013" s="58">
        <v>45597.0</v>
      </c>
      <c r="B7013" s="24" t="s">
        <v>6789</v>
      </c>
      <c r="C7013" s="24" t="s">
        <v>7064</v>
      </c>
      <c r="D7013" s="59">
        <v>2.0</v>
      </c>
      <c r="E7013" s="59">
        <v>2.0</v>
      </c>
      <c r="F7013" s="59">
        <v>2.0</v>
      </c>
      <c r="G7013" s="60">
        <v>1.0</v>
      </c>
      <c r="H7013" s="60">
        <v>1.0</v>
      </c>
      <c r="I7013" s="60">
        <v>0.0</v>
      </c>
      <c r="J7013" s="59">
        <v>2.0</v>
      </c>
      <c r="K7013" s="61">
        <f t="shared" si="1"/>
        <v>1</v>
      </c>
      <c r="L7013" s="62">
        <f t="shared" si="2"/>
        <v>1</v>
      </c>
    </row>
    <row r="7014">
      <c r="A7014" s="58">
        <v>45597.0</v>
      </c>
      <c r="B7014" s="24" t="s">
        <v>6789</v>
      </c>
      <c r="C7014" s="24" t="s">
        <v>6989</v>
      </c>
      <c r="D7014" s="59">
        <v>2.0</v>
      </c>
      <c r="E7014" s="59">
        <v>2.0</v>
      </c>
      <c r="F7014" s="59">
        <v>2.0</v>
      </c>
      <c r="G7014" s="60">
        <v>1.0</v>
      </c>
      <c r="H7014" s="60">
        <v>0.5</v>
      </c>
      <c r="I7014" s="60">
        <v>230.256604</v>
      </c>
      <c r="J7014" s="59">
        <v>4.0</v>
      </c>
      <c r="K7014" s="61">
        <f t="shared" si="1"/>
        <v>1</v>
      </c>
      <c r="L7014" s="62">
        <f t="shared" si="2"/>
        <v>2</v>
      </c>
    </row>
    <row r="7015">
      <c r="A7015" s="58">
        <v>45597.0</v>
      </c>
      <c r="B7015" s="24" t="s">
        <v>6789</v>
      </c>
      <c r="C7015" s="24" t="s">
        <v>6990</v>
      </c>
      <c r="D7015" s="59">
        <v>2.0</v>
      </c>
      <c r="E7015" s="59">
        <v>2.0</v>
      </c>
      <c r="F7015" s="59">
        <v>2.0</v>
      </c>
      <c r="G7015" s="60">
        <v>1.0</v>
      </c>
      <c r="H7015" s="60">
        <v>0.5</v>
      </c>
      <c r="I7015" s="60">
        <v>24.3408865</v>
      </c>
      <c r="J7015" s="59">
        <v>2.0</v>
      </c>
      <c r="K7015" s="61">
        <f t="shared" si="1"/>
        <v>1</v>
      </c>
      <c r="L7015" s="62">
        <f t="shared" si="2"/>
        <v>1</v>
      </c>
    </row>
    <row r="7016">
      <c r="A7016" s="58">
        <v>45597.0</v>
      </c>
      <c r="B7016" s="24" t="s">
        <v>6787</v>
      </c>
      <c r="C7016" s="24" t="s">
        <v>6835</v>
      </c>
      <c r="D7016" s="59">
        <v>2.0</v>
      </c>
      <c r="E7016" s="59">
        <v>2.0</v>
      </c>
      <c r="F7016" s="59">
        <v>2.0</v>
      </c>
      <c r="G7016" s="60">
        <v>1.0</v>
      </c>
      <c r="H7016" s="60">
        <v>0.5</v>
      </c>
      <c r="I7016" s="60">
        <v>96.728167</v>
      </c>
      <c r="J7016" s="59">
        <v>2.0</v>
      </c>
      <c r="K7016" s="61">
        <f t="shared" si="1"/>
        <v>1</v>
      </c>
      <c r="L7016" s="62">
        <f t="shared" si="2"/>
        <v>1</v>
      </c>
    </row>
    <row r="7017">
      <c r="A7017" s="58">
        <v>45597.0</v>
      </c>
      <c r="B7017" s="24" t="s">
        <v>6789</v>
      </c>
      <c r="C7017" s="24" t="s">
        <v>6994</v>
      </c>
      <c r="D7017" s="59">
        <v>2.0</v>
      </c>
      <c r="E7017" s="59">
        <v>2.0</v>
      </c>
      <c r="F7017" s="59">
        <v>2.0</v>
      </c>
      <c r="G7017" s="60">
        <v>1.0</v>
      </c>
      <c r="H7017" s="60">
        <v>0.5</v>
      </c>
      <c r="I7017" s="60">
        <v>109.239882</v>
      </c>
      <c r="J7017" s="59">
        <v>11.0</v>
      </c>
      <c r="K7017" s="61">
        <f t="shared" si="1"/>
        <v>1</v>
      </c>
      <c r="L7017" s="62">
        <f t="shared" si="2"/>
        <v>5.5</v>
      </c>
    </row>
    <row r="7018">
      <c r="A7018" s="58">
        <v>45597.0</v>
      </c>
      <c r="B7018" s="24" t="s">
        <v>6789</v>
      </c>
      <c r="C7018" s="24" t="s">
        <v>7074</v>
      </c>
      <c r="D7018" s="59">
        <v>2.0</v>
      </c>
      <c r="E7018" s="59">
        <v>2.0</v>
      </c>
      <c r="F7018" s="59">
        <v>2.0</v>
      </c>
      <c r="G7018" s="60">
        <v>1.0</v>
      </c>
      <c r="H7018" s="60">
        <v>0.0</v>
      </c>
      <c r="I7018" s="60">
        <v>57.1473605</v>
      </c>
      <c r="J7018" s="59">
        <v>3.0</v>
      </c>
      <c r="K7018" s="61">
        <f t="shared" si="1"/>
        <v>1</v>
      </c>
      <c r="L7018" s="62">
        <f t="shared" si="2"/>
        <v>1.5</v>
      </c>
    </row>
    <row r="7019">
      <c r="A7019" s="58">
        <v>45597.0</v>
      </c>
      <c r="B7019" s="24" t="s">
        <v>6794</v>
      </c>
      <c r="C7019" s="24" t="s">
        <v>6799</v>
      </c>
      <c r="D7019" s="59">
        <v>2.0</v>
      </c>
      <c r="E7019" s="59">
        <v>3.0</v>
      </c>
      <c r="F7019" s="59">
        <v>0.0</v>
      </c>
      <c r="G7019" s="60">
        <v>1.5</v>
      </c>
      <c r="H7019" s="60">
        <v>0.666666666666666</v>
      </c>
      <c r="I7019" s="60">
        <v>42.939285</v>
      </c>
      <c r="J7019" s="59">
        <v>4.0</v>
      </c>
      <c r="K7019" s="61">
        <f t="shared" si="1"/>
        <v>0</v>
      </c>
      <c r="L7019" s="62">
        <f t="shared" si="2"/>
        <v>1.333333333</v>
      </c>
    </row>
    <row r="7020">
      <c r="A7020" s="58">
        <v>45597.0</v>
      </c>
      <c r="B7020" s="24" t="s">
        <v>6789</v>
      </c>
      <c r="C7020" s="24" t="s">
        <v>6820</v>
      </c>
      <c r="D7020" s="59">
        <v>2.0</v>
      </c>
      <c r="E7020" s="59">
        <v>2.0</v>
      </c>
      <c r="F7020" s="59">
        <v>0.0</v>
      </c>
      <c r="G7020" s="60">
        <v>1.0</v>
      </c>
      <c r="H7020" s="60">
        <v>0.0</v>
      </c>
      <c r="I7020" s="60">
        <v>595.7399045</v>
      </c>
      <c r="J7020" s="59">
        <v>6.0</v>
      </c>
      <c r="K7020" s="61">
        <f t="shared" si="1"/>
        <v>0</v>
      </c>
      <c r="L7020" s="62">
        <f t="shared" si="2"/>
        <v>3</v>
      </c>
    </row>
    <row r="7021">
      <c r="A7021" s="58">
        <v>45597.0</v>
      </c>
      <c r="B7021" s="24" t="s">
        <v>155</v>
      </c>
      <c r="C7021" s="24" t="s">
        <v>7021</v>
      </c>
      <c r="D7021" s="59">
        <v>2.0</v>
      </c>
      <c r="E7021" s="59">
        <v>2.0</v>
      </c>
      <c r="F7021" s="59">
        <v>0.0</v>
      </c>
      <c r="G7021" s="60">
        <v>1.0</v>
      </c>
      <c r="H7021" s="60">
        <v>0.5</v>
      </c>
      <c r="I7021" s="60">
        <v>826.021188</v>
      </c>
      <c r="J7021" s="59">
        <v>2.0</v>
      </c>
      <c r="K7021" s="61">
        <f t="shared" si="1"/>
        <v>0</v>
      </c>
      <c r="L7021" s="62">
        <f t="shared" si="2"/>
        <v>1</v>
      </c>
    </row>
    <row r="7022">
      <c r="A7022" s="58">
        <v>45597.0</v>
      </c>
      <c r="B7022" s="24" t="s">
        <v>6789</v>
      </c>
      <c r="C7022" s="24" t="s">
        <v>7438</v>
      </c>
      <c r="D7022" s="59">
        <v>2.0</v>
      </c>
      <c r="E7022" s="59">
        <v>3.0</v>
      </c>
      <c r="F7022" s="59">
        <v>1.0</v>
      </c>
      <c r="G7022" s="60">
        <v>1.5</v>
      </c>
      <c r="H7022" s="60">
        <v>0.333333333333333</v>
      </c>
      <c r="I7022" s="60">
        <v>371.365683333333</v>
      </c>
      <c r="J7022" s="59">
        <v>8.0</v>
      </c>
      <c r="K7022" s="61">
        <f t="shared" si="1"/>
        <v>0.3333333333</v>
      </c>
      <c r="L7022" s="62">
        <f t="shared" si="2"/>
        <v>2.666666667</v>
      </c>
    </row>
    <row r="7023">
      <c r="A7023" s="58">
        <v>45597.0</v>
      </c>
      <c r="B7023" s="24" t="s">
        <v>6789</v>
      </c>
      <c r="C7023" s="24" t="s">
        <v>7195</v>
      </c>
      <c r="D7023" s="59">
        <v>2.0</v>
      </c>
      <c r="E7023" s="59">
        <v>2.0</v>
      </c>
      <c r="F7023" s="59">
        <v>1.0</v>
      </c>
      <c r="G7023" s="60">
        <v>1.0</v>
      </c>
      <c r="H7023" s="60">
        <v>0.0</v>
      </c>
      <c r="I7023" s="60">
        <v>103.569774</v>
      </c>
      <c r="J7023" s="59">
        <v>5.0</v>
      </c>
      <c r="K7023" s="61">
        <f t="shared" si="1"/>
        <v>0.5</v>
      </c>
      <c r="L7023" s="62">
        <f t="shared" si="2"/>
        <v>2.5</v>
      </c>
    </row>
    <row r="7024">
      <c r="A7024" s="58">
        <v>45597.0</v>
      </c>
      <c r="B7024" s="24" t="s">
        <v>6787</v>
      </c>
      <c r="C7024" s="24" t="s">
        <v>6841</v>
      </c>
      <c r="D7024" s="59">
        <v>2.0</v>
      </c>
      <c r="E7024" s="59">
        <v>2.0</v>
      </c>
      <c r="F7024" s="59">
        <v>1.0</v>
      </c>
      <c r="G7024" s="60">
        <v>2.0</v>
      </c>
      <c r="H7024" s="60">
        <v>0.5</v>
      </c>
      <c r="I7024" s="60">
        <v>6.4007935</v>
      </c>
      <c r="J7024" s="59">
        <v>2.0</v>
      </c>
      <c r="K7024" s="61">
        <f t="shared" si="1"/>
        <v>0.5</v>
      </c>
      <c r="L7024" s="62">
        <f t="shared" si="2"/>
        <v>1</v>
      </c>
    </row>
    <row r="7025">
      <c r="A7025" s="58">
        <v>45597.0</v>
      </c>
      <c r="B7025" s="24" t="s">
        <v>6789</v>
      </c>
      <c r="C7025" s="24" t="s">
        <v>6841</v>
      </c>
      <c r="D7025" s="59">
        <v>2.0</v>
      </c>
      <c r="E7025" s="59">
        <v>4.0</v>
      </c>
      <c r="F7025" s="59">
        <v>1.0</v>
      </c>
      <c r="G7025" s="60">
        <v>4.0</v>
      </c>
      <c r="H7025" s="60">
        <v>0.75</v>
      </c>
      <c r="I7025" s="60">
        <v>35.49538925</v>
      </c>
      <c r="J7025" s="59">
        <v>4.0</v>
      </c>
      <c r="K7025" s="61">
        <f t="shared" si="1"/>
        <v>0.25</v>
      </c>
      <c r="L7025" s="62">
        <f t="shared" si="2"/>
        <v>1</v>
      </c>
    </row>
    <row r="7026">
      <c r="A7026" s="58">
        <v>45597.0</v>
      </c>
      <c r="B7026" s="24" t="s">
        <v>6789</v>
      </c>
      <c r="C7026" s="24" t="s">
        <v>7519</v>
      </c>
      <c r="D7026" s="59">
        <v>2.0</v>
      </c>
      <c r="E7026" s="59">
        <v>3.0</v>
      </c>
      <c r="F7026" s="59">
        <v>0.0</v>
      </c>
      <c r="G7026" s="60">
        <v>1.5</v>
      </c>
      <c r="H7026" s="60">
        <v>0.0</v>
      </c>
      <c r="I7026" s="60">
        <v>163.737543</v>
      </c>
      <c r="J7026" s="59">
        <v>8.0</v>
      </c>
      <c r="K7026" s="61">
        <f t="shared" si="1"/>
        <v>0</v>
      </c>
      <c r="L7026" s="62">
        <f t="shared" si="2"/>
        <v>2.666666667</v>
      </c>
    </row>
    <row r="7027">
      <c r="A7027" s="58">
        <v>45597.0</v>
      </c>
      <c r="B7027" s="24" t="s">
        <v>6789</v>
      </c>
      <c r="C7027" s="24" t="s">
        <v>7518</v>
      </c>
      <c r="D7027" s="59">
        <v>2.0</v>
      </c>
      <c r="E7027" s="59">
        <v>6.0</v>
      </c>
      <c r="F7027" s="59">
        <v>0.0</v>
      </c>
      <c r="G7027" s="60">
        <v>3.0</v>
      </c>
      <c r="H7027" s="60">
        <v>0.333333333333333</v>
      </c>
      <c r="I7027" s="60">
        <v>283.466611833333</v>
      </c>
      <c r="J7027" s="59">
        <v>11.0</v>
      </c>
      <c r="K7027" s="61">
        <f t="shared" si="1"/>
        <v>0</v>
      </c>
      <c r="L7027" s="62">
        <f t="shared" si="2"/>
        <v>1.833333333</v>
      </c>
    </row>
    <row r="7028">
      <c r="A7028" s="58">
        <v>45597.0</v>
      </c>
      <c r="B7028" s="24" t="s">
        <v>6789</v>
      </c>
      <c r="C7028" s="24" t="s">
        <v>6811</v>
      </c>
      <c r="D7028" s="59">
        <v>2.0</v>
      </c>
      <c r="E7028" s="59">
        <v>2.0</v>
      </c>
      <c r="F7028" s="59">
        <v>1.0</v>
      </c>
      <c r="G7028" s="60">
        <v>1.0</v>
      </c>
      <c r="H7028" s="60">
        <v>0.0</v>
      </c>
      <c r="I7028" s="60">
        <v>1502.2956415</v>
      </c>
      <c r="J7028" s="59">
        <v>10.0</v>
      </c>
      <c r="K7028" s="61">
        <f t="shared" si="1"/>
        <v>0.5</v>
      </c>
      <c r="L7028" s="62">
        <f t="shared" si="2"/>
        <v>5</v>
      </c>
    </row>
    <row r="7029">
      <c r="A7029" s="58">
        <v>45597.0</v>
      </c>
      <c r="B7029" s="24" t="s">
        <v>6787</v>
      </c>
      <c r="C7029" s="24" t="s">
        <v>6905</v>
      </c>
      <c r="D7029" s="59">
        <v>2.0</v>
      </c>
      <c r="E7029" s="59">
        <v>2.0</v>
      </c>
      <c r="F7029" s="59">
        <v>2.0</v>
      </c>
      <c r="G7029" s="60">
        <v>1.0</v>
      </c>
      <c r="H7029" s="60">
        <v>1.0</v>
      </c>
      <c r="I7029" s="60">
        <v>0.0</v>
      </c>
      <c r="J7029" s="59">
        <v>2.0</v>
      </c>
      <c r="K7029" s="61">
        <f t="shared" si="1"/>
        <v>1</v>
      </c>
      <c r="L7029" s="62">
        <f t="shared" si="2"/>
        <v>1</v>
      </c>
    </row>
    <row r="7030">
      <c r="A7030" s="58">
        <v>45597.0</v>
      </c>
      <c r="B7030" s="24" t="s">
        <v>6787</v>
      </c>
      <c r="C7030" s="24" t="s">
        <v>7236</v>
      </c>
      <c r="D7030" s="59">
        <v>2.0</v>
      </c>
      <c r="E7030" s="59">
        <v>2.0</v>
      </c>
      <c r="F7030" s="59">
        <v>2.0</v>
      </c>
      <c r="G7030" s="60">
        <v>1.0</v>
      </c>
      <c r="H7030" s="60">
        <v>1.0</v>
      </c>
      <c r="I7030" s="60">
        <v>0.0</v>
      </c>
      <c r="J7030" s="59">
        <v>2.0</v>
      </c>
      <c r="K7030" s="61">
        <f t="shared" si="1"/>
        <v>1</v>
      </c>
      <c r="L7030" s="62">
        <f t="shared" si="2"/>
        <v>1</v>
      </c>
    </row>
    <row r="7031">
      <c r="A7031" s="58">
        <v>45597.0</v>
      </c>
      <c r="B7031" s="24" t="s">
        <v>6942</v>
      </c>
      <c r="C7031" s="24" t="s">
        <v>7236</v>
      </c>
      <c r="D7031" s="59">
        <v>2.0</v>
      </c>
      <c r="E7031" s="59">
        <v>2.0</v>
      </c>
      <c r="F7031" s="59">
        <v>2.0</v>
      </c>
      <c r="G7031" s="60">
        <v>1.0</v>
      </c>
      <c r="H7031" s="60">
        <v>1.0</v>
      </c>
      <c r="I7031" s="60">
        <v>0.0</v>
      </c>
      <c r="J7031" s="59">
        <v>2.0</v>
      </c>
      <c r="K7031" s="61">
        <f t="shared" si="1"/>
        <v>1</v>
      </c>
      <c r="L7031" s="62">
        <f t="shared" si="2"/>
        <v>1</v>
      </c>
    </row>
    <row r="7032">
      <c r="A7032" s="58">
        <v>45597.0</v>
      </c>
      <c r="B7032" s="24" t="s">
        <v>6790</v>
      </c>
      <c r="C7032" s="24" t="s">
        <v>7236</v>
      </c>
      <c r="D7032" s="59">
        <v>2.0</v>
      </c>
      <c r="E7032" s="59">
        <v>2.0</v>
      </c>
      <c r="F7032" s="59">
        <v>0.0</v>
      </c>
      <c r="G7032" s="60">
        <v>1.0</v>
      </c>
      <c r="H7032" s="60">
        <v>0.5</v>
      </c>
      <c r="I7032" s="60">
        <v>325.148023</v>
      </c>
      <c r="J7032" s="59">
        <v>3.0</v>
      </c>
      <c r="K7032" s="61">
        <f t="shared" si="1"/>
        <v>0</v>
      </c>
      <c r="L7032" s="62">
        <f t="shared" si="2"/>
        <v>1.5</v>
      </c>
    </row>
    <row r="7033">
      <c r="A7033" s="58">
        <v>45597.0</v>
      </c>
      <c r="B7033" s="24" t="s">
        <v>6790</v>
      </c>
      <c r="C7033" s="24" t="s">
        <v>7232</v>
      </c>
      <c r="D7033" s="59">
        <v>2.0</v>
      </c>
      <c r="E7033" s="59">
        <v>2.0</v>
      </c>
      <c r="F7033" s="59">
        <v>2.0</v>
      </c>
      <c r="G7033" s="60">
        <v>1.0</v>
      </c>
      <c r="H7033" s="60">
        <v>0.0</v>
      </c>
      <c r="I7033" s="60">
        <v>14.1492075</v>
      </c>
      <c r="J7033" s="59">
        <v>2.0</v>
      </c>
      <c r="K7033" s="61">
        <f t="shared" si="1"/>
        <v>1</v>
      </c>
      <c r="L7033" s="62">
        <f t="shared" si="2"/>
        <v>1</v>
      </c>
    </row>
    <row r="7034">
      <c r="A7034" s="58">
        <v>45597.0</v>
      </c>
      <c r="B7034" s="24" t="s">
        <v>6794</v>
      </c>
      <c r="C7034" s="24" t="s">
        <v>6808</v>
      </c>
      <c r="D7034" s="59">
        <v>2.0</v>
      </c>
      <c r="E7034" s="59">
        <v>3.0</v>
      </c>
      <c r="F7034" s="59">
        <v>0.0</v>
      </c>
      <c r="G7034" s="60">
        <v>1.5</v>
      </c>
      <c r="H7034" s="60">
        <v>0.666666666666666</v>
      </c>
      <c r="I7034" s="60">
        <v>64.4510933333333</v>
      </c>
      <c r="J7034" s="59">
        <v>3.0</v>
      </c>
      <c r="K7034" s="61">
        <f t="shared" si="1"/>
        <v>0</v>
      </c>
      <c r="L7034" s="62">
        <f t="shared" si="2"/>
        <v>1</v>
      </c>
    </row>
    <row r="7035">
      <c r="A7035" s="58">
        <v>45597.0</v>
      </c>
      <c r="B7035" s="24" t="s">
        <v>6789</v>
      </c>
      <c r="C7035" s="24" t="s">
        <v>7091</v>
      </c>
      <c r="D7035" s="59">
        <v>2.0</v>
      </c>
      <c r="E7035" s="59">
        <v>2.0</v>
      </c>
      <c r="F7035" s="59">
        <v>2.0</v>
      </c>
      <c r="G7035" s="60">
        <v>1.0</v>
      </c>
      <c r="H7035" s="60">
        <v>0.5</v>
      </c>
      <c r="I7035" s="60">
        <v>17.1376525</v>
      </c>
      <c r="J7035" s="59">
        <v>2.0</v>
      </c>
      <c r="K7035" s="61">
        <f t="shared" si="1"/>
        <v>1</v>
      </c>
      <c r="L7035" s="62">
        <f t="shared" si="2"/>
        <v>1</v>
      </c>
    </row>
    <row r="7036">
      <c r="A7036" s="58">
        <v>45597.0</v>
      </c>
      <c r="B7036" s="24" t="s">
        <v>6789</v>
      </c>
      <c r="C7036" s="24" t="s">
        <v>7094</v>
      </c>
      <c r="D7036" s="59">
        <v>2.0</v>
      </c>
      <c r="E7036" s="59">
        <v>2.0</v>
      </c>
      <c r="F7036" s="59">
        <v>2.0</v>
      </c>
      <c r="G7036" s="60">
        <v>1.0</v>
      </c>
      <c r="H7036" s="60">
        <v>0.5</v>
      </c>
      <c r="I7036" s="60">
        <v>53.153146</v>
      </c>
      <c r="J7036" s="59">
        <v>2.0</v>
      </c>
      <c r="K7036" s="61">
        <f t="shared" si="1"/>
        <v>1</v>
      </c>
      <c r="L7036" s="62">
        <f t="shared" si="2"/>
        <v>1</v>
      </c>
    </row>
    <row r="7037">
      <c r="A7037" s="58">
        <v>45597.0</v>
      </c>
      <c r="B7037" s="24" t="s">
        <v>6789</v>
      </c>
      <c r="C7037" s="24" t="s">
        <v>6908</v>
      </c>
      <c r="D7037" s="59">
        <v>2.0</v>
      </c>
      <c r="E7037" s="59">
        <v>2.0</v>
      </c>
      <c r="F7037" s="59">
        <v>0.0</v>
      </c>
      <c r="G7037" s="60">
        <v>1.0</v>
      </c>
      <c r="H7037" s="60">
        <v>0.0</v>
      </c>
      <c r="I7037" s="60">
        <v>638.6546545</v>
      </c>
      <c r="J7037" s="59">
        <v>4.0</v>
      </c>
      <c r="K7037" s="61">
        <f t="shared" si="1"/>
        <v>0</v>
      </c>
      <c r="L7037" s="62">
        <f t="shared" si="2"/>
        <v>2</v>
      </c>
    </row>
    <row r="7038">
      <c r="A7038" s="58">
        <v>45597.0</v>
      </c>
      <c r="B7038" s="24" t="s">
        <v>6787</v>
      </c>
      <c r="C7038" s="24" t="s">
        <v>7104</v>
      </c>
      <c r="D7038" s="59">
        <v>2.0</v>
      </c>
      <c r="E7038" s="59">
        <v>2.0</v>
      </c>
      <c r="F7038" s="59">
        <v>2.0</v>
      </c>
      <c r="G7038" s="60">
        <v>1.0</v>
      </c>
      <c r="H7038" s="60">
        <v>1.0</v>
      </c>
      <c r="I7038" s="60">
        <v>0.0</v>
      </c>
      <c r="J7038" s="59">
        <v>2.0</v>
      </c>
      <c r="K7038" s="61">
        <f t="shared" si="1"/>
        <v>1</v>
      </c>
      <c r="L7038" s="62">
        <f t="shared" si="2"/>
        <v>1</v>
      </c>
    </row>
    <row r="7039">
      <c r="A7039" s="58">
        <v>45597.0</v>
      </c>
      <c r="B7039" s="24" t="s">
        <v>6789</v>
      </c>
      <c r="C7039" s="24" t="s">
        <v>7104</v>
      </c>
      <c r="D7039" s="59">
        <v>2.0</v>
      </c>
      <c r="E7039" s="59">
        <v>2.0</v>
      </c>
      <c r="F7039" s="59">
        <v>2.0</v>
      </c>
      <c r="G7039" s="60">
        <v>1.0</v>
      </c>
      <c r="H7039" s="60">
        <v>0.5</v>
      </c>
      <c r="I7039" s="60">
        <v>230.722388</v>
      </c>
      <c r="J7039" s="59">
        <v>4.0</v>
      </c>
      <c r="K7039" s="61">
        <f t="shared" si="1"/>
        <v>1</v>
      </c>
      <c r="L7039" s="62">
        <f t="shared" si="2"/>
        <v>2</v>
      </c>
    </row>
    <row r="7040">
      <c r="A7040" s="58">
        <v>45597.0</v>
      </c>
      <c r="B7040" s="24" t="s">
        <v>6787</v>
      </c>
      <c r="C7040" s="24" t="s">
        <v>6912</v>
      </c>
      <c r="D7040" s="59">
        <v>2.0</v>
      </c>
      <c r="E7040" s="59">
        <v>2.0</v>
      </c>
      <c r="F7040" s="59">
        <v>2.0</v>
      </c>
      <c r="G7040" s="60">
        <v>1.0</v>
      </c>
      <c r="H7040" s="60">
        <v>1.0</v>
      </c>
      <c r="I7040" s="60">
        <v>0.0</v>
      </c>
      <c r="J7040" s="59">
        <v>2.0</v>
      </c>
      <c r="K7040" s="61">
        <f t="shared" si="1"/>
        <v>1</v>
      </c>
      <c r="L7040" s="62">
        <f t="shared" si="2"/>
        <v>1</v>
      </c>
    </row>
    <row r="7041">
      <c r="A7041" s="58">
        <v>45597.0</v>
      </c>
      <c r="B7041" s="24" t="s">
        <v>155</v>
      </c>
      <c r="C7041" s="24" t="s">
        <v>7403</v>
      </c>
      <c r="D7041" s="59">
        <v>2.0</v>
      </c>
      <c r="E7041" s="59">
        <v>2.0</v>
      </c>
      <c r="F7041" s="59">
        <v>1.0</v>
      </c>
      <c r="G7041" s="60">
        <v>1.0</v>
      </c>
      <c r="H7041" s="60">
        <v>1.0</v>
      </c>
      <c r="I7041" s="60">
        <v>6.58866899999999</v>
      </c>
      <c r="J7041" s="59">
        <v>2.0</v>
      </c>
      <c r="K7041" s="61">
        <f t="shared" si="1"/>
        <v>0.5</v>
      </c>
      <c r="L7041" s="62">
        <f t="shared" si="2"/>
        <v>1</v>
      </c>
    </row>
    <row r="7042">
      <c r="A7042" s="58">
        <v>45597.0</v>
      </c>
      <c r="B7042" s="24" t="s">
        <v>6787</v>
      </c>
      <c r="C7042" s="24" t="s">
        <v>7192</v>
      </c>
      <c r="D7042" s="59">
        <v>2.0</v>
      </c>
      <c r="E7042" s="59">
        <v>2.0</v>
      </c>
      <c r="F7042" s="59">
        <v>2.0</v>
      </c>
      <c r="G7042" s="60">
        <v>1.0</v>
      </c>
      <c r="H7042" s="60">
        <v>1.0</v>
      </c>
      <c r="I7042" s="60">
        <v>0.0</v>
      </c>
      <c r="J7042" s="59">
        <v>2.0</v>
      </c>
      <c r="K7042" s="61">
        <f t="shared" si="1"/>
        <v>1</v>
      </c>
      <c r="L7042" s="62">
        <f t="shared" si="2"/>
        <v>1</v>
      </c>
    </row>
    <row r="7043">
      <c r="A7043" s="58">
        <v>45597.0</v>
      </c>
      <c r="B7043" s="24" t="s">
        <v>6789</v>
      </c>
      <c r="C7043" s="24" t="s">
        <v>7192</v>
      </c>
      <c r="D7043" s="59">
        <v>2.0</v>
      </c>
      <c r="E7043" s="59">
        <v>2.0</v>
      </c>
      <c r="F7043" s="59">
        <v>0.0</v>
      </c>
      <c r="G7043" s="60">
        <v>1.0</v>
      </c>
      <c r="H7043" s="60">
        <v>0.5</v>
      </c>
      <c r="I7043" s="60">
        <v>144.357511</v>
      </c>
      <c r="J7043" s="59">
        <v>3.0</v>
      </c>
      <c r="K7043" s="61">
        <f t="shared" si="1"/>
        <v>0</v>
      </c>
      <c r="L7043" s="62">
        <f t="shared" si="2"/>
        <v>1.5</v>
      </c>
    </row>
    <row r="7044">
      <c r="A7044" s="58">
        <v>45597.0</v>
      </c>
      <c r="B7044" s="24" t="s">
        <v>6794</v>
      </c>
      <c r="C7044" s="24" t="s">
        <v>6815</v>
      </c>
      <c r="D7044" s="59">
        <v>2.0</v>
      </c>
      <c r="E7044" s="59">
        <v>2.0</v>
      </c>
      <c r="F7044" s="59">
        <v>1.0</v>
      </c>
      <c r="G7044" s="60">
        <v>1.0</v>
      </c>
      <c r="H7044" s="60">
        <v>0.5</v>
      </c>
      <c r="I7044" s="60">
        <v>169.5499045</v>
      </c>
      <c r="J7044" s="59">
        <v>5.0</v>
      </c>
      <c r="K7044" s="61">
        <f t="shared" si="1"/>
        <v>0.5</v>
      </c>
      <c r="L7044" s="62">
        <f t="shared" si="2"/>
        <v>2.5</v>
      </c>
    </row>
    <row r="7045">
      <c r="A7045" s="58">
        <v>45597.0</v>
      </c>
      <c r="B7045" s="24" t="s">
        <v>3216</v>
      </c>
      <c r="C7045" s="24" t="s">
        <v>6788</v>
      </c>
      <c r="D7045" s="59">
        <v>1.0</v>
      </c>
      <c r="E7045" s="59">
        <v>2.0</v>
      </c>
      <c r="F7045" s="59">
        <v>0.0</v>
      </c>
      <c r="G7045" s="60">
        <v>2.0</v>
      </c>
      <c r="H7045" s="60">
        <v>1.0</v>
      </c>
      <c r="I7045" s="60">
        <v>1.0876805</v>
      </c>
      <c r="J7045" s="59">
        <v>2.0</v>
      </c>
      <c r="K7045" s="61">
        <f t="shared" si="1"/>
        <v>0</v>
      </c>
      <c r="L7045" s="62">
        <f t="shared" si="2"/>
        <v>1</v>
      </c>
    </row>
    <row r="7046">
      <c r="A7046" s="58">
        <v>45597.0</v>
      </c>
      <c r="B7046" s="24" t="s">
        <v>6942</v>
      </c>
      <c r="C7046" s="24" t="s">
        <v>6788</v>
      </c>
      <c r="D7046" s="59">
        <v>1.0</v>
      </c>
      <c r="E7046" s="59">
        <v>1.0</v>
      </c>
      <c r="F7046" s="59">
        <v>1.0</v>
      </c>
      <c r="G7046" s="60">
        <v>1.0</v>
      </c>
      <c r="H7046" s="60">
        <v>0.0</v>
      </c>
      <c r="I7046" s="60">
        <v>31.336577</v>
      </c>
      <c r="J7046" s="59">
        <v>1.0</v>
      </c>
      <c r="K7046" s="61">
        <f t="shared" si="1"/>
        <v>1</v>
      </c>
      <c r="L7046" s="62">
        <f t="shared" si="2"/>
        <v>1</v>
      </c>
    </row>
    <row r="7047">
      <c r="A7047" s="58">
        <v>45597.0</v>
      </c>
      <c r="B7047" s="24" t="s">
        <v>6787</v>
      </c>
      <c r="C7047" s="24" t="s">
        <v>6980</v>
      </c>
      <c r="D7047" s="59">
        <v>1.0</v>
      </c>
      <c r="E7047" s="59">
        <v>1.0</v>
      </c>
      <c r="F7047" s="59">
        <v>1.0</v>
      </c>
      <c r="G7047" s="60">
        <v>1.0</v>
      </c>
      <c r="H7047" s="60">
        <v>1.0</v>
      </c>
      <c r="I7047" s="60">
        <v>0.0</v>
      </c>
      <c r="J7047" s="59">
        <v>1.0</v>
      </c>
      <c r="K7047" s="61">
        <f t="shared" si="1"/>
        <v>1</v>
      </c>
      <c r="L7047" s="62">
        <f t="shared" si="2"/>
        <v>1</v>
      </c>
    </row>
    <row r="7048">
      <c r="A7048" s="58">
        <v>45597.0</v>
      </c>
      <c r="B7048" s="24" t="s">
        <v>6789</v>
      </c>
      <c r="C7048" s="24" t="s">
        <v>7146</v>
      </c>
      <c r="D7048" s="59">
        <v>1.0</v>
      </c>
      <c r="E7048" s="59">
        <v>1.0</v>
      </c>
      <c r="F7048" s="59">
        <v>0.0</v>
      </c>
      <c r="G7048" s="60">
        <v>1.0</v>
      </c>
      <c r="H7048" s="60">
        <v>0.0</v>
      </c>
      <c r="I7048" s="60">
        <v>2059.164844</v>
      </c>
      <c r="J7048" s="59">
        <v>16.0</v>
      </c>
      <c r="K7048" s="61">
        <f t="shared" si="1"/>
        <v>0</v>
      </c>
      <c r="L7048" s="62">
        <f t="shared" si="2"/>
        <v>16</v>
      </c>
    </row>
    <row r="7049">
      <c r="A7049" s="58">
        <v>45597.0</v>
      </c>
      <c r="B7049" s="24" t="s">
        <v>155</v>
      </c>
      <c r="C7049" s="24" t="s">
        <v>6803</v>
      </c>
      <c r="D7049" s="59">
        <v>1.0</v>
      </c>
      <c r="E7049" s="59">
        <v>1.0</v>
      </c>
      <c r="F7049" s="59">
        <v>0.0</v>
      </c>
      <c r="G7049" s="60">
        <v>1.0</v>
      </c>
      <c r="H7049" s="60">
        <v>0.0</v>
      </c>
      <c r="I7049" s="60">
        <v>213.075879</v>
      </c>
      <c r="J7049" s="59">
        <v>1.0</v>
      </c>
      <c r="K7049" s="61">
        <f t="shared" si="1"/>
        <v>0</v>
      </c>
      <c r="L7049" s="62">
        <f t="shared" si="2"/>
        <v>1</v>
      </c>
    </row>
    <row r="7050">
      <c r="A7050" s="58">
        <v>45597.0</v>
      </c>
      <c r="B7050" s="24" t="s">
        <v>6790</v>
      </c>
      <c r="C7050" s="24" t="s">
        <v>6803</v>
      </c>
      <c r="D7050" s="59">
        <v>1.0</v>
      </c>
      <c r="E7050" s="59">
        <v>1.0</v>
      </c>
      <c r="F7050" s="59">
        <v>0.0</v>
      </c>
      <c r="G7050" s="60">
        <v>1.0</v>
      </c>
      <c r="H7050" s="60">
        <v>1.0</v>
      </c>
      <c r="I7050" s="60">
        <v>9.905225</v>
      </c>
      <c r="J7050" s="59">
        <v>1.0</v>
      </c>
      <c r="K7050" s="61">
        <f t="shared" si="1"/>
        <v>0</v>
      </c>
      <c r="L7050" s="62">
        <f t="shared" si="2"/>
        <v>1</v>
      </c>
    </row>
    <row r="7051">
      <c r="A7051" s="58">
        <v>45597.0</v>
      </c>
      <c r="B7051" s="24" t="s">
        <v>6790</v>
      </c>
      <c r="C7051" s="24" t="s">
        <v>6817</v>
      </c>
      <c r="D7051" s="59">
        <v>1.0</v>
      </c>
      <c r="E7051" s="59">
        <v>1.0</v>
      </c>
      <c r="F7051" s="59">
        <v>0.0</v>
      </c>
      <c r="G7051" s="60">
        <v>1.0</v>
      </c>
      <c r="H7051" s="60">
        <v>1.0</v>
      </c>
      <c r="I7051" s="60">
        <v>0.0</v>
      </c>
      <c r="J7051" s="59">
        <v>1.0</v>
      </c>
      <c r="K7051" s="61">
        <f t="shared" si="1"/>
        <v>0</v>
      </c>
      <c r="L7051" s="62">
        <f t="shared" si="2"/>
        <v>1</v>
      </c>
    </row>
    <row r="7052">
      <c r="A7052" s="58">
        <v>45597.0</v>
      </c>
      <c r="B7052" s="24" t="s">
        <v>6787</v>
      </c>
      <c r="C7052" s="24" t="s">
        <v>7055</v>
      </c>
      <c r="D7052" s="59">
        <v>1.0</v>
      </c>
      <c r="E7052" s="59">
        <v>1.0</v>
      </c>
      <c r="F7052" s="59">
        <v>1.0</v>
      </c>
      <c r="G7052" s="60">
        <v>1.0</v>
      </c>
      <c r="H7052" s="60">
        <v>1.0</v>
      </c>
      <c r="I7052" s="60">
        <v>0.0</v>
      </c>
      <c r="J7052" s="59">
        <v>1.0</v>
      </c>
      <c r="K7052" s="61">
        <f t="shared" si="1"/>
        <v>1</v>
      </c>
      <c r="L7052" s="62">
        <f t="shared" si="2"/>
        <v>1</v>
      </c>
    </row>
    <row r="7053">
      <c r="A7053" s="58">
        <v>45597.0</v>
      </c>
      <c r="B7053" s="24" t="s">
        <v>6789</v>
      </c>
      <c r="C7053" s="24" t="s">
        <v>7055</v>
      </c>
      <c r="D7053" s="59">
        <v>1.0</v>
      </c>
      <c r="E7053" s="59">
        <v>1.0</v>
      </c>
      <c r="F7053" s="59">
        <v>1.0</v>
      </c>
      <c r="G7053" s="60">
        <v>1.0</v>
      </c>
      <c r="H7053" s="60">
        <v>0.0</v>
      </c>
      <c r="I7053" s="60">
        <v>48.684354</v>
      </c>
      <c r="J7053" s="59">
        <v>3.0</v>
      </c>
      <c r="K7053" s="61">
        <f t="shared" si="1"/>
        <v>1</v>
      </c>
      <c r="L7053" s="62">
        <f t="shared" si="2"/>
        <v>3</v>
      </c>
    </row>
    <row r="7054">
      <c r="A7054" s="58">
        <v>45597.0</v>
      </c>
      <c r="B7054" s="24" t="s">
        <v>6794</v>
      </c>
      <c r="C7054" s="24" t="s">
        <v>6953</v>
      </c>
      <c r="D7054" s="59">
        <v>1.0</v>
      </c>
      <c r="E7054" s="59">
        <v>1.0</v>
      </c>
      <c r="F7054" s="59">
        <v>1.0</v>
      </c>
      <c r="G7054" s="60">
        <v>1.0</v>
      </c>
      <c r="H7054" s="60">
        <v>1.0</v>
      </c>
      <c r="I7054" s="60">
        <v>0.0</v>
      </c>
      <c r="J7054" s="59">
        <v>1.0</v>
      </c>
      <c r="K7054" s="61">
        <f t="shared" si="1"/>
        <v>1</v>
      </c>
      <c r="L7054" s="62">
        <f t="shared" si="2"/>
        <v>1</v>
      </c>
    </row>
    <row r="7055">
      <c r="A7055" s="58">
        <v>45597.0</v>
      </c>
      <c r="B7055" s="24" t="s">
        <v>6787</v>
      </c>
      <c r="C7055" s="24" t="s">
        <v>7056</v>
      </c>
      <c r="D7055" s="59">
        <v>1.0</v>
      </c>
      <c r="E7055" s="59">
        <v>1.0</v>
      </c>
      <c r="F7055" s="59">
        <v>1.0</v>
      </c>
      <c r="G7055" s="60">
        <v>1.0</v>
      </c>
      <c r="H7055" s="60">
        <v>1.0</v>
      </c>
      <c r="I7055" s="60">
        <v>0.0</v>
      </c>
      <c r="J7055" s="59">
        <v>1.0</v>
      </c>
      <c r="K7055" s="61">
        <f t="shared" si="1"/>
        <v>1</v>
      </c>
      <c r="L7055" s="62">
        <f t="shared" si="2"/>
        <v>1</v>
      </c>
    </row>
    <row r="7056">
      <c r="A7056" s="58">
        <v>45597.0</v>
      </c>
      <c r="B7056" s="24" t="s">
        <v>155</v>
      </c>
      <c r="C7056" s="24" t="s">
        <v>7056</v>
      </c>
      <c r="D7056" s="59">
        <v>1.0</v>
      </c>
      <c r="E7056" s="59">
        <v>2.0</v>
      </c>
      <c r="F7056" s="59">
        <v>1.0</v>
      </c>
      <c r="G7056" s="60">
        <v>2.0</v>
      </c>
      <c r="H7056" s="60">
        <v>1.0</v>
      </c>
      <c r="I7056" s="60">
        <v>2.867728</v>
      </c>
      <c r="J7056" s="59">
        <v>2.0</v>
      </c>
      <c r="K7056" s="61">
        <f t="shared" si="1"/>
        <v>0.5</v>
      </c>
      <c r="L7056" s="62">
        <f t="shared" si="2"/>
        <v>1</v>
      </c>
    </row>
    <row r="7057">
      <c r="A7057" s="58">
        <v>45597.0</v>
      </c>
      <c r="B7057" s="24" t="s">
        <v>155</v>
      </c>
      <c r="C7057" s="24" t="s">
        <v>7057</v>
      </c>
      <c r="D7057" s="59">
        <v>1.0</v>
      </c>
      <c r="E7057" s="59">
        <v>1.0</v>
      </c>
      <c r="F7057" s="59">
        <v>1.0</v>
      </c>
      <c r="G7057" s="60">
        <v>1.0</v>
      </c>
      <c r="H7057" s="60">
        <v>1.0</v>
      </c>
      <c r="I7057" s="60">
        <v>0.0</v>
      </c>
      <c r="J7057" s="59">
        <v>1.0</v>
      </c>
      <c r="K7057" s="61">
        <f t="shared" si="1"/>
        <v>1</v>
      </c>
      <c r="L7057" s="62">
        <f t="shared" si="2"/>
        <v>1</v>
      </c>
    </row>
    <row r="7058">
      <c r="A7058" s="58">
        <v>45597.0</v>
      </c>
      <c r="B7058" s="24" t="s">
        <v>6787</v>
      </c>
      <c r="C7058" s="24" t="s">
        <v>6861</v>
      </c>
      <c r="D7058" s="59">
        <v>1.0</v>
      </c>
      <c r="E7058" s="59">
        <v>2.0</v>
      </c>
      <c r="F7058" s="59">
        <v>1.0</v>
      </c>
      <c r="G7058" s="60">
        <v>2.0</v>
      </c>
      <c r="H7058" s="60">
        <v>1.0</v>
      </c>
      <c r="I7058" s="60">
        <v>0.0</v>
      </c>
      <c r="J7058" s="59">
        <v>2.0</v>
      </c>
      <c r="K7058" s="61">
        <f t="shared" si="1"/>
        <v>0.5</v>
      </c>
      <c r="L7058" s="62">
        <f t="shared" si="2"/>
        <v>1</v>
      </c>
    </row>
    <row r="7059">
      <c r="A7059" s="58">
        <v>45597.0</v>
      </c>
      <c r="B7059" s="24" t="s">
        <v>6789</v>
      </c>
      <c r="C7059" s="24" t="s">
        <v>6861</v>
      </c>
      <c r="D7059" s="59">
        <v>1.0</v>
      </c>
      <c r="E7059" s="59">
        <v>1.0</v>
      </c>
      <c r="F7059" s="59">
        <v>1.0</v>
      </c>
      <c r="G7059" s="60">
        <v>1.0</v>
      </c>
      <c r="H7059" s="60">
        <v>0.0</v>
      </c>
      <c r="I7059" s="60">
        <v>274.770013</v>
      </c>
      <c r="J7059" s="59">
        <v>5.0</v>
      </c>
      <c r="K7059" s="61">
        <f t="shared" si="1"/>
        <v>1</v>
      </c>
      <c r="L7059" s="62">
        <f t="shared" si="2"/>
        <v>5</v>
      </c>
    </row>
    <row r="7060">
      <c r="A7060" s="58">
        <v>45597.0</v>
      </c>
      <c r="B7060" s="24" t="s">
        <v>6787</v>
      </c>
      <c r="C7060" s="24" t="s">
        <v>6985</v>
      </c>
      <c r="D7060" s="59">
        <v>1.0</v>
      </c>
      <c r="E7060" s="59">
        <v>1.0</v>
      </c>
      <c r="F7060" s="59">
        <v>1.0</v>
      </c>
      <c r="G7060" s="60">
        <v>1.0</v>
      </c>
      <c r="H7060" s="60">
        <v>1.0</v>
      </c>
      <c r="I7060" s="60">
        <v>0.0</v>
      </c>
      <c r="J7060" s="59">
        <v>1.0</v>
      </c>
      <c r="K7060" s="61">
        <f t="shared" si="1"/>
        <v>1</v>
      </c>
      <c r="L7060" s="62">
        <f t="shared" si="2"/>
        <v>1</v>
      </c>
    </row>
    <row r="7061">
      <c r="A7061" s="58">
        <v>45597.0</v>
      </c>
      <c r="B7061" s="24" t="s">
        <v>155</v>
      </c>
      <c r="C7061" s="24" t="s">
        <v>6833</v>
      </c>
      <c r="D7061" s="59">
        <v>1.0</v>
      </c>
      <c r="E7061" s="59">
        <v>1.0</v>
      </c>
      <c r="F7061" s="59">
        <v>0.0</v>
      </c>
      <c r="G7061" s="60">
        <v>1.0</v>
      </c>
      <c r="H7061" s="60">
        <v>0.0</v>
      </c>
      <c r="I7061" s="60">
        <v>2247.722488</v>
      </c>
      <c r="J7061" s="59">
        <v>12.0</v>
      </c>
      <c r="K7061" s="61">
        <f t="shared" si="1"/>
        <v>0</v>
      </c>
      <c r="L7061" s="62">
        <f t="shared" si="2"/>
        <v>12</v>
      </c>
    </row>
    <row r="7062">
      <c r="A7062" s="58">
        <v>45597.0</v>
      </c>
      <c r="B7062" s="24" t="s">
        <v>6787</v>
      </c>
      <c r="C7062" s="24" t="s">
        <v>6986</v>
      </c>
      <c r="D7062" s="59">
        <v>1.0</v>
      </c>
      <c r="E7062" s="59">
        <v>1.0</v>
      </c>
      <c r="F7062" s="59">
        <v>1.0</v>
      </c>
      <c r="G7062" s="60">
        <v>1.0</v>
      </c>
      <c r="H7062" s="60">
        <v>1.0</v>
      </c>
      <c r="I7062" s="60">
        <v>0.0</v>
      </c>
      <c r="J7062" s="59">
        <v>1.0</v>
      </c>
      <c r="K7062" s="61">
        <f t="shared" si="1"/>
        <v>1</v>
      </c>
      <c r="L7062" s="62">
        <f t="shared" si="2"/>
        <v>1</v>
      </c>
    </row>
    <row r="7063">
      <c r="A7063" s="58">
        <v>45597.0</v>
      </c>
      <c r="B7063" s="24" t="s">
        <v>6789</v>
      </c>
      <c r="C7063" s="24" t="s">
        <v>6988</v>
      </c>
      <c r="D7063" s="59">
        <v>1.0</v>
      </c>
      <c r="E7063" s="59">
        <v>1.0</v>
      </c>
      <c r="F7063" s="59">
        <v>0.0</v>
      </c>
      <c r="G7063" s="60">
        <v>1.0</v>
      </c>
      <c r="H7063" s="60">
        <v>0.0</v>
      </c>
      <c r="I7063" s="60">
        <v>259.535964</v>
      </c>
      <c r="J7063" s="59">
        <v>1.0</v>
      </c>
      <c r="K7063" s="61">
        <f t="shared" si="1"/>
        <v>0</v>
      </c>
      <c r="L7063" s="62">
        <f t="shared" si="2"/>
        <v>1</v>
      </c>
    </row>
    <row r="7064">
      <c r="A7064" s="58">
        <v>45597.0</v>
      </c>
      <c r="B7064" s="24" t="s">
        <v>6787</v>
      </c>
      <c r="C7064" s="24" t="s">
        <v>7065</v>
      </c>
      <c r="D7064" s="59">
        <v>1.0</v>
      </c>
      <c r="E7064" s="59">
        <v>1.0</v>
      </c>
      <c r="F7064" s="59">
        <v>1.0</v>
      </c>
      <c r="G7064" s="60">
        <v>1.0</v>
      </c>
      <c r="H7064" s="60">
        <v>1.0</v>
      </c>
      <c r="I7064" s="60">
        <v>0.0</v>
      </c>
      <c r="J7064" s="59">
        <v>1.0</v>
      </c>
      <c r="K7064" s="61">
        <f t="shared" si="1"/>
        <v>1</v>
      </c>
      <c r="L7064" s="62">
        <f t="shared" si="2"/>
        <v>1</v>
      </c>
    </row>
    <row r="7065">
      <c r="A7065" s="58">
        <v>45597.0</v>
      </c>
      <c r="B7065" s="24" t="s">
        <v>6787</v>
      </c>
      <c r="C7065" s="24" t="s">
        <v>6880</v>
      </c>
      <c r="D7065" s="59">
        <v>1.0</v>
      </c>
      <c r="E7065" s="59">
        <v>1.0</v>
      </c>
      <c r="F7065" s="59">
        <v>1.0</v>
      </c>
      <c r="G7065" s="60">
        <v>1.0</v>
      </c>
      <c r="H7065" s="60">
        <v>1.0</v>
      </c>
      <c r="I7065" s="60">
        <v>0.0</v>
      </c>
      <c r="J7065" s="59">
        <v>1.0</v>
      </c>
      <c r="K7065" s="61">
        <f t="shared" si="1"/>
        <v>1</v>
      </c>
      <c r="L7065" s="62">
        <f t="shared" si="2"/>
        <v>1</v>
      </c>
    </row>
    <row r="7066">
      <c r="A7066" s="58">
        <v>45597.0</v>
      </c>
      <c r="B7066" s="24" t="s">
        <v>6787</v>
      </c>
      <c r="C7066" s="24" t="s">
        <v>6882</v>
      </c>
      <c r="D7066" s="59">
        <v>1.0</v>
      </c>
      <c r="E7066" s="59">
        <v>1.0</v>
      </c>
      <c r="F7066" s="59">
        <v>1.0</v>
      </c>
      <c r="G7066" s="60">
        <v>1.0</v>
      </c>
      <c r="H7066" s="60">
        <v>1.0</v>
      </c>
      <c r="I7066" s="60">
        <v>0.0</v>
      </c>
      <c r="J7066" s="59">
        <v>1.0</v>
      </c>
      <c r="K7066" s="61">
        <f t="shared" si="1"/>
        <v>1</v>
      </c>
      <c r="L7066" s="62">
        <f t="shared" si="2"/>
        <v>1</v>
      </c>
    </row>
    <row r="7067">
      <c r="A7067" s="58">
        <v>45597.0</v>
      </c>
      <c r="B7067" s="24" t="s">
        <v>6787</v>
      </c>
      <c r="C7067" s="24" t="s">
        <v>6990</v>
      </c>
      <c r="D7067" s="59">
        <v>1.0</v>
      </c>
      <c r="E7067" s="59">
        <v>1.0</v>
      </c>
      <c r="F7067" s="59">
        <v>1.0</v>
      </c>
      <c r="G7067" s="60">
        <v>1.0</v>
      </c>
      <c r="H7067" s="60">
        <v>1.0</v>
      </c>
      <c r="I7067" s="60">
        <v>0.0</v>
      </c>
      <c r="J7067" s="59">
        <v>1.0</v>
      </c>
      <c r="K7067" s="61">
        <f t="shared" si="1"/>
        <v>1</v>
      </c>
      <c r="L7067" s="62">
        <f t="shared" si="2"/>
        <v>1</v>
      </c>
    </row>
    <row r="7068">
      <c r="A7068" s="58">
        <v>45597.0</v>
      </c>
      <c r="B7068" s="24" t="s">
        <v>6787</v>
      </c>
      <c r="C7068" s="24" t="s">
        <v>7068</v>
      </c>
      <c r="D7068" s="59">
        <v>1.0</v>
      </c>
      <c r="E7068" s="59">
        <v>1.0</v>
      </c>
      <c r="F7068" s="59">
        <v>1.0</v>
      </c>
      <c r="G7068" s="60">
        <v>1.0</v>
      </c>
      <c r="H7068" s="60">
        <v>0.0</v>
      </c>
      <c r="I7068" s="60">
        <v>10.979462</v>
      </c>
      <c r="J7068" s="59">
        <v>1.0</v>
      </c>
      <c r="K7068" s="61">
        <f t="shared" si="1"/>
        <v>1</v>
      </c>
      <c r="L7068" s="62">
        <f t="shared" si="2"/>
        <v>1</v>
      </c>
    </row>
    <row r="7069">
      <c r="A7069" s="58">
        <v>45597.0</v>
      </c>
      <c r="B7069" s="24" t="s">
        <v>155</v>
      </c>
      <c r="C7069" s="24" t="s">
        <v>6835</v>
      </c>
      <c r="D7069" s="59">
        <v>1.0</v>
      </c>
      <c r="E7069" s="59">
        <v>1.0</v>
      </c>
      <c r="F7069" s="59">
        <v>0.0</v>
      </c>
      <c r="G7069" s="60">
        <v>1.0</v>
      </c>
      <c r="H7069" s="60">
        <v>0.0</v>
      </c>
      <c r="I7069" s="60">
        <v>2157.344774</v>
      </c>
      <c r="J7069" s="59">
        <v>1.0</v>
      </c>
      <c r="K7069" s="61">
        <f t="shared" si="1"/>
        <v>0</v>
      </c>
      <c r="L7069" s="62">
        <f t="shared" si="2"/>
        <v>1</v>
      </c>
    </row>
    <row r="7070">
      <c r="A7070" s="58">
        <v>45597.0</v>
      </c>
      <c r="B7070" s="24" t="s">
        <v>6789</v>
      </c>
      <c r="C7070" s="24" t="s">
        <v>6991</v>
      </c>
      <c r="D7070" s="59">
        <v>1.0</v>
      </c>
      <c r="E7070" s="59">
        <v>1.0</v>
      </c>
      <c r="F7070" s="59">
        <v>1.0</v>
      </c>
      <c r="G7070" s="60">
        <v>1.0</v>
      </c>
      <c r="H7070" s="60">
        <v>0.0</v>
      </c>
      <c r="I7070" s="60">
        <v>46.436596</v>
      </c>
      <c r="J7070" s="59">
        <v>2.0</v>
      </c>
      <c r="K7070" s="61">
        <f t="shared" si="1"/>
        <v>1</v>
      </c>
      <c r="L7070" s="62">
        <f t="shared" si="2"/>
        <v>2</v>
      </c>
    </row>
    <row r="7071">
      <c r="A7071" s="58">
        <v>45597.0</v>
      </c>
      <c r="B7071" s="24" t="s">
        <v>6787</v>
      </c>
      <c r="C7071" s="24" t="s">
        <v>7072</v>
      </c>
      <c r="D7071" s="59">
        <v>1.0</v>
      </c>
      <c r="E7071" s="59">
        <v>4.0</v>
      </c>
      <c r="F7071" s="59">
        <v>0.0</v>
      </c>
      <c r="G7071" s="60">
        <v>0.0</v>
      </c>
      <c r="H7071" s="60">
        <v>1.0</v>
      </c>
      <c r="I7071" s="60">
        <v>0.0</v>
      </c>
      <c r="J7071" s="59">
        <v>4.0</v>
      </c>
      <c r="K7071" s="61">
        <f t="shared" si="1"/>
        <v>0</v>
      </c>
      <c r="L7071" s="62">
        <f t="shared" si="2"/>
        <v>1</v>
      </c>
    </row>
    <row r="7072">
      <c r="A7072" s="58">
        <v>45597.0</v>
      </c>
      <c r="B7072" s="24" t="s">
        <v>6789</v>
      </c>
      <c r="C7072" s="24" t="s">
        <v>7072</v>
      </c>
      <c r="D7072" s="59">
        <v>1.0</v>
      </c>
      <c r="E7072" s="59">
        <v>1.0</v>
      </c>
      <c r="F7072" s="59">
        <v>1.0</v>
      </c>
      <c r="G7072" s="60">
        <v>1.0</v>
      </c>
      <c r="H7072" s="60">
        <v>1.0</v>
      </c>
      <c r="I7072" s="60">
        <v>0.0</v>
      </c>
      <c r="J7072" s="59">
        <v>1.0</v>
      </c>
      <c r="K7072" s="61">
        <f t="shared" si="1"/>
        <v>1</v>
      </c>
      <c r="L7072" s="62">
        <f t="shared" si="2"/>
        <v>1</v>
      </c>
    </row>
    <row r="7073">
      <c r="A7073" s="58">
        <v>45597.0</v>
      </c>
      <c r="B7073" s="24" t="s">
        <v>6787</v>
      </c>
      <c r="C7073" s="24" t="s">
        <v>6930</v>
      </c>
      <c r="D7073" s="59">
        <v>1.0</v>
      </c>
      <c r="E7073" s="59">
        <v>1.0</v>
      </c>
      <c r="F7073" s="59">
        <v>1.0</v>
      </c>
      <c r="G7073" s="60">
        <v>1.0</v>
      </c>
      <c r="H7073" s="60">
        <v>1.0</v>
      </c>
      <c r="I7073" s="60">
        <v>0.0</v>
      </c>
      <c r="J7073" s="59">
        <v>1.0</v>
      </c>
      <c r="K7073" s="61">
        <f t="shared" si="1"/>
        <v>1</v>
      </c>
      <c r="L7073" s="62">
        <f t="shared" si="2"/>
        <v>1</v>
      </c>
    </row>
    <row r="7074">
      <c r="A7074" s="58">
        <v>45597.0</v>
      </c>
      <c r="B7074" s="24" t="s">
        <v>6787</v>
      </c>
      <c r="C7074" s="24" t="s">
        <v>7074</v>
      </c>
      <c r="D7074" s="59">
        <v>1.0</v>
      </c>
      <c r="E7074" s="59">
        <v>1.0</v>
      </c>
      <c r="F7074" s="59">
        <v>1.0</v>
      </c>
      <c r="G7074" s="60">
        <v>1.0</v>
      </c>
      <c r="H7074" s="60">
        <v>1.0</v>
      </c>
      <c r="I7074" s="60">
        <v>0.0</v>
      </c>
      <c r="J7074" s="59">
        <v>1.0</v>
      </c>
      <c r="K7074" s="61">
        <f t="shared" si="1"/>
        <v>1</v>
      </c>
      <c r="L7074" s="62">
        <f t="shared" si="2"/>
        <v>1</v>
      </c>
    </row>
    <row r="7075">
      <c r="A7075" s="58">
        <v>45597.0</v>
      </c>
      <c r="B7075" s="24" t="s">
        <v>6789</v>
      </c>
      <c r="C7075" s="24" t="s">
        <v>6886</v>
      </c>
      <c r="D7075" s="59">
        <v>1.0</v>
      </c>
      <c r="E7075" s="59">
        <v>1.0</v>
      </c>
      <c r="F7075" s="59">
        <v>0.0</v>
      </c>
      <c r="G7075" s="60">
        <v>1.0</v>
      </c>
      <c r="H7075" s="60">
        <v>0.0</v>
      </c>
      <c r="I7075" s="60">
        <v>196.09878</v>
      </c>
      <c r="J7075" s="59">
        <v>1.0</v>
      </c>
      <c r="K7075" s="61">
        <f t="shared" si="1"/>
        <v>0</v>
      </c>
      <c r="L7075" s="62">
        <f t="shared" si="2"/>
        <v>1</v>
      </c>
    </row>
    <row r="7076">
      <c r="A7076" s="58">
        <v>45597.0</v>
      </c>
      <c r="B7076" s="24" t="s">
        <v>155</v>
      </c>
      <c r="C7076" s="24" t="s">
        <v>6799</v>
      </c>
      <c r="D7076" s="59">
        <v>1.0</v>
      </c>
      <c r="E7076" s="59">
        <v>1.0</v>
      </c>
      <c r="F7076" s="59">
        <v>0.0</v>
      </c>
      <c r="G7076" s="60">
        <v>1.0</v>
      </c>
      <c r="H7076" s="60">
        <v>0.0</v>
      </c>
      <c r="I7076" s="60">
        <v>1739.992285</v>
      </c>
      <c r="J7076" s="59">
        <v>7.0</v>
      </c>
      <c r="K7076" s="61">
        <f t="shared" si="1"/>
        <v>0</v>
      </c>
      <c r="L7076" s="62">
        <f t="shared" si="2"/>
        <v>7</v>
      </c>
    </row>
    <row r="7077">
      <c r="A7077" s="58">
        <v>45597.0</v>
      </c>
      <c r="B7077" s="24" t="s">
        <v>6789</v>
      </c>
      <c r="C7077" s="24" t="s">
        <v>7520</v>
      </c>
      <c r="D7077" s="59">
        <v>1.0</v>
      </c>
      <c r="E7077" s="59">
        <v>5.0</v>
      </c>
      <c r="F7077" s="59">
        <v>0.0</v>
      </c>
      <c r="G7077" s="60">
        <v>5.0</v>
      </c>
      <c r="H7077" s="60">
        <v>0.0</v>
      </c>
      <c r="I7077" s="60">
        <v>821.7688484</v>
      </c>
      <c r="J7077" s="59">
        <v>17.0</v>
      </c>
      <c r="K7077" s="61">
        <f t="shared" si="1"/>
        <v>0</v>
      </c>
      <c r="L7077" s="62">
        <f t="shared" si="2"/>
        <v>3.4</v>
      </c>
    </row>
    <row r="7078">
      <c r="A7078" s="58">
        <v>45597.0</v>
      </c>
      <c r="B7078" s="24" t="s">
        <v>6790</v>
      </c>
      <c r="C7078" s="24" t="s">
        <v>7520</v>
      </c>
      <c r="D7078" s="59">
        <v>1.0</v>
      </c>
      <c r="E7078" s="59">
        <v>1.0</v>
      </c>
      <c r="F7078" s="59">
        <v>0.0</v>
      </c>
      <c r="G7078" s="60">
        <v>1.0</v>
      </c>
      <c r="H7078" s="60">
        <v>1.0</v>
      </c>
      <c r="I7078" s="60">
        <v>284.292103</v>
      </c>
      <c r="J7078" s="59">
        <v>6.0</v>
      </c>
      <c r="K7078" s="61">
        <f t="shared" si="1"/>
        <v>0</v>
      </c>
      <c r="L7078" s="62">
        <f t="shared" si="2"/>
        <v>6</v>
      </c>
    </row>
    <row r="7079">
      <c r="A7079" s="58">
        <v>45597.0</v>
      </c>
      <c r="B7079" s="24" t="s">
        <v>6787</v>
      </c>
      <c r="C7079" s="24" t="s">
        <v>6838</v>
      </c>
      <c r="D7079" s="59">
        <v>1.0</v>
      </c>
      <c r="E7079" s="59">
        <v>1.0</v>
      </c>
      <c r="F7079" s="59">
        <v>1.0</v>
      </c>
      <c r="G7079" s="60">
        <v>1.0</v>
      </c>
      <c r="H7079" s="60">
        <v>0.0</v>
      </c>
      <c r="I7079" s="60">
        <v>211.442689</v>
      </c>
      <c r="J7079" s="59">
        <v>3.0</v>
      </c>
      <c r="K7079" s="61">
        <f t="shared" si="1"/>
        <v>1</v>
      </c>
      <c r="L7079" s="62">
        <f t="shared" si="2"/>
        <v>3</v>
      </c>
    </row>
    <row r="7080">
      <c r="A7080" s="58">
        <v>45597.0</v>
      </c>
      <c r="B7080" s="24" t="s">
        <v>6790</v>
      </c>
      <c r="C7080" s="24" t="s">
        <v>6838</v>
      </c>
      <c r="D7080" s="59">
        <v>1.0</v>
      </c>
      <c r="E7080" s="59">
        <v>1.0</v>
      </c>
      <c r="F7080" s="59">
        <v>0.0</v>
      </c>
      <c r="G7080" s="60">
        <v>0.0</v>
      </c>
      <c r="H7080" s="60">
        <v>1.0</v>
      </c>
      <c r="I7080" s="60">
        <v>0.0</v>
      </c>
      <c r="J7080" s="59">
        <v>1.0</v>
      </c>
      <c r="K7080" s="61">
        <f t="shared" si="1"/>
        <v>0</v>
      </c>
      <c r="L7080" s="62">
        <f t="shared" si="2"/>
        <v>1</v>
      </c>
    </row>
    <row r="7081">
      <c r="A7081" s="58">
        <v>45597.0</v>
      </c>
      <c r="B7081" s="24" t="s">
        <v>155</v>
      </c>
      <c r="C7081" s="24" t="s">
        <v>6997</v>
      </c>
      <c r="D7081" s="59">
        <v>1.0</v>
      </c>
      <c r="E7081" s="59">
        <v>1.0</v>
      </c>
      <c r="F7081" s="59">
        <v>0.0</v>
      </c>
      <c r="G7081" s="60">
        <v>1.0</v>
      </c>
      <c r="H7081" s="60">
        <v>0.0</v>
      </c>
      <c r="I7081" s="60">
        <v>123.475829</v>
      </c>
      <c r="J7081" s="59">
        <v>1.0</v>
      </c>
      <c r="K7081" s="61">
        <f t="shared" si="1"/>
        <v>0</v>
      </c>
      <c r="L7081" s="62">
        <f t="shared" si="2"/>
        <v>1</v>
      </c>
    </row>
    <row r="7082">
      <c r="A7082" s="58">
        <v>45597.0</v>
      </c>
      <c r="B7082" s="24" t="s">
        <v>6789</v>
      </c>
      <c r="C7082" s="24" t="s">
        <v>6839</v>
      </c>
      <c r="D7082" s="59">
        <v>1.0</v>
      </c>
      <c r="E7082" s="59">
        <v>1.0</v>
      </c>
      <c r="F7082" s="59">
        <v>0.0</v>
      </c>
      <c r="G7082" s="60">
        <v>1.0</v>
      </c>
      <c r="H7082" s="60">
        <v>0.0</v>
      </c>
      <c r="I7082" s="60">
        <v>163.733439</v>
      </c>
      <c r="J7082" s="59">
        <v>2.0</v>
      </c>
      <c r="K7082" s="61">
        <f t="shared" si="1"/>
        <v>0</v>
      </c>
      <c r="L7082" s="62">
        <f t="shared" si="2"/>
        <v>2</v>
      </c>
    </row>
    <row r="7083">
      <c r="A7083" s="58">
        <v>45597.0</v>
      </c>
      <c r="B7083" s="24" t="s">
        <v>6790</v>
      </c>
      <c r="C7083" s="24" t="s">
        <v>6840</v>
      </c>
      <c r="D7083" s="59">
        <v>1.0</v>
      </c>
      <c r="E7083" s="59">
        <v>1.0</v>
      </c>
      <c r="F7083" s="59">
        <v>1.0</v>
      </c>
      <c r="G7083" s="60">
        <v>1.0</v>
      </c>
      <c r="H7083" s="60">
        <v>1.0</v>
      </c>
      <c r="I7083" s="60">
        <v>0.0</v>
      </c>
      <c r="J7083" s="59">
        <v>1.0</v>
      </c>
      <c r="K7083" s="61">
        <f t="shared" si="1"/>
        <v>1</v>
      </c>
      <c r="L7083" s="62">
        <f t="shared" si="2"/>
        <v>1</v>
      </c>
    </row>
    <row r="7084">
      <c r="A7084" s="58">
        <v>45597.0</v>
      </c>
      <c r="B7084" s="24" t="s">
        <v>6787</v>
      </c>
      <c r="C7084" s="24" t="s">
        <v>7438</v>
      </c>
      <c r="D7084" s="59">
        <v>1.0</v>
      </c>
      <c r="E7084" s="59">
        <v>1.0</v>
      </c>
      <c r="F7084" s="59">
        <v>1.0</v>
      </c>
      <c r="G7084" s="60">
        <v>1.0</v>
      </c>
      <c r="H7084" s="60">
        <v>1.0</v>
      </c>
      <c r="I7084" s="60">
        <v>0.0</v>
      </c>
      <c r="J7084" s="59">
        <v>1.0</v>
      </c>
      <c r="K7084" s="61">
        <f t="shared" si="1"/>
        <v>1</v>
      </c>
      <c r="L7084" s="62">
        <f t="shared" si="2"/>
        <v>1</v>
      </c>
    </row>
    <row r="7085">
      <c r="A7085" s="58">
        <v>45597.0</v>
      </c>
      <c r="B7085" s="24" t="s">
        <v>6787</v>
      </c>
      <c r="C7085" s="24" t="s">
        <v>7129</v>
      </c>
      <c r="D7085" s="59">
        <v>1.0</v>
      </c>
      <c r="E7085" s="59">
        <v>1.0</v>
      </c>
      <c r="F7085" s="59">
        <v>1.0</v>
      </c>
      <c r="G7085" s="60">
        <v>1.0</v>
      </c>
      <c r="H7085" s="60">
        <v>1.0</v>
      </c>
      <c r="I7085" s="60">
        <v>2.296257</v>
      </c>
      <c r="J7085" s="59">
        <v>1.0</v>
      </c>
      <c r="K7085" s="61">
        <f t="shared" si="1"/>
        <v>1</v>
      </c>
      <c r="L7085" s="62">
        <f t="shared" si="2"/>
        <v>1</v>
      </c>
    </row>
    <row r="7086">
      <c r="A7086" s="58">
        <v>45597.0</v>
      </c>
      <c r="B7086" s="24" t="s">
        <v>6789</v>
      </c>
      <c r="C7086" s="24" t="s">
        <v>6896</v>
      </c>
      <c r="D7086" s="59">
        <v>1.0</v>
      </c>
      <c r="E7086" s="59">
        <v>5.0</v>
      </c>
      <c r="F7086" s="59">
        <v>0.0</v>
      </c>
      <c r="G7086" s="60">
        <v>5.0</v>
      </c>
      <c r="H7086" s="60">
        <v>0.6</v>
      </c>
      <c r="I7086" s="60">
        <v>11.5763693999999</v>
      </c>
      <c r="J7086" s="59">
        <v>6.0</v>
      </c>
      <c r="K7086" s="61">
        <f t="shared" si="1"/>
        <v>0</v>
      </c>
      <c r="L7086" s="62">
        <f t="shared" si="2"/>
        <v>1.2</v>
      </c>
    </row>
    <row r="7087">
      <c r="A7087" s="58">
        <v>45597.0</v>
      </c>
      <c r="B7087" s="24" t="s">
        <v>155</v>
      </c>
      <c r="C7087" s="24" t="s">
        <v>6896</v>
      </c>
      <c r="D7087" s="59">
        <v>1.0</v>
      </c>
      <c r="E7087" s="59">
        <v>1.0</v>
      </c>
      <c r="F7087" s="59">
        <v>0.0</v>
      </c>
      <c r="G7087" s="60">
        <v>1.0</v>
      </c>
      <c r="H7087" s="60">
        <v>0.0</v>
      </c>
      <c r="I7087" s="60">
        <v>71.259304</v>
      </c>
      <c r="J7087" s="59">
        <v>2.0</v>
      </c>
      <c r="K7087" s="61">
        <f t="shared" si="1"/>
        <v>0</v>
      </c>
      <c r="L7087" s="62">
        <f t="shared" si="2"/>
        <v>2</v>
      </c>
    </row>
    <row r="7088">
      <c r="A7088" s="58">
        <v>45597.0</v>
      </c>
      <c r="B7088" s="24" t="s">
        <v>6787</v>
      </c>
      <c r="C7088" s="24" t="s">
        <v>6897</v>
      </c>
      <c r="D7088" s="59">
        <v>1.0</v>
      </c>
      <c r="E7088" s="59">
        <v>1.0</v>
      </c>
      <c r="F7088" s="59">
        <v>1.0</v>
      </c>
      <c r="G7088" s="60">
        <v>1.0</v>
      </c>
      <c r="H7088" s="60">
        <v>1.0</v>
      </c>
      <c r="I7088" s="60">
        <v>0.0</v>
      </c>
      <c r="J7088" s="59">
        <v>1.0</v>
      </c>
      <c r="K7088" s="61">
        <f t="shared" si="1"/>
        <v>1</v>
      </c>
      <c r="L7088" s="62">
        <f t="shared" si="2"/>
        <v>1</v>
      </c>
    </row>
    <row r="7089">
      <c r="A7089" s="58">
        <v>45597.0</v>
      </c>
      <c r="B7089" s="24" t="s">
        <v>6789</v>
      </c>
      <c r="C7089" s="24" t="s">
        <v>7521</v>
      </c>
      <c r="D7089" s="59">
        <v>1.0</v>
      </c>
      <c r="E7089" s="59">
        <v>1.0</v>
      </c>
      <c r="F7089" s="59">
        <v>0.0</v>
      </c>
      <c r="G7089" s="60">
        <v>1.0</v>
      </c>
      <c r="H7089" s="60">
        <v>1.0</v>
      </c>
      <c r="I7089" s="60">
        <v>1.458527</v>
      </c>
      <c r="J7089" s="59">
        <v>1.0</v>
      </c>
      <c r="K7089" s="61">
        <f t="shared" si="1"/>
        <v>0</v>
      </c>
      <c r="L7089" s="62">
        <f t="shared" si="2"/>
        <v>1</v>
      </c>
    </row>
    <row r="7090">
      <c r="A7090" s="58">
        <v>45597.0</v>
      </c>
      <c r="B7090" s="24" t="s">
        <v>155</v>
      </c>
      <c r="C7090" s="24" t="s">
        <v>7521</v>
      </c>
      <c r="D7090" s="59">
        <v>1.0</v>
      </c>
      <c r="E7090" s="59">
        <v>1.0</v>
      </c>
      <c r="F7090" s="59">
        <v>0.0</v>
      </c>
      <c r="G7090" s="60">
        <v>1.0</v>
      </c>
      <c r="H7090" s="60">
        <v>0.0</v>
      </c>
      <c r="I7090" s="60">
        <v>159.183158</v>
      </c>
      <c r="J7090" s="59">
        <v>3.0</v>
      </c>
      <c r="K7090" s="61">
        <f t="shared" si="1"/>
        <v>0</v>
      </c>
      <c r="L7090" s="62">
        <f t="shared" si="2"/>
        <v>3</v>
      </c>
    </row>
    <row r="7091">
      <c r="A7091" s="58">
        <v>45597.0</v>
      </c>
      <c r="B7091" s="24" t="s">
        <v>6787</v>
      </c>
      <c r="C7091" s="24" t="s">
        <v>7519</v>
      </c>
      <c r="D7091" s="59">
        <v>1.0</v>
      </c>
      <c r="E7091" s="59">
        <v>1.0</v>
      </c>
      <c r="F7091" s="59">
        <v>0.0</v>
      </c>
      <c r="G7091" s="60">
        <v>1.0</v>
      </c>
      <c r="H7091" s="60">
        <v>0.0</v>
      </c>
      <c r="I7091" s="60">
        <v>80.700147</v>
      </c>
      <c r="J7091" s="59">
        <v>2.0</v>
      </c>
      <c r="K7091" s="61">
        <f t="shared" si="1"/>
        <v>0</v>
      </c>
      <c r="L7091" s="62">
        <f t="shared" si="2"/>
        <v>2</v>
      </c>
    </row>
    <row r="7092">
      <c r="A7092" s="58">
        <v>45597.0</v>
      </c>
      <c r="B7092" s="24" t="s">
        <v>6789</v>
      </c>
      <c r="C7092" s="24" t="s">
        <v>7522</v>
      </c>
      <c r="D7092" s="59">
        <v>1.0</v>
      </c>
      <c r="E7092" s="59">
        <v>1.0</v>
      </c>
      <c r="F7092" s="59">
        <v>0.0</v>
      </c>
      <c r="G7092" s="60">
        <v>1.0</v>
      </c>
      <c r="H7092" s="60">
        <v>1.0</v>
      </c>
      <c r="I7092" s="60">
        <v>4.538534</v>
      </c>
      <c r="J7092" s="59">
        <v>1.0</v>
      </c>
      <c r="K7092" s="61">
        <f t="shared" si="1"/>
        <v>0</v>
      </c>
      <c r="L7092" s="62">
        <f t="shared" si="2"/>
        <v>1</v>
      </c>
    </row>
    <row r="7093">
      <c r="A7093" s="58">
        <v>45597.0</v>
      </c>
      <c r="B7093" s="24" t="s">
        <v>155</v>
      </c>
      <c r="C7093" s="24" t="s">
        <v>6898</v>
      </c>
      <c r="D7093" s="59">
        <v>1.0</v>
      </c>
      <c r="E7093" s="59">
        <v>2.0</v>
      </c>
      <c r="F7093" s="59">
        <v>0.0</v>
      </c>
      <c r="G7093" s="60">
        <v>2.0</v>
      </c>
      <c r="H7093" s="60">
        <v>1.0</v>
      </c>
      <c r="I7093" s="60">
        <v>4.979031</v>
      </c>
      <c r="J7093" s="59">
        <v>2.0</v>
      </c>
      <c r="K7093" s="61">
        <f t="shared" si="1"/>
        <v>0</v>
      </c>
      <c r="L7093" s="62">
        <f t="shared" si="2"/>
        <v>1</v>
      </c>
    </row>
    <row r="7094">
      <c r="A7094" s="58">
        <v>45597.0</v>
      </c>
      <c r="B7094" s="24" t="s">
        <v>6787</v>
      </c>
      <c r="C7094" s="24" t="s">
        <v>7523</v>
      </c>
      <c r="D7094" s="59">
        <v>1.0</v>
      </c>
      <c r="E7094" s="59">
        <v>1.0</v>
      </c>
      <c r="F7094" s="59">
        <v>0.0</v>
      </c>
      <c r="G7094" s="60">
        <v>1.0</v>
      </c>
      <c r="H7094" s="60">
        <v>0.0</v>
      </c>
      <c r="I7094" s="60">
        <v>216.486212</v>
      </c>
      <c r="J7094" s="59">
        <v>3.0</v>
      </c>
      <c r="K7094" s="61">
        <f t="shared" si="1"/>
        <v>0</v>
      </c>
      <c r="L7094" s="62">
        <f t="shared" si="2"/>
        <v>3</v>
      </c>
    </row>
    <row r="7095">
      <c r="A7095" s="58">
        <v>45597.0</v>
      </c>
      <c r="B7095" s="24" t="s">
        <v>6787</v>
      </c>
      <c r="C7095" s="24" t="s">
        <v>7441</v>
      </c>
      <c r="D7095" s="59">
        <v>1.0</v>
      </c>
      <c r="E7095" s="59">
        <v>1.0</v>
      </c>
      <c r="F7095" s="59">
        <v>0.0</v>
      </c>
      <c r="G7095" s="60">
        <v>1.0</v>
      </c>
      <c r="H7095" s="60">
        <v>1.0</v>
      </c>
      <c r="I7095" s="60">
        <v>0.00229</v>
      </c>
      <c r="J7095" s="59">
        <v>1.0</v>
      </c>
      <c r="K7095" s="61">
        <f t="shared" si="1"/>
        <v>0</v>
      </c>
      <c r="L7095" s="62">
        <f t="shared" si="2"/>
        <v>1</v>
      </c>
    </row>
    <row r="7096">
      <c r="A7096" s="58">
        <v>45597.0</v>
      </c>
      <c r="B7096" s="24" t="s">
        <v>6787</v>
      </c>
      <c r="C7096" s="24" t="s">
        <v>7512</v>
      </c>
      <c r="D7096" s="59">
        <v>1.0</v>
      </c>
      <c r="E7096" s="59">
        <v>1.0</v>
      </c>
      <c r="F7096" s="59">
        <v>0.0</v>
      </c>
      <c r="G7096" s="60">
        <v>1.0</v>
      </c>
      <c r="H7096" s="60">
        <v>1.0</v>
      </c>
      <c r="I7096" s="60">
        <v>6.333071</v>
      </c>
      <c r="J7096" s="59">
        <v>1.0</v>
      </c>
      <c r="K7096" s="61">
        <f t="shared" si="1"/>
        <v>0</v>
      </c>
      <c r="L7096" s="62">
        <f t="shared" si="2"/>
        <v>1</v>
      </c>
    </row>
    <row r="7097">
      <c r="A7097" s="58">
        <v>45597.0</v>
      </c>
      <c r="B7097" s="24" t="s">
        <v>155</v>
      </c>
      <c r="C7097" s="24" t="s">
        <v>7009</v>
      </c>
      <c r="D7097" s="59">
        <v>1.0</v>
      </c>
      <c r="E7097" s="59">
        <v>2.0</v>
      </c>
      <c r="F7097" s="59">
        <v>1.0</v>
      </c>
      <c r="G7097" s="60">
        <v>2.0</v>
      </c>
      <c r="H7097" s="60">
        <v>1.0</v>
      </c>
      <c r="I7097" s="60">
        <v>0.0</v>
      </c>
      <c r="J7097" s="59">
        <v>2.0</v>
      </c>
      <c r="K7097" s="61">
        <f t="shared" si="1"/>
        <v>0.5</v>
      </c>
      <c r="L7097" s="62">
        <f t="shared" si="2"/>
        <v>1</v>
      </c>
    </row>
    <row r="7098">
      <c r="A7098" s="58">
        <v>45597.0</v>
      </c>
      <c r="B7098" s="24" t="s">
        <v>6787</v>
      </c>
      <c r="C7098" s="24" t="s">
        <v>7401</v>
      </c>
      <c r="D7098" s="59">
        <v>1.0</v>
      </c>
      <c r="E7098" s="59">
        <v>1.0</v>
      </c>
      <c r="F7098" s="59">
        <v>1.0</v>
      </c>
      <c r="G7098" s="60">
        <v>1.0</v>
      </c>
      <c r="H7098" s="60">
        <v>0.0</v>
      </c>
      <c r="I7098" s="60">
        <v>296.339168</v>
      </c>
      <c r="J7098" s="59">
        <v>5.0</v>
      </c>
      <c r="K7098" s="61">
        <f t="shared" si="1"/>
        <v>1</v>
      </c>
      <c r="L7098" s="62">
        <f t="shared" si="2"/>
        <v>5</v>
      </c>
    </row>
    <row r="7099">
      <c r="A7099" s="58">
        <v>45597.0</v>
      </c>
      <c r="B7099" s="24" t="s">
        <v>6789</v>
      </c>
      <c r="C7099" s="24" t="s">
        <v>7234</v>
      </c>
      <c r="D7099" s="59">
        <v>1.0</v>
      </c>
      <c r="E7099" s="59">
        <v>1.0</v>
      </c>
      <c r="F7099" s="59">
        <v>0.0</v>
      </c>
      <c r="G7099" s="60">
        <v>1.0</v>
      </c>
      <c r="H7099" s="60">
        <v>0.0</v>
      </c>
      <c r="I7099" s="60">
        <v>845.50885</v>
      </c>
      <c r="J7099" s="59">
        <v>4.0</v>
      </c>
      <c r="K7099" s="61">
        <f t="shared" si="1"/>
        <v>0</v>
      </c>
      <c r="L7099" s="62">
        <f t="shared" si="2"/>
        <v>4</v>
      </c>
    </row>
    <row r="7100">
      <c r="A7100" s="58">
        <v>45597.0</v>
      </c>
      <c r="B7100" s="24" t="s">
        <v>6789</v>
      </c>
      <c r="C7100" s="24" t="s">
        <v>7232</v>
      </c>
      <c r="D7100" s="59">
        <v>1.0</v>
      </c>
      <c r="E7100" s="59">
        <v>1.0</v>
      </c>
      <c r="F7100" s="59">
        <v>0.0</v>
      </c>
      <c r="G7100" s="60">
        <v>0.0</v>
      </c>
      <c r="H7100" s="60">
        <v>1.0</v>
      </c>
      <c r="I7100" s="60">
        <v>0.0</v>
      </c>
      <c r="J7100" s="59">
        <v>1.0</v>
      </c>
      <c r="K7100" s="61">
        <f t="shared" si="1"/>
        <v>0</v>
      </c>
      <c r="L7100" s="62">
        <f t="shared" si="2"/>
        <v>1</v>
      </c>
    </row>
    <row r="7101">
      <c r="A7101" s="58">
        <v>45597.0</v>
      </c>
      <c r="B7101" s="24" t="s">
        <v>6789</v>
      </c>
      <c r="C7101" s="24" t="s">
        <v>7261</v>
      </c>
      <c r="D7101" s="59">
        <v>1.0</v>
      </c>
      <c r="E7101" s="59">
        <v>1.0</v>
      </c>
      <c r="F7101" s="59">
        <v>0.0</v>
      </c>
      <c r="G7101" s="60">
        <v>1.0</v>
      </c>
      <c r="H7101" s="60">
        <v>0.0</v>
      </c>
      <c r="I7101" s="60">
        <v>2619.928643</v>
      </c>
      <c r="J7101" s="59">
        <v>9.0</v>
      </c>
      <c r="K7101" s="61">
        <f t="shared" si="1"/>
        <v>0</v>
      </c>
      <c r="L7101" s="62">
        <f t="shared" si="2"/>
        <v>9</v>
      </c>
    </row>
    <row r="7102">
      <c r="A7102" s="58">
        <v>45597.0</v>
      </c>
      <c r="B7102" s="24" t="s">
        <v>6787</v>
      </c>
      <c r="C7102" s="24" t="s">
        <v>6808</v>
      </c>
      <c r="D7102" s="59">
        <v>1.0</v>
      </c>
      <c r="E7102" s="59">
        <v>1.0</v>
      </c>
      <c r="F7102" s="59">
        <v>1.0</v>
      </c>
      <c r="G7102" s="60">
        <v>1.0</v>
      </c>
      <c r="H7102" s="60">
        <v>0.0</v>
      </c>
      <c r="I7102" s="60">
        <v>11.608615</v>
      </c>
      <c r="J7102" s="59">
        <v>1.0</v>
      </c>
      <c r="K7102" s="61">
        <f t="shared" si="1"/>
        <v>1</v>
      </c>
      <c r="L7102" s="62">
        <f t="shared" si="2"/>
        <v>1</v>
      </c>
    </row>
    <row r="7103">
      <c r="A7103" s="58">
        <v>45597.0</v>
      </c>
      <c r="B7103" s="24" t="s">
        <v>155</v>
      </c>
      <c r="C7103" s="24" t="s">
        <v>6808</v>
      </c>
      <c r="D7103" s="59">
        <v>1.0</v>
      </c>
      <c r="E7103" s="59">
        <v>1.0</v>
      </c>
      <c r="F7103" s="59">
        <v>0.0</v>
      </c>
      <c r="G7103" s="60">
        <v>1.0</v>
      </c>
      <c r="H7103" s="60">
        <v>0.0</v>
      </c>
      <c r="I7103" s="60">
        <v>21.723295</v>
      </c>
      <c r="J7103" s="59">
        <v>1.0</v>
      </c>
      <c r="K7103" s="61">
        <f t="shared" si="1"/>
        <v>0</v>
      </c>
      <c r="L7103" s="62">
        <f t="shared" si="2"/>
        <v>1</v>
      </c>
    </row>
    <row r="7104">
      <c r="A7104" s="58">
        <v>45597.0</v>
      </c>
      <c r="B7104" s="24" t="s">
        <v>6794</v>
      </c>
      <c r="C7104" s="24" t="s">
        <v>7026</v>
      </c>
      <c r="D7104" s="59">
        <v>1.0</v>
      </c>
      <c r="E7104" s="59">
        <v>1.0</v>
      </c>
      <c r="F7104" s="59">
        <v>0.0</v>
      </c>
      <c r="G7104" s="60">
        <v>1.0</v>
      </c>
      <c r="H7104" s="60">
        <v>0.0</v>
      </c>
      <c r="I7104" s="60">
        <v>1864.839595</v>
      </c>
      <c r="J7104" s="59">
        <v>5.0</v>
      </c>
      <c r="K7104" s="61">
        <f t="shared" si="1"/>
        <v>0</v>
      </c>
      <c r="L7104" s="62">
        <f t="shared" si="2"/>
        <v>5</v>
      </c>
    </row>
    <row r="7105">
      <c r="A7105" s="58">
        <v>45597.0</v>
      </c>
      <c r="B7105" s="24" t="s">
        <v>6794</v>
      </c>
      <c r="C7105" s="24" t="s">
        <v>7158</v>
      </c>
      <c r="D7105" s="59">
        <v>1.0</v>
      </c>
      <c r="E7105" s="59">
        <v>1.0</v>
      </c>
      <c r="F7105" s="59">
        <v>1.0</v>
      </c>
      <c r="G7105" s="60">
        <v>1.0</v>
      </c>
      <c r="H7105" s="60">
        <v>0.0</v>
      </c>
      <c r="I7105" s="60">
        <v>14.828267</v>
      </c>
      <c r="J7105" s="59">
        <v>1.0</v>
      </c>
      <c r="K7105" s="61">
        <f t="shared" si="1"/>
        <v>1</v>
      </c>
      <c r="L7105" s="62">
        <f t="shared" si="2"/>
        <v>1</v>
      </c>
    </row>
    <row r="7106">
      <c r="A7106" s="58">
        <v>45597.0</v>
      </c>
      <c r="B7106" s="24" t="s">
        <v>155</v>
      </c>
      <c r="C7106" s="24" t="s">
        <v>7189</v>
      </c>
      <c r="D7106" s="59">
        <v>1.0</v>
      </c>
      <c r="E7106" s="59">
        <v>1.0</v>
      </c>
      <c r="F7106" s="59">
        <v>0.0</v>
      </c>
      <c r="G7106" s="60">
        <v>1.0</v>
      </c>
      <c r="H7106" s="60">
        <v>0.0</v>
      </c>
      <c r="I7106" s="60">
        <v>922.916777</v>
      </c>
      <c r="J7106" s="59">
        <v>3.0</v>
      </c>
      <c r="K7106" s="61">
        <f t="shared" si="1"/>
        <v>0</v>
      </c>
      <c r="L7106" s="62">
        <f t="shared" si="2"/>
        <v>3</v>
      </c>
    </row>
    <row r="7107">
      <c r="A7107" s="58">
        <v>45597.0</v>
      </c>
      <c r="B7107" s="24" t="s">
        <v>6794</v>
      </c>
      <c r="C7107" s="24" t="s">
        <v>7090</v>
      </c>
      <c r="D7107" s="59">
        <v>1.0</v>
      </c>
      <c r="E7107" s="59">
        <v>1.0</v>
      </c>
      <c r="F7107" s="59">
        <v>1.0</v>
      </c>
      <c r="G7107" s="60">
        <v>1.0</v>
      </c>
      <c r="H7107" s="60">
        <v>1.0</v>
      </c>
      <c r="I7107" s="60">
        <v>0.0</v>
      </c>
      <c r="J7107" s="59">
        <v>1.0</v>
      </c>
      <c r="K7107" s="61">
        <f t="shared" si="1"/>
        <v>1</v>
      </c>
      <c r="L7107" s="62">
        <f t="shared" si="2"/>
        <v>1</v>
      </c>
    </row>
    <row r="7108">
      <c r="A7108" s="58">
        <v>45597.0</v>
      </c>
      <c r="B7108" s="24" t="s">
        <v>6794</v>
      </c>
      <c r="C7108" s="24" t="s">
        <v>7160</v>
      </c>
      <c r="D7108" s="59">
        <v>1.0</v>
      </c>
      <c r="E7108" s="59">
        <v>1.0</v>
      </c>
      <c r="F7108" s="59">
        <v>1.0</v>
      </c>
      <c r="G7108" s="60">
        <v>1.0</v>
      </c>
      <c r="H7108" s="60">
        <v>1.0</v>
      </c>
      <c r="I7108" s="60">
        <v>0.0</v>
      </c>
      <c r="J7108" s="59">
        <v>1.0</v>
      </c>
      <c r="K7108" s="61">
        <f t="shared" si="1"/>
        <v>1</v>
      </c>
      <c r="L7108" s="62">
        <f t="shared" si="2"/>
        <v>1</v>
      </c>
    </row>
    <row r="7109">
      <c r="A7109" s="58">
        <v>45597.0</v>
      </c>
      <c r="B7109" s="24" t="s">
        <v>6789</v>
      </c>
      <c r="C7109" s="24" t="s">
        <v>7022</v>
      </c>
      <c r="D7109" s="59">
        <v>1.0</v>
      </c>
      <c r="E7109" s="59">
        <v>1.0</v>
      </c>
      <c r="F7109" s="59">
        <v>0.0</v>
      </c>
      <c r="G7109" s="60">
        <v>1.0</v>
      </c>
      <c r="H7109" s="60">
        <v>1.0</v>
      </c>
      <c r="I7109" s="60">
        <v>9.874026</v>
      </c>
      <c r="J7109" s="59">
        <v>1.0</v>
      </c>
      <c r="K7109" s="61">
        <f t="shared" si="1"/>
        <v>0</v>
      </c>
      <c r="L7109" s="62">
        <f t="shared" si="2"/>
        <v>1</v>
      </c>
    </row>
    <row r="7110">
      <c r="A7110" s="58">
        <v>45597.0</v>
      </c>
      <c r="B7110" s="24" t="s">
        <v>155</v>
      </c>
      <c r="C7110" s="24" t="s">
        <v>7022</v>
      </c>
      <c r="D7110" s="59">
        <v>1.0</v>
      </c>
      <c r="E7110" s="59">
        <v>1.0</v>
      </c>
      <c r="F7110" s="59">
        <v>0.0</v>
      </c>
      <c r="G7110" s="60">
        <v>1.0</v>
      </c>
      <c r="H7110" s="60">
        <v>0.0</v>
      </c>
      <c r="I7110" s="60">
        <v>1925.142639</v>
      </c>
      <c r="J7110" s="59">
        <v>11.0</v>
      </c>
      <c r="K7110" s="61">
        <f t="shared" si="1"/>
        <v>0</v>
      </c>
      <c r="L7110" s="62">
        <f t="shared" si="2"/>
        <v>11</v>
      </c>
    </row>
    <row r="7111">
      <c r="A7111" s="58">
        <v>45597.0</v>
      </c>
      <c r="B7111" s="24" t="s">
        <v>6789</v>
      </c>
      <c r="C7111" s="24" t="s">
        <v>7130</v>
      </c>
      <c r="D7111" s="59">
        <v>1.0</v>
      </c>
      <c r="E7111" s="59">
        <v>1.0</v>
      </c>
      <c r="F7111" s="59">
        <v>1.0</v>
      </c>
      <c r="G7111" s="60">
        <v>1.0</v>
      </c>
      <c r="H7111" s="60">
        <v>0.0</v>
      </c>
      <c r="I7111" s="60">
        <v>10.794928</v>
      </c>
      <c r="J7111" s="59">
        <v>1.0</v>
      </c>
      <c r="K7111" s="61">
        <f t="shared" si="1"/>
        <v>1</v>
      </c>
      <c r="L7111" s="62">
        <f t="shared" si="2"/>
        <v>1</v>
      </c>
    </row>
    <row r="7112">
      <c r="A7112" s="58">
        <v>45597.0</v>
      </c>
      <c r="B7112" s="24" t="s">
        <v>6789</v>
      </c>
      <c r="C7112" s="24" t="s">
        <v>7131</v>
      </c>
      <c r="D7112" s="59">
        <v>1.0</v>
      </c>
      <c r="E7112" s="59">
        <v>1.0</v>
      </c>
      <c r="F7112" s="59">
        <v>1.0</v>
      </c>
      <c r="G7112" s="60">
        <v>1.0</v>
      </c>
      <c r="H7112" s="60">
        <v>0.0</v>
      </c>
      <c r="I7112" s="60">
        <v>1532.20143</v>
      </c>
      <c r="J7112" s="59">
        <v>2.0</v>
      </c>
      <c r="K7112" s="61">
        <f t="shared" si="1"/>
        <v>1</v>
      </c>
      <c r="L7112" s="62">
        <f t="shared" si="2"/>
        <v>2</v>
      </c>
    </row>
    <row r="7113">
      <c r="A7113" s="58">
        <v>45597.0</v>
      </c>
      <c r="B7113" s="24" t="s">
        <v>155</v>
      </c>
      <c r="C7113" s="24" t="s">
        <v>7131</v>
      </c>
      <c r="D7113" s="59">
        <v>1.0</v>
      </c>
      <c r="E7113" s="59">
        <v>1.0</v>
      </c>
      <c r="F7113" s="59">
        <v>0.0</v>
      </c>
      <c r="G7113" s="60">
        <v>1.0</v>
      </c>
      <c r="H7113" s="60">
        <v>1.0</v>
      </c>
      <c r="I7113" s="60">
        <v>0.0</v>
      </c>
      <c r="J7113" s="59">
        <v>1.0</v>
      </c>
      <c r="K7113" s="61">
        <f t="shared" si="1"/>
        <v>0</v>
      </c>
      <c r="L7113" s="62">
        <f t="shared" si="2"/>
        <v>1</v>
      </c>
    </row>
    <row r="7114">
      <c r="A7114" s="58">
        <v>45597.0</v>
      </c>
      <c r="B7114" s="24" t="s">
        <v>6789</v>
      </c>
      <c r="C7114" s="24" t="s">
        <v>7163</v>
      </c>
      <c r="D7114" s="59">
        <v>1.0</v>
      </c>
      <c r="E7114" s="59">
        <v>1.0</v>
      </c>
      <c r="F7114" s="59">
        <v>1.0</v>
      </c>
      <c r="G7114" s="60">
        <v>1.0</v>
      </c>
      <c r="H7114" s="60">
        <v>0.0</v>
      </c>
      <c r="I7114" s="60">
        <v>268.498591</v>
      </c>
      <c r="J7114" s="59">
        <v>1.0</v>
      </c>
      <c r="K7114" s="61">
        <f t="shared" si="1"/>
        <v>1</v>
      </c>
      <c r="L7114" s="62">
        <f t="shared" si="2"/>
        <v>1</v>
      </c>
    </row>
    <row r="7115">
      <c r="A7115" s="58">
        <v>45597.0</v>
      </c>
      <c r="B7115" s="24" t="s">
        <v>6789</v>
      </c>
      <c r="C7115" s="24" t="s">
        <v>7186</v>
      </c>
      <c r="D7115" s="59">
        <v>1.0</v>
      </c>
      <c r="E7115" s="59">
        <v>1.0</v>
      </c>
      <c r="F7115" s="59">
        <v>1.0</v>
      </c>
      <c r="G7115" s="60">
        <v>1.0</v>
      </c>
      <c r="H7115" s="60">
        <v>1.0</v>
      </c>
      <c r="I7115" s="60">
        <v>2.320895</v>
      </c>
      <c r="J7115" s="59">
        <v>1.0</v>
      </c>
      <c r="K7115" s="61">
        <f t="shared" si="1"/>
        <v>1</v>
      </c>
      <c r="L7115" s="62">
        <f t="shared" si="2"/>
        <v>1</v>
      </c>
    </row>
    <row r="7116">
      <c r="A7116" s="58">
        <v>45597.0</v>
      </c>
      <c r="B7116" s="24" t="s">
        <v>6789</v>
      </c>
      <c r="C7116" s="24" t="s">
        <v>7098</v>
      </c>
      <c r="D7116" s="59">
        <v>1.0</v>
      </c>
      <c r="E7116" s="59">
        <v>1.0</v>
      </c>
      <c r="F7116" s="59">
        <v>1.0</v>
      </c>
      <c r="G7116" s="60">
        <v>1.0</v>
      </c>
      <c r="H7116" s="60">
        <v>1.0</v>
      </c>
      <c r="I7116" s="60">
        <v>3.083024</v>
      </c>
      <c r="J7116" s="59">
        <v>1.0</v>
      </c>
      <c r="K7116" s="61">
        <f t="shared" si="1"/>
        <v>1</v>
      </c>
      <c r="L7116" s="62">
        <f t="shared" si="2"/>
        <v>1</v>
      </c>
    </row>
    <row r="7117">
      <c r="A7117" s="58">
        <v>45597.0</v>
      </c>
      <c r="B7117" s="24" t="s">
        <v>6789</v>
      </c>
      <c r="C7117" s="24" t="s">
        <v>7184</v>
      </c>
      <c r="D7117" s="59">
        <v>1.0</v>
      </c>
      <c r="E7117" s="59">
        <v>1.0</v>
      </c>
      <c r="F7117" s="59">
        <v>0.0</v>
      </c>
      <c r="G7117" s="60">
        <v>0.0</v>
      </c>
      <c r="H7117" s="60">
        <v>1.0</v>
      </c>
      <c r="I7117" s="60">
        <v>0.0</v>
      </c>
      <c r="J7117" s="59">
        <v>1.0</v>
      </c>
      <c r="K7117" s="61">
        <f t="shared" si="1"/>
        <v>0</v>
      </c>
      <c r="L7117" s="62">
        <f t="shared" si="2"/>
        <v>1</v>
      </c>
    </row>
    <row r="7118">
      <c r="A7118" s="58">
        <v>45597.0</v>
      </c>
      <c r="B7118" s="24" t="s">
        <v>6790</v>
      </c>
      <c r="C7118" s="24" t="s">
        <v>6809</v>
      </c>
      <c r="D7118" s="59">
        <v>1.0</v>
      </c>
      <c r="E7118" s="59">
        <v>1.0</v>
      </c>
      <c r="F7118" s="59">
        <v>0.0</v>
      </c>
      <c r="G7118" s="60">
        <v>1.0</v>
      </c>
      <c r="H7118" s="60">
        <v>0.0</v>
      </c>
      <c r="I7118" s="60">
        <v>623.662171</v>
      </c>
      <c r="J7118" s="59">
        <v>7.0</v>
      </c>
      <c r="K7118" s="61">
        <f t="shared" si="1"/>
        <v>0</v>
      </c>
      <c r="L7118" s="62">
        <f t="shared" si="2"/>
        <v>7</v>
      </c>
    </row>
    <row r="7119">
      <c r="A7119" s="58">
        <v>45597.0</v>
      </c>
      <c r="B7119" s="24" t="s">
        <v>155</v>
      </c>
      <c r="C7119" s="24" t="s">
        <v>7101</v>
      </c>
      <c r="D7119" s="59">
        <v>1.0</v>
      </c>
      <c r="E7119" s="59">
        <v>1.0</v>
      </c>
      <c r="F7119" s="59">
        <v>0.0</v>
      </c>
      <c r="G7119" s="60">
        <v>1.0</v>
      </c>
      <c r="H7119" s="60">
        <v>0.0</v>
      </c>
      <c r="I7119" s="60">
        <v>2182.99487</v>
      </c>
      <c r="J7119" s="59">
        <v>6.0</v>
      </c>
      <c r="K7119" s="61">
        <f t="shared" si="1"/>
        <v>0</v>
      </c>
      <c r="L7119" s="62">
        <f t="shared" si="2"/>
        <v>6</v>
      </c>
    </row>
    <row r="7120">
      <c r="A7120" s="58">
        <v>45597.0</v>
      </c>
      <c r="B7120" s="24" t="s">
        <v>6787</v>
      </c>
      <c r="C7120" s="24" t="s">
        <v>6908</v>
      </c>
      <c r="D7120" s="59">
        <v>1.0</v>
      </c>
      <c r="E7120" s="59">
        <v>1.0</v>
      </c>
      <c r="F7120" s="59">
        <v>1.0</v>
      </c>
      <c r="G7120" s="60">
        <v>1.0</v>
      </c>
      <c r="H7120" s="60">
        <v>1.0</v>
      </c>
      <c r="I7120" s="60">
        <v>0.0</v>
      </c>
      <c r="J7120" s="59">
        <v>1.0</v>
      </c>
      <c r="K7120" s="61">
        <f t="shared" si="1"/>
        <v>1</v>
      </c>
      <c r="L7120" s="62">
        <f t="shared" si="2"/>
        <v>1</v>
      </c>
    </row>
    <row r="7121">
      <c r="A7121" s="58">
        <v>45597.0</v>
      </c>
      <c r="B7121" s="24" t="s">
        <v>155</v>
      </c>
      <c r="C7121" s="24" t="s">
        <v>6908</v>
      </c>
      <c r="D7121" s="59">
        <v>1.0</v>
      </c>
      <c r="E7121" s="59">
        <v>1.0</v>
      </c>
      <c r="F7121" s="59">
        <v>0.0</v>
      </c>
      <c r="G7121" s="60">
        <v>1.0</v>
      </c>
      <c r="H7121" s="60">
        <v>0.0</v>
      </c>
      <c r="I7121" s="60">
        <v>10.987936</v>
      </c>
      <c r="J7121" s="59">
        <v>1.0</v>
      </c>
      <c r="K7121" s="61">
        <f t="shared" si="1"/>
        <v>0</v>
      </c>
      <c r="L7121" s="62">
        <f t="shared" si="2"/>
        <v>1</v>
      </c>
    </row>
    <row r="7122">
      <c r="A7122" s="58">
        <v>45597.0</v>
      </c>
      <c r="B7122" s="24" t="s">
        <v>155</v>
      </c>
      <c r="C7122" s="24" t="s">
        <v>7172</v>
      </c>
      <c r="D7122" s="59">
        <v>1.0</v>
      </c>
      <c r="E7122" s="59">
        <v>1.0</v>
      </c>
      <c r="F7122" s="59">
        <v>0.0</v>
      </c>
      <c r="G7122" s="60">
        <v>1.0</v>
      </c>
      <c r="H7122" s="60">
        <v>1.0</v>
      </c>
      <c r="I7122" s="60">
        <v>6.012326</v>
      </c>
      <c r="J7122" s="59">
        <v>1.0</v>
      </c>
      <c r="K7122" s="61">
        <f t="shared" si="1"/>
        <v>0</v>
      </c>
      <c r="L7122" s="62">
        <f t="shared" si="2"/>
        <v>1</v>
      </c>
    </row>
    <row r="7123">
      <c r="A7123" s="58">
        <v>45597.0</v>
      </c>
      <c r="B7123" s="24" t="s">
        <v>6790</v>
      </c>
      <c r="C7123" s="24" t="s">
        <v>6801</v>
      </c>
      <c r="D7123" s="59">
        <v>1.0</v>
      </c>
      <c r="E7123" s="59">
        <v>1.0</v>
      </c>
      <c r="F7123" s="59">
        <v>0.0</v>
      </c>
      <c r="G7123" s="60">
        <v>1.0</v>
      </c>
      <c r="H7123" s="60">
        <v>1.0</v>
      </c>
      <c r="I7123" s="60">
        <v>132.154803</v>
      </c>
      <c r="J7123" s="59">
        <v>5.0</v>
      </c>
      <c r="K7123" s="61">
        <f t="shared" si="1"/>
        <v>0</v>
      </c>
      <c r="L7123" s="62">
        <f t="shared" si="2"/>
        <v>5</v>
      </c>
    </row>
    <row r="7124">
      <c r="A7124" s="58">
        <v>45597.0</v>
      </c>
      <c r="B7124" s="24" t="s">
        <v>6787</v>
      </c>
      <c r="C7124" s="24" t="s">
        <v>7174</v>
      </c>
      <c r="D7124" s="59">
        <v>1.0</v>
      </c>
      <c r="E7124" s="59">
        <v>1.0</v>
      </c>
      <c r="F7124" s="59">
        <v>1.0</v>
      </c>
      <c r="G7124" s="60">
        <v>1.0</v>
      </c>
      <c r="H7124" s="60">
        <v>1.0</v>
      </c>
      <c r="I7124" s="60">
        <v>0.0</v>
      </c>
      <c r="J7124" s="59">
        <v>1.0</v>
      </c>
      <c r="K7124" s="61">
        <f t="shared" si="1"/>
        <v>1</v>
      </c>
      <c r="L7124" s="62">
        <f t="shared" si="2"/>
        <v>1</v>
      </c>
    </row>
    <row r="7125">
      <c r="A7125" s="58">
        <v>45597.0</v>
      </c>
      <c r="B7125" s="24" t="s">
        <v>6787</v>
      </c>
      <c r="C7125" s="24" t="s">
        <v>7524</v>
      </c>
      <c r="D7125" s="59">
        <v>1.0</v>
      </c>
      <c r="E7125" s="59">
        <v>1.0</v>
      </c>
      <c r="F7125" s="59">
        <v>1.0</v>
      </c>
      <c r="G7125" s="60">
        <v>1.0</v>
      </c>
      <c r="H7125" s="60">
        <v>0.0</v>
      </c>
      <c r="I7125" s="60">
        <v>2.419626</v>
      </c>
      <c r="J7125" s="59">
        <v>2.0</v>
      </c>
      <c r="K7125" s="61">
        <f t="shared" si="1"/>
        <v>1</v>
      </c>
      <c r="L7125" s="62">
        <f t="shared" si="2"/>
        <v>2</v>
      </c>
    </row>
    <row r="7126">
      <c r="A7126" s="58">
        <v>45597.0</v>
      </c>
      <c r="B7126" s="24" t="s">
        <v>155</v>
      </c>
      <c r="C7126" s="24" t="s">
        <v>7180</v>
      </c>
      <c r="D7126" s="59">
        <v>1.0</v>
      </c>
      <c r="E7126" s="59">
        <v>4.0</v>
      </c>
      <c r="F7126" s="59">
        <v>0.0</v>
      </c>
      <c r="G7126" s="60">
        <v>0.0</v>
      </c>
      <c r="H7126" s="60">
        <v>1.0</v>
      </c>
      <c r="I7126" s="60">
        <v>0.0</v>
      </c>
      <c r="J7126" s="59">
        <v>4.0</v>
      </c>
      <c r="K7126" s="61">
        <f t="shared" si="1"/>
        <v>0</v>
      </c>
      <c r="L7126" s="62">
        <f t="shared" si="2"/>
        <v>1</v>
      </c>
    </row>
    <row r="7127">
      <c r="A7127" s="58">
        <v>45597.0</v>
      </c>
      <c r="B7127" s="24" t="s">
        <v>6790</v>
      </c>
      <c r="C7127" s="24" t="s">
        <v>6815</v>
      </c>
      <c r="D7127" s="59">
        <v>1.0</v>
      </c>
      <c r="E7127" s="59">
        <v>1.0</v>
      </c>
      <c r="F7127" s="59">
        <v>1.0</v>
      </c>
      <c r="G7127" s="60">
        <v>1.0</v>
      </c>
      <c r="H7127" s="60">
        <v>0.0</v>
      </c>
      <c r="I7127" s="60">
        <v>1406.933627</v>
      </c>
      <c r="J7127" s="59">
        <v>2.0</v>
      </c>
      <c r="K7127" s="61">
        <f t="shared" si="1"/>
        <v>1</v>
      </c>
      <c r="L7127" s="62">
        <f t="shared" si="2"/>
        <v>2</v>
      </c>
    </row>
    <row r="7128">
      <c r="A7128" s="58">
        <v>45597.0</v>
      </c>
      <c r="B7128" s="24" t="s">
        <v>155</v>
      </c>
      <c r="C7128" s="24" t="s">
        <v>7107</v>
      </c>
      <c r="D7128" s="59">
        <v>1.0</v>
      </c>
      <c r="E7128" s="59">
        <v>1.0</v>
      </c>
      <c r="F7128" s="59">
        <v>0.0</v>
      </c>
      <c r="G7128" s="60">
        <v>1.0</v>
      </c>
      <c r="H7128" s="60">
        <v>1.0</v>
      </c>
      <c r="I7128" s="60">
        <v>0.0</v>
      </c>
      <c r="J7128" s="59">
        <v>1.0</v>
      </c>
      <c r="K7128" s="61">
        <f t="shared" si="1"/>
        <v>0</v>
      </c>
      <c r="L7128" s="62">
        <f t="shared" si="2"/>
        <v>1</v>
      </c>
    </row>
    <row r="7129">
      <c r="A7129" s="58">
        <v>45597.0</v>
      </c>
      <c r="B7129" s="24" t="s">
        <v>6790</v>
      </c>
      <c r="C7129" s="24" t="s">
        <v>7107</v>
      </c>
      <c r="D7129" s="59">
        <v>1.0</v>
      </c>
      <c r="E7129" s="59">
        <v>1.0</v>
      </c>
      <c r="F7129" s="59">
        <v>1.0</v>
      </c>
      <c r="G7129" s="60">
        <v>1.0</v>
      </c>
      <c r="H7129" s="60">
        <v>0.0</v>
      </c>
      <c r="I7129" s="60">
        <v>1157.313322</v>
      </c>
      <c r="J7129" s="59">
        <v>2.0</v>
      </c>
      <c r="K7129" s="61">
        <f t="shared" si="1"/>
        <v>1</v>
      </c>
      <c r="L7129" s="62">
        <f t="shared" si="2"/>
        <v>2</v>
      </c>
    </row>
    <row r="7130">
      <c r="A7130" s="58">
        <v>45597.0</v>
      </c>
      <c r="B7130" s="24" t="s">
        <v>6787</v>
      </c>
      <c r="C7130" s="24" t="s">
        <v>7525</v>
      </c>
      <c r="D7130" s="59">
        <v>1.0</v>
      </c>
      <c r="E7130" s="59">
        <v>1.0</v>
      </c>
      <c r="F7130" s="59">
        <v>1.0</v>
      </c>
      <c r="G7130" s="60">
        <v>1.0</v>
      </c>
      <c r="H7130" s="60">
        <v>1.0</v>
      </c>
      <c r="I7130" s="60">
        <v>3.412371</v>
      </c>
      <c r="J7130" s="59">
        <v>1.0</v>
      </c>
      <c r="K7130" s="61">
        <f t="shared" si="1"/>
        <v>1</v>
      </c>
      <c r="L7130" s="62">
        <f t="shared" si="2"/>
        <v>1</v>
      </c>
    </row>
    <row r="7131">
      <c r="A7131" s="58">
        <v>45597.0</v>
      </c>
      <c r="B7131" s="24" t="s">
        <v>6789</v>
      </c>
      <c r="C7131" s="24" t="s">
        <v>7047</v>
      </c>
      <c r="D7131" s="59">
        <v>1.0</v>
      </c>
      <c r="E7131" s="59">
        <v>1.0</v>
      </c>
      <c r="F7131" s="59">
        <v>1.0</v>
      </c>
      <c r="G7131" s="60">
        <v>1.0</v>
      </c>
      <c r="H7131" s="60">
        <v>0.0</v>
      </c>
      <c r="I7131" s="60">
        <v>102.869605</v>
      </c>
      <c r="J7131" s="59">
        <v>2.0</v>
      </c>
      <c r="K7131" s="61">
        <f t="shared" si="1"/>
        <v>1</v>
      </c>
      <c r="L7131" s="62">
        <f t="shared" si="2"/>
        <v>2</v>
      </c>
    </row>
    <row r="7132">
      <c r="A7132" s="58">
        <v>45597.0</v>
      </c>
      <c r="B7132" s="24" t="s">
        <v>6787</v>
      </c>
      <c r="C7132" s="24" t="s">
        <v>6854</v>
      </c>
      <c r="D7132" s="59">
        <v>1.0</v>
      </c>
      <c r="E7132" s="59">
        <v>1.0</v>
      </c>
      <c r="F7132" s="59">
        <v>1.0</v>
      </c>
      <c r="G7132" s="60">
        <v>1.0</v>
      </c>
      <c r="H7132" s="60">
        <v>0.0</v>
      </c>
      <c r="I7132" s="60">
        <v>132.175289</v>
      </c>
      <c r="J7132" s="59">
        <v>1.0</v>
      </c>
      <c r="K7132" s="61">
        <f t="shared" si="1"/>
        <v>1</v>
      </c>
      <c r="L7132" s="62">
        <f t="shared" si="2"/>
        <v>1</v>
      </c>
    </row>
    <row r="7133">
      <c r="A7133" s="58">
        <v>45597.0</v>
      </c>
      <c r="B7133" s="24" t="s">
        <v>6794</v>
      </c>
      <c r="C7133" s="24" t="s">
        <v>6854</v>
      </c>
      <c r="D7133" s="59">
        <v>1.0</v>
      </c>
      <c r="E7133" s="59">
        <v>2.0</v>
      </c>
      <c r="F7133" s="59">
        <v>0.0</v>
      </c>
      <c r="G7133" s="60">
        <v>2.0</v>
      </c>
      <c r="H7133" s="60">
        <v>0.5</v>
      </c>
      <c r="I7133" s="60">
        <v>40.6875295</v>
      </c>
      <c r="J7133" s="59">
        <v>4.0</v>
      </c>
      <c r="K7133" s="61">
        <f t="shared" si="1"/>
        <v>0</v>
      </c>
      <c r="L7133" s="62">
        <f t="shared" si="2"/>
        <v>2</v>
      </c>
    </row>
    <row r="7134">
      <c r="A7134" s="58">
        <v>45597.0</v>
      </c>
      <c r="B7134" s="24" t="s">
        <v>6790</v>
      </c>
      <c r="C7134" s="24" t="s">
        <v>6854</v>
      </c>
      <c r="D7134" s="59">
        <v>1.0</v>
      </c>
      <c r="E7134" s="59">
        <v>1.0</v>
      </c>
      <c r="F7134" s="59">
        <v>1.0</v>
      </c>
      <c r="G7134" s="60">
        <v>1.0</v>
      </c>
      <c r="H7134" s="60">
        <v>1.0</v>
      </c>
      <c r="I7134" s="60">
        <v>0.0</v>
      </c>
      <c r="J7134" s="59">
        <v>1.0</v>
      </c>
      <c r="K7134" s="61">
        <f t="shared" si="1"/>
        <v>1</v>
      </c>
      <c r="L7134" s="62">
        <f t="shared" si="2"/>
        <v>1</v>
      </c>
    </row>
    <row r="7135">
      <c r="A7135" s="58">
        <v>45597.0</v>
      </c>
      <c r="B7135" s="24" t="s">
        <v>6790</v>
      </c>
      <c r="C7135" s="24" t="s">
        <v>6802</v>
      </c>
      <c r="D7135" s="59">
        <v>1.0</v>
      </c>
      <c r="E7135" s="59">
        <v>1.0</v>
      </c>
      <c r="F7135" s="59">
        <v>0.0</v>
      </c>
      <c r="G7135" s="60">
        <v>1.0</v>
      </c>
      <c r="H7135" s="60">
        <v>1.0</v>
      </c>
      <c r="I7135" s="60">
        <v>3.394909</v>
      </c>
      <c r="J7135" s="59">
        <v>2.0</v>
      </c>
      <c r="K7135" s="61">
        <f t="shared" si="1"/>
        <v>0</v>
      </c>
      <c r="L7135" s="62">
        <f t="shared" si="2"/>
        <v>2</v>
      </c>
    </row>
    <row r="7136">
      <c r="A7136" s="58">
        <v>45566.0</v>
      </c>
      <c r="B7136" s="24" t="s">
        <v>6789</v>
      </c>
      <c r="C7136" s="24" t="s">
        <v>6788</v>
      </c>
      <c r="D7136" s="59">
        <v>785.0</v>
      </c>
      <c r="E7136" s="59">
        <v>999.0</v>
      </c>
      <c r="F7136" s="59">
        <v>660.0</v>
      </c>
      <c r="G7136" s="60">
        <v>1.3041775456919</v>
      </c>
      <c r="H7136" s="60">
        <v>0.48048048048048</v>
      </c>
      <c r="I7136" s="60">
        <v>176.3149299009</v>
      </c>
      <c r="J7136" s="59">
        <v>1661.0</v>
      </c>
      <c r="K7136" s="61">
        <f t="shared" si="1"/>
        <v>0.6606606607</v>
      </c>
      <c r="L7136" s="62">
        <f t="shared" si="2"/>
        <v>1.662662663</v>
      </c>
    </row>
    <row r="7137">
      <c r="A7137" s="58">
        <v>45566.0</v>
      </c>
      <c r="B7137" s="24" t="s">
        <v>6787</v>
      </c>
      <c r="C7137" s="24" t="s">
        <v>6788</v>
      </c>
      <c r="D7137" s="59">
        <v>424.0</v>
      </c>
      <c r="E7137" s="59">
        <v>582.0</v>
      </c>
      <c r="F7137" s="59">
        <v>380.0</v>
      </c>
      <c r="G7137" s="60">
        <v>1.39234449760765</v>
      </c>
      <c r="H7137" s="60">
        <v>0.63573883161512</v>
      </c>
      <c r="I7137" s="60">
        <v>120.82432561512</v>
      </c>
      <c r="J7137" s="59">
        <v>824.0</v>
      </c>
      <c r="K7137" s="61">
        <f t="shared" si="1"/>
        <v>0.6529209622</v>
      </c>
      <c r="L7137" s="62">
        <f t="shared" si="2"/>
        <v>1.41580756</v>
      </c>
    </row>
    <row r="7138">
      <c r="A7138" s="58">
        <v>45566.0</v>
      </c>
      <c r="B7138" s="24" t="s">
        <v>6789</v>
      </c>
      <c r="C7138" s="24" t="s">
        <v>7068</v>
      </c>
      <c r="D7138" s="59">
        <v>265.0</v>
      </c>
      <c r="E7138" s="59">
        <v>298.0</v>
      </c>
      <c r="F7138" s="59">
        <v>259.0</v>
      </c>
      <c r="G7138" s="60">
        <v>1.13307984790874</v>
      </c>
      <c r="H7138" s="60">
        <v>0.345637583892617</v>
      </c>
      <c r="I7138" s="60">
        <v>141.828445899328</v>
      </c>
      <c r="J7138" s="59">
        <v>320.0</v>
      </c>
      <c r="K7138" s="61">
        <f t="shared" si="1"/>
        <v>0.8691275168</v>
      </c>
      <c r="L7138" s="62">
        <f t="shared" si="2"/>
        <v>1.073825503</v>
      </c>
    </row>
    <row r="7139">
      <c r="A7139" s="58">
        <v>45566.0</v>
      </c>
      <c r="B7139" s="24" t="s">
        <v>6789</v>
      </c>
      <c r="C7139" s="24" t="s">
        <v>6792</v>
      </c>
      <c r="D7139" s="59">
        <v>207.0</v>
      </c>
      <c r="E7139" s="59">
        <v>236.0</v>
      </c>
      <c r="F7139" s="59">
        <v>0.0</v>
      </c>
      <c r="G7139" s="60">
        <v>1.85826771653543</v>
      </c>
      <c r="H7139" s="60">
        <v>0.98728813559322</v>
      </c>
      <c r="I7139" s="60">
        <v>10.9095807542372</v>
      </c>
      <c r="J7139" s="59">
        <v>0.0</v>
      </c>
      <c r="K7139" s="61">
        <f t="shared" si="1"/>
        <v>0</v>
      </c>
      <c r="L7139" s="62">
        <f t="shared" si="2"/>
        <v>0</v>
      </c>
    </row>
    <row r="7140">
      <c r="A7140" s="58">
        <v>45566.0</v>
      </c>
      <c r="B7140" s="24" t="s">
        <v>155</v>
      </c>
      <c r="C7140" s="24" t="s">
        <v>6788</v>
      </c>
      <c r="D7140" s="59">
        <v>153.0</v>
      </c>
      <c r="E7140" s="59">
        <v>301.0</v>
      </c>
      <c r="F7140" s="59">
        <v>111.0</v>
      </c>
      <c r="G7140" s="60">
        <v>2.00666666666666</v>
      </c>
      <c r="H7140" s="60">
        <v>0.601328903654485</v>
      </c>
      <c r="I7140" s="60">
        <v>123.761151172757</v>
      </c>
      <c r="J7140" s="59">
        <v>427.0</v>
      </c>
      <c r="K7140" s="61">
        <f t="shared" si="1"/>
        <v>0.3687707641</v>
      </c>
      <c r="L7140" s="62">
        <f t="shared" si="2"/>
        <v>1.418604651</v>
      </c>
    </row>
    <row r="7141">
      <c r="A7141" s="58">
        <v>45566.0</v>
      </c>
      <c r="B7141" s="24" t="s">
        <v>6794</v>
      </c>
      <c r="C7141" s="24" t="s">
        <v>6788</v>
      </c>
      <c r="D7141" s="59">
        <v>71.0</v>
      </c>
      <c r="E7141" s="59">
        <v>84.0</v>
      </c>
      <c r="F7141" s="59">
        <v>63.0</v>
      </c>
      <c r="G7141" s="60">
        <v>1.21739130434782</v>
      </c>
      <c r="H7141" s="60">
        <v>0.309523809523809</v>
      </c>
      <c r="I7141" s="60">
        <v>124.99475972619</v>
      </c>
      <c r="J7141" s="59">
        <v>132.0</v>
      </c>
      <c r="K7141" s="61">
        <f t="shared" si="1"/>
        <v>0.75</v>
      </c>
      <c r="L7141" s="62">
        <f t="shared" si="2"/>
        <v>1.571428571</v>
      </c>
    </row>
    <row r="7142">
      <c r="A7142" s="58">
        <v>45566.0</v>
      </c>
      <c r="B7142" s="24" t="s">
        <v>155</v>
      </c>
      <c r="C7142" s="24" t="s">
        <v>6804</v>
      </c>
      <c r="D7142" s="59">
        <v>64.0</v>
      </c>
      <c r="E7142" s="59">
        <v>64.0</v>
      </c>
      <c r="F7142" s="59">
        <v>64.0</v>
      </c>
      <c r="G7142" s="60">
        <v>1.0</v>
      </c>
      <c r="H7142" s="60">
        <v>1.0</v>
      </c>
      <c r="I7142" s="60">
        <v>0.0</v>
      </c>
      <c r="J7142" s="59">
        <v>64.0</v>
      </c>
      <c r="K7142" s="61">
        <f t="shared" si="1"/>
        <v>1</v>
      </c>
      <c r="L7142" s="62">
        <f t="shared" si="2"/>
        <v>1</v>
      </c>
    </row>
    <row r="7143">
      <c r="A7143" s="58">
        <v>45566.0</v>
      </c>
      <c r="B7143" s="24" t="s">
        <v>6789</v>
      </c>
      <c r="C7143" s="24" t="s">
        <v>6804</v>
      </c>
      <c r="D7143" s="59">
        <v>57.0</v>
      </c>
      <c r="E7143" s="59">
        <v>74.0</v>
      </c>
      <c r="F7143" s="59">
        <v>57.0</v>
      </c>
      <c r="G7143" s="60">
        <v>1.29824561403508</v>
      </c>
      <c r="H7143" s="60">
        <v>0.675675675675675</v>
      </c>
      <c r="I7143" s="60">
        <v>100.603411229729</v>
      </c>
      <c r="J7143" s="59">
        <v>80.0</v>
      </c>
      <c r="K7143" s="61">
        <f t="shared" si="1"/>
        <v>0.7702702703</v>
      </c>
      <c r="L7143" s="62">
        <f t="shared" si="2"/>
        <v>1.081081081</v>
      </c>
    </row>
    <row r="7144">
      <c r="A7144" s="58">
        <v>45566.0</v>
      </c>
      <c r="B7144" s="24" t="s">
        <v>6789</v>
      </c>
      <c r="C7144" s="24" t="s">
        <v>6799</v>
      </c>
      <c r="D7144" s="59">
        <v>41.0</v>
      </c>
      <c r="E7144" s="59">
        <v>93.0</v>
      </c>
      <c r="F7144" s="59">
        <v>29.0</v>
      </c>
      <c r="G7144" s="60">
        <v>2.26829268292682</v>
      </c>
      <c r="H7144" s="60">
        <v>0.569892473118279</v>
      </c>
      <c r="I7144" s="60">
        <v>115.464367817204</v>
      </c>
      <c r="J7144" s="59">
        <v>130.0</v>
      </c>
      <c r="K7144" s="61">
        <f t="shared" si="1"/>
        <v>0.311827957</v>
      </c>
      <c r="L7144" s="62">
        <f t="shared" si="2"/>
        <v>1.397849462</v>
      </c>
    </row>
    <row r="7145">
      <c r="A7145" s="58">
        <v>45566.0</v>
      </c>
      <c r="B7145" s="24" t="s">
        <v>6787</v>
      </c>
      <c r="C7145" s="24" t="s">
        <v>6792</v>
      </c>
      <c r="D7145" s="59">
        <v>39.0</v>
      </c>
      <c r="E7145" s="59">
        <v>47.0</v>
      </c>
      <c r="F7145" s="59">
        <v>0.0</v>
      </c>
      <c r="G7145" s="60">
        <v>1.95833333333333</v>
      </c>
      <c r="H7145" s="60">
        <v>0.978723404255319</v>
      </c>
      <c r="I7145" s="60">
        <v>1.46955991489361</v>
      </c>
      <c r="J7145" s="59">
        <v>0.0</v>
      </c>
      <c r="K7145" s="61">
        <f t="shared" si="1"/>
        <v>0</v>
      </c>
      <c r="L7145" s="62">
        <f t="shared" si="2"/>
        <v>0</v>
      </c>
    </row>
    <row r="7146">
      <c r="A7146" s="58">
        <v>45566.0</v>
      </c>
      <c r="B7146" s="24" t="s">
        <v>6790</v>
      </c>
      <c r="C7146" s="24" t="s">
        <v>6788</v>
      </c>
      <c r="D7146" s="59">
        <v>39.0</v>
      </c>
      <c r="E7146" s="59">
        <v>46.0</v>
      </c>
      <c r="F7146" s="59">
        <v>38.0</v>
      </c>
      <c r="G7146" s="60">
        <v>1.17948717948717</v>
      </c>
      <c r="H7146" s="60">
        <v>0.804347826086956</v>
      </c>
      <c r="I7146" s="60">
        <v>100.860268543478</v>
      </c>
      <c r="J7146" s="59">
        <v>69.0</v>
      </c>
      <c r="K7146" s="61">
        <f t="shared" si="1"/>
        <v>0.8260869565</v>
      </c>
      <c r="L7146" s="62">
        <f t="shared" si="2"/>
        <v>1.5</v>
      </c>
    </row>
    <row r="7147">
      <c r="A7147" s="58">
        <v>45566.0</v>
      </c>
      <c r="B7147" s="24" t="s">
        <v>6789</v>
      </c>
      <c r="C7147" s="24" t="s">
        <v>7024</v>
      </c>
      <c r="D7147" s="59">
        <v>38.0</v>
      </c>
      <c r="E7147" s="59">
        <v>47.0</v>
      </c>
      <c r="F7147" s="59">
        <v>38.0</v>
      </c>
      <c r="G7147" s="60">
        <v>1.23684210526315</v>
      </c>
      <c r="H7147" s="60">
        <v>0.489361702127659</v>
      </c>
      <c r="I7147" s="60">
        <v>181.618012234042</v>
      </c>
      <c r="J7147" s="59">
        <v>53.0</v>
      </c>
      <c r="K7147" s="61">
        <f t="shared" si="1"/>
        <v>0.8085106383</v>
      </c>
      <c r="L7147" s="62">
        <f t="shared" si="2"/>
        <v>1.127659574</v>
      </c>
    </row>
    <row r="7148">
      <c r="A7148" s="58">
        <v>45566.0</v>
      </c>
      <c r="B7148" s="24" t="s">
        <v>6789</v>
      </c>
      <c r="C7148" s="24" t="s">
        <v>6815</v>
      </c>
      <c r="D7148" s="59">
        <v>35.0</v>
      </c>
      <c r="E7148" s="59">
        <v>41.0</v>
      </c>
      <c r="F7148" s="59">
        <v>31.0</v>
      </c>
      <c r="G7148" s="60">
        <v>1.17142857142857</v>
      </c>
      <c r="H7148" s="60">
        <v>0.268292682926829</v>
      </c>
      <c r="I7148" s="60">
        <v>241.665427317073</v>
      </c>
      <c r="J7148" s="59">
        <v>63.0</v>
      </c>
      <c r="K7148" s="61">
        <f t="shared" si="1"/>
        <v>0.756097561</v>
      </c>
      <c r="L7148" s="62">
        <f t="shared" si="2"/>
        <v>1.536585366</v>
      </c>
    </row>
    <row r="7149">
      <c r="A7149" s="58">
        <v>45566.0</v>
      </c>
      <c r="B7149" s="24" t="s">
        <v>6789</v>
      </c>
      <c r="C7149" s="24" t="s">
        <v>6808</v>
      </c>
      <c r="D7149" s="59">
        <v>32.0</v>
      </c>
      <c r="E7149" s="59">
        <v>35.0</v>
      </c>
      <c r="F7149" s="59">
        <v>19.0</v>
      </c>
      <c r="G7149" s="60">
        <v>1.12903225806451</v>
      </c>
      <c r="H7149" s="60">
        <v>0.371428571428571</v>
      </c>
      <c r="I7149" s="60">
        <v>227.409094457142</v>
      </c>
      <c r="J7149" s="59">
        <v>66.0</v>
      </c>
      <c r="K7149" s="61">
        <f t="shared" si="1"/>
        <v>0.5428571429</v>
      </c>
      <c r="L7149" s="62">
        <f t="shared" si="2"/>
        <v>1.885714286</v>
      </c>
    </row>
    <row r="7150">
      <c r="A7150" s="58">
        <v>45566.0</v>
      </c>
      <c r="B7150" s="24" t="s">
        <v>155</v>
      </c>
      <c r="C7150" s="24" t="s">
        <v>6792</v>
      </c>
      <c r="D7150" s="59">
        <v>24.0</v>
      </c>
      <c r="E7150" s="59">
        <v>41.0</v>
      </c>
      <c r="F7150" s="59">
        <v>0.0</v>
      </c>
      <c r="G7150" s="60">
        <v>2.92857142857142</v>
      </c>
      <c r="H7150" s="60">
        <v>0.975609756097561</v>
      </c>
      <c r="I7150" s="60">
        <v>24.749504902439</v>
      </c>
      <c r="J7150" s="59">
        <v>0.0</v>
      </c>
      <c r="K7150" s="61">
        <f t="shared" si="1"/>
        <v>0</v>
      </c>
      <c r="L7150" s="62">
        <f t="shared" si="2"/>
        <v>0</v>
      </c>
    </row>
    <row r="7151">
      <c r="A7151" s="58">
        <v>45566.0</v>
      </c>
      <c r="B7151" s="24" t="s">
        <v>6789</v>
      </c>
      <c r="C7151" s="24" t="s">
        <v>6835</v>
      </c>
      <c r="D7151" s="59">
        <v>19.0</v>
      </c>
      <c r="E7151" s="59">
        <v>26.0</v>
      </c>
      <c r="F7151" s="59">
        <v>19.0</v>
      </c>
      <c r="G7151" s="60">
        <v>1.36842105263157</v>
      </c>
      <c r="H7151" s="60">
        <v>0.461538461538461</v>
      </c>
      <c r="I7151" s="60">
        <v>218.458735730769</v>
      </c>
      <c r="J7151" s="59">
        <v>35.0</v>
      </c>
      <c r="K7151" s="61">
        <f t="shared" si="1"/>
        <v>0.7307692308</v>
      </c>
      <c r="L7151" s="62">
        <f t="shared" si="2"/>
        <v>1.346153846</v>
      </c>
    </row>
    <row r="7152">
      <c r="A7152" s="58">
        <v>45566.0</v>
      </c>
      <c r="B7152" s="24" t="s">
        <v>6789</v>
      </c>
      <c r="C7152" s="24" t="s">
        <v>6829</v>
      </c>
      <c r="D7152" s="59">
        <v>18.0</v>
      </c>
      <c r="E7152" s="59">
        <v>21.0</v>
      </c>
      <c r="F7152" s="59">
        <v>18.0</v>
      </c>
      <c r="G7152" s="60">
        <v>1.16666666666666</v>
      </c>
      <c r="H7152" s="60">
        <v>0.428571428571428</v>
      </c>
      <c r="I7152" s="60">
        <v>111.834395095238</v>
      </c>
      <c r="J7152" s="59">
        <v>21.0</v>
      </c>
      <c r="K7152" s="61">
        <f t="shared" si="1"/>
        <v>0.8571428571</v>
      </c>
      <c r="L7152" s="62">
        <f t="shared" si="2"/>
        <v>1</v>
      </c>
    </row>
    <row r="7153">
      <c r="A7153" s="58">
        <v>45566.0</v>
      </c>
      <c r="B7153" s="24" t="s">
        <v>6789</v>
      </c>
      <c r="C7153" s="24" t="s">
        <v>6910</v>
      </c>
      <c r="D7153" s="59">
        <v>18.0</v>
      </c>
      <c r="E7153" s="59">
        <v>19.0</v>
      </c>
      <c r="F7153" s="59">
        <v>12.0</v>
      </c>
      <c r="G7153" s="60">
        <v>1.05555555555555</v>
      </c>
      <c r="H7153" s="60">
        <v>0.368421052631578</v>
      </c>
      <c r="I7153" s="60">
        <v>177.65884468421</v>
      </c>
      <c r="J7153" s="59">
        <v>28.0</v>
      </c>
      <c r="K7153" s="61">
        <f t="shared" si="1"/>
        <v>0.6315789474</v>
      </c>
      <c r="L7153" s="62">
        <f t="shared" si="2"/>
        <v>1.473684211</v>
      </c>
    </row>
    <row r="7154">
      <c r="A7154" s="58">
        <v>45566.0</v>
      </c>
      <c r="B7154" s="24" t="s">
        <v>6787</v>
      </c>
      <c r="C7154" s="24" t="s">
        <v>7068</v>
      </c>
      <c r="D7154" s="59">
        <v>15.0</v>
      </c>
      <c r="E7154" s="59">
        <v>20.0</v>
      </c>
      <c r="F7154" s="59">
        <v>13.0</v>
      </c>
      <c r="G7154" s="60">
        <v>1.42857142857142</v>
      </c>
      <c r="H7154" s="60">
        <v>0.6</v>
      </c>
      <c r="I7154" s="60">
        <v>165.94063065</v>
      </c>
      <c r="J7154" s="59">
        <v>22.0</v>
      </c>
      <c r="K7154" s="61">
        <f t="shared" si="1"/>
        <v>0.65</v>
      </c>
      <c r="L7154" s="62">
        <f t="shared" si="2"/>
        <v>1.1</v>
      </c>
    </row>
    <row r="7155">
      <c r="A7155" s="58">
        <v>45566.0</v>
      </c>
      <c r="B7155" s="24" t="s">
        <v>6789</v>
      </c>
      <c r="C7155" s="24" t="s">
        <v>7180</v>
      </c>
      <c r="D7155" s="59">
        <v>15.0</v>
      </c>
      <c r="E7155" s="59">
        <v>18.0</v>
      </c>
      <c r="F7155" s="59">
        <v>15.0</v>
      </c>
      <c r="G7155" s="60">
        <v>1.2</v>
      </c>
      <c r="H7155" s="60">
        <v>0.555555555555555</v>
      </c>
      <c r="I7155" s="60">
        <v>54.2814668333333</v>
      </c>
      <c r="J7155" s="59">
        <v>19.0</v>
      </c>
      <c r="K7155" s="61">
        <f t="shared" si="1"/>
        <v>0.8333333333</v>
      </c>
      <c r="L7155" s="62">
        <f t="shared" si="2"/>
        <v>1.055555556</v>
      </c>
    </row>
    <row r="7156">
      <c r="A7156" s="58">
        <v>45566.0</v>
      </c>
      <c r="B7156" s="24" t="s">
        <v>155</v>
      </c>
      <c r="C7156" s="24" t="s">
        <v>6800</v>
      </c>
      <c r="D7156" s="59">
        <v>14.0</v>
      </c>
      <c r="E7156" s="59">
        <v>14.0</v>
      </c>
      <c r="F7156" s="59">
        <v>12.0</v>
      </c>
      <c r="G7156" s="60">
        <v>1.0</v>
      </c>
      <c r="H7156" s="60">
        <v>0.0714285714285714</v>
      </c>
      <c r="I7156" s="60">
        <v>36.2396634285714</v>
      </c>
      <c r="J7156" s="59">
        <v>25.0</v>
      </c>
      <c r="K7156" s="61">
        <f t="shared" si="1"/>
        <v>0.8571428571</v>
      </c>
      <c r="L7156" s="62">
        <f t="shared" si="2"/>
        <v>1.785714286</v>
      </c>
    </row>
    <row r="7157">
      <c r="A7157" s="58">
        <v>45566.0</v>
      </c>
      <c r="B7157" s="24" t="s">
        <v>6789</v>
      </c>
      <c r="C7157" s="24" t="s">
        <v>6803</v>
      </c>
      <c r="D7157" s="59">
        <v>12.0</v>
      </c>
      <c r="E7157" s="59">
        <v>16.0</v>
      </c>
      <c r="F7157" s="59">
        <v>10.0</v>
      </c>
      <c r="G7157" s="60">
        <v>1.33333333333333</v>
      </c>
      <c r="H7157" s="60">
        <v>0.4375</v>
      </c>
      <c r="I7157" s="60">
        <v>249.791501</v>
      </c>
      <c r="J7157" s="59">
        <v>28.0</v>
      </c>
      <c r="K7157" s="61">
        <f t="shared" si="1"/>
        <v>0.625</v>
      </c>
      <c r="L7157" s="62">
        <f t="shared" si="2"/>
        <v>1.75</v>
      </c>
    </row>
    <row r="7158">
      <c r="A7158" s="58">
        <v>45566.0</v>
      </c>
      <c r="B7158" s="24" t="s">
        <v>6787</v>
      </c>
      <c r="C7158" s="24" t="s">
        <v>6799</v>
      </c>
      <c r="D7158" s="59">
        <v>12.0</v>
      </c>
      <c r="E7158" s="59">
        <v>13.0</v>
      </c>
      <c r="F7158" s="59">
        <v>12.0</v>
      </c>
      <c r="G7158" s="60">
        <v>1.08333333333333</v>
      </c>
      <c r="H7158" s="60">
        <v>0.615384615384615</v>
      </c>
      <c r="I7158" s="60">
        <v>88.5922796153846</v>
      </c>
      <c r="J7158" s="59">
        <v>14.0</v>
      </c>
      <c r="K7158" s="61">
        <f t="shared" si="1"/>
        <v>0.9230769231</v>
      </c>
      <c r="L7158" s="62">
        <f t="shared" si="2"/>
        <v>1.076923077</v>
      </c>
    </row>
    <row r="7159">
      <c r="A7159" s="58">
        <v>45566.0</v>
      </c>
      <c r="B7159" s="24" t="s">
        <v>155</v>
      </c>
      <c r="C7159" s="24" t="s">
        <v>7026</v>
      </c>
      <c r="D7159" s="59">
        <v>11.0</v>
      </c>
      <c r="E7159" s="59">
        <v>11.0</v>
      </c>
      <c r="F7159" s="59">
        <v>7.0</v>
      </c>
      <c r="G7159" s="60">
        <v>1.0</v>
      </c>
      <c r="H7159" s="60">
        <v>0.181818181818181</v>
      </c>
      <c r="I7159" s="60">
        <v>126.111317090909</v>
      </c>
      <c r="J7159" s="59">
        <v>22.0</v>
      </c>
      <c r="K7159" s="61">
        <f t="shared" si="1"/>
        <v>0.6363636364</v>
      </c>
      <c r="L7159" s="62">
        <f t="shared" si="2"/>
        <v>2</v>
      </c>
    </row>
    <row r="7160">
      <c r="A7160" s="58">
        <v>45566.0</v>
      </c>
      <c r="B7160" s="24" t="s">
        <v>6789</v>
      </c>
      <c r="C7160" s="24" t="s">
        <v>6802</v>
      </c>
      <c r="D7160" s="59">
        <v>11.0</v>
      </c>
      <c r="E7160" s="59">
        <v>12.0</v>
      </c>
      <c r="F7160" s="59">
        <v>2.0</v>
      </c>
      <c r="G7160" s="60">
        <v>1.2</v>
      </c>
      <c r="H7160" s="60">
        <v>0.25</v>
      </c>
      <c r="I7160" s="60">
        <v>344.845786583333</v>
      </c>
      <c r="J7160" s="59">
        <v>68.0</v>
      </c>
      <c r="K7160" s="61">
        <f t="shared" si="1"/>
        <v>0.1666666667</v>
      </c>
      <c r="L7160" s="62">
        <f t="shared" si="2"/>
        <v>5.666666667</v>
      </c>
    </row>
    <row r="7161">
      <c r="A7161" s="58">
        <v>45566.0</v>
      </c>
      <c r="B7161" s="24" t="s">
        <v>6789</v>
      </c>
      <c r="C7161" s="24" t="s">
        <v>6997</v>
      </c>
      <c r="D7161" s="59">
        <v>10.0</v>
      </c>
      <c r="E7161" s="59">
        <v>11.0</v>
      </c>
      <c r="F7161" s="59">
        <v>9.0</v>
      </c>
      <c r="G7161" s="60">
        <v>1.1</v>
      </c>
      <c r="H7161" s="60">
        <v>0.363636363636363</v>
      </c>
      <c r="I7161" s="60">
        <v>71.9702253636363</v>
      </c>
      <c r="J7161" s="59">
        <v>17.0</v>
      </c>
      <c r="K7161" s="61">
        <f t="shared" si="1"/>
        <v>0.8181818182</v>
      </c>
      <c r="L7161" s="62">
        <f t="shared" si="2"/>
        <v>1.545454545</v>
      </c>
    </row>
    <row r="7162">
      <c r="A7162" s="58">
        <v>45566.0</v>
      </c>
      <c r="B7162" s="24" t="s">
        <v>6791</v>
      </c>
      <c r="C7162" s="24" t="s">
        <v>7231</v>
      </c>
      <c r="D7162" s="59">
        <v>10.0</v>
      </c>
      <c r="E7162" s="59">
        <v>10.0</v>
      </c>
      <c r="F7162" s="59">
        <v>10.0</v>
      </c>
      <c r="G7162" s="60">
        <v>1.0</v>
      </c>
      <c r="H7162" s="60">
        <v>0.3</v>
      </c>
      <c r="I7162" s="60">
        <v>83.6994089999999</v>
      </c>
      <c r="J7162" s="59">
        <v>12.0</v>
      </c>
      <c r="K7162" s="61">
        <f t="shared" si="1"/>
        <v>1</v>
      </c>
      <c r="L7162" s="62">
        <f t="shared" si="2"/>
        <v>1.2</v>
      </c>
    </row>
    <row r="7163">
      <c r="A7163" s="58">
        <v>45566.0</v>
      </c>
      <c r="B7163" s="24" t="s">
        <v>6787</v>
      </c>
      <c r="C7163" s="24" t="s">
        <v>7236</v>
      </c>
      <c r="D7163" s="59">
        <v>9.0</v>
      </c>
      <c r="E7163" s="59">
        <v>9.0</v>
      </c>
      <c r="F7163" s="59">
        <v>5.0</v>
      </c>
      <c r="G7163" s="60">
        <v>1.0</v>
      </c>
      <c r="H7163" s="60">
        <v>0.444444444444444</v>
      </c>
      <c r="I7163" s="60">
        <v>153.690862</v>
      </c>
      <c r="J7163" s="59">
        <v>18.0</v>
      </c>
      <c r="K7163" s="61">
        <f t="shared" si="1"/>
        <v>0.5555555556</v>
      </c>
      <c r="L7163" s="62">
        <f t="shared" si="2"/>
        <v>2</v>
      </c>
    </row>
    <row r="7164">
      <c r="A7164" s="58">
        <v>45566.0</v>
      </c>
      <c r="B7164" s="24" t="s">
        <v>6789</v>
      </c>
      <c r="C7164" s="24" t="s">
        <v>7313</v>
      </c>
      <c r="D7164" s="59">
        <v>9.0</v>
      </c>
      <c r="E7164" s="59">
        <v>12.0</v>
      </c>
      <c r="F7164" s="59">
        <v>1.0</v>
      </c>
      <c r="G7164" s="60">
        <v>1.5</v>
      </c>
      <c r="H7164" s="60">
        <v>0.5</v>
      </c>
      <c r="I7164" s="60">
        <v>252.596236583333</v>
      </c>
      <c r="J7164" s="59">
        <v>36.0</v>
      </c>
      <c r="K7164" s="61">
        <f t="shared" si="1"/>
        <v>0.08333333333</v>
      </c>
      <c r="L7164" s="62">
        <f t="shared" si="2"/>
        <v>3</v>
      </c>
    </row>
    <row r="7165">
      <c r="A7165" s="58">
        <v>45566.0</v>
      </c>
      <c r="B7165" s="24" t="s">
        <v>6787</v>
      </c>
      <c r="C7165" s="24" t="s">
        <v>6803</v>
      </c>
      <c r="D7165" s="59">
        <v>8.0</v>
      </c>
      <c r="E7165" s="59">
        <v>8.0</v>
      </c>
      <c r="F7165" s="59">
        <v>8.0</v>
      </c>
      <c r="G7165" s="60">
        <v>1.0</v>
      </c>
      <c r="H7165" s="60">
        <v>1.0</v>
      </c>
      <c r="I7165" s="60">
        <v>0.0</v>
      </c>
      <c r="J7165" s="59">
        <v>8.0</v>
      </c>
      <c r="K7165" s="61">
        <f t="shared" si="1"/>
        <v>1</v>
      </c>
      <c r="L7165" s="62">
        <f t="shared" si="2"/>
        <v>1</v>
      </c>
    </row>
    <row r="7166">
      <c r="A7166" s="58">
        <v>45566.0</v>
      </c>
      <c r="B7166" s="24" t="s">
        <v>6789</v>
      </c>
      <c r="C7166" s="24" t="s">
        <v>6838</v>
      </c>
      <c r="D7166" s="59">
        <v>8.0</v>
      </c>
      <c r="E7166" s="59">
        <v>9.0</v>
      </c>
      <c r="F7166" s="59">
        <v>5.0</v>
      </c>
      <c r="G7166" s="60">
        <v>1.28571428571428</v>
      </c>
      <c r="H7166" s="60">
        <v>0.555555555555555</v>
      </c>
      <c r="I7166" s="60">
        <v>128.256031555555</v>
      </c>
      <c r="J7166" s="59">
        <v>12.0</v>
      </c>
      <c r="K7166" s="61">
        <f t="shared" si="1"/>
        <v>0.5555555556</v>
      </c>
      <c r="L7166" s="62">
        <f t="shared" si="2"/>
        <v>1.333333333</v>
      </c>
    </row>
    <row r="7167">
      <c r="A7167" s="58">
        <v>45566.0</v>
      </c>
      <c r="B7167" s="24" t="s">
        <v>6787</v>
      </c>
      <c r="C7167" s="24" t="s">
        <v>7129</v>
      </c>
      <c r="D7167" s="59">
        <v>8.0</v>
      </c>
      <c r="E7167" s="59">
        <v>8.0</v>
      </c>
      <c r="F7167" s="59">
        <v>8.0</v>
      </c>
      <c r="G7167" s="60">
        <v>1.0</v>
      </c>
      <c r="H7167" s="60">
        <v>1.0</v>
      </c>
      <c r="I7167" s="60">
        <v>2.368981125</v>
      </c>
      <c r="J7167" s="59">
        <v>8.0</v>
      </c>
      <c r="K7167" s="61">
        <f t="shared" si="1"/>
        <v>1</v>
      </c>
      <c r="L7167" s="62">
        <f t="shared" si="2"/>
        <v>1</v>
      </c>
    </row>
    <row r="7168">
      <c r="A7168" s="58">
        <v>45566.0</v>
      </c>
      <c r="B7168" s="24" t="s">
        <v>6789</v>
      </c>
      <c r="C7168" s="24" t="s">
        <v>7195</v>
      </c>
      <c r="D7168" s="59">
        <v>8.0</v>
      </c>
      <c r="E7168" s="59">
        <v>10.0</v>
      </c>
      <c r="F7168" s="59">
        <v>2.0</v>
      </c>
      <c r="G7168" s="60">
        <v>2.0</v>
      </c>
      <c r="H7168" s="60">
        <v>0.4</v>
      </c>
      <c r="I7168" s="60">
        <v>65.3619758</v>
      </c>
      <c r="J7168" s="59">
        <v>10.0</v>
      </c>
      <c r="K7168" s="61">
        <f t="shared" si="1"/>
        <v>0.2</v>
      </c>
      <c r="L7168" s="62">
        <f t="shared" si="2"/>
        <v>1</v>
      </c>
    </row>
    <row r="7169">
      <c r="A7169" s="58">
        <v>45566.0</v>
      </c>
      <c r="B7169" s="24" t="s">
        <v>6787</v>
      </c>
      <c r="C7169" s="24" t="s">
        <v>7231</v>
      </c>
      <c r="D7169" s="59">
        <v>7.0</v>
      </c>
      <c r="E7169" s="59">
        <v>7.0</v>
      </c>
      <c r="F7169" s="59">
        <v>7.0</v>
      </c>
      <c r="G7169" s="60">
        <v>1.0</v>
      </c>
      <c r="H7169" s="60">
        <v>0.285714285714285</v>
      </c>
      <c r="I7169" s="60">
        <v>13.5306124285714</v>
      </c>
      <c r="J7169" s="59">
        <v>9.0</v>
      </c>
      <c r="K7169" s="61">
        <f t="shared" si="1"/>
        <v>1</v>
      </c>
      <c r="L7169" s="62">
        <f t="shared" si="2"/>
        <v>1.285714286</v>
      </c>
    </row>
    <row r="7170">
      <c r="A7170" s="58">
        <v>45566.0</v>
      </c>
      <c r="B7170" s="24" t="s">
        <v>6789</v>
      </c>
      <c r="C7170" s="24" t="s">
        <v>6801</v>
      </c>
      <c r="D7170" s="59">
        <v>7.0</v>
      </c>
      <c r="E7170" s="59">
        <v>7.0</v>
      </c>
      <c r="F7170" s="59">
        <v>5.0</v>
      </c>
      <c r="G7170" s="60">
        <v>1.0</v>
      </c>
      <c r="H7170" s="60">
        <v>0.285714285714285</v>
      </c>
      <c r="I7170" s="60">
        <v>411.820677857142</v>
      </c>
      <c r="J7170" s="59">
        <v>14.0</v>
      </c>
      <c r="K7170" s="61">
        <f t="shared" si="1"/>
        <v>0.7142857143</v>
      </c>
      <c r="L7170" s="62">
        <f t="shared" si="2"/>
        <v>2</v>
      </c>
    </row>
    <row r="7171">
      <c r="A7171" s="58">
        <v>45566.0</v>
      </c>
      <c r="B7171" s="24" t="s">
        <v>6789</v>
      </c>
      <c r="C7171" s="24" t="s">
        <v>7102</v>
      </c>
      <c r="D7171" s="59">
        <v>7.0</v>
      </c>
      <c r="E7171" s="59">
        <v>9.0</v>
      </c>
      <c r="F7171" s="59">
        <v>3.0</v>
      </c>
      <c r="G7171" s="60">
        <v>1.28571428571428</v>
      </c>
      <c r="H7171" s="60">
        <v>0.222222222222222</v>
      </c>
      <c r="I7171" s="60">
        <v>341.678093666666</v>
      </c>
      <c r="J7171" s="59">
        <v>19.0</v>
      </c>
      <c r="K7171" s="61">
        <f t="shared" si="1"/>
        <v>0.3333333333</v>
      </c>
      <c r="L7171" s="62">
        <f t="shared" si="2"/>
        <v>2.111111111</v>
      </c>
    </row>
    <row r="7172">
      <c r="A7172" s="58">
        <v>45566.0</v>
      </c>
      <c r="B7172" s="24" t="s">
        <v>6787</v>
      </c>
      <c r="C7172" s="24" t="s">
        <v>6815</v>
      </c>
      <c r="D7172" s="59">
        <v>7.0</v>
      </c>
      <c r="E7172" s="59">
        <v>27.0</v>
      </c>
      <c r="F7172" s="59">
        <v>6.0</v>
      </c>
      <c r="G7172" s="60">
        <v>4.5</v>
      </c>
      <c r="H7172" s="60">
        <v>0.925925925925925</v>
      </c>
      <c r="I7172" s="60">
        <v>2.38296003703703</v>
      </c>
      <c r="J7172" s="59">
        <v>29.0</v>
      </c>
      <c r="K7172" s="61">
        <f t="shared" si="1"/>
        <v>0.2222222222</v>
      </c>
      <c r="L7172" s="62">
        <f t="shared" si="2"/>
        <v>1.074074074</v>
      </c>
    </row>
    <row r="7173">
      <c r="A7173" s="58">
        <v>45566.0</v>
      </c>
      <c r="B7173" s="24" t="s">
        <v>6789</v>
      </c>
      <c r="C7173" s="24" t="s">
        <v>7107</v>
      </c>
      <c r="D7173" s="59">
        <v>7.0</v>
      </c>
      <c r="E7173" s="59">
        <v>12.0</v>
      </c>
      <c r="F7173" s="59">
        <v>1.0</v>
      </c>
      <c r="G7173" s="60">
        <v>1.71428571428571</v>
      </c>
      <c r="H7173" s="60">
        <v>0.5</v>
      </c>
      <c r="I7173" s="60">
        <v>106.924234833333</v>
      </c>
      <c r="J7173" s="59">
        <v>17.0</v>
      </c>
      <c r="K7173" s="61">
        <f t="shared" si="1"/>
        <v>0.08333333333</v>
      </c>
      <c r="L7173" s="62">
        <f t="shared" si="2"/>
        <v>1.416666667</v>
      </c>
    </row>
    <row r="7174">
      <c r="A7174" s="58">
        <v>45566.0</v>
      </c>
      <c r="B7174" s="24" t="s">
        <v>6787</v>
      </c>
      <c r="C7174" s="24" t="s">
        <v>6810</v>
      </c>
      <c r="D7174" s="59">
        <v>7.0</v>
      </c>
      <c r="E7174" s="59">
        <v>7.0</v>
      </c>
      <c r="F7174" s="59">
        <v>7.0</v>
      </c>
      <c r="G7174" s="60">
        <v>1.0</v>
      </c>
      <c r="H7174" s="60">
        <v>0.571428571428571</v>
      </c>
      <c r="I7174" s="60">
        <v>594.706755714285</v>
      </c>
      <c r="J7174" s="59">
        <v>9.0</v>
      </c>
      <c r="K7174" s="61">
        <f t="shared" si="1"/>
        <v>1</v>
      </c>
      <c r="L7174" s="62">
        <f t="shared" si="2"/>
        <v>1.285714286</v>
      </c>
    </row>
    <row r="7175">
      <c r="A7175" s="58">
        <v>45566.0</v>
      </c>
      <c r="B7175" s="24" t="s">
        <v>6789</v>
      </c>
      <c r="C7175" s="24" t="s">
        <v>6810</v>
      </c>
      <c r="D7175" s="59">
        <v>7.0</v>
      </c>
      <c r="E7175" s="59">
        <v>12.0</v>
      </c>
      <c r="F7175" s="59">
        <v>4.0</v>
      </c>
      <c r="G7175" s="60">
        <v>2.0</v>
      </c>
      <c r="H7175" s="60">
        <v>0.5</v>
      </c>
      <c r="I7175" s="60">
        <v>175.039283583333</v>
      </c>
      <c r="J7175" s="59">
        <v>18.0</v>
      </c>
      <c r="K7175" s="61">
        <f t="shared" si="1"/>
        <v>0.3333333333</v>
      </c>
      <c r="L7175" s="62">
        <f t="shared" si="2"/>
        <v>1.5</v>
      </c>
    </row>
    <row r="7176">
      <c r="A7176" s="58">
        <v>45566.0</v>
      </c>
      <c r="B7176" s="24" t="s">
        <v>6794</v>
      </c>
      <c r="C7176" s="24" t="s">
        <v>6792</v>
      </c>
      <c r="D7176" s="59">
        <v>6.0</v>
      </c>
      <c r="E7176" s="59">
        <v>6.0</v>
      </c>
      <c r="F7176" s="59">
        <v>0.0</v>
      </c>
      <c r="G7176" s="60">
        <v>2.0</v>
      </c>
      <c r="H7176" s="60">
        <v>1.0</v>
      </c>
      <c r="I7176" s="60">
        <v>0.0</v>
      </c>
      <c r="J7176" s="59">
        <v>0.0</v>
      </c>
      <c r="K7176" s="61">
        <f t="shared" si="1"/>
        <v>0</v>
      </c>
      <c r="L7176" s="62">
        <f t="shared" si="2"/>
        <v>0</v>
      </c>
    </row>
    <row r="7177">
      <c r="A7177" s="58">
        <v>45566.0</v>
      </c>
      <c r="B7177" s="24" t="s">
        <v>6789</v>
      </c>
      <c r="C7177" s="24" t="s">
        <v>7056</v>
      </c>
      <c r="D7177" s="59">
        <v>6.0</v>
      </c>
      <c r="E7177" s="59">
        <v>7.0</v>
      </c>
      <c r="F7177" s="59">
        <v>6.0</v>
      </c>
      <c r="G7177" s="60">
        <v>1.16666666666666</v>
      </c>
      <c r="H7177" s="60">
        <v>0.571428571428571</v>
      </c>
      <c r="I7177" s="60">
        <v>94.0982847142857</v>
      </c>
      <c r="J7177" s="59">
        <v>8.0</v>
      </c>
      <c r="K7177" s="61">
        <f t="shared" si="1"/>
        <v>0.8571428571</v>
      </c>
      <c r="L7177" s="62">
        <f t="shared" si="2"/>
        <v>1.142857143</v>
      </c>
    </row>
    <row r="7178">
      <c r="A7178" s="58">
        <v>45566.0</v>
      </c>
      <c r="B7178" s="24" t="s">
        <v>6787</v>
      </c>
      <c r="C7178" s="24" t="s">
        <v>6804</v>
      </c>
      <c r="D7178" s="59">
        <v>6.0</v>
      </c>
      <c r="E7178" s="59">
        <v>14.0</v>
      </c>
      <c r="F7178" s="59">
        <v>6.0</v>
      </c>
      <c r="G7178" s="60">
        <v>2.33333333333333</v>
      </c>
      <c r="H7178" s="60">
        <v>0.785714285714285</v>
      </c>
      <c r="I7178" s="60">
        <v>120.946819214285</v>
      </c>
      <c r="J7178" s="59">
        <v>18.0</v>
      </c>
      <c r="K7178" s="61">
        <f t="shared" si="1"/>
        <v>0.4285714286</v>
      </c>
      <c r="L7178" s="62">
        <f t="shared" si="2"/>
        <v>1.285714286</v>
      </c>
    </row>
    <row r="7179">
      <c r="A7179" s="58">
        <v>45566.0</v>
      </c>
      <c r="B7179" s="24" t="s">
        <v>6787</v>
      </c>
      <c r="C7179" s="24" t="s">
        <v>6822</v>
      </c>
      <c r="D7179" s="59">
        <v>6.0</v>
      </c>
      <c r="E7179" s="59">
        <v>7.0</v>
      </c>
      <c r="F7179" s="59">
        <v>5.0</v>
      </c>
      <c r="G7179" s="60">
        <v>1.16666666666666</v>
      </c>
      <c r="H7179" s="60">
        <v>0.714285714285714</v>
      </c>
      <c r="I7179" s="60">
        <v>9.38122714285714</v>
      </c>
      <c r="J7179" s="59">
        <v>10.0</v>
      </c>
      <c r="K7179" s="61">
        <f t="shared" si="1"/>
        <v>0.7142857143</v>
      </c>
      <c r="L7179" s="62">
        <f t="shared" si="2"/>
        <v>1.428571429</v>
      </c>
    </row>
    <row r="7180">
      <c r="A7180" s="58">
        <v>45566.0</v>
      </c>
      <c r="B7180" s="24" t="s">
        <v>6789</v>
      </c>
      <c r="C7180" s="24" t="s">
        <v>7236</v>
      </c>
      <c r="D7180" s="59">
        <v>6.0</v>
      </c>
      <c r="E7180" s="59">
        <v>6.0</v>
      </c>
      <c r="F7180" s="59">
        <v>4.0</v>
      </c>
      <c r="G7180" s="60">
        <v>1.0</v>
      </c>
      <c r="H7180" s="60">
        <v>0.5</v>
      </c>
      <c r="I7180" s="60">
        <v>29.5568009999999</v>
      </c>
      <c r="J7180" s="59">
        <v>8.0</v>
      </c>
      <c r="K7180" s="61">
        <f t="shared" si="1"/>
        <v>0.6666666667</v>
      </c>
      <c r="L7180" s="62">
        <f t="shared" si="2"/>
        <v>1.333333333</v>
      </c>
    </row>
    <row r="7181">
      <c r="A7181" s="58">
        <v>45566.0</v>
      </c>
      <c r="B7181" s="24" t="s">
        <v>6787</v>
      </c>
      <c r="C7181" s="24" t="s">
        <v>6808</v>
      </c>
      <c r="D7181" s="59">
        <v>6.0</v>
      </c>
      <c r="E7181" s="59">
        <v>6.0</v>
      </c>
      <c r="F7181" s="59">
        <v>5.0</v>
      </c>
      <c r="G7181" s="60">
        <v>1.0</v>
      </c>
      <c r="H7181" s="60">
        <v>0.333333333333333</v>
      </c>
      <c r="I7181" s="60">
        <v>389.9196205</v>
      </c>
      <c r="J7181" s="59">
        <v>21.0</v>
      </c>
      <c r="K7181" s="61">
        <f t="shared" si="1"/>
        <v>0.8333333333</v>
      </c>
      <c r="L7181" s="62">
        <f t="shared" si="2"/>
        <v>3.5</v>
      </c>
    </row>
    <row r="7182">
      <c r="A7182" s="58">
        <v>45566.0</v>
      </c>
      <c r="B7182" s="24" t="s">
        <v>6787</v>
      </c>
      <c r="C7182" s="24" t="s">
        <v>6922</v>
      </c>
      <c r="D7182" s="59">
        <v>6.0</v>
      </c>
      <c r="E7182" s="59">
        <v>6.0</v>
      </c>
      <c r="F7182" s="59">
        <v>6.0</v>
      </c>
      <c r="G7182" s="60">
        <v>1.0</v>
      </c>
      <c r="H7182" s="60">
        <v>0.833333333333333</v>
      </c>
      <c r="I7182" s="60">
        <v>49.0334323333333</v>
      </c>
      <c r="J7182" s="59">
        <v>8.0</v>
      </c>
      <c r="K7182" s="61">
        <f t="shared" si="1"/>
        <v>1</v>
      </c>
      <c r="L7182" s="62">
        <f t="shared" si="2"/>
        <v>1.333333333</v>
      </c>
    </row>
    <row r="7183">
      <c r="A7183" s="58">
        <v>45566.0</v>
      </c>
      <c r="B7183" s="24" t="s">
        <v>6789</v>
      </c>
      <c r="C7183" s="24" t="s">
        <v>6922</v>
      </c>
      <c r="D7183" s="59">
        <v>6.0</v>
      </c>
      <c r="E7183" s="59">
        <v>7.0</v>
      </c>
      <c r="F7183" s="59">
        <v>4.0</v>
      </c>
      <c r="G7183" s="60">
        <v>1.4</v>
      </c>
      <c r="H7183" s="60">
        <v>0.571428571428571</v>
      </c>
      <c r="I7183" s="60">
        <v>115.376438285714</v>
      </c>
      <c r="J7183" s="59">
        <v>10.0</v>
      </c>
      <c r="K7183" s="61">
        <f t="shared" si="1"/>
        <v>0.5714285714</v>
      </c>
      <c r="L7183" s="62">
        <f t="shared" si="2"/>
        <v>1.428571429</v>
      </c>
    </row>
    <row r="7184">
      <c r="A7184" s="58">
        <v>45566.0</v>
      </c>
      <c r="B7184" s="24" t="s">
        <v>6789</v>
      </c>
      <c r="C7184" s="24" t="s">
        <v>6797</v>
      </c>
      <c r="D7184" s="59">
        <v>6.0</v>
      </c>
      <c r="E7184" s="59">
        <v>8.0</v>
      </c>
      <c r="F7184" s="59">
        <v>1.0</v>
      </c>
      <c r="G7184" s="60">
        <v>1.33333333333333</v>
      </c>
      <c r="H7184" s="60">
        <v>0.375</v>
      </c>
      <c r="I7184" s="60">
        <v>281.08960425</v>
      </c>
      <c r="J7184" s="59">
        <v>20.0</v>
      </c>
      <c r="K7184" s="61">
        <f t="shared" si="1"/>
        <v>0.125</v>
      </c>
      <c r="L7184" s="62">
        <f t="shared" si="2"/>
        <v>2.5</v>
      </c>
    </row>
    <row r="7185">
      <c r="A7185" s="58">
        <v>45566.0</v>
      </c>
      <c r="B7185" s="24" t="s">
        <v>6787</v>
      </c>
      <c r="C7185" s="24" t="s">
        <v>6817</v>
      </c>
      <c r="D7185" s="59">
        <v>5.0</v>
      </c>
      <c r="E7185" s="59">
        <v>6.0</v>
      </c>
      <c r="F7185" s="59">
        <v>5.0</v>
      </c>
      <c r="G7185" s="60">
        <v>1.2</v>
      </c>
      <c r="H7185" s="60">
        <v>0.666666666666666</v>
      </c>
      <c r="I7185" s="60">
        <v>92.937027</v>
      </c>
      <c r="J7185" s="59">
        <v>14.0</v>
      </c>
      <c r="K7185" s="61">
        <f t="shared" si="1"/>
        <v>0.8333333333</v>
      </c>
      <c r="L7185" s="62">
        <f t="shared" si="2"/>
        <v>2.333333333</v>
      </c>
    </row>
    <row r="7186">
      <c r="A7186" s="58">
        <v>45566.0</v>
      </c>
      <c r="B7186" s="24" t="s">
        <v>6789</v>
      </c>
      <c r="C7186" s="24" t="s">
        <v>7057</v>
      </c>
      <c r="D7186" s="59">
        <v>5.0</v>
      </c>
      <c r="E7186" s="59">
        <v>5.0</v>
      </c>
      <c r="F7186" s="59">
        <v>5.0</v>
      </c>
      <c r="G7186" s="60">
        <v>1.0</v>
      </c>
      <c r="H7186" s="60">
        <v>0.6</v>
      </c>
      <c r="I7186" s="60">
        <v>252.2981268</v>
      </c>
      <c r="J7186" s="59">
        <v>5.0</v>
      </c>
      <c r="K7186" s="61">
        <f t="shared" si="1"/>
        <v>1</v>
      </c>
      <c r="L7186" s="62">
        <f t="shared" si="2"/>
        <v>1</v>
      </c>
    </row>
    <row r="7187">
      <c r="A7187" s="58">
        <v>45566.0</v>
      </c>
      <c r="B7187" s="24" t="s">
        <v>6789</v>
      </c>
      <c r="C7187" s="24" t="s">
        <v>6861</v>
      </c>
      <c r="D7187" s="59">
        <v>5.0</v>
      </c>
      <c r="E7187" s="59">
        <v>5.0</v>
      </c>
      <c r="F7187" s="59">
        <v>5.0</v>
      </c>
      <c r="G7187" s="60">
        <v>1.0</v>
      </c>
      <c r="H7187" s="60">
        <v>0.6</v>
      </c>
      <c r="I7187" s="60">
        <v>225.1433466</v>
      </c>
      <c r="J7187" s="59">
        <v>11.0</v>
      </c>
      <c r="K7187" s="61">
        <f t="shared" si="1"/>
        <v>1</v>
      </c>
      <c r="L7187" s="62">
        <f t="shared" si="2"/>
        <v>2.2</v>
      </c>
    </row>
    <row r="7188">
      <c r="A7188" s="58">
        <v>45566.0</v>
      </c>
      <c r="B7188" s="24" t="s">
        <v>6789</v>
      </c>
      <c r="C7188" s="24" t="s">
        <v>6990</v>
      </c>
      <c r="D7188" s="59">
        <v>5.0</v>
      </c>
      <c r="E7188" s="59">
        <v>5.0</v>
      </c>
      <c r="F7188" s="59">
        <v>4.0</v>
      </c>
      <c r="G7188" s="60">
        <v>1.0</v>
      </c>
      <c r="H7188" s="60">
        <v>0.8</v>
      </c>
      <c r="I7188" s="60">
        <v>2.635167</v>
      </c>
      <c r="J7188" s="59">
        <v>5.0</v>
      </c>
      <c r="K7188" s="61">
        <f t="shared" si="1"/>
        <v>0.8</v>
      </c>
      <c r="L7188" s="62">
        <f t="shared" si="2"/>
        <v>1</v>
      </c>
    </row>
    <row r="7189">
      <c r="A7189" s="58">
        <v>45566.0</v>
      </c>
      <c r="B7189" s="24" t="s">
        <v>6789</v>
      </c>
      <c r="C7189" s="24" t="s">
        <v>6994</v>
      </c>
      <c r="D7189" s="59">
        <v>5.0</v>
      </c>
      <c r="E7189" s="59">
        <v>5.0</v>
      </c>
      <c r="F7189" s="59">
        <v>5.0</v>
      </c>
      <c r="G7189" s="60">
        <v>1.0</v>
      </c>
      <c r="H7189" s="60">
        <v>0.0</v>
      </c>
      <c r="I7189" s="60">
        <v>391.769244799999</v>
      </c>
      <c r="J7189" s="59">
        <v>6.0</v>
      </c>
      <c r="K7189" s="61">
        <f t="shared" si="1"/>
        <v>1</v>
      </c>
      <c r="L7189" s="62">
        <f t="shared" si="2"/>
        <v>1.2</v>
      </c>
    </row>
    <row r="7190">
      <c r="A7190" s="58">
        <v>45566.0</v>
      </c>
      <c r="B7190" s="24" t="s">
        <v>6789</v>
      </c>
      <c r="C7190" s="24" t="s">
        <v>6892</v>
      </c>
      <c r="D7190" s="59">
        <v>5.0</v>
      </c>
      <c r="E7190" s="59">
        <v>5.0</v>
      </c>
      <c r="F7190" s="59">
        <v>5.0</v>
      </c>
      <c r="G7190" s="60">
        <v>1.0</v>
      </c>
      <c r="H7190" s="60">
        <v>0.6</v>
      </c>
      <c r="I7190" s="60">
        <v>20.1444102</v>
      </c>
      <c r="J7190" s="59">
        <v>5.0</v>
      </c>
      <c r="K7190" s="61">
        <f t="shared" si="1"/>
        <v>1</v>
      </c>
      <c r="L7190" s="62">
        <f t="shared" si="2"/>
        <v>1</v>
      </c>
    </row>
    <row r="7191">
      <c r="A7191" s="58">
        <v>45566.0</v>
      </c>
      <c r="B7191" s="24" t="s">
        <v>6787</v>
      </c>
      <c r="C7191" s="24" t="s">
        <v>6898</v>
      </c>
      <c r="D7191" s="59">
        <v>5.0</v>
      </c>
      <c r="E7191" s="59">
        <v>6.0</v>
      </c>
      <c r="F7191" s="59">
        <v>3.0</v>
      </c>
      <c r="G7191" s="60">
        <v>1.2</v>
      </c>
      <c r="H7191" s="60">
        <v>0.166666666666666</v>
      </c>
      <c r="I7191" s="60">
        <v>85.1219058333333</v>
      </c>
      <c r="J7191" s="59">
        <v>11.0</v>
      </c>
      <c r="K7191" s="61">
        <f t="shared" si="1"/>
        <v>0.5</v>
      </c>
      <c r="L7191" s="62">
        <f t="shared" si="2"/>
        <v>1.833333333</v>
      </c>
    </row>
    <row r="7192">
      <c r="A7192" s="58">
        <v>45566.0</v>
      </c>
      <c r="B7192" s="24" t="s">
        <v>6787</v>
      </c>
      <c r="C7192" s="24" t="s">
        <v>6811</v>
      </c>
      <c r="D7192" s="59">
        <v>5.0</v>
      </c>
      <c r="E7192" s="59">
        <v>6.0</v>
      </c>
      <c r="F7192" s="59">
        <v>3.0</v>
      </c>
      <c r="G7192" s="60">
        <v>1.2</v>
      </c>
      <c r="H7192" s="60">
        <v>0.166666666666666</v>
      </c>
      <c r="I7192" s="60">
        <v>381.188949666666</v>
      </c>
      <c r="J7192" s="59">
        <v>8.0</v>
      </c>
      <c r="K7192" s="61">
        <f t="shared" si="1"/>
        <v>0.5</v>
      </c>
      <c r="L7192" s="62">
        <f t="shared" si="2"/>
        <v>1.333333333</v>
      </c>
    </row>
    <row r="7193">
      <c r="A7193" s="58">
        <v>45566.0</v>
      </c>
      <c r="B7193" s="24" t="s">
        <v>6791</v>
      </c>
      <c r="C7193" s="24" t="s">
        <v>7236</v>
      </c>
      <c r="D7193" s="59">
        <v>5.0</v>
      </c>
      <c r="E7193" s="59">
        <v>5.0</v>
      </c>
      <c r="F7193" s="59">
        <v>4.0</v>
      </c>
      <c r="G7193" s="60">
        <v>1.0</v>
      </c>
      <c r="H7193" s="60">
        <v>0.4</v>
      </c>
      <c r="I7193" s="60">
        <v>75.73897</v>
      </c>
      <c r="J7193" s="59">
        <v>6.0</v>
      </c>
      <c r="K7193" s="61">
        <f t="shared" si="1"/>
        <v>0.8</v>
      </c>
      <c r="L7193" s="62">
        <f t="shared" si="2"/>
        <v>1.2</v>
      </c>
    </row>
    <row r="7194">
      <c r="A7194" s="58">
        <v>45566.0</v>
      </c>
      <c r="B7194" s="24" t="s">
        <v>6789</v>
      </c>
      <c r="C7194" s="24" t="s">
        <v>7234</v>
      </c>
      <c r="D7194" s="59">
        <v>5.0</v>
      </c>
      <c r="E7194" s="59">
        <v>7.0</v>
      </c>
      <c r="F7194" s="59">
        <v>5.0</v>
      </c>
      <c r="G7194" s="60">
        <v>1.4</v>
      </c>
      <c r="H7194" s="60">
        <v>0.285714285714285</v>
      </c>
      <c r="I7194" s="60">
        <v>117.568773714285</v>
      </c>
      <c r="J7194" s="59">
        <v>7.0</v>
      </c>
      <c r="K7194" s="61">
        <f t="shared" si="1"/>
        <v>0.7142857143</v>
      </c>
      <c r="L7194" s="62">
        <f t="shared" si="2"/>
        <v>1</v>
      </c>
    </row>
    <row r="7195">
      <c r="A7195" s="58">
        <v>45566.0</v>
      </c>
      <c r="B7195" s="24" t="s">
        <v>6789</v>
      </c>
      <c r="C7195" s="24" t="s">
        <v>7091</v>
      </c>
      <c r="D7195" s="59">
        <v>5.0</v>
      </c>
      <c r="E7195" s="59">
        <v>5.0</v>
      </c>
      <c r="F7195" s="59">
        <v>5.0</v>
      </c>
      <c r="G7195" s="60">
        <v>1.0</v>
      </c>
      <c r="H7195" s="60">
        <v>0.4</v>
      </c>
      <c r="I7195" s="60">
        <v>30.8881842</v>
      </c>
      <c r="J7195" s="59">
        <v>5.0</v>
      </c>
      <c r="K7195" s="61">
        <f t="shared" si="1"/>
        <v>1</v>
      </c>
      <c r="L7195" s="62">
        <f t="shared" si="2"/>
        <v>1</v>
      </c>
    </row>
    <row r="7196">
      <c r="A7196" s="58">
        <v>45566.0</v>
      </c>
      <c r="B7196" s="24" t="s">
        <v>6787</v>
      </c>
      <c r="C7196" s="24" t="s">
        <v>6800</v>
      </c>
      <c r="D7196" s="59">
        <v>5.0</v>
      </c>
      <c r="E7196" s="59">
        <v>5.0</v>
      </c>
      <c r="F7196" s="59">
        <v>5.0</v>
      </c>
      <c r="G7196" s="60">
        <v>1.0</v>
      </c>
      <c r="H7196" s="60">
        <v>0.8</v>
      </c>
      <c r="I7196" s="60">
        <v>3.375072</v>
      </c>
      <c r="J7196" s="59">
        <v>6.0</v>
      </c>
      <c r="K7196" s="61">
        <f t="shared" si="1"/>
        <v>1</v>
      </c>
      <c r="L7196" s="62">
        <f t="shared" si="2"/>
        <v>1.2</v>
      </c>
    </row>
    <row r="7197">
      <c r="A7197" s="58">
        <v>45566.0</v>
      </c>
      <c r="B7197" s="24" t="s">
        <v>6787</v>
      </c>
      <c r="C7197" s="24" t="s">
        <v>7102</v>
      </c>
      <c r="D7197" s="59">
        <v>5.0</v>
      </c>
      <c r="E7197" s="59">
        <v>9.0</v>
      </c>
      <c r="F7197" s="59">
        <v>5.0</v>
      </c>
      <c r="G7197" s="60">
        <v>1.8</v>
      </c>
      <c r="H7197" s="60">
        <v>1.0</v>
      </c>
      <c r="I7197" s="60">
        <v>0.0</v>
      </c>
      <c r="J7197" s="59">
        <v>9.0</v>
      </c>
      <c r="K7197" s="61">
        <f t="shared" si="1"/>
        <v>0.5555555556</v>
      </c>
      <c r="L7197" s="62">
        <f t="shared" si="2"/>
        <v>1</v>
      </c>
    </row>
    <row r="7198">
      <c r="A7198" s="58">
        <v>45566.0</v>
      </c>
      <c r="B7198" s="24" t="s">
        <v>6787</v>
      </c>
      <c r="C7198" s="24" t="s">
        <v>7107</v>
      </c>
      <c r="D7198" s="59">
        <v>5.0</v>
      </c>
      <c r="E7198" s="59">
        <v>5.0</v>
      </c>
      <c r="F7198" s="59">
        <v>3.0</v>
      </c>
      <c r="G7198" s="60">
        <v>1.25</v>
      </c>
      <c r="H7198" s="60">
        <v>0.8</v>
      </c>
      <c r="I7198" s="60">
        <v>255.1091984</v>
      </c>
      <c r="J7198" s="59">
        <v>5.0</v>
      </c>
      <c r="K7198" s="61">
        <f t="shared" si="1"/>
        <v>0.6</v>
      </c>
      <c r="L7198" s="62">
        <f t="shared" si="2"/>
        <v>1</v>
      </c>
    </row>
    <row r="7199">
      <c r="A7199" s="58">
        <v>45566.0</v>
      </c>
      <c r="B7199" s="24" t="s">
        <v>6787</v>
      </c>
      <c r="C7199" s="24" t="s">
        <v>6802</v>
      </c>
      <c r="D7199" s="59">
        <v>5.0</v>
      </c>
      <c r="E7199" s="59">
        <v>5.0</v>
      </c>
      <c r="F7199" s="59">
        <v>4.0</v>
      </c>
      <c r="G7199" s="60">
        <v>1.0</v>
      </c>
      <c r="H7199" s="60">
        <v>0.4</v>
      </c>
      <c r="I7199" s="60">
        <v>242.8297336</v>
      </c>
      <c r="J7199" s="59">
        <v>9.0</v>
      </c>
      <c r="K7199" s="61">
        <f t="shared" si="1"/>
        <v>0.8</v>
      </c>
      <c r="L7199" s="62">
        <f t="shared" si="2"/>
        <v>1.8</v>
      </c>
    </row>
    <row r="7200">
      <c r="A7200" s="58">
        <v>45566.0</v>
      </c>
      <c r="B7200" s="24" t="s">
        <v>6789</v>
      </c>
      <c r="C7200" s="24" t="s">
        <v>6819</v>
      </c>
      <c r="D7200" s="59">
        <v>4.0</v>
      </c>
      <c r="E7200" s="59">
        <v>5.0</v>
      </c>
      <c r="F7200" s="59">
        <v>4.0</v>
      </c>
      <c r="G7200" s="60">
        <v>1.25</v>
      </c>
      <c r="H7200" s="60">
        <v>0.6</v>
      </c>
      <c r="I7200" s="60">
        <v>64.2539864</v>
      </c>
      <c r="J7200" s="59">
        <v>5.0</v>
      </c>
      <c r="K7200" s="61">
        <f t="shared" si="1"/>
        <v>0.8</v>
      </c>
      <c r="L7200" s="62">
        <f t="shared" si="2"/>
        <v>1</v>
      </c>
    </row>
    <row r="7201">
      <c r="A7201" s="58">
        <v>45566.0</v>
      </c>
      <c r="B7201" s="24" t="s">
        <v>6787</v>
      </c>
      <c r="C7201" s="24" t="s">
        <v>7072</v>
      </c>
      <c r="D7201" s="59">
        <v>4.0</v>
      </c>
      <c r="E7201" s="59">
        <v>6.0</v>
      </c>
      <c r="F7201" s="59">
        <v>4.0</v>
      </c>
      <c r="G7201" s="60">
        <v>1.5</v>
      </c>
      <c r="H7201" s="60">
        <v>1.0</v>
      </c>
      <c r="I7201" s="60">
        <v>0.0</v>
      </c>
      <c r="J7201" s="59">
        <v>6.0</v>
      </c>
      <c r="K7201" s="61">
        <f t="shared" si="1"/>
        <v>0.6666666667</v>
      </c>
      <c r="L7201" s="62">
        <f t="shared" si="2"/>
        <v>1</v>
      </c>
    </row>
    <row r="7202">
      <c r="A7202" s="58">
        <v>45566.0</v>
      </c>
      <c r="B7202" s="24" t="s">
        <v>6789</v>
      </c>
      <c r="C7202" s="24" t="s">
        <v>7074</v>
      </c>
      <c r="D7202" s="59">
        <v>4.0</v>
      </c>
      <c r="E7202" s="59">
        <v>4.0</v>
      </c>
      <c r="F7202" s="59">
        <v>4.0</v>
      </c>
      <c r="G7202" s="60">
        <v>1.0</v>
      </c>
      <c r="H7202" s="60">
        <v>0.25</v>
      </c>
      <c r="I7202" s="60">
        <v>38.20337125</v>
      </c>
      <c r="J7202" s="59">
        <v>4.0</v>
      </c>
      <c r="K7202" s="61">
        <f t="shared" si="1"/>
        <v>1</v>
      </c>
      <c r="L7202" s="62">
        <f t="shared" si="2"/>
        <v>1</v>
      </c>
    </row>
    <row r="7203">
      <c r="A7203" s="58">
        <v>45566.0</v>
      </c>
      <c r="B7203" s="24" t="s">
        <v>6787</v>
      </c>
      <c r="C7203" s="24" t="s">
        <v>6886</v>
      </c>
      <c r="D7203" s="59">
        <v>4.0</v>
      </c>
      <c r="E7203" s="59">
        <v>4.0</v>
      </c>
      <c r="F7203" s="59">
        <v>4.0</v>
      </c>
      <c r="G7203" s="60">
        <v>1.0</v>
      </c>
      <c r="H7203" s="60">
        <v>0.5</v>
      </c>
      <c r="I7203" s="60">
        <v>157.735592</v>
      </c>
      <c r="J7203" s="59">
        <v>8.0</v>
      </c>
      <c r="K7203" s="61">
        <f t="shared" si="1"/>
        <v>1</v>
      </c>
      <c r="L7203" s="62">
        <f t="shared" si="2"/>
        <v>2</v>
      </c>
    </row>
    <row r="7204">
      <c r="A7204" s="58">
        <v>45566.0</v>
      </c>
      <c r="B7204" s="24" t="s">
        <v>6787</v>
      </c>
      <c r="C7204" s="24" t="s">
        <v>6820</v>
      </c>
      <c r="D7204" s="59">
        <v>4.0</v>
      </c>
      <c r="E7204" s="59">
        <v>4.0</v>
      </c>
      <c r="F7204" s="59">
        <v>3.0</v>
      </c>
      <c r="G7204" s="60">
        <v>1.0</v>
      </c>
      <c r="H7204" s="60">
        <v>1.0</v>
      </c>
      <c r="I7204" s="60">
        <v>1.64723075</v>
      </c>
      <c r="J7204" s="59">
        <v>4.0</v>
      </c>
      <c r="K7204" s="61">
        <f t="shared" si="1"/>
        <v>0.75</v>
      </c>
      <c r="L7204" s="62">
        <f t="shared" si="2"/>
        <v>1</v>
      </c>
    </row>
    <row r="7205">
      <c r="A7205" s="58">
        <v>45566.0</v>
      </c>
      <c r="B7205" s="24" t="s">
        <v>6789</v>
      </c>
      <c r="C7205" s="24" t="s">
        <v>6822</v>
      </c>
      <c r="D7205" s="59">
        <v>4.0</v>
      </c>
      <c r="E7205" s="59">
        <v>4.0</v>
      </c>
      <c r="F7205" s="59">
        <v>1.0</v>
      </c>
      <c r="G7205" s="60">
        <v>1.0</v>
      </c>
      <c r="H7205" s="60">
        <v>0.25</v>
      </c>
      <c r="I7205" s="60">
        <v>127.0392655</v>
      </c>
      <c r="J7205" s="59">
        <v>8.0</v>
      </c>
      <c r="K7205" s="61">
        <f t="shared" si="1"/>
        <v>0.25</v>
      </c>
      <c r="L7205" s="62">
        <f t="shared" si="2"/>
        <v>2</v>
      </c>
    </row>
    <row r="7206">
      <c r="A7206" s="58">
        <v>45566.0</v>
      </c>
      <c r="B7206" s="24" t="s">
        <v>6790</v>
      </c>
      <c r="C7206" s="24" t="s">
        <v>6892</v>
      </c>
      <c r="D7206" s="59">
        <v>4.0</v>
      </c>
      <c r="E7206" s="59">
        <v>4.0</v>
      </c>
      <c r="F7206" s="59">
        <v>4.0</v>
      </c>
      <c r="G7206" s="60">
        <v>1.0</v>
      </c>
      <c r="H7206" s="60">
        <v>0.75</v>
      </c>
      <c r="I7206" s="60">
        <v>82.55960175</v>
      </c>
      <c r="J7206" s="59">
        <v>4.0</v>
      </c>
      <c r="K7206" s="61">
        <f t="shared" si="1"/>
        <v>1</v>
      </c>
      <c r="L7206" s="62">
        <f t="shared" si="2"/>
        <v>1</v>
      </c>
    </row>
    <row r="7207">
      <c r="A7207" s="58">
        <v>45566.0</v>
      </c>
      <c r="B7207" s="24" t="s">
        <v>6789</v>
      </c>
      <c r="C7207" s="24" t="s">
        <v>6841</v>
      </c>
      <c r="D7207" s="59">
        <v>4.0</v>
      </c>
      <c r="E7207" s="59">
        <v>5.0</v>
      </c>
      <c r="F7207" s="59">
        <v>3.0</v>
      </c>
      <c r="G7207" s="60">
        <v>1.25</v>
      </c>
      <c r="H7207" s="60">
        <v>0.4</v>
      </c>
      <c r="I7207" s="60">
        <v>443.7072326</v>
      </c>
      <c r="J7207" s="59">
        <v>7.0</v>
      </c>
      <c r="K7207" s="61">
        <f t="shared" si="1"/>
        <v>0.6</v>
      </c>
      <c r="L7207" s="62">
        <f t="shared" si="2"/>
        <v>1.4</v>
      </c>
    </row>
    <row r="7208">
      <c r="A7208" s="58">
        <v>45566.0</v>
      </c>
      <c r="B7208" s="24" t="s">
        <v>6787</v>
      </c>
      <c r="C7208" s="24" t="s">
        <v>7190</v>
      </c>
      <c r="D7208" s="59">
        <v>4.0</v>
      </c>
      <c r="E7208" s="59">
        <v>5.0</v>
      </c>
      <c r="F7208" s="59">
        <v>1.0</v>
      </c>
      <c r="G7208" s="60">
        <v>1.66666666666666</v>
      </c>
      <c r="H7208" s="60">
        <v>0.6</v>
      </c>
      <c r="I7208" s="60">
        <v>91.2543938</v>
      </c>
      <c r="J7208" s="59">
        <v>9.0</v>
      </c>
      <c r="K7208" s="61">
        <f t="shared" si="1"/>
        <v>0.2</v>
      </c>
      <c r="L7208" s="62">
        <f t="shared" si="2"/>
        <v>1.8</v>
      </c>
    </row>
    <row r="7209">
      <c r="A7209" s="58">
        <v>45566.0</v>
      </c>
      <c r="B7209" s="24" t="s">
        <v>6789</v>
      </c>
      <c r="C7209" s="24" t="s">
        <v>6800</v>
      </c>
      <c r="D7209" s="59">
        <v>4.0</v>
      </c>
      <c r="E7209" s="59">
        <v>4.0</v>
      </c>
      <c r="F7209" s="59">
        <v>2.0</v>
      </c>
      <c r="G7209" s="60">
        <v>1.33333333333333</v>
      </c>
      <c r="H7209" s="60">
        <v>0.5</v>
      </c>
      <c r="I7209" s="60">
        <v>46.50905075</v>
      </c>
      <c r="J7209" s="59">
        <v>4.0</v>
      </c>
      <c r="K7209" s="61">
        <f t="shared" si="1"/>
        <v>0.5</v>
      </c>
      <c r="L7209" s="62">
        <f t="shared" si="2"/>
        <v>1</v>
      </c>
    </row>
    <row r="7210">
      <c r="A7210" s="58">
        <v>45566.0</v>
      </c>
      <c r="B7210" s="24" t="s">
        <v>6789</v>
      </c>
      <c r="C7210" s="24" t="s">
        <v>7013</v>
      </c>
      <c r="D7210" s="59">
        <v>4.0</v>
      </c>
      <c r="E7210" s="59">
        <v>4.0</v>
      </c>
      <c r="F7210" s="59">
        <v>4.0</v>
      </c>
      <c r="G7210" s="60">
        <v>1.0</v>
      </c>
      <c r="H7210" s="60">
        <v>0.25</v>
      </c>
      <c r="I7210" s="60">
        <v>228.4702785</v>
      </c>
      <c r="J7210" s="59">
        <v>21.0</v>
      </c>
      <c r="K7210" s="61">
        <f t="shared" si="1"/>
        <v>1</v>
      </c>
      <c r="L7210" s="62">
        <f t="shared" si="2"/>
        <v>5.25</v>
      </c>
    </row>
    <row r="7211">
      <c r="A7211" s="58">
        <v>45566.0</v>
      </c>
      <c r="B7211" s="24" t="s">
        <v>6789</v>
      </c>
      <c r="C7211" s="24" t="s">
        <v>6908</v>
      </c>
      <c r="D7211" s="59">
        <v>4.0</v>
      </c>
      <c r="E7211" s="59">
        <v>4.0</v>
      </c>
      <c r="F7211" s="59">
        <v>4.0</v>
      </c>
      <c r="G7211" s="60">
        <v>1.0</v>
      </c>
      <c r="H7211" s="60">
        <v>0.5</v>
      </c>
      <c r="I7211" s="60">
        <v>45.0116575</v>
      </c>
      <c r="J7211" s="59">
        <v>7.0</v>
      </c>
      <c r="K7211" s="61">
        <f t="shared" si="1"/>
        <v>1</v>
      </c>
      <c r="L7211" s="62">
        <f t="shared" si="2"/>
        <v>1.75</v>
      </c>
    </row>
    <row r="7212">
      <c r="A7212" s="58">
        <v>45566.0</v>
      </c>
      <c r="B7212" s="24" t="s">
        <v>6789</v>
      </c>
      <c r="C7212" s="24" t="s">
        <v>7172</v>
      </c>
      <c r="D7212" s="59">
        <v>4.0</v>
      </c>
      <c r="E7212" s="59">
        <v>4.0</v>
      </c>
      <c r="F7212" s="59">
        <v>2.0</v>
      </c>
      <c r="G7212" s="60">
        <v>1.0</v>
      </c>
      <c r="H7212" s="60">
        <v>0.0</v>
      </c>
      <c r="I7212" s="60">
        <v>70.62877875</v>
      </c>
      <c r="J7212" s="59">
        <v>6.0</v>
      </c>
      <c r="K7212" s="61">
        <f t="shared" si="1"/>
        <v>0.5</v>
      </c>
      <c r="L7212" s="62">
        <f t="shared" si="2"/>
        <v>1.5</v>
      </c>
    </row>
    <row r="7213">
      <c r="A7213" s="58">
        <v>45566.0</v>
      </c>
      <c r="B7213" s="24" t="s">
        <v>6787</v>
      </c>
      <c r="C7213" s="24" t="s">
        <v>6801</v>
      </c>
      <c r="D7213" s="59">
        <v>4.0</v>
      </c>
      <c r="E7213" s="59">
        <v>6.0</v>
      </c>
      <c r="F7213" s="59">
        <v>3.0</v>
      </c>
      <c r="G7213" s="60">
        <v>1.5</v>
      </c>
      <c r="H7213" s="60">
        <v>0.833333333333333</v>
      </c>
      <c r="I7213" s="60">
        <v>81.1539303333333</v>
      </c>
      <c r="J7213" s="59">
        <v>6.0</v>
      </c>
      <c r="K7213" s="61">
        <f t="shared" si="1"/>
        <v>0.5</v>
      </c>
      <c r="L7213" s="62">
        <f t="shared" si="2"/>
        <v>1</v>
      </c>
    </row>
    <row r="7214">
      <c r="A7214" s="58">
        <v>45566.0</v>
      </c>
      <c r="B7214" s="24" t="s">
        <v>6790</v>
      </c>
      <c r="C7214" s="24" t="s">
        <v>6801</v>
      </c>
      <c r="D7214" s="59">
        <v>4.0</v>
      </c>
      <c r="E7214" s="59">
        <v>4.0</v>
      </c>
      <c r="F7214" s="59">
        <v>4.0</v>
      </c>
      <c r="G7214" s="60">
        <v>1.0</v>
      </c>
      <c r="H7214" s="60">
        <v>1.0</v>
      </c>
      <c r="I7214" s="60">
        <v>0.0</v>
      </c>
      <c r="J7214" s="59">
        <v>4.0</v>
      </c>
      <c r="K7214" s="61">
        <f t="shared" si="1"/>
        <v>1</v>
      </c>
      <c r="L7214" s="62">
        <f t="shared" si="2"/>
        <v>1</v>
      </c>
    </row>
    <row r="7215">
      <c r="A7215" s="58">
        <v>45566.0</v>
      </c>
      <c r="B7215" s="24" t="s">
        <v>6794</v>
      </c>
      <c r="C7215" s="24" t="s">
        <v>6815</v>
      </c>
      <c r="D7215" s="59">
        <v>4.0</v>
      </c>
      <c r="E7215" s="59">
        <v>4.0</v>
      </c>
      <c r="F7215" s="59">
        <v>4.0</v>
      </c>
      <c r="G7215" s="60">
        <v>1.0</v>
      </c>
      <c r="H7215" s="60">
        <v>0.5</v>
      </c>
      <c r="I7215" s="60">
        <v>164.423884749999</v>
      </c>
      <c r="J7215" s="59">
        <v>4.0</v>
      </c>
      <c r="K7215" s="61">
        <f t="shared" si="1"/>
        <v>1</v>
      </c>
      <c r="L7215" s="62">
        <f t="shared" si="2"/>
        <v>1</v>
      </c>
    </row>
    <row r="7216">
      <c r="A7216" s="58">
        <v>45566.0</v>
      </c>
      <c r="B7216" s="24" t="s">
        <v>6789</v>
      </c>
      <c r="C7216" s="24" t="s">
        <v>6986</v>
      </c>
      <c r="D7216" s="59">
        <v>3.0</v>
      </c>
      <c r="E7216" s="59">
        <v>3.0</v>
      </c>
      <c r="F7216" s="59">
        <v>3.0</v>
      </c>
      <c r="G7216" s="60">
        <v>1.0</v>
      </c>
      <c r="H7216" s="60">
        <v>0.0</v>
      </c>
      <c r="I7216" s="60">
        <v>431.776689</v>
      </c>
      <c r="J7216" s="59">
        <v>7.0</v>
      </c>
      <c r="K7216" s="61">
        <f t="shared" si="1"/>
        <v>1</v>
      </c>
      <c r="L7216" s="62">
        <f t="shared" si="2"/>
        <v>2.333333333</v>
      </c>
    </row>
    <row r="7217">
      <c r="A7217" s="58">
        <v>45566.0</v>
      </c>
      <c r="B7217" s="24" t="s">
        <v>6789</v>
      </c>
      <c r="C7217" s="24" t="s">
        <v>6989</v>
      </c>
      <c r="D7217" s="59">
        <v>3.0</v>
      </c>
      <c r="E7217" s="59">
        <v>3.0</v>
      </c>
      <c r="F7217" s="59">
        <v>3.0</v>
      </c>
      <c r="G7217" s="60">
        <v>1.0</v>
      </c>
      <c r="H7217" s="60">
        <v>1.0</v>
      </c>
      <c r="I7217" s="60">
        <v>0.0</v>
      </c>
      <c r="J7217" s="59">
        <v>3.0</v>
      </c>
      <c r="K7217" s="61">
        <f t="shared" si="1"/>
        <v>1</v>
      </c>
      <c r="L7217" s="62">
        <f t="shared" si="2"/>
        <v>1</v>
      </c>
    </row>
    <row r="7218">
      <c r="A7218" s="58">
        <v>45566.0</v>
      </c>
      <c r="B7218" s="24" t="s">
        <v>155</v>
      </c>
      <c r="C7218" s="24" t="s">
        <v>7068</v>
      </c>
      <c r="D7218" s="59">
        <v>3.0</v>
      </c>
      <c r="E7218" s="59">
        <v>3.0</v>
      </c>
      <c r="F7218" s="59">
        <v>1.0</v>
      </c>
      <c r="G7218" s="60">
        <v>1.5</v>
      </c>
      <c r="H7218" s="60">
        <v>0.666666666666666</v>
      </c>
      <c r="I7218" s="60">
        <v>7.98952366666666</v>
      </c>
      <c r="J7218" s="59">
        <v>3.0</v>
      </c>
      <c r="K7218" s="61">
        <f t="shared" si="1"/>
        <v>0.3333333333</v>
      </c>
      <c r="L7218" s="62">
        <f t="shared" si="2"/>
        <v>1</v>
      </c>
    </row>
    <row r="7219">
      <c r="A7219" s="58">
        <v>45566.0</v>
      </c>
      <c r="B7219" s="24" t="s">
        <v>6787</v>
      </c>
      <c r="C7219" s="24" t="s">
        <v>7021</v>
      </c>
      <c r="D7219" s="59">
        <v>3.0</v>
      </c>
      <c r="E7219" s="59">
        <v>3.0</v>
      </c>
      <c r="F7219" s="59">
        <v>2.0</v>
      </c>
      <c r="G7219" s="60">
        <v>1.0</v>
      </c>
      <c r="H7219" s="60">
        <v>0.0</v>
      </c>
      <c r="I7219" s="60">
        <v>533.109856666666</v>
      </c>
      <c r="J7219" s="59">
        <v>6.0</v>
      </c>
      <c r="K7219" s="61">
        <f t="shared" si="1"/>
        <v>0.6666666667</v>
      </c>
      <c r="L7219" s="62">
        <f t="shared" si="2"/>
        <v>2</v>
      </c>
    </row>
    <row r="7220">
      <c r="A7220" s="58">
        <v>45566.0</v>
      </c>
      <c r="B7220" s="24" t="s">
        <v>6789</v>
      </c>
      <c r="C7220" s="24" t="s">
        <v>6840</v>
      </c>
      <c r="D7220" s="59">
        <v>3.0</v>
      </c>
      <c r="E7220" s="59">
        <v>3.0</v>
      </c>
      <c r="F7220" s="59">
        <v>2.0</v>
      </c>
      <c r="G7220" s="60">
        <v>1.5</v>
      </c>
      <c r="H7220" s="60">
        <v>0.666666666666666</v>
      </c>
      <c r="I7220" s="60">
        <v>6.88312033333333</v>
      </c>
      <c r="J7220" s="59">
        <v>4.0</v>
      </c>
      <c r="K7220" s="61">
        <f t="shared" si="1"/>
        <v>0.6666666667</v>
      </c>
      <c r="L7220" s="62">
        <f t="shared" si="2"/>
        <v>1.333333333</v>
      </c>
    </row>
    <row r="7221">
      <c r="A7221" s="58">
        <v>45566.0</v>
      </c>
      <c r="B7221" s="24" t="s">
        <v>6787</v>
      </c>
      <c r="C7221" s="24" t="s">
        <v>7195</v>
      </c>
      <c r="D7221" s="59">
        <v>3.0</v>
      </c>
      <c r="E7221" s="59">
        <v>3.0</v>
      </c>
      <c r="F7221" s="59">
        <v>3.0</v>
      </c>
      <c r="G7221" s="60">
        <v>1.0</v>
      </c>
      <c r="H7221" s="60">
        <v>0.666666666666666</v>
      </c>
      <c r="I7221" s="60">
        <v>79.8292353333333</v>
      </c>
      <c r="J7221" s="59">
        <v>7.0</v>
      </c>
      <c r="K7221" s="61">
        <f t="shared" si="1"/>
        <v>1</v>
      </c>
      <c r="L7221" s="62">
        <f t="shared" si="2"/>
        <v>2.333333333</v>
      </c>
    </row>
    <row r="7222">
      <c r="A7222" s="58">
        <v>45566.0</v>
      </c>
      <c r="B7222" s="24" t="s">
        <v>6787</v>
      </c>
      <c r="C7222" s="24" t="s">
        <v>7521</v>
      </c>
      <c r="D7222" s="59">
        <v>3.0</v>
      </c>
      <c r="E7222" s="59">
        <v>6.0</v>
      </c>
      <c r="F7222" s="59">
        <v>1.0</v>
      </c>
      <c r="G7222" s="60">
        <v>2.0</v>
      </c>
      <c r="H7222" s="60">
        <v>0.166666666666666</v>
      </c>
      <c r="I7222" s="60">
        <v>305.696105333333</v>
      </c>
      <c r="J7222" s="59">
        <v>21.0</v>
      </c>
      <c r="K7222" s="61">
        <f t="shared" si="1"/>
        <v>0.1666666667</v>
      </c>
      <c r="L7222" s="62">
        <f t="shared" si="2"/>
        <v>3.5</v>
      </c>
    </row>
    <row r="7223">
      <c r="A7223" s="58">
        <v>45566.0</v>
      </c>
      <c r="B7223" s="24" t="s">
        <v>6787</v>
      </c>
      <c r="C7223" s="24" t="s">
        <v>6841</v>
      </c>
      <c r="D7223" s="59">
        <v>3.0</v>
      </c>
      <c r="E7223" s="59">
        <v>3.0</v>
      </c>
      <c r="F7223" s="59">
        <v>3.0</v>
      </c>
      <c r="G7223" s="60">
        <v>1.0</v>
      </c>
      <c r="H7223" s="60">
        <v>0.333333333333333</v>
      </c>
      <c r="I7223" s="60">
        <v>9.40221966666666</v>
      </c>
      <c r="J7223" s="59">
        <v>3.0</v>
      </c>
      <c r="K7223" s="61">
        <f t="shared" si="1"/>
        <v>1</v>
      </c>
      <c r="L7223" s="62">
        <f t="shared" si="2"/>
        <v>1</v>
      </c>
    </row>
    <row r="7224">
      <c r="A7224" s="58">
        <v>45566.0</v>
      </c>
      <c r="B7224" s="24" t="s">
        <v>155</v>
      </c>
      <c r="C7224" s="24" t="s">
        <v>6898</v>
      </c>
      <c r="D7224" s="59">
        <v>3.0</v>
      </c>
      <c r="E7224" s="59">
        <v>4.0</v>
      </c>
      <c r="F7224" s="59">
        <v>0.0</v>
      </c>
      <c r="G7224" s="60">
        <v>2.0</v>
      </c>
      <c r="H7224" s="60">
        <v>0.75</v>
      </c>
      <c r="I7224" s="60">
        <v>762.187513</v>
      </c>
      <c r="J7224" s="59">
        <v>17.0</v>
      </c>
      <c r="K7224" s="61">
        <f t="shared" si="1"/>
        <v>0</v>
      </c>
      <c r="L7224" s="62">
        <f t="shared" si="2"/>
        <v>4.25</v>
      </c>
    </row>
    <row r="7225">
      <c r="A7225" s="58">
        <v>45566.0</v>
      </c>
      <c r="B7225" s="24" t="s">
        <v>6787</v>
      </c>
      <c r="C7225" s="24" t="s">
        <v>6904</v>
      </c>
      <c r="D7225" s="59">
        <v>3.0</v>
      </c>
      <c r="E7225" s="59">
        <v>3.0</v>
      </c>
      <c r="F7225" s="59">
        <v>2.0</v>
      </c>
      <c r="G7225" s="60">
        <v>1.0</v>
      </c>
      <c r="H7225" s="60">
        <v>0.333333333333333</v>
      </c>
      <c r="I7225" s="60">
        <v>531.398435333333</v>
      </c>
      <c r="J7225" s="59">
        <v>4.0</v>
      </c>
      <c r="K7225" s="61">
        <f t="shared" si="1"/>
        <v>0.6666666667</v>
      </c>
      <c r="L7225" s="62">
        <f t="shared" si="2"/>
        <v>1.333333333</v>
      </c>
    </row>
    <row r="7226">
      <c r="A7226" s="58">
        <v>45566.0</v>
      </c>
      <c r="B7226" s="24" t="s">
        <v>6789</v>
      </c>
      <c r="C7226" s="24" t="s">
        <v>7035</v>
      </c>
      <c r="D7226" s="59">
        <v>3.0</v>
      </c>
      <c r="E7226" s="59">
        <v>3.0</v>
      </c>
      <c r="F7226" s="59">
        <v>3.0</v>
      </c>
      <c r="G7226" s="60">
        <v>1.0</v>
      </c>
      <c r="H7226" s="60">
        <v>0.333333333333333</v>
      </c>
      <c r="I7226" s="60">
        <v>840.007022333333</v>
      </c>
      <c r="J7226" s="59">
        <v>17.0</v>
      </c>
      <c r="K7226" s="61">
        <f t="shared" si="1"/>
        <v>1</v>
      </c>
      <c r="L7226" s="62">
        <f t="shared" si="2"/>
        <v>5.666666667</v>
      </c>
    </row>
    <row r="7227">
      <c r="A7227" s="58">
        <v>45566.0</v>
      </c>
      <c r="B7227" s="24" t="s">
        <v>6794</v>
      </c>
      <c r="C7227" s="24" t="s">
        <v>7090</v>
      </c>
      <c r="D7227" s="59">
        <v>3.0</v>
      </c>
      <c r="E7227" s="59">
        <v>3.0</v>
      </c>
      <c r="F7227" s="59">
        <v>3.0</v>
      </c>
      <c r="G7227" s="60">
        <v>1.0</v>
      </c>
      <c r="H7227" s="60">
        <v>0.666666666666666</v>
      </c>
      <c r="I7227" s="60">
        <v>19.323102</v>
      </c>
      <c r="J7227" s="59">
        <v>4.0</v>
      </c>
      <c r="K7227" s="61">
        <f t="shared" si="1"/>
        <v>1</v>
      </c>
      <c r="L7227" s="62">
        <f t="shared" si="2"/>
        <v>1.333333333</v>
      </c>
    </row>
    <row r="7228">
      <c r="A7228" s="58">
        <v>45566.0</v>
      </c>
      <c r="B7228" s="24" t="s">
        <v>6787</v>
      </c>
      <c r="C7228" s="24" t="s">
        <v>7013</v>
      </c>
      <c r="D7228" s="59">
        <v>3.0</v>
      </c>
      <c r="E7228" s="59">
        <v>3.0</v>
      </c>
      <c r="F7228" s="59">
        <v>3.0</v>
      </c>
      <c r="G7228" s="60">
        <v>1.0</v>
      </c>
      <c r="H7228" s="60">
        <v>1.0</v>
      </c>
      <c r="I7228" s="60">
        <v>0.0</v>
      </c>
      <c r="J7228" s="59">
        <v>3.0</v>
      </c>
      <c r="K7228" s="61">
        <f t="shared" si="1"/>
        <v>1</v>
      </c>
      <c r="L7228" s="62">
        <f t="shared" si="2"/>
        <v>1</v>
      </c>
    </row>
    <row r="7229">
      <c r="A7229" s="58">
        <v>45566.0</v>
      </c>
      <c r="B7229" s="24" t="s">
        <v>6790</v>
      </c>
      <c r="C7229" s="24" t="s">
        <v>6908</v>
      </c>
      <c r="D7229" s="59">
        <v>3.0</v>
      </c>
      <c r="E7229" s="59">
        <v>3.0</v>
      </c>
      <c r="F7229" s="59">
        <v>3.0</v>
      </c>
      <c r="G7229" s="60">
        <v>1.0</v>
      </c>
      <c r="H7229" s="60">
        <v>1.0</v>
      </c>
      <c r="I7229" s="60">
        <v>0.0</v>
      </c>
      <c r="J7229" s="59">
        <v>3.0</v>
      </c>
      <c r="K7229" s="61">
        <f t="shared" si="1"/>
        <v>1</v>
      </c>
      <c r="L7229" s="62">
        <f t="shared" si="2"/>
        <v>1</v>
      </c>
    </row>
    <row r="7230">
      <c r="A7230" s="58">
        <v>45566.0</v>
      </c>
      <c r="B7230" s="24" t="s">
        <v>6787</v>
      </c>
      <c r="C7230" s="24" t="s">
        <v>7104</v>
      </c>
      <c r="D7230" s="59">
        <v>3.0</v>
      </c>
      <c r="E7230" s="59">
        <v>3.0</v>
      </c>
      <c r="F7230" s="59">
        <v>3.0</v>
      </c>
      <c r="G7230" s="60">
        <v>1.0</v>
      </c>
      <c r="H7230" s="60">
        <v>1.0</v>
      </c>
      <c r="I7230" s="60">
        <v>1.986642</v>
      </c>
      <c r="J7230" s="59">
        <v>3.0</v>
      </c>
      <c r="K7230" s="61">
        <f t="shared" si="1"/>
        <v>1</v>
      </c>
      <c r="L7230" s="62">
        <f t="shared" si="2"/>
        <v>1</v>
      </c>
    </row>
    <row r="7231">
      <c r="A7231" s="58">
        <v>45566.0</v>
      </c>
      <c r="B7231" s="24" t="s">
        <v>6789</v>
      </c>
      <c r="C7231" s="24" t="s">
        <v>7174</v>
      </c>
      <c r="D7231" s="59">
        <v>3.0</v>
      </c>
      <c r="E7231" s="59">
        <v>4.0</v>
      </c>
      <c r="F7231" s="59">
        <v>1.0</v>
      </c>
      <c r="G7231" s="60">
        <v>1.33333333333333</v>
      </c>
      <c r="H7231" s="60">
        <v>0.5</v>
      </c>
      <c r="I7231" s="60">
        <v>958.88362175</v>
      </c>
      <c r="J7231" s="59">
        <v>21.0</v>
      </c>
      <c r="K7231" s="61">
        <f t="shared" si="1"/>
        <v>0.25</v>
      </c>
      <c r="L7231" s="62">
        <f t="shared" si="2"/>
        <v>5.25</v>
      </c>
    </row>
    <row r="7232">
      <c r="A7232" s="58">
        <v>45566.0</v>
      </c>
      <c r="B7232" s="24" t="s">
        <v>6787</v>
      </c>
      <c r="C7232" s="24" t="s">
        <v>7192</v>
      </c>
      <c r="D7232" s="59">
        <v>3.0</v>
      </c>
      <c r="E7232" s="59">
        <v>3.0</v>
      </c>
      <c r="F7232" s="59">
        <v>3.0</v>
      </c>
      <c r="G7232" s="60">
        <v>1.0</v>
      </c>
      <c r="H7232" s="60">
        <v>0.333333333333333</v>
      </c>
      <c r="I7232" s="60">
        <v>54.9231623333333</v>
      </c>
      <c r="J7232" s="59">
        <v>4.0</v>
      </c>
      <c r="K7232" s="61">
        <f t="shared" si="1"/>
        <v>1</v>
      </c>
      <c r="L7232" s="62">
        <f t="shared" si="2"/>
        <v>1.333333333</v>
      </c>
    </row>
    <row r="7233">
      <c r="A7233" s="58">
        <v>45566.0</v>
      </c>
      <c r="B7233" s="24" t="s">
        <v>6790</v>
      </c>
      <c r="C7233" s="24" t="s">
        <v>7107</v>
      </c>
      <c r="D7233" s="59">
        <v>3.0</v>
      </c>
      <c r="E7233" s="59">
        <v>3.0</v>
      </c>
      <c r="F7233" s="59">
        <v>3.0</v>
      </c>
      <c r="G7233" s="60">
        <v>1.0</v>
      </c>
      <c r="H7233" s="60">
        <v>0.333333333333333</v>
      </c>
      <c r="I7233" s="60">
        <v>19.0527016666666</v>
      </c>
      <c r="J7233" s="59">
        <v>3.0</v>
      </c>
      <c r="K7233" s="61">
        <f t="shared" si="1"/>
        <v>1</v>
      </c>
      <c r="L7233" s="62">
        <f t="shared" si="2"/>
        <v>1</v>
      </c>
    </row>
    <row r="7234">
      <c r="A7234" s="58">
        <v>45566.0</v>
      </c>
      <c r="B7234" s="24" t="s">
        <v>6789</v>
      </c>
      <c r="C7234" s="24" t="s">
        <v>6854</v>
      </c>
      <c r="D7234" s="59">
        <v>3.0</v>
      </c>
      <c r="E7234" s="59">
        <v>4.0</v>
      </c>
      <c r="F7234" s="59">
        <v>2.0</v>
      </c>
      <c r="G7234" s="60">
        <v>2.0</v>
      </c>
      <c r="H7234" s="60">
        <v>0.5</v>
      </c>
      <c r="I7234" s="60">
        <v>30.853238</v>
      </c>
      <c r="J7234" s="59">
        <v>4.0</v>
      </c>
      <c r="K7234" s="61">
        <f t="shared" si="1"/>
        <v>0.5</v>
      </c>
      <c r="L7234" s="62">
        <f t="shared" si="2"/>
        <v>1</v>
      </c>
    </row>
    <row r="7235">
      <c r="A7235" s="58">
        <v>45566.0</v>
      </c>
      <c r="B7235" s="24" t="s">
        <v>6790</v>
      </c>
      <c r="C7235" s="24" t="s">
        <v>6792</v>
      </c>
      <c r="D7235" s="59">
        <v>2.0</v>
      </c>
      <c r="E7235" s="59">
        <v>4.0</v>
      </c>
      <c r="F7235" s="59">
        <v>0.0</v>
      </c>
      <c r="G7235" s="60">
        <v>4.0</v>
      </c>
      <c r="H7235" s="60">
        <v>1.0</v>
      </c>
      <c r="I7235" s="60">
        <v>0.0</v>
      </c>
      <c r="J7235" s="59">
        <v>0.0</v>
      </c>
      <c r="K7235" s="61">
        <f t="shared" si="1"/>
        <v>0</v>
      </c>
      <c r="L7235" s="62">
        <f t="shared" si="2"/>
        <v>0</v>
      </c>
    </row>
    <row r="7236">
      <c r="A7236" s="58">
        <v>45566.0</v>
      </c>
      <c r="B7236" s="24" t="s">
        <v>6942</v>
      </c>
      <c r="C7236" s="24" t="s">
        <v>6788</v>
      </c>
      <c r="D7236" s="59">
        <v>2.0</v>
      </c>
      <c r="E7236" s="59">
        <v>3.0</v>
      </c>
      <c r="F7236" s="59">
        <v>2.0</v>
      </c>
      <c r="G7236" s="60">
        <v>1.5</v>
      </c>
      <c r="H7236" s="60">
        <v>0.666666666666666</v>
      </c>
      <c r="I7236" s="60">
        <v>62.6534013333333</v>
      </c>
      <c r="J7236" s="59">
        <v>3.0</v>
      </c>
      <c r="K7236" s="61">
        <f t="shared" si="1"/>
        <v>0.6666666667</v>
      </c>
      <c r="L7236" s="62">
        <f t="shared" si="2"/>
        <v>1</v>
      </c>
    </row>
    <row r="7237">
      <c r="A7237" s="58">
        <v>45566.0</v>
      </c>
      <c r="B7237" s="24" t="s">
        <v>6789</v>
      </c>
      <c r="C7237" s="24" t="s">
        <v>6817</v>
      </c>
      <c r="D7237" s="59">
        <v>2.0</v>
      </c>
      <c r="E7237" s="59">
        <v>2.0</v>
      </c>
      <c r="F7237" s="59">
        <v>1.0</v>
      </c>
      <c r="G7237" s="60">
        <v>1.0</v>
      </c>
      <c r="H7237" s="60">
        <v>0.0</v>
      </c>
      <c r="I7237" s="60">
        <v>44.9976575</v>
      </c>
      <c r="J7237" s="59">
        <v>3.0</v>
      </c>
      <c r="K7237" s="61">
        <f t="shared" si="1"/>
        <v>0.5</v>
      </c>
      <c r="L7237" s="62">
        <f t="shared" si="2"/>
        <v>1.5</v>
      </c>
    </row>
    <row r="7238">
      <c r="A7238" s="58">
        <v>45566.0</v>
      </c>
      <c r="B7238" s="24" t="s">
        <v>6789</v>
      </c>
      <c r="C7238" s="24" t="s">
        <v>7058</v>
      </c>
      <c r="D7238" s="59">
        <v>2.0</v>
      </c>
      <c r="E7238" s="59">
        <v>2.0</v>
      </c>
      <c r="F7238" s="59">
        <v>1.0</v>
      </c>
      <c r="G7238" s="60">
        <v>1.0</v>
      </c>
      <c r="H7238" s="60">
        <v>0.0</v>
      </c>
      <c r="I7238" s="60">
        <v>515.127687999999</v>
      </c>
      <c r="J7238" s="59">
        <v>3.0</v>
      </c>
      <c r="K7238" s="61">
        <f t="shared" si="1"/>
        <v>0.5</v>
      </c>
      <c r="L7238" s="62">
        <f t="shared" si="2"/>
        <v>1.5</v>
      </c>
    </row>
    <row r="7239">
      <c r="A7239" s="58">
        <v>45566.0</v>
      </c>
      <c r="B7239" s="24" t="s">
        <v>6787</v>
      </c>
      <c r="C7239" s="24" t="s">
        <v>6985</v>
      </c>
      <c r="D7239" s="59">
        <v>2.0</v>
      </c>
      <c r="E7239" s="59">
        <v>4.0</v>
      </c>
      <c r="F7239" s="59">
        <v>2.0</v>
      </c>
      <c r="G7239" s="60">
        <v>2.0</v>
      </c>
      <c r="H7239" s="60">
        <v>1.0</v>
      </c>
      <c r="I7239" s="60">
        <v>0.0</v>
      </c>
      <c r="J7239" s="59">
        <v>4.0</v>
      </c>
      <c r="K7239" s="61">
        <f t="shared" si="1"/>
        <v>0.5</v>
      </c>
      <c r="L7239" s="62">
        <f t="shared" si="2"/>
        <v>1</v>
      </c>
    </row>
    <row r="7240">
      <c r="A7240" s="58">
        <v>45566.0</v>
      </c>
      <c r="B7240" s="24" t="s">
        <v>6789</v>
      </c>
      <c r="C7240" s="24" t="s">
        <v>6988</v>
      </c>
      <c r="D7240" s="59">
        <v>2.0</v>
      </c>
      <c r="E7240" s="59">
        <v>2.0</v>
      </c>
      <c r="F7240" s="59">
        <v>1.0</v>
      </c>
      <c r="G7240" s="60">
        <v>1.0</v>
      </c>
      <c r="H7240" s="60">
        <v>0.5</v>
      </c>
      <c r="I7240" s="60">
        <v>18.8185835</v>
      </c>
      <c r="J7240" s="59">
        <v>4.0</v>
      </c>
      <c r="K7240" s="61">
        <f t="shared" si="1"/>
        <v>0.5</v>
      </c>
      <c r="L7240" s="62">
        <f t="shared" si="2"/>
        <v>2</v>
      </c>
    </row>
    <row r="7241">
      <c r="A7241" s="58">
        <v>45566.0</v>
      </c>
      <c r="B7241" s="24" t="s">
        <v>6787</v>
      </c>
      <c r="C7241" s="24" t="s">
        <v>7024</v>
      </c>
      <c r="D7241" s="59">
        <v>2.0</v>
      </c>
      <c r="E7241" s="59">
        <v>2.0</v>
      </c>
      <c r="F7241" s="59">
        <v>2.0</v>
      </c>
      <c r="G7241" s="60">
        <v>1.0</v>
      </c>
      <c r="H7241" s="60">
        <v>1.0</v>
      </c>
      <c r="I7241" s="60">
        <v>0.0</v>
      </c>
      <c r="J7241" s="59">
        <v>2.0</v>
      </c>
      <c r="K7241" s="61">
        <f t="shared" si="1"/>
        <v>1</v>
      </c>
      <c r="L7241" s="62">
        <f t="shared" si="2"/>
        <v>1</v>
      </c>
    </row>
    <row r="7242">
      <c r="A7242" s="58">
        <v>45566.0</v>
      </c>
      <c r="B7242" s="24" t="s">
        <v>6787</v>
      </c>
      <c r="C7242" s="24" t="s">
        <v>6835</v>
      </c>
      <c r="D7242" s="59">
        <v>2.0</v>
      </c>
      <c r="E7242" s="59">
        <v>2.0</v>
      </c>
      <c r="F7242" s="59">
        <v>2.0</v>
      </c>
      <c r="G7242" s="60">
        <v>1.0</v>
      </c>
      <c r="H7242" s="60">
        <v>1.0</v>
      </c>
      <c r="I7242" s="60">
        <v>0.0</v>
      </c>
      <c r="J7242" s="59">
        <v>2.0</v>
      </c>
      <c r="K7242" s="61">
        <f t="shared" si="1"/>
        <v>1</v>
      </c>
      <c r="L7242" s="62">
        <f t="shared" si="2"/>
        <v>1</v>
      </c>
    </row>
    <row r="7243">
      <c r="A7243" s="58">
        <v>45566.0</v>
      </c>
      <c r="B7243" s="24" t="s">
        <v>6787</v>
      </c>
      <c r="C7243" s="24" t="s">
        <v>6992</v>
      </c>
      <c r="D7243" s="59">
        <v>2.0</v>
      </c>
      <c r="E7243" s="59">
        <v>2.0</v>
      </c>
      <c r="F7243" s="59">
        <v>2.0</v>
      </c>
      <c r="G7243" s="60">
        <v>1.0</v>
      </c>
      <c r="H7243" s="60">
        <v>1.0</v>
      </c>
      <c r="I7243" s="60">
        <v>0.0</v>
      </c>
      <c r="J7243" s="59">
        <v>2.0</v>
      </c>
      <c r="K7243" s="61">
        <f t="shared" si="1"/>
        <v>1</v>
      </c>
      <c r="L7243" s="62">
        <f t="shared" si="2"/>
        <v>1</v>
      </c>
    </row>
    <row r="7244">
      <c r="A7244" s="58">
        <v>45566.0</v>
      </c>
      <c r="B7244" s="24" t="s">
        <v>6789</v>
      </c>
      <c r="C7244" s="24" t="s">
        <v>7072</v>
      </c>
      <c r="D7244" s="59">
        <v>2.0</v>
      </c>
      <c r="E7244" s="59">
        <v>2.0</v>
      </c>
      <c r="F7244" s="59">
        <v>1.0</v>
      </c>
      <c r="G7244" s="60">
        <v>1.0</v>
      </c>
      <c r="H7244" s="60">
        <v>0.5</v>
      </c>
      <c r="I7244" s="60">
        <v>16.918564</v>
      </c>
      <c r="J7244" s="59">
        <v>2.0</v>
      </c>
      <c r="K7244" s="61">
        <f t="shared" si="1"/>
        <v>0.5</v>
      </c>
      <c r="L7244" s="62">
        <f t="shared" si="2"/>
        <v>1</v>
      </c>
    </row>
    <row r="7245">
      <c r="A7245" s="58">
        <v>45566.0</v>
      </c>
      <c r="B7245" s="24" t="s">
        <v>6789</v>
      </c>
      <c r="C7245" s="24" t="s">
        <v>6886</v>
      </c>
      <c r="D7245" s="59">
        <v>2.0</v>
      </c>
      <c r="E7245" s="59">
        <v>2.0</v>
      </c>
      <c r="F7245" s="59">
        <v>1.0</v>
      </c>
      <c r="G7245" s="60">
        <v>1.0</v>
      </c>
      <c r="H7245" s="60">
        <v>0.0</v>
      </c>
      <c r="I7245" s="60">
        <v>838.226911</v>
      </c>
      <c r="J7245" s="59">
        <v>3.0</v>
      </c>
      <c r="K7245" s="61">
        <f t="shared" si="1"/>
        <v>0.5</v>
      </c>
      <c r="L7245" s="62">
        <f t="shared" si="2"/>
        <v>1.5</v>
      </c>
    </row>
    <row r="7246">
      <c r="A7246" s="58">
        <v>45566.0</v>
      </c>
      <c r="B7246" s="24" t="s">
        <v>155</v>
      </c>
      <c r="C7246" s="24" t="s">
        <v>6799</v>
      </c>
      <c r="D7246" s="59">
        <v>2.0</v>
      </c>
      <c r="E7246" s="59">
        <v>2.0</v>
      </c>
      <c r="F7246" s="59">
        <v>0.0</v>
      </c>
      <c r="G7246" s="60">
        <v>1.0</v>
      </c>
      <c r="H7246" s="60">
        <v>0.0</v>
      </c>
      <c r="I7246" s="60">
        <v>75.8439525</v>
      </c>
      <c r="J7246" s="59">
        <v>3.0</v>
      </c>
      <c r="K7246" s="61">
        <f t="shared" si="1"/>
        <v>0</v>
      </c>
      <c r="L7246" s="62">
        <f t="shared" si="2"/>
        <v>1.5</v>
      </c>
    </row>
    <row r="7247">
      <c r="A7247" s="58">
        <v>45566.0</v>
      </c>
      <c r="B7247" s="24" t="s">
        <v>6789</v>
      </c>
      <c r="C7247" s="24" t="s">
        <v>6820</v>
      </c>
      <c r="D7247" s="59">
        <v>2.0</v>
      </c>
      <c r="E7247" s="59">
        <v>2.0</v>
      </c>
      <c r="F7247" s="59">
        <v>1.0</v>
      </c>
      <c r="G7247" s="60">
        <v>1.0</v>
      </c>
      <c r="H7247" s="60">
        <v>0.5</v>
      </c>
      <c r="I7247" s="60">
        <v>34.710135</v>
      </c>
      <c r="J7247" s="59">
        <v>3.0</v>
      </c>
      <c r="K7247" s="61">
        <f t="shared" si="1"/>
        <v>0.5</v>
      </c>
      <c r="L7247" s="62">
        <f t="shared" si="2"/>
        <v>1.5</v>
      </c>
    </row>
    <row r="7248">
      <c r="A7248" s="58">
        <v>45566.0</v>
      </c>
      <c r="B7248" s="24" t="s">
        <v>6787</v>
      </c>
      <c r="C7248" s="24" t="s">
        <v>6838</v>
      </c>
      <c r="D7248" s="59">
        <v>2.0</v>
      </c>
      <c r="E7248" s="59">
        <v>2.0</v>
      </c>
      <c r="F7248" s="59">
        <v>2.0</v>
      </c>
      <c r="G7248" s="60">
        <v>1.0</v>
      </c>
      <c r="H7248" s="60">
        <v>0.5</v>
      </c>
      <c r="I7248" s="60">
        <v>164.605989</v>
      </c>
      <c r="J7248" s="59">
        <v>2.0</v>
      </c>
      <c r="K7248" s="61">
        <f t="shared" si="1"/>
        <v>1</v>
      </c>
      <c r="L7248" s="62">
        <f t="shared" si="2"/>
        <v>1</v>
      </c>
    </row>
    <row r="7249">
      <c r="A7249" s="58">
        <v>45566.0</v>
      </c>
      <c r="B7249" s="24" t="s">
        <v>6787</v>
      </c>
      <c r="C7249" s="24" t="s">
        <v>6997</v>
      </c>
      <c r="D7249" s="59">
        <v>2.0</v>
      </c>
      <c r="E7249" s="59">
        <v>2.0</v>
      </c>
      <c r="F7249" s="59">
        <v>2.0</v>
      </c>
      <c r="G7249" s="60">
        <v>1.0</v>
      </c>
      <c r="H7249" s="60">
        <v>0.0</v>
      </c>
      <c r="I7249" s="60">
        <v>54.1351305</v>
      </c>
      <c r="J7249" s="59">
        <v>3.0</v>
      </c>
      <c r="K7249" s="61">
        <f t="shared" si="1"/>
        <v>1</v>
      </c>
      <c r="L7249" s="62">
        <f t="shared" si="2"/>
        <v>1.5</v>
      </c>
    </row>
    <row r="7250">
      <c r="A7250" s="58">
        <v>45566.0</v>
      </c>
      <c r="B7250" s="24" t="s">
        <v>6789</v>
      </c>
      <c r="C7250" s="24" t="s">
        <v>7021</v>
      </c>
      <c r="D7250" s="59">
        <v>2.0</v>
      </c>
      <c r="E7250" s="59">
        <v>6.0</v>
      </c>
      <c r="F7250" s="59">
        <v>0.0</v>
      </c>
      <c r="G7250" s="60">
        <v>3.0</v>
      </c>
      <c r="H7250" s="60">
        <v>0.166666666666666</v>
      </c>
      <c r="I7250" s="60">
        <v>617.317869833333</v>
      </c>
      <c r="J7250" s="59">
        <v>14.0</v>
      </c>
      <c r="K7250" s="61">
        <f t="shared" si="1"/>
        <v>0</v>
      </c>
      <c r="L7250" s="62">
        <f t="shared" si="2"/>
        <v>2.333333333</v>
      </c>
    </row>
    <row r="7251">
      <c r="A7251" s="58">
        <v>45566.0</v>
      </c>
      <c r="B7251" s="24" t="s">
        <v>6787</v>
      </c>
      <c r="C7251" s="24" t="s">
        <v>6892</v>
      </c>
      <c r="D7251" s="59">
        <v>2.0</v>
      </c>
      <c r="E7251" s="59">
        <v>2.0</v>
      </c>
      <c r="F7251" s="59">
        <v>2.0</v>
      </c>
      <c r="G7251" s="60">
        <v>1.0</v>
      </c>
      <c r="H7251" s="60">
        <v>0.5</v>
      </c>
      <c r="I7251" s="60">
        <v>6.5575225</v>
      </c>
      <c r="J7251" s="59">
        <v>2.0</v>
      </c>
      <c r="K7251" s="61">
        <f t="shared" si="1"/>
        <v>1</v>
      </c>
      <c r="L7251" s="62">
        <f t="shared" si="2"/>
        <v>1</v>
      </c>
    </row>
    <row r="7252">
      <c r="A7252" s="58">
        <v>45566.0</v>
      </c>
      <c r="B7252" s="24" t="s">
        <v>6787</v>
      </c>
      <c r="C7252" s="24" t="s">
        <v>6840</v>
      </c>
      <c r="D7252" s="59">
        <v>2.0</v>
      </c>
      <c r="E7252" s="59">
        <v>3.0</v>
      </c>
      <c r="F7252" s="59">
        <v>0.0</v>
      </c>
      <c r="G7252" s="60">
        <v>3.0</v>
      </c>
      <c r="H7252" s="60">
        <v>0.666666666666666</v>
      </c>
      <c r="I7252" s="60">
        <v>29.8911603333333</v>
      </c>
      <c r="J7252" s="59">
        <v>4.0</v>
      </c>
      <c r="K7252" s="61">
        <f t="shared" si="1"/>
        <v>0</v>
      </c>
      <c r="L7252" s="62">
        <f t="shared" si="2"/>
        <v>1.333333333</v>
      </c>
    </row>
    <row r="7253">
      <c r="A7253" s="58">
        <v>45566.0</v>
      </c>
      <c r="B7253" s="24" t="s">
        <v>6789</v>
      </c>
      <c r="C7253" s="24" t="s">
        <v>6896</v>
      </c>
      <c r="D7253" s="59">
        <v>2.0</v>
      </c>
      <c r="E7253" s="59">
        <v>2.0</v>
      </c>
      <c r="F7253" s="59">
        <v>1.0</v>
      </c>
      <c r="G7253" s="60">
        <v>1.0</v>
      </c>
      <c r="H7253" s="60">
        <v>0.5</v>
      </c>
      <c r="I7253" s="60">
        <v>10.4669895</v>
      </c>
      <c r="J7253" s="59">
        <v>2.0</v>
      </c>
      <c r="K7253" s="61">
        <f t="shared" si="1"/>
        <v>0.5</v>
      </c>
      <c r="L7253" s="62">
        <f t="shared" si="2"/>
        <v>1</v>
      </c>
    </row>
    <row r="7254">
      <c r="A7254" s="58">
        <v>45566.0</v>
      </c>
      <c r="B7254" s="24" t="s">
        <v>6790</v>
      </c>
      <c r="C7254" s="24" t="s">
        <v>6823</v>
      </c>
      <c r="D7254" s="59">
        <v>2.0</v>
      </c>
      <c r="E7254" s="59">
        <v>2.0</v>
      </c>
      <c r="F7254" s="59">
        <v>2.0</v>
      </c>
      <c r="G7254" s="60">
        <v>1.0</v>
      </c>
      <c r="H7254" s="60">
        <v>0.5</v>
      </c>
      <c r="I7254" s="60">
        <v>281.3890475</v>
      </c>
      <c r="J7254" s="59">
        <v>3.0</v>
      </c>
      <c r="K7254" s="61">
        <f t="shared" si="1"/>
        <v>1</v>
      </c>
      <c r="L7254" s="62">
        <f t="shared" si="2"/>
        <v>1.5</v>
      </c>
    </row>
    <row r="7255">
      <c r="A7255" s="58">
        <v>45566.0</v>
      </c>
      <c r="B7255" s="24" t="s">
        <v>6790</v>
      </c>
      <c r="C7255" s="24" t="s">
        <v>7195</v>
      </c>
      <c r="D7255" s="59">
        <v>2.0</v>
      </c>
      <c r="E7255" s="59">
        <v>2.0</v>
      </c>
      <c r="F7255" s="59">
        <v>2.0</v>
      </c>
      <c r="G7255" s="60">
        <v>1.0</v>
      </c>
      <c r="H7255" s="60">
        <v>1.0</v>
      </c>
      <c r="I7255" s="60">
        <v>0.0</v>
      </c>
      <c r="J7255" s="59">
        <v>2.0</v>
      </c>
      <c r="K7255" s="61">
        <f t="shared" si="1"/>
        <v>1</v>
      </c>
      <c r="L7255" s="62">
        <f t="shared" si="2"/>
        <v>1</v>
      </c>
    </row>
    <row r="7256">
      <c r="A7256" s="58">
        <v>45566.0</v>
      </c>
      <c r="B7256" s="24" t="s">
        <v>155</v>
      </c>
      <c r="C7256" s="24" t="s">
        <v>6841</v>
      </c>
      <c r="D7256" s="59">
        <v>2.0</v>
      </c>
      <c r="E7256" s="59">
        <v>3.0</v>
      </c>
      <c r="F7256" s="59">
        <v>0.0</v>
      </c>
      <c r="G7256" s="60">
        <v>1.5</v>
      </c>
      <c r="H7256" s="60">
        <v>0.0</v>
      </c>
      <c r="I7256" s="60">
        <v>1124.15564299999</v>
      </c>
      <c r="J7256" s="59">
        <v>10.0</v>
      </c>
      <c r="K7256" s="61">
        <f t="shared" si="1"/>
        <v>0</v>
      </c>
      <c r="L7256" s="62">
        <f t="shared" si="2"/>
        <v>3.333333333</v>
      </c>
    </row>
    <row r="7257">
      <c r="A7257" s="58">
        <v>45566.0</v>
      </c>
      <c r="B7257" s="24" t="s">
        <v>6789</v>
      </c>
      <c r="C7257" s="24" t="s">
        <v>6898</v>
      </c>
      <c r="D7257" s="59">
        <v>2.0</v>
      </c>
      <c r="E7257" s="59">
        <v>2.0</v>
      </c>
      <c r="F7257" s="59">
        <v>0.0</v>
      </c>
      <c r="G7257" s="60">
        <v>1.0</v>
      </c>
      <c r="H7257" s="60">
        <v>0.0</v>
      </c>
      <c r="I7257" s="60">
        <v>715.518464499999</v>
      </c>
      <c r="J7257" s="59">
        <v>7.0</v>
      </c>
      <c r="K7257" s="61">
        <f t="shared" si="1"/>
        <v>0</v>
      </c>
      <c r="L7257" s="62">
        <f t="shared" si="2"/>
        <v>3.5</v>
      </c>
    </row>
    <row r="7258">
      <c r="A7258" s="58">
        <v>45566.0</v>
      </c>
      <c r="B7258" s="24" t="s">
        <v>6789</v>
      </c>
      <c r="C7258" s="24" t="s">
        <v>6811</v>
      </c>
      <c r="D7258" s="59">
        <v>2.0</v>
      </c>
      <c r="E7258" s="59">
        <v>3.0</v>
      </c>
      <c r="F7258" s="59">
        <v>2.0</v>
      </c>
      <c r="G7258" s="60">
        <v>1.5</v>
      </c>
      <c r="H7258" s="60">
        <v>0.666666666666666</v>
      </c>
      <c r="I7258" s="60">
        <v>52.864095</v>
      </c>
      <c r="J7258" s="59">
        <v>6.0</v>
      </c>
      <c r="K7258" s="61">
        <f t="shared" si="1"/>
        <v>0.6666666667</v>
      </c>
      <c r="L7258" s="62">
        <f t="shared" si="2"/>
        <v>2</v>
      </c>
    </row>
    <row r="7259">
      <c r="A7259" s="58">
        <v>45566.0</v>
      </c>
      <c r="B7259" s="24" t="s">
        <v>6789</v>
      </c>
      <c r="C7259" s="24" t="s">
        <v>7526</v>
      </c>
      <c r="D7259" s="59">
        <v>2.0</v>
      </c>
      <c r="E7259" s="59">
        <v>5.0</v>
      </c>
      <c r="F7259" s="59">
        <v>0.0</v>
      </c>
      <c r="G7259" s="60">
        <v>2.5</v>
      </c>
      <c r="H7259" s="60">
        <v>0.0</v>
      </c>
      <c r="I7259" s="60">
        <v>455.5485202</v>
      </c>
      <c r="J7259" s="59">
        <v>13.0</v>
      </c>
      <c r="K7259" s="61">
        <f t="shared" si="1"/>
        <v>0</v>
      </c>
      <c r="L7259" s="62">
        <f t="shared" si="2"/>
        <v>2.6</v>
      </c>
    </row>
    <row r="7260">
      <c r="A7260" s="58">
        <v>45566.0</v>
      </c>
      <c r="B7260" s="24" t="s">
        <v>6942</v>
      </c>
      <c r="C7260" s="24" t="s">
        <v>7236</v>
      </c>
      <c r="D7260" s="59">
        <v>2.0</v>
      </c>
      <c r="E7260" s="59">
        <v>2.0</v>
      </c>
      <c r="F7260" s="59">
        <v>2.0</v>
      </c>
      <c r="G7260" s="60">
        <v>1.0</v>
      </c>
      <c r="H7260" s="60">
        <v>1.0</v>
      </c>
      <c r="I7260" s="60">
        <v>0.0</v>
      </c>
      <c r="J7260" s="59">
        <v>2.0</v>
      </c>
      <c r="K7260" s="61">
        <f t="shared" si="1"/>
        <v>1</v>
      </c>
      <c r="L7260" s="62">
        <f t="shared" si="2"/>
        <v>1</v>
      </c>
    </row>
    <row r="7261">
      <c r="A7261" s="58">
        <v>45566.0</v>
      </c>
      <c r="B7261" s="24" t="s">
        <v>6942</v>
      </c>
      <c r="C7261" s="24" t="s">
        <v>7231</v>
      </c>
      <c r="D7261" s="59">
        <v>2.0</v>
      </c>
      <c r="E7261" s="59">
        <v>2.0</v>
      </c>
      <c r="F7261" s="59">
        <v>2.0</v>
      </c>
      <c r="G7261" s="60">
        <v>1.0</v>
      </c>
      <c r="H7261" s="60">
        <v>1.0</v>
      </c>
      <c r="I7261" s="60">
        <v>0.0</v>
      </c>
      <c r="J7261" s="59">
        <v>2.0</v>
      </c>
      <c r="K7261" s="61">
        <f t="shared" si="1"/>
        <v>1</v>
      </c>
      <c r="L7261" s="62">
        <f t="shared" si="2"/>
        <v>1</v>
      </c>
    </row>
    <row r="7262">
      <c r="A7262" s="58">
        <v>45566.0</v>
      </c>
      <c r="B7262" s="24" t="s">
        <v>6789</v>
      </c>
      <c r="C7262" s="24" t="s">
        <v>7232</v>
      </c>
      <c r="D7262" s="59">
        <v>2.0</v>
      </c>
      <c r="E7262" s="59">
        <v>2.0</v>
      </c>
      <c r="F7262" s="59">
        <v>1.0</v>
      </c>
      <c r="G7262" s="60">
        <v>1.0</v>
      </c>
      <c r="H7262" s="60">
        <v>0.5</v>
      </c>
      <c r="I7262" s="60">
        <v>852.84183</v>
      </c>
      <c r="J7262" s="59">
        <v>2.0</v>
      </c>
      <c r="K7262" s="61">
        <f t="shared" si="1"/>
        <v>0.5</v>
      </c>
      <c r="L7262" s="62">
        <f t="shared" si="2"/>
        <v>1</v>
      </c>
    </row>
    <row r="7263">
      <c r="A7263" s="58">
        <v>45566.0</v>
      </c>
      <c r="B7263" s="24" t="s">
        <v>6789</v>
      </c>
      <c r="C7263" s="24" t="s">
        <v>6907</v>
      </c>
      <c r="D7263" s="59">
        <v>2.0</v>
      </c>
      <c r="E7263" s="59">
        <v>2.0</v>
      </c>
      <c r="F7263" s="59">
        <v>0.0</v>
      </c>
      <c r="G7263" s="60">
        <v>2.0</v>
      </c>
      <c r="H7263" s="60">
        <v>0.5</v>
      </c>
      <c r="I7263" s="60">
        <v>7.2718095</v>
      </c>
      <c r="J7263" s="59">
        <v>2.0</v>
      </c>
      <c r="K7263" s="61">
        <f t="shared" si="1"/>
        <v>0</v>
      </c>
      <c r="L7263" s="62">
        <f t="shared" si="2"/>
        <v>1</v>
      </c>
    </row>
    <row r="7264">
      <c r="A7264" s="58">
        <v>45566.0</v>
      </c>
      <c r="B7264" s="24" t="s">
        <v>155</v>
      </c>
      <c r="C7264" s="24" t="s">
        <v>6808</v>
      </c>
      <c r="D7264" s="59">
        <v>2.0</v>
      </c>
      <c r="E7264" s="59">
        <v>2.0</v>
      </c>
      <c r="F7264" s="59">
        <v>0.0</v>
      </c>
      <c r="G7264" s="60">
        <v>1.0</v>
      </c>
      <c r="H7264" s="60">
        <v>0.5</v>
      </c>
      <c r="I7264" s="60">
        <v>22.0244185</v>
      </c>
      <c r="J7264" s="59">
        <v>2.0</v>
      </c>
      <c r="K7264" s="61">
        <f t="shared" si="1"/>
        <v>0</v>
      </c>
      <c r="L7264" s="62">
        <f t="shared" si="2"/>
        <v>1</v>
      </c>
    </row>
    <row r="7265">
      <c r="A7265" s="58">
        <v>45566.0</v>
      </c>
      <c r="B7265" s="24" t="s">
        <v>6787</v>
      </c>
      <c r="C7265" s="24" t="s">
        <v>7087</v>
      </c>
      <c r="D7265" s="59">
        <v>2.0</v>
      </c>
      <c r="E7265" s="59">
        <v>2.0</v>
      </c>
      <c r="F7265" s="59">
        <v>2.0</v>
      </c>
      <c r="G7265" s="60">
        <v>1.0</v>
      </c>
      <c r="H7265" s="60">
        <v>1.0</v>
      </c>
      <c r="I7265" s="60">
        <v>0.0</v>
      </c>
      <c r="J7265" s="59">
        <v>2.0</v>
      </c>
      <c r="K7265" s="61">
        <f t="shared" si="1"/>
        <v>1</v>
      </c>
      <c r="L7265" s="62">
        <f t="shared" si="2"/>
        <v>1</v>
      </c>
    </row>
    <row r="7266">
      <c r="A7266" s="58">
        <v>45566.0</v>
      </c>
      <c r="B7266" s="24" t="s">
        <v>6789</v>
      </c>
      <c r="C7266" s="24" t="s">
        <v>7026</v>
      </c>
      <c r="D7266" s="59">
        <v>2.0</v>
      </c>
      <c r="E7266" s="59">
        <v>2.0</v>
      </c>
      <c r="F7266" s="59">
        <v>0.0</v>
      </c>
      <c r="G7266" s="60">
        <v>1.0</v>
      </c>
      <c r="H7266" s="60">
        <v>0.5</v>
      </c>
      <c r="I7266" s="60">
        <v>1538.2091915</v>
      </c>
      <c r="J7266" s="59">
        <v>6.0</v>
      </c>
      <c r="K7266" s="61">
        <f t="shared" si="1"/>
        <v>0</v>
      </c>
      <c r="L7266" s="62">
        <f t="shared" si="2"/>
        <v>3</v>
      </c>
    </row>
    <row r="7267">
      <c r="A7267" s="58">
        <v>45566.0</v>
      </c>
      <c r="B7267" s="24" t="s">
        <v>6794</v>
      </c>
      <c r="C7267" s="24" t="s">
        <v>7088</v>
      </c>
      <c r="D7267" s="59">
        <v>2.0</v>
      </c>
      <c r="E7267" s="59">
        <v>2.0</v>
      </c>
      <c r="F7267" s="59">
        <v>2.0</v>
      </c>
      <c r="G7267" s="60">
        <v>1.0</v>
      </c>
      <c r="H7267" s="60">
        <v>1.0</v>
      </c>
      <c r="I7267" s="60">
        <v>0.0</v>
      </c>
      <c r="J7267" s="59">
        <v>2.0</v>
      </c>
      <c r="K7267" s="61">
        <f t="shared" si="1"/>
        <v>1</v>
      </c>
      <c r="L7267" s="62">
        <f t="shared" si="2"/>
        <v>1</v>
      </c>
    </row>
    <row r="7268">
      <c r="A7268" s="58">
        <v>45566.0</v>
      </c>
      <c r="B7268" s="24" t="s">
        <v>6789</v>
      </c>
      <c r="C7268" s="24" t="s">
        <v>7090</v>
      </c>
      <c r="D7268" s="59">
        <v>2.0</v>
      </c>
      <c r="E7268" s="59">
        <v>2.0</v>
      </c>
      <c r="F7268" s="59">
        <v>2.0</v>
      </c>
      <c r="G7268" s="60">
        <v>1.0</v>
      </c>
      <c r="H7268" s="60">
        <v>0.0</v>
      </c>
      <c r="I7268" s="60">
        <v>100.60377</v>
      </c>
      <c r="J7268" s="59">
        <v>2.0</v>
      </c>
      <c r="K7268" s="61">
        <f t="shared" si="1"/>
        <v>1</v>
      </c>
      <c r="L7268" s="62">
        <f t="shared" si="2"/>
        <v>1</v>
      </c>
    </row>
    <row r="7269">
      <c r="A7269" s="58">
        <v>45566.0</v>
      </c>
      <c r="B7269" s="24" t="s">
        <v>6794</v>
      </c>
      <c r="C7269" s="24" t="s">
        <v>7160</v>
      </c>
      <c r="D7269" s="59">
        <v>2.0</v>
      </c>
      <c r="E7269" s="59">
        <v>2.0</v>
      </c>
      <c r="F7269" s="59">
        <v>2.0</v>
      </c>
      <c r="G7269" s="60">
        <v>1.0</v>
      </c>
      <c r="H7269" s="60">
        <v>1.0</v>
      </c>
      <c r="I7269" s="60">
        <v>0.0</v>
      </c>
      <c r="J7269" s="59">
        <v>2.0</v>
      </c>
      <c r="K7269" s="61">
        <f t="shared" si="1"/>
        <v>1</v>
      </c>
      <c r="L7269" s="62">
        <f t="shared" si="2"/>
        <v>1</v>
      </c>
    </row>
    <row r="7270">
      <c r="A7270" s="58">
        <v>45566.0</v>
      </c>
      <c r="B7270" s="24" t="s">
        <v>6789</v>
      </c>
      <c r="C7270" s="24" t="s">
        <v>7094</v>
      </c>
      <c r="D7270" s="59">
        <v>2.0</v>
      </c>
      <c r="E7270" s="59">
        <v>2.0</v>
      </c>
      <c r="F7270" s="59">
        <v>1.0</v>
      </c>
      <c r="G7270" s="60">
        <v>1.0</v>
      </c>
      <c r="H7270" s="60">
        <v>0.5</v>
      </c>
      <c r="I7270" s="60">
        <v>738.72723</v>
      </c>
      <c r="J7270" s="59">
        <v>7.0</v>
      </c>
      <c r="K7270" s="61">
        <f t="shared" si="1"/>
        <v>0.5</v>
      </c>
      <c r="L7270" s="62">
        <f t="shared" si="2"/>
        <v>3.5</v>
      </c>
    </row>
    <row r="7271">
      <c r="A7271" s="58">
        <v>45566.0</v>
      </c>
      <c r="B7271" s="24" t="s">
        <v>6787</v>
      </c>
      <c r="C7271" s="24" t="s">
        <v>7044</v>
      </c>
      <c r="D7271" s="59">
        <v>2.0</v>
      </c>
      <c r="E7271" s="59">
        <v>2.0</v>
      </c>
      <c r="F7271" s="59">
        <v>2.0</v>
      </c>
      <c r="G7271" s="60">
        <v>1.0</v>
      </c>
      <c r="H7271" s="60">
        <v>1.0</v>
      </c>
      <c r="I7271" s="60">
        <v>0.0</v>
      </c>
      <c r="J7271" s="59">
        <v>2.0</v>
      </c>
      <c r="K7271" s="61">
        <f t="shared" si="1"/>
        <v>1</v>
      </c>
      <c r="L7271" s="62">
        <f t="shared" si="2"/>
        <v>1</v>
      </c>
    </row>
    <row r="7272">
      <c r="A7272" s="58">
        <v>45566.0</v>
      </c>
      <c r="B7272" s="24" t="s">
        <v>155</v>
      </c>
      <c r="C7272" s="24" t="s">
        <v>6908</v>
      </c>
      <c r="D7272" s="59">
        <v>2.0</v>
      </c>
      <c r="E7272" s="59">
        <v>2.0</v>
      </c>
      <c r="F7272" s="59">
        <v>0.0</v>
      </c>
      <c r="G7272" s="60">
        <v>2.0</v>
      </c>
      <c r="H7272" s="60">
        <v>1.0</v>
      </c>
      <c r="I7272" s="60">
        <v>0.0</v>
      </c>
      <c r="J7272" s="59">
        <v>2.0</v>
      </c>
      <c r="K7272" s="61">
        <f t="shared" si="1"/>
        <v>0</v>
      </c>
      <c r="L7272" s="62">
        <f t="shared" si="2"/>
        <v>1</v>
      </c>
    </row>
    <row r="7273">
      <c r="A7273" s="58">
        <v>45566.0</v>
      </c>
      <c r="B7273" s="24" t="s">
        <v>6787</v>
      </c>
      <c r="C7273" s="24" t="s">
        <v>7172</v>
      </c>
      <c r="D7273" s="59">
        <v>2.0</v>
      </c>
      <c r="E7273" s="59">
        <v>3.0</v>
      </c>
      <c r="F7273" s="59">
        <v>2.0</v>
      </c>
      <c r="G7273" s="60">
        <v>1.5</v>
      </c>
      <c r="H7273" s="60">
        <v>1.0</v>
      </c>
      <c r="I7273" s="60">
        <v>0.846248</v>
      </c>
      <c r="J7273" s="59">
        <v>3.0</v>
      </c>
      <c r="K7273" s="61">
        <f t="shared" si="1"/>
        <v>0.6666666667</v>
      </c>
      <c r="L7273" s="62">
        <f t="shared" si="2"/>
        <v>1</v>
      </c>
    </row>
    <row r="7274">
      <c r="A7274" s="58">
        <v>45566.0</v>
      </c>
      <c r="B7274" s="24" t="s">
        <v>6790</v>
      </c>
      <c r="C7274" s="24" t="s">
        <v>7172</v>
      </c>
      <c r="D7274" s="59">
        <v>2.0</v>
      </c>
      <c r="E7274" s="59">
        <v>2.0</v>
      </c>
      <c r="F7274" s="59">
        <v>2.0</v>
      </c>
      <c r="G7274" s="60">
        <v>1.0</v>
      </c>
      <c r="H7274" s="60">
        <v>0.5</v>
      </c>
      <c r="I7274" s="60">
        <v>14.017789</v>
      </c>
      <c r="J7274" s="59">
        <v>3.0</v>
      </c>
      <c r="K7274" s="61">
        <f t="shared" si="1"/>
        <v>1</v>
      </c>
      <c r="L7274" s="62">
        <f t="shared" si="2"/>
        <v>1.5</v>
      </c>
    </row>
    <row r="7275">
      <c r="A7275" s="58">
        <v>45566.0</v>
      </c>
      <c r="B7275" s="24" t="s">
        <v>6787</v>
      </c>
      <c r="C7275" s="24" t="s">
        <v>7313</v>
      </c>
      <c r="D7275" s="59">
        <v>2.0</v>
      </c>
      <c r="E7275" s="59">
        <v>2.0</v>
      </c>
      <c r="F7275" s="59">
        <v>2.0</v>
      </c>
      <c r="G7275" s="60">
        <v>1.0</v>
      </c>
      <c r="H7275" s="60">
        <v>1.0</v>
      </c>
      <c r="I7275" s="60">
        <v>0.0</v>
      </c>
      <c r="J7275" s="59">
        <v>2.0</v>
      </c>
      <c r="K7275" s="61">
        <f t="shared" si="1"/>
        <v>1</v>
      </c>
      <c r="L7275" s="62">
        <f t="shared" si="2"/>
        <v>1</v>
      </c>
    </row>
    <row r="7276">
      <c r="A7276" s="58">
        <v>45566.0</v>
      </c>
      <c r="B7276" s="24" t="s">
        <v>6787</v>
      </c>
      <c r="C7276" s="24" t="s">
        <v>6910</v>
      </c>
      <c r="D7276" s="59">
        <v>2.0</v>
      </c>
      <c r="E7276" s="59">
        <v>2.0</v>
      </c>
      <c r="F7276" s="59">
        <v>2.0</v>
      </c>
      <c r="G7276" s="60">
        <v>1.0</v>
      </c>
      <c r="H7276" s="60">
        <v>1.0</v>
      </c>
      <c r="I7276" s="60">
        <v>0.0</v>
      </c>
      <c r="J7276" s="59">
        <v>2.0</v>
      </c>
      <c r="K7276" s="61">
        <f t="shared" si="1"/>
        <v>1</v>
      </c>
      <c r="L7276" s="62">
        <f t="shared" si="2"/>
        <v>1</v>
      </c>
    </row>
    <row r="7277">
      <c r="A7277" s="58">
        <v>45566.0</v>
      </c>
      <c r="B7277" s="24" t="s">
        <v>6789</v>
      </c>
      <c r="C7277" s="24" t="s">
        <v>7104</v>
      </c>
      <c r="D7277" s="59">
        <v>2.0</v>
      </c>
      <c r="E7277" s="59">
        <v>2.0</v>
      </c>
      <c r="F7277" s="59">
        <v>2.0</v>
      </c>
      <c r="G7277" s="60">
        <v>1.0</v>
      </c>
      <c r="H7277" s="60">
        <v>0.0</v>
      </c>
      <c r="I7277" s="60">
        <v>573.4791615</v>
      </c>
      <c r="J7277" s="59">
        <v>13.0</v>
      </c>
      <c r="K7277" s="61">
        <f t="shared" si="1"/>
        <v>1</v>
      </c>
      <c r="L7277" s="62">
        <f t="shared" si="2"/>
        <v>6.5</v>
      </c>
    </row>
    <row r="7278">
      <c r="A7278" s="58">
        <v>45566.0</v>
      </c>
      <c r="B7278" s="24" t="s">
        <v>6787</v>
      </c>
      <c r="C7278" s="24" t="s">
        <v>7023</v>
      </c>
      <c r="D7278" s="59">
        <v>2.0</v>
      </c>
      <c r="E7278" s="59">
        <v>2.0</v>
      </c>
      <c r="F7278" s="59">
        <v>2.0</v>
      </c>
      <c r="G7278" s="60">
        <v>1.0</v>
      </c>
      <c r="H7278" s="60">
        <v>1.0</v>
      </c>
      <c r="I7278" s="60">
        <v>0.0</v>
      </c>
      <c r="J7278" s="59">
        <v>2.0</v>
      </c>
      <c r="K7278" s="61">
        <f t="shared" si="1"/>
        <v>1</v>
      </c>
      <c r="L7278" s="62">
        <f t="shared" si="2"/>
        <v>1</v>
      </c>
    </row>
    <row r="7279">
      <c r="A7279" s="58">
        <v>45566.0</v>
      </c>
      <c r="B7279" s="24" t="s">
        <v>6789</v>
      </c>
      <c r="C7279" s="24" t="s">
        <v>7023</v>
      </c>
      <c r="D7279" s="59">
        <v>2.0</v>
      </c>
      <c r="E7279" s="59">
        <v>2.0</v>
      </c>
      <c r="F7279" s="59">
        <v>1.0</v>
      </c>
      <c r="G7279" s="60">
        <v>1.0</v>
      </c>
      <c r="H7279" s="60">
        <v>0.0</v>
      </c>
      <c r="I7279" s="60">
        <v>518.5272535</v>
      </c>
      <c r="J7279" s="59">
        <v>4.0</v>
      </c>
      <c r="K7279" s="61">
        <f t="shared" si="1"/>
        <v>0.5</v>
      </c>
      <c r="L7279" s="62">
        <f t="shared" si="2"/>
        <v>2</v>
      </c>
    </row>
    <row r="7280">
      <c r="A7280" s="58">
        <v>45566.0</v>
      </c>
      <c r="B7280" s="24" t="s">
        <v>6787</v>
      </c>
      <c r="C7280" s="24" t="s">
        <v>7174</v>
      </c>
      <c r="D7280" s="59">
        <v>2.0</v>
      </c>
      <c r="E7280" s="59">
        <v>2.0</v>
      </c>
      <c r="F7280" s="59">
        <v>2.0</v>
      </c>
      <c r="G7280" s="60">
        <v>1.0</v>
      </c>
      <c r="H7280" s="60">
        <v>0.0</v>
      </c>
      <c r="I7280" s="60">
        <v>12.841628</v>
      </c>
      <c r="J7280" s="59">
        <v>2.0</v>
      </c>
      <c r="K7280" s="61">
        <f t="shared" si="1"/>
        <v>1</v>
      </c>
      <c r="L7280" s="62">
        <f t="shared" si="2"/>
        <v>1</v>
      </c>
    </row>
    <row r="7281">
      <c r="A7281" s="58">
        <v>45566.0</v>
      </c>
      <c r="B7281" s="24" t="s">
        <v>6787</v>
      </c>
      <c r="C7281" s="24" t="s">
        <v>6921</v>
      </c>
      <c r="D7281" s="59">
        <v>2.0</v>
      </c>
      <c r="E7281" s="59">
        <v>2.0</v>
      </c>
      <c r="F7281" s="59">
        <v>1.0</v>
      </c>
      <c r="G7281" s="60">
        <v>2.0</v>
      </c>
      <c r="H7281" s="60">
        <v>0.5</v>
      </c>
      <c r="I7281" s="60">
        <v>72.604536</v>
      </c>
      <c r="J7281" s="59">
        <v>3.0</v>
      </c>
      <c r="K7281" s="61">
        <f t="shared" si="1"/>
        <v>0.5</v>
      </c>
      <c r="L7281" s="62">
        <f t="shared" si="2"/>
        <v>1.5</v>
      </c>
    </row>
    <row r="7282">
      <c r="A7282" s="58">
        <v>45566.0</v>
      </c>
      <c r="B7282" s="24" t="s">
        <v>6789</v>
      </c>
      <c r="C7282" s="24" t="s">
        <v>6921</v>
      </c>
      <c r="D7282" s="59">
        <v>2.0</v>
      </c>
      <c r="E7282" s="59">
        <v>2.0</v>
      </c>
      <c r="F7282" s="59">
        <v>0.0</v>
      </c>
      <c r="G7282" s="60">
        <v>1.0</v>
      </c>
      <c r="H7282" s="60">
        <v>0.5</v>
      </c>
      <c r="I7282" s="60">
        <v>55.0112675</v>
      </c>
      <c r="J7282" s="59">
        <v>2.0</v>
      </c>
      <c r="K7282" s="61">
        <f t="shared" si="1"/>
        <v>0</v>
      </c>
      <c r="L7282" s="62">
        <f t="shared" si="2"/>
        <v>1</v>
      </c>
    </row>
    <row r="7283">
      <c r="A7283" s="58">
        <v>45566.0</v>
      </c>
      <c r="B7283" s="24" t="s">
        <v>6942</v>
      </c>
      <c r="C7283" s="24" t="s">
        <v>6922</v>
      </c>
      <c r="D7283" s="59">
        <v>2.0</v>
      </c>
      <c r="E7283" s="59">
        <v>2.0</v>
      </c>
      <c r="F7283" s="59">
        <v>2.0</v>
      </c>
      <c r="G7283" s="60">
        <v>1.0</v>
      </c>
      <c r="H7283" s="60">
        <v>1.0</v>
      </c>
      <c r="I7283" s="60">
        <v>0.0</v>
      </c>
      <c r="J7283" s="59">
        <v>2.0</v>
      </c>
      <c r="K7283" s="61">
        <f t="shared" si="1"/>
        <v>1</v>
      </c>
      <c r="L7283" s="62">
        <f t="shared" si="2"/>
        <v>1</v>
      </c>
    </row>
    <row r="7284">
      <c r="A7284" s="58">
        <v>45566.0</v>
      </c>
      <c r="B7284" s="24" t="s">
        <v>6787</v>
      </c>
      <c r="C7284" s="24" t="s">
        <v>6931</v>
      </c>
      <c r="D7284" s="59">
        <v>2.0</v>
      </c>
      <c r="E7284" s="59">
        <v>2.0</v>
      </c>
      <c r="F7284" s="59">
        <v>2.0</v>
      </c>
      <c r="G7284" s="60">
        <v>1.0</v>
      </c>
      <c r="H7284" s="60">
        <v>1.0</v>
      </c>
      <c r="I7284" s="60">
        <v>0.0</v>
      </c>
      <c r="J7284" s="59">
        <v>2.0</v>
      </c>
      <c r="K7284" s="61">
        <f t="shared" si="1"/>
        <v>1</v>
      </c>
      <c r="L7284" s="62">
        <f t="shared" si="2"/>
        <v>1</v>
      </c>
    </row>
    <row r="7285">
      <c r="A7285" s="58">
        <v>45566.0</v>
      </c>
      <c r="B7285" s="24" t="s">
        <v>6789</v>
      </c>
      <c r="C7285" s="24" t="s">
        <v>6931</v>
      </c>
      <c r="D7285" s="59">
        <v>2.0</v>
      </c>
      <c r="E7285" s="59">
        <v>2.0</v>
      </c>
      <c r="F7285" s="59">
        <v>2.0</v>
      </c>
      <c r="G7285" s="60">
        <v>1.0</v>
      </c>
      <c r="H7285" s="60">
        <v>0.0</v>
      </c>
      <c r="I7285" s="60">
        <v>67.51578</v>
      </c>
      <c r="J7285" s="59">
        <v>2.0</v>
      </c>
      <c r="K7285" s="61">
        <f t="shared" si="1"/>
        <v>1</v>
      </c>
      <c r="L7285" s="62">
        <f t="shared" si="2"/>
        <v>1</v>
      </c>
    </row>
    <row r="7286">
      <c r="A7286" s="58">
        <v>45566.0</v>
      </c>
      <c r="B7286" s="24" t="s">
        <v>6787</v>
      </c>
      <c r="C7286" s="24" t="s">
        <v>7118</v>
      </c>
      <c r="D7286" s="59">
        <v>2.0</v>
      </c>
      <c r="E7286" s="59">
        <v>2.0</v>
      </c>
      <c r="F7286" s="59">
        <v>2.0</v>
      </c>
      <c r="G7286" s="60">
        <v>1.0</v>
      </c>
      <c r="H7286" s="60">
        <v>0.0</v>
      </c>
      <c r="I7286" s="60">
        <v>217.6639565</v>
      </c>
      <c r="J7286" s="59">
        <v>5.0</v>
      </c>
      <c r="K7286" s="61">
        <f t="shared" si="1"/>
        <v>1</v>
      </c>
      <c r="L7286" s="62">
        <f t="shared" si="2"/>
        <v>2.5</v>
      </c>
    </row>
    <row r="7287">
      <c r="A7287" s="58">
        <v>45566.0</v>
      </c>
      <c r="B7287" s="24" t="s">
        <v>6787</v>
      </c>
      <c r="C7287" s="24" t="s">
        <v>6854</v>
      </c>
      <c r="D7287" s="59">
        <v>2.0</v>
      </c>
      <c r="E7287" s="59">
        <v>2.0</v>
      </c>
      <c r="F7287" s="59">
        <v>1.0</v>
      </c>
      <c r="G7287" s="60">
        <v>1.0</v>
      </c>
      <c r="H7287" s="60">
        <v>1.0</v>
      </c>
      <c r="I7287" s="60">
        <v>0.0</v>
      </c>
      <c r="J7287" s="59">
        <v>2.0</v>
      </c>
      <c r="K7287" s="61">
        <f t="shared" si="1"/>
        <v>0.5</v>
      </c>
      <c r="L7287" s="62">
        <f t="shared" si="2"/>
        <v>1</v>
      </c>
    </row>
    <row r="7288">
      <c r="A7288" s="58">
        <v>45566.0</v>
      </c>
      <c r="B7288" s="24" t="s">
        <v>155</v>
      </c>
      <c r="C7288" s="24" t="s">
        <v>6802</v>
      </c>
      <c r="D7288" s="59">
        <v>2.0</v>
      </c>
      <c r="E7288" s="59">
        <v>3.0</v>
      </c>
      <c r="F7288" s="59">
        <v>2.0</v>
      </c>
      <c r="G7288" s="60">
        <v>1.5</v>
      </c>
      <c r="H7288" s="60">
        <v>1.0</v>
      </c>
      <c r="I7288" s="60">
        <v>1.13396766666666</v>
      </c>
      <c r="J7288" s="59">
        <v>3.0</v>
      </c>
      <c r="K7288" s="61">
        <f t="shared" si="1"/>
        <v>0.6666666667</v>
      </c>
      <c r="L7288" s="62">
        <f t="shared" si="2"/>
        <v>1</v>
      </c>
    </row>
    <row r="7289">
      <c r="A7289" s="58">
        <v>45566.0</v>
      </c>
      <c r="B7289" s="24" t="s">
        <v>6942</v>
      </c>
      <c r="C7289" s="24" t="s">
        <v>6792</v>
      </c>
      <c r="D7289" s="59">
        <v>1.0</v>
      </c>
      <c r="E7289" s="59">
        <v>1.0</v>
      </c>
      <c r="F7289" s="59">
        <v>0.0</v>
      </c>
      <c r="G7289" s="60">
        <v>1.0</v>
      </c>
      <c r="H7289" s="60">
        <v>0.0</v>
      </c>
      <c r="I7289" s="60">
        <v>30.780761</v>
      </c>
      <c r="J7289" s="59">
        <v>0.0</v>
      </c>
      <c r="K7289" s="61">
        <f t="shared" si="1"/>
        <v>0</v>
      </c>
      <c r="L7289" s="62">
        <f t="shared" si="2"/>
        <v>0</v>
      </c>
    </row>
    <row r="7290">
      <c r="A7290" s="58">
        <v>45566.0</v>
      </c>
      <c r="B7290" s="24" t="s">
        <v>6791</v>
      </c>
      <c r="C7290" s="24" t="s">
        <v>6792</v>
      </c>
      <c r="D7290" s="59">
        <v>1.0</v>
      </c>
      <c r="E7290" s="59">
        <v>1.0</v>
      </c>
      <c r="F7290" s="59">
        <v>0.0</v>
      </c>
      <c r="G7290" s="60">
        <v>0.0</v>
      </c>
      <c r="H7290" s="60">
        <v>1.0</v>
      </c>
      <c r="I7290" s="60">
        <v>0.0</v>
      </c>
      <c r="J7290" s="59">
        <v>0.0</v>
      </c>
      <c r="K7290" s="61">
        <f t="shared" si="1"/>
        <v>0</v>
      </c>
      <c r="L7290" s="62">
        <f t="shared" si="2"/>
        <v>0</v>
      </c>
    </row>
    <row r="7291">
      <c r="A7291" s="58">
        <v>45566.0</v>
      </c>
      <c r="B7291" s="24" t="s">
        <v>3216</v>
      </c>
      <c r="C7291" s="24" t="s">
        <v>6788</v>
      </c>
      <c r="D7291" s="59">
        <v>1.0</v>
      </c>
      <c r="E7291" s="59">
        <v>3.0</v>
      </c>
      <c r="F7291" s="59">
        <v>0.0</v>
      </c>
      <c r="G7291" s="60">
        <v>3.0</v>
      </c>
      <c r="H7291" s="60">
        <v>1.0</v>
      </c>
      <c r="I7291" s="60">
        <v>2.21808399999999</v>
      </c>
      <c r="J7291" s="59">
        <v>3.0</v>
      </c>
      <c r="K7291" s="61">
        <f t="shared" si="1"/>
        <v>0</v>
      </c>
      <c r="L7291" s="62">
        <f t="shared" si="2"/>
        <v>1</v>
      </c>
    </row>
    <row r="7292">
      <c r="A7292" s="58">
        <v>45566.0</v>
      </c>
      <c r="B7292" s="24" t="s">
        <v>6789</v>
      </c>
      <c r="C7292" s="24" t="s">
        <v>7200</v>
      </c>
      <c r="D7292" s="59">
        <v>1.0</v>
      </c>
      <c r="E7292" s="59">
        <v>1.0</v>
      </c>
      <c r="F7292" s="59">
        <v>1.0</v>
      </c>
      <c r="G7292" s="60">
        <v>1.0</v>
      </c>
      <c r="H7292" s="60">
        <v>0.0</v>
      </c>
      <c r="I7292" s="60">
        <v>29.752774</v>
      </c>
      <c r="J7292" s="59">
        <v>1.0</v>
      </c>
      <c r="K7292" s="61">
        <f t="shared" si="1"/>
        <v>1</v>
      </c>
      <c r="L7292" s="62">
        <f t="shared" si="2"/>
        <v>1</v>
      </c>
    </row>
    <row r="7293">
      <c r="A7293" s="58">
        <v>45566.0</v>
      </c>
      <c r="B7293" s="24" t="s">
        <v>155</v>
      </c>
      <c r="C7293" s="24" t="s">
        <v>6817</v>
      </c>
      <c r="D7293" s="59">
        <v>1.0</v>
      </c>
      <c r="E7293" s="59">
        <v>1.0</v>
      </c>
      <c r="F7293" s="59">
        <v>0.0</v>
      </c>
      <c r="G7293" s="60">
        <v>0.0</v>
      </c>
      <c r="H7293" s="60">
        <v>1.0</v>
      </c>
      <c r="I7293" s="60">
        <v>0.0</v>
      </c>
      <c r="J7293" s="59">
        <v>1.0</v>
      </c>
      <c r="K7293" s="61">
        <f t="shared" si="1"/>
        <v>0</v>
      </c>
      <c r="L7293" s="62">
        <f t="shared" si="2"/>
        <v>1</v>
      </c>
    </row>
    <row r="7294">
      <c r="A7294" s="58">
        <v>45566.0</v>
      </c>
      <c r="B7294" s="24" t="s">
        <v>6787</v>
      </c>
      <c r="C7294" s="24" t="s">
        <v>6953</v>
      </c>
      <c r="D7294" s="59">
        <v>1.0</v>
      </c>
      <c r="E7294" s="59">
        <v>1.0</v>
      </c>
      <c r="F7294" s="59">
        <v>1.0</v>
      </c>
      <c r="G7294" s="60">
        <v>1.0</v>
      </c>
      <c r="H7294" s="60">
        <v>0.0</v>
      </c>
      <c r="I7294" s="60">
        <v>12.374597</v>
      </c>
      <c r="J7294" s="59">
        <v>2.0</v>
      </c>
      <c r="K7294" s="61">
        <f t="shared" si="1"/>
        <v>1</v>
      </c>
      <c r="L7294" s="62">
        <f t="shared" si="2"/>
        <v>2</v>
      </c>
    </row>
    <row r="7295">
      <c r="A7295" s="58">
        <v>45566.0</v>
      </c>
      <c r="B7295" s="24" t="s">
        <v>6787</v>
      </c>
      <c r="C7295" s="24" t="s">
        <v>7056</v>
      </c>
      <c r="D7295" s="59">
        <v>1.0</v>
      </c>
      <c r="E7295" s="59">
        <v>2.0</v>
      </c>
      <c r="F7295" s="59">
        <v>1.0</v>
      </c>
      <c r="G7295" s="60">
        <v>2.0</v>
      </c>
      <c r="H7295" s="60">
        <v>1.0</v>
      </c>
      <c r="I7295" s="60">
        <v>4.661185</v>
      </c>
      <c r="J7295" s="59">
        <v>2.0</v>
      </c>
      <c r="K7295" s="61">
        <f t="shared" si="1"/>
        <v>0.5</v>
      </c>
      <c r="L7295" s="62">
        <f t="shared" si="2"/>
        <v>1</v>
      </c>
    </row>
    <row r="7296">
      <c r="A7296" s="58">
        <v>45566.0</v>
      </c>
      <c r="B7296" s="24" t="s">
        <v>6794</v>
      </c>
      <c r="C7296" s="24" t="s">
        <v>7056</v>
      </c>
      <c r="D7296" s="59">
        <v>1.0</v>
      </c>
      <c r="E7296" s="59">
        <v>1.0</v>
      </c>
      <c r="F7296" s="59">
        <v>1.0</v>
      </c>
      <c r="G7296" s="60">
        <v>1.0</v>
      </c>
      <c r="H7296" s="60">
        <v>0.0</v>
      </c>
      <c r="I7296" s="60">
        <v>187.126621</v>
      </c>
      <c r="J7296" s="59">
        <v>1.0</v>
      </c>
      <c r="K7296" s="61">
        <f t="shared" si="1"/>
        <v>1</v>
      </c>
      <c r="L7296" s="62">
        <f t="shared" si="2"/>
        <v>1</v>
      </c>
    </row>
    <row r="7297">
      <c r="A7297" s="58">
        <v>45566.0</v>
      </c>
      <c r="B7297" s="24" t="s">
        <v>6787</v>
      </c>
      <c r="C7297" s="24" t="s">
        <v>6861</v>
      </c>
      <c r="D7297" s="59">
        <v>1.0</v>
      </c>
      <c r="E7297" s="59">
        <v>1.0</v>
      </c>
      <c r="F7297" s="59">
        <v>0.0</v>
      </c>
      <c r="G7297" s="60">
        <v>0.0</v>
      </c>
      <c r="H7297" s="60">
        <v>1.0</v>
      </c>
      <c r="I7297" s="60">
        <v>0.0</v>
      </c>
      <c r="J7297" s="59">
        <v>1.0</v>
      </c>
      <c r="K7297" s="61">
        <f t="shared" si="1"/>
        <v>0</v>
      </c>
      <c r="L7297" s="62">
        <f t="shared" si="2"/>
        <v>1</v>
      </c>
    </row>
    <row r="7298">
      <c r="A7298" s="58">
        <v>45566.0</v>
      </c>
      <c r="B7298" s="24" t="s">
        <v>6787</v>
      </c>
      <c r="C7298" s="24" t="s">
        <v>7060</v>
      </c>
      <c r="D7298" s="59">
        <v>1.0</v>
      </c>
      <c r="E7298" s="59">
        <v>1.0</v>
      </c>
      <c r="F7298" s="59">
        <v>1.0</v>
      </c>
      <c r="G7298" s="60">
        <v>1.0</v>
      </c>
      <c r="H7298" s="60">
        <v>1.0</v>
      </c>
      <c r="I7298" s="60">
        <v>0.0</v>
      </c>
      <c r="J7298" s="59">
        <v>1.0</v>
      </c>
      <c r="K7298" s="61">
        <f t="shared" si="1"/>
        <v>1</v>
      </c>
      <c r="L7298" s="62">
        <f t="shared" si="2"/>
        <v>1</v>
      </c>
    </row>
    <row r="7299">
      <c r="A7299" s="58">
        <v>45566.0</v>
      </c>
      <c r="B7299" s="24" t="s">
        <v>6789</v>
      </c>
      <c r="C7299" s="24" t="s">
        <v>6833</v>
      </c>
      <c r="D7299" s="59">
        <v>1.0</v>
      </c>
      <c r="E7299" s="59">
        <v>1.0</v>
      </c>
      <c r="F7299" s="59">
        <v>1.0</v>
      </c>
      <c r="G7299" s="60">
        <v>1.0</v>
      </c>
      <c r="H7299" s="60">
        <v>1.0</v>
      </c>
      <c r="I7299" s="60">
        <v>4.402849</v>
      </c>
      <c r="J7299" s="59">
        <v>1.0</v>
      </c>
      <c r="K7299" s="61">
        <f t="shared" si="1"/>
        <v>1</v>
      </c>
      <c r="L7299" s="62">
        <f t="shared" si="2"/>
        <v>1</v>
      </c>
    </row>
    <row r="7300">
      <c r="A7300" s="58">
        <v>45566.0</v>
      </c>
      <c r="B7300" s="24" t="s">
        <v>6787</v>
      </c>
      <c r="C7300" s="24" t="s">
        <v>6867</v>
      </c>
      <c r="D7300" s="59">
        <v>1.0</v>
      </c>
      <c r="E7300" s="59">
        <v>1.0</v>
      </c>
      <c r="F7300" s="59">
        <v>1.0</v>
      </c>
      <c r="G7300" s="60">
        <v>1.0</v>
      </c>
      <c r="H7300" s="60">
        <v>1.0</v>
      </c>
      <c r="I7300" s="60">
        <v>0.0</v>
      </c>
      <c r="J7300" s="59">
        <v>1.0</v>
      </c>
      <c r="K7300" s="61">
        <f t="shared" si="1"/>
        <v>1</v>
      </c>
      <c r="L7300" s="62">
        <f t="shared" si="2"/>
        <v>1</v>
      </c>
    </row>
    <row r="7301">
      <c r="A7301" s="58">
        <v>45566.0</v>
      </c>
      <c r="B7301" s="24" t="s">
        <v>6789</v>
      </c>
      <c r="C7301" s="24" t="s">
        <v>6867</v>
      </c>
      <c r="D7301" s="59">
        <v>1.0</v>
      </c>
      <c r="E7301" s="59">
        <v>1.0</v>
      </c>
      <c r="F7301" s="59">
        <v>1.0</v>
      </c>
      <c r="G7301" s="60">
        <v>1.0</v>
      </c>
      <c r="H7301" s="60">
        <v>0.0</v>
      </c>
      <c r="I7301" s="60">
        <v>68.390292</v>
      </c>
      <c r="J7301" s="59">
        <v>1.0</v>
      </c>
      <c r="K7301" s="61">
        <f t="shared" si="1"/>
        <v>1</v>
      </c>
      <c r="L7301" s="62">
        <f t="shared" si="2"/>
        <v>1</v>
      </c>
    </row>
    <row r="7302">
      <c r="A7302" s="58">
        <v>45566.0</v>
      </c>
      <c r="B7302" s="24" t="s">
        <v>6787</v>
      </c>
      <c r="C7302" s="24" t="s">
        <v>7063</v>
      </c>
      <c r="D7302" s="59">
        <v>1.0</v>
      </c>
      <c r="E7302" s="59">
        <v>1.0</v>
      </c>
      <c r="F7302" s="59">
        <v>1.0</v>
      </c>
      <c r="G7302" s="60">
        <v>1.0</v>
      </c>
      <c r="H7302" s="60">
        <v>1.0</v>
      </c>
      <c r="I7302" s="60">
        <v>0.0</v>
      </c>
      <c r="J7302" s="59">
        <v>1.0</v>
      </c>
      <c r="K7302" s="61">
        <f t="shared" si="1"/>
        <v>1</v>
      </c>
      <c r="L7302" s="62">
        <f t="shared" si="2"/>
        <v>1</v>
      </c>
    </row>
    <row r="7303">
      <c r="A7303" s="58">
        <v>45566.0</v>
      </c>
      <c r="B7303" s="24" t="s">
        <v>6787</v>
      </c>
      <c r="C7303" s="24" t="s">
        <v>7437</v>
      </c>
      <c r="D7303" s="59">
        <v>1.0</v>
      </c>
      <c r="E7303" s="59">
        <v>1.0</v>
      </c>
      <c r="F7303" s="59">
        <v>0.0</v>
      </c>
      <c r="G7303" s="60">
        <v>1.0</v>
      </c>
      <c r="H7303" s="60">
        <v>0.0</v>
      </c>
      <c r="I7303" s="60">
        <v>410.874615</v>
      </c>
      <c r="J7303" s="59">
        <v>2.0</v>
      </c>
      <c r="K7303" s="61">
        <f t="shared" si="1"/>
        <v>0</v>
      </c>
      <c r="L7303" s="62">
        <f t="shared" si="2"/>
        <v>2</v>
      </c>
    </row>
    <row r="7304">
      <c r="A7304" s="58">
        <v>45566.0</v>
      </c>
      <c r="B7304" s="24" t="s">
        <v>6789</v>
      </c>
      <c r="C7304" s="24" t="s">
        <v>7064</v>
      </c>
      <c r="D7304" s="59">
        <v>1.0</v>
      </c>
      <c r="E7304" s="59">
        <v>1.0</v>
      </c>
      <c r="F7304" s="59">
        <v>1.0</v>
      </c>
      <c r="G7304" s="60">
        <v>1.0</v>
      </c>
      <c r="H7304" s="60">
        <v>1.0</v>
      </c>
      <c r="I7304" s="60">
        <v>0.0</v>
      </c>
      <c r="J7304" s="59">
        <v>1.0</v>
      </c>
      <c r="K7304" s="61">
        <f t="shared" si="1"/>
        <v>1</v>
      </c>
      <c r="L7304" s="62">
        <f t="shared" si="2"/>
        <v>1</v>
      </c>
    </row>
    <row r="7305">
      <c r="A7305" s="58">
        <v>45566.0</v>
      </c>
      <c r="B7305" s="24" t="s">
        <v>6787</v>
      </c>
      <c r="C7305" s="24" t="s">
        <v>7065</v>
      </c>
      <c r="D7305" s="59">
        <v>1.0</v>
      </c>
      <c r="E7305" s="59">
        <v>1.0</v>
      </c>
      <c r="F7305" s="59">
        <v>1.0</v>
      </c>
      <c r="G7305" s="60">
        <v>1.0</v>
      </c>
      <c r="H7305" s="60">
        <v>1.0</v>
      </c>
      <c r="I7305" s="60">
        <v>0.0</v>
      </c>
      <c r="J7305" s="59">
        <v>1.0</v>
      </c>
      <c r="K7305" s="61">
        <f t="shared" si="1"/>
        <v>1</v>
      </c>
      <c r="L7305" s="62">
        <f t="shared" si="2"/>
        <v>1</v>
      </c>
    </row>
    <row r="7306">
      <c r="A7306" s="58">
        <v>45566.0</v>
      </c>
      <c r="B7306" s="24" t="s">
        <v>6787</v>
      </c>
      <c r="C7306" s="24" t="s">
        <v>6990</v>
      </c>
      <c r="D7306" s="59">
        <v>1.0</v>
      </c>
      <c r="E7306" s="59">
        <v>1.0</v>
      </c>
      <c r="F7306" s="59">
        <v>1.0</v>
      </c>
      <c r="G7306" s="60">
        <v>1.0</v>
      </c>
      <c r="H7306" s="60">
        <v>1.0</v>
      </c>
      <c r="I7306" s="60">
        <v>0.0</v>
      </c>
      <c r="J7306" s="59">
        <v>1.0</v>
      </c>
      <c r="K7306" s="61">
        <f t="shared" si="1"/>
        <v>1</v>
      </c>
      <c r="L7306" s="62">
        <f t="shared" si="2"/>
        <v>1</v>
      </c>
    </row>
    <row r="7307">
      <c r="A7307" s="58">
        <v>45566.0</v>
      </c>
      <c r="B7307" s="24" t="s">
        <v>6789</v>
      </c>
      <c r="C7307" s="24" t="s">
        <v>7067</v>
      </c>
      <c r="D7307" s="59">
        <v>1.0</v>
      </c>
      <c r="E7307" s="59">
        <v>1.0</v>
      </c>
      <c r="F7307" s="59">
        <v>1.0</v>
      </c>
      <c r="G7307" s="60">
        <v>1.0</v>
      </c>
      <c r="H7307" s="60">
        <v>0.0</v>
      </c>
      <c r="I7307" s="60">
        <v>137.994158</v>
      </c>
      <c r="J7307" s="59">
        <v>1.0</v>
      </c>
      <c r="K7307" s="61">
        <f t="shared" si="1"/>
        <v>1</v>
      </c>
      <c r="L7307" s="62">
        <f t="shared" si="2"/>
        <v>1</v>
      </c>
    </row>
    <row r="7308">
      <c r="A7308" s="58">
        <v>45566.0</v>
      </c>
      <c r="B7308" s="24" t="s">
        <v>6789</v>
      </c>
      <c r="C7308" s="24" t="s">
        <v>6991</v>
      </c>
      <c r="D7308" s="59">
        <v>1.0</v>
      </c>
      <c r="E7308" s="59">
        <v>1.0</v>
      </c>
      <c r="F7308" s="59">
        <v>1.0</v>
      </c>
      <c r="G7308" s="60">
        <v>1.0</v>
      </c>
      <c r="H7308" s="60">
        <v>0.0</v>
      </c>
      <c r="I7308" s="60">
        <v>205.89075</v>
      </c>
      <c r="J7308" s="59">
        <v>1.0</v>
      </c>
      <c r="K7308" s="61">
        <f t="shared" si="1"/>
        <v>1</v>
      </c>
      <c r="L7308" s="62">
        <f t="shared" si="2"/>
        <v>1</v>
      </c>
    </row>
    <row r="7309">
      <c r="A7309" s="58">
        <v>45566.0</v>
      </c>
      <c r="B7309" s="24" t="s">
        <v>6787</v>
      </c>
      <c r="C7309" s="24" t="s">
        <v>6994</v>
      </c>
      <c r="D7309" s="59">
        <v>1.0</v>
      </c>
      <c r="E7309" s="59">
        <v>1.0</v>
      </c>
      <c r="F7309" s="59">
        <v>1.0</v>
      </c>
      <c r="G7309" s="60">
        <v>1.0</v>
      </c>
      <c r="H7309" s="60">
        <v>0.0</v>
      </c>
      <c r="I7309" s="60">
        <v>14.49454</v>
      </c>
      <c r="J7309" s="59">
        <v>1.0</v>
      </c>
      <c r="K7309" s="61">
        <f t="shared" si="1"/>
        <v>1</v>
      </c>
      <c r="L7309" s="62">
        <f t="shared" si="2"/>
        <v>1</v>
      </c>
    </row>
    <row r="7310">
      <c r="A7310" s="58">
        <v>45566.0</v>
      </c>
      <c r="B7310" s="24" t="s">
        <v>155</v>
      </c>
      <c r="C7310" s="24" t="s">
        <v>7074</v>
      </c>
      <c r="D7310" s="59">
        <v>1.0</v>
      </c>
      <c r="E7310" s="59">
        <v>1.0</v>
      </c>
      <c r="F7310" s="59">
        <v>0.0</v>
      </c>
      <c r="G7310" s="60">
        <v>1.0</v>
      </c>
      <c r="H7310" s="60">
        <v>0.0</v>
      </c>
      <c r="I7310" s="60">
        <v>1209.54427</v>
      </c>
      <c r="J7310" s="59">
        <v>7.0</v>
      </c>
      <c r="K7310" s="61">
        <f t="shared" si="1"/>
        <v>0</v>
      </c>
      <c r="L7310" s="62">
        <f t="shared" si="2"/>
        <v>7</v>
      </c>
    </row>
    <row r="7311">
      <c r="A7311" s="58">
        <v>45566.0</v>
      </c>
      <c r="B7311" s="24" t="s">
        <v>6789</v>
      </c>
      <c r="C7311" s="24" t="s">
        <v>7438</v>
      </c>
      <c r="D7311" s="59">
        <v>1.0</v>
      </c>
      <c r="E7311" s="59">
        <v>2.0</v>
      </c>
      <c r="F7311" s="59">
        <v>0.0</v>
      </c>
      <c r="G7311" s="60">
        <v>2.0</v>
      </c>
      <c r="H7311" s="60">
        <v>0.5</v>
      </c>
      <c r="I7311" s="60">
        <v>866.209039</v>
      </c>
      <c r="J7311" s="59">
        <v>6.0</v>
      </c>
      <c r="K7311" s="61">
        <f t="shared" si="1"/>
        <v>0</v>
      </c>
      <c r="L7311" s="62">
        <f t="shared" si="2"/>
        <v>3</v>
      </c>
    </row>
    <row r="7312">
      <c r="A7312" s="58">
        <v>45566.0</v>
      </c>
      <c r="B7312" s="24" t="s">
        <v>6794</v>
      </c>
      <c r="C7312" s="24" t="s">
        <v>6896</v>
      </c>
      <c r="D7312" s="59">
        <v>1.0</v>
      </c>
      <c r="E7312" s="59">
        <v>1.0</v>
      </c>
      <c r="F7312" s="59">
        <v>0.0</v>
      </c>
      <c r="G7312" s="60">
        <v>1.0</v>
      </c>
      <c r="H7312" s="60">
        <v>0.0</v>
      </c>
      <c r="I7312" s="60">
        <v>1465.813216</v>
      </c>
      <c r="J7312" s="59">
        <v>3.0</v>
      </c>
      <c r="K7312" s="61">
        <f t="shared" si="1"/>
        <v>0</v>
      </c>
      <c r="L7312" s="62">
        <f t="shared" si="2"/>
        <v>3</v>
      </c>
    </row>
    <row r="7313">
      <c r="A7313" s="58">
        <v>45566.0</v>
      </c>
      <c r="B7313" s="24" t="s">
        <v>155</v>
      </c>
      <c r="C7313" s="24" t="s">
        <v>7195</v>
      </c>
      <c r="D7313" s="59">
        <v>1.0</v>
      </c>
      <c r="E7313" s="59">
        <v>1.0</v>
      </c>
      <c r="F7313" s="59">
        <v>0.0</v>
      </c>
      <c r="G7313" s="60">
        <v>1.0</v>
      </c>
      <c r="H7313" s="60">
        <v>0.0</v>
      </c>
      <c r="I7313" s="60">
        <v>148.31473</v>
      </c>
      <c r="J7313" s="59">
        <v>2.0</v>
      </c>
      <c r="K7313" s="61">
        <f t="shared" si="1"/>
        <v>0</v>
      </c>
      <c r="L7313" s="62">
        <f t="shared" si="2"/>
        <v>2</v>
      </c>
    </row>
    <row r="7314">
      <c r="A7314" s="58">
        <v>45566.0</v>
      </c>
      <c r="B7314" s="24" t="s">
        <v>6789</v>
      </c>
      <c r="C7314" s="24" t="s">
        <v>6897</v>
      </c>
      <c r="D7314" s="59">
        <v>1.0</v>
      </c>
      <c r="E7314" s="59">
        <v>1.0</v>
      </c>
      <c r="F7314" s="59">
        <v>1.0</v>
      </c>
      <c r="G7314" s="60">
        <v>1.0</v>
      </c>
      <c r="H7314" s="60">
        <v>1.0</v>
      </c>
      <c r="I7314" s="60">
        <v>7.185527</v>
      </c>
      <c r="J7314" s="59">
        <v>1.0</v>
      </c>
      <c r="K7314" s="61">
        <f t="shared" si="1"/>
        <v>1</v>
      </c>
      <c r="L7314" s="62">
        <f t="shared" si="2"/>
        <v>1</v>
      </c>
    </row>
    <row r="7315">
      <c r="A7315" s="58">
        <v>45566.0</v>
      </c>
      <c r="B7315" s="24" t="s">
        <v>155</v>
      </c>
      <c r="C7315" s="24" t="s">
        <v>7521</v>
      </c>
      <c r="D7315" s="59">
        <v>1.0</v>
      </c>
      <c r="E7315" s="59">
        <v>1.0</v>
      </c>
      <c r="F7315" s="59">
        <v>0.0</v>
      </c>
      <c r="G7315" s="60">
        <v>1.0</v>
      </c>
      <c r="H7315" s="60">
        <v>0.0</v>
      </c>
      <c r="I7315" s="60">
        <v>13.92122</v>
      </c>
      <c r="J7315" s="59">
        <v>1.0</v>
      </c>
      <c r="K7315" s="61">
        <f t="shared" si="1"/>
        <v>0</v>
      </c>
      <c r="L7315" s="62">
        <f t="shared" si="2"/>
        <v>1</v>
      </c>
    </row>
    <row r="7316">
      <c r="A7316" s="58">
        <v>45566.0</v>
      </c>
      <c r="B7316" s="24" t="s">
        <v>6789</v>
      </c>
      <c r="C7316" s="24" t="s">
        <v>7522</v>
      </c>
      <c r="D7316" s="59">
        <v>1.0</v>
      </c>
      <c r="E7316" s="59">
        <v>1.0</v>
      </c>
      <c r="F7316" s="59">
        <v>0.0</v>
      </c>
      <c r="G7316" s="60">
        <v>1.0</v>
      </c>
      <c r="H7316" s="60">
        <v>0.0</v>
      </c>
      <c r="I7316" s="60">
        <v>11.749249</v>
      </c>
      <c r="J7316" s="59">
        <v>5.0</v>
      </c>
      <c r="K7316" s="61">
        <f t="shared" si="1"/>
        <v>0</v>
      </c>
      <c r="L7316" s="62">
        <f t="shared" si="2"/>
        <v>5</v>
      </c>
    </row>
    <row r="7317">
      <c r="A7317" s="58">
        <v>45566.0</v>
      </c>
      <c r="B7317" s="24" t="s">
        <v>6787</v>
      </c>
      <c r="C7317" s="24" t="s">
        <v>7009</v>
      </c>
      <c r="D7317" s="59">
        <v>1.0</v>
      </c>
      <c r="E7317" s="59">
        <v>1.0</v>
      </c>
      <c r="F7317" s="59">
        <v>1.0</v>
      </c>
      <c r="G7317" s="60">
        <v>1.0</v>
      </c>
      <c r="H7317" s="60">
        <v>0.0</v>
      </c>
      <c r="I7317" s="60">
        <v>432.228104</v>
      </c>
      <c r="J7317" s="59">
        <v>1.0</v>
      </c>
      <c r="K7317" s="61">
        <f t="shared" si="1"/>
        <v>1</v>
      </c>
      <c r="L7317" s="62">
        <f t="shared" si="2"/>
        <v>1</v>
      </c>
    </row>
    <row r="7318">
      <c r="A7318" s="58">
        <v>45566.0</v>
      </c>
      <c r="B7318" s="24" t="s">
        <v>6787</v>
      </c>
      <c r="C7318" s="24" t="s">
        <v>7401</v>
      </c>
      <c r="D7318" s="59">
        <v>1.0</v>
      </c>
      <c r="E7318" s="59">
        <v>1.0</v>
      </c>
      <c r="F7318" s="59">
        <v>1.0</v>
      </c>
      <c r="G7318" s="60">
        <v>1.0</v>
      </c>
      <c r="H7318" s="60">
        <v>0.0</v>
      </c>
      <c r="I7318" s="60">
        <v>34.179947</v>
      </c>
      <c r="J7318" s="59">
        <v>2.0</v>
      </c>
      <c r="K7318" s="61">
        <f t="shared" si="1"/>
        <v>1</v>
      </c>
      <c r="L7318" s="62">
        <f t="shared" si="2"/>
        <v>2</v>
      </c>
    </row>
    <row r="7319">
      <c r="A7319" s="58">
        <v>45566.0</v>
      </c>
      <c r="B7319" s="24" t="s">
        <v>6787</v>
      </c>
      <c r="C7319" s="24" t="s">
        <v>7526</v>
      </c>
      <c r="D7319" s="59">
        <v>1.0</v>
      </c>
      <c r="E7319" s="59">
        <v>2.0</v>
      </c>
      <c r="F7319" s="59">
        <v>0.0</v>
      </c>
      <c r="G7319" s="60">
        <v>2.0</v>
      </c>
      <c r="H7319" s="60">
        <v>0.0</v>
      </c>
      <c r="I7319" s="60">
        <v>430.388062</v>
      </c>
      <c r="J7319" s="59">
        <v>7.0</v>
      </c>
      <c r="K7319" s="61">
        <f t="shared" si="1"/>
        <v>0</v>
      </c>
      <c r="L7319" s="62">
        <f t="shared" si="2"/>
        <v>3.5</v>
      </c>
    </row>
    <row r="7320">
      <c r="A7320" s="58">
        <v>45566.0</v>
      </c>
      <c r="B7320" s="24" t="s">
        <v>155</v>
      </c>
      <c r="C7320" s="24" t="s">
        <v>7236</v>
      </c>
      <c r="D7320" s="59">
        <v>1.0</v>
      </c>
      <c r="E7320" s="59">
        <v>1.0</v>
      </c>
      <c r="F7320" s="59">
        <v>0.0</v>
      </c>
      <c r="G7320" s="60">
        <v>1.0</v>
      </c>
      <c r="H7320" s="60">
        <v>0.0</v>
      </c>
      <c r="I7320" s="60">
        <v>138.334163</v>
      </c>
      <c r="J7320" s="59">
        <v>2.0</v>
      </c>
      <c r="K7320" s="61">
        <f t="shared" si="1"/>
        <v>0</v>
      </c>
      <c r="L7320" s="62">
        <f t="shared" si="2"/>
        <v>2</v>
      </c>
    </row>
    <row r="7321">
      <c r="A7321" s="58">
        <v>45566.0</v>
      </c>
      <c r="B7321" s="24" t="s">
        <v>6790</v>
      </c>
      <c r="C7321" s="24" t="s">
        <v>7236</v>
      </c>
      <c r="D7321" s="59">
        <v>1.0</v>
      </c>
      <c r="E7321" s="59">
        <v>4.0</v>
      </c>
      <c r="F7321" s="59">
        <v>0.0</v>
      </c>
      <c r="G7321" s="60">
        <v>4.0</v>
      </c>
      <c r="H7321" s="60">
        <v>0.75</v>
      </c>
      <c r="I7321" s="60">
        <v>48.85642775</v>
      </c>
      <c r="J7321" s="59">
        <v>4.0</v>
      </c>
      <c r="K7321" s="61">
        <f t="shared" si="1"/>
        <v>0</v>
      </c>
      <c r="L7321" s="62">
        <f t="shared" si="2"/>
        <v>1</v>
      </c>
    </row>
    <row r="7322">
      <c r="A7322" s="58">
        <v>45566.0</v>
      </c>
      <c r="B7322" s="24" t="s">
        <v>6787</v>
      </c>
      <c r="C7322" s="24" t="s">
        <v>7234</v>
      </c>
      <c r="D7322" s="59">
        <v>1.0</v>
      </c>
      <c r="E7322" s="59">
        <v>1.0</v>
      </c>
      <c r="F7322" s="59">
        <v>1.0</v>
      </c>
      <c r="G7322" s="60">
        <v>1.0</v>
      </c>
      <c r="H7322" s="60">
        <v>0.0</v>
      </c>
      <c r="I7322" s="60">
        <v>238.462949</v>
      </c>
      <c r="J7322" s="59">
        <v>1.0</v>
      </c>
      <c r="K7322" s="61">
        <f t="shared" si="1"/>
        <v>1</v>
      </c>
      <c r="L7322" s="62">
        <f t="shared" si="2"/>
        <v>1</v>
      </c>
    </row>
    <row r="7323">
      <c r="A7323" s="58">
        <v>45566.0</v>
      </c>
      <c r="B7323" s="24" t="s">
        <v>155</v>
      </c>
      <c r="C7323" s="24" t="s">
        <v>7234</v>
      </c>
      <c r="D7323" s="59">
        <v>1.0</v>
      </c>
      <c r="E7323" s="59">
        <v>2.0</v>
      </c>
      <c r="F7323" s="59">
        <v>0.0</v>
      </c>
      <c r="G7323" s="60">
        <v>2.0</v>
      </c>
      <c r="H7323" s="60">
        <v>0.0</v>
      </c>
      <c r="I7323" s="60">
        <v>1242.608783</v>
      </c>
      <c r="J7323" s="59">
        <v>13.0</v>
      </c>
      <c r="K7323" s="61">
        <f t="shared" si="1"/>
        <v>0</v>
      </c>
      <c r="L7323" s="62">
        <f t="shared" si="2"/>
        <v>6.5</v>
      </c>
    </row>
    <row r="7324">
      <c r="A7324" s="58">
        <v>45566.0</v>
      </c>
      <c r="B7324" s="24" t="s">
        <v>6789</v>
      </c>
      <c r="C7324" s="24" t="s">
        <v>7231</v>
      </c>
      <c r="D7324" s="59">
        <v>1.0</v>
      </c>
      <c r="E7324" s="59">
        <v>1.0</v>
      </c>
      <c r="F7324" s="59">
        <v>1.0</v>
      </c>
      <c r="G7324" s="60">
        <v>1.0</v>
      </c>
      <c r="H7324" s="60">
        <v>0.0</v>
      </c>
      <c r="I7324" s="60">
        <v>1148.140466</v>
      </c>
      <c r="J7324" s="59">
        <v>5.0</v>
      </c>
      <c r="K7324" s="61">
        <f t="shared" si="1"/>
        <v>1</v>
      </c>
      <c r="L7324" s="62">
        <f t="shared" si="2"/>
        <v>5</v>
      </c>
    </row>
    <row r="7325">
      <c r="A7325" s="58">
        <v>45566.0</v>
      </c>
      <c r="B7325" s="24" t="s">
        <v>6790</v>
      </c>
      <c r="C7325" s="24" t="s">
        <v>7231</v>
      </c>
      <c r="D7325" s="59">
        <v>1.0</v>
      </c>
      <c r="E7325" s="59">
        <v>2.0</v>
      </c>
      <c r="F7325" s="59">
        <v>0.0</v>
      </c>
      <c r="G7325" s="60">
        <v>2.0</v>
      </c>
      <c r="H7325" s="60">
        <v>1.0</v>
      </c>
      <c r="I7325" s="60">
        <v>0.0</v>
      </c>
      <c r="J7325" s="59">
        <v>2.0</v>
      </c>
      <c r="K7325" s="61">
        <f t="shared" si="1"/>
        <v>0</v>
      </c>
      <c r="L7325" s="62">
        <f t="shared" si="2"/>
        <v>1</v>
      </c>
    </row>
    <row r="7326">
      <c r="A7326" s="58">
        <v>45566.0</v>
      </c>
      <c r="B7326" s="24" t="s">
        <v>6787</v>
      </c>
      <c r="C7326" s="24" t="s">
        <v>7232</v>
      </c>
      <c r="D7326" s="59">
        <v>1.0</v>
      </c>
      <c r="E7326" s="59">
        <v>1.0</v>
      </c>
      <c r="F7326" s="59">
        <v>1.0</v>
      </c>
      <c r="G7326" s="60">
        <v>1.0</v>
      </c>
      <c r="H7326" s="60">
        <v>0.0</v>
      </c>
      <c r="I7326" s="60">
        <v>119.102361</v>
      </c>
      <c r="J7326" s="59">
        <v>3.0</v>
      </c>
      <c r="K7326" s="61">
        <f t="shared" si="1"/>
        <v>1</v>
      </c>
      <c r="L7326" s="62">
        <f t="shared" si="2"/>
        <v>3</v>
      </c>
    </row>
    <row r="7327">
      <c r="A7327" s="58">
        <v>45566.0</v>
      </c>
      <c r="B7327" s="24" t="s">
        <v>6791</v>
      </c>
      <c r="C7327" s="24" t="s">
        <v>7232</v>
      </c>
      <c r="D7327" s="59">
        <v>1.0</v>
      </c>
      <c r="E7327" s="59">
        <v>1.0</v>
      </c>
      <c r="F7327" s="59">
        <v>1.0</v>
      </c>
      <c r="G7327" s="60">
        <v>1.0</v>
      </c>
      <c r="H7327" s="60">
        <v>0.0</v>
      </c>
      <c r="I7327" s="60">
        <v>13.608486</v>
      </c>
      <c r="J7327" s="59">
        <v>1.0</v>
      </c>
      <c r="K7327" s="61">
        <f t="shared" si="1"/>
        <v>1</v>
      </c>
      <c r="L7327" s="62">
        <f t="shared" si="2"/>
        <v>1</v>
      </c>
    </row>
    <row r="7328">
      <c r="A7328" s="58">
        <v>45566.0</v>
      </c>
      <c r="B7328" s="24" t="s">
        <v>6790</v>
      </c>
      <c r="C7328" s="24" t="s">
        <v>7232</v>
      </c>
      <c r="D7328" s="59">
        <v>1.0</v>
      </c>
      <c r="E7328" s="59">
        <v>2.0</v>
      </c>
      <c r="F7328" s="59">
        <v>0.0</v>
      </c>
      <c r="G7328" s="60">
        <v>0.0</v>
      </c>
      <c r="H7328" s="60">
        <v>1.0</v>
      </c>
      <c r="I7328" s="60">
        <v>0.0</v>
      </c>
      <c r="J7328" s="59">
        <v>2.0</v>
      </c>
      <c r="K7328" s="61">
        <f t="shared" si="1"/>
        <v>0</v>
      </c>
      <c r="L7328" s="62">
        <f t="shared" si="2"/>
        <v>1</v>
      </c>
    </row>
    <row r="7329">
      <c r="A7329" s="58">
        <v>45566.0</v>
      </c>
      <c r="B7329" s="24" t="s">
        <v>6787</v>
      </c>
      <c r="C7329" s="24" t="s">
        <v>6907</v>
      </c>
      <c r="D7329" s="59">
        <v>1.0</v>
      </c>
      <c r="E7329" s="59">
        <v>1.0</v>
      </c>
      <c r="F7329" s="59">
        <v>1.0</v>
      </c>
      <c r="G7329" s="60">
        <v>1.0</v>
      </c>
      <c r="H7329" s="60">
        <v>0.0</v>
      </c>
      <c r="I7329" s="60">
        <v>13.713161</v>
      </c>
      <c r="J7329" s="59">
        <v>1.0</v>
      </c>
      <c r="K7329" s="61">
        <f t="shared" si="1"/>
        <v>1</v>
      </c>
      <c r="L7329" s="62">
        <f t="shared" si="2"/>
        <v>1</v>
      </c>
    </row>
    <row r="7330">
      <c r="A7330" s="58">
        <v>45566.0</v>
      </c>
      <c r="B7330" s="24" t="s">
        <v>6794</v>
      </c>
      <c r="C7330" s="24" t="s">
        <v>6808</v>
      </c>
      <c r="D7330" s="59">
        <v>1.0</v>
      </c>
      <c r="E7330" s="59">
        <v>1.0</v>
      </c>
      <c r="F7330" s="59">
        <v>0.0</v>
      </c>
      <c r="G7330" s="60">
        <v>1.0</v>
      </c>
      <c r="H7330" s="60">
        <v>0.0</v>
      </c>
      <c r="I7330" s="60">
        <v>125.054947</v>
      </c>
      <c r="J7330" s="59">
        <v>1.0</v>
      </c>
      <c r="K7330" s="61">
        <f t="shared" si="1"/>
        <v>0</v>
      </c>
      <c r="L7330" s="62">
        <f t="shared" si="2"/>
        <v>1</v>
      </c>
    </row>
    <row r="7331">
      <c r="A7331" s="58">
        <v>45566.0</v>
      </c>
      <c r="B7331" s="24" t="s">
        <v>6789</v>
      </c>
      <c r="C7331" s="24" t="s">
        <v>7087</v>
      </c>
      <c r="D7331" s="59">
        <v>1.0</v>
      </c>
      <c r="E7331" s="59">
        <v>1.0</v>
      </c>
      <c r="F7331" s="59">
        <v>1.0</v>
      </c>
      <c r="G7331" s="60">
        <v>1.0</v>
      </c>
      <c r="H7331" s="60">
        <v>1.0</v>
      </c>
      <c r="I7331" s="60">
        <v>1.916825</v>
      </c>
      <c r="J7331" s="59">
        <v>1.0</v>
      </c>
      <c r="K7331" s="61">
        <f t="shared" si="1"/>
        <v>1</v>
      </c>
      <c r="L7331" s="62">
        <f t="shared" si="2"/>
        <v>1</v>
      </c>
    </row>
    <row r="7332">
      <c r="A7332" s="58">
        <v>45566.0</v>
      </c>
      <c r="B7332" s="24" t="s">
        <v>6787</v>
      </c>
      <c r="C7332" s="24" t="s">
        <v>7026</v>
      </c>
      <c r="D7332" s="59">
        <v>1.0</v>
      </c>
      <c r="E7332" s="59">
        <v>1.0</v>
      </c>
      <c r="F7332" s="59">
        <v>1.0</v>
      </c>
      <c r="G7332" s="60">
        <v>1.0</v>
      </c>
      <c r="H7332" s="60">
        <v>1.0</v>
      </c>
      <c r="I7332" s="60">
        <v>0.0</v>
      </c>
      <c r="J7332" s="59">
        <v>1.0</v>
      </c>
      <c r="K7332" s="61">
        <f t="shared" si="1"/>
        <v>1</v>
      </c>
      <c r="L7332" s="62">
        <f t="shared" si="2"/>
        <v>1</v>
      </c>
    </row>
    <row r="7333">
      <c r="A7333" s="58">
        <v>45566.0</v>
      </c>
      <c r="B7333" s="24" t="s">
        <v>6794</v>
      </c>
      <c r="C7333" s="24" t="s">
        <v>7026</v>
      </c>
      <c r="D7333" s="59">
        <v>1.0</v>
      </c>
      <c r="E7333" s="59">
        <v>1.0</v>
      </c>
      <c r="F7333" s="59">
        <v>0.0</v>
      </c>
      <c r="G7333" s="60">
        <v>1.0</v>
      </c>
      <c r="H7333" s="60">
        <v>0.0</v>
      </c>
      <c r="I7333" s="60">
        <v>60.944583</v>
      </c>
      <c r="J7333" s="59">
        <v>1.0</v>
      </c>
      <c r="K7333" s="61">
        <f t="shared" si="1"/>
        <v>0</v>
      </c>
      <c r="L7333" s="62">
        <f t="shared" si="2"/>
        <v>1</v>
      </c>
    </row>
    <row r="7334">
      <c r="A7334" s="58">
        <v>45566.0</v>
      </c>
      <c r="B7334" s="24" t="s">
        <v>6787</v>
      </c>
      <c r="C7334" s="24" t="s">
        <v>7158</v>
      </c>
      <c r="D7334" s="59">
        <v>1.0</v>
      </c>
      <c r="E7334" s="59">
        <v>1.0</v>
      </c>
      <c r="F7334" s="59">
        <v>0.0</v>
      </c>
      <c r="G7334" s="60">
        <v>1.0</v>
      </c>
      <c r="H7334" s="60">
        <v>1.0</v>
      </c>
      <c r="I7334" s="60">
        <v>0.0</v>
      </c>
      <c r="J7334" s="59">
        <v>1.0</v>
      </c>
      <c r="K7334" s="61">
        <f t="shared" si="1"/>
        <v>0</v>
      </c>
      <c r="L7334" s="62">
        <f t="shared" si="2"/>
        <v>1</v>
      </c>
    </row>
    <row r="7335">
      <c r="A7335" s="58">
        <v>45566.0</v>
      </c>
      <c r="B7335" s="24" t="s">
        <v>6794</v>
      </c>
      <c r="C7335" s="24" t="s">
        <v>7190</v>
      </c>
      <c r="D7335" s="59">
        <v>1.0</v>
      </c>
      <c r="E7335" s="59">
        <v>1.0</v>
      </c>
      <c r="F7335" s="59">
        <v>1.0</v>
      </c>
      <c r="G7335" s="60">
        <v>1.0</v>
      </c>
      <c r="H7335" s="60">
        <v>0.0</v>
      </c>
      <c r="I7335" s="60">
        <v>1161.810923</v>
      </c>
      <c r="J7335" s="59">
        <v>1.0</v>
      </c>
      <c r="K7335" s="61">
        <f t="shared" si="1"/>
        <v>1</v>
      </c>
      <c r="L7335" s="62">
        <f t="shared" si="2"/>
        <v>1</v>
      </c>
    </row>
    <row r="7336">
      <c r="A7336" s="58">
        <v>45566.0</v>
      </c>
      <c r="B7336" s="24" t="s">
        <v>155</v>
      </c>
      <c r="C7336" s="24" t="s">
        <v>7190</v>
      </c>
      <c r="D7336" s="59">
        <v>1.0</v>
      </c>
      <c r="E7336" s="59">
        <v>1.0</v>
      </c>
      <c r="F7336" s="59">
        <v>0.0</v>
      </c>
      <c r="G7336" s="60">
        <v>1.0</v>
      </c>
      <c r="H7336" s="60">
        <v>0.0</v>
      </c>
      <c r="I7336" s="60">
        <v>938.228165</v>
      </c>
      <c r="J7336" s="59">
        <v>1.0</v>
      </c>
      <c r="K7336" s="61">
        <f t="shared" si="1"/>
        <v>0</v>
      </c>
      <c r="L7336" s="62">
        <f t="shared" si="2"/>
        <v>1</v>
      </c>
    </row>
    <row r="7337">
      <c r="A7337" s="58">
        <v>45566.0</v>
      </c>
      <c r="B7337" s="24" t="s">
        <v>6790</v>
      </c>
      <c r="C7337" s="24" t="s">
        <v>7190</v>
      </c>
      <c r="D7337" s="59">
        <v>1.0</v>
      </c>
      <c r="E7337" s="59">
        <v>1.0</v>
      </c>
      <c r="F7337" s="59">
        <v>0.0</v>
      </c>
      <c r="G7337" s="60">
        <v>1.0</v>
      </c>
      <c r="H7337" s="60">
        <v>1.0</v>
      </c>
      <c r="I7337" s="60">
        <v>13.009075</v>
      </c>
      <c r="J7337" s="59">
        <v>1.0</v>
      </c>
      <c r="K7337" s="61">
        <f t="shared" si="1"/>
        <v>0</v>
      </c>
      <c r="L7337" s="62">
        <f t="shared" si="2"/>
        <v>1</v>
      </c>
    </row>
    <row r="7338">
      <c r="A7338" s="58">
        <v>45566.0</v>
      </c>
      <c r="B7338" s="24" t="s">
        <v>6787</v>
      </c>
      <c r="C7338" s="24" t="s">
        <v>7022</v>
      </c>
      <c r="D7338" s="59">
        <v>1.0</v>
      </c>
      <c r="E7338" s="59">
        <v>1.0</v>
      </c>
      <c r="F7338" s="59">
        <v>1.0</v>
      </c>
      <c r="G7338" s="60">
        <v>1.0</v>
      </c>
      <c r="H7338" s="60">
        <v>1.0</v>
      </c>
      <c r="I7338" s="60">
        <v>5.985263</v>
      </c>
      <c r="J7338" s="59">
        <v>1.0</v>
      </c>
      <c r="K7338" s="61">
        <f t="shared" si="1"/>
        <v>1</v>
      </c>
      <c r="L7338" s="62">
        <f t="shared" si="2"/>
        <v>1</v>
      </c>
    </row>
    <row r="7339">
      <c r="A7339" s="58">
        <v>45566.0</v>
      </c>
      <c r="B7339" s="24" t="s">
        <v>6789</v>
      </c>
      <c r="C7339" s="24" t="s">
        <v>7036</v>
      </c>
      <c r="D7339" s="59">
        <v>1.0</v>
      </c>
      <c r="E7339" s="59">
        <v>1.0</v>
      </c>
      <c r="F7339" s="59">
        <v>1.0</v>
      </c>
      <c r="G7339" s="60">
        <v>1.0</v>
      </c>
      <c r="H7339" s="60">
        <v>1.0</v>
      </c>
      <c r="I7339" s="60">
        <v>0.0</v>
      </c>
      <c r="J7339" s="59">
        <v>1.0</v>
      </c>
      <c r="K7339" s="61">
        <f t="shared" si="1"/>
        <v>1</v>
      </c>
      <c r="L7339" s="62">
        <f t="shared" si="2"/>
        <v>1</v>
      </c>
    </row>
    <row r="7340">
      <c r="A7340" s="58">
        <v>45566.0</v>
      </c>
      <c r="B7340" s="24" t="s">
        <v>6789</v>
      </c>
      <c r="C7340" s="24" t="s">
        <v>7163</v>
      </c>
      <c r="D7340" s="59">
        <v>1.0</v>
      </c>
      <c r="E7340" s="59">
        <v>1.0</v>
      </c>
      <c r="F7340" s="59">
        <v>1.0</v>
      </c>
      <c r="G7340" s="60">
        <v>1.0</v>
      </c>
      <c r="H7340" s="60">
        <v>1.0</v>
      </c>
      <c r="I7340" s="60">
        <v>0.0</v>
      </c>
      <c r="J7340" s="59">
        <v>1.0</v>
      </c>
      <c r="K7340" s="61">
        <f t="shared" si="1"/>
        <v>1</v>
      </c>
      <c r="L7340" s="62">
        <f t="shared" si="2"/>
        <v>1</v>
      </c>
    </row>
    <row r="7341">
      <c r="A7341" s="58">
        <v>45566.0</v>
      </c>
      <c r="B7341" s="24" t="s">
        <v>6789</v>
      </c>
      <c r="C7341" s="24" t="s">
        <v>7092</v>
      </c>
      <c r="D7341" s="59">
        <v>1.0</v>
      </c>
      <c r="E7341" s="59">
        <v>1.0</v>
      </c>
      <c r="F7341" s="59">
        <v>1.0</v>
      </c>
      <c r="G7341" s="60">
        <v>1.0</v>
      </c>
      <c r="H7341" s="60">
        <v>0.0</v>
      </c>
      <c r="I7341" s="60">
        <v>30.647363</v>
      </c>
      <c r="J7341" s="59">
        <v>1.0</v>
      </c>
      <c r="K7341" s="61">
        <f t="shared" si="1"/>
        <v>1</v>
      </c>
      <c r="L7341" s="62">
        <f t="shared" si="2"/>
        <v>1</v>
      </c>
    </row>
    <row r="7342">
      <c r="A7342" s="58">
        <v>45566.0</v>
      </c>
      <c r="B7342" s="24" t="s">
        <v>6787</v>
      </c>
      <c r="C7342" s="24" t="s">
        <v>7165</v>
      </c>
      <c r="D7342" s="59">
        <v>1.0</v>
      </c>
      <c r="E7342" s="59">
        <v>1.0</v>
      </c>
      <c r="F7342" s="59">
        <v>1.0</v>
      </c>
      <c r="G7342" s="60">
        <v>1.0</v>
      </c>
      <c r="H7342" s="60">
        <v>1.0</v>
      </c>
      <c r="I7342" s="60">
        <v>0.0</v>
      </c>
      <c r="J7342" s="59">
        <v>1.0</v>
      </c>
      <c r="K7342" s="61">
        <f t="shared" si="1"/>
        <v>1</v>
      </c>
      <c r="L7342" s="62">
        <f t="shared" si="2"/>
        <v>1</v>
      </c>
    </row>
    <row r="7343">
      <c r="A7343" s="58">
        <v>45566.0</v>
      </c>
      <c r="B7343" s="24" t="s">
        <v>6789</v>
      </c>
      <c r="C7343" s="24" t="s">
        <v>7165</v>
      </c>
      <c r="D7343" s="59">
        <v>1.0</v>
      </c>
      <c r="E7343" s="59">
        <v>1.0</v>
      </c>
      <c r="F7343" s="59">
        <v>1.0</v>
      </c>
      <c r="G7343" s="60">
        <v>1.0</v>
      </c>
      <c r="H7343" s="60">
        <v>1.0</v>
      </c>
      <c r="I7343" s="60">
        <v>0.0</v>
      </c>
      <c r="J7343" s="59">
        <v>1.0</v>
      </c>
      <c r="K7343" s="61">
        <f t="shared" si="1"/>
        <v>1</v>
      </c>
      <c r="L7343" s="62">
        <f t="shared" si="2"/>
        <v>1</v>
      </c>
    </row>
    <row r="7344">
      <c r="A7344" s="58">
        <v>45566.0</v>
      </c>
      <c r="B7344" s="24" t="s">
        <v>155</v>
      </c>
      <c r="C7344" s="24" t="s">
        <v>7165</v>
      </c>
      <c r="D7344" s="59">
        <v>1.0</v>
      </c>
      <c r="E7344" s="59">
        <v>1.0</v>
      </c>
      <c r="F7344" s="59">
        <v>0.0</v>
      </c>
      <c r="G7344" s="60">
        <v>1.0</v>
      </c>
      <c r="H7344" s="60">
        <v>0.0</v>
      </c>
      <c r="I7344" s="60">
        <v>16.02552</v>
      </c>
      <c r="J7344" s="59">
        <v>1.0</v>
      </c>
      <c r="K7344" s="61">
        <f t="shared" si="1"/>
        <v>0</v>
      </c>
      <c r="L7344" s="62">
        <f t="shared" si="2"/>
        <v>1</v>
      </c>
    </row>
    <row r="7345">
      <c r="A7345" s="58">
        <v>45566.0</v>
      </c>
      <c r="B7345" s="24" t="s">
        <v>6789</v>
      </c>
      <c r="C7345" s="24" t="s">
        <v>7095</v>
      </c>
      <c r="D7345" s="59">
        <v>1.0</v>
      </c>
      <c r="E7345" s="59">
        <v>1.0</v>
      </c>
      <c r="F7345" s="59">
        <v>1.0</v>
      </c>
      <c r="G7345" s="60">
        <v>1.0</v>
      </c>
      <c r="H7345" s="60">
        <v>0.0</v>
      </c>
      <c r="I7345" s="60">
        <v>179.521837</v>
      </c>
      <c r="J7345" s="59">
        <v>1.0</v>
      </c>
      <c r="K7345" s="61">
        <f t="shared" si="1"/>
        <v>1</v>
      </c>
      <c r="L7345" s="62">
        <f t="shared" si="2"/>
        <v>1</v>
      </c>
    </row>
    <row r="7346">
      <c r="A7346" s="58">
        <v>45566.0</v>
      </c>
      <c r="B7346" s="24" t="s">
        <v>155</v>
      </c>
      <c r="C7346" s="24" t="s">
        <v>7013</v>
      </c>
      <c r="D7346" s="59">
        <v>1.0</v>
      </c>
      <c r="E7346" s="59">
        <v>1.0</v>
      </c>
      <c r="F7346" s="59">
        <v>0.0</v>
      </c>
      <c r="G7346" s="60">
        <v>1.0</v>
      </c>
      <c r="H7346" s="60">
        <v>0.0</v>
      </c>
      <c r="I7346" s="60">
        <v>1056.476216</v>
      </c>
      <c r="J7346" s="59">
        <v>12.0</v>
      </c>
      <c r="K7346" s="61">
        <f t="shared" si="1"/>
        <v>0</v>
      </c>
      <c r="L7346" s="62">
        <f t="shared" si="2"/>
        <v>12</v>
      </c>
    </row>
    <row r="7347">
      <c r="A7347" s="58">
        <v>45566.0</v>
      </c>
      <c r="B7347" s="24" t="s">
        <v>6787</v>
      </c>
      <c r="C7347" s="24" t="s">
        <v>7101</v>
      </c>
      <c r="D7347" s="59">
        <v>1.0</v>
      </c>
      <c r="E7347" s="59">
        <v>1.0</v>
      </c>
      <c r="F7347" s="59">
        <v>1.0</v>
      </c>
      <c r="G7347" s="60">
        <v>1.0</v>
      </c>
      <c r="H7347" s="60">
        <v>0.0</v>
      </c>
      <c r="I7347" s="60">
        <v>12.604643</v>
      </c>
      <c r="J7347" s="59">
        <v>1.0</v>
      </c>
      <c r="K7347" s="61">
        <f t="shared" si="1"/>
        <v>1</v>
      </c>
      <c r="L7347" s="62">
        <f t="shared" si="2"/>
        <v>1</v>
      </c>
    </row>
    <row r="7348">
      <c r="A7348" s="58">
        <v>45566.0</v>
      </c>
      <c r="B7348" s="24" t="s">
        <v>6789</v>
      </c>
      <c r="C7348" s="24" t="s">
        <v>7044</v>
      </c>
      <c r="D7348" s="59">
        <v>1.0</v>
      </c>
      <c r="E7348" s="59">
        <v>1.0</v>
      </c>
      <c r="F7348" s="59">
        <v>1.0</v>
      </c>
      <c r="G7348" s="60">
        <v>1.0</v>
      </c>
      <c r="H7348" s="60">
        <v>0.0</v>
      </c>
      <c r="I7348" s="60">
        <v>105.914938</v>
      </c>
      <c r="J7348" s="59">
        <v>3.0</v>
      </c>
      <c r="K7348" s="61">
        <f t="shared" si="1"/>
        <v>1</v>
      </c>
      <c r="L7348" s="62">
        <f t="shared" si="2"/>
        <v>3</v>
      </c>
    </row>
    <row r="7349">
      <c r="A7349" s="58">
        <v>45566.0</v>
      </c>
      <c r="B7349" s="24" t="s">
        <v>6787</v>
      </c>
      <c r="C7349" s="24" t="s">
        <v>6908</v>
      </c>
      <c r="D7349" s="59">
        <v>1.0</v>
      </c>
      <c r="E7349" s="59">
        <v>1.0</v>
      </c>
      <c r="F7349" s="59">
        <v>1.0</v>
      </c>
      <c r="G7349" s="60">
        <v>1.0</v>
      </c>
      <c r="H7349" s="60">
        <v>1.0</v>
      </c>
      <c r="I7349" s="60">
        <v>0.0</v>
      </c>
      <c r="J7349" s="59">
        <v>1.0</v>
      </c>
      <c r="K7349" s="61">
        <f t="shared" si="1"/>
        <v>1</v>
      </c>
      <c r="L7349" s="62">
        <f t="shared" si="2"/>
        <v>1</v>
      </c>
    </row>
    <row r="7350">
      <c r="A7350" s="58">
        <v>45566.0</v>
      </c>
      <c r="B7350" s="24" t="s">
        <v>3216</v>
      </c>
      <c r="C7350" s="24" t="s">
        <v>7172</v>
      </c>
      <c r="D7350" s="59">
        <v>1.0</v>
      </c>
      <c r="E7350" s="59">
        <v>2.0</v>
      </c>
      <c r="F7350" s="59">
        <v>1.0</v>
      </c>
      <c r="G7350" s="60">
        <v>2.0</v>
      </c>
      <c r="H7350" s="60">
        <v>1.0</v>
      </c>
      <c r="I7350" s="60">
        <v>0.0</v>
      </c>
      <c r="J7350" s="59">
        <v>2.0</v>
      </c>
      <c r="K7350" s="61">
        <f t="shared" si="1"/>
        <v>0.5</v>
      </c>
      <c r="L7350" s="62">
        <f t="shared" si="2"/>
        <v>1</v>
      </c>
    </row>
    <row r="7351">
      <c r="A7351" s="58">
        <v>45566.0</v>
      </c>
      <c r="B7351" s="24" t="s">
        <v>155</v>
      </c>
      <c r="C7351" s="24" t="s">
        <v>6910</v>
      </c>
      <c r="D7351" s="59">
        <v>1.0</v>
      </c>
      <c r="E7351" s="59">
        <v>1.0</v>
      </c>
      <c r="F7351" s="59">
        <v>0.0</v>
      </c>
      <c r="G7351" s="60">
        <v>1.0</v>
      </c>
      <c r="H7351" s="60">
        <v>0.0</v>
      </c>
      <c r="I7351" s="60">
        <v>19.819632</v>
      </c>
      <c r="J7351" s="59">
        <v>2.0</v>
      </c>
      <c r="K7351" s="61">
        <f t="shared" si="1"/>
        <v>0</v>
      </c>
      <c r="L7351" s="62">
        <f t="shared" si="2"/>
        <v>2</v>
      </c>
    </row>
    <row r="7352">
      <c r="A7352" s="58">
        <v>45566.0</v>
      </c>
      <c r="B7352" s="24" t="s">
        <v>6794</v>
      </c>
      <c r="C7352" s="24" t="s">
        <v>6801</v>
      </c>
      <c r="D7352" s="59">
        <v>1.0</v>
      </c>
      <c r="E7352" s="59">
        <v>1.0</v>
      </c>
      <c r="F7352" s="59">
        <v>0.0</v>
      </c>
      <c r="G7352" s="60">
        <v>1.0</v>
      </c>
      <c r="H7352" s="60">
        <v>0.0</v>
      </c>
      <c r="I7352" s="60">
        <v>22.731758</v>
      </c>
      <c r="J7352" s="59">
        <v>1.0</v>
      </c>
      <c r="K7352" s="61">
        <f t="shared" si="1"/>
        <v>0</v>
      </c>
      <c r="L7352" s="62">
        <f t="shared" si="2"/>
        <v>1</v>
      </c>
    </row>
    <row r="7353">
      <c r="A7353" s="58">
        <v>45566.0</v>
      </c>
      <c r="B7353" s="24" t="s">
        <v>155</v>
      </c>
      <c r="C7353" s="24" t="s">
        <v>6801</v>
      </c>
      <c r="D7353" s="59">
        <v>1.0</v>
      </c>
      <c r="E7353" s="59">
        <v>1.0</v>
      </c>
      <c r="F7353" s="59">
        <v>0.0</v>
      </c>
      <c r="G7353" s="60">
        <v>1.0</v>
      </c>
      <c r="H7353" s="60">
        <v>0.0</v>
      </c>
      <c r="I7353" s="60">
        <v>144.387477</v>
      </c>
      <c r="J7353" s="59">
        <v>2.0</v>
      </c>
      <c r="K7353" s="61">
        <f t="shared" si="1"/>
        <v>0</v>
      </c>
      <c r="L7353" s="62">
        <f t="shared" si="2"/>
        <v>2</v>
      </c>
    </row>
    <row r="7354">
      <c r="A7354" s="58">
        <v>45566.0</v>
      </c>
      <c r="B7354" s="24" t="s">
        <v>6787</v>
      </c>
      <c r="C7354" s="24" t="s">
        <v>7448</v>
      </c>
      <c r="D7354" s="59">
        <v>1.0</v>
      </c>
      <c r="E7354" s="59">
        <v>1.0</v>
      </c>
      <c r="F7354" s="59">
        <v>1.0</v>
      </c>
      <c r="G7354" s="60">
        <v>1.0</v>
      </c>
      <c r="H7354" s="60">
        <v>1.0</v>
      </c>
      <c r="I7354" s="60">
        <v>3.388038</v>
      </c>
      <c r="J7354" s="59">
        <v>1.0</v>
      </c>
      <c r="K7354" s="61">
        <f t="shared" si="1"/>
        <v>1</v>
      </c>
      <c r="L7354" s="62">
        <f t="shared" si="2"/>
        <v>1</v>
      </c>
    </row>
    <row r="7355">
      <c r="A7355" s="58">
        <v>45566.0</v>
      </c>
      <c r="B7355" s="24" t="s">
        <v>6789</v>
      </c>
      <c r="C7355" s="24" t="s">
        <v>7192</v>
      </c>
      <c r="D7355" s="59">
        <v>1.0</v>
      </c>
      <c r="E7355" s="59">
        <v>1.0</v>
      </c>
      <c r="F7355" s="59">
        <v>1.0</v>
      </c>
      <c r="G7355" s="60">
        <v>1.0</v>
      </c>
      <c r="H7355" s="60">
        <v>0.0</v>
      </c>
      <c r="I7355" s="60">
        <v>177.299399</v>
      </c>
      <c r="J7355" s="59">
        <v>3.0</v>
      </c>
      <c r="K7355" s="61">
        <f t="shared" si="1"/>
        <v>1</v>
      </c>
      <c r="L7355" s="62">
        <f t="shared" si="2"/>
        <v>3</v>
      </c>
    </row>
    <row r="7356">
      <c r="A7356" s="58">
        <v>45566.0</v>
      </c>
      <c r="B7356" s="24" t="s">
        <v>155</v>
      </c>
      <c r="C7356" s="24" t="s">
        <v>7192</v>
      </c>
      <c r="D7356" s="59">
        <v>1.0</v>
      </c>
      <c r="E7356" s="59">
        <v>1.0</v>
      </c>
      <c r="F7356" s="59">
        <v>0.0</v>
      </c>
      <c r="G7356" s="60">
        <v>1.0</v>
      </c>
      <c r="H7356" s="60">
        <v>0.0</v>
      </c>
      <c r="I7356" s="60">
        <v>1550.911231</v>
      </c>
      <c r="J7356" s="59">
        <v>5.0</v>
      </c>
      <c r="K7356" s="61">
        <f t="shared" si="1"/>
        <v>0</v>
      </c>
      <c r="L7356" s="62">
        <f t="shared" si="2"/>
        <v>5</v>
      </c>
    </row>
    <row r="7357">
      <c r="A7357" s="58">
        <v>45566.0</v>
      </c>
      <c r="B7357" s="24" t="s">
        <v>155</v>
      </c>
      <c r="C7357" s="24" t="s">
        <v>7107</v>
      </c>
      <c r="D7357" s="59">
        <v>1.0</v>
      </c>
      <c r="E7357" s="59">
        <v>1.0</v>
      </c>
      <c r="F7357" s="59">
        <v>0.0</v>
      </c>
      <c r="G7357" s="60">
        <v>1.0</v>
      </c>
      <c r="H7357" s="60">
        <v>1.0</v>
      </c>
      <c r="I7357" s="60">
        <v>0.0</v>
      </c>
      <c r="J7357" s="59">
        <v>1.0</v>
      </c>
      <c r="K7357" s="61">
        <f t="shared" si="1"/>
        <v>0</v>
      </c>
      <c r="L7357" s="62">
        <f t="shared" si="2"/>
        <v>1</v>
      </c>
    </row>
    <row r="7358">
      <c r="A7358" s="58">
        <v>45566.0</v>
      </c>
      <c r="B7358" s="24" t="s">
        <v>155</v>
      </c>
      <c r="C7358" s="24" t="s">
        <v>6921</v>
      </c>
      <c r="D7358" s="59">
        <v>1.0</v>
      </c>
      <c r="E7358" s="59">
        <v>1.0</v>
      </c>
      <c r="F7358" s="59">
        <v>0.0</v>
      </c>
      <c r="G7358" s="60">
        <v>1.0</v>
      </c>
      <c r="H7358" s="60">
        <v>0.0</v>
      </c>
      <c r="I7358" s="60">
        <v>10.696681</v>
      </c>
      <c r="J7358" s="59">
        <v>1.0</v>
      </c>
      <c r="K7358" s="61">
        <f t="shared" si="1"/>
        <v>0</v>
      </c>
      <c r="L7358" s="62">
        <f t="shared" si="2"/>
        <v>1</v>
      </c>
    </row>
    <row r="7359">
      <c r="A7359" s="58">
        <v>45566.0</v>
      </c>
      <c r="B7359" s="24" t="s">
        <v>6789</v>
      </c>
      <c r="C7359" s="24" t="s">
        <v>7047</v>
      </c>
      <c r="D7359" s="59">
        <v>1.0</v>
      </c>
      <c r="E7359" s="59">
        <v>1.0</v>
      </c>
      <c r="F7359" s="59">
        <v>1.0</v>
      </c>
      <c r="G7359" s="60">
        <v>1.0</v>
      </c>
      <c r="H7359" s="60">
        <v>0.0</v>
      </c>
      <c r="I7359" s="60">
        <v>306.964409</v>
      </c>
      <c r="J7359" s="59">
        <v>1.0</v>
      </c>
      <c r="K7359" s="61">
        <f t="shared" si="1"/>
        <v>1</v>
      </c>
      <c r="L7359" s="62">
        <f t="shared" si="2"/>
        <v>1</v>
      </c>
    </row>
    <row r="7360">
      <c r="A7360" s="58">
        <v>45566.0</v>
      </c>
      <c r="B7360" s="24" t="s">
        <v>6787</v>
      </c>
      <c r="C7360" s="24" t="s">
        <v>6797</v>
      </c>
      <c r="D7360" s="59">
        <v>1.0</v>
      </c>
      <c r="E7360" s="59">
        <v>1.0</v>
      </c>
      <c r="F7360" s="59">
        <v>1.0</v>
      </c>
      <c r="G7360" s="60">
        <v>1.0</v>
      </c>
      <c r="H7360" s="60">
        <v>1.0</v>
      </c>
      <c r="I7360" s="60">
        <v>5.126963</v>
      </c>
      <c r="J7360" s="59">
        <v>1.0</v>
      </c>
      <c r="K7360" s="61">
        <f t="shared" si="1"/>
        <v>1</v>
      </c>
      <c r="L7360" s="62">
        <f t="shared" si="2"/>
        <v>1</v>
      </c>
    </row>
    <row r="7361">
      <c r="A7361" s="58">
        <v>45566.0</v>
      </c>
      <c r="B7361" s="24" t="s">
        <v>155</v>
      </c>
      <c r="C7361" s="24" t="s">
        <v>6797</v>
      </c>
      <c r="D7361" s="59">
        <v>1.0</v>
      </c>
      <c r="E7361" s="59">
        <v>1.0</v>
      </c>
      <c r="F7361" s="59">
        <v>0.0</v>
      </c>
      <c r="G7361" s="60">
        <v>1.0</v>
      </c>
      <c r="H7361" s="60">
        <v>1.0</v>
      </c>
      <c r="I7361" s="60">
        <v>6.652299</v>
      </c>
      <c r="J7361" s="59">
        <v>1.0</v>
      </c>
      <c r="K7361" s="61">
        <f t="shared" si="1"/>
        <v>0</v>
      </c>
      <c r="L7361" s="62">
        <f t="shared" si="2"/>
        <v>1</v>
      </c>
    </row>
    <row r="7362">
      <c r="A7362" s="58">
        <v>45566.0</v>
      </c>
      <c r="B7362" s="24" t="s">
        <v>155</v>
      </c>
      <c r="C7362" s="24" t="s">
        <v>6810</v>
      </c>
      <c r="D7362" s="59">
        <v>1.0</v>
      </c>
      <c r="E7362" s="59">
        <v>1.0</v>
      </c>
      <c r="F7362" s="59">
        <v>0.0</v>
      </c>
      <c r="G7362" s="60">
        <v>0.0</v>
      </c>
      <c r="H7362" s="60">
        <v>1.0</v>
      </c>
      <c r="I7362" s="60">
        <v>0.0</v>
      </c>
      <c r="J7362" s="59">
        <v>1.0</v>
      </c>
      <c r="K7362" s="61">
        <f t="shared" si="1"/>
        <v>0</v>
      </c>
      <c r="L7362" s="62">
        <f t="shared" si="2"/>
        <v>1</v>
      </c>
    </row>
    <row r="7363">
      <c r="A7363" s="58">
        <v>45566.0</v>
      </c>
      <c r="B7363" s="24" t="s">
        <v>155</v>
      </c>
      <c r="C7363" s="24" t="s">
        <v>6931</v>
      </c>
      <c r="D7363" s="59">
        <v>1.0</v>
      </c>
      <c r="E7363" s="59">
        <v>1.0</v>
      </c>
      <c r="F7363" s="59">
        <v>1.0</v>
      </c>
      <c r="G7363" s="60">
        <v>1.0</v>
      </c>
      <c r="H7363" s="60">
        <v>1.0</v>
      </c>
      <c r="I7363" s="60">
        <v>0.0</v>
      </c>
      <c r="J7363" s="59">
        <v>1.0</v>
      </c>
      <c r="K7363" s="61">
        <f t="shared" si="1"/>
        <v>1</v>
      </c>
      <c r="L7363" s="62">
        <f t="shared" si="2"/>
        <v>1</v>
      </c>
    </row>
    <row r="7364">
      <c r="A7364" s="58">
        <v>45566.0</v>
      </c>
      <c r="B7364" s="24" t="s">
        <v>6789</v>
      </c>
      <c r="C7364" s="24" t="s">
        <v>7118</v>
      </c>
      <c r="D7364" s="59">
        <v>1.0</v>
      </c>
      <c r="E7364" s="59">
        <v>1.0</v>
      </c>
      <c r="F7364" s="59">
        <v>0.0</v>
      </c>
      <c r="G7364" s="60">
        <v>1.0</v>
      </c>
      <c r="H7364" s="60">
        <v>0.0</v>
      </c>
      <c r="I7364" s="60">
        <v>1068.807793</v>
      </c>
      <c r="J7364" s="59">
        <v>4.0</v>
      </c>
      <c r="K7364" s="61">
        <f t="shared" si="1"/>
        <v>0</v>
      </c>
      <c r="L7364" s="62">
        <f t="shared" si="2"/>
        <v>4</v>
      </c>
    </row>
    <row r="7365">
      <c r="A7365" s="58">
        <v>45566.0</v>
      </c>
      <c r="B7365" s="24" t="s">
        <v>6790</v>
      </c>
      <c r="C7365" s="24" t="s">
        <v>6854</v>
      </c>
      <c r="D7365" s="59">
        <v>1.0</v>
      </c>
      <c r="E7365" s="59">
        <v>1.0</v>
      </c>
      <c r="F7365" s="59">
        <v>0.0</v>
      </c>
      <c r="G7365" s="60">
        <v>1.0</v>
      </c>
      <c r="H7365" s="60">
        <v>0.0</v>
      </c>
      <c r="I7365" s="60">
        <v>22.552755</v>
      </c>
      <c r="J7365" s="59">
        <v>1.0</v>
      </c>
      <c r="K7365" s="61">
        <f t="shared" si="1"/>
        <v>0</v>
      </c>
      <c r="L7365" s="62">
        <f t="shared" si="2"/>
        <v>1</v>
      </c>
    </row>
    <row r="7366">
      <c r="A7366" s="58">
        <v>45536.0</v>
      </c>
      <c r="B7366" s="24" t="s">
        <v>6789</v>
      </c>
      <c r="C7366" s="24" t="s">
        <v>6788</v>
      </c>
      <c r="D7366" s="59">
        <v>785.0</v>
      </c>
      <c r="E7366" s="59">
        <v>1099.0</v>
      </c>
      <c r="F7366" s="59">
        <v>665.0</v>
      </c>
      <c r="G7366" s="60">
        <v>1.42542153047989</v>
      </c>
      <c r="H7366" s="60">
        <v>0.491355777979981</v>
      </c>
      <c r="I7366" s="60">
        <v>176.790686148316</v>
      </c>
      <c r="J7366" s="59">
        <v>1857.0</v>
      </c>
      <c r="K7366" s="61">
        <f t="shared" si="1"/>
        <v>0.6050955414</v>
      </c>
      <c r="L7366" s="62">
        <f t="shared" si="2"/>
        <v>1.689717925</v>
      </c>
    </row>
    <row r="7367">
      <c r="A7367" s="58">
        <v>45536.0</v>
      </c>
      <c r="B7367" s="24" t="s">
        <v>6787</v>
      </c>
      <c r="C7367" s="24" t="s">
        <v>6788</v>
      </c>
      <c r="D7367" s="59">
        <v>518.0</v>
      </c>
      <c r="E7367" s="59">
        <v>670.0</v>
      </c>
      <c r="F7367" s="59">
        <v>473.0</v>
      </c>
      <c r="G7367" s="60">
        <v>1.30604288499025</v>
      </c>
      <c r="H7367" s="60">
        <v>0.653731343283582</v>
      </c>
      <c r="I7367" s="60">
        <v>78.1987280671642</v>
      </c>
      <c r="J7367" s="59">
        <v>898.0</v>
      </c>
      <c r="K7367" s="61">
        <f t="shared" si="1"/>
        <v>0.7059701493</v>
      </c>
      <c r="L7367" s="62">
        <f t="shared" si="2"/>
        <v>1.340298507</v>
      </c>
    </row>
    <row r="7368">
      <c r="A7368" s="58">
        <v>45536.0</v>
      </c>
      <c r="B7368" s="24" t="s">
        <v>6789</v>
      </c>
      <c r="C7368" s="24" t="s">
        <v>7068</v>
      </c>
      <c r="D7368" s="59">
        <v>322.0</v>
      </c>
      <c r="E7368" s="59">
        <v>355.0</v>
      </c>
      <c r="F7368" s="59">
        <v>312.0</v>
      </c>
      <c r="G7368" s="60">
        <v>1.109375</v>
      </c>
      <c r="H7368" s="60">
        <v>0.338028169014084</v>
      </c>
      <c r="I7368" s="60">
        <v>146.677767360563</v>
      </c>
      <c r="J7368" s="59">
        <v>383.0</v>
      </c>
      <c r="K7368" s="61">
        <f t="shared" si="1"/>
        <v>0.8788732394</v>
      </c>
      <c r="L7368" s="62">
        <f t="shared" si="2"/>
        <v>1.078873239</v>
      </c>
    </row>
    <row r="7369">
      <c r="A7369" s="58">
        <v>45536.0</v>
      </c>
      <c r="B7369" s="24" t="s">
        <v>6789</v>
      </c>
      <c r="C7369" s="24" t="s">
        <v>6792</v>
      </c>
      <c r="D7369" s="59">
        <v>183.0</v>
      </c>
      <c r="E7369" s="59">
        <v>219.0</v>
      </c>
      <c r="F7369" s="59">
        <v>0.0</v>
      </c>
      <c r="G7369" s="60">
        <v>1.752</v>
      </c>
      <c r="H7369" s="60">
        <v>0.958904109589041</v>
      </c>
      <c r="I7369" s="60">
        <v>6.3794327305936</v>
      </c>
      <c r="J7369" s="59">
        <v>0.0</v>
      </c>
      <c r="K7369" s="61">
        <f t="shared" si="1"/>
        <v>0</v>
      </c>
      <c r="L7369" s="62">
        <f t="shared" si="2"/>
        <v>0</v>
      </c>
    </row>
    <row r="7370">
      <c r="A7370" s="58">
        <v>45536.0</v>
      </c>
      <c r="B7370" s="24" t="s">
        <v>155</v>
      </c>
      <c r="C7370" s="24" t="s">
        <v>6788</v>
      </c>
      <c r="D7370" s="59">
        <v>165.0</v>
      </c>
      <c r="E7370" s="59">
        <v>266.0</v>
      </c>
      <c r="F7370" s="59">
        <v>129.0</v>
      </c>
      <c r="G7370" s="60">
        <v>1.64197530864197</v>
      </c>
      <c r="H7370" s="60">
        <v>0.582706766917293</v>
      </c>
      <c r="I7370" s="60">
        <v>91.0509682593985</v>
      </c>
      <c r="J7370" s="59">
        <v>365.0</v>
      </c>
      <c r="K7370" s="61">
        <f t="shared" si="1"/>
        <v>0.484962406</v>
      </c>
      <c r="L7370" s="62">
        <f t="shared" si="2"/>
        <v>1.372180451</v>
      </c>
    </row>
    <row r="7371">
      <c r="A7371" s="58">
        <v>45536.0</v>
      </c>
      <c r="B7371" s="24" t="s">
        <v>6794</v>
      </c>
      <c r="C7371" s="24" t="s">
        <v>6788</v>
      </c>
      <c r="D7371" s="59">
        <v>72.0</v>
      </c>
      <c r="E7371" s="59">
        <v>79.0</v>
      </c>
      <c r="F7371" s="59">
        <v>62.0</v>
      </c>
      <c r="G7371" s="60">
        <v>1.09722222222222</v>
      </c>
      <c r="H7371" s="60">
        <v>0.379746835443038</v>
      </c>
      <c r="I7371" s="60">
        <v>147.284062886076</v>
      </c>
      <c r="J7371" s="59">
        <v>142.0</v>
      </c>
      <c r="K7371" s="61">
        <f t="shared" si="1"/>
        <v>0.7848101266</v>
      </c>
      <c r="L7371" s="62">
        <f t="shared" si="2"/>
        <v>1.797468354</v>
      </c>
    </row>
    <row r="7372">
      <c r="A7372" s="58">
        <v>45536.0</v>
      </c>
      <c r="B7372" s="24" t="s">
        <v>6789</v>
      </c>
      <c r="C7372" s="24" t="s">
        <v>6804</v>
      </c>
      <c r="D7372" s="59">
        <v>55.0</v>
      </c>
      <c r="E7372" s="59">
        <v>61.0</v>
      </c>
      <c r="F7372" s="59">
        <v>53.0</v>
      </c>
      <c r="G7372" s="60">
        <v>1.15094339622641</v>
      </c>
      <c r="H7372" s="60">
        <v>0.573770491803278</v>
      </c>
      <c r="I7372" s="60">
        <v>172.78032009836</v>
      </c>
      <c r="J7372" s="59">
        <v>67.0</v>
      </c>
      <c r="K7372" s="61">
        <f t="shared" si="1"/>
        <v>0.868852459</v>
      </c>
      <c r="L7372" s="62">
        <f t="shared" si="2"/>
        <v>1.098360656</v>
      </c>
    </row>
    <row r="7373">
      <c r="A7373" s="58">
        <v>45536.0</v>
      </c>
      <c r="B7373" s="24" t="s">
        <v>6789</v>
      </c>
      <c r="C7373" s="24" t="s">
        <v>7024</v>
      </c>
      <c r="D7373" s="59">
        <v>46.0</v>
      </c>
      <c r="E7373" s="59">
        <v>55.0</v>
      </c>
      <c r="F7373" s="59">
        <v>45.0</v>
      </c>
      <c r="G7373" s="60">
        <v>1.19565217391304</v>
      </c>
      <c r="H7373" s="60">
        <v>0.618181818181818</v>
      </c>
      <c r="I7373" s="60">
        <v>102.132094181818</v>
      </c>
      <c r="J7373" s="59">
        <v>59.0</v>
      </c>
      <c r="K7373" s="61">
        <f t="shared" si="1"/>
        <v>0.8181818182</v>
      </c>
      <c r="L7373" s="62">
        <f t="shared" si="2"/>
        <v>1.072727273</v>
      </c>
    </row>
    <row r="7374">
      <c r="A7374" s="58">
        <v>45536.0</v>
      </c>
      <c r="B7374" s="24" t="s">
        <v>6789</v>
      </c>
      <c r="C7374" s="24" t="s">
        <v>6799</v>
      </c>
      <c r="D7374" s="59">
        <v>42.0</v>
      </c>
      <c r="E7374" s="59">
        <v>94.0</v>
      </c>
      <c r="F7374" s="59">
        <v>30.0</v>
      </c>
      <c r="G7374" s="60">
        <v>2.47368421052631</v>
      </c>
      <c r="H7374" s="60">
        <v>0.606382978723404</v>
      </c>
      <c r="I7374" s="60">
        <v>175.203799989361</v>
      </c>
      <c r="J7374" s="59">
        <v>141.0</v>
      </c>
      <c r="K7374" s="61">
        <f t="shared" si="1"/>
        <v>0.3191489362</v>
      </c>
      <c r="L7374" s="62">
        <f t="shared" si="2"/>
        <v>1.5</v>
      </c>
    </row>
    <row r="7375">
      <c r="A7375" s="58">
        <v>45536.0</v>
      </c>
      <c r="B7375" s="24" t="s">
        <v>6787</v>
      </c>
      <c r="C7375" s="24" t="s">
        <v>6792</v>
      </c>
      <c r="D7375" s="59">
        <v>41.0</v>
      </c>
      <c r="E7375" s="59">
        <v>55.0</v>
      </c>
      <c r="F7375" s="59">
        <v>0.0</v>
      </c>
      <c r="G7375" s="60">
        <v>2.39130434782608</v>
      </c>
      <c r="H7375" s="60">
        <v>0.981818181818181</v>
      </c>
      <c r="I7375" s="60">
        <v>0.644756254545454</v>
      </c>
      <c r="J7375" s="59">
        <v>0.0</v>
      </c>
      <c r="K7375" s="61">
        <f t="shared" si="1"/>
        <v>0</v>
      </c>
      <c r="L7375" s="62">
        <f t="shared" si="2"/>
        <v>0</v>
      </c>
    </row>
    <row r="7376">
      <c r="A7376" s="58">
        <v>45536.0</v>
      </c>
      <c r="B7376" s="24" t="s">
        <v>6789</v>
      </c>
      <c r="C7376" s="24" t="s">
        <v>6815</v>
      </c>
      <c r="D7376" s="59">
        <v>36.0</v>
      </c>
      <c r="E7376" s="59">
        <v>38.0</v>
      </c>
      <c r="F7376" s="59">
        <v>33.0</v>
      </c>
      <c r="G7376" s="60">
        <v>1.05555555555555</v>
      </c>
      <c r="H7376" s="60">
        <v>0.289473684210526</v>
      </c>
      <c r="I7376" s="60">
        <v>96.2686839736842</v>
      </c>
      <c r="J7376" s="59">
        <v>51.0</v>
      </c>
      <c r="K7376" s="61">
        <f t="shared" si="1"/>
        <v>0.8684210526</v>
      </c>
      <c r="L7376" s="62">
        <f t="shared" si="2"/>
        <v>1.342105263</v>
      </c>
    </row>
    <row r="7377">
      <c r="A7377" s="58">
        <v>45536.0</v>
      </c>
      <c r="B7377" s="24" t="s">
        <v>6790</v>
      </c>
      <c r="C7377" s="24" t="s">
        <v>6788</v>
      </c>
      <c r="D7377" s="59">
        <v>34.0</v>
      </c>
      <c r="E7377" s="59">
        <v>46.0</v>
      </c>
      <c r="F7377" s="59">
        <v>32.0</v>
      </c>
      <c r="G7377" s="60">
        <v>1.35294117647058</v>
      </c>
      <c r="H7377" s="60">
        <v>0.630434782608695</v>
      </c>
      <c r="I7377" s="60">
        <v>282.507605173913</v>
      </c>
      <c r="J7377" s="59">
        <v>101.0</v>
      </c>
      <c r="K7377" s="61">
        <f t="shared" si="1"/>
        <v>0.6956521739</v>
      </c>
      <c r="L7377" s="62">
        <f t="shared" si="2"/>
        <v>2.195652174</v>
      </c>
    </row>
    <row r="7378">
      <c r="A7378" s="58">
        <v>45536.0</v>
      </c>
      <c r="B7378" s="24" t="s">
        <v>6789</v>
      </c>
      <c r="C7378" s="24" t="s">
        <v>6808</v>
      </c>
      <c r="D7378" s="59">
        <v>30.0</v>
      </c>
      <c r="E7378" s="59">
        <v>34.0</v>
      </c>
      <c r="F7378" s="59">
        <v>20.0</v>
      </c>
      <c r="G7378" s="60">
        <v>1.17241379310344</v>
      </c>
      <c r="H7378" s="60">
        <v>0.529411764705882</v>
      </c>
      <c r="I7378" s="60">
        <v>145.005144441176</v>
      </c>
      <c r="J7378" s="59">
        <v>54.0</v>
      </c>
      <c r="K7378" s="61">
        <f t="shared" si="1"/>
        <v>0.5882352941</v>
      </c>
      <c r="L7378" s="62">
        <f t="shared" si="2"/>
        <v>1.588235294</v>
      </c>
    </row>
    <row r="7379">
      <c r="A7379" s="58">
        <v>45536.0</v>
      </c>
      <c r="B7379" s="24" t="s">
        <v>6787</v>
      </c>
      <c r="C7379" s="24" t="s">
        <v>6802</v>
      </c>
      <c r="D7379" s="59">
        <v>23.0</v>
      </c>
      <c r="E7379" s="59">
        <v>24.0</v>
      </c>
      <c r="F7379" s="59">
        <v>20.0</v>
      </c>
      <c r="G7379" s="60">
        <v>1.04347826086956</v>
      </c>
      <c r="H7379" s="60">
        <v>0.375</v>
      </c>
      <c r="I7379" s="60">
        <v>43.3615525416666</v>
      </c>
      <c r="J7379" s="59">
        <v>49.0</v>
      </c>
      <c r="K7379" s="61">
        <f t="shared" si="1"/>
        <v>0.8333333333</v>
      </c>
      <c r="L7379" s="62">
        <f t="shared" si="2"/>
        <v>2.041666667</v>
      </c>
    </row>
    <row r="7380">
      <c r="A7380" s="58">
        <v>45536.0</v>
      </c>
      <c r="B7380" s="24" t="s">
        <v>6794</v>
      </c>
      <c r="C7380" s="24" t="s">
        <v>6792</v>
      </c>
      <c r="D7380" s="59">
        <v>17.0</v>
      </c>
      <c r="E7380" s="59">
        <v>18.0</v>
      </c>
      <c r="F7380" s="59">
        <v>0.0</v>
      </c>
      <c r="G7380" s="60">
        <v>1.5</v>
      </c>
      <c r="H7380" s="60">
        <v>1.0</v>
      </c>
      <c r="I7380" s="60">
        <v>0.242623944444444</v>
      </c>
      <c r="J7380" s="59">
        <v>0.0</v>
      </c>
      <c r="K7380" s="61">
        <f t="shared" si="1"/>
        <v>0</v>
      </c>
      <c r="L7380" s="62">
        <f t="shared" si="2"/>
        <v>0</v>
      </c>
    </row>
    <row r="7381">
      <c r="A7381" s="58">
        <v>45536.0</v>
      </c>
      <c r="B7381" s="24" t="s">
        <v>155</v>
      </c>
      <c r="C7381" s="24" t="s">
        <v>6792</v>
      </c>
      <c r="D7381" s="59">
        <v>17.0</v>
      </c>
      <c r="E7381" s="59">
        <v>17.0</v>
      </c>
      <c r="F7381" s="59">
        <v>0.0</v>
      </c>
      <c r="G7381" s="60">
        <v>1.7</v>
      </c>
      <c r="H7381" s="60">
        <v>0.941176470588235</v>
      </c>
      <c r="I7381" s="60">
        <v>8.35331447058823</v>
      </c>
      <c r="J7381" s="59">
        <v>0.0</v>
      </c>
      <c r="K7381" s="61">
        <f t="shared" si="1"/>
        <v>0</v>
      </c>
      <c r="L7381" s="62">
        <f t="shared" si="2"/>
        <v>0</v>
      </c>
    </row>
    <row r="7382">
      <c r="A7382" s="58">
        <v>45536.0</v>
      </c>
      <c r="B7382" s="24" t="s">
        <v>6787</v>
      </c>
      <c r="C7382" s="24" t="s">
        <v>7068</v>
      </c>
      <c r="D7382" s="59">
        <v>16.0</v>
      </c>
      <c r="E7382" s="59">
        <v>17.0</v>
      </c>
      <c r="F7382" s="59">
        <v>15.0</v>
      </c>
      <c r="G7382" s="60">
        <v>1.0625</v>
      </c>
      <c r="H7382" s="60">
        <v>0.705882352941176</v>
      </c>
      <c r="I7382" s="60">
        <v>251.618966058823</v>
      </c>
      <c r="J7382" s="59">
        <v>18.0</v>
      </c>
      <c r="K7382" s="61">
        <f t="shared" si="1"/>
        <v>0.8823529412</v>
      </c>
      <c r="L7382" s="62">
        <f t="shared" si="2"/>
        <v>1.058823529</v>
      </c>
    </row>
    <row r="7383">
      <c r="A7383" s="58">
        <v>45536.0</v>
      </c>
      <c r="B7383" s="24" t="s">
        <v>6787</v>
      </c>
      <c r="C7383" s="24" t="s">
        <v>6799</v>
      </c>
      <c r="D7383" s="59">
        <v>15.0</v>
      </c>
      <c r="E7383" s="59">
        <v>16.0</v>
      </c>
      <c r="F7383" s="59">
        <v>12.0</v>
      </c>
      <c r="G7383" s="60">
        <v>1.14285714285714</v>
      </c>
      <c r="H7383" s="60">
        <v>0.6875</v>
      </c>
      <c r="I7383" s="60">
        <v>33.7604365625</v>
      </c>
      <c r="J7383" s="59">
        <v>18.0</v>
      </c>
      <c r="K7383" s="61">
        <f t="shared" si="1"/>
        <v>0.75</v>
      </c>
      <c r="L7383" s="62">
        <f t="shared" si="2"/>
        <v>1.125</v>
      </c>
    </row>
    <row r="7384">
      <c r="A7384" s="58">
        <v>45536.0</v>
      </c>
      <c r="B7384" s="24" t="s">
        <v>6794</v>
      </c>
      <c r="C7384" s="24" t="s">
        <v>7090</v>
      </c>
      <c r="D7384" s="59">
        <v>14.0</v>
      </c>
      <c r="E7384" s="59">
        <v>16.0</v>
      </c>
      <c r="F7384" s="59">
        <v>12.0</v>
      </c>
      <c r="G7384" s="60">
        <v>1.23076923076923</v>
      </c>
      <c r="H7384" s="60">
        <v>0.6875</v>
      </c>
      <c r="I7384" s="60">
        <v>100.138854125</v>
      </c>
      <c r="J7384" s="59">
        <v>18.0</v>
      </c>
      <c r="K7384" s="61">
        <f t="shared" si="1"/>
        <v>0.75</v>
      </c>
      <c r="L7384" s="62">
        <f t="shared" si="2"/>
        <v>1.125</v>
      </c>
    </row>
    <row r="7385">
      <c r="A7385" s="58">
        <v>45536.0</v>
      </c>
      <c r="B7385" s="24" t="s">
        <v>6787</v>
      </c>
      <c r="C7385" s="24" t="s">
        <v>7172</v>
      </c>
      <c r="D7385" s="59">
        <v>14.0</v>
      </c>
      <c r="E7385" s="59">
        <v>14.0</v>
      </c>
      <c r="F7385" s="59">
        <v>13.0</v>
      </c>
      <c r="G7385" s="60">
        <v>1.0</v>
      </c>
      <c r="H7385" s="60">
        <v>0.928571428571428</v>
      </c>
      <c r="I7385" s="60">
        <v>17.6064463571428</v>
      </c>
      <c r="J7385" s="59">
        <v>16.0</v>
      </c>
      <c r="K7385" s="61">
        <f t="shared" si="1"/>
        <v>0.9285714286</v>
      </c>
      <c r="L7385" s="62">
        <f t="shared" si="2"/>
        <v>1.142857143</v>
      </c>
    </row>
    <row r="7386">
      <c r="A7386" s="58">
        <v>45536.0</v>
      </c>
      <c r="B7386" s="24" t="s">
        <v>6787</v>
      </c>
      <c r="C7386" s="24" t="s">
        <v>6815</v>
      </c>
      <c r="D7386" s="59">
        <v>13.0</v>
      </c>
      <c r="E7386" s="59">
        <v>19.0</v>
      </c>
      <c r="F7386" s="59">
        <v>10.0</v>
      </c>
      <c r="G7386" s="60">
        <v>1.72727272727272</v>
      </c>
      <c r="H7386" s="60">
        <v>0.894736842105263</v>
      </c>
      <c r="I7386" s="60">
        <v>27.4981831578947</v>
      </c>
      <c r="J7386" s="59">
        <v>21.0</v>
      </c>
      <c r="K7386" s="61">
        <f t="shared" si="1"/>
        <v>0.5263157895</v>
      </c>
      <c r="L7386" s="62">
        <f t="shared" si="2"/>
        <v>1.105263158</v>
      </c>
    </row>
    <row r="7387">
      <c r="A7387" s="58">
        <v>45536.0</v>
      </c>
      <c r="B7387" s="24" t="s">
        <v>6789</v>
      </c>
      <c r="C7387" s="24" t="s">
        <v>6838</v>
      </c>
      <c r="D7387" s="59">
        <v>12.0</v>
      </c>
      <c r="E7387" s="59">
        <v>12.0</v>
      </c>
      <c r="F7387" s="59">
        <v>8.0</v>
      </c>
      <c r="G7387" s="60">
        <v>1.09090909090909</v>
      </c>
      <c r="H7387" s="60">
        <v>0.25</v>
      </c>
      <c r="I7387" s="60">
        <v>148.215613666666</v>
      </c>
      <c r="J7387" s="59">
        <v>15.0</v>
      </c>
      <c r="K7387" s="61">
        <f t="shared" si="1"/>
        <v>0.6666666667</v>
      </c>
      <c r="L7387" s="62">
        <f t="shared" si="2"/>
        <v>1.25</v>
      </c>
    </row>
    <row r="7388">
      <c r="A7388" s="58">
        <v>45536.0</v>
      </c>
      <c r="B7388" s="24" t="s">
        <v>155</v>
      </c>
      <c r="C7388" s="24" t="s">
        <v>6800</v>
      </c>
      <c r="D7388" s="59">
        <v>12.0</v>
      </c>
      <c r="E7388" s="59">
        <v>12.0</v>
      </c>
      <c r="F7388" s="59">
        <v>12.0</v>
      </c>
      <c r="G7388" s="60">
        <v>1.0</v>
      </c>
      <c r="H7388" s="60">
        <v>0.0833333333333333</v>
      </c>
      <c r="I7388" s="60">
        <v>34.25688575</v>
      </c>
      <c r="J7388" s="59">
        <v>22.0</v>
      </c>
      <c r="K7388" s="61">
        <f t="shared" si="1"/>
        <v>1</v>
      </c>
      <c r="L7388" s="62">
        <f t="shared" si="2"/>
        <v>1.833333333</v>
      </c>
    </row>
    <row r="7389">
      <c r="A7389" s="58">
        <v>45536.0</v>
      </c>
      <c r="B7389" s="24" t="s">
        <v>6789</v>
      </c>
      <c r="C7389" s="24" t="s">
        <v>6997</v>
      </c>
      <c r="D7389" s="59">
        <v>11.0</v>
      </c>
      <c r="E7389" s="59">
        <v>12.0</v>
      </c>
      <c r="F7389" s="59">
        <v>7.0</v>
      </c>
      <c r="G7389" s="60">
        <v>1.33333333333333</v>
      </c>
      <c r="H7389" s="60">
        <v>0.416666666666666</v>
      </c>
      <c r="I7389" s="60">
        <v>287.780763166666</v>
      </c>
      <c r="J7389" s="59">
        <v>13.0</v>
      </c>
      <c r="K7389" s="61">
        <f t="shared" si="1"/>
        <v>0.5833333333</v>
      </c>
      <c r="L7389" s="62">
        <f t="shared" si="2"/>
        <v>1.083333333</v>
      </c>
    </row>
    <row r="7390">
      <c r="A7390" s="58">
        <v>45536.0</v>
      </c>
      <c r="B7390" s="24" t="s">
        <v>6789</v>
      </c>
      <c r="C7390" s="24" t="s">
        <v>6892</v>
      </c>
      <c r="D7390" s="59">
        <v>11.0</v>
      </c>
      <c r="E7390" s="59">
        <v>11.0</v>
      </c>
      <c r="F7390" s="59">
        <v>10.0</v>
      </c>
      <c r="G7390" s="60">
        <v>1.0</v>
      </c>
      <c r="H7390" s="60">
        <v>0.272727272727272</v>
      </c>
      <c r="I7390" s="60">
        <v>181.306547</v>
      </c>
      <c r="J7390" s="59">
        <v>13.0</v>
      </c>
      <c r="K7390" s="61">
        <f t="shared" si="1"/>
        <v>0.9090909091</v>
      </c>
      <c r="L7390" s="62">
        <f t="shared" si="2"/>
        <v>1.181818182</v>
      </c>
    </row>
    <row r="7391">
      <c r="A7391" s="58">
        <v>45536.0</v>
      </c>
      <c r="B7391" s="24" t="s">
        <v>6787</v>
      </c>
      <c r="C7391" s="24" t="s">
        <v>6801</v>
      </c>
      <c r="D7391" s="59">
        <v>11.0</v>
      </c>
      <c r="E7391" s="59">
        <v>19.0</v>
      </c>
      <c r="F7391" s="59">
        <v>7.0</v>
      </c>
      <c r="G7391" s="60">
        <v>1.9</v>
      </c>
      <c r="H7391" s="60">
        <v>0.473684210526315</v>
      </c>
      <c r="I7391" s="60">
        <v>232.019309999999</v>
      </c>
      <c r="J7391" s="59">
        <v>40.0</v>
      </c>
      <c r="K7391" s="61">
        <f t="shared" si="1"/>
        <v>0.3684210526</v>
      </c>
      <c r="L7391" s="62">
        <f t="shared" si="2"/>
        <v>2.105263158</v>
      </c>
    </row>
    <row r="7392">
      <c r="A7392" s="58">
        <v>45536.0</v>
      </c>
      <c r="B7392" s="24" t="s">
        <v>6789</v>
      </c>
      <c r="C7392" s="24" t="s">
        <v>7180</v>
      </c>
      <c r="D7392" s="59">
        <v>11.0</v>
      </c>
      <c r="E7392" s="59">
        <v>13.0</v>
      </c>
      <c r="F7392" s="59">
        <v>10.0</v>
      </c>
      <c r="G7392" s="60">
        <v>1.18181818181818</v>
      </c>
      <c r="H7392" s="60">
        <v>0.615384615384615</v>
      </c>
      <c r="I7392" s="60">
        <v>162.269662153846</v>
      </c>
      <c r="J7392" s="59">
        <v>22.0</v>
      </c>
      <c r="K7392" s="61">
        <f t="shared" si="1"/>
        <v>0.7692307692</v>
      </c>
      <c r="L7392" s="62">
        <f t="shared" si="2"/>
        <v>1.692307692</v>
      </c>
    </row>
    <row r="7393">
      <c r="A7393" s="58">
        <v>45536.0</v>
      </c>
      <c r="B7393" s="24" t="s">
        <v>6789</v>
      </c>
      <c r="C7393" s="24" t="s">
        <v>6802</v>
      </c>
      <c r="D7393" s="59">
        <v>11.0</v>
      </c>
      <c r="E7393" s="59">
        <v>13.0</v>
      </c>
      <c r="F7393" s="59">
        <v>2.0</v>
      </c>
      <c r="G7393" s="60">
        <v>1.18181818181818</v>
      </c>
      <c r="H7393" s="60">
        <v>0.307692307692307</v>
      </c>
      <c r="I7393" s="60">
        <v>463.957654538461</v>
      </c>
      <c r="J7393" s="59">
        <v>36.0</v>
      </c>
      <c r="K7393" s="61">
        <f t="shared" si="1"/>
        <v>0.1538461538</v>
      </c>
      <c r="L7393" s="62">
        <f t="shared" si="2"/>
        <v>2.769230769</v>
      </c>
    </row>
    <row r="7394">
      <c r="A7394" s="58">
        <v>45536.0</v>
      </c>
      <c r="B7394" s="24" t="s">
        <v>6789</v>
      </c>
      <c r="C7394" s="24" t="s">
        <v>6803</v>
      </c>
      <c r="D7394" s="59">
        <v>10.0</v>
      </c>
      <c r="E7394" s="59">
        <v>10.0</v>
      </c>
      <c r="F7394" s="59">
        <v>9.0</v>
      </c>
      <c r="G7394" s="60">
        <v>1.11111111111111</v>
      </c>
      <c r="H7394" s="60">
        <v>0.2</v>
      </c>
      <c r="I7394" s="60">
        <v>112.7840348</v>
      </c>
      <c r="J7394" s="59">
        <v>16.0</v>
      </c>
      <c r="K7394" s="61">
        <f t="shared" si="1"/>
        <v>0.9</v>
      </c>
      <c r="L7394" s="62">
        <f t="shared" si="2"/>
        <v>1.6</v>
      </c>
    </row>
    <row r="7395">
      <c r="A7395" s="58">
        <v>45536.0</v>
      </c>
      <c r="B7395" s="24" t="s">
        <v>6789</v>
      </c>
      <c r="C7395" s="24" t="s">
        <v>7056</v>
      </c>
      <c r="D7395" s="59">
        <v>10.0</v>
      </c>
      <c r="E7395" s="59">
        <v>10.0</v>
      </c>
      <c r="F7395" s="59">
        <v>10.0</v>
      </c>
      <c r="G7395" s="60">
        <v>1.0</v>
      </c>
      <c r="H7395" s="60">
        <v>0.4</v>
      </c>
      <c r="I7395" s="60">
        <v>36.9140665</v>
      </c>
      <c r="J7395" s="59">
        <v>11.0</v>
      </c>
      <c r="K7395" s="61">
        <f t="shared" si="1"/>
        <v>1</v>
      </c>
      <c r="L7395" s="62">
        <f t="shared" si="2"/>
        <v>1.1</v>
      </c>
    </row>
    <row r="7396">
      <c r="A7396" s="58">
        <v>45536.0</v>
      </c>
      <c r="B7396" s="24" t="s">
        <v>6789</v>
      </c>
      <c r="C7396" s="24" t="s">
        <v>6835</v>
      </c>
      <c r="D7396" s="59">
        <v>10.0</v>
      </c>
      <c r="E7396" s="59">
        <v>11.0</v>
      </c>
      <c r="F7396" s="59">
        <v>9.0</v>
      </c>
      <c r="G7396" s="60">
        <v>1.1</v>
      </c>
      <c r="H7396" s="60">
        <v>0.363636363636363</v>
      </c>
      <c r="I7396" s="60">
        <v>44.5795183636363</v>
      </c>
      <c r="J7396" s="59">
        <v>12.0</v>
      </c>
      <c r="K7396" s="61">
        <f t="shared" si="1"/>
        <v>0.8181818182</v>
      </c>
      <c r="L7396" s="62">
        <f t="shared" si="2"/>
        <v>1.090909091</v>
      </c>
    </row>
    <row r="7397">
      <c r="A7397" s="58">
        <v>45536.0</v>
      </c>
      <c r="B7397" s="24" t="s">
        <v>6789</v>
      </c>
      <c r="C7397" s="24" t="s">
        <v>6910</v>
      </c>
      <c r="D7397" s="59">
        <v>10.0</v>
      </c>
      <c r="E7397" s="59">
        <v>10.0</v>
      </c>
      <c r="F7397" s="59">
        <v>6.0</v>
      </c>
      <c r="G7397" s="60">
        <v>1.11111111111111</v>
      </c>
      <c r="H7397" s="60">
        <v>0.3</v>
      </c>
      <c r="I7397" s="60">
        <v>140.9077335</v>
      </c>
      <c r="J7397" s="59">
        <v>20.0</v>
      </c>
      <c r="K7397" s="61">
        <f t="shared" si="1"/>
        <v>0.6</v>
      </c>
      <c r="L7397" s="62">
        <f t="shared" si="2"/>
        <v>2</v>
      </c>
    </row>
    <row r="7398">
      <c r="A7398" s="58">
        <v>45536.0</v>
      </c>
      <c r="B7398" s="24" t="s">
        <v>6789</v>
      </c>
      <c r="C7398" s="24" t="s">
        <v>7102</v>
      </c>
      <c r="D7398" s="59">
        <v>10.0</v>
      </c>
      <c r="E7398" s="59">
        <v>13.0</v>
      </c>
      <c r="F7398" s="59">
        <v>2.0</v>
      </c>
      <c r="G7398" s="60">
        <v>1.44444444444444</v>
      </c>
      <c r="H7398" s="60">
        <v>0.538461538461538</v>
      </c>
      <c r="I7398" s="60">
        <v>201.306678692307</v>
      </c>
      <c r="J7398" s="59">
        <v>26.0</v>
      </c>
      <c r="K7398" s="61">
        <f t="shared" si="1"/>
        <v>0.1538461538</v>
      </c>
      <c r="L7398" s="62">
        <f t="shared" si="2"/>
        <v>2</v>
      </c>
    </row>
    <row r="7399">
      <c r="A7399" s="58">
        <v>45536.0</v>
      </c>
      <c r="B7399" s="24" t="s">
        <v>6789</v>
      </c>
      <c r="C7399" s="24" t="s">
        <v>6819</v>
      </c>
      <c r="D7399" s="59">
        <v>9.0</v>
      </c>
      <c r="E7399" s="59">
        <v>9.0</v>
      </c>
      <c r="F7399" s="59">
        <v>7.0</v>
      </c>
      <c r="G7399" s="60">
        <v>1.125</v>
      </c>
      <c r="H7399" s="60">
        <v>0.333333333333333</v>
      </c>
      <c r="I7399" s="60">
        <v>234.186536333333</v>
      </c>
      <c r="J7399" s="59">
        <v>19.0</v>
      </c>
      <c r="K7399" s="61">
        <f t="shared" si="1"/>
        <v>0.7777777778</v>
      </c>
      <c r="L7399" s="62">
        <f t="shared" si="2"/>
        <v>2.111111111</v>
      </c>
    </row>
    <row r="7400">
      <c r="A7400" s="58">
        <v>45536.0</v>
      </c>
      <c r="B7400" s="24" t="s">
        <v>6790</v>
      </c>
      <c r="C7400" s="24" t="s">
        <v>6892</v>
      </c>
      <c r="D7400" s="59">
        <v>9.0</v>
      </c>
      <c r="E7400" s="59">
        <v>9.0</v>
      </c>
      <c r="F7400" s="59">
        <v>9.0</v>
      </c>
      <c r="G7400" s="60">
        <v>1.0</v>
      </c>
      <c r="H7400" s="60">
        <v>0.555555555555555</v>
      </c>
      <c r="I7400" s="60">
        <v>93.2331796666666</v>
      </c>
      <c r="J7400" s="59">
        <v>9.0</v>
      </c>
      <c r="K7400" s="61">
        <f t="shared" si="1"/>
        <v>1</v>
      </c>
      <c r="L7400" s="62">
        <f t="shared" si="2"/>
        <v>1</v>
      </c>
    </row>
    <row r="7401">
      <c r="A7401" s="58">
        <v>45536.0</v>
      </c>
      <c r="B7401" s="24" t="s">
        <v>6794</v>
      </c>
      <c r="C7401" s="24" t="s">
        <v>7158</v>
      </c>
      <c r="D7401" s="59">
        <v>9.0</v>
      </c>
      <c r="E7401" s="59">
        <v>9.0</v>
      </c>
      <c r="F7401" s="59">
        <v>9.0</v>
      </c>
      <c r="G7401" s="60">
        <v>1.0</v>
      </c>
      <c r="H7401" s="60">
        <v>0.777777777777777</v>
      </c>
      <c r="I7401" s="60">
        <v>216.020203444444</v>
      </c>
      <c r="J7401" s="59">
        <v>10.0</v>
      </c>
      <c r="K7401" s="61">
        <f t="shared" si="1"/>
        <v>1</v>
      </c>
      <c r="L7401" s="62">
        <f t="shared" si="2"/>
        <v>1.111111111</v>
      </c>
    </row>
    <row r="7402">
      <c r="A7402" s="58">
        <v>45536.0</v>
      </c>
      <c r="B7402" s="24" t="s">
        <v>6789</v>
      </c>
      <c r="C7402" s="24" t="s">
        <v>6797</v>
      </c>
      <c r="D7402" s="59">
        <v>9.0</v>
      </c>
      <c r="E7402" s="59">
        <v>10.0</v>
      </c>
      <c r="F7402" s="59">
        <v>1.0</v>
      </c>
      <c r="G7402" s="60">
        <v>1.11111111111111</v>
      </c>
      <c r="H7402" s="60">
        <v>0.5</v>
      </c>
      <c r="I7402" s="60">
        <v>649.805320199999</v>
      </c>
      <c r="J7402" s="59">
        <v>26.0</v>
      </c>
      <c r="K7402" s="61">
        <f t="shared" si="1"/>
        <v>0.1</v>
      </c>
      <c r="L7402" s="62">
        <f t="shared" si="2"/>
        <v>2.6</v>
      </c>
    </row>
    <row r="7403">
      <c r="A7403" s="58">
        <v>45536.0</v>
      </c>
      <c r="B7403" s="24" t="s">
        <v>6787</v>
      </c>
      <c r="C7403" s="24" t="s">
        <v>6804</v>
      </c>
      <c r="D7403" s="59">
        <v>8.0</v>
      </c>
      <c r="E7403" s="59">
        <v>9.0</v>
      </c>
      <c r="F7403" s="59">
        <v>8.0</v>
      </c>
      <c r="G7403" s="60">
        <v>1.125</v>
      </c>
      <c r="H7403" s="60">
        <v>0.888888888888888</v>
      </c>
      <c r="I7403" s="60">
        <v>10.3763382222222</v>
      </c>
      <c r="J7403" s="59">
        <v>10.0</v>
      </c>
      <c r="K7403" s="61">
        <f t="shared" si="1"/>
        <v>0.8888888889</v>
      </c>
      <c r="L7403" s="62">
        <f t="shared" si="2"/>
        <v>1.111111111</v>
      </c>
    </row>
    <row r="7404">
      <c r="A7404" s="58">
        <v>45536.0</v>
      </c>
      <c r="B7404" s="24" t="s">
        <v>6789</v>
      </c>
      <c r="C7404" s="24" t="s">
        <v>6829</v>
      </c>
      <c r="D7404" s="59">
        <v>8.0</v>
      </c>
      <c r="E7404" s="59">
        <v>9.0</v>
      </c>
      <c r="F7404" s="59">
        <v>8.0</v>
      </c>
      <c r="G7404" s="60">
        <v>1.125</v>
      </c>
      <c r="H7404" s="60">
        <v>0.444444444444444</v>
      </c>
      <c r="I7404" s="60">
        <v>162.791738</v>
      </c>
      <c r="J7404" s="59">
        <v>9.0</v>
      </c>
      <c r="K7404" s="61">
        <f t="shared" si="1"/>
        <v>0.8888888889</v>
      </c>
      <c r="L7404" s="62">
        <f t="shared" si="2"/>
        <v>1</v>
      </c>
    </row>
    <row r="7405">
      <c r="A7405" s="58">
        <v>45536.0</v>
      </c>
      <c r="B7405" s="24" t="s">
        <v>6789</v>
      </c>
      <c r="C7405" s="24" t="s">
        <v>7074</v>
      </c>
      <c r="D7405" s="59">
        <v>8.0</v>
      </c>
      <c r="E7405" s="59">
        <v>9.0</v>
      </c>
      <c r="F7405" s="59">
        <v>6.0</v>
      </c>
      <c r="G7405" s="60">
        <v>1.125</v>
      </c>
      <c r="H7405" s="60">
        <v>0.222222222222222</v>
      </c>
      <c r="I7405" s="60">
        <v>167.572033444444</v>
      </c>
      <c r="J7405" s="59">
        <v>23.0</v>
      </c>
      <c r="K7405" s="61">
        <f t="shared" si="1"/>
        <v>0.6666666667</v>
      </c>
      <c r="L7405" s="62">
        <f t="shared" si="2"/>
        <v>2.555555556</v>
      </c>
    </row>
    <row r="7406">
      <c r="A7406" s="58">
        <v>45536.0</v>
      </c>
      <c r="B7406" s="24" t="s">
        <v>6787</v>
      </c>
      <c r="C7406" s="24" t="s">
        <v>7195</v>
      </c>
      <c r="D7406" s="59">
        <v>8.0</v>
      </c>
      <c r="E7406" s="59">
        <v>17.0</v>
      </c>
      <c r="F7406" s="59">
        <v>2.0</v>
      </c>
      <c r="G7406" s="60">
        <v>2.42857142857142</v>
      </c>
      <c r="H7406" s="60">
        <v>0.176470588235294</v>
      </c>
      <c r="I7406" s="60">
        <v>502.525167705882</v>
      </c>
      <c r="J7406" s="59">
        <v>42.0</v>
      </c>
      <c r="K7406" s="61">
        <f t="shared" si="1"/>
        <v>0.1176470588</v>
      </c>
      <c r="L7406" s="62">
        <f t="shared" si="2"/>
        <v>2.470588235</v>
      </c>
    </row>
    <row r="7407">
      <c r="A7407" s="58">
        <v>45536.0</v>
      </c>
      <c r="B7407" s="24" t="s">
        <v>6787</v>
      </c>
      <c r="C7407" s="24" t="s">
        <v>6904</v>
      </c>
      <c r="D7407" s="59">
        <v>8.0</v>
      </c>
      <c r="E7407" s="59">
        <v>8.0</v>
      </c>
      <c r="F7407" s="59">
        <v>7.0</v>
      </c>
      <c r="G7407" s="60">
        <v>1.0</v>
      </c>
      <c r="H7407" s="60">
        <v>0.625</v>
      </c>
      <c r="I7407" s="60">
        <v>208.626316</v>
      </c>
      <c r="J7407" s="59">
        <v>10.0</v>
      </c>
      <c r="K7407" s="61">
        <f t="shared" si="1"/>
        <v>0.875</v>
      </c>
      <c r="L7407" s="62">
        <f t="shared" si="2"/>
        <v>1.25</v>
      </c>
    </row>
    <row r="7408">
      <c r="A7408" s="58">
        <v>45536.0</v>
      </c>
      <c r="B7408" s="24" t="s">
        <v>6789</v>
      </c>
      <c r="C7408" s="24" t="s">
        <v>7026</v>
      </c>
      <c r="D7408" s="59">
        <v>8.0</v>
      </c>
      <c r="E7408" s="59">
        <v>12.0</v>
      </c>
      <c r="F7408" s="59">
        <v>2.0</v>
      </c>
      <c r="G7408" s="60">
        <v>1.71428571428571</v>
      </c>
      <c r="H7408" s="60">
        <v>0.166666666666666</v>
      </c>
      <c r="I7408" s="60">
        <v>168.668655166666</v>
      </c>
      <c r="J7408" s="59">
        <v>38.0</v>
      </c>
      <c r="K7408" s="61">
        <f t="shared" si="1"/>
        <v>0.1666666667</v>
      </c>
      <c r="L7408" s="62">
        <f t="shared" si="2"/>
        <v>3.166666667</v>
      </c>
    </row>
    <row r="7409">
      <c r="A7409" s="58">
        <v>45536.0</v>
      </c>
      <c r="B7409" s="24" t="s">
        <v>6787</v>
      </c>
      <c r="C7409" s="24" t="s">
        <v>6822</v>
      </c>
      <c r="D7409" s="59">
        <v>7.0</v>
      </c>
      <c r="E7409" s="59">
        <v>7.0</v>
      </c>
      <c r="F7409" s="59">
        <v>6.0</v>
      </c>
      <c r="G7409" s="60">
        <v>1.0</v>
      </c>
      <c r="H7409" s="60">
        <v>0.571428571428571</v>
      </c>
      <c r="I7409" s="60">
        <v>67.5019937142857</v>
      </c>
      <c r="J7409" s="59">
        <v>9.0</v>
      </c>
      <c r="K7409" s="61">
        <f t="shared" si="1"/>
        <v>0.8571428571</v>
      </c>
      <c r="L7409" s="62">
        <f t="shared" si="2"/>
        <v>1.285714286</v>
      </c>
    </row>
    <row r="7410">
      <c r="A7410" s="58">
        <v>45536.0</v>
      </c>
      <c r="B7410" s="24" t="s">
        <v>6787</v>
      </c>
      <c r="C7410" s="24" t="s">
        <v>6841</v>
      </c>
      <c r="D7410" s="59">
        <v>7.0</v>
      </c>
      <c r="E7410" s="59">
        <v>19.0</v>
      </c>
      <c r="F7410" s="59">
        <v>3.0</v>
      </c>
      <c r="G7410" s="60">
        <v>2.71428571428571</v>
      </c>
      <c r="H7410" s="60">
        <v>0.368421052631578</v>
      </c>
      <c r="I7410" s="60">
        <v>154.374280157894</v>
      </c>
      <c r="J7410" s="59">
        <v>31.0</v>
      </c>
      <c r="K7410" s="61">
        <f t="shared" si="1"/>
        <v>0.1578947368</v>
      </c>
      <c r="L7410" s="62">
        <f t="shared" si="2"/>
        <v>1.631578947</v>
      </c>
    </row>
    <row r="7411">
      <c r="A7411" s="58">
        <v>45536.0</v>
      </c>
      <c r="B7411" s="24" t="s">
        <v>6794</v>
      </c>
      <c r="C7411" s="24" t="s">
        <v>7088</v>
      </c>
      <c r="D7411" s="59">
        <v>7.0</v>
      </c>
      <c r="E7411" s="59">
        <v>7.0</v>
      </c>
      <c r="F7411" s="59">
        <v>6.0</v>
      </c>
      <c r="G7411" s="60">
        <v>1.0</v>
      </c>
      <c r="H7411" s="60">
        <v>0.714285714285714</v>
      </c>
      <c r="I7411" s="60">
        <v>12.9131738571428</v>
      </c>
      <c r="J7411" s="59">
        <v>7.0</v>
      </c>
      <c r="K7411" s="61">
        <f t="shared" si="1"/>
        <v>0.8571428571</v>
      </c>
      <c r="L7411" s="62">
        <f t="shared" si="2"/>
        <v>1</v>
      </c>
    </row>
    <row r="7412">
      <c r="A7412" s="58">
        <v>45536.0</v>
      </c>
      <c r="B7412" s="24" t="s">
        <v>6787</v>
      </c>
      <c r="C7412" s="24" t="s">
        <v>6800</v>
      </c>
      <c r="D7412" s="59">
        <v>7.0</v>
      </c>
      <c r="E7412" s="59">
        <v>7.0</v>
      </c>
      <c r="F7412" s="59">
        <v>7.0</v>
      </c>
      <c r="G7412" s="60">
        <v>1.0</v>
      </c>
      <c r="H7412" s="60">
        <v>1.0</v>
      </c>
      <c r="I7412" s="60">
        <v>0.0</v>
      </c>
      <c r="J7412" s="59">
        <v>7.0</v>
      </c>
      <c r="K7412" s="61">
        <f t="shared" si="1"/>
        <v>1</v>
      </c>
      <c r="L7412" s="62">
        <f t="shared" si="2"/>
        <v>1</v>
      </c>
    </row>
    <row r="7413">
      <c r="A7413" s="58">
        <v>45536.0</v>
      </c>
      <c r="B7413" s="24" t="s">
        <v>6789</v>
      </c>
      <c r="C7413" s="24" t="s">
        <v>7107</v>
      </c>
      <c r="D7413" s="59">
        <v>7.0</v>
      </c>
      <c r="E7413" s="59">
        <v>7.0</v>
      </c>
      <c r="F7413" s="59">
        <v>1.0</v>
      </c>
      <c r="G7413" s="60">
        <v>1.75</v>
      </c>
      <c r="H7413" s="60">
        <v>0.714285714285714</v>
      </c>
      <c r="I7413" s="60">
        <v>25.4831702857142</v>
      </c>
      <c r="J7413" s="59">
        <v>10.0</v>
      </c>
      <c r="K7413" s="61">
        <f t="shared" si="1"/>
        <v>0.1428571429</v>
      </c>
      <c r="L7413" s="62">
        <f t="shared" si="2"/>
        <v>1.428571429</v>
      </c>
    </row>
    <row r="7414">
      <c r="A7414" s="58">
        <v>45536.0</v>
      </c>
      <c r="B7414" s="24" t="s">
        <v>6789</v>
      </c>
      <c r="C7414" s="24" t="s">
        <v>6922</v>
      </c>
      <c r="D7414" s="59">
        <v>7.0</v>
      </c>
      <c r="E7414" s="59">
        <v>8.0</v>
      </c>
      <c r="F7414" s="59">
        <v>4.0</v>
      </c>
      <c r="G7414" s="60">
        <v>1.14285714285714</v>
      </c>
      <c r="H7414" s="60">
        <v>0.625</v>
      </c>
      <c r="I7414" s="60">
        <v>21.243730125</v>
      </c>
      <c r="J7414" s="59">
        <v>11.0</v>
      </c>
      <c r="K7414" s="61">
        <f t="shared" si="1"/>
        <v>0.5</v>
      </c>
      <c r="L7414" s="62">
        <f t="shared" si="2"/>
        <v>1.375</v>
      </c>
    </row>
    <row r="7415">
      <c r="A7415" s="58">
        <v>45536.0</v>
      </c>
      <c r="B7415" s="24" t="s">
        <v>6787</v>
      </c>
      <c r="C7415" s="24" t="s">
        <v>6803</v>
      </c>
      <c r="D7415" s="59">
        <v>6.0</v>
      </c>
      <c r="E7415" s="59">
        <v>6.0</v>
      </c>
      <c r="F7415" s="59">
        <v>6.0</v>
      </c>
      <c r="G7415" s="60">
        <v>1.0</v>
      </c>
      <c r="H7415" s="60">
        <v>0.666666666666666</v>
      </c>
      <c r="I7415" s="60">
        <v>36.3549153333333</v>
      </c>
      <c r="J7415" s="59">
        <v>8.0</v>
      </c>
      <c r="K7415" s="61">
        <f t="shared" si="1"/>
        <v>1</v>
      </c>
      <c r="L7415" s="62">
        <f t="shared" si="2"/>
        <v>1.333333333</v>
      </c>
    </row>
    <row r="7416">
      <c r="A7416" s="58">
        <v>45536.0</v>
      </c>
      <c r="B7416" s="24" t="s">
        <v>6787</v>
      </c>
      <c r="C7416" s="24" t="s">
        <v>6817</v>
      </c>
      <c r="D7416" s="59">
        <v>6.0</v>
      </c>
      <c r="E7416" s="59">
        <v>6.0</v>
      </c>
      <c r="F7416" s="59">
        <v>5.0</v>
      </c>
      <c r="G7416" s="60">
        <v>1.0</v>
      </c>
      <c r="H7416" s="60">
        <v>0.833333333333333</v>
      </c>
      <c r="I7416" s="60">
        <v>1.43324433333333</v>
      </c>
      <c r="J7416" s="59">
        <v>7.0</v>
      </c>
      <c r="K7416" s="61">
        <f t="shared" si="1"/>
        <v>0.8333333333</v>
      </c>
      <c r="L7416" s="62">
        <f t="shared" si="2"/>
        <v>1.166666667</v>
      </c>
    </row>
    <row r="7417">
      <c r="A7417" s="58">
        <v>45536.0</v>
      </c>
      <c r="B7417" s="24" t="s">
        <v>6789</v>
      </c>
      <c r="C7417" s="24" t="s">
        <v>6822</v>
      </c>
      <c r="D7417" s="59">
        <v>6.0</v>
      </c>
      <c r="E7417" s="59">
        <v>6.0</v>
      </c>
      <c r="F7417" s="59">
        <v>1.0</v>
      </c>
      <c r="G7417" s="60">
        <v>1.0</v>
      </c>
      <c r="H7417" s="60">
        <v>0.333333333333333</v>
      </c>
      <c r="I7417" s="60">
        <v>414.798589</v>
      </c>
      <c r="J7417" s="59">
        <v>13.0</v>
      </c>
      <c r="K7417" s="61">
        <f t="shared" si="1"/>
        <v>0.1666666667</v>
      </c>
      <c r="L7417" s="62">
        <f t="shared" si="2"/>
        <v>2.166666667</v>
      </c>
    </row>
    <row r="7418">
      <c r="A7418" s="58">
        <v>45536.0</v>
      </c>
      <c r="B7418" s="24" t="s">
        <v>6787</v>
      </c>
      <c r="C7418" s="24" t="s">
        <v>7088</v>
      </c>
      <c r="D7418" s="59">
        <v>6.0</v>
      </c>
      <c r="E7418" s="59">
        <v>6.0</v>
      </c>
      <c r="F7418" s="59">
        <v>6.0</v>
      </c>
      <c r="G7418" s="60">
        <v>1.0</v>
      </c>
      <c r="H7418" s="60">
        <v>0.833333333333333</v>
      </c>
      <c r="I7418" s="60">
        <v>42.5024875</v>
      </c>
      <c r="J7418" s="59">
        <v>6.0</v>
      </c>
      <c r="K7418" s="61">
        <f t="shared" si="1"/>
        <v>1</v>
      </c>
      <c r="L7418" s="62">
        <f t="shared" si="2"/>
        <v>1</v>
      </c>
    </row>
    <row r="7419">
      <c r="A7419" s="58">
        <v>45536.0</v>
      </c>
      <c r="B7419" s="24" t="s">
        <v>6790</v>
      </c>
      <c r="C7419" s="24" t="s">
        <v>7107</v>
      </c>
      <c r="D7419" s="59">
        <v>6.0</v>
      </c>
      <c r="E7419" s="59">
        <v>7.0</v>
      </c>
      <c r="F7419" s="59">
        <v>5.0</v>
      </c>
      <c r="G7419" s="60">
        <v>1.16666666666666</v>
      </c>
      <c r="H7419" s="60">
        <v>0.857142857142857</v>
      </c>
      <c r="I7419" s="60">
        <v>60.5975675714285</v>
      </c>
      <c r="J7419" s="59">
        <v>9.0</v>
      </c>
      <c r="K7419" s="61">
        <f t="shared" si="1"/>
        <v>0.7142857143</v>
      </c>
      <c r="L7419" s="62">
        <f t="shared" si="2"/>
        <v>1.285714286</v>
      </c>
    </row>
    <row r="7420">
      <c r="A7420" s="58">
        <v>45536.0</v>
      </c>
      <c r="B7420" s="24" t="s">
        <v>6787</v>
      </c>
      <c r="C7420" s="24" t="s">
        <v>6922</v>
      </c>
      <c r="D7420" s="59">
        <v>6.0</v>
      </c>
      <c r="E7420" s="59">
        <v>6.0</v>
      </c>
      <c r="F7420" s="59">
        <v>5.0</v>
      </c>
      <c r="G7420" s="60">
        <v>1.2</v>
      </c>
      <c r="H7420" s="60">
        <v>1.0</v>
      </c>
      <c r="I7420" s="60">
        <v>0.967161166666666</v>
      </c>
      <c r="J7420" s="59">
        <v>6.0</v>
      </c>
      <c r="K7420" s="61">
        <f t="shared" si="1"/>
        <v>0.8333333333</v>
      </c>
      <c r="L7420" s="62">
        <f t="shared" si="2"/>
        <v>1</v>
      </c>
    </row>
    <row r="7421">
      <c r="A7421" s="58">
        <v>45536.0</v>
      </c>
      <c r="B7421" s="24" t="s">
        <v>6787</v>
      </c>
      <c r="C7421" s="24" t="s">
        <v>7024</v>
      </c>
      <c r="D7421" s="59">
        <v>5.0</v>
      </c>
      <c r="E7421" s="59">
        <v>5.0</v>
      </c>
      <c r="F7421" s="59">
        <v>5.0</v>
      </c>
      <c r="G7421" s="60">
        <v>1.0</v>
      </c>
      <c r="H7421" s="60">
        <v>0.6</v>
      </c>
      <c r="I7421" s="60">
        <v>20.3690733999999</v>
      </c>
      <c r="J7421" s="59">
        <v>5.0</v>
      </c>
      <c r="K7421" s="61">
        <f t="shared" si="1"/>
        <v>1</v>
      </c>
      <c r="L7421" s="62">
        <f t="shared" si="2"/>
        <v>1</v>
      </c>
    </row>
    <row r="7422">
      <c r="A7422" s="58">
        <v>45536.0</v>
      </c>
      <c r="B7422" s="24" t="s">
        <v>6787</v>
      </c>
      <c r="C7422" s="24" t="s">
        <v>6994</v>
      </c>
      <c r="D7422" s="59">
        <v>5.0</v>
      </c>
      <c r="E7422" s="59">
        <v>6.0</v>
      </c>
      <c r="F7422" s="59">
        <v>5.0</v>
      </c>
      <c r="G7422" s="60">
        <v>1.2</v>
      </c>
      <c r="H7422" s="60">
        <v>1.0</v>
      </c>
      <c r="I7422" s="60">
        <v>0.0</v>
      </c>
      <c r="J7422" s="59">
        <v>6.0</v>
      </c>
      <c r="K7422" s="61">
        <f t="shared" si="1"/>
        <v>0.8333333333</v>
      </c>
      <c r="L7422" s="62">
        <f t="shared" si="2"/>
        <v>1</v>
      </c>
    </row>
    <row r="7423">
      <c r="A7423" s="58">
        <v>45536.0</v>
      </c>
      <c r="B7423" s="24" t="s">
        <v>6787</v>
      </c>
      <c r="C7423" s="24" t="s">
        <v>6886</v>
      </c>
      <c r="D7423" s="59">
        <v>5.0</v>
      </c>
      <c r="E7423" s="59">
        <v>5.0</v>
      </c>
      <c r="F7423" s="59">
        <v>2.0</v>
      </c>
      <c r="G7423" s="60">
        <v>1.0</v>
      </c>
      <c r="H7423" s="60">
        <v>0.0</v>
      </c>
      <c r="I7423" s="60">
        <v>943.767443399999</v>
      </c>
      <c r="J7423" s="59">
        <v>13.0</v>
      </c>
      <c r="K7423" s="61">
        <f t="shared" si="1"/>
        <v>0.4</v>
      </c>
      <c r="L7423" s="62">
        <f t="shared" si="2"/>
        <v>2.6</v>
      </c>
    </row>
    <row r="7424">
      <c r="A7424" s="58">
        <v>45536.0</v>
      </c>
      <c r="B7424" s="24" t="s">
        <v>6787</v>
      </c>
      <c r="C7424" s="24" t="s">
        <v>6838</v>
      </c>
      <c r="D7424" s="59">
        <v>5.0</v>
      </c>
      <c r="E7424" s="59">
        <v>5.0</v>
      </c>
      <c r="F7424" s="59">
        <v>5.0</v>
      </c>
      <c r="G7424" s="60">
        <v>1.0</v>
      </c>
      <c r="H7424" s="60">
        <v>0.6</v>
      </c>
      <c r="I7424" s="60">
        <v>44.826588</v>
      </c>
      <c r="J7424" s="59">
        <v>5.0</v>
      </c>
      <c r="K7424" s="61">
        <f t="shared" si="1"/>
        <v>1</v>
      </c>
      <c r="L7424" s="62">
        <f t="shared" si="2"/>
        <v>1</v>
      </c>
    </row>
    <row r="7425">
      <c r="A7425" s="58">
        <v>45536.0</v>
      </c>
      <c r="B7425" s="24" t="s">
        <v>6787</v>
      </c>
      <c r="C7425" s="24" t="s">
        <v>6892</v>
      </c>
      <c r="D7425" s="59">
        <v>5.0</v>
      </c>
      <c r="E7425" s="59">
        <v>5.0</v>
      </c>
      <c r="F7425" s="59">
        <v>5.0</v>
      </c>
      <c r="G7425" s="60">
        <v>1.0</v>
      </c>
      <c r="H7425" s="60">
        <v>0.4</v>
      </c>
      <c r="I7425" s="60">
        <v>54.7613905999999</v>
      </c>
      <c r="J7425" s="59">
        <v>5.0</v>
      </c>
      <c r="K7425" s="61">
        <f t="shared" si="1"/>
        <v>1</v>
      </c>
      <c r="L7425" s="62">
        <f t="shared" si="2"/>
        <v>1</v>
      </c>
    </row>
    <row r="7426">
      <c r="A7426" s="58">
        <v>45536.0</v>
      </c>
      <c r="B7426" s="24" t="s">
        <v>6789</v>
      </c>
      <c r="C7426" s="24" t="s">
        <v>6800</v>
      </c>
      <c r="D7426" s="59">
        <v>5.0</v>
      </c>
      <c r="E7426" s="59">
        <v>6.0</v>
      </c>
      <c r="F7426" s="59">
        <v>3.0</v>
      </c>
      <c r="G7426" s="60">
        <v>1.2</v>
      </c>
      <c r="H7426" s="60">
        <v>0.166666666666666</v>
      </c>
      <c r="I7426" s="60">
        <v>621.989387</v>
      </c>
      <c r="J7426" s="59">
        <v>12.0</v>
      </c>
      <c r="K7426" s="61">
        <f t="shared" si="1"/>
        <v>0.5</v>
      </c>
      <c r="L7426" s="62">
        <f t="shared" si="2"/>
        <v>2</v>
      </c>
    </row>
    <row r="7427">
      <c r="A7427" s="58">
        <v>45536.0</v>
      </c>
      <c r="B7427" s="24" t="s">
        <v>6789</v>
      </c>
      <c r="C7427" s="24" t="s">
        <v>6908</v>
      </c>
      <c r="D7427" s="59">
        <v>5.0</v>
      </c>
      <c r="E7427" s="59">
        <v>6.0</v>
      </c>
      <c r="F7427" s="59">
        <v>0.0</v>
      </c>
      <c r="G7427" s="60">
        <v>1.5</v>
      </c>
      <c r="H7427" s="60">
        <v>0.666666666666666</v>
      </c>
      <c r="I7427" s="60">
        <v>174.106441666666</v>
      </c>
      <c r="J7427" s="59">
        <v>11.0</v>
      </c>
      <c r="K7427" s="61">
        <f t="shared" si="1"/>
        <v>0</v>
      </c>
      <c r="L7427" s="62">
        <f t="shared" si="2"/>
        <v>1.833333333</v>
      </c>
    </row>
    <row r="7428">
      <c r="A7428" s="58">
        <v>45536.0</v>
      </c>
      <c r="B7428" s="24" t="s">
        <v>6789</v>
      </c>
      <c r="C7428" s="24" t="s">
        <v>7172</v>
      </c>
      <c r="D7428" s="59">
        <v>5.0</v>
      </c>
      <c r="E7428" s="59">
        <v>5.0</v>
      </c>
      <c r="F7428" s="59">
        <v>4.0</v>
      </c>
      <c r="G7428" s="60">
        <v>1.0</v>
      </c>
      <c r="H7428" s="60">
        <v>0.2</v>
      </c>
      <c r="I7428" s="60">
        <v>743.2608044</v>
      </c>
      <c r="J7428" s="59">
        <v>21.0</v>
      </c>
      <c r="K7428" s="61">
        <f t="shared" si="1"/>
        <v>0.8</v>
      </c>
      <c r="L7428" s="62">
        <f t="shared" si="2"/>
        <v>4.2</v>
      </c>
    </row>
    <row r="7429">
      <c r="A7429" s="58">
        <v>45536.0</v>
      </c>
      <c r="B7429" s="24" t="s">
        <v>6787</v>
      </c>
      <c r="C7429" s="24" t="s">
        <v>7313</v>
      </c>
      <c r="D7429" s="59">
        <v>5.0</v>
      </c>
      <c r="E7429" s="59">
        <v>6.0</v>
      </c>
      <c r="F7429" s="59">
        <v>4.0</v>
      </c>
      <c r="G7429" s="60">
        <v>1.2</v>
      </c>
      <c r="H7429" s="60">
        <v>0.666666666666666</v>
      </c>
      <c r="I7429" s="60">
        <v>66.9224616666666</v>
      </c>
      <c r="J7429" s="59">
        <v>8.0</v>
      </c>
      <c r="K7429" s="61">
        <f t="shared" si="1"/>
        <v>0.6666666667</v>
      </c>
      <c r="L7429" s="62">
        <f t="shared" si="2"/>
        <v>1.333333333</v>
      </c>
    </row>
    <row r="7430">
      <c r="A7430" s="58">
        <v>45536.0</v>
      </c>
      <c r="B7430" s="24" t="s">
        <v>6789</v>
      </c>
      <c r="C7430" s="24" t="s">
        <v>6801</v>
      </c>
      <c r="D7430" s="59">
        <v>5.0</v>
      </c>
      <c r="E7430" s="59">
        <v>6.0</v>
      </c>
      <c r="F7430" s="59">
        <v>0.0</v>
      </c>
      <c r="G7430" s="60">
        <v>1.2</v>
      </c>
      <c r="H7430" s="60">
        <v>0.666666666666666</v>
      </c>
      <c r="I7430" s="60">
        <v>278.092482333333</v>
      </c>
      <c r="J7430" s="59">
        <v>15.0</v>
      </c>
      <c r="K7430" s="61">
        <f t="shared" si="1"/>
        <v>0</v>
      </c>
      <c r="L7430" s="62">
        <f t="shared" si="2"/>
        <v>2.5</v>
      </c>
    </row>
    <row r="7431">
      <c r="A7431" s="58">
        <v>45536.0</v>
      </c>
      <c r="B7431" s="24" t="s">
        <v>6789</v>
      </c>
      <c r="C7431" s="24" t="s">
        <v>7023</v>
      </c>
      <c r="D7431" s="59">
        <v>5.0</v>
      </c>
      <c r="E7431" s="59">
        <v>5.0</v>
      </c>
      <c r="F7431" s="59">
        <v>1.0</v>
      </c>
      <c r="G7431" s="60">
        <v>1.0</v>
      </c>
      <c r="H7431" s="60">
        <v>0.0</v>
      </c>
      <c r="I7431" s="60">
        <v>102.5200538</v>
      </c>
      <c r="J7431" s="59">
        <v>17.0</v>
      </c>
      <c r="K7431" s="61">
        <f t="shared" si="1"/>
        <v>0.2</v>
      </c>
      <c r="L7431" s="62">
        <f t="shared" si="2"/>
        <v>3.4</v>
      </c>
    </row>
    <row r="7432">
      <c r="A7432" s="58">
        <v>45536.0</v>
      </c>
      <c r="B7432" s="24" t="s">
        <v>6787</v>
      </c>
      <c r="C7432" s="24" t="s">
        <v>7107</v>
      </c>
      <c r="D7432" s="59">
        <v>5.0</v>
      </c>
      <c r="E7432" s="59">
        <v>6.0</v>
      </c>
      <c r="F7432" s="59">
        <v>5.0</v>
      </c>
      <c r="G7432" s="60">
        <v>1.2</v>
      </c>
      <c r="H7432" s="60">
        <v>0.666666666666666</v>
      </c>
      <c r="I7432" s="60">
        <v>12.9320233333333</v>
      </c>
      <c r="J7432" s="59">
        <v>8.0</v>
      </c>
      <c r="K7432" s="61">
        <f t="shared" si="1"/>
        <v>0.8333333333</v>
      </c>
      <c r="L7432" s="62">
        <f t="shared" si="2"/>
        <v>1.333333333</v>
      </c>
    </row>
    <row r="7433">
      <c r="A7433" s="58">
        <v>45536.0</v>
      </c>
      <c r="B7433" s="24" t="s">
        <v>6790</v>
      </c>
      <c r="C7433" s="24" t="s">
        <v>6792</v>
      </c>
      <c r="D7433" s="59">
        <v>4.0</v>
      </c>
      <c r="E7433" s="59">
        <v>4.0</v>
      </c>
      <c r="F7433" s="59">
        <v>0.0</v>
      </c>
      <c r="G7433" s="60">
        <v>1.0</v>
      </c>
      <c r="H7433" s="60">
        <v>1.0</v>
      </c>
      <c r="I7433" s="60">
        <v>2.390787</v>
      </c>
      <c r="J7433" s="59">
        <v>0.0</v>
      </c>
      <c r="K7433" s="61">
        <f t="shared" si="1"/>
        <v>0</v>
      </c>
      <c r="L7433" s="62">
        <f t="shared" si="2"/>
        <v>0</v>
      </c>
    </row>
    <row r="7434">
      <c r="A7434" s="58">
        <v>45536.0</v>
      </c>
      <c r="B7434" s="24" t="s">
        <v>6789</v>
      </c>
      <c r="C7434" s="24" t="s">
        <v>6986</v>
      </c>
      <c r="D7434" s="59">
        <v>4.0</v>
      </c>
      <c r="E7434" s="59">
        <v>4.0</v>
      </c>
      <c r="F7434" s="59">
        <v>4.0</v>
      </c>
      <c r="G7434" s="60">
        <v>1.0</v>
      </c>
      <c r="H7434" s="60">
        <v>0.25</v>
      </c>
      <c r="I7434" s="60">
        <v>712.6554885</v>
      </c>
      <c r="J7434" s="59">
        <v>5.0</v>
      </c>
      <c r="K7434" s="61">
        <f t="shared" si="1"/>
        <v>1</v>
      </c>
      <c r="L7434" s="62">
        <f t="shared" si="2"/>
        <v>1.25</v>
      </c>
    </row>
    <row r="7435">
      <c r="A7435" s="58">
        <v>45536.0</v>
      </c>
      <c r="B7435" s="24" t="s">
        <v>6790</v>
      </c>
      <c r="C7435" s="24" t="s">
        <v>6823</v>
      </c>
      <c r="D7435" s="59">
        <v>4.0</v>
      </c>
      <c r="E7435" s="59">
        <v>4.0</v>
      </c>
      <c r="F7435" s="59">
        <v>4.0</v>
      </c>
      <c r="G7435" s="60">
        <v>1.0</v>
      </c>
      <c r="H7435" s="60">
        <v>0.75</v>
      </c>
      <c r="I7435" s="60">
        <v>2.751259</v>
      </c>
      <c r="J7435" s="59">
        <v>4.0</v>
      </c>
      <c r="K7435" s="61">
        <f t="shared" si="1"/>
        <v>1</v>
      </c>
      <c r="L7435" s="62">
        <f t="shared" si="2"/>
        <v>1</v>
      </c>
    </row>
    <row r="7436">
      <c r="A7436" s="58">
        <v>45536.0</v>
      </c>
      <c r="B7436" s="24" t="s">
        <v>6789</v>
      </c>
      <c r="C7436" s="24" t="s">
        <v>6904</v>
      </c>
      <c r="D7436" s="59">
        <v>4.0</v>
      </c>
      <c r="E7436" s="59">
        <v>4.0</v>
      </c>
      <c r="F7436" s="59">
        <v>0.0</v>
      </c>
      <c r="G7436" s="60">
        <v>1.0</v>
      </c>
      <c r="H7436" s="60">
        <v>0.25</v>
      </c>
      <c r="I7436" s="60">
        <v>179.1824435</v>
      </c>
      <c r="J7436" s="59">
        <v>8.0</v>
      </c>
      <c r="K7436" s="61">
        <f t="shared" si="1"/>
        <v>0</v>
      </c>
      <c r="L7436" s="62">
        <f t="shared" si="2"/>
        <v>2</v>
      </c>
    </row>
    <row r="7437">
      <c r="A7437" s="58">
        <v>45536.0</v>
      </c>
      <c r="B7437" s="24" t="s">
        <v>6787</v>
      </c>
      <c r="C7437" s="24" t="s">
        <v>7527</v>
      </c>
      <c r="D7437" s="59">
        <v>4.0</v>
      </c>
      <c r="E7437" s="59">
        <v>4.0</v>
      </c>
      <c r="F7437" s="59">
        <v>0.0</v>
      </c>
      <c r="G7437" s="60">
        <v>1.0</v>
      </c>
      <c r="H7437" s="60">
        <v>0.0</v>
      </c>
      <c r="I7437" s="60">
        <v>1992.72277199999</v>
      </c>
      <c r="J7437" s="59">
        <v>75.0</v>
      </c>
      <c r="K7437" s="61">
        <f t="shared" si="1"/>
        <v>0</v>
      </c>
      <c r="L7437" s="62">
        <f t="shared" si="2"/>
        <v>18.75</v>
      </c>
    </row>
    <row r="7438">
      <c r="A7438" s="58">
        <v>45536.0</v>
      </c>
      <c r="B7438" s="24" t="s">
        <v>6787</v>
      </c>
      <c r="C7438" s="24" t="s">
        <v>6808</v>
      </c>
      <c r="D7438" s="59">
        <v>4.0</v>
      </c>
      <c r="E7438" s="59">
        <v>4.0</v>
      </c>
      <c r="F7438" s="59">
        <v>4.0</v>
      </c>
      <c r="G7438" s="60">
        <v>1.0</v>
      </c>
      <c r="H7438" s="60">
        <v>0.5</v>
      </c>
      <c r="I7438" s="60">
        <v>21.720446</v>
      </c>
      <c r="J7438" s="59">
        <v>4.0</v>
      </c>
      <c r="K7438" s="61">
        <f t="shared" si="1"/>
        <v>1</v>
      </c>
      <c r="L7438" s="62">
        <f t="shared" si="2"/>
        <v>1</v>
      </c>
    </row>
    <row r="7439">
      <c r="A7439" s="58">
        <v>45536.0</v>
      </c>
      <c r="B7439" s="24" t="s">
        <v>6787</v>
      </c>
      <c r="C7439" s="24" t="s">
        <v>7087</v>
      </c>
      <c r="D7439" s="59">
        <v>4.0</v>
      </c>
      <c r="E7439" s="59">
        <v>4.0</v>
      </c>
      <c r="F7439" s="59">
        <v>4.0</v>
      </c>
      <c r="G7439" s="60">
        <v>1.0</v>
      </c>
      <c r="H7439" s="60">
        <v>1.0</v>
      </c>
      <c r="I7439" s="60">
        <v>0.43229075</v>
      </c>
      <c r="J7439" s="59">
        <v>4.0</v>
      </c>
      <c r="K7439" s="61">
        <f t="shared" si="1"/>
        <v>1</v>
      </c>
      <c r="L7439" s="62">
        <f t="shared" si="2"/>
        <v>1</v>
      </c>
    </row>
    <row r="7440">
      <c r="A7440" s="58">
        <v>45536.0</v>
      </c>
      <c r="B7440" s="24" t="s">
        <v>6794</v>
      </c>
      <c r="C7440" s="24" t="s">
        <v>7160</v>
      </c>
      <c r="D7440" s="59">
        <v>4.0</v>
      </c>
      <c r="E7440" s="59">
        <v>4.0</v>
      </c>
      <c r="F7440" s="59">
        <v>3.0</v>
      </c>
      <c r="G7440" s="60">
        <v>1.0</v>
      </c>
      <c r="H7440" s="60">
        <v>0.5</v>
      </c>
      <c r="I7440" s="60">
        <v>348.886996499999</v>
      </c>
      <c r="J7440" s="59">
        <v>5.0</v>
      </c>
      <c r="K7440" s="61">
        <f t="shared" si="1"/>
        <v>0.75</v>
      </c>
      <c r="L7440" s="62">
        <f t="shared" si="2"/>
        <v>1.25</v>
      </c>
    </row>
    <row r="7441">
      <c r="A7441" s="58">
        <v>45536.0</v>
      </c>
      <c r="B7441" s="24" t="s">
        <v>6787</v>
      </c>
      <c r="C7441" s="24" t="s">
        <v>6908</v>
      </c>
      <c r="D7441" s="59">
        <v>4.0</v>
      </c>
      <c r="E7441" s="59">
        <v>6.0</v>
      </c>
      <c r="F7441" s="59">
        <v>1.0</v>
      </c>
      <c r="G7441" s="60">
        <v>3.0</v>
      </c>
      <c r="H7441" s="60">
        <v>0.666666666666666</v>
      </c>
      <c r="I7441" s="60">
        <v>17.6172246666666</v>
      </c>
      <c r="J7441" s="59">
        <v>8.0</v>
      </c>
      <c r="K7441" s="61">
        <f t="shared" si="1"/>
        <v>0.1666666667</v>
      </c>
      <c r="L7441" s="62">
        <f t="shared" si="2"/>
        <v>1.333333333</v>
      </c>
    </row>
    <row r="7442">
      <c r="A7442" s="58">
        <v>45536.0</v>
      </c>
      <c r="B7442" s="24" t="s">
        <v>6787</v>
      </c>
      <c r="C7442" s="24" t="s">
        <v>7102</v>
      </c>
      <c r="D7442" s="59">
        <v>4.0</v>
      </c>
      <c r="E7442" s="59">
        <v>4.0</v>
      </c>
      <c r="F7442" s="59">
        <v>3.0</v>
      </c>
      <c r="G7442" s="60">
        <v>1.33333333333333</v>
      </c>
      <c r="H7442" s="60">
        <v>1.0</v>
      </c>
      <c r="I7442" s="60">
        <v>0.0</v>
      </c>
      <c r="J7442" s="59">
        <v>4.0</v>
      </c>
      <c r="K7442" s="61">
        <f t="shared" si="1"/>
        <v>0.75</v>
      </c>
      <c r="L7442" s="62">
        <f t="shared" si="2"/>
        <v>1</v>
      </c>
    </row>
    <row r="7443">
      <c r="A7443" s="58">
        <v>45536.0</v>
      </c>
      <c r="B7443" s="24" t="s">
        <v>6789</v>
      </c>
      <c r="C7443" s="24" t="s">
        <v>7104</v>
      </c>
      <c r="D7443" s="59">
        <v>4.0</v>
      </c>
      <c r="E7443" s="59">
        <v>5.0</v>
      </c>
      <c r="F7443" s="59">
        <v>4.0</v>
      </c>
      <c r="G7443" s="60">
        <v>1.25</v>
      </c>
      <c r="H7443" s="60">
        <v>0.6</v>
      </c>
      <c r="I7443" s="60">
        <v>274.07349</v>
      </c>
      <c r="J7443" s="59">
        <v>15.0</v>
      </c>
      <c r="K7443" s="61">
        <f t="shared" si="1"/>
        <v>0.8</v>
      </c>
      <c r="L7443" s="62">
        <f t="shared" si="2"/>
        <v>3</v>
      </c>
    </row>
    <row r="7444">
      <c r="A7444" s="58">
        <v>45536.0</v>
      </c>
      <c r="B7444" s="24" t="s">
        <v>6787</v>
      </c>
      <c r="C7444" s="24" t="s">
        <v>6921</v>
      </c>
      <c r="D7444" s="59">
        <v>4.0</v>
      </c>
      <c r="E7444" s="59">
        <v>4.0</v>
      </c>
      <c r="F7444" s="59">
        <v>2.0</v>
      </c>
      <c r="G7444" s="60">
        <v>1.33333333333333</v>
      </c>
      <c r="H7444" s="60">
        <v>0.5</v>
      </c>
      <c r="I7444" s="60">
        <v>178.970763</v>
      </c>
      <c r="J7444" s="59">
        <v>5.0</v>
      </c>
      <c r="K7444" s="61">
        <f t="shared" si="1"/>
        <v>0.5</v>
      </c>
      <c r="L7444" s="62">
        <f t="shared" si="2"/>
        <v>1.25</v>
      </c>
    </row>
    <row r="7445">
      <c r="A7445" s="58">
        <v>45536.0</v>
      </c>
      <c r="B7445" s="24" t="s">
        <v>6789</v>
      </c>
      <c r="C7445" s="24" t="s">
        <v>6861</v>
      </c>
      <c r="D7445" s="59">
        <v>3.0</v>
      </c>
      <c r="E7445" s="59">
        <v>3.0</v>
      </c>
      <c r="F7445" s="59">
        <v>3.0</v>
      </c>
      <c r="G7445" s="60">
        <v>1.0</v>
      </c>
      <c r="H7445" s="60">
        <v>0.666666666666666</v>
      </c>
      <c r="I7445" s="60">
        <v>16.1232213333333</v>
      </c>
      <c r="J7445" s="59">
        <v>5.0</v>
      </c>
      <c r="K7445" s="61">
        <f t="shared" si="1"/>
        <v>1</v>
      </c>
      <c r="L7445" s="62">
        <f t="shared" si="2"/>
        <v>1.666666667</v>
      </c>
    </row>
    <row r="7446">
      <c r="A7446" s="58">
        <v>45536.0</v>
      </c>
      <c r="B7446" s="24" t="s">
        <v>6789</v>
      </c>
      <c r="C7446" s="24" t="s">
        <v>7061</v>
      </c>
      <c r="D7446" s="59">
        <v>3.0</v>
      </c>
      <c r="E7446" s="59">
        <v>3.0</v>
      </c>
      <c r="F7446" s="59">
        <v>1.0</v>
      </c>
      <c r="G7446" s="60">
        <v>1.0</v>
      </c>
      <c r="H7446" s="60">
        <v>0.0</v>
      </c>
      <c r="I7446" s="60">
        <v>978.355608666666</v>
      </c>
      <c r="J7446" s="59">
        <v>22.0</v>
      </c>
      <c r="K7446" s="61">
        <f t="shared" si="1"/>
        <v>0.3333333333</v>
      </c>
      <c r="L7446" s="62">
        <f t="shared" si="2"/>
        <v>7.333333333</v>
      </c>
    </row>
    <row r="7447">
      <c r="A7447" s="58">
        <v>45536.0</v>
      </c>
      <c r="B7447" s="24" t="s">
        <v>6789</v>
      </c>
      <c r="C7447" s="24" t="s">
        <v>7064</v>
      </c>
      <c r="D7447" s="59">
        <v>3.0</v>
      </c>
      <c r="E7447" s="59">
        <v>3.0</v>
      </c>
      <c r="F7447" s="59">
        <v>2.0</v>
      </c>
      <c r="G7447" s="60">
        <v>1.0</v>
      </c>
      <c r="H7447" s="60">
        <v>0.666666666666666</v>
      </c>
      <c r="I7447" s="60">
        <v>5.19583966666666</v>
      </c>
      <c r="J7447" s="59">
        <v>4.0</v>
      </c>
      <c r="K7447" s="61">
        <f t="shared" si="1"/>
        <v>0.6666666667</v>
      </c>
      <c r="L7447" s="62">
        <f t="shared" si="2"/>
        <v>1.333333333</v>
      </c>
    </row>
    <row r="7448">
      <c r="A7448" s="58">
        <v>45536.0</v>
      </c>
      <c r="B7448" s="24" t="s">
        <v>6789</v>
      </c>
      <c r="C7448" s="24" t="s">
        <v>6994</v>
      </c>
      <c r="D7448" s="59">
        <v>3.0</v>
      </c>
      <c r="E7448" s="59">
        <v>3.0</v>
      </c>
      <c r="F7448" s="59">
        <v>3.0</v>
      </c>
      <c r="G7448" s="60">
        <v>1.0</v>
      </c>
      <c r="H7448" s="60">
        <v>0.0</v>
      </c>
      <c r="I7448" s="60">
        <v>199.274116</v>
      </c>
      <c r="J7448" s="59">
        <v>8.0</v>
      </c>
      <c r="K7448" s="61">
        <f t="shared" si="1"/>
        <v>1</v>
      </c>
      <c r="L7448" s="62">
        <f t="shared" si="2"/>
        <v>2.666666667</v>
      </c>
    </row>
    <row r="7449">
      <c r="A7449" s="58">
        <v>45536.0</v>
      </c>
      <c r="B7449" s="24" t="s">
        <v>6787</v>
      </c>
      <c r="C7449" s="24" t="s">
        <v>6820</v>
      </c>
      <c r="D7449" s="59">
        <v>3.0</v>
      </c>
      <c r="E7449" s="59">
        <v>3.0</v>
      </c>
      <c r="F7449" s="59">
        <v>3.0</v>
      </c>
      <c r="G7449" s="60">
        <v>1.0</v>
      </c>
      <c r="H7449" s="60">
        <v>0.666666666666666</v>
      </c>
      <c r="I7449" s="60">
        <v>28.5113343333333</v>
      </c>
      <c r="J7449" s="59">
        <v>6.0</v>
      </c>
      <c r="K7449" s="61">
        <f t="shared" si="1"/>
        <v>1</v>
      </c>
      <c r="L7449" s="62">
        <f t="shared" si="2"/>
        <v>2</v>
      </c>
    </row>
    <row r="7450">
      <c r="A7450" s="58">
        <v>45536.0</v>
      </c>
      <c r="B7450" s="24" t="s">
        <v>6787</v>
      </c>
      <c r="C7450" s="24" t="s">
        <v>6840</v>
      </c>
      <c r="D7450" s="59">
        <v>3.0</v>
      </c>
      <c r="E7450" s="59">
        <v>7.0</v>
      </c>
      <c r="F7450" s="59">
        <v>2.0</v>
      </c>
      <c r="G7450" s="60">
        <v>3.5</v>
      </c>
      <c r="H7450" s="60">
        <v>0.714285714285714</v>
      </c>
      <c r="I7450" s="60">
        <v>72.6684952857142</v>
      </c>
      <c r="J7450" s="59">
        <v>8.0</v>
      </c>
      <c r="K7450" s="61">
        <f t="shared" si="1"/>
        <v>0.2857142857</v>
      </c>
      <c r="L7450" s="62">
        <f t="shared" si="2"/>
        <v>1.142857143</v>
      </c>
    </row>
    <row r="7451">
      <c r="A7451" s="58">
        <v>45536.0</v>
      </c>
      <c r="B7451" s="24" t="s">
        <v>6789</v>
      </c>
      <c r="C7451" s="24" t="s">
        <v>6840</v>
      </c>
      <c r="D7451" s="59">
        <v>3.0</v>
      </c>
      <c r="E7451" s="59">
        <v>4.0</v>
      </c>
      <c r="F7451" s="59">
        <v>0.0</v>
      </c>
      <c r="G7451" s="60">
        <v>1.33333333333333</v>
      </c>
      <c r="H7451" s="60">
        <v>0.0</v>
      </c>
      <c r="I7451" s="60">
        <v>252.614278499999</v>
      </c>
      <c r="J7451" s="59">
        <v>7.0</v>
      </c>
      <c r="K7451" s="61">
        <f t="shared" si="1"/>
        <v>0</v>
      </c>
      <c r="L7451" s="62">
        <f t="shared" si="2"/>
        <v>1.75</v>
      </c>
    </row>
    <row r="7452">
      <c r="A7452" s="58">
        <v>45536.0</v>
      </c>
      <c r="B7452" s="24" t="s">
        <v>6787</v>
      </c>
      <c r="C7452" s="24" t="s">
        <v>7438</v>
      </c>
      <c r="D7452" s="59">
        <v>3.0</v>
      </c>
      <c r="E7452" s="59">
        <v>3.0</v>
      </c>
      <c r="F7452" s="59">
        <v>3.0</v>
      </c>
      <c r="G7452" s="60">
        <v>1.0</v>
      </c>
      <c r="H7452" s="60">
        <v>1.0</v>
      </c>
      <c r="I7452" s="60">
        <v>0.0</v>
      </c>
      <c r="J7452" s="59">
        <v>3.0</v>
      </c>
      <c r="K7452" s="61">
        <f t="shared" si="1"/>
        <v>1</v>
      </c>
      <c r="L7452" s="62">
        <f t="shared" si="2"/>
        <v>1</v>
      </c>
    </row>
    <row r="7453">
      <c r="A7453" s="58">
        <v>45536.0</v>
      </c>
      <c r="B7453" s="24" t="s">
        <v>6787</v>
      </c>
      <c r="C7453" s="24" t="s">
        <v>7234</v>
      </c>
      <c r="D7453" s="59">
        <v>3.0</v>
      </c>
      <c r="E7453" s="59">
        <v>3.0</v>
      </c>
      <c r="F7453" s="59">
        <v>0.0</v>
      </c>
      <c r="G7453" s="60">
        <v>1.5</v>
      </c>
      <c r="H7453" s="60">
        <v>0.333333333333333</v>
      </c>
      <c r="I7453" s="60">
        <v>234.162128666666</v>
      </c>
      <c r="J7453" s="59">
        <v>10.0</v>
      </c>
      <c r="K7453" s="61">
        <f t="shared" si="1"/>
        <v>0</v>
      </c>
      <c r="L7453" s="62">
        <f t="shared" si="2"/>
        <v>3.333333333</v>
      </c>
    </row>
    <row r="7454">
      <c r="A7454" s="58">
        <v>45536.0</v>
      </c>
      <c r="B7454" s="24" t="s">
        <v>6787</v>
      </c>
      <c r="C7454" s="24" t="s">
        <v>6907</v>
      </c>
      <c r="D7454" s="59">
        <v>3.0</v>
      </c>
      <c r="E7454" s="59">
        <v>3.0</v>
      </c>
      <c r="F7454" s="59">
        <v>3.0</v>
      </c>
      <c r="G7454" s="60">
        <v>1.0</v>
      </c>
      <c r="H7454" s="60">
        <v>1.0</v>
      </c>
      <c r="I7454" s="60">
        <v>0.0</v>
      </c>
      <c r="J7454" s="59">
        <v>3.0</v>
      </c>
      <c r="K7454" s="61">
        <f t="shared" si="1"/>
        <v>1</v>
      </c>
      <c r="L7454" s="62">
        <f t="shared" si="2"/>
        <v>1</v>
      </c>
    </row>
    <row r="7455">
      <c r="A7455" s="58">
        <v>45536.0</v>
      </c>
      <c r="B7455" s="24" t="s">
        <v>6787</v>
      </c>
      <c r="C7455" s="24" t="s">
        <v>7026</v>
      </c>
      <c r="D7455" s="59">
        <v>3.0</v>
      </c>
      <c r="E7455" s="59">
        <v>3.0</v>
      </c>
      <c r="F7455" s="59">
        <v>3.0</v>
      </c>
      <c r="G7455" s="60">
        <v>1.0</v>
      </c>
      <c r="H7455" s="60">
        <v>0.666666666666666</v>
      </c>
      <c r="I7455" s="60">
        <v>11.8766303333333</v>
      </c>
      <c r="J7455" s="59">
        <v>5.0</v>
      </c>
      <c r="K7455" s="61">
        <f t="shared" si="1"/>
        <v>1</v>
      </c>
      <c r="L7455" s="62">
        <f t="shared" si="2"/>
        <v>1.666666667</v>
      </c>
    </row>
    <row r="7456">
      <c r="A7456" s="58">
        <v>45536.0</v>
      </c>
      <c r="B7456" s="24" t="s">
        <v>6787</v>
      </c>
      <c r="C7456" s="24" t="s">
        <v>7158</v>
      </c>
      <c r="D7456" s="59">
        <v>3.0</v>
      </c>
      <c r="E7456" s="59">
        <v>6.0</v>
      </c>
      <c r="F7456" s="59">
        <v>2.0</v>
      </c>
      <c r="G7456" s="60">
        <v>2.0</v>
      </c>
      <c r="H7456" s="60">
        <v>0.5</v>
      </c>
      <c r="I7456" s="60">
        <v>1212.425029</v>
      </c>
      <c r="J7456" s="59">
        <v>21.0</v>
      </c>
      <c r="K7456" s="61">
        <f t="shared" si="1"/>
        <v>0.3333333333</v>
      </c>
      <c r="L7456" s="62">
        <f t="shared" si="2"/>
        <v>3.5</v>
      </c>
    </row>
    <row r="7457">
      <c r="A7457" s="58">
        <v>45536.0</v>
      </c>
      <c r="B7457" s="24" t="s">
        <v>6789</v>
      </c>
      <c r="C7457" s="24" t="s">
        <v>7162</v>
      </c>
      <c r="D7457" s="59">
        <v>3.0</v>
      </c>
      <c r="E7457" s="59">
        <v>3.0</v>
      </c>
      <c r="F7457" s="59">
        <v>3.0</v>
      </c>
      <c r="G7457" s="60">
        <v>1.0</v>
      </c>
      <c r="H7457" s="60">
        <v>0.333333333333333</v>
      </c>
      <c r="I7457" s="60">
        <v>34.4893293333333</v>
      </c>
      <c r="J7457" s="59">
        <v>3.0</v>
      </c>
      <c r="K7457" s="61">
        <f t="shared" si="1"/>
        <v>1</v>
      </c>
      <c r="L7457" s="62">
        <f t="shared" si="2"/>
        <v>1</v>
      </c>
    </row>
    <row r="7458">
      <c r="A7458" s="58">
        <v>45536.0</v>
      </c>
      <c r="B7458" s="24" t="s">
        <v>6789</v>
      </c>
      <c r="C7458" s="24" t="s">
        <v>7094</v>
      </c>
      <c r="D7458" s="59">
        <v>3.0</v>
      </c>
      <c r="E7458" s="59">
        <v>5.0</v>
      </c>
      <c r="F7458" s="59">
        <v>3.0</v>
      </c>
      <c r="G7458" s="60">
        <v>1.66666666666666</v>
      </c>
      <c r="H7458" s="60">
        <v>0.4</v>
      </c>
      <c r="I7458" s="60">
        <v>492.8435512</v>
      </c>
      <c r="J7458" s="59">
        <v>10.0</v>
      </c>
      <c r="K7458" s="61">
        <f t="shared" si="1"/>
        <v>0.6</v>
      </c>
      <c r="L7458" s="62">
        <f t="shared" si="2"/>
        <v>2</v>
      </c>
    </row>
    <row r="7459">
      <c r="A7459" s="58">
        <v>45536.0</v>
      </c>
      <c r="B7459" s="24" t="s">
        <v>6789</v>
      </c>
      <c r="C7459" s="24" t="s">
        <v>7313</v>
      </c>
      <c r="D7459" s="59">
        <v>3.0</v>
      </c>
      <c r="E7459" s="59">
        <v>3.0</v>
      </c>
      <c r="F7459" s="59">
        <v>2.0</v>
      </c>
      <c r="G7459" s="60">
        <v>1.0</v>
      </c>
      <c r="H7459" s="60">
        <v>0.666666666666666</v>
      </c>
      <c r="I7459" s="60">
        <v>13.99564</v>
      </c>
      <c r="J7459" s="59">
        <v>4.0</v>
      </c>
      <c r="K7459" s="61">
        <f t="shared" si="1"/>
        <v>0.6666666667</v>
      </c>
      <c r="L7459" s="62">
        <f t="shared" si="2"/>
        <v>1.333333333</v>
      </c>
    </row>
    <row r="7460">
      <c r="A7460" s="58">
        <v>45536.0</v>
      </c>
      <c r="B7460" s="24" t="s">
        <v>6789</v>
      </c>
      <c r="C7460" s="24" t="s">
        <v>6921</v>
      </c>
      <c r="D7460" s="59">
        <v>3.0</v>
      </c>
      <c r="E7460" s="59">
        <v>3.0</v>
      </c>
      <c r="F7460" s="59">
        <v>0.0</v>
      </c>
      <c r="G7460" s="60">
        <v>1.0</v>
      </c>
      <c r="H7460" s="60">
        <v>0.333333333333333</v>
      </c>
      <c r="I7460" s="60">
        <v>83.212091</v>
      </c>
      <c r="J7460" s="59">
        <v>7.0</v>
      </c>
      <c r="K7460" s="61">
        <f t="shared" si="1"/>
        <v>0</v>
      </c>
      <c r="L7460" s="62">
        <f t="shared" si="2"/>
        <v>2.333333333</v>
      </c>
    </row>
    <row r="7461">
      <c r="A7461" s="58">
        <v>45536.0</v>
      </c>
      <c r="B7461" s="24" t="s">
        <v>6787</v>
      </c>
      <c r="C7461" s="24" t="s">
        <v>6931</v>
      </c>
      <c r="D7461" s="59">
        <v>3.0</v>
      </c>
      <c r="E7461" s="59">
        <v>3.0</v>
      </c>
      <c r="F7461" s="59">
        <v>3.0</v>
      </c>
      <c r="G7461" s="60">
        <v>1.0</v>
      </c>
      <c r="H7461" s="60">
        <v>1.0</v>
      </c>
      <c r="I7461" s="60">
        <v>0.0</v>
      </c>
      <c r="J7461" s="59">
        <v>3.0</v>
      </c>
      <c r="K7461" s="61">
        <f t="shared" si="1"/>
        <v>1</v>
      </c>
      <c r="L7461" s="62">
        <f t="shared" si="2"/>
        <v>1</v>
      </c>
    </row>
    <row r="7462">
      <c r="A7462" s="58">
        <v>45536.0</v>
      </c>
      <c r="B7462" s="24" t="s">
        <v>6787</v>
      </c>
      <c r="C7462" s="24" t="s">
        <v>6854</v>
      </c>
      <c r="D7462" s="59">
        <v>3.0</v>
      </c>
      <c r="E7462" s="59">
        <v>3.0</v>
      </c>
      <c r="F7462" s="59">
        <v>2.0</v>
      </c>
      <c r="G7462" s="60">
        <v>1.5</v>
      </c>
      <c r="H7462" s="60">
        <v>0.333333333333333</v>
      </c>
      <c r="I7462" s="60">
        <v>17.0407726666666</v>
      </c>
      <c r="J7462" s="59">
        <v>3.0</v>
      </c>
      <c r="K7462" s="61">
        <f t="shared" si="1"/>
        <v>0.6666666667</v>
      </c>
      <c r="L7462" s="62">
        <f t="shared" si="2"/>
        <v>1</v>
      </c>
    </row>
    <row r="7463">
      <c r="A7463" s="58">
        <v>45536.0</v>
      </c>
      <c r="B7463" s="24" t="s">
        <v>155</v>
      </c>
      <c r="C7463" s="24" t="s">
        <v>6803</v>
      </c>
      <c r="D7463" s="59">
        <v>2.0</v>
      </c>
      <c r="E7463" s="59">
        <v>2.0</v>
      </c>
      <c r="F7463" s="59">
        <v>0.0</v>
      </c>
      <c r="G7463" s="60">
        <v>2.0</v>
      </c>
      <c r="H7463" s="60">
        <v>0.5</v>
      </c>
      <c r="I7463" s="60">
        <v>944.302338</v>
      </c>
      <c r="J7463" s="59">
        <v>3.0</v>
      </c>
      <c r="K7463" s="61">
        <f t="shared" si="1"/>
        <v>0</v>
      </c>
      <c r="L7463" s="62">
        <f t="shared" si="2"/>
        <v>1.5</v>
      </c>
    </row>
    <row r="7464">
      <c r="A7464" s="58">
        <v>45536.0</v>
      </c>
      <c r="B7464" s="24" t="s">
        <v>6789</v>
      </c>
      <c r="C7464" s="24" t="s">
        <v>6817</v>
      </c>
      <c r="D7464" s="59">
        <v>2.0</v>
      </c>
      <c r="E7464" s="59">
        <v>2.0</v>
      </c>
      <c r="F7464" s="59">
        <v>0.0</v>
      </c>
      <c r="G7464" s="60">
        <v>1.0</v>
      </c>
      <c r="H7464" s="60">
        <v>1.0</v>
      </c>
      <c r="I7464" s="60">
        <v>2.448906</v>
      </c>
      <c r="J7464" s="59">
        <v>2.0</v>
      </c>
      <c r="K7464" s="61">
        <f t="shared" si="1"/>
        <v>0</v>
      </c>
      <c r="L7464" s="62">
        <f t="shared" si="2"/>
        <v>1</v>
      </c>
    </row>
    <row r="7465">
      <c r="A7465" s="58">
        <v>45536.0</v>
      </c>
      <c r="B7465" s="24" t="s">
        <v>6789</v>
      </c>
      <c r="C7465" s="24" t="s">
        <v>6953</v>
      </c>
      <c r="D7465" s="59">
        <v>2.0</v>
      </c>
      <c r="E7465" s="59">
        <v>3.0</v>
      </c>
      <c r="F7465" s="59">
        <v>1.0</v>
      </c>
      <c r="G7465" s="60">
        <v>1.5</v>
      </c>
      <c r="H7465" s="60">
        <v>0.333333333333333</v>
      </c>
      <c r="I7465" s="60">
        <v>24.1379923333333</v>
      </c>
      <c r="J7465" s="59">
        <v>5.0</v>
      </c>
      <c r="K7465" s="61">
        <f t="shared" si="1"/>
        <v>0.3333333333</v>
      </c>
      <c r="L7465" s="62">
        <f t="shared" si="2"/>
        <v>1.666666667</v>
      </c>
    </row>
    <row r="7466">
      <c r="A7466" s="58">
        <v>45536.0</v>
      </c>
      <c r="B7466" s="24" t="s">
        <v>6789</v>
      </c>
      <c r="C7466" s="24" t="s">
        <v>7058</v>
      </c>
      <c r="D7466" s="59">
        <v>2.0</v>
      </c>
      <c r="E7466" s="59">
        <v>2.0</v>
      </c>
      <c r="F7466" s="59">
        <v>2.0</v>
      </c>
      <c r="G7466" s="60">
        <v>1.0</v>
      </c>
      <c r="H7466" s="60">
        <v>0.0</v>
      </c>
      <c r="I7466" s="60">
        <v>67.2154659999999</v>
      </c>
      <c r="J7466" s="59">
        <v>2.0</v>
      </c>
      <c r="K7466" s="61">
        <f t="shared" si="1"/>
        <v>1</v>
      </c>
      <c r="L7466" s="62">
        <f t="shared" si="2"/>
        <v>1</v>
      </c>
    </row>
    <row r="7467">
      <c r="A7467" s="58">
        <v>45536.0</v>
      </c>
      <c r="B7467" s="24" t="s">
        <v>6787</v>
      </c>
      <c r="C7467" s="24" t="s">
        <v>6985</v>
      </c>
      <c r="D7467" s="59">
        <v>2.0</v>
      </c>
      <c r="E7467" s="59">
        <v>2.0</v>
      </c>
      <c r="F7467" s="59">
        <v>2.0</v>
      </c>
      <c r="G7467" s="60">
        <v>1.0</v>
      </c>
      <c r="H7467" s="60">
        <v>1.0</v>
      </c>
      <c r="I7467" s="60">
        <v>0.0</v>
      </c>
      <c r="J7467" s="59">
        <v>2.0</v>
      </c>
      <c r="K7467" s="61">
        <f t="shared" si="1"/>
        <v>1</v>
      </c>
      <c r="L7467" s="62">
        <f t="shared" si="2"/>
        <v>1</v>
      </c>
    </row>
    <row r="7468">
      <c r="A7468" s="58">
        <v>45536.0</v>
      </c>
      <c r="B7468" s="24" t="s">
        <v>6789</v>
      </c>
      <c r="C7468" s="24" t="s">
        <v>6833</v>
      </c>
      <c r="D7468" s="59">
        <v>2.0</v>
      </c>
      <c r="E7468" s="59">
        <v>2.0</v>
      </c>
      <c r="F7468" s="59">
        <v>0.0</v>
      </c>
      <c r="G7468" s="60">
        <v>1.0</v>
      </c>
      <c r="H7468" s="60">
        <v>0.0</v>
      </c>
      <c r="I7468" s="60">
        <v>437.9924775</v>
      </c>
      <c r="J7468" s="59">
        <v>24.0</v>
      </c>
      <c r="K7468" s="61">
        <f t="shared" si="1"/>
        <v>0</v>
      </c>
      <c r="L7468" s="62">
        <f t="shared" si="2"/>
        <v>12</v>
      </c>
    </row>
    <row r="7469">
      <c r="A7469" s="58">
        <v>45536.0</v>
      </c>
      <c r="B7469" s="24" t="s">
        <v>6787</v>
      </c>
      <c r="C7469" s="24" t="s">
        <v>6867</v>
      </c>
      <c r="D7469" s="59">
        <v>2.0</v>
      </c>
      <c r="E7469" s="59">
        <v>2.0</v>
      </c>
      <c r="F7469" s="59">
        <v>2.0</v>
      </c>
      <c r="G7469" s="60">
        <v>1.0</v>
      </c>
      <c r="H7469" s="60">
        <v>1.0</v>
      </c>
      <c r="I7469" s="60">
        <v>0.0</v>
      </c>
      <c r="J7469" s="59">
        <v>2.0</v>
      </c>
      <c r="K7469" s="61">
        <f t="shared" si="1"/>
        <v>1</v>
      </c>
      <c r="L7469" s="62">
        <f t="shared" si="2"/>
        <v>1</v>
      </c>
    </row>
    <row r="7470">
      <c r="A7470" s="58">
        <v>45536.0</v>
      </c>
      <c r="B7470" s="24" t="s">
        <v>6789</v>
      </c>
      <c r="C7470" s="24" t="s">
        <v>6989</v>
      </c>
      <c r="D7470" s="59">
        <v>2.0</v>
      </c>
      <c r="E7470" s="59">
        <v>2.0</v>
      </c>
      <c r="F7470" s="59">
        <v>1.0</v>
      </c>
      <c r="G7470" s="60">
        <v>1.0</v>
      </c>
      <c r="H7470" s="60">
        <v>0.0</v>
      </c>
      <c r="I7470" s="60">
        <v>670.81602</v>
      </c>
      <c r="J7470" s="59">
        <v>3.0</v>
      </c>
      <c r="K7470" s="61">
        <f t="shared" si="1"/>
        <v>0.5</v>
      </c>
      <c r="L7470" s="62">
        <f t="shared" si="2"/>
        <v>1.5</v>
      </c>
    </row>
    <row r="7471">
      <c r="A7471" s="58">
        <v>45536.0</v>
      </c>
      <c r="B7471" s="24" t="s">
        <v>155</v>
      </c>
      <c r="C7471" s="24" t="s">
        <v>7068</v>
      </c>
      <c r="D7471" s="59">
        <v>2.0</v>
      </c>
      <c r="E7471" s="59">
        <v>2.0</v>
      </c>
      <c r="F7471" s="59">
        <v>2.0</v>
      </c>
      <c r="G7471" s="60">
        <v>1.0</v>
      </c>
      <c r="H7471" s="60">
        <v>0.5</v>
      </c>
      <c r="I7471" s="60">
        <v>80.62609</v>
      </c>
      <c r="J7471" s="59">
        <v>3.0</v>
      </c>
      <c r="K7471" s="61">
        <f t="shared" si="1"/>
        <v>1</v>
      </c>
      <c r="L7471" s="62">
        <f t="shared" si="2"/>
        <v>1.5</v>
      </c>
    </row>
    <row r="7472">
      <c r="A7472" s="58">
        <v>45536.0</v>
      </c>
      <c r="B7472" s="24" t="s">
        <v>6787</v>
      </c>
      <c r="C7472" s="24" t="s">
        <v>7072</v>
      </c>
      <c r="D7472" s="59">
        <v>2.0</v>
      </c>
      <c r="E7472" s="59">
        <v>3.0</v>
      </c>
      <c r="F7472" s="59">
        <v>2.0</v>
      </c>
      <c r="G7472" s="60">
        <v>1.5</v>
      </c>
      <c r="H7472" s="60">
        <v>0.666666666666666</v>
      </c>
      <c r="I7472" s="60">
        <v>69.636945</v>
      </c>
      <c r="J7472" s="59">
        <v>4.0</v>
      </c>
      <c r="K7472" s="61">
        <f t="shared" si="1"/>
        <v>0.6666666667</v>
      </c>
      <c r="L7472" s="62">
        <f t="shared" si="2"/>
        <v>1.333333333</v>
      </c>
    </row>
    <row r="7473">
      <c r="A7473" s="58">
        <v>45536.0</v>
      </c>
      <c r="B7473" s="24" t="s">
        <v>6789</v>
      </c>
      <c r="C7473" s="24" t="s">
        <v>7072</v>
      </c>
      <c r="D7473" s="59">
        <v>2.0</v>
      </c>
      <c r="E7473" s="59">
        <v>3.0</v>
      </c>
      <c r="F7473" s="59">
        <v>2.0</v>
      </c>
      <c r="G7473" s="60">
        <v>1.5</v>
      </c>
      <c r="H7473" s="60">
        <v>0.666666666666666</v>
      </c>
      <c r="I7473" s="60">
        <v>7.63702466666666</v>
      </c>
      <c r="J7473" s="59">
        <v>3.0</v>
      </c>
      <c r="K7473" s="61">
        <f t="shared" si="1"/>
        <v>0.6666666667</v>
      </c>
      <c r="L7473" s="62">
        <f t="shared" si="2"/>
        <v>1</v>
      </c>
    </row>
    <row r="7474">
      <c r="A7474" s="58">
        <v>45536.0</v>
      </c>
      <c r="B7474" s="24" t="s">
        <v>6790</v>
      </c>
      <c r="C7474" s="24" t="s">
        <v>6799</v>
      </c>
      <c r="D7474" s="59">
        <v>2.0</v>
      </c>
      <c r="E7474" s="59">
        <v>2.0</v>
      </c>
      <c r="F7474" s="59">
        <v>0.0</v>
      </c>
      <c r="G7474" s="60">
        <v>1.0</v>
      </c>
      <c r="H7474" s="60">
        <v>1.0</v>
      </c>
      <c r="I7474" s="60">
        <v>1.6820515</v>
      </c>
      <c r="J7474" s="59">
        <v>3.0</v>
      </c>
      <c r="K7474" s="61">
        <f t="shared" si="1"/>
        <v>0</v>
      </c>
      <c r="L7474" s="62">
        <f t="shared" si="2"/>
        <v>1.5</v>
      </c>
    </row>
    <row r="7475">
      <c r="A7475" s="58">
        <v>45536.0</v>
      </c>
      <c r="B7475" s="24" t="s">
        <v>6794</v>
      </c>
      <c r="C7475" s="24" t="s">
        <v>6892</v>
      </c>
      <c r="D7475" s="59">
        <v>2.0</v>
      </c>
      <c r="E7475" s="59">
        <v>2.0</v>
      </c>
      <c r="F7475" s="59">
        <v>2.0</v>
      </c>
      <c r="G7475" s="60">
        <v>1.0</v>
      </c>
      <c r="H7475" s="60">
        <v>0.5</v>
      </c>
      <c r="I7475" s="60">
        <v>98.4633855</v>
      </c>
      <c r="J7475" s="59">
        <v>2.0</v>
      </c>
      <c r="K7475" s="61">
        <f t="shared" si="1"/>
        <v>1</v>
      </c>
      <c r="L7475" s="62">
        <f t="shared" si="2"/>
        <v>1</v>
      </c>
    </row>
    <row r="7476">
      <c r="A7476" s="58">
        <v>45536.0</v>
      </c>
      <c r="B7476" s="24" t="s">
        <v>6787</v>
      </c>
      <c r="C7476" s="24" t="s">
        <v>7129</v>
      </c>
      <c r="D7476" s="59">
        <v>2.0</v>
      </c>
      <c r="E7476" s="59">
        <v>2.0</v>
      </c>
      <c r="F7476" s="59">
        <v>2.0</v>
      </c>
      <c r="G7476" s="60">
        <v>1.0</v>
      </c>
      <c r="H7476" s="60">
        <v>1.0</v>
      </c>
      <c r="I7476" s="60">
        <v>1.531492</v>
      </c>
      <c r="J7476" s="59">
        <v>2.0</v>
      </c>
      <c r="K7476" s="61">
        <f t="shared" si="1"/>
        <v>1</v>
      </c>
      <c r="L7476" s="62">
        <f t="shared" si="2"/>
        <v>1</v>
      </c>
    </row>
    <row r="7477">
      <c r="A7477" s="58">
        <v>45536.0</v>
      </c>
      <c r="B7477" s="24" t="s">
        <v>6789</v>
      </c>
      <c r="C7477" s="24" t="s">
        <v>6841</v>
      </c>
      <c r="D7477" s="59">
        <v>2.0</v>
      </c>
      <c r="E7477" s="59">
        <v>3.0</v>
      </c>
      <c r="F7477" s="59">
        <v>0.0</v>
      </c>
      <c r="G7477" s="60">
        <v>1.5</v>
      </c>
      <c r="H7477" s="60">
        <v>0.666666666666666</v>
      </c>
      <c r="I7477" s="60">
        <v>189.121718666666</v>
      </c>
      <c r="J7477" s="59">
        <v>5.0</v>
      </c>
      <c r="K7477" s="61">
        <f t="shared" si="1"/>
        <v>0</v>
      </c>
      <c r="L7477" s="62">
        <f t="shared" si="2"/>
        <v>1.666666667</v>
      </c>
    </row>
    <row r="7478">
      <c r="A7478" s="58">
        <v>45536.0</v>
      </c>
      <c r="B7478" s="24" t="s">
        <v>6787</v>
      </c>
      <c r="C7478" s="24" t="s">
        <v>6898</v>
      </c>
      <c r="D7478" s="59">
        <v>2.0</v>
      </c>
      <c r="E7478" s="59">
        <v>3.0</v>
      </c>
      <c r="F7478" s="59">
        <v>0.0</v>
      </c>
      <c r="G7478" s="60">
        <v>1.5</v>
      </c>
      <c r="H7478" s="60">
        <v>0.333333333333333</v>
      </c>
      <c r="I7478" s="60">
        <v>28.4698053333333</v>
      </c>
      <c r="J7478" s="59">
        <v>5.0</v>
      </c>
      <c r="K7478" s="61">
        <f t="shared" si="1"/>
        <v>0</v>
      </c>
      <c r="L7478" s="62">
        <f t="shared" si="2"/>
        <v>1.666666667</v>
      </c>
    </row>
    <row r="7479">
      <c r="A7479" s="58">
        <v>45536.0</v>
      </c>
      <c r="B7479" s="24" t="s">
        <v>6789</v>
      </c>
      <c r="C7479" s="24" t="s">
        <v>7236</v>
      </c>
      <c r="D7479" s="59">
        <v>2.0</v>
      </c>
      <c r="E7479" s="59">
        <v>2.0</v>
      </c>
      <c r="F7479" s="59">
        <v>2.0</v>
      </c>
      <c r="G7479" s="60">
        <v>1.0</v>
      </c>
      <c r="H7479" s="60">
        <v>1.0</v>
      </c>
      <c r="I7479" s="60">
        <v>0.0</v>
      </c>
      <c r="J7479" s="59">
        <v>2.0</v>
      </c>
      <c r="K7479" s="61">
        <f t="shared" si="1"/>
        <v>1</v>
      </c>
      <c r="L7479" s="62">
        <f t="shared" si="2"/>
        <v>1</v>
      </c>
    </row>
    <row r="7480">
      <c r="A7480" s="58">
        <v>45536.0</v>
      </c>
      <c r="B7480" s="24" t="s">
        <v>6789</v>
      </c>
      <c r="C7480" s="24" t="s">
        <v>7234</v>
      </c>
      <c r="D7480" s="59">
        <v>2.0</v>
      </c>
      <c r="E7480" s="59">
        <v>3.0</v>
      </c>
      <c r="F7480" s="59">
        <v>0.0</v>
      </c>
      <c r="G7480" s="60">
        <v>1.5</v>
      </c>
      <c r="H7480" s="60">
        <v>0.0</v>
      </c>
      <c r="I7480" s="60">
        <v>482.756928666666</v>
      </c>
      <c r="J7480" s="59">
        <v>13.0</v>
      </c>
      <c r="K7480" s="61">
        <f t="shared" si="1"/>
        <v>0</v>
      </c>
      <c r="L7480" s="62">
        <f t="shared" si="2"/>
        <v>4.333333333</v>
      </c>
    </row>
    <row r="7481">
      <c r="A7481" s="58">
        <v>45536.0</v>
      </c>
      <c r="B7481" s="24" t="s">
        <v>6789</v>
      </c>
      <c r="C7481" s="24" t="s">
        <v>7227</v>
      </c>
      <c r="D7481" s="59">
        <v>2.0</v>
      </c>
      <c r="E7481" s="59">
        <v>2.0</v>
      </c>
      <c r="F7481" s="59">
        <v>2.0</v>
      </c>
      <c r="G7481" s="60">
        <v>1.0</v>
      </c>
      <c r="H7481" s="60">
        <v>0.5</v>
      </c>
      <c r="I7481" s="60">
        <v>11.442527</v>
      </c>
      <c r="J7481" s="59">
        <v>2.0</v>
      </c>
      <c r="K7481" s="61">
        <f t="shared" si="1"/>
        <v>1</v>
      </c>
      <c r="L7481" s="62">
        <f t="shared" si="2"/>
        <v>1</v>
      </c>
    </row>
    <row r="7482">
      <c r="A7482" s="58">
        <v>45536.0</v>
      </c>
      <c r="B7482" s="24" t="s">
        <v>6789</v>
      </c>
      <c r="C7482" s="24" t="s">
        <v>6907</v>
      </c>
      <c r="D7482" s="59">
        <v>2.0</v>
      </c>
      <c r="E7482" s="59">
        <v>2.0</v>
      </c>
      <c r="F7482" s="59">
        <v>1.0</v>
      </c>
      <c r="G7482" s="60">
        <v>2.0</v>
      </c>
      <c r="H7482" s="60">
        <v>0.5</v>
      </c>
      <c r="I7482" s="60">
        <v>6.2313545</v>
      </c>
      <c r="J7482" s="59">
        <v>3.0</v>
      </c>
      <c r="K7482" s="61">
        <f t="shared" si="1"/>
        <v>0.5</v>
      </c>
      <c r="L7482" s="62">
        <f t="shared" si="2"/>
        <v>1.5</v>
      </c>
    </row>
    <row r="7483">
      <c r="A7483" s="58">
        <v>45536.0</v>
      </c>
      <c r="B7483" s="24" t="s">
        <v>6789</v>
      </c>
      <c r="C7483" s="24" t="s">
        <v>7087</v>
      </c>
      <c r="D7483" s="59">
        <v>2.0</v>
      </c>
      <c r="E7483" s="59">
        <v>2.0</v>
      </c>
      <c r="F7483" s="59">
        <v>1.0</v>
      </c>
      <c r="G7483" s="60">
        <v>1.0</v>
      </c>
      <c r="H7483" s="60">
        <v>0.0</v>
      </c>
      <c r="I7483" s="60">
        <v>62.8060794999999</v>
      </c>
      <c r="J7483" s="59">
        <v>2.0</v>
      </c>
      <c r="K7483" s="61">
        <f t="shared" si="1"/>
        <v>0.5</v>
      </c>
      <c r="L7483" s="62">
        <f t="shared" si="2"/>
        <v>1</v>
      </c>
    </row>
    <row r="7484">
      <c r="A7484" s="58">
        <v>45536.0</v>
      </c>
      <c r="B7484" s="24" t="s">
        <v>6789</v>
      </c>
      <c r="C7484" s="24" t="s">
        <v>7158</v>
      </c>
      <c r="D7484" s="59">
        <v>2.0</v>
      </c>
      <c r="E7484" s="59">
        <v>2.0</v>
      </c>
      <c r="F7484" s="59">
        <v>0.0</v>
      </c>
      <c r="G7484" s="60">
        <v>1.0</v>
      </c>
      <c r="H7484" s="60">
        <v>0.0</v>
      </c>
      <c r="I7484" s="60">
        <v>106.607658</v>
      </c>
      <c r="J7484" s="59">
        <v>4.0</v>
      </c>
      <c r="K7484" s="61">
        <f t="shared" si="1"/>
        <v>0</v>
      </c>
      <c r="L7484" s="62">
        <f t="shared" si="2"/>
        <v>2</v>
      </c>
    </row>
    <row r="7485">
      <c r="A7485" s="58">
        <v>45536.0</v>
      </c>
      <c r="B7485" s="24" t="s">
        <v>6789</v>
      </c>
      <c r="C7485" s="24" t="s">
        <v>7088</v>
      </c>
      <c r="D7485" s="59">
        <v>2.0</v>
      </c>
      <c r="E7485" s="59">
        <v>3.0</v>
      </c>
      <c r="F7485" s="59">
        <v>0.0</v>
      </c>
      <c r="G7485" s="60">
        <v>1.5</v>
      </c>
      <c r="H7485" s="60">
        <v>0.0</v>
      </c>
      <c r="I7485" s="60">
        <v>2566.673641</v>
      </c>
      <c r="J7485" s="59">
        <v>49.0</v>
      </c>
      <c r="K7485" s="61">
        <f t="shared" si="1"/>
        <v>0</v>
      </c>
      <c r="L7485" s="62">
        <f t="shared" si="2"/>
        <v>16.33333333</v>
      </c>
    </row>
    <row r="7486">
      <c r="A7486" s="58">
        <v>45536.0</v>
      </c>
      <c r="B7486" s="24" t="s">
        <v>6787</v>
      </c>
      <c r="C7486" s="24" t="s">
        <v>7090</v>
      </c>
      <c r="D7486" s="59">
        <v>2.0</v>
      </c>
      <c r="E7486" s="59">
        <v>2.0</v>
      </c>
      <c r="F7486" s="59">
        <v>1.0</v>
      </c>
      <c r="G7486" s="60">
        <v>2.0</v>
      </c>
      <c r="H7486" s="60">
        <v>1.0</v>
      </c>
      <c r="I7486" s="60">
        <v>0.0</v>
      </c>
      <c r="J7486" s="59">
        <v>2.0</v>
      </c>
      <c r="K7486" s="61">
        <f t="shared" si="1"/>
        <v>0.5</v>
      </c>
      <c r="L7486" s="62">
        <f t="shared" si="2"/>
        <v>1</v>
      </c>
    </row>
    <row r="7487">
      <c r="A7487" s="58">
        <v>45536.0</v>
      </c>
      <c r="B7487" s="24" t="s">
        <v>6789</v>
      </c>
      <c r="C7487" s="24" t="s">
        <v>7090</v>
      </c>
      <c r="D7487" s="59">
        <v>2.0</v>
      </c>
      <c r="E7487" s="59">
        <v>2.0</v>
      </c>
      <c r="F7487" s="59">
        <v>0.0</v>
      </c>
      <c r="G7487" s="60">
        <v>1.0</v>
      </c>
      <c r="H7487" s="60">
        <v>0.5</v>
      </c>
      <c r="I7487" s="60">
        <v>1738.668757</v>
      </c>
      <c r="J7487" s="59">
        <v>15.0</v>
      </c>
      <c r="K7487" s="61">
        <f t="shared" si="1"/>
        <v>0</v>
      </c>
      <c r="L7487" s="62">
        <f t="shared" si="2"/>
        <v>7.5</v>
      </c>
    </row>
    <row r="7488">
      <c r="A7488" s="58">
        <v>45536.0</v>
      </c>
      <c r="B7488" s="24" t="s">
        <v>6789</v>
      </c>
      <c r="C7488" s="24" t="s">
        <v>7022</v>
      </c>
      <c r="D7488" s="59">
        <v>2.0</v>
      </c>
      <c r="E7488" s="59">
        <v>2.0</v>
      </c>
      <c r="F7488" s="59">
        <v>1.0</v>
      </c>
      <c r="G7488" s="60">
        <v>2.0</v>
      </c>
      <c r="H7488" s="60">
        <v>0.5</v>
      </c>
      <c r="I7488" s="60">
        <v>9.5319475</v>
      </c>
      <c r="J7488" s="59">
        <v>2.0</v>
      </c>
      <c r="K7488" s="61">
        <f t="shared" si="1"/>
        <v>0.5</v>
      </c>
      <c r="L7488" s="62">
        <f t="shared" si="2"/>
        <v>1</v>
      </c>
    </row>
    <row r="7489">
      <c r="A7489" s="58">
        <v>45536.0</v>
      </c>
      <c r="B7489" s="24" t="s">
        <v>6789</v>
      </c>
      <c r="C7489" s="24" t="s">
        <v>7092</v>
      </c>
      <c r="D7489" s="59">
        <v>2.0</v>
      </c>
      <c r="E7489" s="59">
        <v>2.0</v>
      </c>
      <c r="F7489" s="59">
        <v>2.0</v>
      </c>
      <c r="G7489" s="60">
        <v>1.0</v>
      </c>
      <c r="H7489" s="60">
        <v>0.5</v>
      </c>
      <c r="I7489" s="60">
        <v>126.3871075</v>
      </c>
      <c r="J7489" s="59">
        <v>3.0</v>
      </c>
      <c r="K7489" s="61">
        <f t="shared" si="1"/>
        <v>1</v>
      </c>
      <c r="L7489" s="62">
        <f t="shared" si="2"/>
        <v>1.5</v>
      </c>
    </row>
    <row r="7490">
      <c r="A7490" s="58">
        <v>45536.0</v>
      </c>
      <c r="B7490" s="24" t="s">
        <v>6787</v>
      </c>
      <c r="C7490" s="24" t="s">
        <v>7013</v>
      </c>
      <c r="D7490" s="59">
        <v>2.0</v>
      </c>
      <c r="E7490" s="59">
        <v>2.0</v>
      </c>
      <c r="F7490" s="59">
        <v>2.0</v>
      </c>
      <c r="G7490" s="60">
        <v>1.0</v>
      </c>
      <c r="H7490" s="60">
        <v>0.5</v>
      </c>
      <c r="I7490" s="60">
        <v>873.0029505</v>
      </c>
      <c r="J7490" s="59">
        <v>5.0</v>
      </c>
      <c r="K7490" s="61">
        <f t="shared" si="1"/>
        <v>1</v>
      </c>
      <c r="L7490" s="62">
        <f t="shared" si="2"/>
        <v>2.5</v>
      </c>
    </row>
    <row r="7491">
      <c r="A7491" s="58">
        <v>45536.0</v>
      </c>
      <c r="B7491" s="24" t="s">
        <v>6789</v>
      </c>
      <c r="C7491" s="24" t="s">
        <v>7044</v>
      </c>
      <c r="D7491" s="59">
        <v>2.0</v>
      </c>
      <c r="E7491" s="59">
        <v>2.0</v>
      </c>
      <c r="F7491" s="59">
        <v>1.0</v>
      </c>
      <c r="G7491" s="60">
        <v>1.0</v>
      </c>
      <c r="H7491" s="60">
        <v>0.5</v>
      </c>
      <c r="I7491" s="60">
        <v>41.71293</v>
      </c>
      <c r="J7491" s="59">
        <v>3.0</v>
      </c>
      <c r="K7491" s="61">
        <f t="shared" si="1"/>
        <v>0.5</v>
      </c>
      <c r="L7491" s="62">
        <f t="shared" si="2"/>
        <v>1.5</v>
      </c>
    </row>
    <row r="7492">
      <c r="A7492" s="58">
        <v>45536.0</v>
      </c>
      <c r="B7492" s="24" t="s">
        <v>6790</v>
      </c>
      <c r="C7492" s="24" t="s">
        <v>6908</v>
      </c>
      <c r="D7492" s="59">
        <v>2.0</v>
      </c>
      <c r="E7492" s="59">
        <v>2.0</v>
      </c>
      <c r="F7492" s="59">
        <v>2.0</v>
      </c>
      <c r="G7492" s="60">
        <v>1.0</v>
      </c>
      <c r="H7492" s="60">
        <v>0.5</v>
      </c>
      <c r="I7492" s="60">
        <v>12.628682</v>
      </c>
      <c r="J7492" s="59">
        <v>4.0</v>
      </c>
      <c r="K7492" s="61">
        <f t="shared" si="1"/>
        <v>1</v>
      </c>
      <c r="L7492" s="62">
        <f t="shared" si="2"/>
        <v>2</v>
      </c>
    </row>
    <row r="7493">
      <c r="A7493" s="58">
        <v>45536.0</v>
      </c>
      <c r="B7493" s="24" t="s">
        <v>6787</v>
      </c>
      <c r="C7493" s="24" t="s">
        <v>7192</v>
      </c>
      <c r="D7493" s="59">
        <v>2.0</v>
      </c>
      <c r="E7493" s="59">
        <v>2.0</v>
      </c>
      <c r="F7493" s="59">
        <v>0.0</v>
      </c>
      <c r="G7493" s="60">
        <v>1.0</v>
      </c>
      <c r="H7493" s="60">
        <v>0.5</v>
      </c>
      <c r="I7493" s="60">
        <v>837.8064345</v>
      </c>
      <c r="J7493" s="59">
        <v>5.0</v>
      </c>
      <c r="K7493" s="61">
        <f t="shared" si="1"/>
        <v>0</v>
      </c>
      <c r="L7493" s="62">
        <f t="shared" si="2"/>
        <v>2.5</v>
      </c>
    </row>
    <row r="7494">
      <c r="A7494" s="58">
        <v>45536.0</v>
      </c>
      <c r="B7494" s="24" t="s">
        <v>6787</v>
      </c>
      <c r="C7494" s="24" t="s">
        <v>7180</v>
      </c>
      <c r="D7494" s="59">
        <v>2.0</v>
      </c>
      <c r="E7494" s="59">
        <v>2.0</v>
      </c>
      <c r="F7494" s="59">
        <v>2.0</v>
      </c>
      <c r="G7494" s="60">
        <v>1.0</v>
      </c>
      <c r="H7494" s="60">
        <v>0.5</v>
      </c>
      <c r="I7494" s="60">
        <v>16.961137</v>
      </c>
      <c r="J7494" s="59">
        <v>2.0</v>
      </c>
      <c r="K7494" s="61">
        <f t="shared" si="1"/>
        <v>1</v>
      </c>
      <c r="L7494" s="62">
        <f t="shared" si="2"/>
        <v>1</v>
      </c>
    </row>
    <row r="7495">
      <c r="A7495" s="58">
        <v>45536.0</v>
      </c>
      <c r="B7495" s="24" t="s">
        <v>155</v>
      </c>
      <c r="C7495" s="24" t="s">
        <v>7107</v>
      </c>
      <c r="D7495" s="59">
        <v>2.0</v>
      </c>
      <c r="E7495" s="59">
        <v>2.0</v>
      </c>
      <c r="F7495" s="59">
        <v>0.0</v>
      </c>
      <c r="G7495" s="60">
        <v>2.0</v>
      </c>
      <c r="H7495" s="60">
        <v>0.5</v>
      </c>
      <c r="I7495" s="60">
        <v>671.436327</v>
      </c>
      <c r="J7495" s="59">
        <v>9.0</v>
      </c>
      <c r="K7495" s="61">
        <f t="shared" si="1"/>
        <v>0</v>
      </c>
      <c r="L7495" s="62">
        <f t="shared" si="2"/>
        <v>4.5</v>
      </c>
    </row>
    <row r="7496">
      <c r="A7496" s="58">
        <v>45536.0</v>
      </c>
      <c r="B7496" s="24" t="s">
        <v>6789</v>
      </c>
      <c r="C7496" s="24" t="s">
        <v>7047</v>
      </c>
      <c r="D7496" s="59">
        <v>2.0</v>
      </c>
      <c r="E7496" s="59">
        <v>2.0</v>
      </c>
      <c r="F7496" s="59">
        <v>1.0</v>
      </c>
      <c r="G7496" s="60">
        <v>1.0</v>
      </c>
      <c r="H7496" s="60">
        <v>0.0</v>
      </c>
      <c r="I7496" s="60">
        <v>70.006333</v>
      </c>
      <c r="J7496" s="59">
        <v>4.0</v>
      </c>
      <c r="K7496" s="61">
        <f t="shared" si="1"/>
        <v>0.5</v>
      </c>
      <c r="L7496" s="62">
        <f t="shared" si="2"/>
        <v>2</v>
      </c>
    </row>
    <row r="7497">
      <c r="A7497" s="58">
        <v>45536.0</v>
      </c>
      <c r="B7497" s="24" t="s">
        <v>6787</v>
      </c>
      <c r="C7497" s="24" t="s">
        <v>6797</v>
      </c>
      <c r="D7497" s="59">
        <v>2.0</v>
      </c>
      <c r="E7497" s="59">
        <v>2.0</v>
      </c>
      <c r="F7497" s="59">
        <v>2.0</v>
      </c>
      <c r="G7497" s="60">
        <v>1.0</v>
      </c>
      <c r="H7497" s="60">
        <v>1.0</v>
      </c>
      <c r="I7497" s="60">
        <v>0.0</v>
      </c>
      <c r="J7497" s="59">
        <v>2.0</v>
      </c>
      <c r="K7497" s="61">
        <f t="shared" si="1"/>
        <v>1</v>
      </c>
      <c r="L7497" s="62">
        <f t="shared" si="2"/>
        <v>1</v>
      </c>
    </row>
    <row r="7498">
      <c r="A7498" s="58">
        <v>45536.0</v>
      </c>
      <c r="B7498" s="24" t="s">
        <v>3216</v>
      </c>
      <c r="C7498" s="24" t="s">
        <v>6788</v>
      </c>
      <c r="D7498" s="59">
        <v>1.0</v>
      </c>
      <c r="E7498" s="59">
        <v>1.0</v>
      </c>
      <c r="F7498" s="59">
        <v>0.0</v>
      </c>
      <c r="G7498" s="60">
        <v>1.0</v>
      </c>
      <c r="H7498" s="60">
        <v>1.0</v>
      </c>
      <c r="I7498" s="60">
        <v>5.828288</v>
      </c>
      <c r="J7498" s="59">
        <v>1.0</v>
      </c>
      <c r="K7498" s="61">
        <f t="shared" si="1"/>
        <v>0</v>
      </c>
      <c r="L7498" s="62">
        <f t="shared" si="2"/>
        <v>1</v>
      </c>
    </row>
    <row r="7499">
      <c r="A7499" s="58">
        <v>45536.0</v>
      </c>
      <c r="B7499" s="24" t="s">
        <v>7030</v>
      </c>
      <c r="C7499" s="24" t="s">
        <v>6788</v>
      </c>
      <c r="D7499" s="59">
        <v>1.0</v>
      </c>
      <c r="E7499" s="59">
        <v>1.0</v>
      </c>
      <c r="F7499" s="59">
        <v>1.0</v>
      </c>
      <c r="G7499" s="60">
        <v>1.0</v>
      </c>
      <c r="H7499" s="60">
        <v>0.0</v>
      </c>
      <c r="I7499" s="60">
        <v>16.755592</v>
      </c>
      <c r="J7499" s="59">
        <v>1.0</v>
      </c>
      <c r="K7499" s="61">
        <f t="shared" si="1"/>
        <v>1</v>
      </c>
      <c r="L7499" s="62">
        <f t="shared" si="2"/>
        <v>1</v>
      </c>
    </row>
    <row r="7500">
      <c r="A7500" s="58">
        <v>45536.0</v>
      </c>
      <c r="B7500" s="24" t="s">
        <v>6791</v>
      </c>
      <c r="C7500" s="24" t="s">
        <v>6788</v>
      </c>
      <c r="D7500" s="59">
        <v>1.0</v>
      </c>
      <c r="E7500" s="59">
        <v>1.0</v>
      </c>
      <c r="F7500" s="59">
        <v>1.0</v>
      </c>
      <c r="G7500" s="60">
        <v>1.0</v>
      </c>
      <c r="H7500" s="60">
        <v>1.0</v>
      </c>
      <c r="I7500" s="60">
        <v>0.0</v>
      </c>
      <c r="J7500" s="59">
        <v>1.0</v>
      </c>
      <c r="K7500" s="61">
        <f t="shared" si="1"/>
        <v>1</v>
      </c>
      <c r="L7500" s="62">
        <f t="shared" si="2"/>
        <v>1</v>
      </c>
    </row>
    <row r="7501">
      <c r="A7501" s="58">
        <v>45536.0</v>
      </c>
      <c r="B7501" s="24" t="s">
        <v>6789</v>
      </c>
      <c r="C7501" s="24" t="s">
        <v>7200</v>
      </c>
      <c r="D7501" s="59">
        <v>1.0</v>
      </c>
      <c r="E7501" s="59">
        <v>1.0</v>
      </c>
      <c r="F7501" s="59">
        <v>1.0</v>
      </c>
      <c r="G7501" s="60">
        <v>1.0</v>
      </c>
      <c r="H7501" s="60">
        <v>0.0</v>
      </c>
      <c r="I7501" s="60">
        <v>32.294163</v>
      </c>
      <c r="J7501" s="59">
        <v>1.0</v>
      </c>
      <c r="K7501" s="61">
        <f t="shared" si="1"/>
        <v>1</v>
      </c>
      <c r="L7501" s="62">
        <f t="shared" si="2"/>
        <v>1</v>
      </c>
    </row>
    <row r="7502">
      <c r="A7502" s="58">
        <v>45536.0</v>
      </c>
      <c r="B7502" s="24" t="s">
        <v>6790</v>
      </c>
      <c r="C7502" s="24" t="s">
        <v>6817</v>
      </c>
      <c r="D7502" s="59">
        <v>1.0</v>
      </c>
      <c r="E7502" s="59">
        <v>1.0</v>
      </c>
      <c r="F7502" s="59">
        <v>0.0</v>
      </c>
      <c r="G7502" s="60">
        <v>1.0</v>
      </c>
      <c r="H7502" s="60">
        <v>1.0</v>
      </c>
      <c r="I7502" s="60">
        <v>0.0</v>
      </c>
      <c r="J7502" s="59">
        <v>1.0</v>
      </c>
      <c r="K7502" s="61">
        <f t="shared" si="1"/>
        <v>0</v>
      </c>
      <c r="L7502" s="62">
        <f t="shared" si="2"/>
        <v>1</v>
      </c>
    </row>
    <row r="7503">
      <c r="A7503" s="58">
        <v>45536.0</v>
      </c>
      <c r="B7503" s="24" t="s">
        <v>6787</v>
      </c>
      <c r="C7503" s="24" t="s">
        <v>6953</v>
      </c>
      <c r="D7503" s="59">
        <v>1.0</v>
      </c>
      <c r="E7503" s="59">
        <v>1.0</v>
      </c>
      <c r="F7503" s="59">
        <v>1.0</v>
      </c>
      <c r="G7503" s="60">
        <v>1.0</v>
      </c>
      <c r="H7503" s="60">
        <v>0.0</v>
      </c>
      <c r="I7503" s="60">
        <v>16.599289</v>
      </c>
      <c r="J7503" s="59">
        <v>1.0</v>
      </c>
      <c r="K7503" s="61">
        <f t="shared" si="1"/>
        <v>1</v>
      </c>
      <c r="L7503" s="62">
        <f t="shared" si="2"/>
        <v>1</v>
      </c>
    </row>
    <row r="7504">
      <c r="A7504" s="58">
        <v>45536.0</v>
      </c>
      <c r="B7504" s="24" t="s">
        <v>6787</v>
      </c>
      <c r="C7504" s="24" t="s">
        <v>7056</v>
      </c>
      <c r="D7504" s="59">
        <v>1.0</v>
      </c>
      <c r="E7504" s="59">
        <v>1.0</v>
      </c>
      <c r="F7504" s="59">
        <v>1.0</v>
      </c>
      <c r="G7504" s="60">
        <v>1.0</v>
      </c>
      <c r="H7504" s="60">
        <v>1.0</v>
      </c>
      <c r="I7504" s="60">
        <v>0.0</v>
      </c>
      <c r="J7504" s="59">
        <v>1.0</v>
      </c>
      <c r="K7504" s="61">
        <f t="shared" si="1"/>
        <v>1</v>
      </c>
      <c r="L7504" s="62">
        <f t="shared" si="2"/>
        <v>1</v>
      </c>
    </row>
    <row r="7505">
      <c r="A7505" s="58">
        <v>45536.0</v>
      </c>
      <c r="B7505" s="24" t="s">
        <v>155</v>
      </c>
      <c r="C7505" s="24" t="s">
        <v>6804</v>
      </c>
      <c r="D7505" s="59">
        <v>1.0</v>
      </c>
      <c r="E7505" s="59">
        <v>1.0</v>
      </c>
      <c r="F7505" s="59">
        <v>1.0</v>
      </c>
      <c r="G7505" s="60">
        <v>1.0</v>
      </c>
      <c r="H7505" s="60">
        <v>1.0</v>
      </c>
      <c r="I7505" s="60">
        <v>0.0</v>
      </c>
      <c r="J7505" s="59">
        <v>1.0</v>
      </c>
      <c r="K7505" s="61">
        <f t="shared" si="1"/>
        <v>1</v>
      </c>
      <c r="L7505" s="62">
        <f t="shared" si="2"/>
        <v>1</v>
      </c>
    </row>
    <row r="7506">
      <c r="A7506" s="58">
        <v>45536.0</v>
      </c>
      <c r="B7506" s="24" t="s">
        <v>6789</v>
      </c>
      <c r="C7506" s="24" t="s">
        <v>7477</v>
      </c>
      <c r="D7506" s="59">
        <v>1.0</v>
      </c>
      <c r="E7506" s="59">
        <v>1.0</v>
      </c>
      <c r="F7506" s="59">
        <v>0.0</v>
      </c>
      <c r="G7506" s="60">
        <v>0.0</v>
      </c>
      <c r="H7506" s="60">
        <v>1.0</v>
      </c>
      <c r="I7506" s="60">
        <v>0.0</v>
      </c>
      <c r="J7506" s="59">
        <v>1.0</v>
      </c>
      <c r="K7506" s="61">
        <f t="shared" si="1"/>
        <v>0</v>
      </c>
      <c r="L7506" s="62">
        <f t="shared" si="2"/>
        <v>1</v>
      </c>
    </row>
    <row r="7507">
      <c r="A7507" s="58">
        <v>45536.0</v>
      </c>
      <c r="B7507" s="24" t="s">
        <v>6789</v>
      </c>
      <c r="C7507" s="24" t="s">
        <v>7057</v>
      </c>
      <c r="D7507" s="59">
        <v>1.0</v>
      </c>
      <c r="E7507" s="59">
        <v>1.0</v>
      </c>
      <c r="F7507" s="59">
        <v>1.0</v>
      </c>
      <c r="G7507" s="60">
        <v>1.0</v>
      </c>
      <c r="H7507" s="60">
        <v>1.0</v>
      </c>
      <c r="I7507" s="60">
        <v>0.0</v>
      </c>
      <c r="J7507" s="59">
        <v>1.0</v>
      </c>
      <c r="K7507" s="61">
        <f t="shared" si="1"/>
        <v>1</v>
      </c>
      <c r="L7507" s="62">
        <f t="shared" si="2"/>
        <v>1</v>
      </c>
    </row>
    <row r="7508">
      <c r="A7508" s="58">
        <v>45536.0</v>
      </c>
      <c r="B7508" s="24" t="s">
        <v>155</v>
      </c>
      <c r="C7508" s="24" t="s">
        <v>7058</v>
      </c>
      <c r="D7508" s="59">
        <v>1.0</v>
      </c>
      <c r="E7508" s="59">
        <v>1.0</v>
      </c>
      <c r="F7508" s="59">
        <v>1.0</v>
      </c>
      <c r="G7508" s="60">
        <v>1.0</v>
      </c>
      <c r="H7508" s="60">
        <v>1.0</v>
      </c>
      <c r="I7508" s="60">
        <v>0.0</v>
      </c>
      <c r="J7508" s="59">
        <v>1.0</v>
      </c>
      <c r="K7508" s="61">
        <f t="shared" si="1"/>
        <v>1</v>
      </c>
      <c r="L7508" s="62">
        <f t="shared" si="2"/>
        <v>1</v>
      </c>
    </row>
    <row r="7509">
      <c r="A7509" s="58">
        <v>45536.0</v>
      </c>
      <c r="B7509" s="24" t="s">
        <v>6787</v>
      </c>
      <c r="C7509" s="24" t="s">
        <v>6861</v>
      </c>
      <c r="D7509" s="59">
        <v>1.0</v>
      </c>
      <c r="E7509" s="59">
        <v>1.0</v>
      </c>
      <c r="F7509" s="59">
        <v>1.0</v>
      </c>
      <c r="G7509" s="60">
        <v>1.0</v>
      </c>
      <c r="H7509" s="60">
        <v>1.0</v>
      </c>
      <c r="I7509" s="60">
        <v>0.0</v>
      </c>
      <c r="J7509" s="59">
        <v>1.0</v>
      </c>
      <c r="K7509" s="61">
        <f t="shared" si="1"/>
        <v>1</v>
      </c>
      <c r="L7509" s="62">
        <f t="shared" si="2"/>
        <v>1</v>
      </c>
    </row>
    <row r="7510">
      <c r="A7510" s="58">
        <v>45536.0</v>
      </c>
      <c r="B7510" s="24" t="s">
        <v>6790</v>
      </c>
      <c r="C7510" s="24" t="s">
        <v>7059</v>
      </c>
      <c r="D7510" s="59">
        <v>1.0</v>
      </c>
      <c r="E7510" s="59">
        <v>1.0</v>
      </c>
      <c r="F7510" s="59">
        <v>0.0</v>
      </c>
      <c r="G7510" s="60">
        <v>1.0</v>
      </c>
      <c r="H7510" s="60">
        <v>0.0</v>
      </c>
      <c r="I7510" s="60">
        <v>2175.497101</v>
      </c>
      <c r="J7510" s="59">
        <v>1.0</v>
      </c>
      <c r="K7510" s="61">
        <f t="shared" si="1"/>
        <v>0</v>
      </c>
      <c r="L7510" s="62">
        <f t="shared" si="2"/>
        <v>1</v>
      </c>
    </row>
    <row r="7511">
      <c r="A7511" s="58">
        <v>45536.0</v>
      </c>
      <c r="B7511" s="24" t="s">
        <v>6787</v>
      </c>
      <c r="C7511" s="24" t="s">
        <v>6986</v>
      </c>
      <c r="D7511" s="59">
        <v>1.0</v>
      </c>
      <c r="E7511" s="59">
        <v>1.0</v>
      </c>
      <c r="F7511" s="59">
        <v>1.0</v>
      </c>
      <c r="G7511" s="60">
        <v>1.0</v>
      </c>
      <c r="H7511" s="60">
        <v>1.0</v>
      </c>
      <c r="I7511" s="60">
        <v>0.0</v>
      </c>
      <c r="J7511" s="59">
        <v>1.0</v>
      </c>
      <c r="K7511" s="61">
        <f t="shared" si="1"/>
        <v>1</v>
      </c>
      <c r="L7511" s="62">
        <f t="shared" si="2"/>
        <v>1</v>
      </c>
    </row>
    <row r="7512">
      <c r="A7512" s="58">
        <v>45536.0</v>
      </c>
      <c r="B7512" s="24" t="s">
        <v>6787</v>
      </c>
      <c r="C7512" s="24" t="s">
        <v>7061</v>
      </c>
      <c r="D7512" s="59">
        <v>1.0</v>
      </c>
      <c r="E7512" s="59">
        <v>1.0</v>
      </c>
      <c r="F7512" s="59">
        <v>1.0</v>
      </c>
      <c r="G7512" s="60">
        <v>1.0</v>
      </c>
      <c r="H7512" s="60">
        <v>1.0</v>
      </c>
      <c r="I7512" s="60">
        <v>0.0</v>
      </c>
      <c r="J7512" s="59">
        <v>1.0</v>
      </c>
      <c r="K7512" s="61">
        <f t="shared" si="1"/>
        <v>1</v>
      </c>
      <c r="L7512" s="62">
        <f t="shared" si="2"/>
        <v>1</v>
      </c>
    </row>
    <row r="7513">
      <c r="A7513" s="58">
        <v>45536.0</v>
      </c>
      <c r="B7513" s="24" t="s">
        <v>6789</v>
      </c>
      <c r="C7513" s="24" t="s">
        <v>6867</v>
      </c>
      <c r="D7513" s="59">
        <v>1.0</v>
      </c>
      <c r="E7513" s="59">
        <v>1.0</v>
      </c>
      <c r="F7513" s="59">
        <v>1.0</v>
      </c>
      <c r="G7513" s="60">
        <v>1.0</v>
      </c>
      <c r="H7513" s="60">
        <v>0.0</v>
      </c>
      <c r="I7513" s="60">
        <v>681.711877</v>
      </c>
      <c r="J7513" s="59">
        <v>1.0</v>
      </c>
      <c r="K7513" s="61">
        <f t="shared" si="1"/>
        <v>1</v>
      </c>
      <c r="L7513" s="62">
        <f t="shared" si="2"/>
        <v>1</v>
      </c>
    </row>
    <row r="7514">
      <c r="A7514" s="58">
        <v>45536.0</v>
      </c>
      <c r="B7514" s="24" t="s">
        <v>155</v>
      </c>
      <c r="C7514" s="24" t="s">
        <v>6988</v>
      </c>
      <c r="D7514" s="59">
        <v>1.0</v>
      </c>
      <c r="E7514" s="59">
        <v>1.0</v>
      </c>
      <c r="F7514" s="59">
        <v>0.0</v>
      </c>
      <c r="G7514" s="60">
        <v>1.0</v>
      </c>
      <c r="H7514" s="60">
        <v>0.0</v>
      </c>
      <c r="I7514" s="60">
        <v>15.192796</v>
      </c>
      <c r="J7514" s="59">
        <v>2.0</v>
      </c>
      <c r="K7514" s="61">
        <f t="shared" si="1"/>
        <v>0</v>
      </c>
      <c r="L7514" s="62">
        <f t="shared" si="2"/>
        <v>2</v>
      </c>
    </row>
    <row r="7515">
      <c r="A7515" s="58">
        <v>45536.0</v>
      </c>
      <c r="B7515" s="24" t="s">
        <v>6789</v>
      </c>
      <c r="C7515" s="24" t="s">
        <v>7062</v>
      </c>
      <c r="D7515" s="59">
        <v>1.0</v>
      </c>
      <c r="E7515" s="59">
        <v>1.0</v>
      </c>
      <c r="F7515" s="59">
        <v>1.0</v>
      </c>
      <c r="G7515" s="60">
        <v>1.0</v>
      </c>
      <c r="H7515" s="60">
        <v>0.0</v>
      </c>
      <c r="I7515" s="60">
        <v>93.700936</v>
      </c>
      <c r="J7515" s="59">
        <v>1.0</v>
      </c>
      <c r="K7515" s="61">
        <f t="shared" si="1"/>
        <v>1</v>
      </c>
      <c r="L7515" s="62">
        <f t="shared" si="2"/>
        <v>1</v>
      </c>
    </row>
    <row r="7516">
      <c r="A7516" s="58">
        <v>45536.0</v>
      </c>
      <c r="B7516" s="24" t="s">
        <v>6790</v>
      </c>
      <c r="C7516" s="24" t="s">
        <v>7063</v>
      </c>
      <c r="D7516" s="59">
        <v>1.0</v>
      </c>
      <c r="E7516" s="59">
        <v>1.0</v>
      </c>
      <c r="F7516" s="59">
        <v>0.0</v>
      </c>
      <c r="G7516" s="60">
        <v>1.0</v>
      </c>
      <c r="H7516" s="60">
        <v>0.0</v>
      </c>
      <c r="I7516" s="60">
        <v>1569.580468</v>
      </c>
      <c r="J7516" s="59">
        <v>2.0</v>
      </c>
      <c r="K7516" s="61">
        <f t="shared" si="1"/>
        <v>0</v>
      </c>
      <c r="L7516" s="62">
        <f t="shared" si="2"/>
        <v>2</v>
      </c>
    </row>
    <row r="7517">
      <c r="A7517" s="58">
        <v>45536.0</v>
      </c>
      <c r="B7517" s="24" t="s">
        <v>6789</v>
      </c>
      <c r="C7517" s="24" t="s">
        <v>7437</v>
      </c>
      <c r="D7517" s="59">
        <v>1.0</v>
      </c>
      <c r="E7517" s="59">
        <v>1.0</v>
      </c>
      <c r="F7517" s="59">
        <v>0.0</v>
      </c>
      <c r="G7517" s="60">
        <v>1.0</v>
      </c>
      <c r="H7517" s="60">
        <v>1.0</v>
      </c>
      <c r="I7517" s="60">
        <v>8.852781</v>
      </c>
      <c r="J7517" s="59">
        <v>1.0</v>
      </c>
      <c r="K7517" s="61">
        <f t="shared" si="1"/>
        <v>0</v>
      </c>
      <c r="L7517" s="62">
        <f t="shared" si="2"/>
        <v>1</v>
      </c>
    </row>
    <row r="7518">
      <c r="A7518" s="58">
        <v>45536.0</v>
      </c>
      <c r="B7518" s="24" t="s">
        <v>6790</v>
      </c>
      <c r="C7518" s="24" t="s">
        <v>7024</v>
      </c>
      <c r="D7518" s="59">
        <v>1.0</v>
      </c>
      <c r="E7518" s="59">
        <v>1.0</v>
      </c>
      <c r="F7518" s="59">
        <v>1.0</v>
      </c>
      <c r="G7518" s="60">
        <v>1.0</v>
      </c>
      <c r="H7518" s="60">
        <v>1.0</v>
      </c>
      <c r="I7518" s="60">
        <v>0.0</v>
      </c>
      <c r="J7518" s="59">
        <v>1.0</v>
      </c>
      <c r="K7518" s="61">
        <f t="shared" si="1"/>
        <v>1</v>
      </c>
      <c r="L7518" s="62">
        <f t="shared" si="2"/>
        <v>1</v>
      </c>
    </row>
    <row r="7519">
      <c r="A7519" s="58">
        <v>45536.0</v>
      </c>
      <c r="B7519" s="24" t="s">
        <v>6787</v>
      </c>
      <c r="C7519" s="24" t="s">
        <v>7065</v>
      </c>
      <c r="D7519" s="59">
        <v>1.0</v>
      </c>
      <c r="E7519" s="59">
        <v>1.0</v>
      </c>
      <c r="F7519" s="59">
        <v>1.0</v>
      </c>
      <c r="G7519" s="60">
        <v>1.0</v>
      </c>
      <c r="H7519" s="60">
        <v>1.0</v>
      </c>
      <c r="I7519" s="60">
        <v>0.0</v>
      </c>
      <c r="J7519" s="59">
        <v>1.0</v>
      </c>
      <c r="K7519" s="61">
        <f t="shared" si="1"/>
        <v>1</v>
      </c>
      <c r="L7519" s="62">
        <f t="shared" si="2"/>
        <v>1</v>
      </c>
    </row>
    <row r="7520">
      <c r="A7520" s="58">
        <v>45536.0</v>
      </c>
      <c r="B7520" s="24" t="s">
        <v>6787</v>
      </c>
      <c r="C7520" s="24" t="s">
        <v>6989</v>
      </c>
      <c r="D7520" s="59">
        <v>1.0</v>
      </c>
      <c r="E7520" s="59">
        <v>1.0</v>
      </c>
      <c r="F7520" s="59">
        <v>0.0</v>
      </c>
      <c r="G7520" s="60">
        <v>1.0</v>
      </c>
      <c r="H7520" s="60">
        <v>0.0</v>
      </c>
      <c r="I7520" s="60">
        <v>137.079146</v>
      </c>
      <c r="J7520" s="59">
        <v>2.0</v>
      </c>
      <c r="K7520" s="61">
        <f t="shared" si="1"/>
        <v>0</v>
      </c>
      <c r="L7520" s="62">
        <f t="shared" si="2"/>
        <v>2</v>
      </c>
    </row>
    <row r="7521">
      <c r="A7521" s="58">
        <v>45536.0</v>
      </c>
      <c r="B7521" s="24" t="s">
        <v>6787</v>
      </c>
      <c r="C7521" s="24" t="s">
        <v>6990</v>
      </c>
      <c r="D7521" s="59">
        <v>1.0</v>
      </c>
      <c r="E7521" s="59">
        <v>1.0</v>
      </c>
      <c r="F7521" s="59">
        <v>1.0</v>
      </c>
      <c r="G7521" s="60">
        <v>1.0</v>
      </c>
      <c r="H7521" s="60">
        <v>1.0</v>
      </c>
      <c r="I7521" s="60">
        <v>0.0</v>
      </c>
      <c r="J7521" s="59">
        <v>1.0</v>
      </c>
      <c r="K7521" s="61">
        <f t="shared" si="1"/>
        <v>1</v>
      </c>
      <c r="L7521" s="62">
        <f t="shared" si="2"/>
        <v>1</v>
      </c>
    </row>
    <row r="7522">
      <c r="A7522" s="58">
        <v>45536.0</v>
      </c>
      <c r="B7522" s="24" t="s">
        <v>6789</v>
      </c>
      <c r="C7522" s="24" t="s">
        <v>6990</v>
      </c>
      <c r="D7522" s="59">
        <v>1.0</v>
      </c>
      <c r="E7522" s="59">
        <v>1.0</v>
      </c>
      <c r="F7522" s="59">
        <v>1.0</v>
      </c>
      <c r="G7522" s="60">
        <v>1.0</v>
      </c>
      <c r="H7522" s="60">
        <v>1.0</v>
      </c>
      <c r="I7522" s="60">
        <v>3.170626</v>
      </c>
      <c r="J7522" s="59">
        <v>1.0</v>
      </c>
      <c r="K7522" s="61">
        <f t="shared" si="1"/>
        <v>1</v>
      </c>
      <c r="L7522" s="62">
        <f t="shared" si="2"/>
        <v>1</v>
      </c>
    </row>
    <row r="7523">
      <c r="A7523" s="58">
        <v>45536.0</v>
      </c>
      <c r="B7523" s="24" t="s">
        <v>6789</v>
      </c>
      <c r="C7523" s="24" t="s">
        <v>7067</v>
      </c>
      <c r="D7523" s="59">
        <v>1.0</v>
      </c>
      <c r="E7523" s="59">
        <v>1.0</v>
      </c>
      <c r="F7523" s="59">
        <v>1.0</v>
      </c>
      <c r="G7523" s="60">
        <v>1.0</v>
      </c>
      <c r="H7523" s="60">
        <v>0.0</v>
      </c>
      <c r="I7523" s="60">
        <v>41.596154</v>
      </c>
      <c r="J7523" s="59">
        <v>1.0</v>
      </c>
      <c r="K7523" s="61">
        <f t="shared" si="1"/>
        <v>1</v>
      </c>
      <c r="L7523" s="62">
        <f t="shared" si="2"/>
        <v>1</v>
      </c>
    </row>
    <row r="7524">
      <c r="A7524" s="58">
        <v>45536.0</v>
      </c>
      <c r="B7524" s="24" t="s">
        <v>6790</v>
      </c>
      <c r="C7524" s="24" t="s">
        <v>7068</v>
      </c>
      <c r="D7524" s="59">
        <v>1.0</v>
      </c>
      <c r="E7524" s="59">
        <v>1.0</v>
      </c>
      <c r="F7524" s="59">
        <v>0.0</v>
      </c>
      <c r="G7524" s="60">
        <v>1.0</v>
      </c>
      <c r="H7524" s="60">
        <v>1.0</v>
      </c>
      <c r="I7524" s="60">
        <v>0.0</v>
      </c>
      <c r="J7524" s="59">
        <v>1.0</v>
      </c>
      <c r="K7524" s="61">
        <f t="shared" si="1"/>
        <v>0</v>
      </c>
      <c r="L7524" s="62">
        <f t="shared" si="2"/>
        <v>1</v>
      </c>
    </row>
    <row r="7525">
      <c r="A7525" s="58">
        <v>45536.0</v>
      </c>
      <c r="B7525" s="24" t="s">
        <v>155</v>
      </c>
      <c r="C7525" s="24" t="s">
        <v>6835</v>
      </c>
      <c r="D7525" s="59">
        <v>1.0</v>
      </c>
      <c r="E7525" s="59">
        <v>1.0</v>
      </c>
      <c r="F7525" s="59">
        <v>1.0</v>
      </c>
      <c r="G7525" s="60">
        <v>1.0</v>
      </c>
      <c r="H7525" s="60">
        <v>0.0</v>
      </c>
      <c r="I7525" s="60">
        <v>632.105781</v>
      </c>
      <c r="J7525" s="59">
        <v>2.0</v>
      </c>
      <c r="K7525" s="61">
        <f t="shared" si="1"/>
        <v>1</v>
      </c>
      <c r="L7525" s="62">
        <f t="shared" si="2"/>
        <v>2</v>
      </c>
    </row>
    <row r="7526">
      <c r="A7526" s="58">
        <v>45536.0</v>
      </c>
      <c r="B7526" s="24" t="s">
        <v>6790</v>
      </c>
      <c r="C7526" s="24" t="s">
        <v>6835</v>
      </c>
      <c r="D7526" s="59">
        <v>1.0</v>
      </c>
      <c r="E7526" s="59">
        <v>1.0</v>
      </c>
      <c r="F7526" s="59">
        <v>1.0</v>
      </c>
      <c r="G7526" s="60">
        <v>1.0</v>
      </c>
      <c r="H7526" s="60">
        <v>1.0</v>
      </c>
      <c r="I7526" s="60">
        <v>0.0</v>
      </c>
      <c r="J7526" s="59">
        <v>1.0</v>
      </c>
      <c r="K7526" s="61">
        <f t="shared" si="1"/>
        <v>1</v>
      </c>
      <c r="L7526" s="62">
        <f t="shared" si="2"/>
        <v>1</v>
      </c>
    </row>
    <row r="7527">
      <c r="A7527" s="58">
        <v>45536.0</v>
      </c>
      <c r="B7527" s="24" t="s">
        <v>155</v>
      </c>
      <c r="C7527" s="24" t="s">
        <v>6994</v>
      </c>
      <c r="D7527" s="59">
        <v>1.0</v>
      </c>
      <c r="E7527" s="59">
        <v>2.0</v>
      </c>
      <c r="F7527" s="59">
        <v>1.0</v>
      </c>
      <c r="G7527" s="60">
        <v>2.0</v>
      </c>
      <c r="H7527" s="60">
        <v>0.5</v>
      </c>
      <c r="I7527" s="60">
        <v>59.534209</v>
      </c>
      <c r="J7527" s="59">
        <v>2.0</v>
      </c>
      <c r="K7527" s="61">
        <f t="shared" si="1"/>
        <v>0.5</v>
      </c>
      <c r="L7527" s="62">
        <f t="shared" si="2"/>
        <v>1</v>
      </c>
    </row>
    <row r="7528">
      <c r="A7528" s="58">
        <v>45536.0</v>
      </c>
      <c r="B7528" s="24" t="s">
        <v>6789</v>
      </c>
      <c r="C7528" s="24" t="s">
        <v>6886</v>
      </c>
      <c r="D7528" s="59">
        <v>1.0</v>
      </c>
      <c r="E7528" s="59">
        <v>1.0</v>
      </c>
      <c r="F7528" s="59">
        <v>0.0</v>
      </c>
      <c r="G7528" s="60">
        <v>1.0</v>
      </c>
      <c r="H7528" s="60">
        <v>0.0</v>
      </c>
      <c r="I7528" s="60">
        <v>147.780036</v>
      </c>
      <c r="J7528" s="59">
        <v>1.0</v>
      </c>
      <c r="K7528" s="61">
        <f t="shared" si="1"/>
        <v>0</v>
      </c>
      <c r="L7528" s="62">
        <f t="shared" si="2"/>
        <v>1</v>
      </c>
    </row>
    <row r="7529">
      <c r="A7529" s="58">
        <v>45536.0</v>
      </c>
      <c r="B7529" s="24" t="s">
        <v>6794</v>
      </c>
      <c r="C7529" s="24" t="s">
        <v>6799</v>
      </c>
      <c r="D7529" s="59">
        <v>1.0</v>
      </c>
      <c r="E7529" s="59">
        <v>1.0</v>
      </c>
      <c r="F7529" s="59">
        <v>0.0</v>
      </c>
      <c r="G7529" s="60">
        <v>1.0</v>
      </c>
      <c r="H7529" s="60">
        <v>0.0</v>
      </c>
      <c r="I7529" s="60">
        <v>18.7709</v>
      </c>
      <c r="J7529" s="59">
        <v>1.0</v>
      </c>
      <c r="K7529" s="61">
        <f t="shared" si="1"/>
        <v>0</v>
      </c>
      <c r="L7529" s="62">
        <f t="shared" si="2"/>
        <v>1</v>
      </c>
    </row>
    <row r="7530">
      <c r="A7530" s="58">
        <v>45536.0</v>
      </c>
      <c r="B7530" s="24" t="s">
        <v>155</v>
      </c>
      <c r="C7530" s="24" t="s">
        <v>6799</v>
      </c>
      <c r="D7530" s="59">
        <v>1.0</v>
      </c>
      <c r="E7530" s="59">
        <v>1.0</v>
      </c>
      <c r="F7530" s="59">
        <v>0.0</v>
      </c>
      <c r="G7530" s="60">
        <v>1.0</v>
      </c>
      <c r="H7530" s="60">
        <v>0.0</v>
      </c>
      <c r="I7530" s="60">
        <v>1296.878594</v>
      </c>
      <c r="J7530" s="59">
        <v>1.0</v>
      </c>
      <c r="K7530" s="61">
        <f t="shared" si="1"/>
        <v>0</v>
      </c>
      <c r="L7530" s="62">
        <f t="shared" si="2"/>
        <v>1</v>
      </c>
    </row>
    <row r="7531">
      <c r="A7531" s="58">
        <v>45536.0</v>
      </c>
      <c r="B7531" s="24" t="s">
        <v>155</v>
      </c>
      <c r="C7531" s="24" t="s">
        <v>6820</v>
      </c>
      <c r="D7531" s="59">
        <v>1.0</v>
      </c>
      <c r="E7531" s="59">
        <v>4.0</v>
      </c>
      <c r="F7531" s="59">
        <v>0.0</v>
      </c>
      <c r="G7531" s="60">
        <v>4.0</v>
      </c>
      <c r="H7531" s="60">
        <v>1.0</v>
      </c>
      <c r="I7531" s="60">
        <v>0.0</v>
      </c>
      <c r="J7531" s="59">
        <v>4.0</v>
      </c>
      <c r="K7531" s="61">
        <f t="shared" si="1"/>
        <v>0</v>
      </c>
      <c r="L7531" s="62">
        <f t="shared" si="2"/>
        <v>1</v>
      </c>
    </row>
    <row r="7532">
      <c r="A7532" s="58">
        <v>45536.0</v>
      </c>
      <c r="B7532" s="24" t="s">
        <v>155</v>
      </c>
      <c r="C7532" s="24" t="s">
        <v>6997</v>
      </c>
      <c r="D7532" s="59">
        <v>1.0</v>
      </c>
      <c r="E7532" s="59">
        <v>1.0</v>
      </c>
      <c r="F7532" s="59">
        <v>1.0</v>
      </c>
      <c r="G7532" s="60">
        <v>1.0</v>
      </c>
      <c r="H7532" s="60">
        <v>1.0</v>
      </c>
      <c r="I7532" s="60">
        <v>0.0</v>
      </c>
      <c r="J7532" s="59">
        <v>1.0</v>
      </c>
      <c r="K7532" s="61">
        <f t="shared" si="1"/>
        <v>1</v>
      </c>
      <c r="L7532" s="62">
        <f t="shared" si="2"/>
        <v>1</v>
      </c>
    </row>
    <row r="7533">
      <c r="A7533" s="58">
        <v>45536.0</v>
      </c>
      <c r="B7533" s="24" t="s">
        <v>155</v>
      </c>
      <c r="C7533" s="24" t="s">
        <v>6822</v>
      </c>
      <c r="D7533" s="59">
        <v>1.0</v>
      </c>
      <c r="E7533" s="59">
        <v>1.0</v>
      </c>
      <c r="F7533" s="59">
        <v>0.0</v>
      </c>
      <c r="G7533" s="60">
        <v>1.0</v>
      </c>
      <c r="H7533" s="60">
        <v>0.0</v>
      </c>
      <c r="I7533" s="60">
        <v>1105.595311</v>
      </c>
      <c r="J7533" s="59">
        <v>11.0</v>
      </c>
      <c r="K7533" s="61">
        <f t="shared" si="1"/>
        <v>0</v>
      </c>
      <c r="L7533" s="62">
        <f t="shared" si="2"/>
        <v>11</v>
      </c>
    </row>
    <row r="7534">
      <c r="A7534" s="58">
        <v>45536.0</v>
      </c>
      <c r="B7534" s="24" t="s">
        <v>6789</v>
      </c>
      <c r="C7534" s="24" t="s">
        <v>7438</v>
      </c>
      <c r="D7534" s="59">
        <v>1.0</v>
      </c>
      <c r="E7534" s="59">
        <v>1.0</v>
      </c>
      <c r="F7534" s="59">
        <v>1.0</v>
      </c>
      <c r="G7534" s="60">
        <v>1.0</v>
      </c>
      <c r="H7534" s="60">
        <v>1.0</v>
      </c>
      <c r="I7534" s="60">
        <v>3.045293</v>
      </c>
      <c r="J7534" s="59">
        <v>1.0</v>
      </c>
      <c r="K7534" s="61">
        <f t="shared" si="1"/>
        <v>1</v>
      </c>
      <c r="L7534" s="62">
        <f t="shared" si="2"/>
        <v>1</v>
      </c>
    </row>
    <row r="7535">
      <c r="A7535" s="58">
        <v>45536.0</v>
      </c>
      <c r="B7535" s="24" t="s">
        <v>6787</v>
      </c>
      <c r="C7535" s="24" t="s">
        <v>6896</v>
      </c>
      <c r="D7535" s="59">
        <v>1.0</v>
      </c>
      <c r="E7535" s="59">
        <v>1.0</v>
      </c>
      <c r="F7535" s="59">
        <v>1.0</v>
      </c>
      <c r="G7535" s="60">
        <v>1.0</v>
      </c>
      <c r="H7535" s="60">
        <v>0.0</v>
      </c>
      <c r="I7535" s="60">
        <v>396.375359</v>
      </c>
      <c r="J7535" s="59">
        <v>4.0</v>
      </c>
      <c r="K7535" s="61">
        <f t="shared" si="1"/>
        <v>1</v>
      </c>
      <c r="L7535" s="62">
        <f t="shared" si="2"/>
        <v>4</v>
      </c>
    </row>
    <row r="7536">
      <c r="A7536" s="58">
        <v>45536.0</v>
      </c>
      <c r="B7536" s="24" t="s">
        <v>6789</v>
      </c>
      <c r="C7536" s="24" t="s">
        <v>6896</v>
      </c>
      <c r="D7536" s="59">
        <v>1.0</v>
      </c>
      <c r="E7536" s="59">
        <v>1.0</v>
      </c>
      <c r="F7536" s="59">
        <v>1.0</v>
      </c>
      <c r="G7536" s="60">
        <v>1.0</v>
      </c>
      <c r="H7536" s="60">
        <v>1.0</v>
      </c>
      <c r="I7536" s="60">
        <v>0.0</v>
      </c>
      <c r="J7536" s="59">
        <v>1.0</v>
      </c>
      <c r="K7536" s="61">
        <f t="shared" si="1"/>
        <v>1</v>
      </c>
      <c r="L7536" s="62">
        <f t="shared" si="2"/>
        <v>1</v>
      </c>
    </row>
    <row r="7537">
      <c r="A7537" s="58">
        <v>45536.0</v>
      </c>
      <c r="B7537" s="24" t="s">
        <v>6794</v>
      </c>
      <c r="C7537" s="24" t="s">
        <v>6896</v>
      </c>
      <c r="D7537" s="59">
        <v>1.0</v>
      </c>
      <c r="E7537" s="59">
        <v>1.0</v>
      </c>
      <c r="F7537" s="59">
        <v>0.0</v>
      </c>
      <c r="G7537" s="60">
        <v>1.0</v>
      </c>
      <c r="H7537" s="60">
        <v>0.0</v>
      </c>
      <c r="I7537" s="60">
        <v>961.837445</v>
      </c>
      <c r="J7537" s="59">
        <v>5.0</v>
      </c>
      <c r="K7537" s="61">
        <f t="shared" si="1"/>
        <v>0</v>
      </c>
      <c r="L7537" s="62">
        <f t="shared" si="2"/>
        <v>5</v>
      </c>
    </row>
    <row r="7538">
      <c r="A7538" s="58">
        <v>45536.0</v>
      </c>
      <c r="B7538" s="24" t="s">
        <v>6787</v>
      </c>
      <c r="C7538" s="24" t="s">
        <v>6823</v>
      </c>
      <c r="D7538" s="59">
        <v>1.0</v>
      </c>
      <c r="E7538" s="59">
        <v>1.0</v>
      </c>
      <c r="F7538" s="59">
        <v>1.0</v>
      </c>
      <c r="G7538" s="60">
        <v>1.0</v>
      </c>
      <c r="H7538" s="60">
        <v>1.0</v>
      </c>
      <c r="I7538" s="60">
        <v>0.0</v>
      </c>
      <c r="J7538" s="59">
        <v>1.0</v>
      </c>
      <c r="K7538" s="61">
        <f t="shared" si="1"/>
        <v>1</v>
      </c>
      <c r="L7538" s="62">
        <f t="shared" si="2"/>
        <v>1</v>
      </c>
    </row>
    <row r="7539">
      <c r="A7539" s="58">
        <v>45536.0</v>
      </c>
      <c r="B7539" s="24" t="s">
        <v>6787</v>
      </c>
      <c r="C7539" s="24" t="s">
        <v>7528</v>
      </c>
      <c r="D7539" s="59">
        <v>1.0</v>
      </c>
      <c r="E7539" s="59">
        <v>1.0</v>
      </c>
      <c r="F7539" s="59">
        <v>1.0</v>
      </c>
      <c r="G7539" s="60">
        <v>1.0</v>
      </c>
      <c r="H7539" s="60">
        <v>0.0</v>
      </c>
      <c r="I7539" s="60">
        <v>710.413699</v>
      </c>
      <c r="J7539" s="59">
        <v>2.0</v>
      </c>
      <c r="K7539" s="61">
        <f t="shared" si="1"/>
        <v>1</v>
      </c>
      <c r="L7539" s="62">
        <f t="shared" si="2"/>
        <v>2</v>
      </c>
    </row>
    <row r="7540">
      <c r="A7540" s="58">
        <v>45536.0</v>
      </c>
      <c r="B7540" s="24" t="s">
        <v>6789</v>
      </c>
      <c r="C7540" s="24" t="s">
        <v>7195</v>
      </c>
      <c r="D7540" s="59">
        <v>1.0</v>
      </c>
      <c r="E7540" s="59">
        <v>3.0</v>
      </c>
      <c r="F7540" s="59">
        <v>0.0</v>
      </c>
      <c r="G7540" s="60">
        <v>3.0</v>
      </c>
      <c r="H7540" s="60">
        <v>0.0</v>
      </c>
      <c r="I7540" s="60">
        <v>1956.20837133333</v>
      </c>
      <c r="J7540" s="59">
        <v>7.0</v>
      </c>
      <c r="K7540" s="61">
        <f t="shared" si="1"/>
        <v>0</v>
      </c>
      <c r="L7540" s="62">
        <f t="shared" si="2"/>
        <v>2.333333333</v>
      </c>
    </row>
    <row r="7541">
      <c r="A7541" s="58">
        <v>45536.0</v>
      </c>
      <c r="B7541" s="24" t="s">
        <v>155</v>
      </c>
      <c r="C7541" s="24" t="s">
        <v>7195</v>
      </c>
      <c r="D7541" s="59">
        <v>1.0</v>
      </c>
      <c r="E7541" s="59">
        <v>2.0</v>
      </c>
      <c r="F7541" s="59">
        <v>0.0</v>
      </c>
      <c r="G7541" s="60">
        <v>2.0</v>
      </c>
      <c r="H7541" s="60">
        <v>0.0</v>
      </c>
      <c r="I7541" s="60">
        <v>1988.42971399999</v>
      </c>
      <c r="J7541" s="59">
        <v>24.0</v>
      </c>
      <c r="K7541" s="61">
        <f t="shared" si="1"/>
        <v>0</v>
      </c>
      <c r="L7541" s="62">
        <f t="shared" si="2"/>
        <v>12</v>
      </c>
    </row>
    <row r="7542">
      <c r="A7542" s="58">
        <v>45536.0</v>
      </c>
      <c r="B7542" s="24" t="s">
        <v>6787</v>
      </c>
      <c r="C7542" s="24" t="s">
        <v>6811</v>
      </c>
      <c r="D7542" s="59">
        <v>1.0</v>
      </c>
      <c r="E7542" s="59">
        <v>1.0</v>
      </c>
      <c r="F7542" s="59">
        <v>0.0</v>
      </c>
      <c r="G7542" s="60">
        <v>1.0</v>
      </c>
      <c r="H7542" s="60">
        <v>0.0</v>
      </c>
      <c r="I7542" s="60">
        <v>1126.687157</v>
      </c>
      <c r="J7542" s="59">
        <v>3.0</v>
      </c>
      <c r="K7542" s="61">
        <f t="shared" si="1"/>
        <v>0</v>
      </c>
      <c r="L7542" s="62">
        <f t="shared" si="2"/>
        <v>3</v>
      </c>
    </row>
    <row r="7543">
      <c r="A7543" s="58">
        <v>45536.0</v>
      </c>
      <c r="B7543" s="24" t="s">
        <v>6789</v>
      </c>
      <c r="C7543" s="24" t="s">
        <v>6811</v>
      </c>
      <c r="D7543" s="59">
        <v>1.0</v>
      </c>
      <c r="E7543" s="59">
        <v>1.0</v>
      </c>
      <c r="F7543" s="59">
        <v>0.0</v>
      </c>
      <c r="G7543" s="60">
        <v>1.0</v>
      </c>
      <c r="H7543" s="60">
        <v>0.0</v>
      </c>
      <c r="I7543" s="60">
        <v>2125.579394</v>
      </c>
      <c r="J7543" s="59">
        <v>3.0</v>
      </c>
      <c r="K7543" s="61">
        <f t="shared" si="1"/>
        <v>0</v>
      </c>
      <c r="L7543" s="62">
        <f t="shared" si="2"/>
        <v>3</v>
      </c>
    </row>
    <row r="7544">
      <c r="A7544" s="58">
        <v>45536.0</v>
      </c>
      <c r="B7544" s="24" t="s">
        <v>6790</v>
      </c>
      <c r="C7544" s="24" t="s">
        <v>7307</v>
      </c>
      <c r="D7544" s="59">
        <v>1.0</v>
      </c>
      <c r="E7544" s="59">
        <v>1.0</v>
      </c>
      <c r="F7544" s="59">
        <v>0.0</v>
      </c>
      <c r="G7544" s="60">
        <v>1.0</v>
      </c>
      <c r="H7544" s="60">
        <v>0.0</v>
      </c>
      <c r="I7544" s="60">
        <v>26.90249</v>
      </c>
      <c r="J7544" s="59">
        <v>2.0</v>
      </c>
      <c r="K7544" s="61">
        <f t="shared" si="1"/>
        <v>0</v>
      </c>
      <c r="L7544" s="62">
        <f t="shared" si="2"/>
        <v>2</v>
      </c>
    </row>
    <row r="7545">
      <c r="A7545" s="58">
        <v>45536.0</v>
      </c>
      <c r="B7545" s="24" t="s">
        <v>6787</v>
      </c>
      <c r="C7545" s="24" t="s">
        <v>6905</v>
      </c>
      <c r="D7545" s="59">
        <v>1.0</v>
      </c>
      <c r="E7545" s="59">
        <v>1.0</v>
      </c>
      <c r="F7545" s="59">
        <v>1.0</v>
      </c>
      <c r="G7545" s="60">
        <v>1.0</v>
      </c>
      <c r="H7545" s="60">
        <v>0.0</v>
      </c>
      <c r="I7545" s="60">
        <v>46.768251</v>
      </c>
      <c r="J7545" s="59">
        <v>8.0</v>
      </c>
      <c r="K7545" s="61">
        <f t="shared" si="1"/>
        <v>1</v>
      </c>
      <c r="L7545" s="62">
        <f t="shared" si="2"/>
        <v>8</v>
      </c>
    </row>
    <row r="7546">
      <c r="A7546" s="58">
        <v>45536.0</v>
      </c>
      <c r="B7546" s="24" t="s">
        <v>6787</v>
      </c>
      <c r="C7546" s="24" t="s">
        <v>7529</v>
      </c>
      <c r="D7546" s="59">
        <v>1.0</v>
      </c>
      <c r="E7546" s="59">
        <v>1.0</v>
      </c>
      <c r="F7546" s="59">
        <v>0.0</v>
      </c>
      <c r="G7546" s="60">
        <v>1.0</v>
      </c>
      <c r="H7546" s="60">
        <v>0.0</v>
      </c>
      <c r="I7546" s="60">
        <v>119.88529</v>
      </c>
      <c r="J7546" s="59">
        <v>2.0</v>
      </c>
      <c r="K7546" s="61">
        <f t="shared" si="1"/>
        <v>0</v>
      </c>
      <c r="L7546" s="62">
        <f t="shared" si="2"/>
        <v>2</v>
      </c>
    </row>
    <row r="7547">
      <c r="A7547" s="58">
        <v>45536.0</v>
      </c>
      <c r="B7547" s="24" t="s">
        <v>6789</v>
      </c>
      <c r="C7547" s="24" t="s">
        <v>7527</v>
      </c>
      <c r="D7547" s="59">
        <v>1.0</v>
      </c>
      <c r="E7547" s="59">
        <v>1.0</v>
      </c>
      <c r="F7547" s="59">
        <v>0.0</v>
      </c>
      <c r="G7547" s="60">
        <v>1.0</v>
      </c>
      <c r="H7547" s="60">
        <v>0.0</v>
      </c>
      <c r="I7547" s="60">
        <v>1916.724372</v>
      </c>
      <c r="J7547" s="59">
        <v>8.0</v>
      </c>
      <c r="K7547" s="61">
        <f t="shared" si="1"/>
        <v>0</v>
      </c>
      <c r="L7547" s="62">
        <f t="shared" si="2"/>
        <v>8</v>
      </c>
    </row>
    <row r="7548">
      <c r="A7548" s="58">
        <v>45536.0</v>
      </c>
      <c r="B7548" s="24" t="s">
        <v>155</v>
      </c>
      <c r="C7548" s="24" t="s">
        <v>7530</v>
      </c>
      <c r="D7548" s="59">
        <v>1.0</v>
      </c>
      <c r="E7548" s="59">
        <v>1.0</v>
      </c>
      <c r="F7548" s="59">
        <v>0.0</v>
      </c>
      <c r="G7548" s="60">
        <v>1.0</v>
      </c>
      <c r="H7548" s="60">
        <v>0.0</v>
      </c>
      <c r="I7548" s="60">
        <v>1588.065016</v>
      </c>
      <c r="J7548" s="59">
        <v>13.0</v>
      </c>
      <c r="K7548" s="61">
        <f t="shared" si="1"/>
        <v>0</v>
      </c>
      <c r="L7548" s="62">
        <f t="shared" si="2"/>
        <v>13</v>
      </c>
    </row>
    <row r="7549">
      <c r="A7549" s="58">
        <v>45536.0</v>
      </c>
      <c r="B7549" s="24" t="s">
        <v>6787</v>
      </c>
      <c r="C7549" s="24" t="s">
        <v>7236</v>
      </c>
      <c r="D7549" s="59">
        <v>1.0</v>
      </c>
      <c r="E7549" s="59">
        <v>1.0</v>
      </c>
      <c r="F7549" s="59">
        <v>0.0</v>
      </c>
      <c r="G7549" s="60">
        <v>0.0</v>
      </c>
      <c r="H7549" s="60">
        <v>1.0</v>
      </c>
      <c r="I7549" s="60">
        <v>0.0</v>
      </c>
      <c r="J7549" s="59">
        <v>1.0</v>
      </c>
      <c r="K7549" s="61">
        <f t="shared" si="1"/>
        <v>0</v>
      </c>
      <c r="L7549" s="62">
        <f t="shared" si="2"/>
        <v>1</v>
      </c>
    </row>
    <row r="7550">
      <c r="A7550" s="58">
        <v>45536.0</v>
      </c>
      <c r="B7550" s="24" t="s">
        <v>155</v>
      </c>
      <c r="C7550" s="24" t="s">
        <v>7236</v>
      </c>
      <c r="D7550" s="59">
        <v>1.0</v>
      </c>
      <c r="E7550" s="59">
        <v>1.0</v>
      </c>
      <c r="F7550" s="59">
        <v>0.0</v>
      </c>
      <c r="G7550" s="60">
        <v>1.0</v>
      </c>
      <c r="H7550" s="60">
        <v>1.0</v>
      </c>
      <c r="I7550" s="60">
        <v>0.0</v>
      </c>
      <c r="J7550" s="59">
        <v>1.0</v>
      </c>
      <c r="K7550" s="61">
        <f t="shared" si="1"/>
        <v>0</v>
      </c>
      <c r="L7550" s="62">
        <f t="shared" si="2"/>
        <v>1</v>
      </c>
    </row>
    <row r="7551">
      <c r="A7551" s="58">
        <v>45536.0</v>
      </c>
      <c r="B7551" s="24" t="s">
        <v>6790</v>
      </c>
      <c r="C7551" s="24" t="s">
        <v>7236</v>
      </c>
      <c r="D7551" s="59">
        <v>1.0</v>
      </c>
      <c r="E7551" s="59">
        <v>1.0</v>
      </c>
      <c r="F7551" s="59">
        <v>0.0</v>
      </c>
      <c r="G7551" s="60">
        <v>1.0</v>
      </c>
      <c r="H7551" s="60">
        <v>1.0</v>
      </c>
      <c r="I7551" s="60">
        <v>6.326739</v>
      </c>
      <c r="J7551" s="59">
        <v>1.0</v>
      </c>
      <c r="K7551" s="61">
        <f t="shared" si="1"/>
        <v>0</v>
      </c>
      <c r="L7551" s="62">
        <f t="shared" si="2"/>
        <v>1</v>
      </c>
    </row>
    <row r="7552">
      <c r="A7552" s="58">
        <v>45536.0</v>
      </c>
      <c r="B7552" s="24" t="s">
        <v>6789</v>
      </c>
      <c r="C7552" s="24" t="s">
        <v>7206</v>
      </c>
      <c r="D7552" s="59">
        <v>1.0</v>
      </c>
      <c r="E7552" s="59">
        <v>2.0</v>
      </c>
      <c r="F7552" s="59">
        <v>0.0</v>
      </c>
      <c r="G7552" s="60">
        <v>2.0</v>
      </c>
      <c r="H7552" s="60">
        <v>0.0</v>
      </c>
      <c r="I7552" s="60">
        <v>547.846512</v>
      </c>
      <c r="J7552" s="59">
        <v>4.0</v>
      </c>
      <c r="K7552" s="61">
        <f t="shared" si="1"/>
        <v>0</v>
      </c>
      <c r="L7552" s="62">
        <f t="shared" si="2"/>
        <v>2</v>
      </c>
    </row>
    <row r="7553">
      <c r="A7553" s="58">
        <v>45536.0</v>
      </c>
      <c r="B7553" s="24" t="s">
        <v>6787</v>
      </c>
      <c r="C7553" s="24" t="s">
        <v>7531</v>
      </c>
      <c r="D7553" s="59">
        <v>1.0</v>
      </c>
      <c r="E7553" s="59">
        <v>1.0</v>
      </c>
      <c r="F7553" s="59">
        <v>1.0</v>
      </c>
      <c r="G7553" s="60">
        <v>1.0</v>
      </c>
      <c r="H7553" s="60">
        <v>1.0</v>
      </c>
      <c r="I7553" s="60">
        <v>0.0</v>
      </c>
      <c r="J7553" s="59">
        <v>1.0</v>
      </c>
      <c r="K7553" s="61">
        <f t="shared" si="1"/>
        <v>1</v>
      </c>
      <c r="L7553" s="62">
        <f t="shared" si="2"/>
        <v>1</v>
      </c>
    </row>
    <row r="7554">
      <c r="A7554" s="58">
        <v>45536.0</v>
      </c>
      <c r="B7554" s="24" t="s">
        <v>6787</v>
      </c>
      <c r="C7554" s="24" t="s">
        <v>7532</v>
      </c>
      <c r="D7554" s="59">
        <v>1.0</v>
      </c>
      <c r="E7554" s="59">
        <v>1.0</v>
      </c>
      <c r="F7554" s="59">
        <v>1.0</v>
      </c>
      <c r="G7554" s="60">
        <v>1.0</v>
      </c>
      <c r="H7554" s="60">
        <v>1.0</v>
      </c>
      <c r="I7554" s="60">
        <v>0.0</v>
      </c>
      <c r="J7554" s="59">
        <v>1.0</v>
      </c>
      <c r="K7554" s="61">
        <f t="shared" si="1"/>
        <v>1</v>
      </c>
      <c r="L7554" s="62">
        <f t="shared" si="2"/>
        <v>1</v>
      </c>
    </row>
    <row r="7555">
      <c r="A7555" s="58">
        <v>45536.0</v>
      </c>
      <c r="B7555" s="24" t="s">
        <v>6787</v>
      </c>
      <c r="C7555" s="24" t="s">
        <v>7533</v>
      </c>
      <c r="D7555" s="59">
        <v>1.0</v>
      </c>
      <c r="E7555" s="59">
        <v>1.0</v>
      </c>
      <c r="F7555" s="59">
        <v>1.0</v>
      </c>
      <c r="G7555" s="60">
        <v>1.0</v>
      </c>
      <c r="H7555" s="60">
        <v>1.0</v>
      </c>
      <c r="I7555" s="60">
        <v>0.0</v>
      </c>
      <c r="J7555" s="59">
        <v>1.0</v>
      </c>
      <c r="K7555" s="61">
        <f t="shared" si="1"/>
        <v>1</v>
      </c>
      <c r="L7555" s="62">
        <f t="shared" si="2"/>
        <v>1</v>
      </c>
    </row>
    <row r="7556">
      <c r="A7556" s="58">
        <v>45536.0</v>
      </c>
      <c r="B7556" s="24" t="s">
        <v>6787</v>
      </c>
      <c r="C7556" s="24" t="s">
        <v>7534</v>
      </c>
      <c r="D7556" s="59">
        <v>1.0</v>
      </c>
      <c r="E7556" s="59">
        <v>1.0</v>
      </c>
      <c r="F7556" s="59">
        <v>1.0</v>
      </c>
      <c r="G7556" s="60">
        <v>1.0</v>
      </c>
      <c r="H7556" s="60">
        <v>1.0</v>
      </c>
      <c r="I7556" s="60">
        <v>0.0</v>
      </c>
      <c r="J7556" s="59">
        <v>1.0</v>
      </c>
      <c r="K7556" s="61">
        <f t="shared" si="1"/>
        <v>1</v>
      </c>
      <c r="L7556" s="62">
        <f t="shared" si="2"/>
        <v>1</v>
      </c>
    </row>
    <row r="7557">
      <c r="A7557" s="58">
        <v>45536.0</v>
      </c>
      <c r="B7557" s="24" t="s">
        <v>6787</v>
      </c>
      <c r="C7557" s="24" t="s">
        <v>7535</v>
      </c>
      <c r="D7557" s="59">
        <v>1.0</v>
      </c>
      <c r="E7557" s="59">
        <v>1.0</v>
      </c>
      <c r="F7557" s="59">
        <v>1.0</v>
      </c>
      <c r="G7557" s="60">
        <v>1.0</v>
      </c>
      <c r="H7557" s="60">
        <v>1.0</v>
      </c>
      <c r="I7557" s="60">
        <v>0.0</v>
      </c>
      <c r="J7557" s="59">
        <v>1.0</v>
      </c>
      <c r="K7557" s="61">
        <f t="shared" si="1"/>
        <v>1</v>
      </c>
      <c r="L7557" s="62">
        <f t="shared" si="2"/>
        <v>1</v>
      </c>
    </row>
    <row r="7558">
      <c r="A7558" s="58">
        <v>45536.0</v>
      </c>
      <c r="B7558" s="24" t="s">
        <v>6787</v>
      </c>
      <c r="C7558" s="24" t="s">
        <v>7536</v>
      </c>
      <c r="D7558" s="59">
        <v>1.0</v>
      </c>
      <c r="E7558" s="59">
        <v>1.0</v>
      </c>
      <c r="F7558" s="59">
        <v>1.0</v>
      </c>
      <c r="G7558" s="60">
        <v>1.0</v>
      </c>
      <c r="H7558" s="60">
        <v>1.0</v>
      </c>
      <c r="I7558" s="60">
        <v>0.0</v>
      </c>
      <c r="J7558" s="59">
        <v>1.0</v>
      </c>
      <c r="K7558" s="61">
        <f t="shared" si="1"/>
        <v>1</v>
      </c>
      <c r="L7558" s="62">
        <f t="shared" si="2"/>
        <v>1</v>
      </c>
    </row>
    <row r="7559">
      <c r="A7559" s="58">
        <v>45536.0</v>
      </c>
      <c r="B7559" s="24" t="s">
        <v>6787</v>
      </c>
      <c r="C7559" s="24" t="s">
        <v>7537</v>
      </c>
      <c r="D7559" s="59">
        <v>1.0</v>
      </c>
      <c r="E7559" s="59">
        <v>1.0</v>
      </c>
      <c r="F7559" s="59">
        <v>1.0</v>
      </c>
      <c r="G7559" s="60">
        <v>1.0</v>
      </c>
      <c r="H7559" s="60">
        <v>1.0</v>
      </c>
      <c r="I7559" s="60">
        <v>0.0</v>
      </c>
      <c r="J7559" s="59">
        <v>1.0</v>
      </c>
      <c r="K7559" s="61">
        <f t="shared" si="1"/>
        <v>1</v>
      </c>
      <c r="L7559" s="62">
        <f t="shared" si="2"/>
        <v>1</v>
      </c>
    </row>
    <row r="7560">
      <c r="A7560" s="58">
        <v>45536.0</v>
      </c>
      <c r="B7560" s="24" t="s">
        <v>6787</v>
      </c>
      <c r="C7560" s="24" t="s">
        <v>7538</v>
      </c>
      <c r="D7560" s="59">
        <v>1.0</v>
      </c>
      <c r="E7560" s="59">
        <v>1.0</v>
      </c>
      <c r="F7560" s="59">
        <v>1.0</v>
      </c>
      <c r="G7560" s="60">
        <v>1.0</v>
      </c>
      <c r="H7560" s="60">
        <v>1.0</v>
      </c>
      <c r="I7560" s="60">
        <v>0.0</v>
      </c>
      <c r="J7560" s="59">
        <v>1.0</v>
      </c>
      <c r="K7560" s="61">
        <f t="shared" si="1"/>
        <v>1</v>
      </c>
      <c r="L7560" s="62">
        <f t="shared" si="2"/>
        <v>1</v>
      </c>
    </row>
    <row r="7561">
      <c r="A7561" s="58">
        <v>45536.0</v>
      </c>
      <c r="B7561" s="24" t="s">
        <v>6787</v>
      </c>
      <c r="C7561" s="24" t="s">
        <v>7539</v>
      </c>
      <c r="D7561" s="59">
        <v>1.0</v>
      </c>
      <c r="E7561" s="59">
        <v>1.0</v>
      </c>
      <c r="F7561" s="59">
        <v>1.0</v>
      </c>
      <c r="G7561" s="60">
        <v>1.0</v>
      </c>
      <c r="H7561" s="60">
        <v>1.0</v>
      </c>
      <c r="I7561" s="60">
        <v>0.0</v>
      </c>
      <c r="J7561" s="59">
        <v>1.0</v>
      </c>
      <c r="K7561" s="61">
        <f t="shared" si="1"/>
        <v>1</v>
      </c>
      <c r="L7561" s="62">
        <f t="shared" si="2"/>
        <v>1</v>
      </c>
    </row>
    <row r="7562">
      <c r="A7562" s="58">
        <v>45536.0</v>
      </c>
      <c r="B7562" s="24" t="s">
        <v>6787</v>
      </c>
      <c r="C7562" s="24" t="s">
        <v>7540</v>
      </c>
      <c r="D7562" s="59">
        <v>1.0</v>
      </c>
      <c r="E7562" s="59">
        <v>1.0</v>
      </c>
      <c r="F7562" s="59">
        <v>1.0</v>
      </c>
      <c r="G7562" s="60">
        <v>1.0</v>
      </c>
      <c r="H7562" s="60">
        <v>1.0</v>
      </c>
      <c r="I7562" s="60">
        <v>0.0</v>
      </c>
      <c r="J7562" s="59">
        <v>1.0</v>
      </c>
      <c r="K7562" s="61">
        <f t="shared" si="1"/>
        <v>1</v>
      </c>
      <c r="L7562" s="62">
        <f t="shared" si="2"/>
        <v>1</v>
      </c>
    </row>
    <row r="7563">
      <c r="A7563" s="58">
        <v>45536.0</v>
      </c>
      <c r="B7563" s="24" t="s">
        <v>6787</v>
      </c>
      <c r="C7563" s="24" t="s">
        <v>7541</v>
      </c>
      <c r="D7563" s="59">
        <v>1.0</v>
      </c>
      <c r="E7563" s="59">
        <v>1.0</v>
      </c>
      <c r="F7563" s="59">
        <v>1.0</v>
      </c>
      <c r="G7563" s="60">
        <v>1.0</v>
      </c>
      <c r="H7563" s="60">
        <v>1.0</v>
      </c>
      <c r="I7563" s="60">
        <v>0.0</v>
      </c>
      <c r="J7563" s="59">
        <v>1.0</v>
      </c>
      <c r="K7563" s="61">
        <f t="shared" si="1"/>
        <v>1</v>
      </c>
      <c r="L7563" s="62">
        <f t="shared" si="2"/>
        <v>1</v>
      </c>
    </row>
    <row r="7564">
      <c r="A7564" s="58">
        <v>45536.0</v>
      </c>
      <c r="B7564" s="24" t="s">
        <v>6787</v>
      </c>
      <c r="C7564" s="24" t="s">
        <v>7542</v>
      </c>
      <c r="D7564" s="59">
        <v>1.0</v>
      </c>
      <c r="E7564" s="59">
        <v>1.0</v>
      </c>
      <c r="F7564" s="59">
        <v>1.0</v>
      </c>
      <c r="G7564" s="60">
        <v>1.0</v>
      </c>
      <c r="H7564" s="60">
        <v>1.0</v>
      </c>
      <c r="I7564" s="60">
        <v>0.0</v>
      </c>
      <c r="J7564" s="59">
        <v>1.0</v>
      </c>
      <c r="K7564" s="61">
        <f t="shared" si="1"/>
        <v>1</v>
      </c>
      <c r="L7564" s="62">
        <f t="shared" si="2"/>
        <v>1</v>
      </c>
    </row>
    <row r="7565">
      <c r="A7565" s="58">
        <v>45536.0</v>
      </c>
      <c r="B7565" s="24" t="s">
        <v>6787</v>
      </c>
      <c r="C7565" s="24" t="s">
        <v>7543</v>
      </c>
      <c r="D7565" s="59">
        <v>1.0</v>
      </c>
      <c r="E7565" s="59">
        <v>1.0</v>
      </c>
      <c r="F7565" s="59">
        <v>1.0</v>
      </c>
      <c r="G7565" s="60">
        <v>1.0</v>
      </c>
      <c r="H7565" s="60">
        <v>1.0</v>
      </c>
      <c r="I7565" s="60">
        <v>0.0</v>
      </c>
      <c r="J7565" s="59">
        <v>1.0</v>
      </c>
      <c r="K7565" s="61">
        <f t="shared" si="1"/>
        <v>1</v>
      </c>
      <c r="L7565" s="62">
        <f t="shared" si="2"/>
        <v>1</v>
      </c>
    </row>
    <row r="7566">
      <c r="A7566" s="58">
        <v>45536.0</v>
      </c>
      <c r="B7566" s="24" t="s">
        <v>6787</v>
      </c>
      <c r="C7566" s="24" t="s">
        <v>7544</v>
      </c>
      <c r="D7566" s="59">
        <v>1.0</v>
      </c>
      <c r="E7566" s="59">
        <v>1.0</v>
      </c>
      <c r="F7566" s="59">
        <v>1.0</v>
      </c>
      <c r="G7566" s="60">
        <v>1.0</v>
      </c>
      <c r="H7566" s="60">
        <v>1.0</v>
      </c>
      <c r="I7566" s="60">
        <v>0.0</v>
      </c>
      <c r="J7566" s="59">
        <v>1.0</v>
      </c>
      <c r="K7566" s="61">
        <f t="shared" si="1"/>
        <v>1</v>
      </c>
      <c r="L7566" s="62">
        <f t="shared" si="2"/>
        <v>1</v>
      </c>
    </row>
    <row r="7567">
      <c r="A7567" s="58">
        <v>45536.0</v>
      </c>
      <c r="B7567" s="24" t="s">
        <v>6789</v>
      </c>
      <c r="C7567" s="24" t="s">
        <v>7035</v>
      </c>
      <c r="D7567" s="59">
        <v>1.0</v>
      </c>
      <c r="E7567" s="59">
        <v>1.0</v>
      </c>
      <c r="F7567" s="59">
        <v>0.0</v>
      </c>
      <c r="G7567" s="60">
        <v>1.0</v>
      </c>
      <c r="H7567" s="60">
        <v>0.0</v>
      </c>
      <c r="I7567" s="60">
        <v>423.631861</v>
      </c>
      <c r="J7567" s="59">
        <v>3.0</v>
      </c>
      <c r="K7567" s="61">
        <f t="shared" si="1"/>
        <v>0</v>
      </c>
      <c r="L7567" s="62">
        <f t="shared" si="2"/>
        <v>3</v>
      </c>
    </row>
    <row r="7568">
      <c r="A7568" s="58">
        <v>45536.0</v>
      </c>
      <c r="B7568" s="24" t="s">
        <v>6787</v>
      </c>
      <c r="C7568" s="24" t="s">
        <v>7545</v>
      </c>
      <c r="D7568" s="59">
        <v>1.0</v>
      </c>
      <c r="E7568" s="59">
        <v>1.0</v>
      </c>
      <c r="F7568" s="59">
        <v>0.0</v>
      </c>
      <c r="G7568" s="60">
        <v>1.0</v>
      </c>
      <c r="H7568" s="60">
        <v>0.0</v>
      </c>
      <c r="I7568" s="60">
        <v>1476.023672</v>
      </c>
      <c r="J7568" s="59">
        <v>7.0</v>
      </c>
      <c r="K7568" s="61">
        <f t="shared" si="1"/>
        <v>0</v>
      </c>
      <c r="L7568" s="62">
        <f t="shared" si="2"/>
        <v>7</v>
      </c>
    </row>
    <row r="7569">
      <c r="A7569" s="58">
        <v>45536.0</v>
      </c>
      <c r="B7569" s="24" t="s">
        <v>6789</v>
      </c>
      <c r="C7569" s="24" t="s">
        <v>7545</v>
      </c>
      <c r="D7569" s="59">
        <v>1.0</v>
      </c>
      <c r="E7569" s="59">
        <v>1.0</v>
      </c>
      <c r="F7569" s="59">
        <v>0.0</v>
      </c>
      <c r="G7569" s="60">
        <v>1.0</v>
      </c>
      <c r="H7569" s="60">
        <v>0.0</v>
      </c>
      <c r="I7569" s="60">
        <v>78.835843</v>
      </c>
      <c r="J7569" s="59">
        <v>7.0</v>
      </c>
      <c r="K7569" s="61">
        <f t="shared" si="1"/>
        <v>0</v>
      </c>
      <c r="L7569" s="62">
        <f t="shared" si="2"/>
        <v>7</v>
      </c>
    </row>
    <row r="7570">
      <c r="A7570" s="58">
        <v>45536.0</v>
      </c>
      <c r="B7570" s="24" t="s">
        <v>155</v>
      </c>
      <c r="C7570" s="24" t="s">
        <v>7158</v>
      </c>
      <c r="D7570" s="59">
        <v>1.0</v>
      </c>
      <c r="E7570" s="59">
        <v>1.0</v>
      </c>
      <c r="F7570" s="59">
        <v>0.0</v>
      </c>
      <c r="G7570" s="60">
        <v>1.0</v>
      </c>
      <c r="H7570" s="60">
        <v>0.0</v>
      </c>
      <c r="I7570" s="60">
        <v>4458.475947</v>
      </c>
      <c r="J7570" s="59">
        <v>16.0</v>
      </c>
      <c r="K7570" s="61">
        <f t="shared" si="1"/>
        <v>0</v>
      </c>
      <c r="L7570" s="62">
        <f t="shared" si="2"/>
        <v>16</v>
      </c>
    </row>
    <row r="7571">
      <c r="A7571" s="58">
        <v>45536.0</v>
      </c>
      <c r="B7571" s="24" t="s">
        <v>6787</v>
      </c>
      <c r="C7571" s="24" t="s">
        <v>7022</v>
      </c>
      <c r="D7571" s="59">
        <v>1.0</v>
      </c>
      <c r="E7571" s="59">
        <v>1.0</v>
      </c>
      <c r="F7571" s="59">
        <v>1.0</v>
      </c>
      <c r="G7571" s="60">
        <v>1.0</v>
      </c>
      <c r="H7571" s="60">
        <v>1.0</v>
      </c>
      <c r="I7571" s="60">
        <v>0.0</v>
      </c>
      <c r="J7571" s="59">
        <v>1.0</v>
      </c>
      <c r="K7571" s="61">
        <f t="shared" si="1"/>
        <v>1</v>
      </c>
      <c r="L7571" s="62">
        <f t="shared" si="2"/>
        <v>1</v>
      </c>
    </row>
    <row r="7572">
      <c r="A7572" s="58">
        <v>45536.0</v>
      </c>
      <c r="B7572" s="24" t="s">
        <v>155</v>
      </c>
      <c r="C7572" s="24" t="s">
        <v>7022</v>
      </c>
      <c r="D7572" s="59">
        <v>1.0</v>
      </c>
      <c r="E7572" s="59">
        <v>1.0</v>
      </c>
      <c r="F7572" s="59">
        <v>0.0</v>
      </c>
      <c r="G7572" s="60">
        <v>1.0</v>
      </c>
      <c r="H7572" s="60">
        <v>0.0</v>
      </c>
      <c r="I7572" s="60">
        <v>1095.326993</v>
      </c>
      <c r="J7572" s="59">
        <v>2.0</v>
      </c>
      <c r="K7572" s="61">
        <f t="shared" si="1"/>
        <v>0</v>
      </c>
      <c r="L7572" s="62">
        <f t="shared" si="2"/>
        <v>2</v>
      </c>
    </row>
    <row r="7573">
      <c r="A7573" s="58">
        <v>45536.0</v>
      </c>
      <c r="B7573" s="24" t="s">
        <v>6789</v>
      </c>
      <c r="C7573" s="24" t="s">
        <v>7135</v>
      </c>
      <c r="D7573" s="59">
        <v>1.0</v>
      </c>
      <c r="E7573" s="59">
        <v>1.0</v>
      </c>
      <c r="F7573" s="59">
        <v>1.0</v>
      </c>
      <c r="G7573" s="60">
        <v>1.0</v>
      </c>
      <c r="H7573" s="60">
        <v>0.0</v>
      </c>
      <c r="I7573" s="60">
        <v>106.332215</v>
      </c>
      <c r="J7573" s="59">
        <v>1.0</v>
      </c>
      <c r="K7573" s="61">
        <f t="shared" si="1"/>
        <v>1</v>
      </c>
      <c r="L7573" s="62">
        <f t="shared" si="2"/>
        <v>1</v>
      </c>
    </row>
    <row r="7574">
      <c r="A7574" s="58">
        <v>45536.0</v>
      </c>
      <c r="B7574" s="24" t="s">
        <v>6789</v>
      </c>
      <c r="C7574" s="24" t="s">
        <v>7091</v>
      </c>
      <c r="D7574" s="59">
        <v>1.0</v>
      </c>
      <c r="E7574" s="59">
        <v>2.0</v>
      </c>
      <c r="F7574" s="59">
        <v>1.0</v>
      </c>
      <c r="G7574" s="60">
        <v>2.0</v>
      </c>
      <c r="H7574" s="60">
        <v>1.0</v>
      </c>
      <c r="I7574" s="60">
        <v>0.0</v>
      </c>
      <c r="J7574" s="59">
        <v>2.0</v>
      </c>
      <c r="K7574" s="61">
        <f t="shared" si="1"/>
        <v>0.5</v>
      </c>
      <c r="L7574" s="62">
        <f t="shared" si="2"/>
        <v>1</v>
      </c>
    </row>
    <row r="7575">
      <c r="A7575" s="58">
        <v>45536.0</v>
      </c>
      <c r="B7575" s="24" t="s">
        <v>6789</v>
      </c>
      <c r="C7575" s="24" t="s">
        <v>7131</v>
      </c>
      <c r="D7575" s="59">
        <v>1.0</v>
      </c>
      <c r="E7575" s="59">
        <v>1.0</v>
      </c>
      <c r="F7575" s="59">
        <v>1.0</v>
      </c>
      <c r="G7575" s="60">
        <v>1.0</v>
      </c>
      <c r="H7575" s="60">
        <v>1.0</v>
      </c>
      <c r="I7575" s="60">
        <v>0.0</v>
      </c>
      <c r="J7575" s="59">
        <v>1.0</v>
      </c>
      <c r="K7575" s="61">
        <f t="shared" si="1"/>
        <v>1</v>
      </c>
      <c r="L7575" s="62">
        <f t="shared" si="2"/>
        <v>1</v>
      </c>
    </row>
    <row r="7576">
      <c r="A7576" s="58">
        <v>45536.0</v>
      </c>
      <c r="B7576" s="24" t="s">
        <v>6789</v>
      </c>
      <c r="C7576" s="24" t="s">
        <v>7093</v>
      </c>
      <c r="D7576" s="59">
        <v>1.0</v>
      </c>
      <c r="E7576" s="59">
        <v>1.0</v>
      </c>
      <c r="F7576" s="59">
        <v>1.0</v>
      </c>
      <c r="G7576" s="60">
        <v>1.0</v>
      </c>
      <c r="H7576" s="60">
        <v>0.0</v>
      </c>
      <c r="I7576" s="60">
        <v>155.942638</v>
      </c>
      <c r="J7576" s="59">
        <v>1.0</v>
      </c>
      <c r="K7576" s="61">
        <f t="shared" si="1"/>
        <v>1</v>
      </c>
      <c r="L7576" s="62">
        <f t="shared" si="2"/>
        <v>1</v>
      </c>
    </row>
    <row r="7577">
      <c r="A7577" s="58">
        <v>45536.0</v>
      </c>
      <c r="B7577" s="24" t="s">
        <v>6789</v>
      </c>
      <c r="C7577" s="24" t="s">
        <v>7136</v>
      </c>
      <c r="D7577" s="59">
        <v>1.0</v>
      </c>
      <c r="E7577" s="59">
        <v>2.0</v>
      </c>
      <c r="F7577" s="59">
        <v>0.0</v>
      </c>
      <c r="G7577" s="60">
        <v>2.0</v>
      </c>
      <c r="H7577" s="60">
        <v>0.5</v>
      </c>
      <c r="I7577" s="60">
        <v>32.7445055</v>
      </c>
      <c r="J7577" s="59">
        <v>3.0</v>
      </c>
      <c r="K7577" s="61">
        <f t="shared" si="1"/>
        <v>0</v>
      </c>
      <c r="L7577" s="62">
        <f t="shared" si="2"/>
        <v>1.5</v>
      </c>
    </row>
    <row r="7578">
      <c r="A7578" s="58">
        <v>45536.0</v>
      </c>
      <c r="B7578" s="24" t="s">
        <v>6789</v>
      </c>
      <c r="C7578" s="24" t="s">
        <v>7168</v>
      </c>
      <c r="D7578" s="59">
        <v>1.0</v>
      </c>
      <c r="E7578" s="59">
        <v>1.0</v>
      </c>
      <c r="F7578" s="59">
        <v>1.0</v>
      </c>
      <c r="G7578" s="60">
        <v>1.0</v>
      </c>
      <c r="H7578" s="60">
        <v>1.0</v>
      </c>
      <c r="I7578" s="60">
        <v>6.941561</v>
      </c>
      <c r="J7578" s="59">
        <v>1.0</v>
      </c>
      <c r="K7578" s="61">
        <f t="shared" si="1"/>
        <v>1</v>
      </c>
      <c r="L7578" s="62">
        <f t="shared" si="2"/>
        <v>1</v>
      </c>
    </row>
    <row r="7579">
      <c r="A7579" s="58">
        <v>45536.0</v>
      </c>
      <c r="B7579" s="24" t="s">
        <v>6789</v>
      </c>
      <c r="C7579" s="24" t="s">
        <v>7096</v>
      </c>
      <c r="D7579" s="59">
        <v>1.0</v>
      </c>
      <c r="E7579" s="59">
        <v>1.0</v>
      </c>
      <c r="F7579" s="59">
        <v>0.0</v>
      </c>
      <c r="G7579" s="60">
        <v>1.0</v>
      </c>
      <c r="H7579" s="60">
        <v>0.0</v>
      </c>
      <c r="I7579" s="60">
        <v>196.791551</v>
      </c>
      <c r="J7579" s="59">
        <v>4.0</v>
      </c>
      <c r="K7579" s="61">
        <f t="shared" si="1"/>
        <v>0</v>
      </c>
      <c r="L7579" s="62">
        <f t="shared" si="2"/>
        <v>4</v>
      </c>
    </row>
    <row r="7580">
      <c r="A7580" s="58">
        <v>45536.0</v>
      </c>
      <c r="B7580" s="24" t="s">
        <v>6789</v>
      </c>
      <c r="C7580" s="24" t="s">
        <v>7097</v>
      </c>
      <c r="D7580" s="59">
        <v>1.0</v>
      </c>
      <c r="E7580" s="59">
        <v>2.0</v>
      </c>
      <c r="F7580" s="59">
        <v>0.0</v>
      </c>
      <c r="G7580" s="60">
        <v>0.0</v>
      </c>
      <c r="H7580" s="60">
        <v>1.0</v>
      </c>
      <c r="I7580" s="60">
        <v>0.0</v>
      </c>
      <c r="J7580" s="59">
        <v>2.0</v>
      </c>
      <c r="K7580" s="61">
        <f t="shared" si="1"/>
        <v>0</v>
      </c>
      <c r="L7580" s="62">
        <f t="shared" si="2"/>
        <v>1</v>
      </c>
    </row>
    <row r="7581">
      <c r="A7581" s="58">
        <v>45536.0</v>
      </c>
      <c r="B7581" s="24" t="s">
        <v>6789</v>
      </c>
      <c r="C7581" s="24" t="s">
        <v>7098</v>
      </c>
      <c r="D7581" s="59">
        <v>1.0</v>
      </c>
      <c r="E7581" s="59">
        <v>1.0</v>
      </c>
      <c r="F7581" s="59">
        <v>0.0</v>
      </c>
      <c r="G7581" s="60">
        <v>1.0</v>
      </c>
      <c r="H7581" s="60">
        <v>0.0</v>
      </c>
      <c r="I7581" s="60">
        <v>30.144831</v>
      </c>
      <c r="J7581" s="59">
        <v>1.0</v>
      </c>
      <c r="K7581" s="61">
        <f t="shared" si="1"/>
        <v>0</v>
      </c>
      <c r="L7581" s="62">
        <f t="shared" si="2"/>
        <v>1</v>
      </c>
    </row>
    <row r="7582">
      <c r="A7582" s="58">
        <v>45536.0</v>
      </c>
      <c r="B7582" s="24" t="s">
        <v>6787</v>
      </c>
      <c r="C7582" s="24" t="s">
        <v>7170</v>
      </c>
      <c r="D7582" s="59">
        <v>1.0</v>
      </c>
      <c r="E7582" s="59">
        <v>1.0</v>
      </c>
      <c r="F7582" s="59">
        <v>1.0</v>
      </c>
      <c r="G7582" s="60">
        <v>1.0</v>
      </c>
      <c r="H7582" s="60">
        <v>0.0</v>
      </c>
      <c r="I7582" s="60">
        <v>46.77637</v>
      </c>
      <c r="J7582" s="59">
        <v>1.0</v>
      </c>
      <c r="K7582" s="61">
        <f t="shared" si="1"/>
        <v>1</v>
      </c>
      <c r="L7582" s="62">
        <f t="shared" si="2"/>
        <v>1</v>
      </c>
    </row>
    <row r="7583">
      <c r="A7583" s="58">
        <v>45536.0</v>
      </c>
      <c r="B7583" s="24" t="s">
        <v>6789</v>
      </c>
      <c r="C7583" s="24" t="s">
        <v>7013</v>
      </c>
      <c r="D7583" s="59">
        <v>1.0</v>
      </c>
      <c r="E7583" s="59">
        <v>1.0</v>
      </c>
      <c r="F7583" s="59">
        <v>1.0</v>
      </c>
      <c r="G7583" s="60">
        <v>1.0</v>
      </c>
      <c r="H7583" s="60">
        <v>0.0</v>
      </c>
      <c r="I7583" s="60">
        <v>56.715577</v>
      </c>
      <c r="J7583" s="59">
        <v>4.0</v>
      </c>
      <c r="K7583" s="61">
        <f t="shared" si="1"/>
        <v>1</v>
      </c>
      <c r="L7583" s="62">
        <f t="shared" si="2"/>
        <v>4</v>
      </c>
    </row>
    <row r="7584">
      <c r="A7584" s="58">
        <v>45536.0</v>
      </c>
      <c r="B7584" s="24" t="s">
        <v>155</v>
      </c>
      <c r="C7584" s="24" t="s">
        <v>7044</v>
      </c>
      <c r="D7584" s="59">
        <v>1.0</v>
      </c>
      <c r="E7584" s="59">
        <v>1.0</v>
      </c>
      <c r="F7584" s="59">
        <v>0.0</v>
      </c>
      <c r="G7584" s="60">
        <v>1.0</v>
      </c>
      <c r="H7584" s="60">
        <v>0.0</v>
      </c>
      <c r="I7584" s="60">
        <v>651.297358</v>
      </c>
      <c r="J7584" s="59">
        <v>1.0</v>
      </c>
      <c r="K7584" s="61">
        <f t="shared" si="1"/>
        <v>0</v>
      </c>
      <c r="L7584" s="62">
        <f t="shared" si="2"/>
        <v>1</v>
      </c>
    </row>
    <row r="7585">
      <c r="A7585" s="58">
        <v>45536.0</v>
      </c>
      <c r="B7585" s="24" t="s">
        <v>155</v>
      </c>
      <c r="C7585" s="24" t="s">
        <v>6801</v>
      </c>
      <c r="D7585" s="59">
        <v>1.0</v>
      </c>
      <c r="E7585" s="59">
        <v>1.0</v>
      </c>
      <c r="F7585" s="59">
        <v>0.0</v>
      </c>
      <c r="G7585" s="60">
        <v>0.0</v>
      </c>
      <c r="H7585" s="60">
        <v>1.0</v>
      </c>
      <c r="I7585" s="60">
        <v>0.0</v>
      </c>
      <c r="J7585" s="59">
        <v>1.0</v>
      </c>
      <c r="K7585" s="61">
        <f t="shared" si="1"/>
        <v>0</v>
      </c>
      <c r="L7585" s="62">
        <f t="shared" si="2"/>
        <v>1</v>
      </c>
    </row>
    <row r="7586">
      <c r="A7586" s="58">
        <v>45536.0</v>
      </c>
      <c r="B7586" s="24" t="s">
        <v>6790</v>
      </c>
      <c r="C7586" s="24" t="s">
        <v>6801</v>
      </c>
      <c r="D7586" s="59">
        <v>1.0</v>
      </c>
      <c r="E7586" s="59">
        <v>1.0</v>
      </c>
      <c r="F7586" s="59">
        <v>0.0</v>
      </c>
      <c r="G7586" s="60">
        <v>1.0</v>
      </c>
      <c r="H7586" s="60">
        <v>0.0</v>
      </c>
      <c r="I7586" s="60">
        <v>34.649716</v>
      </c>
      <c r="J7586" s="59">
        <v>2.0</v>
      </c>
      <c r="K7586" s="61">
        <f t="shared" si="1"/>
        <v>0</v>
      </c>
      <c r="L7586" s="62">
        <f t="shared" si="2"/>
        <v>2</v>
      </c>
    </row>
    <row r="7587">
      <c r="A7587" s="58">
        <v>45536.0</v>
      </c>
      <c r="B7587" s="24" t="s">
        <v>155</v>
      </c>
      <c r="C7587" s="24" t="s">
        <v>7102</v>
      </c>
      <c r="D7587" s="59">
        <v>1.0</v>
      </c>
      <c r="E7587" s="59">
        <v>1.0</v>
      </c>
      <c r="F7587" s="59">
        <v>1.0</v>
      </c>
      <c r="G7587" s="60">
        <v>1.0</v>
      </c>
      <c r="H7587" s="60">
        <v>0.0</v>
      </c>
      <c r="I7587" s="60">
        <v>168.17025</v>
      </c>
      <c r="J7587" s="59">
        <v>1.0</v>
      </c>
      <c r="K7587" s="61">
        <f t="shared" si="1"/>
        <v>1</v>
      </c>
      <c r="L7587" s="62">
        <f t="shared" si="2"/>
        <v>1</v>
      </c>
    </row>
    <row r="7588">
      <c r="A7588" s="58">
        <v>45536.0</v>
      </c>
      <c r="B7588" s="24" t="s">
        <v>6787</v>
      </c>
      <c r="C7588" s="24" t="s">
        <v>7174</v>
      </c>
      <c r="D7588" s="59">
        <v>1.0</v>
      </c>
      <c r="E7588" s="59">
        <v>1.0</v>
      </c>
      <c r="F7588" s="59">
        <v>0.0</v>
      </c>
      <c r="G7588" s="60">
        <v>1.0</v>
      </c>
      <c r="H7588" s="60">
        <v>0.0</v>
      </c>
      <c r="I7588" s="60">
        <v>878.863848</v>
      </c>
      <c r="J7588" s="59">
        <v>3.0</v>
      </c>
      <c r="K7588" s="61">
        <f t="shared" si="1"/>
        <v>0</v>
      </c>
      <c r="L7588" s="62">
        <f t="shared" si="2"/>
        <v>3</v>
      </c>
    </row>
    <row r="7589">
      <c r="A7589" s="58">
        <v>45536.0</v>
      </c>
      <c r="B7589" s="24" t="s">
        <v>6789</v>
      </c>
      <c r="C7589" s="24" t="s">
        <v>7174</v>
      </c>
      <c r="D7589" s="59">
        <v>1.0</v>
      </c>
      <c r="E7589" s="59">
        <v>1.0</v>
      </c>
      <c r="F7589" s="59">
        <v>0.0</v>
      </c>
      <c r="G7589" s="60">
        <v>0.0</v>
      </c>
      <c r="H7589" s="60">
        <v>1.0</v>
      </c>
      <c r="I7589" s="60">
        <v>0.0</v>
      </c>
      <c r="J7589" s="59">
        <v>1.0</v>
      </c>
      <c r="K7589" s="61">
        <f t="shared" si="1"/>
        <v>0</v>
      </c>
      <c r="L7589" s="62">
        <f t="shared" si="2"/>
        <v>1</v>
      </c>
    </row>
    <row r="7590">
      <c r="A7590" s="58">
        <v>45536.0</v>
      </c>
      <c r="B7590" s="24" t="s">
        <v>155</v>
      </c>
      <c r="C7590" s="24" t="s">
        <v>7174</v>
      </c>
      <c r="D7590" s="59">
        <v>1.0</v>
      </c>
      <c r="E7590" s="59">
        <v>1.0</v>
      </c>
      <c r="F7590" s="59">
        <v>0.0</v>
      </c>
      <c r="G7590" s="60">
        <v>1.0</v>
      </c>
      <c r="H7590" s="60">
        <v>0.0</v>
      </c>
      <c r="I7590" s="60">
        <v>6.112104</v>
      </c>
      <c r="J7590" s="59">
        <v>2.0</v>
      </c>
      <c r="K7590" s="61">
        <f t="shared" si="1"/>
        <v>0</v>
      </c>
      <c r="L7590" s="62">
        <f t="shared" si="2"/>
        <v>2</v>
      </c>
    </row>
    <row r="7591">
      <c r="A7591" s="58">
        <v>45536.0</v>
      </c>
      <c r="B7591" s="24" t="s">
        <v>155</v>
      </c>
      <c r="C7591" s="24" t="s">
        <v>7403</v>
      </c>
      <c r="D7591" s="59">
        <v>1.0</v>
      </c>
      <c r="E7591" s="59">
        <v>1.0</v>
      </c>
      <c r="F7591" s="59">
        <v>1.0</v>
      </c>
      <c r="G7591" s="60">
        <v>1.0</v>
      </c>
      <c r="H7591" s="60">
        <v>0.0</v>
      </c>
      <c r="I7591" s="60">
        <v>9.353742</v>
      </c>
      <c r="J7591" s="59">
        <v>2.0</v>
      </c>
      <c r="K7591" s="61">
        <f t="shared" si="1"/>
        <v>1</v>
      </c>
      <c r="L7591" s="62">
        <f t="shared" si="2"/>
        <v>2</v>
      </c>
    </row>
    <row r="7592">
      <c r="A7592" s="58">
        <v>45536.0</v>
      </c>
      <c r="B7592" s="24" t="s">
        <v>6787</v>
      </c>
      <c r="C7592" s="24" t="s">
        <v>7448</v>
      </c>
      <c r="D7592" s="59">
        <v>1.0</v>
      </c>
      <c r="E7592" s="59">
        <v>1.0</v>
      </c>
      <c r="F7592" s="59">
        <v>1.0</v>
      </c>
      <c r="G7592" s="60">
        <v>1.0</v>
      </c>
      <c r="H7592" s="60">
        <v>1.0</v>
      </c>
      <c r="I7592" s="60">
        <v>2.498375</v>
      </c>
      <c r="J7592" s="59">
        <v>1.0</v>
      </c>
      <c r="K7592" s="61">
        <f t="shared" si="1"/>
        <v>1</v>
      </c>
      <c r="L7592" s="62">
        <f t="shared" si="2"/>
        <v>1</v>
      </c>
    </row>
    <row r="7593">
      <c r="A7593" s="58">
        <v>45536.0</v>
      </c>
      <c r="B7593" s="24" t="s">
        <v>6789</v>
      </c>
      <c r="C7593" s="24" t="s">
        <v>7192</v>
      </c>
      <c r="D7593" s="59">
        <v>1.0</v>
      </c>
      <c r="E7593" s="59">
        <v>1.0</v>
      </c>
      <c r="F7593" s="59">
        <v>0.0</v>
      </c>
      <c r="G7593" s="60">
        <v>0.0</v>
      </c>
      <c r="H7593" s="60">
        <v>1.0</v>
      </c>
      <c r="I7593" s="60">
        <v>0.0</v>
      </c>
      <c r="J7593" s="59">
        <v>1.0</v>
      </c>
      <c r="K7593" s="61">
        <f t="shared" si="1"/>
        <v>0</v>
      </c>
      <c r="L7593" s="62">
        <f t="shared" si="2"/>
        <v>1</v>
      </c>
    </row>
    <row r="7594">
      <c r="A7594" s="58">
        <v>45536.0</v>
      </c>
      <c r="B7594" s="24" t="s">
        <v>6789</v>
      </c>
      <c r="C7594" s="24" t="s">
        <v>7524</v>
      </c>
      <c r="D7594" s="59">
        <v>1.0</v>
      </c>
      <c r="E7594" s="59">
        <v>1.0</v>
      </c>
      <c r="F7594" s="59">
        <v>0.0</v>
      </c>
      <c r="G7594" s="60">
        <v>1.0</v>
      </c>
      <c r="H7594" s="60">
        <v>1.0</v>
      </c>
      <c r="I7594" s="60">
        <v>3.652487</v>
      </c>
      <c r="J7594" s="59">
        <v>1.0</v>
      </c>
      <c r="K7594" s="61">
        <f t="shared" si="1"/>
        <v>0</v>
      </c>
      <c r="L7594" s="62">
        <f t="shared" si="2"/>
        <v>1</v>
      </c>
    </row>
    <row r="7595">
      <c r="A7595" s="58">
        <v>45536.0</v>
      </c>
      <c r="B7595" s="24" t="s">
        <v>155</v>
      </c>
      <c r="C7595" s="24" t="s">
        <v>7180</v>
      </c>
      <c r="D7595" s="59">
        <v>1.0</v>
      </c>
      <c r="E7595" s="59">
        <v>1.0</v>
      </c>
      <c r="F7595" s="59">
        <v>1.0</v>
      </c>
      <c r="G7595" s="60">
        <v>1.0</v>
      </c>
      <c r="H7595" s="60">
        <v>1.0</v>
      </c>
      <c r="I7595" s="60">
        <v>0.0</v>
      </c>
      <c r="J7595" s="59">
        <v>1.0</v>
      </c>
      <c r="K7595" s="61">
        <f t="shared" si="1"/>
        <v>1</v>
      </c>
      <c r="L7595" s="62">
        <f t="shared" si="2"/>
        <v>1</v>
      </c>
    </row>
    <row r="7596">
      <c r="A7596" s="58">
        <v>45536.0</v>
      </c>
      <c r="B7596" s="24" t="s">
        <v>155</v>
      </c>
      <c r="C7596" s="24" t="s">
        <v>6921</v>
      </c>
      <c r="D7596" s="59">
        <v>1.0</v>
      </c>
      <c r="E7596" s="59">
        <v>1.0</v>
      </c>
      <c r="F7596" s="59">
        <v>0.0</v>
      </c>
      <c r="G7596" s="60">
        <v>1.0</v>
      </c>
      <c r="H7596" s="60">
        <v>0.0</v>
      </c>
      <c r="I7596" s="60">
        <v>44.081157</v>
      </c>
      <c r="J7596" s="59">
        <v>2.0</v>
      </c>
      <c r="K7596" s="61">
        <f t="shared" si="1"/>
        <v>0</v>
      </c>
      <c r="L7596" s="62">
        <f t="shared" si="2"/>
        <v>2</v>
      </c>
    </row>
    <row r="7597">
      <c r="A7597" s="58">
        <v>45536.0</v>
      </c>
      <c r="B7597" s="24" t="s">
        <v>6787</v>
      </c>
      <c r="C7597" s="24" t="s">
        <v>7047</v>
      </c>
      <c r="D7597" s="59">
        <v>1.0</v>
      </c>
      <c r="E7597" s="59">
        <v>1.0</v>
      </c>
      <c r="F7597" s="59">
        <v>1.0</v>
      </c>
      <c r="G7597" s="60">
        <v>1.0</v>
      </c>
      <c r="H7597" s="60">
        <v>1.0</v>
      </c>
      <c r="I7597" s="60">
        <v>0.0</v>
      </c>
      <c r="J7597" s="59">
        <v>1.0</v>
      </c>
      <c r="K7597" s="61">
        <f t="shared" si="1"/>
        <v>1</v>
      </c>
      <c r="L7597" s="62">
        <f t="shared" si="2"/>
        <v>1</v>
      </c>
    </row>
    <row r="7598">
      <c r="A7598" s="58">
        <v>45536.0</v>
      </c>
      <c r="B7598" s="24" t="s">
        <v>6787</v>
      </c>
      <c r="C7598" s="24" t="s">
        <v>6810</v>
      </c>
      <c r="D7598" s="59">
        <v>1.0</v>
      </c>
      <c r="E7598" s="59">
        <v>1.0</v>
      </c>
      <c r="F7598" s="59">
        <v>1.0</v>
      </c>
      <c r="G7598" s="60">
        <v>1.0</v>
      </c>
      <c r="H7598" s="60">
        <v>1.0</v>
      </c>
      <c r="I7598" s="60">
        <v>0.0</v>
      </c>
      <c r="J7598" s="59">
        <v>1.0</v>
      </c>
      <c r="K7598" s="61">
        <f t="shared" si="1"/>
        <v>1</v>
      </c>
      <c r="L7598" s="62">
        <f t="shared" si="2"/>
        <v>1</v>
      </c>
    </row>
    <row r="7599">
      <c r="A7599" s="58">
        <v>45536.0</v>
      </c>
      <c r="B7599" s="24" t="s">
        <v>6789</v>
      </c>
      <c r="C7599" s="24" t="s">
        <v>6810</v>
      </c>
      <c r="D7599" s="59">
        <v>1.0</v>
      </c>
      <c r="E7599" s="59">
        <v>1.0</v>
      </c>
      <c r="F7599" s="59">
        <v>0.0</v>
      </c>
      <c r="G7599" s="60">
        <v>0.0</v>
      </c>
      <c r="H7599" s="60">
        <v>1.0</v>
      </c>
      <c r="I7599" s="60">
        <v>0.0</v>
      </c>
      <c r="J7599" s="59">
        <v>1.0</v>
      </c>
      <c r="K7599" s="61">
        <f t="shared" si="1"/>
        <v>0</v>
      </c>
      <c r="L7599" s="62">
        <f t="shared" si="2"/>
        <v>1</v>
      </c>
    </row>
    <row r="7600">
      <c r="A7600" s="58">
        <v>45536.0</v>
      </c>
      <c r="B7600" s="24" t="s">
        <v>6789</v>
      </c>
      <c r="C7600" s="24" t="s">
        <v>7208</v>
      </c>
      <c r="D7600" s="59">
        <v>1.0</v>
      </c>
      <c r="E7600" s="59">
        <v>1.0</v>
      </c>
      <c r="F7600" s="59">
        <v>0.0</v>
      </c>
      <c r="G7600" s="60">
        <v>0.0</v>
      </c>
      <c r="H7600" s="60">
        <v>0.0</v>
      </c>
      <c r="I7600" s="60">
        <v>5.07E-4</v>
      </c>
      <c r="J7600" s="59">
        <v>1.0</v>
      </c>
      <c r="K7600" s="61">
        <f t="shared" si="1"/>
        <v>0</v>
      </c>
      <c r="L7600" s="62">
        <f t="shared" si="2"/>
        <v>1</v>
      </c>
    </row>
    <row r="7601">
      <c r="A7601" s="58">
        <v>45536.0</v>
      </c>
      <c r="B7601" s="24" t="s">
        <v>6787</v>
      </c>
      <c r="C7601" s="24" t="s">
        <v>7118</v>
      </c>
      <c r="D7601" s="59">
        <v>1.0</v>
      </c>
      <c r="E7601" s="59">
        <v>1.0</v>
      </c>
      <c r="F7601" s="59">
        <v>1.0</v>
      </c>
      <c r="G7601" s="60">
        <v>1.0</v>
      </c>
      <c r="H7601" s="60">
        <v>0.0</v>
      </c>
      <c r="I7601" s="60">
        <v>18.991092</v>
      </c>
      <c r="J7601" s="59">
        <v>3.0</v>
      </c>
      <c r="K7601" s="61">
        <f t="shared" si="1"/>
        <v>1</v>
      </c>
      <c r="L7601" s="62">
        <f t="shared" si="2"/>
        <v>3</v>
      </c>
    </row>
    <row r="7602">
      <c r="A7602" s="58">
        <v>45536.0</v>
      </c>
      <c r="B7602" s="24" t="s">
        <v>6789</v>
      </c>
      <c r="C7602" s="24" t="s">
        <v>6854</v>
      </c>
      <c r="D7602" s="59">
        <v>1.0</v>
      </c>
      <c r="E7602" s="59">
        <v>1.0</v>
      </c>
      <c r="F7602" s="59">
        <v>0.0</v>
      </c>
      <c r="G7602" s="60">
        <v>0.0</v>
      </c>
      <c r="H7602" s="60">
        <v>1.0</v>
      </c>
      <c r="I7602" s="60">
        <v>0.0</v>
      </c>
      <c r="J7602" s="59">
        <v>1.0</v>
      </c>
      <c r="K7602" s="61">
        <f t="shared" si="1"/>
        <v>0</v>
      </c>
      <c r="L7602" s="62">
        <f t="shared" si="2"/>
        <v>1</v>
      </c>
    </row>
    <row r="7603">
      <c r="A7603" s="58">
        <v>45536.0</v>
      </c>
      <c r="B7603" s="24" t="s">
        <v>6794</v>
      </c>
      <c r="C7603" s="24" t="s">
        <v>6802</v>
      </c>
      <c r="D7603" s="59">
        <v>1.0</v>
      </c>
      <c r="E7603" s="59">
        <v>1.0</v>
      </c>
      <c r="F7603" s="59">
        <v>0.0</v>
      </c>
      <c r="G7603" s="60">
        <v>1.0</v>
      </c>
      <c r="H7603" s="60">
        <v>1.0</v>
      </c>
      <c r="I7603" s="60">
        <v>0.0</v>
      </c>
      <c r="J7603" s="59">
        <v>1.0</v>
      </c>
      <c r="K7603" s="61">
        <f t="shared" si="1"/>
        <v>0</v>
      </c>
      <c r="L7603" s="62">
        <f t="shared" si="2"/>
        <v>1</v>
      </c>
    </row>
    <row r="7604">
      <c r="A7604" s="58">
        <v>45536.0</v>
      </c>
      <c r="B7604" s="24" t="s">
        <v>155</v>
      </c>
      <c r="C7604" s="24" t="s">
        <v>6802</v>
      </c>
      <c r="D7604" s="59">
        <v>1.0</v>
      </c>
      <c r="E7604" s="59">
        <v>1.0</v>
      </c>
      <c r="F7604" s="59">
        <v>1.0</v>
      </c>
      <c r="G7604" s="60">
        <v>1.0</v>
      </c>
      <c r="H7604" s="60">
        <v>1.0</v>
      </c>
      <c r="I7604" s="60">
        <v>0.0</v>
      </c>
      <c r="J7604" s="59">
        <v>1.0</v>
      </c>
      <c r="K7604" s="61">
        <f t="shared" si="1"/>
        <v>1</v>
      </c>
      <c r="L7604" s="62">
        <f t="shared" si="2"/>
        <v>1</v>
      </c>
    </row>
    <row r="7605">
      <c r="A7605" s="58">
        <v>45536.0</v>
      </c>
      <c r="B7605" s="24" t="s">
        <v>6790</v>
      </c>
      <c r="C7605" s="24" t="s">
        <v>6802</v>
      </c>
      <c r="D7605" s="59">
        <v>1.0</v>
      </c>
      <c r="E7605" s="59">
        <v>1.0</v>
      </c>
      <c r="F7605" s="59">
        <v>0.0</v>
      </c>
      <c r="G7605" s="60">
        <v>1.0</v>
      </c>
      <c r="H7605" s="60">
        <v>1.0</v>
      </c>
      <c r="I7605" s="60">
        <v>0.0</v>
      </c>
      <c r="J7605" s="59">
        <v>1.0</v>
      </c>
      <c r="K7605" s="61">
        <f t="shared" si="1"/>
        <v>0</v>
      </c>
      <c r="L7605" s="62">
        <f t="shared" si="2"/>
        <v>1</v>
      </c>
    </row>
    <row r="7606">
      <c r="A7606" s="58">
        <v>45536.0</v>
      </c>
      <c r="B7606" s="24" t="s">
        <v>6787</v>
      </c>
      <c r="C7606" s="24" t="s">
        <v>7546</v>
      </c>
      <c r="D7606" s="59">
        <v>1.0</v>
      </c>
      <c r="E7606" s="59">
        <v>1.0</v>
      </c>
      <c r="F7606" s="59">
        <v>1.0</v>
      </c>
      <c r="G7606" s="60">
        <v>1.0</v>
      </c>
      <c r="H7606" s="60">
        <v>0.0</v>
      </c>
      <c r="I7606" s="60">
        <v>52.641768</v>
      </c>
      <c r="J7606" s="59">
        <v>3.0</v>
      </c>
      <c r="K7606" s="61">
        <f t="shared" si="1"/>
        <v>1</v>
      </c>
      <c r="L7606" s="62">
        <f t="shared" si="2"/>
        <v>3</v>
      </c>
    </row>
    <row r="7607">
      <c r="A7607" s="58">
        <v>45505.0</v>
      </c>
      <c r="B7607" s="24" t="s">
        <v>6789</v>
      </c>
      <c r="C7607" s="24" t="s">
        <v>6788</v>
      </c>
      <c r="D7607" s="59">
        <v>730.0</v>
      </c>
      <c r="E7607" s="59">
        <v>1054.0</v>
      </c>
      <c r="F7607" s="59">
        <v>613.0</v>
      </c>
      <c r="G7607" s="60">
        <v>1.47206703910614</v>
      </c>
      <c r="H7607" s="60">
        <v>0.501897533206831</v>
      </c>
      <c r="I7607" s="60">
        <v>217.118410443073</v>
      </c>
      <c r="J7607" s="59">
        <v>1940.0</v>
      </c>
      <c r="K7607" s="61">
        <f t="shared" si="1"/>
        <v>0.5815939279</v>
      </c>
      <c r="L7607" s="62">
        <f t="shared" si="2"/>
        <v>1.840607211</v>
      </c>
    </row>
    <row r="7608">
      <c r="A7608" s="58">
        <v>45505.0</v>
      </c>
      <c r="B7608" s="24" t="s">
        <v>6787</v>
      </c>
      <c r="C7608" s="24" t="s">
        <v>6788</v>
      </c>
      <c r="D7608" s="59">
        <v>613.0</v>
      </c>
      <c r="E7608" s="59">
        <v>737.0</v>
      </c>
      <c r="F7608" s="59">
        <v>565.0</v>
      </c>
      <c r="G7608" s="60">
        <v>1.21818181818181</v>
      </c>
      <c r="H7608" s="60">
        <v>0.647218453188602</v>
      </c>
      <c r="I7608" s="60">
        <v>93.3809653880597</v>
      </c>
      <c r="J7608" s="59">
        <v>1181.0</v>
      </c>
      <c r="K7608" s="61">
        <f t="shared" si="1"/>
        <v>0.7666214383</v>
      </c>
      <c r="L7608" s="62">
        <f t="shared" si="2"/>
        <v>1.602442334</v>
      </c>
    </row>
    <row r="7609">
      <c r="A7609" s="58">
        <v>45505.0</v>
      </c>
      <c r="B7609" s="24" t="s">
        <v>6789</v>
      </c>
      <c r="C7609" s="24" t="s">
        <v>7068</v>
      </c>
      <c r="D7609" s="59">
        <v>343.0</v>
      </c>
      <c r="E7609" s="59">
        <v>375.0</v>
      </c>
      <c r="F7609" s="59">
        <v>332.0</v>
      </c>
      <c r="G7609" s="60">
        <v>1.10294117647058</v>
      </c>
      <c r="H7609" s="60">
        <v>0.328</v>
      </c>
      <c r="I7609" s="60">
        <v>168.359094781333</v>
      </c>
      <c r="J7609" s="59">
        <v>395.0</v>
      </c>
      <c r="K7609" s="61">
        <f t="shared" si="1"/>
        <v>0.8853333333</v>
      </c>
      <c r="L7609" s="62">
        <f t="shared" si="2"/>
        <v>1.053333333</v>
      </c>
    </row>
    <row r="7610">
      <c r="A7610" s="58">
        <v>45505.0</v>
      </c>
      <c r="B7610" s="24" t="s">
        <v>6789</v>
      </c>
      <c r="C7610" s="24" t="s">
        <v>6792</v>
      </c>
      <c r="D7610" s="59">
        <v>213.0</v>
      </c>
      <c r="E7610" s="59">
        <v>258.0</v>
      </c>
      <c r="F7610" s="59">
        <v>0.0</v>
      </c>
      <c r="G7610" s="60">
        <v>1.77931034482758</v>
      </c>
      <c r="H7610" s="60">
        <v>0.953488372093023</v>
      </c>
      <c r="I7610" s="60">
        <v>16.3449350697674</v>
      </c>
      <c r="J7610" s="59">
        <v>0.0</v>
      </c>
      <c r="K7610" s="61">
        <f t="shared" si="1"/>
        <v>0</v>
      </c>
      <c r="L7610" s="62">
        <f t="shared" si="2"/>
        <v>0</v>
      </c>
    </row>
    <row r="7611">
      <c r="A7611" s="58">
        <v>45505.0</v>
      </c>
      <c r="B7611" s="24" t="s">
        <v>155</v>
      </c>
      <c r="C7611" s="24" t="s">
        <v>6788</v>
      </c>
      <c r="D7611" s="59">
        <v>129.0</v>
      </c>
      <c r="E7611" s="59">
        <v>299.0</v>
      </c>
      <c r="F7611" s="59">
        <v>95.0</v>
      </c>
      <c r="G7611" s="60">
        <v>2.37301587301587</v>
      </c>
      <c r="H7611" s="60">
        <v>0.635451505016722</v>
      </c>
      <c r="I7611" s="60">
        <v>113.032823789297</v>
      </c>
      <c r="J7611" s="59">
        <v>435.0</v>
      </c>
      <c r="K7611" s="61">
        <f t="shared" si="1"/>
        <v>0.3177257525</v>
      </c>
      <c r="L7611" s="62">
        <f t="shared" si="2"/>
        <v>1.454849498</v>
      </c>
    </row>
    <row r="7612">
      <c r="A7612" s="58">
        <v>45505.0</v>
      </c>
      <c r="B7612" s="24" t="s">
        <v>6794</v>
      </c>
      <c r="C7612" s="24" t="s">
        <v>6788</v>
      </c>
      <c r="D7612" s="59">
        <v>67.0</v>
      </c>
      <c r="E7612" s="59">
        <v>89.0</v>
      </c>
      <c r="F7612" s="59">
        <v>63.0</v>
      </c>
      <c r="G7612" s="60">
        <v>1.34848484848484</v>
      </c>
      <c r="H7612" s="60">
        <v>0.280898876404494</v>
      </c>
      <c r="I7612" s="60">
        <v>184.679187325842</v>
      </c>
      <c r="J7612" s="59">
        <v>150.0</v>
      </c>
      <c r="K7612" s="61">
        <f t="shared" si="1"/>
        <v>0.7078651685</v>
      </c>
      <c r="L7612" s="62">
        <f t="shared" si="2"/>
        <v>1.685393258</v>
      </c>
    </row>
    <row r="7613">
      <c r="A7613" s="58">
        <v>45505.0</v>
      </c>
      <c r="B7613" s="24" t="s">
        <v>6790</v>
      </c>
      <c r="C7613" s="24" t="s">
        <v>6788</v>
      </c>
      <c r="D7613" s="59">
        <v>50.0</v>
      </c>
      <c r="E7613" s="59">
        <v>52.0</v>
      </c>
      <c r="F7613" s="59">
        <v>47.0</v>
      </c>
      <c r="G7613" s="60">
        <v>1.04</v>
      </c>
      <c r="H7613" s="60">
        <v>0.923076923076923</v>
      </c>
      <c r="I7613" s="60">
        <v>44.8044411153846</v>
      </c>
      <c r="J7613" s="59">
        <v>67.0</v>
      </c>
      <c r="K7613" s="61">
        <f t="shared" si="1"/>
        <v>0.9038461538</v>
      </c>
      <c r="L7613" s="62">
        <f t="shared" si="2"/>
        <v>1.288461538</v>
      </c>
    </row>
    <row r="7614">
      <c r="A7614" s="58">
        <v>45505.0</v>
      </c>
      <c r="B7614" s="24" t="s">
        <v>6787</v>
      </c>
      <c r="C7614" s="24" t="s">
        <v>6802</v>
      </c>
      <c r="D7614" s="59">
        <v>49.0</v>
      </c>
      <c r="E7614" s="59">
        <v>49.0</v>
      </c>
      <c r="F7614" s="59">
        <v>46.0</v>
      </c>
      <c r="G7614" s="60">
        <v>1.02083333333333</v>
      </c>
      <c r="H7614" s="60">
        <v>0.183673469387755</v>
      </c>
      <c r="I7614" s="60">
        <v>24.522884877551</v>
      </c>
      <c r="J7614" s="59">
        <v>120.0</v>
      </c>
      <c r="K7614" s="61">
        <f t="shared" si="1"/>
        <v>0.9387755102</v>
      </c>
      <c r="L7614" s="62">
        <f t="shared" si="2"/>
        <v>2.448979592</v>
      </c>
    </row>
    <row r="7615">
      <c r="A7615" s="58">
        <v>45505.0</v>
      </c>
      <c r="B7615" s="24" t="s">
        <v>6789</v>
      </c>
      <c r="C7615" s="24" t="s">
        <v>6804</v>
      </c>
      <c r="D7615" s="59">
        <v>47.0</v>
      </c>
      <c r="E7615" s="59">
        <v>57.0</v>
      </c>
      <c r="F7615" s="59">
        <v>45.0</v>
      </c>
      <c r="G7615" s="60">
        <v>1.2391304347826</v>
      </c>
      <c r="H7615" s="60">
        <v>0.491228070175438</v>
      </c>
      <c r="I7615" s="60">
        <v>152.114730771929</v>
      </c>
      <c r="J7615" s="59">
        <v>63.0</v>
      </c>
      <c r="K7615" s="61">
        <f t="shared" si="1"/>
        <v>0.7894736842</v>
      </c>
      <c r="L7615" s="62">
        <f t="shared" si="2"/>
        <v>1.105263158</v>
      </c>
    </row>
    <row r="7616">
      <c r="A7616" s="58">
        <v>45505.0</v>
      </c>
      <c r="B7616" s="24" t="s">
        <v>6787</v>
      </c>
      <c r="C7616" s="24" t="s">
        <v>6792</v>
      </c>
      <c r="D7616" s="59">
        <v>38.0</v>
      </c>
      <c r="E7616" s="59">
        <v>53.0</v>
      </c>
      <c r="F7616" s="59">
        <v>0.0</v>
      </c>
      <c r="G7616" s="60">
        <v>2.4090909090909</v>
      </c>
      <c r="H7616" s="60">
        <v>0.943396226415094</v>
      </c>
      <c r="I7616" s="60">
        <v>8.87448367924528</v>
      </c>
      <c r="J7616" s="59">
        <v>0.0</v>
      </c>
      <c r="K7616" s="61">
        <f t="shared" si="1"/>
        <v>0</v>
      </c>
      <c r="L7616" s="62">
        <f t="shared" si="2"/>
        <v>0</v>
      </c>
    </row>
    <row r="7617">
      <c r="A7617" s="58">
        <v>45505.0</v>
      </c>
      <c r="B7617" s="24" t="s">
        <v>6789</v>
      </c>
      <c r="C7617" s="24" t="s">
        <v>7024</v>
      </c>
      <c r="D7617" s="59">
        <v>35.0</v>
      </c>
      <c r="E7617" s="59">
        <v>37.0</v>
      </c>
      <c r="F7617" s="59">
        <v>35.0</v>
      </c>
      <c r="G7617" s="60">
        <v>1.05714285714285</v>
      </c>
      <c r="H7617" s="60">
        <v>0.486486486486486</v>
      </c>
      <c r="I7617" s="60">
        <v>82.0087946486486</v>
      </c>
      <c r="J7617" s="59">
        <v>39.0</v>
      </c>
      <c r="K7617" s="61">
        <f t="shared" si="1"/>
        <v>0.9459459459</v>
      </c>
      <c r="L7617" s="62">
        <f t="shared" si="2"/>
        <v>1.054054054</v>
      </c>
    </row>
    <row r="7618">
      <c r="A7618" s="58">
        <v>45505.0</v>
      </c>
      <c r="B7618" s="24" t="s">
        <v>6789</v>
      </c>
      <c r="C7618" s="24" t="s">
        <v>6799</v>
      </c>
      <c r="D7618" s="59">
        <v>25.0</v>
      </c>
      <c r="E7618" s="59">
        <v>29.0</v>
      </c>
      <c r="F7618" s="59">
        <v>18.0</v>
      </c>
      <c r="G7618" s="60">
        <v>1.16</v>
      </c>
      <c r="H7618" s="60">
        <v>0.413793103448275</v>
      </c>
      <c r="I7618" s="60">
        <v>102.614375551724</v>
      </c>
      <c r="J7618" s="59">
        <v>52.0</v>
      </c>
      <c r="K7618" s="61">
        <f t="shared" si="1"/>
        <v>0.6206896552</v>
      </c>
      <c r="L7618" s="62">
        <f t="shared" si="2"/>
        <v>1.793103448</v>
      </c>
    </row>
    <row r="7619">
      <c r="A7619" s="58">
        <v>45505.0</v>
      </c>
      <c r="B7619" s="24" t="s">
        <v>6789</v>
      </c>
      <c r="C7619" s="24" t="s">
        <v>6815</v>
      </c>
      <c r="D7619" s="59">
        <v>24.0</v>
      </c>
      <c r="E7619" s="59">
        <v>29.0</v>
      </c>
      <c r="F7619" s="59">
        <v>22.0</v>
      </c>
      <c r="G7619" s="60">
        <v>1.26086956521739</v>
      </c>
      <c r="H7619" s="60">
        <v>0.448275862068965</v>
      </c>
      <c r="I7619" s="60">
        <v>150.932463068965</v>
      </c>
      <c r="J7619" s="59">
        <v>46.0</v>
      </c>
      <c r="K7619" s="61">
        <f t="shared" si="1"/>
        <v>0.7586206897</v>
      </c>
      <c r="L7619" s="62">
        <f t="shared" si="2"/>
        <v>1.586206897</v>
      </c>
    </row>
    <row r="7620">
      <c r="A7620" s="58">
        <v>45505.0</v>
      </c>
      <c r="B7620" s="24" t="s">
        <v>6789</v>
      </c>
      <c r="C7620" s="24" t="s">
        <v>6808</v>
      </c>
      <c r="D7620" s="59">
        <v>20.0</v>
      </c>
      <c r="E7620" s="59">
        <v>21.0</v>
      </c>
      <c r="F7620" s="59">
        <v>10.0</v>
      </c>
      <c r="G7620" s="60">
        <v>1.10526315789473</v>
      </c>
      <c r="H7620" s="60">
        <v>0.476190476190476</v>
      </c>
      <c r="I7620" s="60">
        <v>163.332553047619</v>
      </c>
      <c r="J7620" s="59">
        <v>38.0</v>
      </c>
      <c r="K7620" s="61">
        <f t="shared" si="1"/>
        <v>0.4761904762</v>
      </c>
      <c r="L7620" s="62">
        <f t="shared" si="2"/>
        <v>1.80952381</v>
      </c>
    </row>
    <row r="7621">
      <c r="A7621" s="58">
        <v>45505.0</v>
      </c>
      <c r="B7621" s="24" t="s">
        <v>6789</v>
      </c>
      <c r="C7621" s="24" t="s">
        <v>6835</v>
      </c>
      <c r="D7621" s="59">
        <v>18.0</v>
      </c>
      <c r="E7621" s="59">
        <v>19.0</v>
      </c>
      <c r="F7621" s="59">
        <v>17.0</v>
      </c>
      <c r="G7621" s="60">
        <v>1.05555555555555</v>
      </c>
      <c r="H7621" s="60">
        <v>0.473684210526315</v>
      </c>
      <c r="I7621" s="60">
        <v>350.073716210526</v>
      </c>
      <c r="J7621" s="59">
        <v>23.0</v>
      </c>
      <c r="K7621" s="61">
        <f t="shared" si="1"/>
        <v>0.8947368421</v>
      </c>
      <c r="L7621" s="62">
        <f t="shared" si="2"/>
        <v>1.210526316</v>
      </c>
    </row>
    <row r="7622">
      <c r="A7622" s="58">
        <v>45505.0</v>
      </c>
      <c r="B7622" s="24" t="s">
        <v>6787</v>
      </c>
      <c r="C7622" s="24" t="s">
        <v>6815</v>
      </c>
      <c r="D7622" s="59">
        <v>18.0</v>
      </c>
      <c r="E7622" s="59">
        <v>45.0</v>
      </c>
      <c r="F7622" s="59">
        <v>18.0</v>
      </c>
      <c r="G7622" s="60">
        <v>2.5</v>
      </c>
      <c r="H7622" s="60">
        <v>0.777777777777777</v>
      </c>
      <c r="I7622" s="60">
        <v>107.074942488888</v>
      </c>
      <c r="J7622" s="59">
        <v>49.0</v>
      </c>
      <c r="K7622" s="61">
        <f t="shared" si="1"/>
        <v>0.4</v>
      </c>
      <c r="L7622" s="62">
        <f t="shared" si="2"/>
        <v>1.088888889</v>
      </c>
    </row>
    <row r="7623">
      <c r="A7623" s="58">
        <v>45505.0</v>
      </c>
      <c r="B7623" s="24" t="s">
        <v>6787</v>
      </c>
      <c r="C7623" s="24" t="s">
        <v>6799</v>
      </c>
      <c r="D7623" s="59">
        <v>17.0</v>
      </c>
      <c r="E7623" s="59">
        <v>18.0</v>
      </c>
      <c r="F7623" s="59">
        <v>15.0</v>
      </c>
      <c r="G7623" s="60">
        <v>1.05882352941176</v>
      </c>
      <c r="H7623" s="60">
        <v>0.388888888888888</v>
      </c>
      <c r="I7623" s="60">
        <v>124.779716611111</v>
      </c>
      <c r="J7623" s="59">
        <v>29.0</v>
      </c>
      <c r="K7623" s="61">
        <f t="shared" si="1"/>
        <v>0.8333333333</v>
      </c>
      <c r="L7623" s="62">
        <f t="shared" si="2"/>
        <v>1.611111111</v>
      </c>
    </row>
    <row r="7624">
      <c r="A7624" s="58">
        <v>45505.0</v>
      </c>
      <c r="B7624" s="24" t="s">
        <v>6787</v>
      </c>
      <c r="C7624" s="24" t="s">
        <v>7068</v>
      </c>
      <c r="D7624" s="59">
        <v>16.0</v>
      </c>
      <c r="E7624" s="59">
        <v>18.0</v>
      </c>
      <c r="F7624" s="59">
        <v>15.0</v>
      </c>
      <c r="G7624" s="60">
        <v>1.2</v>
      </c>
      <c r="H7624" s="60">
        <v>0.722222222222222</v>
      </c>
      <c r="I7624" s="60">
        <v>168.379833444444</v>
      </c>
      <c r="J7624" s="59">
        <v>22.0</v>
      </c>
      <c r="K7624" s="61">
        <f t="shared" si="1"/>
        <v>0.8333333333</v>
      </c>
      <c r="L7624" s="62">
        <f t="shared" si="2"/>
        <v>1.222222222</v>
      </c>
    </row>
    <row r="7625">
      <c r="A7625" s="58">
        <v>45505.0</v>
      </c>
      <c r="B7625" s="24" t="s">
        <v>155</v>
      </c>
      <c r="C7625" s="24" t="s">
        <v>6792</v>
      </c>
      <c r="D7625" s="59">
        <v>14.0</v>
      </c>
      <c r="E7625" s="59">
        <v>25.0</v>
      </c>
      <c r="F7625" s="59">
        <v>0.0</v>
      </c>
      <c r="G7625" s="60">
        <v>2.5</v>
      </c>
      <c r="H7625" s="60">
        <v>1.0</v>
      </c>
      <c r="I7625" s="60">
        <v>0.311121</v>
      </c>
      <c r="J7625" s="59">
        <v>0.0</v>
      </c>
      <c r="K7625" s="61">
        <f t="shared" si="1"/>
        <v>0</v>
      </c>
      <c r="L7625" s="62">
        <f t="shared" si="2"/>
        <v>0</v>
      </c>
    </row>
    <row r="7626">
      <c r="A7626" s="58">
        <v>45505.0</v>
      </c>
      <c r="B7626" s="24" t="s">
        <v>6789</v>
      </c>
      <c r="C7626" s="24" t="s">
        <v>6892</v>
      </c>
      <c r="D7626" s="59">
        <v>14.0</v>
      </c>
      <c r="E7626" s="59">
        <v>16.0</v>
      </c>
      <c r="F7626" s="59">
        <v>10.0</v>
      </c>
      <c r="G7626" s="60">
        <v>1.14285714285714</v>
      </c>
      <c r="H7626" s="60">
        <v>0.5625</v>
      </c>
      <c r="I7626" s="60">
        <v>112.4781376875</v>
      </c>
      <c r="J7626" s="59">
        <v>23.0</v>
      </c>
      <c r="K7626" s="61">
        <f t="shared" si="1"/>
        <v>0.625</v>
      </c>
      <c r="L7626" s="62">
        <f t="shared" si="2"/>
        <v>1.4375</v>
      </c>
    </row>
    <row r="7627">
      <c r="A7627" s="58">
        <v>45505.0</v>
      </c>
      <c r="B7627" s="24" t="s">
        <v>6789</v>
      </c>
      <c r="C7627" s="24" t="s">
        <v>7180</v>
      </c>
      <c r="D7627" s="59">
        <v>14.0</v>
      </c>
      <c r="E7627" s="59">
        <v>14.0</v>
      </c>
      <c r="F7627" s="59">
        <v>14.0</v>
      </c>
      <c r="G7627" s="60">
        <v>1.0</v>
      </c>
      <c r="H7627" s="60">
        <v>0.642857142857142</v>
      </c>
      <c r="I7627" s="60">
        <v>68.6148432857142</v>
      </c>
      <c r="J7627" s="59">
        <v>14.0</v>
      </c>
      <c r="K7627" s="61">
        <f t="shared" si="1"/>
        <v>1</v>
      </c>
      <c r="L7627" s="62">
        <f t="shared" si="2"/>
        <v>1</v>
      </c>
    </row>
    <row r="7628">
      <c r="A7628" s="58">
        <v>45505.0</v>
      </c>
      <c r="B7628" s="24" t="s">
        <v>6789</v>
      </c>
      <c r="C7628" s="24" t="s">
        <v>6838</v>
      </c>
      <c r="D7628" s="59">
        <v>13.0</v>
      </c>
      <c r="E7628" s="59">
        <v>16.0</v>
      </c>
      <c r="F7628" s="59">
        <v>11.0</v>
      </c>
      <c r="G7628" s="60">
        <v>1.23076923076923</v>
      </c>
      <c r="H7628" s="60">
        <v>0.5</v>
      </c>
      <c r="I7628" s="60">
        <v>333.2873041875</v>
      </c>
      <c r="J7628" s="59">
        <v>28.0</v>
      </c>
      <c r="K7628" s="61">
        <f t="shared" si="1"/>
        <v>0.6875</v>
      </c>
      <c r="L7628" s="62">
        <f t="shared" si="2"/>
        <v>1.75</v>
      </c>
    </row>
    <row r="7629">
      <c r="A7629" s="58">
        <v>45505.0</v>
      </c>
      <c r="B7629" s="24" t="s">
        <v>6787</v>
      </c>
      <c r="C7629" s="24" t="s">
        <v>7026</v>
      </c>
      <c r="D7629" s="59">
        <v>13.0</v>
      </c>
      <c r="E7629" s="59">
        <v>21.0</v>
      </c>
      <c r="F7629" s="59">
        <v>7.0</v>
      </c>
      <c r="G7629" s="60">
        <v>1.75</v>
      </c>
      <c r="H7629" s="60">
        <v>0.476190476190476</v>
      </c>
      <c r="I7629" s="60">
        <v>360.850575047619</v>
      </c>
      <c r="J7629" s="59">
        <v>66.0</v>
      </c>
      <c r="K7629" s="61">
        <f t="shared" si="1"/>
        <v>0.3333333333</v>
      </c>
      <c r="L7629" s="62">
        <f t="shared" si="2"/>
        <v>3.142857143</v>
      </c>
    </row>
    <row r="7630">
      <c r="A7630" s="58">
        <v>45505.0</v>
      </c>
      <c r="B7630" s="24" t="s">
        <v>6789</v>
      </c>
      <c r="C7630" s="24" t="s">
        <v>6802</v>
      </c>
      <c r="D7630" s="59">
        <v>13.0</v>
      </c>
      <c r="E7630" s="59">
        <v>18.0</v>
      </c>
      <c r="F7630" s="59">
        <v>4.0</v>
      </c>
      <c r="G7630" s="60">
        <v>1.5</v>
      </c>
      <c r="H7630" s="60">
        <v>0.388888888888888</v>
      </c>
      <c r="I7630" s="60">
        <v>257.867883333333</v>
      </c>
      <c r="J7630" s="59">
        <v>30.0</v>
      </c>
      <c r="K7630" s="61">
        <f t="shared" si="1"/>
        <v>0.2222222222</v>
      </c>
      <c r="L7630" s="62">
        <f t="shared" si="2"/>
        <v>1.666666667</v>
      </c>
    </row>
    <row r="7631">
      <c r="A7631" s="58">
        <v>45505.0</v>
      </c>
      <c r="B7631" s="24" t="s">
        <v>6789</v>
      </c>
      <c r="C7631" s="24" t="s">
        <v>7056</v>
      </c>
      <c r="D7631" s="59">
        <v>12.0</v>
      </c>
      <c r="E7631" s="59">
        <v>13.0</v>
      </c>
      <c r="F7631" s="59">
        <v>10.0</v>
      </c>
      <c r="G7631" s="60">
        <v>1.18181818181818</v>
      </c>
      <c r="H7631" s="60">
        <v>0.846153846153846</v>
      </c>
      <c r="I7631" s="60">
        <v>5.35005069230769</v>
      </c>
      <c r="J7631" s="59">
        <v>13.0</v>
      </c>
      <c r="K7631" s="61">
        <f t="shared" si="1"/>
        <v>0.7692307692</v>
      </c>
      <c r="L7631" s="62">
        <f t="shared" si="2"/>
        <v>1</v>
      </c>
    </row>
    <row r="7632">
      <c r="A7632" s="58">
        <v>45505.0</v>
      </c>
      <c r="B7632" s="24" t="s">
        <v>6787</v>
      </c>
      <c r="C7632" s="24" t="s">
        <v>7058</v>
      </c>
      <c r="D7632" s="59">
        <v>12.0</v>
      </c>
      <c r="E7632" s="59">
        <v>12.0</v>
      </c>
      <c r="F7632" s="59">
        <v>12.0</v>
      </c>
      <c r="G7632" s="60">
        <v>1.0</v>
      </c>
      <c r="H7632" s="60">
        <v>1.0</v>
      </c>
      <c r="I7632" s="60">
        <v>0.0</v>
      </c>
      <c r="J7632" s="59">
        <v>12.0</v>
      </c>
      <c r="K7632" s="61">
        <f t="shared" si="1"/>
        <v>1</v>
      </c>
      <c r="L7632" s="62">
        <f t="shared" si="2"/>
        <v>1</v>
      </c>
    </row>
    <row r="7633">
      <c r="A7633" s="58">
        <v>45505.0</v>
      </c>
      <c r="B7633" s="24" t="s">
        <v>6789</v>
      </c>
      <c r="C7633" s="24" t="s">
        <v>6910</v>
      </c>
      <c r="D7633" s="59">
        <v>12.0</v>
      </c>
      <c r="E7633" s="59">
        <v>13.0</v>
      </c>
      <c r="F7633" s="59">
        <v>10.0</v>
      </c>
      <c r="G7633" s="60">
        <v>1.08333333333333</v>
      </c>
      <c r="H7633" s="60">
        <v>0.23076923076923</v>
      </c>
      <c r="I7633" s="60">
        <v>207.745452461538</v>
      </c>
      <c r="J7633" s="59">
        <v>20.0</v>
      </c>
      <c r="K7633" s="61">
        <f t="shared" si="1"/>
        <v>0.7692307692</v>
      </c>
      <c r="L7633" s="62">
        <f t="shared" si="2"/>
        <v>1.538461538</v>
      </c>
    </row>
    <row r="7634">
      <c r="A7634" s="58">
        <v>45505.0</v>
      </c>
      <c r="B7634" s="24" t="s">
        <v>6789</v>
      </c>
      <c r="C7634" s="24" t="s">
        <v>6803</v>
      </c>
      <c r="D7634" s="59">
        <v>11.0</v>
      </c>
      <c r="E7634" s="59">
        <v>11.0</v>
      </c>
      <c r="F7634" s="59">
        <v>10.0</v>
      </c>
      <c r="G7634" s="60">
        <v>1.0</v>
      </c>
      <c r="H7634" s="60">
        <v>0.454545454545454</v>
      </c>
      <c r="I7634" s="60">
        <v>53.0582767272727</v>
      </c>
      <c r="J7634" s="59">
        <v>11.0</v>
      </c>
      <c r="K7634" s="61">
        <f t="shared" si="1"/>
        <v>0.9090909091</v>
      </c>
      <c r="L7634" s="62">
        <f t="shared" si="2"/>
        <v>1</v>
      </c>
    </row>
    <row r="7635">
      <c r="A7635" s="58">
        <v>45505.0</v>
      </c>
      <c r="B7635" s="24" t="s">
        <v>6787</v>
      </c>
      <c r="C7635" s="24" t="s">
        <v>6800</v>
      </c>
      <c r="D7635" s="59">
        <v>11.0</v>
      </c>
      <c r="E7635" s="59">
        <v>11.0</v>
      </c>
      <c r="F7635" s="59">
        <v>10.0</v>
      </c>
      <c r="G7635" s="60">
        <v>1.0</v>
      </c>
      <c r="H7635" s="60">
        <v>0.909090909090909</v>
      </c>
      <c r="I7635" s="60">
        <v>1.61036663636363</v>
      </c>
      <c r="J7635" s="59">
        <v>12.0</v>
      </c>
      <c r="K7635" s="61">
        <f t="shared" si="1"/>
        <v>0.9090909091</v>
      </c>
      <c r="L7635" s="62">
        <f t="shared" si="2"/>
        <v>1.090909091</v>
      </c>
    </row>
    <row r="7636">
      <c r="A7636" s="58">
        <v>45505.0</v>
      </c>
      <c r="B7636" s="24" t="s">
        <v>6794</v>
      </c>
      <c r="C7636" s="24" t="s">
        <v>6792</v>
      </c>
      <c r="D7636" s="59">
        <v>10.0</v>
      </c>
      <c r="E7636" s="59">
        <v>11.0</v>
      </c>
      <c r="F7636" s="59">
        <v>0.0</v>
      </c>
      <c r="G7636" s="60">
        <v>1.22222222222222</v>
      </c>
      <c r="H7636" s="60">
        <v>0.818181818181818</v>
      </c>
      <c r="I7636" s="60">
        <v>9.32920909090909</v>
      </c>
      <c r="J7636" s="59">
        <v>0.0</v>
      </c>
      <c r="K7636" s="61">
        <f t="shared" si="1"/>
        <v>0</v>
      </c>
      <c r="L7636" s="62">
        <f t="shared" si="2"/>
        <v>0</v>
      </c>
    </row>
    <row r="7637">
      <c r="A7637" s="58">
        <v>45505.0</v>
      </c>
      <c r="B7637" s="24" t="s">
        <v>155</v>
      </c>
      <c r="C7637" s="24" t="s">
        <v>6800</v>
      </c>
      <c r="D7637" s="59">
        <v>10.0</v>
      </c>
      <c r="E7637" s="59">
        <v>10.0</v>
      </c>
      <c r="F7637" s="59">
        <v>10.0</v>
      </c>
      <c r="G7637" s="60">
        <v>1.0</v>
      </c>
      <c r="H7637" s="60">
        <v>0.0</v>
      </c>
      <c r="I7637" s="60">
        <v>38.8161795</v>
      </c>
      <c r="J7637" s="59">
        <v>20.0</v>
      </c>
      <c r="K7637" s="61">
        <f t="shared" si="1"/>
        <v>1</v>
      </c>
      <c r="L7637" s="62">
        <f t="shared" si="2"/>
        <v>2</v>
      </c>
    </row>
    <row r="7638">
      <c r="A7638" s="58">
        <v>45505.0</v>
      </c>
      <c r="B7638" s="24" t="s">
        <v>6789</v>
      </c>
      <c r="C7638" s="24" t="s">
        <v>7313</v>
      </c>
      <c r="D7638" s="59">
        <v>10.0</v>
      </c>
      <c r="E7638" s="59">
        <v>12.0</v>
      </c>
      <c r="F7638" s="59">
        <v>2.0</v>
      </c>
      <c r="G7638" s="60">
        <v>1.2</v>
      </c>
      <c r="H7638" s="60">
        <v>0.416666666666666</v>
      </c>
      <c r="I7638" s="60">
        <v>460.239692833333</v>
      </c>
      <c r="J7638" s="59">
        <v>29.0</v>
      </c>
      <c r="K7638" s="61">
        <f t="shared" si="1"/>
        <v>0.1666666667</v>
      </c>
      <c r="L7638" s="62">
        <f t="shared" si="2"/>
        <v>2.416666667</v>
      </c>
    </row>
    <row r="7639">
      <c r="A7639" s="58">
        <v>45505.0</v>
      </c>
      <c r="B7639" s="24" t="s">
        <v>6789</v>
      </c>
      <c r="C7639" s="24" t="s">
        <v>6994</v>
      </c>
      <c r="D7639" s="59">
        <v>9.0</v>
      </c>
      <c r="E7639" s="59">
        <v>11.0</v>
      </c>
      <c r="F7639" s="59">
        <v>8.0</v>
      </c>
      <c r="G7639" s="60">
        <v>1.375</v>
      </c>
      <c r="H7639" s="60">
        <v>0.454545454545454</v>
      </c>
      <c r="I7639" s="60">
        <v>106.078303363636</v>
      </c>
      <c r="J7639" s="59">
        <v>13.0</v>
      </c>
      <c r="K7639" s="61">
        <f t="shared" si="1"/>
        <v>0.7272727273</v>
      </c>
      <c r="L7639" s="62">
        <f t="shared" si="2"/>
        <v>1.181818182</v>
      </c>
    </row>
    <row r="7640">
      <c r="A7640" s="58">
        <v>45505.0</v>
      </c>
      <c r="B7640" s="24" t="s">
        <v>6789</v>
      </c>
      <c r="C7640" s="24" t="s">
        <v>6800</v>
      </c>
      <c r="D7640" s="59">
        <v>9.0</v>
      </c>
      <c r="E7640" s="59">
        <v>10.0</v>
      </c>
      <c r="F7640" s="59">
        <v>6.0</v>
      </c>
      <c r="G7640" s="60">
        <v>1.25</v>
      </c>
      <c r="H7640" s="60">
        <v>0.4</v>
      </c>
      <c r="I7640" s="60">
        <v>73.1550104</v>
      </c>
      <c r="J7640" s="59">
        <v>27.0</v>
      </c>
      <c r="K7640" s="61">
        <f t="shared" si="1"/>
        <v>0.6</v>
      </c>
      <c r="L7640" s="62">
        <f t="shared" si="2"/>
        <v>2.7</v>
      </c>
    </row>
    <row r="7641">
      <c r="A7641" s="58">
        <v>45505.0</v>
      </c>
      <c r="B7641" s="24" t="s">
        <v>6787</v>
      </c>
      <c r="C7641" s="24" t="s">
        <v>6817</v>
      </c>
      <c r="D7641" s="59">
        <v>8.0</v>
      </c>
      <c r="E7641" s="59">
        <v>8.0</v>
      </c>
      <c r="F7641" s="59">
        <v>7.0</v>
      </c>
      <c r="G7641" s="60">
        <v>1.14285714285714</v>
      </c>
      <c r="H7641" s="60">
        <v>0.75</v>
      </c>
      <c r="I7641" s="60">
        <v>50.06431625</v>
      </c>
      <c r="J7641" s="59">
        <v>11.0</v>
      </c>
      <c r="K7641" s="61">
        <f t="shared" si="1"/>
        <v>0.875</v>
      </c>
      <c r="L7641" s="62">
        <f t="shared" si="2"/>
        <v>1.375</v>
      </c>
    </row>
    <row r="7642">
      <c r="A7642" s="58">
        <v>45505.0</v>
      </c>
      <c r="B7642" s="24" t="s">
        <v>6787</v>
      </c>
      <c r="C7642" s="24" t="s">
        <v>6985</v>
      </c>
      <c r="D7642" s="59">
        <v>8.0</v>
      </c>
      <c r="E7642" s="59">
        <v>8.0</v>
      </c>
      <c r="F7642" s="59">
        <v>8.0</v>
      </c>
      <c r="G7642" s="60">
        <v>1.0</v>
      </c>
      <c r="H7642" s="60">
        <v>1.0</v>
      </c>
      <c r="I7642" s="60">
        <v>0.0</v>
      </c>
      <c r="J7642" s="59">
        <v>8.0</v>
      </c>
      <c r="K7642" s="61">
        <f t="shared" si="1"/>
        <v>1</v>
      </c>
      <c r="L7642" s="62">
        <f t="shared" si="2"/>
        <v>1</v>
      </c>
    </row>
    <row r="7643">
      <c r="A7643" s="58">
        <v>45505.0</v>
      </c>
      <c r="B7643" s="24" t="s">
        <v>6789</v>
      </c>
      <c r="C7643" s="24" t="s">
        <v>6990</v>
      </c>
      <c r="D7643" s="59">
        <v>8.0</v>
      </c>
      <c r="E7643" s="59">
        <v>8.0</v>
      </c>
      <c r="F7643" s="59">
        <v>6.0</v>
      </c>
      <c r="G7643" s="60">
        <v>1.33333333333333</v>
      </c>
      <c r="H7643" s="60">
        <v>0.875</v>
      </c>
      <c r="I7643" s="60">
        <v>31.76947575</v>
      </c>
      <c r="J7643" s="59">
        <v>8.0</v>
      </c>
      <c r="K7643" s="61">
        <f t="shared" si="1"/>
        <v>0.75</v>
      </c>
      <c r="L7643" s="62">
        <f t="shared" si="2"/>
        <v>1</v>
      </c>
    </row>
    <row r="7644">
      <c r="A7644" s="58">
        <v>45505.0</v>
      </c>
      <c r="B7644" s="24" t="s">
        <v>6789</v>
      </c>
      <c r="C7644" s="24" t="s">
        <v>6840</v>
      </c>
      <c r="D7644" s="59">
        <v>7.0</v>
      </c>
      <c r="E7644" s="59">
        <v>9.0</v>
      </c>
      <c r="F7644" s="59">
        <v>4.0</v>
      </c>
      <c r="G7644" s="60">
        <v>1.28571428571428</v>
      </c>
      <c r="H7644" s="60">
        <v>0.555555555555555</v>
      </c>
      <c r="I7644" s="60">
        <v>330.869521777777</v>
      </c>
      <c r="J7644" s="59">
        <v>22.0</v>
      </c>
      <c r="K7644" s="61">
        <f t="shared" si="1"/>
        <v>0.4444444444</v>
      </c>
      <c r="L7644" s="62">
        <f t="shared" si="2"/>
        <v>2.444444444</v>
      </c>
    </row>
    <row r="7645">
      <c r="A7645" s="58">
        <v>45505.0</v>
      </c>
      <c r="B7645" s="24" t="s">
        <v>6789</v>
      </c>
      <c r="C7645" s="24" t="s">
        <v>7026</v>
      </c>
      <c r="D7645" s="59">
        <v>7.0</v>
      </c>
      <c r="E7645" s="59">
        <v>15.0</v>
      </c>
      <c r="F7645" s="59">
        <v>0.0</v>
      </c>
      <c r="G7645" s="60">
        <v>2.14285714285714</v>
      </c>
      <c r="H7645" s="60">
        <v>0.133333333333333</v>
      </c>
      <c r="I7645" s="60">
        <v>836.176206066666</v>
      </c>
      <c r="J7645" s="59">
        <v>91.0</v>
      </c>
      <c r="K7645" s="61">
        <f t="shared" si="1"/>
        <v>0</v>
      </c>
      <c r="L7645" s="62">
        <f t="shared" si="2"/>
        <v>6.066666667</v>
      </c>
    </row>
    <row r="7646">
      <c r="A7646" s="58">
        <v>45505.0</v>
      </c>
      <c r="B7646" s="24" t="s">
        <v>6789</v>
      </c>
      <c r="C7646" s="24" t="s">
        <v>7107</v>
      </c>
      <c r="D7646" s="59">
        <v>7.0</v>
      </c>
      <c r="E7646" s="59">
        <v>10.0</v>
      </c>
      <c r="F7646" s="59">
        <v>1.0</v>
      </c>
      <c r="G7646" s="60">
        <v>2.0</v>
      </c>
      <c r="H7646" s="60">
        <v>0.7</v>
      </c>
      <c r="I7646" s="60">
        <v>100.257575199999</v>
      </c>
      <c r="J7646" s="59">
        <v>21.0</v>
      </c>
      <c r="K7646" s="61">
        <f t="shared" si="1"/>
        <v>0.1</v>
      </c>
      <c r="L7646" s="62">
        <f t="shared" si="2"/>
        <v>2.1</v>
      </c>
    </row>
    <row r="7647">
      <c r="A7647" s="58">
        <v>45505.0</v>
      </c>
      <c r="B7647" s="24" t="s">
        <v>6787</v>
      </c>
      <c r="C7647" s="24" t="s">
        <v>6811</v>
      </c>
      <c r="D7647" s="59">
        <v>6.0</v>
      </c>
      <c r="E7647" s="59">
        <v>15.0</v>
      </c>
      <c r="F7647" s="59">
        <v>2.0</v>
      </c>
      <c r="G7647" s="60">
        <v>2.5</v>
      </c>
      <c r="H7647" s="60">
        <v>0.266666666666666</v>
      </c>
      <c r="I7647" s="60">
        <v>69.7006763333333</v>
      </c>
      <c r="J7647" s="59">
        <v>25.0</v>
      </c>
      <c r="K7647" s="61">
        <f t="shared" si="1"/>
        <v>0.1333333333</v>
      </c>
      <c r="L7647" s="62">
        <f t="shared" si="2"/>
        <v>1.666666667</v>
      </c>
    </row>
    <row r="7648">
      <c r="A7648" s="58">
        <v>45505.0</v>
      </c>
      <c r="B7648" s="24" t="s">
        <v>6787</v>
      </c>
      <c r="C7648" s="24" t="s">
        <v>6904</v>
      </c>
      <c r="D7648" s="59">
        <v>6.0</v>
      </c>
      <c r="E7648" s="59">
        <v>6.0</v>
      </c>
      <c r="F7648" s="59">
        <v>6.0</v>
      </c>
      <c r="G7648" s="60">
        <v>1.0</v>
      </c>
      <c r="H7648" s="60">
        <v>0.333333333333333</v>
      </c>
      <c r="I7648" s="60">
        <v>55.6535451666666</v>
      </c>
      <c r="J7648" s="59">
        <v>15.0</v>
      </c>
      <c r="K7648" s="61">
        <f t="shared" si="1"/>
        <v>1</v>
      </c>
      <c r="L7648" s="62">
        <f t="shared" si="2"/>
        <v>2.5</v>
      </c>
    </row>
    <row r="7649">
      <c r="A7649" s="58">
        <v>45505.0</v>
      </c>
      <c r="B7649" s="24" t="s">
        <v>6787</v>
      </c>
      <c r="C7649" s="24" t="s">
        <v>7035</v>
      </c>
      <c r="D7649" s="59">
        <v>6.0</v>
      </c>
      <c r="E7649" s="59">
        <v>7.0</v>
      </c>
      <c r="F7649" s="59">
        <v>1.0</v>
      </c>
      <c r="G7649" s="60">
        <v>1.4</v>
      </c>
      <c r="H7649" s="60">
        <v>0.428571428571428</v>
      </c>
      <c r="I7649" s="60">
        <v>51.5767378571428</v>
      </c>
      <c r="J7649" s="59">
        <v>22.0</v>
      </c>
      <c r="K7649" s="61">
        <f t="shared" si="1"/>
        <v>0.1428571429</v>
      </c>
      <c r="L7649" s="62">
        <f t="shared" si="2"/>
        <v>3.142857143</v>
      </c>
    </row>
    <row r="7650">
      <c r="A7650" s="58">
        <v>45505.0</v>
      </c>
      <c r="B7650" s="24" t="s">
        <v>6787</v>
      </c>
      <c r="C7650" s="24" t="s">
        <v>6886</v>
      </c>
      <c r="D7650" s="59">
        <v>5.0</v>
      </c>
      <c r="E7650" s="59">
        <v>5.0</v>
      </c>
      <c r="F7650" s="59">
        <v>5.0</v>
      </c>
      <c r="G7650" s="60">
        <v>1.0</v>
      </c>
      <c r="H7650" s="60">
        <v>0.4</v>
      </c>
      <c r="I7650" s="60">
        <v>2.5773946</v>
      </c>
      <c r="J7650" s="59">
        <v>10.0</v>
      </c>
      <c r="K7650" s="61">
        <f t="shared" si="1"/>
        <v>1</v>
      </c>
      <c r="L7650" s="62">
        <f t="shared" si="2"/>
        <v>2</v>
      </c>
    </row>
    <row r="7651">
      <c r="A7651" s="58">
        <v>45505.0</v>
      </c>
      <c r="B7651" s="24" t="s">
        <v>6789</v>
      </c>
      <c r="C7651" s="24" t="s">
        <v>6997</v>
      </c>
      <c r="D7651" s="59">
        <v>5.0</v>
      </c>
      <c r="E7651" s="59">
        <v>5.0</v>
      </c>
      <c r="F7651" s="59">
        <v>4.0</v>
      </c>
      <c r="G7651" s="60">
        <v>1.0</v>
      </c>
      <c r="H7651" s="60">
        <v>0.4</v>
      </c>
      <c r="I7651" s="60">
        <v>334.3360014</v>
      </c>
      <c r="J7651" s="59">
        <v>9.0</v>
      </c>
      <c r="K7651" s="61">
        <f t="shared" si="1"/>
        <v>0.8</v>
      </c>
      <c r="L7651" s="62">
        <f t="shared" si="2"/>
        <v>1.8</v>
      </c>
    </row>
    <row r="7652">
      <c r="A7652" s="58">
        <v>45505.0</v>
      </c>
      <c r="B7652" s="24" t="s">
        <v>6787</v>
      </c>
      <c r="C7652" s="24" t="s">
        <v>6822</v>
      </c>
      <c r="D7652" s="59">
        <v>5.0</v>
      </c>
      <c r="E7652" s="59">
        <v>6.0</v>
      </c>
      <c r="F7652" s="59">
        <v>5.0</v>
      </c>
      <c r="G7652" s="60">
        <v>1.2</v>
      </c>
      <c r="H7652" s="60">
        <v>0.333333333333333</v>
      </c>
      <c r="I7652" s="60">
        <v>7.78013416666666</v>
      </c>
      <c r="J7652" s="59">
        <v>7.0</v>
      </c>
      <c r="K7652" s="61">
        <f t="shared" si="1"/>
        <v>0.8333333333</v>
      </c>
      <c r="L7652" s="62">
        <f t="shared" si="2"/>
        <v>1.166666667</v>
      </c>
    </row>
    <row r="7653">
      <c r="A7653" s="58">
        <v>45505.0</v>
      </c>
      <c r="B7653" s="24" t="s">
        <v>6789</v>
      </c>
      <c r="C7653" s="24" t="s">
        <v>6908</v>
      </c>
      <c r="D7653" s="59">
        <v>5.0</v>
      </c>
      <c r="E7653" s="59">
        <v>9.0</v>
      </c>
      <c r="F7653" s="59">
        <v>0.0</v>
      </c>
      <c r="G7653" s="60">
        <v>2.25</v>
      </c>
      <c r="H7653" s="60">
        <v>0.555555555555555</v>
      </c>
      <c r="I7653" s="60">
        <v>148.071475111111</v>
      </c>
      <c r="J7653" s="59">
        <v>17.0</v>
      </c>
      <c r="K7653" s="61">
        <f t="shared" si="1"/>
        <v>0</v>
      </c>
      <c r="L7653" s="62">
        <f t="shared" si="2"/>
        <v>1.888888889</v>
      </c>
    </row>
    <row r="7654">
      <c r="A7654" s="58">
        <v>45505.0</v>
      </c>
      <c r="B7654" s="24" t="s">
        <v>6787</v>
      </c>
      <c r="C7654" s="24" t="s">
        <v>7172</v>
      </c>
      <c r="D7654" s="59">
        <v>5.0</v>
      </c>
      <c r="E7654" s="59">
        <v>5.0</v>
      </c>
      <c r="F7654" s="59">
        <v>4.0</v>
      </c>
      <c r="G7654" s="60">
        <v>1.25</v>
      </c>
      <c r="H7654" s="60">
        <v>0.8</v>
      </c>
      <c r="I7654" s="60">
        <v>3.0625812</v>
      </c>
      <c r="J7654" s="59">
        <v>5.0</v>
      </c>
      <c r="K7654" s="61">
        <f t="shared" si="1"/>
        <v>0.8</v>
      </c>
      <c r="L7654" s="62">
        <f t="shared" si="2"/>
        <v>1</v>
      </c>
    </row>
    <row r="7655">
      <c r="A7655" s="58">
        <v>45505.0</v>
      </c>
      <c r="B7655" s="24" t="s">
        <v>6787</v>
      </c>
      <c r="C7655" s="24" t="s">
        <v>6910</v>
      </c>
      <c r="D7655" s="59">
        <v>5.0</v>
      </c>
      <c r="E7655" s="59">
        <v>6.0</v>
      </c>
      <c r="F7655" s="59">
        <v>3.0</v>
      </c>
      <c r="G7655" s="60">
        <v>1.5</v>
      </c>
      <c r="H7655" s="60">
        <v>1.0</v>
      </c>
      <c r="I7655" s="60">
        <v>0.914639499999999</v>
      </c>
      <c r="J7655" s="59">
        <v>6.0</v>
      </c>
      <c r="K7655" s="61">
        <f t="shared" si="1"/>
        <v>0.5</v>
      </c>
      <c r="L7655" s="62">
        <f t="shared" si="2"/>
        <v>1</v>
      </c>
    </row>
    <row r="7656">
      <c r="A7656" s="58">
        <v>45505.0</v>
      </c>
      <c r="B7656" s="24" t="s">
        <v>6789</v>
      </c>
      <c r="C7656" s="24" t="s">
        <v>7102</v>
      </c>
      <c r="D7656" s="59">
        <v>5.0</v>
      </c>
      <c r="E7656" s="59">
        <v>6.0</v>
      </c>
      <c r="F7656" s="59">
        <v>2.0</v>
      </c>
      <c r="G7656" s="60">
        <v>1.5</v>
      </c>
      <c r="H7656" s="60">
        <v>0.333333333333333</v>
      </c>
      <c r="I7656" s="60">
        <v>1162.463055</v>
      </c>
      <c r="J7656" s="59">
        <v>20.0</v>
      </c>
      <c r="K7656" s="61">
        <f t="shared" si="1"/>
        <v>0.3333333333</v>
      </c>
      <c r="L7656" s="62">
        <f t="shared" si="2"/>
        <v>3.333333333</v>
      </c>
    </row>
    <row r="7657">
      <c r="A7657" s="58">
        <v>45505.0</v>
      </c>
      <c r="B7657" s="24" t="s">
        <v>6789</v>
      </c>
      <c r="C7657" s="24" t="s">
        <v>7104</v>
      </c>
      <c r="D7657" s="59">
        <v>5.0</v>
      </c>
      <c r="E7657" s="59">
        <v>6.0</v>
      </c>
      <c r="F7657" s="59">
        <v>3.0</v>
      </c>
      <c r="G7657" s="60">
        <v>1.2</v>
      </c>
      <c r="H7657" s="60">
        <v>0.333333333333333</v>
      </c>
      <c r="I7657" s="60">
        <v>141.6611015</v>
      </c>
      <c r="J7657" s="59">
        <v>12.0</v>
      </c>
      <c r="K7657" s="61">
        <f t="shared" si="1"/>
        <v>0.5</v>
      </c>
      <c r="L7657" s="62">
        <f t="shared" si="2"/>
        <v>2</v>
      </c>
    </row>
    <row r="7658">
      <c r="A7658" s="58">
        <v>45505.0</v>
      </c>
      <c r="B7658" s="24" t="s">
        <v>6787</v>
      </c>
      <c r="C7658" s="24" t="s">
        <v>7107</v>
      </c>
      <c r="D7658" s="59">
        <v>5.0</v>
      </c>
      <c r="E7658" s="59">
        <v>5.0</v>
      </c>
      <c r="F7658" s="59">
        <v>4.0</v>
      </c>
      <c r="G7658" s="60">
        <v>1.0</v>
      </c>
      <c r="H7658" s="60">
        <v>0.6</v>
      </c>
      <c r="I7658" s="60">
        <v>206.8460514</v>
      </c>
      <c r="J7658" s="59">
        <v>5.0</v>
      </c>
      <c r="K7658" s="61">
        <f t="shared" si="1"/>
        <v>0.8</v>
      </c>
      <c r="L7658" s="62">
        <f t="shared" si="2"/>
        <v>1</v>
      </c>
    </row>
    <row r="7659">
      <c r="A7659" s="58">
        <v>45505.0</v>
      </c>
      <c r="B7659" s="24" t="s">
        <v>155</v>
      </c>
      <c r="C7659" s="24" t="s">
        <v>7107</v>
      </c>
      <c r="D7659" s="59">
        <v>5.0</v>
      </c>
      <c r="E7659" s="59">
        <v>7.0</v>
      </c>
      <c r="F7659" s="59">
        <v>0.0</v>
      </c>
      <c r="G7659" s="60">
        <v>1.4</v>
      </c>
      <c r="H7659" s="60">
        <v>0.142857142857142</v>
      </c>
      <c r="I7659" s="60">
        <v>747.585815571428</v>
      </c>
      <c r="J7659" s="59">
        <v>64.0</v>
      </c>
      <c r="K7659" s="61">
        <f t="shared" si="1"/>
        <v>0</v>
      </c>
      <c r="L7659" s="62">
        <f t="shared" si="2"/>
        <v>9.142857143</v>
      </c>
    </row>
    <row r="7660">
      <c r="A7660" s="58">
        <v>45505.0</v>
      </c>
      <c r="B7660" s="24" t="s">
        <v>6789</v>
      </c>
      <c r="C7660" s="24" t="s">
        <v>6817</v>
      </c>
      <c r="D7660" s="59">
        <v>4.0</v>
      </c>
      <c r="E7660" s="59">
        <v>4.0</v>
      </c>
      <c r="F7660" s="59">
        <v>2.0</v>
      </c>
      <c r="G7660" s="60">
        <v>1.33333333333333</v>
      </c>
      <c r="H7660" s="60">
        <v>0.25</v>
      </c>
      <c r="I7660" s="60">
        <v>460.691684</v>
      </c>
      <c r="J7660" s="59">
        <v>17.0</v>
      </c>
      <c r="K7660" s="61">
        <f t="shared" si="1"/>
        <v>0.5</v>
      </c>
      <c r="L7660" s="62">
        <f t="shared" si="2"/>
        <v>4.25</v>
      </c>
    </row>
    <row r="7661">
      <c r="A7661" s="58">
        <v>45505.0</v>
      </c>
      <c r="B7661" s="24" t="s">
        <v>6789</v>
      </c>
      <c r="C7661" s="24" t="s">
        <v>6985</v>
      </c>
      <c r="D7661" s="59">
        <v>4.0</v>
      </c>
      <c r="E7661" s="59">
        <v>5.0</v>
      </c>
      <c r="F7661" s="59">
        <v>4.0</v>
      </c>
      <c r="G7661" s="60">
        <v>1.25</v>
      </c>
      <c r="H7661" s="60">
        <v>0.6</v>
      </c>
      <c r="I7661" s="60">
        <v>83.8968819999999</v>
      </c>
      <c r="J7661" s="59">
        <v>9.0</v>
      </c>
      <c r="K7661" s="61">
        <f t="shared" si="1"/>
        <v>0.8</v>
      </c>
      <c r="L7661" s="62">
        <f t="shared" si="2"/>
        <v>1.8</v>
      </c>
    </row>
    <row r="7662">
      <c r="A7662" s="58">
        <v>45505.0</v>
      </c>
      <c r="B7662" s="24" t="s">
        <v>6789</v>
      </c>
      <c r="C7662" s="24" t="s">
        <v>6989</v>
      </c>
      <c r="D7662" s="59">
        <v>4.0</v>
      </c>
      <c r="E7662" s="59">
        <v>4.0</v>
      </c>
      <c r="F7662" s="59">
        <v>2.0</v>
      </c>
      <c r="G7662" s="60">
        <v>1.0</v>
      </c>
      <c r="H7662" s="60">
        <v>0.5</v>
      </c>
      <c r="I7662" s="60">
        <v>823.01779425</v>
      </c>
      <c r="J7662" s="59">
        <v>14.0</v>
      </c>
      <c r="K7662" s="61">
        <f t="shared" si="1"/>
        <v>0.5</v>
      </c>
      <c r="L7662" s="62">
        <f t="shared" si="2"/>
        <v>3.5</v>
      </c>
    </row>
    <row r="7663">
      <c r="A7663" s="58">
        <v>45505.0</v>
      </c>
      <c r="B7663" s="24" t="s">
        <v>6789</v>
      </c>
      <c r="C7663" s="24" t="s">
        <v>7072</v>
      </c>
      <c r="D7663" s="59">
        <v>4.0</v>
      </c>
      <c r="E7663" s="59">
        <v>7.0</v>
      </c>
      <c r="F7663" s="59">
        <v>3.0</v>
      </c>
      <c r="G7663" s="60">
        <v>1.75</v>
      </c>
      <c r="H7663" s="60">
        <v>0.428571428571428</v>
      </c>
      <c r="I7663" s="60">
        <v>228.723572142857</v>
      </c>
      <c r="J7663" s="59">
        <v>15.0</v>
      </c>
      <c r="K7663" s="61">
        <f t="shared" si="1"/>
        <v>0.4285714286</v>
      </c>
      <c r="L7663" s="62">
        <f t="shared" si="2"/>
        <v>2.142857143</v>
      </c>
    </row>
    <row r="7664">
      <c r="A7664" s="58">
        <v>45505.0</v>
      </c>
      <c r="B7664" s="24" t="s">
        <v>6789</v>
      </c>
      <c r="C7664" s="24" t="s">
        <v>7530</v>
      </c>
      <c r="D7664" s="59">
        <v>4.0</v>
      </c>
      <c r="E7664" s="59">
        <v>5.0</v>
      </c>
      <c r="F7664" s="59">
        <v>2.0</v>
      </c>
      <c r="G7664" s="60">
        <v>1.25</v>
      </c>
      <c r="H7664" s="60">
        <v>0.4</v>
      </c>
      <c r="I7664" s="60">
        <v>344.6890168</v>
      </c>
      <c r="J7664" s="59">
        <v>28.0</v>
      </c>
      <c r="K7664" s="61">
        <f t="shared" si="1"/>
        <v>0.4</v>
      </c>
      <c r="L7664" s="62">
        <f t="shared" si="2"/>
        <v>5.6</v>
      </c>
    </row>
    <row r="7665">
      <c r="A7665" s="58">
        <v>45505.0</v>
      </c>
      <c r="B7665" s="24" t="s">
        <v>155</v>
      </c>
      <c r="C7665" s="24" t="s">
        <v>7026</v>
      </c>
      <c r="D7665" s="59">
        <v>4.0</v>
      </c>
      <c r="E7665" s="59">
        <v>5.0</v>
      </c>
      <c r="F7665" s="59">
        <v>0.0</v>
      </c>
      <c r="G7665" s="60">
        <v>1.25</v>
      </c>
      <c r="H7665" s="60">
        <v>0.6</v>
      </c>
      <c r="I7665" s="60">
        <v>120.4204848</v>
      </c>
      <c r="J7665" s="59">
        <v>11.0</v>
      </c>
      <c r="K7665" s="61">
        <f t="shared" si="1"/>
        <v>0</v>
      </c>
      <c r="L7665" s="62">
        <f t="shared" si="2"/>
        <v>2.2</v>
      </c>
    </row>
    <row r="7666">
      <c r="A7666" s="58">
        <v>45505.0</v>
      </c>
      <c r="B7666" s="24" t="s">
        <v>6787</v>
      </c>
      <c r="C7666" s="24" t="s">
        <v>6908</v>
      </c>
      <c r="D7666" s="59">
        <v>4.0</v>
      </c>
      <c r="E7666" s="59">
        <v>4.0</v>
      </c>
      <c r="F7666" s="59">
        <v>2.0</v>
      </c>
      <c r="G7666" s="60">
        <v>1.0</v>
      </c>
      <c r="H7666" s="60">
        <v>0.5</v>
      </c>
      <c r="I7666" s="60">
        <v>544.271071</v>
      </c>
      <c r="J7666" s="59">
        <v>6.0</v>
      </c>
      <c r="K7666" s="61">
        <f t="shared" si="1"/>
        <v>0.5</v>
      </c>
      <c r="L7666" s="62">
        <f t="shared" si="2"/>
        <v>1.5</v>
      </c>
    </row>
    <row r="7667">
      <c r="A7667" s="58">
        <v>45505.0</v>
      </c>
      <c r="B7667" s="24" t="s">
        <v>6787</v>
      </c>
      <c r="C7667" s="24" t="s">
        <v>6801</v>
      </c>
      <c r="D7667" s="59">
        <v>4.0</v>
      </c>
      <c r="E7667" s="59">
        <v>4.0</v>
      </c>
      <c r="F7667" s="59">
        <v>4.0</v>
      </c>
      <c r="G7667" s="60">
        <v>1.0</v>
      </c>
      <c r="H7667" s="60">
        <v>1.0</v>
      </c>
      <c r="I7667" s="60">
        <v>2.686749</v>
      </c>
      <c r="J7667" s="59">
        <v>4.0</v>
      </c>
      <c r="K7667" s="61">
        <f t="shared" si="1"/>
        <v>1</v>
      </c>
      <c r="L7667" s="62">
        <f t="shared" si="2"/>
        <v>1</v>
      </c>
    </row>
    <row r="7668">
      <c r="A7668" s="58">
        <v>45505.0</v>
      </c>
      <c r="B7668" s="24" t="s">
        <v>6787</v>
      </c>
      <c r="C7668" s="24" t="s">
        <v>7102</v>
      </c>
      <c r="D7668" s="59">
        <v>4.0</v>
      </c>
      <c r="E7668" s="59">
        <v>5.0</v>
      </c>
      <c r="F7668" s="59">
        <v>4.0</v>
      </c>
      <c r="G7668" s="60">
        <v>1.25</v>
      </c>
      <c r="H7668" s="60">
        <v>0.8</v>
      </c>
      <c r="I7668" s="60">
        <v>104.026664399999</v>
      </c>
      <c r="J7668" s="59">
        <v>6.0</v>
      </c>
      <c r="K7668" s="61">
        <f t="shared" si="1"/>
        <v>0.8</v>
      </c>
      <c r="L7668" s="62">
        <f t="shared" si="2"/>
        <v>1.2</v>
      </c>
    </row>
    <row r="7669">
      <c r="A7669" s="58">
        <v>45505.0</v>
      </c>
      <c r="B7669" s="24" t="s">
        <v>6794</v>
      </c>
      <c r="C7669" s="24" t="s">
        <v>7180</v>
      </c>
      <c r="D7669" s="59">
        <v>4.0</v>
      </c>
      <c r="E7669" s="59">
        <v>4.0</v>
      </c>
      <c r="F7669" s="59">
        <v>3.0</v>
      </c>
      <c r="G7669" s="60">
        <v>1.0</v>
      </c>
      <c r="H7669" s="60">
        <v>0.5</v>
      </c>
      <c r="I7669" s="60">
        <v>425.715116999999</v>
      </c>
      <c r="J7669" s="59">
        <v>4.0</v>
      </c>
      <c r="K7669" s="61">
        <f t="shared" si="1"/>
        <v>0.75</v>
      </c>
      <c r="L7669" s="62">
        <f t="shared" si="2"/>
        <v>1</v>
      </c>
    </row>
    <row r="7670">
      <c r="A7670" s="58">
        <v>45505.0</v>
      </c>
      <c r="B7670" s="24" t="s">
        <v>6789</v>
      </c>
      <c r="C7670" s="24" t="s">
        <v>6797</v>
      </c>
      <c r="D7670" s="59">
        <v>4.0</v>
      </c>
      <c r="E7670" s="59">
        <v>4.0</v>
      </c>
      <c r="F7670" s="59">
        <v>3.0</v>
      </c>
      <c r="G7670" s="60">
        <v>1.0</v>
      </c>
      <c r="H7670" s="60">
        <v>0.5</v>
      </c>
      <c r="I7670" s="60">
        <v>116.500206249999</v>
      </c>
      <c r="J7670" s="59">
        <v>10.0</v>
      </c>
      <c r="K7670" s="61">
        <f t="shared" si="1"/>
        <v>0.75</v>
      </c>
      <c r="L7670" s="62">
        <f t="shared" si="2"/>
        <v>2.5</v>
      </c>
    </row>
    <row r="7671">
      <c r="A7671" s="58">
        <v>45505.0</v>
      </c>
      <c r="B7671" s="24" t="s">
        <v>6789</v>
      </c>
      <c r="C7671" s="24" t="s">
        <v>6854</v>
      </c>
      <c r="D7671" s="59">
        <v>4.0</v>
      </c>
      <c r="E7671" s="59">
        <v>4.0</v>
      </c>
      <c r="F7671" s="59">
        <v>1.0</v>
      </c>
      <c r="G7671" s="60">
        <v>2.0</v>
      </c>
      <c r="H7671" s="60">
        <v>0.5</v>
      </c>
      <c r="I7671" s="60">
        <v>57.6036837499999</v>
      </c>
      <c r="J7671" s="59">
        <v>8.0</v>
      </c>
      <c r="K7671" s="61">
        <f t="shared" si="1"/>
        <v>0.25</v>
      </c>
      <c r="L7671" s="62">
        <f t="shared" si="2"/>
        <v>2</v>
      </c>
    </row>
    <row r="7672">
      <c r="A7672" s="58">
        <v>45505.0</v>
      </c>
      <c r="B7672" s="24" t="s">
        <v>3216</v>
      </c>
      <c r="C7672" s="24" t="s">
        <v>6792</v>
      </c>
      <c r="D7672" s="59">
        <v>3.0</v>
      </c>
      <c r="E7672" s="59">
        <v>6.0</v>
      </c>
      <c r="F7672" s="59">
        <v>0.0</v>
      </c>
      <c r="G7672" s="60">
        <v>2.0</v>
      </c>
      <c r="H7672" s="60">
        <v>1.0</v>
      </c>
      <c r="I7672" s="60">
        <v>1.17196</v>
      </c>
      <c r="J7672" s="59">
        <v>0.0</v>
      </c>
      <c r="K7672" s="61">
        <f t="shared" si="1"/>
        <v>0</v>
      </c>
      <c r="L7672" s="62">
        <f t="shared" si="2"/>
        <v>0</v>
      </c>
    </row>
    <row r="7673">
      <c r="A7673" s="58">
        <v>45505.0</v>
      </c>
      <c r="B7673" s="24" t="s">
        <v>6790</v>
      </c>
      <c r="C7673" s="24" t="s">
        <v>6792</v>
      </c>
      <c r="D7673" s="59">
        <v>3.0</v>
      </c>
      <c r="E7673" s="59">
        <v>3.0</v>
      </c>
      <c r="F7673" s="59">
        <v>0.0</v>
      </c>
      <c r="G7673" s="60">
        <v>1.0</v>
      </c>
      <c r="H7673" s="60">
        <v>1.0</v>
      </c>
      <c r="I7673" s="60">
        <v>0.0</v>
      </c>
      <c r="J7673" s="59">
        <v>0.0</v>
      </c>
      <c r="K7673" s="61">
        <f t="shared" si="1"/>
        <v>0</v>
      </c>
      <c r="L7673" s="62">
        <f t="shared" si="2"/>
        <v>0</v>
      </c>
    </row>
    <row r="7674">
      <c r="A7674" s="58">
        <v>45505.0</v>
      </c>
      <c r="B7674" s="24" t="s">
        <v>6787</v>
      </c>
      <c r="C7674" s="24" t="s">
        <v>6804</v>
      </c>
      <c r="D7674" s="59">
        <v>3.0</v>
      </c>
      <c r="E7674" s="59">
        <v>4.0</v>
      </c>
      <c r="F7674" s="59">
        <v>2.0</v>
      </c>
      <c r="G7674" s="60">
        <v>1.33333333333333</v>
      </c>
      <c r="H7674" s="60">
        <v>0.5</v>
      </c>
      <c r="I7674" s="60">
        <v>293.682675999999</v>
      </c>
      <c r="J7674" s="59">
        <v>4.0</v>
      </c>
      <c r="K7674" s="61">
        <f t="shared" si="1"/>
        <v>0.5</v>
      </c>
      <c r="L7674" s="62">
        <f t="shared" si="2"/>
        <v>1</v>
      </c>
    </row>
    <row r="7675">
      <c r="A7675" s="58">
        <v>45505.0</v>
      </c>
      <c r="B7675" s="24" t="s">
        <v>6789</v>
      </c>
      <c r="C7675" s="24" t="s">
        <v>6829</v>
      </c>
      <c r="D7675" s="59">
        <v>3.0</v>
      </c>
      <c r="E7675" s="59">
        <v>5.0</v>
      </c>
      <c r="F7675" s="59">
        <v>2.0</v>
      </c>
      <c r="G7675" s="60">
        <v>1.66666666666666</v>
      </c>
      <c r="H7675" s="60">
        <v>0.4</v>
      </c>
      <c r="I7675" s="60">
        <v>729.763902599999</v>
      </c>
      <c r="J7675" s="59">
        <v>8.0</v>
      </c>
      <c r="K7675" s="61">
        <f t="shared" si="1"/>
        <v>0.4</v>
      </c>
      <c r="L7675" s="62">
        <f t="shared" si="2"/>
        <v>1.6</v>
      </c>
    </row>
    <row r="7676">
      <c r="A7676" s="58">
        <v>45505.0</v>
      </c>
      <c r="B7676" s="24" t="s">
        <v>6787</v>
      </c>
      <c r="C7676" s="24" t="s">
        <v>6861</v>
      </c>
      <c r="D7676" s="59">
        <v>3.0</v>
      </c>
      <c r="E7676" s="59">
        <v>3.0</v>
      </c>
      <c r="F7676" s="59">
        <v>3.0</v>
      </c>
      <c r="G7676" s="60">
        <v>1.0</v>
      </c>
      <c r="H7676" s="60">
        <v>0.333333333333333</v>
      </c>
      <c r="I7676" s="60">
        <v>20.1261963333333</v>
      </c>
      <c r="J7676" s="59">
        <v>4.0</v>
      </c>
      <c r="K7676" s="61">
        <f t="shared" si="1"/>
        <v>1</v>
      </c>
      <c r="L7676" s="62">
        <f t="shared" si="2"/>
        <v>1.333333333</v>
      </c>
    </row>
    <row r="7677">
      <c r="A7677" s="58">
        <v>45505.0</v>
      </c>
      <c r="B7677" s="24" t="s">
        <v>6787</v>
      </c>
      <c r="C7677" s="24" t="s">
        <v>6835</v>
      </c>
      <c r="D7677" s="59">
        <v>3.0</v>
      </c>
      <c r="E7677" s="59">
        <v>4.0</v>
      </c>
      <c r="F7677" s="59">
        <v>3.0</v>
      </c>
      <c r="G7677" s="60">
        <v>1.33333333333333</v>
      </c>
      <c r="H7677" s="60">
        <v>0.0</v>
      </c>
      <c r="I7677" s="60">
        <v>288.7064895</v>
      </c>
      <c r="J7677" s="59">
        <v>4.0</v>
      </c>
      <c r="K7677" s="61">
        <f t="shared" si="1"/>
        <v>0.75</v>
      </c>
      <c r="L7677" s="62">
        <f t="shared" si="2"/>
        <v>1</v>
      </c>
    </row>
    <row r="7678">
      <c r="A7678" s="58">
        <v>45505.0</v>
      </c>
      <c r="B7678" s="24" t="s">
        <v>6789</v>
      </c>
      <c r="C7678" s="24" t="s">
        <v>6886</v>
      </c>
      <c r="D7678" s="59">
        <v>3.0</v>
      </c>
      <c r="E7678" s="59">
        <v>3.0</v>
      </c>
      <c r="F7678" s="59">
        <v>1.0</v>
      </c>
      <c r="G7678" s="60">
        <v>1.0</v>
      </c>
      <c r="H7678" s="60">
        <v>0.333333333333333</v>
      </c>
      <c r="I7678" s="60">
        <v>210.670302</v>
      </c>
      <c r="J7678" s="59">
        <v>7.0</v>
      </c>
      <c r="K7678" s="61">
        <f t="shared" si="1"/>
        <v>0.3333333333</v>
      </c>
      <c r="L7678" s="62">
        <f t="shared" si="2"/>
        <v>2.333333333</v>
      </c>
    </row>
    <row r="7679">
      <c r="A7679" s="58">
        <v>45505.0</v>
      </c>
      <c r="B7679" s="24" t="s">
        <v>6789</v>
      </c>
      <c r="C7679" s="24" t="s">
        <v>6822</v>
      </c>
      <c r="D7679" s="59">
        <v>3.0</v>
      </c>
      <c r="E7679" s="59">
        <v>5.0</v>
      </c>
      <c r="F7679" s="59">
        <v>0.0</v>
      </c>
      <c r="G7679" s="60">
        <v>1.66666666666666</v>
      </c>
      <c r="H7679" s="60">
        <v>0.0</v>
      </c>
      <c r="I7679" s="60">
        <v>1516.5530432</v>
      </c>
      <c r="J7679" s="59">
        <v>39.0</v>
      </c>
      <c r="K7679" s="61">
        <f t="shared" si="1"/>
        <v>0</v>
      </c>
      <c r="L7679" s="62">
        <f t="shared" si="2"/>
        <v>7.8</v>
      </c>
    </row>
    <row r="7680">
      <c r="A7680" s="58">
        <v>45505.0</v>
      </c>
      <c r="B7680" s="24" t="s">
        <v>6789</v>
      </c>
      <c r="C7680" s="24" t="s">
        <v>6896</v>
      </c>
      <c r="D7680" s="59">
        <v>3.0</v>
      </c>
      <c r="E7680" s="59">
        <v>3.0</v>
      </c>
      <c r="F7680" s="59">
        <v>1.0</v>
      </c>
      <c r="G7680" s="60">
        <v>1.0</v>
      </c>
      <c r="H7680" s="60">
        <v>0.333333333333333</v>
      </c>
      <c r="I7680" s="60">
        <v>547.713090333333</v>
      </c>
      <c r="J7680" s="59">
        <v>4.0</v>
      </c>
      <c r="K7680" s="61">
        <f t="shared" si="1"/>
        <v>0.3333333333</v>
      </c>
      <c r="L7680" s="62">
        <f t="shared" si="2"/>
        <v>1.333333333</v>
      </c>
    </row>
    <row r="7681">
      <c r="A7681" s="58">
        <v>45505.0</v>
      </c>
      <c r="B7681" s="24" t="s">
        <v>6789</v>
      </c>
      <c r="C7681" s="24" t="s">
        <v>7034</v>
      </c>
      <c r="D7681" s="59">
        <v>3.0</v>
      </c>
      <c r="E7681" s="59">
        <v>3.0</v>
      </c>
      <c r="F7681" s="59">
        <v>0.0</v>
      </c>
      <c r="G7681" s="60">
        <v>1.0</v>
      </c>
      <c r="H7681" s="60">
        <v>0.333333333333333</v>
      </c>
      <c r="I7681" s="60">
        <v>760.142658333333</v>
      </c>
      <c r="J7681" s="59">
        <v>8.0</v>
      </c>
      <c r="K7681" s="61">
        <f t="shared" si="1"/>
        <v>0</v>
      </c>
      <c r="L7681" s="62">
        <f t="shared" si="2"/>
        <v>2.666666667</v>
      </c>
    </row>
    <row r="7682">
      <c r="A7682" s="58">
        <v>45505.0</v>
      </c>
      <c r="B7682" s="24" t="s">
        <v>6787</v>
      </c>
      <c r="C7682" s="24" t="s">
        <v>6808</v>
      </c>
      <c r="D7682" s="59">
        <v>3.0</v>
      </c>
      <c r="E7682" s="59">
        <v>4.0</v>
      </c>
      <c r="F7682" s="59">
        <v>2.0</v>
      </c>
      <c r="G7682" s="60">
        <v>2.0</v>
      </c>
      <c r="H7682" s="60">
        <v>0.5</v>
      </c>
      <c r="I7682" s="60">
        <v>294.55481725</v>
      </c>
      <c r="J7682" s="59">
        <v>6.0</v>
      </c>
      <c r="K7682" s="61">
        <f t="shared" si="1"/>
        <v>0.5</v>
      </c>
      <c r="L7682" s="62">
        <f t="shared" si="2"/>
        <v>1.5</v>
      </c>
    </row>
    <row r="7683">
      <c r="A7683" s="58">
        <v>45505.0</v>
      </c>
      <c r="B7683" s="24" t="s">
        <v>6789</v>
      </c>
      <c r="C7683" s="24" t="s">
        <v>7087</v>
      </c>
      <c r="D7683" s="59">
        <v>3.0</v>
      </c>
      <c r="E7683" s="59">
        <v>3.0</v>
      </c>
      <c r="F7683" s="59">
        <v>3.0</v>
      </c>
      <c r="G7683" s="60">
        <v>1.0</v>
      </c>
      <c r="H7683" s="60">
        <v>0.333333333333333</v>
      </c>
      <c r="I7683" s="60">
        <v>14.7851066666666</v>
      </c>
      <c r="J7683" s="59">
        <v>6.0</v>
      </c>
      <c r="K7683" s="61">
        <f t="shared" si="1"/>
        <v>1</v>
      </c>
      <c r="L7683" s="62">
        <f t="shared" si="2"/>
        <v>2</v>
      </c>
    </row>
    <row r="7684">
      <c r="A7684" s="58">
        <v>45505.0</v>
      </c>
      <c r="B7684" s="24" t="s">
        <v>6787</v>
      </c>
      <c r="C7684" s="24" t="s">
        <v>7088</v>
      </c>
      <c r="D7684" s="59">
        <v>3.0</v>
      </c>
      <c r="E7684" s="59">
        <v>3.0</v>
      </c>
      <c r="F7684" s="59">
        <v>0.0</v>
      </c>
      <c r="G7684" s="60">
        <v>1.5</v>
      </c>
      <c r="H7684" s="60">
        <v>0.333333333333333</v>
      </c>
      <c r="I7684" s="60">
        <v>799.641683333333</v>
      </c>
      <c r="J7684" s="59">
        <v>7.0</v>
      </c>
      <c r="K7684" s="61">
        <f t="shared" si="1"/>
        <v>0</v>
      </c>
      <c r="L7684" s="62">
        <f t="shared" si="2"/>
        <v>2.333333333</v>
      </c>
    </row>
    <row r="7685">
      <c r="A7685" s="58">
        <v>45505.0</v>
      </c>
      <c r="B7685" s="24" t="s">
        <v>6787</v>
      </c>
      <c r="C7685" s="24" t="s">
        <v>7013</v>
      </c>
      <c r="D7685" s="59">
        <v>3.0</v>
      </c>
      <c r="E7685" s="59">
        <v>3.0</v>
      </c>
      <c r="F7685" s="59">
        <v>3.0</v>
      </c>
      <c r="G7685" s="60">
        <v>1.0</v>
      </c>
      <c r="H7685" s="60">
        <v>1.0</v>
      </c>
      <c r="I7685" s="60">
        <v>0.0</v>
      </c>
      <c r="J7685" s="59">
        <v>3.0</v>
      </c>
      <c r="K7685" s="61">
        <f t="shared" si="1"/>
        <v>1</v>
      </c>
      <c r="L7685" s="62">
        <f t="shared" si="2"/>
        <v>1</v>
      </c>
    </row>
    <row r="7686">
      <c r="A7686" s="58">
        <v>45505.0</v>
      </c>
      <c r="B7686" s="24" t="s">
        <v>6789</v>
      </c>
      <c r="C7686" s="24" t="s">
        <v>7172</v>
      </c>
      <c r="D7686" s="59">
        <v>3.0</v>
      </c>
      <c r="E7686" s="59">
        <v>9.0</v>
      </c>
      <c r="F7686" s="59">
        <v>1.0</v>
      </c>
      <c r="G7686" s="60">
        <v>3.0</v>
      </c>
      <c r="H7686" s="60">
        <v>0.666666666666666</v>
      </c>
      <c r="I7686" s="60">
        <v>211.937530111111</v>
      </c>
      <c r="J7686" s="59">
        <v>10.0</v>
      </c>
      <c r="K7686" s="61">
        <f t="shared" si="1"/>
        <v>0.1111111111</v>
      </c>
      <c r="L7686" s="62">
        <f t="shared" si="2"/>
        <v>1.111111111</v>
      </c>
    </row>
    <row r="7687">
      <c r="A7687" s="58">
        <v>45505.0</v>
      </c>
      <c r="B7687" s="24" t="s">
        <v>6789</v>
      </c>
      <c r="C7687" s="24" t="s">
        <v>6801</v>
      </c>
      <c r="D7687" s="59">
        <v>3.0</v>
      </c>
      <c r="E7687" s="59">
        <v>4.0</v>
      </c>
      <c r="F7687" s="59">
        <v>1.0</v>
      </c>
      <c r="G7687" s="60">
        <v>1.33333333333333</v>
      </c>
      <c r="H7687" s="60">
        <v>0.0</v>
      </c>
      <c r="I7687" s="60">
        <v>660.079437</v>
      </c>
      <c r="J7687" s="59">
        <v>8.0</v>
      </c>
      <c r="K7687" s="61">
        <f t="shared" si="1"/>
        <v>0.25</v>
      </c>
      <c r="L7687" s="62">
        <f t="shared" si="2"/>
        <v>2</v>
      </c>
    </row>
    <row r="7688">
      <c r="A7688" s="58">
        <v>45505.0</v>
      </c>
      <c r="B7688" s="24" t="s">
        <v>6789</v>
      </c>
      <c r="C7688" s="24" t="s">
        <v>7023</v>
      </c>
      <c r="D7688" s="59">
        <v>3.0</v>
      </c>
      <c r="E7688" s="59">
        <v>3.0</v>
      </c>
      <c r="F7688" s="59">
        <v>2.0</v>
      </c>
      <c r="G7688" s="60">
        <v>1.0</v>
      </c>
      <c r="H7688" s="60">
        <v>0.333333333333333</v>
      </c>
      <c r="I7688" s="60">
        <v>285.060855333333</v>
      </c>
      <c r="J7688" s="59">
        <v>4.0</v>
      </c>
      <c r="K7688" s="61">
        <f t="shared" si="1"/>
        <v>0.6666666667</v>
      </c>
      <c r="L7688" s="62">
        <f t="shared" si="2"/>
        <v>1.333333333</v>
      </c>
    </row>
    <row r="7689">
      <c r="A7689" s="58">
        <v>45505.0</v>
      </c>
      <c r="B7689" s="24" t="s">
        <v>6787</v>
      </c>
      <c r="C7689" s="24" t="s">
        <v>7448</v>
      </c>
      <c r="D7689" s="59">
        <v>3.0</v>
      </c>
      <c r="E7689" s="59">
        <v>3.0</v>
      </c>
      <c r="F7689" s="59">
        <v>3.0</v>
      </c>
      <c r="G7689" s="60">
        <v>1.0</v>
      </c>
      <c r="H7689" s="60">
        <v>1.0</v>
      </c>
      <c r="I7689" s="60">
        <v>3.39646466666666</v>
      </c>
      <c r="J7689" s="59">
        <v>3.0</v>
      </c>
      <c r="K7689" s="61">
        <f t="shared" si="1"/>
        <v>1</v>
      </c>
      <c r="L7689" s="62">
        <f t="shared" si="2"/>
        <v>1</v>
      </c>
    </row>
    <row r="7690">
      <c r="A7690" s="58">
        <v>45505.0</v>
      </c>
      <c r="B7690" s="24" t="s">
        <v>6787</v>
      </c>
      <c r="C7690" s="24" t="s">
        <v>6922</v>
      </c>
      <c r="D7690" s="59">
        <v>3.0</v>
      </c>
      <c r="E7690" s="59">
        <v>3.0</v>
      </c>
      <c r="F7690" s="59">
        <v>3.0</v>
      </c>
      <c r="G7690" s="60">
        <v>1.0</v>
      </c>
      <c r="H7690" s="60">
        <v>0.666666666666666</v>
      </c>
      <c r="I7690" s="60">
        <v>29.2910963333333</v>
      </c>
      <c r="J7690" s="59">
        <v>8.0</v>
      </c>
      <c r="K7690" s="61">
        <f t="shared" si="1"/>
        <v>1</v>
      </c>
      <c r="L7690" s="62">
        <f t="shared" si="2"/>
        <v>2.666666667</v>
      </c>
    </row>
    <row r="7691">
      <c r="A7691" s="58">
        <v>45505.0</v>
      </c>
      <c r="B7691" s="24" t="s">
        <v>6787</v>
      </c>
      <c r="C7691" s="24" t="s">
        <v>6810</v>
      </c>
      <c r="D7691" s="59">
        <v>3.0</v>
      </c>
      <c r="E7691" s="59">
        <v>3.0</v>
      </c>
      <c r="F7691" s="59">
        <v>3.0</v>
      </c>
      <c r="G7691" s="60">
        <v>1.0</v>
      </c>
      <c r="H7691" s="60">
        <v>0.666666666666666</v>
      </c>
      <c r="I7691" s="60">
        <v>133.364577666666</v>
      </c>
      <c r="J7691" s="59">
        <v>3.0</v>
      </c>
      <c r="K7691" s="61">
        <f t="shared" si="1"/>
        <v>1</v>
      </c>
      <c r="L7691" s="62">
        <f t="shared" si="2"/>
        <v>1</v>
      </c>
    </row>
    <row r="7692">
      <c r="A7692" s="58">
        <v>45505.0</v>
      </c>
      <c r="B7692" s="24" t="s">
        <v>6787</v>
      </c>
      <c r="C7692" s="24" t="s">
        <v>6803</v>
      </c>
      <c r="D7692" s="59">
        <v>2.0</v>
      </c>
      <c r="E7692" s="59">
        <v>3.0</v>
      </c>
      <c r="F7692" s="59">
        <v>2.0</v>
      </c>
      <c r="G7692" s="60">
        <v>1.5</v>
      </c>
      <c r="H7692" s="60">
        <v>0.333333333333333</v>
      </c>
      <c r="I7692" s="60">
        <v>767.503544333333</v>
      </c>
      <c r="J7692" s="59">
        <v>7.0</v>
      </c>
      <c r="K7692" s="61">
        <f t="shared" si="1"/>
        <v>0.6666666667</v>
      </c>
      <c r="L7692" s="62">
        <f t="shared" si="2"/>
        <v>2.333333333</v>
      </c>
    </row>
    <row r="7693">
      <c r="A7693" s="58">
        <v>45505.0</v>
      </c>
      <c r="B7693" s="24" t="s">
        <v>155</v>
      </c>
      <c r="C7693" s="24" t="s">
        <v>6804</v>
      </c>
      <c r="D7693" s="59">
        <v>2.0</v>
      </c>
      <c r="E7693" s="59">
        <v>3.0</v>
      </c>
      <c r="F7693" s="59">
        <v>2.0</v>
      </c>
      <c r="G7693" s="60">
        <v>1.5</v>
      </c>
      <c r="H7693" s="60">
        <v>0.666666666666666</v>
      </c>
      <c r="I7693" s="60">
        <v>60.2149526666666</v>
      </c>
      <c r="J7693" s="59">
        <v>3.0</v>
      </c>
      <c r="K7693" s="61">
        <f t="shared" si="1"/>
        <v>0.6666666667</v>
      </c>
      <c r="L7693" s="62">
        <f t="shared" si="2"/>
        <v>1</v>
      </c>
    </row>
    <row r="7694">
      <c r="A7694" s="58">
        <v>45505.0</v>
      </c>
      <c r="B7694" s="24" t="s">
        <v>6789</v>
      </c>
      <c r="C7694" s="24" t="s">
        <v>6861</v>
      </c>
      <c r="D7694" s="59">
        <v>2.0</v>
      </c>
      <c r="E7694" s="59">
        <v>2.0</v>
      </c>
      <c r="F7694" s="59">
        <v>1.0</v>
      </c>
      <c r="G7694" s="60">
        <v>1.0</v>
      </c>
      <c r="H7694" s="60">
        <v>0.0</v>
      </c>
      <c r="I7694" s="60">
        <v>36.8010235</v>
      </c>
      <c r="J7694" s="59">
        <v>3.0</v>
      </c>
      <c r="K7694" s="61">
        <f t="shared" si="1"/>
        <v>0.5</v>
      </c>
      <c r="L7694" s="62">
        <f t="shared" si="2"/>
        <v>1.5</v>
      </c>
    </row>
    <row r="7695">
      <c r="A7695" s="58">
        <v>45505.0</v>
      </c>
      <c r="B7695" s="24" t="s">
        <v>6789</v>
      </c>
      <c r="C7695" s="24" t="s">
        <v>6819</v>
      </c>
      <c r="D7695" s="59">
        <v>2.0</v>
      </c>
      <c r="E7695" s="59">
        <v>2.0</v>
      </c>
      <c r="F7695" s="59">
        <v>2.0</v>
      </c>
      <c r="G7695" s="60">
        <v>1.0</v>
      </c>
      <c r="H7695" s="60">
        <v>0.0</v>
      </c>
      <c r="I7695" s="60">
        <v>515.6488875</v>
      </c>
      <c r="J7695" s="59">
        <v>8.0</v>
      </c>
      <c r="K7695" s="61">
        <f t="shared" si="1"/>
        <v>1</v>
      </c>
      <c r="L7695" s="62">
        <f t="shared" si="2"/>
        <v>4</v>
      </c>
    </row>
    <row r="7696">
      <c r="A7696" s="58">
        <v>45505.0</v>
      </c>
      <c r="B7696" s="24" t="s">
        <v>6789</v>
      </c>
      <c r="C7696" s="24" t="s">
        <v>6986</v>
      </c>
      <c r="D7696" s="59">
        <v>2.0</v>
      </c>
      <c r="E7696" s="59">
        <v>2.0</v>
      </c>
      <c r="F7696" s="59">
        <v>2.0</v>
      </c>
      <c r="G7696" s="60">
        <v>1.0</v>
      </c>
      <c r="H7696" s="60">
        <v>0.0</v>
      </c>
      <c r="I7696" s="60">
        <v>159.6468745</v>
      </c>
      <c r="J7696" s="59">
        <v>7.0</v>
      </c>
      <c r="K7696" s="61">
        <f t="shared" si="1"/>
        <v>1</v>
      </c>
      <c r="L7696" s="62">
        <f t="shared" si="2"/>
        <v>3.5</v>
      </c>
    </row>
    <row r="7697">
      <c r="A7697" s="58">
        <v>45505.0</v>
      </c>
      <c r="B7697" s="24" t="s">
        <v>6787</v>
      </c>
      <c r="C7697" s="24" t="s">
        <v>7024</v>
      </c>
      <c r="D7697" s="59">
        <v>2.0</v>
      </c>
      <c r="E7697" s="59">
        <v>2.0</v>
      </c>
      <c r="F7697" s="59">
        <v>2.0</v>
      </c>
      <c r="G7697" s="60">
        <v>1.0</v>
      </c>
      <c r="H7697" s="60">
        <v>0.5</v>
      </c>
      <c r="I7697" s="60">
        <v>18.67436</v>
      </c>
      <c r="J7697" s="59">
        <v>2.0</v>
      </c>
      <c r="K7697" s="61">
        <f t="shared" si="1"/>
        <v>1</v>
      </c>
      <c r="L7697" s="62">
        <f t="shared" si="2"/>
        <v>1</v>
      </c>
    </row>
    <row r="7698">
      <c r="A7698" s="58">
        <v>45505.0</v>
      </c>
      <c r="B7698" s="24" t="s">
        <v>155</v>
      </c>
      <c r="C7698" s="24" t="s">
        <v>7024</v>
      </c>
      <c r="D7698" s="59">
        <v>2.0</v>
      </c>
      <c r="E7698" s="59">
        <v>4.0</v>
      </c>
      <c r="F7698" s="59">
        <v>2.0</v>
      </c>
      <c r="G7698" s="60">
        <v>2.0</v>
      </c>
      <c r="H7698" s="60">
        <v>0.5</v>
      </c>
      <c r="I7698" s="60">
        <v>8.10549225</v>
      </c>
      <c r="J7698" s="59">
        <v>4.0</v>
      </c>
      <c r="K7698" s="61">
        <f t="shared" si="1"/>
        <v>0.5</v>
      </c>
      <c r="L7698" s="62">
        <f t="shared" si="2"/>
        <v>1</v>
      </c>
    </row>
    <row r="7699">
      <c r="A7699" s="58">
        <v>45505.0</v>
      </c>
      <c r="B7699" s="24" t="s">
        <v>6787</v>
      </c>
      <c r="C7699" s="24" t="s">
        <v>7072</v>
      </c>
      <c r="D7699" s="59">
        <v>2.0</v>
      </c>
      <c r="E7699" s="59">
        <v>4.0</v>
      </c>
      <c r="F7699" s="59">
        <v>2.0</v>
      </c>
      <c r="G7699" s="60">
        <v>2.0</v>
      </c>
      <c r="H7699" s="60">
        <v>1.0</v>
      </c>
      <c r="I7699" s="60">
        <v>1.5994665</v>
      </c>
      <c r="J7699" s="59">
        <v>4.0</v>
      </c>
      <c r="K7699" s="61">
        <f t="shared" si="1"/>
        <v>0.5</v>
      </c>
      <c r="L7699" s="62">
        <f t="shared" si="2"/>
        <v>1</v>
      </c>
    </row>
    <row r="7700">
      <c r="A7700" s="58">
        <v>45505.0</v>
      </c>
      <c r="B7700" s="24" t="s">
        <v>6789</v>
      </c>
      <c r="C7700" s="24" t="s">
        <v>7074</v>
      </c>
      <c r="D7700" s="59">
        <v>2.0</v>
      </c>
      <c r="E7700" s="59">
        <v>2.0</v>
      </c>
      <c r="F7700" s="59">
        <v>2.0</v>
      </c>
      <c r="G7700" s="60">
        <v>1.0</v>
      </c>
      <c r="H7700" s="60">
        <v>0.5</v>
      </c>
      <c r="I7700" s="60">
        <v>8.241619</v>
      </c>
      <c r="J7700" s="59">
        <v>2.0</v>
      </c>
      <c r="K7700" s="61">
        <f t="shared" si="1"/>
        <v>1</v>
      </c>
      <c r="L7700" s="62">
        <f t="shared" si="2"/>
        <v>1</v>
      </c>
    </row>
    <row r="7701">
      <c r="A7701" s="58">
        <v>45505.0</v>
      </c>
      <c r="B7701" s="24" t="s">
        <v>155</v>
      </c>
      <c r="C7701" s="24" t="s">
        <v>6799</v>
      </c>
      <c r="D7701" s="59">
        <v>2.0</v>
      </c>
      <c r="E7701" s="59">
        <v>2.0</v>
      </c>
      <c r="F7701" s="59">
        <v>2.0</v>
      </c>
      <c r="G7701" s="60">
        <v>1.0</v>
      </c>
      <c r="H7701" s="60">
        <v>0.5</v>
      </c>
      <c r="I7701" s="60">
        <v>337.256559</v>
      </c>
      <c r="J7701" s="59">
        <v>6.0</v>
      </c>
      <c r="K7701" s="61">
        <f t="shared" si="1"/>
        <v>1</v>
      </c>
      <c r="L7701" s="62">
        <f t="shared" si="2"/>
        <v>3</v>
      </c>
    </row>
    <row r="7702">
      <c r="A7702" s="58">
        <v>45505.0</v>
      </c>
      <c r="B7702" s="24" t="s">
        <v>6787</v>
      </c>
      <c r="C7702" s="24" t="s">
        <v>6820</v>
      </c>
      <c r="D7702" s="59">
        <v>2.0</v>
      </c>
      <c r="E7702" s="59">
        <v>2.0</v>
      </c>
      <c r="F7702" s="59">
        <v>2.0</v>
      </c>
      <c r="G7702" s="60">
        <v>1.0</v>
      </c>
      <c r="H7702" s="60">
        <v>1.0</v>
      </c>
      <c r="I7702" s="60">
        <v>0.0</v>
      </c>
      <c r="J7702" s="59">
        <v>2.0</v>
      </c>
      <c r="K7702" s="61">
        <f t="shared" si="1"/>
        <v>1</v>
      </c>
      <c r="L7702" s="62">
        <f t="shared" si="2"/>
        <v>1</v>
      </c>
    </row>
    <row r="7703">
      <c r="A7703" s="58">
        <v>45505.0</v>
      </c>
      <c r="B7703" s="24" t="s">
        <v>6787</v>
      </c>
      <c r="C7703" s="24" t="s">
        <v>6838</v>
      </c>
      <c r="D7703" s="59">
        <v>2.0</v>
      </c>
      <c r="E7703" s="59">
        <v>2.0</v>
      </c>
      <c r="F7703" s="59">
        <v>2.0</v>
      </c>
      <c r="G7703" s="60">
        <v>1.0</v>
      </c>
      <c r="H7703" s="60">
        <v>1.0</v>
      </c>
      <c r="I7703" s="60">
        <v>3.801568</v>
      </c>
      <c r="J7703" s="59">
        <v>2.0</v>
      </c>
      <c r="K7703" s="61">
        <f t="shared" si="1"/>
        <v>1</v>
      </c>
      <c r="L7703" s="62">
        <f t="shared" si="2"/>
        <v>1</v>
      </c>
    </row>
    <row r="7704">
      <c r="A7704" s="58">
        <v>45505.0</v>
      </c>
      <c r="B7704" s="24" t="s">
        <v>6787</v>
      </c>
      <c r="C7704" s="24" t="s">
        <v>6997</v>
      </c>
      <c r="D7704" s="59">
        <v>2.0</v>
      </c>
      <c r="E7704" s="59">
        <v>2.0</v>
      </c>
      <c r="F7704" s="59">
        <v>1.0</v>
      </c>
      <c r="G7704" s="60">
        <v>1.0</v>
      </c>
      <c r="H7704" s="60">
        <v>0.5</v>
      </c>
      <c r="I7704" s="60">
        <v>16.7675865</v>
      </c>
      <c r="J7704" s="59">
        <v>2.0</v>
      </c>
      <c r="K7704" s="61">
        <f t="shared" si="1"/>
        <v>0.5</v>
      </c>
      <c r="L7704" s="62">
        <f t="shared" si="2"/>
        <v>1</v>
      </c>
    </row>
    <row r="7705">
      <c r="A7705" s="58">
        <v>45505.0</v>
      </c>
      <c r="B7705" s="24" t="s">
        <v>6787</v>
      </c>
      <c r="C7705" s="24" t="s">
        <v>6892</v>
      </c>
      <c r="D7705" s="59">
        <v>2.0</v>
      </c>
      <c r="E7705" s="59">
        <v>2.0</v>
      </c>
      <c r="F7705" s="59">
        <v>2.0</v>
      </c>
      <c r="G7705" s="60">
        <v>1.0</v>
      </c>
      <c r="H7705" s="60">
        <v>0.0</v>
      </c>
      <c r="I7705" s="60">
        <v>13.6222509999999</v>
      </c>
      <c r="J7705" s="59">
        <v>2.0</v>
      </c>
      <c r="K7705" s="61">
        <f t="shared" si="1"/>
        <v>1</v>
      </c>
      <c r="L7705" s="62">
        <f t="shared" si="2"/>
        <v>1</v>
      </c>
    </row>
    <row r="7706">
      <c r="A7706" s="58">
        <v>45505.0</v>
      </c>
      <c r="B7706" s="24" t="s">
        <v>6787</v>
      </c>
      <c r="C7706" s="24" t="s">
        <v>6840</v>
      </c>
      <c r="D7706" s="59">
        <v>2.0</v>
      </c>
      <c r="E7706" s="59">
        <v>2.0</v>
      </c>
      <c r="F7706" s="59">
        <v>2.0</v>
      </c>
      <c r="G7706" s="60">
        <v>1.0</v>
      </c>
      <c r="H7706" s="60">
        <v>0.5</v>
      </c>
      <c r="I7706" s="60">
        <v>5.8269465</v>
      </c>
      <c r="J7706" s="59">
        <v>2.0</v>
      </c>
      <c r="K7706" s="61">
        <f t="shared" si="1"/>
        <v>1</v>
      </c>
      <c r="L7706" s="62">
        <f t="shared" si="2"/>
        <v>1</v>
      </c>
    </row>
    <row r="7707">
      <c r="A7707" s="58">
        <v>45505.0</v>
      </c>
      <c r="B7707" s="24" t="s">
        <v>6787</v>
      </c>
      <c r="C7707" s="24" t="s">
        <v>7129</v>
      </c>
      <c r="D7707" s="59">
        <v>2.0</v>
      </c>
      <c r="E7707" s="59">
        <v>2.0</v>
      </c>
      <c r="F7707" s="59">
        <v>2.0</v>
      </c>
      <c r="G7707" s="60">
        <v>1.0</v>
      </c>
      <c r="H7707" s="60">
        <v>1.0</v>
      </c>
      <c r="I7707" s="60">
        <v>1.560549</v>
      </c>
      <c r="J7707" s="59">
        <v>2.0</v>
      </c>
      <c r="K7707" s="61">
        <f t="shared" si="1"/>
        <v>1</v>
      </c>
      <c r="L7707" s="62">
        <f t="shared" si="2"/>
        <v>1</v>
      </c>
    </row>
    <row r="7708">
      <c r="A7708" s="58">
        <v>45505.0</v>
      </c>
      <c r="B7708" s="24" t="s">
        <v>6789</v>
      </c>
      <c r="C7708" s="24" t="s">
        <v>6823</v>
      </c>
      <c r="D7708" s="59">
        <v>2.0</v>
      </c>
      <c r="E7708" s="59">
        <v>2.0</v>
      </c>
      <c r="F7708" s="59">
        <v>0.0</v>
      </c>
      <c r="G7708" s="60">
        <v>1.0</v>
      </c>
      <c r="H7708" s="60">
        <v>0.5</v>
      </c>
      <c r="I7708" s="60">
        <v>1046.6909375</v>
      </c>
      <c r="J7708" s="59">
        <v>11.0</v>
      </c>
      <c r="K7708" s="61">
        <f t="shared" si="1"/>
        <v>0</v>
      </c>
      <c r="L7708" s="62">
        <f t="shared" si="2"/>
        <v>5.5</v>
      </c>
    </row>
    <row r="7709">
      <c r="A7709" s="58">
        <v>45505.0</v>
      </c>
      <c r="B7709" s="24" t="s">
        <v>6789</v>
      </c>
      <c r="C7709" s="24" t="s">
        <v>6897</v>
      </c>
      <c r="D7709" s="59">
        <v>2.0</v>
      </c>
      <c r="E7709" s="59">
        <v>2.0</v>
      </c>
      <c r="F7709" s="59">
        <v>2.0</v>
      </c>
      <c r="G7709" s="60">
        <v>1.0</v>
      </c>
      <c r="H7709" s="60">
        <v>0.0</v>
      </c>
      <c r="I7709" s="60">
        <v>137.359242</v>
      </c>
      <c r="J7709" s="59">
        <v>3.0</v>
      </c>
      <c r="K7709" s="61">
        <f t="shared" si="1"/>
        <v>1</v>
      </c>
      <c r="L7709" s="62">
        <f t="shared" si="2"/>
        <v>1.5</v>
      </c>
    </row>
    <row r="7710">
      <c r="A7710" s="58">
        <v>45505.0</v>
      </c>
      <c r="B7710" s="24" t="s">
        <v>6789</v>
      </c>
      <c r="C7710" s="24" t="s">
        <v>6811</v>
      </c>
      <c r="D7710" s="59">
        <v>2.0</v>
      </c>
      <c r="E7710" s="59">
        <v>2.0</v>
      </c>
      <c r="F7710" s="59">
        <v>0.0</v>
      </c>
      <c r="G7710" s="60">
        <v>1.0</v>
      </c>
      <c r="H7710" s="60">
        <v>0.0</v>
      </c>
      <c r="I7710" s="60">
        <v>42.68261</v>
      </c>
      <c r="J7710" s="59">
        <v>3.0</v>
      </c>
      <c r="K7710" s="61">
        <f t="shared" si="1"/>
        <v>0</v>
      </c>
      <c r="L7710" s="62">
        <f t="shared" si="2"/>
        <v>1.5</v>
      </c>
    </row>
    <row r="7711">
      <c r="A7711" s="58">
        <v>45505.0</v>
      </c>
      <c r="B7711" s="24" t="s">
        <v>6789</v>
      </c>
      <c r="C7711" s="24" t="s">
        <v>6904</v>
      </c>
      <c r="D7711" s="59">
        <v>2.0</v>
      </c>
      <c r="E7711" s="59">
        <v>2.0</v>
      </c>
      <c r="F7711" s="59">
        <v>0.0</v>
      </c>
      <c r="G7711" s="60">
        <v>1.0</v>
      </c>
      <c r="H7711" s="60">
        <v>0.0</v>
      </c>
      <c r="I7711" s="60">
        <v>867.7596975</v>
      </c>
      <c r="J7711" s="59">
        <v>4.0</v>
      </c>
      <c r="K7711" s="61">
        <f t="shared" si="1"/>
        <v>0</v>
      </c>
      <c r="L7711" s="62">
        <f t="shared" si="2"/>
        <v>2</v>
      </c>
    </row>
    <row r="7712">
      <c r="A7712" s="58">
        <v>45505.0</v>
      </c>
      <c r="B7712" s="24" t="s">
        <v>6787</v>
      </c>
      <c r="C7712" s="24" t="s">
        <v>7034</v>
      </c>
      <c r="D7712" s="59">
        <v>2.0</v>
      </c>
      <c r="E7712" s="59">
        <v>2.0</v>
      </c>
      <c r="F7712" s="59">
        <v>0.0</v>
      </c>
      <c r="G7712" s="60">
        <v>1.0</v>
      </c>
      <c r="H7712" s="60">
        <v>0.5</v>
      </c>
      <c r="I7712" s="60">
        <v>12.1628425</v>
      </c>
      <c r="J7712" s="59">
        <v>5.0</v>
      </c>
      <c r="K7712" s="61">
        <f t="shared" si="1"/>
        <v>0</v>
      </c>
      <c r="L7712" s="62">
        <f t="shared" si="2"/>
        <v>2.5</v>
      </c>
    </row>
    <row r="7713">
      <c r="A7713" s="58">
        <v>45505.0</v>
      </c>
      <c r="B7713" s="24" t="s">
        <v>6789</v>
      </c>
      <c r="C7713" s="24" t="s">
        <v>6907</v>
      </c>
      <c r="D7713" s="59">
        <v>2.0</v>
      </c>
      <c r="E7713" s="59">
        <v>3.0</v>
      </c>
      <c r="F7713" s="59">
        <v>1.0</v>
      </c>
      <c r="G7713" s="60">
        <v>1.5</v>
      </c>
      <c r="H7713" s="60">
        <v>0.0</v>
      </c>
      <c r="I7713" s="60">
        <v>728.267516</v>
      </c>
      <c r="J7713" s="59">
        <v>6.0</v>
      </c>
      <c r="K7713" s="61">
        <f t="shared" si="1"/>
        <v>0.3333333333</v>
      </c>
      <c r="L7713" s="62">
        <f t="shared" si="2"/>
        <v>2</v>
      </c>
    </row>
    <row r="7714">
      <c r="A7714" s="58">
        <v>45505.0</v>
      </c>
      <c r="B7714" s="24" t="s">
        <v>3216</v>
      </c>
      <c r="C7714" s="24" t="s">
        <v>7026</v>
      </c>
      <c r="D7714" s="59">
        <v>2.0</v>
      </c>
      <c r="E7714" s="59">
        <v>2.0</v>
      </c>
      <c r="F7714" s="59">
        <v>0.0</v>
      </c>
      <c r="G7714" s="60">
        <v>1.0</v>
      </c>
      <c r="H7714" s="60">
        <v>0.0</v>
      </c>
      <c r="I7714" s="60">
        <v>344.1703595</v>
      </c>
      <c r="J7714" s="59">
        <v>8.0</v>
      </c>
      <c r="K7714" s="61">
        <f t="shared" si="1"/>
        <v>0</v>
      </c>
      <c r="L7714" s="62">
        <f t="shared" si="2"/>
        <v>4</v>
      </c>
    </row>
    <row r="7715">
      <c r="A7715" s="58">
        <v>45505.0</v>
      </c>
      <c r="B7715" s="24" t="s">
        <v>6787</v>
      </c>
      <c r="C7715" s="24" t="s">
        <v>7547</v>
      </c>
      <c r="D7715" s="59">
        <v>2.0</v>
      </c>
      <c r="E7715" s="59">
        <v>3.0</v>
      </c>
      <c r="F7715" s="59">
        <v>0.0</v>
      </c>
      <c r="G7715" s="60">
        <v>1.5</v>
      </c>
      <c r="H7715" s="60">
        <v>0.0</v>
      </c>
      <c r="I7715" s="60">
        <v>883.712332333333</v>
      </c>
      <c r="J7715" s="59">
        <v>10.0</v>
      </c>
      <c r="K7715" s="61">
        <f t="shared" si="1"/>
        <v>0</v>
      </c>
      <c r="L7715" s="62">
        <f t="shared" si="2"/>
        <v>3.333333333</v>
      </c>
    </row>
    <row r="7716">
      <c r="A7716" s="58">
        <v>45505.0</v>
      </c>
      <c r="B7716" s="24" t="s">
        <v>6787</v>
      </c>
      <c r="C7716" s="24" t="s">
        <v>7090</v>
      </c>
      <c r="D7716" s="59">
        <v>2.0</v>
      </c>
      <c r="E7716" s="59">
        <v>3.0</v>
      </c>
      <c r="F7716" s="59">
        <v>2.0</v>
      </c>
      <c r="G7716" s="60">
        <v>1.5</v>
      </c>
      <c r="H7716" s="60">
        <v>1.0</v>
      </c>
      <c r="I7716" s="60">
        <v>0.0</v>
      </c>
      <c r="J7716" s="59">
        <v>3.0</v>
      </c>
      <c r="K7716" s="61">
        <f t="shared" si="1"/>
        <v>0.6666666667</v>
      </c>
      <c r="L7716" s="62">
        <f t="shared" si="2"/>
        <v>1</v>
      </c>
    </row>
    <row r="7717">
      <c r="A7717" s="58">
        <v>45505.0</v>
      </c>
      <c r="B7717" s="24" t="s">
        <v>6789</v>
      </c>
      <c r="C7717" s="24" t="s">
        <v>7022</v>
      </c>
      <c r="D7717" s="59">
        <v>2.0</v>
      </c>
      <c r="E7717" s="59">
        <v>2.0</v>
      </c>
      <c r="F7717" s="59">
        <v>0.0</v>
      </c>
      <c r="G7717" s="60">
        <v>1.0</v>
      </c>
      <c r="H7717" s="60">
        <v>0.0</v>
      </c>
      <c r="I7717" s="60">
        <v>1076.61617</v>
      </c>
      <c r="J7717" s="59">
        <v>5.0</v>
      </c>
      <c r="K7717" s="61">
        <f t="shared" si="1"/>
        <v>0</v>
      </c>
      <c r="L7717" s="62">
        <f t="shared" si="2"/>
        <v>2.5</v>
      </c>
    </row>
    <row r="7718">
      <c r="A7718" s="58">
        <v>45505.0</v>
      </c>
      <c r="B7718" s="24" t="s">
        <v>6789</v>
      </c>
      <c r="C7718" s="24" t="s">
        <v>7092</v>
      </c>
      <c r="D7718" s="59">
        <v>2.0</v>
      </c>
      <c r="E7718" s="59">
        <v>2.0</v>
      </c>
      <c r="F7718" s="59">
        <v>2.0</v>
      </c>
      <c r="G7718" s="60">
        <v>1.0</v>
      </c>
      <c r="H7718" s="60">
        <v>0.0</v>
      </c>
      <c r="I7718" s="60">
        <v>567.5474295</v>
      </c>
      <c r="J7718" s="59">
        <v>9.0</v>
      </c>
      <c r="K7718" s="61">
        <f t="shared" si="1"/>
        <v>1</v>
      </c>
      <c r="L7718" s="62">
        <f t="shared" si="2"/>
        <v>4.5</v>
      </c>
    </row>
    <row r="7719">
      <c r="A7719" s="58">
        <v>45505.0</v>
      </c>
      <c r="B7719" s="24" t="s">
        <v>6789</v>
      </c>
      <c r="C7719" s="24" t="s">
        <v>7097</v>
      </c>
      <c r="D7719" s="59">
        <v>2.0</v>
      </c>
      <c r="E7719" s="59">
        <v>7.0</v>
      </c>
      <c r="F7719" s="59">
        <v>1.0</v>
      </c>
      <c r="G7719" s="60">
        <v>7.0</v>
      </c>
      <c r="H7719" s="60">
        <v>0.857142857142857</v>
      </c>
      <c r="I7719" s="60">
        <v>1.67083914285714</v>
      </c>
      <c r="J7719" s="59">
        <v>7.0</v>
      </c>
      <c r="K7719" s="61">
        <f t="shared" si="1"/>
        <v>0.1428571429</v>
      </c>
      <c r="L7719" s="62">
        <f t="shared" si="2"/>
        <v>1</v>
      </c>
    </row>
    <row r="7720">
      <c r="A7720" s="58">
        <v>45505.0</v>
      </c>
      <c r="B7720" s="24" t="s">
        <v>6789</v>
      </c>
      <c r="C7720" s="24" t="s">
        <v>7098</v>
      </c>
      <c r="D7720" s="59">
        <v>2.0</v>
      </c>
      <c r="E7720" s="59">
        <v>3.0</v>
      </c>
      <c r="F7720" s="59">
        <v>1.0</v>
      </c>
      <c r="G7720" s="60">
        <v>1.5</v>
      </c>
      <c r="H7720" s="60">
        <v>0.666666666666666</v>
      </c>
      <c r="I7720" s="60">
        <v>1420.10567966666</v>
      </c>
      <c r="J7720" s="59">
        <v>62.0</v>
      </c>
      <c r="K7720" s="61">
        <f t="shared" si="1"/>
        <v>0.3333333333</v>
      </c>
      <c r="L7720" s="62">
        <f t="shared" si="2"/>
        <v>20.66666667</v>
      </c>
    </row>
    <row r="7721">
      <c r="A7721" s="58">
        <v>45505.0</v>
      </c>
      <c r="B7721" s="24" t="s">
        <v>6787</v>
      </c>
      <c r="C7721" s="24" t="s">
        <v>7170</v>
      </c>
      <c r="D7721" s="59">
        <v>2.0</v>
      </c>
      <c r="E7721" s="59">
        <v>2.0</v>
      </c>
      <c r="F7721" s="59">
        <v>0.0</v>
      </c>
      <c r="G7721" s="60">
        <v>1.0</v>
      </c>
      <c r="H7721" s="60">
        <v>0.0</v>
      </c>
      <c r="I7721" s="60">
        <v>252.8179875</v>
      </c>
      <c r="J7721" s="59">
        <v>5.0</v>
      </c>
      <c r="K7721" s="61">
        <f t="shared" si="1"/>
        <v>0</v>
      </c>
      <c r="L7721" s="62">
        <f t="shared" si="2"/>
        <v>2.5</v>
      </c>
    </row>
    <row r="7722">
      <c r="A7722" s="58">
        <v>45505.0</v>
      </c>
      <c r="B7722" s="24" t="s">
        <v>6787</v>
      </c>
      <c r="C7722" s="24" t="s">
        <v>7044</v>
      </c>
      <c r="D7722" s="59">
        <v>2.0</v>
      </c>
      <c r="E7722" s="59">
        <v>2.0</v>
      </c>
      <c r="F7722" s="59">
        <v>2.0</v>
      </c>
      <c r="G7722" s="60">
        <v>1.0</v>
      </c>
      <c r="H7722" s="60">
        <v>1.0</v>
      </c>
      <c r="I7722" s="60">
        <v>0.0</v>
      </c>
      <c r="J7722" s="59">
        <v>2.0</v>
      </c>
      <c r="K7722" s="61">
        <f t="shared" si="1"/>
        <v>1</v>
      </c>
      <c r="L7722" s="62">
        <f t="shared" si="2"/>
        <v>1</v>
      </c>
    </row>
    <row r="7723">
      <c r="A7723" s="58">
        <v>45505.0</v>
      </c>
      <c r="B7723" s="24" t="s">
        <v>6787</v>
      </c>
      <c r="C7723" s="24" t="s">
        <v>7313</v>
      </c>
      <c r="D7723" s="59">
        <v>2.0</v>
      </c>
      <c r="E7723" s="59">
        <v>2.0</v>
      </c>
      <c r="F7723" s="59">
        <v>2.0</v>
      </c>
      <c r="G7723" s="60">
        <v>1.0</v>
      </c>
      <c r="H7723" s="60">
        <v>1.0</v>
      </c>
      <c r="I7723" s="60">
        <v>0.0</v>
      </c>
      <c r="J7723" s="59">
        <v>2.0</v>
      </c>
      <c r="K7723" s="61">
        <f t="shared" si="1"/>
        <v>1</v>
      </c>
      <c r="L7723" s="62">
        <f t="shared" si="2"/>
        <v>1</v>
      </c>
    </row>
    <row r="7724">
      <c r="A7724" s="58">
        <v>45505.0</v>
      </c>
      <c r="B7724" s="24" t="s">
        <v>6787</v>
      </c>
      <c r="C7724" s="24" t="s">
        <v>7023</v>
      </c>
      <c r="D7724" s="59">
        <v>2.0</v>
      </c>
      <c r="E7724" s="59">
        <v>2.0</v>
      </c>
      <c r="F7724" s="59">
        <v>2.0</v>
      </c>
      <c r="G7724" s="60">
        <v>1.0</v>
      </c>
      <c r="H7724" s="60">
        <v>0.5</v>
      </c>
      <c r="I7724" s="60">
        <v>406.817332</v>
      </c>
      <c r="J7724" s="59">
        <v>6.0</v>
      </c>
      <c r="K7724" s="61">
        <f t="shared" si="1"/>
        <v>1</v>
      </c>
      <c r="L7724" s="62">
        <f t="shared" si="2"/>
        <v>3</v>
      </c>
    </row>
    <row r="7725">
      <c r="A7725" s="58">
        <v>45505.0</v>
      </c>
      <c r="B7725" s="24" t="s">
        <v>6787</v>
      </c>
      <c r="C7725" s="24" t="s">
        <v>7192</v>
      </c>
      <c r="D7725" s="59">
        <v>2.0</v>
      </c>
      <c r="E7725" s="59">
        <v>2.0</v>
      </c>
      <c r="F7725" s="59">
        <v>1.0</v>
      </c>
      <c r="G7725" s="60">
        <v>1.0</v>
      </c>
      <c r="H7725" s="60">
        <v>1.0</v>
      </c>
      <c r="I7725" s="60">
        <v>2.745E-4</v>
      </c>
      <c r="J7725" s="59">
        <v>2.0</v>
      </c>
      <c r="K7725" s="61">
        <f t="shared" si="1"/>
        <v>0.5</v>
      </c>
      <c r="L7725" s="62">
        <f t="shared" si="2"/>
        <v>1</v>
      </c>
    </row>
    <row r="7726">
      <c r="A7726" s="58">
        <v>45505.0</v>
      </c>
      <c r="B7726" s="24" t="s">
        <v>6787</v>
      </c>
      <c r="C7726" s="24" t="s">
        <v>7548</v>
      </c>
      <c r="D7726" s="59">
        <v>2.0</v>
      </c>
      <c r="E7726" s="59">
        <v>4.0</v>
      </c>
      <c r="F7726" s="59">
        <v>0.0</v>
      </c>
      <c r="G7726" s="60">
        <v>2.0</v>
      </c>
      <c r="H7726" s="60">
        <v>0.5</v>
      </c>
      <c r="I7726" s="60">
        <v>898.021677249999</v>
      </c>
      <c r="J7726" s="59">
        <v>11.0</v>
      </c>
      <c r="K7726" s="61">
        <f t="shared" si="1"/>
        <v>0</v>
      </c>
      <c r="L7726" s="62">
        <f t="shared" si="2"/>
        <v>2.75</v>
      </c>
    </row>
    <row r="7727">
      <c r="A7727" s="58">
        <v>45505.0</v>
      </c>
      <c r="B7727" s="24" t="s">
        <v>3216</v>
      </c>
      <c r="C7727" s="24" t="s">
        <v>7107</v>
      </c>
      <c r="D7727" s="59">
        <v>2.0</v>
      </c>
      <c r="E7727" s="59">
        <v>3.0</v>
      </c>
      <c r="F7727" s="59">
        <v>0.0</v>
      </c>
      <c r="G7727" s="60">
        <v>1.5</v>
      </c>
      <c r="H7727" s="60">
        <v>0.0</v>
      </c>
      <c r="I7727" s="60">
        <v>685.966841999999</v>
      </c>
      <c r="J7727" s="59">
        <v>11.0</v>
      </c>
      <c r="K7727" s="61">
        <f t="shared" si="1"/>
        <v>0</v>
      </c>
      <c r="L7727" s="62">
        <f t="shared" si="2"/>
        <v>3.666666667</v>
      </c>
    </row>
    <row r="7728">
      <c r="A7728" s="58">
        <v>45505.0</v>
      </c>
      <c r="B7728" s="24" t="s">
        <v>6787</v>
      </c>
      <c r="C7728" s="24" t="s">
        <v>6931</v>
      </c>
      <c r="D7728" s="59">
        <v>2.0</v>
      </c>
      <c r="E7728" s="59">
        <v>2.0</v>
      </c>
      <c r="F7728" s="59">
        <v>2.0</v>
      </c>
      <c r="G7728" s="60">
        <v>1.0</v>
      </c>
      <c r="H7728" s="60">
        <v>1.0</v>
      </c>
      <c r="I7728" s="60">
        <v>0.0</v>
      </c>
      <c r="J7728" s="59">
        <v>2.0</v>
      </c>
      <c r="K7728" s="61">
        <f t="shared" si="1"/>
        <v>1</v>
      </c>
      <c r="L7728" s="62">
        <f t="shared" si="2"/>
        <v>1</v>
      </c>
    </row>
    <row r="7729">
      <c r="A7729" s="58">
        <v>45505.0</v>
      </c>
      <c r="B7729" s="24" t="s">
        <v>155</v>
      </c>
      <c r="C7729" s="24" t="s">
        <v>6931</v>
      </c>
      <c r="D7729" s="59">
        <v>2.0</v>
      </c>
      <c r="E7729" s="59">
        <v>2.0</v>
      </c>
      <c r="F7729" s="59">
        <v>2.0</v>
      </c>
      <c r="G7729" s="60">
        <v>1.0</v>
      </c>
      <c r="H7729" s="60">
        <v>0.5</v>
      </c>
      <c r="I7729" s="60">
        <v>11.693112</v>
      </c>
      <c r="J7729" s="59">
        <v>3.0</v>
      </c>
      <c r="K7729" s="61">
        <f t="shared" si="1"/>
        <v>1</v>
      </c>
      <c r="L7729" s="62">
        <f t="shared" si="2"/>
        <v>1.5</v>
      </c>
    </row>
    <row r="7730">
      <c r="A7730" s="58">
        <v>45505.0</v>
      </c>
      <c r="B7730" s="24" t="s">
        <v>3216</v>
      </c>
      <c r="C7730" s="24" t="s">
        <v>6924</v>
      </c>
      <c r="D7730" s="59">
        <v>2.0</v>
      </c>
      <c r="E7730" s="59">
        <v>2.0</v>
      </c>
      <c r="F7730" s="59">
        <v>1.0</v>
      </c>
      <c r="G7730" s="60">
        <v>1.0</v>
      </c>
      <c r="H7730" s="60">
        <v>0.5</v>
      </c>
      <c r="I7730" s="60">
        <v>510.6579955</v>
      </c>
      <c r="J7730" s="59">
        <v>7.0</v>
      </c>
      <c r="K7730" s="61">
        <f t="shared" si="1"/>
        <v>0.5</v>
      </c>
      <c r="L7730" s="62">
        <f t="shared" si="2"/>
        <v>3.5</v>
      </c>
    </row>
    <row r="7731">
      <c r="A7731" s="58">
        <v>45505.0</v>
      </c>
      <c r="B7731" s="24" t="s">
        <v>3216</v>
      </c>
      <c r="C7731" s="24" t="s">
        <v>6788</v>
      </c>
      <c r="D7731" s="59">
        <v>1.0</v>
      </c>
      <c r="E7731" s="59">
        <v>2.0</v>
      </c>
      <c r="F7731" s="59">
        <v>0.0</v>
      </c>
      <c r="G7731" s="60">
        <v>2.0</v>
      </c>
      <c r="H7731" s="60">
        <v>0.5</v>
      </c>
      <c r="I7731" s="60">
        <v>412.9199205</v>
      </c>
      <c r="J7731" s="59">
        <v>4.0</v>
      </c>
      <c r="K7731" s="61">
        <f t="shared" si="1"/>
        <v>0</v>
      </c>
      <c r="L7731" s="62">
        <f t="shared" si="2"/>
        <v>2</v>
      </c>
    </row>
    <row r="7732">
      <c r="A7732" s="58">
        <v>45505.0</v>
      </c>
      <c r="B7732" s="24" t="s">
        <v>7100</v>
      </c>
      <c r="C7732" s="24" t="s">
        <v>6788</v>
      </c>
      <c r="D7732" s="59">
        <v>1.0</v>
      </c>
      <c r="E7732" s="59">
        <v>1.0</v>
      </c>
      <c r="F7732" s="59">
        <v>0.0</v>
      </c>
      <c r="G7732" s="60">
        <v>0.0</v>
      </c>
      <c r="H7732" s="60">
        <v>1.0</v>
      </c>
      <c r="I7732" s="60">
        <v>0.0</v>
      </c>
      <c r="J7732" s="59">
        <v>1.0</v>
      </c>
      <c r="K7732" s="61">
        <f t="shared" si="1"/>
        <v>0</v>
      </c>
      <c r="L7732" s="62">
        <f t="shared" si="2"/>
        <v>1</v>
      </c>
    </row>
    <row r="7733">
      <c r="A7733" s="58">
        <v>45505.0</v>
      </c>
      <c r="B7733" s="24" t="s">
        <v>6789</v>
      </c>
      <c r="C7733" s="24" t="s">
        <v>7200</v>
      </c>
      <c r="D7733" s="59">
        <v>1.0</v>
      </c>
      <c r="E7733" s="59">
        <v>1.0</v>
      </c>
      <c r="F7733" s="59">
        <v>1.0</v>
      </c>
      <c r="G7733" s="60">
        <v>1.0</v>
      </c>
      <c r="H7733" s="60">
        <v>0.0</v>
      </c>
      <c r="I7733" s="60">
        <v>34.18765</v>
      </c>
      <c r="J7733" s="59">
        <v>1.0</v>
      </c>
      <c r="K7733" s="61">
        <f t="shared" si="1"/>
        <v>1</v>
      </c>
      <c r="L7733" s="62">
        <f t="shared" si="2"/>
        <v>1</v>
      </c>
    </row>
    <row r="7734">
      <c r="A7734" s="58">
        <v>45505.0</v>
      </c>
      <c r="B7734" s="24" t="s">
        <v>155</v>
      </c>
      <c r="C7734" s="24" t="s">
        <v>6803</v>
      </c>
      <c r="D7734" s="59">
        <v>1.0</v>
      </c>
      <c r="E7734" s="59">
        <v>1.0</v>
      </c>
      <c r="F7734" s="59">
        <v>0.0</v>
      </c>
      <c r="G7734" s="60">
        <v>0.0</v>
      </c>
      <c r="H7734" s="60">
        <v>1.0</v>
      </c>
      <c r="I7734" s="60">
        <v>0.0</v>
      </c>
      <c r="J7734" s="59">
        <v>1.0</v>
      </c>
      <c r="K7734" s="61">
        <f t="shared" si="1"/>
        <v>0</v>
      </c>
      <c r="L7734" s="62">
        <f t="shared" si="2"/>
        <v>1</v>
      </c>
    </row>
    <row r="7735">
      <c r="A7735" s="58">
        <v>45505.0</v>
      </c>
      <c r="B7735" s="24" t="s">
        <v>6787</v>
      </c>
      <c r="C7735" s="24" t="s">
        <v>6953</v>
      </c>
      <c r="D7735" s="59">
        <v>1.0</v>
      </c>
      <c r="E7735" s="59">
        <v>1.0</v>
      </c>
      <c r="F7735" s="59">
        <v>1.0</v>
      </c>
      <c r="G7735" s="60">
        <v>1.0</v>
      </c>
      <c r="H7735" s="60">
        <v>1.0</v>
      </c>
      <c r="I7735" s="60">
        <v>0.0</v>
      </c>
      <c r="J7735" s="59">
        <v>1.0</v>
      </c>
      <c r="K7735" s="61">
        <f t="shared" si="1"/>
        <v>1</v>
      </c>
      <c r="L7735" s="62">
        <f t="shared" si="2"/>
        <v>1</v>
      </c>
    </row>
    <row r="7736">
      <c r="A7736" s="58">
        <v>45505.0</v>
      </c>
      <c r="B7736" s="24" t="s">
        <v>6789</v>
      </c>
      <c r="C7736" s="24" t="s">
        <v>6953</v>
      </c>
      <c r="D7736" s="59">
        <v>1.0</v>
      </c>
      <c r="E7736" s="59">
        <v>1.0</v>
      </c>
      <c r="F7736" s="59">
        <v>1.0</v>
      </c>
      <c r="G7736" s="60">
        <v>1.0</v>
      </c>
      <c r="H7736" s="60">
        <v>0.0</v>
      </c>
      <c r="I7736" s="60">
        <v>290.424386</v>
      </c>
      <c r="J7736" s="59">
        <v>1.0</v>
      </c>
      <c r="K7736" s="61">
        <f t="shared" si="1"/>
        <v>1</v>
      </c>
      <c r="L7736" s="62">
        <f t="shared" si="2"/>
        <v>1</v>
      </c>
    </row>
    <row r="7737">
      <c r="A7737" s="58">
        <v>45505.0</v>
      </c>
      <c r="B7737" s="24" t="s">
        <v>6787</v>
      </c>
      <c r="C7737" s="24" t="s">
        <v>7549</v>
      </c>
      <c r="D7737" s="59">
        <v>1.0</v>
      </c>
      <c r="E7737" s="59">
        <v>1.0</v>
      </c>
      <c r="F7737" s="59">
        <v>1.0</v>
      </c>
      <c r="G7737" s="60">
        <v>1.0</v>
      </c>
      <c r="H7737" s="60">
        <v>1.0</v>
      </c>
      <c r="I7737" s="60">
        <v>1.945377</v>
      </c>
      <c r="J7737" s="59">
        <v>1.0</v>
      </c>
      <c r="K7737" s="61">
        <f t="shared" si="1"/>
        <v>1</v>
      </c>
      <c r="L7737" s="62">
        <f t="shared" si="2"/>
        <v>1</v>
      </c>
    </row>
    <row r="7738">
      <c r="A7738" s="58">
        <v>45505.0</v>
      </c>
      <c r="B7738" s="24" t="s">
        <v>6787</v>
      </c>
      <c r="C7738" s="24" t="s">
        <v>7056</v>
      </c>
      <c r="D7738" s="59">
        <v>1.0</v>
      </c>
      <c r="E7738" s="59">
        <v>1.0</v>
      </c>
      <c r="F7738" s="59">
        <v>1.0</v>
      </c>
      <c r="G7738" s="60">
        <v>1.0</v>
      </c>
      <c r="H7738" s="60">
        <v>1.0</v>
      </c>
      <c r="I7738" s="60">
        <v>9.002108</v>
      </c>
      <c r="J7738" s="59">
        <v>1.0</v>
      </c>
      <c r="K7738" s="61">
        <f t="shared" si="1"/>
        <v>1</v>
      </c>
      <c r="L7738" s="62">
        <f t="shared" si="2"/>
        <v>1</v>
      </c>
    </row>
    <row r="7739">
      <c r="A7739" s="58">
        <v>45505.0</v>
      </c>
      <c r="B7739" s="24" t="s">
        <v>6787</v>
      </c>
      <c r="C7739" s="24" t="s">
        <v>7477</v>
      </c>
      <c r="D7739" s="59">
        <v>1.0</v>
      </c>
      <c r="E7739" s="59">
        <v>1.0</v>
      </c>
      <c r="F7739" s="59">
        <v>1.0</v>
      </c>
      <c r="G7739" s="60">
        <v>1.0</v>
      </c>
      <c r="H7739" s="60">
        <v>1.0</v>
      </c>
      <c r="I7739" s="60">
        <v>0.0</v>
      </c>
      <c r="J7739" s="59">
        <v>1.0</v>
      </c>
      <c r="K7739" s="61">
        <f t="shared" si="1"/>
        <v>1</v>
      </c>
      <c r="L7739" s="62">
        <f t="shared" si="2"/>
        <v>1</v>
      </c>
    </row>
    <row r="7740">
      <c r="A7740" s="58">
        <v>45505.0</v>
      </c>
      <c r="B7740" s="24" t="s">
        <v>6789</v>
      </c>
      <c r="C7740" s="24" t="s">
        <v>7477</v>
      </c>
      <c r="D7740" s="59">
        <v>1.0</v>
      </c>
      <c r="E7740" s="59">
        <v>1.0</v>
      </c>
      <c r="F7740" s="59">
        <v>0.0</v>
      </c>
      <c r="G7740" s="60">
        <v>1.0</v>
      </c>
      <c r="H7740" s="60">
        <v>0.0</v>
      </c>
      <c r="I7740" s="60">
        <v>1100.645931</v>
      </c>
      <c r="J7740" s="59">
        <v>10.0</v>
      </c>
      <c r="K7740" s="61">
        <f t="shared" si="1"/>
        <v>0</v>
      </c>
      <c r="L7740" s="62">
        <f t="shared" si="2"/>
        <v>10</v>
      </c>
    </row>
    <row r="7741">
      <c r="A7741" s="58">
        <v>45505.0</v>
      </c>
      <c r="B7741" s="24" t="s">
        <v>6790</v>
      </c>
      <c r="C7741" s="24" t="s">
        <v>6829</v>
      </c>
      <c r="D7741" s="59">
        <v>1.0</v>
      </c>
      <c r="E7741" s="59">
        <v>1.0</v>
      </c>
      <c r="F7741" s="59">
        <v>0.0</v>
      </c>
      <c r="G7741" s="60">
        <v>1.0</v>
      </c>
      <c r="H7741" s="60">
        <v>1.0</v>
      </c>
      <c r="I7741" s="60">
        <v>453.907323</v>
      </c>
      <c r="J7741" s="59">
        <v>1.0</v>
      </c>
      <c r="K7741" s="61">
        <f t="shared" si="1"/>
        <v>0</v>
      </c>
      <c r="L7741" s="62">
        <f t="shared" si="2"/>
        <v>1</v>
      </c>
    </row>
    <row r="7742">
      <c r="A7742" s="58">
        <v>45505.0</v>
      </c>
      <c r="B7742" s="24" t="s">
        <v>6787</v>
      </c>
      <c r="C7742" s="24" t="s">
        <v>7057</v>
      </c>
      <c r="D7742" s="59">
        <v>1.0</v>
      </c>
      <c r="E7742" s="59">
        <v>1.0</v>
      </c>
      <c r="F7742" s="59">
        <v>1.0</v>
      </c>
      <c r="G7742" s="60">
        <v>1.0</v>
      </c>
      <c r="H7742" s="60">
        <v>0.0</v>
      </c>
      <c r="I7742" s="60">
        <v>6.981465</v>
      </c>
      <c r="J7742" s="59">
        <v>4.0</v>
      </c>
      <c r="K7742" s="61">
        <f t="shared" si="1"/>
        <v>1</v>
      </c>
      <c r="L7742" s="62">
        <f t="shared" si="2"/>
        <v>4</v>
      </c>
    </row>
    <row r="7743">
      <c r="A7743" s="58">
        <v>45505.0</v>
      </c>
      <c r="B7743" s="24" t="s">
        <v>6789</v>
      </c>
      <c r="C7743" s="24" t="s">
        <v>7057</v>
      </c>
      <c r="D7743" s="59">
        <v>1.0</v>
      </c>
      <c r="E7743" s="59">
        <v>1.0</v>
      </c>
      <c r="F7743" s="59">
        <v>1.0</v>
      </c>
      <c r="G7743" s="60">
        <v>1.0</v>
      </c>
      <c r="H7743" s="60">
        <v>1.0</v>
      </c>
      <c r="I7743" s="60">
        <v>1.400115</v>
      </c>
      <c r="J7743" s="59">
        <v>1.0</v>
      </c>
      <c r="K7743" s="61">
        <f t="shared" si="1"/>
        <v>1</v>
      </c>
      <c r="L7743" s="62">
        <f t="shared" si="2"/>
        <v>1</v>
      </c>
    </row>
    <row r="7744">
      <c r="A7744" s="58">
        <v>45505.0</v>
      </c>
      <c r="B7744" s="24" t="s">
        <v>6789</v>
      </c>
      <c r="C7744" s="24" t="s">
        <v>7058</v>
      </c>
      <c r="D7744" s="59">
        <v>1.0</v>
      </c>
      <c r="E7744" s="59">
        <v>1.0</v>
      </c>
      <c r="F7744" s="59">
        <v>1.0</v>
      </c>
      <c r="G7744" s="60">
        <v>1.0</v>
      </c>
      <c r="H7744" s="60">
        <v>0.0</v>
      </c>
      <c r="I7744" s="60">
        <v>163.919443</v>
      </c>
      <c r="J7744" s="59">
        <v>1.0</v>
      </c>
      <c r="K7744" s="61">
        <f t="shared" si="1"/>
        <v>1</v>
      </c>
      <c r="L7744" s="62">
        <f t="shared" si="2"/>
        <v>1</v>
      </c>
    </row>
    <row r="7745">
      <c r="A7745" s="58">
        <v>45505.0</v>
      </c>
      <c r="B7745" s="24" t="s">
        <v>6789</v>
      </c>
      <c r="C7745" s="24" t="s">
        <v>7060</v>
      </c>
      <c r="D7745" s="59">
        <v>1.0</v>
      </c>
      <c r="E7745" s="59">
        <v>1.0</v>
      </c>
      <c r="F7745" s="59">
        <v>1.0</v>
      </c>
      <c r="G7745" s="60">
        <v>1.0</v>
      </c>
      <c r="H7745" s="60">
        <v>0.0</v>
      </c>
      <c r="I7745" s="60">
        <v>1597.290414</v>
      </c>
      <c r="J7745" s="59">
        <v>3.0</v>
      </c>
      <c r="K7745" s="61">
        <f t="shared" si="1"/>
        <v>1</v>
      </c>
      <c r="L7745" s="62">
        <f t="shared" si="2"/>
        <v>3</v>
      </c>
    </row>
    <row r="7746">
      <c r="A7746" s="58">
        <v>45505.0</v>
      </c>
      <c r="B7746" s="24" t="s">
        <v>6787</v>
      </c>
      <c r="C7746" s="24" t="s">
        <v>6986</v>
      </c>
      <c r="D7746" s="59">
        <v>1.0</v>
      </c>
      <c r="E7746" s="59">
        <v>1.0</v>
      </c>
      <c r="F7746" s="59">
        <v>1.0</v>
      </c>
      <c r="G7746" s="60">
        <v>1.0</v>
      </c>
      <c r="H7746" s="60">
        <v>0.0</v>
      </c>
      <c r="I7746" s="60">
        <v>3.741054</v>
      </c>
      <c r="J7746" s="59">
        <v>3.0</v>
      </c>
      <c r="K7746" s="61">
        <f t="shared" si="1"/>
        <v>1</v>
      </c>
      <c r="L7746" s="62">
        <f t="shared" si="2"/>
        <v>3</v>
      </c>
    </row>
    <row r="7747">
      <c r="A7747" s="58">
        <v>45505.0</v>
      </c>
      <c r="B7747" s="24" t="s">
        <v>155</v>
      </c>
      <c r="C7747" s="24" t="s">
        <v>6986</v>
      </c>
      <c r="D7747" s="59">
        <v>1.0</v>
      </c>
      <c r="E7747" s="59">
        <v>1.0</v>
      </c>
      <c r="F7747" s="59">
        <v>0.0</v>
      </c>
      <c r="G7747" s="60">
        <v>0.0</v>
      </c>
      <c r="H7747" s="60">
        <v>1.0</v>
      </c>
      <c r="I7747" s="60">
        <v>0.0</v>
      </c>
      <c r="J7747" s="59">
        <v>1.0</v>
      </c>
      <c r="K7747" s="61">
        <f t="shared" si="1"/>
        <v>0</v>
      </c>
      <c r="L7747" s="62">
        <f t="shared" si="2"/>
        <v>1</v>
      </c>
    </row>
    <row r="7748">
      <c r="A7748" s="58">
        <v>45505.0</v>
      </c>
      <c r="B7748" s="24" t="s">
        <v>6787</v>
      </c>
      <c r="C7748" s="24" t="s">
        <v>7061</v>
      </c>
      <c r="D7748" s="59">
        <v>1.0</v>
      </c>
      <c r="E7748" s="59">
        <v>1.0</v>
      </c>
      <c r="F7748" s="59">
        <v>1.0</v>
      </c>
      <c r="G7748" s="60">
        <v>1.0</v>
      </c>
      <c r="H7748" s="60">
        <v>0.0</v>
      </c>
      <c r="I7748" s="60">
        <v>30.008378</v>
      </c>
      <c r="J7748" s="59">
        <v>1.0</v>
      </c>
      <c r="K7748" s="61">
        <f t="shared" si="1"/>
        <v>1</v>
      </c>
      <c r="L7748" s="62">
        <f t="shared" si="2"/>
        <v>1</v>
      </c>
    </row>
    <row r="7749">
      <c r="A7749" s="58">
        <v>45505.0</v>
      </c>
      <c r="B7749" s="24" t="s">
        <v>6789</v>
      </c>
      <c r="C7749" s="24" t="s">
        <v>7061</v>
      </c>
      <c r="D7749" s="59">
        <v>1.0</v>
      </c>
      <c r="E7749" s="59">
        <v>1.0</v>
      </c>
      <c r="F7749" s="59">
        <v>0.0</v>
      </c>
      <c r="G7749" s="60">
        <v>0.0</v>
      </c>
      <c r="H7749" s="60">
        <v>1.0</v>
      </c>
      <c r="I7749" s="60">
        <v>4.265855</v>
      </c>
      <c r="J7749" s="59">
        <v>1.0</v>
      </c>
      <c r="K7749" s="61">
        <f t="shared" si="1"/>
        <v>0</v>
      </c>
      <c r="L7749" s="62">
        <f t="shared" si="2"/>
        <v>1</v>
      </c>
    </row>
    <row r="7750">
      <c r="A7750" s="58">
        <v>45505.0</v>
      </c>
      <c r="B7750" s="24" t="s">
        <v>6787</v>
      </c>
      <c r="C7750" s="24" t="s">
        <v>6867</v>
      </c>
      <c r="D7750" s="59">
        <v>1.0</v>
      </c>
      <c r="E7750" s="59">
        <v>1.0</v>
      </c>
      <c r="F7750" s="59">
        <v>1.0</v>
      </c>
      <c r="G7750" s="60">
        <v>1.0</v>
      </c>
      <c r="H7750" s="60">
        <v>1.0</v>
      </c>
      <c r="I7750" s="60">
        <v>0.0</v>
      </c>
      <c r="J7750" s="59">
        <v>1.0</v>
      </c>
      <c r="K7750" s="61">
        <f t="shared" si="1"/>
        <v>1</v>
      </c>
      <c r="L7750" s="62">
        <f t="shared" si="2"/>
        <v>1</v>
      </c>
    </row>
    <row r="7751">
      <c r="A7751" s="58">
        <v>45505.0</v>
      </c>
      <c r="B7751" s="24" t="s">
        <v>6787</v>
      </c>
      <c r="C7751" s="24" t="s">
        <v>7062</v>
      </c>
      <c r="D7751" s="59">
        <v>1.0</v>
      </c>
      <c r="E7751" s="59">
        <v>1.0</v>
      </c>
      <c r="F7751" s="59">
        <v>1.0</v>
      </c>
      <c r="G7751" s="60">
        <v>1.0</v>
      </c>
      <c r="H7751" s="60">
        <v>0.0</v>
      </c>
      <c r="I7751" s="60">
        <v>84.474919</v>
      </c>
      <c r="J7751" s="59">
        <v>1.0</v>
      </c>
      <c r="K7751" s="61">
        <f t="shared" si="1"/>
        <v>1</v>
      </c>
      <c r="L7751" s="62">
        <f t="shared" si="2"/>
        <v>1</v>
      </c>
    </row>
    <row r="7752">
      <c r="A7752" s="58">
        <v>45505.0</v>
      </c>
      <c r="B7752" s="24" t="s">
        <v>6789</v>
      </c>
      <c r="C7752" s="24" t="s">
        <v>7062</v>
      </c>
      <c r="D7752" s="59">
        <v>1.0</v>
      </c>
      <c r="E7752" s="59">
        <v>1.0</v>
      </c>
      <c r="F7752" s="59">
        <v>0.0</v>
      </c>
      <c r="G7752" s="60">
        <v>1.0</v>
      </c>
      <c r="H7752" s="60">
        <v>0.0</v>
      </c>
      <c r="I7752" s="60">
        <v>2767.453405</v>
      </c>
      <c r="J7752" s="59">
        <v>27.0</v>
      </c>
      <c r="K7752" s="61">
        <f t="shared" si="1"/>
        <v>0</v>
      </c>
      <c r="L7752" s="62">
        <f t="shared" si="2"/>
        <v>27</v>
      </c>
    </row>
    <row r="7753">
      <c r="A7753" s="58">
        <v>45505.0</v>
      </c>
      <c r="B7753" s="24" t="s">
        <v>6790</v>
      </c>
      <c r="C7753" s="24" t="s">
        <v>7024</v>
      </c>
      <c r="D7753" s="59">
        <v>1.0</v>
      </c>
      <c r="E7753" s="59">
        <v>1.0</v>
      </c>
      <c r="F7753" s="59">
        <v>1.0</v>
      </c>
      <c r="G7753" s="60">
        <v>1.0</v>
      </c>
      <c r="H7753" s="60">
        <v>1.0</v>
      </c>
      <c r="I7753" s="60">
        <v>0.0</v>
      </c>
      <c r="J7753" s="59">
        <v>1.0</v>
      </c>
      <c r="K7753" s="61">
        <f t="shared" si="1"/>
        <v>1</v>
      </c>
      <c r="L7753" s="62">
        <f t="shared" si="2"/>
        <v>1</v>
      </c>
    </row>
    <row r="7754">
      <c r="A7754" s="58">
        <v>45505.0</v>
      </c>
      <c r="B7754" s="24" t="s">
        <v>6789</v>
      </c>
      <c r="C7754" s="24" t="s">
        <v>7064</v>
      </c>
      <c r="D7754" s="59">
        <v>1.0</v>
      </c>
      <c r="E7754" s="59">
        <v>1.0</v>
      </c>
      <c r="F7754" s="59">
        <v>1.0</v>
      </c>
      <c r="G7754" s="60">
        <v>1.0</v>
      </c>
      <c r="H7754" s="60">
        <v>1.0</v>
      </c>
      <c r="I7754" s="60">
        <v>0.0</v>
      </c>
      <c r="J7754" s="59">
        <v>1.0</v>
      </c>
      <c r="K7754" s="61">
        <f t="shared" si="1"/>
        <v>1</v>
      </c>
      <c r="L7754" s="62">
        <f t="shared" si="2"/>
        <v>1</v>
      </c>
    </row>
    <row r="7755">
      <c r="A7755" s="58">
        <v>45505.0</v>
      </c>
      <c r="B7755" s="24" t="s">
        <v>6787</v>
      </c>
      <c r="C7755" s="24" t="s">
        <v>7065</v>
      </c>
      <c r="D7755" s="59">
        <v>1.0</v>
      </c>
      <c r="E7755" s="59">
        <v>1.0</v>
      </c>
      <c r="F7755" s="59">
        <v>1.0</v>
      </c>
      <c r="G7755" s="60">
        <v>1.0</v>
      </c>
      <c r="H7755" s="60">
        <v>1.0</v>
      </c>
      <c r="I7755" s="60">
        <v>0.0</v>
      </c>
      <c r="J7755" s="59">
        <v>1.0</v>
      </c>
      <c r="K7755" s="61">
        <f t="shared" si="1"/>
        <v>1</v>
      </c>
      <c r="L7755" s="62">
        <f t="shared" si="2"/>
        <v>1</v>
      </c>
    </row>
    <row r="7756">
      <c r="A7756" s="58">
        <v>45505.0</v>
      </c>
      <c r="B7756" s="24" t="s">
        <v>6789</v>
      </c>
      <c r="C7756" s="24" t="s">
        <v>7065</v>
      </c>
      <c r="D7756" s="59">
        <v>1.0</v>
      </c>
      <c r="E7756" s="59">
        <v>1.0</v>
      </c>
      <c r="F7756" s="59">
        <v>0.0</v>
      </c>
      <c r="G7756" s="60">
        <v>1.0</v>
      </c>
      <c r="H7756" s="60">
        <v>0.0</v>
      </c>
      <c r="I7756" s="60">
        <v>4319.188318</v>
      </c>
      <c r="J7756" s="59">
        <v>9.0</v>
      </c>
      <c r="K7756" s="61">
        <f t="shared" si="1"/>
        <v>0</v>
      </c>
      <c r="L7756" s="62">
        <f t="shared" si="2"/>
        <v>9</v>
      </c>
    </row>
    <row r="7757">
      <c r="A7757" s="58">
        <v>45505.0</v>
      </c>
      <c r="B7757" s="24" t="s">
        <v>6787</v>
      </c>
      <c r="C7757" s="24" t="s">
        <v>6990</v>
      </c>
      <c r="D7757" s="59">
        <v>1.0</v>
      </c>
      <c r="E7757" s="59">
        <v>1.0</v>
      </c>
      <c r="F7757" s="59">
        <v>1.0</v>
      </c>
      <c r="G7757" s="60">
        <v>1.0</v>
      </c>
      <c r="H7757" s="60">
        <v>1.0</v>
      </c>
      <c r="I7757" s="60">
        <v>0.0</v>
      </c>
      <c r="J7757" s="59">
        <v>1.0</v>
      </c>
      <c r="K7757" s="61">
        <f t="shared" si="1"/>
        <v>1</v>
      </c>
      <c r="L7757" s="62">
        <f t="shared" si="2"/>
        <v>1</v>
      </c>
    </row>
    <row r="7758">
      <c r="A7758" s="58">
        <v>45505.0</v>
      </c>
      <c r="B7758" s="24" t="s">
        <v>155</v>
      </c>
      <c r="C7758" s="24" t="s">
        <v>7068</v>
      </c>
      <c r="D7758" s="59">
        <v>1.0</v>
      </c>
      <c r="E7758" s="59">
        <v>1.0</v>
      </c>
      <c r="F7758" s="59">
        <v>1.0</v>
      </c>
      <c r="G7758" s="60">
        <v>1.0</v>
      </c>
      <c r="H7758" s="60">
        <v>1.0</v>
      </c>
      <c r="I7758" s="60">
        <v>0.0</v>
      </c>
      <c r="J7758" s="59">
        <v>1.0</v>
      </c>
      <c r="K7758" s="61">
        <f t="shared" si="1"/>
        <v>1</v>
      </c>
      <c r="L7758" s="62">
        <f t="shared" si="2"/>
        <v>1</v>
      </c>
    </row>
    <row r="7759">
      <c r="A7759" s="58">
        <v>45505.0</v>
      </c>
      <c r="B7759" s="24" t="s">
        <v>6789</v>
      </c>
      <c r="C7759" s="24" t="s">
        <v>6991</v>
      </c>
      <c r="D7759" s="59">
        <v>1.0</v>
      </c>
      <c r="E7759" s="59">
        <v>1.0</v>
      </c>
      <c r="F7759" s="59">
        <v>0.0</v>
      </c>
      <c r="G7759" s="60">
        <v>1.0</v>
      </c>
      <c r="H7759" s="60">
        <v>0.0</v>
      </c>
      <c r="I7759" s="60">
        <v>1291.034349</v>
      </c>
      <c r="J7759" s="59">
        <v>1.0</v>
      </c>
      <c r="K7759" s="61">
        <f t="shared" si="1"/>
        <v>0</v>
      </c>
      <c r="L7759" s="62">
        <f t="shared" si="2"/>
        <v>1</v>
      </c>
    </row>
    <row r="7760">
      <c r="A7760" s="58">
        <v>45505.0</v>
      </c>
      <c r="B7760" s="24" t="s">
        <v>6789</v>
      </c>
      <c r="C7760" s="24" t="s">
        <v>6992</v>
      </c>
      <c r="D7760" s="59">
        <v>1.0</v>
      </c>
      <c r="E7760" s="59">
        <v>1.0</v>
      </c>
      <c r="F7760" s="59">
        <v>0.0</v>
      </c>
      <c r="G7760" s="60">
        <v>1.0</v>
      </c>
      <c r="H7760" s="60">
        <v>0.0</v>
      </c>
      <c r="I7760" s="60">
        <v>2394.130311</v>
      </c>
      <c r="J7760" s="59">
        <v>2.0</v>
      </c>
      <c r="K7760" s="61">
        <f t="shared" si="1"/>
        <v>0</v>
      </c>
      <c r="L7760" s="62">
        <f t="shared" si="2"/>
        <v>2</v>
      </c>
    </row>
    <row r="7761">
      <c r="A7761" s="58">
        <v>45505.0</v>
      </c>
      <c r="B7761" s="24" t="s">
        <v>6787</v>
      </c>
      <c r="C7761" s="24" t="s">
        <v>7074</v>
      </c>
      <c r="D7761" s="59">
        <v>1.0</v>
      </c>
      <c r="E7761" s="59">
        <v>1.0</v>
      </c>
      <c r="F7761" s="59">
        <v>1.0</v>
      </c>
      <c r="G7761" s="60">
        <v>1.0</v>
      </c>
      <c r="H7761" s="60">
        <v>1.0</v>
      </c>
      <c r="I7761" s="60">
        <v>0.0</v>
      </c>
      <c r="J7761" s="59">
        <v>1.0</v>
      </c>
      <c r="K7761" s="61">
        <f t="shared" si="1"/>
        <v>1</v>
      </c>
      <c r="L7761" s="62">
        <f t="shared" si="2"/>
        <v>1</v>
      </c>
    </row>
    <row r="7762">
      <c r="A7762" s="58">
        <v>45505.0</v>
      </c>
      <c r="B7762" s="24" t="s">
        <v>155</v>
      </c>
      <c r="C7762" s="24" t="s">
        <v>6886</v>
      </c>
      <c r="D7762" s="59">
        <v>1.0</v>
      </c>
      <c r="E7762" s="59">
        <v>1.0</v>
      </c>
      <c r="F7762" s="59">
        <v>1.0</v>
      </c>
      <c r="G7762" s="60">
        <v>1.0</v>
      </c>
      <c r="H7762" s="60">
        <v>0.0</v>
      </c>
      <c r="I7762" s="60">
        <v>447.417561</v>
      </c>
      <c r="J7762" s="59">
        <v>5.0</v>
      </c>
      <c r="K7762" s="61">
        <f t="shared" si="1"/>
        <v>1</v>
      </c>
      <c r="L7762" s="62">
        <f t="shared" si="2"/>
        <v>5</v>
      </c>
    </row>
    <row r="7763">
      <c r="A7763" s="58">
        <v>45505.0</v>
      </c>
      <c r="B7763" s="24" t="s">
        <v>6790</v>
      </c>
      <c r="C7763" s="24" t="s">
        <v>6886</v>
      </c>
      <c r="D7763" s="59">
        <v>1.0</v>
      </c>
      <c r="E7763" s="59">
        <v>1.0</v>
      </c>
      <c r="F7763" s="59">
        <v>0.0</v>
      </c>
      <c r="G7763" s="60">
        <v>1.0</v>
      </c>
      <c r="H7763" s="60">
        <v>1.0</v>
      </c>
      <c r="I7763" s="60">
        <v>0.0</v>
      </c>
      <c r="J7763" s="59">
        <v>1.0</v>
      </c>
      <c r="K7763" s="61">
        <f t="shared" si="1"/>
        <v>0</v>
      </c>
      <c r="L7763" s="62">
        <f t="shared" si="2"/>
        <v>1</v>
      </c>
    </row>
    <row r="7764">
      <c r="A7764" s="58">
        <v>45505.0</v>
      </c>
      <c r="B7764" s="24" t="s">
        <v>6789</v>
      </c>
      <c r="C7764" s="24" t="s">
        <v>7550</v>
      </c>
      <c r="D7764" s="59">
        <v>1.0</v>
      </c>
      <c r="E7764" s="59">
        <v>1.0</v>
      </c>
      <c r="F7764" s="59">
        <v>0.0</v>
      </c>
      <c r="G7764" s="60">
        <v>1.0</v>
      </c>
      <c r="H7764" s="60">
        <v>0.0</v>
      </c>
      <c r="I7764" s="60">
        <v>1505.442648</v>
      </c>
      <c r="J7764" s="59">
        <v>2.0</v>
      </c>
      <c r="K7764" s="61">
        <f t="shared" si="1"/>
        <v>0</v>
      </c>
      <c r="L7764" s="62">
        <f t="shared" si="2"/>
        <v>2</v>
      </c>
    </row>
    <row r="7765">
      <c r="A7765" s="58">
        <v>45505.0</v>
      </c>
      <c r="B7765" s="24" t="s">
        <v>6794</v>
      </c>
      <c r="C7765" s="24" t="s">
        <v>6820</v>
      </c>
      <c r="D7765" s="59">
        <v>1.0</v>
      </c>
      <c r="E7765" s="59">
        <v>1.0</v>
      </c>
      <c r="F7765" s="59">
        <v>0.0</v>
      </c>
      <c r="G7765" s="60">
        <v>0.0</v>
      </c>
      <c r="H7765" s="60">
        <v>1.0</v>
      </c>
      <c r="I7765" s="60">
        <v>0.0</v>
      </c>
      <c r="J7765" s="59">
        <v>1.0</v>
      </c>
      <c r="K7765" s="61">
        <f t="shared" si="1"/>
        <v>0</v>
      </c>
      <c r="L7765" s="62">
        <f t="shared" si="2"/>
        <v>1</v>
      </c>
    </row>
    <row r="7766">
      <c r="A7766" s="58">
        <v>45505.0</v>
      </c>
      <c r="B7766" s="24" t="s">
        <v>6787</v>
      </c>
      <c r="C7766" s="24" t="s">
        <v>6888</v>
      </c>
      <c r="D7766" s="59">
        <v>1.0</v>
      </c>
      <c r="E7766" s="59">
        <v>1.0</v>
      </c>
      <c r="F7766" s="59">
        <v>1.0</v>
      </c>
      <c r="G7766" s="60">
        <v>1.0</v>
      </c>
      <c r="H7766" s="60">
        <v>1.0</v>
      </c>
      <c r="I7766" s="60">
        <v>0.0</v>
      </c>
      <c r="J7766" s="59">
        <v>1.0</v>
      </c>
      <c r="K7766" s="61">
        <f t="shared" si="1"/>
        <v>1</v>
      </c>
      <c r="L7766" s="62">
        <f t="shared" si="2"/>
        <v>1</v>
      </c>
    </row>
    <row r="7767">
      <c r="A7767" s="58">
        <v>45505.0</v>
      </c>
      <c r="B7767" s="24" t="s">
        <v>6787</v>
      </c>
      <c r="C7767" s="24" t="s">
        <v>6891</v>
      </c>
      <c r="D7767" s="59">
        <v>1.0</v>
      </c>
      <c r="E7767" s="59">
        <v>1.0</v>
      </c>
      <c r="F7767" s="59">
        <v>1.0</v>
      </c>
      <c r="G7767" s="60">
        <v>1.0</v>
      </c>
      <c r="H7767" s="60">
        <v>0.0</v>
      </c>
      <c r="I7767" s="60">
        <v>12.144237</v>
      </c>
      <c r="J7767" s="59">
        <v>1.0</v>
      </c>
      <c r="K7767" s="61">
        <f t="shared" si="1"/>
        <v>1</v>
      </c>
      <c r="L7767" s="62">
        <f t="shared" si="2"/>
        <v>1</v>
      </c>
    </row>
    <row r="7768">
      <c r="A7768" s="58">
        <v>45505.0</v>
      </c>
      <c r="B7768" s="24" t="s">
        <v>155</v>
      </c>
      <c r="C7768" s="24" t="s">
        <v>6892</v>
      </c>
      <c r="D7768" s="59">
        <v>1.0</v>
      </c>
      <c r="E7768" s="59">
        <v>1.0</v>
      </c>
      <c r="F7768" s="59">
        <v>0.0</v>
      </c>
      <c r="G7768" s="60">
        <v>1.0</v>
      </c>
      <c r="H7768" s="60">
        <v>1.0</v>
      </c>
      <c r="I7768" s="60">
        <v>0.0</v>
      </c>
      <c r="J7768" s="59">
        <v>1.0</v>
      </c>
      <c r="K7768" s="61">
        <f t="shared" si="1"/>
        <v>0</v>
      </c>
      <c r="L7768" s="62">
        <f t="shared" si="2"/>
        <v>1</v>
      </c>
    </row>
    <row r="7769">
      <c r="A7769" s="58">
        <v>45505.0</v>
      </c>
      <c r="B7769" s="24" t="s">
        <v>6787</v>
      </c>
      <c r="C7769" s="24" t="s">
        <v>7438</v>
      </c>
      <c r="D7769" s="59">
        <v>1.0</v>
      </c>
      <c r="E7769" s="59">
        <v>1.0</v>
      </c>
      <c r="F7769" s="59">
        <v>1.0</v>
      </c>
      <c r="G7769" s="60">
        <v>1.0</v>
      </c>
      <c r="H7769" s="60">
        <v>0.0</v>
      </c>
      <c r="I7769" s="60">
        <v>12.843211</v>
      </c>
      <c r="J7769" s="59">
        <v>1.0</v>
      </c>
      <c r="K7769" s="61">
        <f t="shared" si="1"/>
        <v>1</v>
      </c>
      <c r="L7769" s="62">
        <f t="shared" si="2"/>
        <v>1</v>
      </c>
    </row>
    <row r="7770">
      <c r="A7770" s="58">
        <v>45505.0</v>
      </c>
      <c r="B7770" s="24" t="s">
        <v>6789</v>
      </c>
      <c r="C7770" s="24" t="s">
        <v>7438</v>
      </c>
      <c r="D7770" s="59">
        <v>1.0</v>
      </c>
      <c r="E7770" s="59">
        <v>1.0</v>
      </c>
      <c r="F7770" s="59">
        <v>1.0</v>
      </c>
      <c r="G7770" s="60">
        <v>1.0</v>
      </c>
      <c r="H7770" s="60">
        <v>0.0</v>
      </c>
      <c r="I7770" s="60">
        <v>11.639382</v>
      </c>
      <c r="J7770" s="59">
        <v>1.0</v>
      </c>
      <c r="K7770" s="61">
        <f t="shared" si="1"/>
        <v>1</v>
      </c>
      <c r="L7770" s="62">
        <f t="shared" si="2"/>
        <v>1</v>
      </c>
    </row>
    <row r="7771">
      <c r="A7771" s="58">
        <v>45505.0</v>
      </c>
      <c r="B7771" s="24" t="s">
        <v>155</v>
      </c>
      <c r="C7771" s="24" t="s">
        <v>7001</v>
      </c>
      <c r="D7771" s="59">
        <v>1.0</v>
      </c>
      <c r="E7771" s="59">
        <v>1.0</v>
      </c>
      <c r="F7771" s="59">
        <v>0.0</v>
      </c>
      <c r="G7771" s="60">
        <v>1.0</v>
      </c>
      <c r="H7771" s="60">
        <v>0.0</v>
      </c>
      <c r="I7771" s="60">
        <v>428.636647</v>
      </c>
      <c r="J7771" s="59">
        <v>7.0</v>
      </c>
      <c r="K7771" s="61">
        <f t="shared" si="1"/>
        <v>0</v>
      </c>
      <c r="L7771" s="62">
        <f t="shared" si="2"/>
        <v>7</v>
      </c>
    </row>
    <row r="7772">
      <c r="A7772" s="58">
        <v>45505.0</v>
      </c>
      <c r="B7772" s="24" t="s">
        <v>6787</v>
      </c>
      <c r="C7772" s="24" t="s">
        <v>6823</v>
      </c>
      <c r="D7772" s="59">
        <v>1.0</v>
      </c>
      <c r="E7772" s="59">
        <v>1.0</v>
      </c>
      <c r="F7772" s="59">
        <v>0.0</v>
      </c>
      <c r="G7772" s="60">
        <v>1.0</v>
      </c>
      <c r="H7772" s="60">
        <v>0.0</v>
      </c>
      <c r="I7772" s="60">
        <v>1362.149356</v>
      </c>
      <c r="J7772" s="59">
        <v>1.0</v>
      </c>
      <c r="K7772" s="61">
        <f t="shared" si="1"/>
        <v>0</v>
      </c>
      <c r="L7772" s="62">
        <f t="shared" si="2"/>
        <v>1</v>
      </c>
    </row>
    <row r="7773">
      <c r="A7773" s="58">
        <v>45505.0</v>
      </c>
      <c r="B7773" s="24" t="s">
        <v>3216</v>
      </c>
      <c r="C7773" s="24" t="s">
        <v>6823</v>
      </c>
      <c r="D7773" s="59">
        <v>1.0</v>
      </c>
      <c r="E7773" s="59">
        <v>1.0</v>
      </c>
      <c r="F7773" s="59">
        <v>0.0</v>
      </c>
      <c r="G7773" s="60">
        <v>0.0</v>
      </c>
      <c r="H7773" s="60">
        <v>1.0</v>
      </c>
      <c r="I7773" s="60">
        <v>0.0</v>
      </c>
      <c r="J7773" s="59">
        <v>1.0</v>
      </c>
      <c r="K7773" s="61">
        <f t="shared" si="1"/>
        <v>0</v>
      </c>
      <c r="L7773" s="62">
        <f t="shared" si="2"/>
        <v>1</v>
      </c>
    </row>
    <row r="7774">
      <c r="A7774" s="58">
        <v>45505.0</v>
      </c>
      <c r="B7774" s="24" t="s">
        <v>155</v>
      </c>
      <c r="C7774" s="24" t="s">
        <v>6823</v>
      </c>
      <c r="D7774" s="59">
        <v>1.0</v>
      </c>
      <c r="E7774" s="59">
        <v>1.0</v>
      </c>
      <c r="F7774" s="59">
        <v>0.0</v>
      </c>
      <c r="G7774" s="60">
        <v>1.0</v>
      </c>
      <c r="H7774" s="60">
        <v>0.0</v>
      </c>
      <c r="I7774" s="60">
        <v>99.624647</v>
      </c>
      <c r="J7774" s="59">
        <v>5.0</v>
      </c>
      <c r="K7774" s="61">
        <f t="shared" si="1"/>
        <v>0</v>
      </c>
      <c r="L7774" s="62">
        <f t="shared" si="2"/>
        <v>5</v>
      </c>
    </row>
    <row r="7775">
      <c r="A7775" s="58">
        <v>45505.0</v>
      </c>
      <c r="B7775" s="24" t="s">
        <v>6790</v>
      </c>
      <c r="C7775" s="24" t="s">
        <v>6823</v>
      </c>
      <c r="D7775" s="59">
        <v>1.0</v>
      </c>
      <c r="E7775" s="59">
        <v>1.0</v>
      </c>
      <c r="F7775" s="59">
        <v>1.0</v>
      </c>
      <c r="G7775" s="60">
        <v>1.0</v>
      </c>
      <c r="H7775" s="60">
        <v>1.0</v>
      </c>
      <c r="I7775" s="60">
        <v>0.0</v>
      </c>
      <c r="J7775" s="59">
        <v>1.0</v>
      </c>
      <c r="K7775" s="61">
        <f t="shared" si="1"/>
        <v>1</v>
      </c>
      <c r="L7775" s="62">
        <f t="shared" si="2"/>
        <v>1</v>
      </c>
    </row>
    <row r="7776">
      <c r="A7776" s="58">
        <v>45505.0</v>
      </c>
      <c r="B7776" s="24" t="s">
        <v>6787</v>
      </c>
      <c r="C7776" s="24" t="s">
        <v>6897</v>
      </c>
      <c r="D7776" s="59">
        <v>1.0</v>
      </c>
      <c r="E7776" s="59">
        <v>1.0</v>
      </c>
      <c r="F7776" s="59">
        <v>1.0</v>
      </c>
      <c r="G7776" s="60">
        <v>1.0</v>
      </c>
      <c r="H7776" s="60">
        <v>1.0</v>
      </c>
      <c r="I7776" s="60">
        <v>0.0</v>
      </c>
      <c r="J7776" s="59">
        <v>1.0</v>
      </c>
      <c r="K7776" s="61">
        <f t="shared" si="1"/>
        <v>1</v>
      </c>
      <c r="L7776" s="62">
        <f t="shared" si="2"/>
        <v>1</v>
      </c>
    </row>
    <row r="7777">
      <c r="A7777" s="58">
        <v>45505.0</v>
      </c>
      <c r="B7777" s="24" t="s">
        <v>6790</v>
      </c>
      <c r="C7777" s="24" t="s">
        <v>6811</v>
      </c>
      <c r="D7777" s="59">
        <v>1.0</v>
      </c>
      <c r="E7777" s="59">
        <v>1.0</v>
      </c>
      <c r="F7777" s="59">
        <v>0.0</v>
      </c>
      <c r="G7777" s="60">
        <v>1.0</v>
      </c>
      <c r="H7777" s="60">
        <v>1.0</v>
      </c>
      <c r="I7777" s="60">
        <v>43.103977</v>
      </c>
      <c r="J7777" s="59">
        <v>1.0</v>
      </c>
      <c r="K7777" s="61">
        <f t="shared" si="1"/>
        <v>0</v>
      </c>
      <c r="L7777" s="62">
        <f t="shared" si="2"/>
        <v>1</v>
      </c>
    </row>
    <row r="7778">
      <c r="A7778" s="58">
        <v>45505.0</v>
      </c>
      <c r="B7778" s="24" t="s">
        <v>6787</v>
      </c>
      <c r="C7778" s="24" t="s">
        <v>7008</v>
      </c>
      <c r="D7778" s="59">
        <v>1.0</v>
      </c>
      <c r="E7778" s="59">
        <v>1.0</v>
      </c>
      <c r="F7778" s="59">
        <v>0.0</v>
      </c>
      <c r="G7778" s="60">
        <v>1.0</v>
      </c>
      <c r="H7778" s="60">
        <v>1.0</v>
      </c>
      <c r="I7778" s="60">
        <v>7.706097</v>
      </c>
      <c r="J7778" s="59">
        <v>1.0</v>
      </c>
      <c r="K7778" s="61">
        <f t="shared" si="1"/>
        <v>0</v>
      </c>
      <c r="L7778" s="62">
        <f t="shared" si="2"/>
        <v>1</v>
      </c>
    </row>
    <row r="7779">
      <c r="A7779" s="58">
        <v>45505.0</v>
      </c>
      <c r="B7779" s="24" t="s">
        <v>6787</v>
      </c>
      <c r="C7779" s="24" t="s">
        <v>7009</v>
      </c>
      <c r="D7779" s="59">
        <v>1.0</v>
      </c>
      <c r="E7779" s="59">
        <v>1.0</v>
      </c>
      <c r="F7779" s="59">
        <v>1.0</v>
      </c>
      <c r="G7779" s="60">
        <v>1.0</v>
      </c>
      <c r="H7779" s="60">
        <v>1.0</v>
      </c>
      <c r="I7779" s="60">
        <v>0.0</v>
      </c>
      <c r="J7779" s="59">
        <v>1.0</v>
      </c>
      <c r="K7779" s="61">
        <f t="shared" si="1"/>
        <v>1</v>
      </c>
      <c r="L7779" s="62">
        <f t="shared" si="2"/>
        <v>1</v>
      </c>
    </row>
    <row r="7780">
      <c r="A7780" s="58">
        <v>45505.0</v>
      </c>
      <c r="B7780" s="24" t="s">
        <v>6787</v>
      </c>
      <c r="C7780" s="24" t="s">
        <v>7551</v>
      </c>
      <c r="D7780" s="59">
        <v>1.0</v>
      </c>
      <c r="E7780" s="59">
        <v>1.0</v>
      </c>
      <c r="F7780" s="59">
        <v>1.0</v>
      </c>
      <c r="G7780" s="60">
        <v>1.0</v>
      </c>
      <c r="H7780" s="60">
        <v>0.0</v>
      </c>
      <c r="I7780" s="60">
        <v>456.970652</v>
      </c>
      <c r="J7780" s="59">
        <v>7.0</v>
      </c>
      <c r="K7780" s="61">
        <f t="shared" si="1"/>
        <v>1</v>
      </c>
      <c r="L7780" s="62">
        <f t="shared" si="2"/>
        <v>7</v>
      </c>
    </row>
    <row r="7781">
      <c r="A7781" s="58">
        <v>45505.0</v>
      </c>
      <c r="B7781" s="24" t="s">
        <v>6789</v>
      </c>
      <c r="C7781" s="24" t="s">
        <v>7552</v>
      </c>
      <c r="D7781" s="59">
        <v>1.0</v>
      </c>
      <c r="E7781" s="59">
        <v>1.0</v>
      </c>
      <c r="F7781" s="59">
        <v>0.0</v>
      </c>
      <c r="G7781" s="60">
        <v>1.0</v>
      </c>
      <c r="H7781" s="60">
        <v>1.0</v>
      </c>
      <c r="I7781" s="60">
        <v>7.617824</v>
      </c>
      <c r="J7781" s="59">
        <v>1.0</v>
      </c>
      <c r="K7781" s="61">
        <f t="shared" si="1"/>
        <v>0</v>
      </c>
      <c r="L7781" s="62">
        <f t="shared" si="2"/>
        <v>1</v>
      </c>
    </row>
    <row r="7782">
      <c r="A7782" s="58">
        <v>45505.0</v>
      </c>
      <c r="B7782" s="24" t="s">
        <v>6789</v>
      </c>
      <c r="C7782" s="24" t="s">
        <v>7553</v>
      </c>
      <c r="D7782" s="59">
        <v>1.0</v>
      </c>
      <c r="E7782" s="59">
        <v>1.0</v>
      </c>
      <c r="F7782" s="59">
        <v>0.0</v>
      </c>
      <c r="G7782" s="60">
        <v>1.0</v>
      </c>
      <c r="H7782" s="60">
        <v>0.0</v>
      </c>
      <c r="I7782" s="60">
        <v>263.320062</v>
      </c>
      <c r="J7782" s="59">
        <v>1.0</v>
      </c>
      <c r="K7782" s="61">
        <f t="shared" si="1"/>
        <v>0</v>
      </c>
      <c r="L7782" s="62">
        <f t="shared" si="2"/>
        <v>1</v>
      </c>
    </row>
    <row r="7783">
      <c r="A7783" s="58">
        <v>45505.0</v>
      </c>
      <c r="B7783" s="24" t="s">
        <v>6787</v>
      </c>
      <c r="C7783" s="24" t="s">
        <v>7530</v>
      </c>
      <c r="D7783" s="59">
        <v>1.0</v>
      </c>
      <c r="E7783" s="59">
        <v>1.0</v>
      </c>
      <c r="F7783" s="59">
        <v>1.0</v>
      </c>
      <c r="G7783" s="60">
        <v>1.0</v>
      </c>
      <c r="H7783" s="60">
        <v>0.0</v>
      </c>
      <c r="I7783" s="60">
        <v>1060.258076</v>
      </c>
      <c r="J7783" s="59">
        <v>2.0</v>
      </c>
      <c r="K7783" s="61">
        <f t="shared" si="1"/>
        <v>1</v>
      </c>
      <c r="L7783" s="62">
        <f t="shared" si="2"/>
        <v>2</v>
      </c>
    </row>
    <row r="7784">
      <c r="A7784" s="58">
        <v>45505.0</v>
      </c>
      <c r="B7784" s="24" t="s">
        <v>6789</v>
      </c>
      <c r="C7784" s="24" t="s">
        <v>7554</v>
      </c>
      <c r="D7784" s="59">
        <v>1.0</v>
      </c>
      <c r="E7784" s="59">
        <v>1.0</v>
      </c>
      <c r="F7784" s="59">
        <v>0.0</v>
      </c>
      <c r="G7784" s="60">
        <v>1.0</v>
      </c>
      <c r="H7784" s="60">
        <v>0.0</v>
      </c>
      <c r="I7784" s="60">
        <v>459.244604</v>
      </c>
      <c r="J7784" s="59">
        <v>1.0</v>
      </c>
      <c r="K7784" s="61">
        <f t="shared" si="1"/>
        <v>0</v>
      </c>
      <c r="L7784" s="62">
        <f t="shared" si="2"/>
        <v>1</v>
      </c>
    </row>
    <row r="7785">
      <c r="A7785" s="58">
        <v>45505.0</v>
      </c>
      <c r="B7785" s="24" t="s">
        <v>155</v>
      </c>
      <c r="C7785" s="24" t="s">
        <v>7554</v>
      </c>
      <c r="D7785" s="59">
        <v>1.0</v>
      </c>
      <c r="E7785" s="59">
        <v>1.0</v>
      </c>
      <c r="F7785" s="59">
        <v>0.0</v>
      </c>
      <c r="G7785" s="60">
        <v>1.0</v>
      </c>
      <c r="H7785" s="60">
        <v>1.0</v>
      </c>
      <c r="I7785" s="60">
        <v>0.0</v>
      </c>
      <c r="J7785" s="59">
        <v>1.0</v>
      </c>
      <c r="K7785" s="61">
        <f t="shared" si="1"/>
        <v>0</v>
      </c>
      <c r="L7785" s="62">
        <f t="shared" si="2"/>
        <v>1</v>
      </c>
    </row>
    <row r="7786">
      <c r="A7786" s="58">
        <v>45505.0</v>
      </c>
      <c r="B7786" s="24" t="s">
        <v>6787</v>
      </c>
      <c r="C7786" s="24" t="s">
        <v>7087</v>
      </c>
      <c r="D7786" s="59">
        <v>1.0</v>
      </c>
      <c r="E7786" s="59">
        <v>1.0</v>
      </c>
      <c r="F7786" s="59">
        <v>1.0</v>
      </c>
      <c r="G7786" s="60">
        <v>1.0</v>
      </c>
      <c r="H7786" s="60">
        <v>1.0</v>
      </c>
      <c r="I7786" s="60">
        <v>0.0</v>
      </c>
      <c r="J7786" s="59">
        <v>1.0</v>
      </c>
      <c r="K7786" s="61">
        <f t="shared" si="1"/>
        <v>1</v>
      </c>
      <c r="L7786" s="62">
        <f t="shared" si="2"/>
        <v>1</v>
      </c>
    </row>
    <row r="7787">
      <c r="A7787" s="58">
        <v>45505.0</v>
      </c>
      <c r="B7787" s="24" t="s">
        <v>6789</v>
      </c>
      <c r="C7787" s="24" t="s">
        <v>7035</v>
      </c>
      <c r="D7787" s="59">
        <v>1.0</v>
      </c>
      <c r="E7787" s="59">
        <v>1.0</v>
      </c>
      <c r="F7787" s="59">
        <v>0.0</v>
      </c>
      <c r="G7787" s="60">
        <v>1.0</v>
      </c>
      <c r="H7787" s="60">
        <v>0.0</v>
      </c>
      <c r="I7787" s="60">
        <v>459.91127</v>
      </c>
      <c r="J7787" s="59">
        <v>3.0</v>
      </c>
      <c r="K7787" s="61">
        <f t="shared" si="1"/>
        <v>0</v>
      </c>
      <c r="L7787" s="62">
        <f t="shared" si="2"/>
        <v>3</v>
      </c>
    </row>
    <row r="7788">
      <c r="A7788" s="58">
        <v>45505.0</v>
      </c>
      <c r="B7788" s="24" t="s">
        <v>6794</v>
      </c>
      <c r="C7788" s="24" t="s">
        <v>7026</v>
      </c>
      <c r="D7788" s="59">
        <v>1.0</v>
      </c>
      <c r="E7788" s="59">
        <v>1.0</v>
      </c>
      <c r="F7788" s="59">
        <v>1.0</v>
      </c>
      <c r="G7788" s="60">
        <v>1.0</v>
      </c>
      <c r="H7788" s="60">
        <v>1.0</v>
      </c>
      <c r="I7788" s="60">
        <v>0.0</v>
      </c>
      <c r="J7788" s="59">
        <v>1.0</v>
      </c>
      <c r="K7788" s="61">
        <f t="shared" si="1"/>
        <v>1</v>
      </c>
      <c r="L7788" s="62">
        <f t="shared" si="2"/>
        <v>1</v>
      </c>
    </row>
    <row r="7789">
      <c r="A7789" s="58">
        <v>45505.0</v>
      </c>
      <c r="B7789" s="24" t="s">
        <v>6790</v>
      </c>
      <c r="C7789" s="24" t="s">
        <v>7026</v>
      </c>
      <c r="D7789" s="59">
        <v>1.0</v>
      </c>
      <c r="E7789" s="59">
        <v>1.0</v>
      </c>
      <c r="F7789" s="59">
        <v>0.0</v>
      </c>
      <c r="G7789" s="60">
        <v>1.0</v>
      </c>
      <c r="H7789" s="60">
        <v>0.0</v>
      </c>
      <c r="I7789" s="60">
        <v>56.835313</v>
      </c>
      <c r="J7789" s="59">
        <v>2.0</v>
      </c>
      <c r="K7789" s="61">
        <f t="shared" si="1"/>
        <v>0</v>
      </c>
      <c r="L7789" s="62">
        <f t="shared" si="2"/>
        <v>2</v>
      </c>
    </row>
    <row r="7790">
      <c r="A7790" s="58">
        <v>45505.0</v>
      </c>
      <c r="B7790" s="24" t="s">
        <v>6789</v>
      </c>
      <c r="C7790" s="24" t="s">
        <v>7545</v>
      </c>
      <c r="D7790" s="59">
        <v>1.0</v>
      </c>
      <c r="E7790" s="59">
        <v>1.0</v>
      </c>
      <c r="F7790" s="59">
        <v>0.0</v>
      </c>
      <c r="G7790" s="60">
        <v>1.0</v>
      </c>
      <c r="H7790" s="60">
        <v>0.0</v>
      </c>
      <c r="I7790" s="60">
        <v>575.508077</v>
      </c>
      <c r="J7790" s="59">
        <v>15.0</v>
      </c>
      <c r="K7790" s="61">
        <f t="shared" si="1"/>
        <v>0</v>
      </c>
      <c r="L7790" s="62">
        <f t="shared" si="2"/>
        <v>15</v>
      </c>
    </row>
    <row r="7791">
      <c r="A7791" s="58">
        <v>45505.0</v>
      </c>
      <c r="B7791" s="24" t="s">
        <v>6787</v>
      </c>
      <c r="C7791" s="24" t="s">
        <v>7555</v>
      </c>
      <c r="D7791" s="59">
        <v>1.0</v>
      </c>
      <c r="E7791" s="59">
        <v>1.0</v>
      </c>
      <c r="F7791" s="59">
        <v>1.0</v>
      </c>
      <c r="G7791" s="60">
        <v>1.0</v>
      </c>
      <c r="H7791" s="60">
        <v>0.0</v>
      </c>
      <c r="I7791" s="60">
        <v>50.361613</v>
      </c>
      <c r="J7791" s="59">
        <v>3.0</v>
      </c>
      <c r="K7791" s="61">
        <f t="shared" si="1"/>
        <v>1</v>
      </c>
      <c r="L7791" s="62">
        <f t="shared" si="2"/>
        <v>3</v>
      </c>
    </row>
    <row r="7792">
      <c r="A7792" s="58">
        <v>45505.0</v>
      </c>
      <c r="B7792" s="24" t="s">
        <v>6789</v>
      </c>
      <c r="C7792" s="24" t="s">
        <v>7088</v>
      </c>
      <c r="D7792" s="59">
        <v>1.0</v>
      </c>
      <c r="E7792" s="59">
        <v>1.0</v>
      </c>
      <c r="F7792" s="59">
        <v>0.0</v>
      </c>
      <c r="G7792" s="60">
        <v>1.0</v>
      </c>
      <c r="H7792" s="60">
        <v>0.0</v>
      </c>
      <c r="I7792" s="60">
        <v>286.737923</v>
      </c>
      <c r="J7792" s="59">
        <v>1.0</v>
      </c>
      <c r="K7792" s="61">
        <f t="shared" si="1"/>
        <v>0</v>
      </c>
      <c r="L7792" s="62">
        <f t="shared" si="2"/>
        <v>1</v>
      </c>
    </row>
    <row r="7793">
      <c r="A7793" s="58">
        <v>45505.0</v>
      </c>
      <c r="B7793" s="24" t="s">
        <v>6787</v>
      </c>
      <c r="C7793" s="24" t="s">
        <v>7160</v>
      </c>
      <c r="D7793" s="59">
        <v>1.0</v>
      </c>
      <c r="E7793" s="59">
        <v>1.0</v>
      </c>
      <c r="F7793" s="59">
        <v>1.0</v>
      </c>
      <c r="G7793" s="60">
        <v>1.0</v>
      </c>
      <c r="H7793" s="60">
        <v>1.0</v>
      </c>
      <c r="I7793" s="60">
        <v>8.361181</v>
      </c>
      <c r="J7793" s="59">
        <v>1.0</v>
      </c>
      <c r="K7793" s="61">
        <f t="shared" si="1"/>
        <v>1</v>
      </c>
      <c r="L7793" s="62">
        <f t="shared" si="2"/>
        <v>1</v>
      </c>
    </row>
    <row r="7794">
      <c r="A7794" s="58">
        <v>45505.0</v>
      </c>
      <c r="B7794" s="24" t="s">
        <v>6789</v>
      </c>
      <c r="C7794" s="24" t="s">
        <v>7160</v>
      </c>
      <c r="D7794" s="59">
        <v>1.0</v>
      </c>
      <c r="E7794" s="59">
        <v>1.0</v>
      </c>
      <c r="F7794" s="59">
        <v>0.0</v>
      </c>
      <c r="G7794" s="60">
        <v>1.0</v>
      </c>
      <c r="H7794" s="60">
        <v>0.0</v>
      </c>
      <c r="I7794" s="60">
        <v>1162.45324</v>
      </c>
      <c r="J7794" s="59">
        <v>10.0</v>
      </c>
      <c r="K7794" s="61">
        <f t="shared" si="1"/>
        <v>0</v>
      </c>
      <c r="L7794" s="62">
        <f t="shared" si="2"/>
        <v>10</v>
      </c>
    </row>
    <row r="7795">
      <c r="A7795" s="58">
        <v>45505.0</v>
      </c>
      <c r="B7795" s="24" t="s">
        <v>6787</v>
      </c>
      <c r="C7795" s="24" t="s">
        <v>7022</v>
      </c>
      <c r="D7795" s="59">
        <v>1.0</v>
      </c>
      <c r="E7795" s="59">
        <v>1.0</v>
      </c>
      <c r="F7795" s="59">
        <v>0.0</v>
      </c>
      <c r="G7795" s="60">
        <v>1.0</v>
      </c>
      <c r="H7795" s="60">
        <v>0.0</v>
      </c>
      <c r="I7795" s="60">
        <v>42.495243</v>
      </c>
      <c r="J7795" s="59">
        <v>2.0</v>
      </c>
      <c r="K7795" s="61">
        <f t="shared" si="1"/>
        <v>0</v>
      </c>
      <c r="L7795" s="62">
        <f t="shared" si="2"/>
        <v>2</v>
      </c>
    </row>
    <row r="7796">
      <c r="A7796" s="58">
        <v>45505.0</v>
      </c>
      <c r="B7796" s="24" t="s">
        <v>155</v>
      </c>
      <c r="C7796" s="24" t="s">
        <v>7022</v>
      </c>
      <c r="D7796" s="59">
        <v>1.0</v>
      </c>
      <c r="E7796" s="59">
        <v>1.0</v>
      </c>
      <c r="F7796" s="59">
        <v>0.0</v>
      </c>
      <c r="G7796" s="60">
        <v>1.0</v>
      </c>
      <c r="H7796" s="60">
        <v>0.0</v>
      </c>
      <c r="I7796" s="60">
        <v>206.150071</v>
      </c>
      <c r="J7796" s="59">
        <v>4.0</v>
      </c>
      <c r="K7796" s="61">
        <f t="shared" si="1"/>
        <v>0</v>
      </c>
      <c r="L7796" s="62">
        <f t="shared" si="2"/>
        <v>4</v>
      </c>
    </row>
    <row r="7797">
      <c r="A7797" s="58">
        <v>45505.0</v>
      </c>
      <c r="B7797" s="24" t="s">
        <v>6789</v>
      </c>
      <c r="C7797" s="24" t="s">
        <v>7036</v>
      </c>
      <c r="D7797" s="59">
        <v>1.0</v>
      </c>
      <c r="E7797" s="59">
        <v>1.0</v>
      </c>
      <c r="F7797" s="59">
        <v>1.0</v>
      </c>
      <c r="G7797" s="60">
        <v>1.0</v>
      </c>
      <c r="H7797" s="60">
        <v>0.0</v>
      </c>
      <c r="I7797" s="60">
        <v>76.557957</v>
      </c>
      <c r="J7797" s="59">
        <v>1.0</v>
      </c>
      <c r="K7797" s="61">
        <f t="shared" si="1"/>
        <v>1</v>
      </c>
      <c r="L7797" s="62">
        <f t="shared" si="2"/>
        <v>1</v>
      </c>
    </row>
    <row r="7798">
      <c r="A7798" s="58">
        <v>45505.0</v>
      </c>
      <c r="B7798" s="24" t="s">
        <v>6789</v>
      </c>
      <c r="C7798" s="24" t="s">
        <v>7091</v>
      </c>
      <c r="D7798" s="59">
        <v>1.0</v>
      </c>
      <c r="E7798" s="59">
        <v>1.0</v>
      </c>
      <c r="F7798" s="59">
        <v>1.0</v>
      </c>
      <c r="G7798" s="60">
        <v>1.0</v>
      </c>
      <c r="H7798" s="60">
        <v>1.0</v>
      </c>
      <c r="I7798" s="60">
        <v>0.0</v>
      </c>
      <c r="J7798" s="59">
        <v>1.0</v>
      </c>
      <c r="K7798" s="61">
        <f t="shared" si="1"/>
        <v>1</v>
      </c>
      <c r="L7798" s="62">
        <f t="shared" si="2"/>
        <v>1</v>
      </c>
    </row>
    <row r="7799">
      <c r="A7799" s="58">
        <v>45505.0</v>
      </c>
      <c r="B7799" s="24" t="s">
        <v>6789</v>
      </c>
      <c r="C7799" s="24" t="s">
        <v>7131</v>
      </c>
      <c r="D7799" s="59">
        <v>1.0</v>
      </c>
      <c r="E7799" s="59">
        <v>1.0</v>
      </c>
      <c r="F7799" s="59">
        <v>0.0</v>
      </c>
      <c r="G7799" s="60">
        <v>1.0</v>
      </c>
      <c r="H7799" s="60">
        <v>1.0</v>
      </c>
      <c r="I7799" s="60">
        <v>0.0</v>
      </c>
      <c r="J7799" s="59">
        <v>1.0</v>
      </c>
      <c r="K7799" s="61">
        <f t="shared" si="1"/>
        <v>0</v>
      </c>
      <c r="L7799" s="62">
        <f t="shared" si="2"/>
        <v>1</v>
      </c>
    </row>
    <row r="7800">
      <c r="A7800" s="58">
        <v>45505.0</v>
      </c>
      <c r="B7800" s="24" t="s">
        <v>6789</v>
      </c>
      <c r="C7800" s="24" t="s">
        <v>7094</v>
      </c>
      <c r="D7800" s="59">
        <v>1.0</v>
      </c>
      <c r="E7800" s="59">
        <v>1.0</v>
      </c>
      <c r="F7800" s="59">
        <v>1.0</v>
      </c>
      <c r="G7800" s="60">
        <v>1.0</v>
      </c>
      <c r="H7800" s="60">
        <v>1.0</v>
      </c>
      <c r="I7800" s="60">
        <v>0.0</v>
      </c>
      <c r="J7800" s="59">
        <v>1.0</v>
      </c>
      <c r="K7800" s="61">
        <f t="shared" si="1"/>
        <v>1</v>
      </c>
      <c r="L7800" s="62">
        <f t="shared" si="2"/>
        <v>1</v>
      </c>
    </row>
    <row r="7801">
      <c r="A7801" s="58">
        <v>45505.0</v>
      </c>
      <c r="B7801" s="24" t="s">
        <v>6787</v>
      </c>
      <c r="C7801" s="24" t="s">
        <v>7166</v>
      </c>
      <c r="D7801" s="59">
        <v>1.0</v>
      </c>
      <c r="E7801" s="59">
        <v>1.0</v>
      </c>
      <c r="F7801" s="59">
        <v>0.0</v>
      </c>
      <c r="G7801" s="60">
        <v>1.0</v>
      </c>
      <c r="H7801" s="60">
        <v>0.0</v>
      </c>
      <c r="I7801" s="60">
        <v>89.294606</v>
      </c>
      <c r="J7801" s="59">
        <v>1.0</v>
      </c>
      <c r="K7801" s="61">
        <f t="shared" si="1"/>
        <v>0</v>
      </c>
      <c r="L7801" s="62">
        <f t="shared" si="2"/>
        <v>1</v>
      </c>
    </row>
    <row r="7802">
      <c r="A7802" s="58">
        <v>45505.0</v>
      </c>
      <c r="B7802" s="24" t="s">
        <v>6789</v>
      </c>
      <c r="C7802" s="24" t="s">
        <v>7185</v>
      </c>
      <c r="D7802" s="59">
        <v>1.0</v>
      </c>
      <c r="E7802" s="59">
        <v>1.0</v>
      </c>
      <c r="F7802" s="59">
        <v>1.0</v>
      </c>
      <c r="G7802" s="60">
        <v>1.0</v>
      </c>
      <c r="H7802" s="60">
        <v>0.0</v>
      </c>
      <c r="I7802" s="60">
        <v>54.696432</v>
      </c>
      <c r="J7802" s="59">
        <v>2.0</v>
      </c>
      <c r="K7802" s="61">
        <f t="shared" si="1"/>
        <v>1</v>
      </c>
      <c r="L7802" s="62">
        <f t="shared" si="2"/>
        <v>2</v>
      </c>
    </row>
    <row r="7803">
      <c r="A7803" s="58">
        <v>45505.0</v>
      </c>
      <c r="B7803" s="24" t="s">
        <v>6789</v>
      </c>
      <c r="C7803" s="24" t="s">
        <v>7186</v>
      </c>
      <c r="D7803" s="59">
        <v>1.0</v>
      </c>
      <c r="E7803" s="59">
        <v>1.0</v>
      </c>
      <c r="F7803" s="59">
        <v>1.0</v>
      </c>
      <c r="G7803" s="60">
        <v>1.0</v>
      </c>
      <c r="H7803" s="60">
        <v>0.0</v>
      </c>
      <c r="I7803" s="60">
        <v>258.063854</v>
      </c>
      <c r="J7803" s="59">
        <v>1.0</v>
      </c>
      <c r="K7803" s="61">
        <f t="shared" si="1"/>
        <v>1</v>
      </c>
      <c r="L7803" s="62">
        <f t="shared" si="2"/>
        <v>1</v>
      </c>
    </row>
    <row r="7804">
      <c r="A7804" s="58">
        <v>45505.0</v>
      </c>
      <c r="B7804" s="24" t="s">
        <v>6789</v>
      </c>
      <c r="C7804" s="24" t="s">
        <v>7137</v>
      </c>
      <c r="D7804" s="59">
        <v>1.0</v>
      </c>
      <c r="E7804" s="59">
        <v>1.0</v>
      </c>
      <c r="F7804" s="59">
        <v>1.0</v>
      </c>
      <c r="G7804" s="60">
        <v>1.0</v>
      </c>
      <c r="H7804" s="60">
        <v>0.0</v>
      </c>
      <c r="I7804" s="60">
        <v>1256.27498</v>
      </c>
      <c r="J7804" s="59">
        <v>7.0</v>
      </c>
      <c r="K7804" s="61">
        <f t="shared" si="1"/>
        <v>1</v>
      </c>
      <c r="L7804" s="62">
        <f t="shared" si="2"/>
        <v>7</v>
      </c>
    </row>
    <row r="7805">
      <c r="A7805" s="58">
        <v>45505.0</v>
      </c>
      <c r="B7805" s="24" t="s">
        <v>6789</v>
      </c>
      <c r="C7805" s="24" t="s">
        <v>7184</v>
      </c>
      <c r="D7805" s="59">
        <v>1.0</v>
      </c>
      <c r="E7805" s="59">
        <v>1.0</v>
      </c>
      <c r="F7805" s="59">
        <v>1.0</v>
      </c>
      <c r="G7805" s="60">
        <v>1.0</v>
      </c>
      <c r="H7805" s="60">
        <v>1.0</v>
      </c>
      <c r="I7805" s="60">
        <v>1.003755</v>
      </c>
      <c r="J7805" s="59">
        <v>1.0</v>
      </c>
      <c r="K7805" s="61">
        <f t="shared" si="1"/>
        <v>1</v>
      </c>
      <c r="L7805" s="62">
        <f t="shared" si="2"/>
        <v>1</v>
      </c>
    </row>
    <row r="7806">
      <c r="A7806" s="58">
        <v>45505.0</v>
      </c>
      <c r="B7806" s="24" t="s">
        <v>6789</v>
      </c>
      <c r="C7806" s="24" t="s">
        <v>7013</v>
      </c>
      <c r="D7806" s="59">
        <v>1.0</v>
      </c>
      <c r="E7806" s="59">
        <v>1.0</v>
      </c>
      <c r="F7806" s="59">
        <v>1.0</v>
      </c>
      <c r="G7806" s="60">
        <v>1.0</v>
      </c>
      <c r="H7806" s="60">
        <v>0.0</v>
      </c>
      <c r="I7806" s="60">
        <v>219.524307</v>
      </c>
      <c r="J7806" s="59">
        <v>2.0</v>
      </c>
      <c r="K7806" s="61">
        <f t="shared" si="1"/>
        <v>1</v>
      </c>
      <c r="L7806" s="62">
        <f t="shared" si="2"/>
        <v>2</v>
      </c>
    </row>
    <row r="7807">
      <c r="A7807" s="58">
        <v>45505.0</v>
      </c>
      <c r="B7807" s="24" t="s">
        <v>6787</v>
      </c>
      <c r="C7807" s="24" t="s">
        <v>7101</v>
      </c>
      <c r="D7807" s="59">
        <v>1.0</v>
      </c>
      <c r="E7807" s="59">
        <v>1.0</v>
      </c>
      <c r="F7807" s="59">
        <v>1.0</v>
      </c>
      <c r="G7807" s="60">
        <v>1.0</v>
      </c>
      <c r="H7807" s="60">
        <v>1.0</v>
      </c>
      <c r="I7807" s="60">
        <v>0.0</v>
      </c>
      <c r="J7807" s="59">
        <v>1.0</v>
      </c>
      <c r="K7807" s="61">
        <f t="shared" si="1"/>
        <v>1</v>
      </c>
      <c r="L7807" s="62">
        <f t="shared" si="2"/>
        <v>1</v>
      </c>
    </row>
    <row r="7808">
      <c r="A7808" s="58">
        <v>45505.0</v>
      </c>
      <c r="B7808" s="24" t="s">
        <v>6789</v>
      </c>
      <c r="C7808" s="24" t="s">
        <v>7044</v>
      </c>
      <c r="D7808" s="59">
        <v>1.0</v>
      </c>
      <c r="E7808" s="59">
        <v>1.0</v>
      </c>
      <c r="F7808" s="59">
        <v>1.0</v>
      </c>
      <c r="G7808" s="60">
        <v>1.0</v>
      </c>
      <c r="H7808" s="60">
        <v>0.0</v>
      </c>
      <c r="I7808" s="60">
        <v>34.134389</v>
      </c>
      <c r="J7808" s="59">
        <v>2.0</v>
      </c>
      <c r="K7808" s="61">
        <f t="shared" si="1"/>
        <v>1</v>
      </c>
      <c r="L7808" s="62">
        <f t="shared" si="2"/>
        <v>2</v>
      </c>
    </row>
    <row r="7809">
      <c r="A7809" s="58">
        <v>45505.0</v>
      </c>
      <c r="B7809" s="24" t="s">
        <v>3216</v>
      </c>
      <c r="C7809" s="24" t="s">
        <v>7172</v>
      </c>
      <c r="D7809" s="59">
        <v>1.0</v>
      </c>
      <c r="E7809" s="59">
        <v>2.0</v>
      </c>
      <c r="F7809" s="59">
        <v>0.0</v>
      </c>
      <c r="G7809" s="60">
        <v>2.0</v>
      </c>
      <c r="H7809" s="60">
        <v>0.5</v>
      </c>
      <c r="I7809" s="60">
        <v>295.324859</v>
      </c>
      <c r="J7809" s="59">
        <v>5.0</v>
      </c>
      <c r="K7809" s="61">
        <f t="shared" si="1"/>
        <v>0</v>
      </c>
      <c r="L7809" s="62">
        <f t="shared" si="2"/>
        <v>2.5</v>
      </c>
    </row>
    <row r="7810">
      <c r="A7810" s="58">
        <v>45505.0</v>
      </c>
      <c r="B7810" s="24" t="s">
        <v>3216</v>
      </c>
      <c r="C7810" s="24" t="s">
        <v>6910</v>
      </c>
      <c r="D7810" s="59">
        <v>1.0</v>
      </c>
      <c r="E7810" s="59">
        <v>1.0</v>
      </c>
      <c r="F7810" s="59">
        <v>1.0</v>
      </c>
      <c r="G7810" s="60">
        <v>1.0</v>
      </c>
      <c r="H7810" s="60">
        <v>0.0</v>
      </c>
      <c r="I7810" s="60">
        <v>57.913149</v>
      </c>
      <c r="J7810" s="59">
        <v>2.0</v>
      </c>
      <c r="K7810" s="61">
        <f t="shared" si="1"/>
        <v>1</v>
      </c>
      <c r="L7810" s="62">
        <f t="shared" si="2"/>
        <v>2</v>
      </c>
    </row>
    <row r="7811">
      <c r="A7811" s="58">
        <v>45505.0</v>
      </c>
      <c r="B7811" s="24" t="s">
        <v>155</v>
      </c>
      <c r="C7811" s="24" t="s">
        <v>6801</v>
      </c>
      <c r="D7811" s="59">
        <v>1.0</v>
      </c>
      <c r="E7811" s="59">
        <v>2.0</v>
      </c>
      <c r="F7811" s="59">
        <v>0.0</v>
      </c>
      <c r="G7811" s="60">
        <v>2.0</v>
      </c>
      <c r="H7811" s="60">
        <v>0.5</v>
      </c>
      <c r="I7811" s="60">
        <v>8.976437</v>
      </c>
      <c r="J7811" s="59">
        <v>2.0</v>
      </c>
      <c r="K7811" s="61">
        <f t="shared" si="1"/>
        <v>0</v>
      </c>
      <c r="L7811" s="62">
        <f t="shared" si="2"/>
        <v>1</v>
      </c>
    </row>
    <row r="7812">
      <c r="A7812" s="58">
        <v>45505.0</v>
      </c>
      <c r="B7812" s="24" t="s">
        <v>6787</v>
      </c>
      <c r="C7812" s="24" t="s">
        <v>7174</v>
      </c>
      <c r="D7812" s="59">
        <v>1.0</v>
      </c>
      <c r="E7812" s="59">
        <v>1.0</v>
      </c>
      <c r="F7812" s="59">
        <v>1.0</v>
      </c>
      <c r="G7812" s="60">
        <v>1.0</v>
      </c>
      <c r="H7812" s="60">
        <v>1.0</v>
      </c>
      <c r="I7812" s="60">
        <v>0.0</v>
      </c>
      <c r="J7812" s="59">
        <v>1.0</v>
      </c>
      <c r="K7812" s="61">
        <f t="shared" si="1"/>
        <v>1</v>
      </c>
      <c r="L7812" s="62">
        <f t="shared" si="2"/>
        <v>1</v>
      </c>
    </row>
    <row r="7813">
      <c r="A7813" s="58">
        <v>45505.0</v>
      </c>
      <c r="B7813" s="24" t="s">
        <v>6789</v>
      </c>
      <c r="C7813" s="24" t="s">
        <v>7192</v>
      </c>
      <c r="D7813" s="59">
        <v>1.0</v>
      </c>
      <c r="E7813" s="59">
        <v>1.0</v>
      </c>
      <c r="F7813" s="59">
        <v>0.0</v>
      </c>
      <c r="G7813" s="60">
        <v>1.0</v>
      </c>
      <c r="H7813" s="60">
        <v>0.0</v>
      </c>
      <c r="I7813" s="60">
        <v>1121.991932</v>
      </c>
      <c r="J7813" s="59">
        <v>3.0</v>
      </c>
      <c r="K7813" s="61">
        <f t="shared" si="1"/>
        <v>0</v>
      </c>
      <c r="L7813" s="62">
        <f t="shared" si="2"/>
        <v>3</v>
      </c>
    </row>
    <row r="7814">
      <c r="A7814" s="58">
        <v>45505.0</v>
      </c>
      <c r="B7814" s="24" t="s">
        <v>155</v>
      </c>
      <c r="C7814" s="24" t="s">
        <v>7192</v>
      </c>
      <c r="D7814" s="59">
        <v>1.0</v>
      </c>
      <c r="E7814" s="59">
        <v>1.0</v>
      </c>
      <c r="F7814" s="59">
        <v>0.0</v>
      </c>
      <c r="G7814" s="60">
        <v>1.0</v>
      </c>
      <c r="H7814" s="60">
        <v>0.0</v>
      </c>
      <c r="I7814" s="60">
        <v>13.055266</v>
      </c>
      <c r="J7814" s="59">
        <v>1.0</v>
      </c>
      <c r="K7814" s="61">
        <f t="shared" si="1"/>
        <v>0</v>
      </c>
      <c r="L7814" s="62">
        <f t="shared" si="2"/>
        <v>1</v>
      </c>
    </row>
    <row r="7815">
      <c r="A7815" s="58">
        <v>45505.0</v>
      </c>
      <c r="B7815" s="24" t="s">
        <v>6789</v>
      </c>
      <c r="C7815" s="24" t="s">
        <v>7243</v>
      </c>
      <c r="D7815" s="59">
        <v>1.0</v>
      </c>
      <c r="E7815" s="59">
        <v>1.0</v>
      </c>
      <c r="F7815" s="59">
        <v>0.0</v>
      </c>
      <c r="G7815" s="60">
        <v>1.0</v>
      </c>
      <c r="H7815" s="60">
        <v>0.0</v>
      </c>
      <c r="I7815" s="60">
        <v>2586.948472</v>
      </c>
      <c r="J7815" s="59">
        <v>7.0</v>
      </c>
      <c r="K7815" s="61">
        <f t="shared" si="1"/>
        <v>0</v>
      </c>
      <c r="L7815" s="62">
        <f t="shared" si="2"/>
        <v>7</v>
      </c>
    </row>
    <row r="7816">
      <c r="A7816" s="58">
        <v>45505.0</v>
      </c>
      <c r="B7816" s="24" t="s">
        <v>3216</v>
      </c>
      <c r="C7816" s="24" t="s">
        <v>7548</v>
      </c>
      <c r="D7816" s="59">
        <v>1.0</v>
      </c>
      <c r="E7816" s="59">
        <v>1.0</v>
      </c>
      <c r="F7816" s="59">
        <v>1.0</v>
      </c>
      <c r="G7816" s="60">
        <v>1.0</v>
      </c>
      <c r="H7816" s="60">
        <v>1.0</v>
      </c>
      <c r="I7816" s="60">
        <v>0.0</v>
      </c>
      <c r="J7816" s="59">
        <v>1.0</v>
      </c>
      <c r="K7816" s="61">
        <f t="shared" si="1"/>
        <v>1</v>
      </c>
      <c r="L7816" s="62">
        <f t="shared" si="2"/>
        <v>1</v>
      </c>
    </row>
    <row r="7817">
      <c r="A7817" s="58">
        <v>45505.0</v>
      </c>
      <c r="B7817" s="24" t="s">
        <v>6789</v>
      </c>
      <c r="C7817" s="24" t="s">
        <v>7548</v>
      </c>
      <c r="D7817" s="59">
        <v>1.0</v>
      </c>
      <c r="E7817" s="59">
        <v>2.0</v>
      </c>
      <c r="F7817" s="59">
        <v>0.0</v>
      </c>
      <c r="G7817" s="60">
        <v>2.0</v>
      </c>
      <c r="H7817" s="60">
        <v>0.0</v>
      </c>
      <c r="I7817" s="60">
        <v>2197.24446</v>
      </c>
      <c r="J7817" s="59">
        <v>16.0</v>
      </c>
      <c r="K7817" s="61">
        <f t="shared" si="1"/>
        <v>0</v>
      </c>
      <c r="L7817" s="62">
        <f t="shared" si="2"/>
        <v>8</v>
      </c>
    </row>
    <row r="7818">
      <c r="A7818" s="58">
        <v>45505.0</v>
      </c>
      <c r="B7818" s="24" t="s">
        <v>155</v>
      </c>
      <c r="C7818" s="24" t="s">
        <v>7180</v>
      </c>
      <c r="D7818" s="59">
        <v>1.0</v>
      </c>
      <c r="E7818" s="59">
        <v>1.0</v>
      </c>
      <c r="F7818" s="59">
        <v>0.0</v>
      </c>
      <c r="G7818" s="60">
        <v>0.0</v>
      </c>
      <c r="H7818" s="60">
        <v>1.0</v>
      </c>
      <c r="I7818" s="60">
        <v>0.0</v>
      </c>
      <c r="J7818" s="59">
        <v>1.0</v>
      </c>
      <c r="K7818" s="61">
        <f t="shared" si="1"/>
        <v>0</v>
      </c>
      <c r="L7818" s="62">
        <f t="shared" si="2"/>
        <v>1</v>
      </c>
    </row>
    <row r="7819">
      <c r="A7819" s="58">
        <v>45505.0</v>
      </c>
      <c r="B7819" s="24" t="s">
        <v>155</v>
      </c>
      <c r="C7819" s="24" t="s">
        <v>6815</v>
      </c>
      <c r="D7819" s="59">
        <v>1.0</v>
      </c>
      <c r="E7819" s="59">
        <v>1.0</v>
      </c>
      <c r="F7819" s="59">
        <v>0.0</v>
      </c>
      <c r="G7819" s="60">
        <v>1.0</v>
      </c>
      <c r="H7819" s="60">
        <v>0.0</v>
      </c>
      <c r="I7819" s="60">
        <v>62.155131</v>
      </c>
      <c r="J7819" s="59">
        <v>2.0</v>
      </c>
      <c r="K7819" s="61">
        <f t="shared" si="1"/>
        <v>0</v>
      </c>
      <c r="L7819" s="62">
        <f t="shared" si="2"/>
        <v>2</v>
      </c>
    </row>
    <row r="7820">
      <c r="A7820" s="58">
        <v>45505.0</v>
      </c>
      <c r="B7820" s="24" t="s">
        <v>6789</v>
      </c>
      <c r="C7820" s="24" t="s">
        <v>6921</v>
      </c>
      <c r="D7820" s="59">
        <v>1.0</v>
      </c>
      <c r="E7820" s="59">
        <v>1.0</v>
      </c>
      <c r="F7820" s="59">
        <v>0.0</v>
      </c>
      <c r="G7820" s="60">
        <v>1.0</v>
      </c>
      <c r="H7820" s="60">
        <v>1.0</v>
      </c>
      <c r="I7820" s="60">
        <v>0.0</v>
      </c>
      <c r="J7820" s="59">
        <v>1.0</v>
      </c>
      <c r="K7820" s="61">
        <f t="shared" si="1"/>
        <v>0</v>
      </c>
      <c r="L7820" s="62">
        <f t="shared" si="2"/>
        <v>1</v>
      </c>
    </row>
    <row r="7821">
      <c r="A7821" s="58">
        <v>45505.0</v>
      </c>
      <c r="B7821" s="24" t="s">
        <v>6789</v>
      </c>
      <c r="C7821" s="24" t="s">
        <v>6922</v>
      </c>
      <c r="D7821" s="59">
        <v>1.0</v>
      </c>
      <c r="E7821" s="59">
        <v>1.0</v>
      </c>
      <c r="F7821" s="59">
        <v>0.0</v>
      </c>
      <c r="G7821" s="60">
        <v>0.0</v>
      </c>
      <c r="H7821" s="60">
        <v>1.0</v>
      </c>
      <c r="I7821" s="60">
        <v>0.0</v>
      </c>
      <c r="J7821" s="59">
        <v>1.0</v>
      </c>
      <c r="K7821" s="61">
        <f t="shared" si="1"/>
        <v>0</v>
      </c>
      <c r="L7821" s="62">
        <f t="shared" si="2"/>
        <v>1</v>
      </c>
    </row>
    <row r="7822">
      <c r="A7822" s="58">
        <v>45505.0</v>
      </c>
      <c r="B7822" s="24" t="s">
        <v>6789</v>
      </c>
      <c r="C7822" s="24" t="s">
        <v>7047</v>
      </c>
      <c r="D7822" s="59">
        <v>1.0</v>
      </c>
      <c r="E7822" s="59">
        <v>1.0</v>
      </c>
      <c r="F7822" s="59">
        <v>1.0</v>
      </c>
      <c r="G7822" s="60">
        <v>1.0</v>
      </c>
      <c r="H7822" s="60">
        <v>0.0</v>
      </c>
      <c r="I7822" s="60">
        <v>18.240574</v>
      </c>
      <c r="J7822" s="59">
        <v>1.0</v>
      </c>
      <c r="K7822" s="61">
        <f t="shared" si="1"/>
        <v>1</v>
      </c>
      <c r="L7822" s="62">
        <f t="shared" si="2"/>
        <v>1</v>
      </c>
    </row>
    <row r="7823">
      <c r="A7823" s="58">
        <v>45505.0</v>
      </c>
      <c r="B7823" s="24" t="s">
        <v>6787</v>
      </c>
      <c r="C7823" s="24" t="s">
        <v>6797</v>
      </c>
      <c r="D7823" s="59">
        <v>1.0</v>
      </c>
      <c r="E7823" s="59">
        <v>1.0</v>
      </c>
      <c r="F7823" s="59">
        <v>1.0</v>
      </c>
      <c r="G7823" s="60">
        <v>1.0</v>
      </c>
      <c r="H7823" s="60">
        <v>0.0</v>
      </c>
      <c r="I7823" s="60">
        <v>793.452292</v>
      </c>
      <c r="J7823" s="59">
        <v>22.0</v>
      </c>
      <c r="K7823" s="61">
        <f t="shared" si="1"/>
        <v>1</v>
      </c>
      <c r="L7823" s="62">
        <f t="shared" si="2"/>
        <v>22</v>
      </c>
    </row>
    <row r="7824">
      <c r="A7824" s="58">
        <v>45505.0</v>
      </c>
      <c r="B7824" s="24" t="s">
        <v>6789</v>
      </c>
      <c r="C7824" s="24" t="s">
        <v>6810</v>
      </c>
      <c r="D7824" s="59">
        <v>1.0</v>
      </c>
      <c r="E7824" s="59">
        <v>1.0</v>
      </c>
      <c r="F7824" s="59">
        <v>0.0</v>
      </c>
      <c r="G7824" s="60">
        <v>1.0</v>
      </c>
      <c r="H7824" s="60">
        <v>1.0</v>
      </c>
      <c r="I7824" s="60">
        <v>8.446781</v>
      </c>
      <c r="J7824" s="59">
        <v>1.0</v>
      </c>
      <c r="K7824" s="61">
        <f t="shared" si="1"/>
        <v>0</v>
      </c>
      <c r="L7824" s="62">
        <f t="shared" si="2"/>
        <v>1</v>
      </c>
    </row>
    <row r="7825">
      <c r="A7825" s="58">
        <v>45505.0</v>
      </c>
      <c r="B7825" s="24" t="s">
        <v>6789</v>
      </c>
      <c r="C7825" s="24" t="s">
        <v>6931</v>
      </c>
      <c r="D7825" s="59">
        <v>1.0</v>
      </c>
      <c r="E7825" s="59">
        <v>1.0</v>
      </c>
      <c r="F7825" s="59">
        <v>1.0</v>
      </c>
      <c r="G7825" s="60">
        <v>1.0</v>
      </c>
      <c r="H7825" s="60">
        <v>1.0</v>
      </c>
      <c r="I7825" s="60">
        <v>0.0</v>
      </c>
      <c r="J7825" s="59">
        <v>1.0</v>
      </c>
      <c r="K7825" s="61">
        <f t="shared" si="1"/>
        <v>1</v>
      </c>
      <c r="L7825" s="62">
        <f t="shared" si="2"/>
        <v>1</v>
      </c>
    </row>
    <row r="7826">
      <c r="A7826" s="58">
        <v>45505.0</v>
      </c>
      <c r="B7826" s="24" t="s">
        <v>6787</v>
      </c>
      <c r="C7826" s="24" t="s">
        <v>6962</v>
      </c>
      <c r="D7826" s="59">
        <v>1.0</v>
      </c>
      <c r="E7826" s="59">
        <v>1.0</v>
      </c>
      <c r="F7826" s="59">
        <v>1.0</v>
      </c>
      <c r="G7826" s="60">
        <v>1.0</v>
      </c>
      <c r="H7826" s="60">
        <v>0.0</v>
      </c>
      <c r="I7826" s="60">
        <v>4.938666</v>
      </c>
      <c r="J7826" s="59">
        <v>1.0</v>
      </c>
      <c r="K7826" s="61">
        <f t="shared" si="1"/>
        <v>1</v>
      </c>
      <c r="L7826" s="62">
        <f t="shared" si="2"/>
        <v>1</v>
      </c>
    </row>
    <row r="7827">
      <c r="A7827" s="58">
        <v>45505.0</v>
      </c>
      <c r="B7827" s="24" t="s">
        <v>6787</v>
      </c>
      <c r="C7827" s="24" t="s">
        <v>7556</v>
      </c>
      <c r="D7827" s="59">
        <v>1.0</v>
      </c>
      <c r="E7827" s="59">
        <v>1.0</v>
      </c>
      <c r="F7827" s="59">
        <v>0.0</v>
      </c>
      <c r="G7827" s="60">
        <v>0.0</v>
      </c>
      <c r="H7827" s="60">
        <v>1.0</v>
      </c>
      <c r="I7827" s="60">
        <v>0.0</v>
      </c>
      <c r="J7827" s="59">
        <v>1.0</v>
      </c>
      <c r="K7827" s="61">
        <f t="shared" si="1"/>
        <v>0</v>
      </c>
      <c r="L7827" s="62">
        <f t="shared" si="2"/>
        <v>1</v>
      </c>
    </row>
    <row r="7828">
      <c r="A7828" s="58">
        <v>45505.0</v>
      </c>
      <c r="B7828" s="24" t="s">
        <v>6789</v>
      </c>
      <c r="C7828" s="24" t="s">
        <v>7556</v>
      </c>
      <c r="D7828" s="59">
        <v>1.0</v>
      </c>
      <c r="E7828" s="59">
        <v>1.0</v>
      </c>
      <c r="F7828" s="59">
        <v>0.0</v>
      </c>
      <c r="G7828" s="60">
        <v>1.0</v>
      </c>
      <c r="H7828" s="60">
        <v>1.0</v>
      </c>
      <c r="I7828" s="60">
        <v>0.0</v>
      </c>
      <c r="J7828" s="59">
        <v>1.0</v>
      </c>
      <c r="K7828" s="61">
        <f t="shared" si="1"/>
        <v>0</v>
      </c>
      <c r="L7828" s="62">
        <f t="shared" si="2"/>
        <v>1</v>
      </c>
    </row>
    <row r="7829">
      <c r="A7829" s="58">
        <v>45505.0</v>
      </c>
      <c r="B7829" s="24" t="s">
        <v>155</v>
      </c>
      <c r="C7829" s="24" t="s">
        <v>7557</v>
      </c>
      <c r="D7829" s="59">
        <v>1.0</v>
      </c>
      <c r="E7829" s="59">
        <v>1.0</v>
      </c>
      <c r="F7829" s="59">
        <v>0.0</v>
      </c>
      <c r="G7829" s="60">
        <v>1.0</v>
      </c>
      <c r="H7829" s="60">
        <v>0.0</v>
      </c>
      <c r="I7829" s="60">
        <v>798.725924</v>
      </c>
      <c r="J7829" s="59">
        <v>1.0</v>
      </c>
      <c r="K7829" s="61">
        <f t="shared" si="1"/>
        <v>0</v>
      </c>
      <c r="L7829" s="62">
        <f t="shared" si="2"/>
        <v>1</v>
      </c>
    </row>
    <row r="7830">
      <c r="A7830" s="58">
        <v>45505.0</v>
      </c>
      <c r="B7830" s="24" t="s">
        <v>6787</v>
      </c>
      <c r="C7830" s="24" t="s">
        <v>7118</v>
      </c>
      <c r="D7830" s="59">
        <v>1.0</v>
      </c>
      <c r="E7830" s="59">
        <v>1.0</v>
      </c>
      <c r="F7830" s="59">
        <v>1.0</v>
      </c>
      <c r="G7830" s="60">
        <v>1.0</v>
      </c>
      <c r="H7830" s="60">
        <v>0.0</v>
      </c>
      <c r="I7830" s="60">
        <v>2109.71517</v>
      </c>
      <c r="J7830" s="59">
        <v>7.0</v>
      </c>
      <c r="K7830" s="61">
        <f t="shared" si="1"/>
        <v>1</v>
      </c>
      <c r="L7830" s="62">
        <f t="shared" si="2"/>
        <v>7</v>
      </c>
    </row>
    <row r="7831">
      <c r="A7831" s="58">
        <v>45505.0</v>
      </c>
      <c r="B7831" s="24" t="s">
        <v>6787</v>
      </c>
      <c r="C7831" s="24" t="s">
        <v>6854</v>
      </c>
      <c r="D7831" s="59">
        <v>1.0</v>
      </c>
      <c r="E7831" s="59">
        <v>1.0</v>
      </c>
      <c r="F7831" s="59">
        <v>0.0</v>
      </c>
      <c r="G7831" s="60">
        <v>1.0</v>
      </c>
      <c r="H7831" s="60">
        <v>0.0</v>
      </c>
      <c r="I7831" s="60">
        <v>71.204964</v>
      </c>
      <c r="J7831" s="59">
        <v>2.0</v>
      </c>
      <c r="K7831" s="61">
        <f t="shared" si="1"/>
        <v>0</v>
      </c>
      <c r="L7831" s="62">
        <f t="shared" si="2"/>
        <v>2</v>
      </c>
    </row>
    <row r="7832">
      <c r="A7832" s="58">
        <v>45505.0</v>
      </c>
      <c r="B7832" s="24" t="s">
        <v>155</v>
      </c>
      <c r="C7832" s="24" t="s">
        <v>6924</v>
      </c>
      <c r="D7832" s="59">
        <v>1.0</v>
      </c>
      <c r="E7832" s="59">
        <v>1.0</v>
      </c>
      <c r="F7832" s="59">
        <v>0.0</v>
      </c>
      <c r="G7832" s="60">
        <v>1.0</v>
      </c>
      <c r="H7832" s="60">
        <v>1.0</v>
      </c>
      <c r="I7832" s="60">
        <v>0.0</v>
      </c>
      <c r="J7832" s="59">
        <v>1.0</v>
      </c>
      <c r="K7832" s="61">
        <f t="shared" si="1"/>
        <v>0</v>
      </c>
      <c r="L7832" s="62">
        <f t="shared" si="2"/>
        <v>1</v>
      </c>
    </row>
    <row r="7833">
      <c r="A7833" s="58">
        <v>45505.0</v>
      </c>
      <c r="B7833" s="24" t="s">
        <v>6790</v>
      </c>
      <c r="C7833" s="24" t="s">
        <v>6802</v>
      </c>
      <c r="D7833" s="59">
        <v>1.0</v>
      </c>
      <c r="E7833" s="59">
        <v>1.0</v>
      </c>
      <c r="F7833" s="59">
        <v>0.0</v>
      </c>
      <c r="G7833" s="60">
        <v>1.0</v>
      </c>
      <c r="H7833" s="60">
        <v>1.0</v>
      </c>
      <c r="I7833" s="60">
        <v>0.0</v>
      </c>
      <c r="J7833" s="59">
        <v>1.0</v>
      </c>
      <c r="K7833" s="61">
        <f t="shared" si="1"/>
        <v>0</v>
      </c>
      <c r="L7833" s="62">
        <f t="shared" si="2"/>
        <v>1</v>
      </c>
    </row>
    <row r="7834">
      <c r="A7834" s="58">
        <v>45474.0</v>
      </c>
      <c r="B7834" s="24" t="s">
        <v>6789</v>
      </c>
      <c r="C7834" s="24" t="s">
        <v>6788</v>
      </c>
      <c r="D7834" s="59">
        <v>684.0</v>
      </c>
      <c r="E7834" s="59">
        <v>954.0</v>
      </c>
      <c r="F7834" s="59">
        <v>562.0</v>
      </c>
      <c r="G7834" s="60">
        <v>1.44545454545454</v>
      </c>
      <c r="H7834" s="60">
        <v>0.470649895178197</v>
      </c>
      <c r="I7834" s="60">
        <v>183.144610575471</v>
      </c>
      <c r="J7834" s="59">
        <v>1684.0</v>
      </c>
      <c r="K7834" s="61">
        <f t="shared" si="1"/>
        <v>0.5890985325</v>
      </c>
      <c r="L7834" s="62">
        <f t="shared" si="2"/>
        <v>1.765199161</v>
      </c>
    </row>
    <row r="7835">
      <c r="A7835" s="58">
        <v>45474.0</v>
      </c>
      <c r="B7835" s="24" t="s">
        <v>6787</v>
      </c>
      <c r="C7835" s="24" t="s">
        <v>6788</v>
      </c>
      <c r="D7835" s="59">
        <v>526.0</v>
      </c>
      <c r="E7835" s="59">
        <v>677.0</v>
      </c>
      <c r="F7835" s="59">
        <v>479.0</v>
      </c>
      <c r="G7835" s="60">
        <v>1.3069498069498</v>
      </c>
      <c r="H7835" s="60">
        <v>0.675036927621861</v>
      </c>
      <c r="I7835" s="60">
        <v>98.2153181314623</v>
      </c>
      <c r="J7835" s="59">
        <v>989.0</v>
      </c>
      <c r="K7835" s="61">
        <f t="shared" si="1"/>
        <v>0.7075332349</v>
      </c>
      <c r="L7835" s="62">
        <f t="shared" si="2"/>
        <v>1.460856721</v>
      </c>
    </row>
    <row r="7836">
      <c r="A7836" s="58">
        <v>45474.0</v>
      </c>
      <c r="B7836" s="24" t="s">
        <v>6789</v>
      </c>
      <c r="C7836" s="24" t="s">
        <v>7068</v>
      </c>
      <c r="D7836" s="59">
        <v>284.0</v>
      </c>
      <c r="E7836" s="59">
        <v>311.0</v>
      </c>
      <c r="F7836" s="59">
        <v>273.0</v>
      </c>
      <c r="G7836" s="60">
        <v>1.11071428571428</v>
      </c>
      <c r="H7836" s="60">
        <v>0.366559485530546</v>
      </c>
      <c r="I7836" s="60">
        <v>178.780948228295</v>
      </c>
      <c r="J7836" s="59">
        <v>338.0</v>
      </c>
      <c r="K7836" s="61">
        <f t="shared" si="1"/>
        <v>0.8778135048</v>
      </c>
      <c r="L7836" s="62">
        <f t="shared" si="2"/>
        <v>1.08681672</v>
      </c>
    </row>
    <row r="7837">
      <c r="A7837" s="58">
        <v>45474.0</v>
      </c>
      <c r="B7837" s="24" t="s">
        <v>6790</v>
      </c>
      <c r="C7837" s="24" t="s">
        <v>7107</v>
      </c>
      <c r="D7837" s="59">
        <v>260.0</v>
      </c>
      <c r="E7837" s="59">
        <v>260.0</v>
      </c>
      <c r="F7837" s="59">
        <v>259.0</v>
      </c>
      <c r="G7837" s="60">
        <v>1.0</v>
      </c>
      <c r="H7837" s="60">
        <v>0.95</v>
      </c>
      <c r="I7837" s="60">
        <v>1.41521167307692</v>
      </c>
      <c r="J7837" s="59">
        <v>260.0</v>
      </c>
      <c r="K7837" s="61">
        <f t="shared" si="1"/>
        <v>0.9961538462</v>
      </c>
      <c r="L7837" s="62">
        <f t="shared" si="2"/>
        <v>1</v>
      </c>
    </row>
    <row r="7838">
      <c r="A7838" s="58">
        <v>45474.0</v>
      </c>
      <c r="B7838" s="24" t="s">
        <v>6789</v>
      </c>
      <c r="C7838" s="24" t="s">
        <v>6792</v>
      </c>
      <c r="D7838" s="59">
        <v>191.0</v>
      </c>
      <c r="E7838" s="59">
        <v>238.0</v>
      </c>
      <c r="F7838" s="59">
        <v>0.0</v>
      </c>
      <c r="G7838" s="60">
        <v>1.87401574803149</v>
      </c>
      <c r="H7838" s="60">
        <v>0.987394957983193</v>
      </c>
      <c r="I7838" s="60">
        <v>6.63415703361344</v>
      </c>
      <c r="J7838" s="59">
        <v>0.0</v>
      </c>
      <c r="K7838" s="61">
        <f t="shared" si="1"/>
        <v>0</v>
      </c>
      <c r="L7838" s="62">
        <f t="shared" si="2"/>
        <v>0</v>
      </c>
    </row>
    <row r="7839">
      <c r="A7839" s="58">
        <v>45474.0</v>
      </c>
      <c r="B7839" s="24" t="s">
        <v>6787</v>
      </c>
      <c r="C7839" s="24" t="s">
        <v>6799</v>
      </c>
      <c r="D7839" s="59">
        <v>161.0</v>
      </c>
      <c r="E7839" s="59">
        <v>164.0</v>
      </c>
      <c r="F7839" s="59">
        <v>158.0</v>
      </c>
      <c r="G7839" s="60">
        <v>1.0314465408805</v>
      </c>
      <c r="H7839" s="60">
        <v>0.207317073170731</v>
      </c>
      <c r="I7839" s="60">
        <v>9.02747564634146</v>
      </c>
      <c r="J7839" s="59">
        <v>388.0</v>
      </c>
      <c r="K7839" s="61">
        <f t="shared" si="1"/>
        <v>0.9634146341</v>
      </c>
      <c r="L7839" s="62">
        <f t="shared" si="2"/>
        <v>2.365853659</v>
      </c>
    </row>
    <row r="7840">
      <c r="A7840" s="58">
        <v>45474.0</v>
      </c>
      <c r="B7840" s="24" t="s">
        <v>6787</v>
      </c>
      <c r="C7840" s="24" t="s">
        <v>6802</v>
      </c>
      <c r="D7840" s="59">
        <v>143.0</v>
      </c>
      <c r="E7840" s="59">
        <v>147.0</v>
      </c>
      <c r="F7840" s="59">
        <v>141.0</v>
      </c>
      <c r="G7840" s="60">
        <v>1.03521126760563</v>
      </c>
      <c r="H7840" s="60">
        <v>0.224489795918367</v>
      </c>
      <c r="I7840" s="60">
        <v>27.2035200884353</v>
      </c>
      <c r="J7840" s="59">
        <v>344.0</v>
      </c>
      <c r="K7840" s="61">
        <f t="shared" si="1"/>
        <v>0.9591836735</v>
      </c>
      <c r="L7840" s="62">
        <f t="shared" si="2"/>
        <v>2.340136054</v>
      </c>
    </row>
    <row r="7841">
      <c r="A7841" s="58">
        <v>45474.0</v>
      </c>
      <c r="B7841" s="24" t="s">
        <v>155</v>
      </c>
      <c r="C7841" s="24" t="s">
        <v>6788</v>
      </c>
      <c r="D7841" s="59">
        <v>131.0</v>
      </c>
      <c r="E7841" s="59">
        <v>278.0</v>
      </c>
      <c r="F7841" s="59">
        <v>99.0</v>
      </c>
      <c r="G7841" s="60">
        <v>2.15503875968992</v>
      </c>
      <c r="H7841" s="60">
        <v>0.607913669064748</v>
      </c>
      <c r="I7841" s="60">
        <v>144.164489960431</v>
      </c>
      <c r="J7841" s="59">
        <v>397.0</v>
      </c>
      <c r="K7841" s="61">
        <f t="shared" si="1"/>
        <v>0.3561151079</v>
      </c>
      <c r="L7841" s="62">
        <f t="shared" si="2"/>
        <v>1.428057554</v>
      </c>
    </row>
    <row r="7842">
      <c r="A7842" s="58">
        <v>45474.0</v>
      </c>
      <c r="B7842" s="24" t="s">
        <v>6790</v>
      </c>
      <c r="C7842" s="24" t="s">
        <v>6788</v>
      </c>
      <c r="D7842" s="59">
        <v>63.0</v>
      </c>
      <c r="E7842" s="59">
        <v>65.0</v>
      </c>
      <c r="F7842" s="59">
        <v>59.0</v>
      </c>
      <c r="G7842" s="60">
        <v>1.03174603174603</v>
      </c>
      <c r="H7842" s="60">
        <v>0.846153846153846</v>
      </c>
      <c r="I7842" s="60">
        <v>59.1156463846153</v>
      </c>
      <c r="J7842" s="59">
        <v>92.0</v>
      </c>
      <c r="K7842" s="61">
        <f t="shared" si="1"/>
        <v>0.9076923077</v>
      </c>
      <c r="L7842" s="62">
        <f t="shared" si="2"/>
        <v>1.415384615</v>
      </c>
    </row>
    <row r="7843">
      <c r="A7843" s="58">
        <v>45474.0</v>
      </c>
      <c r="B7843" s="24" t="s">
        <v>6794</v>
      </c>
      <c r="C7843" s="24" t="s">
        <v>6788</v>
      </c>
      <c r="D7843" s="59">
        <v>59.0</v>
      </c>
      <c r="E7843" s="59">
        <v>62.0</v>
      </c>
      <c r="F7843" s="59">
        <v>55.0</v>
      </c>
      <c r="G7843" s="60">
        <v>1.05084745762711</v>
      </c>
      <c r="H7843" s="60">
        <v>0.177419354838709</v>
      </c>
      <c r="I7843" s="60">
        <v>187.579100693548</v>
      </c>
      <c r="J7843" s="59">
        <v>126.0</v>
      </c>
      <c r="K7843" s="61">
        <f t="shared" si="1"/>
        <v>0.8870967742</v>
      </c>
      <c r="L7843" s="62">
        <f t="shared" si="2"/>
        <v>2.032258065</v>
      </c>
    </row>
    <row r="7844">
      <c r="A7844" s="58">
        <v>45474.0</v>
      </c>
      <c r="B7844" s="24" t="s">
        <v>6789</v>
      </c>
      <c r="C7844" s="24" t="s">
        <v>7024</v>
      </c>
      <c r="D7844" s="59">
        <v>49.0</v>
      </c>
      <c r="E7844" s="59">
        <v>50.0</v>
      </c>
      <c r="F7844" s="59">
        <v>48.0</v>
      </c>
      <c r="G7844" s="60">
        <v>1.0204081632653</v>
      </c>
      <c r="H7844" s="60">
        <v>0.58</v>
      </c>
      <c r="I7844" s="60">
        <v>143.38066198</v>
      </c>
      <c r="J7844" s="59">
        <v>54.0</v>
      </c>
      <c r="K7844" s="61">
        <f t="shared" si="1"/>
        <v>0.96</v>
      </c>
      <c r="L7844" s="62">
        <f t="shared" si="2"/>
        <v>1.08</v>
      </c>
    </row>
    <row r="7845">
      <c r="A7845" s="58">
        <v>45474.0</v>
      </c>
      <c r="B7845" s="24" t="s">
        <v>6787</v>
      </c>
      <c r="C7845" s="24" t="s">
        <v>6792</v>
      </c>
      <c r="D7845" s="59">
        <v>46.0</v>
      </c>
      <c r="E7845" s="59">
        <v>53.0</v>
      </c>
      <c r="F7845" s="59">
        <v>0.0</v>
      </c>
      <c r="G7845" s="60">
        <v>1.70967741935483</v>
      </c>
      <c r="H7845" s="60">
        <v>1.0</v>
      </c>
      <c r="I7845" s="60">
        <v>0.153881660377358</v>
      </c>
      <c r="J7845" s="59">
        <v>0.0</v>
      </c>
      <c r="K7845" s="61">
        <f t="shared" si="1"/>
        <v>0</v>
      </c>
      <c r="L7845" s="62">
        <f t="shared" si="2"/>
        <v>0</v>
      </c>
    </row>
    <row r="7846">
      <c r="A7846" s="58">
        <v>45474.0</v>
      </c>
      <c r="B7846" s="24" t="s">
        <v>6789</v>
      </c>
      <c r="C7846" s="24" t="s">
        <v>6804</v>
      </c>
      <c r="D7846" s="59">
        <v>45.0</v>
      </c>
      <c r="E7846" s="59">
        <v>50.0</v>
      </c>
      <c r="F7846" s="59">
        <v>43.0</v>
      </c>
      <c r="G7846" s="60">
        <v>1.13636363636363</v>
      </c>
      <c r="H7846" s="60">
        <v>0.5</v>
      </c>
      <c r="I7846" s="60">
        <v>104.03114888</v>
      </c>
      <c r="J7846" s="59">
        <v>51.0</v>
      </c>
      <c r="K7846" s="61">
        <f t="shared" si="1"/>
        <v>0.86</v>
      </c>
      <c r="L7846" s="62">
        <f t="shared" si="2"/>
        <v>1.02</v>
      </c>
    </row>
    <row r="7847">
      <c r="A7847" s="58">
        <v>45474.0</v>
      </c>
      <c r="B7847" s="24" t="s">
        <v>6787</v>
      </c>
      <c r="C7847" s="24" t="s">
        <v>6800</v>
      </c>
      <c r="D7847" s="59">
        <v>41.0</v>
      </c>
      <c r="E7847" s="59">
        <v>41.0</v>
      </c>
      <c r="F7847" s="59">
        <v>41.0</v>
      </c>
      <c r="G7847" s="60">
        <v>1.0</v>
      </c>
      <c r="H7847" s="60">
        <v>1.0</v>
      </c>
      <c r="I7847" s="60">
        <v>0.0</v>
      </c>
      <c r="J7847" s="59">
        <v>41.0</v>
      </c>
      <c r="K7847" s="61">
        <f t="shared" si="1"/>
        <v>1</v>
      </c>
      <c r="L7847" s="62">
        <f t="shared" si="2"/>
        <v>1</v>
      </c>
    </row>
    <row r="7848">
      <c r="A7848" s="58">
        <v>45474.0</v>
      </c>
      <c r="B7848" s="24" t="s">
        <v>6789</v>
      </c>
      <c r="C7848" s="24" t="s">
        <v>6799</v>
      </c>
      <c r="D7848" s="59">
        <v>35.0</v>
      </c>
      <c r="E7848" s="59">
        <v>40.0</v>
      </c>
      <c r="F7848" s="59">
        <v>23.0</v>
      </c>
      <c r="G7848" s="60">
        <v>1.17647058823529</v>
      </c>
      <c r="H7848" s="60">
        <v>0.4</v>
      </c>
      <c r="I7848" s="60">
        <v>154.024619625</v>
      </c>
      <c r="J7848" s="59">
        <v>82.0</v>
      </c>
      <c r="K7848" s="61">
        <f t="shared" si="1"/>
        <v>0.575</v>
      </c>
      <c r="L7848" s="62">
        <f t="shared" si="2"/>
        <v>2.05</v>
      </c>
    </row>
    <row r="7849">
      <c r="A7849" s="58">
        <v>45474.0</v>
      </c>
      <c r="B7849" s="24" t="s">
        <v>6789</v>
      </c>
      <c r="C7849" s="24" t="s">
        <v>6815</v>
      </c>
      <c r="D7849" s="59">
        <v>29.0</v>
      </c>
      <c r="E7849" s="59">
        <v>36.0</v>
      </c>
      <c r="F7849" s="59">
        <v>24.0</v>
      </c>
      <c r="G7849" s="60">
        <v>1.24137931034482</v>
      </c>
      <c r="H7849" s="60">
        <v>0.444444444444444</v>
      </c>
      <c r="I7849" s="60">
        <v>77.8061791111111</v>
      </c>
      <c r="J7849" s="59">
        <v>48.0</v>
      </c>
      <c r="K7849" s="61">
        <f t="shared" si="1"/>
        <v>0.6666666667</v>
      </c>
      <c r="L7849" s="62">
        <f t="shared" si="2"/>
        <v>1.333333333</v>
      </c>
    </row>
    <row r="7850">
      <c r="A7850" s="58">
        <v>45474.0</v>
      </c>
      <c r="B7850" s="24" t="s">
        <v>6789</v>
      </c>
      <c r="C7850" s="24" t="s">
        <v>6808</v>
      </c>
      <c r="D7850" s="59">
        <v>27.0</v>
      </c>
      <c r="E7850" s="59">
        <v>39.0</v>
      </c>
      <c r="F7850" s="59">
        <v>17.0</v>
      </c>
      <c r="G7850" s="60">
        <v>1.56</v>
      </c>
      <c r="H7850" s="60">
        <v>0.538461538461538</v>
      </c>
      <c r="I7850" s="60">
        <v>229.31786276923</v>
      </c>
      <c r="J7850" s="59">
        <v>53.0</v>
      </c>
      <c r="K7850" s="61">
        <f t="shared" si="1"/>
        <v>0.4358974359</v>
      </c>
      <c r="L7850" s="62">
        <f t="shared" si="2"/>
        <v>1.358974359</v>
      </c>
    </row>
    <row r="7851">
      <c r="A7851" s="58">
        <v>45474.0</v>
      </c>
      <c r="B7851" s="24" t="s">
        <v>6787</v>
      </c>
      <c r="C7851" s="24" t="s">
        <v>6815</v>
      </c>
      <c r="D7851" s="59">
        <v>19.0</v>
      </c>
      <c r="E7851" s="59">
        <v>21.0</v>
      </c>
      <c r="F7851" s="59">
        <v>18.0</v>
      </c>
      <c r="G7851" s="60">
        <v>1.10526315789473</v>
      </c>
      <c r="H7851" s="60">
        <v>0.666666666666666</v>
      </c>
      <c r="I7851" s="60">
        <v>88.1648250952381</v>
      </c>
      <c r="J7851" s="59">
        <v>23.0</v>
      </c>
      <c r="K7851" s="61">
        <f t="shared" si="1"/>
        <v>0.8571428571</v>
      </c>
      <c r="L7851" s="62">
        <f t="shared" si="2"/>
        <v>1.095238095</v>
      </c>
    </row>
    <row r="7852">
      <c r="A7852" s="58">
        <v>45474.0</v>
      </c>
      <c r="B7852" s="24" t="s">
        <v>6789</v>
      </c>
      <c r="C7852" s="24" t="s">
        <v>6838</v>
      </c>
      <c r="D7852" s="59">
        <v>18.0</v>
      </c>
      <c r="E7852" s="59">
        <v>19.0</v>
      </c>
      <c r="F7852" s="59">
        <v>13.0</v>
      </c>
      <c r="G7852" s="60">
        <v>1.11764705882352</v>
      </c>
      <c r="H7852" s="60">
        <v>0.31578947368421</v>
      </c>
      <c r="I7852" s="60">
        <v>263.517812736842</v>
      </c>
      <c r="J7852" s="59">
        <v>30.0</v>
      </c>
      <c r="K7852" s="61">
        <f t="shared" si="1"/>
        <v>0.6842105263</v>
      </c>
      <c r="L7852" s="62">
        <f t="shared" si="2"/>
        <v>1.578947368</v>
      </c>
    </row>
    <row r="7853">
      <c r="A7853" s="58">
        <v>45474.0</v>
      </c>
      <c r="B7853" s="24" t="s">
        <v>6789</v>
      </c>
      <c r="C7853" s="24" t="s">
        <v>6802</v>
      </c>
      <c r="D7853" s="59">
        <v>15.0</v>
      </c>
      <c r="E7853" s="59">
        <v>16.0</v>
      </c>
      <c r="F7853" s="59">
        <v>2.0</v>
      </c>
      <c r="G7853" s="60">
        <v>1.33333333333333</v>
      </c>
      <c r="H7853" s="60">
        <v>0.4375</v>
      </c>
      <c r="I7853" s="60">
        <v>338.7399648125</v>
      </c>
      <c r="J7853" s="59">
        <v>50.0</v>
      </c>
      <c r="K7853" s="61">
        <f t="shared" si="1"/>
        <v>0.125</v>
      </c>
      <c r="L7853" s="62">
        <f t="shared" si="2"/>
        <v>3.125</v>
      </c>
    </row>
    <row r="7854">
      <c r="A7854" s="58">
        <v>45474.0</v>
      </c>
      <c r="B7854" s="24" t="s">
        <v>6789</v>
      </c>
      <c r="C7854" s="24" t="s">
        <v>6835</v>
      </c>
      <c r="D7854" s="59">
        <v>14.0</v>
      </c>
      <c r="E7854" s="59">
        <v>14.0</v>
      </c>
      <c r="F7854" s="59">
        <v>14.0</v>
      </c>
      <c r="G7854" s="60">
        <v>1.0</v>
      </c>
      <c r="H7854" s="60">
        <v>0.357142857142857</v>
      </c>
      <c r="I7854" s="60">
        <v>114.963262857142</v>
      </c>
      <c r="J7854" s="59">
        <v>14.0</v>
      </c>
      <c r="K7854" s="61">
        <f t="shared" si="1"/>
        <v>1</v>
      </c>
      <c r="L7854" s="62">
        <f t="shared" si="2"/>
        <v>1</v>
      </c>
    </row>
    <row r="7855">
      <c r="A7855" s="58">
        <v>45474.0</v>
      </c>
      <c r="B7855" s="24" t="s">
        <v>6789</v>
      </c>
      <c r="C7855" s="24" t="s">
        <v>7180</v>
      </c>
      <c r="D7855" s="59">
        <v>14.0</v>
      </c>
      <c r="E7855" s="59">
        <v>15.0</v>
      </c>
      <c r="F7855" s="59">
        <v>14.0</v>
      </c>
      <c r="G7855" s="60">
        <v>1.07142857142857</v>
      </c>
      <c r="H7855" s="60">
        <v>0.533333333333333</v>
      </c>
      <c r="I7855" s="60">
        <v>144.403631666666</v>
      </c>
      <c r="J7855" s="59">
        <v>15.0</v>
      </c>
      <c r="K7855" s="61">
        <f t="shared" si="1"/>
        <v>0.9333333333</v>
      </c>
      <c r="L7855" s="62">
        <f t="shared" si="2"/>
        <v>1</v>
      </c>
    </row>
    <row r="7856">
      <c r="A7856" s="58">
        <v>45474.0</v>
      </c>
      <c r="B7856" s="24" t="s">
        <v>155</v>
      </c>
      <c r="C7856" s="24" t="s">
        <v>6792</v>
      </c>
      <c r="D7856" s="59">
        <v>13.0</v>
      </c>
      <c r="E7856" s="59">
        <v>17.0</v>
      </c>
      <c r="F7856" s="59">
        <v>0.0</v>
      </c>
      <c r="G7856" s="60">
        <v>2.83333333333333</v>
      </c>
      <c r="H7856" s="60">
        <v>1.0</v>
      </c>
      <c r="I7856" s="60">
        <v>0.0239214705882352</v>
      </c>
      <c r="J7856" s="59">
        <v>0.0</v>
      </c>
      <c r="K7856" s="61">
        <f t="shared" si="1"/>
        <v>0</v>
      </c>
      <c r="L7856" s="62">
        <f t="shared" si="2"/>
        <v>0</v>
      </c>
    </row>
    <row r="7857">
      <c r="A7857" s="58">
        <v>45474.0</v>
      </c>
      <c r="B7857" s="24" t="s">
        <v>6789</v>
      </c>
      <c r="C7857" s="24" t="s">
        <v>6822</v>
      </c>
      <c r="D7857" s="59">
        <v>12.0</v>
      </c>
      <c r="E7857" s="59">
        <v>14.0</v>
      </c>
      <c r="F7857" s="59">
        <v>3.0</v>
      </c>
      <c r="G7857" s="60">
        <v>1.16666666666666</v>
      </c>
      <c r="H7857" s="60">
        <v>0.0714285714285714</v>
      </c>
      <c r="I7857" s="60">
        <v>890.218203928571</v>
      </c>
      <c r="J7857" s="59">
        <v>60.0</v>
      </c>
      <c r="K7857" s="61">
        <f t="shared" si="1"/>
        <v>0.2142857143</v>
      </c>
      <c r="L7857" s="62">
        <f t="shared" si="2"/>
        <v>4.285714286</v>
      </c>
    </row>
    <row r="7858">
      <c r="A7858" s="58">
        <v>45474.0</v>
      </c>
      <c r="B7858" s="24" t="s">
        <v>6789</v>
      </c>
      <c r="C7858" s="24" t="s">
        <v>6803</v>
      </c>
      <c r="D7858" s="59">
        <v>11.0</v>
      </c>
      <c r="E7858" s="59">
        <v>12.0</v>
      </c>
      <c r="F7858" s="59">
        <v>7.0</v>
      </c>
      <c r="G7858" s="60">
        <v>1.09090909090909</v>
      </c>
      <c r="H7858" s="60">
        <v>0.416666666666666</v>
      </c>
      <c r="I7858" s="60">
        <v>383.69508275</v>
      </c>
      <c r="J7858" s="59">
        <v>24.0</v>
      </c>
      <c r="K7858" s="61">
        <f t="shared" si="1"/>
        <v>0.5833333333</v>
      </c>
      <c r="L7858" s="62">
        <f t="shared" si="2"/>
        <v>2</v>
      </c>
    </row>
    <row r="7859">
      <c r="A7859" s="58">
        <v>45474.0</v>
      </c>
      <c r="B7859" s="24" t="s">
        <v>155</v>
      </c>
      <c r="C7859" s="24" t="s">
        <v>6800</v>
      </c>
      <c r="D7859" s="59">
        <v>11.0</v>
      </c>
      <c r="E7859" s="59">
        <v>11.0</v>
      </c>
      <c r="F7859" s="59">
        <v>11.0</v>
      </c>
      <c r="G7859" s="60">
        <v>1.0</v>
      </c>
      <c r="H7859" s="60">
        <v>0.0</v>
      </c>
      <c r="I7859" s="60">
        <v>38.8436391818181</v>
      </c>
      <c r="J7859" s="59">
        <v>22.0</v>
      </c>
      <c r="K7859" s="61">
        <f t="shared" si="1"/>
        <v>1</v>
      </c>
      <c r="L7859" s="62">
        <f t="shared" si="2"/>
        <v>2</v>
      </c>
    </row>
    <row r="7860">
      <c r="A7860" s="58">
        <v>45474.0</v>
      </c>
      <c r="B7860" s="24" t="s">
        <v>6789</v>
      </c>
      <c r="C7860" s="24" t="s">
        <v>6910</v>
      </c>
      <c r="D7860" s="59">
        <v>11.0</v>
      </c>
      <c r="E7860" s="59">
        <v>13.0</v>
      </c>
      <c r="F7860" s="59">
        <v>6.0</v>
      </c>
      <c r="G7860" s="60">
        <v>1.18181818181818</v>
      </c>
      <c r="H7860" s="60">
        <v>0.153846153846153</v>
      </c>
      <c r="I7860" s="60">
        <v>178.278038692307</v>
      </c>
      <c r="J7860" s="59">
        <v>20.0</v>
      </c>
      <c r="K7860" s="61">
        <f t="shared" si="1"/>
        <v>0.4615384615</v>
      </c>
      <c r="L7860" s="62">
        <f t="shared" si="2"/>
        <v>1.538461538</v>
      </c>
    </row>
    <row r="7861">
      <c r="A7861" s="58">
        <v>45474.0</v>
      </c>
      <c r="B7861" s="24" t="s">
        <v>3216</v>
      </c>
      <c r="C7861" s="24" t="s">
        <v>6788</v>
      </c>
      <c r="D7861" s="59">
        <v>10.0</v>
      </c>
      <c r="E7861" s="59">
        <v>10.0</v>
      </c>
      <c r="F7861" s="59">
        <v>8.0</v>
      </c>
      <c r="G7861" s="60">
        <v>1.0</v>
      </c>
      <c r="H7861" s="60">
        <v>0.5</v>
      </c>
      <c r="I7861" s="60">
        <v>369.4874443</v>
      </c>
      <c r="J7861" s="59">
        <v>22.0</v>
      </c>
      <c r="K7861" s="61">
        <f t="shared" si="1"/>
        <v>0.8</v>
      </c>
      <c r="L7861" s="62">
        <f t="shared" si="2"/>
        <v>2.2</v>
      </c>
    </row>
    <row r="7862">
      <c r="A7862" s="58">
        <v>45474.0</v>
      </c>
      <c r="B7862" s="24" t="s">
        <v>155</v>
      </c>
      <c r="C7862" s="24" t="s">
        <v>6799</v>
      </c>
      <c r="D7862" s="59">
        <v>10.0</v>
      </c>
      <c r="E7862" s="59">
        <v>10.0</v>
      </c>
      <c r="F7862" s="59">
        <v>10.0</v>
      </c>
      <c r="G7862" s="60">
        <v>1.0</v>
      </c>
      <c r="H7862" s="60">
        <v>0.0</v>
      </c>
      <c r="I7862" s="60">
        <v>135.096151</v>
      </c>
      <c r="J7862" s="59">
        <v>21.0</v>
      </c>
      <c r="K7862" s="61">
        <f t="shared" si="1"/>
        <v>1</v>
      </c>
      <c r="L7862" s="62">
        <f t="shared" si="2"/>
        <v>2.1</v>
      </c>
    </row>
    <row r="7863">
      <c r="A7863" s="58">
        <v>45474.0</v>
      </c>
      <c r="B7863" s="24" t="s">
        <v>6787</v>
      </c>
      <c r="C7863" s="24" t="s">
        <v>6808</v>
      </c>
      <c r="D7863" s="59">
        <v>10.0</v>
      </c>
      <c r="E7863" s="59">
        <v>12.0</v>
      </c>
      <c r="F7863" s="59">
        <v>6.0</v>
      </c>
      <c r="G7863" s="60">
        <v>1.33333333333333</v>
      </c>
      <c r="H7863" s="60">
        <v>0.416666666666666</v>
      </c>
      <c r="I7863" s="60">
        <v>161.8431315</v>
      </c>
      <c r="J7863" s="59">
        <v>15.0</v>
      </c>
      <c r="K7863" s="61">
        <f t="shared" si="1"/>
        <v>0.5</v>
      </c>
      <c r="L7863" s="62">
        <f t="shared" si="2"/>
        <v>1.25</v>
      </c>
    </row>
    <row r="7864">
      <c r="A7864" s="58">
        <v>45474.0</v>
      </c>
      <c r="B7864" s="24" t="s">
        <v>6787</v>
      </c>
      <c r="C7864" s="24" t="s">
        <v>6803</v>
      </c>
      <c r="D7864" s="59">
        <v>9.0</v>
      </c>
      <c r="E7864" s="59">
        <v>9.0</v>
      </c>
      <c r="F7864" s="59">
        <v>9.0</v>
      </c>
      <c r="G7864" s="60">
        <v>1.0</v>
      </c>
      <c r="H7864" s="60">
        <v>0.777777777777777</v>
      </c>
      <c r="I7864" s="60">
        <v>59.5692256666666</v>
      </c>
      <c r="J7864" s="59">
        <v>10.0</v>
      </c>
      <c r="K7864" s="61">
        <f t="shared" si="1"/>
        <v>1</v>
      </c>
      <c r="L7864" s="62">
        <f t="shared" si="2"/>
        <v>1.111111111</v>
      </c>
    </row>
    <row r="7865">
      <c r="A7865" s="58">
        <v>45474.0</v>
      </c>
      <c r="B7865" s="24" t="s">
        <v>6787</v>
      </c>
      <c r="C7865" s="24" t="s">
        <v>6886</v>
      </c>
      <c r="D7865" s="59">
        <v>9.0</v>
      </c>
      <c r="E7865" s="59">
        <v>9.0</v>
      </c>
      <c r="F7865" s="59">
        <v>8.0</v>
      </c>
      <c r="G7865" s="60">
        <v>1.0</v>
      </c>
      <c r="H7865" s="60">
        <v>0.444444444444444</v>
      </c>
      <c r="I7865" s="60">
        <v>56.1911614444444</v>
      </c>
      <c r="J7865" s="59">
        <v>17.0</v>
      </c>
      <c r="K7865" s="61">
        <f t="shared" si="1"/>
        <v>0.8888888889</v>
      </c>
      <c r="L7865" s="62">
        <f t="shared" si="2"/>
        <v>1.888888889</v>
      </c>
    </row>
    <row r="7866">
      <c r="A7866" s="58">
        <v>45474.0</v>
      </c>
      <c r="B7866" s="24" t="s">
        <v>6789</v>
      </c>
      <c r="C7866" s="24" t="s">
        <v>7107</v>
      </c>
      <c r="D7866" s="59">
        <v>9.0</v>
      </c>
      <c r="E7866" s="59">
        <v>11.0</v>
      </c>
      <c r="F7866" s="59">
        <v>1.0</v>
      </c>
      <c r="G7866" s="60">
        <v>1.22222222222222</v>
      </c>
      <c r="H7866" s="60">
        <v>0.272727272727272</v>
      </c>
      <c r="I7866" s="60">
        <v>746.131552363636</v>
      </c>
      <c r="J7866" s="59">
        <v>52.0</v>
      </c>
      <c r="K7866" s="61">
        <f t="shared" si="1"/>
        <v>0.09090909091</v>
      </c>
      <c r="L7866" s="62">
        <f t="shared" si="2"/>
        <v>4.727272727</v>
      </c>
    </row>
    <row r="7867">
      <c r="A7867" s="58">
        <v>45474.0</v>
      </c>
      <c r="B7867" s="24" t="s">
        <v>6789</v>
      </c>
      <c r="C7867" s="24" t="s">
        <v>7056</v>
      </c>
      <c r="D7867" s="59">
        <v>8.0</v>
      </c>
      <c r="E7867" s="59">
        <v>10.0</v>
      </c>
      <c r="F7867" s="59">
        <v>8.0</v>
      </c>
      <c r="G7867" s="60">
        <v>1.25</v>
      </c>
      <c r="H7867" s="60">
        <v>0.6</v>
      </c>
      <c r="I7867" s="60">
        <v>39.2355611</v>
      </c>
      <c r="J7867" s="59">
        <v>11.0</v>
      </c>
      <c r="K7867" s="61">
        <f t="shared" si="1"/>
        <v>0.8</v>
      </c>
      <c r="L7867" s="62">
        <f t="shared" si="2"/>
        <v>1.1</v>
      </c>
    </row>
    <row r="7868">
      <c r="A7868" s="58">
        <v>45474.0</v>
      </c>
      <c r="B7868" s="24" t="s">
        <v>6789</v>
      </c>
      <c r="C7868" s="24" t="s">
        <v>6829</v>
      </c>
      <c r="D7868" s="59">
        <v>8.0</v>
      </c>
      <c r="E7868" s="59">
        <v>12.0</v>
      </c>
      <c r="F7868" s="59">
        <v>8.0</v>
      </c>
      <c r="G7868" s="60">
        <v>1.5</v>
      </c>
      <c r="H7868" s="60">
        <v>0.833333333333333</v>
      </c>
      <c r="I7868" s="60">
        <v>18.40631075</v>
      </c>
      <c r="J7868" s="59">
        <v>12.0</v>
      </c>
      <c r="K7868" s="61">
        <f t="shared" si="1"/>
        <v>0.6666666667</v>
      </c>
      <c r="L7868" s="62">
        <f t="shared" si="2"/>
        <v>1</v>
      </c>
    </row>
    <row r="7869">
      <c r="A7869" s="58">
        <v>45474.0</v>
      </c>
      <c r="B7869" s="24" t="s">
        <v>6789</v>
      </c>
      <c r="C7869" s="24" t="s">
        <v>6990</v>
      </c>
      <c r="D7869" s="59">
        <v>8.0</v>
      </c>
      <c r="E7869" s="59">
        <v>9.0</v>
      </c>
      <c r="F7869" s="59">
        <v>8.0</v>
      </c>
      <c r="G7869" s="60">
        <v>1.125</v>
      </c>
      <c r="H7869" s="60">
        <v>0.666666666666666</v>
      </c>
      <c r="I7869" s="60">
        <v>17.7339062222222</v>
      </c>
      <c r="J7869" s="59">
        <v>9.0</v>
      </c>
      <c r="K7869" s="61">
        <f t="shared" si="1"/>
        <v>0.8888888889</v>
      </c>
      <c r="L7869" s="62">
        <f t="shared" si="2"/>
        <v>1</v>
      </c>
    </row>
    <row r="7870">
      <c r="A7870" s="58">
        <v>45474.0</v>
      </c>
      <c r="B7870" s="24" t="s">
        <v>6789</v>
      </c>
      <c r="C7870" s="24" t="s">
        <v>6892</v>
      </c>
      <c r="D7870" s="59">
        <v>8.0</v>
      </c>
      <c r="E7870" s="59">
        <v>8.0</v>
      </c>
      <c r="F7870" s="59">
        <v>6.0</v>
      </c>
      <c r="G7870" s="60">
        <v>1.0</v>
      </c>
      <c r="H7870" s="60">
        <v>0.25</v>
      </c>
      <c r="I7870" s="60">
        <v>419.1788605</v>
      </c>
      <c r="J7870" s="59">
        <v>13.0</v>
      </c>
      <c r="K7870" s="61">
        <f t="shared" si="1"/>
        <v>0.75</v>
      </c>
      <c r="L7870" s="62">
        <f t="shared" si="2"/>
        <v>1.625</v>
      </c>
    </row>
    <row r="7871">
      <c r="A7871" s="58">
        <v>45474.0</v>
      </c>
      <c r="B7871" s="24" t="s">
        <v>6787</v>
      </c>
      <c r="C7871" s="24" t="s">
        <v>7107</v>
      </c>
      <c r="D7871" s="59">
        <v>8.0</v>
      </c>
      <c r="E7871" s="59">
        <v>10.0</v>
      </c>
      <c r="F7871" s="59">
        <v>6.0</v>
      </c>
      <c r="G7871" s="60">
        <v>1.25</v>
      </c>
      <c r="H7871" s="60">
        <v>0.8</v>
      </c>
      <c r="I7871" s="60">
        <v>34.7513248</v>
      </c>
      <c r="J7871" s="59">
        <v>12.0</v>
      </c>
      <c r="K7871" s="61">
        <f t="shared" si="1"/>
        <v>0.6</v>
      </c>
      <c r="L7871" s="62">
        <f t="shared" si="2"/>
        <v>1.2</v>
      </c>
    </row>
    <row r="7872">
      <c r="A7872" s="58">
        <v>45474.0</v>
      </c>
      <c r="B7872" s="24" t="s">
        <v>6789</v>
      </c>
      <c r="C7872" s="24" t="s">
        <v>6953</v>
      </c>
      <c r="D7872" s="59">
        <v>7.0</v>
      </c>
      <c r="E7872" s="59">
        <v>7.0</v>
      </c>
      <c r="F7872" s="59">
        <v>7.0</v>
      </c>
      <c r="G7872" s="60">
        <v>1.0</v>
      </c>
      <c r="H7872" s="60">
        <v>0.142857142857142</v>
      </c>
      <c r="I7872" s="60">
        <v>56.9044782857142</v>
      </c>
      <c r="J7872" s="59">
        <v>7.0</v>
      </c>
      <c r="K7872" s="61">
        <f t="shared" si="1"/>
        <v>1</v>
      </c>
      <c r="L7872" s="62">
        <f t="shared" si="2"/>
        <v>1</v>
      </c>
    </row>
    <row r="7873">
      <c r="A7873" s="58">
        <v>45474.0</v>
      </c>
      <c r="B7873" s="24" t="s">
        <v>6787</v>
      </c>
      <c r="C7873" s="24" t="s">
        <v>7068</v>
      </c>
      <c r="D7873" s="59">
        <v>7.0</v>
      </c>
      <c r="E7873" s="59">
        <v>8.0</v>
      </c>
      <c r="F7873" s="59">
        <v>7.0</v>
      </c>
      <c r="G7873" s="60">
        <v>1.14285714285714</v>
      </c>
      <c r="H7873" s="60">
        <v>0.5</v>
      </c>
      <c r="I7873" s="60">
        <v>65.197056625</v>
      </c>
      <c r="J7873" s="59">
        <v>8.0</v>
      </c>
      <c r="K7873" s="61">
        <f t="shared" si="1"/>
        <v>0.875</v>
      </c>
      <c r="L7873" s="62">
        <f t="shared" si="2"/>
        <v>1</v>
      </c>
    </row>
    <row r="7874">
      <c r="A7874" s="58">
        <v>45474.0</v>
      </c>
      <c r="B7874" s="24" t="s">
        <v>6789</v>
      </c>
      <c r="C7874" s="24" t="s">
        <v>6994</v>
      </c>
      <c r="D7874" s="59">
        <v>7.0</v>
      </c>
      <c r="E7874" s="59">
        <v>8.0</v>
      </c>
      <c r="F7874" s="59">
        <v>7.0</v>
      </c>
      <c r="G7874" s="60">
        <v>1.14285714285714</v>
      </c>
      <c r="H7874" s="60">
        <v>0.5</v>
      </c>
      <c r="I7874" s="60">
        <v>106.570418375</v>
      </c>
      <c r="J7874" s="59">
        <v>8.0</v>
      </c>
      <c r="K7874" s="61">
        <f t="shared" si="1"/>
        <v>0.875</v>
      </c>
      <c r="L7874" s="62">
        <f t="shared" si="2"/>
        <v>1</v>
      </c>
    </row>
    <row r="7875">
      <c r="A7875" s="58">
        <v>45474.0</v>
      </c>
      <c r="B7875" s="24" t="s">
        <v>6789</v>
      </c>
      <c r="C7875" s="24" t="s">
        <v>7313</v>
      </c>
      <c r="D7875" s="59">
        <v>7.0</v>
      </c>
      <c r="E7875" s="59">
        <v>12.0</v>
      </c>
      <c r="F7875" s="59">
        <v>2.0</v>
      </c>
      <c r="G7875" s="60">
        <v>1.71428571428571</v>
      </c>
      <c r="H7875" s="60">
        <v>0.333333333333333</v>
      </c>
      <c r="I7875" s="60">
        <v>417.91666775</v>
      </c>
      <c r="J7875" s="59">
        <v>40.0</v>
      </c>
      <c r="K7875" s="61">
        <f t="shared" si="1"/>
        <v>0.1666666667</v>
      </c>
      <c r="L7875" s="62">
        <f t="shared" si="2"/>
        <v>3.333333333</v>
      </c>
    </row>
    <row r="7876">
      <c r="A7876" s="58">
        <v>45474.0</v>
      </c>
      <c r="B7876" s="24" t="s">
        <v>6789</v>
      </c>
      <c r="C7876" s="24" t="s">
        <v>6997</v>
      </c>
      <c r="D7876" s="59">
        <v>6.0</v>
      </c>
      <c r="E7876" s="59">
        <v>6.0</v>
      </c>
      <c r="F7876" s="59">
        <v>5.0</v>
      </c>
      <c r="G7876" s="60">
        <v>1.0</v>
      </c>
      <c r="H7876" s="60">
        <v>0.666666666666666</v>
      </c>
      <c r="I7876" s="60">
        <v>134.914399833333</v>
      </c>
      <c r="J7876" s="59">
        <v>9.0</v>
      </c>
      <c r="K7876" s="61">
        <f t="shared" si="1"/>
        <v>0.8333333333</v>
      </c>
      <c r="L7876" s="62">
        <f t="shared" si="2"/>
        <v>1.5</v>
      </c>
    </row>
    <row r="7877">
      <c r="A7877" s="58">
        <v>45474.0</v>
      </c>
      <c r="B7877" s="24" t="s">
        <v>6787</v>
      </c>
      <c r="C7877" s="24" t="s">
        <v>6822</v>
      </c>
      <c r="D7877" s="59">
        <v>6.0</v>
      </c>
      <c r="E7877" s="59">
        <v>6.0</v>
      </c>
      <c r="F7877" s="59">
        <v>3.0</v>
      </c>
      <c r="G7877" s="60">
        <v>1.0</v>
      </c>
      <c r="H7877" s="60">
        <v>0.5</v>
      </c>
      <c r="I7877" s="60">
        <v>7.879968</v>
      </c>
      <c r="J7877" s="59">
        <v>8.0</v>
      </c>
      <c r="K7877" s="61">
        <f t="shared" si="1"/>
        <v>0.5</v>
      </c>
      <c r="L7877" s="62">
        <f t="shared" si="2"/>
        <v>1.333333333</v>
      </c>
    </row>
    <row r="7878">
      <c r="A7878" s="58">
        <v>45474.0</v>
      </c>
      <c r="B7878" s="24" t="s">
        <v>6787</v>
      </c>
      <c r="C7878" s="24" t="s">
        <v>6892</v>
      </c>
      <c r="D7878" s="59">
        <v>6.0</v>
      </c>
      <c r="E7878" s="59">
        <v>6.0</v>
      </c>
      <c r="F7878" s="59">
        <v>5.0</v>
      </c>
      <c r="G7878" s="60">
        <v>1.2</v>
      </c>
      <c r="H7878" s="60">
        <v>0.666666666666666</v>
      </c>
      <c r="I7878" s="60">
        <v>4.3720045</v>
      </c>
      <c r="J7878" s="59">
        <v>6.0</v>
      </c>
      <c r="K7878" s="61">
        <f t="shared" si="1"/>
        <v>0.8333333333</v>
      </c>
      <c r="L7878" s="62">
        <f t="shared" si="2"/>
        <v>1</v>
      </c>
    </row>
    <row r="7879">
      <c r="A7879" s="58">
        <v>45474.0</v>
      </c>
      <c r="B7879" s="24" t="s">
        <v>6787</v>
      </c>
      <c r="C7879" s="24" t="s">
        <v>7172</v>
      </c>
      <c r="D7879" s="59">
        <v>6.0</v>
      </c>
      <c r="E7879" s="59">
        <v>6.0</v>
      </c>
      <c r="F7879" s="59">
        <v>5.0</v>
      </c>
      <c r="G7879" s="60">
        <v>1.0</v>
      </c>
      <c r="H7879" s="60">
        <v>0.166666666666666</v>
      </c>
      <c r="I7879" s="60">
        <v>144.097280333333</v>
      </c>
      <c r="J7879" s="59">
        <v>11.0</v>
      </c>
      <c r="K7879" s="61">
        <f t="shared" si="1"/>
        <v>0.8333333333</v>
      </c>
      <c r="L7879" s="62">
        <f t="shared" si="2"/>
        <v>1.833333333</v>
      </c>
    </row>
    <row r="7880">
      <c r="A7880" s="58">
        <v>45474.0</v>
      </c>
      <c r="B7880" s="24" t="s">
        <v>6789</v>
      </c>
      <c r="C7880" s="24" t="s">
        <v>6801</v>
      </c>
      <c r="D7880" s="59">
        <v>6.0</v>
      </c>
      <c r="E7880" s="59">
        <v>7.0</v>
      </c>
      <c r="F7880" s="59">
        <v>3.0</v>
      </c>
      <c r="G7880" s="60">
        <v>1.16666666666666</v>
      </c>
      <c r="H7880" s="60">
        <v>0.142857142857142</v>
      </c>
      <c r="I7880" s="60">
        <v>686.113297714285</v>
      </c>
      <c r="J7880" s="59">
        <v>24.0</v>
      </c>
      <c r="K7880" s="61">
        <f t="shared" si="1"/>
        <v>0.4285714286</v>
      </c>
      <c r="L7880" s="62">
        <f t="shared" si="2"/>
        <v>3.428571429</v>
      </c>
    </row>
    <row r="7881">
      <c r="A7881" s="58">
        <v>45474.0</v>
      </c>
      <c r="B7881" s="24" t="s">
        <v>6789</v>
      </c>
      <c r="C7881" s="24" t="s">
        <v>6797</v>
      </c>
      <c r="D7881" s="59">
        <v>6.0</v>
      </c>
      <c r="E7881" s="59">
        <v>7.0</v>
      </c>
      <c r="F7881" s="59">
        <v>4.0</v>
      </c>
      <c r="G7881" s="60">
        <v>1.16666666666666</v>
      </c>
      <c r="H7881" s="60">
        <v>0.142857142857142</v>
      </c>
      <c r="I7881" s="60">
        <v>42.6633737142857</v>
      </c>
      <c r="J7881" s="59">
        <v>8.0</v>
      </c>
      <c r="K7881" s="61">
        <f t="shared" si="1"/>
        <v>0.5714285714</v>
      </c>
      <c r="L7881" s="62">
        <f t="shared" si="2"/>
        <v>1.142857143</v>
      </c>
    </row>
    <row r="7882">
      <c r="A7882" s="58">
        <v>45474.0</v>
      </c>
      <c r="B7882" s="24" t="s">
        <v>6787</v>
      </c>
      <c r="C7882" s="24" t="s">
        <v>6997</v>
      </c>
      <c r="D7882" s="59">
        <v>5.0</v>
      </c>
      <c r="E7882" s="59">
        <v>5.0</v>
      </c>
      <c r="F7882" s="59">
        <v>4.0</v>
      </c>
      <c r="G7882" s="60">
        <v>1.0</v>
      </c>
      <c r="H7882" s="60">
        <v>0.6</v>
      </c>
      <c r="I7882" s="60">
        <v>17.5778553999999</v>
      </c>
      <c r="J7882" s="59">
        <v>5.0</v>
      </c>
      <c r="K7882" s="61">
        <f t="shared" si="1"/>
        <v>0.8</v>
      </c>
      <c r="L7882" s="62">
        <f t="shared" si="2"/>
        <v>1</v>
      </c>
    </row>
    <row r="7883">
      <c r="A7883" s="58">
        <v>45474.0</v>
      </c>
      <c r="B7883" s="24" t="s">
        <v>6787</v>
      </c>
      <c r="C7883" s="24" t="s">
        <v>6910</v>
      </c>
      <c r="D7883" s="59">
        <v>5.0</v>
      </c>
      <c r="E7883" s="59">
        <v>5.0</v>
      </c>
      <c r="F7883" s="59">
        <v>5.0</v>
      </c>
      <c r="G7883" s="60">
        <v>1.0</v>
      </c>
      <c r="H7883" s="60">
        <v>0.8</v>
      </c>
      <c r="I7883" s="60">
        <v>2.18596919999999</v>
      </c>
      <c r="J7883" s="59">
        <v>5.0</v>
      </c>
      <c r="K7883" s="61">
        <f t="shared" si="1"/>
        <v>1</v>
      </c>
      <c r="L7883" s="62">
        <f t="shared" si="2"/>
        <v>1</v>
      </c>
    </row>
    <row r="7884">
      <c r="A7884" s="58">
        <v>45474.0</v>
      </c>
      <c r="B7884" s="24" t="s">
        <v>6787</v>
      </c>
      <c r="C7884" s="24" t="s">
        <v>7102</v>
      </c>
      <c r="D7884" s="59">
        <v>5.0</v>
      </c>
      <c r="E7884" s="59">
        <v>5.0</v>
      </c>
      <c r="F7884" s="59">
        <v>5.0</v>
      </c>
      <c r="G7884" s="60">
        <v>1.0</v>
      </c>
      <c r="H7884" s="60">
        <v>0.6</v>
      </c>
      <c r="I7884" s="60">
        <v>66.1480932</v>
      </c>
      <c r="J7884" s="59">
        <v>10.0</v>
      </c>
      <c r="K7884" s="61">
        <f t="shared" si="1"/>
        <v>1</v>
      </c>
      <c r="L7884" s="62">
        <f t="shared" si="2"/>
        <v>2</v>
      </c>
    </row>
    <row r="7885">
      <c r="A7885" s="58">
        <v>45474.0</v>
      </c>
      <c r="B7885" s="24" t="s">
        <v>6789</v>
      </c>
      <c r="C7885" s="24" t="s">
        <v>7102</v>
      </c>
      <c r="D7885" s="59">
        <v>5.0</v>
      </c>
      <c r="E7885" s="59">
        <v>5.0</v>
      </c>
      <c r="F7885" s="59">
        <v>0.0</v>
      </c>
      <c r="G7885" s="60">
        <v>1.0</v>
      </c>
      <c r="H7885" s="60">
        <v>0.2</v>
      </c>
      <c r="I7885" s="60">
        <v>636.5288232</v>
      </c>
      <c r="J7885" s="59">
        <v>12.0</v>
      </c>
      <c r="K7885" s="61">
        <f t="shared" si="1"/>
        <v>0</v>
      </c>
      <c r="L7885" s="62">
        <f t="shared" si="2"/>
        <v>2.4</v>
      </c>
    </row>
    <row r="7886">
      <c r="A7886" s="58">
        <v>45474.0</v>
      </c>
      <c r="B7886" s="24" t="s">
        <v>6789</v>
      </c>
      <c r="C7886" s="24" t="s">
        <v>7104</v>
      </c>
      <c r="D7886" s="59">
        <v>5.0</v>
      </c>
      <c r="E7886" s="59">
        <v>6.0</v>
      </c>
      <c r="F7886" s="59">
        <v>3.0</v>
      </c>
      <c r="G7886" s="60">
        <v>1.2</v>
      </c>
      <c r="H7886" s="60">
        <v>0.166666666666666</v>
      </c>
      <c r="I7886" s="60">
        <v>201.077147333333</v>
      </c>
      <c r="J7886" s="59">
        <v>13.0</v>
      </c>
      <c r="K7886" s="61">
        <f t="shared" si="1"/>
        <v>0.5</v>
      </c>
      <c r="L7886" s="62">
        <f t="shared" si="2"/>
        <v>2.166666667</v>
      </c>
    </row>
    <row r="7887">
      <c r="A7887" s="58">
        <v>45474.0</v>
      </c>
      <c r="B7887" s="24" t="s">
        <v>6789</v>
      </c>
      <c r="C7887" s="24" t="s">
        <v>6854</v>
      </c>
      <c r="D7887" s="59">
        <v>5.0</v>
      </c>
      <c r="E7887" s="59">
        <v>7.0</v>
      </c>
      <c r="F7887" s="59">
        <v>1.0</v>
      </c>
      <c r="G7887" s="60">
        <v>1.4</v>
      </c>
      <c r="H7887" s="60">
        <v>0.285714285714285</v>
      </c>
      <c r="I7887" s="60">
        <v>130.195593142857</v>
      </c>
      <c r="J7887" s="59">
        <v>17.0</v>
      </c>
      <c r="K7887" s="61">
        <f t="shared" si="1"/>
        <v>0.1428571429</v>
      </c>
      <c r="L7887" s="62">
        <f t="shared" si="2"/>
        <v>2.428571429</v>
      </c>
    </row>
    <row r="7888">
      <c r="A7888" s="58">
        <v>45474.0</v>
      </c>
      <c r="B7888" s="24" t="s">
        <v>6787</v>
      </c>
      <c r="C7888" s="24" t="s">
        <v>6817</v>
      </c>
      <c r="D7888" s="59">
        <v>4.0</v>
      </c>
      <c r="E7888" s="59">
        <v>5.0</v>
      </c>
      <c r="F7888" s="59">
        <v>3.0</v>
      </c>
      <c r="G7888" s="60">
        <v>1.66666666666666</v>
      </c>
      <c r="H7888" s="60">
        <v>1.0</v>
      </c>
      <c r="I7888" s="60">
        <v>0.0</v>
      </c>
      <c r="J7888" s="59">
        <v>5.0</v>
      </c>
      <c r="K7888" s="61">
        <f t="shared" si="1"/>
        <v>0.6</v>
      </c>
      <c r="L7888" s="62">
        <f t="shared" si="2"/>
        <v>1</v>
      </c>
    </row>
    <row r="7889">
      <c r="A7889" s="58">
        <v>45474.0</v>
      </c>
      <c r="B7889" s="24" t="s">
        <v>6787</v>
      </c>
      <c r="C7889" s="24" t="s">
        <v>6804</v>
      </c>
      <c r="D7889" s="59">
        <v>4.0</v>
      </c>
      <c r="E7889" s="59">
        <v>4.0</v>
      </c>
      <c r="F7889" s="59">
        <v>3.0</v>
      </c>
      <c r="G7889" s="60">
        <v>1.33333333333333</v>
      </c>
      <c r="H7889" s="60">
        <v>0.75</v>
      </c>
      <c r="I7889" s="60">
        <v>155.9396745</v>
      </c>
      <c r="J7889" s="59">
        <v>4.0</v>
      </c>
      <c r="K7889" s="61">
        <f t="shared" si="1"/>
        <v>0.75</v>
      </c>
      <c r="L7889" s="62">
        <f t="shared" si="2"/>
        <v>1</v>
      </c>
    </row>
    <row r="7890">
      <c r="A7890" s="58">
        <v>45474.0</v>
      </c>
      <c r="B7890" s="24" t="s">
        <v>6789</v>
      </c>
      <c r="C7890" s="24" t="s">
        <v>7061</v>
      </c>
      <c r="D7890" s="59">
        <v>4.0</v>
      </c>
      <c r="E7890" s="59">
        <v>6.0</v>
      </c>
      <c r="F7890" s="59">
        <v>1.0</v>
      </c>
      <c r="G7890" s="60">
        <v>3.0</v>
      </c>
      <c r="H7890" s="60">
        <v>0.666666666666666</v>
      </c>
      <c r="I7890" s="60">
        <v>158.301807333333</v>
      </c>
      <c r="J7890" s="59">
        <v>6.0</v>
      </c>
      <c r="K7890" s="61">
        <f t="shared" si="1"/>
        <v>0.1666666667</v>
      </c>
      <c r="L7890" s="62">
        <f t="shared" si="2"/>
        <v>1</v>
      </c>
    </row>
    <row r="7891">
      <c r="A7891" s="58">
        <v>45474.0</v>
      </c>
      <c r="B7891" s="24" t="s">
        <v>6787</v>
      </c>
      <c r="C7891" s="24" t="s">
        <v>7024</v>
      </c>
      <c r="D7891" s="59">
        <v>4.0</v>
      </c>
      <c r="E7891" s="59">
        <v>8.0</v>
      </c>
      <c r="F7891" s="59">
        <v>4.0</v>
      </c>
      <c r="G7891" s="60">
        <v>2.0</v>
      </c>
      <c r="H7891" s="60">
        <v>0.625</v>
      </c>
      <c r="I7891" s="60">
        <v>165.6779905</v>
      </c>
      <c r="J7891" s="59">
        <v>10.0</v>
      </c>
      <c r="K7891" s="61">
        <f t="shared" si="1"/>
        <v>0.5</v>
      </c>
      <c r="L7891" s="62">
        <f t="shared" si="2"/>
        <v>1.25</v>
      </c>
    </row>
    <row r="7892">
      <c r="A7892" s="58">
        <v>45474.0</v>
      </c>
      <c r="B7892" s="24" t="s">
        <v>6789</v>
      </c>
      <c r="C7892" s="24" t="s">
        <v>7074</v>
      </c>
      <c r="D7892" s="59">
        <v>4.0</v>
      </c>
      <c r="E7892" s="59">
        <v>5.0</v>
      </c>
      <c r="F7892" s="59">
        <v>4.0</v>
      </c>
      <c r="G7892" s="60">
        <v>1.25</v>
      </c>
      <c r="H7892" s="60">
        <v>0.4</v>
      </c>
      <c r="I7892" s="60">
        <v>25.1207516</v>
      </c>
      <c r="J7892" s="59">
        <v>7.0</v>
      </c>
      <c r="K7892" s="61">
        <f t="shared" si="1"/>
        <v>0.8</v>
      </c>
      <c r="L7892" s="62">
        <f t="shared" si="2"/>
        <v>1.4</v>
      </c>
    </row>
    <row r="7893">
      <c r="A7893" s="58">
        <v>45474.0</v>
      </c>
      <c r="B7893" s="24" t="s">
        <v>6789</v>
      </c>
      <c r="C7893" s="24" t="s">
        <v>6886</v>
      </c>
      <c r="D7893" s="59">
        <v>4.0</v>
      </c>
      <c r="E7893" s="59">
        <v>11.0</v>
      </c>
      <c r="F7893" s="59">
        <v>1.0</v>
      </c>
      <c r="G7893" s="60">
        <v>3.66666666666666</v>
      </c>
      <c r="H7893" s="60">
        <v>0.454545454545454</v>
      </c>
      <c r="I7893" s="60">
        <v>237.222925181818</v>
      </c>
      <c r="J7893" s="59">
        <v>21.0</v>
      </c>
      <c r="K7893" s="61">
        <f t="shared" si="1"/>
        <v>0.09090909091</v>
      </c>
      <c r="L7893" s="62">
        <f t="shared" si="2"/>
        <v>1.909090909</v>
      </c>
    </row>
    <row r="7894">
      <c r="A7894" s="58">
        <v>45474.0</v>
      </c>
      <c r="B7894" s="24" t="s">
        <v>6789</v>
      </c>
      <c r="C7894" s="24" t="s">
        <v>6840</v>
      </c>
      <c r="D7894" s="59">
        <v>4.0</v>
      </c>
      <c r="E7894" s="59">
        <v>4.0</v>
      </c>
      <c r="F7894" s="59">
        <v>3.0</v>
      </c>
      <c r="G7894" s="60">
        <v>1.0</v>
      </c>
      <c r="H7894" s="60">
        <v>0.5</v>
      </c>
      <c r="I7894" s="60">
        <v>10.6450505</v>
      </c>
      <c r="J7894" s="59">
        <v>4.0</v>
      </c>
      <c r="K7894" s="61">
        <f t="shared" si="1"/>
        <v>0.75</v>
      </c>
      <c r="L7894" s="62">
        <f t="shared" si="2"/>
        <v>1</v>
      </c>
    </row>
    <row r="7895">
      <c r="A7895" s="58">
        <v>45474.0</v>
      </c>
      <c r="B7895" s="24" t="s">
        <v>6787</v>
      </c>
      <c r="C7895" s="24" t="s">
        <v>6904</v>
      </c>
      <c r="D7895" s="59">
        <v>4.0</v>
      </c>
      <c r="E7895" s="59">
        <v>4.0</v>
      </c>
      <c r="F7895" s="59">
        <v>4.0</v>
      </c>
      <c r="G7895" s="60">
        <v>1.0</v>
      </c>
      <c r="H7895" s="60">
        <v>0.75</v>
      </c>
      <c r="I7895" s="60">
        <v>4.0187655</v>
      </c>
      <c r="J7895" s="59">
        <v>5.0</v>
      </c>
      <c r="K7895" s="61">
        <f t="shared" si="1"/>
        <v>1</v>
      </c>
      <c r="L7895" s="62">
        <f t="shared" si="2"/>
        <v>1.25</v>
      </c>
    </row>
    <row r="7896">
      <c r="A7896" s="58">
        <v>45474.0</v>
      </c>
      <c r="B7896" s="24" t="s">
        <v>6789</v>
      </c>
      <c r="C7896" s="24" t="s">
        <v>7044</v>
      </c>
      <c r="D7896" s="59">
        <v>4.0</v>
      </c>
      <c r="E7896" s="59">
        <v>5.0</v>
      </c>
      <c r="F7896" s="59">
        <v>1.0</v>
      </c>
      <c r="G7896" s="60">
        <v>1.66666666666666</v>
      </c>
      <c r="H7896" s="60">
        <v>0.8</v>
      </c>
      <c r="I7896" s="60">
        <v>224.247339799999</v>
      </c>
      <c r="J7896" s="59">
        <v>7.0</v>
      </c>
      <c r="K7896" s="61">
        <f t="shared" si="1"/>
        <v>0.2</v>
      </c>
      <c r="L7896" s="62">
        <f t="shared" si="2"/>
        <v>1.4</v>
      </c>
    </row>
    <row r="7897">
      <c r="A7897" s="58">
        <v>45474.0</v>
      </c>
      <c r="B7897" s="24" t="s">
        <v>6787</v>
      </c>
      <c r="C7897" s="24" t="s">
        <v>6801</v>
      </c>
      <c r="D7897" s="59">
        <v>4.0</v>
      </c>
      <c r="E7897" s="59">
        <v>5.0</v>
      </c>
      <c r="F7897" s="59">
        <v>3.0</v>
      </c>
      <c r="G7897" s="60">
        <v>1.25</v>
      </c>
      <c r="H7897" s="60">
        <v>0.2</v>
      </c>
      <c r="I7897" s="60">
        <v>356.4052748</v>
      </c>
      <c r="J7897" s="59">
        <v>11.0</v>
      </c>
      <c r="K7897" s="61">
        <f t="shared" si="1"/>
        <v>0.6</v>
      </c>
      <c r="L7897" s="62">
        <f t="shared" si="2"/>
        <v>2.2</v>
      </c>
    </row>
    <row r="7898">
      <c r="A7898" s="58">
        <v>45474.0</v>
      </c>
      <c r="B7898" s="24" t="s">
        <v>6789</v>
      </c>
      <c r="C7898" s="24" t="s">
        <v>7023</v>
      </c>
      <c r="D7898" s="59">
        <v>4.0</v>
      </c>
      <c r="E7898" s="59">
        <v>4.0</v>
      </c>
      <c r="F7898" s="59">
        <v>1.0</v>
      </c>
      <c r="G7898" s="60">
        <v>1.33333333333333</v>
      </c>
      <c r="H7898" s="60">
        <v>0.25</v>
      </c>
      <c r="I7898" s="60">
        <v>164.102216</v>
      </c>
      <c r="J7898" s="59">
        <v>5.0</v>
      </c>
      <c r="K7898" s="61">
        <f t="shared" si="1"/>
        <v>0.25</v>
      </c>
      <c r="L7898" s="62">
        <f t="shared" si="2"/>
        <v>1.25</v>
      </c>
    </row>
    <row r="7899">
      <c r="A7899" s="58">
        <v>45474.0</v>
      </c>
      <c r="B7899" s="24" t="s">
        <v>6789</v>
      </c>
      <c r="C7899" s="24" t="s">
        <v>7174</v>
      </c>
      <c r="D7899" s="59">
        <v>4.0</v>
      </c>
      <c r="E7899" s="59">
        <v>13.0</v>
      </c>
      <c r="F7899" s="59">
        <v>0.0</v>
      </c>
      <c r="G7899" s="60">
        <v>3.25</v>
      </c>
      <c r="H7899" s="60">
        <v>0.0769230769230769</v>
      </c>
      <c r="I7899" s="60">
        <v>945.118158615384</v>
      </c>
      <c r="J7899" s="59">
        <v>49.0</v>
      </c>
      <c r="K7899" s="61">
        <f t="shared" si="1"/>
        <v>0</v>
      </c>
      <c r="L7899" s="62">
        <f t="shared" si="2"/>
        <v>3.769230769</v>
      </c>
    </row>
    <row r="7900">
      <c r="A7900" s="58">
        <v>45474.0</v>
      </c>
      <c r="B7900" s="24" t="s">
        <v>6789</v>
      </c>
      <c r="C7900" s="24" t="s">
        <v>6922</v>
      </c>
      <c r="D7900" s="59">
        <v>4.0</v>
      </c>
      <c r="E7900" s="59">
        <v>4.0</v>
      </c>
      <c r="F7900" s="59">
        <v>2.0</v>
      </c>
      <c r="G7900" s="60">
        <v>1.0</v>
      </c>
      <c r="H7900" s="60">
        <v>0.25</v>
      </c>
      <c r="I7900" s="60">
        <v>146.973396249999</v>
      </c>
      <c r="J7900" s="59">
        <v>5.0</v>
      </c>
      <c r="K7900" s="61">
        <f t="shared" si="1"/>
        <v>0.5</v>
      </c>
      <c r="L7900" s="62">
        <f t="shared" si="2"/>
        <v>1.25</v>
      </c>
    </row>
    <row r="7901">
      <c r="A7901" s="58">
        <v>45474.0</v>
      </c>
      <c r="B7901" s="24" t="s">
        <v>6787</v>
      </c>
      <c r="C7901" s="24" t="s">
        <v>6797</v>
      </c>
      <c r="D7901" s="59">
        <v>4.0</v>
      </c>
      <c r="E7901" s="59">
        <v>4.0</v>
      </c>
      <c r="F7901" s="59">
        <v>4.0</v>
      </c>
      <c r="G7901" s="60">
        <v>1.0</v>
      </c>
      <c r="H7901" s="60">
        <v>0.5</v>
      </c>
      <c r="I7901" s="60">
        <v>90.2552855</v>
      </c>
      <c r="J7901" s="59">
        <v>41.0</v>
      </c>
      <c r="K7901" s="61">
        <f t="shared" si="1"/>
        <v>1</v>
      </c>
      <c r="L7901" s="62">
        <f t="shared" si="2"/>
        <v>10.25</v>
      </c>
    </row>
    <row r="7902">
      <c r="A7902" s="58">
        <v>45474.0</v>
      </c>
      <c r="B7902" s="24" t="s">
        <v>6787</v>
      </c>
      <c r="C7902" s="24" t="s">
        <v>6810</v>
      </c>
      <c r="D7902" s="59">
        <v>4.0</v>
      </c>
      <c r="E7902" s="59">
        <v>4.0</v>
      </c>
      <c r="F7902" s="59">
        <v>4.0</v>
      </c>
      <c r="G7902" s="60">
        <v>1.0</v>
      </c>
      <c r="H7902" s="60">
        <v>0.5</v>
      </c>
      <c r="I7902" s="60">
        <v>86.40541425</v>
      </c>
      <c r="J7902" s="59">
        <v>5.0</v>
      </c>
      <c r="K7902" s="61">
        <f t="shared" si="1"/>
        <v>1</v>
      </c>
      <c r="L7902" s="62">
        <f t="shared" si="2"/>
        <v>1.25</v>
      </c>
    </row>
    <row r="7903">
      <c r="A7903" s="58">
        <v>45474.0</v>
      </c>
      <c r="B7903" s="24" t="s">
        <v>6790</v>
      </c>
      <c r="C7903" s="24" t="s">
        <v>6792</v>
      </c>
      <c r="D7903" s="59">
        <v>3.0</v>
      </c>
      <c r="E7903" s="59">
        <v>3.0</v>
      </c>
      <c r="F7903" s="59">
        <v>0.0</v>
      </c>
      <c r="G7903" s="60">
        <v>1.5</v>
      </c>
      <c r="H7903" s="60">
        <v>1.0</v>
      </c>
      <c r="I7903" s="60">
        <v>0.248644333333333</v>
      </c>
      <c r="J7903" s="59">
        <v>0.0</v>
      </c>
      <c r="K7903" s="61">
        <f t="shared" si="1"/>
        <v>0</v>
      </c>
      <c r="L7903" s="62">
        <f t="shared" si="2"/>
        <v>0</v>
      </c>
    </row>
    <row r="7904">
      <c r="A7904" s="58">
        <v>45474.0</v>
      </c>
      <c r="B7904" s="24" t="s">
        <v>6789</v>
      </c>
      <c r="C7904" s="24" t="s">
        <v>6817</v>
      </c>
      <c r="D7904" s="59">
        <v>3.0</v>
      </c>
      <c r="E7904" s="59">
        <v>3.0</v>
      </c>
      <c r="F7904" s="59">
        <v>0.0</v>
      </c>
      <c r="G7904" s="60">
        <v>1.0</v>
      </c>
      <c r="H7904" s="60">
        <v>0.0</v>
      </c>
      <c r="I7904" s="60">
        <v>2053.13754266666</v>
      </c>
      <c r="J7904" s="59">
        <v>30.0</v>
      </c>
      <c r="K7904" s="61">
        <f t="shared" si="1"/>
        <v>0</v>
      </c>
      <c r="L7904" s="62">
        <f t="shared" si="2"/>
        <v>10</v>
      </c>
    </row>
    <row r="7905">
      <c r="A7905" s="58">
        <v>45474.0</v>
      </c>
      <c r="B7905" s="24" t="s">
        <v>6789</v>
      </c>
      <c r="C7905" s="24" t="s">
        <v>7058</v>
      </c>
      <c r="D7905" s="59">
        <v>3.0</v>
      </c>
      <c r="E7905" s="59">
        <v>3.0</v>
      </c>
      <c r="F7905" s="59">
        <v>2.0</v>
      </c>
      <c r="G7905" s="60">
        <v>1.0</v>
      </c>
      <c r="H7905" s="60">
        <v>0.666666666666666</v>
      </c>
      <c r="I7905" s="60">
        <v>3.18081033333333</v>
      </c>
      <c r="J7905" s="59">
        <v>4.0</v>
      </c>
      <c r="K7905" s="61">
        <f t="shared" si="1"/>
        <v>0.6666666667</v>
      </c>
      <c r="L7905" s="62">
        <f t="shared" si="2"/>
        <v>1.333333333</v>
      </c>
    </row>
    <row r="7906">
      <c r="A7906" s="58">
        <v>45474.0</v>
      </c>
      <c r="B7906" s="24" t="s">
        <v>6789</v>
      </c>
      <c r="C7906" s="24" t="s">
        <v>6819</v>
      </c>
      <c r="D7906" s="59">
        <v>3.0</v>
      </c>
      <c r="E7906" s="59">
        <v>3.0</v>
      </c>
      <c r="F7906" s="59">
        <v>3.0</v>
      </c>
      <c r="G7906" s="60">
        <v>1.0</v>
      </c>
      <c r="H7906" s="60">
        <v>0.333333333333333</v>
      </c>
      <c r="I7906" s="60">
        <v>91.7256363333333</v>
      </c>
      <c r="J7906" s="59">
        <v>5.0</v>
      </c>
      <c r="K7906" s="61">
        <f t="shared" si="1"/>
        <v>1</v>
      </c>
      <c r="L7906" s="62">
        <f t="shared" si="2"/>
        <v>1.666666667</v>
      </c>
    </row>
    <row r="7907">
      <c r="A7907" s="58">
        <v>45474.0</v>
      </c>
      <c r="B7907" s="24" t="s">
        <v>6789</v>
      </c>
      <c r="C7907" s="24" t="s">
        <v>6986</v>
      </c>
      <c r="D7907" s="59">
        <v>3.0</v>
      </c>
      <c r="E7907" s="59">
        <v>5.0</v>
      </c>
      <c r="F7907" s="59">
        <v>3.0</v>
      </c>
      <c r="G7907" s="60">
        <v>1.66666666666666</v>
      </c>
      <c r="H7907" s="60">
        <v>0.6</v>
      </c>
      <c r="I7907" s="60">
        <v>25.1341792</v>
      </c>
      <c r="J7907" s="59">
        <v>5.0</v>
      </c>
      <c r="K7907" s="61">
        <f t="shared" si="1"/>
        <v>0.6</v>
      </c>
      <c r="L7907" s="62">
        <f t="shared" si="2"/>
        <v>1</v>
      </c>
    </row>
    <row r="7908">
      <c r="A7908" s="58">
        <v>45474.0</v>
      </c>
      <c r="B7908" s="24" t="s">
        <v>155</v>
      </c>
      <c r="C7908" s="24" t="s">
        <v>7068</v>
      </c>
      <c r="D7908" s="59">
        <v>3.0</v>
      </c>
      <c r="E7908" s="59">
        <v>3.0</v>
      </c>
      <c r="F7908" s="59">
        <v>3.0</v>
      </c>
      <c r="G7908" s="60">
        <v>1.0</v>
      </c>
      <c r="H7908" s="60">
        <v>0.666666666666666</v>
      </c>
      <c r="I7908" s="60">
        <v>18.0521303333333</v>
      </c>
      <c r="J7908" s="59">
        <v>5.0</v>
      </c>
      <c r="K7908" s="61">
        <f t="shared" si="1"/>
        <v>1</v>
      </c>
      <c r="L7908" s="62">
        <f t="shared" si="2"/>
        <v>1.666666667</v>
      </c>
    </row>
    <row r="7909">
      <c r="A7909" s="58">
        <v>45474.0</v>
      </c>
      <c r="B7909" s="24" t="s">
        <v>6787</v>
      </c>
      <c r="C7909" s="24" t="s">
        <v>6994</v>
      </c>
      <c r="D7909" s="59">
        <v>3.0</v>
      </c>
      <c r="E7909" s="59">
        <v>4.0</v>
      </c>
      <c r="F7909" s="59">
        <v>3.0</v>
      </c>
      <c r="G7909" s="60">
        <v>1.33333333333333</v>
      </c>
      <c r="H7909" s="60">
        <v>0.5</v>
      </c>
      <c r="I7909" s="60">
        <v>76.050411</v>
      </c>
      <c r="J7909" s="59">
        <v>7.0</v>
      </c>
      <c r="K7909" s="61">
        <f t="shared" si="1"/>
        <v>0.75</v>
      </c>
      <c r="L7909" s="62">
        <f t="shared" si="2"/>
        <v>1.75</v>
      </c>
    </row>
    <row r="7910">
      <c r="A7910" s="58">
        <v>45474.0</v>
      </c>
      <c r="B7910" s="24" t="s">
        <v>6789</v>
      </c>
      <c r="C7910" s="24" t="s">
        <v>7072</v>
      </c>
      <c r="D7910" s="59">
        <v>3.0</v>
      </c>
      <c r="E7910" s="59">
        <v>3.0</v>
      </c>
      <c r="F7910" s="59">
        <v>3.0</v>
      </c>
      <c r="G7910" s="60">
        <v>1.0</v>
      </c>
      <c r="H7910" s="60">
        <v>0.0</v>
      </c>
      <c r="I7910" s="60">
        <v>19.5376046666666</v>
      </c>
      <c r="J7910" s="59">
        <v>4.0</v>
      </c>
      <c r="K7910" s="61">
        <f t="shared" si="1"/>
        <v>1</v>
      </c>
      <c r="L7910" s="62">
        <f t="shared" si="2"/>
        <v>1.333333333</v>
      </c>
    </row>
    <row r="7911">
      <c r="A7911" s="58">
        <v>45474.0</v>
      </c>
      <c r="B7911" s="24" t="s">
        <v>6790</v>
      </c>
      <c r="C7911" s="24" t="s">
        <v>6886</v>
      </c>
      <c r="D7911" s="59">
        <v>3.0</v>
      </c>
      <c r="E7911" s="59">
        <v>3.0</v>
      </c>
      <c r="F7911" s="59">
        <v>0.0</v>
      </c>
      <c r="G7911" s="60">
        <v>1.0</v>
      </c>
      <c r="H7911" s="60">
        <v>1.0</v>
      </c>
      <c r="I7911" s="60">
        <v>0.0</v>
      </c>
      <c r="J7911" s="59">
        <v>3.0</v>
      </c>
      <c r="K7911" s="61">
        <f t="shared" si="1"/>
        <v>0</v>
      </c>
      <c r="L7911" s="62">
        <f t="shared" si="2"/>
        <v>1</v>
      </c>
    </row>
    <row r="7912">
      <c r="A7912" s="58">
        <v>45474.0</v>
      </c>
      <c r="B7912" s="24" t="s">
        <v>6790</v>
      </c>
      <c r="C7912" s="24" t="s">
        <v>6799</v>
      </c>
      <c r="D7912" s="59">
        <v>3.0</v>
      </c>
      <c r="E7912" s="59">
        <v>3.0</v>
      </c>
      <c r="F7912" s="59">
        <v>0.0</v>
      </c>
      <c r="G7912" s="60">
        <v>1.0</v>
      </c>
      <c r="H7912" s="60">
        <v>0.666666666666666</v>
      </c>
      <c r="I7912" s="60">
        <v>707.491027333333</v>
      </c>
      <c r="J7912" s="59">
        <v>11.0</v>
      </c>
      <c r="K7912" s="61">
        <f t="shared" si="1"/>
        <v>0</v>
      </c>
      <c r="L7912" s="62">
        <f t="shared" si="2"/>
        <v>3.666666667</v>
      </c>
    </row>
    <row r="7913">
      <c r="A7913" s="58">
        <v>45474.0</v>
      </c>
      <c r="B7913" s="24" t="s">
        <v>6787</v>
      </c>
      <c r="C7913" s="24" t="s">
        <v>7129</v>
      </c>
      <c r="D7913" s="59">
        <v>3.0</v>
      </c>
      <c r="E7913" s="59">
        <v>3.0</v>
      </c>
      <c r="F7913" s="59">
        <v>3.0</v>
      </c>
      <c r="G7913" s="60">
        <v>1.0</v>
      </c>
      <c r="H7913" s="60">
        <v>1.0</v>
      </c>
      <c r="I7913" s="60">
        <v>2.01207266666666</v>
      </c>
      <c r="J7913" s="59">
        <v>3.0</v>
      </c>
      <c r="K7913" s="61">
        <f t="shared" si="1"/>
        <v>1</v>
      </c>
      <c r="L7913" s="62">
        <f t="shared" si="2"/>
        <v>1</v>
      </c>
    </row>
    <row r="7914">
      <c r="A7914" s="58">
        <v>45474.0</v>
      </c>
      <c r="B7914" s="24" t="s">
        <v>6787</v>
      </c>
      <c r="C7914" s="24" t="s">
        <v>7034</v>
      </c>
      <c r="D7914" s="59">
        <v>3.0</v>
      </c>
      <c r="E7914" s="59">
        <v>3.0</v>
      </c>
      <c r="F7914" s="59">
        <v>1.0</v>
      </c>
      <c r="G7914" s="60">
        <v>1.0</v>
      </c>
      <c r="H7914" s="60">
        <v>0.333333333333333</v>
      </c>
      <c r="I7914" s="60">
        <v>1223.66725266666</v>
      </c>
      <c r="J7914" s="59">
        <v>16.0</v>
      </c>
      <c r="K7914" s="61">
        <f t="shared" si="1"/>
        <v>0.3333333333</v>
      </c>
      <c r="L7914" s="62">
        <f t="shared" si="2"/>
        <v>5.333333333</v>
      </c>
    </row>
    <row r="7915">
      <c r="A7915" s="58">
        <v>45474.0</v>
      </c>
      <c r="B7915" s="24" t="s">
        <v>6789</v>
      </c>
      <c r="C7915" s="24" t="s">
        <v>7034</v>
      </c>
      <c r="D7915" s="59">
        <v>3.0</v>
      </c>
      <c r="E7915" s="59">
        <v>4.0</v>
      </c>
      <c r="F7915" s="59">
        <v>0.0</v>
      </c>
      <c r="G7915" s="60">
        <v>1.33333333333333</v>
      </c>
      <c r="H7915" s="60">
        <v>0.5</v>
      </c>
      <c r="I7915" s="60">
        <v>782.705406</v>
      </c>
      <c r="J7915" s="59">
        <v>15.0</v>
      </c>
      <c r="K7915" s="61">
        <f t="shared" si="1"/>
        <v>0</v>
      </c>
      <c r="L7915" s="62">
        <f t="shared" si="2"/>
        <v>3.75</v>
      </c>
    </row>
    <row r="7916">
      <c r="A7916" s="58">
        <v>45474.0</v>
      </c>
      <c r="B7916" s="24" t="s">
        <v>6787</v>
      </c>
      <c r="C7916" s="24" t="s">
        <v>7558</v>
      </c>
      <c r="D7916" s="59">
        <v>3.0</v>
      </c>
      <c r="E7916" s="59">
        <v>3.0</v>
      </c>
      <c r="F7916" s="59">
        <v>3.0</v>
      </c>
      <c r="G7916" s="60">
        <v>1.0</v>
      </c>
      <c r="H7916" s="60">
        <v>0.333333333333333</v>
      </c>
      <c r="I7916" s="60">
        <v>459.511461999999</v>
      </c>
      <c r="J7916" s="59">
        <v>4.0</v>
      </c>
      <c r="K7916" s="61">
        <f t="shared" si="1"/>
        <v>1</v>
      </c>
      <c r="L7916" s="62">
        <f t="shared" si="2"/>
        <v>1.333333333</v>
      </c>
    </row>
    <row r="7917">
      <c r="A7917" s="58">
        <v>45474.0</v>
      </c>
      <c r="B7917" s="24" t="s">
        <v>6789</v>
      </c>
      <c r="C7917" s="24" t="s">
        <v>7558</v>
      </c>
      <c r="D7917" s="59">
        <v>3.0</v>
      </c>
      <c r="E7917" s="59">
        <v>5.0</v>
      </c>
      <c r="F7917" s="59">
        <v>2.0</v>
      </c>
      <c r="G7917" s="60">
        <v>1.66666666666666</v>
      </c>
      <c r="H7917" s="60">
        <v>0.6</v>
      </c>
      <c r="I7917" s="60">
        <v>280.6812748</v>
      </c>
      <c r="J7917" s="59">
        <v>7.0</v>
      </c>
      <c r="K7917" s="61">
        <f t="shared" si="1"/>
        <v>0.4</v>
      </c>
      <c r="L7917" s="62">
        <f t="shared" si="2"/>
        <v>1.4</v>
      </c>
    </row>
    <row r="7918">
      <c r="A7918" s="58">
        <v>45474.0</v>
      </c>
      <c r="B7918" s="24" t="s">
        <v>6787</v>
      </c>
      <c r="C7918" s="24" t="s">
        <v>6907</v>
      </c>
      <c r="D7918" s="59">
        <v>3.0</v>
      </c>
      <c r="E7918" s="59">
        <v>3.0</v>
      </c>
      <c r="F7918" s="59">
        <v>2.0</v>
      </c>
      <c r="G7918" s="60">
        <v>1.0</v>
      </c>
      <c r="H7918" s="60">
        <v>0.666666666666666</v>
      </c>
      <c r="I7918" s="60">
        <v>22.8449116666666</v>
      </c>
      <c r="J7918" s="59">
        <v>3.0</v>
      </c>
      <c r="K7918" s="61">
        <f t="shared" si="1"/>
        <v>0.6666666667</v>
      </c>
      <c r="L7918" s="62">
        <f t="shared" si="2"/>
        <v>1</v>
      </c>
    </row>
    <row r="7919">
      <c r="A7919" s="58">
        <v>45474.0</v>
      </c>
      <c r="B7919" s="24" t="s">
        <v>6789</v>
      </c>
      <c r="C7919" s="24" t="s">
        <v>6907</v>
      </c>
      <c r="D7919" s="59">
        <v>3.0</v>
      </c>
      <c r="E7919" s="59">
        <v>4.0</v>
      </c>
      <c r="F7919" s="59">
        <v>2.0</v>
      </c>
      <c r="G7919" s="60">
        <v>1.33333333333333</v>
      </c>
      <c r="H7919" s="60">
        <v>0.5</v>
      </c>
      <c r="I7919" s="60">
        <v>89.69102175</v>
      </c>
      <c r="J7919" s="59">
        <v>6.0</v>
      </c>
      <c r="K7919" s="61">
        <f t="shared" si="1"/>
        <v>0.5</v>
      </c>
      <c r="L7919" s="62">
        <f t="shared" si="2"/>
        <v>1.5</v>
      </c>
    </row>
    <row r="7920">
      <c r="A7920" s="58">
        <v>45474.0</v>
      </c>
      <c r="B7920" s="24" t="s">
        <v>6787</v>
      </c>
      <c r="C7920" s="24" t="s">
        <v>6908</v>
      </c>
      <c r="D7920" s="59">
        <v>3.0</v>
      </c>
      <c r="E7920" s="59">
        <v>3.0</v>
      </c>
      <c r="F7920" s="59">
        <v>3.0</v>
      </c>
      <c r="G7920" s="60">
        <v>1.0</v>
      </c>
      <c r="H7920" s="60">
        <v>0.666666666666666</v>
      </c>
      <c r="I7920" s="60">
        <v>159.087221666666</v>
      </c>
      <c r="J7920" s="59">
        <v>3.0</v>
      </c>
      <c r="K7920" s="61">
        <f t="shared" si="1"/>
        <v>1</v>
      </c>
      <c r="L7920" s="62">
        <f t="shared" si="2"/>
        <v>1</v>
      </c>
    </row>
    <row r="7921">
      <c r="A7921" s="58">
        <v>45474.0</v>
      </c>
      <c r="B7921" s="24" t="s">
        <v>6789</v>
      </c>
      <c r="C7921" s="24" t="s">
        <v>7172</v>
      </c>
      <c r="D7921" s="59">
        <v>3.0</v>
      </c>
      <c r="E7921" s="59">
        <v>3.0</v>
      </c>
      <c r="F7921" s="59">
        <v>2.0</v>
      </c>
      <c r="G7921" s="60">
        <v>1.5</v>
      </c>
      <c r="H7921" s="60">
        <v>0.333333333333333</v>
      </c>
      <c r="I7921" s="60">
        <v>57.176182</v>
      </c>
      <c r="J7921" s="59">
        <v>4.0</v>
      </c>
      <c r="K7921" s="61">
        <f t="shared" si="1"/>
        <v>0.6666666667</v>
      </c>
      <c r="L7921" s="62">
        <f t="shared" si="2"/>
        <v>1.333333333</v>
      </c>
    </row>
    <row r="7922">
      <c r="A7922" s="58">
        <v>45474.0</v>
      </c>
      <c r="B7922" s="24" t="s">
        <v>6787</v>
      </c>
      <c r="C7922" s="24" t="s">
        <v>7023</v>
      </c>
      <c r="D7922" s="59">
        <v>3.0</v>
      </c>
      <c r="E7922" s="59">
        <v>3.0</v>
      </c>
      <c r="F7922" s="59">
        <v>2.0</v>
      </c>
      <c r="G7922" s="60">
        <v>1.0</v>
      </c>
      <c r="H7922" s="60">
        <v>0.666666666666666</v>
      </c>
      <c r="I7922" s="60">
        <v>463.925264666666</v>
      </c>
      <c r="J7922" s="59">
        <v>9.0</v>
      </c>
      <c r="K7922" s="61">
        <f t="shared" si="1"/>
        <v>0.6666666667</v>
      </c>
      <c r="L7922" s="62">
        <f t="shared" si="2"/>
        <v>3</v>
      </c>
    </row>
    <row r="7923">
      <c r="A7923" s="58">
        <v>45474.0</v>
      </c>
      <c r="B7923" s="24" t="s">
        <v>6787</v>
      </c>
      <c r="C7923" s="24" t="s">
        <v>7174</v>
      </c>
      <c r="D7923" s="59">
        <v>3.0</v>
      </c>
      <c r="E7923" s="59">
        <v>3.0</v>
      </c>
      <c r="F7923" s="59">
        <v>1.0</v>
      </c>
      <c r="G7923" s="60">
        <v>1.5</v>
      </c>
      <c r="H7923" s="60">
        <v>0.666666666666666</v>
      </c>
      <c r="I7923" s="60">
        <v>50.3269946666666</v>
      </c>
      <c r="J7923" s="59">
        <v>13.0</v>
      </c>
      <c r="K7923" s="61">
        <f t="shared" si="1"/>
        <v>0.3333333333</v>
      </c>
      <c r="L7923" s="62">
        <f t="shared" si="2"/>
        <v>4.333333333</v>
      </c>
    </row>
    <row r="7924">
      <c r="A7924" s="58">
        <v>45474.0</v>
      </c>
      <c r="B7924" s="24" t="s">
        <v>6794</v>
      </c>
      <c r="C7924" s="24" t="s">
        <v>7559</v>
      </c>
      <c r="D7924" s="59">
        <v>3.0</v>
      </c>
      <c r="E7924" s="59">
        <v>3.0</v>
      </c>
      <c r="F7924" s="59">
        <v>1.0</v>
      </c>
      <c r="G7924" s="60">
        <v>1.0</v>
      </c>
      <c r="H7924" s="60">
        <v>0.333333333333333</v>
      </c>
      <c r="I7924" s="60">
        <v>59.365698</v>
      </c>
      <c r="J7924" s="59">
        <v>4.0</v>
      </c>
      <c r="K7924" s="61">
        <f t="shared" si="1"/>
        <v>0.3333333333</v>
      </c>
      <c r="L7924" s="62">
        <f t="shared" si="2"/>
        <v>1.333333333</v>
      </c>
    </row>
    <row r="7925">
      <c r="A7925" s="58">
        <v>45474.0</v>
      </c>
      <c r="B7925" s="24" t="s">
        <v>6787</v>
      </c>
      <c r="C7925" s="24" t="s">
        <v>7180</v>
      </c>
      <c r="D7925" s="59">
        <v>3.0</v>
      </c>
      <c r="E7925" s="59">
        <v>3.0</v>
      </c>
      <c r="F7925" s="59">
        <v>3.0</v>
      </c>
      <c r="G7925" s="60">
        <v>1.0</v>
      </c>
      <c r="H7925" s="60">
        <v>0.666666666666666</v>
      </c>
      <c r="I7925" s="60">
        <v>53.9119643333333</v>
      </c>
      <c r="J7925" s="59">
        <v>4.0</v>
      </c>
      <c r="K7925" s="61">
        <f t="shared" si="1"/>
        <v>1</v>
      </c>
      <c r="L7925" s="62">
        <f t="shared" si="2"/>
        <v>1.333333333</v>
      </c>
    </row>
    <row r="7926">
      <c r="A7926" s="58">
        <v>45474.0</v>
      </c>
      <c r="B7926" s="24" t="s">
        <v>6787</v>
      </c>
      <c r="C7926" s="24" t="s">
        <v>6921</v>
      </c>
      <c r="D7926" s="59">
        <v>3.0</v>
      </c>
      <c r="E7926" s="59">
        <v>4.0</v>
      </c>
      <c r="F7926" s="59">
        <v>2.0</v>
      </c>
      <c r="G7926" s="60">
        <v>1.33333333333333</v>
      </c>
      <c r="H7926" s="60">
        <v>0.75</v>
      </c>
      <c r="I7926" s="60">
        <v>8.13390825</v>
      </c>
      <c r="J7926" s="59">
        <v>4.0</v>
      </c>
      <c r="K7926" s="61">
        <f t="shared" si="1"/>
        <v>0.5</v>
      </c>
      <c r="L7926" s="62">
        <f t="shared" si="2"/>
        <v>1</v>
      </c>
    </row>
    <row r="7927">
      <c r="A7927" s="58">
        <v>45474.0</v>
      </c>
      <c r="B7927" s="24" t="s">
        <v>6789</v>
      </c>
      <c r="C7927" s="24" t="s">
        <v>6810</v>
      </c>
      <c r="D7927" s="59">
        <v>3.0</v>
      </c>
      <c r="E7927" s="59">
        <v>6.0</v>
      </c>
      <c r="F7927" s="59">
        <v>2.0</v>
      </c>
      <c r="G7927" s="60">
        <v>2.0</v>
      </c>
      <c r="H7927" s="60">
        <v>0.666666666666666</v>
      </c>
      <c r="I7927" s="60">
        <v>29.7106476666666</v>
      </c>
      <c r="J7927" s="59">
        <v>9.0</v>
      </c>
      <c r="K7927" s="61">
        <f t="shared" si="1"/>
        <v>0.3333333333</v>
      </c>
      <c r="L7927" s="62">
        <f t="shared" si="2"/>
        <v>1.5</v>
      </c>
    </row>
    <row r="7928">
      <c r="A7928" s="58">
        <v>45474.0</v>
      </c>
      <c r="B7928" s="24" t="s">
        <v>3216</v>
      </c>
      <c r="C7928" s="24" t="s">
        <v>6792</v>
      </c>
      <c r="D7928" s="59">
        <v>2.0</v>
      </c>
      <c r="E7928" s="59">
        <v>2.0</v>
      </c>
      <c r="F7928" s="59">
        <v>0.0</v>
      </c>
      <c r="G7928" s="60">
        <v>1.0</v>
      </c>
      <c r="H7928" s="60">
        <v>1.0</v>
      </c>
      <c r="I7928" s="60">
        <v>0.0</v>
      </c>
      <c r="J7928" s="59">
        <v>0.0</v>
      </c>
      <c r="K7928" s="61">
        <f t="shared" si="1"/>
        <v>0</v>
      </c>
      <c r="L7928" s="62">
        <f t="shared" si="2"/>
        <v>0</v>
      </c>
    </row>
    <row r="7929">
      <c r="A7929" s="58">
        <v>45474.0</v>
      </c>
      <c r="B7929" s="24" t="s">
        <v>6794</v>
      </c>
      <c r="C7929" s="24" t="s">
        <v>6792</v>
      </c>
      <c r="D7929" s="59">
        <v>2.0</v>
      </c>
      <c r="E7929" s="59">
        <v>2.0</v>
      </c>
      <c r="F7929" s="59">
        <v>0.0</v>
      </c>
      <c r="G7929" s="60">
        <v>0.0</v>
      </c>
      <c r="H7929" s="60">
        <v>1.0</v>
      </c>
      <c r="I7929" s="60">
        <v>0.0</v>
      </c>
      <c r="J7929" s="59">
        <v>0.0</v>
      </c>
      <c r="K7929" s="61">
        <f t="shared" si="1"/>
        <v>0</v>
      </c>
      <c r="L7929" s="62">
        <f t="shared" si="2"/>
        <v>0</v>
      </c>
    </row>
    <row r="7930">
      <c r="A7930" s="58">
        <v>45474.0</v>
      </c>
      <c r="B7930" s="24" t="s">
        <v>7030</v>
      </c>
      <c r="C7930" s="24" t="s">
        <v>6788</v>
      </c>
      <c r="D7930" s="59">
        <v>2.0</v>
      </c>
      <c r="E7930" s="59">
        <v>14.0</v>
      </c>
      <c r="F7930" s="59">
        <v>1.0</v>
      </c>
      <c r="G7930" s="60">
        <v>7.0</v>
      </c>
      <c r="H7930" s="60">
        <v>0.142857142857142</v>
      </c>
      <c r="I7930" s="60">
        <v>564.617541214285</v>
      </c>
      <c r="J7930" s="59">
        <v>40.0</v>
      </c>
      <c r="K7930" s="61">
        <f t="shared" si="1"/>
        <v>0.07142857143</v>
      </c>
      <c r="L7930" s="62">
        <f t="shared" si="2"/>
        <v>2.857142857</v>
      </c>
    </row>
    <row r="7931">
      <c r="A7931" s="58">
        <v>45474.0</v>
      </c>
      <c r="B7931" s="24" t="s">
        <v>7100</v>
      </c>
      <c r="C7931" s="24" t="s">
        <v>6788</v>
      </c>
      <c r="D7931" s="59">
        <v>2.0</v>
      </c>
      <c r="E7931" s="59">
        <v>3.0</v>
      </c>
      <c r="F7931" s="59">
        <v>0.0</v>
      </c>
      <c r="G7931" s="60">
        <v>0.0</v>
      </c>
      <c r="H7931" s="60">
        <v>1.0</v>
      </c>
      <c r="I7931" s="60">
        <v>0.0</v>
      </c>
      <c r="J7931" s="59">
        <v>3.0</v>
      </c>
      <c r="K7931" s="61">
        <f t="shared" si="1"/>
        <v>0</v>
      </c>
      <c r="L7931" s="62">
        <f t="shared" si="2"/>
        <v>1</v>
      </c>
    </row>
    <row r="7932">
      <c r="A7932" s="58">
        <v>45474.0</v>
      </c>
      <c r="B7932" s="24" t="s">
        <v>6787</v>
      </c>
      <c r="C7932" s="24" t="s">
        <v>7056</v>
      </c>
      <c r="D7932" s="59">
        <v>2.0</v>
      </c>
      <c r="E7932" s="59">
        <v>3.0</v>
      </c>
      <c r="F7932" s="59">
        <v>2.0</v>
      </c>
      <c r="G7932" s="60">
        <v>1.5</v>
      </c>
      <c r="H7932" s="60">
        <v>0.666666666666666</v>
      </c>
      <c r="I7932" s="60">
        <v>32.518589</v>
      </c>
      <c r="J7932" s="59">
        <v>3.0</v>
      </c>
      <c r="K7932" s="61">
        <f t="shared" si="1"/>
        <v>0.6666666667</v>
      </c>
      <c r="L7932" s="62">
        <f t="shared" si="2"/>
        <v>1</v>
      </c>
    </row>
    <row r="7933">
      <c r="A7933" s="58">
        <v>45474.0</v>
      </c>
      <c r="B7933" s="24" t="s">
        <v>155</v>
      </c>
      <c r="C7933" s="24" t="s">
        <v>6829</v>
      </c>
      <c r="D7933" s="59">
        <v>2.0</v>
      </c>
      <c r="E7933" s="59">
        <v>4.0</v>
      </c>
      <c r="F7933" s="59">
        <v>2.0</v>
      </c>
      <c r="G7933" s="60">
        <v>2.0</v>
      </c>
      <c r="H7933" s="60">
        <v>0.25</v>
      </c>
      <c r="I7933" s="60">
        <v>538.3563085</v>
      </c>
      <c r="J7933" s="59">
        <v>4.0</v>
      </c>
      <c r="K7933" s="61">
        <f t="shared" si="1"/>
        <v>0.5</v>
      </c>
      <c r="L7933" s="62">
        <f t="shared" si="2"/>
        <v>1</v>
      </c>
    </row>
    <row r="7934">
      <c r="A7934" s="58">
        <v>45474.0</v>
      </c>
      <c r="B7934" s="24" t="s">
        <v>6787</v>
      </c>
      <c r="C7934" s="24" t="s">
        <v>7560</v>
      </c>
      <c r="D7934" s="59">
        <v>2.0</v>
      </c>
      <c r="E7934" s="59">
        <v>2.0</v>
      </c>
      <c r="F7934" s="59">
        <v>2.0</v>
      </c>
      <c r="G7934" s="60">
        <v>1.0</v>
      </c>
      <c r="H7934" s="60">
        <v>1.0</v>
      </c>
      <c r="I7934" s="60">
        <v>1.394188</v>
      </c>
      <c r="J7934" s="59">
        <v>2.0</v>
      </c>
      <c r="K7934" s="61">
        <f t="shared" si="1"/>
        <v>1</v>
      </c>
      <c r="L7934" s="62">
        <f t="shared" si="2"/>
        <v>1</v>
      </c>
    </row>
    <row r="7935">
      <c r="A7935" s="58">
        <v>45474.0</v>
      </c>
      <c r="B7935" s="24" t="s">
        <v>6787</v>
      </c>
      <c r="C7935" s="24" t="s">
        <v>6861</v>
      </c>
      <c r="D7935" s="59">
        <v>2.0</v>
      </c>
      <c r="E7935" s="59">
        <v>4.0</v>
      </c>
      <c r="F7935" s="59">
        <v>1.0</v>
      </c>
      <c r="G7935" s="60">
        <v>4.0</v>
      </c>
      <c r="H7935" s="60">
        <v>1.0</v>
      </c>
      <c r="I7935" s="60">
        <v>0.0</v>
      </c>
      <c r="J7935" s="59">
        <v>4.0</v>
      </c>
      <c r="K7935" s="61">
        <f t="shared" si="1"/>
        <v>0.25</v>
      </c>
      <c r="L7935" s="62">
        <f t="shared" si="2"/>
        <v>1</v>
      </c>
    </row>
    <row r="7936">
      <c r="A7936" s="58">
        <v>45474.0</v>
      </c>
      <c r="B7936" s="24" t="s">
        <v>6789</v>
      </c>
      <c r="C7936" s="24" t="s">
        <v>6861</v>
      </c>
      <c r="D7936" s="59">
        <v>2.0</v>
      </c>
      <c r="E7936" s="59">
        <v>2.0</v>
      </c>
      <c r="F7936" s="59">
        <v>2.0</v>
      </c>
      <c r="G7936" s="60">
        <v>1.0</v>
      </c>
      <c r="H7936" s="60">
        <v>0.5</v>
      </c>
      <c r="I7936" s="60">
        <v>21.909497</v>
      </c>
      <c r="J7936" s="59">
        <v>2.0</v>
      </c>
      <c r="K7936" s="61">
        <f t="shared" si="1"/>
        <v>1</v>
      </c>
      <c r="L7936" s="62">
        <f t="shared" si="2"/>
        <v>1</v>
      </c>
    </row>
    <row r="7937">
      <c r="A7937" s="58">
        <v>45474.0</v>
      </c>
      <c r="B7937" s="24" t="s">
        <v>6789</v>
      </c>
      <c r="C7937" s="24" t="s">
        <v>7059</v>
      </c>
      <c r="D7937" s="59">
        <v>2.0</v>
      </c>
      <c r="E7937" s="59">
        <v>2.0</v>
      </c>
      <c r="F7937" s="59">
        <v>2.0</v>
      </c>
      <c r="G7937" s="60">
        <v>1.0</v>
      </c>
      <c r="H7937" s="60">
        <v>0.5</v>
      </c>
      <c r="I7937" s="60">
        <v>23.62643</v>
      </c>
      <c r="J7937" s="59">
        <v>2.0</v>
      </c>
      <c r="K7937" s="61">
        <f t="shared" si="1"/>
        <v>1</v>
      </c>
      <c r="L7937" s="62">
        <f t="shared" si="2"/>
        <v>1</v>
      </c>
    </row>
    <row r="7938">
      <c r="A7938" s="58">
        <v>45474.0</v>
      </c>
      <c r="B7938" s="24" t="s">
        <v>6789</v>
      </c>
      <c r="C7938" s="24" t="s">
        <v>6833</v>
      </c>
      <c r="D7938" s="59">
        <v>2.0</v>
      </c>
      <c r="E7938" s="59">
        <v>2.0</v>
      </c>
      <c r="F7938" s="59">
        <v>1.0</v>
      </c>
      <c r="G7938" s="60">
        <v>2.0</v>
      </c>
      <c r="H7938" s="60">
        <v>1.0</v>
      </c>
      <c r="I7938" s="60">
        <v>3.3390545</v>
      </c>
      <c r="J7938" s="59">
        <v>2.0</v>
      </c>
      <c r="K7938" s="61">
        <f t="shared" si="1"/>
        <v>0.5</v>
      </c>
      <c r="L7938" s="62">
        <f t="shared" si="2"/>
        <v>1</v>
      </c>
    </row>
    <row r="7939">
      <c r="A7939" s="58">
        <v>45474.0</v>
      </c>
      <c r="B7939" s="24" t="s">
        <v>6787</v>
      </c>
      <c r="C7939" s="24" t="s">
        <v>7065</v>
      </c>
      <c r="D7939" s="59">
        <v>2.0</v>
      </c>
      <c r="E7939" s="59">
        <v>2.0</v>
      </c>
      <c r="F7939" s="59">
        <v>1.0</v>
      </c>
      <c r="G7939" s="60">
        <v>1.0</v>
      </c>
      <c r="H7939" s="60">
        <v>0.5</v>
      </c>
      <c r="I7939" s="60">
        <v>27.3172585</v>
      </c>
      <c r="J7939" s="59">
        <v>4.0</v>
      </c>
      <c r="K7939" s="61">
        <f t="shared" si="1"/>
        <v>0.5</v>
      </c>
      <c r="L7939" s="62">
        <f t="shared" si="2"/>
        <v>2</v>
      </c>
    </row>
    <row r="7940">
      <c r="A7940" s="58">
        <v>45474.0</v>
      </c>
      <c r="B7940" s="24" t="s">
        <v>6787</v>
      </c>
      <c r="C7940" s="24" t="s">
        <v>6820</v>
      </c>
      <c r="D7940" s="59">
        <v>2.0</v>
      </c>
      <c r="E7940" s="59">
        <v>2.0</v>
      </c>
      <c r="F7940" s="59">
        <v>2.0</v>
      </c>
      <c r="G7940" s="60">
        <v>1.0</v>
      </c>
      <c r="H7940" s="60">
        <v>1.0</v>
      </c>
      <c r="I7940" s="60">
        <v>0.0</v>
      </c>
      <c r="J7940" s="59">
        <v>2.0</v>
      </c>
      <c r="K7940" s="61">
        <f t="shared" si="1"/>
        <v>1</v>
      </c>
      <c r="L7940" s="62">
        <f t="shared" si="2"/>
        <v>1</v>
      </c>
    </row>
    <row r="7941">
      <c r="A7941" s="58">
        <v>45474.0</v>
      </c>
      <c r="B7941" s="24" t="s">
        <v>6789</v>
      </c>
      <c r="C7941" s="24" t="s">
        <v>6820</v>
      </c>
      <c r="D7941" s="59">
        <v>2.0</v>
      </c>
      <c r="E7941" s="59">
        <v>2.0</v>
      </c>
      <c r="F7941" s="59">
        <v>0.0</v>
      </c>
      <c r="G7941" s="60">
        <v>1.0</v>
      </c>
      <c r="H7941" s="60">
        <v>0.0</v>
      </c>
      <c r="I7941" s="60">
        <v>216.9569995</v>
      </c>
      <c r="J7941" s="59">
        <v>4.0</v>
      </c>
      <c r="K7941" s="61">
        <f t="shared" si="1"/>
        <v>0</v>
      </c>
      <c r="L7941" s="62">
        <f t="shared" si="2"/>
        <v>2</v>
      </c>
    </row>
    <row r="7942">
      <c r="A7942" s="58">
        <v>45474.0</v>
      </c>
      <c r="B7942" s="24" t="s">
        <v>6787</v>
      </c>
      <c r="C7942" s="24" t="s">
        <v>6838</v>
      </c>
      <c r="D7942" s="59">
        <v>2.0</v>
      </c>
      <c r="E7942" s="59">
        <v>2.0</v>
      </c>
      <c r="F7942" s="59">
        <v>2.0</v>
      </c>
      <c r="G7942" s="60">
        <v>1.0</v>
      </c>
      <c r="H7942" s="60">
        <v>0.5</v>
      </c>
      <c r="I7942" s="60">
        <v>10.225313</v>
      </c>
      <c r="J7942" s="59">
        <v>4.0</v>
      </c>
      <c r="K7942" s="61">
        <f t="shared" si="1"/>
        <v>1</v>
      </c>
      <c r="L7942" s="62">
        <f t="shared" si="2"/>
        <v>2</v>
      </c>
    </row>
    <row r="7943">
      <c r="A7943" s="58">
        <v>45474.0</v>
      </c>
      <c r="B7943" s="24" t="s">
        <v>6790</v>
      </c>
      <c r="C7943" s="24" t="s">
        <v>6822</v>
      </c>
      <c r="D7943" s="59">
        <v>2.0</v>
      </c>
      <c r="E7943" s="59">
        <v>2.0</v>
      </c>
      <c r="F7943" s="59">
        <v>0.0</v>
      </c>
      <c r="G7943" s="60">
        <v>1.0</v>
      </c>
      <c r="H7943" s="60">
        <v>0.5</v>
      </c>
      <c r="I7943" s="60">
        <v>1309.7950445</v>
      </c>
      <c r="J7943" s="59">
        <v>5.0</v>
      </c>
      <c r="K7943" s="61">
        <f t="shared" si="1"/>
        <v>0</v>
      </c>
      <c r="L7943" s="62">
        <f t="shared" si="2"/>
        <v>2.5</v>
      </c>
    </row>
    <row r="7944">
      <c r="A7944" s="58">
        <v>45474.0</v>
      </c>
      <c r="B7944" s="24" t="s">
        <v>6787</v>
      </c>
      <c r="C7944" s="24" t="s">
        <v>6896</v>
      </c>
      <c r="D7944" s="59">
        <v>2.0</v>
      </c>
      <c r="E7944" s="59">
        <v>2.0</v>
      </c>
      <c r="F7944" s="59">
        <v>1.0</v>
      </c>
      <c r="G7944" s="60">
        <v>2.0</v>
      </c>
      <c r="H7944" s="60">
        <v>1.0</v>
      </c>
      <c r="I7944" s="60">
        <v>0.0</v>
      </c>
      <c r="J7944" s="59">
        <v>2.0</v>
      </c>
      <c r="K7944" s="61">
        <f t="shared" si="1"/>
        <v>0.5</v>
      </c>
      <c r="L7944" s="62">
        <f t="shared" si="2"/>
        <v>1</v>
      </c>
    </row>
    <row r="7945">
      <c r="A7945" s="58">
        <v>45474.0</v>
      </c>
      <c r="B7945" s="24" t="s">
        <v>6789</v>
      </c>
      <c r="C7945" s="24" t="s">
        <v>6896</v>
      </c>
      <c r="D7945" s="59">
        <v>2.0</v>
      </c>
      <c r="E7945" s="59">
        <v>2.0</v>
      </c>
      <c r="F7945" s="59">
        <v>1.0</v>
      </c>
      <c r="G7945" s="60">
        <v>2.0</v>
      </c>
      <c r="H7945" s="60">
        <v>0.5</v>
      </c>
      <c r="I7945" s="60">
        <v>106.3221245</v>
      </c>
      <c r="J7945" s="59">
        <v>2.0</v>
      </c>
      <c r="K7945" s="61">
        <f t="shared" si="1"/>
        <v>0.5</v>
      </c>
      <c r="L7945" s="62">
        <f t="shared" si="2"/>
        <v>1</v>
      </c>
    </row>
    <row r="7946">
      <c r="A7946" s="58">
        <v>45474.0</v>
      </c>
      <c r="B7946" s="24" t="s">
        <v>6789</v>
      </c>
      <c r="C7946" s="24" t="s">
        <v>6905</v>
      </c>
      <c r="D7946" s="59">
        <v>2.0</v>
      </c>
      <c r="E7946" s="59">
        <v>4.0</v>
      </c>
      <c r="F7946" s="59">
        <v>0.0</v>
      </c>
      <c r="G7946" s="60">
        <v>2.0</v>
      </c>
      <c r="H7946" s="60">
        <v>0.0</v>
      </c>
      <c r="I7946" s="60">
        <v>948.05766075</v>
      </c>
      <c r="J7946" s="59">
        <v>8.0</v>
      </c>
      <c r="K7946" s="61">
        <f t="shared" si="1"/>
        <v>0</v>
      </c>
      <c r="L7946" s="62">
        <f t="shared" si="2"/>
        <v>2</v>
      </c>
    </row>
    <row r="7947">
      <c r="A7947" s="58">
        <v>45474.0</v>
      </c>
      <c r="B7947" s="24" t="s">
        <v>6789</v>
      </c>
      <c r="C7947" s="24" t="s">
        <v>7561</v>
      </c>
      <c r="D7947" s="59">
        <v>2.0</v>
      </c>
      <c r="E7947" s="59">
        <v>2.0</v>
      </c>
      <c r="F7947" s="59">
        <v>1.0</v>
      </c>
      <c r="G7947" s="60">
        <v>2.0</v>
      </c>
      <c r="H7947" s="60">
        <v>1.0</v>
      </c>
      <c r="I7947" s="60">
        <v>0.0</v>
      </c>
      <c r="J7947" s="59">
        <v>2.0</v>
      </c>
      <c r="K7947" s="61">
        <f t="shared" si="1"/>
        <v>0.5</v>
      </c>
      <c r="L7947" s="62">
        <f t="shared" si="2"/>
        <v>1</v>
      </c>
    </row>
    <row r="7948">
      <c r="A7948" s="58">
        <v>45474.0</v>
      </c>
      <c r="B7948" s="24" t="s">
        <v>6794</v>
      </c>
      <c r="C7948" s="24" t="s">
        <v>7562</v>
      </c>
      <c r="D7948" s="59">
        <v>2.0</v>
      </c>
      <c r="E7948" s="59">
        <v>2.0</v>
      </c>
      <c r="F7948" s="59">
        <v>2.0</v>
      </c>
      <c r="G7948" s="60">
        <v>1.0</v>
      </c>
      <c r="H7948" s="60">
        <v>0.5</v>
      </c>
      <c r="I7948" s="60">
        <v>22.3482775</v>
      </c>
      <c r="J7948" s="59">
        <v>2.0</v>
      </c>
      <c r="K7948" s="61">
        <f t="shared" si="1"/>
        <v>1</v>
      </c>
      <c r="L7948" s="62">
        <f t="shared" si="2"/>
        <v>1</v>
      </c>
    </row>
    <row r="7949">
      <c r="A7949" s="58">
        <v>45474.0</v>
      </c>
      <c r="B7949" s="24" t="s">
        <v>155</v>
      </c>
      <c r="C7949" s="24" t="s">
        <v>6808</v>
      </c>
      <c r="D7949" s="59">
        <v>2.0</v>
      </c>
      <c r="E7949" s="59">
        <v>2.0</v>
      </c>
      <c r="F7949" s="59">
        <v>1.0</v>
      </c>
      <c r="G7949" s="60">
        <v>1.0</v>
      </c>
      <c r="H7949" s="60">
        <v>1.0</v>
      </c>
      <c r="I7949" s="60">
        <v>0.0</v>
      </c>
      <c r="J7949" s="59">
        <v>2.0</v>
      </c>
      <c r="K7949" s="61">
        <f t="shared" si="1"/>
        <v>0.5</v>
      </c>
      <c r="L7949" s="62">
        <f t="shared" si="2"/>
        <v>1</v>
      </c>
    </row>
    <row r="7950">
      <c r="A7950" s="58">
        <v>45474.0</v>
      </c>
      <c r="B7950" s="24" t="s">
        <v>6789</v>
      </c>
      <c r="C7950" s="24" t="s">
        <v>7087</v>
      </c>
      <c r="D7950" s="59">
        <v>2.0</v>
      </c>
      <c r="E7950" s="59">
        <v>2.0</v>
      </c>
      <c r="F7950" s="59">
        <v>1.0</v>
      </c>
      <c r="G7950" s="60">
        <v>1.0</v>
      </c>
      <c r="H7950" s="60">
        <v>0.0</v>
      </c>
      <c r="I7950" s="60">
        <v>271.646861</v>
      </c>
      <c r="J7950" s="59">
        <v>6.0</v>
      </c>
      <c r="K7950" s="61">
        <f t="shared" si="1"/>
        <v>0.5</v>
      </c>
      <c r="L7950" s="62">
        <f t="shared" si="2"/>
        <v>3</v>
      </c>
    </row>
    <row r="7951">
      <c r="A7951" s="58">
        <v>45474.0</v>
      </c>
      <c r="B7951" s="24" t="s">
        <v>6789</v>
      </c>
      <c r="C7951" s="24" t="s">
        <v>7035</v>
      </c>
      <c r="D7951" s="59">
        <v>2.0</v>
      </c>
      <c r="E7951" s="59">
        <v>2.0</v>
      </c>
      <c r="F7951" s="59">
        <v>0.0</v>
      </c>
      <c r="G7951" s="60">
        <v>1.0</v>
      </c>
      <c r="H7951" s="60">
        <v>0.5</v>
      </c>
      <c r="I7951" s="60">
        <v>45.942761</v>
      </c>
      <c r="J7951" s="59">
        <v>5.0</v>
      </c>
      <c r="K7951" s="61">
        <f t="shared" si="1"/>
        <v>0</v>
      </c>
      <c r="L7951" s="62">
        <f t="shared" si="2"/>
        <v>2.5</v>
      </c>
    </row>
    <row r="7952">
      <c r="A7952" s="58">
        <v>45474.0</v>
      </c>
      <c r="B7952" s="24" t="s">
        <v>6789</v>
      </c>
      <c r="C7952" s="24" t="s">
        <v>6800</v>
      </c>
      <c r="D7952" s="59">
        <v>2.0</v>
      </c>
      <c r="E7952" s="59">
        <v>2.0</v>
      </c>
      <c r="F7952" s="59">
        <v>2.0</v>
      </c>
      <c r="G7952" s="60">
        <v>1.0</v>
      </c>
      <c r="H7952" s="60">
        <v>0.5</v>
      </c>
      <c r="I7952" s="60">
        <v>101.678727</v>
      </c>
      <c r="J7952" s="59">
        <v>3.0</v>
      </c>
      <c r="K7952" s="61">
        <f t="shared" si="1"/>
        <v>1</v>
      </c>
      <c r="L7952" s="62">
        <f t="shared" si="2"/>
        <v>1.5</v>
      </c>
    </row>
    <row r="7953">
      <c r="A7953" s="58">
        <v>45474.0</v>
      </c>
      <c r="B7953" s="24" t="s">
        <v>6787</v>
      </c>
      <c r="C7953" s="24" t="s">
        <v>7044</v>
      </c>
      <c r="D7953" s="59">
        <v>2.0</v>
      </c>
      <c r="E7953" s="59">
        <v>2.0</v>
      </c>
      <c r="F7953" s="59">
        <v>1.0</v>
      </c>
      <c r="G7953" s="60">
        <v>1.0</v>
      </c>
      <c r="H7953" s="60">
        <v>0.5</v>
      </c>
      <c r="I7953" s="60">
        <v>29.5735435</v>
      </c>
      <c r="J7953" s="59">
        <v>2.0</v>
      </c>
      <c r="K7953" s="61">
        <f t="shared" si="1"/>
        <v>0.5</v>
      </c>
      <c r="L7953" s="62">
        <f t="shared" si="2"/>
        <v>1</v>
      </c>
    </row>
    <row r="7954">
      <c r="A7954" s="58">
        <v>45474.0</v>
      </c>
      <c r="B7954" s="24" t="s">
        <v>6789</v>
      </c>
      <c r="C7954" s="24" t="s">
        <v>6908</v>
      </c>
      <c r="D7954" s="59">
        <v>2.0</v>
      </c>
      <c r="E7954" s="59">
        <v>2.0</v>
      </c>
      <c r="F7954" s="59">
        <v>0.0</v>
      </c>
      <c r="G7954" s="60">
        <v>1.0</v>
      </c>
      <c r="H7954" s="60">
        <v>0.5</v>
      </c>
      <c r="I7954" s="60">
        <v>30.621687</v>
      </c>
      <c r="J7954" s="59">
        <v>6.0</v>
      </c>
      <c r="K7954" s="61">
        <f t="shared" si="1"/>
        <v>0</v>
      </c>
      <c r="L7954" s="62">
        <f t="shared" si="2"/>
        <v>3</v>
      </c>
    </row>
    <row r="7955">
      <c r="A7955" s="58">
        <v>45474.0</v>
      </c>
      <c r="B7955" s="24" t="s">
        <v>6787</v>
      </c>
      <c r="C7955" s="24" t="s">
        <v>7313</v>
      </c>
      <c r="D7955" s="59">
        <v>2.0</v>
      </c>
      <c r="E7955" s="59">
        <v>2.0</v>
      </c>
      <c r="F7955" s="59">
        <v>2.0</v>
      </c>
      <c r="G7955" s="60">
        <v>1.0</v>
      </c>
      <c r="H7955" s="60">
        <v>0.5</v>
      </c>
      <c r="I7955" s="60">
        <v>16.3918525</v>
      </c>
      <c r="J7955" s="59">
        <v>3.0</v>
      </c>
      <c r="K7955" s="61">
        <f t="shared" si="1"/>
        <v>1</v>
      </c>
      <c r="L7955" s="62">
        <f t="shared" si="2"/>
        <v>1.5</v>
      </c>
    </row>
    <row r="7956">
      <c r="A7956" s="58">
        <v>45474.0</v>
      </c>
      <c r="B7956" s="24" t="s">
        <v>6787</v>
      </c>
      <c r="C7956" s="24" t="s">
        <v>7104</v>
      </c>
      <c r="D7956" s="59">
        <v>2.0</v>
      </c>
      <c r="E7956" s="59">
        <v>2.0</v>
      </c>
      <c r="F7956" s="59">
        <v>1.0</v>
      </c>
      <c r="G7956" s="60">
        <v>1.0</v>
      </c>
      <c r="H7956" s="60">
        <v>1.0</v>
      </c>
      <c r="I7956" s="60">
        <v>0.0</v>
      </c>
      <c r="J7956" s="59">
        <v>2.0</v>
      </c>
      <c r="K7956" s="61">
        <f t="shared" si="1"/>
        <v>0.5</v>
      </c>
      <c r="L7956" s="62">
        <f t="shared" si="2"/>
        <v>1</v>
      </c>
    </row>
    <row r="7957">
      <c r="A7957" s="58">
        <v>45474.0</v>
      </c>
      <c r="B7957" s="24" t="s">
        <v>6789</v>
      </c>
      <c r="C7957" s="24" t="s">
        <v>7192</v>
      </c>
      <c r="D7957" s="59">
        <v>2.0</v>
      </c>
      <c r="E7957" s="59">
        <v>2.0</v>
      </c>
      <c r="F7957" s="59">
        <v>0.0</v>
      </c>
      <c r="G7957" s="60">
        <v>1.0</v>
      </c>
      <c r="H7957" s="60">
        <v>0.0</v>
      </c>
      <c r="I7957" s="60">
        <v>691.6862995</v>
      </c>
      <c r="J7957" s="59">
        <v>7.0</v>
      </c>
      <c r="K7957" s="61">
        <f t="shared" si="1"/>
        <v>0</v>
      </c>
      <c r="L7957" s="62">
        <f t="shared" si="2"/>
        <v>3.5</v>
      </c>
    </row>
    <row r="7958">
      <c r="A7958" s="58">
        <v>45474.0</v>
      </c>
      <c r="B7958" s="24" t="s">
        <v>6787</v>
      </c>
      <c r="C7958" s="24" t="s">
        <v>6922</v>
      </c>
      <c r="D7958" s="59">
        <v>2.0</v>
      </c>
      <c r="E7958" s="59">
        <v>2.0</v>
      </c>
      <c r="F7958" s="59">
        <v>2.0</v>
      </c>
      <c r="G7958" s="60">
        <v>1.0</v>
      </c>
      <c r="H7958" s="60">
        <v>1.0</v>
      </c>
      <c r="I7958" s="60">
        <v>0.0</v>
      </c>
      <c r="J7958" s="59">
        <v>2.0</v>
      </c>
      <c r="K7958" s="61">
        <f t="shared" si="1"/>
        <v>1</v>
      </c>
      <c r="L7958" s="62">
        <f t="shared" si="2"/>
        <v>1</v>
      </c>
    </row>
    <row r="7959">
      <c r="A7959" s="58">
        <v>45474.0</v>
      </c>
      <c r="B7959" s="24" t="s">
        <v>6787</v>
      </c>
      <c r="C7959" s="24" t="s">
        <v>7047</v>
      </c>
      <c r="D7959" s="59">
        <v>2.0</v>
      </c>
      <c r="E7959" s="59">
        <v>2.0</v>
      </c>
      <c r="F7959" s="59">
        <v>2.0</v>
      </c>
      <c r="G7959" s="60">
        <v>1.0</v>
      </c>
      <c r="H7959" s="60">
        <v>1.0</v>
      </c>
      <c r="I7959" s="60">
        <v>0.0</v>
      </c>
      <c r="J7959" s="59">
        <v>2.0</v>
      </c>
      <c r="K7959" s="61">
        <f t="shared" si="1"/>
        <v>1</v>
      </c>
      <c r="L7959" s="62">
        <f t="shared" si="2"/>
        <v>1</v>
      </c>
    </row>
    <row r="7960">
      <c r="A7960" s="58">
        <v>45474.0</v>
      </c>
      <c r="B7960" s="24" t="s">
        <v>6787</v>
      </c>
      <c r="C7960" s="24" t="s">
        <v>6931</v>
      </c>
      <c r="D7960" s="59">
        <v>2.0</v>
      </c>
      <c r="E7960" s="59">
        <v>2.0</v>
      </c>
      <c r="F7960" s="59">
        <v>2.0</v>
      </c>
      <c r="G7960" s="60">
        <v>1.0</v>
      </c>
      <c r="H7960" s="60">
        <v>1.0</v>
      </c>
      <c r="I7960" s="60">
        <v>0.0</v>
      </c>
      <c r="J7960" s="59">
        <v>2.0</v>
      </c>
      <c r="K7960" s="61">
        <f t="shared" si="1"/>
        <v>1</v>
      </c>
      <c r="L7960" s="62">
        <f t="shared" si="2"/>
        <v>1</v>
      </c>
    </row>
    <row r="7961">
      <c r="A7961" s="58">
        <v>45474.0</v>
      </c>
      <c r="B7961" s="24" t="s">
        <v>155</v>
      </c>
      <c r="C7961" s="24" t="s">
        <v>6931</v>
      </c>
      <c r="D7961" s="59">
        <v>2.0</v>
      </c>
      <c r="E7961" s="59">
        <v>2.0</v>
      </c>
      <c r="F7961" s="59">
        <v>2.0</v>
      </c>
      <c r="G7961" s="60">
        <v>1.0</v>
      </c>
      <c r="H7961" s="60">
        <v>0.5</v>
      </c>
      <c r="I7961" s="60">
        <v>2.658635</v>
      </c>
      <c r="J7961" s="59">
        <v>4.0</v>
      </c>
      <c r="K7961" s="61">
        <f t="shared" si="1"/>
        <v>1</v>
      </c>
      <c r="L7961" s="62">
        <f t="shared" si="2"/>
        <v>2</v>
      </c>
    </row>
    <row r="7962">
      <c r="A7962" s="58">
        <v>45474.0</v>
      </c>
      <c r="B7962" s="24" t="s">
        <v>6787</v>
      </c>
      <c r="C7962" s="24" t="s">
        <v>6924</v>
      </c>
      <c r="D7962" s="59">
        <v>2.0</v>
      </c>
      <c r="E7962" s="59">
        <v>2.0</v>
      </c>
      <c r="F7962" s="59">
        <v>0.0</v>
      </c>
      <c r="G7962" s="60">
        <v>1.0</v>
      </c>
      <c r="H7962" s="60">
        <v>0.0</v>
      </c>
      <c r="I7962" s="60">
        <v>406.8337155</v>
      </c>
      <c r="J7962" s="59">
        <v>5.0</v>
      </c>
      <c r="K7962" s="61">
        <f t="shared" si="1"/>
        <v>0</v>
      </c>
      <c r="L7962" s="62">
        <f t="shared" si="2"/>
        <v>2.5</v>
      </c>
    </row>
    <row r="7963">
      <c r="A7963" s="58">
        <v>45474.0</v>
      </c>
      <c r="B7963" s="24" t="s">
        <v>6789</v>
      </c>
      <c r="C7963" s="24" t="s">
        <v>6924</v>
      </c>
      <c r="D7963" s="59">
        <v>2.0</v>
      </c>
      <c r="E7963" s="59">
        <v>3.0</v>
      </c>
      <c r="F7963" s="59">
        <v>1.0</v>
      </c>
      <c r="G7963" s="60">
        <v>1.5</v>
      </c>
      <c r="H7963" s="60">
        <v>0.666666666666666</v>
      </c>
      <c r="I7963" s="60">
        <v>3.43563566666666</v>
      </c>
      <c r="J7963" s="59">
        <v>3.0</v>
      </c>
      <c r="K7963" s="61">
        <f t="shared" si="1"/>
        <v>0.3333333333</v>
      </c>
      <c r="L7963" s="62">
        <f t="shared" si="2"/>
        <v>1</v>
      </c>
    </row>
    <row r="7964">
      <c r="A7964" s="58">
        <v>45474.0</v>
      </c>
      <c r="B7964" s="24" t="s">
        <v>7030</v>
      </c>
      <c r="C7964" s="24" t="s">
        <v>6792</v>
      </c>
      <c r="D7964" s="59">
        <v>1.0</v>
      </c>
      <c r="E7964" s="59">
        <v>4.0</v>
      </c>
      <c r="F7964" s="59">
        <v>0.0</v>
      </c>
      <c r="G7964" s="60">
        <v>4.0</v>
      </c>
      <c r="H7964" s="60">
        <v>0.75</v>
      </c>
      <c r="I7964" s="60">
        <v>8.398249</v>
      </c>
      <c r="J7964" s="59">
        <v>0.0</v>
      </c>
      <c r="K7964" s="61">
        <f t="shared" si="1"/>
        <v>0</v>
      </c>
      <c r="L7964" s="62">
        <f t="shared" si="2"/>
        <v>0</v>
      </c>
    </row>
    <row r="7965">
      <c r="A7965" s="58">
        <v>45474.0</v>
      </c>
      <c r="B7965" s="24" t="s">
        <v>6787</v>
      </c>
      <c r="C7965" s="24" t="s">
        <v>7563</v>
      </c>
      <c r="D7965" s="59">
        <v>1.0</v>
      </c>
      <c r="E7965" s="59">
        <v>1.0</v>
      </c>
      <c r="F7965" s="59">
        <v>1.0</v>
      </c>
      <c r="G7965" s="60">
        <v>1.0</v>
      </c>
      <c r="H7965" s="60">
        <v>1.0</v>
      </c>
      <c r="I7965" s="60">
        <v>7.396476</v>
      </c>
      <c r="J7965" s="59">
        <v>1.0</v>
      </c>
      <c r="K7965" s="61">
        <f t="shared" si="1"/>
        <v>1</v>
      </c>
      <c r="L7965" s="62">
        <f t="shared" si="2"/>
        <v>1</v>
      </c>
    </row>
    <row r="7966">
      <c r="A7966" s="58">
        <v>45474.0</v>
      </c>
      <c r="B7966" s="24" t="s">
        <v>6794</v>
      </c>
      <c r="C7966" s="24" t="s">
        <v>6803</v>
      </c>
      <c r="D7966" s="59">
        <v>1.0</v>
      </c>
      <c r="E7966" s="59">
        <v>1.0</v>
      </c>
      <c r="F7966" s="59">
        <v>1.0</v>
      </c>
      <c r="G7966" s="60">
        <v>1.0</v>
      </c>
      <c r="H7966" s="60">
        <v>0.0</v>
      </c>
      <c r="I7966" s="60">
        <v>315.022935</v>
      </c>
      <c r="J7966" s="59">
        <v>1.0</v>
      </c>
      <c r="K7966" s="61">
        <f t="shared" si="1"/>
        <v>1</v>
      </c>
      <c r="L7966" s="62">
        <f t="shared" si="2"/>
        <v>1</v>
      </c>
    </row>
    <row r="7967">
      <c r="A7967" s="58">
        <v>45474.0</v>
      </c>
      <c r="B7967" s="24" t="s">
        <v>6794</v>
      </c>
      <c r="C7967" s="24" t="s">
        <v>7564</v>
      </c>
      <c r="D7967" s="59">
        <v>1.0</v>
      </c>
      <c r="E7967" s="59">
        <v>1.0</v>
      </c>
      <c r="F7967" s="59">
        <v>1.0</v>
      </c>
      <c r="G7967" s="60">
        <v>1.0</v>
      </c>
      <c r="H7967" s="60">
        <v>0.0</v>
      </c>
      <c r="I7967" s="60">
        <v>6.685437</v>
      </c>
      <c r="J7967" s="59">
        <v>2.0</v>
      </c>
      <c r="K7967" s="61">
        <f t="shared" si="1"/>
        <v>1</v>
      </c>
      <c r="L7967" s="62">
        <f t="shared" si="2"/>
        <v>2</v>
      </c>
    </row>
    <row r="7968">
      <c r="A7968" s="58">
        <v>45474.0</v>
      </c>
      <c r="B7968" s="24" t="s">
        <v>6790</v>
      </c>
      <c r="C7968" s="24" t="s">
        <v>6817</v>
      </c>
      <c r="D7968" s="59">
        <v>1.0</v>
      </c>
      <c r="E7968" s="59">
        <v>1.0</v>
      </c>
      <c r="F7968" s="59">
        <v>0.0</v>
      </c>
      <c r="G7968" s="60">
        <v>1.0</v>
      </c>
      <c r="H7968" s="60">
        <v>0.0</v>
      </c>
      <c r="I7968" s="60">
        <v>1342.229548</v>
      </c>
      <c r="J7968" s="59">
        <v>5.0</v>
      </c>
      <c r="K7968" s="61">
        <f t="shared" si="1"/>
        <v>0</v>
      </c>
      <c r="L7968" s="62">
        <f t="shared" si="2"/>
        <v>5</v>
      </c>
    </row>
    <row r="7969">
      <c r="A7969" s="58">
        <v>45474.0</v>
      </c>
      <c r="B7969" s="24" t="s">
        <v>155</v>
      </c>
      <c r="C7969" s="24" t="s">
        <v>6804</v>
      </c>
      <c r="D7969" s="59">
        <v>1.0</v>
      </c>
      <c r="E7969" s="59">
        <v>1.0</v>
      </c>
      <c r="F7969" s="59">
        <v>1.0</v>
      </c>
      <c r="G7969" s="60">
        <v>1.0</v>
      </c>
      <c r="H7969" s="60">
        <v>1.0</v>
      </c>
      <c r="I7969" s="60">
        <v>0.0</v>
      </c>
      <c r="J7969" s="59">
        <v>1.0</v>
      </c>
      <c r="K7969" s="61">
        <f t="shared" si="1"/>
        <v>1</v>
      </c>
      <c r="L7969" s="62">
        <f t="shared" si="2"/>
        <v>1</v>
      </c>
    </row>
    <row r="7970">
      <c r="A7970" s="58">
        <v>45474.0</v>
      </c>
      <c r="B7970" s="24" t="s">
        <v>6790</v>
      </c>
      <c r="C7970" s="24" t="s">
        <v>6804</v>
      </c>
      <c r="D7970" s="59">
        <v>1.0</v>
      </c>
      <c r="E7970" s="59">
        <v>1.0</v>
      </c>
      <c r="F7970" s="59">
        <v>0.0</v>
      </c>
      <c r="G7970" s="60">
        <v>1.0</v>
      </c>
      <c r="H7970" s="60">
        <v>1.0</v>
      </c>
      <c r="I7970" s="60">
        <v>0.0</v>
      </c>
      <c r="J7970" s="59">
        <v>1.0</v>
      </c>
      <c r="K7970" s="61">
        <f t="shared" si="1"/>
        <v>0</v>
      </c>
      <c r="L7970" s="62">
        <f t="shared" si="2"/>
        <v>1</v>
      </c>
    </row>
    <row r="7971">
      <c r="A7971" s="58">
        <v>45474.0</v>
      </c>
      <c r="B7971" s="24" t="s">
        <v>6787</v>
      </c>
      <c r="C7971" s="24" t="s">
        <v>7057</v>
      </c>
      <c r="D7971" s="59">
        <v>1.0</v>
      </c>
      <c r="E7971" s="59">
        <v>1.0</v>
      </c>
      <c r="F7971" s="59">
        <v>0.0</v>
      </c>
      <c r="G7971" s="60">
        <v>1.0</v>
      </c>
      <c r="H7971" s="60">
        <v>0.0</v>
      </c>
      <c r="I7971" s="60">
        <v>5253.426599</v>
      </c>
      <c r="J7971" s="59">
        <v>16.0</v>
      </c>
      <c r="K7971" s="61">
        <f t="shared" si="1"/>
        <v>0</v>
      </c>
      <c r="L7971" s="62">
        <f t="shared" si="2"/>
        <v>16</v>
      </c>
    </row>
    <row r="7972">
      <c r="A7972" s="58">
        <v>45474.0</v>
      </c>
      <c r="B7972" s="24" t="s">
        <v>6789</v>
      </c>
      <c r="C7972" s="24" t="s">
        <v>7057</v>
      </c>
      <c r="D7972" s="59">
        <v>1.0</v>
      </c>
      <c r="E7972" s="59">
        <v>1.0</v>
      </c>
      <c r="F7972" s="59">
        <v>1.0</v>
      </c>
      <c r="G7972" s="60">
        <v>1.0</v>
      </c>
      <c r="H7972" s="60">
        <v>0.0</v>
      </c>
      <c r="I7972" s="60">
        <v>1582.688595</v>
      </c>
      <c r="J7972" s="59">
        <v>1.0</v>
      </c>
      <c r="K7972" s="61">
        <f t="shared" si="1"/>
        <v>1</v>
      </c>
      <c r="L7972" s="62">
        <f t="shared" si="2"/>
        <v>1</v>
      </c>
    </row>
    <row r="7973">
      <c r="A7973" s="58">
        <v>45474.0</v>
      </c>
      <c r="B7973" s="24" t="s">
        <v>6790</v>
      </c>
      <c r="C7973" s="24" t="s">
        <v>7059</v>
      </c>
      <c r="D7973" s="59">
        <v>1.0</v>
      </c>
      <c r="E7973" s="59">
        <v>1.0</v>
      </c>
      <c r="F7973" s="59">
        <v>0.0</v>
      </c>
      <c r="G7973" s="60">
        <v>1.0</v>
      </c>
      <c r="H7973" s="60">
        <v>1.0</v>
      </c>
      <c r="I7973" s="60">
        <v>0.0</v>
      </c>
      <c r="J7973" s="59">
        <v>1.0</v>
      </c>
      <c r="K7973" s="61">
        <f t="shared" si="1"/>
        <v>0</v>
      </c>
      <c r="L7973" s="62">
        <f t="shared" si="2"/>
        <v>1</v>
      </c>
    </row>
    <row r="7974">
      <c r="A7974" s="58">
        <v>45474.0</v>
      </c>
      <c r="B7974" s="24" t="s">
        <v>6789</v>
      </c>
      <c r="C7974" s="24" t="s">
        <v>7060</v>
      </c>
      <c r="D7974" s="59">
        <v>1.0</v>
      </c>
      <c r="E7974" s="59">
        <v>1.0</v>
      </c>
      <c r="F7974" s="59">
        <v>0.0</v>
      </c>
      <c r="G7974" s="60">
        <v>1.0</v>
      </c>
      <c r="H7974" s="60">
        <v>0.0</v>
      </c>
      <c r="I7974" s="60">
        <v>7.109993</v>
      </c>
      <c r="J7974" s="59">
        <v>2.0</v>
      </c>
      <c r="K7974" s="61">
        <f t="shared" si="1"/>
        <v>0</v>
      </c>
      <c r="L7974" s="62">
        <f t="shared" si="2"/>
        <v>2</v>
      </c>
    </row>
    <row r="7975">
      <c r="A7975" s="58">
        <v>45474.0</v>
      </c>
      <c r="B7975" s="24" t="s">
        <v>6787</v>
      </c>
      <c r="C7975" s="24" t="s">
        <v>6985</v>
      </c>
      <c r="D7975" s="59">
        <v>1.0</v>
      </c>
      <c r="E7975" s="59">
        <v>1.0</v>
      </c>
      <c r="F7975" s="59">
        <v>1.0</v>
      </c>
      <c r="G7975" s="60">
        <v>1.0</v>
      </c>
      <c r="H7975" s="60">
        <v>1.0</v>
      </c>
      <c r="I7975" s="60">
        <v>0.0</v>
      </c>
      <c r="J7975" s="59">
        <v>1.0</v>
      </c>
      <c r="K7975" s="61">
        <f t="shared" si="1"/>
        <v>1</v>
      </c>
      <c r="L7975" s="62">
        <f t="shared" si="2"/>
        <v>1</v>
      </c>
    </row>
    <row r="7976">
      <c r="A7976" s="58">
        <v>45474.0</v>
      </c>
      <c r="B7976" s="24" t="s">
        <v>6789</v>
      </c>
      <c r="C7976" s="24" t="s">
        <v>6985</v>
      </c>
      <c r="D7976" s="59">
        <v>1.0</v>
      </c>
      <c r="E7976" s="59">
        <v>1.0</v>
      </c>
      <c r="F7976" s="59">
        <v>1.0</v>
      </c>
      <c r="G7976" s="60">
        <v>1.0</v>
      </c>
      <c r="H7976" s="60">
        <v>0.0</v>
      </c>
      <c r="I7976" s="60">
        <v>506.149622</v>
      </c>
      <c r="J7976" s="59">
        <v>1.0</v>
      </c>
      <c r="K7976" s="61">
        <f t="shared" si="1"/>
        <v>1</v>
      </c>
      <c r="L7976" s="62">
        <f t="shared" si="2"/>
        <v>1</v>
      </c>
    </row>
    <row r="7977">
      <c r="A7977" s="58">
        <v>45474.0</v>
      </c>
      <c r="B7977" s="24" t="s">
        <v>6787</v>
      </c>
      <c r="C7977" s="24" t="s">
        <v>6833</v>
      </c>
      <c r="D7977" s="59">
        <v>1.0</v>
      </c>
      <c r="E7977" s="59">
        <v>1.0</v>
      </c>
      <c r="F7977" s="59">
        <v>1.0</v>
      </c>
      <c r="G7977" s="60">
        <v>1.0</v>
      </c>
      <c r="H7977" s="60">
        <v>1.0</v>
      </c>
      <c r="I7977" s="60">
        <v>0.0</v>
      </c>
      <c r="J7977" s="59">
        <v>1.0</v>
      </c>
      <c r="K7977" s="61">
        <f t="shared" si="1"/>
        <v>1</v>
      </c>
      <c r="L7977" s="62">
        <f t="shared" si="2"/>
        <v>1</v>
      </c>
    </row>
    <row r="7978">
      <c r="A7978" s="58">
        <v>45474.0</v>
      </c>
      <c r="B7978" s="24" t="s">
        <v>6787</v>
      </c>
      <c r="C7978" s="24" t="s">
        <v>6819</v>
      </c>
      <c r="D7978" s="59">
        <v>1.0</v>
      </c>
      <c r="E7978" s="59">
        <v>1.0</v>
      </c>
      <c r="F7978" s="59">
        <v>0.0</v>
      </c>
      <c r="G7978" s="60">
        <v>1.0</v>
      </c>
      <c r="H7978" s="60">
        <v>0.0</v>
      </c>
      <c r="I7978" s="60">
        <v>1881.836427</v>
      </c>
      <c r="J7978" s="59">
        <v>2.0</v>
      </c>
      <c r="K7978" s="61">
        <f t="shared" si="1"/>
        <v>0</v>
      </c>
      <c r="L7978" s="62">
        <f t="shared" si="2"/>
        <v>2</v>
      </c>
    </row>
    <row r="7979">
      <c r="A7979" s="58">
        <v>45474.0</v>
      </c>
      <c r="B7979" s="24" t="s">
        <v>6794</v>
      </c>
      <c r="C7979" s="24" t="s">
        <v>6986</v>
      </c>
      <c r="D7979" s="59">
        <v>1.0</v>
      </c>
      <c r="E7979" s="59">
        <v>1.0</v>
      </c>
      <c r="F7979" s="59">
        <v>0.0</v>
      </c>
      <c r="G7979" s="60">
        <v>1.0</v>
      </c>
      <c r="H7979" s="60">
        <v>0.0</v>
      </c>
      <c r="I7979" s="60">
        <v>1530.499708</v>
      </c>
      <c r="J7979" s="59">
        <v>1.0</v>
      </c>
      <c r="K7979" s="61">
        <f t="shared" si="1"/>
        <v>0</v>
      </c>
      <c r="L7979" s="62">
        <f t="shared" si="2"/>
        <v>1</v>
      </c>
    </row>
    <row r="7980">
      <c r="A7980" s="58">
        <v>45474.0</v>
      </c>
      <c r="B7980" s="24" t="s">
        <v>6787</v>
      </c>
      <c r="C7980" s="24" t="s">
        <v>7061</v>
      </c>
      <c r="D7980" s="59">
        <v>1.0</v>
      </c>
      <c r="E7980" s="59">
        <v>1.0</v>
      </c>
      <c r="F7980" s="59">
        <v>1.0</v>
      </c>
      <c r="G7980" s="60">
        <v>1.0</v>
      </c>
      <c r="H7980" s="60">
        <v>1.0</v>
      </c>
      <c r="I7980" s="60">
        <v>0.0</v>
      </c>
      <c r="J7980" s="59">
        <v>1.0</v>
      </c>
      <c r="K7980" s="61">
        <f t="shared" si="1"/>
        <v>1</v>
      </c>
      <c r="L7980" s="62">
        <f t="shared" si="2"/>
        <v>1</v>
      </c>
    </row>
    <row r="7981">
      <c r="A7981" s="58">
        <v>45474.0</v>
      </c>
      <c r="B7981" s="24" t="s">
        <v>6794</v>
      </c>
      <c r="C7981" s="24" t="s">
        <v>7061</v>
      </c>
      <c r="D7981" s="59">
        <v>1.0</v>
      </c>
      <c r="E7981" s="59">
        <v>2.0</v>
      </c>
      <c r="F7981" s="59">
        <v>0.0</v>
      </c>
      <c r="G7981" s="60">
        <v>2.0</v>
      </c>
      <c r="H7981" s="60">
        <v>1.0</v>
      </c>
      <c r="I7981" s="60">
        <v>4.0494045</v>
      </c>
      <c r="J7981" s="59">
        <v>2.0</v>
      </c>
      <c r="K7981" s="61">
        <f t="shared" si="1"/>
        <v>0</v>
      </c>
      <c r="L7981" s="62">
        <f t="shared" si="2"/>
        <v>1</v>
      </c>
    </row>
    <row r="7982">
      <c r="A7982" s="58">
        <v>45474.0</v>
      </c>
      <c r="B7982" s="24" t="s">
        <v>6787</v>
      </c>
      <c r="C7982" s="24" t="s">
        <v>6867</v>
      </c>
      <c r="D7982" s="59">
        <v>1.0</v>
      </c>
      <c r="E7982" s="59">
        <v>1.0</v>
      </c>
      <c r="F7982" s="59">
        <v>1.0</v>
      </c>
      <c r="G7982" s="60">
        <v>1.0</v>
      </c>
      <c r="H7982" s="60">
        <v>1.0</v>
      </c>
      <c r="I7982" s="60">
        <v>0.0</v>
      </c>
      <c r="J7982" s="59">
        <v>1.0</v>
      </c>
      <c r="K7982" s="61">
        <f t="shared" si="1"/>
        <v>1</v>
      </c>
      <c r="L7982" s="62">
        <f t="shared" si="2"/>
        <v>1</v>
      </c>
    </row>
    <row r="7983">
      <c r="A7983" s="58">
        <v>45474.0</v>
      </c>
      <c r="B7983" s="24" t="s">
        <v>6789</v>
      </c>
      <c r="C7983" s="24" t="s">
        <v>6867</v>
      </c>
      <c r="D7983" s="59">
        <v>1.0</v>
      </c>
      <c r="E7983" s="59">
        <v>1.0</v>
      </c>
      <c r="F7983" s="59">
        <v>0.0</v>
      </c>
      <c r="G7983" s="60">
        <v>1.0</v>
      </c>
      <c r="H7983" s="60">
        <v>0.0</v>
      </c>
      <c r="I7983" s="60">
        <v>92.876289</v>
      </c>
      <c r="J7983" s="59">
        <v>2.0</v>
      </c>
      <c r="K7983" s="61">
        <f t="shared" si="1"/>
        <v>0</v>
      </c>
      <c r="L7983" s="62">
        <f t="shared" si="2"/>
        <v>2</v>
      </c>
    </row>
    <row r="7984">
      <c r="A7984" s="58">
        <v>45474.0</v>
      </c>
      <c r="B7984" s="24" t="s">
        <v>6789</v>
      </c>
      <c r="C7984" s="24" t="s">
        <v>7063</v>
      </c>
      <c r="D7984" s="59">
        <v>1.0</v>
      </c>
      <c r="E7984" s="59">
        <v>1.0</v>
      </c>
      <c r="F7984" s="59">
        <v>1.0</v>
      </c>
      <c r="G7984" s="60">
        <v>1.0</v>
      </c>
      <c r="H7984" s="60">
        <v>0.0</v>
      </c>
      <c r="I7984" s="60">
        <v>117.26044</v>
      </c>
      <c r="J7984" s="59">
        <v>2.0</v>
      </c>
      <c r="K7984" s="61">
        <f t="shared" si="1"/>
        <v>1</v>
      </c>
      <c r="L7984" s="62">
        <f t="shared" si="2"/>
        <v>2</v>
      </c>
    </row>
    <row r="7985">
      <c r="A7985" s="58">
        <v>45474.0</v>
      </c>
      <c r="B7985" s="24" t="s">
        <v>6790</v>
      </c>
      <c r="C7985" s="24" t="s">
        <v>7024</v>
      </c>
      <c r="D7985" s="59">
        <v>1.0</v>
      </c>
      <c r="E7985" s="59">
        <v>1.0</v>
      </c>
      <c r="F7985" s="59">
        <v>1.0</v>
      </c>
      <c r="G7985" s="60">
        <v>1.0</v>
      </c>
      <c r="H7985" s="60">
        <v>1.0</v>
      </c>
      <c r="I7985" s="60">
        <v>0.0</v>
      </c>
      <c r="J7985" s="59">
        <v>1.0</v>
      </c>
      <c r="K7985" s="61">
        <f t="shared" si="1"/>
        <v>1</v>
      </c>
      <c r="L7985" s="62">
        <f t="shared" si="2"/>
        <v>1</v>
      </c>
    </row>
    <row r="7986">
      <c r="A7986" s="58">
        <v>45474.0</v>
      </c>
      <c r="B7986" s="24" t="s">
        <v>6787</v>
      </c>
      <c r="C7986" s="24" t="s">
        <v>6990</v>
      </c>
      <c r="D7986" s="59">
        <v>1.0</v>
      </c>
      <c r="E7986" s="59">
        <v>1.0</v>
      </c>
      <c r="F7986" s="59">
        <v>1.0</v>
      </c>
      <c r="G7986" s="60">
        <v>1.0</v>
      </c>
      <c r="H7986" s="60">
        <v>1.0</v>
      </c>
      <c r="I7986" s="60">
        <v>0.0</v>
      </c>
      <c r="J7986" s="59">
        <v>1.0</v>
      </c>
      <c r="K7986" s="61">
        <f t="shared" si="1"/>
        <v>1</v>
      </c>
      <c r="L7986" s="62">
        <f t="shared" si="2"/>
        <v>1</v>
      </c>
    </row>
    <row r="7987">
      <c r="A7987" s="58">
        <v>45474.0</v>
      </c>
      <c r="B7987" s="24" t="s">
        <v>6789</v>
      </c>
      <c r="C7987" s="24" t="s">
        <v>7067</v>
      </c>
      <c r="D7987" s="59">
        <v>1.0</v>
      </c>
      <c r="E7987" s="59">
        <v>1.0</v>
      </c>
      <c r="F7987" s="59">
        <v>1.0</v>
      </c>
      <c r="G7987" s="60">
        <v>1.0</v>
      </c>
      <c r="H7987" s="60">
        <v>0.0</v>
      </c>
      <c r="I7987" s="60">
        <v>28.180371</v>
      </c>
      <c r="J7987" s="59">
        <v>1.0</v>
      </c>
      <c r="K7987" s="61">
        <f t="shared" si="1"/>
        <v>1</v>
      </c>
      <c r="L7987" s="62">
        <f t="shared" si="2"/>
        <v>1</v>
      </c>
    </row>
    <row r="7988">
      <c r="A7988" s="58">
        <v>45474.0</v>
      </c>
      <c r="B7988" s="24" t="s">
        <v>6794</v>
      </c>
      <c r="C7988" s="24" t="s">
        <v>7068</v>
      </c>
      <c r="D7988" s="59">
        <v>1.0</v>
      </c>
      <c r="E7988" s="59">
        <v>1.0</v>
      </c>
      <c r="F7988" s="59">
        <v>0.0</v>
      </c>
      <c r="G7988" s="60">
        <v>1.0</v>
      </c>
      <c r="H7988" s="60">
        <v>0.0</v>
      </c>
      <c r="I7988" s="60">
        <v>2324.972066</v>
      </c>
      <c r="J7988" s="59">
        <v>10.0</v>
      </c>
      <c r="K7988" s="61">
        <f t="shared" si="1"/>
        <v>0</v>
      </c>
      <c r="L7988" s="62">
        <f t="shared" si="2"/>
        <v>10</v>
      </c>
    </row>
    <row r="7989">
      <c r="A7989" s="58">
        <v>45474.0</v>
      </c>
      <c r="B7989" s="24" t="s">
        <v>6789</v>
      </c>
      <c r="C7989" s="24" t="s">
        <v>6991</v>
      </c>
      <c r="D7989" s="59">
        <v>1.0</v>
      </c>
      <c r="E7989" s="59">
        <v>1.0</v>
      </c>
      <c r="F7989" s="59">
        <v>1.0</v>
      </c>
      <c r="G7989" s="60">
        <v>1.0</v>
      </c>
      <c r="H7989" s="60">
        <v>1.0</v>
      </c>
      <c r="I7989" s="60">
        <v>0.0</v>
      </c>
      <c r="J7989" s="59">
        <v>1.0</v>
      </c>
      <c r="K7989" s="61">
        <f t="shared" si="1"/>
        <v>1</v>
      </c>
      <c r="L7989" s="62">
        <f t="shared" si="2"/>
        <v>1</v>
      </c>
    </row>
    <row r="7990">
      <c r="A7990" s="58">
        <v>45474.0</v>
      </c>
      <c r="B7990" s="24" t="s">
        <v>6787</v>
      </c>
      <c r="C7990" s="24" t="s">
        <v>6992</v>
      </c>
      <c r="D7990" s="59">
        <v>1.0</v>
      </c>
      <c r="E7990" s="59">
        <v>2.0</v>
      </c>
      <c r="F7990" s="59">
        <v>1.0</v>
      </c>
      <c r="G7990" s="60">
        <v>2.0</v>
      </c>
      <c r="H7990" s="60">
        <v>0.0</v>
      </c>
      <c r="I7990" s="60">
        <v>2257.232153</v>
      </c>
      <c r="J7990" s="59">
        <v>12.0</v>
      </c>
      <c r="K7990" s="61">
        <f t="shared" si="1"/>
        <v>0.5</v>
      </c>
      <c r="L7990" s="62">
        <f t="shared" si="2"/>
        <v>6</v>
      </c>
    </row>
    <row r="7991">
      <c r="A7991" s="58">
        <v>45474.0</v>
      </c>
      <c r="B7991" s="24" t="s">
        <v>6789</v>
      </c>
      <c r="C7991" s="24" t="s">
        <v>6992</v>
      </c>
      <c r="D7991" s="59">
        <v>1.0</v>
      </c>
      <c r="E7991" s="59">
        <v>1.0</v>
      </c>
      <c r="F7991" s="59">
        <v>1.0</v>
      </c>
      <c r="G7991" s="60">
        <v>1.0</v>
      </c>
      <c r="H7991" s="60">
        <v>1.0</v>
      </c>
      <c r="I7991" s="60">
        <v>0.0</v>
      </c>
      <c r="J7991" s="59">
        <v>1.0</v>
      </c>
      <c r="K7991" s="61">
        <f t="shared" si="1"/>
        <v>1</v>
      </c>
      <c r="L7991" s="62">
        <f t="shared" si="2"/>
        <v>1</v>
      </c>
    </row>
    <row r="7992">
      <c r="A7992" s="58">
        <v>45474.0</v>
      </c>
      <c r="B7992" s="24" t="s">
        <v>155</v>
      </c>
      <c r="C7992" s="24" t="s">
        <v>6994</v>
      </c>
      <c r="D7992" s="59">
        <v>1.0</v>
      </c>
      <c r="E7992" s="59">
        <v>1.0</v>
      </c>
      <c r="F7992" s="59">
        <v>1.0</v>
      </c>
      <c r="G7992" s="60">
        <v>1.0</v>
      </c>
      <c r="H7992" s="60">
        <v>1.0</v>
      </c>
      <c r="I7992" s="60">
        <v>0.0</v>
      </c>
      <c r="J7992" s="59">
        <v>1.0</v>
      </c>
      <c r="K7992" s="61">
        <f t="shared" si="1"/>
        <v>1</v>
      </c>
      <c r="L7992" s="62">
        <f t="shared" si="2"/>
        <v>1</v>
      </c>
    </row>
    <row r="7993">
      <c r="A7993" s="58">
        <v>45474.0</v>
      </c>
      <c r="B7993" s="24" t="s">
        <v>7030</v>
      </c>
      <c r="C7993" s="24" t="s">
        <v>6886</v>
      </c>
      <c r="D7993" s="59">
        <v>1.0</v>
      </c>
      <c r="E7993" s="59">
        <v>1.0</v>
      </c>
      <c r="F7993" s="59">
        <v>0.0</v>
      </c>
      <c r="G7993" s="60">
        <v>1.0</v>
      </c>
      <c r="H7993" s="60">
        <v>1.0</v>
      </c>
      <c r="I7993" s="60">
        <v>1.312518</v>
      </c>
      <c r="J7993" s="59">
        <v>1.0</v>
      </c>
      <c r="K7993" s="61">
        <f t="shared" si="1"/>
        <v>0</v>
      </c>
      <c r="L7993" s="62">
        <f t="shared" si="2"/>
        <v>1</v>
      </c>
    </row>
    <row r="7994">
      <c r="A7994" s="58">
        <v>45474.0</v>
      </c>
      <c r="B7994" s="24" t="s">
        <v>6794</v>
      </c>
      <c r="C7994" s="24" t="s">
        <v>6799</v>
      </c>
      <c r="D7994" s="59">
        <v>1.0</v>
      </c>
      <c r="E7994" s="59">
        <v>1.0</v>
      </c>
      <c r="F7994" s="59">
        <v>0.0</v>
      </c>
      <c r="G7994" s="60">
        <v>1.0</v>
      </c>
      <c r="H7994" s="60">
        <v>0.0</v>
      </c>
      <c r="I7994" s="60">
        <v>845.897079</v>
      </c>
      <c r="J7994" s="59">
        <v>7.0</v>
      </c>
      <c r="K7994" s="61">
        <f t="shared" si="1"/>
        <v>0</v>
      </c>
      <c r="L7994" s="62">
        <f t="shared" si="2"/>
        <v>7</v>
      </c>
    </row>
    <row r="7995">
      <c r="A7995" s="58">
        <v>45474.0</v>
      </c>
      <c r="B7995" s="24" t="s">
        <v>7030</v>
      </c>
      <c r="C7995" s="24" t="s">
        <v>6799</v>
      </c>
      <c r="D7995" s="59">
        <v>1.0</v>
      </c>
      <c r="E7995" s="59">
        <v>1.0</v>
      </c>
      <c r="F7995" s="59">
        <v>0.0</v>
      </c>
      <c r="G7995" s="60">
        <v>0.0</v>
      </c>
      <c r="H7995" s="60">
        <v>1.0</v>
      </c>
      <c r="I7995" s="60">
        <v>0.0</v>
      </c>
      <c r="J7995" s="59">
        <v>1.0</v>
      </c>
      <c r="K7995" s="61">
        <f t="shared" si="1"/>
        <v>0</v>
      </c>
      <c r="L7995" s="62">
        <f t="shared" si="2"/>
        <v>1</v>
      </c>
    </row>
    <row r="7996">
      <c r="A7996" s="58">
        <v>45474.0</v>
      </c>
      <c r="B7996" s="24" t="s">
        <v>3216</v>
      </c>
      <c r="C7996" s="24" t="s">
        <v>6997</v>
      </c>
      <c r="D7996" s="59">
        <v>1.0</v>
      </c>
      <c r="E7996" s="59">
        <v>1.0</v>
      </c>
      <c r="F7996" s="59">
        <v>0.0</v>
      </c>
      <c r="G7996" s="60">
        <v>1.0</v>
      </c>
      <c r="H7996" s="60">
        <v>0.0</v>
      </c>
      <c r="I7996" s="60">
        <v>1311.155325</v>
      </c>
      <c r="J7996" s="59">
        <v>1.0</v>
      </c>
      <c r="K7996" s="61">
        <f t="shared" si="1"/>
        <v>0</v>
      </c>
      <c r="L7996" s="62">
        <f t="shared" si="2"/>
        <v>1</v>
      </c>
    </row>
    <row r="7997">
      <c r="A7997" s="58">
        <v>45474.0</v>
      </c>
      <c r="B7997" s="24" t="s">
        <v>155</v>
      </c>
      <c r="C7997" s="24" t="s">
        <v>6822</v>
      </c>
      <c r="D7997" s="59">
        <v>1.0</v>
      </c>
      <c r="E7997" s="59">
        <v>1.0</v>
      </c>
      <c r="F7997" s="59">
        <v>0.0</v>
      </c>
      <c r="G7997" s="60">
        <v>1.0</v>
      </c>
      <c r="H7997" s="60">
        <v>0.0</v>
      </c>
      <c r="I7997" s="60">
        <v>17.206946</v>
      </c>
      <c r="J7997" s="59">
        <v>5.0</v>
      </c>
      <c r="K7997" s="61">
        <f t="shared" si="1"/>
        <v>0</v>
      </c>
      <c r="L7997" s="62">
        <f t="shared" si="2"/>
        <v>5</v>
      </c>
    </row>
    <row r="7998">
      <c r="A7998" s="58">
        <v>45474.0</v>
      </c>
      <c r="B7998" s="24" t="s">
        <v>6790</v>
      </c>
      <c r="C7998" s="24" t="s">
        <v>6892</v>
      </c>
      <c r="D7998" s="59">
        <v>1.0</v>
      </c>
      <c r="E7998" s="59">
        <v>1.0</v>
      </c>
      <c r="F7998" s="59">
        <v>0.0</v>
      </c>
      <c r="G7998" s="60">
        <v>1.0</v>
      </c>
      <c r="H7998" s="60">
        <v>0.0</v>
      </c>
      <c r="I7998" s="60">
        <v>1369.449761</v>
      </c>
      <c r="J7998" s="59">
        <v>3.0</v>
      </c>
      <c r="K7998" s="61">
        <f t="shared" si="1"/>
        <v>0</v>
      </c>
      <c r="L7998" s="62">
        <f t="shared" si="2"/>
        <v>3</v>
      </c>
    </row>
    <row r="7999">
      <c r="A7999" s="58">
        <v>45474.0</v>
      </c>
      <c r="B7999" s="24" t="s">
        <v>6787</v>
      </c>
      <c r="C7999" s="24" t="s">
        <v>7438</v>
      </c>
      <c r="D7999" s="59">
        <v>1.0</v>
      </c>
      <c r="E7999" s="59">
        <v>1.0</v>
      </c>
      <c r="F7999" s="59">
        <v>1.0</v>
      </c>
      <c r="G7999" s="60">
        <v>1.0</v>
      </c>
      <c r="H7999" s="60">
        <v>0.0</v>
      </c>
      <c r="I7999" s="60">
        <v>48.331061</v>
      </c>
      <c r="J7999" s="59">
        <v>3.0</v>
      </c>
      <c r="K7999" s="61">
        <f t="shared" si="1"/>
        <v>1</v>
      </c>
      <c r="L7999" s="62">
        <f t="shared" si="2"/>
        <v>3</v>
      </c>
    </row>
    <row r="8000">
      <c r="A8000" s="58">
        <v>45474.0</v>
      </c>
      <c r="B8000" s="24" t="s">
        <v>6789</v>
      </c>
      <c r="C8000" s="24" t="s">
        <v>7438</v>
      </c>
      <c r="D8000" s="59">
        <v>1.0</v>
      </c>
      <c r="E8000" s="59">
        <v>1.0</v>
      </c>
      <c r="F8000" s="59">
        <v>1.0</v>
      </c>
      <c r="G8000" s="60">
        <v>1.0</v>
      </c>
      <c r="H8000" s="60">
        <v>0.0</v>
      </c>
      <c r="I8000" s="60">
        <v>51.422184</v>
      </c>
      <c r="J8000" s="59">
        <v>1.0</v>
      </c>
      <c r="K8000" s="61">
        <f t="shared" si="1"/>
        <v>1</v>
      </c>
      <c r="L8000" s="62">
        <f t="shared" si="2"/>
        <v>1</v>
      </c>
    </row>
    <row r="8001">
      <c r="A8001" s="58">
        <v>45474.0</v>
      </c>
      <c r="B8001" s="24" t="s">
        <v>6787</v>
      </c>
      <c r="C8001" s="24" t="s">
        <v>6897</v>
      </c>
      <c r="D8001" s="59">
        <v>1.0</v>
      </c>
      <c r="E8001" s="59">
        <v>1.0</v>
      </c>
      <c r="F8001" s="59">
        <v>1.0</v>
      </c>
      <c r="G8001" s="60">
        <v>1.0</v>
      </c>
      <c r="H8001" s="60">
        <v>1.0</v>
      </c>
      <c r="I8001" s="60">
        <v>0.0</v>
      </c>
      <c r="J8001" s="59">
        <v>1.0</v>
      </c>
      <c r="K8001" s="61">
        <f t="shared" si="1"/>
        <v>1</v>
      </c>
      <c r="L8001" s="62">
        <f t="shared" si="2"/>
        <v>1</v>
      </c>
    </row>
    <row r="8002">
      <c r="A8002" s="58">
        <v>45474.0</v>
      </c>
      <c r="B8002" s="24" t="s">
        <v>6789</v>
      </c>
      <c r="C8002" s="24" t="s">
        <v>6897</v>
      </c>
      <c r="D8002" s="59">
        <v>1.0</v>
      </c>
      <c r="E8002" s="59">
        <v>1.0</v>
      </c>
      <c r="F8002" s="59">
        <v>0.0</v>
      </c>
      <c r="G8002" s="60">
        <v>1.0</v>
      </c>
      <c r="H8002" s="60">
        <v>1.0</v>
      </c>
      <c r="I8002" s="60">
        <v>0.0</v>
      </c>
      <c r="J8002" s="59">
        <v>1.0</v>
      </c>
      <c r="K8002" s="61">
        <f t="shared" si="1"/>
        <v>0</v>
      </c>
      <c r="L8002" s="62">
        <f t="shared" si="2"/>
        <v>1</v>
      </c>
    </row>
    <row r="8003">
      <c r="A8003" s="58">
        <v>45474.0</v>
      </c>
      <c r="B8003" s="24" t="s">
        <v>155</v>
      </c>
      <c r="C8003" s="24" t="s">
        <v>7034</v>
      </c>
      <c r="D8003" s="59">
        <v>1.0</v>
      </c>
      <c r="E8003" s="59">
        <v>1.0</v>
      </c>
      <c r="F8003" s="59">
        <v>0.0</v>
      </c>
      <c r="G8003" s="60">
        <v>1.0</v>
      </c>
      <c r="H8003" s="60">
        <v>1.0</v>
      </c>
      <c r="I8003" s="60">
        <v>5.697466</v>
      </c>
      <c r="J8003" s="59">
        <v>1.0</v>
      </c>
      <c r="K8003" s="61">
        <f t="shared" si="1"/>
        <v>0</v>
      </c>
      <c r="L8003" s="62">
        <f t="shared" si="2"/>
        <v>1</v>
      </c>
    </row>
    <row r="8004">
      <c r="A8004" s="58">
        <v>45474.0</v>
      </c>
      <c r="B8004" s="24" t="s">
        <v>6789</v>
      </c>
      <c r="C8004" s="24" t="s">
        <v>7565</v>
      </c>
      <c r="D8004" s="59">
        <v>1.0</v>
      </c>
      <c r="E8004" s="59">
        <v>1.0</v>
      </c>
      <c r="F8004" s="59">
        <v>1.0</v>
      </c>
      <c r="G8004" s="60">
        <v>1.0</v>
      </c>
      <c r="H8004" s="60">
        <v>1.0</v>
      </c>
      <c r="I8004" s="60">
        <v>0.0</v>
      </c>
      <c r="J8004" s="59">
        <v>1.0</v>
      </c>
      <c r="K8004" s="61">
        <f t="shared" si="1"/>
        <v>1</v>
      </c>
      <c r="L8004" s="62">
        <f t="shared" si="2"/>
        <v>1</v>
      </c>
    </row>
    <row r="8005">
      <c r="A8005" s="58">
        <v>45474.0</v>
      </c>
      <c r="B8005" s="24" t="s">
        <v>6789</v>
      </c>
      <c r="C8005" s="24" t="s">
        <v>7552</v>
      </c>
      <c r="D8005" s="59">
        <v>1.0</v>
      </c>
      <c r="E8005" s="59">
        <v>1.0</v>
      </c>
      <c r="F8005" s="59">
        <v>0.0</v>
      </c>
      <c r="G8005" s="60">
        <v>1.0</v>
      </c>
      <c r="H8005" s="60">
        <v>0.0</v>
      </c>
      <c r="I8005" s="60">
        <v>2190.757081</v>
      </c>
      <c r="J8005" s="59">
        <v>4.0</v>
      </c>
      <c r="K8005" s="61">
        <f t="shared" si="1"/>
        <v>0</v>
      </c>
      <c r="L8005" s="62">
        <f t="shared" si="2"/>
        <v>4</v>
      </c>
    </row>
    <row r="8006">
      <c r="A8006" s="58">
        <v>45474.0</v>
      </c>
      <c r="B8006" s="24" t="s">
        <v>6789</v>
      </c>
      <c r="C8006" s="24" t="s">
        <v>7258</v>
      </c>
      <c r="D8006" s="59">
        <v>1.0</v>
      </c>
      <c r="E8006" s="59">
        <v>1.0</v>
      </c>
      <c r="F8006" s="59">
        <v>1.0</v>
      </c>
      <c r="G8006" s="60">
        <v>1.0</v>
      </c>
      <c r="H8006" s="60">
        <v>1.0</v>
      </c>
      <c r="I8006" s="60">
        <v>0.0</v>
      </c>
      <c r="J8006" s="59">
        <v>1.0</v>
      </c>
      <c r="K8006" s="61">
        <f t="shared" si="1"/>
        <v>1</v>
      </c>
      <c r="L8006" s="62">
        <f t="shared" si="2"/>
        <v>1</v>
      </c>
    </row>
    <row r="8007">
      <c r="A8007" s="58">
        <v>45474.0</v>
      </c>
      <c r="B8007" s="24" t="s">
        <v>6789</v>
      </c>
      <c r="C8007" s="24" t="s">
        <v>7259</v>
      </c>
      <c r="D8007" s="59">
        <v>1.0</v>
      </c>
      <c r="E8007" s="59">
        <v>1.0</v>
      </c>
      <c r="F8007" s="59">
        <v>1.0</v>
      </c>
      <c r="G8007" s="60">
        <v>1.0</v>
      </c>
      <c r="H8007" s="60">
        <v>0.0</v>
      </c>
      <c r="I8007" s="60">
        <v>17.749945</v>
      </c>
      <c r="J8007" s="59">
        <v>1.0</v>
      </c>
      <c r="K8007" s="61">
        <f t="shared" si="1"/>
        <v>1</v>
      </c>
      <c r="L8007" s="62">
        <f t="shared" si="2"/>
        <v>1</v>
      </c>
    </row>
    <row r="8008">
      <c r="A8008" s="58">
        <v>45474.0</v>
      </c>
      <c r="B8008" s="24" t="s">
        <v>6789</v>
      </c>
      <c r="C8008" s="24" t="s">
        <v>7566</v>
      </c>
      <c r="D8008" s="59">
        <v>1.0</v>
      </c>
      <c r="E8008" s="59">
        <v>1.0</v>
      </c>
      <c r="F8008" s="59">
        <v>0.0</v>
      </c>
      <c r="G8008" s="60">
        <v>1.0</v>
      </c>
      <c r="H8008" s="60">
        <v>0.0</v>
      </c>
      <c r="I8008" s="60">
        <v>348.836691</v>
      </c>
      <c r="J8008" s="59">
        <v>3.0</v>
      </c>
      <c r="K8008" s="61">
        <f t="shared" si="1"/>
        <v>0</v>
      </c>
      <c r="L8008" s="62">
        <f t="shared" si="2"/>
        <v>3</v>
      </c>
    </row>
    <row r="8009">
      <c r="A8009" s="58">
        <v>45474.0</v>
      </c>
      <c r="B8009" s="24" t="s">
        <v>6789</v>
      </c>
      <c r="C8009" s="24" t="s">
        <v>7553</v>
      </c>
      <c r="D8009" s="59">
        <v>1.0</v>
      </c>
      <c r="E8009" s="59">
        <v>2.0</v>
      </c>
      <c r="F8009" s="59">
        <v>1.0</v>
      </c>
      <c r="G8009" s="60">
        <v>2.0</v>
      </c>
      <c r="H8009" s="60">
        <v>1.0</v>
      </c>
      <c r="I8009" s="60">
        <v>0.0</v>
      </c>
      <c r="J8009" s="59">
        <v>2.0</v>
      </c>
      <c r="K8009" s="61">
        <f t="shared" si="1"/>
        <v>0.5</v>
      </c>
      <c r="L8009" s="62">
        <f t="shared" si="2"/>
        <v>1</v>
      </c>
    </row>
    <row r="8010">
      <c r="A8010" s="58">
        <v>45474.0</v>
      </c>
      <c r="B8010" s="24" t="s">
        <v>6787</v>
      </c>
      <c r="C8010" s="24" t="s">
        <v>7562</v>
      </c>
      <c r="D8010" s="59">
        <v>1.0</v>
      </c>
      <c r="E8010" s="59">
        <v>1.0</v>
      </c>
      <c r="F8010" s="59">
        <v>1.0</v>
      </c>
      <c r="G8010" s="60">
        <v>1.0</v>
      </c>
      <c r="H8010" s="60">
        <v>1.0</v>
      </c>
      <c r="I8010" s="60">
        <v>0.0</v>
      </c>
      <c r="J8010" s="59">
        <v>1.0</v>
      </c>
      <c r="K8010" s="61">
        <f t="shared" si="1"/>
        <v>1</v>
      </c>
      <c r="L8010" s="62">
        <f t="shared" si="2"/>
        <v>1</v>
      </c>
    </row>
    <row r="8011">
      <c r="A8011" s="58">
        <v>45474.0</v>
      </c>
      <c r="B8011" s="24" t="s">
        <v>6789</v>
      </c>
      <c r="C8011" s="24" t="s">
        <v>7562</v>
      </c>
      <c r="D8011" s="59">
        <v>1.0</v>
      </c>
      <c r="E8011" s="59">
        <v>1.0</v>
      </c>
      <c r="F8011" s="59">
        <v>0.0</v>
      </c>
      <c r="G8011" s="60">
        <v>1.0</v>
      </c>
      <c r="H8011" s="60">
        <v>0.0</v>
      </c>
      <c r="I8011" s="60">
        <v>1326.464601</v>
      </c>
      <c r="J8011" s="59">
        <v>2.0</v>
      </c>
      <c r="K8011" s="61">
        <f t="shared" si="1"/>
        <v>0</v>
      </c>
      <c r="L8011" s="62">
        <f t="shared" si="2"/>
        <v>2</v>
      </c>
    </row>
    <row r="8012">
      <c r="A8012" s="58">
        <v>45474.0</v>
      </c>
      <c r="B8012" s="24" t="s">
        <v>6787</v>
      </c>
      <c r="C8012" s="24" t="s">
        <v>7530</v>
      </c>
      <c r="D8012" s="59">
        <v>1.0</v>
      </c>
      <c r="E8012" s="59">
        <v>1.0</v>
      </c>
      <c r="F8012" s="59">
        <v>0.0</v>
      </c>
      <c r="G8012" s="60">
        <v>1.0</v>
      </c>
      <c r="H8012" s="60">
        <v>0.0</v>
      </c>
      <c r="I8012" s="60">
        <v>1552.675388</v>
      </c>
      <c r="J8012" s="59">
        <v>6.0</v>
      </c>
      <c r="K8012" s="61">
        <f t="shared" si="1"/>
        <v>0</v>
      </c>
      <c r="L8012" s="62">
        <f t="shared" si="2"/>
        <v>6</v>
      </c>
    </row>
    <row r="8013">
      <c r="A8013" s="58">
        <v>45474.0</v>
      </c>
      <c r="B8013" s="24" t="s">
        <v>6789</v>
      </c>
      <c r="C8013" s="24" t="s">
        <v>7554</v>
      </c>
      <c r="D8013" s="59">
        <v>1.0</v>
      </c>
      <c r="E8013" s="59">
        <v>1.0</v>
      </c>
      <c r="F8013" s="59">
        <v>0.0</v>
      </c>
      <c r="G8013" s="60">
        <v>1.0</v>
      </c>
      <c r="H8013" s="60">
        <v>0.0</v>
      </c>
      <c r="I8013" s="60">
        <v>10.836737</v>
      </c>
      <c r="J8013" s="59">
        <v>1.0</v>
      </c>
      <c r="K8013" s="61">
        <f t="shared" si="1"/>
        <v>0</v>
      </c>
      <c r="L8013" s="62">
        <f t="shared" si="2"/>
        <v>1</v>
      </c>
    </row>
    <row r="8014">
      <c r="A8014" s="58">
        <v>45474.0</v>
      </c>
      <c r="B8014" s="24" t="s">
        <v>6789</v>
      </c>
      <c r="C8014" s="24" t="s">
        <v>7261</v>
      </c>
      <c r="D8014" s="59">
        <v>1.0</v>
      </c>
      <c r="E8014" s="59">
        <v>1.0</v>
      </c>
      <c r="F8014" s="59">
        <v>0.0</v>
      </c>
      <c r="G8014" s="60">
        <v>1.0</v>
      </c>
      <c r="H8014" s="60">
        <v>0.0</v>
      </c>
      <c r="I8014" s="60">
        <v>156.931231</v>
      </c>
      <c r="J8014" s="59">
        <v>1.0</v>
      </c>
      <c r="K8014" s="61">
        <f t="shared" si="1"/>
        <v>0</v>
      </c>
      <c r="L8014" s="62">
        <f t="shared" si="2"/>
        <v>1</v>
      </c>
    </row>
    <row r="8015">
      <c r="A8015" s="58">
        <v>45474.0</v>
      </c>
      <c r="B8015" s="24" t="s">
        <v>6787</v>
      </c>
      <c r="C8015" s="24" t="s">
        <v>7567</v>
      </c>
      <c r="D8015" s="59">
        <v>1.0</v>
      </c>
      <c r="E8015" s="59">
        <v>1.0</v>
      </c>
      <c r="F8015" s="59">
        <v>0.0</v>
      </c>
      <c r="G8015" s="60">
        <v>1.0</v>
      </c>
      <c r="H8015" s="60">
        <v>0.0</v>
      </c>
      <c r="I8015" s="60">
        <v>800.74633</v>
      </c>
      <c r="J8015" s="59">
        <v>2.0</v>
      </c>
      <c r="K8015" s="61">
        <f t="shared" si="1"/>
        <v>0</v>
      </c>
      <c r="L8015" s="62">
        <f t="shared" si="2"/>
        <v>2</v>
      </c>
    </row>
    <row r="8016">
      <c r="A8016" s="58">
        <v>45474.0</v>
      </c>
      <c r="B8016" s="24" t="s">
        <v>6787</v>
      </c>
      <c r="C8016" s="24" t="s">
        <v>7087</v>
      </c>
      <c r="D8016" s="59">
        <v>1.0</v>
      </c>
      <c r="E8016" s="59">
        <v>1.0</v>
      </c>
      <c r="F8016" s="59">
        <v>1.0</v>
      </c>
      <c r="G8016" s="60">
        <v>1.0</v>
      </c>
      <c r="H8016" s="60">
        <v>1.0</v>
      </c>
      <c r="I8016" s="60">
        <v>0.0</v>
      </c>
      <c r="J8016" s="59">
        <v>1.0</v>
      </c>
      <c r="K8016" s="61">
        <f t="shared" si="1"/>
        <v>1</v>
      </c>
      <c r="L8016" s="62">
        <f t="shared" si="2"/>
        <v>1</v>
      </c>
    </row>
    <row r="8017">
      <c r="A8017" s="58">
        <v>45474.0</v>
      </c>
      <c r="B8017" s="24" t="s">
        <v>6787</v>
      </c>
      <c r="C8017" s="24" t="s">
        <v>7035</v>
      </c>
      <c r="D8017" s="59">
        <v>1.0</v>
      </c>
      <c r="E8017" s="59">
        <v>1.0</v>
      </c>
      <c r="F8017" s="59">
        <v>0.0</v>
      </c>
      <c r="G8017" s="60">
        <v>1.0</v>
      </c>
      <c r="H8017" s="60">
        <v>0.0</v>
      </c>
      <c r="I8017" s="60">
        <v>12.46248</v>
      </c>
      <c r="J8017" s="59">
        <v>2.0</v>
      </c>
      <c r="K8017" s="61">
        <f t="shared" si="1"/>
        <v>0</v>
      </c>
      <c r="L8017" s="62">
        <f t="shared" si="2"/>
        <v>2</v>
      </c>
    </row>
    <row r="8018">
      <c r="A8018" s="58">
        <v>45474.0</v>
      </c>
      <c r="B8018" s="24" t="s">
        <v>6787</v>
      </c>
      <c r="C8018" s="24" t="s">
        <v>7568</v>
      </c>
      <c r="D8018" s="59">
        <v>1.0</v>
      </c>
      <c r="E8018" s="59">
        <v>1.0</v>
      </c>
      <c r="F8018" s="59">
        <v>0.0</v>
      </c>
      <c r="G8018" s="60">
        <v>1.0</v>
      </c>
      <c r="H8018" s="60">
        <v>0.0</v>
      </c>
      <c r="I8018" s="60">
        <v>725.599135</v>
      </c>
      <c r="J8018" s="59">
        <v>4.0</v>
      </c>
      <c r="K8018" s="61">
        <f t="shared" si="1"/>
        <v>0</v>
      </c>
      <c r="L8018" s="62">
        <f t="shared" si="2"/>
        <v>4</v>
      </c>
    </row>
    <row r="8019">
      <c r="A8019" s="58">
        <v>45474.0</v>
      </c>
      <c r="B8019" s="24" t="s">
        <v>6789</v>
      </c>
      <c r="C8019" s="24" t="s">
        <v>7013</v>
      </c>
      <c r="D8019" s="59">
        <v>1.0</v>
      </c>
      <c r="E8019" s="59">
        <v>1.0</v>
      </c>
      <c r="F8019" s="59">
        <v>1.0</v>
      </c>
      <c r="G8019" s="60">
        <v>1.0</v>
      </c>
      <c r="H8019" s="60">
        <v>0.0</v>
      </c>
      <c r="I8019" s="60">
        <v>172.057999</v>
      </c>
      <c r="J8019" s="59">
        <v>2.0</v>
      </c>
      <c r="K8019" s="61">
        <f t="shared" si="1"/>
        <v>1</v>
      </c>
      <c r="L8019" s="62">
        <f t="shared" si="2"/>
        <v>2</v>
      </c>
    </row>
    <row r="8020">
      <c r="A8020" s="58">
        <v>45474.0</v>
      </c>
      <c r="B8020" s="24" t="s">
        <v>155</v>
      </c>
      <c r="C8020" s="24" t="s">
        <v>7013</v>
      </c>
      <c r="D8020" s="59">
        <v>1.0</v>
      </c>
      <c r="E8020" s="59">
        <v>1.0</v>
      </c>
      <c r="F8020" s="59">
        <v>1.0</v>
      </c>
      <c r="G8020" s="60">
        <v>1.0</v>
      </c>
      <c r="H8020" s="60">
        <v>1.0</v>
      </c>
      <c r="I8020" s="60">
        <v>0.0</v>
      </c>
      <c r="J8020" s="59">
        <v>1.0</v>
      </c>
      <c r="K8020" s="61">
        <f t="shared" si="1"/>
        <v>1</v>
      </c>
      <c r="L8020" s="62">
        <f t="shared" si="2"/>
        <v>1</v>
      </c>
    </row>
    <row r="8021">
      <c r="A8021" s="58">
        <v>45474.0</v>
      </c>
      <c r="B8021" s="24" t="s">
        <v>155</v>
      </c>
      <c r="C8021" s="24" t="s">
        <v>7313</v>
      </c>
      <c r="D8021" s="59">
        <v>1.0</v>
      </c>
      <c r="E8021" s="59">
        <v>1.0</v>
      </c>
      <c r="F8021" s="59">
        <v>0.0</v>
      </c>
      <c r="G8021" s="60">
        <v>0.0</v>
      </c>
      <c r="H8021" s="60">
        <v>1.0</v>
      </c>
      <c r="I8021" s="60">
        <v>0.0</v>
      </c>
      <c r="J8021" s="59">
        <v>1.0</v>
      </c>
      <c r="K8021" s="61">
        <f t="shared" si="1"/>
        <v>0</v>
      </c>
      <c r="L8021" s="62">
        <f t="shared" si="2"/>
        <v>1</v>
      </c>
    </row>
    <row r="8022">
      <c r="A8022" s="58">
        <v>45474.0</v>
      </c>
      <c r="B8022" s="24" t="s">
        <v>155</v>
      </c>
      <c r="C8022" s="24" t="s">
        <v>6910</v>
      </c>
      <c r="D8022" s="59">
        <v>1.0</v>
      </c>
      <c r="E8022" s="59">
        <v>1.0</v>
      </c>
      <c r="F8022" s="59">
        <v>1.0</v>
      </c>
      <c r="G8022" s="60">
        <v>1.0</v>
      </c>
      <c r="H8022" s="60">
        <v>0.0</v>
      </c>
      <c r="I8022" s="60">
        <v>392.801269</v>
      </c>
      <c r="J8022" s="59">
        <v>3.0</v>
      </c>
      <c r="K8022" s="61">
        <f t="shared" si="1"/>
        <v>1</v>
      </c>
      <c r="L8022" s="62">
        <f t="shared" si="2"/>
        <v>3</v>
      </c>
    </row>
    <row r="8023">
      <c r="A8023" s="58">
        <v>45474.0</v>
      </c>
      <c r="B8023" s="24" t="s">
        <v>155</v>
      </c>
      <c r="C8023" s="24" t="s">
        <v>6801</v>
      </c>
      <c r="D8023" s="59">
        <v>1.0</v>
      </c>
      <c r="E8023" s="59">
        <v>1.0</v>
      </c>
      <c r="F8023" s="59">
        <v>0.0</v>
      </c>
      <c r="G8023" s="60">
        <v>1.0</v>
      </c>
      <c r="H8023" s="60">
        <v>0.0</v>
      </c>
      <c r="I8023" s="60">
        <v>1960.342081</v>
      </c>
      <c r="J8023" s="59">
        <v>5.0</v>
      </c>
      <c r="K8023" s="61">
        <f t="shared" si="1"/>
        <v>0</v>
      </c>
      <c r="L8023" s="62">
        <f t="shared" si="2"/>
        <v>5</v>
      </c>
    </row>
    <row r="8024">
      <c r="A8024" s="58">
        <v>45474.0</v>
      </c>
      <c r="B8024" s="24" t="s">
        <v>6787</v>
      </c>
      <c r="C8024" s="24" t="s">
        <v>7569</v>
      </c>
      <c r="D8024" s="59">
        <v>1.0</v>
      </c>
      <c r="E8024" s="59">
        <v>1.0</v>
      </c>
      <c r="F8024" s="59">
        <v>0.0</v>
      </c>
      <c r="G8024" s="60">
        <v>1.0</v>
      </c>
      <c r="H8024" s="60">
        <v>1.0</v>
      </c>
      <c r="I8024" s="60">
        <v>5.173266</v>
      </c>
      <c r="J8024" s="59">
        <v>1.0</v>
      </c>
      <c r="K8024" s="61">
        <f t="shared" si="1"/>
        <v>0</v>
      </c>
      <c r="L8024" s="62">
        <f t="shared" si="2"/>
        <v>1</v>
      </c>
    </row>
    <row r="8025">
      <c r="A8025" s="58">
        <v>45474.0</v>
      </c>
      <c r="B8025" s="24" t="s">
        <v>6787</v>
      </c>
      <c r="C8025" s="24" t="s">
        <v>7192</v>
      </c>
      <c r="D8025" s="59">
        <v>1.0</v>
      </c>
      <c r="E8025" s="59">
        <v>1.0</v>
      </c>
      <c r="F8025" s="59">
        <v>1.0</v>
      </c>
      <c r="G8025" s="60">
        <v>1.0</v>
      </c>
      <c r="H8025" s="60">
        <v>1.0</v>
      </c>
      <c r="I8025" s="60">
        <v>0.0</v>
      </c>
      <c r="J8025" s="59">
        <v>1.0</v>
      </c>
      <c r="K8025" s="61">
        <f t="shared" si="1"/>
        <v>1</v>
      </c>
      <c r="L8025" s="62">
        <f t="shared" si="2"/>
        <v>1</v>
      </c>
    </row>
    <row r="8026">
      <c r="A8026" s="58">
        <v>45474.0</v>
      </c>
      <c r="B8026" s="24" t="s">
        <v>7030</v>
      </c>
      <c r="C8026" s="24" t="s">
        <v>7192</v>
      </c>
      <c r="D8026" s="59">
        <v>1.0</v>
      </c>
      <c r="E8026" s="59">
        <v>2.0</v>
      </c>
      <c r="F8026" s="59">
        <v>0.0</v>
      </c>
      <c r="G8026" s="60">
        <v>2.0</v>
      </c>
      <c r="H8026" s="60">
        <v>0.5</v>
      </c>
      <c r="I8026" s="60">
        <v>94.3461005</v>
      </c>
      <c r="J8026" s="59">
        <v>3.0</v>
      </c>
      <c r="K8026" s="61">
        <f t="shared" si="1"/>
        <v>0</v>
      </c>
      <c r="L8026" s="62">
        <f t="shared" si="2"/>
        <v>1.5</v>
      </c>
    </row>
    <row r="8027">
      <c r="A8027" s="58">
        <v>45474.0</v>
      </c>
      <c r="B8027" s="24" t="s">
        <v>7030</v>
      </c>
      <c r="C8027" s="24" t="s">
        <v>7273</v>
      </c>
      <c r="D8027" s="59">
        <v>1.0</v>
      </c>
      <c r="E8027" s="59">
        <v>1.0</v>
      </c>
      <c r="F8027" s="59">
        <v>0.0</v>
      </c>
      <c r="G8027" s="60">
        <v>1.0</v>
      </c>
      <c r="H8027" s="60">
        <v>0.0</v>
      </c>
      <c r="I8027" s="60">
        <v>155.038016</v>
      </c>
      <c r="J8027" s="59">
        <v>3.0</v>
      </c>
      <c r="K8027" s="61">
        <f t="shared" si="1"/>
        <v>0</v>
      </c>
      <c r="L8027" s="62">
        <f t="shared" si="2"/>
        <v>3</v>
      </c>
    </row>
    <row r="8028">
      <c r="A8028" s="58">
        <v>45474.0</v>
      </c>
      <c r="B8028" s="24" t="s">
        <v>6790</v>
      </c>
      <c r="C8028" s="24" t="s">
        <v>7273</v>
      </c>
      <c r="D8028" s="59">
        <v>1.0</v>
      </c>
      <c r="E8028" s="59">
        <v>1.0</v>
      </c>
      <c r="F8028" s="59">
        <v>1.0</v>
      </c>
      <c r="G8028" s="60">
        <v>1.0</v>
      </c>
      <c r="H8028" s="60">
        <v>1.0</v>
      </c>
      <c r="I8028" s="60">
        <v>0.0</v>
      </c>
      <c r="J8028" s="59">
        <v>1.0</v>
      </c>
      <c r="K8028" s="61">
        <f t="shared" si="1"/>
        <v>1</v>
      </c>
      <c r="L8028" s="62">
        <f t="shared" si="2"/>
        <v>1</v>
      </c>
    </row>
    <row r="8029">
      <c r="A8029" s="58">
        <v>45474.0</v>
      </c>
      <c r="B8029" s="24" t="s">
        <v>6787</v>
      </c>
      <c r="C8029" s="24" t="s">
        <v>7548</v>
      </c>
      <c r="D8029" s="59">
        <v>1.0</v>
      </c>
      <c r="E8029" s="59">
        <v>1.0</v>
      </c>
      <c r="F8029" s="59">
        <v>0.0</v>
      </c>
      <c r="G8029" s="60">
        <v>1.0</v>
      </c>
      <c r="H8029" s="60">
        <v>0.0</v>
      </c>
      <c r="I8029" s="60">
        <v>715.157952</v>
      </c>
      <c r="J8029" s="59">
        <v>6.0</v>
      </c>
      <c r="K8029" s="61">
        <f t="shared" si="1"/>
        <v>0</v>
      </c>
      <c r="L8029" s="62">
        <f t="shared" si="2"/>
        <v>6</v>
      </c>
    </row>
    <row r="8030">
      <c r="A8030" s="58">
        <v>45474.0</v>
      </c>
      <c r="B8030" s="24" t="s">
        <v>155</v>
      </c>
      <c r="C8030" s="24" t="s">
        <v>6815</v>
      </c>
      <c r="D8030" s="59">
        <v>1.0</v>
      </c>
      <c r="E8030" s="59">
        <v>1.0</v>
      </c>
      <c r="F8030" s="59">
        <v>1.0</v>
      </c>
      <c r="G8030" s="60">
        <v>1.0</v>
      </c>
      <c r="H8030" s="60">
        <v>1.0</v>
      </c>
      <c r="I8030" s="60">
        <v>0.0</v>
      </c>
      <c r="J8030" s="59">
        <v>1.0</v>
      </c>
      <c r="K8030" s="61">
        <f t="shared" si="1"/>
        <v>1</v>
      </c>
      <c r="L8030" s="62">
        <f t="shared" si="2"/>
        <v>1</v>
      </c>
    </row>
    <row r="8031">
      <c r="A8031" s="58">
        <v>45474.0</v>
      </c>
      <c r="B8031" s="24" t="s">
        <v>6790</v>
      </c>
      <c r="C8031" s="24" t="s">
        <v>6815</v>
      </c>
      <c r="D8031" s="59">
        <v>1.0</v>
      </c>
      <c r="E8031" s="59">
        <v>1.0</v>
      </c>
      <c r="F8031" s="59">
        <v>0.0</v>
      </c>
      <c r="G8031" s="60">
        <v>0.0</v>
      </c>
      <c r="H8031" s="60">
        <v>1.0</v>
      </c>
      <c r="I8031" s="60">
        <v>0.0</v>
      </c>
      <c r="J8031" s="59">
        <v>1.0</v>
      </c>
      <c r="K8031" s="61">
        <f t="shared" si="1"/>
        <v>0</v>
      </c>
      <c r="L8031" s="62">
        <f t="shared" si="2"/>
        <v>1</v>
      </c>
    </row>
    <row r="8032">
      <c r="A8032" s="58">
        <v>45474.0</v>
      </c>
      <c r="B8032" s="24" t="s">
        <v>3216</v>
      </c>
      <c r="C8032" s="24" t="s">
        <v>7107</v>
      </c>
      <c r="D8032" s="59">
        <v>1.0</v>
      </c>
      <c r="E8032" s="59">
        <v>1.0</v>
      </c>
      <c r="F8032" s="59">
        <v>0.0</v>
      </c>
      <c r="G8032" s="60">
        <v>1.0</v>
      </c>
      <c r="H8032" s="60">
        <v>0.0</v>
      </c>
      <c r="I8032" s="60">
        <v>86.746619</v>
      </c>
      <c r="J8032" s="59">
        <v>1.0</v>
      </c>
      <c r="K8032" s="61">
        <f t="shared" si="1"/>
        <v>0</v>
      </c>
      <c r="L8032" s="62">
        <f t="shared" si="2"/>
        <v>1</v>
      </c>
    </row>
    <row r="8033">
      <c r="A8033" s="58">
        <v>45474.0</v>
      </c>
      <c r="B8033" s="24" t="s">
        <v>7030</v>
      </c>
      <c r="C8033" s="24" t="s">
        <v>7107</v>
      </c>
      <c r="D8033" s="59">
        <v>1.0</v>
      </c>
      <c r="E8033" s="59">
        <v>1.0</v>
      </c>
      <c r="F8033" s="59">
        <v>0.0</v>
      </c>
      <c r="G8033" s="60">
        <v>1.0</v>
      </c>
      <c r="H8033" s="60">
        <v>0.0</v>
      </c>
      <c r="I8033" s="60">
        <v>430.504924</v>
      </c>
      <c r="J8033" s="59">
        <v>1.0</v>
      </c>
      <c r="K8033" s="61">
        <f t="shared" si="1"/>
        <v>0</v>
      </c>
      <c r="L8033" s="62">
        <f t="shared" si="2"/>
        <v>1</v>
      </c>
    </row>
    <row r="8034">
      <c r="A8034" s="58">
        <v>45474.0</v>
      </c>
      <c r="B8034" s="24" t="s">
        <v>155</v>
      </c>
      <c r="C8034" s="24" t="s">
        <v>7107</v>
      </c>
      <c r="D8034" s="59">
        <v>1.0</v>
      </c>
      <c r="E8034" s="59">
        <v>1.0</v>
      </c>
      <c r="F8034" s="59">
        <v>0.0</v>
      </c>
      <c r="G8034" s="60">
        <v>1.0</v>
      </c>
      <c r="H8034" s="60">
        <v>0.0</v>
      </c>
      <c r="I8034" s="60">
        <v>474.044471</v>
      </c>
      <c r="J8034" s="59">
        <v>11.0</v>
      </c>
      <c r="K8034" s="61">
        <f t="shared" si="1"/>
        <v>0</v>
      </c>
      <c r="L8034" s="62">
        <f t="shared" si="2"/>
        <v>11</v>
      </c>
    </row>
    <row r="8035">
      <c r="A8035" s="58">
        <v>45474.0</v>
      </c>
      <c r="B8035" s="24" t="s">
        <v>6789</v>
      </c>
      <c r="C8035" s="24" t="s">
        <v>6921</v>
      </c>
      <c r="D8035" s="59">
        <v>1.0</v>
      </c>
      <c r="E8035" s="59">
        <v>1.0</v>
      </c>
      <c r="F8035" s="59">
        <v>0.0</v>
      </c>
      <c r="G8035" s="60">
        <v>1.0</v>
      </c>
      <c r="H8035" s="60">
        <v>0.0</v>
      </c>
      <c r="I8035" s="60">
        <v>9.506903</v>
      </c>
      <c r="J8035" s="59">
        <v>2.0</v>
      </c>
      <c r="K8035" s="61">
        <f t="shared" si="1"/>
        <v>0</v>
      </c>
      <c r="L8035" s="62">
        <f t="shared" si="2"/>
        <v>2</v>
      </c>
    </row>
    <row r="8036">
      <c r="A8036" s="58">
        <v>45474.0</v>
      </c>
      <c r="B8036" s="24" t="s">
        <v>6794</v>
      </c>
      <c r="C8036" s="24" t="s">
        <v>6921</v>
      </c>
      <c r="D8036" s="59">
        <v>1.0</v>
      </c>
      <c r="E8036" s="59">
        <v>1.0</v>
      </c>
      <c r="F8036" s="59">
        <v>0.0</v>
      </c>
      <c r="G8036" s="60">
        <v>0.0</v>
      </c>
      <c r="H8036" s="60">
        <v>1.0</v>
      </c>
      <c r="I8036" s="60">
        <v>0.0</v>
      </c>
      <c r="J8036" s="59">
        <v>1.0</v>
      </c>
      <c r="K8036" s="61">
        <f t="shared" si="1"/>
        <v>0</v>
      </c>
      <c r="L8036" s="62">
        <f t="shared" si="2"/>
        <v>1</v>
      </c>
    </row>
    <row r="8037">
      <c r="A8037" s="58">
        <v>45474.0</v>
      </c>
      <c r="B8037" s="24" t="s">
        <v>6789</v>
      </c>
      <c r="C8037" s="24" t="s">
        <v>7047</v>
      </c>
      <c r="D8037" s="59">
        <v>1.0</v>
      </c>
      <c r="E8037" s="59">
        <v>1.0</v>
      </c>
      <c r="F8037" s="59">
        <v>1.0</v>
      </c>
      <c r="G8037" s="60">
        <v>1.0</v>
      </c>
      <c r="H8037" s="60">
        <v>0.0</v>
      </c>
      <c r="I8037" s="60">
        <v>11.77321</v>
      </c>
      <c r="J8037" s="59">
        <v>2.0</v>
      </c>
      <c r="K8037" s="61">
        <f t="shared" si="1"/>
        <v>1</v>
      </c>
      <c r="L8037" s="62">
        <f t="shared" si="2"/>
        <v>2</v>
      </c>
    </row>
    <row r="8038">
      <c r="A8038" s="58">
        <v>45474.0</v>
      </c>
      <c r="B8038" s="24" t="s">
        <v>155</v>
      </c>
      <c r="C8038" s="24" t="s">
        <v>6810</v>
      </c>
      <c r="D8038" s="59">
        <v>1.0</v>
      </c>
      <c r="E8038" s="59">
        <v>1.0</v>
      </c>
      <c r="F8038" s="59">
        <v>0.0</v>
      </c>
      <c r="G8038" s="60">
        <v>1.0</v>
      </c>
      <c r="H8038" s="60">
        <v>0.0</v>
      </c>
      <c r="I8038" s="60">
        <v>977.632673</v>
      </c>
      <c r="J8038" s="59">
        <v>2.0</v>
      </c>
      <c r="K8038" s="61">
        <f t="shared" si="1"/>
        <v>0</v>
      </c>
      <c r="L8038" s="62">
        <f t="shared" si="2"/>
        <v>2</v>
      </c>
    </row>
    <row r="8039">
      <c r="A8039" s="58">
        <v>45474.0</v>
      </c>
      <c r="B8039" s="24" t="s">
        <v>6787</v>
      </c>
      <c r="C8039" s="24" t="s">
        <v>7556</v>
      </c>
      <c r="D8039" s="59">
        <v>1.0</v>
      </c>
      <c r="E8039" s="59">
        <v>3.0</v>
      </c>
      <c r="F8039" s="59">
        <v>0.0</v>
      </c>
      <c r="G8039" s="60">
        <v>3.0</v>
      </c>
      <c r="H8039" s="60">
        <v>0.333333333333333</v>
      </c>
      <c r="I8039" s="60">
        <v>492.090993333333</v>
      </c>
      <c r="J8039" s="59">
        <v>23.0</v>
      </c>
      <c r="K8039" s="61">
        <f t="shared" si="1"/>
        <v>0</v>
      </c>
      <c r="L8039" s="62">
        <f t="shared" si="2"/>
        <v>7.666666667</v>
      </c>
    </row>
    <row r="8040">
      <c r="A8040" s="58">
        <v>45474.0</v>
      </c>
      <c r="B8040" s="24" t="s">
        <v>6787</v>
      </c>
      <c r="C8040" s="24" t="s">
        <v>6854</v>
      </c>
      <c r="D8040" s="59">
        <v>1.0</v>
      </c>
      <c r="E8040" s="59">
        <v>1.0</v>
      </c>
      <c r="F8040" s="59">
        <v>1.0</v>
      </c>
      <c r="G8040" s="60">
        <v>1.0</v>
      </c>
      <c r="H8040" s="60">
        <v>1.0</v>
      </c>
      <c r="I8040" s="60">
        <v>0.0</v>
      </c>
      <c r="J8040" s="59">
        <v>1.0</v>
      </c>
      <c r="K8040" s="61">
        <f t="shared" si="1"/>
        <v>1</v>
      </c>
      <c r="L8040" s="62">
        <f t="shared" si="2"/>
        <v>1</v>
      </c>
    </row>
    <row r="8041">
      <c r="A8041" s="58">
        <v>45474.0</v>
      </c>
      <c r="B8041" s="24" t="s">
        <v>6790</v>
      </c>
      <c r="C8041" s="24" t="s">
        <v>6963</v>
      </c>
      <c r="D8041" s="59">
        <v>1.0</v>
      </c>
      <c r="E8041" s="59">
        <v>1.0</v>
      </c>
      <c r="F8041" s="59">
        <v>0.0</v>
      </c>
      <c r="G8041" s="60">
        <v>1.0</v>
      </c>
      <c r="H8041" s="60">
        <v>0.0</v>
      </c>
      <c r="I8041" s="60">
        <v>13.494749</v>
      </c>
      <c r="J8041" s="59">
        <v>2.0</v>
      </c>
      <c r="K8041" s="61">
        <f t="shared" si="1"/>
        <v>0</v>
      </c>
      <c r="L8041" s="62">
        <f t="shared" si="2"/>
        <v>2</v>
      </c>
    </row>
    <row r="8042">
      <c r="A8042" s="58">
        <v>45474.0</v>
      </c>
      <c r="B8042" s="24" t="s">
        <v>6790</v>
      </c>
      <c r="C8042" s="24" t="s">
        <v>6924</v>
      </c>
      <c r="D8042" s="59">
        <v>1.0</v>
      </c>
      <c r="E8042" s="59">
        <v>1.0</v>
      </c>
      <c r="F8042" s="59">
        <v>0.0</v>
      </c>
      <c r="G8042" s="60">
        <v>1.0</v>
      </c>
      <c r="H8042" s="60">
        <v>1.0</v>
      </c>
      <c r="I8042" s="60">
        <v>0.0</v>
      </c>
      <c r="J8042" s="59">
        <v>1.0</v>
      </c>
      <c r="K8042" s="61">
        <f t="shared" si="1"/>
        <v>0</v>
      </c>
      <c r="L8042" s="62">
        <f t="shared" si="2"/>
        <v>1</v>
      </c>
    </row>
    <row r="8043">
      <c r="A8043" s="58">
        <v>45474.0</v>
      </c>
      <c r="B8043" s="24" t="s">
        <v>6789</v>
      </c>
      <c r="C8043" s="24" t="s">
        <v>7570</v>
      </c>
      <c r="D8043" s="59">
        <v>1.0</v>
      </c>
      <c r="E8043" s="59">
        <v>2.0</v>
      </c>
      <c r="F8043" s="59">
        <v>1.0</v>
      </c>
      <c r="G8043" s="60">
        <v>2.0</v>
      </c>
      <c r="H8043" s="60">
        <v>0.0</v>
      </c>
      <c r="I8043" s="60">
        <v>21.5929085</v>
      </c>
      <c r="J8043" s="59">
        <v>2.0</v>
      </c>
      <c r="K8043" s="61">
        <f t="shared" si="1"/>
        <v>0.5</v>
      </c>
      <c r="L8043" s="62">
        <f t="shared" si="2"/>
        <v>1</v>
      </c>
    </row>
    <row r="8044">
      <c r="A8044" s="58">
        <v>45474.0</v>
      </c>
      <c r="B8044" s="24" t="s">
        <v>7030</v>
      </c>
      <c r="C8044" s="24" t="s">
        <v>6802</v>
      </c>
      <c r="D8044" s="59">
        <v>1.0</v>
      </c>
      <c r="E8044" s="59">
        <v>1.0</v>
      </c>
      <c r="F8044" s="59">
        <v>0.0</v>
      </c>
      <c r="G8044" s="60">
        <v>1.0</v>
      </c>
      <c r="H8044" s="60">
        <v>1.0</v>
      </c>
      <c r="I8044" s="60">
        <v>0.0</v>
      </c>
      <c r="J8044" s="59">
        <v>1.0</v>
      </c>
      <c r="K8044" s="61">
        <f t="shared" si="1"/>
        <v>0</v>
      </c>
      <c r="L8044" s="62">
        <f t="shared" si="2"/>
        <v>1</v>
      </c>
    </row>
    <row r="8045">
      <c r="A8045" s="58">
        <v>45444.0</v>
      </c>
      <c r="B8045" s="24" t="s">
        <v>6789</v>
      </c>
      <c r="C8045" s="24" t="s">
        <v>6788</v>
      </c>
      <c r="D8045" s="59">
        <v>705.0</v>
      </c>
      <c r="E8045" s="59">
        <v>979.0</v>
      </c>
      <c r="F8045" s="59">
        <v>588.0</v>
      </c>
      <c r="G8045" s="60">
        <v>1.41884057971014</v>
      </c>
      <c r="H8045" s="60">
        <v>0.473953013278856</v>
      </c>
      <c r="I8045" s="60">
        <v>182.257725336057</v>
      </c>
      <c r="J8045" s="59">
        <v>1707.0</v>
      </c>
      <c r="K8045" s="61">
        <f t="shared" si="1"/>
        <v>0.6006128703</v>
      </c>
      <c r="L8045" s="62">
        <f t="shared" si="2"/>
        <v>1.743615935</v>
      </c>
    </row>
    <row r="8046">
      <c r="A8046" s="58">
        <v>45444.0</v>
      </c>
      <c r="B8046" s="24" t="s">
        <v>6787</v>
      </c>
      <c r="C8046" s="24" t="s">
        <v>6788</v>
      </c>
      <c r="D8046" s="59">
        <v>605.0</v>
      </c>
      <c r="E8046" s="59">
        <v>736.0</v>
      </c>
      <c r="F8046" s="59">
        <v>569.0</v>
      </c>
      <c r="G8046" s="60">
        <v>1.22462562396006</v>
      </c>
      <c r="H8046" s="60">
        <v>0.667119565217391</v>
      </c>
      <c r="I8046" s="60">
        <v>87.5083456820652</v>
      </c>
      <c r="J8046" s="59">
        <v>1061.0</v>
      </c>
      <c r="K8046" s="61">
        <f t="shared" si="1"/>
        <v>0.7730978261</v>
      </c>
      <c r="L8046" s="62">
        <f t="shared" si="2"/>
        <v>1.441576087</v>
      </c>
    </row>
    <row r="8047">
      <c r="A8047" s="58">
        <v>45444.0</v>
      </c>
      <c r="B8047" s="24" t="s">
        <v>6789</v>
      </c>
      <c r="C8047" s="24" t="s">
        <v>7068</v>
      </c>
      <c r="D8047" s="59">
        <v>319.0</v>
      </c>
      <c r="E8047" s="59">
        <v>346.0</v>
      </c>
      <c r="F8047" s="59">
        <v>309.0</v>
      </c>
      <c r="G8047" s="60">
        <v>1.09841269841269</v>
      </c>
      <c r="H8047" s="60">
        <v>0.358381502890173</v>
      </c>
      <c r="I8047" s="60">
        <v>171.667889708092</v>
      </c>
      <c r="J8047" s="59">
        <v>368.0</v>
      </c>
      <c r="K8047" s="61">
        <f t="shared" si="1"/>
        <v>0.8930635838</v>
      </c>
      <c r="L8047" s="62">
        <f t="shared" si="2"/>
        <v>1.063583815</v>
      </c>
    </row>
    <row r="8048">
      <c r="A8048" s="58">
        <v>45444.0</v>
      </c>
      <c r="B8048" s="24" t="s">
        <v>6789</v>
      </c>
      <c r="C8048" s="24" t="s">
        <v>6792</v>
      </c>
      <c r="D8048" s="59">
        <v>178.0</v>
      </c>
      <c r="E8048" s="59">
        <v>208.0</v>
      </c>
      <c r="F8048" s="59">
        <v>0.0</v>
      </c>
      <c r="G8048" s="60">
        <v>1.79310344827586</v>
      </c>
      <c r="H8048" s="60">
        <v>0.971153846153846</v>
      </c>
      <c r="I8048" s="60">
        <v>2.91473732692307</v>
      </c>
      <c r="J8048" s="59">
        <v>0.0</v>
      </c>
      <c r="K8048" s="61">
        <f t="shared" si="1"/>
        <v>0</v>
      </c>
      <c r="L8048" s="62">
        <f t="shared" si="2"/>
        <v>0</v>
      </c>
    </row>
    <row r="8049">
      <c r="A8049" s="58">
        <v>45444.0</v>
      </c>
      <c r="B8049" s="24" t="s">
        <v>155</v>
      </c>
      <c r="C8049" s="24" t="s">
        <v>6788</v>
      </c>
      <c r="D8049" s="59">
        <v>111.0</v>
      </c>
      <c r="E8049" s="59">
        <v>238.0</v>
      </c>
      <c r="F8049" s="59">
        <v>79.0</v>
      </c>
      <c r="G8049" s="60">
        <v>2.26666666666666</v>
      </c>
      <c r="H8049" s="60">
        <v>0.65126050420168</v>
      </c>
      <c r="I8049" s="60">
        <v>73.980362605042</v>
      </c>
      <c r="J8049" s="59">
        <v>298.0</v>
      </c>
      <c r="K8049" s="61">
        <f t="shared" si="1"/>
        <v>0.3319327731</v>
      </c>
      <c r="L8049" s="62">
        <f t="shared" si="2"/>
        <v>1.25210084</v>
      </c>
    </row>
    <row r="8050">
      <c r="A8050" s="58">
        <v>45444.0</v>
      </c>
      <c r="B8050" s="24" t="s">
        <v>6787</v>
      </c>
      <c r="C8050" s="24" t="s">
        <v>6799</v>
      </c>
      <c r="D8050" s="59">
        <v>99.0</v>
      </c>
      <c r="E8050" s="59">
        <v>99.0</v>
      </c>
      <c r="F8050" s="59">
        <v>96.0</v>
      </c>
      <c r="G8050" s="60">
        <v>1.01020408163265</v>
      </c>
      <c r="H8050" s="60">
        <v>0.191919191919191</v>
      </c>
      <c r="I8050" s="60">
        <v>31.4149375454545</v>
      </c>
      <c r="J8050" s="59">
        <v>264.0</v>
      </c>
      <c r="K8050" s="61">
        <f t="shared" si="1"/>
        <v>0.9696969697</v>
      </c>
      <c r="L8050" s="62">
        <f t="shared" si="2"/>
        <v>2.666666667</v>
      </c>
    </row>
    <row r="8051">
      <c r="A8051" s="58">
        <v>45444.0</v>
      </c>
      <c r="B8051" s="24" t="s">
        <v>6794</v>
      </c>
      <c r="C8051" s="24" t="s">
        <v>6788</v>
      </c>
      <c r="D8051" s="59">
        <v>70.0</v>
      </c>
      <c r="E8051" s="59">
        <v>74.0</v>
      </c>
      <c r="F8051" s="59">
        <v>67.0</v>
      </c>
      <c r="G8051" s="60">
        <v>1.05714285714285</v>
      </c>
      <c r="H8051" s="60">
        <v>0.216216216216216</v>
      </c>
      <c r="I8051" s="60">
        <v>141.111402662162</v>
      </c>
      <c r="J8051" s="59">
        <v>133.0</v>
      </c>
      <c r="K8051" s="61">
        <f t="shared" si="1"/>
        <v>0.9054054054</v>
      </c>
      <c r="L8051" s="62">
        <f t="shared" si="2"/>
        <v>1.797297297</v>
      </c>
    </row>
    <row r="8052">
      <c r="A8052" s="58">
        <v>45444.0</v>
      </c>
      <c r="B8052" s="24" t="s">
        <v>6787</v>
      </c>
      <c r="C8052" s="24" t="s">
        <v>6802</v>
      </c>
      <c r="D8052" s="59">
        <v>61.0</v>
      </c>
      <c r="E8052" s="59">
        <v>61.0</v>
      </c>
      <c r="F8052" s="59">
        <v>61.0</v>
      </c>
      <c r="G8052" s="60">
        <v>1.0</v>
      </c>
      <c r="H8052" s="60">
        <v>0.163934426229508</v>
      </c>
      <c r="I8052" s="60">
        <v>10.5460315081967</v>
      </c>
      <c r="J8052" s="59">
        <v>156.0</v>
      </c>
      <c r="K8052" s="61">
        <f t="shared" si="1"/>
        <v>1</v>
      </c>
      <c r="L8052" s="62">
        <f t="shared" si="2"/>
        <v>2.557377049</v>
      </c>
    </row>
    <row r="8053">
      <c r="A8053" s="58">
        <v>45444.0</v>
      </c>
      <c r="B8053" s="24" t="s">
        <v>6790</v>
      </c>
      <c r="C8053" s="24" t="s">
        <v>6924</v>
      </c>
      <c r="D8053" s="59">
        <v>52.0</v>
      </c>
      <c r="E8053" s="59">
        <v>54.0</v>
      </c>
      <c r="F8053" s="59">
        <v>52.0</v>
      </c>
      <c r="G8053" s="60">
        <v>1.03846153846153</v>
      </c>
      <c r="H8053" s="60">
        <v>0.87037037037037</v>
      </c>
      <c r="I8053" s="60">
        <v>22.1374731111111</v>
      </c>
      <c r="J8053" s="59">
        <v>61.0</v>
      </c>
      <c r="K8053" s="61">
        <f t="shared" si="1"/>
        <v>0.962962963</v>
      </c>
      <c r="L8053" s="62">
        <f t="shared" si="2"/>
        <v>1.12962963</v>
      </c>
    </row>
    <row r="8054">
      <c r="A8054" s="58">
        <v>45444.0</v>
      </c>
      <c r="B8054" s="24" t="s">
        <v>6789</v>
      </c>
      <c r="C8054" s="24" t="s">
        <v>7024</v>
      </c>
      <c r="D8054" s="59">
        <v>51.0</v>
      </c>
      <c r="E8054" s="59">
        <v>60.0</v>
      </c>
      <c r="F8054" s="59">
        <v>48.0</v>
      </c>
      <c r="G8054" s="60">
        <v>1.22448979591836</v>
      </c>
      <c r="H8054" s="60">
        <v>0.383333333333333</v>
      </c>
      <c r="I8054" s="60">
        <v>212.914293266666</v>
      </c>
      <c r="J8054" s="59">
        <v>87.0</v>
      </c>
      <c r="K8054" s="61">
        <f t="shared" si="1"/>
        <v>0.8</v>
      </c>
      <c r="L8054" s="62">
        <f t="shared" si="2"/>
        <v>1.45</v>
      </c>
    </row>
    <row r="8055">
      <c r="A8055" s="58">
        <v>45444.0</v>
      </c>
      <c r="B8055" s="24" t="s">
        <v>6789</v>
      </c>
      <c r="C8055" s="24" t="s">
        <v>6799</v>
      </c>
      <c r="D8055" s="59">
        <v>45.0</v>
      </c>
      <c r="E8055" s="59">
        <v>55.0</v>
      </c>
      <c r="F8055" s="59">
        <v>36.0</v>
      </c>
      <c r="G8055" s="60">
        <v>1.3095238095238</v>
      </c>
      <c r="H8055" s="60">
        <v>0.345454545454545</v>
      </c>
      <c r="I8055" s="60">
        <v>145.843454563636</v>
      </c>
      <c r="J8055" s="59">
        <v>89.0</v>
      </c>
      <c r="K8055" s="61">
        <f t="shared" si="1"/>
        <v>0.6545454545</v>
      </c>
      <c r="L8055" s="62">
        <f t="shared" si="2"/>
        <v>1.618181818</v>
      </c>
    </row>
    <row r="8056">
      <c r="A8056" s="58">
        <v>45444.0</v>
      </c>
      <c r="B8056" s="24" t="s">
        <v>6790</v>
      </c>
      <c r="C8056" s="24" t="s">
        <v>6963</v>
      </c>
      <c r="D8056" s="59">
        <v>45.0</v>
      </c>
      <c r="E8056" s="59">
        <v>45.0</v>
      </c>
      <c r="F8056" s="59">
        <v>44.0</v>
      </c>
      <c r="G8056" s="60">
        <v>1.02272727272727</v>
      </c>
      <c r="H8056" s="60">
        <v>0.866666666666666</v>
      </c>
      <c r="I8056" s="60">
        <v>10.8219651333333</v>
      </c>
      <c r="J8056" s="59">
        <v>50.0</v>
      </c>
      <c r="K8056" s="61">
        <f t="shared" si="1"/>
        <v>0.9777777778</v>
      </c>
      <c r="L8056" s="62">
        <f t="shared" si="2"/>
        <v>1.111111111</v>
      </c>
    </row>
    <row r="8057">
      <c r="A8057" s="58">
        <v>45444.0</v>
      </c>
      <c r="B8057" s="24" t="s">
        <v>6787</v>
      </c>
      <c r="C8057" s="24" t="s">
        <v>6792</v>
      </c>
      <c r="D8057" s="59">
        <v>42.0</v>
      </c>
      <c r="E8057" s="59">
        <v>46.0</v>
      </c>
      <c r="F8057" s="59">
        <v>0.0</v>
      </c>
      <c r="G8057" s="60">
        <v>1.58620689655172</v>
      </c>
      <c r="H8057" s="60">
        <v>0.934782608695652</v>
      </c>
      <c r="I8057" s="60">
        <v>47.5142823043478</v>
      </c>
      <c r="J8057" s="59">
        <v>0.0</v>
      </c>
      <c r="K8057" s="61">
        <f t="shared" si="1"/>
        <v>0</v>
      </c>
      <c r="L8057" s="62">
        <f t="shared" si="2"/>
        <v>0</v>
      </c>
    </row>
    <row r="8058">
      <c r="A8058" s="58">
        <v>45444.0</v>
      </c>
      <c r="B8058" s="24" t="s">
        <v>6789</v>
      </c>
      <c r="C8058" s="24" t="s">
        <v>6804</v>
      </c>
      <c r="D8058" s="59">
        <v>39.0</v>
      </c>
      <c r="E8058" s="59">
        <v>42.0</v>
      </c>
      <c r="F8058" s="59">
        <v>37.0</v>
      </c>
      <c r="G8058" s="60">
        <v>1.10526315789473</v>
      </c>
      <c r="H8058" s="60">
        <v>0.571428571428571</v>
      </c>
      <c r="I8058" s="60">
        <v>119.40690397619</v>
      </c>
      <c r="J8058" s="59">
        <v>59.0</v>
      </c>
      <c r="K8058" s="61">
        <f t="shared" si="1"/>
        <v>0.880952381</v>
      </c>
      <c r="L8058" s="62">
        <f t="shared" si="2"/>
        <v>1.404761905</v>
      </c>
    </row>
    <row r="8059">
      <c r="A8059" s="58">
        <v>45444.0</v>
      </c>
      <c r="B8059" s="24" t="s">
        <v>7100</v>
      </c>
      <c r="C8059" s="24" t="s">
        <v>6788</v>
      </c>
      <c r="D8059" s="59">
        <v>29.0</v>
      </c>
      <c r="E8059" s="59">
        <v>30.0</v>
      </c>
      <c r="F8059" s="59">
        <v>29.0</v>
      </c>
      <c r="G8059" s="60">
        <v>1.03448275862068</v>
      </c>
      <c r="H8059" s="60">
        <v>0.666666666666666</v>
      </c>
      <c r="I8059" s="60">
        <v>78.9139345999999</v>
      </c>
      <c r="J8059" s="59">
        <v>34.0</v>
      </c>
      <c r="K8059" s="61">
        <f t="shared" si="1"/>
        <v>0.9666666667</v>
      </c>
      <c r="L8059" s="62">
        <f t="shared" si="2"/>
        <v>1.133333333</v>
      </c>
    </row>
    <row r="8060">
      <c r="A8060" s="58">
        <v>45444.0</v>
      </c>
      <c r="B8060" s="24" t="s">
        <v>6789</v>
      </c>
      <c r="C8060" s="24" t="s">
        <v>6815</v>
      </c>
      <c r="D8060" s="59">
        <v>27.0</v>
      </c>
      <c r="E8060" s="59">
        <v>27.0</v>
      </c>
      <c r="F8060" s="59">
        <v>25.0</v>
      </c>
      <c r="G8060" s="60">
        <v>1.0</v>
      </c>
      <c r="H8060" s="60">
        <v>0.259259259259259</v>
      </c>
      <c r="I8060" s="60">
        <v>233.20650537037</v>
      </c>
      <c r="J8060" s="59">
        <v>41.0</v>
      </c>
      <c r="K8060" s="61">
        <f t="shared" si="1"/>
        <v>0.9259259259</v>
      </c>
      <c r="L8060" s="62">
        <f t="shared" si="2"/>
        <v>1.518518519</v>
      </c>
    </row>
    <row r="8061">
      <c r="A8061" s="58">
        <v>45444.0</v>
      </c>
      <c r="B8061" s="24" t="s">
        <v>6790</v>
      </c>
      <c r="C8061" s="24" t="s">
        <v>6788</v>
      </c>
      <c r="D8061" s="59">
        <v>26.0</v>
      </c>
      <c r="E8061" s="59">
        <v>32.0</v>
      </c>
      <c r="F8061" s="59">
        <v>25.0</v>
      </c>
      <c r="G8061" s="60">
        <v>1.23076923076923</v>
      </c>
      <c r="H8061" s="60">
        <v>0.65625</v>
      </c>
      <c r="I8061" s="60">
        <v>38.46756771875</v>
      </c>
      <c r="J8061" s="59">
        <v>42.0</v>
      </c>
      <c r="K8061" s="61">
        <f t="shared" si="1"/>
        <v>0.78125</v>
      </c>
      <c r="L8061" s="62">
        <f t="shared" si="2"/>
        <v>1.3125</v>
      </c>
    </row>
    <row r="8062">
      <c r="A8062" s="58">
        <v>45444.0</v>
      </c>
      <c r="B8062" s="24" t="s">
        <v>6789</v>
      </c>
      <c r="C8062" s="24" t="s">
        <v>6808</v>
      </c>
      <c r="D8062" s="59">
        <v>17.0</v>
      </c>
      <c r="E8062" s="59">
        <v>17.0</v>
      </c>
      <c r="F8062" s="59">
        <v>11.0</v>
      </c>
      <c r="G8062" s="60">
        <v>1.13333333333333</v>
      </c>
      <c r="H8062" s="60">
        <v>0.470588235294117</v>
      </c>
      <c r="I8062" s="60">
        <v>33.8516249411764</v>
      </c>
      <c r="J8062" s="59">
        <v>24.0</v>
      </c>
      <c r="K8062" s="61">
        <f t="shared" si="1"/>
        <v>0.6470588235</v>
      </c>
      <c r="L8062" s="62">
        <f t="shared" si="2"/>
        <v>1.411764706</v>
      </c>
    </row>
    <row r="8063">
      <c r="A8063" s="58">
        <v>45444.0</v>
      </c>
      <c r="B8063" s="24" t="s">
        <v>6789</v>
      </c>
      <c r="C8063" s="24" t="s">
        <v>6892</v>
      </c>
      <c r="D8063" s="59">
        <v>15.0</v>
      </c>
      <c r="E8063" s="59">
        <v>17.0</v>
      </c>
      <c r="F8063" s="59">
        <v>12.0</v>
      </c>
      <c r="G8063" s="60">
        <v>1.13333333333333</v>
      </c>
      <c r="H8063" s="60">
        <v>0.470588235294117</v>
      </c>
      <c r="I8063" s="60">
        <v>133.849554764705</v>
      </c>
      <c r="J8063" s="59">
        <v>23.0</v>
      </c>
      <c r="K8063" s="61">
        <f t="shared" si="1"/>
        <v>0.7058823529</v>
      </c>
      <c r="L8063" s="62">
        <f t="shared" si="2"/>
        <v>1.352941176</v>
      </c>
    </row>
    <row r="8064">
      <c r="A8064" s="58">
        <v>45444.0</v>
      </c>
      <c r="B8064" s="24" t="s">
        <v>6787</v>
      </c>
      <c r="C8064" s="24" t="s">
        <v>7068</v>
      </c>
      <c r="D8064" s="59">
        <v>13.0</v>
      </c>
      <c r="E8064" s="59">
        <v>15.0</v>
      </c>
      <c r="F8064" s="59">
        <v>13.0</v>
      </c>
      <c r="G8064" s="60">
        <v>1.15384615384615</v>
      </c>
      <c r="H8064" s="60">
        <v>0.4</v>
      </c>
      <c r="I8064" s="60">
        <v>147.535536866666</v>
      </c>
      <c r="J8064" s="59">
        <v>22.0</v>
      </c>
      <c r="K8064" s="61">
        <f t="shared" si="1"/>
        <v>0.8666666667</v>
      </c>
      <c r="L8064" s="62">
        <f t="shared" si="2"/>
        <v>1.466666667</v>
      </c>
    </row>
    <row r="8065">
      <c r="A8065" s="58">
        <v>45444.0</v>
      </c>
      <c r="B8065" s="24" t="s">
        <v>6787</v>
      </c>
      <c r="C8065" s="24" t="s">
        <v>7107</v>
      </c>
      <c r="D8065" s="59">
        <v>13.0</v>
      </c>
      <c r="E8065" s="59">
        <v>13.0</v>
      </c>
      <c r="F8065" s="59">
        <v>12.0</v>
      </c>
      <c r="G8065" s="60">
        <v>1.0</v>
      </c>
      <c r="H8065" s="60">
        <v>0.307692307692307</v>
      </c>
      <c r="I8065" s="60">
        <v>14.5333793846153</v>
      </c>
      <c r="J8065" s="59">
        <v>17.0</v>
      </c>
      <c r="K8065" s="61">
        <f t="shared" si="1"/>
        <v>0.9230769231</v>
      </c>
      <c r="L8065" s="62">
        <f t="shared" si="2"/>
        <v>1.307692308</v>
      </c>
    </row>
    <row r="8066">
      <c r="A8066" s="58">
        <v>45444.0</v>
      </c>
      <c r="B8066" s="24" t="s">
        <v>6787</v>
      </c>
      <c r="C8066" s="24" t="s">
        <v>6854</v>
      </c>
      <c r="D8066" s="59">
        <v>13.0</v>
      </c>
      <c r="E8066" s="59">
        <v>19.0</v>
      </c>
      <c r="F8066" s="59">
        <v>6.0</v>
      </c>
      <c r="G8066" s="60">
        <v>1.46153846153846</v>
      </c>
      <c r="H8066" s="60">
        <v>0.263157894736842</v>
      </c>
      <c r="I8066" s="60">
        <v>140.414827578947</v>
      </c>
      <c r="J8066" s="59">
        <v>34.0</v>
      </c>
      <c r="K8066" s="61">
        <f t="shared" si="1"/>
        <v>0.3157894737</v>
      </c>
      <c r="L8066" s="62">
        <f t="shared" si="2"/>
        <v>1.789473684</v>
      </c>
    </row>
    <row r="8067">
      <c r="A8067" s="58">
        <v>45444.0</v>
      </c>
      <c r="B8067" s="24" t="s">
        <v>6789</v>
      </c>
      <c r="C8067" s="24" t="s">
        <v>6803</v>
      </c>
      <c r="D8067" s="59">
        <v>12.0</v>
      </c>
      <c r="E8067" s="59">
        <v>15.0</v>
      </c>
      <c r="F8067" s="59">
        <v>8.0</v>
      </c>
      <c r="G8067" s="60">
        <v>1.25</v>
      </c>
      <c r="H8067" s="60">
        <v>0.533333333333333</v>
      </c>
      <c r="I8067" s="60">
        <v>73.1076762666666</v>
      </c>
      <c r="J8067" s="59">
        <v>21.0</v>
      </c>
      <c r="K8067" s="61">
        <f t="shared" si="1"/>
        <v>0.5333333333</v>
      </c>
      <c r="L8067" s="62">
        <f t="shared" si="2"/>
        <v>1.4</v>
      </c>
    </row>
    <row r="8068">
      <c r="A8068" s="58">
        <v>45444.0</v>
      </c>
      <c r="B8068" s="24" t="s">
        <v>6789</v>
      </c>
      <c r="C8068" s="24" t="s">
        <v>6835</v>
      </c>
      <c r="D8068" s="59">
        <v>12.0</v>
      </c>
      <c r="E8068" s="59">
        <v>13.0</v>
      </c>
      <c r="F8068" s="59">
        <v>12.0</v>
      </c>
      <c r="G8068" s="60">
        <v>1.08333333333333</v>
      </c>
      <c r="H8068" s="60">
        <v>0.23076923076923</v>
      </c>
      <c r="I8068" s="60">
        <v>215.90967276923</v>
      </c>
      <c r="J8068" s="59">
        <v>13.0</v>
      </c>
      <c r="K8068" s="61">
        <f t="shared" si="1"/>
        <v>0.9230769231</v>
      </c>
      <c r="L8068" s="62">
        <f t="shared" si="2"/>
        <v>1</v>
      </c>
    </row>
    <row r="8069">
      <c r="A8069" s="58">
        <v>45444.0</v>
      </c>
      <c r="B8069" s="24" t="s">
        <v>155</v>
      </c>
      <c r="C8069" s="24" t="s">
        <v>6799</v>
      </c>
      <c r="D8069" s="59">
        <v>12.0</v>
      </c>
      <c r="E8069" s="59">
        <v>12.0</v>
      </c>
      <c r="F8069" s="59">
        <v>10.0</v>
      </c>
      <c r="G8069" s="60">
        <v>1.0</v>
      </c>
      <c r="H8069" s="60">
        <v>0.0833333333333333</v>
      </c>
      <c r="I8069" s="60">
        <v>204.735117749999</v>
      </c>
      <c r="J8069" s="59">
        <v>21.0</v>
      </c>
      <c r="K8069" s="61">
        <f t="shared" si="1"/>
        <v>0.8333333333</v>
      </c>
      <c r="L8069" s="62">
        <f t="shared" si="2"/>
        <v>1.75</v>
      </c>
    </row>
    <row r="8070">
      <c r="A8070" s="58">
        <v>45444.0</v>
      </c>
      <c r="B8070" s="24" t="s">
        <v>6787</v>
      </c>
      <c r="C8070" s="24" t="s">
        <v>6815</v>
      </c>
      <c r="D8070" s="59">
        <v>12.0</v>
      </c>
      <c r="E8070" s="59">
        <v>21.0</v>
      </c>
      <c r="F8070" s="59">
        <v>12.0</v>
      </c>
      <c r="G8070" s="60">
        <v>1.75</v>
      </c>
      <c r="H8070" s="60">
        <v>0.714285714285714</v>
      </c>
      <c r="I8070" s="60">
        <v>351.620491619047</v>
      </c>
      <c r="J8070" s="59">
        <v>28.0</v>
      </c>
      <c r="K8070" s="61">
        <f t="shared" si="1"/>
        <v>0.5714285714</v>
      </c>
      <c r="L8070" s="62">
        <f t="shared" si="2"/>
        <v>1.333333333</v>
      </c>
    </row>
    <row r="8071">
      <c r="A8071" s="58">
        <v>45444.0</v>
      </c>
      <c r="B8071" s="24" t="s">
        <v>6789</v>
      </c>
      <c r="C8071" s="24" t="s">
        <v>6829</v>
      </c>
      <c r="D8071" s="59">
        <v>11.0</v>
      </c>
      <c r="E8071" s="59">
        <v>11.0</v>
      </c>
      <c r="F8071" s="59">
        <v>9.0</v>
      </c>
      <c r="G8071" s="60">
        <v>1.0</v>
      </c>
      <c r="H8071" s="60">
        <v>0.545454545454545</v>
      </c>
      <c r="I8071" s="60">
        <v>20.525658090909</v>
      </c>
      <c r="J8071" s="59">
        <v>11.0</v>
      </c>
      <c r="K8071" s="61">
        <f t="shared" si="1"/>
        <v>0.8181818182</v>
      </c>
      <c r="L8071" s="62">
        <f t="shared" si="2"/>
        <v>1</v>
      </c>
    </row>
    <row r="8072">
      <c r="A8072" s="58">
        <v>45444.0</v>
      </c>
      <c r="B8072" s="24" t="s">
        <v>155</v>
      </c>
      <c r="C8072" s="24" t="s">
        <v>6800</v>
      </c>
      <c r="D8072" s="59">
        <v>10.0</v>
      </c>
      <c r="E8072" s="59">
        <v>10.0</v>
      </c>
      <c r="F8072" s="59">
        <v>10.0</v>
      </c>
      <c r="G8072" s="60">
        <v>1.0</v>
      </c>
      <c r="H8072" s="60">
        <v>0.0</v>
      </c>
      <c r="I8072" s="60">
        <v>38.9221542999999</v>
      </c>
      <c r="J8072" s="59">
        <v>20.0</v>
      </c>
      <c r="K8072" s="61">
        <f t="shared" si="1"/>
        <v>1</v>
      </c>
      <c r="L8072" s="62">
        <f t="shared" si="2"/>
        <v>2</v>
      </c>
    </row>
    <row r="8073">
      <c r="A8073" s="58">
        <v>45444.0</v>
      </c>
      <c r="B8073" s="24" t="s">
        <v>6789</v>
      </c>
      <c r="C8073" s="24" t="s">
        <v>6802</v>
      </c>
      <c r="D8073" s="59">
        <v>10.0</v>
      </c>
      <c r="E8073" s="59">
        <v>14.0</v>
      </c>
      <c r="F8073" s="59">
        <v>0.0</v>
      </c>
      <c r="G8073" s="60">
        <v>1.4</v>
      </c>
      <c r="H8073" s="60">
        <v>0.357142857142857</v>
      </c>
      <c r="I8073" s="60">
        <v>687.783117857142</v>
      </c>
      <c r="J8073" s="59">
        <v>46.0</v>
      </c>
      <c r="K8073" s="61">
        <f t="shared" si="1"/>
        <v>0</v>
      </c>
      <c r="L8073" s="62">
        <f t="shared" si="2"/>
        <v>3.285714286</v>
      </c>
    </row>
    <row r="8074">
      <c r="A8074" s="58">
        <v>45444.0</v>
      </c>
      <c r="B8074" s="24" t="s">
        <v>6789</v>
      </c>
      <c r="C8074" s="24" t="s">
        <v>6838</v>
      </c>
      <c r="D8074" s="59">
        <v>9.0</v>
      </c>
      <c r="E8074" s="59">
        <v>9.0</v>
      </c>
      <c r="F8074" s="59">
        <v>7.0</v>
      </c>
      <c r="G8074" s="60">
        <v>1.0</v>
      </c>
      <c r="H8074" s="60">
        <v>0.222222222222222</v>
      </c>
      <c r="I8074" s="60">
        <v>51.290456</v>
      </c>
      <c r="J8074" s="59">
        <v>12.0</v>
      </c>
      <c r="K8074" s="61">
        <f t="shared" si="1"/>
        <v>0.7777777778</v>
      </c>
      <c r="L8074" s="62">
        <f t="shared" si="2"/>
        <v>1.333333333</v>
      </c>
    </row>
    <row r="8075">
      <c r="A8075" s="58">
        <v>45444.0</v>
      </c>
      <c r="B8075" s="24" t="s">
        <v>6789</v>
      </c>
      <c r="C8075" s="24" t="s">
        <v>7102</v>
      </c>
      <c r="D8075" s="59">
        <v>9.0</v>
      </c>
      <c r="E8075" s="59">
        <v>11.0</v>
      </c>
      <c r="F8075" s="59">
        <v>4.0</v>
      </c>
      <c r="G8075" s="60">
        <v>1.22222222222222</v>
      </c>
      <c r="H8075" s="60">
        <v>0.272727272727272</v>
      </c>
      <c r="I8075" s="60">
        <v>484.369659181818</v>
      </c>
      <c r="J8075" s="59">
        <v>21.0</v>
      </c>
      <c r="K8075" s="61">
        <f t="shared" si="1"/>
        <v>0.3636363636</v>
      </c>
      <c r="L8075" s="62">
        <f t="shared" si="2"/>
        <v>1.909090909</v>
      </c>
    </row>
    <row r="8076">
      <c r="A8076" s="58">
        <v>45444.0</v>
      </c>
      <c r="B8076" s="24" t="s">
        <v>155</v>
      </c>
      <c r="C8076" s="24" t="s">
        <v>6792</v>
      </c>
      <c r="D8076" s="59">
        <v>8.0</v>
      </c>
      <c r="E8076" s="59">
        <v>10.0</v>
      </c>
      <c r="F8076" s="59">
        <v>0.0</v>
      </c>
      <c r="G8076" s="60">
        <v>1.66666666666666</v>
      </c>
      <c r="H8076" s="60">
        <v>1.0</v>
      </c>
      <c r="I8076" s="60">
        <v>0.0</v>
      </c>
      <c r="J8076" s="59">
        <v>0.0</v>
      </c>
      <c r="K8076" s="61">
        <f t="shared" si="1"/>
        <v>0</v>
      </c>
      <c r="L8076" s="62">
        <f t="shared" si="2"/>
        <v>0</v>
      </c>
    </row>
    <row r="8077">
      <c r="A8077" s="58">
        <v>45444.0</v>
      </c>
      <c r="B8077" s="24" t="s">
        <v>6789</v>
      </c>
      <c r="C8077" s="24" t="s">
        <v>6990</v>
      </c>
      <c r="D8077" s="59">
        <v>8.0</v>
      </c>
      <c r="E8077" s="59">
        <v>8.0</v>
      </c>
      <c r="F8077" s="59">
        <v>7.0</v>
      </c>
      <c r="G8077" s="60">
        <v>1.0</v>
      </c>
      <c r="H8077" s="60">
        <v>0.375</v>
      </c>
      <c r="I8077" s="60">
        <v>334.03542725</v>
      </c>
      <c r="J8077" s="59">
        <v>11.0</v>
      </c>
      <c r="K8077" s="61">
        <f t="shared" si="1"/>
        <v>0.875</v>
      </c>
      <c r="L8077" s="62">
        <f t="shared" si="2"/>
        <v>1.375</v>
      </c>
    </row>
    <row r="8078">
      <c r="A8078" s="58">
        <v>45444.0</v>
      </c>
      <c r="B8078" s="24" t="s">
        <v>6787</v>
      </c>
      <c r="C8078" s="24" t="s">
        <v>6817</v>
      </c>
      <c r="D8078" s="59">
        <v>7.0</v>
      </c>
      <c r="E8078" s="59">
        <v>8.0</v>
      </c>
      <c r="F8078" s="59">
        <v>7.0</v>
      </c>
      <c r="G8078" s="60">
        <v>1.14285714285714</v>
      </c>
      <c r="H8078" s="60">
        <v>0.625</v>
      </c>
      <c r="I8078" s="60">
        <v>80.679379</v>
      </c>
      <c r="J8078" s="59">
        <v>17.0</v>
      </c>
      <c r="K8078" s="61">
        <f t="shared" si="1"/>
        <v>0.875</v>
      </c>
      <c r="L8078" s="62">
        <f t="shared" si="2"/>
        <v>2.125</v>
      </c>
    </row>
    <row r="8079">
      <c r="A8079" s="58">
        <v>45444.0</v>
      </c>
      <c r="B8079" s="24" t="s">
        <v>6787</v>
      </c>
      <c r="C8079" s="24" t="s">
        <v>7024</v>
      </c>
      <c r="D8079" s="59">
        <v>7.0</v>
      </c>
      <c r="E8079" s="59">
        <v>7.0</v>
      </c>
      <c r="F8079" s="59">
        <v>6.0</v>
      </c>
      <c r="G8079" s="60">
        <v>1.0</v>
      </c>
      <c r="H8079" s="60">
        <v>0.428571428571428</v>
      </c>
      <c r="I8079" s="60">
        <v>53.1817227142857</v>
      </c>
      <c r="J8079" s="59">
        <v>12.0</v>
      </c>
      <c r="K8079" s="61">
        <f t="shared" si="1"/>
        <v>0.8571428571</v>
      </c>
      <c r="L8079" s="62">
        <f t="shared" si="2"/>
        <v>1.714285714</v>
      </c>
    </row>
    <row r="8080">
      <c r="A8080" s="58">
        <v>45444.0</v>
      </c>
      <c r="B8080" s="24" t="s">
        <v>6787</v>
      </c>
      <c r="C8080" s="24" t="s">
        <v>6886</v>
      </c>
      <c r="D8080" s="59">
        <v>7.0</v>
      </c>
      <c r="E8080" s="59">
        <v>8.0</v>
      </c>
      <c r="F8080" s="59">
        <v>7.0</v>
      </c>
      <c r="G8080" s="60">
        <v>1.14285714285714</v>
      </c>
      <c r="H8080" s="60">
        <v>0.5</v>
      </c>
      <c r="I8080" s="60">
        <v>12.245360625</v>
      </c>
      <c r="J8080" s="59">
        <v>10.0</v>
      </c>
      <c r="K8080" s="61">
        <f t="shared" si="1"/>
        <v>0.875</v>
      </c>
      <c r="L8080" s="62">
        <f t="shared" si="2"/>
        <v>1.25</v>
      </c>
    </row>
    <row r="8081">
      <c r="A8081" s="58">
        <v>45444.0</v>
      </c>
      <c r="B8081" s="24" t="s">
        <v>6787</v>
      </c>
      <c r="C8081" s="24" t="s">
        <v>6800</v>
      </c>
      <c r="D8081" s="59">
        <v>7.0</v>
      </c>
      <c r="E8081" s="59">
        <v>8.0</v>
      </c>
      <c r="F8081" s="59">
        <v>7.0</v>
      </c>
      <c r="G8081" s="60">
        <v>1.14285714285714</v>
      </c>
      <c r="H8081" s="60">
        <v>0.5</v>
      </c>
      <c r="I8081" s="60">
        <v>83.414517</v>
      </c>
      <c r="J8081" s="59">
        <v>12.0</v>
      </c>
      <c r="K8081" s="61">
        <f t="shared" si="1"/>
        <v>0.875</v>
      </c>
      <c r="L8081" s="62">
        <f t="shared" si="2"/>
        <v>1.5</v>
      </c>
    </row>
    <row r="8082">
      <c r="A8082" s="58">
        <v>45444.0</v>
      </c>
      <c r="B8082" s="24" t="s">
        <v>6787</v>
      </c>
      <c r="C8082" s="24" t="s">
        <v>7172</v>
      </c>
      <c r="D8082" s="59">
        <v>7.0</v>
      </c>
      <c r="E8082" s="59">
        <v>8.0</v>
      </c>
      <c r="F8082" s="59">
        <v>5.0</v>
      </c>
      <c r="G8082" s="60">
        <v>1.6</v>
      </c>
      <c r="H8082" s="60">
        <v>0.875</v>
      </c>
      <c r="I8082" s="60">
        <v>2.45250925</v>
      </c>
      <c r="J8082" s="59">
        <v>8.0</v>
      </c>
      <c r="K8082" s="61">
        <f t="shared" si="1"/>
        <v>0.625</v>
      </c>
      <c r="L8082" s="62">
        <f t="shared" si="2"/>
        <v>1</v>
      </c>
    </row>
    <row r="8083">
      <c r="A8083" s="58">
        <v>45444.0</v>
      </c>
      <c r="B8083" s="24" t="s">
        <v>6787</v>
      </c>
      <c r="C8083" s="24" t="s">
        <v>6910</v>
      </c>
      <c r="D8083" s="59">
        <v>7.0</v>
      </c>
      <c r="E8083" s="59">
        <v>7.0</v>
      </c>
      <c r="F8083" s="59">
        <v>7.0</v>
      </c>
      <c r="G8083" s="60">
        <v>1.0</v>
      </c>
      <c r="H8083" s="60">
        <v>1.0</v>
      </c>
      <c r="I8083" s="60">
        <v>0.0</v>
      </c>
      <c r="J8083" s="59">
        <v>7.0</v>
      </c>
      <c r="K8083" s="61">
        <f t="shared" si="1"/>
        <v>1</v>
      </c>
      <c r="L8083" s="62">
        <f t="shared" si="2"/>
        <v>1</v>
      </c>
    </row>
    <row r="8084">
      <c r="A8084" s="58">
        <v>45444.0</v>
      </c>
      <c r="B8084" s="24" t="s">
        <v>6789</v>
      </c>
      <c r="C8084" s="24" t="s">
        <v>6910</v>
      </c>
      <c r="D8084" s="59">
        <v>7.0</v>
      </c>
      <c r="E8084" s="59">
        <v>7.0</v>
      </c>
      <c r="F8084" s="59">
        <v>2.0</v>
      </c>
      <c r="G8084" s="60">
        <v>1.4</v>
      </c>
      <c r="H8084" s="60">
        <v>0.285714285714285</v>
      </c>
      <c r="I8084" s="60">
        <v>221.479005</v>
      </c>
      <c r="J8084" s="59">
        <v>12.0</v>
      </c>
      <c r="K8084" s="61">
        <f t="shared" si="1"/>
        <v>0.2857142857</v>
      </c>
      <c r="L8084" s="62">
        <f t="shared" si="2"/>
        <v>1.714285714</v>
      </c>
    </row>
    <row r="8085">
      <c r="A8085" s="58">
        <v>45444.0</v>
      </c>
      <c r="B8085" s="24" t="s">
        <v>6787</v>
      </c>
      <c r="C8085" s="24" t="s">
        <v>6803</v>
      </c>
      <c r="D8085" s="59">
        <v>6.0</v>
      </c>
      <c r="E8085" s="59">
        <v>7.0</v>
      </c>
      <c r="F8085" s="59">
        <v>5.0</v>
      </c>
      <c r="G8085" s="60">
        <v>1.16666666666666</v>
      </c>
      <c r="H8085" s="60">
        <v>0.714285714285714</v>
      </c>
      <c r="I8085" s="60">
        <v>16.4633225714285</v>
      </c>
      <c r="J8085" s="59">
        <v>9.0</v>
      </c>
      <c r="K8085" s="61">
        <f t="shared" si="1"/>
        <v>0.7142857143</v>
      </c>
      <c r="L8085" s="62">
        <f t="shared" si="2"/>
        <v>1.285714286</v>
      </c>
    </row>
    <row r="8086">
      <c r="A8086" s="58">
        <v>45444.0</v>
      </c>
      <c r="B8086" s="24" t="s">
        <v>6789</v>
      </c>
      <c r="C8086" s="24" t="s">
        <v>6994</v>
      </c>
      <c r="D8086" s="59">
        <v>6.0</v>
      </c>
      <c r="E8086" s="59">
        <v>6.0</v>
      </c>
      <c r="F8086" s="59">
        <v>6.0</v>
      </c>
      <c r="G8086" s="60">
        <v>1.0</v>
      </c>
      <c r="H8086" s="60">
        <v>0.166666666666666</v>
      </c>
      <c r="I8086" s="60">
        <v>458.865012666666</v>
      </c>
      <c r="J8086" s="59">
        <v>11.0</v>
      </c>
      <c r="K8086" s="61">
        <f t="shared" si="1"/>
        <v>1</v>
      </c>
      <c r="L8086" s="62">
        <f t="shared" si="2"/>
        <v>1.833333333</v>
      </c>
    </row>
    <row r="8087">
      <c r="A8087" s="58">
        <v>45444.0</v>
      </c>
      <c r="B8087" s="24" t="s">
        <v>6789</v>
      </c>
      <c r="C8087" s="24" t="s">
        <v>6997</v>
      </c>
      <c r="D8087" s="59">
        <v>6.0</v>
      </c>
      <c r="E8087" s="59">
        <v>7.0</v>
      </c>
      <c r="F8087" s="59">
        <v>5.0</v>
      </c>
      <c r="G8087" s="60">
        <v>1.16666666666666</v>
      </c>
      <c r="H8087" s="60">
        <v>0.571428571428571</v>
      </c>
      <c r="I8087" s="60">
        <v>15.1227935714285</v>
      </c>
      <c r="J8087" s="59">
        <v>7.0</v>
      </c>
      <c r="K8087" s="61">
        <f t="shared" si="1"/>
        <v>0.7142857143</v>
      </c>
      <c r="L8087" s="62">
        <f t="shared" si="2"/>
        <v>1</v>
      </c>
    </row>
    <row r="8088">
      <c r="A8088" s="58">
        <v>45444.0</v>
      </c>
      <c r="B8088" s="24" t="s">
        <v>6787</v>
      </c>
      <c r="C8088" s="24" t="s">
        <v>7313</v>
      </c>
      <c r="D8088" s="59">
        <v>6.0</v>
      </c>
      <c r="E8088" s="59">
        <v>6.0</v>
      </c>
      <c r="F8088" s="59">
        <v>5.0</v>
      </c>
      <c r="G8088" s="60">
        <v>1.0</v>
      </c>
      <c r="H8088" s="60">
        <v>0.666666666666666</v>
      </c>
      <c r="I8088" s="60">
        <v>125.681124666666</v>
      </c>
      <c r="J8088" s="59">
        <v>12.0</v>
      </c>
      <c r="K8088" s="61">
        <f t="shared" si="1"/>
        <v>0.8333333333</v>
      </c>
      <c r="L8088" s="62">
        <f t="shared" si="2"/>
        <v>2</v>
      </c>
    </row>
    <row r="8089">
      <c r="A8089" s="58">
        <v>45444.0</v>
      </c>
      <c r="B8089" s="24" t="s">
        <v>6789</v>
      </c>
      <c r="C8089" s="24" t="s">
        <v>7313</v>
      </c>
      <c r="D8089" s="59">
        <v>6.0</v>
      </c>
      <c r="E8089" s="59">
        <v>7.0</v>
      </c>
      <c r="F8089" s="59">
        <v>4.0</v>
      </c>
      <c r="G8089" s="60">
        <v>1.16666666666666</v>
      </c>
      <c r="H8089" s="60">
        <v>0.428571428571428</v>
      </c>
      <c r="I8089" s="60">
        <v>37.0030054285714</v>
      </c>
      <c r="J8089" s="59">
        <v>12.0</v>
      </c>
      <c r="K8089" s="61">
        <f t="shared" si="1"/>
        <v>0.5714285714</v>
      </c>
      <c r="L8089" s="62">
        <f t="shared" si="2"/>
        <v>1.714285714</v>
      </c>
    </row>
    <row r="8090">
      <c r="A8090" s="58">
        <v>45444.0</v>
      </c>
      <c r="B8090" s="24" t="s">
        <v>6789</v>
      </c>
      <c r="C8090" s="24" t="s">
        <v>7180</v>
      </c>
      <c r="D8090" s="59">
        <v>6.0</v>
      </c>
      <c r="E8090" s="59">
        <v>6.0</v>
      </c>
      <c r="F8090" s="59">
        <v>5.0</v>
      </c>
      <c r="G8090" s="60">
        <v>1.2</v>
      </c>
      <c r="H8090" s="60">
        <v>0.5</v>
      </c>
      <c r="I8090" s="60">
        <v>148.878782</v>
      </c>
      <c r="J8090" s="59">
        <v>6.0</v>
      </c>
      <c r="K8090" s="61">
        <f t="shared" si="1"/>
        <v>0.8333333333</v>
      </c>
      <c r="L8090" s="62">
        <f t="shared" si="2"/>
        <v>1</v>
      </c>
    </row>
    <row r="8091">
      <c r="A8091" s="58">
        <v>45444.0</v>
      </c>
      <c r="B8091" s="24" t="s">
        <v>6789</v>
      </c>
      <c r="C8091" s="24" t="s">
        <v>7107</v>
      </c>
      <c r="D8091" s="59">
        <v>6.0</v>
      </c>
      <c r="E8091" s="59">
        <v>9.0</v>
      </c>
      <c r="F8091" s="59">
        <v>0.0</v>
      </c>
      <c r="G8091" s="60">
        <v>1.8</v>
      </c>
      <c r="H8091" s="60">
        <v>0.444444444444444</v>
      </c>
      <c r="I8091" s="60">
        <v>698.175178777777</v>
      </c>
      <c r="J8091" s="59">
        <v>21.0</v>
      </c>
      <c r="K8091" s="61">
        <f t="shared" si="1"/>
        <v>0</v>
      </c>
      <c r="L8091" s="62">
        <f t="shared" si="2"/>
        <v>2.333333333</v>
      </c>
    </row>
    <row r="8092">
      <c r="A8092" s="58">
        <v>45444.0</v>
      </c>
      <c r="B8092" s="24" t="s">
        <v>6794</v>
      </c>
      <c r="C8092" s="24" t="s">
        <v>6792</v>
      </c>
      <c r="D8092" s="59">
        <v>5.0</v>
      </c>
      <c r="E8092" s="59">
        <v>5.0</v>
      </c>
      <c r="F8092" s="59">
        <v>0.0</v>
      </c>
      <c r="G8092" s="60">
        <v>1.25</v>
      </c>
      <c r="H8092" s="60">
        <v>1.0</v>
      </c>
      <c r="I8092" s="60">
        <v>0.0</v>
      </c>
      <c r="J8092" s="59">
        <v>0.0</v>
      </c>
      <c r="K8092" s="61">
        <f t="shared" si="1"/>
        <v>0</v>
      </c>
      <c r="L8092" s="62">
        <f t="shared" si="2"/>
        <v>0</v>
      </c>
    </row>
    <row r="8093">
      <c r="A8093" s="58">
        <v>45444.0</v>
      </c>
      <c r="B8093" s="24" t="s">
        <v>7100</v>
      </c>
      <c r="C8093" s="24" t="s">
        <v>6792</v>
      </c>
      <c r="D8093" s="59">
        <v>5.0</v>
      </c>
      <c r="E8093" s="59">
        <v>5.0</v>
      </c>
      <c r="F8093" s="59">
        <v>0.0</v>
      </c>
      <c r="G8093" s="60">
        <v>1.25</v>
      </c>
      <c r="H8093" s="60">
        <v>1.0</v>
      </c>
      <c r="I8093" s="60">
        <v>0.0</v>
      </c>
      <c r="J8093" s="59">
        <v>0.0</v>
      </c>
      <c r="K8093" s="61">
        <f t="shared" si="1"/>
        <v>0</v>
      </c>
      <c r="L8093" s="62">
        <f t="shared" si="2"/>
        <v>0</v>
      </c>
    </row>
    <row r="8094">
      <c r="A8094" s="58">
        <v>45444.0</v>
      </c>
      <c r="B8094" s="24" t="s">
        <v>6789</v>
      </c>
      <c r="C8094" s="24" t="s">
        <v>7056</v>
      </c>
      <c r="D8094" s="59">
        <v>5.0</v>
      </c>
      <c r="E8094" s="59">
        <v>5.0</v>
      </c>
      <c r="F8094" s="59">
        <v>4.0</v>
      </c>
      <c r="G8094" s="60">
        <v>1.0</v>
      </c>
      <c r="H8094" s="60">
        <v>0.2</v>
      </c>
      <c r="I8094" s="60">
        <v>82.1095816</v>
      </c>
      <c r="J8094" s="59">
        <v>5.0</v>
      </c>
      <c r="K8094" s="61">
        <f t="shared" si="1"/>
        <v>0.8</v>
      </c>
      <c r="L8094" s="62">
        <f t="shared" si="2"/>
        <v>1</v>
      </c>
    </row>
    <row r="8095">
      <c r="A8095" s="58">
        <v>45444.0</v>
      </c>
      <c r="B8095" s="24" t="s">
        <v>6789</v>
      </c>
      <c r="C8095" s="24" t="s">
        <v>6819</v>
      </c>
      <c r="D8095" s="59">
        <v>5.0</v>
      </c>
      <c r="E8095" s="59">
        <v>5.0</v>
      </c>
      <c r="F8095" s="59">
        <v>5.0</v>
      </c>
      <c r="G8095" s="60">
        <v>1.0</v>
      </c>
      <c r="H8095" s="60">
        <v>0.4</v>
      </c>
      <c r="I8095" s="60">
        <v>86.8391966</v>
      </c>
      <c r="J8095" s="59">
        <v>5.0</v>
      </c>
      <c r="K8095" s="61">
        <f t="shared" si="1"/>
        <v>1</v>
      </c>
      <c r="L8095" s="62">
        <f t="shared" si="2"/>
        <v>1</v>
      </c>
    </row>
    <row r="8096">
      <c r="A8096" s="58">
        <v>45444.0</v>
      </c>
      <c r="B8096" s="24" t="s">
        <v>6787</v>
      </c>
      <c r="C8096" s="24" t="s">
        <v>6822</v>
      </c>
      <c r="D8096" s="59">
        <v>5.0</v>
      </c>
      <c r="E8096" s="59">
        <v>5.0</v>
      </c>
      <c r="F8096" s="59">
        <v>3.0</v>
      </c>
      <c r="G8096" s="60">
        <v>1.0</v>
      </c>
      <c r="H8096" s="60">
        <v>0.2</v>
      </c>
      <c r="I8096" s="60">
        <v>73.336655</v>
      </c>
      <c r="J8096" s="59">
        <v>14.0</v>
      </c>
      <c r="K8096" s="61">
        <f t="shared" si="1"/>
        <v>0.6</v>
      </c>
      <c r="L8096" s="62">
        <f t="shared" si="2"/>
        <v>2.8</v>
      </c>
    </row>
    <row r="8097">
      <c r="A8097" s="58">
        <v>45444.0</v>
      </c>
      <c r="B8097" s="24" t="s">
        <v>6789</v>
      </c>
      <c r="C8097" s="24" t="s">
        <v>7104</v>
      </c>
      <c r="D8097" s="59">
        <v>5.0</v>
      </c>
      <c r="E8097" s="59">
        <v>6.0</v>
      </c>
      <c r="F8097" s="59">
        <v>3.0</v>
      </c>
      <c r="G8097" s="60">
        <v>1.2</v>
      </c>
      <c r="H8097" s="60">
        <v>0.5</v>
      </c>
      <c r="I8097" s="60">
        <v>447.347942333333</v>
      </c>
      <c r="J8097" s="59">
        <v>8.0</v>
      </c>
      <c r="K8097" s="61">
        <f t="shared" si="1"/>
        <v>0.5</v>
      </c>
      <c r="L8097" s="62">
        <f t="shared" si="2"/>
        <v>1.333333333</v>
      </c>
    </row>
    <row r="8098">
      <c r="A8098" s="58">
        <v>45444.0</v>
      </c>
      <c r="B8098" s="24" t="s">
        <v>6789</v>
      </c>
      <c r="C8098" s="24" t="s">
        <v>7023</v>
      </c>
      <c r="D8098" s="59">
        <v>5.0</v>
      </c>
      <c r="E8098" s="59">
        <v>5.0</v>
      </c>
      <c r="F8098" s="59">
        <v>2.0</v>
      </c>
      <c r="G8098" s="60">
        <v>1.0</v>
      </c>
      <c r="H8098" s="60">
        <v>0.0</v>
      </c>
      <c r="I8098" s="60">
        <v>232.4130292</v>
      </c>
      <c r="J8098" s="59">
        <v>12.0</v>
      </c>
      <c r="K8098" s="61">
        <f t="shared" si="1"/>
        <v>0.4</v>
      </c>
      <c r="L8098" s="62">
        <f t="shared" si="2"/>
        <v>2.4</v>
      </c>
    </row>
    <row r="8099">
      <c r="A8099" s="58">
        <v>45444.0</v>
      </c>
      <c r="B8099" s="24" t="s">
        <v>6787</v>
      </c>
      <c r="C8099" s="24" t="s">
        <v>6804</v>
      </c>
      <c r="D8099" s="59">
        <v>4.0</v>
      </c>
      <c r="E8099" s="59">
        <v>4.0</v>
      </c>
      <c r="F8099" s="59">
        <v>4.0</v>
      </c>
      <c r="G8099" s="60">
        <v>1.0</v>
      </c>
      <c r="H8099" s="60">
        <v>1.0</v>
      </c>
      <c r="I8099" s="60">
        <v>0.0</v>
      </c>
      <c r="J8099" s="59">
        <v>4.0</v>
      </c>
      <c r="K8099" s="61">
        <f t="shared" si="1"/>
        <v>1</v>
      </c>
      <c r="L8099" s="62">
        <f t="shared" si="2"/>
        <v>1</v>
      </c>
    </row>
    <row r="8100">
      <c r="A8100" s="58">
        <v>45444.0</v>
      </c>
      <c r="B8100" s="24" t="s">
        <v>6789</v>
      </c>
      <c r="C8100" s="24" t="s">
        <v>6986</v>
      </c>
      <c r="D8100" s="59">
        <v>4.0</v>
      </c>
      <c r="E8100" s="59">
        <v>4.0</v>
      </c>
      <c r="F8100" s="59">
        <v>4.0</v>
      </c>
      <c r="G8100" s="60">
        <v>1.0</v>
      </c>
      <c r="H8100" s="60">
        <v>0.25</v>
      </c>
      <c r="I8100" s="60">
        <v>69.83428875</v>
      </c>
      <c r="J8100" s="59">
        <v>4.0</v>
      </c>
      <c r="K8100" s="61">
        <f t="shared" si="1"/>
        <v>1</v>
      </c>
      <c r="L8100" s="62">
        <f t="shared" si="2"/>
        <v>1</v>
      </c>
    </row>
    <row r="8101">
      <c r="A8101" s="58">
        <v>45444.0</v>
      </c>
      <c r="B8101" s="24" t="s">
        <v>6789</v>
      </c>
      <c r="C8101" s="24" t="s">
        <v>7571</v>
      </c>
      <c r="D8101" s="59">
        <v>4.0</v>
      </c>
      <c r="E8101" s="59">
        <v>4.0</v>
      </c>
      <c r="F8101" s="59">
        <v>4.0</v>
      </c>
      <c r="G8101" s="60">
        <v>1.0</v>
      </c>
      <c r="H8101" s="60">
        <v>0.25</v>
      </c>
      <c r="I8101" s="60">
        <v>48.8016722499999</v>
      </c>
      <c r="J8101" s="59">
        <v>4.0</v>
      </c>
      <c r="K8101" s="61">
        <f t="shared" si="1"/>
        <v>1</v>
      </c>
      <c r="L8101" s="62">
        <f t="shared" si="2"/>
        <v>1</v>
      </c>
    </row>
    <row r="8102">
      <c r="A8102" s="58">
        <v>45444.0</v>
      </c>
      <c r="B8102" s="24" t="s">
        <v>6789</v>
      </c>
      <c r="C8102" s="24" t="s">
        <v>6797</v>
      </c>
      <c r="D8102" s="59">
        <v>4.0</v>
      </c>
      <c r="E8102" s="59">
        <v>4.0</v>
      </c>
      <c r="F8102" s="59">
        <v>3.0</v>
      </c>
      <c r="G8102" s="60">
        <v>1.0</v>
      </c>
      <c r="H8102" s="60">
        <v>0.0</v>
      </c>
      <c r="I8102" s="60">
        <v>164.801093249999</v>
      </c>
      <c r="J8102" s="59">
        <v>5.0</v>
      </c>
      <c r="K8102" s="61">
        <f t="shared" si="1"/>
        <v>0.75</v>
      </c>
      <c r="L8102" s="62">
        <f t="shared" si="2"/>
        <v>1.25</v>
      </c>
    </row>
    <row r="8103">
      <c r="A8103" s="58">
        <v>45444.0</v>
      </c>
      <c r="B8103" s="24" t="s">
        <v>6787</v>
      </c>
      <c r="C8103" s="24" t="s">
        <v>6810</v>
      </c>
      <c r="D8103" s="59">
        <v>4.0</v>
      </c>
      <c r="E8103" s="59">
        <v>4.0</v>
      </c>
      <c r="F8103" s="59">
        <v>4.0</v>
      </c>
      <c r="G8103" s="60">
        <v>1.0</v>
      </c>
      <c r="H8103" s="60">
        <v>0.75</v>
      </c>
      <c r="I8103" s="60">
        <v>8.0236985</v>
      </c>
      <c r="J8103" s="59">
        <v>4.0</v>
      </c>
      <c r="K8103" s="61">
        <f t="shared" si="1"/>
        <v>1</v>
      </c>
      <c r="L8103" s="62">
        <f t="shared" si="2"/>
        <v>1</v>
      </c>
    </row>
    <row r="8104">
      <c r="A8104" s="58">
        <v>45444.0</v>
      </c>
      <c r="B8104" s="24" t="s">
        <v>6787</v>
      </c>
      <c r="C8104" s="24" t="s">
        <v>6931</v>
      </c>
      <c r="D8104" s="59">
        <v>4.0</v>
      </c>
      <c r="E8104" s="59">
        <v>4.0</v>
      </c>
      <c r="F8104" s="59">
        <v>4.0</v>
      </c>
      <c r="G8104" s="60">
        <v>1.0</v>
      </c>
      <c r="H8104" s="60">
        <v>0.75</v>
      </c>
      <c r="I8104" s="60">
        <v>14.5170305</v>
      </c>
      <c r="J8104" s="59">
        <v>4.0</v>
      </c>
      <c r="K8104" s="61">
        <f t="shared" si="1"/>
        <v>1</v>
      </c>
      <c r="L8104" s="62">
        <f t="shared" si="2"/>
        <v>1</v>
      </c>
    </row>
    <row r="8105">
      <c r="A8105" s="58">
        <v>45444.0</v>
      </c>
      <c r="B8105" s="24" t="s">
        <v>6787</v>
      </c>
      <c r="C8105" s="24" t="s">
        <v>7058</v>
      </c>
      <c r="D8105" s="59">
        <v>3.0</v>
      </c>
      <c r="E8105" s="59">
        <v>3.0</v>
      </c>
      <c r="F8105" s="59">
        <v>3.0</v>
      </c>
      <c r="G8105" s="60">
        <v>1.0</v>
      </c>
      <c r="H8105" s="60">
        <v>0.666666666666666</v>
      </c>
      <c r="I8105" s="60">
        <v>23.3408376666666</v>
      </c>
      <c r="J8105" s="59">
        <v>4.0</v>
      </c>
      <c r="K8105" s="61">
        <f t="shared" si="1"/>
        <v>1</v>
      </c>
      <c r="L8105" s="62">
        <f t="shared" si="2"/>
        <v>1.333333333</v>
      </c>
    </row>
    <row r="8106">
      <c r="A8106" s="58">
        <v>45444.0</v>
      </c>
      <c r="B8106" s="24" t="s">
        <v>6787</v>
      </c>
      <c r="C8106" s="24" t="s">
        <v>7060</v>
      </c>
      <c r="D8106" s="59">
        <v>3.0</v>
      </c>
      <c r="E8106" s="59">
        <v>3.0</v>
      </c>
      <c r="F8106" s="59">
        <v>2.0</v>
      </c>
      <c r="G8106" s="60">
        <v>1.5</v>
      </c>
      <c r="H8106" s="60">
        <v>0.333333333333333</v>
      </c>
      <c r="I8106" s="60">
        <v>123.283531333333</v>
      </c>
      <c r="J8106" s="59">
        <v>6.0</v>
      </c>
      <c r="K8106" s="61">
        <f t="shared" si="1"/>
        <v>0.6666666667</v>
      </c>
      <c r="L8106" s="62">
        <f t="shared" si="2"/>
        <v>2</v>
      </c>
    </row>
    <row r="8107">
      <c r="A8107" s="58">
        <v>45444.0</v>
      </c>
      <c r="B8107" s="24" t="s">
        <v>6789</v>
      </c>
      <c r="C8107" s="24" t="s">
        <v>7061</v>
      </c>
      <c r="D8107" s="59">
        <v>3.0</v>
      </c>
      <c r="E8107" s="59">
        <v>3.0</v>
      </c>
      <c r="F8107" s="59">
        <v>2.0</v>
      </c>
      <c r="G8107" s="60">
        <v>1.0</v>
      </c>
      <c r="H8107" s="60">
        <v>0.333333333333333</v>
      </c>
      <c r="I8107" s="60">
        <v>246.351204</v>
      </c>
      <c r="J8107" s="59">
        <v>3.0</v>
      </c>
      <c r="K8107" s="61">
        <f t="shared" si="1"/>
        <v>0.6666666667</v>
      </c>
      <c r="L8107" s="62">
        <f t="shared" si="2"/>
        <v>1</v>
      </c>
    </row>
    <row r="8108">
      <c r="A8108" s="58">
        <v>45444.0</v>
      </c>
      <c r="B8108" s="24" t="s">
        <v>6789</v>
      </c>
      <c r="C8108" s="24" t="s">
        <v>7064</v>
      </c>
      <c r="D8108" s="59">
        <v>3.0</v>
      </c>
      <c r="E8108" s="59">
        <v>3.0</v>
      </c>
      <c r="F8108" s="59">
        <v>3.0</v>
      </c>
      <c r="G8108" s="60">
        <v>1.0</v>
      </c>
      <c r="H8108" s="60">
        <v>0.333333333333333</v>
      </c>
      <c r="I8108" s="60">
        <v>9.746416</v>
      </c>
      <c r="J8108" s="59">
        <v>3.0</v>
      </c>
      <c r="K8108" s="61">
        <f t="shared" si="1"/>
        <v>1</v>
      </c>
      <c r="L8108" s="62">
        <f t="shared" si="2"/>
        <v>1</v>
      </c>
    </row>
    <row r="8109">
      <c r="A8109" s="58">
        <v>45444.0</v>
      </c>
      <c r="B8109" s="24" t="s">
        <v>6789</v>
      </c>
      <c r="C8109" s="24" t="s">
        <v>7072</v>
      </c>
      <c r="D8109" s="59">
        <v>3.0</v>
      </c>
      <c r="E8109" s="59">
        <v>3.0</v>
      </c>
      <c r="F8109" s="59">
        <v>3.0</v>
      </c>
      <c r="G8109" s="60">
        <v>1.0</v>
      </c>
      <c r="H8109" s="60">
        <v>0.333333333333333</v>
      </c>
      <c r="I8109" s="60">
        <v>30.234979</v>
      </c>
      <c r="J8109" s="59">
        <v>6.0</v>
      </c>
      <c r="K8109" s="61">
        <f t="shared" si="1"/>
        <v>1</v>
      </c>
      <c r="L8109" s="62">
        <f t="shared" si="2"/>
        <v>2</v>
      </c>
    </row>
    <row r="8110">
      <c r="A8110" s="58">
        <v>45444.0</v>
      </c>
      <c r="B8110" s="24" t="s">
        <v>6789</v>
      </c>
      <c r="C8110" s="24" t="s">
        <v>7074</v>
      </c>
      <c r="D8110" s="59">
        <v>3.0</v>
      </c>
      <c r="E8110" s="59">
        <v>4.0</v>
      </c>
      <c r="F8110" s="59">
        <v>3.0</v>
      </c>
      <c r="G8110" s="60">
        <v>1.33333333333333</v>
      </c>
      <c r="H8110" s="60">
        <v>0.5</v>
      </c>
      <c r="I8110" s="60">
        <v>38.49125575</v>
      </c>
      <c r="J8110" s="59">
        <v>4.0</v>
      </c>
      <c r="K8110" s="61">
        <f t="shared" si="1"/>
        <v>0.75</v>
      </c>
      <c r="L8110" s="62">
        <f t="shared" si="2"/>
        <v>1</v>
      </c>
    </row>
    <row r="8111">
      <c r="A8111" s="58">
        <v>45444.0</v>
      </c>
      <c r="B8111" s="24" t="s">
        <v>6790</v>
      </c>
      <c r="C8111" s="24" t="s">
        <v>6886</v>
      </c>
      <c r="D8111" s="59">
        <v>3.0</v>
      </c>
      <c r="E8111" s="59">
        <v>3.0</v>
      </c>
      <c r="F8111" s="59">
        <v>0.0</v>
      </c>
      <c r="G8111" s="60">
        <v>1.0</v>
      </c>
      <c r="H8111" s="60">
        <v>1.0</v>
      </c>
      <c r="I8111" s="60">
        <v>21.8574746666666</v>
      </c>
      <c r="J8111" s="59">
        <v>5.0</v>
      </c>
      <c r="K8111" s="61">
        <f t="shared" si="1"/>
        <v>0</v>
      </c>
      <c r="L8111" s="62">
        <f t="shared" si="2"/>
        <v>1.666666667</v>
      </c>
    </row>
    <row r="8112">
      <c r="A8112" s="58">
        <v>45444.0</v>
      </c>
      <c r="B8112" s="24" t="s">
        <v>6787</v>
      </c>
      <c r="C8112" s="24" t="s">
        <v>6892</v>
      </c>
      <c r="D8112" s="59">
        <v>3.0</v>
      </c>
      <c r="E8112" s="59">
        <v>4.0</v>
      </c>
      <c r="F8112" s="59">
        <v>2.0</v>
      </c>
      <c r="G8112" s="60">
        <v>2.0</v>
      </c>
      <c r="H8112" s="60">
        <v>0.75</v>
      </c>
      <c r="I8112" s="60">
        <v>3.0265535</v>
      </c>
      <c r="J8112" s="59">
        <v>4.0</v>
      </c>
      <c r="K8112" s="61">
        <f t="shared" si="1"/>
        <v>0.5</v>
      </c>
      <c r="L8112" s="62">
        <f t="shared" si="2"/>
        <v>1</v>
      </c>
    </row>
    <row r="8113">
      <c r="A8113" s="58">
        <v>45444.0</v>
      </c>
      <c r="B8113" s="24" t="s">
        <v>6789</v>
      </c>
      <c r="C8113" s="24" t="s">
        <v>6840</v>
      </c>
      <c r="D8113" s="59">
        <v>3.0</v>
      </c>
      <c r="E8113" s="59">
        <v>4.0</v>
      </c>
      <c r="F8113" s="59">
        <v>1.0</v>
      </c>
      <c r="G8113" s="60">
        <v>1.33333333333333</v>
      </c>
      <c r="H8113" s="60">
        <v>0.5</v>
      </c>
      <c r="I8113" s="60">
        <v>157.1753</v>
      </c>
      <c r="J8113" s="59">
        <v>14.0</v>
      </c>
      <c r="K8113" s="61">
        <f t="shared" si="1"/>
        <v>0.25</v>
      </c>
      <c r="L8113" s="62">
        <f t="shared" si="2"/>
        <v>3.5</v>
      </c>
    </row>
    <row r="8114">
      <c r="A8114" s="58">
        <v>45444.0</v>
      </c>
      <c r="B8114" s="24" t="s">
        <v>6789</v>
      </c>
      <c r="C8114" s="24" t="s">
        <v>7551</v>
      </c>
      <c r="D8114" s="59">
        <v>3.0</v>
      </c>
      <c r="E8114" s="59">
        <v>8.0</v>
      </c>
      <c r="F8114" s="59">
        <v>2.0</v>
      </c>
      <c r="G8114" s="60">
        <v>2.66666666666666</v>
      </c>
      <c r="H8114" s="60">
        <v>0.75</v>
      </c>
      <c r="I8114" s="60">
        <v>8.212383625</v>
      </c>
      <c r="J8114" s="59">
        <v>8.0</v>
      </c>
      <c r="K8114" s="61">
        <f t="shared" si="1"/>
        <v>0.25</v>
      </c>
      <c r="L8114" s="62">
        <f t="shared" si="2"/>
        <v>1</v>
      </c>
    </row>
    <row r="8115">
      <c r="A8115" s="58">
        <v>45444.0</v>
      </c>
      <c r="B8115" s="24" t="s">
        <v>6789</v>
      </c>
      <c r="C8115" s="24" t="s">
        <v>7087</v>
      </c>
      <c r="D8115" s="59">
        <v>3.0</v>
      </c>
      <c r="E8115" s="59">
        <v>3.0</v>
      </c>
      <c r="F8115" s="59">
        <v>3.0</v>
      </c>
      <c r="G8115" s="60">
        <v>1.0</v>
      </c>
      <c r="H8115" s="60">
        <v>0.0</v>
      </c>
      <c r="I8115" s="60">
        <v>104.534911333333</v>
      </c>
      <c r="J8115" s="59">
        <v>6.0</v>
      </c>
      <c r="K8115" s="61">
        <f t="shared" si="1"/>
        <v>1</v>
      </c>
      <c r="L8115" s="62">
        <f t="shared" si="2"/>
        <v>2</v>
      </c>
    </row>
    <row r="8116">
      <c r="A8116" s="58">
        <v>45444.0</v>
      </c>
      <c r="B8116" s="24" t="s">
        <v>6789</v>
      </c>
      <c r="C8116" s="24" t="s">
        <v>7044</v>
      </c>
      <c r="D8116" s="59">
        <v>3.0</v>
      </c>
      <c r="E8116" s="59">
        <v>4.0</v>
      </c>
      <c r="F8116" s="59">
        <v>0.0</v>
      </c>
      <c r="G8116" s="60">
        <v>1.33333333333333</v>
      </c>
      <c r="H8116" s="60">
        <v>0.25</v>
      </c>
      <c r="I8116" s="60">
        <v>590.0529795</v>
      </c>
      <c r="J8116" s="59">
        <v>10.0</v>
      </c>
      <c r="K8116" s="61">
        <f t="shared" si="1"/>
        <v>0</v>
      </c>
      <c r="L8116" s="62">
        <f t="shared" si="2"/>
        <v>2.5</v>
      </c>
    </row>
    <row r="8117">
      <c r="A8117" s="58">
        <v>45444.0</v>
      </c>
      <c r="B8117" s="24" t="s">
        <v>6787</v>
      </c>
      <c r="C8117" s="24" t="s">
        <v>6908</v>
      </c>
      <c r="D8117" s="59">
        <v>3.0</v>
      </c>
      <c r="E8117" s="59">
        <v>3.0</v>
      </c>
      <c r="F8117" s="59">
        <v>2.0</v>
      </c>
      <c r="G8117" s="60">
        <v>1.0</v>
      </c>
      <c r="H8117" s="60">
        <v>1.0</v>
      </c>
      <c r="I8117" s="60">
        <v>2.71435733333333</v>
      </c>
      <c r="J8117" s="59">
        <v>3.0</v>
      </c>
      <c r="K8117" s="61">
        <f t="shared" si="1"/>
        <v>0.6666666667</v>
      </c>
      <c r="L8117" s="62">
        <f t="shared" si="2"/>
        <v>1</v>
      </c>
    </row>
    <row r="8118">
      <c r="A8118" s="58">
        <v>45444.0</v>
      </c>
      <c r="B8118" s="24" t="s">
        <v>6789</v>
      </c>
      <c r="C8118" s="24" t="s">
        <v>7172</v>
      </c>
      <c r="D8118" s="59">
        <v>3.0</v>
      </c>
      <c r="E8118" s="59">
        <v>3.0</v>
      </c>
      <c r="F8118" s="59">
        <v>1.0</v>
      </c>
      <c r="G8118" s="60">
        <v>1.5</v>
      </c>
      <c r="H8118" s="60">
        <v>0.666666666666666</v>
      </c>
      <c r="I8118" s="60">
        <v>42.053098</v>
      </c>
      <c r="J8118" s="59">
        <v>3.0</v>
      </c>
      <c r="K8118" s="61">
        <f t="shared" si="1"/>
        <v>0.3333333333</v>
      </c>
      <c r="L8118" s="62">
        <f t="shared" si="2"/>
        <v>1</v>
      </c>
    </row>
    <row r="8119">
      <c r="A8119" s="58">
        <v>45444.0</v>
      </c>
      <c r="B8119" s="24" t="s">
        <v>6787</v>
      </c>
      <c r="C8119" s="24" t="s">
        <v>6801</v>
      </c>
      <c r="D8119" s="59">
        <v>3.0</v>
      </c>
      <c r="E8119" s="59">
        <v>3.0</v>
      </c>
      <c r="F8119" s="59">
        <v>2.0</v>
      </c>
      <c r="G8119" s="60">
        <v>1.0</v>
      </c>
      <c r="H8119" s="60">
        <v>0.666666666666666</v>
      </c>
      <c r="I8119" s="60">
        <v>2.66481666666666</v>
      </c>
      <c r="J8119" s="59">
        <v>5.0</v>
      </c>
      <c r="K8119" s="61">
        <f t="shared" si="1"/>
        <v>0.6666666667</v>
      </c>
      <c r="L8119" s="62">
        <f t="shared" si="2"/>
        <v>1.666666667</v>
      </c>
    </row>
    <row r="8120">
      <c r="A8120" s="58">
        <v>45444.0</v>
      </c>
      <c r="B8120" s="24" t="s">
        <v>6789</v>
      </c>
      <c r="C8120" s="24" t="s">
        <v>6801</v>
      </c>
      <c r="D8120" s="59">
        <v>3.0</v>
      </c>
      <c r="E8120" s="59">
        <v>4.0</v>
      </c>
      <c r="F8120" s="59">
        <v>2.0</v>
      </c>
      <c r="G8120" s="60">
        <v>1.33333333333333</v>
      </c>
      <c r="H8120" s="60">
        <v>0.5</v>
      </c>
      <c r="I8120" s="60">
        <v>20.3175295</v>
      </c>
      <c r="J8120" s="59">
        <v>5.0</v>
      </c>
      <c r="K8120" s="61">
        <f t="shared" si="1"/>
        <v>0.5</v>
      </c>
      <c r="L8120" s="62">
        <f t="shared" si="2"/>
        <v>1.25</v>
      </c>
    </row>
    <row r="8121">
      <c r="A8121" s="58">
        <v>45444.0</v>
      </c>
      <c r="B8121" s="24" t="s">
        <v>6787</v>
      </c>
      <c r="C8121" s="24" t="s">
        <v>7102</v>
      </c>
      <c r="D8121" s="59">
        <v>3.0</v>
      </c>
      <c r="E8121" s="59">
        <v>3.0</v>
      </c>
      <c r="F8121" s="59">
        <v>3.0</v>
      </c>
      <c r="G8121" s="60">
        <v>1.0</v>
      </c>
      <c r="H8121" s="60">
        <v>0.666666666666666</v>
      </c>
      <c r="I8121" s="60">
        <v>3.65896433333333</v>
      </c>
      <c r="J8121" s="59">
        <v>3.0</v>
      </c>
      <c r="K8121" s="61">
        <f t="shared" si="1"/>
        <v>1</v>
      </c>
      <c r="L8121" s="62">
        <f t="shared" si="2"/>
        <v>1</v>
      </c>
    </row>
    <row r="8122">
      <c r="A8122" s="58">
        <v>45444.0</v>
      </c>
      <c r="B8122" s="24" t="s">
        <v>6787</v>
      </c>
      <c r="C8122" s="24" t="s">
        <v>7104</v>
      </c>
      <c r="D8122" s="59">
        <v>3.0</v>
      </c>
      <c r="E8122" s="59">
        <v>3.0</v>
      </c>
      <c r="F8122" s="59">
        <v>2.0</v>
      </c>
      <c r="G8122" s="60">
        <v>1.0</v>
      </c>
      <c r="H8122" s="60">
        <v>0.666666666666666</v>
      </c>
      <c r="I8122" s="60">
        <v>20.2295243333333</v>
      </c>
      <c r="J8122" s="59">
        <v>6.0</v>
      </c>
      <c r="K8122" s="61">
        <f t="shared" si="1"/>
        <v>0.6666666667</v>
      </c>
      <c r="L8122" s="62">
        <f t="shared" si="2"/>
        <v>2</v>
      </c>
    </row>
    <row r="8123">
      <c r="A8123" s="58">
        <v>45444.0</v>
      </c>
      <c r="B8123" s="24" t="s">
        <v>6787</v>
      </c>
      <c r="C8123" s="24" t="s">
        <v>7174</v>
      </c>
      <c r="D8123" s="59">
        <v>3.0</v>
      </c>
      <c r="E8123" s="59">
        <v>3.0</v>
      </c>
      <c r="F8123" s="59">
        <v>3.0</v>
      </c>
      <c r="G8123" s="60">
        <v>1.0</v>
      </c>
      <c r="H8123" s="60">
        <v>0.666666666666666</v>
      </c>
      <c r="I8123" s="60">
        <v>30.019496</v>
      </c>
      <c r="J8123" s="59">
        <v>3.0</v>
      </c>
      <c r="K8123" s="61">
        <f t="shared" si="1"/>
        <v>1</v>
      </c>
      <c r="L8123" s="62">
        <f t="shared" si="2"/>
        <v>1</v>
      </c>
    </row>
    <row r="8124">
      <c r="A8124" s="58">
        <v>45444.0</v>
      </c>
      <c r="B8124" s="24" t="s">
        <v>6787</v>
      </c>
      <c r="C8124" s="24" t="s">
        <v>7180</v>
      </c>
      <c r="D8124" s="59">
        <v>3.0</v>
      </c>
      <c r="E8124" s="59">
        <v>3.0</v>
      </c>
      <c r="F8124" s="59">
        <v>2.0</v>
      </c>
      <c r="G8124" s="60">
        <v>1.0</v>
      </c>
      <c r="H8124" s="60">
        <v>0.666666666666666</v>
      </c>
      <c r="I8124" s="60">
        <v>7.46169199999999</v>
      </c>
      <c r="J8124" s="59">
        <v>3.0</v>
      </c>
      <c r="K8124" s="61">
        <f t="shared" si="1"/>
        <v>0.6666666667</v>
      </c>
      <c r="L8124" s="62">
        <f t="shared" si="2"/>
        <v>1</v>
      </c>
    </row>
    <row r="8125">
      <c r="A8125" s="58">
        <v>45444.0</v>
      </c>
      <c r="B8125" s="24" t="s">
        <v>6790</v>
      </c>
      <c r="C8125" s="24" t="s">
        <v>7107</v>
      </c>
      <c r="D8125" s="59">
        <v>3.0</v>
      </c>
      <c r="E8125" s="59">
        <v>3.0</v>
      </c>
      <c r="F8125" s="59">
        <v>2.0</v>
      </c>
      <c r="G8125" s="60">
        <v>1.0</v>
      </c>
      <c r="H8125" s="60">
        <v>0.0</v>
      </c>
      <c r="I8125" s="60">
        <v>328.917189333333</v>
      </c>
      <c r="J8125" s="59">
        <v>11.0</v>
      </c>
      <c r="K8125" s="61">
        <f t="shared" si="1"/>
        <v>0.6666666667</v>
      </c>
      <c r="L8125" s="62">
        <f t="shared" si="2"/>
        <v>3.666666667</v>
      </c>
    </row>
    <row r="8126">
      <c r="A8126" s="58">
        <v>45444.0</v>
      </c>
      <c r="B8126" s="24" t="s">
        <v>6789</v>
      </c>
      <c r="C8126" s="24" t="s">
        <v>6854</v>
      </c>
      <c r="D8126" s="59">
        <v>3.0</v>
      </c>
      <c r="E8126" s="59">
        <v>3.0</v>
      </c>
      <c r="F8126" s="59">
        <v>1.0</v>
      </c>
      <c r="G8126" s="60">
        <v>1.0</v>
      </c>
      <c r="H8126" s="60">
        <v>0.0</v>
      </c>
      <c r="I8126" s="60">
        <v>381.16435</v>
      </c>
      <c r="J8126" s="59">
        <v>11.0</v>
      </c>
      <c r="K8126" s="61">
        <f t="shared" si="1"/>
        <v>0.3333333333</v>
      </c>
      <c r="L8126" s="62">
        <f t="shared" si="2"/>
        <v>3.666666667</v>
      </c>
    </row>
    <row r="8127">
      <c r="A8127" s="58">
        <v>45444.0</v>
      </c>
      <c r="B8127" s="24" t="s">
        <v>3216</v>
      </c>
      <c r="C8127" s="24" t="s">
        <v>6792</v>
      </c>
      <c r="D8127" s="59">
        <v>2.0</v>
      </c>
      <c r="E8127" s="59">
        <v>4.0</v>
      </c>
      <c r="F8127" s="59">
        <v>0.0</v>
      </c>
      <c r="G8127" s="60">
        <v>4.0</v>
      </c>
      <c r="H8127" s="60">
        <v>1.0</v>
      </c>
      <c r="I8127" s="60">
        <v>0.0</v>
      </c>
      <c r="J8127" s="59">
        <v>0.0</v>
      </c>
      <c r="K8127" s="61">
        <f t="shared" si="1"/>
        <v>0</v>
      </c>
      <c r="L8127" s="62">
        <f t="shared" si="2"/>
        <v>0</v>
      </c>
    </row>
    <row r="8128">
      <c r="A8128" s="58">
        <v>45444.0</v>
      </c>
      <c r="B8128" s="24" t="s">
        <v>6790</v>
      </c>
      <c r="C8128" s="24" t="s">
        <v>6792</v>
      </c>
      <c r="D8128" s="59">
        <v>2.0</v>
      </c>
      <c r="E8128" s="59">
        <v>2.0</v>
      </c>
      <c r="F8128" s="59">
        <v>0.0</v>
      </c>
      <c r="G8128" s="60">
        <v>1.0</v>
      </c>
      <c r="H8128" s="60">
        <v>1.0</v>
      </c>
      <c r="I8128" s="60">
        <v>0.0</v>
      </c>
      <c r="J8128" s="59">
        <v>0.0</v>
      </c>
      <c r="K8128" s="61">
        <f t="shared" si="1"/>
        <v>0</v>
      </c>
      <c r="L8128" s="62">
        <f t="shared" si="2"/>
        <v>0</v>
      </c>
    </row>
    <row r="8129">
      <c r="A8129" s="58">
        <v>45444.0</v>
      </c>
      <c r="B8129" s="24" t="s">
        <v>3216</v>
      </c>
      <c r="C8129" s="24" t="s">
        <v>6788</v>
      </c>
      <c r="D8129" s="59">
        <v>2.0</v>
      </c>
      <c r="E8129" s="59">
        <v>3.0</v>
      </c>
      <c r="F8129" s="59">
        <v>0.0</v>
      </c>
      <c r="G8129" s="60">
        <v>3.0</v>
      </c>
      <c r="H8129" s="60">
        <v>1.0</v>
      </c>
      <c r="I8129" s="60">
        <v>2.47795</v>
      </c>
      <c r="J8129" s="59">
        <v>3.0</v>
      </c>
      <c r="K8129" s="61">
        <f t="shared" si="1"/>
        <v>0</v>
      </c>
      <c r="L8129" s="62">
        <f t="shared" si="2"/>
        <v>1</v>
      </c>
    </row>
    <row r="8130">
      <c r="A8130" s="58">
        <v>45444.0</v>
      </c>
      <c r="B8130" s="24" t="s">
        <v>6789</v>
      </c>
      <c r="C8130" s="24" t="s">
        <v>6817</v>
      </c>
      <c r="D8130" s="59">
        <v>2.0</v>
      </c>
      <c r="E8130" s="59">
        <v>3.0</v>
      </c>
      <c r="F8130" s="59">
        <v>0.0</v>
      </c>
      <c r="G8130" s="60">
        <v>1.5</v>
      </c>
      <c r="H8130" s="60">
        <v>0.333333333333333</v>
      </c>
      <c r="I8130" s="60">
        <v>31.5783096666666</v>
      </c>
      <c r="J8130" s="59">
        <v>4.0</v>
      </c>
      <c r="K8130" s="61">
        <f t="shared" si="1"/>
        <v>0</v>
      </c>
      <c r="L8130" s="62">
        <f t="shared" si="2"/>
        <v>1.333333333</v>
      </c>
    </row>
    <row r="8131">
      <c r="A8131" s="58">
        <v>45444.0</v>
      </c>
      <c r="B8131" s="24" t="s">
        <v>155</v>
      </c>
      <c r="C8131" s="24" t="s">
        <v>6804</v>
      </c>
      <c r="D8131" s="59">
        <v>2.0</v>
      </c>
      <c r="E8131" s="59">
        <v>6.0</v>
      </c>
      <c r="F8131" s="59">
        <v>1.0</v>
      </c>
      <c r="G8131" s="60">
        <v>3.0</v>
      </c>
      <c r="H8131" s="60">
        <v>0.166666666666666</v>
      </c>
      <c r="I8131" s="60">
        <v>304.766084166666</v>
      </c>
      <c r="J8131" s="59">
        <v>7.0</v>
      </c>
      <c r="K8131" s="61">
        <f t="shared" si="1"/>
        <v>0.1666666667</v>
      </c>
      <c r="L8131" s="62">
        <f t="shared" si="2"/>
        <v>1.166666667</v>
      </c>
    </row>
    <row r="8132">
      <c r="A8132" s="58">
        <v>45444.0</v>
      </c>
      <c r="B8132" s="24" t="s">
        <v>6789</v>
      </c>
      <c r="C8132" s="24" t="s">
        <v>7057</v>
      </c>
      <c r="D8132" s="59">
        <v>2.0</v>
      </c>
      <c r="E8132" s="59">
        <v>2.0</v>
      </c>
      <c r="F8132" s="59">
        <v>2.0</v>
      </c>
      <c r="G8132" s="60">
        <v>1.0</v>
      </c>
      <c r="H8132" s="60">
        <v>0.5</v>
      </c>
      <c r="I8132" s="60">
        <v>143.9861055</v>
      </c>
      <c r="J8132" s="59">
        <v>2.0</v>
      </c>
      <c r="K8132" s="61">
        <f t="shared" si="1"/>
        <v>1</v>
      </c>
      <c r="L8132" s="62">
        <f t="shared" si="2"/>
        <v>1</v>
      </c>
    </row>
    <row r="8133">
      <c r="A8133" s="58">
        <v>45444.0</v>
      </c>
      <c r="B8133" s="24" t="s">
        <v>6789</v>
      </c>
      <c r="C8133" s="24" t="s">
        <v>7058</v>
      </c>
      <c r="D8133" s="59">
        <v>2.0</v>
      </c>
      <c r="E8133" s="59">
        <v>2.0</v>
      </c>
      <c r="F8133" s="59">
        <v>2.0</v>
      </c>
      <c r="G8133" s="60">
        <v>1.0</v>
      </c>
      <c r="H8133" s="60">
        <v>0.0</v>
      </c>
      <c r="I8133" s="60">
        <v>516.4451945</v>
      </c>
      <c r="J8133" s="59">
        <v>4.0</v>
      </c>
      <c r="K8133" s="61">
        <f t="shared" si="1"/>
        <v>1</v>
      </c>
      <c r="L8133" s="62">
        <f t="shared" si="2"/>
        <v>2</v>
      </c>
    </row>
    <row r="8134">
      <c r="A8134" s="58">
        <v>45444.0</v>
      </c>
      <c r="B8134" s="24" t="s">
        <v>6789</v>
      </c>
      <c r="C8134" s="24" t="s">
        <v>7060</v>
      </c>
      <c r="D8134" s="59">
        <v>2.0</v>
      </c>
      <c r="E8134" s="59">
        <v>4.0</v>
      </c>
      <c r="F8134" s="59">
        <v>0.0</v>
      </c>
      <c r="G8134" s="60">
        <v>2.0</v>
      </c>
      <c r="H8134" s="60">
        <v>0.0</v>
      </c>
      <c r="I8134" s="60">
        <v>897.502099</v>
      </c>
      <c r="J8134" s="59">
        <v>23.0</v>
      </c>
      <c r="K8134" s="61">
        <f t="shared" si="1"/>
        <v>0</v>
      </c>
      <c r="L8134" s="62">
        <f t="shared" si="2"/>
        <v>5.75</v>
      </c>
    </row>
    <row r="8135">
      <c r="A8135" s="58">
        <v>45444.0</v>
      </c>
      <c r="B8135" s="24" t="s">
        <v>6789</v>
      </c>
      <c r="C8135" s="24" t="s">
        <v>6985</v>
      </c>
      <c r="D8135" s="59">
        <v>2.0</v>
      </c>
      <c r="E8135" s="59">
        <v>2.0</v>
      </c>
      <c r="F8135" s="59">
        <v>2.0</v>
      </c>
      <c r="G8135" s="60">
        <v>1.0</v>
      </c>
      <c r="H8135" s="60">
        <v>0.0</v>
      </c>
      <c r="I8135" s="60">
        <v>248.56588</v>
      </c>
      <c r="J8135" s="59">
        <v>2.0</v>
      </c>
      <c r="K8135" s="61">
        <f t="shared" si="1"/>
        <v>1</v>
      </c>
      <c r="L8135" s="62">
        <f t="shared" si="2"/>
        <v>1</v>
      </c>
    </row>
    <row r="8136">
      <c r="A8136" s="58">
        <v>45444.0</v>
      </c>
      <c r="B8136" s="24" t="s">
        <v>6787</v>
      </c>
      <c r="C8136" s="24" t="s">
        <v>7061</v>
      </c>
      <c r="D8136" s="59">
        <v>2.0</v>
      </c>
      <c r="E8136" s="59">
        <v>2.0</v>
      </c>
      <c r="F8136" s="59">
        <v>2.0</v>
      </c>
      <c r="G8136" s="60">
        <v>1.0</v>
      </c>
      <c r="H8136" s="60">
        <v>1.0</v>
      </c>
      <c r="I8136" s="60">
        <v>0.0</v>
      </c>
      <c r="J8136" s="59">
        <v>2.0</v>
      </c>
      <c r="K8136" s="61">
        <f t="shared" si="1"/>
        <v>1</v>
      </c>
      <c r="L8136" s="62">
        <f t="shared" si="2"/>
        <v>1</v>
      </c>
    </row>
    <row r="8137">
      <c r="A8137" s="58">
        <v>45444.0</v>
      </c>
      <c r="B8137" s="24" t="s">
        <v>6789</v>
      </c>
      <c r="C8137" s="24" t="s">
        <v>7067</v>
      </c>
      <c r="D8137" s="59">
        <v>2.0</v>
      </c>
      <c r="E8137" s="59">
        <v>2.0</v>
      </c>
      <c r="F8137" s="59">
        <v>2.0</v>
      </c>
      <c r="G8137" s="60">
        <v>1.0</v>
      </c>
      <c r="H8137" s="60">
        <v>0.5</v>
      </c>
      <c r="I8137" s="60">
        <v>6.566424</v>
      </c>
      <c r="J8137" s="59">
        <v>2.0</v>
      </c>
      <c r="K8137" s="61">
        <f t="shared" si="1"/>
        <v>1</v>
      </c>
      <c r="L8137" s="62">
        <f t="shared" si="2"/>
        <v>1</v>
      </c>
    </row>
    <row r="8138">
      <c r="A8138" s="58">
        <v>45444.0</v>
      </c>
      <c r="B8138" s="24" t="s">
        <v>6789</v>
      </c>
      <c r="C8138" s="24" t="s">
        <v>6886</v>
      </c>
      <c r="D8138" s="59">
        <v>2.0</v>
      </c>
      <c r="E8138" s="59">
        <v>4.0</v>
      </c>
      <c r="F8138" s="59">
        <v>0.0</v>
      </c>
      <c r="G8138" s="60">
        <v>2.0</v>
      </c>
      <c r="H8138" s="60">
        <v>0.75</v>
      </c>
      <c r="I8138" s="60">
        <v>7.5545245</v>
      </c>
      <c r="J8138" s="59">
        <v>5.0</v>
      </c>
      <c r="K8138" s="61">
        <f t="shared" si="1"/>
        <v>0</v>
      </c>
      <c r="L8138" s="62">
        <f t="shared" si="2"/>
        <v>1.25</v>
      </c>
    </row>
    <row r="8139">
      <c r="A8139" s="58">
        <v>45444.0</v>
      </c>
      <c r="B8139" s="24" t="s">
        <v>6787</v>
      </c>
      <c r="C8139" s="24" t="s">
        <v>6820</v>
      </c>
      <c r="D8139" s="59">
        <v>2.0</v>
      </c>
      <c r="E8139" s="59">
        <v>2.0</v>
      </c>
      <c r="F8139" s="59">
        <v>2.0</v>
      </c>
      <c r="G8139" s="60">
        <v>1.0</v>
      </c>
      <c r="H8139" s="60">
        <v>1.0</v>
      </c>
      <c r="I8139" s="60">
        <v>0.0</v>
      </c>
      <c r="J8139" s="59">
        <v>2.0</v>
      </c>
      <c r="K8139" s="61">
        <f t="shared" si="1"/>
        <v>1</v>
      </c>
      <c r="L8139" s="62">
        <f t="shared" si="2"/>
        <v>1</v>
      </c>
    </row>
    <row r="8140">
      <c r="A8140" s="58">
        <v>45444.0</v>
      </c>
      <c r="B8140" s="24" t="s">
        <v>6789</v>
      </c>
      <c r="C8140" s="24" t="s">
        <v>6822</v>
      </c>
      <c r="D8140" s="59">
        <v>2.0</v>
      </c>
      <c r="E8140" s="59">
        <v>3.0</v>
      </c>
      <c r="F8140" s="59">
        <v>0.0</v>
      </c>
      <c r="G8140" s="60">
        <v>1.5</v>
      </c>
      <c r="H8140" s="60">
        <v>0.333333333333333</v>
      </c>
      <c r="I8140" s="60">
        <v>15.8843633333333</v>
      </c>
      <c r="J8140" s="59">
        <v>3.0</v>
      </c>
      <c r="K8140" s="61">
        <f t="shared" si="1"/>
        <v>0</v>
      </c>
      <c r="L8140" s="62">
        <f t="shared" si="2"/>
        <v>1</v>
      </c>
    </row>
    <row r="8141">
      <c r="A8141" s="58">
        <v>45444.0</v>
      </c>
      <c r="B8141" s="24" t="s">
        <v>6787</v>
      </c>
      <c r="C8141" s="24" t="s">
        <v>7572</v>
      </c>
      <c r="D8141" s="59">
        <v>2.0</v>
      </c>
      <c r="E8141" s="59">
        <v>13.0</v>
      </c>
      <c r="F8141" s="59">
        <v>0.0</v>
      </c>
      <c r="G8141" s="60">
        <v>6.5</v>
      </c>
      <c r="H8141" s="60">
        <v>0.23076923076923</v>
      </c>
      <c r="I8141" s="60">
        <v>352.609304230769</v>
      </c>
      <c r="J8141" s="59">
        <v>37.0</v>
      </c>
      <c r="K8141" s="61">
        <f t="shared" si="1"/>
        <v>0</v>
      </c>
      <c r="L8141" s="62">
        <f t="shared" si="2"/>
        <v>2.846153846</v>
      </c>
    </row>
    <row r="8142">
      <c r="A8142" s="58">
        <v>45444.0</v>
      </c>
      <c r="B8142" s="24" t="s">
        <v>6789</v>
      </c>
      <c r="C8142" s="24" t="s">
        <v>6897</v>
      </c>
      <c r="D8142" s="59">
        <v>2.0</v>
      </c>
      <c r="E8142" s="59">
        <v>2.0</v>
      </c>
      <c r="F8142" s="59">
        <v>1.0</v>
      </c>
      <c r="G8142" s="60">
        <v>2.0</v>
      </c>
      <c r="H8142" s="60">
        <v>0.5</v>
      </c>
      <c r="I8142" s="60">
        <v>33.503971</v>
      </c>
      <c r="J8142" s="59">
        <v>3.0</v>
      </c>
      <c r="K8142" s="61">
        <f t="shared" si="1"/>
        <v>0.5</v>
      </c>
      <c r="L8142" s="62">
        <f t="shared" si="2"/>
        <v>1.5</v>
      </c>
    </row>
    <row r="8143">
      <c r="A8143" s="58">
        <v>45444.0</v>
      </c>
      <c r="B8143" s="24" t="s">
        <v>6787</v>
      </c>
      <c r="C8143" s="24" t="s">
        <v>6904</v>
      </c>
      <c r="D8143" s="59">
        <v>2.0</v>
      </c>
      <c r="E8143" s="59">
        <v>2.0</v>
      </c>
      <c r="F8143" s="59">
        <v>2.0</v>
      </c>
      <c r="G8143" s="60">
        <v>1.0</v>
      </c>
      <c r="H8143" s="60">
        <v>1.0</v>
      </c>
      <c r="I8143" s="60">
        <v>1.9740945</v>
      </c>
      <c r="J8143" s="59">
        <v>2.0</v>
      </c>
      <c r="K8143" s="61">
        <f t="shared" si="1"/>
        <v>1</v>
      </c>
      <c r="L8143" s="62">
        <f t="shared" si="2"/>
        <v>1</v>
      </c>
    </row>
    <row r="8144">
      <c r="A8144" s="58">
        <v>45444.0</v>
      </c>
      <c r="B8144" s="24" t="s">
        <v>6789</v>
      </c>
      <c r="C8144" s="24" t="s">
        <v>7558</v>
      </c>
      <c r="D8144" s="59">
        <v>2.0</v>
      </c>
      <c r="E8144" s="59">
        <v>2.0</v>
      </c>
      <c r="F8144" s="59">
        <v>2.0</v>
      </c>
      <c r="G8144" s="60">
        <v>1.0</v>
      </c>
      <c r="H8144" s="60">
        <v>0.5</v>
      </c>
      <c r="I8144" s="60">
        <v>210.6744205</v>
      </c>
      <c r="J8144" s="59">
        <v>3.0</v>
      </c>
      <c r="K8144" s="61">
        <f t="shared" si="1"/>
        <v>1</v>
      </c>
      <c r="L8144" s="62">
        <f t="shared" si="2"/>
        <v>1.5</v>
      </c>
    </row>
    <row r="8145">
      <c r="A8145" s="58">
        <v>45444.0</v>
      </c>
      <c r="B8145" s="24" t="s">
        <v>6789</v>
      </c>
      <c r="C8145" s="24" t="s">
        <v>7258</v>
      </c>
      <c r="D8145" s="59">
        <v>2.0</v>
      </c>
      <c r="E8145" s="59">
        <v>2.0</v>
      </c>
      <c r="F8145" s="59">
        <v>2.0</v>
      </c>
      <c r="G8145" s="60">
        <v>1.0</v>
      </c>
      <c r="H8145" s="60">
        <v>0.0</v>
      </c>
      <c r="I8145" s="60">
        <v>22.993354</v>
      </c>
      <c r="J8145" s="59">
        <v>2.0</v>
      </c>
      <c r="K8145" s="61">
        <f t="shared" si="1"/>
        <v>1</v>
      </c>
      <c r="L8145" s="62">
        <f t="shared" si="2"/>
        <v>1</v>
      </c>
    </row>
    <row r="8146">
      <c r="A8146" s="58">
        <v>45444.0</v>
      </c>
      <c r="B8146" s="24" t="s">
        <v>6789</v>
      </c>
      <c r="C8146" s="24" t="s">
        <v>7207</v>
      </c>
      <c r="D8146" s="59">
        <v>2.0</v>
      </c>
      <c r="E8146" s="59">
        <v>2.0</v>
      </c>
      <c r="F8146" s="59">
        <v>2.0</v>
      </c>
      <c r="G8146" s="60">
        <v>1.0</v>
      </c>
      <c r="H8146" s="60">
        <v>1.0</v>
      </c>
      <c r="I8146" s="60">
        <v>0.0</v>
      </c>
      <c r="J8146" s="59">
        <v>2.0</v>
      </c>
      <c r="K8146" s="61">
        <f t="shared" si="1"/>
        <v>1</v>
      </c>
      <c r="L8146" s="62">
        <f t="shared" si="2"/>
        <v>1</v>
      </c>
    </row>
    <row r="8147">
      <c r="A8147" s="58">
        <v>45444.0</v>
      </c>
      <c r="B8147" s="24" t="s">
        <v>6787</v>
      </c>
      <c r="C8147" s="24" t="s">
        <v>7044</v>
      </c>
      <c r="D8147" s="59">
        <v>2.0</v>
      </c>
      <c r="E8147" s="59">
        <v>2.0</v>
      </c>
      <c r="F8147" s="59">
        <v>2.0</v>
      </c>
      <c r="G8147" s="60">
        <v>1.0</v>
      </c>
      <c r="H8147" s="60">
        <v>1.0</v>
      </c>
      <c r="I8147" s="60">
        <v>0.0</v>
      </c>
      <c r="J8147" s="59">
        <v>2.0</v>
      </c>
      <c r="K8147" s="61">
        <f t="shared" si="1"/>
        <v>1</v>
      </c>
      <c r="L8147" s="62">
        <f t="shared" si="2"/>
        <v>1</v>
      </c>
    </row>
    <row r="8148">
      <c r="A8148" s="58">
        <v>45444.0</v>
      </c>
      <c r="B8148" s="24" t="s">
        <v>6787</v>
      </c>
      <c r="C8148" s="24" t="s">
        <v>7023</v>
      </c>
      <c r="D8148" s="59">
        <v>2.0</v>
      </c>
      <c r="E8148" s="59">
        <v>2.0</v>
      </c>
      <c r="F8148" s="59">
        <v>2.0</v>
      </c>
      <c r="G8148" s="60">
        <v>1.0</v>
      </c>
      <c r="H8148" s="60">
        <v>1.0</v>
      </c>
      <c r="I8148" s="60">
        <v>0.0</v>
      </c>
      <c r="J8148" s="59">
        <v>2.0</v>
      </c>
      <c r="K8148" s="61">
        <f t="shared" si="1"/>
        <v>1</v>
      </c>
      <c r="L8148" s="62">
        <f t="shared" si="2"/>
        <v>1</v>
      </c>
    </row>
    <row r="8149">
      <c r="A8149" s="58">
        <v>45444.0</v>
      </c>
      <c r="B8149" s="24" t="s">
        <v>6789</v>
      </c>
      <c r="C8149" s="24" t="s">
        <v>7174</v>
      </c>
      <c r="D8149" s="59">
        <v>2.0</v>
      </c>
      <c r="E8149" s="59">
        <v>2.0</v>
      </c>
      <c r="F8149" s="59">
        <v>0.0</v>
      </c>
      <c r="G8149" s="60">
        <v>1.0</v>
      </c>
      <c r="H8149" s="60">
        <v>0.0</v>
      </c>
      <c r="I8149" s="60">
        <v>243.333647499999</v>
      </c>
      <c r="J8149" s="59">
        <v>8.0</v>
      </c>
      <c r="K8149" s="61">
        <f t="shared" si="1"/>
        <v>0</v>
      </c>
      <c r="L8149" s="62">
        <f t="shared" si="2"/>
        <v>4</v>
      </c>
    </row>
    <row r="8150">
      <c r="A8150" s="58">
        <v>45444.0</v>
      </c>
      <c r="B8150" s="24" t="s">
        <v>6794</v>
      </c>
      <c r="C8150" s="24" t="s">
        <v>6815</v>
      </c>
      <c r="D8150" s="59">
        <v>2.0</v>
      </c>
      <c r="E8150" s="59">
        <v>2.0</v>
      </c>
      <c r="F8150" s="59">
        <v>2.0</v>
      </c>
      <c r="G8150" s="60">
        <v>1.0</v>
      </c>
      <c r="H8150" s="60">
        <v>0.5</v>
      </c>
      <c r="I8150" s="60">
        <v>7.593884</v>
      </c>
      <c r="J8150" s="59">
        <v>2.0</v>
      </c>
      <c r="K8150" s="61">
        <f t="shared" si="1"/>
        <v>1</v>
      </c>
      <c r="L8150" s="62">
        <f t="shared" si="2"/>
        <v>1</v>
      </c>
    </row>
    <row r="8151">
      <c r="A8151" s="58">
        <v>45444.0</v>
      </c>
      <c r="B8151" s="24" t="s">
        <v>3216</v>
      </c>
      <c r="C8151" s="24" t="s">
        <v>6810</v>
      </c>
      <c r="D8151" s="59">
        <v>2.0</v>
      </c>
      <c r="E8151" s="59">
        <v>2.0</v>
      </c>
      <c r="F8151" s="59">
        <v>1.0</v>
      </c>
      <c r="G8151" s="60">
        <v>1.0</v>
      </c>
      <c r="H8151" s="60">
        <v>0.5</v>
      </c>
      <c r="I8151" s="60">
        <v>16.821034</v>
      </c>
      <c r="J8151" s="59">
        <v>2.0</v>
      </c>
      <c r="K8151" s="61">
        <f t="shared" si="1"/>
        <v>0.5</v>
      </c>
      <c r="L8151" s="62">
        <f t="shared" si="2"/>
        <v>1</v>
      </c>
    </row>
    <row r="8152">
      <c r="A8152" s="58">
        <v>45444.0</v>
      </c>
      <c r="B8152" s="24" t="s">
        <v>7296</v>
      </c>
      <c r="C8152" s="24" t="s">
        <v>6788</v>
      </c>
      <c r="D8152" s="59">
        <v>1.0</v>
      </c>
      <c r="E8152" s="59">
        <v>2.0</v>
      </c>
      <c r="F8152" s="59">
        <v>1.0</v>
      </c>
      <c r="G8152" s="60">
        <v>2.0</v>
      </c>
      <c r="H8152" s="60">
        <v>0.0</v>
      </c>
      <c r="I8152" s="60">
        <v>148.164048</v>
      </c>
      <c r="J8152" s="59">
        <v>4.0</v>
      </c>
      <c r="K8152" s="61">
        <f t="shared" si="1"/>
        <v>0.5</v>
      </c>
      <c r="L8152" s="62">
        <f t="shared" si="2"/>
        <v>2</v>
      </c>
    </row>
    <row r="8153">
      <c r="A8153" s="58">
        <v>45444.0</v>
      </c>
      <c r="B8153" s="24" t="s">
        <v>6789</v>
      </c>
      <c r="C8153" s="24" t="s">
        <v>7200</v>
      </c>
      <c r="D8153" s="59">
        <v>1.0</v>
      </c>
      <c r="E8153" s="59">
        <v>1.0</v>
      </c>
      <c r="F8153" s="59">
        <v>1.0</v>
      </c>
      <c r="G8153" s="60">
        <v>1.0</v>
      </c>
      <c r="H8153" s="60">
        <v>1.0</v>
      </c>
      <c r="I8153" s="60">
        <v>0.0</v>
      </c>
      <c r="J8153" s="59">
        <v>1.0</v>
      </c>
      <c r="K8153" s="61">
        <f t="shared" si="1"/>
        <v>1</v>
      </c>
      <c r="L8153" s="62">
        <f t="shared" si="2"/>
        <v>1</v>
      </c>
    </row>
    <row r="8154">
      <c r="A8154" s="58">
        <v>45444.0</v>
      </c>
      <c r="B8154" s="24" t="s">
        <v>155</v>
      </c>
      <c r="C8154" s="24" t="s">
        <v>6803</v>
      </c>
      <c r="D8154" s="59">
        <v>1.0</v>
      </c>
      <c r="E8154" s="59">
        <v>1.0</v>
      </c>
      <c r="F8154" s="59">
        <v>1.0</v>
      </c>
      <c r="G8154" s="60">
        <v>1.0</v>
      </c>
      <c r="H8154" s="60">
        <v>1.0</v>
      </c>
      <c r="I8154" s="60">
        <v>0.0</v>
      </c>
      <c r="J8154" s="59">
        <v>1.0</v>
      </c>
      <c r="K8154" s="61">
        <f t="shared" si="1"/>
        <v>1</v>
      </c>
      <c r="L8154" s="62">
        <f t="shared" si="2"/>
        <v>1</v>
      </c>
    </row>
    <row r="8155">
      <c r="A8155" s="58">
        <v>45444.0</v>
      </c>
      <c r="B8155" s="24" t="s">
        <v>6787</v>
      </c>
      <c r="C8155" s="24" t="s">
        <v>6953</v>
      </c>
      <c r="D8155" s="59">
        <v>1.0</v>
      </c>
      <c r="E8155" s="59">
        <v>6.0</v>
      </c>
      <c r="F8155" s="59">
        <v>0.0</v>
      </c>
      <c r="G8155" s="60">
        <v>6.0</v>
      </c>
      <c r="H8155" s="60">
        <v>0.833333333333333</v>
      </c>
      <c r="I8155" s="60">
        <v>163.046541666666</v>
      </c>
      <c r="J8155" s="59">
        <v>7.0</v>
      </c>
      <c r="K8155" s="61">
        <f t="shared" si="1"/>
        <v>0</v>
      </c>
      <c r="L8155" s="62">
        <f t="shared" si="2"/>
        <v>1.166666667</v>
      </c>
    </row>
    <row r="8156">
      <c r="A8156" s="58">
        <v>45444.0</v>
      </c>
      <c r="B8156" s="24" t="s">
        <v>6789</v>
      </c>
      <c r="C8156" s="24" t="s">
        <v>6953</v>
      </c>
      <c r="D8156" s="59">
        <v>1.0</v>
      </c>
      <c r="E8156" s="59">
        <v>1.0</v>
      </c>
      <c r="F8156" s="59">
        <v>1.0</v>
      </c>
      <c r="G8156" s="60">
        <v>1.0</v>
      </c>
      <c r="H8156" s="60">
        <v>0.0</v>
      </c>
      <c r="I8156" s="60">
        <v>14.397036</v>
      </c>
      <c r="J8156" s="59">
        <v>1.0</v>
      </c>
      <c r="K8156" s="61">
        <f t="shared" si="1"/>
        <v>1</v>
      </c>
      <c r="L8156" s="62">
        <f t="shared" si="2"/>
        <v>1</v>
      </c>
    </row>
    <row r="8157">
      <c r="A8157" s="58">
        <v>45444.0</v>
      </c>
      <c r="B8157" s="24" t="s">
        <v>6787</v>
      </c>
      <c r="C8157" s="24" t="s">
        <v>6861</v>
      </c>
      <c r="D8157" s="59">
        <v>1.0</v>
      </c>
      <c r="E8157" s="59">
        <v>2.0</v>
      </c>
      <c r="F8157" s="59">
        <v>0.0</v>
      </c>
      <c r="G8157" s="60">
        <v>2.0</v>
      </c>
      <c r="H8157" s="60">
        <v>0.5</v>
      </c>
      <c r="I8157" s="60">
        <v>341.729932</v>
      </c>
      <c r="J8157" s="59">
        <v>2.0</v>
      </c>
      <c r="K8157" s="61">
        <f t="shared" si="1"/>
        <v>0</v>
      </c>
      <c r="L8157" s="62">
        <f t="shared" si="2"/>
        <v>1</v>
      </c>
    </row>
    <row r="8158">
      <c r="A8158" s="58">
        <v>45444.0</v>
      </c>
      <c r="B8158" s="24" t="s">
        <v>6789</v>
      </c>
      <c r="C8158" s="24" t="s">
        <v>6861</v>
      </c>
      <c r="D8158" s="59">
        <v>1.0</v>
      </c>
      <c r="E8158" s="59">
        <v>1.0</v>
      </c>
      <c r="F8158" s="59">
        <v>1.0</v>
      </c>
      <c r="G8158" s="60">
        <v>1.0</v>
      </c>
      <c r="H8158" s="60">
        <v>0.0</v>
      </c>
      <c r="I8158" s="60">
        <v>78.716862</v>
      </c>
      <c r="J8158" s="59">
        <v>1.0</v>
      </c>
      <c r="K8158" s="61">
        <f t="shared" si="1"/>
        <v>1</v>
      </c>
      <c r="L8158" s="62">
        <f t="shared" si="2"/>
        <v>1</v>
      </c>
    </row>
    <row r="8159">
      <c r="A8159" s="58">
        <v>45444.0</v>
      </c>
      <c r="B8159" s="24" t="s">
        <v>6787</v>
      </c>
      <c r="C8159" s="24" t="s">
        <v>7059</v>
      </c>
      <c r="D8159" s="59">
        <v>1.0</v>
      </c>
      <c r="E8159" s="59">
        <v>1.0</v>
      </c>
      <c r="F8159" s="59">
        <v>1.0</v>
      </c>
      <c r="G8159" s="60">
        <v>1.0</v>
      </c>
      <c r="H8159" s="60">
        <v>1.0</v>
      </c>
      <c r="I8159" s="60">
        <v>0.0</v>
      </c>
      <c r="J8159" s="59">
        <v>1.0</v>
      </c>
      <c r="K8159" s="61">
        <f t="shared" si="1"/>
        <v>1</v>
      </c>
      <c r="L8159" s="62">
        <f t="shared" si="2"/>
        <v>1</v>
      </c>
    </row>
    <row r="8160">
      <c r="A8160" s="58">
        <v>45444.0</v>
      </c>
      <c r="B8160" s="24" t="s">
        <v>6787</v>
      </c>
      <c r="C8160" s="24" t="s">
        <v>6985</v>
      </c>
      <c r="D8160" s="59">
        <v>1.0</v>
      </c>
      <c r="E8160" s="59">
        <v>1.0</v>
      </c>
      <c r="F8160" s="59">
        <v>1.0</v>
      </c>
      <c r="G8160" s="60">
        <v>1.0</v>
      </c>
      <c r="H8160" s="60">
        <v>1.0</v>
      </c>
      <c r="I8160" s="60">
        <v>0.0</v>
      </c>
      <c r="J8160" s="59">
        <v>1.0</v>
      </c>
      <c r="K8160" s="61">
        <f t="shared" si="1"/>
        <v>1</v>
      </c>
      <c r="L8160" s="62">
        <f t="shared" si="2"/>
        <v>1</v>
      </c>
    </row>
    <row r="8161">
      <c r="A8161" s="58">
        <v>45444.0</v>
      </c>
      <c r="B8161" s="24" t="s">
        <v>6787</v>
      </c>
      <c r="C8161" s="24" t="s">
        <v>6867</v>
      </c>
      <c r="D8161" s="59">
        <v>1.0</v>
      </c>
      <c r="E8161" s="59">
        <v>1.0</v>
      </c>
      <c r="F8161" s="59">
        <v>1.0</v>
      </c>
      <c r="G8161" s="60">
        <v>1.0</v>
      </c>
      <c r="H8161" s="60">
        <v>1.0</v>
      </c>
      <c r="I8161" s="60">
        <v>0.0</v>
      </c>
      <c r="J8161" s="59">
        <v>1.0</v>
      </c>
      <c r="K8161" s="61">
        <f t="shared" si="1"/>
        <v>1</v>
      </c>
      <c r="L8161" s="62">
        <f t="shared" si="2"/>
        <v>1</v>
      </c>
    </row>
    <row r="8162">
      <c r="A8162" s="58">
        <v>45444.0</v>
      </c>
      <c r="B8162" s="24" t="s">
        <v>6787</v>
      </c>
      <c r="C8162" s="24" t="s">
        <v>6988</v>
      </c>
      <c r="D8162" s="59">
        <v>1.0</v>
      </c>
      <c r="E8162" s="59">
        <v>1.0</v>
      </c>
      <c r="F8162" s="59">
        <v>1.0</v>
      </c>
      <c r="G8162" s="60">
        <v>1.0</v>
      </c>
      <c r="H8162" s="60">
        <v>1.0</v>
      </c>
      <c r="I8162" s="60">
        <v>0.0</v>
      </c>
      <c r="J8162" s="59">
        <v>1.0</v>
      </c>
      <c r="K8162" s="61">
        <f t="shared" si="1"/>
        <v>1</v>
      </c>
      <c r="L8162" s="62">
        <f t="shared" si="2"/>
        <v>1</v>
      </c>
    </row>
    <row r="8163">
      <c r="A8163" s="58">
        <v>45444.0</v>
      </c>
      <c r="B8163" s="24" t="s">
        <v>6787</v>
      </c>
      <c r="C8163" s="24" t="s">
        <v>7065</v>
      </c>
      <c r="D8163" s="59">
        <v>1.0</v>
      </c>
      <c r="E8163" s="59">
        <v>1.0</v>
      </c>
      <c r="F8163" s="59">
        <v>1.0</v>
      </c>
      <c r="G8163" s="60">
        <v>1.0</v>
      </c>
      <c r="H8163" s="60">
        <v>1.0</v>
      </c>
      <c r="I8163" s="60">
        <v>0.0</v>
      </c>
      <c r="J8163" s="59">
        <v>1.0</v>
      </c>
      <c r="K8163" s="61">
        <f t="shared" si="1"/>
        <v>1</v>
      </c>
      <c r="L8163" s="62">
        <f t="shared" si="2"/>
        <v>1</v>
      </c>
    </row>
    <row r="8164">
      <c r="A8164" s="58">
        <v>45444.0</v>
      </c>
      <c r="B8164" s="24" t="s">
        <v>6787</v>
      </c>
      <c r="C8164" s="24" t="s">
        <v>6989</v>
      </c>
      <c r="D8164" s="59">
        <v>1.0</v>
      </c>
      <c r="E8164" s="59">
        <v>1.0</v>
      </c>
      <c r="F8164" s="59">
        <v>1.0</v>
      </c>
      <c r="G8164" s="60">
        <v>1.0</v>
      </c>
      <c r="H8164" s="60">
        <v>0.0</v>
      </c>
      <c r="I8164" s="60">
        <v>18.339599</v>
      </c>
      <c r="J8164" s="59">
        <v>2.0</v>
      </c>
      <c r="K8164" s="61">
        <f t="shared" si="1"/>
        <v>1</v>
      </c>
      <c r="L8164" s="62">
        <f t="shared" si="2"/>
        <v>2</v>
      </c>
    </row>
    <row r="8165">
      <c r="A8165" s="58">
        <v>45444.0</v>
      </c>
      <c r="B8165" s="24" t="s">
        <v>6789</v>
      </c>
      <c r="C8165" s="24" t="s">
        <v>6989</v>
      </c>
      <c r="D8165" s="59">
        <v>1.0</v>
      </c>
      <c r="E8165" s="59">
        <v>1.0</v>
      </c>
      <c r="F8165" s="59">
        <v>0.0</v>
      </c>
      <c r="G8165" s="60">
        <v>1.0</v>
      </c>
      <c r="H8165" s="60">
        <v>0.0</v>
      </c>
      <c r="I8165" s="60">
        <v>1713.252052</v>
      </c>
      <c r="J8165" s="59">
        <v>4.0</v>
      </c>
      <c r="K8165" s="61">
        <f t="shared" si="1"/>
        <v>0</v>
      </c>
      <c r="L8165" s="62">
        <f t="shared" si="2"/>
        <v>4</v>
      </c>
    </row>
    <row r="8166">
      <c r="A8166" s="58">
        <v>45444.0</v>
      </c>
      <c r="B8166" s="24" t="s">
        <v>6787</v>
      </c>
      <c r="C8166" s="24" t="s">
        <v>6990</v>
      </c>
      <c r="D8166" s="59">
        <v>1.0</v>
      </c>
      <c r="E8166" s="59">
        <v>1.0</v>
      </c>
      <c r="F8166" s="59">
        <v>1.0</v>
      </c>
      <c r="G8166" s="60">
        <v>1.0</v>
      </c>
      <c r="H8166" s="60">
        <v>1.0</v>
      </c>
      <c r="I8166" s="60">
        <v>0.0</v>
      </c>
      <c r="J8166" s="59">
        <v>1.0</v>
      </c>
      <c r="K8166" s="61">
        <f t="shared" si="1"/>
        <v>1</v>
      </c>
      <c r="L8166" s="62">
        <f t="shared" si="2"/>
        <v>1</v>
      </c>
    </row>
    <row r="8167">
      <c r="A8167" s="58">
        <v>45444.0</v>
      </c>
      <c r="B8167" s="24" t="s">
        <v>3216</v>
      </c>
      <c r="C8167" s="24" t="s">
        <v>6990</v>
      </c>
      <c r="D8167" s="59">
        <v>1.0</v>
      </c>
      <c r="E8167" s="59">
        <v>2.0</v>
      </c>
      <c r="F8167" s="59">
        <v>0.0</v>
      </c>
      <c r="G8167" s="60">
        <v>0.0</v>
      </c>
      <c r="H8167" s="60">
        <v>1.0</v>
      </c>
      <c r="I8167" s="60">
        <v>0.0</v>
      </c>
      <c r="J8167" s="59">
        <v>2.0</v>
      </c>
      <c r="K8167" s="61">
        <f t="shared" si="1"/>
        <v>0</v>
      </c>
      <c r="L8167" s="62">
        <f t="shared" si="2"/>
        <v>1</v>
      </c>
    </row>
    <row r="8168">
      <c r="A8168" s="58">
        <v>45444.0</v>
      </c>
      <c r="B8168" s="24" t="s">
        <v>155</v>
      </c>
      <c r="C8168" s="24" t="s">
        <v>7068</v>
      </c>
      <c r="D8168" s="59">
        <v>1.0</v>
      </c>
      <c r="E8168" s="59">
        <v>1.0</v>
      </c>
      <c r="F8168" s="59">
        <v>1.0</v>
      </c>
      <c r="G8168" s="60">
        <v>1.0</v>
      </c>
      <c r="H8168" s="60">
        <v>0.0</v>
      </c>
      <c r="I8168" s="60">
        <v>36.601782</v>
      </c>
      <c r="J8168" s="59">
        <v>2.0</v>
      </c>
      <c r="K8168" s="61">
        <f t="shared" si="1"/>
        <v>1</v>
      </c>
      <c r="L8168" s="62">
        <f t="shared" si="2"/>
        <v>2</v>
      </c>
    </row>
    <row r="8169">
      <c r="A8169" s="58">
        <v>45444.0</v>
      </c>
      <c r="B8169" s="24" t="s">
        <v>6787</v>
      </c>
      <c r="C8169" s="24" t="s">
        <v>6835</v>
      </c>
      <c r="D8169" s="59">
        <v>1.0</v>
      </c>
      <c r="E8169" s="59">
        <v>1.0</v>
      </c>
      <c r="F8169" s="59">
        <v>1.0</v>
      </c>
      <c r="G8169" s="60">
        <v>1.0</v>
      </c>
      <c r="H8169" s="60">
        <v>0.0</v>
      </c>
      <c r="I8169" s="60">
        <v>46.359292</v>
      </c>
      <c r="J8169" s="59">
        <v>1.0</v>
      </c>
      <c r="K8169" s="61">
        <f t="shared" si="1"/>
        <v>1</v>
      </c>
      <c r="L8169" s="62">
        <f t="shared" si="2"/>
        <v>1</v>
      </c>
    </row>
    <row r="8170">
      <c r="A8170" s="58">
        <v>45444.0</v>
      </c>
      <c r="B8170" s="24" t="s">
        <v>6789</v>
      </c>
      <c r="C8170" s="24" t="s">
        <v>6991</v>
      </c>
      <c r="D8170" s="59">
        <v>1.0</v>
      </c>
      <c r="E8170" s="59">
        <v>1.0</v>
      </c>
      <c r="F8170" s="59">
        <v>1.0</v>
      </c>
      <c r="G8170" s="60">
        <v>1.0</v>
      </c>
      <c r="H8170" s="60">
        <v>1.0</v>
      </c>
      <c r="I8170" s="60">
        <v>0.0</v>
      </c>
      <c r="J8170" s="59">
        <v>1.0</v>
      </c>
      <c r="K8170" s="61">
        <f t="shared" si="1"/>
        <v>1</v>
      </c>
      <c r="L8170" s="62">
        <f t="shared" si="2"/>
        <v>1</v>
      </c>
    </row>
    <row r="8171">
      <c r="A8171" s="58">
        <v>45444.0</v>
      </c>
      <c r="B8171" s="24" t="s">
        <v>6789</v>
      </c>
      <c r="C8171" s="24" t="s">
        <v>6992</v>
      </c>
      <c r="D8171" s="59">
        <v>1.0</v>
      </c>
      <c r="E8171" s="59">
        <v>1.0</v>
      </c>
      <c r="F8171" s="59">
        <v>0.0</v>
      </c>
      <c r="G8171" s="60">
        <v>1.0</v>
      </c>
      <c r="H8171" s="60">
        <v>0.0</v>
      </c>
      <c r="I8171" s="60">
        <v>15.514432</v>
      </c>
      <c r="J8171" s="59">
        <v>1.0</v>
      </c>
      <c r="K8171" s="61">
        <f t="shared" si="1"/>
        <v>0</v>
      </c>
      <c r="L8171" s="62">
        <f t="shared" si="2"/>
        <v>1</v>
      </c>
    </row>
    <row r="8172">
      <c r="A8172" s="58">
        <v>45444.0</v>
      </c>
      <c r="B8172" s="24" t="s">
        <v>6787</v>
      </c>
      <c r="C8172" s="24" t="s">
        <v>7072</v>
      </c>
      <c r="D8172" s="59">
        <v>1.0</v>
      </c>
      <c r="E8172" s="59">
        <v>1.0</v>
      </c>
      <c r="F8172" s="59">
        <v>1.0</v>
      </c>
      <c r="G8172" s="60">
        <v>1.0</v>
      </c>
      <c r="H8172" s="60">
        <v>1.0</v>
      </c>
      <c r="I8172" s="60">
        <v>0.0</v>
      </c>
      <c r="J8172" s="59">
        <v>1.0</v>
      </c>
      <c r="K8172" s="61">
        <f t="shared" si="1"/>
        <v>1</v>
      </c>
      <c r="L8172" s="62">
        <f t="shared" si="2"/>
        <v>1</v>
      </c>
    </row>
    <row r="8173">
      <c r="A8173" s="58">
        <v>45444.0</v>
      </c>
      <c r="B8173" s="24" t="s">
        <v>6787</v>
      </c>
      <c r="C8173" s="24" t="s">
        <v>6887</v>
      </c>
      <c r="D8173" s="59">
        <v>1.0</v>
      </c>
      <c r="E8173" s="59">
        <v>1.0</v>
      </c>
      <c r="F8173" s="59">
        <v>1.0</v>
      </c>
      <c r="G8173" s="60">
        <v>1.0</v>
      </c>
      <c r="H8173" s="60">
        <v>0.0</v>
      </c>
      <c r="I8173" s="60">
        <v>19.814224</v>
      </c>
      <c r="J8173" s="59">
        <v>1.0</v>
      </c>
      <c r="K8173" s="61">
        <f t="shared" si="1"/>
        <v>1</v>
      </c>
      <c r="L8173" s="62">
        <f t="shared" si="2"/>
        <v>1</v>
      </c>
    </row>
    <row r="8174">
      <c r="A8174" s="58">
        <v>45444.0</v>
      </c>
      <c r="B8174" s="24" t="s">
        <v>6790</v>
      </c>
      <c r="C8174" s="24" t="s">
        <v>6799</v>
      </c>
      <c r="D8174" s="59">
        <v>1.0</v>
      </c>
      <c r="E8174" s="59">
        <v>1.0</v>
      </c>
      <c r="F8174" s="59">
        <v>0.0</v>
      </c>
      <c r="G8174" s="60">
        <v>1.0</v>
      </c>
      <c r="H8174" s="60">
        <v>1.0</v>
      </c>
      <c r="I8174" s="60">
        <v>112.297539</v>
      </c>
      <c r="J8174" s="59">
        <v>1.0</v>
      </c>
      <c r="K8174" s="61">
        <f t="shared" si="1"/>
        <v>0</v>
      </c>
      <c r="L8174" s="62">
        <f t="shared" si="2"/>
        <v>1</v>
      </c>
    </row>
    <row r="8175">
      <c r="A8175" s="58">
        <v>45444.0</v>
      </c>
      <c r="B8175" s="24" t="s">
        <v>6789</v>
      </c>
      <c r="C8175" s="24" t="s">
        <v>6820</v>
      </c>
      <c r="D8175" s="59">
        <v>1.0</v>
      </c>
      <c r="E8175" s="59">
        <v>1.0</v>
      </c>
      <c r="F8175" s="59">
        <v>0.0</v>
      </c>
      <c r="G8175" s="60">
        <v>1.0</v>
      </c>
      <c r="H8175" s="60">
        <v>0.0</v>
      </c>
      <c r="I8175" s="60">
        <v>71.884718</v>
      </c>
      <c r="J8175" s="59">
        <v>4.0</v>
      </c>
      <c r="K8175" s="61">
        <f t="shared" si="1"/>
        <v>0</v>
      </c>
      <c r="L8175" s="62">
        <f t="shared" si="2"/>
        <v>4</v>
      </c>
    </row>
    <row r="8176">
      <c r="A8176" s="58">
        <v>45444.0</v>
      </c>
      <c r="B8176" s="24" t="s">
        <v>6787</v>
      </c>
      <c r="C8176" s="24" t="s">
        <v>6838</v>
      </c>
      <c r="D8176" s="59">
        <v>1.0</v>
      </c>
      <c r="E8176" s="59">
        <v>1.0</v>
      </c>
      <c r="F8176" s="59">
        <v>1.0</v>
      </c>
      <c r="G8176" s="60">
        <v>1.0</v>
      </c>
      <c r="H8176" s="60">
        <v>0.0</v>
      </c>
      <c r="I8176" s="60">
        <v>25.965185</v>
      </c>
      <c r="J8176" s="59">
        <v>2.0</v>
      </c>
      <c r="K8176" s="61">
        <f t="shared" si="1"/>
        <v>1</v>
      </c>
      <c r="L8176" s="62">
        <f t="shared" si="2"/>
        <v>2</v>
      </c>
    </row>
    <row r="8177">
      <c r="A8177" s="58">
        <v>45444.0</v>
      </c>
      <c r="B8177" s="24" t="s">
        <v>6787</v>
      </c>
      <c r="C8177" s="24" t="s">
        <v>6997</v>
      </c>
      <c r="D8177" s="59">
        <v>1.0</v>
      </c>
      <c r="E8177" s="59">
        <v>1.0</v>
      </c>
      <c r="F8177" s="59">
        <v>1.0</v>
      </c>
      <c r="G8177" s="60">
        <v>1.0</v>
      </c>
      <c r="H8177" s="60">
        <v>1.0</v>
      </c>
      <c r="I8177" s="60">
        <v>0.0</v>
      </c>
      <c r="J8177" s="59">
        <v>1.0</v>
      </c>
      <c r="K8177" s="61">
        <f t="shared" si="1"/>
        <v>1</v>
      </c>
      <c r="L8177" s="62">
        <f t="shared" si="2"/>
        <v>1</v>
      </c>
    </row>
    <row r="8178">
      <c r="A8178" s="58">
        <v>45444.0</v>
      </c>
      <c r="B8178" s="24" t="s">
        <v>3216</v>
      </c>
      <c r="C8178" s="24" t="s">
        <v>6997</v>
      </c>
      <c r="D8178" s="59">
        <v>1.0</v>
      </c>
      <c r="E8178" s="59">
        <v>1.0</v>
      </c>
      <c r="F8178" s="59">
        <v>1.0</v>
      </c>
      <c r="G8178" s="60">
        <v>1.0</v>
      </c>
      <c r="H8178" s="60">
        <v>0.0</v>
      </c>
      <c r="I8178" s="60">
        <v>15.574483</v>
      </c>
      <c r="J8178" s="59">
        <v>1.0</v>
      </c>
      <c r="K8178" s="61">
        <f t="shared" si="1"/>
        <v>1</v>
      </c>
      <c r="L8178" s="62">
        <f t="shared" si="2"/>
        <v>1</v>
      </c>
    </row>
    <row r="8179">
      <c r="A8179" s="58">
        <v>45444.0</v>
      </c>
      <c r="B8179" s="24" t="s">
        <v>6794</v>
      </c>
      <c r="C8179" s="24" t="s">
        <v>6822</v>
      </c>
      <c r="D8179" s="59">
        <v>1.0</v>
      </c>
      <c r="E8179" s="59">
        <v>1.0</v>
      </c>
      <c r="F8179" s="59">
        <v>0.0</v>
      </c>
      <c r="G8179" s="60">
        <v>1.0</v>
      </c>
      <c r="H8179" s="60">
        <v>0.0</v>
      </c>
      <c r="I8179" s="60">
        <v>105.659389</v>
      </c>
      <c r="J8179" s="59">
        <v>2.0</v>
      </c>
      <c r="K8179" s="61">
        <f t="shared" si="1"/>
        <v>0</v>
      </c>
      <c r="L8179" s="62">
        <f t="shared" si="2"/>
        <v>2</v>
      </c>
    </row>
    <row r="8180">
      <c r="A8180" s="58">
        <v>45444.0</v>
      </c>
      <c r="B8180" s="24" t="s">
        <v>6787</v>
      </c>
      <c r="C8180" s="24" t="s">
        <v>6891</v>
      </c>
      <c r="D8180" s="59">
        <v>1.0</v>
      </c>
      <c r="E8180" s="59">
        <v>1.0</v>
      </c>
      <c r="F8180" s="59">
        <v>1.0</v>
      </c>
      <c r="G8180" s="60">
        <v>1.0</v>
      </c>
      <c r="H8180" s="60">
        <v>1.0</v>
      </c>
      <c r="I8180" s="60">
        <v>0.0</v>
      </c>
      <c r="J8180" s="59">
        <v>1.0</v>
      </c>
      <c r="K8180" s="61">
        <f t="shared" si="1"/>
        <v>1</v>
      </c>
      <c r="L8180" s="62">
        <f t="shared" si="2"/>
        <v>1</v>
      </c>
    </row>
    <row r="8181">
      <c r="A8181" s="58">
        <v>45444.0</v>
      </c>
      <c r="B8181" s="24" t="s">
        <v>155</v>
      </c>
      <c r="C8181" s="24" t="s">
        <v>6891</v>
      </c>
      <c r="D8181" s="59">
        <v>1.0</v>
      </c>
      <c r="E8181" s="59">
        <v>1.0</v>
      </c>
      <c r="F8181" s="59">
        <v>0.0</v>
      </c>
      <c r="G8181" s="60">
        <v>0.0</v>
      </c>
      <c r="H8181" s="60">
        <v>1.0</v>
      </c>
      <c r="I8181" s="60">
        <v>0.0</v>
      </c>
      <c r="J8181" s="59">
        <v>1.0</v>
      </c>
      <c r="K8181" s="61">
        <f t="shared" si="1"/>
        <v>0</v>
      </c>
      <c r="L8181" s="62">
        <f t="shared" si="2"/>
        <v>1</v>
      </c>
    </row>
    <row r="8182">
      <c r="A8182" s="58">
        <v>45444.0</v>
      </c>
      <c r="B8182" s="24" t="s">
        <v>6787</v>
      </c>
      <c r="C8182" s="24" t="s">
        <v>6840</v>
      </c>
      <c r="D8182" s="59">
        <v>1.0</v>
      </c>
      <c r="E8182" s="59">
        <v>2.0</v>
      </c>
      <c r="F8182" s="59">
        <v>0.0</v>
      </c>
      <c r="G8182" s="60">
        <v>2.0</v>
      </c>
      <c r="H8182" s="60">
        <v>0.0</v>
      </c>
      <c r="I8182" s="60">
        <v>973.507064</v>
      </c>
      <c r="J8182" s="59">
        <v>8.0</v>
      </c>
      <c r="K8182" s="61">
        <f t="shared" si="1"/>
        <v>0</v>
      </c>
      <c r="L8182" s="62">
        <f t="shared" si="2"/>
        <v>4</v>
      </c>
    </row>
    <row r="8183">
      <c r="A8183" s="58">
        <v>45444.0</v>
      </c>
      <c r="B8183" s="24" t="s">
        <v>155</v>
      </c>
      <c r="C8183" s="24" t="s">
        <v>6840</v>
      </c>
      <c r="D8183" s="59">
        <v>1.0</v>
      </c>
      <c r="E8183" s="59">
        <v>1.0</v>
      </c>
      <c r="F8183" s="59">
        <v>0.0</v>
      </c>
      <c r="G8183" s="60">
        <v>0.0</v>
      </c>
      <c r="H8183" s="60">
        <v>1.0</v>
      </c>
      <c r="I8183" s="60">
        <v>0.0</v>
      </c>
      <c r="J8183" s="59">
        <v>1.0</v>
      </c>
      <c r="K8183" s="61">
        <f t="shared" si="1"/>
        <v>0</v>
      </c>
      <c r="L8183" s="62">
        <f t="shared" si="2"/>
        <v>1</v>
      </c>
    </row>
    <row r="8184">
      <c r="A8184" s="58">
        <v>45444.0</v>
      </c>
      <c r="B8184" s="24" t="s">
        <v>6787</v>
      </c>
      <c r="C8184" s="24" t="s">
        <v>7438</v>
      </c>
      <c r="D8184" s="59">
        <v>1.0</v>
      </c>
      <c r="E8184" s="59">
        <v>1.0</v>
      </c>
      <c r="F8184" s="59">
        <v>1.0</v>
      </c>
      <c r="G8184" s="60">
        <v>1.0</v>
      </c>
      <c r="H8184" s="60">
        <v>0.0</v>
      </c>
      <c r="I8184" s="60">
        <v>11.96198</v>
      </c>
      <c r="J8184" s="59">
        <v>1.0</v>
      </c>
      <c r="K8184" s="61">
        <f t="shared" si="1"/>
        <v>1</v>
      </c>
      <c r="L8184" s="62">
        <f t="shared" si="2"/>
        <v>1</v>
      </c>
    </row>
    <row r="8185">
      <c r="A8185" s="58">
        <v>45444.0</v>
      </c>
      <c r="B8185" s="24" t="s">
        <v>155</v>
      </c>
      <c r="C8185" s="24" t="s">
        <v>7438</v>
      </c>
      <c r="D8185" s="59">
        <v>1.0</v>
      </c>
      <c r="E8185" s="59">
        <v>1.0</v>
      </c>
      <c r="F8185" s="59">
        <v>0.0</v>
      </c>
      <c r="G8185" s="60">
        <v>1.0</v>
      </c>
      <c r="H8185" s="60">
        <v>0.0</v>
      </c>
      <c r="I8185" s="60">
        <v>706.393613</v>
      </c>
      <c r="J8185" s="59">
        <v>3.0</v>
      </c>
      <c r="K8185" s="61">
        <f t="shared" si="1"/>
        <v>0</v>
      </c>
      <c r="L8185" s="62">
        <f t="shared" si="2"/>
        <v>3</v>
      </c>
    </row>
    <row r="8186">
      <c r="A8186" s="58">
        <v>45444.0</v>
      </c>
      <c r="B8186" s="24" t="s">
        <v>6787</v>
      </c>
      <c r="C8186" s="24" t="s">
        <v>6896</v>
      </c>
      <c r="D8186" s="59">
        <v>1.0</v>
      </c>
      <c r="E8186" s="59">
        <v>1.0</v>
      </c>
      <c r="F8186" s="59">
        <v>1.0</v>
      </c>
      <c r="G8186" s="60">
        <v>1.0</v>
      </c>
      <c r="H8186" s="60">
        <v>0.0</v>
      </c>
      <c r="I8186" s="60">
        <v>18.601511</v>
      </c>
      <c r="J8186" s="59">
        <v>1.0</v>
      </c>
      <c r="K8186" s="61">
        <f t="shared" si="1"/>
        <v>1</v>
      </c>
      <c r="L8186" s="62">
        <f t="shared" si="2"/>
        <v>1</v>
      </c>
    </row>
    <row r="8187">
      <c r="A8187" s="58">
        <v>45444.0</v>
      </c>
      <c r="B8187" s="24" t="s">
        <v>3216</v>
      </c>
      <c r="C8187" s="24" t="s">
        <v>6896</v>
      </c>
      <c r="D8187" s="59">
        <v>1.0</v>
      </c>
      <c r="E8187" s="59">
        <v>1.0</v>
      </c>
      <c r="F8187" s="59">
        <v>0.0</v>
      </c>
      <c r="G8187" s="60">
        <v>1.0</v>
      </c>
      <c r="H8187" s="60">
        <v>0.0</v>
      </c>
      <c r="I8187" s="60">
        <v>6.966765</v>
      </c>
      <c r="J8187" s="59">
        <v>2.0</v>
      </c>
      <c r="K8187" s="61">
        <f t="shared" si="1"/>
        <v>0</v>
      </c>
      <c r="L8187" s="62">
        <f t="shared" si="2"/>
        <v>2</v>
      </c>
    </row>
    <row r="8188">
      <c r="A8188" s="58">
        <v>45444.0</v>
      </c>
      <c r="B8188" s="24" t="s">
        <v>6789</v>
      </c>
      <c r="C8188" s="24" t="s">
        <v>6896</v>
      </c>
      <c r="D8188" s="59">
        <v>1.0</v>
      </c>
      <c r="E8188" s="59">
        <v>1.0</v>
      </c>
      <c r="F8188" s="59">
        <v>1.0</v>
      </c>
      <c r="G8188" s="60">
        <v>1.0</v>
      </c>
      <c r="H8188" s="60">
        <v>0.0</v>
      </c>
      <c r="I8188" s="60">
        <v>182.115044</v>
      </c>
      <c r="J8188" s="59">
        <v>1.0</v>
      </c>
      <c r="K8188" s="61">
        <f t="shared" si="1"/>
        <v>1</v>
      </c>
      <c r="L8188" s="62">
        <f t="shared" si="2"/>
        <v>1</v>
      </c>
    </row>
    <row r="8189">
      <c r="A8189" s="58">
        <v>45444.0</v>
      </c>
      <c r="B8189" s="24" t="s">
        <v>6789</v>
      </c>
      <c r="C8189" s="24" t="s">
        <v>7008</v>
      </c>
      <c r="D8189" s="59">
        <v>1.0</v>
      </c>
      <c r="E8189" s="59">
        <v>1.0</v>
      </c>
      <c r="F8189" s="59">
        <v>0.0</v>
      </c>
      <c r="G8189" s="60">
        <v>1.0</v>
      </c>
      <c r="H8189" s="60">
        <v>0.0</v>
      </c>
      <c r="I8189" s="60">
        <v>90.40614</v>
      </c>
      <c r="J8189" s="59">
        <v>3.0</v>
      </c>
      <c r="K8189" s="61">
        <f t="shared" si="1"/>
        <v>0</v>
      </c>
      <c r="L8189" s="62">
        <f t="shared" si="2"/>
        <v>3</v>
      </c>
    </row>
    <row r="8190">
      <c r="A8190" s="58">
        <v>45444.0</v>
      </c>
      <c r="B8190" s="24" t="s">
        <v>6787</v>
      </c>
      <c r="C8190" s="24" t="s">
        <v>7401</v>
      </c>
      <c r="D8190" s="59">
        <v>1.0</v>
      </c>
      <c r="E8190" s="59">
        <v>1.0</v>
      </c>
      <c r="F8190" s="59">
        <v>1.0</v>
      </c>
      <c r="G8190" s="60">
        <v>1.0</v>
      </c>
      <c r="H8190" s="60">
        <v>1.0</v>
      </c>
      <c r="I8190" s="60">
        <v>1.735037</v>
      </c>
      <c r="J8190" s="59">
        <v>1.0</v>
      </c>
      <c r="K8190" s="61">
        <f t="shared" si="1"/>
        <v>1</v>
      </c>
      <c r="L8190" s="62">
        <f t="shared" si="2"/>
        <v>1</v>
      </c>
    </row>
    <row r="8191">
      <c r="A8191" s="58">
        <v>45444.0</v>
      </c>
      <c r="B8191" s="24" t="s">
        <v>6787</v>
      </c>
      <c r="C8191" s="24" t="s">
        <v>6905</v>
      </c>
      <c r="D8191" s="59">
        <v>1.0</v>
      </c>
      <c r="E8191" s="59">
        <v>1.0</v>
      </c>
      <c r="F8191" s="59">
        <v>1.0</v>
      </c>
      <c r="G8191" s="60">
        <v>1.0</v>
      </c>
      <c r="H8191" s="60">
        <v>1.0</v>
      </c>
      <c r="I8191" s="60">
        <v>0.0</v>
      </c>
      <c r="J8191" s="59">
        <v>1.0</v>
      </c>
      <c r="K8191" s="61">
        <f t="shared" si="1"/>
        <v>1</v>
      </c>
      <c r="L8191" s="62">
        <f t="shared" si="2"/>
        <v>1</v>
      </c>
    </row>
    <row r="8192">
      <c r="A8192" s="58">
        <v>45444.0</v>
      </c>
      <c r="B8192" s="24" t="s">
        <v>3216</v>
      </c>
      <c r="C8192" s="24" t="s">
        <v>7242</v>
      </c>
      <c r="D8192" s="59">
        <v>1.0</v>
      </c>
      <c r="E8192" s="59">
        <v>1.0</v>
      </c>
      <c r="F8192" s="59">
        <v>0.0</v>
      </c>
      <c r="G8192" s="60">
        <v>1.0</v>
      </c>
      <c r="H8192" s="60">
        <v>0.0</v>
      </c>
      <c r="I8192" s="60">
        <v>315.374342</v>
      </c>
      <c r="J8192" s="59">
        <v>3.0</v>
      </c>
      <c r="K8192" s="61">
        <f t="shared" si="1"/>
        <v>0</v>
      </c>
      <c r="L8192" s="62">
        <f t="shared" si="2"/>
        <v>3</v>
      </c>
    </row>
    <row r="8193">
      <c r="A8193" s="58">
        <v>45444.0</v>
      </c>
      <c r="B8193" s="24" t="s">
        <v>6787</v>
      </c>
      <c r="C8193" s="24" t="s">
        <v>7034</v>
      </c>
      <c r="D8193" s="59">
        <v>1.0</v>
      </c>
      <c r="E8193" s="59">
        <v>4.0</v>
      </c>
      <c r="F8193" s="59">
        <v>1.0</v>
      </c>
      <c r="G8193" s="60">
        <v>4.0</v>
      </c>
      <c r="H8193" s="60">
        <v>0.0</v>
      </c>
      <c r="I8193" s="60">
        <v>160.281585</v>
      </c>
      <c r="J8193" s="59">
        <v>10.0</v>
      </c>
      <c r="K8193" s="61">
        <f t="shared" si="1"/>
        <v>0.25</v>
      </c>
      <c r="L8193" s="62">
        <f t="shared" si="2"/>
        <v>2.5</v>
      </c>
    </row>
    <row r="8194">
      <c r="A8194" s="58">
        <v>45444.0</v>
      </c>
      <c r="B8194" s="24" t="s">
        <v>6789</v>
      </c>
      <c r="C8194" s="24" t="s">
        <v>7034</v>
      </c>
      <c r="D8194" s="59">
        <v>1.0</v>
      </c>
      <c r="E8194" s="59">
        <v>1.0</v>
      </c>
      <c r="F8194" s="59">
        <v>0.0</v>
      </c>
      <c r="G8194" s="60">
        <v>1.0</v>
      </c>
      <c r="H8194" s="60">
        <v>0.0</v>
      </c>
      <c r="I8194" s="60">
        <v>470.303182</v>
      </c>
      <c r="J8194" s="59">
        <v>1.0</v>
      </c>
      <c r="K8194" s="61">
        <f t="shared" si="1"/>
        <v>0</v>
      </c>
      <c r="L8194" s="62">
        <f t="shared" si="2"/>
        <v>1</v>
      </c>
    </row>
    <row r="8195">
      <c r="A8195" s="58">
        <v>45444.0</v>
      </c>
      <c r="B8195" s="24" t="s">
        <v>6789</v>
      </c>
      <c r="C8195" s="24" t="s">
        <v>7573</v>
      </c>
      <c r="D8195" s="59">
        <v>1.0</v>
      </c>
      <c r="E8195" s="59">
        <v>1.0</v>
      </c>
      <c r="F8195" s="59">
        <v>1.0</v>
      </c>
      <c r="G8195" s="60">
        <v>1.0</v>
      </c>
      <c r="H8195" s="60">
        <v>1.0</v>
      </c>
      <c r="I8195" s="60">
        <v>4.711484</v>
      </c>
      <c r="J8195" s="59">
        <v>1.0</v>
      </c>
      <c r="K8195" s="61">
        <f t="shared" si="1"/>
        <v>1</v>
      </c>
      <c r="L8195" s="62">
        <f t="shared" si="2"/>
        <v>1</v>
      </c>
    </row>
    <row r="8196">
      <c r="A8196" s="58">
        <v>45444.0</v>
      </c>
      <c r="B8196" s="24" t="s">
        <v>6789</v>
      </c>
      <c r="C8196" s="24" t="s">
        <v>7561</v>
      </c>
      <c r="D8196" s="59">
        <v>1.0</v>
      </c>
      <c r="E8196" s="59">
        <v>1.0</v>
      </c>
      <c r="F8196" s="59">
        <v>1.0</v>
      </c>
      <c r="G8196" s="60">
        <v>1.0</v>
      </c>
      <c r="H8196" s="60">
        <v>0.0</v>
      </c>
      <c r="I8196" s="60">
        <v>13.236359</v>
      </c>
      <c r="J8196" s="59">
        <v>1.0</v>
      </c>
      <c r="K8196" s="61">
        <f t="shared" si="1"/>
        <v>1</v>
      </c>
      <c r="L8196" s="62">
        <f t="shared" si="2"/>
        <v>1</v>
      </c>
    </row>
    <row r="8197">
      <c r="A8197" s="58">
        <v>45444.0</v>
      </c>
      <c r="B8197" s="24" t="s">
        <v>6789</v>
      </c>
      <c r="C8197" s="24" t="s">
        <v>7574</v>
      </c>
      <c r="D8197" s="59">
        <v>1.0</v>
      </c>
      <c r="E8197" s="59">
        <v>5.0</v>
      </c>
      <c r="F8197" s="59">
        <v>1.0</v>
      </c>
      <c r="G8197" s="60">
        <v>5.0</v>
      </c>
      <c r="H8197" s="60">
        <v>1.0</v>
      </c>
      <c r="I8197" s="60">
        <v>0.0</v>
      </c>
      <c r="J8197" s="59">
        <v>5.0</v>
      </c>
      <c r="K8197" s="61">
        <f t="shared" si="1"/>
        <v>0.2</v>
      </c>
      <c r="L8197" s="62">
        <f t="shared" si="2"/>
        <v>1</v>
      </c>
    </row>
    <row r="8198">
      <c r="A8198" s="58">
        <v>45444.0</v>
      </c>
      <c r="B8198" s="24" t="s">
        <v>6787</v>
      </c>
      <c r="C8198" s="24" t="s">
        <v>6907</v>
      </c>
      <c r="D8198" s="59">
        <v>1.0</v>
      </c>
      <c r="E8198" s="59">
        <v>1.0</v>
      </c>
      <c r="F8198" s="59">
        <v>1.0</v>
      </c>
      <c r="G8198" s="60">
        <v>1.0</v>
      </c>
      <c r="H8198" s="60">
        <v>1.0</v>
      </c>
      <c r="I8198" s="60">
        <v>0.0</v>
      </c>
      <c r="J8198" s="59">
        <v>1.0</v>
      </c>
      <c r="K8198" s="61">
        <f t="shared" si="1"/>
        <v>1</v>
      </c>
      <c r="L8198" s="62">
        <f t="shared" si="2"/>
        <v>1</v>
      </c>
    </row>
    <row r="8199">
      <c r="A8199" s="58">
        <v>45444.0</v>
      </c>
      <c r="B8199" s="24" t="s">
        <v>6787</v>
      </c>
      <c r="C8199" s="24" t="s">
        <v>6808</v>
      </c>
      <c r="D8199" s="59">
        <v>1.0</v>
      </c>
      <c r="E8199" s="59">
        <v>1.0</v>
      </c>
      <c r="F8199" s="59">
        <v>1.0</v>
      </c>
      <c r="G8199" s="60">
        <v>1.0</v>
      </c>
      <c r="H8199" s="60">
        <v>0.0</v>
      </c>
      <c r="I8199" s="60">
        <v>17.752102</v>
      </c>
      <c r="J8199" s="59">
        <v>1.0</v>
      </c>
      <c r="K8199" s="61">
        <f t="shared" si="1"/>
        <v>1</v>
      </c>
      <c r="L8199" s="62">
        <f t="shared" si="2"/>
        <v>1</v>
      </c>
    </row>
    <row r="8200">
      <c r="A8200" s="58">
        <v>45444.0</v>
      </c>
      <c r="B8200" s="24" t="s">
        <v>6787</v>
      </c>
      <c r="C8200" s="24" t="s">
        <v>7013</v>
      </c>
      <c r="D8200" s="59">
        <v>1.0</v>
      </c>
      <c r="E8200" s="59">
        <v>1.0</v>
      </c>
      <c r="F8200" s="59">
        <v>1.0</v>
      </c>
      <c r="G8200" s="60">
        <v>1.0</v>
      </c>
      <c r="H8200" s="60">
        <v>1.0</v>
      </c>
      <c r="I8200" s="60">
        <v>0.0</v>
      </c>
      <c r="J8200" s="59">
        <v>1.0</v>
      </c>
      <c r="K8200" s="61">
        <f t="shared" si="1"/>
        <v>1</v>
      </c>
      <c r="L8200" s="62">
        <f t="shared" si="2"/>
        <v>1</v>
      </c>
    </row>
    <row r="8201">
      <c r="A8201" s="58">
        <v>45444.0</v>
      </c>
      <c r="B8201" s="24" t="s">
        <v>6787</v>
      </c>
      <c r="C8201" s="24" t="s">
        <v>7101</v>
      </c>
      <c r="D8201" s="59">
        <v>1.0</v>
      </c>
      <c r="E8201" s="59">
        <v>1.0</v>
      </c>
      <c r="F8201" s="59">
        <v>1.0</v>
      </c>
      <c r="G8201" s="60">
        <v>1.0</v>
      </c>
      <c r="H8201" s="60">
        <v>1.0</v>
      </c>
      <c r="I8201" s="60">
        <v>0.0</v>
      </c>
      <c r="J8201" s="59">
        <v>1.0</v>
      </c>
      <c r="K8201" s="61">
        <f t="shared" si="1"/>
        <v>1</v>
      </c>
      <c r="L8201" s="62">
        <f t="shared" si="2"/>
        <v>1</v>
      </c>
    </row>
    <row r="8202">
      <c r="A8202" s="58">
        <v>45444.0</v>
      </c>
      <c r="B8202" s="24" t="s">
        <v>3216</v>
      </c>
      <c r="C8202" s="24" t="s">
        <v>6908</v>
      </c>
      <c r="D8202" s="59">
        <v>1.0</v>
      </c>
      <c r="E8202" s="59">
        <v>1.0</v>
      </c>
      <c r="F8202" s="59">
        <v>0.0</v>
      </c>
      <c r="G8202" s="60">
        <v>1.0</v>
      </c>
      <c r="H8202" s="60">
        <v>0.0</v>
      </c>
      <c r="I8202" s="60">
        <v>498.839682</v>
      </c>
      <c r="J8202" s="59">
        <v>4.0</v>
      </c>
      <c r="K8202" s="61">
        <f t="shared" si="1"/>
        <v>0</v>
      </c>
      <c r="L8202" s="62">
        <f t="shared" si="2"/>
        <v>4</v>
      </c>
    </row>
    <row r="8203">
      <c r="A8203" s="58">
        <v>45444.0</v>
      </c>
      <c r="B8203" s="24" t="s">
        <v>6789</v>
      </c>
      <c r="C8203" s="24" t="s">
        <v>6908</v>
      </c>
      <c r="D8203" s="59">
        <v>1.0</v>
      </c>
      <c r="E8203" s="59">
        <v>1.0</v>
      </c>
      <c r="F8203" s="59">
        <v>1.0</v>
      </c>
      <c r="G8203" s="60">
        <v>1.0</v>
      </c>
      <c r="H8203" s="60">
        <v>0.0</v>
      </c>
      <c r="I8203" s="60">
        <v>78.343985</v>
      </c>
      <c r="J8203" s="59">
        <v>2.0</v>
      </c>
      <c r="K8203" s="61">
        <f t="shared" si="1"/>
        <v>1</v>
      </c>
      <c r="L8203" s="62">
        <f t="shared" si="2"/>
        <v>2</v>
      </c>
    </row>
    <row r="8204">
      <c r="A8204" s="58">
        <v>45444.0</v>
      </c>
      <c r="B8204" s="24" t="s">
        <v>3216</v>
      </c>
      <c r="C8204" s="24" t="s">
        <v>7172</v>
      </c>
      <c r="D8204" s="59">
        <v>1.0</v>
      </c>
      <c r="E8204" s="59">
        <v>1.0</v>
      </c>
      <c r="F8204" s="59">
        <v>0.0</v>
      </c>
      <c r="G8204" s="60">
        <v>1.0</v>
      </c>
      <c r="H8204" s="60">
        <v>0.0</v>
      </c>
      <c r="I8204" s="60">
        <v>17.555073</v>
      </c>
      <c r="J8204" s="59">
        <v>2.0</v>
      </c>
      <c r="K8204" s="61">
        <f t="shared" si="1"/>
        <v>0</v>
      </c>
      <c r="L8204" s="62">
        <f t="shared" si="2"/>
        <v>2</v>
      </c>
    </row>
    <row r="8205">
      <c r="A8205" s="58">
        <v>45444.0</v>
      </c>
      <c r="B8205" s="24" t="s">
        <v>6790</v>
      </c>
      <c r="C8205" s="24" t="s">
        <v>7172</v>
      </c>
      <c r="D8205" s="59">
        <v>1.0</v>
      </c>
      <c r="E8205" s="59">
        <v>1.0</v>
      </c>
      <c r="F8205" s="59">
        <v>0.0</v>
      </c>
      <c r="G8205" s="60">
        <v>1.0</v>
      </c>
      <c r="H8205" s="60">
        <v>1.0</v>
      </c>
      <c r="I8205" s="60">
        <v>1685.464372</v>
      </c>
      <c r="J8205" s="59">
        <v>3.0</v>
      </c>
      <c r="K8205" s="61">
        <f t="shared" si="1"/>
        <v>0</v>
      </c>
      <c r="L8205" s="62">
        <f t="shared" si="2"/>
        <v>3</v>
      </c>
    </row>
    <row r="8206">
      <c r="A8206" s="58">
        <v>45444.0</v>
      </c>
      <c r="B8206" s="24" t="s">
        <v>6794</v>
      </c>
      <c r="C8206" s="24" t="s">
        <v>7313</v>
      </c>
      <c r="D8206" s="59">
        <v>1.0</v>
      </c>
      <c r="E8206" s="59">
        <v>1.0</v>
      </c>
      <c r="F8206" s="59">
        <v>0.0</v>
      </c>
      <c r="G8206" s="60">
        <v>1.0</v>
      </c>
      <c r="H8206" s="60">
        <v>0.0</v>
      </c>
      <c r="I8206" s="60">
        <v>398.146213</v>
      </c>
      <c r="J8206" s="59">
        <v>2.0</v>
      </c>
      <c r="K8206" s="61">
        <f t="shared" si="1"/>
        <v>0</v>
      </c>
      <c r="L8206" s="62">
        <f t="shared" si="2"/>
        <v>2</v>
      </c>
    </row>
    <row r="8207">
      <c r="A8207" s="58">
        <v>45444.0</v>
      </c>
      <c r="B8207" s="24" t="s">
        <v>155</v>
      </c>
      <c r="C8207" s="24" t="s">
        <v>7313</v>
      </c>
      <c r="D8207" s="59">
        <v>1.0</v>
      </c>
      <c r="E8207" s="59">
        <v>1.0</v>
      </c>
      <c r="F8207" s="59">
        <v>1.0</v>
      </c>
      <c r="G8207" s="60">
        <v>1.0</v>
      </c>
      <c r="H8207" s="60">
        <v>0.0</v>
      </c>
      <c r="I8207" s="60">
        <v>179.853985</v>
      </c>
      <c r="J8207" s="59">
        <v>5.0</v>
      </c>
      <c r="K8207" s="61">
        <f t="shared" si="1"/>
        <v>1</v>
      </c>
      <c r="L8207" s="62">
        <f t="shared" si="2"/>
        <v>5</v>
      </c>
    </row>
    <row r="8208">
      <c r="A8208" s="58">
        <v>45444.0</v>
      </c>
      <c r="B8208" s="24" t="s">
        <v>155</v>
      </c>
      <c r="C8208" s="24" t="s">
        <v>7102</v>
      </c>
      <c r="D8208" s="59">
        <v>1.0</v>
      </c>
      <c r="E8208" s="59">
        <v>1.0</v>
      </c>
      <c r="F8208" s="59">
        <v>1.0</v>
      </c>
      <c r="G8208" s="60">
        <v>1.0</v>
      </c>
      <c r="H8208" s="60">
        <v>0.0</v>
      </c>
      <c r="I8208" s="60">
        <v>25.339426</v>
      </c>
      <c r="J8208" s="59">
        <v>1.0</v>
      </c>
      <c r="K8208" s="61">
        <f t="shared" si="1"/>
        <v>1</v>
      </c>
      <c r="L8208" s="62">
        <f t="shared" si="2"/>
        <v>1</v>
      </c>
    </row>
    <row r="8209">
      <c r="A8209" s="58">
        <v>45444.0</v>
      </c>
      <c r="B8209" s="24" t="s">
        <v>6787</v>
      </c>
      <c r="C8209" s="24" t="s">
        <v>7192</v>
      </c>
      <c r="D8209" s="59">
        <v>1.0</v>
      </c>
      <c r="E8209" s="59">
        <v>1.0</v>
      </c>
      <c r="F8209" s="59">
        <v>1.0</v>
      </c>
      <c r="G8209" s="60">
        <v>1.0</v>
      </c>
      <c r="H8209" s="60">
        <v>0.0</v>
      </c>
      <c r="I8209" s="60">
        <v>72.265439</v>
      </c>
      <c r="J8209" s="59">
        <v>1.0</v>
      </c>
      <c r="K8209" s="61">
        <f t="shared" si="1"/>
        <v>1</v>
      </c>
      <c r="L8209" s="62">
        <f t="shared" si="2"/>
        <v>1</v>
      </c>
    </row>
    <row r="8210">
      <c r="A8210" s="58">
        <v>45444.0</v>
      </c>
      <c r="B8210" s="24" t="s">
        <v>6794</v>
      </c>
      <c r="C8210" s="24" t="s">
        <v>7559</v>
      </c>
      <c r="D8210" s="59">
        <v>1.0</v>
      </c>
      <c r="E8210" s="59">
        <v>1.0</v>
      </c>
      <c r="F8210" s="59">
        <v>1.0</v>
      </c>
      <c r="G8210" s="60">
        <v>1.0</v>
      </c>
      <c r="H8210" s="60">
        <v>1.0</v>
      </c>
      <c r="I8210" s="60">
        <v>4.647021</v>
      </c>
      <c r="J8210" s="59">
        <v>1.0</v>
      </c>
      <c r="K8210" s="61">
        <f t="shared" si="1"/>
        <v>1</v>
      </c>
      <c r="L8210" s="62">
        <f t="shared" si="2"/>
        <v>1</v>
      </c>
    </row>
    <row r="8211">
      <c r="A8211" s="58">
        <v>45444.0</v>
      </c>
      <c r="B8211" s="24" t="s">
        <v>6790</v>
      </c>
      <c r="C8211" s="24" t="s">
        <v>6815</v>
      </c>
      <c r="D8211" s="59">
        <v>1.0</v>
      </c>
      <c r="E8211" s="59">
        <v>1.0</v>
      </c>
      <c r="F8211" s="59">
        <v>0.0</v>
      </c>
      <c r="G8211" s="60">
        <v>0.0</v>
      </c>
      <c r="H8211" s="60">
        <v>1.0</v>
      </c>
      <c r="I8211" s="60">
        <v>0.0</v>
      </c>
      <c r="J8211" s="59">
        <v>1.0</v>
      </c>
      <c r="K8211" s="61">
        <f t="shared" si="1"/>
        <v>0</v>
      </c>
      <c r="L8211" s="62">
        <f t="shared" si="2"/>
        <v>1</v>
      </c>
    </row>
    <row r="8212">
      <c r="A8212" s="58">
        <v>45444.0</v>
      </c>
      <c r="B8212" s="24" t="s">
        <v>6789</v>
      </c>
      <c r="C8212" s="24" t="s">
        <v>6921</v>
      </c>
      <c r="D8212" s="59">
        <v>1.0</v>
      </c>
      <c r="E8212" s="59">
        <v>1.0</v>
      </c>
      <c r="F8212" s="59">
        <v>1.0</v>
      </c>
      <c r="G8212" s="60">
        <v>1.0</v>
      </c>
      <c r="H8212" s="60">
        <v>0.0</v>
      </c>
      <c r="I8212" s="60">
        <v>108.989844</v>
      </c>
      <c r="J8212" s="59">
        <v>2.0</v>
      </c>
      <c r="K8212" s="61">
        <f t="shared" si="1"/>
        <v>1</v>
      </c>
      <c r="L8212" s="62">
        <f t="shared" si="2"/>
        <v>2</v>
      </c>
    </row>
    <row r="8213">
      <c r="A8213" s="58">
        <v>45444.0</v>
      </c>
      <c r="B8213" s="24" t="s">
        <v>6787</v>
      </c>
      <c r="C8213" s="24" t="s">
        <v>6922</v>
      </c>
      <c r="D8213" s="59">
        <v>1.0</v>
      </c>
      <c r="E8213" s="59">
        <v>1.0</v>
      </c>
      <c r="F8213" s="59">
        <v>1.0</v>
      </c>
      <c r="G8213" s="60">
        <v>1.0</v>
      </c>
      <c r="H8213" s="60">
        <v>1.0</v>
      </c>
      <c r="I8213" s="60">
        <v>2.627469</v>
      </c>
      <c r="J8213" s="59">
        <v>1.0</v>
      </c>
      <c r="K8213" s="61">
        <f t="shared" si="1"/>
        <v>1</v>
      </c>
      <c r="L8213" s="62">
        <f t="shared" si="2"/>
        <v>1</v>
      </c>
    </row>
    <row r="8214">
      <c r="A8214" s="58">
        <v>45444.0</v>
      </c>
      <c r="B8214" s="24" t="s">
        <v>6789</v>
      </c>
      <c r="C8214" s="24" t="s">
        <v>6922</v>
      </c>
      <c r="D8214" s="59">
        <v>1.0</v>
      </c>
      <c r="E8214" s="59">
        <v>1.0</v>
      </c>
      <c r="F8214" s="59">
        <v>0.0</v>
      </c>
      <c r="G8214" s="60">
        <v>1.0</v>
      </c>
      <c r="H8214" s="60">
        <v>1.0</v>
      </c>
      <c r="I8214" s="60">
        <v>9.420085</v>
      </c>
      <c r="J8214" s="59">
        <v>1.0</v>
      </c>
      <c r="K8214" s="61">
        <f t="shared" si="1"/>
        <v>0</v>
      </c>
      <c r="L8214" s="62">
        <f t="shared" si="2"/>
        <v>1</v>
      </c>
    </row>
    <row r="8215">
      <c r="A8215" s="58">
        <v>45444.0</v>
      </c>
      <c r="B8215" s="24" t="s">
        <v>6787</v>
      </c>
      <c r="C8215" s="24" t="s">
        <v>6797</v>
      </c>
      <c r="D8215" s="59">
        <v>1.0</v>
      </c>
      <c r="E8215" s="59">
        <v>1.0</v>
      </c>
      <c r="F8215" s="59">
        <v>1.0</v>
      </c>
      <c r="G8215" s="60">
        <v>1.0</v>
      </c>
      <c r="H8215" s="60">
        <v>1.0</v>
      </c>
      <c r="I8215" s="60">
        <v>1.03035</v>
      </c>
      <c r="J8215" s="59">
        <v>1.0</v>
      </c>
      <c r="K8215" s="61">
        <f t="shared" si="1"/>
        <v>1</v>
      </c>
      <c r="L8215" s="62">
        <f t="shared" si="2"/>
        <v>1</v>
      </c>
    </row>
    <row r="8216">
      <c r="A8216" s="58">
        <v>45444.0</v>
      </c>
      <c r="B8216" s="24" t="s">
        <v>6789</v>
      </c>
      <c r="C8216" s="24" t="s">
        <v>6810</v>
      </c>
      <c r="D8216" s="59">
        <v>1.0</v>
      </c>
      <c r="E8216" s="59">
        <v>1.0</v>
      </c>
      <c r="F8216" s="59">
        <v>0.0</v>
      </c>
      <c r="G8216" s="60">
        <v>1.0</v>
      </c>
      <c r="H8216" s="60">
        <v>0.0</v>
      </c>
      <c r="I8216" s="60">
        <v>709.549107</v>
      </c>
      <c r="J8216" s="59">
        <v>1.0</v>
      </c>
      <c r="K8216" s="61">
        <f t="shared" si="1"/>
        <v>0</v>
      </c>
      <c r="L8216" s="62">
        <f t="shared" si="2"/>
        <v>1</v>
      </c>
    </row>
    <row r="8217">
      <c r="A8217" s="58">
        <v>45444.0</v>
      </c>
      <c r="B8217" s="24" t="s">
        <v>6787</v>
      </c>
      <c r="C8217" s="24" t="s">
        <v>7118</v>
      </c>
      <c r="D8217" s="59">
        <v>1.0</v>
      </c>
      <c r="E8217" s="59">
        <v>1.0</v>
      </c>
      <c r="F8217" s="59">
        <v>0.0</v>
      </c>
      <c r="G8217" s="60">
        <v>1.0</v>
      </c>
      <c r="H8217" s="60">
        <v>1.0</v>
      </c>
      <c r="I8217" s="60">
        <v>3.337306</v>
      </c>
      <c r="J8217" s="59">
        <v>1.0</v>
      </c>
      <c r="K8217" s="61">
        <f t="shared" si="1"/>
        <v>0</v>
      </c>
      <c r="L8217" s="62">
        <f t="shared" si="2"/>
        <v>1</v>
      </c>
    </row>
    <row r="8218">
      <c r="A8218" s="58">
        <v>45444.0</v>
      </c>
      <c r="B8218" s="24" t="s">
        <v>155</v>
      </c>
      <c r="C8218" s="24" t="s">
        <v>6854</v>
      </c>
      <c r="D8218" s="59">
        <v>1.0</v>
      </c>
      <c r="E8218" s="59">
        <v>2.0</v>
      </c>
      <c r="F8218" s="59">
        <v>0.0</v>
      </c>
      <c r="G8218" s="60">
        <v>2.0</v>
      </c>
      <c r="H8218" s="60">
        <v>1.0</v>
      </c>
      <c r="I8218" s="60">
        <v>0.0</v>
      </c>
      <c r="J8218" s="59">
        <v>2.0</v>
      </c>
      <c r="K8218" s="61">
        <f t="shared" si="1"/>
        <v>0</v>
      </c>
      <c r="L8218" s="62">
        <f t="shared" si="2"/>
        <v>1</v>
      </c>
    </row>
    <row r="8219">
      <c r="A8219" s="58">
        <v>45444.0</v>
      </c>
      <c r="B8219" s="24" t="s">
        <v>6787</v>
      </c>
      <c r="C8219" s="24" t="s">
        <v>7575</v>
      </c>
      <c r="D8219" s="59">
        <v>1.0</v>
      </c>
      <c r="E8219" s="59">
        <v>1.0</v>
      </c>
      <c r="F8219" s="59">
        <v>1.0</v>
      </c>
      <c r="G8219" s="60">
        <v>1.0</v>
      </c>
      <c r="H8219" s="60">
        <v>0.0</v>
      </c>
      <c r="I8219" s="60">
        <v>2231.076604</v>
      </c>
      <c r="J8219" s="59">
        <v>6.0</v>
      </c>
      <c r="K8219" s="61">
        <f t="shared" si="1"/>
        <v>1</v>
      </c>
      <c r="L8219" s="62">
        <f t="shared" si="2"/>
        <v>6</v>
      </c>
    </row>
    <row r="8220">
      <c r="A8220" s="58">
        <v>45444.0</v>
      </c>
      <c r="B8220" s="24" t="s">
        <v>6787</v>
      </c>
      <c r="C8220" s="24" t="s">
        <v>7576</v>
      </c>
      <c r="D8220" s="59">
        <v>1.0</v>
      </c>
      <c r="E8220" s="59">
        <v>1.0</v>
      </c>
      <c r="F8220" s="59">
        <v>0.0</v>
      </c>
      <c r="G8220" s="60">
        <v>1.0</v>
      </c>
      <c r="H8220" s="60">
        <v>0.0</v>
      </c>
      <c r="I8220" s="60">
        <v>150.541384</v>
      </c>
      <c r="J8220" s="59">
        <v>1.0</v>
      </c>
      <c r="K8220" s="61">
        <f t="shared" si="1"/>
        <v>0</v>
      </c>
      <c r="L8220" s="62">
        <f t="shared" si="2"/>
        <v>1</v>
      </c>
    </row>
    <row r="8221">
      <c r="A8221" s="58">
        <v>45444.0</v>
      </c>
      <c r="B8221" s="24" t="s">
        <v>6789</v>
      </c>
      <c r="C8221" s="24" t="s">
        <v>6924</v>
      </c>
      <c r="D8221" s="59">
        <v>1.0</v>
      </c>
      <c r="E8221" s="59">
        <v>1.0</v>
      </c>
      <c r="F8221" s="59">
        <v>0.0</v>
      </c>
      <c r="G8221" s="60">
        <v>1.0</v>
      </c>
      <c r="H8221" s="60">
        <v>0.0</v>
      </c>
      <c r="I8221" s="60">
        <v>257.028221</v>
      </c>
      <c r="J8221" s="59">
        <v>1.0</v>
      </c>
      <c r="K8221" s="61">
        <f t="shared" si="1"/>
        <v>0</v>
      </c>
      <c r="L8221" s="62">
        <f t="shared" si="2"/>
        <v>1</v>
      </c>
    </row>
    <row r="8222">
      <c r="A8222" s="58">
        <v>45444.0</v>
      </c>
      <c r="B8222" s="24" t="s">
        <v>7100</v>
      </c>
      <c r="C8222" s="24" t="s">
        <v>6924</v>
      </c>
      <c r="D8222" s="59">
        <v>1.0</v>
      </c>
      <c r="E8222" s="59">
        <v>1.0</v>
      </c>
      <c r="F8222" s="59">
        <v>1.0</v>
      </c>
      <c r="G8222" s="60">
        <v>1.0</v>
      </c>
      <c r="H8222" s="60">
        <v>0.0</v>
      </c>
      <c r="I8222" s="60">
        <v>28.149176</v>
      </c>
      <c r="J8222" s="59">
        <v>1.0</v>
      </c>
      <c r="K8222" s="61">
        <f t="shared" si="1"/>
        <v>1</v>
      </c>
      <c r="L8222" s="62">
        <f t="shared" si="2"/>
        <v>1</v>
      </c>
    </row>
    <row r="8223">
      <c r="A8223" s="58">
        <v>45444.0</v>
      </c>
      <c r="B8223" s="24" t="s">
        <v>6789</v>
      </c>
      <c r="C8223" s="24" t="s">
        <v>7577</v>
      </c>
      <c r="D8223" s="59">
        <v>1.0</v>
      </c>
      <c r="E8223" s="59">
        <v>1.0</v>
      </c>
      <c r="F8223" s="59">
        <v>0.0</v>
      </c>
      <c r="G8223" s="60">
        <v>1.0</v>
      </c>
      <c r="H8223" s="60">
        <v>0.0</v>
      </c>
      <c r="I8223" s="60">
        <v>3844.847699</v>
      </c>
      <c r="J8223" s="59">
        <v>10.0</v>
      </c>
      <c r="K8223" s="61">
        <f t="shared" si="1"/>
        <v>0</v>
      </c>
      <c r="L8223" s="62">
        <f t="shared" si="2"/>
        <v>10</v>
      </c>
    </row>
    <row r="8224">
      <c r="A8224" s="58">
        <v>45444.0</v>
      </c>
      <c r="B8224" s="24" t="s">
        <v>155</v>
      </c>
      <c r="C8224" s="24" t="s">
        <v>6802</v>
      </c>
      <c r="D8224" s="59">
        <v>1.0</v>
      </c>
      <c r="E8224" s="59">
        <v>1.0</v>
      </c>
      <c r="F8224" s="59">
        <v>0.0</v>
      </c>
      <c r="G8224" s="60">
        <v>1.0</v>
      </c>
      <c r="H8224" s="60">
        <v>0.0</v>
      </c>
      <c r="I8224" s="60">
        <v>81.961326</v>
      </c>
      <c r="J8224" s="59">
        <v>2.0</v>
      </c>
      <c r="K8224" s="61">
        <f t="shared" si="1"/>
        <v>0</v>
      </c>
      <c r="L8224" s="62">
        <f t="shared" si="2"/>
        <v>2</v>
      </c>
    </row>
    <row r="8225">
      <c r="A8225" s="58">
        <v>45413.0</v>
      </c>
      <c r="B8225" s="24" t="s">
        <v>6789</v>
      </c>
      <c r="C8225" s="24" t="s">
        <v>6788</v>
      </c>
      <c r="D8225" s="59">
        <v>868.0</v>
      </c>
      <c r="E8225" s="59">
        <v>1194.0</v>
      </c>
      <c r="F8225" s="59">
        <v>721.0</v>
      </c>
      <c r="G8225" s="60">
        <v>1.42652329749103</v>
      </c>
      <c r="H8225" s="60">
        <v>0.479899497487437</v>
      </c>
      <c r="I8225" s="60">
        <v>196.533201319933</v>
      </c>
      <c r="J8225" s="59">
        <v>2056.0</v>
      </c>
      <c r="K8225" s="61">
        <f t="shared" si="1"/>
        <v>0.6038525963</v>
      </c>
      <c r="L8225" s="62">
        <f t="shared" si="2"/>
        <v>1.721943049</v>
      </c>
    </row>
    <row r="8226">
      <c r="A8226" s="58">
        <v>45413.0</v>
      </c>
      <c r="B8226" s="24" t="s">
        <v>6790</v>
      </c>
      <c r="C8226" s="24" t="s">
        <v>7107</v>
      </c>
      <c r="D8226" s="59">
        <v>806.0</v>
      </c>
      <c r="E8226" s="59">
        <v>808.0</v>
      </c>
      <c r="F8226" s="59">
        <v>807.0</v>
      </c>
      <c r="G8226" s="60">
        <v>1.00248138957816</v>
      </c>
      <c r="H8226" s="60">
        <v>0.949257425742574</v>
      </c>
      <c r="I8226" s="60">
        <v>4.00293376237623</v>
      </c>
      <c r="J8226" s="59">
        <v>816.0</v>
      </c>
      <c r="K8226" s="61">
        <f t="shared" si="1"/>
        <v>0.9987623762</v>
      </c>
      <c r="L8226" s="62">
        <f t="shared" si="2"/>
        <v>1.00990099</v>
      </c>
    </row>
    <row r="8227">
      <c r="A8227" s="58">
        <v>45413.0</v>
      </c>
      <c r="B8227" s="24" t="s">
        <v>6787</v>
      </c>
      <c r="C8227" s="24" t="s">
        <v>6788</v>
      </c>
      <c r="D8227" s="59">
        <v>636.0</v>
      </c>
      <c r="E8227" s="59">
        <v>790.0</v>
      </c>
      <c r="F8227" s="59">
        <v>588.0</v>
      </c>
      <c r="G8227" s="60">
        <v>1.25796178343949</v>
      </c>
      <c r="H8227" s="60">
        <v>0.594936708860759</v>
      </c>
      <c r="I8227" s="60">
        <v>101.449495358227</v>
      </c>
      <c r="J8227" s="59">
        <v>1177.0</v>
      </c>
      <c r="K8227" s="61">
        <f t="shared" si="1"/>
        <v>0.7443037975</v>
      </c>
      <c r="L8227" s="62">
        <f t="shared" si="2"/>
        <v>1.489873418</v>
      </c>
    </row>
    <row r="8228">
      <c r="A8228" s="58">
        <v>45413.0</v>
      </c>
      <c r="B8228" s="24" t="s">
        <v>6789</v>
      </c>
      <c r="C8228" s="24" t="s">
        <v>7068</v>
      </c>
      <c r="D8228" s="59">
        <v>291.0</v>
      </c>
      <c r="E8228" s="59">
        <v>341.0</v>
      </c>
      <c r="F8228" s="59">
        <v>279.0</v>
      </c>
      <c r="G8228" s="60">
        <v>1.17993079584775</v>
      </c>
      <c r="H8228" s="60">
        <v>0.348973607038123</v>
      </c>
      <c r="I8228" s="60">
        <v>178.4375918739</v>
      </c>
      <c r="J8228" s="59">
        <v>369.0</v>
      </c>
      <c r="K8228" s="61">
        <f t="shared" si="1"/>
        <v>0.8181818182</v>
      </c>
      <c r="L8228" s="62">
        <f t="shared" si="2"/>
        <v>1.082111437</v>
      </c>
    </row>
    <row r="8229">
      <c r="A8229" s="58">
        <v>45413.0</v>
      </c>
      <c r="B8229" s="24" t="s">
        <v>6789</v>
      </c>
      <c r="C8229" s="24" t="s">
        <v>6792</v>
      </c>
      <c r="D8229" s="59">
        <v>252.0</v>
      </c>
      <c r="E8229" s="59">
        <v>298.0</v>
      </c>
      <c r="F8229" s="59">
        <v>0.0</v>
      </c>
      <c r="G8229" s="60">
        <v>1.89808917197452</v>
      </c>
      <c r="H8229" s="60">
        <v>0.96979865771812</v>
      </c>
      <c r="I8229" s="60">
        <v>8.80269832550335</v>
      </c>
      <c r="J8229" s="59">
        <v>0.0</v>
      </c>
      <c r="K8229" s="61">
        <f t="shared" si="1"/>
        <v>0</v>
      </c>
      <c r="L8229" s="62">
        <f t="shared" si="2"/>
        <v>0</v>
      </c>
    </row>
    <row r="8230">
      <c r="A8230" s="58">
        <v>45413.0</v>
      </c>
      <c r="B8230" s="24" t="s">
        <v>155</v>
      </c>
      <c r="C8230" s="24" t="s">
        <v>6788</v>
      </c>
      <c r="D8230" s="59">
        <v>150.0</v>
      </c>
      <c r="E8230" s="59">
        <v>298.0</v>
      </c>
      <c r="F8230" s="59">
        <v>120.0</v>
      </c>
      <c r="G8230" s="60">
        <v>2.0</v>
      </c>
      <c r="H8230" s="60">
        <v>0.604026845637583</v>
      </c>
      <c r="I8230" s="60">
        <v>128.378806345637</v>
      </c>
      <c r="J8230" s="59">
        <v>423.0</v>
      </c>
      <c r="K8230" s="61">
        <f t="shared" si="1"/>
        <v>0.4026845638</v>
      </c>
      <c r="L8230" s="62">
        <f t="shared" si="2"/>
        <v>1.419463087</v>
      </c>
    </row>
    <row r="8231">
      <c r="A8231" s="58">
        <v>45413.0</v>
      </c>
      <c r="B8231" s="24" t="s">
        <v>6787</v>
      </c>
      <c r="C8231" s="24" t="s">
        <v>6799</v>
      </c>
      <c r="D8231" s="59">
        <v>138.0</v>
      </c>
      <c r="E8231" s="59">
        <v>139.0</v>
      </c>
      <c r="F8231" s="59">
        <v>137.0</v>
      </c>
      <c r="G8231" s="60">
        <v>1.00724637681159</v>
      </c>
      <c r="H8231" s="60">
        <v>0.287769784172661</v>
      </c>
      <c r="I8231" s="60">
        <v>20.5885024748201</v>
      </c>
      <c r="J8231" s="59">
        <v>308.0</v>
      </c>
      <c r="K8231" s="61">
        <f t="shared" si="1"/>
        <v>0.9856115108</v>
      </c>
      <c r="L8231" s="62">
        <f t="shared" si="2"/>
        <v>2.215827338</v>
      </c>
    </row>
    <row r="8232">
      <c r="A8232" s="58">
        <v>45413.0</v>
      </c>
      <c r="B8232" s="24" t="s">
        <v>6787</v>
      </c>
      <c r="C8232" s="24" t="s">
        <v>6802</v>
      </c>
      <c r="D8232" s="59">
        <v>137.0</v>
      </c>
      <c r="E8232" s="59">
        <v>137.0</v>
      </c>
      <c r="F8232" s="59">
        <v>133.0</v>
      </c>
      <c r="G8232" s="60">
        <v>1.00735294117647</v>
      </c>
      <c r="H8232" s="60">
        <v>0.211678832116788</v>
      </c>
      <c r="I8232" s="60">
        <v>14.6326514525547</v>
      </c>
      <c r="J8232" s="59">
        <v>310.0</v>
      </c>
      <c r="K8232" s="61">
        <f t="shared" si="1"/>
        <v>0.9708029197</v>
      </c>
      <c r="L8232" s="62">
        <f t="shared" si="2"/>
        <v>2.262773723</v>
      </c>
    </row>
    <row r="8233">
      <c r="A8233" s="58">
        <v>45413.0</v>
      </c>
      <c r="B8233" s="24" t="s">
        <v>6794</v>
      </c>
      <c r="C8233" s="24" t="s">
        <v>6788</v>
      </c>
      <c r="D8233" s="59">
        <v>98.0</v>
      </c>
      <c r="E8233" s="59">
        <v>102.0</v>
      </c>
      <c r="F8233" s="59">
        <v>89.0</v>
      </c>
      <c r="G8233" s="60">
        <v>1.05154639175257</v>
      </c>
      <c r="H8233" s="60">
        <v>0.333333333333333</v>
      </c>
      <c r="I8233" s="60">
        <v>155.646308049019</v>
      </c>
      <c r="J8233" s="59">
        <v>168.0</v>
      </c>
      <c r="K8233" s="61">
        <f t="shared" si="1"/>
        <v>0.8725490196</v>
      </c>
      <c r="L8233" s="62">
        <f t="shared" si="2"/>
        <v>1.647058824</v>
      </c>
    </row>
    <row r="8234">
      <c r="A8234" s="58">
        <v>45413.0</v>
      </c>
      <c r="B8234" s="24" t="s">
        <v>6790</v>
      </c>
      <c r="C8234" s="24" t="s">
        <v>6924</v>
      </c>
      <c r="D8234" s="59">
        <v>82.0</v>
      </c>
      <c r="E8234" s="59">
        <v>85.0</v>
      </c>
      <c r="F8234" s="59">
        <v>81.0</v>
      </c>
      <c r="G8234" s="60">
        <v>1.04938271604938</v>
      </c>
      <c r="H8234" s="60">
        <v>0.823529411764705</v>
      </c>
      <c r="I8234" s="60">
        <v>26.7454297882352</v>
      </c>
      <c r="J8234" s="59">
        <v>99.0</v>
      </c>
      <c r="K8234" s="61">
        <f t="shared" si="1"/>
        <v>0.9529411765</v>
      </c>
      <c r="L8234" s="62">
        <f t="shared" si="2"/>
        <v>1.164705882</v>
      </c>
    </row>
    <row r="8235">
      <c r="A8235" s="58">
        <v>45413.0</v>
      </c>
      <c r="B8235" s="24" t="s">
        <v>6789</v>
      </c>
      <c r="C8235" s="24" t="s">
        <v>7024</v>
      </c>
      <c r="D8235" s="59">
        <v>63.0</v>
      </c>
      <c r="E8235" s="59">
        <v>72.0</v>
      </c>
      <c r="F8235" s="59">
        <v>63.0</v>
      </c>
      <c r="G8235" s="60">
        <v>1.14285714285714</v>
      </c>
      <c r="H8235" s="60">
        <v>0.555555555555555</v>
      </c>
      <c r="I8235" s="60">
        <v>193.658782972222</v>
      </c>
      <c r="J8235" s="59">
        <v>75.0</v>
      </c>
      <c r="K8235" s="61">
        <f t="shared" si="1"/>
        <v>0.875</v>
      </c>
      <c r="L8235" s="62">
        <f t="shared" si="2"/>
        <v>1.041666667</v>
      </c>
    </row>
    <row r="8236">
      <c r="A8236" s="58">
        <v>45413.0</v>
      </c>
      <c r="B8236" s="24" t="s">
        <v>6787</v>
      </c>
      <c r="C8236" s="24" t="s">
        <v>6792</v>
      </c>
      <c r="D8236" s="59">
        <v>51.0</v>
      </c>
      <c r="E8236" s="59">
        <v>61.0</v>
      </c>
      <c r="F8236" s="59">
        <v>0.0</v>
      </c>
      <c r="G8236" s="60">
        <v>1.90625</v>
      </c>
      <c r="H8236" s="60">
        <v>0.967213114754098</v>
      </c>
      <c r="I8236" s="60">
        <v>27.7770784426229</v>
      </c>
      <c r="J8236" s="59">
        <v>0.0</v>
      </c>
      <c r="K8236" s="61">
        <f t="shared" si="1"/>
        <v>0</v>
      </c>
      <c r="L8236" s="62">
        <f t="shared" si="2"/>
        <v>0</v>
      </c>
    </row>
    <row r="8237">
      <c r="A8237" s="58">
        <v>45413.0</v>
      </c>
      <c r="B8237" s="24" t="s">
        <v>6789</v>
      </c>
      <c r="C8237" s="24" t="s">
        <v>6804</v>
      </c>
      <c r="D8237" s="59">
        <v>47.0</v>
      </c>
      <c r="E8237" s="59">
        <v>48.0</v>
      </c>
      <c r="F8237" s="59">
        <v>46.0</v>
      </c>
      <c r="G8237" s="60">
        <v>1.04347826086956</v>
      </c>
      <c r="H8237" s="60">
        <v>0.5</v>
      </c>
      <c r="I8237" s="60">
        <v>76.2703059791666</v>
      </c>
      <c r="J8237" s="59">
        <v>52.0</v>
      </c>
      <c r="K8237" s="61">
        <f t="shared" si="1"/>
        <v>0.9583333333</v>
      </c>
      <c r="L8237" s="62">
        <f t="shared" si="2"/>
        <v>1.083333333</v>
      </c>
    </row>
    <row r="8238">
      <c r="A8238" s="58">
        <v>45413.0</v>
      </c>
      <c r="B8238" s="24" t="s">
        <v>6790</v>
      </c>
      <c r="C8238" s="24" t="s">
        <v>6963</v>
      </c>
      <c r="D8238" s="59">
        <v>47.0</v>
      </c>
      <c r="E8238" s="59">
        <v>47.0</v>
      </c>
      <c r="F8238" s="59">
        <v>47.0</v>
      </c>
      <c r="G8238" s="60">
        <v>1.0</v>
      </c>
      <c r="H8238" s="60">
        <v>0.893617021276595</v>
      </c>
      <c r="I8238" s="60">
        <v>13.0125936382978</v>
      </c>
      <c r="J8238" s="59">
        <v>55.0</v>
      </c>
      <c r="K8238" s="61">
        <f t="shared" si="1"/>
        <v>1</v>
      </c>
      <c r="L8238" s="62">
        <f t="shared" si="2"/>
        <v>1.170212766</v>
      </c>
    </row>
    <row r="8239">
      <c r="A8239" s="58">
        <v>45413.0</v>
      </c>
      <c r="B8239" s="24" t="s">
        <v>6789</v>
      </c>
      <c r="C8239" s="24" t="s">
        <v>6799</v>
      </c>
      <c r="D8239" s="59">
        <v>38.0</v>
      </c>
      <c r="E8239" s="59">
        <v>44.0</v>
      </c>
      <c r="F8239" s="59">
        <v>22.0</v>
      </c>
      <c r="G8239" s="60">
        <v>1.25714285714285</v>
      </c>
      <c r="H8239" s="60">
        <v>0.25</v>
      </c>
      <c r="I8239" s="60">
        <v>164.911348022727</v>
      </c>
      <c r="J8239" s="59">
        <v>97.0</v>
      </c>
      <c r="K8239" s="61">
        <f t="shared" si="1"/>
        <v>0.5</v>
      </c>
      <c r="L8239" s="62">
        <f t="shared" si="2"/>
        <v>2.204545455</v>
      </c>
    </row>
    <row r="8240">
      <c r="A8240" s="58">
        <v>45413.0</v>
      </c>
      <c r="B8240" s="24" t="s">
        <v>7100</v>
      </c>
      <c r="C8240" s="24" t="s">
        <v>6788</v>
      </c>
      <c r="D8240" s="59">
        <v>32.0</v>
      </c>
      <c r="E8240" s="59">
        <v>34.0</v>
      </c>
      <c r="F8240" s="59">
        <v>31.0</v>
      </c>
      <c r="G8240" s="60">
        <v>1.0625</v>
      </c>
      <c r="H8240" s="60">
        <v>0.617647058823529</v>
      </c>
      <c r="I8240" s="60">
        <v>185.375842794117</v>
      </c>
      <c r="J8240" s="59">
        <v>46.0</v>
      </c>
      <c r="K8240" s="61">
        <f t="shared" si="1"/>
        <v>0.9117647059</v>
      </c>
      <c r="L8240" s="62">
        <f t="shared" si="2"/>
        <v>1.352941176</v>
      </c>
    </row>
    <row r="8241">
      <c r="A8241" s="58">
        <v>45413.0</v>
      </c>
      <c r="B8241" s="24" t="s">
        <v>6790</v>
      </c>
      <c r="C8241" s="24" t="s">
        <v>6788</v>
      </c>
      <c r="D8241" s="59">
        <v>32.0</v>
      </c>
      <c r="E8241" s="59">
        <v>34.0</v>
      </c>
      <c r="F8241" s="59">
        <v>28.0</v>
      </c>
      <c r="G8241" s="60">
        <v>1.09677419354838</v>
      </c>
      <c r="H8241" s="60">
        <v>0.823529411764705</v>
      </c>
      <c r="I8241" s="60">
        <v>192.370023794117</v>
      </c>
      <c r="J8241" s="59">
        <v>50.0</v>
      </c>
      <c r="K8241" s="61">
        <f t="shared" si="1"/>
        <v>0.8235294118</v>
      </c>
      <c r="L8241" s="62">
        <f t="shared" si="2"/>
        <v>1.470588235</v>
      </c>
    </row>
    <row r="8242">
      <c r="A8242" s="58">
        <v>45413.0</v>
      </c>
      <c r="B8242" s="24" t="s">
        <v>6789</v>
      </c>
      <c r="C8242" s="24" t="s">
        <v>6815</v>
      </c>
      <c r="D8242" s="59">
        <v>30.0</v>
      </c>
      <c r="E8242" s="59">
        <v>31.0</v>
      </c>
      <c r="F8242" s="59">
        <v>26.0</v>
      </c>
      <c r="G8242" s="60">
        <v>1.06896551724137</v>
      </c>
      <c r="H8242" s="60">
        <v>0.290322580645161</v>
      </c>
      <c r="I8242" s="60">
        <v>136.48970316129</v>
      </c>
      <c r="J8242" s="59">
        <v>63.0</v>
      </c>
      <c r="K8242" s="61">
        <f t="shared" si="1"/>
        <v>0.8387096774</v>
      </c>
      <c r="L8242" s="62">
        <f t="shared" si="2"/>
        <v>2.032258065</v>
      </c>
    </row>
    <row r="8243">
      <c r="A8243" s="58">
        <v>45413.0</v>
      </c>
      <c r="B8243" s="24" t="s">
        <v>6789</v>
      </c>
      <c r="C8243" s="24" t="s">
        <v>6808</v>
      </c>
      <c r="D8243" s="59">
        <v>24.0</v>
      </c>
      <c r="E8243" s="59">
        <v>25.0</v>
      </c>
      <c r="F8243" s="59">
        <v>14.0</v>
      </c>
      <c r="G8243" s="60">
        <v>1.13636363636363</v>
      </c>
      <c r="H8243" s="60">
        <v>0.44</v>
      </c>
      <c r="I8243" s="60">
        <v>133.3815712</v>
      </c>
      <c r="J8243" s="59">
        <v>37.0</v>
      </c>
      <c r="K8243" s="61">
        <f t="shared" si="1"/>
        <v>0.56</v>
      </c>
      <c r="L8243" s="62">
        <f t="shared" si="2"/>
        <v>1.48</v>
      </c>
    </row>
    <row r="8244">
      <c r="A8244" s="58">
        <v>45413.0</v>
      </c>
      <c r="B8244" s="24" t="s">
        <v>6789</v>
      </c>
      <c r="C8244" s="24" t="s">
        <v>6892</v>
      </c>
      <c r="D8244" s="59">
        <v>18.0</v>
      </c>
      <c r="E8244" s="59">
        <v>21.0</v>
      </c>
      <c r="F8244" s="59">
        <v>16.0</v>
      </c>
      <c r="G8244" s="60">
        <v>1.23529411764705</v>
      </c>
      <c r="H8244" s="60">
        <v>0.428571428571428</v>
      </c>
      <c r="I8244" s="60">
        <v>175.75365295238</v>
      </c>
      <c r="J8244" s="59">
        <v>30.0</v>
      </c>
      <c r="K8244" s="61">
        <f t="shared" si="1"/>
        <v>0.7619047619</v>
      </c>
      <c r="L8244" s="62">
        <f t="shared" si="2"/>
        <v>1.428571429</v>
      </c>
    </row>
    <row r="8245">
      <c r="A8245" s="58">
        <v>45413.0</v>
      </c>
      <c r="B8245" s="24" t="s">
        <v>155</v>
      </c>
      <c r="C8245" s="24" t="s">
        <v>6792</v>
      </c>
      <c r="D8245" s="59">
        <v>16.0</v>
      </c>
      <c r="E8245" s="59">
        <v>19.0</v>
      </c>
      <c r="F8245" s="59">
        <v>0.0</v>
      </c>
      <c r="G8245" s="60">
        <v>1.9</v>
      </c>
      <c r="H8245" s="60">
        <v>1.0</v>
      </c>
      <c r="I8245" s="60">
        <v>0.0778926315789473</v>
      </c>
      <c r="J8245" s="59">
        <v>0.0</v>
      </c>
      <c r="K8245" s="61">
        <f t="shared" si="1"/>
        <v>0</v>
      </c>
      <c r="L8245" s="62">
        <f t="shared" si="2"/>
        <v>0</v>
      </c>
    </row>
    <row r="8246">
      <c r="A8246" s="58">
        <v>45413.0</v>
      </c>
      <c r="B8246" s="24" t="s">
        <v>6789</v>
      </c>
      <c r="C8246" s="24" t="s">
        <v>6802</v>
      </c>
      <c r="D8246" s="59">
        <v>16.0</v>
      </c>
      <c r="E8246" s="59">
        <v>21.0</v>
      </c>
      <c r="F8246" s="59">
        <v>4.0</v>
      </c>
      <c r="G8246" s="60">
        <v>1.4</v>
      </c>
      <c r="H8246" s="60">
        <v>0.38095238095238</v>
      </c>
      <c r="I8246" s="60">
        <v>378.062375380952</v>
      </c>
      <c r="J8246" s="59">
        <v>39.0</v>
      </c>
      <c r="K8246" s="61">
        <f t="shared" si="1"/>
        <v>0.1904761905</v>
      </c>
      <c r="L8246" s="62">
        <f t="shared" si="2"/>
        <v>1.857142857</v>
      </c>
    </row>
    <row r="8247">
      <c r="A8247" s="58">
        <v>45413.0</v>
      </c>
      <c r="B8247" s="24" t="s">
        <v>6789</v>
      </c>
      <c r="C8247" s="24" t="s">
        <v>6838</v>
      </c>
      <c r="D8247" s="59">
        <v>15.0</v>
      </c>
      <c r="E8247" s="59">
        <v>17.0</v>
      </c>
      <c r="F8247" s="59">
        <v>10.0</v>
      </c>
      <c r="G8247" s="60">
        <v>1.41666666666666</v>
      </c>
      <c r="H8247" s="60">
        <v>0.529411764705882</v>
      </c>
      <c r="I8247" s="60">
        <v>94.8812065294117</v>
      </c>
      <c r="J8247" s="59">
        <v>24.0</v>
      </c>
      <c r="K8247" s="61">
        <f t="shared" si="1"/>
        <v>0.5882352941</v>
      </c>
      <c r="L8247" s="62">
        <f t="shared" si="2"/>
        <v>1.411764706</v>
      </c>
    </row>
    <row r="8248">
      <c r="A8248" s="58">
        <v>45413.0</v>
      </c>
      <c r="B8248" s="24" t="s">
        <v>6789</v>
      </c>
      <c r="C8248" s="24" t="s">
        <v>6910</v>
      </c>
      <c r="D8248" s="59">
        <v>13.0</v>
      </c>
      <c r="E8248" s="59">
        <v>14.0</v>
      </c>
      <c r="F8248" s="59">
        <v>9.0</v>
      </c>
      <c r="G8248" s="60">
        <v>1.07692307692307</v>
      </c>
      <c r="H8248" s="60">
        <v>0.428571428571428</v>
      </c>
      <c r="I8248" s="60">
        <v>77.7319296428571</v>
      </c>
      <c r="J8248" s="59">
        <v>29.0</v>
      </c>
      <c r="K8248" s="61">
        <f t="shared" si="1"/>
        <v>0.6428571429</v>
      </c>
      <c r="L8248" s="62">
        <f t="shared" si="2"/>
        <v>2.071428571</v>
      </c>
    </row>
    <row r="8249">
      <c r="A8249" s="58">
        <v>45413.0</v>
      </c>
      <c r="B8249" s="24" t="s">
        <v>6789</v>
      </c>
      <c r="C8249" s="24" t="s">
        <v>6835</v>
      </c>
      <c r="D8249" s="59">
        <v>12.0</v>
      </c>
      <c r="E8249" s="59">
        <v>12.0</v>
      </c>
      <c r="F8249" s="59">
        <v>10.0</v>
      </c>
      <c r="G8249" s="60">
        <v>1.09090909090909</v>
      </c>
      <c r="H8249" s="60">
        <v>0.333333333333333</v>
      </c>
      <c r="I8249" s="60">
        <v>370.136777333333</v>
      </c>
      <c r="J8249" s="59">
        <v>15.0</v>
      </c>
      <c r="K8249" s="61">
        <f t="shared" si="1"/>
        <v>0.8333333333</v>
      </c>
      <c r="L8249" s="62">
        <f t="shared" si="2"/>
        <v>1.25</v>
      </c>
    </row>
    <row r="8250">
      <c r="A8250" s="58">
        <v>45413.0</v>
      </c>
      <c r="B8250" s="24" t="s">
        <v>6789</v>
      </c>
      <c r="C8250" s="24" t="s">
        <v>7056</v>
      </c>
      <c r="D8250" s="59">
        <v>11.0</v>
      </c>
      <c r="E8250" s="59">
        <v>12.0</v>
      </c>
      <c r="F8250" s="59">
        <v>10.0</v>
      </c>
      <c r="G8250" s="60">
        <v>1.09090909090909</v>
      </c>
      <c r="H8250" s="60">
        <v>0.5</v>
      </c>
      <c r="I8250" s="60">
        <v>127.875026916666</v>
      </c>
      <c r="J8250" s="59">
        <v>15.0</v>
      </c>
      <c r="K8250" s="61">
        <f t="shared" si="1"/>
        <v>0.8333333333</v>
      </c>
      <c r="L8250" s="62">
        <f t="shared" si="2"/>
        <v>1.25</v>
      </c>
    </row>
    <row r="8251">
      <c r="A8251" s="58">
        <v>45413.0</v>
      </c>
      <c r="B8251" s="24" t="s">
        <v>6787</v>
      </c>
      <c r="C8251" s="24" t="s">
        <v>7107</v>
      </c>
      <c r="D8251" s="59">
        <v>11.0</v>
      </c>
      <c r="E8251" s="59">
        <v>11.0</v>
      </c>
      <c r="F8251" s="59">
        <v>8.0</v>
      </c>
      <c r="G8251" s="60">
        <v>1.0</v>
      </c>
      <c r="H8251" s="60">
        <v>0.818181818181818</v>
      </c>
      <c r="I8251" s="60">
        <v>118.811787636363</v>
      </c>
      <c r="J8251" s="59">
        <v>12.0</v>
      </c>
      <c r="K8251" s="61">
        <f t="shared" si="1"/>
        <v>0.7272727273</v>
      </c>
      <c r="L8251" s="62">
        <f t="shared" si="2"/>
        <v>1.090909091</v>
      </c>
    </row>
    <row r="8252">
      <c r="A8252" s="58">
        <v>45413.0</v>
      </c>
      <c r="B8252" s="24" t="s">
        <v>6794</v>
      </c>
      <c r="C8252" s="24" t="s">
        <v>6792</v>
      </c>
      <c r="D8252" s="59">
        <v>10.0</v>
      </c>
      <c r="E8252" s="59">
        <v>10.0</v>
      </c>
      <c r="F8252" s="59">
        <v>0.0</v>
      </c>
      <c r="G8252" s="60">
        <v>2.5</v>
      </c>
      <c r="H8252" s="60">
        <v>1.0</v>
      </c>
      <c r="I8252" s="60">
        <v>0.0</v>
      </c>
      <c r="J8252" s="59">
        <v>0.0</v>
      </c>
      <c r="K8252" s="61">
        <f t="shared" si="1"/>
        <v>0</v>
      </c>
      <c r="L8252" s="62">
        <f t="shared" si="2"/>
        <v>0</v>
      </c>
    </row>
    <row r="8253">
      <c r="A8253" s="58">
        <v>45413.0</v>
      </c>
      <c r="B8253" s="24" t="s">
        <v>6789</v>
      </c>
      <c r="C8253" s="24" t="s">
        <v>6803</v>
      </c>
      <c r="D8253" s="59">
        <v>10.0</v>
      </c>
      <c r="E8253" s="59">
        <v>10.0</v>
      </c>
      <c r="F8253" s="59">
        <v>7.0</v>
      </c>
      <c r="G8253" s="60">
        <v>1.11111111111111</v>
      </c>
      <c r="H8253" s="60">
        <v>0.5</v>
      </c>
      <c r="I8253" s="60">
        <v>93.8010758</v>
      </c>
      <c r="J8253" s="59">
        <v>15.0</v>
      </c>
      <c r="K8253" s="61">
        <f t="shared" si="1"/>
        <v>0.7</v>
      </c>
      <c r="L8253" s="62">
        <f t="shared" si="2"/>
        <v>1.5</v>
      </c>
    </row>
    <row r="8254">
      <c r="A8254" s="58">
        <v>45413.0</v>
      </c>
      <c r="B8254" s="24" t="s">
        <v>6789</v>
      </c>
      <c r="C8254" s="24" t="s">
        <v>7074</v>
      </c>
      <c r="D8254" s="59">
        <v>10.0</v>
      </c>
      <c r="E8254" s="59">
        <v>12.0</v>
      </c>
      <c r="F8254" s="59">
        <v>10.0</v>
      </c>
      <c r="G8254" s="60">
        <v>1.2</v>
      </c>
      <c r="H8254" s="60">
        <v>0.5</v>
      </c>
      <c r="I8254" s="60">
        <v>25.1884129166666</v>
      </c>
      <c r="J8254" s="59">
        <v>13.0</v>
      </c>
      <c r="K8254" s="61">
        <f t="shared" si="1"/>
        <v>0.8333333333</v>
      </c>
      <c r="L8254" s="62">
        <f t="shared" si="2"/>
        <v>1.083333333</v>
      </c>
    </row>
    <row r="8255">
      <c r="A8255" s="58">
        <v>45413.0</v>
      </c>
      <c r="B8255" s="24" t="s">
        <v>155</v>
      </c>
      <c r="C8255" s="24" t="s">
        <v>6800</v>
      </c>
      <c r="D8255" s="59">
        <v>10.0</v>
      </c>
      <c r="E8255" s="59">
        <v>10.0</v>
      </c>
      <c r="F8255" s="59">
        <v>10.0</v>
      </c>
      <c r="G8255" s="60">
        <v>1.0</v>
      </c>
      <c r="H8255" s="60">
        <v>0.0</v>
      </c>
      <c r="I8255" s="60">
        <v>30.5802605</v>
      </c>
      <c r="J8255" s="59">
        <v>20.0</v>
      </c>
      <c r="K8255" s="61">
        <f t="shared" si="1"/>
        <v>1</v>
      </c>
      <c r="L8255" s="62">
        <f t="shared" si="2"/>
        <v>2</v>
      </c>
    </row>
    <row r="8256">
      <c r="A8256" s="58">
        <v>45413.0</v>
      </c>
      <c r="B8256" s="24" t="s">
        <v>6787</v>
      </c>
      <c r="C8256" s="24" t="s">
        <v>6815</v>
      </c>
      <c r="D8256" s="59">
        <v>10.0</v>
      </c>
      <c r="E8256" s="59">
        <v>10.0</v>
      </c>
      <c r="F8256" s="59">
        <v>10.0</v>
      </c>
      <c r="G8256" s="60">
        <v>1.0</v>
      </c>
      <c r="H8256" s="60">
        <v>0.8</v>
      </c>
      <c r="I8256" s="60">
        <v>66.5653356</v>
      </c>
      <c r="J8256" s="59">
        <v>13.0</v>
      </c>
      <c r="K8256" s="61">
        <f t="shared" si="1"/>
        <v>1</v>
      </c>
      <c r="L8256" s="62">
        <f t="shared" si="2"/>
        <v>1.3</v>
      </c>
    </row>
    <row r="8257">
      <c r="A8257" s="58">
        <v>45413.0</v>
      </c>
      <c r="B8257" s="24" t="s">
        <v>7100</v>
      </c>
      <c r="C8257" s="24" t="s">
        <v>6924</v>
      </c>
      <c r="D8257" s="59">
        <v>10.0</v>
      </c>
      <c r="E8257" s="59">
        <v>10.0</v>
      </c>
      <c r="F8257" s="59">
        <v>10.0</v>
      </c>
      <c r="G8257" s="60">
        <v>1.0</v>
      </c>
      <c r="H8257" s="60">
        <v>0.9</v>
      </c>
      <c r="I8257" s="60">
        <v>5.541052</v>
      </c>
      <c r="J8257" s="59">
        <v>14.0</v>
      </c>
      <c r="K8257" s="61">
        <f t="shared" si="1"/>
        <v>1</v>
      </c>
      <c r="L8257" s="62">
        <f t="shared" si="2"/>
        <v>1.4</v>
      </c>
    </row>
    <row r="8258">
      <c r="A8258" s="58">
        <v>45413.0</v>
      </c>
      <c r="B8258" s="24" t="s">
        <v>6789</v>
      </c>
      <c r="C8258" s="24" t="s">
        <v>7102</v>
      </c>
      <c r="D8258" s="59">
        <v>9.0</v>
      </c>
      <c r="E8258" s="59">
        <v>15.0</v>
      </c>
      <c r="F8258" s="59">
        <v>2.0</v>
      </c>
      <c r="G8258" s="60">
        <v>1.66666666666666</v>
      </c>
      <c r="H8258" s="60">
        <v>0.466666666666666</v>
      </c>
      <c r="I8258" s="60">
        <v>407.913700799999</v>
      </c>
      <c r="J8258" s="59">
        <v>33.0</v>
      </c>
      <c r="K8258" s="61">
        <f t="shared" si="1"/>
        <v>0.1333333333</v>
      </c>
      <c r="L8258" s="62">
        <f t="shared" si="2"/>
        <v>2.2</v>
      </c>
    </row>
    <row r="8259">
      <c r="A8259" s="58">
        <v>45413.0</v>
      </c>
      <c r="B8259" s="24" t="s">
        <v>6787</v>
      </c>
      <c r="C8259" s="24" t="s">
        <v>7024</v>
      </c>
      <c r="D8259" s="59">
        <v>8.0</v>
      </c>
      <c r="E8259" s="59">
        <v>9.0</v>
      </c>
      <c r="F8259" s="59">
        <v>7.0</v>
      </c>
      <c r="G8259" s="60">
        <v>1.28571428571428</v>
      </c>
      <c r="H8259" s="60">
        <v>0.555555555555555</v>
      </c>
      <c r="I8259" s="60">
        <v>37.1590956666666</v>
      </c>
      <c r="J8259" s="59">
        <v>9.0</v>
      </c>
      <c r="K8259" s="61">
        <f t="shared" si="1"/>
        <v>0.7777777778</v>
      </c>
      <c r="L8259" s="62">
        <f t="shared" si="2"/>
        <v>1</v>
      </c>
    </row>
    <row r="8260">
      <c r="A8260" s="58">
        <v>45413.0</v>
      </c>
      <c r="B8260" s="24" t="s">
        <v>6787</v>
      </c>
      <c r="C8260" s="24" t="s">
        <v>6886</v>
      </c>
      <c r="D8260" s="59">
        <v>8.0</v>
      </c>
      <c r="E8260" s="59">
        <v>8.0</v>
      </c>
      <c r="F8260" s="59">
        <v>8.0</v>
      </c>
      <c r="G8260" s="60">
        <v>1.0</v>
      </c>
      <c r="H8260" s="60">
        <v>0.625</v>
      </c>
      <c r="I8260" s="60">
        <v>18.040911375</v>
      </c>
      <c r="J8260" s="59">
        <v>13.0</v>
      </c>
      <c r="K8260" s="61">
        <f t="shared" si="1"/>
        <v>1</v>
      </c>
      <c r="L8260" s="62">
        <f t="shared" si="2"/>
        <v>1.625</v>
      </c>
    </row>
    <row r="8261">
      <c r="A8261" s="58">
        <v>45413.0</v>
      </c>
      <c r="B8261" s="24" t="s">
        <v>155</v>
      </c>
      <c r="C8261" s="24" t="s">
        <v>6799</v>
      </c>
      <c r="D8261" s="59">
        <v>8.0</v>
      </c>
      <c r="E8261" s="59">
        <v>8.0</v>
      </c>
      <c r="F8261" s="59">
        <v>6.0</v>
      </c>
      <c r="G8261" s="60">
        <v>1.0</v>
      </c>
      <c r="H8261" s="60">
        <v>0.25</v>
      </c>
      <c r="I8261" s="60">
        <v>28.3978961249999</v>
      </c>
      <c r="J8261" s="59">
        <v>10.0</v>
      </c>
      <c r="K8261" s="61">
        <f t="shared" si="1"/>
        <v>0.75</v>
      </c>
      <c r="L8261" s="62">
        <f t="shared" si="2"/>
        <v>1.25</v>
      </c>
    </row>
    <row r="8262">
      <c r="A8262" s="58">
        <v>45413.0</v>
      </c>
      <c r="B8262" s="24" t="s">
        <v>6789</v>
      </c>
      <c r="C8262" s="24" t="s">
        <v>6801</v>
      </c>
      <c r="D8262" s="59">
        <v>8.0</v>
      </c>
      <c r="E8262" s="59">
        <v>13.0</v>
      </c>
      <c r="F8262" s="59">
        <v>3.0</v>
      </c>
      <c r="G8262" s="60">
        <v>1.85714285714285</v>
      </c>
      <c r="H8262" s="60">
        <v>0.307692307692307</v>
      </c>
      <c r="I8262" s="60">
        <v>615.543415461538</v>
      </c>
      <c r="J8262" s="59">
        <v>30.0</v>
      </c>
      <c r="K8262" s="61">
        <f t="shared" si="1"/>
        <v>0.2307692308</v>
      </c>
      <c r="L8262" s="62">
        <f t="shared" si="2"/>
        <v>2.307692308</v>
      </c>
    </row>
    <row r="8263">
      <c r="A8263" s="58">
        <v>45413.0</v>
      </c>
      <c r="B8263" s="24" t="s">
        <v>6789</v>
      </c>
      <c r="C8263" s="24" t="s">
        <v>7023</v>
      </c>
      <c r="D8263" s="59">
        <v>8.0</v>
      </c>
      <c r="E8263" s="59">
        <v>17.0</v>
      </c>
      <c r="F8263" s="59">
        <v>3.0</v>
      </c>
      <c r="G8263" s="60">
        <v>2.42857142857142</v>
      </c>
      <c r="H8263" s="60">
        <v>0.529411764705882</v>
      </c>
      <c r="I8263" s="60">
        <v>328.031746058823</v>
      </c>
      <c r="J8263" s="59">
        <v>31.0</v>
      </c>
      <c r="K8263" s="61">
        <f t="shared" si="1"/>
        <v>0.1764705882</v>
      </c>
      <c r="L8263" s="62">
        <f t="shared" si="2"/>
        <v>1.823529412</v>
      </c>
    </row>
    <row r="8264">
      <c r="A8264" s="58">
        <v>45413.0</v>
      </c>
      <c r="B8264" s="24" t="s">
        <v>6789</v>
      </c>
      <c r="C8264" s="24" t="s">
        <v>7180</v>
      </c>
      <c r="D8264" s="59">
        <v>8.0</v>
      </c>
      <c r="E8264" s="59">
        <v>8.0</v>
      </c>
      <c r="F8264" s="59">
        <v>8.0</v>
      </c>
      <c r="G8264" s="60">
        <v>1.0</v>
      </c>
      <c r="H8264" s="60">
        <v>0.25</v>
      </c>
      <c r="I8264" s="60">
        <v>187.089293375</v>
      </c>
      <c r="J8264" s="59">
        <v>8.0</v>
      </c>
      <c r="K8264" s="61">
        <f t="shared" si="1"/>
        <v>1</v>
      </c>
      <c r="L8264" s="62">
        <f t="shared" si="2"/>
        <v>1</v>
      </c>
    </row>
    <row r="8265">
      <c r="A8265" s="58">
        <v>45413.0</v>
      </c>
      <c r="B8265" s="24" t="s">
        <v>6789</v>
      </c>
      <c r="C8265" s="24" t="s">
        <v>6829</v>
      </c>
      <c r="D8265" s="59">
        <v>7.0</v>
      </c>
      <c r="E8265" s="59">
        <v>7.0</v>
      </c>
      <c r="F8265" s="59">
        <v>6.0</v>
      </c>
      <c r="G8265" s="60">
        <v>1.0</v>
      </c>
      <c r="H8265" s="60">
        <v>0.571428571428571</v>
      </c>
      <c r="I8265" s="60">
        <v>134.326532142857</v>
      </c>
      <c r="J8265" s="59">
        <v>7.0</v>
      </c>
      <c r="K8265" s="61">
        <f t="shared" si="1"/>
        <v>0.8571428571</v>
      </c>
      <c r="L8265" s="62">
        <f t="shared" si="2"/>
        <v>1</v>
      </c>
    </row>
    <row r="8266">
      <c r="A8266" s="58">
        <v>45413.0</v>
      </c>
      <c r="B8266" s="24" t="s">
        <v>6789</v>
      </c>
      <c r="C8266" s="24" t="s">
        <v>7057</v>
      </c>
      <c r="D8266" s="59">
        <v>7.0</v>
      </c>
      <c r="E8266" s="59">
        <v>8.0</v>
      </c>
      <c r="F8266" s="59">
        <v>7.0</v>
      </c>
      <c r="G8266" s="60">
        <v>1.14285714285714</v>
      </c>
      <c r="H8266" s="60">
        <v>0.75</v>
      </c>
      <c r="I8266" s="60">
        <v>41.9396085</v>
      </c>
      <c r="J8266" s="59">
        <v>8.0</v>
      </c>
      <c r="K8266" s="61">
        <f t="shared" si="1"/>
        <v>0.875</v>
      </c>
      <c r="L8266" s="62">
        <f t="shared" si="2"/>
        <v>1</v>
      </c>
    </row>
    <row r="8267">
      <c r="A8267" s="58">
        <v>45413.0</v>
      </c>
      <c r="B8267" s="24" t="s">
        <v>6789</v>
      </c>
      <c r="C8267" s="24" t="s">
        <v>6819</v>
      </c>
      <c r="D8267" s="59">
        <v>7.0</v>
      </c>
      <c r="E8267" s="59">
        <v>7.0</v>
      </c>
      <c r="F8267" s="59">
        <v>7.0</v>
      </c>
      <c r="G8267" s="60">
        <v>1.0</v>
      </c>
      <c r="H8267" s="60">
        <v>0.428571428571428</v>
      </c>
      <c r="I8267" s="60">
        <v>244.140729142857</v>
      </c>
      <c r="J8267" s="59">
        <v>8.0</v>
      </c>
      <c r="K8267" s="61">
        <f t="shared" si="1"/>
        <v>1</v>
      </c>
      <c r="L8267" s="62">
        <f t="shared" si="2"/>
        <v>1.142857143</v>
      </c>
    </row>
    <row r="8268">
      <c r="A8268" s="58">
        <v>45413.0</v>
      </c>
      <c r="B8268" s="24" t="s">
        <v>6789</v>
      </c>
      <c r="C8268" s="24" t="s">
        <v>7107</v>
      </c>
      <c r="D8268" s="59">
        <v>7.0</v>
      </c>
      <c r="E8268" s="59">
        <v>12.0</v>
      </c>
      <c r="F8268" s="59">
        <v>0.0</v>
      </c>
      <c r="G8268" s="60">
        <v>3.0</v>
      </c>
      <c r="H8268" s="60">
        <v>0.75</v>
      </c>
      <c r="I8268" s="60">
        <v>142.621688999999</v>
      </c>
      <c r="J8268" s="59">
        <v>16.0</v>
      </c>
      <c r="K8268" s="61">
        <f t="shared" si="1"/>
        <v>0</v>
      </c>
      <c r="L8268" s="62">
        <f t="shared" si="2"/>
        <v>1.333333333</v>
      </c>
    </row>
    <row r="8269">
      <c r="A8269" s="58">
        <v>45413.0</v>
      </c>
      <c r="B8269" s="24" t="s">
        <v>6787</v>
      </c>
      <c r="C8269" s="24" t="s">
        <v>6803</v>
      </c>
      <c r="D8269" s="59">
        <v>6.0</v>
      </c>
      <c r="E8269" s="59">
        <v>6.0</v>
      </c>
      <c r="F8269" s="59">
        <v>6.0</v>
      </c>
      <c r="G8269" s="60">
        <v>1.0</v>
      </c>
      <c r="H8269" s="60">
        <v>0.833333333333333</v>
      </c>
      <c r="I8269" s="60">
        <v>8.99263966666666</v>
      </c>
      <c r="J8269" s="59">
        <v>6.0</v>
      </c>
      <c r="K8269" s="61">
        <f t="shared" si="1"/>
        <v>1</v>
      </c>
      <c r="L8269" s="62">
        <f t="shared" si="2"/>
        <v>1</v>
      </c>
    </row>
    <row r="8270">
      <c r="A8270" s="58">
        <v>45413.0</v>
      </c>
      <c r="B8270" s="24" t="s">
        <v>6789</v>
      </c>
      <c r="C8270" s="24" t="s">
        <v>6817</v>
      </c>
      <c r="D8270" s="59">
        <v>6.0</v>
      </c>
      <c r="E8270" s="59">
        <v>6.0</v>
      </c>
      <c r="F8270" s="59">
        <v>1.0</v>
      </c>
      <c r="G8270" s="60">
        <v>1.0</v>
      </c>
      <c r="H8270" s="60">
        <v>0.333333333333333</v>
      </c>
      <c r="I8270" s="60">
        <v>497.602048333333</v>
      </c>
      <c r="J8270" s="59">
        <v>19.0</v>
      </c>
      <c r="K8270" s="61">
        <f t="shared" si="1"/>
        <v>0.1666666667</v>
      </c>
      <c r="L8270" s="62">
        <f t="shared" si="2"/>
        <v>3.166666667</v>
      </c>
    </row>
    <row r="8271">
      <c r="A8271" s="58">
        <v>45413.0</v>
      </c>
      <c r="B8271" s="24" t="s">
        <v>6789</v>
      </c>
      <c r="C8271" s="24" t="s">
        <v>6989</v>
      </c>
      <c r="D8271" s="59">
        <v>6.0</v>
      </c>
      <c r="E8271" s="59">
        <v>6.0</v>
      </c>
      <c r="F8271" s="59">
        <v>6.0</v>
      </c>
      <c r="G8271" s="60">
        <v>1.0</v>
      </c>
      <c r="H8271" s="60">
        <v>0.166666666666666</v>
      </c>
      <c r="I8271" s="60">
        <v>249.282112166666</v>
      </c>
      <c r="J8271" s="59">
        <v>16.0</v>
      </c>
      <c r="K8271" s="61">
        <f t="shared" si="1"/>
        <v>1</v>
      </c>
      <c r="L8271" s="62">
        <f t="shared" si="2"/>
        <v>2.666666667</v>
      </c>
    </row>
    <row r="8272">
      <c r="A8272" s="58">
        <v>45413.0</v>
      </c>
      <c r="B8272" s="24" t="s">
        <v>6789</v>
      </c>
      <c r="C8272" s="24" t="s">
        <v>6990</v>
      </c>
      <c r="D8272" s="59">
        <v>6.0</v>
      </c>
      <c r="E8272" s="59">
        <v>6.0</v>
      </c>
      <c r="F8272" s="59">
        <v>6.0</v>
      </c>
      <c r="G8272" s="60">
        <v>1.0</v>
      </c>
      <c r="H8272" s="60">
        <v>0.5</v>
      </c>
      <c r="I8272" s="60">
        <v>46.9953499999999</v>
      </c>
      <c r="J8272" s="59">
        <v>7.0</v>
      </c>
      <c r="K8272" s="61">
        <f t="shared" si="1"/>
        <v>1</v>
      </c>
      <c r="L8272" s="62">
        <f t="shared" si="2"/>
        <v>1.166666667</v>
      </c>
    </row>
    <row r="8273">
      <c r="A8273" s="58">
        <v>45413.0</v>
      </c>
      <c r="B8273" s="24" t="s">
        <v>6787</v>
      </c>
      <c r="C8273" s="24" t="s">
        <v>7068</v>
      </c>
      <c r="D8273" s="59">
        <v>6.0</v>
      </c>
      <c r="E8273" s="59">
        <v>7.0</v>
      </c>
      <c r="F8273" s="59">
        <v>6.0</v>
      </c>
      <c r="G8273" s="60">
        <v>1.16666666666666</v>
      </c>
      <c r="H8273" s="60">
        <v>0.428571428571428</v>
      </c>
      <c r="I8273" s="60">
        <v>145.478030857142</v>
      </c>
      <c r="J8273" s="59">
        <v>7.0</v>
      </c>
      <c r="K8273" s="61">
        <f t="shared" si="1"/>
        <v>0.8571428571</v>
      </c>
      <c r="L8273" s="62">
        <f t="shared" si="2"/>
        <v>1</v>
      </c>
    </row>
    <row r="8274">
      <c r="A8274" s="58">
        <v>45413.0</v>
      </c>
      <c r="B8274" s="24" t="s">
        <v>6789</v>
      </c>
      <c r="C8274" s="24" t="s">
        <v>7072</v>
      </c>
      <c r="D8274" s="59">
        <v>6.0</v>
      </c>
      <c r="E8274" s="59">
        <v>12.0</v>
      </c>
      <c r="F8274" s="59">
        <v>4.0</v>
      </c>
      <c r="G8274" s="60">
        <v>2.0</v>
      </c>
      <c r="H8274" s="60">
        <v>0.666666666666666</v>
      </c>
      <c r="I8274" s="60">
        <v>102.547643666666</v>
      </c>
      <c r="J8274" s="59">
        <v>14.0</v>
      </c>
      <c r="K8274" s="61">
        <f t="shared" si="1"/>
        <v>0.3333333333</v>
      </c>
      <c r="L8274" s="62">
        <f t="shared" si="2"/>
        <v>1.166666667</v>
      </c>
    </row>
    <row r="8275">
      <c r="A8275" s="58">
        <v>45413.0</v>
      </c>
      <c r="B8275" s="24" t="s">
        <v>6789</v>
      </c>
      <c r="C8275" s="24" t="s">
        <v>6822</v>
      </c>
      <c r="D8275" s="59">
        <v>6.0</v>
      </c>
      <c r="E8275" s="59">
        <v>6.0</v>
      </c>
      <c r="F8275" s="59">
        <v>1.0</v>
      </c>
      <c r="G8275" s="60">
        <v>1.2</v>
      </c>
      <c r="H8275" s="60">
        <v>0.333333333333333</v>
      </c>
      <c r="I8275" s="60">
        <v>590.134590666666</v>
      </c>
      <c r="J8275" s="59">
        <v>24.0</v>
      </c>
      <c r="K8275" s="61">
        <f t="shared" si="1"/>
        <v>0.1666666667</v>
      </c>
      <c r="L8275" s="62">
        <f t="shared" si="2"/>
        <v>4</v>
      </c>
    </row>
    <row r="8276">
      <c r="A8276" s="58">
        <v>45413.0</v>
      </c>
      <c r="B8276" s="24" t="s">
        <v>6787</v>
      </c>
      <c r="C8276" s="24" t="s">
        <v>6892</v>
      </c>
      <c r="D8276" s="59">
        <v>6.0</v>
      </c>
      <c r="E8276" s="59">
        <v>7.0</v>
      </c>
      <c r="F8276" s="59">
        <v>5.0</v>
      </c>
      <c r="G8276" s="60">
        <v>1.16666666666666</v>
      </c>
      <c r="H8276" s="60">
        <v>0.571428571428571</v>
      </c>
      <c r="I8276" s="60">
        <v>64.4522132857143</v>
      </c>
      <c r="J8276" s="59">
        <v>9.0</v>
      </c>
      <c r="K8276" s="61">
        <f t="shared" si="1"/>
        <v>0.7142857143</v>
      </c>
      <c r="L8276" s="62">
        <f t="shared" si="2"/>
        <v>1.285714286</v>
      </c>
    </row>
    <row r="8277">
      <c r="A8277" s="58">
        <v>45413.0</v>
      </c>
      <c r="B8277" s="24" t="s">
        <v>6789</v>
      </c>
      <c r="C8277" s="24" t="s">
        <v>7172</v>
      </c>
      <c r="D8277" s="59">
        <v>6.0</v>
      </c>
      <c r="E8277" s="59">
        <v>9.0</v>
      </c>
      <c r="F8277" s="59">
        <v>0.0</v>
      </c>
      <c r="G8277" s="60">
        <v>2.25</v>
      </c>
      <c r="H8277" s="60">
        <v>0.777777777777777</v>
      </c>
      <c r="I8277" s="60">
        <v>10.07346</v>
      </c>
      <c r="J8277" s="59">
        <v>10.0</v>
      </c>
      <c r="K8277" s="61">
        <f t="shared" si="1"/>
        <v>0</v>
      </c>
      <c r="L8277" s="62">
        <f t="shared" si="2"/>
        <v>1.111111111</v>
      </c>
    </row>
    <row r="8278">
      <c r="A8278" s="58">
        <v>45413.0</v>
      </c>
      <c r="B8278" s="24" t="s">
        <v>6789</v>
      </c>
      <c r="C8278" s="24" t="s">
        <v>7104</v>
      </c>
      <c r="D8278" s="59">
        <v>6.0</v>
      </c>
      <c r="E8278" s="59">
        <v>6.0</v>
      </c>
      <c r="F8278" s="59">
        <v>2.0</v>
      </c>
      <c r="G8278" s="60">
        <v>1.5</v>
      </c>
      <c r="H8278" s="60">
        <v>0.5</v>
      </c>
      <c r="I8278" s="60">
        <v>342.136123833333</v>
      </c>
      <c r="J8278" s="59">
        <v>7.0</v>
      </c>
      <c r="K8278" s="61">
        <f t="shared" si="1"/>
        <v>0.3333333333</v>
      </c>
      <c r="L8278" s="62">
        <f t="shared" si="2"/>
        <v>1.166666667</v>
      </c>
    </row>
    <row r="8279">
      <c r="A8279" s="58">
        <v>45413.0</v>
      </c>
      <c r="B8279" s="24" t="s">
        <v>6790</v>
      </c>
      <c r="C8279" s="24" t="s">
        <v>6792</v>
      </c>
      <c r="D8279" s="59">
        <v>5.0</v>
      </c>
      <c r="E8279" s="59">
        <v>5.0</v>
      </c>
      <c r="F8279" s="59">
        <v>0.0</v>
      </c>
      <c r="G8279" s="60">
        <v>1.25</v>
      </c>
      <c r="H8279" s="60">
        <v>1.0</v>
      </c>
      <c r="I8279" s="60">
        <v>0.0</v>
      </c>
      <c r="J8279" s="59">
        <v>0.0</v>
      </c>
      <c r="K8279" s="61">
        <f t="shared" si="1"/>
        <v>0</v>
      </c>
      <c r="L8279" s="62">
        <f t="shared" si="2"/>
        <v>0</v>
      </c>
    </row>
    <row r="8280">
      <c r="A8280" s="58">
        <v>45413.0</v>
      </c>
      <c r="B8280" s="24" t="s">
        <v>6787</v>
      </c>
      <c r="C8280" s="24" t="s">
        <v>6817</v>
      </c>
      <c r="D8280" s="59">
        <v>5.0</v>
      </c>
      <c r="E8280" s="59">
        <v>5.0</v>
      </c>
      <c r="F8280" s="59">
        <v>5.0</v>
      </c>
      <c r="G8280" s="60">
        <v>1.0</v>
      </c>
      <c r="H8280" s="60">
        <v>0.8</v>
      </c>
      <c r="I8280" s="60">
        <v>4.0875574</v>
      </c>
      <c r="J8280" s="59">
        <v>6.0</v>
      </c>
      <c r="K8280" s="61">
        <f t="shared" si="1"/>
        <v>1</v>
      </c>
      <c r="L8280" s="62">
        <f t="shared" si="2"/>
        <v>1.2</v>
      </c>
    </row>
    <row r="8281">
      <c r="A8281" s="58">
        <v>45413.0</v>
      </c>
      <c r="B8281" s="24" t="s">
        <v>6789</v>
      </c>
      <c r="C8281" s="24" t="s">
        <v>6861</v>
      </c>
      <c r="D8281" s="59">
        <v>5.0</v>
      </c>
      <c r="E8281" s="59">
        <v>5.0</v>
      </c>
      <c r="F8281" s="59">
        <v>3.0</v>
      </c>
      <c r="G8281" s="60">
        <v>1.66666666666666</v>
      </c>
      <c r="H8281" s="60">
        <v>0.6</v>
      </c>
      <c r="I8281" s="60">
        <v>208.815264</v>
      </c>
      <c r="J8281" s="59">
        <v>5.0</v>
      </c>
      <c r="K8281" s="61">
        <f t="shared" si="1"/>
        <v>0.6</v>
      </c>
      <c r="L8281" s="62">
        <f t="shared" si="2"/>
        <v>1</v>
      </c>
    </row>
    <row r="8282">
      <c r="A8282" s="58">
        <v>45413.0</v>
      </c>
      <c r="B8282" s="24" t="s">
        <v>6789</v>
      </c>
      <c r="C8282" s="24" t="s">
        <v>6994</v>
      </c>
      <c r="D8282" s="59">
        <v>5.0</v>
      </c>
      <c r="E8282" s="59">
        <v>5.0</v>
      </c>
      <c r="F8282" s="59">
        <v>5.0</v>
      </c>
      <c r="G8282" s="60">
        <v>1.0</v>
      </c>
      <c r="H8282" s="60">
        <v>0.0</v>
      </c>
      <c r="I8282" s="60">
        <v>48.0718056</v>
      </c>
      <c r="J8282" s="59">
        <v>6.0</v>
      </c>
      <c r="K8282" s="61">
        <f t="shared" si="1"/>
        <v>1</v>
      </c>
      <c r="L8282" s="62">
        <f t="shared" si="2"/>
        <v>1.2</v>
      </c>
    </row>
    <row r="8283">
      <c r="A8283" s="58">
        <v>45413.0</v>
      </c>
      <c r="B8283" s="24" t="s">
        <v>6789</v>
      </c>
      <c r="C8283" s="24" t="s">
        <v>7034</v>
      </c>
      <c r="D8283" s="59">
        <v>5.0</v>
      </c>
      <c r="E8283" s="59">
        <v>10.0</v>
      </c>
      <c r="F8283" s="59">
        <v>1.0</v>
      </c>
      <c r="G8283" s="60">
        <v>2.0</v>
      </c>
      <c r="H8283" s="60">
        <v>0.2</v>
      </c>
      <c r="I8283" s="60">
        <v>303.389126599999</v>
      </c>
      <c r="J8283" s="59">
        <v>19.0</v>
      </c>
      <c r="K8283" s="61">
        <f t="shared" si="1"/>
        <v>0.1</v>
      </c>
      <c r="L8283" s="62">
        <f t="shared" si="2"/>
        <v>1.9</v>
      </c>
    </row>
    <row r="8284">
      <c r="A8284" s="58">
        <v>45413.0</v>
      </c>
      <c r="B8284" s="24" t="s">
        <v>6789</v>
      </c>
      <c r="C8284" s="24" t="s">
        <v>7313</v>
      </c>
      <c r="D8284" s="59">
        <v>5.0</v>
      </c>
      <c r="E8284" s="59">
        <v>5.0</v>
      </c>
      <c r="F8284" s="59">
        <v>3.0</v>
      </c>
      <c r="G8284" s="60">
        <v>1.0</v>
      </c>
      <c r="H8284" s="60">
        <v>0.0</v>
      </c>
      <c r="I8284" s="60">
        <v>64.5309316</v>
      </c>
      <c r="J8284" s="59">
        <v>6.0</v>
      </c>
      <c r="K8284" s="61">
        <f t="shared" si="1"/>
        <v>0.6</v>
      </c>
      <c r="L8284" s="62">
        <f t="shared" si="2"/>
        <v>1.2</v>
      </c>
    </row>
    <row r="8285">
      <c r="A8285" s="58">
        <v>45413.0</v>
      </c>
      <c r="B8285" s="24" t="s">
        <v>6787</v>
      </c>
      <c r="C8285" s="24" t="s">
        <v>6804</v>
      </c>
      <c r="D8285" s="59">
        <v>4.0</v>
      </c>
      <c r="E8285" s="59">
        <v>4.0</v>
      </c>
      <c r="F8285" s="59">
        <v>4.0</v>
      </c>
      <c r="G8285" s="60">
        <v>1.0</v>
      </c>
      <c r="H8285" s="60">
        <v>0.25</v>
      </c>
      <c r="I8285" s="60">
        <v>283.723209249999</v>
      </c>
      <c r="J8285" s="59">
        <v>5.0</v>
      </c>
      <c r="K8285" s="61">
        <f t="shared" si="1"/>
        <v>1</v>
      </c>
      <c r="L8285" s="62">
        <f t="shared" si="2"/>
        <v>1.25</v>
      </c>
    </row>
    <row r="8286">
      <c r="A8286" s="58">
        <v>45413.0</v>
      </c>
      <c r="B8286" s="24" t="s">
        <v>6789</v>
      </c>
      <c r="C8286" s="24" t="s">
        <v>7058</v>
      </c>
      <c r="D8286" s="59">
        <v>4.0</v>
      </c>
      <c r="E8286" s="59">
        <v>4.0</v>
      </c>
      <c r="F8286" s="59">
        <v>4.0</v>
      </c>
      <c r="G8286" s="60">
        <v>1.0</v>
      </c>
      <c r="H8286" s="60">
        <v>0.75</v>
      </c>
      <c r="I8286" s="60">
        <v>32.258361</v>
      </c>
      <c r="J8286" s="59">
        <v>4.0</v>
      </c>
      <c r="K8286" s="61">
        <f t="shared" si="1"/>
        <v>1</v>
      </c>
      <c r="L8286" s="62">
        <f t="shared" si="2"/>
        <v>1</v>
      </c>
    </row>
    <row r="8287">
      <c r="A8287" s="58">
        <v>45413.0</v>
      </c>
      <c r="B8287" s="24" t="s">
        <v>6789</v>
      </c>
      <c r="C8287" s="24" t="s">
        <v>6997</v>
      </c>
      <c r="D8287" s="59">
        <v>4.0</v>
      </c>
      <c r="E8287" s="59">
        <v>4.0</v>
      </c>
      <c r="F8287" s="59">
        <v>3.0</v>
      </c>
      <c r="G8287" s="60">
        <v>1.0</v>
      </c>
      <c r="H8287" s="60">
        <v>0.25</v>
      </c>
      <c r="I8287" s="60">
        <v>148.0997155</v>
      </c>
      <c r="J8287" s="59">
        <v>9.0</v>
      </c>
      <c r="K8287" s="61">
        <f t="shared" si="1"/>
        <v>0.75</v>
      </c>
      <c r="L8287" s="62">
        <f t="shared" si="2"/>
        <v>2.25</v>
      </c>
    </row>
    <row r="8288">
      <c r="A8288" s="58">
        <v>45413.0</v>
      </c>
      <c r="B8288" s="24" t="s">
        <v>6789</v>
      </c>
      <c r="C8288" s="24" t="s">
        <v>6896</v>
      </c>
      <c r="D8288" s="59">
        <v>4.0</v>
      </c>
      <c r="E8288" s="59">
        <v>4.0</v>
      </c>
      <c r="F8288" s="59">
        <v>4.0</v>
      </c>
      <c r="G8288" s="60">
        <v>1.0</v>
      </c>
      <c r="H8288" s="60">
        <v>0.5</v>
      </c>
      <c r="I8288" s="60">
        <v>268.4275275</v>
      </c>
      <c r="J8288" s="59">
        <v>4.0</v>
      </c>
      <c r="K8288" s="61">
        <f t="shared" si="1"/>
        <v>1</v>
      </c>
      <c r="L8288" s="62">
        <f t="shared" si="2"/>
        <v>1</v>
      </c>
    </row>
    <row r="8289">
      <c r="A8289" s="58">
        <v>45413.0</v>
      </c>
      <c r="B8289" s="24" t="s">
        <v>6787</v>
      </c>
      <c r="C8289" s="24" t="s">
        <v>6904</v>
      </c>
      <c r="D8289" s="59">
        <v>4.0</v>
      </c>
      <c r="E8289" s="59">
        <v>4.0</v>
      </c>
      <c r="F8289" s="59">
        <v>3.0</v>
      </c>
      <c r="G8289" s="60">
        <v>1.33333333333333</v>
      </c>
      <c r="H8289" s="60">
        <v>0.5</v>
      </c>
      <c r="I8289" s="60">
        <v>19.10398825</v>
      </c>
      <c r="J8289" s="59">
        <v>4.0</v>
      </c>
      <c r="K8289" s="61">
        <f t="shared" si="1"/>
        <v>0.75</v>
      </c>
      <c r="L8289" s="62">
        <f t="shared" si="2"/>
        <v>1</v>
      </c>
    </row>
    <row r="8290">
      <c r="A8290" s="58">
        <v>45413.0</v>
      </c>
      <c r="B8290" s="24" t="s">
        <v>6787</v>
      </c>
      <c r="C8290" s="24" t="s">
        <v>7087</v>
      </c>
      <c r="D8290" s="59">
        <v>4.0</v>
      </c>
      <c r="E8290" s="59">
        <v>4.0</v>
      </c>
      <c r="F8290" s="59">
        <v>4.0</v>
      </c>
      <c r="G8290" s="60">
        <v>1.0</v>
      </c>
      <c r="H8290" s="60">
        <v>1.0</v>
      </c>
      <c r="I8290" s="60">
        <v>0.3730155</v>
      </c>
      <c r="J8290" s="59">
        <v>4.0</v>
      </c>
      <c r="K8290" s="61">
        <f t="shared" si="1"/>
        <v>1</v>
      </c>
      <c r="L8290" s="62">
        <f t="shared" si="2"/>
        <v>1</v>
      </c>
    </row>
    <row r="8291">
      <c r="A8291" s="58">
        <v>45413.0</v>
      </c>
      <c r="B8291" s="24" t="s">
        <v>6787</v>
      </c>
      <c r="C8291" s="24" t="s">
        <v>6800</v>
      </c>
      <c r="D8291" s="59">
        <v>4.0</v>
      </c>
      <c r="E8291" s="59">
        <v>4.0</v>
      </c>
      <c r="F8291" s="59">
        <v>4.0</v>
      </c>
      <c r="G8291" s="60">
        <v>1.0</v>
      </c>
      <c r="H8291" s="60">
        <v>0.75</v>
      </c>
      <c r="I8291" s="60">
        <v>2.8014165</v>
      </c>
      <c r="J8291" s="59">
        <v>5.0</v>
      </c>
      <c r="K8291" s="61">
        <f t="shared" si="1"/>
        <v>1</v>
      </c>
      <c r="L8291" s="62">
        <f t="shared" si="2"/>
        <v>1.25</v>
      </c>
    </row>
    <row r="8292">
      <c r="A8292" s="58">
        <v>45413.0</v>
      </c>
      <c r="B8292" s="24" t="s">
        <v>6787</v>
      </c>
      <c r="C8292" s="24" t="s">
        <v>6910</v>
      </c>
      <c r="D8292" s="59">
        <v>4.0</v>
      </c>
      <c r="E8292" s="59">
        <v>4.0</v>
      </c>
      <c r="F8292" s="59">
        <v>2.0</v>
      </c>
      <c r="G8292" s="60">
        <v>1.33333333333333</v>
      </c>
      <c r="H8292" s="60">
        <v>0.5</v>
      </c>
      <c r="I8292" s="60">
        <v>7.77973125</v>
      </c>
      <c r="J8292" s="59">
        <v>24.0</v>
      </c>
      <c r="K8292" s="61">
        <f t="shared" si="1"/>
        <v>0.5</v>
      </c>
      <c r="L8292" s="62">
        <f t="shared" si="2"/>
        <v>6</v>
      </c>
    </row>
    <row r="8293">
      <c r="A8293" s="58">
        <v>45413.0</v>
      </c>
      <c r="B8293" s="24" t="s">
        <v>6787</v>
      </c>
      <c r="C8293" s="24" t="s">
        <v>7102</v>
      </c>
      <c r="D8293" s="59">
        <v>4.0</v>
      </c>
      <c r="E8293" s="59">
        <v>6.0</v>
      </c>
      <c r="F8293" s="59">
        <v>4.0</v>
      </c>
      <c r="G8293" s="60">
        <v>1.5</v>
      </c>
      <c r="H8293" s="60">
        <v>0.666666666666666</v>
      </c>
      <c r="I8293" s="60">
        <v>167.710252833333</v>
      </c>
      <c r="J8293" s="59">
        <v>9.0</v>
      </c>
      <c r="K8293" s="61">
        <f t="shared" si="1"/>
        <v>0.6666666667</v>
      </c>
      <c r="L8293" s="62">
        <f t="shared" si="2"/>
        <v>1.5</v>
      </c>
    </row>
    <row r="8294">
      <c r="A8294" s="58">
        <v>45413.0</v>
      </c>
      <c r="B8294" s="24" t="s">
        <v>6787</v>
      </c>
      <c r="C8294" s="24" t="s">
        <v>7174</v>
      </c>
      <c r="D8294" s="59">
        <v>4.0</v>
      </c>
      <c r="E8294" s="59">
        <v>4.0</v>
      </c>
      <c r="F8294" s="59">
        <v>3.0</v>
      </c>
      <c r="G8294" s="60">
        <v>1.0</v>
      </c>
      <c r="H8294" s="60">
        <v>0.25</v>
      </c>
      <c r="I8294" s="60">
        <v>79.95217125</v>
      </c>
      <c r="J8294" s="59">
        <v>5.0</v>
      </c>
      <c r="K8294" s="61">
        <f t="shared" si="1"/>
        <v>0.75</v>
      </c>
      <c r="L8294" s="62">
        <f t="shared" si="2"/>
        <v>1.25</v>
      </c>
    </row>
    <row r="8295">
      <c r="A8295" s="58">
        <v>45413.0</v>
      </c>
      <c r="B8295" s="24" t="s">
        <v>6789</v>
      </c>
      <c r="C8295" s="24" t="s">
        <v>6922</v>
      </c>
      <c r="D8295" s="59">
        <v>4.0</v>
      </c>
      <c r="E8295" s="59">
        <v>4.0</v>
      </c>
      <c r="F8295" s="59">
        <v>2.0</v>
      </c>
      <c r="G8295" s="60">
        <v>1.0</v>
      </c>
      <c r="H8295" s="60">
        <v>0.0</v>
      </c>
      <c r="I8295" s="60">
        <v>509.72490575</v>
      </c>
      <c r="J8295" s="59">
        <v>8.0</v>
      </c>
      <c r="K8295" s="61">
        <f t="shared" si="1"/>
        <v>0.5</v>
      </c>
      <c r="L8295" s="62">
        <f t="shared" si="2"/>
        <v>2</v>
      </c>
    </row>
    <row r="8296">
      <c r="A8296" s="58">
        <v>45413.0</v>
      </c>
      <c r="B8296" s="24" t="s">
        <v>7100</v>
      </c>
      <c r="C8296" s="24" t="s">
        <v>6792</v>
      </c>
      <c r="D8296" s="59">
        <v>3.0</v>
      </c>
      <c r="E8296" s="59">
        <v>3.0</v>
      </c>
      <c r="F8296" s="59">
        <v>0.0</v>
      </c>
      <c r="G8296" s="60">
        <v>3.0</v>
      </c>
      <c r="H8296" s="60">
        <v>1.0</v>
      </c>
      <c r="I8296" s="60">
        <v>0.0</v>
      </c>
      <c r="J8296" s="59">
        <v>0.0</v>
      </c>
      <c r="K8296" s="61">
        <f t="shared" si="1"/>
        <v>0</v>
      </c>
      <c r="L8296" s="62">
        <f t="shared" si="2"/>
        <v>0</v>
      </c>
    </row>
    <row r="8297">
      <c r="A8297" s="58">
        <v>45413.0</v>
      </c>
      <c r="B8297" s="24" t="s">
        <v>6787</v>
      </c>
      <c r="C8297" s="24" t="s">
        <v>6985</v>
      </c>
      <c r="D8297" s="59">
        <v>3.0</v>
      </c>
      <c r="E8297" s="59">
        <v>3.0</v>
      </c>
      <c r="F8297" s="59">
        <v>2.0</v>
      </c>
      <c r="G8297" s="60">
        <v>1.0</v>
      </c>
      <c r="H8297" s="60">
        <v>1.0</v>
      </c>
      <c r="I8297" s="60">
        <v>1.760178</v>
      </c>
      <c r="J8297" s="59">
        <v>3.0</v>
      </c>
      <c r="K8297" s="61">
        <f t="shared" si="1"/>
        <v>0.6666666667</v>
      </c>
      <c r="L8297" s="62">
        <f t="shared" si="2"/>
        <v>1</v>
      </c>
    </row>
    <row r="8298">
      <c r="A8298" s="58">
        <v>45413.0</v>
      </c>
      <c r="B8298" s="24" t="s">
        <v>6789</v>
      </c>
      <c r="C8298" s="24" t="s">
        <v>6986</v>
      </c>
      <c r="D8298" s="59">
        <v>3.0</v>
      </c>
      <c r="E8298" s="59">
        <v>3.0</v>
      </c>
      <c r="F8298" s="59">
        <v>3.0</v>
      </c>
      <c r="G8298" s="60">
        <v>1.0</v>
      </c>
      <c r="H8298" s="60">
        <v>0.333333333333333</v>
      </c>
      <c r="I8298" s="60">
        <v>61.4227356666666</v>
      </c>
      <c r="J8298" s="59">
        <v>3.0</v>
      </c>
      <c r="K8298" s="61">
        <f t="shared" si="1"/>
        <v>1</v>
      </c>
      <c r="L8298" s="62">
        <f t="shared" si="2"/>
        <v>1</v>
      </c>
    </row>
    <row r="8299">
      <c r="A8299" s="58">
        <v>45413.0</v>
      </c>
      <c r="B8299" s="24" t="s">
        <v>6787</v>
      </c>
      <c r="C8299" s="24" t="s">
        <v>6891</v>
      </c>
      <c r="D8299" s="59">
        <v>3.0</v>
      </c>
      <c r="E8299" s="59">
        <v>3.0</v>
      </c>
      <c r="F8299" s="59">
        <v>2.0</v>
      </c>
      <c r="G8299" s="60">
        <v>1.0</v>
      </c>
      <c r="H8299" s="60">
        <v>0.666666666666666</v>
      </c>
      <c r="I8299" s="60">
        <v>53.4671309999999</v>
      </c>
      <c r="J8299" s="59">
        <v>4.0</v>
      </c>
      <c r="K8299" s="61">
        <f t="shared" si="1"/>
        <v>0.6666666667</v>
      </c>
      <c r="L8299" s="62">
        <f t="shared" si="2"/>
        <v>1.333333333</v>
      </c>
    </row>
    <row r="8300">
      <c r="A8300" s="58">
        <v>45413.0</v>
      </c>
      <c r="B8300" s="24" t="s">
        <v>6787</v>
      </c>
      <c r="C8300" s="24" t="s">
        <v>7401</v>
      </c>
      <c r="D8300" s="59">
        <v>3.0</v>
      </c>
      <c r="E8300" s="59">
        <v>3.0</v>
      </c>
      <c r="F8300" s="59">
        <v>2.0</v>
      </c>
      <c r="G8300" s="60">
        <v>1.0</v>
      </c>
      <c r="H8300" s="60">
        <v>0.666666666666666</v>
      </c>
      <c r="I8300" s="60">
        <v>16.9503743333333</v>
      </c>
      <c r="J8300" s="59">
        <v>5.0</v>
      </c>
      <c r="K8300" s="61">
        <f t="shared" si="1"/>
        <v>0.6666666667</v>
      </c>
      <c r="L8300" s="62">
        <f t="shared" si="2"/>
        <v>1.666666667</v>
      </c>
    </row>
    <row r="8301">
      <c r="A8301" s="58">
        <v>45413.0</v>
      </c>
      <c r="B8301" s="24" t="s">
        <v>6789</v>
      </c>
      <c r="C8301" s="24" t="s">
        <v>6907</v>
      </c>
      <c r="D8301" s="59">
        <v>3.0</v>
      </c>
      <c r="E8301" s="59">
        <v>3.0</v>
      </c>
      <c r="F8301" s="59">
        <v>2.0</v>
      </c>
      <c r="G8301" s="60">
        <v>1.0</v>
      </c>
      <c r="H8301" s="60">
        <v>0.333333333333333</v>
      </c>
      <c r="I8301" s="60">
        <v>414.411688333333</v>
      </c>
      <c r="J8301" s="59">
        <v>6.0</v>
      </c>
      <c r="K8301" s="61">
        <f t="shared" si="1"/>
        <v>0.6666666667</v>
      </c>
      <c r="L8301" s="62">
        <f t="shared" si="2"/>
        <v>2</v>
      </c>
    </row>
    <row r="8302">
      <c r="A8302" s="58">
        <v>45413.0</v>
      </c>
      <c r="B8302" s="24" t="s">
        <v>6787</v>
      </c>
      <c r="C8302" s="24" t="s">
        <v>6808</v>
      </c>
      <c r="D8302" s="59">
        <v>3.0</v>
      </c>
      <c r="E8302" s="59">
        <v>3.0</v>
      </c>
      <c r="F8302" s="59">
        <v>3.0</v>
      </c>
      <c r="G8302" s="60">
        <v>1.0</v>
      </c>
      <c r="H8302" s="60">
        <v>0.333333333333333</v>
      </c>
      <c r="I8302" s="60">
        <v>125.620888666666</v>
      </c>
      <c r="J8302" s="59">
        <v>5.0</v>
      </c>
      <c r="K8302" s="61">
        <f t="shared" si="1"/>
        <v>1</v>
      </c>
      <c r="L8302" s="62">
        <f t="shared" si="2"/>
        <v>1.666666667</v>
      </c>
    </row>
    <row r="8303">
      <c r="A8303" s="58">
        <v>45413.0</v>
      </c>
      <c r="B8303" s="24" t="s">
        <v>6787</v>
      </c>
      <c r="C8303" s="24" t="s">
        <v>7172</v>
      </c>
      <c r="D8303" s="59">
        <v>3.0</v>
      </c>
      <c r="E8303" s="59">
        <v>3.0</v>
      </c>
      <c r="F8303" s="59">
        <v>3.0</v>
      </c>
      <c r="G8303" s="60">
        <v>1.0</v>
      </c>
      <c r="H8303" s="60">
        <v>0.666666666666666</v>
      </c>
      <c r="I8303" s="60">
        <v>8.88117733333333</v>
      </c>
      <c r="J8303" s="59">
        <v>4.0</v>
      </c>
      <c r="K8303" s="61">
        <f t="shared" si="1"/>
        <v>1</v>
      </c>
      <c r="L8303" s="62">
        <f t="shared" si="2"/>
        <v>1.333333333</v>
      </c>
    </row>
    <row r="8304">
      <c r="A8304" s="58">
        <v>45413.0</v>
      </c>
      <c r="B8304" s="24" t="s">
        <v>3216</v>
      </c>
      <c r="C8304" s="24" t="s">
        <v>7172</v>
      </c>
      <c r="D8304" s="59">
        <v>3.0</v>
      </c>
      <c r="E8304" s="59">
        <v>3.0</v>
      </c>
      <c r="F8304" s="59">
        <v>1.0</v>
      </c>
      <c r="G8304" s="60">
        <v>1.5</v>
      </c>
      <c r="H8304" s="60">
        <v>1.0</v>
      </c>
      <c r="I8304" s="60">
        <v>1.364351</v>
      </c>
      <c r="J8304" s="59">
        <v>3.0</v>
      </c>
      <c r="K8304" s="61">
        <f t="shared" si="1"/>
        <v>0.3333333333</v>
      </c>
      <c r="L8304" s="62">
        <f t="shared" si="2"/>
        <v>1</v>
      </c>
    </row>
    <row r="8305">
      <c r="A8305" s="58">
        <v>45413.0</v>
      </c>
      <c r="B8305" s="24" t="s">
        <v>6787</v>
      </c>
      <c r="C8305" s="24" t="s">
        <v>7313</v>
      </c>
      <c r="D8305" s="59">
        <v>3.0</v>
      </c>
      <c r="E8305" s="59">
        <v>3.0</v>
      </c>
      <c r="F8305" s="59">
        <v>2.0</v>
      </c>
      <c r="G8305" s="60">
        <v>1.0</v>
      </c>
      <c r="H8305" s="60">
        <v>0.333333333333333</v>
      </c>
      <c r="I8305" s="60">
        <v>63.8429923333333</v>
      </c>
      <c r="J8305" s="59">
        <v>5.0</v>
      </c>
      <c r="K8305" s="61">
        <f t="shared" si="1"/>
        <v>0.6666666667</v>
      </c>
      <c r="L8305" s="62">
        <f t="shared" si="2"/>
        <v>1.666666667</v>
      </c>
    </row>
    <row r="8306">
      <c r="A8306" s="58">
        <v>45413.0</v>
      </c>
      <c r="B8306" s="24" t="s">
        <v>6787</v>
      </c>
      <c r="C8306" s="24" t="s">
        <v>7104</v>
      </c>
      <c r="D8306" s="59">
        <v>3.0</v>
      </c>
      <c r="E8306" s="59">
        <v>5.0</v>
      </c>
      <c r="F8306" s="59">
        <v>3.0</v>
      </c>
      <c r="G8306" s="60">
        <v>1.66666666666666</v>
      </c>
      <c r="H8306" s="60">
        <v>0.6</v>
      </c>
      <c r="I8306" s="60">
        <v>354.3567384</v>
      </c>
      <c r="J8306" s="59">
        <v>9.0</v>
      </c>
      <c r="K8306" s="61">
        <f t="shared" si="1"/>
        <v>0.6</v>
      </c>
      <c r="L8306" s="62">
        <f t="shared" si="2"/>
        <v>1.8</v>
      </c>
    </row>
    <row r="8307">
      <c r="A8307" s="58">
        <v>45413.0</v>
      </c>
      <c r="B8307" s="24" t="s">
        <v>6789</v>
      </c>
      <c r="C8307" s="24" t="s">
        <v>7192</v>
      </c>
      <c r="D8307" s="59">
        <v>3.0</v>
      </c>
      <c r="E8307" s="59">
        <v>3.0</v>
      </c>
      <c r="F8307" s="59">
        <v>0.0</v>
      </c>
      <c r="G8307" s="60">
        <v>1.0</v>
      </c>
      <c r="H8307" s="60">
        <v>0.0</v>
      </c>
      <c r="I8307" s="60">
        <v>381.687981333333</v>
      </c>
      <c r="J8307" s="59">
        <v>10.0</v>
      </c>
      <c r="K8307" s="61">
        <f t="shared" si="1"/>
        <v>0</v>
      </c>
      <c r="L8307" s="62">
        <f t="shared" si="2"/>
        <v>3.333333333</v>
      </c>
    </row>
    <row r="8308">
      <c r="A8308" s="58">
        <v>45413.0</v>
      </c>
      <c r="B8308" s="24" t="s">
        <v>6787</v>
      </c>
      <c r="C8308" s="24" t="s">
        <v>6922</v>
      </c>
      <c r="D8308" s="59">
        <v>3.0</v>
      </c>
      <c r="E8308" s="59">
        <v>3.0</v>
      </c>
      <c r="F8308" s="59">
        <v>3.0</v>
      </c>
      <c r="G8308" s="60">
        <v>1.0</v>
      </c>
      <c r="H8308" s="60">
        <v>1.0</v>
      </c>
      <c r="I8308" s="60">
        <v>0.0</v>
      </c>
      <c r="J8308" s="59">
        <v>3.0</v>
      </c>
      <c r="K8308" s="61">
        <f t="shared" si="1"/>
        <v>1</v>
      </c>
      <c r="L8308" s="62">
        <f t="shared" si="2"/>
        <v>1</v>
      </c>
    </row>
    <row r="8309">
      <c r="A8309" s="58">
        <v>45413.0</v>
      </c>
      <c r="B8309" s="24" t="s">
        <v>6787</v>
      </c>
      <c r="C8309" s="24" t="s">
        <v>6797</v>
      </c>
      <c r="D8309" s="59">
        <v>3.0</v>
      </c>
      <c r="E8309" s="59">
        <v>3.0</v>
      </c>
      <c r="F8309" s="59">
        <v>3.0</v>
      </c>
      <c r="G8309" s="60">
        <v>1.0</v>
      </c>
      <c r="H8309" s="60">
        <v>1.0</v>
      </c>
      <c r="I8309" s="60">
        <v>3.06235966666666</v>
      </c>
      <c r="J8309" s="59">
        <v>3.0</v>
      </c>
      <c r="K8309" s="61">
        <f t="shared" si="1"/>
        <v>1</v>
      </c>
      <c r="L8309" s="62">
        <f t="shared" si="2"/>
        <v>1</v>
      </c>
    </row>
    <row r="8310">
      <c r="A8310" s="58">
        <v>45413.0</v>
      </c>
      <c r="B8310" s="24" t="s">
        <v>6789</v>
      </c>
      <c r="C8310" s="24" t="s">
        <v>7118</v>
      </c>
      <c r="D8310" s="59">
        <v>3.0</v>
      </c>
      <c r="E8310" s="59">
        <v>8.0</v>
      </c>
      <c r="F8310" s="59">
        <v>1.0</v>
      </c>
      <c r="G8310" s="60">
        <v>4.0</v>
      </c>
      <c r="H8310" s="60">
        <v>0.25</v>
      </c>
      <c r="I8310" s="60">
        <v>852.161106</v>
      </c>
      <c r="J8310" s="59">
        <v>35.0</v>
      </c>
      <c r="K8310" s="61">
        <f t="shared" si="1"/>
        <v>0.125</v>
      </c>
      <c r="L8310" s="62">
        <f t="shared" si="2"/>
        <v>4.375</v>
      </c>
    </row>
    <row r="8311">
      <c r="A8311" s="58">
        <v>45413.0</v>
      </c>
      <c r="B8311" s="24" t="s">
        <v>6790</v>
      </c>
      <c r="C8311" s="24" t="s">
        <v>6802</v>
      </c>
      <c r="D8311" s="59">
        <v>3.0</v>
      </c>
      <c r="E8311" s="59">
        <v>3.0</v>
      </c>
      <c r="F8311" s="59">
        <v>0.0</v>
      </c>
      <c r="G8311" s="60">
        <v>1.0</v>
      </c>
      <c r="H8311" s="60">
        <v>0.666666666666666</v>
      </c>
      <c r="I8311" s="60">
        <v>109.73673</v>
      </c>
      <c r="J8311" s="59">
        <v>6.0</v>
      </c>
      <c r="K8311" s="61">
        <f t="shared" si="1"/>
        <v>0</v>
      </c>
      <c r="L8311" s="62">
        <f t="shared" si="2"/>
        <v>2</v>
      </c>
    </row>
    <row r="8312">
      <c r="A8312" s="58">
        <v>45413.0</v>
      </c>
      <c r="B8312" s="24" t="s">
        <v>3216</v>
      </c>
      <c r="C8312" s="24" t="s">
        <v>6792</v>
      </c>
      <c r="D8312" s="59">
        <v>2.0</v>
      </c>
      <c r="E8312" s="59">
        <v>2.0</v>
      </c>
      <c r="F8312" s="59">
        <v>0.0</v>
      </c>
      <c r="G8312" s="60">
        <v>2.0</v>
      </c>
      <c r="H8312" s="60">
        <v>1.0</v>
      </c>
      <c r="I8312" s="60">
        <v>0.0</v>
      </c>
      <c r="J8312" s="59">
        <v>0.0</v>
      </c>
      <c r="K8312" s="61">
        <f t="shared" si="1"/>
        <v>0</v>
      </c>
      <c r="L8312" s="62">
        <f t="shared" si="2"/>
        <v>0</v>
      </c>
    </row>
    <row r="8313">
      <c r="A8313" s="58">
        <v>45413.0</v>
      </c>
      <c r="B8313" s="24" t="s">
        <v>155</v>
      </c>
      <c r="C8313" s="24" t="s">
        <v>6803</v>
      </c>
      <c r="D8313" s="59">
        <v>2.0</v>
      </c>
      <c r="E8313" s="59">
        <v>2.0</v>
      </c>
      <c r="F8313" s="59">
        <v>2.0</v>
      </c>
      <c r="G8313" s="60">
        <v>1.0</v>
      </c>
      <c r="H8313" s="60">
        <v>0.0</v>
      </c>
      <c r="I8313" s="60">
        <v>621.5298995</v>
      </c>
      <c r="J8313" s="59">
        <v>4.0</v>
      </c>
      <c r="K8313" s="61">
        <f t="shared" si="1"/>
        <v>1</v>
      </c>
      <c r="L8313" s="62">
        <f t="shared" si="2"/>
        <v>2</v>
      </c>
    </row>
    <row r="8314">
      <c r="A8314" s="58">
        <v>45413.0</v>
      </c>
      <c r="B8314" s="24" t="s">
        <v>3216</v>
      </c>
      <c r="C8314" s="24" t="s">
        <v>6861</v>
      </c>
      <c r="D8314" s="59">
        <v>2.0</v>
      </c>
      <c r="E8314" s="59">
        <v>2.0</v>
      </c>
      <c r="F8314" s="59">
        <v>2.0</v>
      </c>
      <c r="G8314" s="60">
        <v>1.0</v>
      </c>
      <c r="H8314" s="60">
        <v>0.0</v>
      </c>
      <c r="I8314" s="60">
        <v>101.636549</v>
      </c>
      <c r="J8314" s="59">
        <v>2.0</v>
      </c>
      <c r="K8314" s="61">
        <f t="shared" si="1"/>
        <v>1</v>
      </c>
      <c r="L8314" s="62">
        <f t="shared" si="2"/>
        <v>1</v>
      </c>
    </row>
    <row r="8315">
      <c r="A8315" s="58">
        <v>45413.0</v>
      </c>
      <c r="B8315" s="24" t="s">
        <v>6789</v>
      </c>
      <c r="C8315" s="24" t="s">
        <v>6985</v>
      </c>
      <c r="D8315" s="59">
        <v>2.0</v>
      </c>
      <c r="E8315" s="59">
        <v>2.0</v>
      </c>
      <c r="F8315" s="59">
        <v>2.0</v>
      </c>
      <c r="G8315" s="60">
        <v>1.0</v>
      </c>
      <c r="H8315" s="60">
        <v>0.5</v>
      </c>
      <c r="I8315" s="60">
        <v>13.38115</v>
      </c>
      <c r="J8315" s="59">
        <v>2.0</v>
      </c>
      <c r="K8315" s="61">
        <f t="shared" si="1"/>
        <v>1</v>
      </c>
      <c r="L8315" s="62">
        <f t="shared" si="2"/>
        <v>1</v>
      </c>
    </row>
    <row r="8316">
      <c r="A8316" s="58">
        <v>45413.0</v>
      </c>
      <c r="B8316" s="24" t="s">
        <v>6787</v>
      </c>
      <c r="C8316" s="24" t="s">
        <v>7061</v>
      </c>
      <c r="D8316" s="59">
        <v>2.0</v>
      </c>
      <c r="E8316" s="59">
        <v>2.0</v>
      </c>
      <c r="F8316" s="59">
        <v>2.0</v>
      </c>
      <c r="G8316" s="60">
        <v>1.0</v>
      </c>
      <c r="H8316" s="60">
        <v>0.5</v>
      </c>
      <c r="I8316" s="60">
        <v>113.3374655</v>
      </c>
      <c r="J8316" s="59">
        <v>6.0</v>
      </c>
      <c r="K8316" s="61">
        <f t="shared" si="1"/>
        <v>1</v>
      </c>
      <c r="L8316" s="62">
        <f t="shared" si="2"/>
        <v>3</v>
      </c>
    </row>
    <row r="8317">
      <c r="A8317" s="58">
        <v>45413.0</v>
      </c>
      <c r="B8317" s="24" t="s">
        <v>6789</v>
      </c>
      <c r="C8317" s="24" t="s">
        <v>7064</v>
      </c>
      <c r="D8317" s="59">
        <v>2.0</v>
      </c>
      <c r="E8317" s="59">
        <v>2.0</v>
      </c>
      <c r="F8317" s="59">
        <v>2.0</v>
      </c>
      <c r="G8317" s="60">
        <v>1.0</v>
      </c>
      <c r="H8317" s="60">
        <v>0.0</v>
      </c>
      <c r="I8317" s="60">
        <v>375.3261425</v>
      </c>
      <c r="J8317" s="59">
        <v>10.0</v>
      </c>
      <c r="K8317" s="61">
        <f t="shared" si="1"/>
        <v>1</v>
      </c>
      <c r="L8317" s="62">
        <f t="shared" si="2"/>
        <v>5</v>
      </c>
    </row>
    <row r="8318">
      <c r="A8318" s="58">
        <v>45413.0</v>
      </c>
      <c r="B8318" s="24" t="s">
        <v>6787</v>
      </c>
      <c r="C8318" s="24" t="s">
        <v>6989</v>
      </c>
      <c r="D8318" s="59">
        <v>2.0</v>
      </c>
      <c r="E8318" s="59">
        <v>2.0</v>
      </c>
      <c r="F8318" s="59">
        <v>2.0</v>
      </c>
      <c r="G8318" s="60">
        <v>1.0</v>
      </c>
      <c r="H8318" s="60">
        <v>0.5</v>
      </c>
      <c r="I8318" s="60">
        <v>136.993358</v>
      </c>
      <c r="J8318" s="59">
        <v>4.0</v>
      </c>
      <c r="K8318" s="61">
        <f t="shared" si="1"/>
        <v>1</v>
      </c>
      <c r="L8318" s="62">
        <f t="shared" si="2"/>
        <v>2</v>
      </c>
    </row>
    <row r="8319">
      <c r="A8319" s="58">
        <v>45413.0</v>
      </c>
      <c r="B8319" s="24" t="s">
        <v>6789</v>
      </c>
      <c r="C8319" s="24" t="s">
        <v>7067</v>
      </c>
      <c r="D8319" s="59">
        <v>2.0</v>
      </c>
      <c r="E8319" s="59">
        <v>2.0</v>
      </c>
      <c r="F8319" s="59">
        <v>1.0</v>
      </c>
      <c r="G8319" s="60">
        <v>1.0</v>
      </c>
      <c r="H8319" s="60">
        <v>0.5</v>
      </c>
      <c r="I8319" s="60">
        <v>157.221046</v>
      </c>
      <c r="J8319" s="59">
        <v>2.0</v>
      </c>
      <c r="K8319" s="61">
        <f t="shared" si="1"/>
        <v>0.5</v>
      </c>
      <c r="L8319" s="62">
        <f t="shared" si="2"/>
        <v>1</v>
      </c>
    </row>
    <row r="8320">
      <c r="A8320" s="58">
        <v>45413.0</v>
      </c>
      <c r="B8320" s="24" t="s">
        <v>155</v>
      </c>
      <c r="C8320" s="24" t="s">
        <v>7068</v>
      </c>
      <c r="D8320" s="59">
        <v>2.0</v>
      </c>
      <c r="E8320" s="59">
        <v>2.0</v>
      </c>
      <c r="F8320" s="59">
        <v>1.0</v>
      </c>
      <c r="G8320" s="60">
        <v>1.0</v>
      </c>
      <c r="H8320" s="60">
        <v>0.5</v>
      </c>
      <c r="I8320" s="60">
        <v>722.685695</v>
      </c>
      <c r="J8320" s="59">
        <v>3.0</v>
      </c>
      <c r="K8320" s="61">
        <f t="shared" si="1"/>
        <v>0.5</v>
      </c>
      <c r="L8320" s="62">
        <f t="shared" si="2"/>
        <v>1.5</v>
      </c>
    </row>
    <row r="8321">
      <c r="A8321" s="58">
        <v>45413.0</v>
      </c>
      <c r="B8321" s="24" t="s">
        <v>6787</v>
      </c>
      <c r="C8321" s="24" t="s">
        <v>6835</v>
      </c>
      <c r="D8321" s="59">
        <v>2.0</v>
      </c>
      <c r="E8321" s="59">
        <v>2.0</v>
      </c>
      <c r="F8321" s="59">
        <v>2.0</v>
      </c>
      <c r="G8321" s="60">
        <v>1.0</v>
      </c>
      <c r="H8321" s="60">
        <v>0.5</v>
      </c>
      <c r="I8321" s="60">
        <v>1089.809827</v>
      </c>
      <c r="J8321" s="59">
        <v>2.0</v>
      </c>
      <c r="K8321" s="61">
        <f t="shared" si="1"/>
        <v>1</v>
      </c>
      <c r="L8321" s="62">
        <f t="shared" si="2"/>
        <v>1</v>
      </c>
    </row>
    <row r="8322">
      <c r="A8322" s="58">
        <v>45413.0</v>
      </c>
      <c r="B8322" s="24" t="s">
        <v>155</v>
      </c>
      <c r="C8322" s="24" t="s">
        <v>6886</v>
      </c>
      <c r="D8322" s="59">
        <v>2.0</v>
      </c>
      <c r="E8322" s="59">
        <v>2.0</v>
      </c>
      <c r="F8322" s="59">
        <v>1.0</v>
      </c>
      <c r="G8322" s="60">
        <v>1.0</v>
      </c>
      <c r="H8322" s="60">
        <v>0.5</v>
      </c>
      <c r="I8322" s="60">
        <v>98.1936815</v>
      </c>
      <c r="J8322" s="59">
        <v>4.0</v>
      </c>
      <c r="K8322" s="61">
        <f t="shared" si="1"/>
        <v>0.5</v>
      </c>
      <c r="L8322" s="62">
        <f t="shared" si="2"/>
        <v>2</v>
      </c>
    </row>
    <row r="8323">
      <c r="A8323" s="58">
        <v>45413.0</v>
      </c>
      <c r="B8323" s="24" t="s">
        <v>6790</v>
      </c>
      <c r="C8323" s="24" t="s">
        <v>6886</v>
      </c>
      <c r="D8323" s="59">
        <v>2.0</v>
      </c>
      <c r="E8323" s="59">
        <v>2.0</v>
      </c>
      <c r="F8323" s="59">
        <v>0.0</v>
      </c>
      <c r="G8323" s="60">
        <v>1.0</v>
      </c>
      <c r="H8323" s="60">
        <v>1.0</v>
      </c>
      <c r="I8323" s="60">
        <v>8.06E-4</v>
      </c>
      <c r="J8323" s="59">
        <v>3.0</v>
      </c>
      <c r="K8323" s="61">
        <f t="shared" si="1"/>
        <v>0</v>
      </c>
      <c r="L8323" s="62">
        <f t="shared" si="2"/>
        <v>1.5</v>
      </c>
    </row>
    <row r="8324">
      <c r="A8324" s="58">
        <v>45413.0</v>
      </c>
      <c r="B8324" s="24" t="s">
        <v>6787</v>
      </c>
      <c r="C8324" s="24" t="s">
        <v>6838</v>
      </c>
      <c r="D8324" s="59">
        <v>2.0</v>
      </c>
      <c r="E8324" s="59">
        <v>2.0</v>
      </c>
      <c r="F8324" s="59">
        <v>2.0</v>
      </c>
      <c r="G8324" s="60">
        <v>1.0</v>
      </c>
      <c r="H8324" s="60">
        <v>0.0</v>
      </c>
      <c r="I8324" s="60">
        <v>33.2980419999999</v>
      </c>
      <c r="J8324" s="59">
        <v>4.0</v>
      </c>
      <c r="K8324" s="61">
        <f t="shared" si="1"/>
        <v>1</v>
      </c>
      <c r="L8324" s="62">
        <f t="shared" si="2"/>
        <v>2</v>
      </c>
    </row>
    <row r="8325">
      <c r="A8325" s="58">
        <v>45413.0</v>
      </c>
      <c r="B8325" s="24" t="s">
        <v>6787</v>
      </c>
      <c r="C8325" s="24" t="s">
        <v>6822</v>
      </c>
      <c r="D8325" s="59">
        <v>2.0</v>
      </c>
      <c r="E8325" s="59">
        <v>2.0</v>
      </c>
      <c r="F8325" s="59">
        <v>2.0</v>
      </c>
      <c r="G8325" s="60">
        <v>1.0</v>
      </c>
      <c r="H8325" s="60">
        <v>0.5</v>
      </c>
      <c r="I8325" s="60">
        <v>5.6419965</v>
      </c>
      <c r="J8325" s="59">
        <v>2.0</v>
      </c>
      <c r="K8325" s="61">
        <f t="shared" si="1"/>
        <v>1</v>
      </c>
      <c r="L8325" s="62">
        <f t="shared" si="2"/>
        <v>1</v>
      </c>
    </row>
    <row r="8326">
      <c r="A8326" s="58">
        <v>45413.0</v>
      </c>
      <c r="B8326" s="24" t="s">
        <v>6787</v>
      </c>
      <c r="C8326" s="24" t="s">
        <v>6897</v>
      </c>
      <c r="D8326" s="59">
        <v>2.0</v>
      </c>
      <c r="E8326" s="59">
        <v>2.0</v>
      </c>
      <c r="F8326" s="59">
        <v>1.0</v>
      </c>
      <c r="G8326" s="60">
        <v>1.0</v>
      </c>
      <c r="H8326" s="60">
        <v>1.0</v>
      </c>
      <c r="I8326" s="60">
        <v>1.45435</v>
      </c>
      <c r="J8326" s="59">
        <v>2.0</v>
      </c>
      <c r="K8326" s="61">
        <f t="shared" si="1"/>
        <v>0.5</v>
      </c>
      <c r="L8326" s="62">
        <f t="shared" si="2"/>
        <v>1</v>
      </c>
    </row>
    <row r="8327">
      <c r="A8327" s="58">
        <v>45413.0</v>
      </c>
      <c r="B8327" s="24" t="s">
        <v>6789</v>
      </c>
      <c r="C8327" s="24" t="s">
        <v>6905</v>
      </c>
      <c r="D8327" s="59">
        <v>2.0</v>
      </c>
      <c r="E8327" s="59">
        <v>2.0</v>
      </c>
      <c r="F8327" s="59">
        <v>0.0</v>
      </c>
      <c r="G8327" s="60">
        <v>1.0</v>
      </c>
      <c r="H8327" s="60">
        <v>0.5</v>
      </c>
      <c r="I8327" s="60">
        <v>19.2745245</v>
      </c>
      <c r="J8327" s="59">
        <v>2.0</v>
      </c>
      <c r="K8327" s="61">
        <f t="shared" si="1"/>
        <v>0</v>
      </c>
      <c r="L8327" s="62">
        <f t="shared" si="2"/>
        <v>1</v>
      </c>
    </row>
    <row r="8328">
      <c r="A8328" s="58">
        <v>45413.0</v>
      </c>
      <c r="B8328" s="24" t="s">
        <v>6789</v>
      </c>
      <c r="C8328" s="24" t="s">
        <v>7571</v>
      </c>
      <c r="D8328" s="59">
        <v>2.0</v>
      </c>
      <c r="E8328" s="59">
        <v>2.0</v>
      </c>
      <c r="F8328" s="59">
        <v>2.0</v>
      </c>
      <c r="G8328" s="60">
        <v>1.0</v>
      </c>
      <c r="H8328" s="60">
        <v>0.5</v>
      </c>
      <c r="I8328" s="60">
        <v>118.2408205</v>
      </c>
      <c r="J8328" s="59">
        <v>2.0</v>
      </c>
      <c r="K8328" s="61">
        <f t="shared" si="1"/>
        <v>1</v>
      </c>
      <c r="L8328" s="62">
        <f t="shared" si="2"/>
        <v>1</v>
      </c>
    </row>
    <row r="8329">
      <c r="A8329" s="58">
        <v>45413.0</v>
      </c>
      <c r="B8329" s="24" t="s">
        <v>6789</v>
      </c>
      <c r="C8329" s="24" t="s">
        <v>7258</v>
      </c>
      <c r="D8329" s="59">
        <v>2.0</v>
      </c>
      <c r="E8329" s="59">
        <v>3.0</v>
      </c>
      <c r="F8329" s="59">
        <v>2.0</v>
      </c>
      <c r="G8329" s="60">
        <v>1.5</v>
      </c>
      <c r="H8329" s="60">
        <v>0.333333333333333</v>
      </c>
      <c r="I8329" s="60">
        <v>403.039607</v>
      </c>
      <c r="J8329" s="59">
        <v>5.0</v>
      </c>
      <c r="K8329" s="61">
        <f t="shared" si="1"/>
        <v>0.6666666667</v>
      </c>
      <c r="L8329" s="62">
        <f t="shared" si="2"/>
        <v>1.666666667</v>
      </c>
    </row>
    <row r="8330">
      <c r="A8330" s="58">
        <v>45413.0</v>
      </c>
      <c r="B8330" s="24" t="s">
        <v>6789</v>
      </c>
      <c r="C8330" s="24" t="s">
        <v>7562</v>
      </c>
      <c r="D8330" s="59">
        <v>2.0</v>
      </c>
      <c r="E8330" s="59">
        <v>2.0</v>
      </c>
      <c r="F8330" s="59">
        <v>2.0</v>
      </c>
      <c r="G8330" s="60">
        <v>1.0</v>
      </c>
      <c r="H8330" s="60">
        <v>1.0</v>
      </c>
      <c r="I8330" s="60">
        <v>0.0</v>
      </c>
      <c r="J8330" s="59">
        <v>2.0</v>
      </c>
      <c r="K8330" s="61">
        <f t="shared" si="1"/>
        <v>1</v>
      </c>
      <c r="L8330" s="62">
        <f t="shared" si="2"/>
        <v>1</v>
      </c>
    </row>
    <row r="8331">
      <c r="A8331" s="58">
        <v>45413.0</v>
      </c>
      <c r="B8331" s="24" t="s">
        <v>155</v>
      </c>
      <c r="C8331" s="24" t="s">
        <v>6808</v>
      </c>
      <c r="D8331" s="59">
        <v>2.0</v>
      </c>
      <c r="E8331" s="59">
        <v>2.0</v>
      </c>
      <c r="F8331" s="59">
        <v>0.0</v>
      </c>
      <c r="G8331" s="60">
        <v>1.0</v>
      </c>
      <c r="H8331" s="60">
        <v>0.0</v>
      </c>
      <c r="I8331" s="60">
        <v>497.894581</v>
      </c>
      <c r="J8331" s="59">
        <v>2.0</v>
      </c>
      <c r="K8331" s="61">
        <f t="shared" si="1"/>
        <v>0</v>
      </c>
      <c r="L8331" s="62">
        <f t="shared" si="2"/>
        <v>1</v>
      </c>
    </row>
    <row r="8332">
      <c r="A8332" s="58">
        <v>45413.0</v>
      </c>
      <c r="B8332" s="24" t="s">
        <v>6789</v>
      </c>
      <c r="C8332" s="24" t="s">
        <v>7013</v>
      </c>
      <c r="D8332" s="59">
        <v>2.0</v>
      </c>
      <c r="E8332" s="59">
        <v>4.0</v>
      </c>
      <c r="F8332" s="59">
        <v>1.0</v>
      </c>
      <c r="G8332" s="60">
        <v>2.0</v>
      </c>
      <c r="H8332" s="60">
        <v>0.25</v>
      </c>
      <c r="I8332" s="60">
        <v>305.661898</v>
      </c>
      <c r="J8332" s="59">
        <v>9.0</v>
      </c>
      <c r="K8332" s="61">
        <f t="shared" si="1"/>
        <v>0.25</v>
      </c>
      <c r="L8332" s="62">
        <f t="shared" si="2"/>
        <v>2.25</v>
      </c>
    </row>
    <row r="8333">
      <c r="A8333" s="58">
        <v>45413.0</v>
      </c>
      <c r="B8333" s="24" t="s">
        <v>6787</v>
      </c>
      <c r="C8333" s="24" t="s">
        <v>7044</v>
      </c>
      <c r="D8333" s="59">
        <v>2.0</v>
      </c>
      <c r="E8333" s="59">
        <v>2.0</v>
      </c>
      <c r="F8333" s="59">
        <v>1.0</v>
      </c>
      <c r="G8333" s="60">
        <v>1.0</v>
      </c>
      <c r="H8333" s="60">
        <v>0.5</v>
      </c>
      <c r="I8333" s="60">
        <v>306.279114</v>
      </c>
      <c r="J8333" s="59">
        <v>3.0</v>
      </c>
      <c r="K8333" s="61">
        <f t="shared" si="1"/>
        <v>0.5</v>
      </c>
      <c r="L8333" s="62">
        <f t="shared" si="2"/>
        <v>1.5</v>
      </c>
    </row>
    <row r="8334">
      <c r="A8334" s="58">
        <v>45413.0</v>
      </c>
      <c r="B8334" s="24" t="s">
        <v>6789</v>
      </c>
      <c r="C8334" s="24" t="s">
        <v>7044</v>
      </c>
      <c r="D8334" s="59">
        <v>2.0</v>
      </c>
      <c r="E8334" s="59">
        <v>2.0</v>
      </c>
      <c r="F8334" s="59">
        <v>0.0</v>
      </c>
      <c r="G8334" s="60">
        <v>1.0</v>
      </c>
      <c r="H8334" s="60">
        <v>0.0</v>
      </c>
      <c r="I8334" s="60">
        <v>551.659498499999</v>
      </c>
      <c r="J8334" s="59">
        <v>4.0</v>
      </c>
      <c r="K8334" s="61">
        <f t="shared" si="1"/>
        <v>0</v>
      </c>
      <c r="L8334" s="62">
        <f t="shared" si="2"/>
        <v>2</v>
      </c>
    </row>
    <row r="8335">
      <c r="A8335" s="58">
        <v>45413.0</v>
      </c>
      <c r="B8335" s="24" t="s">
        <v>6789</v>
      </c>
      <c r="C8335" s="24" t="s">
        <v>6908</v>
      </c>
      <c r="D8335" s="59">
        <v>2.0</v>
      </c>
      <c r="E8335" s="59">
        <v>2.0</v>
      </c>
      <c r="F8335" s="59">
        <v>0.0</v>
      </c>
      <c r="G8335" s="60">
        <v>1.0</v>
      </c>
      <c r="H8335" s="60">
        <v>0.0</v>
      </c>
      <c r="I8335" s="60">
        <v>190.30766</v>
      </c>
      <c r="J8335" s="59">
        <v>4.0</v>
      </c>
      <c r="K8335" s="61">
        <f t="shared" si="1"/>
        <v>0</v>
      </c>
      <c r="L8335" s="62">
        <f t="shared" si="2"/>
        <v>2</v>
      </c>
    </row>
    <row r="8336">
      <c r="A8336" s="58">
        <v>45413.0</v>
      </c>
      <c r="B8336" s="24" t="s">
        <v>6789</v>
      </c>
      <c r="C8336" s="24" t="s">
        <v>7174</v>
      </c>
      <c r="D8336" s="59">
        <v>2.0</v>
      </c>
      <c r="E8336" s="59">
        <v>2.0</v>
      </c>
      <c r="F8336" s="59">
        <v>0.0</v>
      </c>
      <c r="G8336" s="60">
        <v>1.0</v>
      </c>
      <c r="H8336" s="60">
        <v>0.0</v>
      </c>
      <c r="I8336" s="60">
        <v>373.2465065</v>
      </c>
      <c r="J8336" s="59">
        <v>4.0</v>
      </c>
      <c r="K8336" s="61">
        <f t="shared" si="1"/>
        <v>0</v>
      </c>
      <c r="L8336" s="62">
        <f t="shared" si="2"/>
        <v>2</v>
      </c>
    </row>
    <row r="8337">
      <c r="A8337" s="58">
        <v>45413.0</v>
      </c>
      <c r="B8337" s="24" t="s">
        <v>6787</v>
      </c>
      <c r="C8337" s="24" t="s">
        <v>7180</v>
      </c>
      <c r="D8337" s="59">
        <v>2.0</v>
      </c>
      <c r="E8337" s="59">
        <v>2.0</v>
      </c>
      <c r="F8337" s="59">
        <v>2.0</v>
      </c>
      <c r="G8337" s="60">
        <v>1.0</v>
      </c>
      <c r="H8337" s="60">
        <v>1.0</v>
      </c>
      <c r="I8337" s="60">
        <v>0.0</v>
      </c>
      <c r="J8337" s="59">
        <v>2.0</v>
      </c>
      <c r="K8337" s="61">
        <f t="shared" si="1"/>
        <v>1</v>
      </c>
      <c r="L8337" s="62">
        <f t="shared" si="2"/>
        <v>1</v>
      </c>
    </row>
    <row r="8338">
      <c r="A8338" s="58">
        <v>45413.0</v>
      </c>
      <c r="B8338" s="24" t="s">
        <v>6790</v>
      </c>
      <c r="C8338" s="24" t="s">
        <v>6815</v>
      </c>
      <c r="D8338" s="59">
        <v>2.0</v>
      </c>
      <c r="E8338" s="59">
        <v>2.0</v>
      </c>
      <c r="F8338" s="59">
        <v>0.0</v>
      </c>
      <c r="G8338" s="60">
        <v>2.0</v>
      </c>
      <c r="H8338" s="60">
        <v>1.0</v>
      </c>
      <c r="I8338" s="60">
        <v>310.1144885</v>
      </c>
      <c r="J8338" s="59">
        <v>2.0</v>
      </c>
      <c r="K8338" s="61">
        <f t="shared" si="1"/>
        <v>0</v>
      </c>
      <c r="L8338" s="62">
        <f t="shared" si="2"/>
        <v>1</v>
      </c>
    </row>
    <row r="8339">
      <c r="A8339" s="58">
        <v>45413.0</v>
      </c>
      <c r="B8339" s="24" t="s">
        <v>6787</v>
      </c>
      <c r="C8339" s="24" t="s">
        <v>6921</v>
      </c>
      <c r="D8339" s="59">
        <v>2.0</v>
      </c>
      <c r="E8339" s="59">
        <v>2.0</v>
      </c>
      <c r="F8339" s="59">
        <v>2.0</v>
      </c>
      <c r="G8339" s="60">
        <v>1.0</v>
      </c>
      <c r="H8339" s="60">
        <v>1.0</v>
      </c>
      <c r="I8339" s="60">
        <v>0.0</v>
      </c>
      <c r="J8339" s="59">
        <v>2.0</v>
      </c>
      <c r="K8339" s="61">
        <f t="shared" si="1"/>
        <v>1</v>
      </c>
      <c r="L8339" s="62">
        <f t="shared" si="2"/>
        <v>1</v>
      </c>
    </row>
    <row r="8340">
      <c r="A8340" s="58">
        <v>45413.0</v>
      </c>
      <c r="B8340" s="24" t="s">
        <v>6787</v>
      </c>
      <c r="C8340" s="24" t="s">
        <v>6931</v>
      </c>
      <c r="D8340" s="59">
        <v>2.0</v>
      </c>
      <c r="E8340" s="59">
        <v>2.0</v>
      </c>
      <c r="F8340" s="59">
        <v>2.0</v>
      </c>
      <c r="G8340" s="60">
        <v>1.0</v>
      </c>
      <c r="H8340" s="60">
        <v>1.0</v>
      </c>
      <c r="I8340" s="60">
        <v>0.0</v>
      </c>
      <c r="J8340" s="59">
        <v>2.0</v>
      </c>
      <c r="K8340" s="61">
        <f t="shared" si="1"/>
        <v>1</v>
      </c>
      <c r="L8340" s="62">
        <f t="shared" si="2"/>
        <v>1</v>
      </c>
    </row>
    <row r="8341">
      <c r="A8341" s="58">
        <v>45413.0</v>
      </c>
      <c r="B8341" s="24" t="s">
        <v>6789</v>
      </c>
      <c r="C8341" s="24" t="s">
        <v>6931</v>
      </c>
      <c r="D8341" s="59">
        <v>2.0</v>
      </c>
      <c r="E8341" s="59">
        <v>2.0</v>
      </c>
      <c r="F8341" s="59">
        <v>0.0</v>
      </c>
      <c r="G8341" s="60">
        <v>1.0</v>
      </c>
      <c r="H8341" s="60">
        <v>0.0</v>
      </c>
      <c r="I8341" s="60">
        <v>11.153147</v>
      </c>
      <c r="J8341" s="59">
        <v>3.0</v>
      </c>
      <c r="K8341" s="61">
        <f t="shared" si="1"/>
        <v>0</v>
      </c>
      <c r="L8341" s="62">
        <f t="shared" si="2"/>
        <v>1.5</v>
      </c>
    </row>
    <row r="8342">
      <c r="A8342" s="58">
        <v>45413.0</v>
      </c>
      <c r="B8342" s="24" t="s">
        <v>6787</v>
      </c>
      <c r="C8342" s="24" t="s">
        <v>6963</v>
      </c>
      <c r="D8342" s="59">
        <v>2.0</v>
      </c>
      <c r="E8342" s="59">
        <v>2.0</v>
      </c>
      <c r="F8342" s="59">
        <v>0.0</v>
      </c>
      <c r="G8342" s="60">
        <v>1.0</v>
      </c>
      <c r="H8342" s="60">
        <v>0.0</v>
      </c>
      <c r="I8342" s="60">
        <v>49.3841175</v>
      </c>
      <c r="J8342" s="59">
        <v>4.0</v>
      </c>
      <c r="K8342" s="61">
        <f t="shared" si="1"/>
        <v>0</v>
      </c>
      <c r="L8342" s="62">
        <f t="shared" si="2"/>
        <v>2</v>
      </c>
    </row>
    <row r="8343">
      <c r="A8343" s="58">
        <v>45413.0</v>
      </c>
      <c r="B8343" s="24" t="s">
        <v>6789</v>
      </c>
      <c r="C8343" s="24" t="s">
        <v>6963</v>
      </c>
      <c r="D8343" s="59">
        <v>2.0</v>
      </c>
      <c r="E8343" s="59">
        <v>3.0</v>
      </c>
      <c r="F8343" s="59">
        <v>0.0</v>
      </c>
      <c r="G8343" s="60">
        <v>1.5</v>
      </c>
      <c r="H8343" s="60">
        <v>0.333333333333333</v>
      </c>
      <c r="I8343" s="60">
        <v>73.516483</v>
      </c>
      <c r="J8343" s="59">
        <v>4.0</v>
      </c>
      <c r="K8343" s="61">
        <f t="shared" si="1"/>
        <v>0</v>
      </c>
      <c r="L8343" s="62">
        <f t="shared" si="2"/>
        <v>1.333333333</v>
      </c>
    </row>
    <row r="8344">
      <c r="A8344" s="58">
        <v>45413.0</v>
      </c>
      <c r="B8344" s="24" t="s">
        <v>7030</v>
      </c>
      <c r="C8344" s="24" t="s">
        <v>6788</v>
      </c>
      <c r="D8344" s="59">
        <v>1.0</v>
      </c>
      <c r="E8344" s="59">
        <v>1.0</v>
      </c>
      <c r="F8344" s="59">
        <v>1.0</v>
      </c>
      <c r="G8344" s="60">
        <v>1.0</v>
      </c>
      <c r="H8344" s="60">
        <v>0.0</v>
      </c>
      <c r="I8344" s="60">
        <v>12.16892</v>
      </c>
      <c r="J8344" s="59">
        <v>1.0</v>
      </c>
      <c r="K8344" s="61">
        <f t="shared" si="1"/>
        <v>1</v>
      </c>
      <c r="L8344" s="62">
        <f t="shared" si="2"/>
        <v>1</v>
      </c>
    </row>
    <row r="8345">
      <c r="A8345" s="58">
        <v>45413.0</v>
      </c>
      <c r="B8345" s="24" t="s">
        <v>6789</v>
      </c>
      <c r="C8345" s="24" t="s">
        <v>7194</v>
      </c>
      <c r="D8345" s="59">
        <v>1.0</v>
      </c>
      <c r="E8345" s="59">
        <v>1.0</v>
      </c>
      <c r="F8345" s="59">
        <v>0.0</v>
      </c>
      <c r="G8345" s="60">
        <v>1.0</v>
      </c>
      <c r="H8345" s="60">
        <v>0.0</v>
      </c>
      <c r="I8345" s="60">
        <v>3122.131286</v>
      </c>
      <c r="J8345" s="59">
        <v>14.0</v>
      </c>
      <c r="K8345" s="61">
        <f t="shared" si="1"/>
        <v>0</v>
      </c>
      <c r="L8345" s="62">
        <f t="shared" si="2"/>
        <v>14</v>
      </c>
    </row>
    <row r="8346">
      <c r="A8346" s="58">
        <v>45413.0</v>
      </c>
      <c r="B8346" s="24" t="s">
        <v>6787</v>
      </c>
      <c r="C8346" s="24" t="s">
        <v>6953</v>
      </c>
      <c r="D8346" s="59">
        <v>1.0</v>
      </c>
      <c r="E8346" s="59">
        <v>4.0</v>
      </c>
      <c r="F8346" s="59">
        <v>1.0</v>
      </c>
      <c r="G8346" s="60">
        <v>4.0</v>
      </c>
      <c r="H8346" s="60">
        <v>1.0</v>
      </c>
      <c r="I8346" s="60">
        <v>0.0</v>
      </c>
      <c r="J8346" s="59">
        <v>4.0</v>
      </c>
      <c r="K8346" s="61">
        <f t="shared" si="1"/>
        <v>0.25</v>
      </c>
      <c r="L8346" s="62">
        <f t="shared" si="2"/>
        <v>1</v>
      </c>
    </row>
    <row r="8347">
      <c r="A8347" s="58">
        <v>45413.0</v>
      </c>
      <c r="B8347" s="24" t="s">
        <v>6789</v>
      </c>
      <c r="C8347" s="24" t="s">
        <v>6953</v>
      </c>
      <c r="D8347" s="59">
        <v>1.0</v>
      </c>
      <c r="E8347" s="59">
        <v>1.0</v>
      </c>
      <c r="F8347" s="59">
        <v>1.0</v>
      </c>
      <c r="G8347" s="60">
        <v>1.0</v>
      </c>
      <c r="H8347" s="60">
        <v>0.0</v>
      </c>
      <c r="I8347" s="60">
        <v>33.669061</v>
      </c>
      <c r="J8347" s="59">
        <v>1.0</v>
      </c>
      <c r="K8347" s="61">
        <f t="shared" si="1"/>
        <v>1</v>
      </c>
      <c r="L8347" s="62">
        <f t="shared" si="2"/>
        <v>1</v>
      </c>
    </row>
    <row r="8348">
      <c r="A8348" s="58">
        <v>45413.0</v>
      </c>
      <c r="B8348" s="24" t="s">
        <v>6787</v>
      </c>
      <c r="C8348" s="24" t="s">
        <v>7056</v>
      </c>
      <c r="D8348" s="59">
        <v>1.0</v>
      </c>
      <c r="E8348" s="59">
        <v>1.0</v>
      </c>
      <c r="F8348" s="59">
        <v>0.0</v>
      </c>
      <c r="G8348" s="60">
        <v>1.0</v>
      </c>
      <c r="H8348" s="60">
        <v>0.0</v>
      </c>
      <c r="I8348" s="60">
        <v>10.312714</v>
      </c>
      <c r="J8348" s="59">
        <v>1.0</v>
      </c>
      <c r="K8348" s="61">
        <f t="shared" si="1"/>
        <v>0</v>
      </c>
      <c r="L8348" s="62">
        <f t="shared" si="2"/>
        <v>1</v>
      </c>
    </row>
    <row r="8349">
      <c r="A8349" s="58">
        <v>45413.0</v>
      </c>
      <c r="B8349" s="24" t="s">
        <v>6787</v>
      </c>
      <c r="C8349" s="24" t="s">
        <v>7058</v>
      </c>
      <c r="D8349" s="59">
        <v>1.0</v>
      </c>
      <c r="E8349" s="59">
        <v>1.0</v>
      </c>
      <c r="F8349" s="59">
        <v>1.0</v>
      </c>
      <c r="G8349" s="60">
        <v>1.0</v>
      </c>
      <c r="H8349" s="60">
        <v>1.0</v>
      </c>
      <c r="I8349" s="60">
        <v>0.0</v>
      </c>
      <c r="J8349" s="59">
        <v>1.0</v>
      </c>
      <c r="K8349" s="61">
        <f t="shared" si="1"/>
        <v>1</v>
      </c>
      <c r="L8349" s="62">
        <f t="shared" si="2"/>
        <v>1</v>
      </c>
    </row>
    <row r="8350">
      <c r="A8350" s="58">
        <v>45413.0</v>
      </c>
      <c r="B8350" s="24" t="s">
        <v>6787</v>
      </c>
      <c r="C8350" s="24" t="s">
        <v>7059</v>
      </c>
      <c r="D8350" s="59">
        <v>1.0</v>
      </c>
      <c r="E8350" s="59">
        <v>1.0</v>
      </c>
      <c r="F8350" s="59">
        <v>1.0</v>
      </c>
      <c r="G8350" s="60">
        <v>1.0</v>
      </c>
      <c r="H8350" s="60">
        <v>1.0</v>
      </c>
      <c r="I8350" s="60">
        <v>0.0</v>
      </c>
      <c r="J8350" s="59">
        <v>1.0</v>
      </c>
      <c r="K8350" s="61">
        <f t="shared" si="1"/>
        <v>1</v>
      </c>
      <c r="L8350" s="62">
        <f t="shared" si="2"/>
        <v>1</v>
      </c>
    </row>
    <row r="8351">
      <c r="A8351" s="58">
        <v>45413.0</v>
      </c>
      <c r="B8351" s="24" t="s">
        <v>6789</v>
      </c>
      <c r="C8351" s="24" t="s">
        <v>7061</v>
      </c>
      <c r="D8351" s="59">
        <v>1.0</v>
      </c>
      <c r="E8351" s="59">
        <v>2.0</v>
      </c>
      <c r="F8351" s="59">
        <v>0.0</v>
      </c>
      <c r="G8351" s="60">
        <v>2.0</v>
      </c>
      <c r="H8351" s="60">
        <v>0.5</v>
      </c>
      <c r="I8351" s="60">
        <v>401.916994</v>
      </c>
      <c r="J8351" s="59">
        <v>3.0</v>
      </c>
      <c r="K8351" s="61">
        <f t="shared" si="1"/>
        <v>0</v>
      </c>
      <c r="L8351" s="62">
        <f t="shared" si="2"/>
        <v>1.5</v>
      </c>
    </row>
    <row r="8352">
      <c r="A8352" s="58">
        <v>45413.0</v>
      </c>
      <c r="B8352" s="24" t="s">
        <v>6787</v>
      </c>
      <c r="C8352" s="24" t="s">
        <v>6867</v>
      </c>
      <c r="D8352" s="59">
        <v>1.0</v>
      </c>
      <c r="E8352" s="59">
        <v>1.0</v>
      </c>
      <c r="F8352" s="59">
        <v>1.0</v>
      </c>
      <c r="G8352" s="60">
        <v>1.0</v>
      </c>
      <c r="H8352" s="60">
        <v>1.0</v>
      </c>
      <c r="I8352" s="60">
        <v>0.0</v>
      </c>
      <c r="J8352" s="59">
        <v>1.0</v>
      </c>
      <c r="K8352" s="61">
        <f t="shared" si="1"/>
        <v>1</v>
      </c>
      <c r="L8352" s="62">
        <f t="shared" si="2"/>
        <v>1</v>
      </c>
    </row>
    <row r="8353">
      <c r="A8353" s="58">
        <v>45413.0</v>
      </c>
      <c r="B8353" s="24" t="s">
        <v>6789</v>
      </c>
      <c r="C8353" s="24" t="s">
        <v>7063</v>
      </c>
      <c r="D8353" s="59">
        <v>1.0</v>
      </c>
      <c r="E8353" s="59">
        <v>1.0</v>
      </c>
      <c r="F8353" s="59">
        <v>1.0</v>
      </c>
      <c r="G8353" s="60">
        <v>1.0</v>
      </c>
      <c r="H8353" s="60">
        <v>0.0</v>
      </c>
      <c r="I8353" s="60">
        <v>195.818707</v>
      </c>
      <c r="J8353" s="59">
        <v>1.0</v>
      </c>
      <c r="K8353" s="61">
        <f t="shared" si="1"/>
        <v>1</v>
      </c>
      <c r="L8353" s="62">
        <f t="shared" si="2"/>
        <v>1</v>
      </c>
    </row>
    <row r="8354">
      <c r="A8354" s="58">
        <v>45413.0</v>
      </c>
      <c r="B8354" s="24" t="s">
        <v>6787</v>
      </c>
      <c r="C8354" s="24" t="s">
        <v>7065</v>
      </c>
      <c r="D8354" s="59">
        <v>1.0</v>
      </c>
      <c r="E8354" s="59">
        <v>1.0</v>
      </c>
      <c r="F8354" s="59">
        <v>1.0</v>
      </c>
      <c r="G8354" s="60">
        <v>1.0</v>
      </c>
      <c r="H8354" s="60">
        <v>1.0</v>
      </c>
      <c r="I8354" s="60">
        <v>0.0</v>
      </c>
      <c r="J8354" s="59">
        <v>1.0</v>
      </c>
      <c r="K8354" s="61">
        <f t="shared" si="1"/>
        <v>1</v>
      </c>
      <c r="L8354" s="62">
        <f t="shared" si="2"/>
        <v>1</v>
      </c>
    </row>
    <row r="8355">
      <c r="A8355" s="58">
        <v>45413.0</v>
      </c>
      <c r="B8355" s="24" t="s">
        <v>155</v>
      </c>
      <c r="C8355" s="24" t="s">
        <v>6989</v>
      </c>
      <c r="D8355" s="59">
        <v>1.0</v>
      </c>
      <c r="E8355" s="59">
        <v>1.0</v>
      </c>
      <c r="F8355" s="59">
        <v>0.0</v>
      </c>
      <c r="G8355" s="60">
        <v>1.0</v>
      </c>
      <c r="H8355" s="60">
        <v>0.0</v>
      </c>
      <c r="I8355" s="60">
        <v>1504.302635</v>
      </c>
      <c r="J8355" s="59">
        <v>2.0</v>
      </c>
      <c r="K8355" s="61">
        <f t="shared" si="1"/>
        <v>0</v>
      </c>
      <c r="L8355" s="62">
        <f t="shared" si="2"/>
        <v>2</v>
      </c>
    </row>
    <row r="8356">
      <c r="A8356" s="58">
        <v>45413.0</v>
      </c>
      <c r="B8356" s="24" t="s">
        <v>6787</v>
      </c>
      <c r="C8356" s="24" t="s">
        <v>6990</v>
      </c>
      <c r="D8356" s="59">
        <v>1.0</v>
      </c>
      <c r="E8356" s="59">
        <v>1.0</v>
      </c>
      <c r="F8356" s="59">
        <v>1.0</v>
      </c>
      <c r="G8356" s="60">
        <v>1.0</v>
      </c>
      <c r="H8356" s="60">
        <v>1.0</v>
      </c>
      <c r="I8356" s="60">
        <v>0.0</v>
      </c>
      <c r="J8356" s="59">
        <v>1.0</v>
      </c>
      <c r="K8356" s="61">
        <f t="shared" si="1"/>
        <v>1</v>
      </c>
      <c r="L8356" s="62">
        <f t="shared" si="2"/>
        <v>1</v>
      </c>
    </row>
    <row r="8357">
      <c r="A8357" s="58">
        <v>45413.0</v>
      </c>
      <c r="B8357" s="24" t="s">
        <v>6789</v>
      </c>
      <c r="C8357" s="24" t="s">
        <v>6992</v>
      </c>
      <c r="D8357" s="59">
        <v>1.0</v>
      </c>
      <c r="E8357" s="59">
        <v>1.0</v>
      </c>
      <c r="F8357" s="59">
        <v>0.0</v>
      </c>
      <c r="G8357" s="60">
        <v>1.0</v>
      </c>
      <c r="H8357" s="60">
        <v>1.0</v>
      </c>
      <c r="I8357" s="60">
        <v>0.0</v>
      </c>
      <c r="J8357" s="59">
        <v>1.0</v>
      </c>
      <c r="K8357" s="61">
        <f t="shared" si="1"/>
        <v>0</v>
      </c>
      <c r="L8357" s="62">
        <f t="shared" si="2"/>
        <v>1</v>
      </c>
    </row>
    <row r="8358">
      <c r="A8358" s="58">
        <v>45413.0</v>
      </c>
      <c r="B8358" s="24" t="s">
        <v>6787</v>
      </c>
      <c r="C8358" s="24" t="s">
        <v>6994</v>
      </c>
      <c r="D8358" s="59">
        <v>1.0</v>
      </c>
      <c r="E8358" s="59">
        <v>1.0</v>
      </c>
      <c r="F8358" s="59">
        <v>1.0</v>
      </c>
      <c r="G8358" s="60">
        <v>1.0</v>
      </c>
      <c r="H8358" s="60">
        <v>1.0</v>
      </c>
      <c r="I8358" s="60">
        <v>0.0</v>
      </c>
      <c r="J8358" s="59">
        <v>1.0</v>
      </c>
      <c r="K8358" s="61">
        <f t="shared" si="1"/>
        <v>1</v>
      </c>
      <c r="L8358" s="62">
        <f t="shared" si="2"/>
        <v>1</v>
      </c>
    </row>
    <row r="8359">
      <c r="A8359" s="58">
        <v>45413.0</v>
      </c>
      <c r="B8359" s="24" t="s">
        <v>6787</v>
      </c>
      <c r="C8359" s="24" t="s">
        <v>7072</v>
      </c>
      <c r="D8359" s="59">
        <v>1.0</v>
      </c>
      <c r="E8359" s="59">
        <v>1.0</v>
      </c>
      <c r="F8359" s="59">
        <v>0.0</v>
      </c>
      <c r="G8359" s="60">
        <v>1.0</v>
      </c>
      <c r="H8359" s="60">
        <v>1.0</v>
      </c>
      <c r="I8359" s="60">
        <v>9.758367</v>
      </c>
      <c r="J8359" s="59">
        <v>1.0</v>
      </c>
      <c r="K8359" s="61">
        <f t="shared" si="1"/>
        <v>0</v>
      </c>
      <c r="L8359" s="62">
        <f t="shared" si="2"/>
        <v>1</v>
      </c>
    </row>
    <row r="8360">
      <c r="A8360" s="58">
        <v>45413.0</v>
      </c>
      <c r="B8360" s="24" t="s">
        <v>6787</v>
      </c>
      <c r="C8360" s="24" t="s">
        <v>7074</v>
      </c>
      <c r="D8360" s="59">
        <v>1.0</v>
      </c>
      <c r="E8360" s="59">
        <v>1.0</v>
      </c>
      <c r="F8360" s="59">
        <v>1.0</v>
      </c>
      <c r="G8360" s="60">
        <v>1.0</v>
      </c>
      <c r="H8360" s="60">
        <v>1.0</v>
      </c>
      <c r="I8360" s="60">
        <v>0.0</v>
      </c>
      <c r="J8360" s="59">
        <v>1.0</v>
      </c>
      <c r="K8360" s="61">
        <f t="shared" si="1"/>
        <v>1</v>
      </c>
      <c r="L8360" s="62">
        <f t="shared" si="2"/>
        <v>1</v>
      </c>
    </row>
    <row r="8361">
      <c r="A8361" s="58">
        <v>45413.0</v>
      </c>
      <c r="B8361" s="24" t="s">
        <v>6789</v>
      </c>
      <c r="C8361" s="24" t="s">
        <v>6886</v>
      </c>
      <c r="D8361" s="59">
        <v>1.0</v>
      </c>
      <c r="E8361" s="59">
        <v>1.0</v>
      </c>
      <c r="F8361" s="59">
        <v>1.0</v>
      </c>
      <c r="G8361" s="60">
        <v>1.0</v>
      </c>
      <c r="H8361" s="60">
        <v>1.0</v>
      </c>
      <c r="I8361" s="60">
        <v>0.0</v>
      </c>
      <c r="J8361" s="59">
        <v>1.0</v>
      </c>
      <c r="K8361" s="61">
        <f t="shared" si="1"/>
        <v>1</v>
      </c>
      <c r="L8361" s="62">
        <f t="shared" si="2"/>
        <v>1</v>
      </c>
    </row>
    <row r="8362">
      <c r="A8362" s="58">
        <v>45413.0</v>
      </c>
      <c r="B8362" s="24" t="s">
        <v>6790</v>
      </c>
      <c r="C8362" s="24" t="s">
        <v>6799</v>
      </c>
      <c r="D8362" s="59">
        <v>1.0</v>
      </c>
      <c r="E8362" s="59">
        <v>1.0</v>
      </c>
      <c r="F8362" s="59">
        <v>0.0</v>
      </c>
      <c r="G8362" s="60">
        <v>1.0</v>
      </c>
      <c r="H8362" s="60">
        <v>1.0</v>
      </c>
      <c r="I8362" s="60">
        <v>0.0</v>
      </c>
      <c r="J8362" s="59">
        <v>1.0</v>
      </c>
      <c r="K8362" s="61">
        <f t="shared" si="1"/>
        <v>0</v>
      </c>
      <c r="L8362" s="62">
        <f t="shared" si="2"/>
        <v>1</v>
      </c>
    </row>
    <row r="8363">
      <c r="A8363" s="58">
        <v>45413.0</v>
      </c>
      <c r="B8363" s="24" t="s">
        <v>6789</v>
      </c>
      <c r="C8363" s="24" t="s">
        <v>6820</v>
      </c>
      <c r="D8363" s="59">
        <v>1.0</v>
      </c>
      <c r="E8363" s="59">
        <v>1.0</v>
      </c>
      <c r="F8363" s="59">
        <v>0.0</v>
      </c>
      <c r="G8363" s="60">
        <v>1.0</v>
      </c>
      <c r="H8363" s="60">
        <v>0.0</v>
      </c>
      <c r="I8363" s="60">
        <v>57.269124</v>
      </c>
      <c r="J8363" s="59">
        <v>2.0</v>
      </c>
      <c r="K8363" s="61">
        <f t="shared" si="1"/>
        <v>0</v>
      </c>
      <c r="L8363" s="62">
        <f t="shared" si="2"/>
        <v>2</v>
      </c>
    </row>
    <row r="8364">
      <c r="A8364" s="58">
        <v>45413.0</v>
      </c>
      <c r="B8364" s="24" t="s">
        <v>6789</v>
      </c>
      <c r="C8364" s="24" t="s">
        <v>6891</v>
      </c>
      <c r="D8364" s="59">
        <v>1.0</v>
      </c>
      <c r="E8364" s="59">
        <v>1.0</v>
      </c>
      <c r="F8364" s="59">
        <v>0.0</v>
      </c>
      <c r="G8364" s="60">
        <v>1.0</v>
      </c>
      <c r="H8364" s="60">
        <v>0.0</v>
      </c>
      <c r="I8364" s="60">
        <v>707.515786</v>
      </c>
      <c r="J8364" s="59">
        <v>9.0</v>
      </c>
      <c r="K8364" s="61">
        <f t="shared" si="1"/>
        <v>0</v>
      </c>
      <c r="L8364" s="62">
        <f t="shared" si="2"/>
        <v>9</v>
      </c>
    </row>
    <row r="8365">
      <c r="A8365" s="58">
        <v>45413.0</v>
      </c>
      <c r="B8365" s="24" t="s">
        <v>6787</v>
      </c>
      <c r="C8365" s="24" t="s">
        <v>7438</v>
      </c>
      <c r="D8365" s="59">
        <v>1.0</v>
      </c>
      <c r="E8365" s="59">
        <v>1.0</v>
      </c>
      <c r="F8365" s="59">
        <v>1.0</v>
      </c>
      <c r="G8365" s="60">
        <v>1.0</v>
      </c>
      <c r="H8365" s="60">
        <v>0.0</v>
      </c>
      <c r="I8365" s="60">
        <v>13.026997</v>
      </c>
      <c r="J8365" s="59">
        <v>1.0</v>
      </c>
      <c r="K8365" s="61">
        <f t="shared" si="1"/>
        <v>1</v>
      </c>
      <c r="L8365" s="62">
        <f t="shared" si="2"/>
        <v>1</v>
      </c>
    </row>
    <row r="8366">
      <c r="A8366" s="58">
        <v>45413.0</v>
      </c>
      <c r="B8366" s="24" t="s">
        <v>6787</v>
      </c>
      <c r="C8366" s="24" t="s">
        <v>6896</v>
      </c>
      <c r="D8366" s="59">
        <v>1.0</v>
      </c>
      <c r="E8366" s="59">
        <v>1.0</v>
      </c>
      <c r="F8366" s="59">
        <v>1.0</v>
      </c>
      <c r="G8366" s="60">
        <v>1.0</v>
      </c>
      <c r="H8366" s="60">
        <v>1.0</v>
      </c>
      <c r="I8366" s="60">
        <v>0.0</v>
      </c>
      <c r="J8366" s="59">
        <v>1.0</v>
      </c>
      <c r="K8366" s="61">
        <f t="shared" si="1"/>
        <v>1</v>
      </c>
      <c r="L8366" s="62">
        <f t="shared" si="2"/>
        <v>1</v>
      </c>
    </row>
    <row r="8367">
      <c r="A8367" s="58">
        <v>45413.0</v>
      </c>
      <c r="B8367" s="24" t="s">
        <v>6789</v>
      </c>
      <c r="C8367" s="24" t="s">
        <v>6897</v>
      </c>
      <c r="D8367" s="59">
        <v>1.0</v>
      </c>
      <c r="E8367" s="59">
        <v>1.0</v>
      </c>
      <c r="F8367" s="59">
        <v>0.0</v>
      </c>
      <c r="G8367" s="60">
        <v>1.0</v>
      </c>
      <c r="H8367" s="60">
        <v>0.0</v>
      </c>
      <c r="I8367" s="60">
        <v>418.973684</v>
      </c>
      <c r="J8367" s="59">
        <v>2.0</v>
      </c>
      <c r="K8367" s="61">
        <f t="shared" si="1"/>
        <v>0</v>
      </c>
      <c r="L8367" s="62">
        <f t="shared" si="2"/>
        <v>2</v>
      </c>
    </row>
    <row r="8368">
      <c r="A8368" s="58">
        <v>45413.0</v>
      </c>
      <c r="B8368" s="24" t="s">
        <v>6789</v>
      </c>
      <c r="C8368" s="24" t="s">
        <v>7401</v>
      </c>
      <c r="D8368" s="59">
        <v>1.0</v>
      </c>
      <c r="E8368" s="59">
        <v>1.0</v>
      </c>
      <c r="F8368" s="59">
        <v>1.0</v>
      </c>
      <c r="G8368" s="60">
        <v>1.0</v>
      </c>
      <c r="H8368" s="60">
        <v>0.0</v>
      </c>
      <c r="I8368" s="60">
        <v>2496.004415</v>
      </c>
      <c r="J8368" s="59">
        <v>4.0</v>
      </c>
      <c r="K8368" s="61">
        <f t="shared" si="1"/>
        <v>1</v>
      </c>
      <c r="L8368" s="62">
        <f t="shared" si="2"/>
        <v>4</v>
      </c>
    </row>
    <row r="8369">
      <c r="A8369" s="58">
        <v>45413.0</v>
      </c>
      <c r="B8369" s="24" t="s">
        <v>6789</v>
      </c>
      <c r="C8369" s="24" t="s">
        <v>6904</v>
      </c>
      <c r="D8369" s="59">
        <v>1.0</v>
      </c>
      <c r="E8369" s="59">
        <v>1.0</v>
      </c>
      <c r="F8369" s="59">
        <v>0.0</v>
      </c>
      <c r="G8369" s="60">
        <v>1.0</v>
      </c>
      <c r="H8369" s="60">
        <v>0.0</v>
      </c>
      <c r="I8369" s="60">
        <v>14.850001</v>
      </c>
      <c r="J8369" s="59">
        <v>1.0</v>
      </c>
      <c r="K8369" s="61">
        <f t="shared" si="1"/>
        <v>0</v>
      </c>
      <c r="L8369" s="62">
        <f t="shared" si="2"/>
        <v>1</v>
      </c>
    </row>
    <row r="8370">
      <c r="A8370" s="58">
        <v>45413.0</v>
      </c>
      <c r="B8370" s="24" t="s">
        <v>6787</v>
      </c>
      <c r="C8370" s="24" t="s">
        <v>7034</v>
      </c>
      <c r="D8370" s="59">
        <v>1.0</v>
      </c>
      <c r="E8370" s="59">
        <v>1.0</v>
      </c>
      <c r="F8370" s="59">
        <v>1.0</v>
      </c>
      <c r="G8370" s="60">
        <v>1.0</v>
      </c>
      <c r="H8370" s="60">
        <v>1.0</v>
      </c>
      <c r="I8370" s="60">
        <v>0.0</v>
      </c>
      <c r="J8370" s="59">
        <v>1.0</v>
      </c>
      <c r="K8370" s="61">
        <f t="shared" si="1"/>
        <v>1</v>
      </c>
      <c r="L8370" s="62">
        <f t="shared" si="2"/>
        <v>1</v>
      </c>
    </row>
    <row r="8371">
      <c r="A8371" s="58">
        <v>45413.0</v>
      </c>
      <c r="B8371" s="24" t="s">
        <v>6789</v>
      </c>
      <c r="C8371" s="24" t="s">
        <v>7573</v>
      </c>
      <c r="D8371" s="59">
        <v>1.0</v>
      </c>
      <c r="E8371" s="59">
        <v>1.0</v>
      </c>
      <c r="F8371" s="59">
        <v>1.0</v>
      </c>
      <c r="G8371" s="60">
        <v>1.0</v>
      </c>
      <c r="H8371" s="60">
        <v>0.0</v>
      </c>
      <c r="I8371" s="60">
        <v>94.956539</v>
      </c>
      <c r="J8371" s="59">
        <v>1.0</v>
      </c>
      <c r="K8371" s="61">
        <f t="shared" si="1"/>
        <v>1</v>
      </c>
      <c r="L8371" s="62">
        <f t="shared" si="2"/>
        <v>1</v>
      </c>
    </row>
    <row r="8372">
      <c r="A8372" s="58">
        <v>45413.0</v>
      </c>
      <c r="B8372" s="24" t="s">
        <v>6789</v>
      </c>
      <c r="C8372" s="24" t="s">
        <v>7204</v>
      </c>
      <c r="D8372" s="59">
        <v>1.0</v>
      </c>
      <c r="E8372" s="59">
        <v>1.0</v>
      </c>
      <c r="F8372" s="59">
        <v>0.0</v>
      </c>
      <c r="G8372" s="60">
        <v>1.0</v>
      </c>
      <c r="H8372" s="60">
        <v>0.0</v>
      </c>
      <c r="I8372" s="60">
        <v>19.181644</v>
      </c>
      <c r="J8372" s="59">
        <v>1.0</v>
      </c>
      <c r="K8372" s="61">
        <f t="shared" si="1"/>
        <v>0</v>
      </c>
      <c r="L8372" s="62">
        <f t="shared" si="2"/>
        <v>1</v>
      </c>
    </row>
    <row r="8373">
      <c r="A8373" s="58">
        <v>45413.0</v>
      </c>
      <c r="B8373" s="24" t="s">
        <v>6787</v>
      </c>
      <c r="C8373" s="24" t="s">
        <v>7561</v>
      </c>
      <c r="D8373" s="59">
        <v>1.0</v>
      </c>
      <c r="E8373" s="59">
        <v>1.0</v>
      </c>
      <c r="F8373" s="59">
        <v>1.0</v>
      </c>
      <c r="G8373" s="60">
        <v>1.0</v>
      </c>
      <c r="H8373" s="60">
        <v>1.0</v>
      </c>
      <c r="I8373" s="60">
        <v>0.0</v>
      </c>
      <c r="J8373" s="59">
        <v>1.0</v>
      </c>
      <c r="K8373" s="61">
        <f t="shared" si="1"/>
        <v>1</v>
      </c>
      <c r="L8373" s="62">
        <f t="shared" si="2"/>
        <v>1</v>
      </c>
    </row>
    <row r="8374">
      <c r="A8374" s="58">
        <v>45413.0</v>
      </c>
      <c r="B8374" s="24" t="s">
        <v>6789</v>
      </c>
      <c r="C8374" s="24" t="s">
        <v>7551</v>
      </c>
      <c r="D8374" s="59">
        <v>1.0</v>
      </c>
      <c r="E8374" s="59">
        <v>3.0</v>
      </c>
      <c r="F8374" s="59">
        <v>1.0</v>
      </c>
      <c r="G8374" s="60">
        <v>3.0</v>
      </c>
      <c r="H8374" s="60">
        <v>0.666666666666666</v>
      </c>
      <c r="I8374" s="60">
        <v>7.91900499999999</v>
      </c>
      <c r="J8374" s="59">
        <v>3.0</v>
      </c>
      <c r="K8374" s="61">
        <f t="shared" si="1"/>
        <v>0.3333333333</v>
      </c>
      <c r="L8374" s="62">
        <f t="shared" si="2"/>
        <v>1</v>
      </c>
    </row>
    <row r="8375">
      <c r="A8375" s="58">
        <v>45413.0</v>
      </c>
      <c r="B8375" s="24" t="s">
        <v>6789</v>
      </c>
      <c r="C8375" s="24" t="s">
        <v>7578</v>
      </c>
      <c r="D8375" s="59">
        <v>1.0</v>
      </c>
      <c r="E8375" s="59">
        <v>1.0</v>
      </c>
      <c r="F8375" s="59">
        <v>1.0</v>
      </c>
      <c r="G8375" s="60">
        <v>1.0</v>
      </c>
      <c r="H8375" s="60">
        <v>1.0</v>
      </c>
      <c r="I8375" s="60">
        <v>3.926003</v>
      </c>
      <c r="J8375" s="59">
        <v>1.0</v>
      </c>
      <c r="K8375" s="61">
        <f t="shared" si="1"/>
        <v>1</v>
      </c>
      <c r="L8375" s="62">
        <f t="shared" si="2"/>
        <v>1</v>
      </c>
    </row>
    <row r="8376">
      <c r="A8376" s="58">
        <v>45413.0</v>
      </c>
      <c r="B8376" s="24" t="s">
        <v>6789</v>
      </c>
      <c r="C8376" s="24" t="s">
        <v>7579</v>
      </c>
      <c r="D8376" s="59">
        <v>1.0</v>
      </c>
      <c r="E8376" s="59">
        <v>1.0</v>
      </c>
      <c r="F8376" s="59">
        <v>1.0</v>
      </c>
      <c r="G8376" s="60">
        <v>1.0</v>
      </c>
      <c r="H8376" s="60">
        <v>1.0</v>
      </c>
      <c r="I8376" s="60">
        <v>0.0</v>
      </c>
      <c r="J8376" s="59">
        <v>1.0</v>
      </c>
      <c r="K8376" s="61">
        <f t="shared" si="1"/>
        <v>1</v>
      </c>
      <c r="L8376" s="62">
        <f t="shared" si="2"/>
        <v>1</v>
      </c>
    </row>
    <row r="8377">
      <c r="A8377" s="58">
        <v>45413.0</v>
      </c>
      <c r="B8377" s="24" t="s">
        <v>6789</v>
      </c>
      <c r="C8377" s="24" t="s">
        <v>7580</v>
      </c>
      <c r="D8377" s="59">
        <v>1.0</v>
      </c>
      <c r="E8377" s="59">
        <v>1.0</v>
      </c>
      <c r="F8377" s="59">
        <v>0.0</v>
      </c>
      <c r="G8377" s="60">
        <v>0.0</v>
      </c>
      <c r="H8377" s="60">
        <v>1.0</v>
      </c>
      <c r="I8377" s="60">
        <v>0.0</v>
      </c>
      <c r="J8377" s="59">
        <v>1.0</v>
      </c>
      <c r="K8377" s="61">
        <f t="shared" si="1"/>
        <v>0</v>
      </c>
      <c r="L8377" s="62">
        <f t="shared" si="2"/>
        <v>1</v>
      </c>
    </row>
    <row r="8378">
      <c r="A8378" s="58">
        <v>45413.0</v>
      </c>
      <c r="B8378" s="24" t="s">
        <v>6789</v>
      </c>
      <c r="C8378" s="24" t="s">
        <v>7530</v>
      </c>
      <c r="D8378" s="59">
        <v>1.0</v>
      </c>
      <c r="E8378" s="59">
        <v>1.0</v>
      </c>
      <c r="F8378" s="59">
        <v>1.0</v>
      </c>
      <c r="G8378" s="60">
        <v>1.0</v>
      </c>
      <c r="H8378" s="60">
        <v>1.0</v>
      </c>
      <c r="I8378" s="60">
        <v>0.0</v>
      </c>
      <c r="J8378" s="59">
        <v>1.0</v>
      </c>
      <c r="K8378" s="61">
        <f t="shared" si="1"/>
        <v>1</v>
      </c>
      <c r="L8378" s="62">
        <f t="shared" si="2"/>
        <v>1</v>
      </c>
    </row>
    <row r="8379">
      <c r="A8379" s="58">
        <v>45413.0</v>
      </c>
      <c r="B8379" s="24" t="s">
        <v>6787</v>
      </c>
      <c r="C8379" s="24" t="s">
        <v>7227</v>
      </c>
      <c r="D8379" s="59">
        <v>1.0</v>
      </c>
      <c r="E8379" s="59">
        <v>1.0</v>
      </c>
      <c r="F8379" s="59">
        <v>1.0</v>
      </c>
      <c r="G8379" s="60">
        <v>1.0</v>
      </c>
      <c r="H8379" s="60">
        <v>1.0</v>
      </c>
      <c r="I8379" s="60">
        <v>0.0</v>
      </c>
      <c r="J8379" s="59">
        <v>1.0</v>
      </c>
      <c r="K8379" s="61">
        <f t="shared" si="1"/>
        <v>1</v>
      </c>
      <c r="L8379" s="62">
        <f t="shared" si="2"/>
        <v>1</v>
      </c>
    </row>
    <row r="8380">
      <c r="A8380" s="58">
        <v>45413.0</v>
      </c>
      <c r="B8380" s="24" t="s">
        <v>6787</v>
      </c>
      <c r="C8380" s="24" t="s">
        <v>6907</v>
      </c>
      <c r="D8380" s="59">
        <v>1.0</v>
      </c>
      <c r="E8380" s="59">
        <v>1.0</v>
      </c>
      <c r="F8380" s="59">
        <v>1.0</v>
      </c>
      <c r="G8380" s="60">
        <v>1.0</v>
      </c>
      <c r="H8380" s="60">
        <v>1.0</v>
      </c>
      <c r="I8380" s="60">
        <v>0.0</v>
      </c>
      <c r="J8380" s="59">
        <v>1.0</v>
      </c>
      <c r="K8380" s="61">
        <f t="shared" si="1"/>
        <v>1</v>
      </c>
      <c r="L8380" s="62">
        <f t="shared" si="2"/>
        <v>1</v>
      </c>
    </row>
    <row r="8381">
      <c r="A8381" s="58">
        <v>45413.0</v>
      </c>
      <c r="B8381" s="24" t="s">
        <v>6789</v>
      </c>
      <c r="C8381" s="24" t="s">
        <v>6800</v>
      </c>
      <c r="D8381" s="59">
        <v>1.0</v>
      </c>
      <c r="E8381" s="59">
        <v>1.0</v>
      </c>
      <c r="F8381" s="59">
        <v>0.0</v>
      </c>
      <c r="G8381" s="60">
        <v>1.0</v>
      </c>
      <c r="H8381" s="60">
        <v>1.0</v>
      </c>
      <c r="I8381" s="60">
        <v>5.824431</v>
      </c>
      <c r="J8381" s="59">
        <v>1.0</v>
      </c>
      <c r="K8381" s="61">
        <f t="shared" si="1"/>
        <v>0</v>
      </c>
      <c r="L8381" s="62">
        <f t="shared" si="2"/>
        <v>1</v>
      </c>
    </row>
    <row r="8382">
      <c r="A8382" s="58">
        <v>45413.0</v>
      </c>
      <c r="B8382" s="24" t="s">
        <v>6794</v>
      </c>
      <c r="C8382" s="24" t="s">
        <v>6800</v>
      </c>
      <c r="D8382" s="59">
        <v>1.0</v>
      </c>
      <c r="E8382" s="59">
        <v>1.0</v>
      </c>
      <c r="F8382" s="59">
        <v>0.0</v>
      </c>
      <c r="G8382" s="60">
        <v>1.0</v>
      </c>
      <c r="H8382" s="60">
        <v>1.0</v>
      </c>
      <c r="I8382" s="60">
        <v>0.0</v>
      </c>
      <c r="J8382" s="59">
        <v>1.0</v>
      </c>
      <c r="K8382" s="61">
        <f t="shared" si="1"/>
        <v>0</v>
      </c>
      <c r="L8382" s="62">
        <f t="shared" si="2"/>
        <v>1</v>
      </c>
    </row>
    <row r="8383">
      <c r="A8383" s="58">
        <v>45413.0</v>
      </c>
      <c r="B8383" s="24" t="s">
        <v>6787</v>
      </c>
      <c r="C8383" s="24" t="s">
        <v>6908</v>
      </c>
      <c r="D8383" s="59">
        <v>1.0</v>
      </c>
      <c r="E8383" s="59">
        <v>1.0</v>
      </c>
      <c r="F8383" s="59">
        <v>1.0</v>
      </c>
      <c r="G8383" s="60">
        <v>1.0</v>
      </c>
      <c r="H8383" s="60">
        <v>1.0</v>
      </c>
      <c r="I8383" s="60">
        <v>0.0</v>
      </c>
      <c r="J8383" s="59">
        <v>1.0</v>
      </c>
      <c r="K8383" s="61">
        <f t="shared" si="1"/>
        <v>1</v>
      </c>
      <c r="L8383" s="62">
        <f t="shared" si="2"/>
        <v>1</v>
      </c>
    </row>
    <row r="8384">
      <c r="A8384" s="58">
        <v>45413.0</v>
      </c>
      <c r="B8384" s="24" t="s">
        <v>3216</v>
      </c>
      <c r="C8384" s="24" t="s">
        <v>6908</v>
      </c>
      <c r="D8384" s="59">
        <v>1.0</v>
      </c>
      <c r="E8384" s="59">
        <v>1.0</v>
      </c>
      <c r="F8384" s="59">
        <v>0.0</v>
      </c>
      <c r="G8384" s="60">
        <v>0.0</v>
      </c>
      <c r="H8384" s="60">
        <v>1.0</v>
      </c>
      <c r="I8384" s="60">
        <v>0.0</v>
      </c>
      <c r="J8384" s="59">
        <v>1.0</v>
      </c>
      <c r="K8384" s="61">
        <f t="shared" si="1"/>
        <v>0</v>
      </c>
      <c r="L8384" s="62">
        <f t="shared" si="2"/>
        <v>1</v>
      </c>
    </row>
    <row r="8385">
      <c r="A8385" s="58">
        <v>45413.0</v>
      </c>
      <c r="B8385" s="24" t="s">
        <v>6794</v>
      </c>
      <c r="C8385" s="24" t="s">
        <v>7313</v>
      </c>
      <c r="D8385" s="59">
        <v>1.0</v>
      </c>
      <c r="E8385" s="59">
        <v>1.0</v>
      </c>
      <c r="F8385" s="59">
        <v>0.0</v>
      </c>
      <c r="G8385" s="60">
        <v>0.0</v>
      </c>
      <c r="H8385" s="60">
        <v>1.0</v>
      </c>
      <c r="I8385" s="60">
        <v>0.0</v>
      </c>
      <c r="J8385" s="59">
        <v>1.0</v>
      </c>
      <c r="K8385" s="61">
        <f t="shared" si="1"/>
        <v>0</v>
      </c>
      <c r="L8385" s="62">
        <f t="shared" si="2"/>
        <v>1</v>
      </c>
    </row>
    <row r="8386">
      <c r="A8386" s="58">
        <v>45413.0</v>
      </c>
      <c r="B8386" s="24" t="s">
        <v>6787</v>
      </c>
      <c r="C8386" s="24" t="s">
        <v>6801</v>
      </c>
      <c r="D8386" s="59">
        <v>1.0</v>
      </c>
      <c r="E8386" s="59">
        <v>1.0</v>
      </c>
      <c r="F8386" s="59">
        <v>1.0</v>
      </c>
      <c r="G8386" s="60">
        <v>1.0</v>
      </c>
      <c r="H8386" s="60">
        <v>1.0</v>
      </c>
      <c r="I8386" s="60">
        <v>0.0</v>
      </c>
      <c r="J8386" s="59">
        <v>1.0</v>
      </c>
      <c r="K8386" s="61">
        <f t="shared" si="1"/>
        <v>1</v>
      </c>
      <c r="L8386" s="62">
        <f t="shared" si="2"/>
        <v>1</v>
      </c>
    </row>
    <row r="8387">
      <c r="A8387" s="58">
        <v>45413.0</v>
      </c>
      <c r="B8387" s="24" t="s">
        <v>6787</v>
      </c>
      <c r="C8387" s="24" t="s">
        <v>7023</v>
      </c>
      <c r="D8387" s="59">
        <v>1.0</v>
      </c>
      <c r="E8387" s="59">
        <v>1.0</v>
      </c>
      <c r="F8387" s="59">
        <v>1.0</v>
      </c>
      <c r="G8387" s="60">
        <v>1.0</v>
      </c>
      <c r="H8387" s="60">
        <v>1.0</v>
      </c>
      <c r="I8387" s="60">
        <v>0.0</v>
      </c>
      <c r="J8387" s="59">
        <v>1.0</v>
      </c>
      <c r="K8387" s="61">
        <f t="shared" si="1"/>
        <v>1</v>
      </c>
      <c r="L8387" s="62">
        <f t="shared" si="2"/>
        <v>1</v>
      </c>
    </row>
    <row r="8388">
      <c r="A8388" s="58">
        <v>45413.0</v>
      </c>
      <c r="B8388" s="24" t="s">
        <v>6787</v>
      </c>
      <c r="C8388" s="24" t="s">
        <v>7403</v>
      </c>
      <c r="D8388" s="59">
        <v>1.0</v>
      </c>
      <c r="E8388" s="59">
        <v>1.0</v>
      </c>
      <c r="F8388" s="59">
        <v>1.0</v>
      </c>
      <c r="G8388" s="60">
        <v>1.0</v>
      </c>
      <c r="H8388" s="60">
        <v>0.0</v>
      </c>
      <c r="I8388" s="60">
        <v>58.503917</v>
      </c>
      <c r="J8388" s="59">
        <v>1.0</v>
      </c>
      <c r="K8388" s="61">
        <f t="shared" si="1"/>
        <v>1</v>
      </c>
      <c r="L8388" s="62">
        <f t="shared" si="2"/>
        <v>1</v>
      </c>
    </row>
    <row r="8389">
      <c r="A8389" s="58">
        <v>45413.0</v>
      </c>
      <c r="B8389" s="24" t="s">
        <v>155</v>
      </c>
      <c r="C8389" s="24" t="s">
        <v>7403</v>
      </c>
      <c r="D8389" s="59">
        <v>1.0</v>
      </c>
      <c r="E8389" s="59">
        <v>1.0</v>
      </c>
      <c r="F8389" s="59">
        <v>0.0</v>
      </c>
      <c r="G8389" s="60">
        <v>1.0</v>
      </c>
      <c r="H8389" s="60">
        <v>0.0</v>
      </c>
      <c r="I8389" s="60">
        <v>1099.680331</v>
      </c>
      <c r="J8389" s="59">
        <v>7.0</v>
      </c>
      <c r="K8389" s="61">
        <f t="shared" si="1"/>
        <v>0</v>
      </c>
      <c r="L8389" s="62">
        <f t="shared" si="2"/>
        <v>7</v>
      </c>
    </row>
    <row r="8390">
      <c r="A8390" s="58">
        <v>45413.0</v>
      </c>
      <c r="B8390" s="24" t="s">
        <v>6787</v>
      </c>
      <c r="C8390" s="24" t="s">
        <v>7192</v>
      </c>
      <c r="D8390" s="59">
        <v>1.0</v>
      </c>
      <c r="E8390" s="59">
        <v>1.0</v>
      </c>
      <c r="F8390" s="59">
        <v>1.0</v>
      </c>
      <c r="G8390" s="60">
        <v>1.0</v>
      </c>
      <c r="H8390" s="60">
        <v>1.0</v>
      </c>
      <c r="I8390" s="60">
        <v>0.0</v>
      </c>
      <c r="J8390" s="59">
        <v>1.0</v>
      </c>
      <c r="K8390" s="61">
        <f t="shared" si="1"/>
        <v>1</v>
      </c>
      <c r="L8390" s="62">
        <f t="shared" si="2"/>
        <v>1</v>
      </c>
    </row>
    <row r="8391">
      <c r="A8391" s="58">
        <v>45413.0</v>
      </c>
      <c r="B8391" s="24" t="s">
        <v>6794</v>
      </c>
      <c r="C8391" s="24" t="s">
        <v>7192</v>
      </c>
      <c r="D8391" s="59">
        <v>1.0</v>
      </c>
      <c r="E8391" s="59">
        <v>1.0</v>
      </c>
      <c r="F8391" s="59">
        <v>0.0</v>
      </c>
      <c r="G8391" s="60">
        <v>1.0</v>
      </c>
      <c r="H8391" s="60">
        <v>0.0</v>
      </c>
      <c r="I8391" s="60">
        <v>18.239579</v>
      </c>
      <c r="J8391" s="59">
        <v>2.0</v>
      </c>
      <c r="K8391" s="61">
        <f t="shared" si="1"/>
        <v>0</v>
      </c>
      <c r="L8391" s="62">
        <f t="shared" si="2"/>
        <v>2</v>
      </c>
    </row>
    <row r="8392">
      <c r="A8392" s="58">
        <v>45413.0</v>
      </c>
      <c r="B8392" s="24" t="s">
        <v>6787</v>
      </c>
      <c r="C8392" s="24" t="s">
        <v>7559</v>
      </c>
      <c r="D8392" s="59">
        <v>1.0</v>
      </c>
      <c r="E8392" s="59">
        <v>1.0</v>
      </c>
      <c r="F8392" s="59">
        <v>1.0</v>
      </c>
      <c r="G8392" s="60">
        <v>1.0</v>
      </c>
      <c r="H8392" s="60">
        <v>0.0</v>
      </c>
      <c r="I8392" s="60">
        <v>110.446142</v>
      </c>
      <c r="J8392" s="59">
        <v>6.0</v>
      </c>
      <c r="K8392" s="61">
        <f t="shared" si="1"/>
        <v>1</v>
      </c>
      <c r="L8392" s="62">
        <f t="shared" si="2"/>
        <v>6</v>
      </c>
    </row>
    <row r="8393">
      <c r="A8393" s="58">
        <v>45413.0</v>
      </c>
      <c r="B8393" s="24" t="s">
        <v>6794</v>
      </c>
      <c r="C8393" s="24" t="s">
        <v>7559</v>
      </c>
      <c r="D8393" s="59">
        <v>1.0</v>
      </c>
      <c r="E8393" s="59">
        <v>1.0</v>
      </c>
      <c r="F8393" s="59">
        <v>1.0</v>
      </c>
      <c r="G8393" s="60">
        <v>1.0</v>
      </c>
      <c r="H8393" s="60">
        <v>0.0</v>
      </c>
      <c r="I8393" s="60">
        <v>20.43511</v>
      </c>
      <c r="J8393" s="59">
        <v>2.0</v>
      </c>
      <c r="K8393" s="61">
        <f t="shared" si="1"/>
        <v>1</v>
      </c>
      <c r="L8393" s="62">
        <f t="shared" si="2"/>
        <v>2</v>
      </c>
    </row>
    <row r="8394">
      <c r="A8394" s="58">
        <v>45413.0</v>
      </c>
      <c r="B8394" s="24" t="s">
        <v>155</v>
      </c>
      <c r="C8394" s="24" t="s">
        <v>7107</v>
      </c>
      <c r="D8394" s="59">
        <v>1.0</v>
      </c>
      <c r="E8394" s="59">
        <v>1.0</v>
      </c>
      <c r="F8394" s="59">
        <v>0.0</v>
      </c>
      <c r="G8394" s="60">
        <v>1.0</v>
      </c>
      <c r="H8394" s="60">
        <v>0.0</v>
      </c>
      <c r="I8394" s="60">
        <v>103.953651</v>
      </c>
      <c r="J8394" s="59">
        <v>1.0</v>
      </c>
      <c r="K8394" s="61">
        <f t="shared" si="1"/>
        <v>0</v>
      </c>
      <c r="L8394" s="62">
        <f t="shared" si="2"/>
        <v>1</v>
      </c>
    </row>
    <row r="8395">
      <c r="A8395" s="58">
        <v>45413.0</v>
      </c>
      <c r="B8395" s="24" t="s">
        <v>6789</v>
      </c>
      <c r="C8395" s="24" t="s">
        <v>6921</v>
      </c>
      <c r="D8395" s="59">
        <v>1.0</v>
      </c>
      <c r="E8395" s="59">
        <v>1.0</v>
      </c>
      <c r="F8395" s="59">
        <v>1.0</v>
      </c>
      <c r="G8395" s="60">
        <v>1.0</v>
      </c>
      <c r="H8395" s="60">
        <v>1.0</v>
      </c>
      <c r="I8395" s="60">
        <v>0.0</v>
      </c>
      <c r="J8395" s="59">
        <v>1.0</v>
      </c>
      <c r="K8395" s="61">
        <f t="shared" si="1"/>
        <v>1</v>
      </c>
      <c r="L8395" s="62">
        <f t="shared" si="2"/>
        <v>1</v>
      </c>
    </row>
    <row r="8396">
      <c r="A8396" s="58">
        <v>45413.0</v>
      </c>
      <c r="B8396" s="24" t="s">
        <v>6787</v>
      </c>
      <c r="C8396" s="24" t="s">
        <v>7047</v>
      </c>
      <c r="D8396" s="59">
        <v>1.0</v>
      </c>
      <c r="E8396" s="59">
        <v>1.0</v>
      </c>
      <c r="F8396" s="59">
        <v>1.0</v>
      </c>
      <c r="G8396" s="60">
        <v>1.0</v>
      </c>
      <c r="H8396" s="60">
        <v>1.0</v>
      </c>
      <c r="I8396" s="60">
        <v>0.0</v>
      </c>
      <c r="J8396" s="59">
        <v>1.0</v>
      </c>
      <c r="K8396" s="61">
        <f t="shared" si="1"/>
        <v>1</v>
      </c>
      <c r="L8396" s="62">
        <f t="shared" si="2"/>
        <v>1</v>
      </c>
    </row>
    <row r="8397">
      <c r="A8397" s="58">
        <v>45413.0</v>
      </c>
      <c r="B8397" s="24" t="s">
        <v>6789</v>
      </c>
      <c r="C8397" s="24" t="s">
        <v>7047</v>
      </c>
      <c r="D8397" s="59">
        <v>1.0</v>
      </c>
      <c r="E8397" s="59">
        <v>1.0</v>
      </c>
      <c r="F8397" s="59">
        <v>0.0</v>
      </c>
      <c r="G8397" s="60">
        <v>1.0</v>
      </c>
      <c r="H8397" s="60">
        <v>0.0</v>
      </c>
      <c r="I8397" s="60">
        <v>114.764153</v>
      </c>
      <c r="J8397" s="59">
        <v>4.0</v>
      </c>
      <c r="K8397" s="61">
        <f t="shared" si="1"/>
        <v>0</v>
      </c>
      <c r="L8397" s="62">
        <f t="shared" si="2"/>
        <v>4</v>
      </c>
    </row>
    <row r="8398">
      <c r="A8398" s="58">
        <v>45413.0</v>
      </c>
      <c r="B8398" s="24" t="s">
        <v>6789</v>
      </c>
      <c r="C8398" s="24" t="s">
        <v>6797</v>
      </c>
      <c r="D8398" s="59">
        <v>1.0</v>
      </c>
      <c r="E8398" s="59">
        <v>3.0</v>
      </c>
      <c r="F8398" s="59">
        <v>1.0</v>
      </c>
      <c r="G8398" s="60">
        <v>3.0</v>
      </c>
      <c r="H8398" s="60">
        <v>1.0</v>
      </c>
      <c r="I8398" s="60">
        <v>2.052946</v>
      </c>
      <c r="J8398" s="59">
        <v>3.0</v>
      </c>
      <c r="K8398" s="61">
        <f t="shared" si="1"/>
        <v>0.3333333333</v>
      </c>
      <c r="L8398" s="62">
        <f t="shared" si="2"/>
        <v>1</v>
      </c>
    </row>
    <row r="8399">
      <c r="A8399" s="58">
        <v>45413.0</v>
      </c>
      <c r="B8399" s="24" t="s">
        <v>6787</v>
      </c>
      <c r="C8399" s="24" t="s">
        <v>6810</v>
      </c>
      <c r="D8399" s="59">
        <v>1.0</v>
      </c>
      <c r="E8399" s="59">
        <v>1.0</v>
      </c>
      <c r="F8399" s="59">
        <v>1.0</v>
      </c>
      <c r="G8399" s="60">
        <v>1.0</v>
      </c>
      <c r="H8399" s="60">
        <v>1.0</v>
      </c>
      <c r="I8399" s="60">
        <v>0.0</v>
      </c>
      <c r="J8399" s="59">
        <v>1.0</v>
      </c>
      <c r="K8399" s="61">
        <f t="shared" si="1"/>
        <v>1</v>
      </c>
      <c r="L8399" s="62">
        <f t="shared" si="2"/>
        <v>1</v>
      </c>
    </row>
    <row r="8400">
      <c r="A8400" s="58">
        <v>45413.0</v>
      </c>
      <c r="B8400" s="24" t="s">
        <v>155</v>
      </c>
      <c r="C8400" s="24" t="s">
        <v>6931</v>
      </c>
      <c r="D8400" s="59">
        <v>1.0</v>
      </c>
      <c r="E8400" s="59">
        <v>1.0</v>
      </c>
      <c r="F8400" s="59">
        <v>1.0</v>
      </c>
      <c r="G8400" s="60">
        <v>1.0</v>
      </c>
      <c r="H8400" s="60">
        <v>0.0</v>
      </c>
      <c r="I8400" s="60">
        <v>582.726702</v>
      </c>
      <c r="J8400" s="59">
        <v>3.0</v>
      </c>
      <c r="K8400" s="61">
        <f t="shared" si="1"/>
        <v>1</v>
      </c>
      <c r="L8400" s="62">
        <f t="shared" si="2"/>
        <v>3</v>
      </c>
    </row>
    <row r="8401">
      <c r="A8401" s="58">
        <v>45413.0</v>
      </c>
      <c r="B8401" s="24" t="s">
        <v>155</v>
      </c>
      <c r="C8401" s="24" t="s">
        <v>6962</v>
      </c>
      <c r="D8401" s="59">
        <v>1.0</v>
      </c>
      <c r="E8401" s="59">
        <v>1.0</v>
      </c>
      <c r="F8401" s="59">
        <v>0.0</v>
      </c>
      <c r="G8401" s="60">
        <v>1.0</v>
      </c>
      <c r="H8401" s="60">
        <v>0.0</v>
      </c>
      <c r="I8401" s="60">
        <v>5.88E-4</v>
      </c>
      <c r="J8401" s="59">
        <v>1.0</v>
      </c>
      <c r="K8401" s="61">
        <f t="shared" si="1"/>
        <v>0</v>
      </c>
      <c r="L8401" s="62">
        <f t="shared" si="2"/>
        <v>1</v>
      </c>
    </row>
    <row r="8402">
      <c r="A8402" s="58">
        <v>45413.0</v>
      </c>
      <c r="B8402" s="24" t="s">
        <v>6787</v>
      </c>
      <c r="C8402" s="24" t="s">
        <v>7208</v>
      </c>
      <c r="D8402" s="59">
        <v>1.0</v>
      </c>
      <c r="E8402" s="59">
        <v>1.0</v>
      </c>
      <c r="F8402" s="59">
        <v>0.0</v>
      </c>
      <c r="G8402" s="60">
        <v>1.0</v>
      </c>
      <c r="H8402" s="60">
        <v>0.0</v>
      </c>
      <c r="I8402" s="60">
        <v>5.82E-4</v>
      </c>
      <c r="J8402" s="59">
        <v>1.0</v>
      </c>
      <c r="K8402" s="61">
        <f t="shared" si="1"/>
        <v>0</v>
      </c>
      <c r="L8402" s="62">
        <f t="shared" si="2"/>
        <v>1</v>
      </c>
    </row>
    <row r="8403">
      <c r="A8403" s="58">
        <v>45413.0</v>
      </c>
      <c r="B8403" s="24" t="s">
        <v>7100</v>
      </c>
      <c r="C8403" s="24" t="s">
        <v>6963</v>
      </c>
      <c r="D8403" s="59">
        <v>1.0</v>
      </c>
      <c r="E8403" s="59">
        <v>1.0</v>
      </c>
      <c r="F8403" s="59">
        <v>1.0</v>
      </c>
      <c r="G8403" s="60">
        <v>1.0</v>
      </c>
      <c r="H8403" s="60">
        <v>1.0</v>
      </c>
      <c r="I8403" s="60">
        <v>0.0</v>
      </c>
      <c r="J8403" s="59">
        <v>1.0</v>
      </c>
      <c r="K8403" s="61">
        <f t="shared" si="1"/>
        <v>1</v>
      </c>
      <c r="L8403" s="62">
        <f t="shared" si="2"/>
        <v>1</v>
      </c>
    </row>
    <row r="8404">
      <c r="A8404" s="58">
        <v>45413.0</v>
      </c>
      <c r="B8404" s="24" t="s">
        <v>155</v>
      </c>
      <c r="C8404" s="24" t="s">
        <v>6963</v>
      </c>
      <c r="D8404" s="59">
        <v>1.0</v>
      </c>
      <c r="E8404" s="59">
        <v>1.0</v>
      </c>
      <c r="F8404" s="59">
        <v>0.0</v>
      </c>
      <c r="G8404" s="60">
        <v>0.0</v>
      </c>
      <c r="H8404" s="60">
        <v>1.0</v>
      </c>
      <c r="I8404" s="60">
        <v>0.0</v>
      </c>
      <c r="J8404" s="59">
        <v>1.0</v>
      </c>
      <c r="K8404" s="61">
        <f t="shared" si="1"/>
        <v>0</v>
      </c>
      <c r="L8404" s="62">
        <f t="shared" si="2"/>
        <v>1</v>
      </c>
    </row>
    <row r="8405">
      <c r="A8405" s="58">
        <v>45413.0</v>
      </c>
      <c r="B8405" s="24" t="s">
        <v>6787</v>
      </c>
      <c r="C8405" s="24" t="s">
        <v>6924</v>
      </c>
      <c r="D8405" s="59">
        <v>1.0</v>
      </c>
      <c r="E8405" s="59">
        <v>1.0</v>
      </c>
      <c r="F8405" s="59">
        <v>0.0</v>
      </c>
      <c r="G8405" s="60">
        <v>1.0</v>
      </c>
      <c r="H8405" s="60">
        <v>0.0</v>
      </c>
      <c r="I8405" s="60">
        <v>4.757477</v>
      </c>
      <c r="J8405" s="59">
        <v>2.0</v>
      </c>
      <c r="K8405" s="61">
        <f t="shared" si="1"/>
        <v>0</v>
      </c>
      <c r="L8405" s="62">
        <f t="shared" si="2"/>
        <v>2</v>
      </c>
    </row>
    <row r="8406">
      <c r="A8406" s="58">
        <v>45413.0</v>
      </c>
      <c r="B8406" s="24" t="s">
        <v>6789</v>
      </c>
      <c r="C8406" s="24" t="s">
        <v>6924</v>
      </c>
      <c r="D8406" s="59">
        <v>1.0</v>
      </c>
      <c r="E8406" s="59">
        <v>1.0</v>
      </c>
      <c r="F8406" s="59">
        <v>0.0</v>
      </c>
      <c r="G8406" s="60">
        <v>1.0</v>
      </c>
      <c r="H8406" s="60">
        <v>0.0</v>
      </c>
      <c r="I8406" s="60">
        <v>1587.621959</v>
      </c>
      <c r="J8406" s="59">
        <v>2.0</v>
      </c>
      <c r="K8406" s="61">
        <f t="shared" si="1"/>
        <v>0</v>
      </c>
      <c r="L8406" s="62">
        <f t="shared" si="2"/>
        <v>2</v>
      </c>
    </row>
    <row r="8407">
      <c r="A8407" s="58">
        <v>45383.0</v>
      </c>
      <c r="B8407" s="24" t="s">
        <v>6789</v>
      </c>
      <c r="C8407" s="24" t="s">
        <v>6788</v>
      </c>
      <c r="D8407" s="59">
        <v>1119.0</v>
      </c>
      <c r="E8407" s="59">
        <v>1477.0</v>
      </c>
      <c r="F8407" s="59">
        <v>973.0</v>
      </c>
      <c r="G8407" s="60">
        <v>1.33907524932003</v>
      </c>
      <c r="H8407" s="60">
        <v>0.434664861205145</v>
      </c>
      <c r="I8407" s="60">
        <v>181.317465827352</v>
      </c>
      <c r="J8407" s="59">
        <v>2526.0</v>
      </c>
      <c r="K8407" s="61">
        <f t="shared" si="1"/>
        <v>0.6587677725</v>
      </c>
      <c r="L8407" s="62">
        <f t="shared" si="2"/>
        <v>1.710223426</v>
      </c>
    </row>
    <row r="8408">
      <c r="A8408" s="58">
        <v>45383.0</v>
      </c>
      <c r="B8408" s="24" t="s">
        <v>6787</v>
      </c>
      <c r="C8408" s="24" t="s">
        <v>6788</v>
      </c>
      <c r="D8408" s="59">
        <v>1021.0</v>
      </c>
      <c r="E8408" s="59">
        <v>1232.0</v>
      </c>
      <c r="F8408" s="59">
        <v>958.0</v>
      </c>
      <c r="G8408" s="60">
        <v>1.21980198019801</v>
      </c>
      <c r="H8408" s="60">
        <v>0.604707792207792</v>
      </c>
      <c r="I8408" s="60">
        <v>114.219199815746</v>
      </c>
      <c r="J8408" s="59">
        <v>1744.0</v>
      </c>
      <c r="K8408" s="61">
        <f t="shared" si="1"/>
        <v>0.7775974026</v>
      </c>
      <c r="L8408" s="62">
        <f t="shared" si="2"/>
        <v>1.415584416</v>
      </c>
    </row>
    <row r="8409">
      <c r="A8409" s="58">
        <v>45383.0</v>
      </c>
      <c r="B8409" s="24" t="s">
        <v>6790</v>
      </c>
      <c r="C8409" s="24" t="s">
        <v>7107</v>
      </c>
      <c r="D8409" s="59">
        <v>853.0</v>
      </c>
      <c r="E8409" s="59">
        <v>853.0</v>
      </c>
      <c r="F8409" s="59">
        <v>852.0</v>
      </c>
      <c r="G8409" s="60">
        <v>1.0</v>
      </c>
      <c r="H8409" s="60">
        <v>0.922626025791324</v>
      </c>
      <c r="I8409" s="60">
        <v>2.40355986166471</v>
      </c>
      <c r="J8409" s="59">
        <v>858.0</v>
      </c>
      <c r="K8409" s="61">
        <f t="shared" si="1"/>
        <v>0.9988276671</v>
      </c>
      <c r="L8409" s="62">
        <f t="shared" si="2"/>
        <v>1.005861665</v>
      </c>
    </row>
    <row r="8410">
      <c r="A8410" s="58">
        <v>45383.0</v>
      </c>
      <c r="B8410" s="24" t="s">
        <v>6794</v>
      </c>
      <c r="C8410" s="24" t="s">
        <v>6788</v>
      </c>
      <c r="D8410" s="59">
        <v>318.0</v>
      </c>
      <c r="E8410" s="59">
        <v>352.0</v>
      </c>
      <c r="F8410" s="59">
        <v>297.0</v>
      </c>
      <c r="G8410" s="60">
        <v>1.10691823899371</v>
      </c>
      <c r="H8410" s="60">
        <v>0.346590909090909</v>
      </c>
      <c r="I8410" s="60">
        <v>180.548695963068</v>
      </c>
      <c r="J8410" s="59">
        <v>626.0</v>
      </c>
      <c r="K8410" s="61">
        <f t="shared" si="1"/>
        <v>0.84375</v>
      </c>
      <c r="L8410" s="62">
        <f t="shared" si="2"/>
        <v>1.778409091</v>
      </c>
    </row>
    <row r="8411">
      <c r="A8411" s="58">
        <v>45383.0</v>
      </c>
      <c r="B8411" s="24" t="s">
        <v>6789</v>
      </c>
      <c r="C8411" s="24" t="s">
        <v>7068</v>
      </c>
      <c r="D8411" s="59">
        <v>282.0</v>
      </c>
      <c r="E8411" s="59">
        <v>304.0</v>
      </c>
      <c r="F8411" s="59">
        <v>278.0</v>
      </c>
      <c r="G8411" s="60">
        <v>1.08960573476702</v>
      </c>
      <c r="H8411" s="60">
        <v>0.351973684210526</v>
      </c>
      <c r="I8411" s="60">
        <v>196.767396200657</v>
      </c>
      <c r="J8411" s="59">
        <v>338.0</v>
      </c>
      <c r="K8411" s="61">
        <f t="shared" si="1"/>
        <v>0.9144736842</v>
      </c>
      <c r="L8411" s="62">
        <f t="shared" si="2"/>
        <v>1.111842105</v>
      </c>
    </row>
    <row r="8412">
      <c r="A8412" s="58">
        <v>45383.0</v>
      </c>
      <c r="B8412" s="24" t="s">
        <v>6789</v>
      </c>
      <c r="C8412" s="24" t="s">
        <v>6792</v>
      </c>
      <c r="D8412" s="59">
        <v>274.0</v>
      </c>
      <c r="E8412" s="59">
        <v>307.0</v>
      </c>
      <c r="F8412" s="59">
        <v>0.0</v>
      </c>
      <c r="G8412" s="60">
        <v>1.6505376344086</v>
      </c>
      <c r="H8412" s="60">
        <v>0.973941368078175</v>
      </c>
      <c r="I8412" s="60">
        <v>7.99867865146579</v>
      </c>
      <c r="J8412" s="59">
        <v>0.0</v>
      </c>
      <c r="K8412" s="61">
        <f t="shared" si="1"/>
        <v>0</v>
      </c>
      <c r="L8412" s="62">
        <f t="shared" si="2"/>
        <v>0</v>
      </c>
    </row>
    <row r="8413">
      <c r="A8413" s="58">
        <v>45383.0</v>
      </c>
      <c r="B8413" s="24" t="s">
        <v>155</v>
      </c>
      <c r="C8413" s="24" t="s">
        <v>6788</v>
      </c>
      <c r="D8413" s="59">
        <v>180.0</v>
      </c>
      <c r="E8413" s="59">
        <v>272.0</v>
      </c>
      <c r="F8413" s="59">
        <v>145.0</v>
      </c>
      <c r="G8413" s="60">
        <v>1.5367231638418</v>
      </c>
      <c r="H8413" s="60">
        <v>0.50735294117647</v>
      </c>
      <c r="I8413" s="60">
        <v>189.472606819853</v>
      </c>
      <c r="J8413" s="59">
        <v>473.0</v>
      </c>
      <c r="K8413" s="61">
        <f t="shared" si="1"/>
        <v>0.5330882353</v>
      </c>
      <c r="L8413" s="62">
        <f t="shared" si="2"/>
        <v>1.738970588</v>
      </c>
    </row>
    <row r="8414">
      <c r="A8414" s="58">
        <v>45383.0</v>
      </c>
      <c r="B8414" s="24" t="s">
        <v>6787</v>
      </c>
      <c r="C8414" s="24" t="s">
        <v>6792</v>
      </c>
      <c r="D8414" s="59">
        <v>100.0</v>
      </c>
      <c r="E8414" s="59">
        <v>110.0</v>
      </c>
      <c r="F8414" s="59">
        <v>1.0</v>
      </c>
      <c r="G8414" s="60">
        <v>1.61764705882352</v>
      </c>
      <c r="H8414" s="60">
        <v>0.981818181818181</v>
      </c>
      <c r="I8414" s="60">
        <v>12.0009750545454</v>
      </c>
      <c r="J8414" s="59">
        <v>8.0</v>
      </c>
      <c r="K8414" s="61">
        <f t="shared" si="1"/>
        <v>0.009090909091</v>
      </c>
      <c r="L8414" s="62">
        <f t="shared" si="2"/>
        <v>0.07272727273</v>
      </c>
    </row>
    <row r="8415">
      <c r="A8415" s="58">
        <v>45383.0</v>
      </c>
      <c r="B8415" s="24" t="s">
        <v>6789</v>
      </c>
      <c r="C8415" s="24" t="s">
        <v>6799</v>
      </c>
      <c r="D8415" s="59">
        <v>91.0</v>
      </c>
      <c r="E8415" s="59">
        <v>97.0</v>
      </c>
      <c r="F8415" s="59">
        <v>60.0</v>
      </c>
      <c r="G8415" s="60">
        <v>1.10227272727272</v>
      </c>
      <c r="H8415" s="60">
        <v>0.185567010309278</v>
      </c>
      <c r="I8415" s="60">
        <v>387.478716371134</v>
      </c>
      <c r="J8415" s="59">
        <v>224.0</v>
      </c>
      <c r="K8415" s="61">
        <f t="shared" si="1"/>
        <v>0.618556701</v>
      </c>
      <c r="L8415" s="62">
        <f t="shared" si="2"/>
        <v>2.309278351</v>
      </c>
    </row>
    <row r="8416">
      <c r="A8416" s="58">
        <v>45383.0</v>
      </c>
      <c r="B8416" s="24" t="s">
        <v>6790</v>
      </c>
      <c r="C8416" s="24" t="s">
        <v>6788</v>
      </c>
      <c r="D8416" s="59">
        <v>75.0</v>
      </c>
      <c r="E8416" s="59">
        <v>75.0</v>
      </c>
      <c r="F8416" s="59">
        <v>74.0</v>
      </c>
      <c r="G8416" s="60">
        <v>1.0</v>
      </c>
      <c r="H8416" s="60">
        <v>0.906666666666666</v>
      </c>
      <c r="I8416" s="60">
        <v>14.2123952</v>
      </c>
      <c r="J8416" s="59">
        <v>80.0</v>
      </c>
      <c r="K8416" s="61">
        <f t="shared" si="1"/>
        <v>0.9866666667</v>
      </c>
      <c r="L8416" s="62">
        <f t="shared" si="2"/>
        <v>1.066666667</v>
      </c>
    </row>
    <row r="8417">
      <c r="A8417" s="58">
        <v>45383.0</v>
      </c>
      <c r="B8417" s="24" t="s">
        <v>6787</v>
      </c>
      <c r="C8417" s="24" t="s">
        <v>7107</v>
      </c>
      <c r="D8417" s="59">
        <v>50.0</v>
      </c>
      <c r="E8417" s="59">
        <v>53.0</v>
      </c>
      <c r="F8417" s="59">
        <v>46.0</v>
      </c>
      <c r="G8417" s="60">
        <v>1.06</v>
      </c>
      <c r="H8417" s="60">
        <v>0.773584905660377</v>
      </c>
      <c r="I8417" s="60">
        <v>42.874973</v>
      </c>
      <c r="J8417" s="59">
        <v>73.0</v>
      </c>
      <c r="K8417" s="61">
        <f t="shared" si="1"/>
        <v>0.8679245283</v>
      </c>
      <c r="L8417" s="62">
        <f t="shared" si="2"/>
        <v>1.377358491</v>
      </c>
    </row>
    <row r="8418">
      <c r="A8418" s="58">
        <v>45383.0</v>
      </c>
      <c r="B8418" s="24" t="s">
        <v>6789</v>
      </c>
      <c r="C8418" s="24" t="s">
        <v>6804</v>
      </c>
      <c r="D8418" s="59">
        <v>46.0</v>
      </c>
      <c r="E8418" s="59">
        <v>51.0</v>
      </c>
      <c r="F8418" s="59">
        <v>44.0</v>
      </c>
      <c r="G8418" s="60">
        <v>1.13333333333333</v>
      </c>
      <c r="H8418" s="60">
        <v>0.450980392156862</v>
      </c>
      <c r="I8418" s="60">
        <v>185.607887215686</v>
      </c>
      <c r="J8418" s="59">
        <v>63.0</v>
      </c>
      <c r="K8418" s="61">
        <f t="shared" si="1"/>
        <v>0.862745098</v>
      </c>
      <c r="L8418" s="62">
        <f t="shared" si="2"/>
        <v>1.235294118</v>
      </c>
    </row>
    <row r="8419">
      <c r="A8419" s="58">
        <v>45383.0</v>
      </c>
      <c r="B8419" s="24" t="s">
        <v>6787</v>
      </c>
      <c r="C8419" s="24" t="s">
        <v>6799</v>
      </c>
      <c r="D8419" s="59">
        <v>39.0</v>
      </c>
      <c r="E8419" s="59">
        <v>40.0</v>
      </c>
      <c r="F8419" s="59">
        <v>32.0</v>
      </c>
      <c r="G8419" s="60">
        <v>1.14285714285714</v>
      </c>
      <c r="H8419" s="60">
        <v>0.5</v>
      </c>
      <c r="I8419" s="60">
        <v>48.23374065</v>
      </c>
      <c r="J8419" s="59">
        <v>61.0</v>
      </c>
      <c r="K8419" s="61">
        <f t="shared" si="1"/>
        <v>0.8</v>
      </c>
      <c r="L8419" s="62">
        <f t="shared" si="2"/>
        <v>1.525</v>
      </c>
    </row>
    <row r="8420">
      <c r="A8420" s="58">
        <v>45383.0</v>
      </c>
      <c r="B8420" s="24" t="s">
        <v>6794</v>
      </c>
      <c r="C8420" s="24" t="s">
        <v>6792</v>
      </c>
      <c r="D8420" s="59">
        <v>37.0</v>
      </c>
      <c r="E8420" s="59">
        <v>41.0</v>
      </c>
      <c r="F8420" s="59">
        <v>0.0</v>
      </c>
      <c r="G8420" s="60">
        <v>1.41379310344827</v>
      </c>
      <c r="H8420" s="60">
        <v>1.0</v>
      </c>
      <c r="I8420" s="60">
        <v>0.169475658536585</v>
      </c>
      <c r="J8420" s="59">
        <v>0.0</v>
      </c>
      <c r="K8420" s="61">
        <f t="shared" si="1"/>
        <v>0</v>
      </c>
      <c r="L8420" s="62">
        <f t="shared" si="2"/>
        <v>0</v>
      </c>
    </row>
    <row r="8421">
      <c r="A8421" s="58">
        <v>45383.0</v>
      </c>
      <c r="B8421" s="24" t="s">
        <v>6789</v>
      </c>
      <c r="C8421" s="24" t="s">
        <v>6815</v>
      </c>
      <c r="D8421" s="59">
        <v>35.0</v>
      </c>
      <c r="E8421" s="59">
        <v>45.0</v>
      </c>
      <c r="F8421" s="59">
        <v>29.0</v>
      </c>
      <c r="G8421" s="60">
        <v>1.3235294117647</v>
      </c>
      <c r="H8421" s="60">
        <v>0.444444444444444</v>
      </c>
      <c r="I8421" s="60">
        <v>141.719330555555</v>
      </c>
      <c r="J8421" s="59">
        <v>62.0</v>
      </c>
      <c r="K8421" s="61">
        <f t="shared" si="1"/>
        <v>0.6444444444</v>
      </c>
      <c r="L8421" s="62">
        <f t="shared" si="2"/>
        <v>1.377777778</v>
      </c>
    </row>
    <row r="8422">
      <c r="A8422" s="58">
        <v>45383.0</v>
      </c>
      <c r="B8422" s="24" t="s">
        <v>6789</v>
      </c>
      <c r="C8422" s="24" t="s">
        <v>7024</v>
      </c>
      <c r="D8422" s="59">
        <v>33.0</v>
      </c>
      <c r="E8422" s="59">
        <v>33.0</v>
      </c>
      <c r="F8422" s="59">
        <v>32.0</v>
      </c>
      <c r="G8422" s="60">
        <v>1.0</v>
      </c>
      <c r="H8422" s="60">
        <v>0.515151515151515</v>
      </c>
      <c r="I8422" s="60">
        <v>121.885290333333</v>
      </c>
      <c r="J8422" s="59">
        <v>44.0</v>
      </c>
      <c r="K8422" s="61">
        <f t="shared" si="1"/>
        <v>0.9696969697</v>
      </c>
      <c r="L8422" s="62">
        <f t="shared" si="2"/>
        <v>1.333333333</v>
      </c>
    </row>
    <row r="8423">
      <c r="A8423" s="58">
        <v>45383.0</v>
      </c>
      <c r="B8423" s="24" t="s">
        <v>6787</v>
      </c>
      <c r="C8423" s="24" t="s">
        <v>6802</v>
      </c>
      <c r="D8423" s="59">
        <v>31.0</v>
      </c>
      <c r="E8423" s="59">
        <v>36.0</v>
      </c>
      <c r="F8423" s="59">
        <v>26.0</v>
      </c>
      <c r="G8423" s="60">
        <v>1.16129032258064</v>
      </c>
      <c r="H8423" s="60">
        <v>0.444444444444444</v>
      </c>
      <c r="I8423" s="60">
        <v>53.4728401666666</v>
      </c>
      <c r="J8423" s="59">
        <v>63.0</v>
      </c>
      <c r="K8423" s="61">
        <f t="shared" si="1"/>
        <v>0.7222222222</v>
      </c>
      <c r="L8423" s="62">
        <f t="shared" si="2"/>
        <v>1.75</v>
      </c>
    </row>
    <row r="8424">
      <c r="A8424" s="58">
        <v>45383.0</v>
      </c>
      <c r="B8424" s="24" t="s">
        <v>7100</v>
      </c>
      <c r="C8424" s="24" t="s">
        <v>6788</v>
      </c>
      <c r="D8424" s="59">
        <v>24.0</v>
      </c>
      <c r="E8424" s="59">
        <v>38.0</v>
      </c>
      <c r="F8424" s="59">
        <v>23.0</v>
      </c>
      <c r="G8424" s="60">
        <v>1.65217391304347</v>
      </c>
      <c r="H8424" s="60">
        <v>0.736842105263157</v>
      </c>
      <c r="I8424" s="60">
        <v>49.4737219736842</v>
      </c>
      <c r="J8424" s="59">
        <v>43.0</v>
      </c>
      <c r="K8424" s="61">
        <f t="shared" si="1"/>
        <v>0.6052631579</v>
      </c>
      <c r="L8424" s="62">
        <f t="shared" si="2"/>
        <v>1.131578947</v>
      </c>
    </row>
    <row r="8425">
      <c r="A8425" s="58">
        <v>45383.0</v>
      </c>
      <c r="B8425" s="24" t="s">
        <v>6789</v>
      </c>
      <c r="C8425" s="24" t="s">
        <v>7180</v>
      </c>
      <c r="D8425" s="59">
        <v>21.0</v>
      </c>
      <c r="E8425" s="59">
        <v>21.0</v>
      </c>
      <c r="F8425" s="59">
        <v>16.0</v>
      </c>
      <c r="G8425" s="60">
        <v>1.0</v>
      </c>
      <c r="H8425" s="60">
        <v>0.38095238095238</v>
      </c>
      <c r="I8425" s="60">
        <v>127.944480571428</v>
      </c>
      <c r="J8425" s="59">
        <v>29.0</v>
      </c>
      <c r="K8425" s="61">
        <f t="shared" si="1"/>
        <v>0.7619047619</v>
      </c>
      <c r="L8425" s="62">
        <f t="shared" si="2"/>
        <v>1.380952381</v>
      </c>
    </row>
    <row r="8426">
      <c r="A8426" s="58">
        <v>45383.0</v>
      </c>
      <c r="B8426" s="24" t="s">
        <v>6789</v>
      </c>
      <c r="C8426" s="24" t="s">
        <v>6808</v>
      </c>
      <c r="D8426" s="59">
        <v>19.0</v>
      </c>
      <c r="E8426" s="59">
        <v>22.0</v>
      </c>
      <c r="F8426" s="59">
        <v>13.0</v>
      </c>
      <c r="G8426" s="60">
        <v>1.1578947368421</v>
      </c>
      <c r="H8426" s="60">
        <v>0.409090909090909</v>
      </c>
      <c r="I8426" s="60">
        <v>558.645044181818</v>
      </c>
      <c r="J8426" s="59">
        <v>61.0</v>
      </c>
      <c r="K8426" s="61">
        <f t="shared" si="1"/>
        <v>0.5909090909</v>
      </c>
      <c r="L8426" s="62">
        <f t="shared" si="2"/>
        <v>2.772727273</v>
      </c>
    </row>
    <row r="8427">
      <c r="A8427" s="58">
        <v>45383.0</v>
      </c>
      <c r="B8427" s="24" t="s">
        <v>155</v>
      </c>
      <c r="C8427" s="24" t="s">
        <v>6799</v>
      </c>
      <c r="D8427" s="59">
        <v>18.0</v>
      </c>
      <c r="E8427" s="59">
        <v>24.0</v>
      </c>
      <c r="F8427" s="59">
        <v>16.0</v>
      </c>
      <c r="G8427" s="60">
        <v>1.33333333333333</v>
      </c>
      <c r="H8427" s="60">
        <v>0.291666666666666</v>
      </c>
      <c r="I8427" s="60">
        <v>150.634011166666</v>
      </c>
      <c r="J8427" s="59">
        <v>35.0</v>
      </c>
      <c r="K8427" s="61">
        <f t="shared" si="1"/>
        <v>0.6666666667</v>
      </c>
      <c r="L8427" s="62">
        <f t="shared" si="2"/>
        <v>1.458333333</v>
      </c>
    </row>
    <row r="8428">
      <c r="A8428" s="58">
        <v>45383.0</v>
      </c>
      <c r="B8428" s="24" t="s">
        <v>6789</v>
      </c>
      <c r="C8428" s="24" t="s">
        <v>7107</v>
      </c>
      <c r="D8428" s="59">
        <v>18.0</v>
      </c>
      <c r="E8428" s="59">
        <v>23.0</v>
      </c>
      <c r="F8428" s="59">
        <v>1.0</v>
      </c>
      <c r="G8428" s="60">
        <v>1.35294117647058</v>
      </c>
      <c r="H8428" s="60">
        <v>0.565217391304347</v>
      </c>
      <c r="I8428" s="60">
        <v>270.897849956521</v>
      </c>
      <c r="J8428" s="59">
        <v>46.0</v>
      </c>
      <c r="K8428" s="61">
        <f t="shared" si="1"/>
        <v>0.04347826087</v>
      </c>
      <c r="L8428" s="62">
        <f t="shared" si="2"/>
        <v>2</v>
      </c>
    </row>
    <row r="8429">
      <c r="A8429" s="58">
        <v>45383.0</v>
      </c>
      <c r="B8429" s="24" t="s">
        <v>155</v>
      </c>
      <c r="C8429" s="24" t="s">
        <v>6792</v>
      </c>
      <c r="D8429" s="59">
        <v>17.0</v>
      </c>
      <c r="E8429" s="59">
        <v>17.0</v>
      </c>
      <c r="F8429" s="59">
        <v>0.0</v>
      </c>
      <c r="G8429" s="60">
        <v>1.7</v>
      </c>
      <c r="H8429" s="60">
        <v>0.941176470588235</v>
      </c>
      <c r="I8429" s="60">
        <v>46.3351</v>
      </c>
      <c r="J8429" s="59">
        <v>0.0</v>
      </c>
      <c r="K8429" s="61">
        <f t="shared" si="1"/>
        <v>0</v>
      </c>
      <c r="L8429" s="62">
        <f t="shared" si="2"/>
        <v>0</v>
      </c>
    </row>
    <row r="8430">
      <c r="A8430" s="58">
        <v>45383.0</v>
      </c>
      <c r="B8430" s="24" t="s">
        <v>6787</v>
      </c>
      <c r="C8430" s="24" t="s">
        <v>7068</v>
      </c>
      <c r="D8430" s="59">
        <v>17.0</v>
      </c>
      <c r="E8430" s="59">
        <v>17.0</v>
      </c>
      <c r="F8430" s="59">
        <v>16.0</v>
      </c>
      <c r="G8430" s="60">
        <v>1.0625</v>
      </c>
      <c r="H8430" s="60">
        <v>0.235294117647058</v>
      </c>
      <c r="I8430" s="60">
        <v>334.972172117647</v>
      </c>
      <c r="J8430" s="59">
        <v>20.0</v>
      </c>
      <c r="K8430" s="61">
        <f t="shared" si="1"/>
        <v>0.9411764706</v>
      </c>
      <c r="L8430" s="62">
        <f t="shared" si="2"/>
        <v>1.176470588</v>
      </c>
    </row>
    <row r="8431">
      <c r="A8431" s="58">
        <v>45383.0</v>
      </c>
      <c r="B8431" s="24" t="s">
        <v>6789</v>
      </c>
      <c r="C8431" s="24" t="s">
        <v>6802</v>
      </c>
      <c r="D8431" s="59">
        <v>16.0</v>
      </c>
      <c r="E8431" s="59">
        <v>18.0</v>
      </c>
      <c r="F8431" s="59">
        <v>5.0</v>
      </c>
      <c r="G8431" s="60">
        <v>1.5</v>
      </c>
      <c r="H8431" s="60">
        <v>0.444444444444444</v>
      </c>
      <c r="I8431" s="60">
        <v>212.531553888888</v>
      </c>
      <c r="J8431" s="59">
        <v>38.0</v>
      </c>
      <c r="K8431" s="61">
        <f t="shared" si="1"/>
        <v>0.2777777778</v>
      </c>
      <c r="L8431" s="62">
        <f t="shared" si="2"/>
        <v>2.111111111</v>
      </c>
    </row>
    <row r="8432">
      <c r="A8432" s="58">
        <v>45383.0</v>
      </c>
      <c r="B8432" s="24" t="s">
        <v>6789</v>
      </c>
      <c r="C8432" s="24" t="s">
        <v>6803</v>
      </c>
      <c r="D8432" s="59">
        <v>14.0</v>
      </c>
      <c r="E8432" s="59">
        <v>16.0</v>
      </c>
      <c r="F8432" s="59">
        <v>10.0</v>
      </c>
      <c r="G8432" s="60">
        <v>1.14285714285714</v>
      </c>
      <c r="H8432" s="60">
        <v>0.3125</v>
      </c>
      <c r="I8432" s="60">
        <v>413.707285374999</v>
      </c>
      <c r="J8432" s="59">
        <v>28.0</v>
      </c>
      <c r="K8432" s="61">
        <f t="shared" si="1"/>
        <v>0.625</v>
      </c>
      <c r="L8432" s="62">
        <f t="shared" si="2"/>
        <v>1.75</v>
      </c>
    </row>
    <row r="8433">
      <c r="A8433" s="58">
        <v>45383.0</v>
      </c>
      <c r="B8433" s="24" t="s">
        <v>6789</v>
      </c>
      <c r="C8433" s="24" t="s">
        <v>6835</v>
      </c>
      <c r="D8433" s="59">
        <v>14.0</v>
      </c>
      <c r="E8433" s="59">
        <v>16.0</v>
      </c>
      <c r="F8433" s="59">
        <v>13.0</v>
      </c>
      <c r="G8433" s="60">
        <v>1.23076923076923</v>
      </c>
      <c r="H8433" s="60">
        <v>0.375</v>
      </c>
      <c r="I8433" s="60">
        <v>209.0861060625</v>
      </c>
      <c r="J8433" s="59">
        <v>17.0</v>
      </c>
      <c r="K8433" s="61">
        <f t="shared" si="1"/>
        <v>0.8125</v>
      </c>
      <c r="L8433" s="62">
        <f t="shared" si="2"/>
        <v>1.0625</v>
      </c>
    </row>
    <row r="8434">
      <c r="A8434" s="58">
        <v>45383.0</v>
      </c>
      <c r="B8434" s="24" t="s">
        <v>6789</v>
      </c>
      <c r="C8434" s="24" t="s">
        <v>6910</v>
      </c>
      <c r="D8434" s="59">
        <v>13.0</v>
      </c>
      <c r="E8434" s="59">
        <v>17.0</v>
      </c>
      <c r="F8434" s="59">
        <v>6.0</v>
      </c>
      <c r="G8434" s="60">
        <v>1.54545454545454</v>
      </c>
      <c r="H8434" s="60">
        <v>0.470588235294117</v>
      </c>
      <c r="I8434" s="60">
        <v>131.435201058823</v>
      </c>
      <c r="J8434" s="59">
        <v>24.0</v>
      </c>
      <c r="K8434" s="61">
        <f t="shared" si="1"/>
        <v>0.3529411765</v>
      </c>
      <c r="L8434" s="62">
        <f t="shared" si="2"/>
        <v>1.411764706</v>
      </c>
    </row>
    <row r="8435">
      <c r="A8435" s="58">
        <v>45383.0</v>
      </c>
      <c r="B8435" s="24" t="s">
        <v>6787</v>
      </c>
      <c r="C8435" s="24" t="s">
        <v>6910</v>
      </c>
      <c r="D8435" s="59">
        <v>12.0</v>
      </c>
      <c r="E8435" s="59">
        <v>13.0</v>
      </c>
      <c r="F8435" s="59">
        <v>11.0</v>
      </c>
      <c r="G8435" s="60">
        <v>1.08333333333333</v>
      </c>
      <c r="H8435" s="60">
        <v>0.846153846153846</v>
      </c>
      <c r="I8435" s="60">
        <v>23.6150344615384</v>
      </c>
      <c r="J8435" s="59">
        <v>14.0</v>
      </c>
      <c r="K8435" s="61">
        <f t="shared" si="1"/>
        <v>0.8461538462</v>
      </c>
      <c r="L8435" s="62">
        <f t="shared" si="2"/>
        <v>1.076923077</v>
      </c>
    </row>
    <row r="8436">
      <c r="A8436" s="58">
        <v>45383.0</v>
      </c>
      <c r="B8436" s="24" t="s">
        <v>6789</v>
      </c>
      <c r="C8436" s="24" t="s">
        <v>6922</v>
      </c>
      <c r="D8436" s="59">
        <v>12.0</v>
      </c>
      <c r="E8436" s="59">
        <v>12.0</v>
      </c>
      <c r="F8436" s="59">
        <v>9.0</v>
      </c>
      <c r="G8436" s="60">
        <v>1.0</v>
      </c>
      <c r="H8436" s="60">
        <v>0.25</v>
      </c>
      <c r="I8436" s="60">
        <v>170.793717916666</v>
      </c>
      <c r="J8436" s="59">
        <v>22.0</v>
      </c>
      <c r="K8436" s="61">
        <f t="shared" si="1"/>
        <v>0.75</v>
      </c>
      <c r="L8436" s="62">
        <f t="shared" si="2"/>
        <v>1.833333333</v>
      </c>
    </row>
    <row r="8437">
      <c r="A8437" s="58">
        <v>45383.0</v>
      </c>
      <c r="B8437" s="24" t="s">
        <v>6789</v>
      </c>
      <c r="C8437" s="24" t="s">
        <v>6990</v>
      </c>
      <c r="D8437" s="59">
        <v>11.0</v>
      </c>
      <c r="E8437" s="59">
        <v>11.0</v>
      </c>
      <c r="F8437" s="59">
        <v>10.0</v>
      </c>
      <c r="G8437" s="60">
        <v>1.1</v>
      </c>
      <c r="H8437" s="60">
        <v>0.363636363636363</v>
      </c>
      <c r="I8437" s="60">
        <v>266.063651363636</v>
      </c>
      <c r="J8437" s="59">
        <v>11.0</v>
      </c>
      <c r="K8437" s="61">
        <f t="shared" si="1"/>
        <v>0.9090909091</v>
      </c>
      <c r="L8437" s="62">
        <f t="shared" si="2"/>
        <v>1</v>
      </c>
    </row>
    <row r="8438">
      <c r="A8438" s="58">
        <v>45383.0</v>
      </c>
      <c r="B8438" s="24" t="s">
        <v>6789</v>
      </c>
      <c r="C8438" s="24" t="s">
        <v>6892</v>
      </c>
      <c r="D8438" s="59">
        <v>11.0</v>
      </c>
      <c r="E8438" s="59">
        <v>14.0</v>
      </c>
      <c r="F8438" s="59">
        <v>11.0</v>
      </c>
      <c r="G8438" s="60">
        <v>1.27272727272727</v>
      </c>
      <c r="H8438" s="60">
        <v>0.5</v>
      </c>
      <c r="I8438" s="60">
        <v>47.4469190714285</v>
      </c>
      <c r="J8438" s="59">
        <v>15.0</v>
      </c>
      <c r="K8438" s="61">
        <f t="shared" si="1"/>
        <v>0.7857142857</v>
      </c>
      <c r="L8438" s="62">
        <f t="shared" si="2"/>
        <v>1.071428571</v>
      </c>
    </row>
    <row r="8439">
      <c r="A8439" s="58">
        <v>45383.0</v>
      </c>
      <c r="B8439" s="24" t="s">
        <v>6787</v>
      </c>
      <c r="C8439" s="24" t="s">
        <v>6815</v>
      </c>
      <c r="D8439" s="59">
        <v>11.0</v>
      </c>
      <c r="E8439" s="59">
        <v>12.0</v>
      </c>
      <c r="F8439" s="59">
        <v>11.0</v>
      </c>
      <c r="G8439" s="60">
        <v>1.09090909090909</v>
      </c>
      <c r="H8439" s="60">
        <v>0.666666666666666</v>
      </c>
      <c r="I8439" s="60">
        <v>66.1295665</v>
      </c>
      <c r="J8439" s="59">
        <v>17.0</v>
      </c>
      <c r="K8439" s="61">
        <f t="shared" si="1"/>
        <v>0.9166666667</v>
      </c>
      <c r="L8439" s="62">
        <f t="shared" si="2"/>
        <v>1.416666667</v>
      </c>
    </row>
    <row r="8440">
      <c r="A8440" s="58">
        <v>45383.0</v>
      </c>
      <c r="B8440" s="24" t="s">
        <v>6787</v>
      </c>
      <c r="C8440" s="24" t="s">
        <v>7102</v>
      </c>
      <c r="D8440" s="59">
        <v>10.0</v>
      </c>
      <c r="E8440" s="59">
        <v>11.0</v>
      </c>
      <c r="F8440" s="59">
        <v>5.0</v>
      </c>
      <c r="G8440" s="60">
        <v>1.22222222222222</v>
      </c>
      <c r="H8440" s="60">
        <v>0.454545454545454</v>
      </c>
      <c r="I8440" s="60">
        <v>124.503871181818</v>
      </c>
      <c r="J8440" s="59">
        <v>16.0</v>
      </c>
      <c r="K8440" s="61">
        <f t="shared" si="1"/>
        <v>0.4545454545</v>
      </c>
      <c r="L8440" s="62">
        <f t="shared" si="2"/>
        <v>1.454545455</v>
      </c>
    </row>
    <row r="8441">
      <c r="A8441" s="58">
        <v>45383.0</v>
      </c>
      <c r="B8441" s="24" t="s">
        <v>6790</v>
      </c>
      <c r="C8441" s="24" t="s">
        <v>6792</v>
      </c>
      <c r="D8441" s="59">
        <v>9.0</v>
      </c>
      <c r="E8441" s="59">
        <v>9.0</v>
      </c>
      <c r="F8441" s="59">
        <v>0.0</v>
      </c>
      <c r="G8441" s="60">
        <v>1.125</v>
      </c>
      <c r="H8441" s="60">
        <v>1.0</v>
      </c>
      <c r="I8441" s="60">
        <v>0.0</v>
      </c>
      <c r="J8441" s="59">
        <v>0.0</v>
      </c>
      <c r="K8441" s="61">
        <f t="shared" si="1"/>
        <v>0</v>
      </c>
      <c r="L8441" s="62">
        <f t="shared" si="2"/>
        <v>0</v>
      </c>
    </row>
    <row r="8442">
      <c r="A8442" s="58">
        <v>45383.0</v>
      </c>
      <c r="B8442" s="24" t="s">
        <v>6787</v>
      </c>
      <c r="C8442" s="24" t="s">
        <v>6803</v>
      </c>
      <c r="D8442" s="59">
        <v>9.0</v>
      </c>
      <c r="E8442" s="59">
        <v>11.0</v>
      </c>
      <c r="F8442" s="59">
        <v>9.0</v>
      </c>
      <c r="G8442" s="60">
        <v>1.22222222222222</v>
      </c>
      <c r="H8442" s="60">
        <v>0.818181818181818</v>
      </c>
      <c r="I8442" s="60">
        <v>18.7980952727272</v>
      </c>
      <c r="J8442" s="59">
        <v>12.0</v>
      </c>
      <c r="K8442" s="61">
        <f t="shared" si="1"/>
        <v>0.8181818182</v>
      </c>
      <c r="L8442" s="62">
        <f t="shared" si="2"/>
        <v>1.090909091</v>
      </c>
    </row>
    <row r="8443">
      <c r="A8443" s="58">
        <v>45383.0</v>
      </c>
      <c r="B8443" s="24" t="s">
        <v>6787</v>
      </c>
      <c r="C8443" s="24" t="s">
        <v>6808</v>
      </c>
      <c r="D8443" s="59">
        <v>9.0</v>
      </c>
      <c r="E8443" s="59">
        <v>9.0</v>
      </c>
      <c r="F8443" s="59">
        <v>7.0</v>
      </c>
      <c r="G8443" s="60">
        <v>1.0</v>
      </c>
      <c r="H8443" s="60">
        <v>0.555555555555555</v>
      </c>
      <c r="I8443" s="60">
        <v>59.7582755555555</v>
      </c>
      <c r="J8443" s="59">
        <v>17.0</v>
      </c>
      <c r="K8443" s="61">
        <f t="shared" si="1"/>
        <v>0.7777777778</v>
      </c>
      <c r="L8443" s="62">
        <f t="shared" si="2"/>
        <v>1.888888889</v>
      </c>
    </row>
    <row r="8444">
      <c r="A8444" s="58">
        <v>45383.0</v>
      </c>
      <c r="B8444" s="24" t="s">
        <v>6787</v>
      </c>
      <c r="C8444" s="24" t="s">
        <v>7172</v>
      </c>
      <c r="D8444" s="59">
        <v>9.0</v>
      </c>
      <c r="E8444" s="59">
        <v>9.0</v>
      </c>
      <c r="F8444" s="59">
        <v>7.0</v>
      </c>
      <c r="G8444" s="60">
        <v>1.0</v>
      </c>
      <c r="H8444" s="60">
        <v>0.888888888888888</v>
      </c>
      <c r="I8444" s="60">
        <v>2.28201377777777</v>
      </c>
      <c r="J8444" s="59">
        <v>9.0</v>
      </c>
      <c r="K8444" s="61">
        <f t="shared" si="1"/>
        <v>0.7777777778</v>
      </c>
      <c r="L8444" s="62">
        <f t="shared" si="2"/>
        <v>1</v>
      </c>
    </row>
    <row r="8445">
      <c r="A8445" s="58">
        <v>45383.0</v>
      </c>
      <c r="B8445" s="24" t="s">
        <v>6789</v>
      </c>
      <c r="C8445" s="24" t="s">
        <v>6994</v>
      </c>
      <c r="D8445" s="59">
        <v>8.0</v>
      </c>
      <c r="E8445" s="59">
        <v>8.0</v>
      </c>
      <c r="F8445" s="59">
        <v>8.0</v>
      </c>
      <c r="G8445" s="60">
        <v>1.0</v>
      </c>
      <c r="H8445" s="60">
        <v>0.5</v>
      </c>
      <c r="I8445" s="60">
        <v>124.39972875</v>
      </c>
      <c r="J8445" s="59">
        <v>14.0</v>
      </c>
      <c r="K8445" s="61">
        <f t="shared" si="1"/>
        <v>1</v>
      </c>
      <c r="L8445" s="62">
        <f t="shared" si="2"/>
        <v>1.75</v>
      </c>
    </row>
    <row r="8446">
      <c r="A8446" s="58">
        <v>45383.0</v>
      </c>
      <c r="B8446" s="24" t="s">
        <v>6787</v>
      </c>
      <c r="C8446" s="24" t="s">
        <v>6886</v>
      </c>
      <c r="D8446" s="59">
        <v>8.0</v>
      </c>
      <c r="E8446" s="59">
        <v>8.0</v>
      </c>
      <c r="F8446" s="59">
        <v>7.0</v>
      </c>
      <c r="G8446" s="60">
        <v>1.0</v>
      </c>
      <c r="H8446" s="60">
        <v>0.625</v>
      </c>
      <c r="I8446" s="60">
        <v>65.459388375</v>
      </c>
      <c r="J8446" s="59">
        <v>19.0</v>
      </c>
      <c r="K8446" s="61">
        <f t="shared" si="1"/>
        <v>0.875</v>
      </c>
      <c r="L8446" s="62">
        <f t="shared" si="2"/>
        <v>2.375</v>
      </c>
    </row>
    <row r="8447">
      <c r="A8447" s="58">
        <v>45383.0</v>
      </c>
      <c r="B8447" s="24" t="s">
        <v>6787</v>
      </c>
      <c r="C8447" s="24" t="s">
        <v>6892</v>
      </c>
      <c r="D8447" s="59">
        <v>8.0</v>
      </c>
      <c r="E8447" s="59">
        <v>9.0</v>
      </c>
      <c r="F8447" s="59">
        <v>8.0</v>
      </c>
      <c r="G8447" s="60">
        <v>1.125</v>
      </c>
      <c r="H8447" s="60">
        <v>0.666666666666666</v>
      </c>
      <c r="I8447" s="60">
        <v>20.0504496666666</v>
      </c>
      <c r="J8447" s="59">
        <v>12.0</v>
      </c>
      <c r="K8447" s="61">
        <f t="shared" si="1"/>
        <v>0.8888888889</v>
      </c>
      <c r="L8447" s="62">
        <f t="shared" si="2"/>
        <v>1.333333333</v>
      </c>
    </row>
    <row r="8448">
      <c r="A8448" s="58">
        <v>45383.0</v>
      </c>
      <c r="B8448" s="24" t="s">
        <v>6787</v>
      </c>
      <c r="C8448" s="24" t="s">
        <v>6907</v>
      </c>
      <c r="D8448" s="59">
        <v>8.0</v>
      </c>
      <c r="E8448" s="59">
        <v>8.0</v>
      </c>
      <c r="F8448" s="59">
        <v>6.0</v>
      </c>
      <c r="G8448" s="60">
        <v>1.14285714285714</v>
      </c>
      <c r="H8448" s="60">
        <v>0.75</v>
      </c>
      <c r="I8448" s="60">
        <v>194.514536375</v>
      </c>
      <c r="J8448" s="59">
        <v>12.0</v>
      </c>
      <c r="K8448" s="61">
        <f t="shared" si="1"/>
        <v>0.75</v>
      </c>
      <c r="L8448" s="62">
        <f t="shared" si="2"/>
        <v>1.5</v>
      </c>
    </row>
    <row r="8449">
      <c r="A8449" s="58">
        <v>45383.0</v>
      </c>
      <c r="B8449" s="24" t="s">
        <v>6789</v>
      </c>
      <c r="C8449" s="24" t="s">
        <v>7058</v>
      </c>
      <c r="D8449" s="59">
        <v>7.0</v>
      </c>
      <c r="E8449" s="59">
        <v>7.0</v>
      </c>
      <c r="F8449" s="59">
        <v>6.0</v>
      </c>
      <c r="G8449" s="60">
        <v>1.0</v>
      </c>
      <c r="H8449" s="60">
        <v>0.428571428571428</v>
      </c>
      <c r="I8449" s="60">
        <v>311.141483714285</v>
      </c>
      <c r="J8449" s="59">
        <v>10.0</v>
      </c>
      <c r="K8449" s="61">
        <f t="shared" si="1"/>
        <v>0.8571428571</v>
      </c>
      <c r="L8449" s="62">
        <f t="shared" si="2"/>
        <v>1.428571429</v>
      </c>
    </row>
    <row r="8450">
      <c r="A8450" s="58">
        <v>45383.0</v>
      </c>
      <c r="B8450" s="24" t="s">
        <v>6787</v>
      </c>
      <c r="C8450" s="24" t="s">
        <v>6986</v>
      </c>
      <c r="D8450" s="59">
        <v>7.0</v>
      </c>
      <c r="E8450" s="59">
        <v>7.0</v>
      </c>
      <c r="F8450" s="59">
        <v>7.0</v>
      </c>
      <c r="G8450" s="60">
        <v>1.0</v>
      </c>
      <c r="H8450" s="60">
        <v>1.0</v>
      </c>
      <c r="I8450" s="60">
        <v>1.00342371428571</v>
      </c>
      <c r="J8450" s="59">
        <v>7.0</v>
      </c>
      <c r="K8450" s="61">
        <f t="shared" si="1"/>
        <v>1</v>
      </c>
      <c r="L8450" s="62">
        <f t="shared" si="2"/>
        <v>1</v>
      </c>
    </row>
    <row r="8451">
      <c r="A8451" s="58">
        <v>45383.0</v>
      </c>
      <c r="B8451" s="24" t="s">
        <v>6789</v>
      </c>
      <c r="C8451" s="24" t="s">
        <v>6997</v>
      </c>
      <c r="D8451" s="59">
        <v>7.0</v>
      </c>
      <c r="E8451" s="59">
        <v>7.0</v>
      </c>
      <c r="F8451" s="59">
        <v>4.0</v>
      </c>
      <c r="G8451" s="60">
        <v>1.0</v>
      </c>
      <c r="H8451" s="60">
        <v>0.428571428571428</v>
      </c>
      <c r="I8451" s="60">
        <v>79.5610208571428</v>
      </c>
      <c r="J8451" s="59">
        <v>12.0</v>
      </c>
      <c r="K8451" s="61">
        <f t="shared" si="1"/>
        <v>0.5714285714</v>
      </c>
      <c r="L8451" s="62">
        <f t="shared" si="2"/>
        <v>1.714285714</v>
      </c>
    </row>
    <row r="8452">
      <c r="A8452" s="58">
        <v>45383.0</v>
      </c>
      <c r="B8452" s="24" t="s">
        <v>6789</v>
      </c>
      <c r="C8452" s="24" t="s">
        <v>6907</v>
      </c>
      <c r="D8452" s="59">
        <v>7.0</v>
      </c>
      <c r="E8452" s="59">
        <v>12.0</v>
      </c>
      <c r="F8452" s="59">
        <v>3.0</v>
      </c>
      <c r="G8452" s="60">
        <v>1.71428571428571</v>
      </c>
      <c r="H8452" s="60">
        <v>0.166666666666666</v>
      </c>
      <c r="I8452" s="60">
        <v>360.81174825</v>
      </c>
      <c r="J8452" s="59">
        <v>24.0</v>
      </c>
      <c r="K8452" s="61">
        <f t="shared" si="1"/>
        <v>0.25</v>
      </c>
      <c r="L8452" s="62">
        <f t="shared" si="2"/>
        <v>2</v>
      </c>
    </row>
    <row r="8453">
      <c r="A8453" s="58">
        <v>45383.0</v>
      </c>
      <c r="B8453" s="24" t="s">
        <v>6789</v>
      </c>
      <c r="C8453" s="24" t="s">
        <v>7172</v>
      </c>
      <c r="D8453" s="59">
        <v>7.0</v>
      </c>
      <c r="E8453" s="59">
        <v>9.0</v>
      </c>
      <c r="F8453" s="59">
        <v>0.0</v>
      </c>
      <c r="G8453" s="60">
        <v>1.28571428571428</v>
      </c>
      <c r="H8453" s="60">
        <v>0.333333333333333</v>
      </c>
      <c r="I8453" s="60">
        <v>92.3502737777777</v>
      </c>
      <c r="J8453" s="59">
        <v>13.0</v>
      </c>
      <c r="K8453" s="61">
        <f t="shared" si="1"/>
        <v>0</v>
      </c>
      <c r="L8453" s="62">
        <f t="shared" si="2"/>
        <v>1.444444444</v>
      </c>
    </row>
    <row r="8454">
      <c r="A8454" s="58">
        <v>45383.0</v>
      </c>
      <c r="B8454" s="24" t="s">
        <v>6789</v>
      </c>
      <c r="C8454" s="24" t="s">
        <v>7313</v>
      </c>
      <c r="D8454" s="59">
        <v>7.0</v>
      </c>
      <c r="E8454" s="59">
        <v>8.0</v>
      </c>
      <c r="F8454" s="59">
        <v>4.0</v>
      </c>
      <c r="G8454" s="60">
        <v>1.14285714285714</v>
      </c>
      <c r="H8454" s="60">
        <v>0.5</v>
      </c>
      <c r="I8454" s="60">
        <v>78.34824975</v>
      </c>
      <c r="J8454" s="59">
        <v>12.0</v>
      </c>
      <c r="K8454" s="61">
        <f t="shared" si="1"/>
        <v>0.5</v>
      </c>
      <c r="L8454" s="62">
        <f t="shared" si="2"/>
        <v>1.5</v>
      </c>
    </row>
    <row r="8455">
      <c r="A8455" s="58">
        <v>45383.0</v>
      </c>
      <c r="B8455" s="24" t="s">
        <v>6789</v>
      </c>
      <c r="C8455" s="24" t="s">
        <v>6797</v>
      </c>
      <c r="D8455" s="59">
        <v>7.0</v>
      </c>
      <c r="E8455" s="59">
        <v>9.0</v>
      </c>
      <c r="F8455" s="59">
        <v>5.0</v>
      </c>
      <c r="G8455" s="60">
        <v>1.5</v>
      </c>
      <c r="H8455" s="60">
        <v>0.444444444444444</v>
      </c>
      <c r="I8455" s="60">
        <v>38.7269043333333</v>
      </c>
      <c r="J8455" s="59">
        <v>13.0</v>
      </c>
      <c r="K8455" s="61">
        <f t="shared" si="1"/>
        <v>0.5555555556</v>
      </c>
      <c r="L8455" s="62">
        <f t="shared" si="2"/>
        <v>1.444444444</v>
      </c>
    </row>
    <row r="8456">
      <c r="A8456" s="58">
        <v>45383.0</v>
      </c>
      <c r="B8456" s="24" t="s">
        <v>6787</v>
      </c>
      <c r="C8456" s="24" t="s">
        <v>7072</v>
      </c>
      <c r="D8456" s="59">
        <v>6.0</v>
      </c>
      <c r="E8456" s="59">
        <v>6.0</v>
      </c>
      <c r="F8456" s="59">
        <v>3.0</v>
      </c>
      <c r="G8456" s="60">
        <v>1.0</v>
      </c>
      <c r="H8456" s="60">
        <v>0.166666666666666</v>
      </c>
      <c r="I8456" s="60">
        <v>126.046367833333</v>
      </c>
      <c r="J8456" s="59">
        <v>9.0</v>
      </c>
      <c r="K8456" s="61">
        <f t="shared" si="1"/>
        <v>0.5</v>
      </c>
      <c r="L8456" s="62">
        <f t="shared" si="2"/>
        <v>1.5</v>
      </c>
    </row>
    <row r="8457">
      <c r="A8457" s="58">
        <v>45383.0</v>
      </c>
      <c r="B8457" s="24" t="s">
        <v>155</v>
      </c>
      <c r="C8457" s="24" t="s">
        <v>6800</v>
      </c>
      <c r="D8457" s="59">
        <v>6.0</v>
      </c>
      <c r="E8457" s="59">
        <v>7.0</v>
      </c>
      <c r="F8457" s="59">
        <v>6.0</v>
      </c>
      <c r="G8457" s="60">
        <v>1.16666666666666</v>
      </c>
      <c r="H8457" s="60">
        <v>0.285714285714285</v>
      </c>
      <c r="I8457" s="60">
        <v>144.501779</v>
      </c>
      <c r="J8457" s="59">
        <v>12.0</v>
      </c>
      <c r="K8457" s="61">
        <f t="shared" si="1"/>
        <v>0.8571428571</v>
      </c>
      <c r="L8457" s="62">
        <f t="shared" si="2"/>
        <v>1.714285714</v>
      </c>
    </row>
    <row r="8458">
      <c r="A8458" s="58">
        <v>45383.0</v>
      </c>
      <c r="B8458" s="24" t="s">
        <v>6787</v>
      </c>
      <c r="C8458" s="24" t="s">
        <v>7174</v>
      </c>
      <c r="D8458" s="59">
        <v>6.0</v>
      </c>
      <c r="E8458" s="59">
        <v>9.0</v>
      </c>
      <c r="F8458" s="59">
        <v>4.0</v>
      </c>
      <c r="G8458" s="60">
        <v>1.5</v>
      </c>
      <c r="H8458" s="60">
        <v>0.555555555555555</v>
      </c>
      <c r="I8458" s="60">
        <v>27.0215351111111</v>
      </c>
      <c r="J8458" s="59">
        <v>12.0</v>
      </c>
      <c r="K8458" s="61">
        <f t="shared" si="1"/>
        <v>0.4444444444</v>
      </c>
      <c r="L8458" s="62">
        <f t="shared" si="2"/>
        <v>1.333333333</v>
      </c>
    </row>
    <row r="8459">
      <c r="A8459" s="58">
        <v>45383.0</v>
      </c>
      <c r="B8459" s="24" t="s">
        <v>7100</v>
      </c>
      <c r="C8459" s="24" t="s">
        <v>6792</v>
      </c>
      <c r="D8459" s="59">
        <v>5.0</v>
      </c>
      <c r="E8459" s="59">
        <v>5.0</v>
      </c>
      <c r="F8459" s="59">
        <v>0.0</v>
      </c>
      <c r="G8459" s="60">
        <v>2.5</v>
      </c>
      <c r="H8459" s="60">
        <v>1.0</v>
      </c>
      <c r="I8459" s="60">
        <v>0.0</v>
      </c>
      <c r="J8459" s="59">
        <v>0.0</v>
      </c>
      <c r="K8459" s="61">
        <f t="shared" si="1"/>
        <v>0</v>
      </c>
      <c r="L8459" s="62">
        <f t="shared" si="2"/>
        <v>0</v>
      </c>
    </row>
    <row r="8460">
      <c r="A8460" s="58">
        <v>45383.0</v>
      </c>
      <c r="B8460" s="24" t="s">
        <v>6789</v>
      </c>
      <c r="C8460" s="24" t="s">
        <v>6953</v>
      </c>
      <c r="D8460" s="59">
        <v>5.0</v>
      </c>
      <c r="E8460" s="59">
        <v>5.0</v>
      </c>
      <c r="F8460" s="59">
        <v>5.0</v>
      </c>
      <c r="G8460" s="60">
        <v>1.0</v>
      </c>
      <c r="H8460" s="60">
        <v>0.6</v>
      </c>
      <c r="I8460" s="60">
        <v>30.122351</v>
      </c>
      <c r="J8460" s="59">
        <v>6.0</v>
      </c>
      <c r="K8460" s="61">
        <f t="shared" si="1"/>
        <v>1</v>
      </c>
      <c r="L8460" s="62">
        <f t="shared" si="2"/>
        <v>1.2</v>
      </c>
    </row>
    <row r="8461">
      <c r="A8461" s="58">
        <v>45383.0</v>
      </c>
      <c r="B8461" s="24" t="s">
        <v>6789</v>
      </c>
      <c r="C8461" s="24" t="s">
        <v>6819</v>
      </c>
      <c r="D8461" s="59">
        <v>5.0</v>
      </c>
      <c r="E8461" s="59">
        <v>5.0</v>
      </c>
      <c r="F8461" s="59">
        <v>5.0</v>
      </c>
      <c r="G8461" s="60">
        <v>1.0</v>
      </c>
      <c r="H8461" s="60">
        <v>0.4</v>
      </c>
      <c r="I8461" s="60">
        <v>223.200954999999</v>
      </c>
      <c r="J8461" s="59">
        <v>6.0</v>
      </c>
      <c r="K8461" s="61">
        <f t="shared" si="1"/>
        <v>1</v>
      </c>
      <c r="L8461" s="62">
        <f t="shared" si="2"/>
        <v>1.2</v>
      </c>
    </row>
    <row r="8462">
      <c r="A8462" s="58">
        <v>45383.0</v>
      </c>
      <c r="B8462" s="24" t="s">
        <v>6787</v>
      </c>
      <c r="C8462" s="24" t="s">
        <v>7024</v>
      </c>
      <c r="D8462" s="59">
        <v>5.0</v>
      </c>
      <c r="E8462" s="59">
        <v>5.0</v>
      </c>
      <c r="F8462" s="59">
        <v>5.0</v>
      </c>
      <c r="G8462" s="60">
        <v>1.0</v>
      </c>
      <c r="H8462" s="60">
        <v>0.8</v>
      </c>
      <c r="I8462" s="60">
        <v>2.25156479999999</v>
      </c>
      <c r="J8462" s="59">
        <v>5.0</v>
      </c>
      <c r="K8462" s="61">
        <f t="shared" si="1"/>
        <v>1</v>
      </c>
      <c r="L8462" s="62">
        <f t="shared" si="2"/>
        <v>1</v>
      </c>
    </row>
    <row r="8463">
      <c r="A8463" s="58">
        <v>45383.0</v>
      </c>
      <c r="B8463" s="24" t="s">
        <v>6789</v>
      </c>
      <c r="C8463" s="24" t="s">
        <v>7074</v>
      </c>
      <c r="D8463" s="59">
        <v>5.0</v>
      </c>
      <c r="E8463" s="59">
        <v>5.0</v>
      </c>
      <c r="F8463" s="59">
        <v>5.0</v>
      </c>
      <c r="G8463" s="60">
        <v>1.0</v>
      </c>
      <c r="H8463" s="60">
        <v>0.0</v>
      </c>
      <c r="I8463" s="60">
        <v>74.2136454</v>
      </c>
      <c r="J8463" s="59">
        <v>5.0</v>
      </c>
      <c r="K8463" s="61">
        <f t="shared" si="1"/>
        <v>1</v>
      </c>
      <c r="L8463" s="62">
        <f t="shared" si="2"/>
        <v>1</v>
      </c>
    </row>
    <row r="8464">
      <c r="A8464" s="58">
        <v>45383.0</v>
      </c>
      <c r="B8464" s="24" t="s">
        <v>6789</v>
      </c>
      <c r="C8464" s="24" t="s">
        <v>6838</v>
      </c>
      <c r="D8464" s="59">
        <v>5.0</v>
      </c>
      <c r="E8464" s="59">
        <v>5.0</v>
      </c>
      <c r="F8464" s="59">
        <v>3.0</v>
      </c>
      <c r="G8464" s="60">
        <v>1.25</v>
      </c>
      <c r="H8464" s="60">
        <v>0.6</v>
      </c>
      <c r="I8464" s="60">
        <v>400.9499442</v>
      </c>
      <c r="J8464" s="59">
        <v>11.0</v>
      </c>
      <c r="K8464" s="61">
        <f t="shared" si="1"/>
        <v>0.6</v>
      </c>
      <c r="L8464" s="62">
        <f t="shared" si="2"/>
        <v>2.2</v>
      </c>
    </row>
    <row r="8465">
      <c r="A8465" s="58">
        <v>45383.0</v>
      </c>
      <c r="B8465" s="24" t="s">
        <v>6789</v>
      </c>
      <c r="C8465" s="24" t="s">
        <v>7034</v>
      </c>
      <c r="D8465" s="59">
        <v>5.0</v>
      </c>
      <c r="E8465" s="59">
        <v>5.0</v>
      </c>
      <c r="F8465" s="59">
        <v>1.0</v>
      </c>
      <c r="G8465" s="60">
        <v>1.0</v>
      </c>
      <c r="H8465" s="60">
        <v>0.0</v>
      </c>
      <c r="I8465" s="60">
        <v>486.559215399999</v>
      </c>
      <c r="J8465" s="59">
        <v>14.0</v>
      </c>
      <c r="K8465" s="61">
        <f t="shared" si="1"/>
        <v>0.2</v>
      </c>
      <c r="L8465" s="62">
        <f t="shared" si="2"/>
        <v>2.8</v>
      </c>
    </row>
    <row r="8466">
      <c r="A8466" s="58">
        <v>45383.0</v>
      </c>
      <c r="B8466" s="24" t="s">
        <v>6789</v>
      </c>
      <c r="C8466" s="24" t="s">
        <v>7013</v>
      </c>
      <c r="D8466" s="59">
        <v>5.0</v>
      </c>
      <c r="E8466" s="59">
        <v>5.0</v>
      </c>
      <c r="F8466" s="59">
        <v>4.0</v>
      </c>
      <c r="G8466" s="60">
        <v>1.0</v>
      </c>
      <c r="H8466" s="60">
        <v>0.0</v>
      </c>
      <c r="I8466" s="60">
        <v>267.2944938</v>
      </c>
      <c r="J8466" s="59">
        <v>32.0</v>
      </c>
      <c r="K8466" s="61">
        <f t="shared" si="1"/>
        <v>0.8</v>
      </c>
      <c r="L8466" s="62">
        <f t="shared" si="2"/>
        <v>6.4</v>
      </c>
    </row>
    <row r="8467">
      <c r="A8467" s="58">
        <v>45383.0</v>
      </c>
      <c r="B8467" s="24" t="s">
        <v>6787</v>
      </c>
      <c r="C8467" s="24" t="s">
        <v>6801</v>
      </c>
      <c r="D8467" s="59">
        <v>5.0</v>
      </c>
      <c r="E8467" s="59">
        <v>6.0</v>
      </c>
      <c r="F8467" s="59">
        <v>5.0</v>
      </c>
      <c r="G8467" s="60">
        <v>1.2</v>
      </c>
      <c r="H8467" s="60">
        <v>0.5</v>
      </c>
      <c r="I8467" s="60">
        <v>11.611315</v>
      </c>
      <c r="J8467" s="59">
        <v>7.0</v>
      </c>
      <c r="K8467" s="61">
        <f t="shared" si="1"/>
        <v>0.8333333333</v>
      </c>
      <c r="L8467" s="62">
        <f t="shared" si="2"/>
        <v>1.166666667</v>
      </c>
    </row>
    <row r="8468">
      <c r="A8468" s="58">
        <v>45383.0</v>
      </c>
      <c r="B8468" s="24" t="s">
        <v>6789</v>
      </c>
      <c r="C8468" s="24" t="s">
        <v>7102</v>
      </c>
      <c r="D8468" s="59">
        <v>5.0</v>
      </c>
      <c r="E8468" s="59">
        <v>7.0</v>
      </c>
      <c r="F8468" s="59">
        <v>2.0</v>
      </c>
      <c r="G8468" s="60">
        <v>1.4</v>
      </c>
      <c r="H8468" s="60">
        <v>0.571428571428571</v>
      </c>
      <c r="I8468" s="60">
        <v>58.2714578571428</v>
      </c>
      <c r="J8468" s="59">
        <v>7.0</v>
      </c>
      <c r="K8468" s="61">
        <f t="shared" si="1"/>
        <v>0.2857142857</v>
      </c>
      <c r="L8468" s="62">
        <f t="shared" si="2"/>
        <v>1</v>
      </c>
    </row>
    <row r="8469">
      <c r="A8469" s="58">
        <v>45383.0</v>
      </c>
      <c r="B8469" s="24" t="s">
        <v>6787</v>
      </c>
      <c r="C8469" s="24" t="s">
        <v>7180</v>
      </c>
      <c r="D8469" s="59">
        <v>5.0</v>
      </c>
      <c r="E8469" s="59">
        <v>6.0</v>
      </c>
      <c r="F8469" s="59">
        <v>4.0</v>
      </c>
      <c r="G8469" s="60">
        <v>1.2</v>
      </c>
      <c r="H8469" s="60">
        <v>0.5</v>
      </c>
      <c r="I8469" s="60">
        <v>97.3859891666666</v>
      </c>
      <c r="J8469" s="59">
        <v>9.0</v>
      </c>
      <c r="K8469" s="61">
        <f t="shared" si="1"/>
        <v>0.6666666667</v>
      </c>
      <c r="L8469" s="62">
        <f t="shared" si="2"/>
        <v>1.5</v>
      </c>
    </row>
    <row r="8470">
      <c r="A8470" s="58">
        <v>45383.0</v>
      </c>
      <c r="B8470" s="24" t="s">
        <v>6794</v>
      </c>
      <c r="C8470" s="24" t="s">
        <v>7107</v>
      </c>
      <c r="D8470" s="59">
        <v>5.0</v>
      </c>
      <c r="E8470" s="59">
        <v>5.0</v>
      </c>
      <c r="F8470" s="59">
        <v>2.0</v>
      </c>
      <c r="G8470" s="60">
        <v>1.25</v>
      </c>
      <c r="H8470" s="60">
        <v>0.4</v>
      </c>
      <c r="I8470" s="60">
        <v>84.3848746</v>
      </c>
      <c r="J8470" s="59">
        <v>6.0</v>
      </c>
      <c r="K8470" s="61">
        <f t="shared" si="1"/>
        <v>0.4</v>
      </c>
      <c r="L8470" s="62">
        <f t="shared" si="2"/>
        <v>1.2</v>
      </c>
    </row>
    <row r="8471">
      <c r="A8471" s="58">
        <v>45383.0</v>
      </c>
      <c r="B8471" s="24" t="s">
        <v>6787</v>
      </c>
      <c r="C8471" s="24" t="s">
        <v>6817</v>
      </c>
      <c r="D8471" s="59">
        <v>4.0</v>
      </c>
      <c r="E8471" s="59">
        <v>4.0</v>
      </c>
      <c r="F8471" s="59">
        <v>3.0</v>
      </c>
      <c r="G8471" s="60">
        <v>1.0</v>
      </c>
      <c r="H8471" s="60">
        <v>0.75</v>
      </c>
      <c r="I8471" s="60">
        <v>3.558849</v>
      </c>
      <c r="J8471" s="59">
        <v>5.0</v>
      </c>
      <c r="K8471" s="61">
        <f t="shared" si="1"/>
        <v>0.75</v>
      </c>
      <c r="L8471" s="62">
        <f t="shared" si="2"/>
        <v>1.25</v>
      </c>
    </row>
    <row r="8472">
      <c r="A8472" s="58">
        <v>45383.0</v>
      </c>
      <c r="B8472" s="24" t="s">
        <v>6789</v>
      </c>
      <c r="C8472" s="24" t="s">
        <v>6817</v>
      </c>
      <c r="D8472" s="59">
        <v>4.0</v>
      </c>
      <c r="E8472" s="59">
        <v>7.0</v>
      </c>
      <c r="F8472" s="59">
        <v>0.0</v>
      </c>
      <c r="G8472" s="60">
        <v>1.75</v>
      </c>
      <c r="H8472" s="60">
        <v>0.142857142857142</v>
      </c>
      <c r="I8472" s="60">
        <v>300.479852428571</v>
      </c>
      <c r="J8472" s="59">
        <v>22.0</v>
      </c>
      <c r="K8472" s="61">
        <f t="shared" si="1"/>
        <v>0</v>
      </c>
      <c r="L8472" s="62">
        <f t="shared" si="2"/>
        <v>3.142857143</v>
      </c>
    </row>
    <row r="8473">
      <c r="A8473" s="58">
        <v>45383.0</v>
      </c>
      <c r="B8473" s="24" t="s">
        <v>6789</v>
      </c>
      <c r="C8473" s="24" t="s">
        <v>6985</v>
      </c>
      <c r="D8473" s="59">
        <v>4.0</v>
      </c>
      <c r="E8473" s="59">
        <v>4.0</v>
      </c>
      <c r="F8473" s="59">
        <v>3.0</v>
      </c>
      <c r="G8473" s="60">
        <v>1.0</v>
      </c>
      <c r="H8473" s="60">
        <v>0.25</v>
      </c>
      <c r="I8473" s="60">
        <v>115.3734295</v>
      </c>
      <c r="J8473" s="59">
        <v>7.0</v>
      </c>
      <c r="K8473" s="61">
        <f t="shared" si="1"/>
        <v>0.75</v>
      </c>
      <c r="L8473" s="62">
        <f t="shared" si="2"/>
        <v>1.75</v>
      </c>
    </row>
    <row r="8474">
      <c r="A8474" s="58">
        <v>45383.0</v>
      </c>
      <c r="B8474" s="24" t="s">
        <v>6789</v>
      </c>
      <c r="C8474" s="24" t="s">
        <v>6986</v>
      </c>
      <c r="D8474" s="59">
        <v>4.0</v>
      </c>
      <c r="E8474" s="59">
        <v>4.0</v>
      </c>
      <c r="F8474" s="59">
        <v>3.0</v>
      </c>
      <c r="G8474" s="60">
        <v>1.0</v>
      </c>
      <c r="H8474" s="60">
        <v>0.25</v>
      </c>
      <c r="I8474" s="60">
        <v>314.97124325</v>
      </c>
      <c r="J8474" s="59">
        <v>9.0</v>
      </c>
      <c r="K8474" s="61">
        <f t="shared" si="1"/>
        <v>0.75</v>
      </c>
      <c r="L8474" s="62">
        <f t="shared" si="2"/>
        <v>2.25</v>
      </c>
    </row>
    <row r="8475">
      <c r="A8475" s="58">
        <v>45383.0</v>
      </c>
      <c r="B8475" s="24" t="s">
        <v>6789</v>
      </c>
      <c r="C8475" s="24" t="s">
        <v>6989</v>
      </c>
      <c r="D8475" s="59">
        <v>4.0</v>
      </c>
      <c r="E8475" s="59">
        <v>4.0</v>
      </c>
      <c r="F8475" s="59">
        <v>3.0</v>
      </c>
      <c r="G8475" s="60">
        <v>1.0</v>
      </c>
      <c r="H8475" s="60">
        <v>0.75</v>
      </c>
      <c r="I8475" s="60">
        <v>3.30207675</v>
      </c>
      <c r="J8475" s="59">
        <v>5.0</v>
      </c>
      <c r="K8475" s="61">
        <f t="shared" si="1"/>
        <v>0.75</v>
      </c>
      <c r="L8475" s="62">
        <f t="shared" si="2"/>
        <v>1.25</v>
      </c>
    </row>
    <row r="8476">
      <c r="A8476" s="58">
        <v>45383.0</v>
      </c>
      <c r="B8476" s="24" t="s">
        <v>6787</v>
      </c>
      <c r="C8476" s="24" t="s">
        <v>7463</v>
      </c>
      <c r="D8476" s="59">
        <v>4.0</v>
      </c>
      <c r="E8476" s="59">
        <v>8.0</v>
      </c>
      <c r="F8476" s="59">
        <v>1.0</v>
      </c>
      <c r="G8476" s="60">
        <v>2.66666666666666</v>
      </c>
      <c r="H8476" s="60">
        <v>0.625</v>
      </c>
      <c r="I8476" s="60">
        <v>92.959961375</v>
      </c>
      <c r="J8476" s="59">
        <v>13.0</v>
      </c>
      <c r="K8476" s="61">
        <f t="shared" si="1"/>
        <v>0.125</v>
      </c>
      <c r="L8476" s="62">
        <f t="shared" si="2"/>
        <v>1.625</v>
      </c>
    </row>
    <row r="8477">
      <c r="A8477" s="58">
        <v>45383.0</v>
      </c>
      <c r="B8477" s="24" t="s">
        <v>6789</v>
      </c>
      <c r="C8477" s="24" t="s">
        <v>7072</v>
      </c>
      <c r="D8477" s="59">
        <v>4.0</v>
      </c>
      <c r="E8477" s="59">
        <v>4.0</v>
      </c>
      <c r="F8477" s="59">
        <v>2.0</v>
      </c>
      <c r="G8477" s="60">
        <v>1.0</v>
      </c>
      <c r="H8477" s="60">
        <v>0.5</v>
      </c>
      <c r="I8477" s="60">
        <v>44.99233175</v>
      </c>
      <c r="J8477" s="59">
        <v>4.0</v>
      </c>
      <c r="K8477" s="61">
        <f t="shared" si="1"/>
        <v>0.5</v>
      </c>
      <c r="L8477" s="62">
        <f t="shared" si="2"/>
        <v>1</v>
      </c>
    </row>
    <row r="8478">
      <c r="A8478" s="58">
        <v>45383.0</v>
      </c>
      <c r="B8478" s="24" t="s">
        <v>6787</v>
      </c>
      <c r="C8478" s="24" t="s">
        <v>7129</v>
      </c>
      <c r="D8478" s="59">
        <v>4.0</v>
      </c>
      <c r="E8478" s="59">
        <v>4.0</v>
      </c>
      <c r="F8478" s="59">
        <v>4.0</v>
      </c>
      <c r="G8478" s="60">
        <v>1.0</v>
      </c>
      <c r="H8478" s="60">
        <v>1.0</v>
      </c>
      <c r="I8478" s="60">
        <v>1.604491</v>
      </c>
      <c r="J8478" s="59">
        <v>4.0</v>
      </c>
      <c r="K8478" s="61">
        <f t="shared" si="1"/>
        <v>1</v>
      </c>
      <c r="L8478" s="62">
        <f t="shared" si="2"/>
        <v>1</v>
      </c>
    </row>
    <row r="8479">
      <c r="A8479" s="58">
        <v>45383.0</v>
      </c>
      <c r="B8479" s="24" t="s">
        <v>6789</v>
      </c>
      <c r="C8479" s="24" t="s">
        <v>7573</v>
      </c>
      <c r="D8479" s="59">
        <v>4.0</v>
      </c>
      <c r="E8479" s="59">
        <v>4.0</v>
      </c>
      <c r="F8479" s="59">
        <v>2.0</v>
      </c>
      <c r="G8479" s="60">
        <v>1.0</v>
      </c>
      <c r="H8479" s="60">
        <v>0.25</v>
      </c>
      <c r="I8479" s="60">
        <v>25.9727675</v>
      </c>
      <c r="J8479" s="59">
        <v>6.0</v>
      </c>
      <c r="K8479" s="61">
        <f t="shared" si="1"/>
        <v>0.5</v>
      </c>
      <c r="L8479" s="62">
        <f t="shared" si="2"/>
        <v>1.5</v>
      </c>
    </row>
    <row r="8480">
      <c r="A8480" s="58">
        <v>45383.0</v>
      </c>
      <c r="B8480" s="24" t="s">
        <v>6787</v>
      </c>
      <c r="C8480" s="24" t="s">
        <v>6800</v>
      </c>
      <c r="D8480" s="59">
        <v>4.0</v>
      </c>
      <c r="E8480" s="59">
        <v>4.0</v>
      </c>
      <c r="F8480" s="59">
        <v>4.0</v>
      </c>
      <c r="G8480" s="60">
        <v>1.0</v>
      </c>
      <c r="H8480" s="60">
        <v>0.75</v>
      </c>
      <c r="I8480" s="60">
        <v>4.5863305</v>
      </c>
      <c r="J8480" s="59">
        <v>6.0</v>
      </c>
      <c r="K8480" s="61">
        <f t="shared" si="1"/>
        <v>1</v>
      </c>
      <c r="L8480" s="62">
        <f t="shared" si="2"/>
        <v>1.5</v>
      </c>
    </row>
    <row r="8481">
      <c r="A8481" s="58">
        <v>45383.0</v>
      </c>
      <c r="B8481" s="24" t="s">
        <v>6789</v>
      </c>
      <c r="C8481" s="24" t="s">
        <v>7044</v>
      </c>
      <c r="D8481" s="59">
        <v>4.0</v>
      </c>
      <c r="E8481" s="59">
        <v>6.0</v>
      </c>
      <c r="F8481" s="59">
        <v>0.0</v>
      </c>
      <c r="G8481" s="60">
        <v>1.5</v>
      </c>
      <c r="H8481" s="60">
        <v>0.333333333333333</v>
      </c>
      <c r="I8481" s="60">
        <v>287.504340333333</v>
      </c>
      <c r="J8481" s="59">
        <v>10.0</v>
      </c>
      <c r="K8481" s="61">
        <f t="shared" si="1"/>
        <v>0</v>
      </c>
      <c r="L8481" s="62">
        <f t="shared" si="2"/>
        <v>1.666666667</v>
      </c>
    </row>
    <row r="8482">
      <c r="A8482" s="58">
        <v>45383.0</v>
      </c>
      <c r="B8482" s="24" t="s">
        <v>6787</v>
      </c>
      <c r="C8482" s="24" t="s">
        <v>7313</v>
      </c>
      <c r="D8482" s="59">
        <v>4.0</v>
      </c>
      <c r="E8482" s="59">
        <v>5.0</v>
      </c>
      <c r="F8482" s="59">
        <v>4.0</v>
      </c>
      <c r="G8482" s="60">
        <v>1.25</v>
      </c>
      <c r="H8482" s="60">
        <v>0.4</v>
      </c>
      <c r="I8482" s="60">
        <v>319.2083294</v>
      </c>
      <c r="J8482" s="59">
        <v>20.0</v>
      </c>
      <c r="K8482" s="61">
        <f t="shared" si="1"/>
        <v>0.8</v>
      </c>
      <c r="L8482" s="62">
        <f t="shared" si="2"/>
        <v>4</v>
      </c>
    </row>
    <row r="8483">
      <c r="A8483" s="58">
        <v>45383.0</v>
      </c>
      <c r="B8483" s="24" t="s">
        <v>6787</v>
      </c>
      <c r="C8483" s="24" t="s">
        <v>7023</v>
      </c>
      <c r="D8483" s="59">
        <v>4.0</v>
      </c>
      <c r="E8483" s="59">
        <v>4.0</v>
      </c>
      <c r="F8483" s="59">
        <v>3.0</v>
      </c>
      <c r="G8483" s="60">
        <v>1.0</v>
      </c>
      <c r="H8483" s="60">
        <v>0.75</v>
      </c>
      <c r="I8483" s="60">
        <v>181.2669645</v>
      </c>
      <c r="J8483" s="59">
        <v>7.0</v>
      </c>
      <c r="K8483" s="61">
        <f t="shared" si="1"/>
        <v>0.75</v>
      </c>
      <c r="L8483" s="62">
        <f t="shared" si="2"/>
        <v>1.75</v>
      </c>
    </row>
    <row r="8484">
      <c r="A8484" s="58">
        <v>45383.0</v>
      </c>
      <c r="B8484" s="24" t="s">
        <v>6789</v>
      </c>
      <c r="C8484" s="24" t="s">
        <v>7023</v>
      </c>
      <c r="D8484" s="59">
        <v>4.0</v>
      </c>
      <c r="E8484" s="59">
        <v>19.0</v>
      </c>
      <c r="F8484" s="59">
        <v>3.0</v>
      </c>
      <c r="G8484" s="60">
        <v>4.75</v>
      </c>
      <c r="H8484" s="60">
        <v>0.789473684210526</v>
      </c>
      <c r="I8484" s="60">
        <v>21.1513232631578</v>
      </c>
      <c r="J8484" s="59">
        <v>21.0</v>
      </c>
      <c r="K8484" s="61">
        <f t="shared" si="1"/>
        <v>0.1578947368</v>
      </c>
      <c r="L8484" s="62">
        <f t="shared" si="2"/>
        <v>1.105263158</v>
      </c>
    </row>
    <row r="8485">
      <c r="A8485" s="58">
        <v>45383.0</v>
      </c>
      <c r="B8485" s="24" t="s">
        <v>6789</v>
      </c>
      <c r="C8485" s="24" t="s">
        <v>7174</v>
      </c>
      <c r="D8485" s="59">
        <v>4.0</v>
      </c>
      <c r="E8485" s="59">
        <v>6.0</v>
      </c>
      <c r="F8485" s="59">
        <v>0.0</v>
      </c>
      <c r="G8485" s="60">
        <v>1.5</v>
      </c>
      <c r="H8485" s="60">
        <v>0.5</v>
      </c>
      <c r="I8485" s="60">
        <v>309.388532666666</v>
      </c>
      <c r="J8485" s="59">
        <v>9.0</v>
      </c>
      <c r="K8485" s="61">
        <f t="shared" si="1"/>
        <v>0</v>
      </c>
      <c r="L8485" s="62">
        <f t="shared" si="2"/>
        <v>1.5</v>
      </c>
    </row>
    <row r="8486">
      <c r="A8486" s="58">
        <v>45383.0</v>
      </c>
      <c r="B8486" s="24" t="s">
        <v>155</v>
      </c>
      <c r="C8486" s="24" t="s">
        <v>7107</v>
      </c>
      <c r="D8486" s="59">
        <v>4.0</v>
      </c>
      <c r="E8486" s="59">
        <v>4.0</v>
      </c>
      <c r="F8486" s="59">
        <v>1.0</v>
      </c>
      <c r="G8486" s="60">
        <v>1.0</v>
      </c>
      <c r="H8486" s="60">
        <v>0.5</v>
      </c>
      <c r="I8486" s="60">
        <v>66.47552375</v>
      </c>
      <c r="J8486" s="59">
        <v>4.0</v>
      </c>
      <c r="K8486" s="61">
        <f t="shared" si="1"/>
        <v>0.25</v>
      </c>
      <c r="L8486" s="62">
        <f t="shared" si="2"/>
        <v>1</v>
      </c>
    </row>
    <row r="8487">
      <c r="A8487" s="58">
        <v>45383.0</v>
      </c>
      <c r="B8487" s="24" t="s">
        <v>6787</v>
      </c>
      <c r="C8487" s="24" t="s">
        <v>6804</v>
      </c>
      <c r="D8487" s="59">
        <v>3.0</v>
      </c>
      <c r="E8487" s="59">
        <v>5.0</v>
      </c>
      <c r="F8487" s="59">
        <v>3.0</v>
      </c>
      <c r="G8487" s="60">
        <v>1.66666666666666</v>
      </c>
      <c r="H8487" s="60">
        <v>0.6</v>
      </c>
      <c r="I8487" s="60">
        <v>275.9428878</v>
      </c>
      <c r="J8487" s="59">
        <v>8.0</v>
      </c>
      <c r="K8487" s="61">
        <f t="shared" si="1"/>
        <v>0.6</v>
      </c>
      <c r="L8487" s="62">
        <f t="shared" si="2"/>
        <v>1.6</v>
      </c>
    </row>
    <row r="8488">
      <c r="A8488" s="58">
        <v>45383.0</v>
      </c>
      <c r="B8488" s="24" t="s">
        <v>6789</v>
      </c>
      <c r="C8488" s="24" t="s">
        <v>6861</v>
      </c>
      <c r="D8488" s="59">
        <v>3.0</v>
      </c>
      <c r="E8488" s="59">
        <v>3.0</v>
      </c>
      <c r="F8488" s="59">
        <v>2.0</v>
      </c>
      <c r="G8488" s="60">
        <v>1.0</v>
      </c>
      <c r="H8488" s="60">
        <v>0.333333333333333</v>
      </c>
      <c r="I8488" s="60">
        <v>1170.90592433333</v>
      </c>
      <c r="J8488" s="59">
        <v>13.0</v>
      </c>
      <c r="K8488" s="61">
        <f t="shared" si="1"/>
        <v>0.6666666667</v>
      </c>
      <c r="L8488" s="62">
        <f t="shared" si="2"/>
        <v>4.333333333</v>
      </c>
    </row>
    <row r="8489">
      <c r="A8489" s="58">
        <v>45383.0</v>
      </c>
      <c r="B8489" s="24" t="s">
        <v>6789</v>
      </c>
      <c r="C8489" s="24" t="s">
        <v>6992</v>
      </c>
      <c r="D8489" s="59">
        <v>3.0</v>
      </c>
      <c r="E8489" s="59">
        <v>4.0</v>
      </c>
      <c r="F8489" s="59">
        <v>1.0</v>
      </c>
      <c r="G8489" s="60">
        <v>1.33333333333333</v>
      </c>
      <c r="H8489" s="60">
        <v>1.0</v>
      </c>
      <c r="I8489" s="60">
        <v>0.0</v>
      </c>
      <c r="J8489" s="59">
        <v>4.0</v>
      </c>
      <c r="K8489" s="61">
        <f t="shared" si="1"/>
        <v>0.25</v>
      </c>
      <c r="L8489" s="62">
        <f t="shared" si="2"/>
        <v>1</v>
      </c>
    </row>
    <row r="8490">
      <c r="A8490" s="58">
        <v>45383.0</v>
      </c>
      <c r="B8490" s="24" t="s">
        <v>6789</v>
      </c>
      <c r="C8490" s="24" t="s">
        <v>6822</v>
      </c>
      <c r="D8490" s="59">
        <v>3.0</v>
      </c>
      <c r="E8490" s="59">
        <v>4.0</v>
      </c>
      <c r="F8490" s="59">
        <v>1.0</v>
      </c>
      <c r="G8490" s="60">
        <v>1.33333333333333</v>
      </c>
      <c r="H8490" s="60">
        <v>0.0</v>
      </c>
      <c r="I8490" s="60">
        <v>1392.62892225</v>
      </c>
      <c r="J8490" s="59">
        <v>12.0</v>
      </c>
      <c r="K8490" s="61">
        <f t="shared" si="1"/>
        <v>0.25</v>
      </c>
      <c r="L8490" s="62">
        <f t="shared" si="2"/>
        <v>3</v>
      </c>
    </row>
    <row r="8491">
      <c r="A8491" s="58">
        <v>45383.0</v>
      </c>
      <c r="B8491" s="24" t="s">
        <v>6789</v>
      </c>
      <c r="C8491" s="24" t="s">
        <v>6896</v>
      </c>
      <c r="D8491" s="59">
        <v>3.0</v>
      </c>
      <c r="E8491" s="59">
        <v>4.0</v>
      </c>
      <c r="F8491" s="59">
        <v>1.0</v>
      </c>
      <c r="G8491" s="60">
        <v>1.33333333333333</v>
      </c>
      <c r="H8491" s="60">
        <v>0.0</v>
      </c>
      <c r="I8491" s="60">
        <v>190.41436175</v>
      </c>
      <c r="J8491" s="59">
        <v>6.0</v>
      </c>
      <c r="K8491" s="61">
        <f t="shared" si="1"/>
        <v>0.25</v>
      </c>
      <c r="L8491" s="62">
        <f t="shared" si="2"/>
        <v>1.5</v>
      </c>
    </row>
    <row r="8492">
      <c r="A8492" s="58">
        <v>45383.0</v>
      </c>
      <c r="B8492" s="24" t="s">
        <v>6787</v>
      </c>
      <c r="C8492" s="24" t="s">
        <v>7581</v>
      </c>
      <c r="D8492" s="59">
        <v>3.0</v>
      </c>
      <c r="E8492" s="59">
        <v>4.0</v>
      </c>
      <c r="F8492" s="59">
        <v>1.0</v>
      </c>
      <c r="G8492" s="60">
        <v>1.33333333333333</v>
      </c>
      <c r="H8492" s="60">
        <v>0.25</v>
      </c>
      <c r="I8492" s="60">
        <v>7.011719</v>
      </c>
      <c r="J8492" s="59">
        <v>7.0</v>
      </c>
      <c r="K8492" s="61">
        <f t="shared" si="1"/>
        <v>0.25</v>
      </c>
      <c r="L8492" s="62">
        <f t="shared" si="2"/>
        <v>1.75</v>
      </c>
    </row>
    <row r="8493">
      <c r="A8493" s="58">
        <v>45383.0</v>
      </c>
      <c r="B8493" s="24" t="s">
        <v>6787</v>
      </c>
      <c r="C8493" s="24" t="s">
        <v>7034</v>
      </c>
      <c r="D8493" s="59">
        <v>3.0</v>
      </c>
      <c r="E8493" s="59">
        <v>3.0</v>
      </c>
      <c r="F8493" s="59">
        <v>2.0</v>
      </c>
      <c r="G8493" s="60">
        <v>1.0</v>
      </c>
      <c r="H8493" s="60">
        <v>0.333333333333333</v>
      </c>
      <c r="I8493" s="60">
        <v>281.833072666666</v>
      </c>
      <c r="J8493" s="59">
        <v>11.0</v>
      </c>
      <c r="K8493" s="61">
        <f t="shared" si="1"/>
        <v>0.6666666667</v>
      </c>
      <c r="L8493" s="62">
        <f t="shared" si="2"/>
        <v>3.666666667</v>
      </c>
    </row>
    <row r="8494">
      <c r="A8494" s="58">
        <v>45383.0</v>
      </c>
      <c r="B8494" s="24" t="s">
        <v>6787</v>
      </c>
      <c r="C8494" s="24" t="s">
        <v>7573</v>
      </c>
      <c r="D8494" s="59">
        <v>3.0</v>
      </c>
      <c r="E8494" s="59">
        <v>3.0</v>
      </c>
      <c r="F8494" s="59">
        <v>3.0</v>
      </c>
      <c r="G8494" s="60">
        <v>1.0</v>
      </c>
      <c r="H8494" s="60">
        <v>1.0</v>
      </c>
      <c r="I8494" s="60">
        <v>0.0</v>
      </c>
      <c r="J8494" s="59">
        <v>3.0</v>
      </c>
      <c r="K8494" s="61">
        <f t="shared" si="1"/>
        <v>1</v>
      </c>
      <c r="L8494" s="62">
        <f t="shared" si="2"/>
        <v>1</v>
      </c>
    </row>
    <row r="8495">
      <c r="A8495" s="58">
        <v>45383.0</v>
      </c>
      <c r="B8495" s="24" t="s">
        <v>6789</v>
      </c>
      <c r="C8495" s="24" t="s">
        <v>7571</v>
      </c>
      <c r="D8495" s="59">
        <v>3.0</v>
      </c>
      <c r="E8495" s="59">
        <v>3.0</v>
      </c>
      <c r="F8495" s="59">
        <v>3.0</v>
      </c>
      <c r="G8495" s="60">
        <v>1.0</v>
      </c>
      <c r="H8495" s="60">
        <v>0.0</v>
      </c>
      <c r="I8495" s="60">
        <v>339.299773</v>
      </c>
      <c r="J8495" s="59">
        <v>3.0</v>
      </c>
      <c r="K8495" s="61">
        <f t="shared" si="1"/>
        <v>1</v>
      </c>
      <c r="L8495" s="62">
        <f t="shared" si="2"/>
        <v>1</v>
      </c>
    </row>
    <row r="8496">
      <c r="A8496" s="58">
        <v>45383.0</v>
      </c>
      <c r="B8496" s="24" t="s">
        <v>6789</v>
      </c>
      <c r="C8496" s="24" t="s">
        <v>7207</v>
      </c>
      <c r="D8496" s="59">
        <v>3.0</v>
      </c>
      <c r="E8496" s="59">
        <v>3.0</v>
      </c>
      <c r="F8496" s="59">
        <v>3.0</v>
      </c>
      <c r="G8496" s="60">
        <v>1.0</v>
      </c>
      <c r="H8496" s="60">
        <v>1.0</v>
      </c>
      <c r="I8496" s="60">
        <v>0.0</v>
      </c>
      <c r="J8496" s="59">
        <v>3.0</v>
      </c>
      <c r="K8496" s="61">
        <f t="shared" si="1"/>
        <v>1</v>
      </c>
      <c r="L8496" s="62">
        <f t="shared" si="2"/>
        <v>1</v>
      </c>
    </row>
    <row r="8497">
      <c r="A8497" s="58">
        <v>45383.0</v>
      </c>
      <c r="B8497" s="24" t="s">
        <v>6789</v>
      </c>
      <c r="C8497" s="24" t="s">
        <v>6801</v>
      </c>
      <c r="D8497" s="59">
        <v>3.0</v>
      </c>
      <c r="E8497" s="59">
        <v>8.0</v>
      </c>
      <c r="F8497" s="59">
        <v>1.0</v>
      </c>
      <c r="G8497" s="60">
        <v>2.66666666666666</v>
      </c>
      <c r="H8497" s="60">
        <v>0.125</v>
      </c>
      <c r="I8497" s="60">
        <v>205.149299624999</v>
      </c>
      <c r="J8497" s="59">
        <v>19.0</v>
      </c>
      <c r="K8497" s="61">
        <f t="shared" si="1"/>
        <v>0.125</v>
      </c>
      <c r="L8497" s="62">
        <f t="shared" si="2"/>
        <v>2.375</v>
      </c>
    </row>
    <row r="8498">
      <c r="A8498" s="58">
        <v>45383.0</v>
      </c>
      <c r="B8498" s="24" t="s">
        <v>6789</v>
      </c>
      <c r="C8498" s="24" t="s">
        <v>6924</v>
      </c>
      <c r="D8498" s="59">
        <v>3.0</v>
      </c>
      <c r="E8498" s="59">
        <v>5.0</v>
      </c>
      <c r="F8498" s="59">
        <v>0.0</v>
      </c>
      <c r="G8498" s="60">
        <v>1.66666666666666</v>
      </c>
      <c r="H8498" s="60">
        <v>0.2</v>
      </c>
      <c r="I8498" s="60">
        <v>236.2819308</v>
      </c>
      <c r="J8498" s="59">
        <v>11.0</v>
      </c>
      <c r="K8498" s="61">
        <f t="shared" si="1"/>
        <v>0</v>
      </c>
      <c r="L8498" s="62">
        <f t="shared" si="2"/>
        <v>2.2</v>
      </c>
    </row>
    <row r="8499">
      <c r="A8499" s="58">
        <v>45383.0</v>
      </c>
      <c r="B8499" s="24" t="s">
        <v>6787</v>
      </c>
      <c r="C8499" s="24" t="s">
        <v>7295</v>
      </c>
      <c r="D8499" s="59">
        <v>3.0</v>
      </c>
      <c r="E8499" s="59">
        <v>3.0</v>
      </c>
      <c r="F8499" s="59">
        <v>3.0</v>
      </c>
      <c r="G8499" s="60">
        <v>1.0</v>
      </c>
      <c r="H8499" s="60">
        <v>1.0</v>
      </c>
      <c r="I8499" s="60">
        <v>4.920551</v>
      </c>
      <c r="J8499" s="59">
        <v>3.0</v>
      </c>
      <c r="K8499" s="61">
        <f t="shared" si="1"/>
        <v>1</v>
      </c>
      <c r="L8499" s="62">
        <f t="shared" si="2"/>
        <v>1</v>
      </c>
    </row>
    <row r="8500">
      <c r="A8500" s="58">
        <v>45383.0</v>
      </c>
      <c r="B8500" s="24" t="s">
        <v>3216</v>
      </c>
      <c r="C8500" s="24" t="s">
        <v>6788</v>
      </c>
      <c r="D8500" s="59">
        <v>2.0</v>
      </c>
      <c r="E8500" s="59">
        <v>2.0</v>
      </c>
      <c r="F8500" s="59">
        <v>2.0</v>
      </c>
      <c r="G8500" s="60">
        <v>1.0</v>
      </c>
      <c r="H8500" s="60">
        <v>1.0</v>
      </c>
      <c r="I8500" s="60">
        <v>0.5198475</v>
      </c>
      <c r="J8500" s="59">
        <v>2.0</v>
      </c>
      <c r="K8500" s="61">
        <f t="shared" si="1"/>
        <v>1</v>
      </c>
      <c r="L8500" s="62">
        <f t="shared" si="2"/>
        <v>1</v>
      </c>
    </row>
    <row r="8501">
      <c r="A8501" s="58">
        <v>45383.0</v>
      </c>
      <c r="B8501" s="24" t="s">
        <v>6787</v>
      </c>
      <c r="C8501" s="24" t="s">
        <v>7056</v>
      </c>
      <c r="D8501" s="59">
        <v>2.0</v>
      </c>
      <c r="E8501" s="59">
        <v>5.0</v>
      </c>
      <c r="F8501" s="59">
        <v>1.0</v>
      </c>
      <c r="G8501" s="60">
        <v>2.5</v>
      </c>
      <c r="H8501" s="60">
        <v>0.8</v>
      </c>
      <c r="I8501" s="60">
        <v>1.4890376</v>
      </c>
      <c r="J8501" s="59">
        <v>6.0</v>
      </c>
      <c r="K8501" s="61">
        <f t="shared" si="1"/>
        <v>0.2</v>
      </c>
      <c r="L8501" s="62">
        <f t="shared" si="2"/>
        <v>1.2</v>
      </c>
    </row>
    <row r="8502">
      <c r="A8502" s="58">
        <v>45383.0</v>
      </c>
      <c r="B8502" s="24" t="s">
        <v>6789</v>
      </c>
      <c r="C8502" s="24" t="s">
        <v>7056</v>
      </c>
      <c r="D8502" s="59">
        <v>2.0</v>
      </c>
      <c r="E8502" s="59">
        <v>2.0</v>
      </c>
      <c r="F8502" s="59">
        <v>2.0</v>
      </c>
      <c r="G8502" s="60">
        <v>1.0</v>
      </c>
      <c r="H8502" s="60">
        <v>0.0</v>
      </c>
      <c r="I8502" s="60">
        <v>143.1621855</v>
      </c>
      <c r="J8502" s="59">
        <v>2.0</v>
      </c>
      <c r="K8502" s="61">
        <f t="shared" si="1"/>
        <v>1</v>
      </c>
      <c r="L8502" s="62">
        <f t="shared" si="2"/>
        <v>1</v>
      </c>
    </row>
    <row r="8503">
      <c r="A8503" s="58">
        <v>45383.0</v>
      </c>
      <c r="B8503" s="24" t="s">
        <v>6789</v>
      </c>
      <c r="C8503" s="24" t="s">
        <v>6829</v>
      </c>
      <c r="D8503" s="59">
        <v>2.0</v>
      </c>
      <c r="E8503" s="59">
        <v>2.0</v>
      </c>
      <c r="F8503" s="59">
        <v>2.0</v>
      </c>
      <c r="G8503" s="60">
        <v>1.0</v>
      </c>
      <c r="H8503" s="60">
        <v>0.0</v>
      </c>
      <c r="I8503" s="60">
        <v>57.882912</v>
      </c>
      <c r="J8503" s="59">
        <v>2.0</v>
      </c>
      <c r="K8503" s="61">
        <f t="shared" si="1"/>
        <v>1</v>
      </c>
      <c r="L8503" s="62">
        <f t="shared" si="2"/>
        <v>1</v>
      </c>
    </row>
    <row r="8504">
      <c r="A8504" s="58">
        <v>45383.0</v>
      </c>
      <c r="B8504" s="24" t="s">
        <v>6787</v>
      </c>
      <c r="C8504" s="24" t="s">
        <v>6989</v>
      </c>
      <c r="D8504" s="59">
        <v>2.0</v>
      </c>
      <c r="E8504" s="59">
        <v>3.0</v>
      </c>
      <c r="F8504" s="59">
        <v>1.0</v>
      </c>
      <c r="G8504" s="60">
        <v>1.5</v>
      </c>
      <c r="H8504" s="60">
        <v>0.333333333333333</v>
      </c>
      <c r="I8504" s="60">
        <v>180.370775666666</v>
      </c>
      <c r="J8504" s="59">
        <v>10.0</v>
      </c>
      <c r="K8504" s="61">
        <f t="shared" si="1"/>
        <v>0.3333333333</v>
      </c>
      <c r="L8504" s="62">
        <f t="shared" si="2"/>
        <v>3.333333333</v>
      </c>
    </row>
    <row r="8505">
      <c r="A8505" s="58">
        <v>45383.0</v>
      </c>
      <c r="B8505" s="24" t="s">
        <v>6789</v>
      </c>
      <c r="C8505" s="24" t="s">
        <v>7067</v>
      </c>
      <c r="D8505" s="59">
        <v>2.0</v>
      </c>
      <c r="E8505" s="59">
        <v>2.0</v>
      </c>
      <c r="F8505" s="59">
        <v>2.0</v>
      </c>
      <c r="G8505" s="60">
        <v>1.0</v>
      </c>
      <c r="H8505" s="60">
        <v>0.5</v>
      </c>
      <c r="I8505" s="60">
        <v>86.073122</v>
      </c>
      <c r="J8505" s="59">
        <v>4.0</v>
      </c>
      <c r="K8505" s="61">
        <f t="shared" si="1"/>
        <v>1</v>
      </c>
      <c r="L8505" s="62">
        <f t="shared" si="2"/>
        <v>2</v>
      </c>
    </row>
    <row r="8506">
      <c r="A8506" s="58">
        <v>45383.0</v>
      </c>
      <c r="B8506" s="24" t="s">
        <v>155</v>
      </c>
      <c r="C8506" s="24" t="s">
        <v>7068</v>
      </c>
      <c r="D8506" s="59">
        <v>2.0</v>
      </c>
      <c r="E8506" s="59">
        <v>2.0</v>
      </c>
      <c r="F8506" s="59">
        <v>2.0</v>
      </c>
      <c r="G8506" s="60">
        <v>1.0</v>
      </c>
      <c r="H8506" s="60">
        <v>0.0</v>
      </c>
      <c r="I8506" s="60">
        <v>164.880741</v>
      </c>
      <c r="J8506" s="59">
        <v>2.0</v>
      </c>
      <c r="K8506" s="61">
        <f t="shared" si="1"/>
        <v>1</v>
      </c>
      <c r="L8506" s="62">
        <f t="shared" si="2"/>
        <v>1</v>
      </c>
    </row>
    <row r="8507">
      <c r="A8507" s="58">
        <v>45383.0</v>
      </c>
      <c r="B8507" s="24" t="s">
        <v>6789</v>
      </c>
      <c r="C8507" s="24" t="s">
        <v>6991</v>
      </c>
      <c r="D8507" s="59">
        <v>2.0</v>
      </c>
      <c r="E8507" s="59">
        <v>2.0</v>
      </c>
      <c r="F8507" s="59">
        <v>2.0</v>
      </c>
      <c r="G8507" s="60">
        <v>1.0</v>
      </c>
      <c r="H8507" s="60">
        <v>1.0</v>
      </c>
      <c r="I8507" s="60">
        <v>2.5331025</v>
      </c>
      <c r="J8507" s="59">
        <v>2.0</v>
      </c>
      <c r="K8507" s="61">
        <f t="shared" si="1"/>
        <v>1</v>
      </c>
      <c r="L8507" s="62">
        <f t="shared" si="2"/>
        <v>1</v>
      </c>
    </row>
    <row r="8508">
      <c r="A8508" s="58">
        <v>45383.0</v>
      </c>
      <c r="B8508" s="24" t="s">
        <v>6787</v>
      </c>
      <c r="C8508" s="24" t="s">
        <v>6994</v>
      </c>
      <c r="D8508" s="59">
        <v>2.0</v>
      </c>
      <c r="E8508" s="59">
        <v>2.0</v>
      </c>
      <c r="F8508" s="59">
        <v>1.0</v>
      </c>
      <c r="G8508" s="60">
        <v>1.0</v>
      </c>
      <c r="H8508" s="60">
        <v>0.0</v>
      </c>
      <c r="I8508" s="60">
        <v>67.2347509999999</v>
      </c>
      <c r="J8508" s="59">
        <v>2.0</v>
      </c>
      <c r="K8508" s="61">
        <f t="shared" si="1"/>
        <v>0.5</v>
      </c>
      <c r="L8508" s="62">
        <f t="shared" si="2"/>
        <v>1</v>
      </c>
    </row>
    <row r="8509">
      <c r="A8509" s="58">
        <v>45383.0</v>
      </c>
      <c r="B8509" s="24" t="s">
        <v>6787</v>
      </c>
      <c r="C8509" s="24" t="s">
        <v>6820</v>
      </c>
      <c r="D8509" s="59">
        <v>2.0</v>
      </c>
      <c r="E8509" s="59">
        <v>2.0</v>
      </c>
      <c r="F8509" s="59">
        <v>0.0</v>
      </c>
      <c r="G8509" s="60">
        <v>1.0</v>
      </c>
      <c r="H8509" s="60">
        <v>0.5</v>
      </c>
      <c r="I8509" s="60">
        <v>70.2554415</v>
      </c>
      <c r="J8509" s="59">
        <v>3.0</v>
      </c>
      <c r="K8509" s="61">
        <f t="shared" si="1"/>
        <v>0</v>
      </c>
      <c r="L8509" s="62">
        <f t="shared" si="2"/>
        <v>1.5</v>
      </c>
    </row>
    <row r="8510">
      <c r="A8510" s="58">
        <v>45383.0</v>
      </c>
      <c r="B8510" s="24" t="s">
        <v>6787</v>
      </c>
      <c r="C8510" s="24" t="s">
        <v>6838</v>
      </c>
      <c r="D8510" s="59">
        <v>2.0</v>
      </c>
      <c r="E8510" s="59">
        <v>2.0</v>
      </c>
      <c r="F8510" s="59">
        <v>1.0</v>
      </c>
      <c r="G8510" s="60">
        <v>1.0</v>
      </c>
      <c r="H8510" s="60">
        <v>0.5</v>
      </c>
      <c r="I8510" s="60">
        <v>17.4574205</v>
      </c>
      <c r="J8510" s="59">
        <v>2.0</v>
      </c>
      <c r="K8510" s="61">
        <f t="shared" si="1"/>
        <v>0.5</v>
      </c>
      <c r="L8510" s="62">
        <f t="shared" si="2"/>
        <v>1</v>
      </c>
    </row>
    <row r="8511">
      <c r="A8511" s="58">
        <v>45383.0</v>
      </c>
      <c r="B8511" s="24" t="s">
        <v>6787</v>
      </c>
      <c r="C8511" s="24" t="s">
        <v>6822</v>
      </c>
      <c r="D8511" s="59">
        <v>2.0</v>
      </c>
      <c r="E8511" s="59">
        <v>2.0</v>
      </c>
      <c r="F8511" s="59">
        <v>2.0</v>
      </c>
      <c r="G8511" s="60">
        <v>1.0</v>
      </c>
      <c r="H8511" s="60">
        <v>0.5</v>
      </c>
      <c r="I8511" s="60">
        <v>5.456246</v>
      </c>
      <c r="J8511" s="59">
        <v>2.0</v>
      </c>
      <c r="K8511" s="61">
        <f t="shared" si="1"/>
        <v>1</v>
      </c>
      <c r="L8511" s="62">
        <f t="shared" si="2"/>
        <v>1</v>
      </c>
    </row>
    <row r="8512">
      <c r="A8512" s="58">
        <v>45383.0</v>
      </c>
      <c r="B8512" s="24" t="s">
        <v>7100</v>
      </c>
      <c r="C8512" s="24" t="s">
        <v>6892</v>
      </c>
      <c r="D8512" s="59">
        <v>2.0</v>
      </c>
      <c r="E8512" s="59">
        <v>3.0</v>
      </c>
      <c r="F8512" s="59">
        <v>2.0</v>
      </c>
      <c r="G8512" s="60">
        <v>1.5</v>
      </c>
      <c r="H8512" s="60">
        <v>1.0</v>
      </c>
      <c r="I8512" s="60">
        <v>0.0</v>
      </c>
      <c r="J8512" s="59">
        <v>3.0</v>
      </c>
      <c r="K8512" s="61">
        <f t="shared" si="1"/>
        <v>0.6666666667</v>
      </c>
      <c r="L8512" s="62">
        <f t="shared" si="2"/>
        <v>1</v>
      </c>
    </row>
    <row r="8513">
      <c r="A8513" s="58">
        <v>45383.0</v>
      </c>
      <c r="B8513" s="24" t="s">
        <v>6787</v>
      </c>
      <c r="C8513" s="24" t="s">
        <v>6904</v>
      </c>
      <c r="D8513" s="59">
        <v>2.0</v>
      </c>
      <c r="E8513" s="59">
        <v>2.0</v>
      </c>
      <c r="F8513" s="59">
        <v>1.0</v>
      </c>
      <c r="G8513" s="60">
        <v>2.0</v>
      </c>
      <c r="H8513" s="60">
        <v>1.0</v>
      </c>
      <c r="I8513" s="60">
        <v>0.0</v>
      </c>
      <c r="J8513" s="59">
        <v>2.0</v>
      </c>
      <c r="K8513" s="61">
        <f t="shared" si="1"/>
        <v>0.5</v>
      </c>
      <c r="L8513" s="62">
        <f t="shared" si="2"/>
        <v>1</v>
      </c>
    </row>
    <row r="8514">
      <c r="A8514" s="58">
        <v>45383.0</v>
      </c>
      <c r="B8514" s="24" t="s">
        <v>6789</v>
      </c>
      <c r="C8514" s="24" t="s">
        <v>6800</v>
      </c>
      <c r="D8514" s="59">
        <v>2.0</v>
      </c>
      <c r="E8514" s="59">
        <v>2.0</v>
      </c>
      <c r="F8514" s="59">
        <v>2.0</v>
      </c>
      <c r="G8514" s="60">
        <v>1.0</v>
      </c>
      <c r="H8514" s="60">
        <v>0.0</v>
      </c>
      <c r="I8514" s="60">
        <v>517.136691</v>
      </c>
      <c r="J8514" s="59">
        <v>2.0</v>
      </c>
      <c r="K8514" s="61">
        <f t="shared" si="1"/>
        <v>1</v>
      </c>
      <c r="L8514" s="62">
        <f t="shared" si="2"/>
        <v>1</v>
      </c>
    </row>
    <row r="8515">
      <c r="A8515" s="58">
        <v>45383.0</v>
      </c>
      <c r="B8515" s="24" t="s">
        <v>6787</v>
      </c>
      <c r="C8515" s="24" t="s">
        <v>7044</v>
      </c>
      <c r="D8515" s="59">
        <v>2.0</v>
      </c>
      <c r="E8515" s="59">
        <v>2.0</v>
      </c>
      <c r="F8515" s="59">
        <v>2.0</v>
      </c>
      <c r="G8515" s="60">
        <v>1.0</v>
      </c>
      <c r="H8515" s="60">
        <v>1.0</v>
      </c>
      <c r="I8515" s="60">
        <v>0.0</v>
      </c>
      <c r="J8515" s="59">
        <v>2.0</v>
      </c>
      <c r="K8515" s="61">
        <f t="shared" si="1"/>
        <v>1</v>
      </c>
      <c r="L8515" s="62">
        <f t="shared" si="2"/>
        <v>1</v>
      </c>
    </row>
    <row r="8516">
      <c r="A8516" s="58">
        <v>45383.0</v>
      </c>
      <c r="B8516" s="24" t="s">
        <v>3216</v>
      </c>
      <c r="C8516" s="24" t="s">
        <v>6908</v>
      </c>
      <c r="D8516" s="59">
        <v>2.0</v>
      </c>
      <c r="E8516" s="59">
        <v>2.0</v>
      </c>
      <c r="F8516" s="59">
        <v>2.0</v>
      </c>
      <c r="G8516" s="60">
        <v>1.0</v>
      </c>
      <c r="H8516" s="60">
        <v>0.0</v>
      </c>
      <c r="I8516" s="60">
        <v>267.990812</v>
      </c>
      <c r="J8516" s="59">
        <v>3.0</v>
      </c>
      <c r="K8516" s="61">
        <f t="shared" si="1"/>
        <v>1</v>
      </c>
      <c r="L8516" s="62">
        <f t="shared" si="2"/>
        <v>1.5</v>
      </c>
    </row>
    <row r="8517">
      <c r="A8517" s="58">
        <v>45383.0</v>
      </c>
      <c r="B8517" s="24" t="s">
        <v>6789</v>
      </c>
      <c r="C8517" s="24" t="s">
        <v>6908</v>
      </c>
      <c r="D8517" s="59">
        <v>2.0</v>
      </c>
      <c r="E8517" s="59">
        <v>2.0</v>
      </c>
      <c r="F8517" s="59">
        <v>0.0</v>
      </c>
      <c r="G8517" s="60">
        <v>1.0</v>
      </c>
      <c r="H8517" s="60">
        <v>0.0</v>
      </c>
      <c r="I8517" s="60">
        <v>778.1782535</v>
      </c>
      <c r="J8517" s="59">
        <v>5.0</v>
      </c>
      <c r="K8517" s="61">
        <f t="shared" si="1"/>
        <v>0</v>
      </c>
      <c r="L8517" s="62">
        <f t="shared" si="2"/>
        <v>2.5</v>
      </c>
    </row>
    <row r="8518">
      <c r="A8518" s="58">
        <v>45383.0</v>
      </c>
      <c r="B8518" s="24" t="s">
        <v>6787</v>
      </c>
      <c r="C8518" s="24" t="s">
        <v>7104</v>
      </c>
      <c r="D8518" s="59">
        <v>2.0</v>
      </c>
      <c r="E8518" s="59">
        <v>2.0</v>
      </c>
      <c r="F8518" s="59">
        <v>2.0</v>
      </c>
      <c r="G8518" s="60">
        <v>1.0</v>
      </c>
      <c r="H8518" s="60">
        <v>0.5</v>
      </c>
      <c r="I8518" s="60">
        <v>11.021461</v>
      </c>
      <c r="J8518" s="59">
        <v>2.0</v>
      </c>
      <c r="K8518" s="61">
        <f t="shared" si="1"/>
        <v>1</v>
      </c>
      <c r="L8518" s="62">
        <f t="shared" si="2"/>
        <v>1</v>
      </c>
    </row>
    <row r="8519">
      <c r="A8519" s="58">
        <v>45383.0</v>
      </c>
      <c r="B8519" s="24" t="s">
        <v>6789</v>
      </c>
      <c r="C8519" s="24" t="s">
        <v>7104</v>
      </c>
      <c r="D8519" s="59">
        <v>2.0</v>
      </c>
      <c r="E8519" s="59">
        <v>5.0</v>
      </c>
      <c r="F8519" s="59">
        <v>0.0</v>
      </c>
      <c r="G8519" s="60">
        <v>2.5</v>
      </c>
      <c r="H8519" s="60">
        <v>0.8</v>
      </c>
      <c r="I8519" s="60">
        <v>7.0584924</v>
      </c>
      <c r="J8519" s="59">
        <v>5.0</v>
      </c>
      <c r="K8519" s="61">
        <f t="shared" si="1"/>
        <v>0</v>
      </c>
      <c r="L8519" s="62">
        <f t="shared" si="2"/>
        <v>1</v>
      </c>
    </row>
    <row r="8520">
      <c r="A8520" s="58">
        <v>45383.0</v>
      </c>
      <c r="B8520" s="24" t="s">
        <v>6787</v>
      </c>
      <c r="C8520" s="24" t="s">
        <v>7192</v>
      </c>
      <c r="D8520" s="59">
        <v>2.0</v>
      </c>
      <c r="E8520" s="59">
        <v>2.0</v>
      </c>
      <c r="F8520" s="59">
        <v>2.0</v>
      </c>
      <c r="G8520" s="60">
        <v>1.0</v>
      </c>
      <c r="H8520" s="60">
        <v>0.5</v>
      </c>
      <c r="I8520" s="60">
        <v>43.8824055</v>
      </c>
      <c r="J8520" s="59">
        <v>3.0</v>
      </c>
      <c r="K8520" s="61">
        <f t="shared" si="1"/>
        <v>1</v>
      </c>
      <c r="L8520" s="62">
        <f t="shared" si="2"/>
        <v>1.5</v>
      </c>
    </row>
    <row r="8521">
      <c r="A8521" s="58">
        <v>45383.0</v>
      </c>
      <c r="B8521" s="24" t="s">
        <v>155</v>
      </c>
      <c r="C8521" s="24" t="s">
        <v>7192</v>
      </c>
      <c r="D8521" s="59">
        <v>2.0</v>
      </c>
      <c r="E8521" s="59">
        <v>2.0</v>
      </c>
      <c r="F8521" s="59">
        <v>0.0</v>
      </c>
      <c r="G8521" s="60">
        <v>2.0</v>
      </c>
      <c r="H8521" s="60">
        <v>1.0</v>
      </c>
      <c r="I8521" s="60">
        <v>4.3812945</v>
      </c>
      <c r="J8521" s="59">
        <v>2.0</v>
      </c>
      <c r="K8521" s="61">
        <f t="shared" si="1"/>
        <v>0</v>
      </c>
      <c r="L8521" s="62">
        <f t="shared" si="2"/>
        <v>1</v>
      </c>
    </row>
    <row r="8522">
      <c r="A8522" s="58">
        <v>45383.0</v>
      </c>
      <c r="B8522" s="24" t="s">
        <v>6794</v>
      </c>
      <c r="C8522" s="24" t="s">
        <v>6815</v>
      </c>
      <c r="D8522" s="59">
        <v>2.0</v>
      </c>
      <c r="E8522" s="59">
        <v>2.0</v>
      </c>
      <c r="F8522" s="59">
        <v>2.0</v>
      </c>
      <c r="G8522" s="60">
        <v>1.0</v>
      </c>
      <c r="H8522" s="60">
        <v>0.5</v>
      </c>
      <c r="I8522" s="60">
        <v>79.539474</v>
      </c>
      <c r="J8522" s="59">
        <v>2.0</v>
      </c>
      <c r="K8522" s="61">
        <f t="shared" si="1"/>
        <v>1</v>
      </c>
      <c r="L8522" s="62">
        <f t="shared" si="2"/>
        <v>1</v>
      </c>
    </row>
    <row r="8523">
      <c r="A8523" s="58">
        <v>45383.0</v>
      </c>
      <c r="B8523" s="24" t="s">
        <v>6787</v>
      </c>
      <c r="C8523" s="24" t="s">
        <v>6921</v>
      </c>
      <c r="D8523" s="59">
        <v>2.0</v>
      </c>
      <c r="E8523" s="59">
        <v>2.0</v>
      </c>
      <c r="F8523" s="59">
        <v>1.0</v>
      </c>
      <c r="G8523" s="60">
        <v>1.0</v>
      </c>
      <c r="H8523" s="60">
        <v>1.0</v>
      </c>
      <c r="I8523" s="60">
        <v>1.9608325</v>
      </c>
      <c r="J8523" s="59">
        <v>2.0</v>
      </c>
      <c r="K8523" s="61">
        <f t="shared" si="1"/>
        <v>0.5</v>
      </c>
      <c r="L8523" s="62">
        <f t="shared" si="2"/>
        <v>1</v>
      </c>
    </row>
    <row r="8524">
      <c r="A8524" s="58">
        <v>45383.0</v>
      </c>
      <c r="B8524" s="24" t="s">
        <v>6787</v>
      </c>
      <c r="C8524" s="24" t="s">
        <v>6922</v>
      </c>
      <c r="D8524" s="59">
        <v>2.0</v>
      </c>
      <c r="E8524" s="59">
        <v>2.0</v>
      </c>
      <c r="F8524" s="59">
        <v>2.0</v>
      </c>
      <c r="G8524" s="60">
        <v>1.0</v>
      </c>
      <c r="H8524" s="60">
        <v>1.0</v>
      </c>
      <c r="I8524" s="60">
        <v>0.952759</v>
      </c>
      <c r="J8524" s="59">
        <v>2.0</v>
      </c>
      <c r="K8524" s="61">
        <f t="shared" si="1"/>
        <v>1</v>
      </c>
      <c r="L8524" s="62">
        <f t="shared" si="2"/>
        <v>1</v>
      </c>
    </row>
    <row r="8525">
      <c r="A8525" s="58">
        <v>45383.0</v>
      </c>
      <c r="B8525" s="24" t="s">
        <v>6787</v>
      </c>
      <c r="C8525" s="24" t="s">
        <v>7047</v>
      </c>
      <c r="D8525" s="59">
        <v>2.0</v>
      </c>
      <c r="E8525" s="59">
        <v>2.0</v>
      </c>
      <c r="F8525" s="59">
        <v>2.0</v>
      </c>
      <c r="G8525" s="60">
        <v>1.0</v>
      </c>
      <c r="H8525" s="60">
        <v>0.5</v>
      </c>
      <c r="I8525" s="60">
        <v>5.5747215</v>
      </c>
      <c r="J8525" s="59">
        <v>2.0</v>
      </c>
      <c r="K8525" s="61">
        <f t="shared" si="1"/>
        <v>1</v>
      </c>
      <c r="L8525" s="62">
        <f t="shared" si="2"/>
        <v>1</v>
      </c>
    </row>
    <row r="8526">
      <c r="A8526" s="58">
        <v>45383.0</v>
      </c>
      <c r="B8526" s="24" t="s">
        <v>6789</v>
      </c>
      <c r="C8526" s="24" t="s">
        <v>7047</v>
      </c>
      <c r="D8526" s="59">
        <v>2.0</v>
      </c>
      <c r="E8526" s="59">
        <v>2.0</v>
      </c>
      <c r="F8526" s="59">
        <v>1.0</v>
      </c>
      <c r="G8526" s="60">
        <v>1.0</v>
      </c>
      <c r="H8526" s="60">
        <v>0.0</v>
      </c>
      <c r="I8526" s="60">
        <v>16.1094315</v>
      </c>
      <c r="J8526" s="59">
        <v>2.0</v>
      </c>
      <c r="K8526" s="61">
        <f t="shared" si="1"/>
        <v>0.5</v>
      </c>
      <c r="L8526" s="62">
        <f t="shared" si="2"/>
        <v>1</v>
      </c>
    </row>
    <row r="8527">
      <c r="A8527" s="58">
        <v>45383.0</v>
      </c>
      <c r="B8527" s="24" t="s">
        <v>6787</v>
      </c>
      <c r="C8527" s="24" t="s">
        <v>6810</v>
      </c>
      <c r="D8527" s="59">
        <v>2.0</v>
      </c>
      <c r="E8527" s="59">
        <v>2.0</v>
      </c>
      <c r="F8527" s="59">
        <v>2.0</v>
      </c>
      <c r="G8527" s="60">
        <v>1.0</v>
      </c>
      <c r="H8527" s="60">
        <v>1.0</v>
      </c>
      <c r="I8527" s="60">
        <v>0.0</v>
      </c>
      <c r="J8527" s="59">
        <v>2.0</v>
      </c>
      <c r="K8527" s="61">
        <f t="shared" si="1"/>
        <v>1</v>
      </c>
      <c r="L8527" s="62">
        <f t="shared" si="2"/>
        <v>1</v>
      </c>
    </row>
    <row r="8528">
      <c r="A8528" s="58">
        <v>45383.0</v>
      </c>
      <c r="B8528" s="24" t="s">
        <v>6789</v>
      </c>
      <c r="C8528" s="24" t="s">
        <v>6810</v>
      </c>
      <c r="D8528" s="59">
        <v>2.0</v>
      </c>
      <c r="E8528" s="59">
        <v>2.0</v>
      </c>
      <c r="F8528" s="59">
        <v>1.0</v>
      </c>
      <c r="G8528" s="60">
        <v>1.0</v>
      </c>
      <c r="H8528" s="60">
        <v>1.0</v>
      </c>
      <c r="I8528" s="60">
        <v>2.5200765</v>
      </c>
      <c r="J8528" s="59">
        <v>2.0</v>
      </c>
      <c r="K8528" s="61">
        <f t="shared" si="1"/>
        <v>0.5</v>
      </c>
      <c r="L8528" s="62">
        <f t="shared" si="2"/>
        <v>1</v>
      </c>
    </row>
    <row r="8529">
      <c r="A8529" s="58">
        <v>45383.0</v>
      </c>
      <c r="B8529" s="24" t="s">
        <v>6787</v>
      </c>
      <c r="C8529" s="24" t="s">
        <v>6931</v>
      </c>
      <c r="D8529" s="59">
        <v>2.0</v>
      </c>
      <c r="E8529" s="59">
        <v>2.0</v>
      </c>
      <c r="F8529" s="59">
        <v>2.0</v>
      </c>
      <c r="G8529" s="60">
        <v>1.0</v>
      </c>
      <c r="H8529" s="60">
        <v>1.0</v>
      </c>
      <c r="I8529" s="60">
        <v>0.0</v>
      </c>
      <c r="J8529" s="59">
        <v>2.0</v>
      </c>
      <c r="K8529" s="61">
        <f t="shared" si="1"/>
        <v>1</v>
      </c>
      <c r="L8529" s="62">
        <f t="shared" si="2"/>
        <v>1</v>
      </c>
    </row>
    <row r="8530">
      <c r="A8530" s="58">
        <v>45383.0</v>
      </c>
      <c r="B8530" s="24" t="s">
        <v>6787</v>
      </c>
      <c r="C8530" s="24" t="s">
        <v>6962</v>
      </c>
      <c r="D8530" s="59">
        <v>2.0</v>
      </c>
      <c r="E8530" s="59">
        <v>4.0</v>
      </c>
      <c r="F8530" s="59">
        <v>1.0</v>
      </c>
      <c r="G8530" s="60">
        <v>4.0</v>
      </c>
      <c r="H8530" s="60">
        <v>0.0</v>
      </c>
      <c r="I8530" s="60">
        <v>767.6900105</v>
      </c>
      <c r="J8530" s="59">
        <v>12.0</v>
      </c>
      <c r="K8530" s="61">
        <f t="shared" si="1"/>
        <v>0.25</v>
      </c>
      <c r="L8530" s="62">
        <f t="shared" si="2"/>
        <v>3</v>
      </c>
    </row>
    <row r="8531">
      <c r="A8531" s="58">
        <v>45383.0</v>
      </c>
      <c r="B8531" s="24" t="s">
        <v>6787</v>
      </c>
      <c r="C8531" s="24" t="s">
        <v>7208</v>
      </c>
      <c r="D8531" s="59">
        <v>2.0</v>
      </c>
      <c r="E8531" s="59">
        <v>2.0</v>
      </c>
      <c r="F8531" s="59">
        <v>0.0</v>
      </c>
      <c r="G8531" s="60">
        <v>2.0</v>
      </c>
      <c r="H8531" s="60">
        <v>0.0</v>
      </c>
      <c r="I8531" s="60">
        <v>335.790947</v>
      </c>
      <c r="J8531" s="59">
        <v>2.0</v>
      </c>
      <c r="K8531" s="61">
        <f t="shared" si="1"/>
        <v>0</v>
      </c>
      <c r="L8531" s="62">
        <f t="shared" si="2"/>
        <v>1</v>
      </c>
    </row>
    <row r="8532">
      <c r="A8532" s="58">
        <v>45383.0</v>
      </c>
      <c r="B8532" s="24" t="s">
        <v>6787</v>
      </c>
      <c r="C8532" s="24" t="s">
        <v>6924</v>
      </c>
      <c r="D8532" s="59">
        <v>2.0</v>
      </c>
      <c r="E8532" s="59">
        <v>2.0</v>
      </c>
      <c r="F8532" s="59">
        <v>2.0</v>
      </c>
      <c r="G8532" s="60">
        <v>1.0</v>
      </c>
      <c r="H8532" s="60">
        <v>0.5</v>
      </c>
      <c r="I8532" s="60">
        <v>22.331636</v>
      </c>
      <c r="J8532" s="59">
        <v>2.0</v>
      </c>
      <c r="K8532" s="61">
        <f t="shared" si="1"/>
        <v>1</v>
      </c>
      <c r="L8532" s="62">
        <f t="shared" si="2"/>
        <v>1</v>
      </c>
    </row>
    <row r="8533">
      <c r="A8533" s="58">
        <v>45383.0</v>
      </c>
      <c r="B8533" s="24" t="s">
        <v>6794</v>
      </c>
      <c r="C8533" s="24" t="s">
        <v>6802</v>
      </c>
      <c r="D8533" s="59">
        <v>2.0</v>
      </c>
      <c r="E8533" s="59">
        <v>3.0</v>
      </c>
      <c r="F8533" s="59">
        <v>0.0</v>
      </c>
      <c r="G8533" s="60">
        <v>1.5</v>
      </c>
      <c r="H8533" s="60">
        <v>0.666666666666666</v>
      </c>
      <c r="I8533" s="60">
        <v>15.301584</v>
      </c>
      <c r="J8533" s="59">
        <v>4.0</v>
      </c>
      <c r="K8533" s="61">
        <f t="shared" si="1"/>
        <v>0</v>
      </c>
      <c r="L8533" s="62">
        <f t="shared" si="2"/>
        <v>1.333333333</v>
      </c>
    </row>
    <row r="8534">
      <c r="A8534" s="58">
        <v>45383.0</v>
      </c>
      <c r="B8534" s="24" t="s">
        <v>155</v>
      </c>
      <c r="C8534" s="24" t="s">
        <v>6802</v>
      </c>
      <c r="D8534" s="59">
        <v>2.0</v>
      </c>
      <c r="E8534" s="59">
        <v>2.0</v>
      </c>
      <c r="F8534" s="59">
        <v>0.0</v>
      </c>
      <c r="G8534" s="60">
        <v>1.0</v>
      </c>
      <c r="H8534" s="60">
        <v>0.0</v>
      </c>
      <c r="I8534" s="60">
        <v>70.1160575</v>
      </c>
      <c r="J8534" s="59">
        <v>3.0</v>
      </c>
      <c r="K8534" s="61">
        <f t="shared" si="1"/>
        <v>0</v>
      </c>
      <c r="L8534" s="62">
        <f t="shared" si="2"/>
        <v>1.5</v>
      </c>
    </row>
    <row r="8535">
      <c r="A8535" s="58">
        <v>45383.0</v>
      </c>
      <c r="B8535" s="24" t="s">
        <v>6790</v>
      </c>
      <c r="C8535" s="24" t="s">
        <v>6802</v>
      </c>
      <c r="D8535" s="59">
        <v>2.0</v>
      </c>
      <c r="E8535" s="59">
        <v>2.0</v>
      </c>
      <c r="F8535" s="59">
        <v>0.0</v>
      </c>
      <c r="G8535" s="60">
        <v>1.0</v>
      </c>
      <c r="H8535" s="60">
        <v>1.0</v>
      </c>
      <c r="I8535" s="60">
        <v>68.091609</v>
      </c>
      <c r="J8535" s="59">
        <v>3.0</v>
      </c>
      <c r="K8535" s="61">
        <f t="shared" si="1"/>
        <v>0</v>
      </c>
      <c r="L8535" s="62">
        <f t="shared" si="2"/>
        <v>1.5</v>
      </c>
    </row>
    <row r="8536">
      <c r="A8536" s="58">
        <v>45383.0</v>
      </c>
      <c r="B8536" s="24" t="s">
        <v>6787</v>
      </c>
      <c r="C8536" s="24" t="s">
        <v>7314</v>
      </c>
      <c r="D8536" s="59">
        <v>2.0</v>
      </c>
      <c r="E8536" s="59">
        <v>2.0</v>
      </c>
      <c r="F8536" s="59">
        <v>2.0</v>
      </c>
      <c r="G8536" s="60">
        <v>1.0</v>
      </c>
      <c r="H8536" s="60">
        <v>1.0</v>
      </c>
      <c r="I8536" s="60">
        <v>2.7399995</v>
      </c>
      <c r="J8536" s="59">
        <v>2.0</v>
      </c>
      <c r="K8536" s="61">
        <f t="shared" si="1"/>
        <v>1</v>
      </c>
      <c r="L8536" s="62">
        <f t="shared" si="2"/>
        <v>1</v>
      </c>
    </row>
    <row r="8537">
      <c r="A8537" s="58">
        <v>45383.0</v>
      </c>
      <c r="B8537" s="24" t="s">
        <v>6787</v>
      </c>
      <c r="C8537" s="24" t="s">
        <v>7290</v>
      </c>
      <c r="D8537" s="59">
        <v>2.0</v>
      </c>
      <c r="E8537" s="59">
        <v>2.0</v>
      </c>
      <c r="F8537" s="59">
        <v>2.0</v>
      </c>
      <c r="G8537" s="60">
        <v>1.0</v>
      </c>
      <c r="H8537" s="60">
        <v>1.0</v>
      </c>
      <c r="I8537" s="60">
        <v>4.6181715</v>
      </c>
      <c r="J8537" s="59">
        <v>2.0</v>
      </c>
      <c r="K8537" s="61">
        <f t="shared" si="1"/>
        <v>1</v>
      </c>
      <c r="L8537" s="62">
        <f t="shared" si="2"/>
        <v>1</v>
      </c>
    </row>
    <row r="8538">
      <c r="A8538" s="58">
        <v>45383.0</v>
      </c>
      <c r="B8538" s="24" t="s">
        <v>6787</v>
      </c>
      <c r="C8538" s="24" t="s">
        <v>7318</v>
      </c>
      <c r="D8538" s="59">
        <v>2.0</v>
      </c>
      <c r="E8538" s="59">
        <v>2.0</v>
      </c>
      <c r="F8538" s="59">
        <v>2.0</v>
      </c>
      <c r="G8538" s="60">
        <v>1.0</v>
      </c>
      <c r="H8538" s="60">
        <v>1.0</v>
      </c>
      <c r="I8538" s="60">
        <v>4.9826735</v>
      </c>
      <c r="J8538" s="59">
        <v>2.0</v>
      </c>
      <c r="K8538" s="61">
        <f t="shared" si="1"/>
        <v>1</v>
      </c>
      <c r="L8538" s="62">
        <f t="shared" si="2"/>
        <v>1</v>
      </c>
    </row>
    <row r="8539">
      <c r="A8539" s="58">
        <v>45383.0</v>
      </c>
      <c r="B8539" s="24" t="s">
        <v>6787</v>
      </c>
      <c r="C8539" s="24" t="s">
        <v>7582</v>
      </c>
      <c r="D8539" s="59">
        <v>2.0</v>
      </c>
      <c r="E8539" s="59">
        <v>2.0</v>
      </c>
      <c r="F8539" s="59">
        <v>2.0</v>
      </c>
      <c r="G8539" s="60">
        <v>1.0</v>
      </c>
      <c r="H8539" s="60">
        <v>1.0</v>
      </c>
      <c r="I8539" s="60">
        <v>4.7199655</v>
      </c>
      <c r="J8539" s="59">
        <v>2.0</v>
      </c>
      <c r="K8539" s="61">
        <f t="shared" si="1"/>
        <v>1</v>
      </c>
      <c r="L8539" s="62">
        <f t="shared" si="2"/>
        <v>1</v>
      </c>
    </row>
    <row r="8540">
      <c r="A8540" s="58">
        <v>45383.0</v>
      </c>
      <c r="B8540" s="24" t="s">
        <v>3216</v>
      </c>
      <c r="C8540" s="24" t="s">
        <v>6792</v>
      </c>
      <c r="D8540" s="59">
        <v>1.0</v>
      </c>
      <c r="E8540" s="59">
        <v>1.0</v>
      </c>
      <c r="F8540" s="59">
        <v>0.0</v>
      </c>
      <c r="G8540" s="60">
        <v>1.0</v>
      </c>
      <c r="H8540" s="60">
        <v>1.0</v>
      </c>
      <c r="I8540" s="60">
        <v>0.0</v>
      </c>
      <c r="J8540" s="59">
        <v>0.0</v>
      </c>
      <c r="K8540" s="61">
        <f t="shared" si="1"/>
        <v>0</v>
      </c>
      <c r="L8540" s="62">
        <f t="shared" si="2"/>
        <v>0</v>
      </c>
    </row>
    <row r="8541">
      <c r="A8541" s="58">
        <v>45383.0</v>
      </c>
      <c r="B8541" s="24" t="s">
        <v>7296</v>
      </c>
      <c r="C8541" s="24" t="s">
        <v>6788</v>
      </c>
      <c r="D8541" s="59">
        <v>1.0</v>
      </c>
      <c r="E8541" s="59">
        <v>1.0</v>
      </c>
      <c r="F8541" s="59">
        <v>0.0</v>
      </c>
      <c r="G8541" s="60">
        <v>1.0</v>
      </c>
      <c r="H8541" s="60">
        <v>0.0</v>
      </c>
      <c r="I8541" s="60">
        <v>327.187202</v>
      </c>
      <c r="J8541" s="59">
        <v>2.0</v>
      </c>
      <c r="K8541" s="61">
        <f t="shared" si="1"/>
        <v>0</v>
      </c>
      <c r="L8541" s="62">
        <f t="shared" si="2"/>
        <v>2</v>
      </c>
    </row>
    <row r="8542">
      <c r="A8542" s="58">
        <v>45383.0</v>
      </c>
      <c r="B8542" s="24" t="s">
        <v>6787</v>
      </c>
      <c r="C8542" s="24" t="s">
        <v>6965</v>
      </c>
      <c r="D8542" s="59">
        <v>1.0</v>
      </c>
      <c r="E8542" s="59">
        <v>1.0</v>
      </c>
      <c r="F8542" s="59">
        <v>1.0</v>
      </c>
      <c r="G8542" s="60">
        <v>1.0</v>
      </c>
      <c r="H8542" s="60">
        <v>1.0</v>
      </c>
      <c r="I8542" s="60">
        <v>6.81783</v>
      </c>
      <c r="J8542" s="59">
        <v>1.0</v>
      </c>
      <c r="K8542" s="61">
        <f t="shared" si="1"/>
        <v>1</v>
      </c>
      <c r="L8542" s="62">
        <f t="shared" si="2"/>
        <v>1</v>
      </c>
    </row>
    <row r="8543">
      <c r="A8543" s="58">
        <v>45383.0</v>
      </c>
      <c r="B8543" s="24" t="s">
        <v>6787</v>
      </c>
      <c r="C8543" s="24" t="s">
        <v>7583</v>
      </c>
      <c r="D8543" s="59">
        <v>1.0</v>
      </c>
      <c r="E8543" s="59">
        <v>1.0</v>
      </c>
      <c r="F8543" s="59">
        <v>1.0</v>
      </c>
      <c r="G8543" s="60">
        <v>1.0</v>
      </c>
      <c r="H8543" s="60">
        <v>1.0</v>
      </c>
      <c r="I8543" s="60">
        <v>4.960678</v>
      </c>
      <c r="J8543" s="59">
        <v>1.0</v>
      </c>
      <c r="K8543" s="61">
        <f t="shared" si="1"/>
        <v>1</v>
      </c>
      <c r="L8543" s="62">
        <f t="shared" si="2"/>
        <v>1</v>
      </c>
    </row>
    <row r="8544">
      <c r="A8544" s="58">
        <v>45383.0</v>
      </c>
      <c r="B8544" s="24" t="s">
        <v>155</v>
      </c>
      <c r="C8544" s="24" t="s">
        <v>6817</v>
      </c>
      <c r="D8544" s="59">
        <v>1.0</v>
      </c>
      <c r="E8544" s="59">
        <v>2.0</v>
      </c>
      <c r="F8544" s="59">
        <v>0.0</v>
      </c>
      <c r="G8544" s="60">
        <v>2.0</v>
      </c>
      <c r="H8544" s="60">
        <v>0.0</v>
      </c>
      <c r="I8544" s="60">
        <v>26.4206944999999</v>
      </c>
      <c r="J8544" s="59">
        <v>3.0</v>
      </c>
      <c r="K8544" s="61">
        <f t="shared" si="1"/>
        <v>0</v>
      </c>
      <c r="L8544" s="62">
        <f t="shared" si="2"/>
        <v>1.5</v>
      </c>
    </row>
    <row r="8545">
      <c r="A8545" s="58">
        <v>45383.0</v>
      </c>
      <c r="B8545" s="24" t="s">
        <v>6787</v>
      </c>
      <c r="C8545" s="24" t="s">
        <v>6953</v>
      </c>
      <c r="D8545" s="59">
        <v>1.0</v>
      </c>
      <c r="E8545" s="59">
        <v>1.0</v>
      </c>
      <c r="F8545" s="59">
        <v>0.0</v>
      </c>
      <c r="G8545" s="60">
        <v>1.0</v>
      </c>
      <c r="H8545" s="60">
        <v>1.0</v>
      </c>
      <c r="I8545" s="60">
        <v>5.536921</v>
      </c>
      <c r="J8545" s="59">
        <v>1.0</v>
      </c>
      <c r="K8545" s="61">
        <f t="shared" si="1"/>
        <v>0</v>
      </c>
      <c r="L8545" s="62">
        <f t="shared" si="2"/>
        <v>1</v>
      </c>
    </row>
    <row r="8546">
      <c r="A8546" s="58">
        <v>45383.0</v>
      </c>
      <c r="B8546" s="24" t="s">
        <v>6790</v>
      </c>
      <c r="C8546" s="24" t="s">
        <v>6804</v>
      </c>
      <c r="D8546" s="59">
        <v>1.0</v>
      </c>
      <c r="E8546" s="59">
        <v>1.0</v>
      </c>
      <c r="F8546" s="59">
        <v>0.0</v>
      </c>
      <c r="G8546" s="60">
        <v>1.0</v>
      </c>
      <c r="H8546" s="60">
        <v>1.0</v>
      </c>
      <c r="I8546" s="60">
        <v>0.0</v>
      </c>
      <c r="J8546" s="59">
        <v>1.0</v>
      </c>
      <c r="K8546" s="61">
        <f t="shared" si="1"/>
        <v>0</v>
      </c>
      <c r="L8546" s="62">
        <f t="shared" si="2"/>
        <v>1</v>
      </c>
    </row>
    <row r="8547">
      <c r="A8547" s="58">
        <v>45383.0</v>
      </c>
      <c r="B8547" s="24" t="s">
        <v>6787</v>
      </c>
      <c r="C8547" s="24" t="s">
        <v>7057</v>
      </c>
      <c r="D8547" s="59">
        <v>1.0</v>
      </c>
      <c r="E8547" s="59">
        <v>1.0</v>
      </c>
      <c r="F8547" s="59">
        <v>1.0</v>
      </c>
      <c r="G8547" s="60">
        <v>1.0</v>
      </c>
      <c r="H8547" s="60">
        <v>1.0</v>
      </c>
      <c r="I8547" s="60">
        <v>5.732061</v>
      </c>
      <c r="J8547" s="59">
        <v>1.0</v>
      </c>
      <c r="K8547" s="61">
        <f t="shared" si="1"/>
        <v>1</v>
      </c>
      <c r="L8547" s="62">
        <f t="shared" si="2"/>
        <v>1</v>
      </c>
    </row>
    <row r="8548">
      <c r="A8548" s="58">
        <v>45383.0</v>
      </c>
      <c r="B8548" s="24" t="s">
        <v>6789</v>
      </c>
      <c r="C8548" s="24" t="s">
        <v>7057</v>
      </c>
      <c r="D8548" s="59">
        <v>1.0</v>
      </c>
      <c r="E8548" s="59">
        <v>1.0</v>
      </c>
      <c r="F8548" s="59">
        <v>1.0</v>
      </c>
      <c r="G8548" s="60">
        <v>1.0</v>
      </c>
      <c r="H8548" s="60">
        <v>0.0</v>
      </c>
      <c r="I8548" s="60">
        <v>1582.106888</v>
      </c>
      <c r="J8548" s="59">
        <v>1.0</v>
      </c>
      <c r="K8548" s="61">
        <f t="shared" si="1"/>
        <v>1</v>
      </c>
      <c r="L8548" s="62">
        <f t="shared" si="2"/>
        <v>1</v>
      </c>
    </row>
    <row r="8549">
      <c r="A8549" s="58">
        <v>45383.0</v>
      </c>
      <c r="B8549" s="24" t="s">
        <v>6787</v>
      </c>
      <c r="C8549" s="24" t="s">
        <v>7058</v>
      </c>
      <c r="D8549" s="59">
        <v>1.0</v>
      </c>
      <c r="E8549" s="59">
        <v>1.0</v>
      </c>
      <c r="F8549" s="59">
        <v>1.0</v>
      </c>
      <c r="G8549" s="60">
        <v>1.0</v>
      </c>
      <c r="H8549" s="60">
        <v>0.0</v>
      </c>
      <c r="I8549" s="60">
        <v>349.926705</v>
      </c>
      <c r="J8549" s="59">
        <v>1.0</v>
      </c>
      <c r="K8549" s="61">
        <f t="shared" si="1"/>
        <v>1</v>
      </c>
      <c r="L8549" s="62">
        <f t="shared" si="2"/>
        <v>1</v>
      </c>
    </row>
    <row r="8550">
      <c r="A8550" s="58">
        <v>45383.0</v>
      </c>
      <c r="B8550" s="24" t="s">
        <v>6789</v>
      </c>
      <c r="C8550" s="24" t="s">
        <v>7059</v>
      </c>
      <c r="D8550" s="59">
        <v>1.0</v>
      </c>
      <c r="E8550" s="59">
        <v>1.0</v>
      </c>
      <c r="F8550" s="59">
        <v>1.0</v>
      </c>
      <c r="G8550" s="60">
        <v>1.0</v>
      </c>
      <c r="H8550" s="60">
        <v>1.0</v>
      </c>
      <c r="I8550" s="60">
        <v>0.0</v>
      </c>
      <c r="J8550" s="59">
        <v>1.0</v>
      </c>
      <c r="K8550" s="61">
        <f t="shared" si="1"/>
        <v>1</v>
      </c>
      <c r="L8550" s="62">
        <f t="shared" si="2"/>
        <v>1</v>
      </c>
    </row>
    <row r="8551">
      <c r="A8551" s="58">
        <v>45383.0</v>
      </c>
      <c r="B8551" s="24" t="s">
        <v>6794</v>
      </c>
      <c r="C8551" s="24" t="s">
        <v>7059</v>
      </c>
      <c r="D8551" s="59">
        <v>1.0</v>
      </c>
      <c r="E8551" s="59">
        <v>3.0</v>
      </c>
      <c r="F8551" s="59">
        <v>1.0</v>
      </c>
      <c r="G8551" s="60">
        <v>3.0</v>
      </c>
      <c r="H8551" s="60">
        <v>0.333333333333333</v>
      </c>
      <c r="I8551" s="60">
        <v>11.017398</v>
      </c>
      <c r="J8551" s="59">
        <v>5.0</v>
      </c>
      <c r="K8551" s="61">
        <f t="shared" si="1"/>
        <v>0.3333333333</v>
      </c>
      <c r="L8551" s="62">
        <f t="shared" si="2"/>
        <v>1.666666667</v>
      </c>
    </row>
    <row r="8552">
      <c r="A8552" s="58">
        <v>45383.0</v>
      </c>
      <c r="B8552" s="24" t="s">
        <v>6787</v>
      </c>
      <c r="C8552" s="24" t="s">
        <v>6985</v>
      </c>
      <c r="D8552" s="59">
        <v>1.0</v>
      </c>
      <c r="E8552" s="59">
        <v>1.0</v>
      </c>
      <c r="F8552" s="59">
        <v>1.0</v>
      </c>
      <c r="G8552" s="60">
        <v>1.0</v>
      </c>
      <c r="H8552" s="60">
        <v>1.0</v>
      </c>
      <c r="I8552" s="60">
        <v>0.0</v>
      </c>
      <c r="J8552" s="59">
        <v>1.0</v>
      </c>
      <c r="K8552" s="61">
        <f t="shared" si="1"/>
        <v>1</v>
      </c>
      <c r="L8552" s="62">
        <f t="shared" si="2"/>
        <v>1</v>
      </c>
    </row>
    <row r="8553">
      <c r="A8553" s="58">
        <v>45383.0</v>
      </c>
      <c r="B8553" s="24" t="s">
        <v>6789</v>
      </c>
      <c r="C8553" s="24" t="s">
        <v>6833</v>
      </c>
      <c r="D8553" s="59">
        <v>1.0</v>
      </c>
      <c r="E8553" s="59">
        <v>1.0</v>
      </c>
      <c r="F8553" s="59">
        <v>1.0</v>
      </c>
      <c r="G8553" s="60">
        <v>1.0</v>
      </c>
      <c r="H8553" s="60">
        <v>1.0</v>
      </c>
      <c r="I8553" s="60">
        <v>9.286528</v>
      </c>
      <c r="J8553" s="59">
        <v>1.0</v>
      </c>
      <c r="K8553" s="61">
        <f t="shared" si="1"/>
        <v>1</v>
      </c>
      <c r="L8553" s="62">
        <f t="shared" si="2"/>
        <v>1</v>
      </c>
    </row>
    <row r="8554">
      <c r="A8554" s="58">
        <v>45383.0</v>
      </c>
      <c r="B8554" s="24" t="s">
        <v>6787</v>
      </c>
      <c r="C8554" s="24" t="s">
        <v>6819</v>
      </c>
      <c r="D8554" s="59">
        <v>1.0</v>
      </c>
      <c r="E8554" s="59">
        <v>1.0</v>
      </c>
      <c r="F8554" s="59">
        <v>1.0</v>
      </c>
      <c r="G8554" s="60">
        <v>1.0</v>
      </c>
      <c r="H8554" s="60">
        <v>1.0</v>
      </c>
      <c r="I8554" s="60">
        <v>0.0</v>
      </c>
      <c r="J8554" s="59">
        <v>1.0</v>
      </c>
      <c r="K8554" s="61">
        <f t="shared" si="1"/>
        <v>1</v>
      </c>
      <c r="L8554" s="62">
        <f t="shared" si="2"/>
        <v>1</v>
      </c>
    </row>
    <row r="8555">
      <c r="A8555" s="58">
        <v>45383.0</v>
      </c>
      <c r="B8555" s="24" t="s">
        <v>6794</v>
      </c>
      <c r="C8555" s="24" t="s">
        <v>6986</v>
      </c>
      <c r="D8555" s="59">
        <v>1.0</v>
      </c>
      <c r="E8555" s="59">
        <v>1.0</v>
      </c>
      <c r="F8555" s="59">
        <v>1.0</v>
      </c>
      <c r="G8555" s="60">
        <v>1.0</v>
      </c>
      <c r="H8555" s="60">
        <v>1.0</v>
      </c>
      <c r="I8555" s="60">
        <v>0.0</v>
      </c>
      <c r="J8555" s="59">
        <v>1.0</v>
      </c>
      <c r="K8555" s="61">
        <f t="shared" si="1"/>
        <v>1</v>
      </c>
      <c r="L8555" s="62">
        <f t="shared" si="2"/>
        <v>1</v>
      </c>
    </row>
    <row r="8556">
      <c r="A8556" s="58">
        <v>45383.0</v>
      </c>
      <c r="B8556" s="24" t="s">
        <v>6787</v>
      </c>
      <c r="C8556" s="24" t="s">
        <v>6867</v>
      </c>
      <c r="D8556" s="59">
        <v>1.0</v>
      </c>
      <c r="E8556" s="59">
        <v>1.0</v>
      </c>
      <c r="F8556" s="59">
        <v>1.0</v>
      </c>
      <c r="G8556" s="60">
        <v>1.0</v>
      </c>
      <c r="H8556" s="60">
        <v>1.0</v>
      </c>
      <c r="I8556" s="60">
        <v>0.0</v>
      </c>
      <c r="J8556" s="59">
        <v>1.0</v>
      </c>
      <c r="K8556" s="61">
        <f t="shared" si="1"/>
        <v>1</v>
      </c>
      <c r="L8556" s="62">
        <f t="shared" si="2"/>
        <v>1</v>
      </c>
    </row>
    <row r="8557">
      <c r="A8557" s="58">
        <v>45383.0</v>
      </c>
      <c r="B8557" s="24" t="s">
        <v>6787</v>
      </c>
      <c r="C8557" s="24" t="s">
        <v>6988</v>
      </c>
      <c r="D8557" s="59">
        <v>1.0</v>
      </c>
      <c r="E8557" s="59">
        <v>1.0</v>
      </c>
      <c r="F8557" s="59">
        <v>0.0</v>
      </c>
      <c r="G8557" s="60">
        <v>1.0</v>
      </c>
      <c r="H8557" s="60">
        <v>0.0</v>
      </c>
      <c r="I8557" s="60">
        <v>86.756363</v>
      </c>
      <c r="J8557" s="59">
        <v>2.0</v>
      </c>
      <c r="K8557" s="61">
        <f t="shared" si="1"/>
        <v>0</v>
      </c>
      <c r="L8557" s="62">
        <f t="shared" si="2"/>
        <v>2</v>
      </c>
    </row>
    <row r="8558">
      <c r="A8558" s="58">
        <v>45383.0</v>
      </c>
      <c r="B8558" s="24" t="s">
        <v>6789</v>
      </c>
      <c r="C8558" s="24" t="s">
        <v>7062</v>
      </c>
      <c r="D8558" s="59">
        <v>1.0</v>
      </c>
      <c r="E8558" s="59">
        <v>1.0</v>
      </c>
      <c r="F8558" s="59">
        <v>1.0</v>
      </c>
      <c r="G8558" s="60">
        <v>1.0</v>
      </c>
      <c r="H8558" s="60">
        <v>0.0</v>
      </c>
      <c r="I8558" s="60">
        <v>12.151582</v>
      </c>
      <c r="J8558" s="59">
        <v>2.0</v>
      </c>
      <c r="K8558" s="61">
        <f t="shared" si="1"/>
        <v>1</v>
      </c>
      <c r="L8558" s="62">
        <f t="shared" si="2"/>
        <v>2</v>
      </c>
    </row>
    <row r="8559">
      <c r="A8559" s="58">
        <v>45383.0</v>
      </c>
      <c r="B8559" s="24" t="s">
        <v>6789</v>
      </c>
      <c r="C8559" s="24" t="s">
        <v>7063</v>
      </c>
      <c r="D8559" s="59">
        <v>1.0</v>
      </c>
      <c r="E8559" s="59">
        <v>1.0</v>
      </c>
      <c r="F8559" s="59">
        <v>1.0</v>
      </c>
      <c r="G8559" s="60">
        <v>1.0</v>
      </c>
      <c r="H8559" s="60">
        <v>1.0</v>
      </c>
      <c r="I8559" s="60">
        <v>0.0</v>
      </c>
      <c r="J8559" s="59">
        <v>1.0</v>
      </c>
      <c r="K8559" s="61">
        <f t="shared" si="1"/>
        <v>1</v>
      </c>
      <c r="L8559" s="62">
        <f t="shared" si="2"/>
        <v>1</v>
      </c>
    </row>
    <row r="8560">
      <c r="A8560" s="58">
        <v>45383.0</v>
      </c>
      <c r="B8560" s="24" t="s">
        <v>6789</v>
      </c>
      <c r="C8560" s="24" t="s">
        <v>7064</v>
      </c>
      <c r="D8560" s="59">
        <v>1.0</v>
      </c>
      <c r="E8560" s="59">
        <v>1.0</v>
      </c>
      <c r="F8560" s="59">
        <v>1.0</v>
      </c>
      <c r="G8560" s="60">
        <v>1.0</v>
      </c>
      <c r="H8560" s="60">
        <v>0.0</v>
      </c>
      <c r="I8560" s="60">
        <v>18.658893</v>
      </c>
      <c r="J8560" s="59">
        <v>1.0</v>
      </c>
      <c r="K8560" s="61">
        <f t="shared" si="1"/>
        <v>1</v>
      </c>
      <c r="L8560" s="62">
        <f t="shared" si="2"/>
        <v>1</v>
      </c>
    </row>
    <row r="8561">
      <c r="A8561" s="58">
        <v>45383.0</v>
      </c>
      <c r="B8561" s="24" t="s">
        <v>6787</v>
      </c>
      <c r="C8561" s="24" t="s">
        <v>7065</v>
      </c>
      <c r="D8561" s="59">
        <v>1.0</v>
      </c>
      <c r="E8561" s="59">
        <v>1.0</v>
      </c>
      <c r="F8561" s="59">
        <v>1.0</v>
      </c>
      <c r="G8561" s="60">
        <v>1.0</v>
      </c>
      <c r="H8561" s="60">
        <v>1.0</v>
      </c>
      <c r="I8561" s="60">
        <v>0.0</v>
      </c>
      <c r="J8561" s="59">
        <v>1.0</v>
      </c>
      <c r="K8561" s="61">
        <f t="shared" si="1"/>
        <v>1</v>
      </c>
      <c r="L8561" s="62">
        <f t="shared" si="2"/>
        <v>1</v>
      </c>
    </row>
    <row r="8562">
      <c r="A8562" s="58">
        <v>45383.0</v>
      </c>
      <c r="B8562" s="24" t="s">
        <v>6787</v>
      </c>
      <c r="C8562" s="24" t="s">
        <v>6990</v>
      </c>
      <c r="D8562" s="59">
        <v>1.0</v>
      </c>
      <c r="E8562" s="59">
        <v>1.0</v>
      </c>
      <c r="F8562" s="59">
        <v>1.0</v>
      </c>
      <c r="G8562" s="60">
        <v>1.0</v>
      </c>
      <c r="H8562" s="60">
        <v>1.0</v>
      </c>
      <c r="I8562" s="60">
        <v>0.0</v>
      </c>
      <c r="J8562" s="59">
        <v>1.0</v>
      </c>
      <c r="K8562" s="61">
        <f t="shared" si="1"/>
        <v>1</v>
      </c>
      <c r="L8562" s="62">
        <f t="shared" si="2"/>
        <v>1</v>
      </c>
    </row>
    <row r="8563">
      <c r="A8563" s="58">
        <v>45383.0</v>
      </c>
      <c r="B8563" s="24" t="s">
        <v>6787</v>
      </c>
      <c r="C8563" s="24" t="s">
        <v>6835</v>
      </c>
      <c r="D8563" s="59">
        <v>1.0</v>
      </c>
      <c r="E8563" s="59">
        <v>1.0</v>
      </c>
      <c r="F8563" s="59">
        <v>1.0</v>
      </c>
      <c r="G8563" s="60">
        <v>1.0</v>
      </c>
      <c r="H8563" s="60">
        <v>1.0</v>
      </c>
      <c r="I8563" s="60">
        <v>4.946415</v>
      </c>
      <c r="J8563" s="59">
        <v>1.0</v>
      </c>
      <c r="K8563" s="61">
        <f t="shared" si="1"/>
        <v>1</v>
      </c>
      <c r="L8563" s="62">
        <f t="shared" si="2"/>
        <v>1</v>
      </c>
    </row>
    <row r="8564">
      <c r="A8564" s="58">
        <v>45383.0</v>
      </c>
      <c r="B8564" s="24" t="s">
        <v>6794</v>
      </c>
      <c r="C8564" s="24" t="s">
        <v>7072</v>
      </c>
      <c r="D8564" s="59">
        <v>1.0</v>
      </c>
      <c r="E8564" s="59">
        <v>1.0</v>
      </c>
      <c r="F8564" s="59">
        <v>0.0</v>
      </c>
      <c r="G8564" s="60">
        <v>1.0</v>
      </c>
      <c r="H8564" s="60">
        <v>1.0</v>
      </c>
      <c r="I8564" s="60">
        <v>0.0</v>
      </c>
      <c r="J8564" s="59">
        <v>1.0</v>
      </c>
      <c r="K8564" s="61">
        <f t="shared" si="1"/>
        <v>0</v>
      </c>
      <c r="L8564" s="62">
        <f t="shared" si="2"/>
        <v>1</v>
      </c>
    </row>
    <row r="8565">
      <c r="A8565" s="58">
        <v>45383.0</v>
      </c>
      <c r="B8565" s="24" t="s">
        <v>6787</v>
      </c>
      <c r="C8565" s="24" t="s">
        <v>7074</v>
      </c>
      <c r="D8565" s="59">
        <v>1.0</v>
      </c>
      <c r="E8565" s="59">
        <v>1.0</v>
      </c>
      <c r="F8565" s="59">
        <v>1.0</v>
      </c>
      <c r="G8565" s="60">
        <v>1.0</v>
      </c>
      <c r="H8565" s="60">
        <v>0.0</v>
      </c>
      <c r="I8565" s="60">
        <v>1010.43125</v>
      </c>
      <c r="J8565" s="59">
        <v>2.0</v>
      </c>
      <c r="K8565" s="61">
        <f t="shared" si="1"/>
        <v>1</v>
      </c>
      <c r="L8565" s="62">
        <f t="shared" si="2"/>
        <v>2</v>
      </c>
    </row>
    <row r="8566">
      <c r="A8566" s="58">
        <v>45383.0</v>
      </c>
      <c r="B8566" s="24" t="s">
        <v>6789</v>
      </c>
      <c r="C8566" s="24" t="s">
        <v>6886</v>
      </c>
      <c r="D8566" s="59">
        <v>1.0</v>
      </c>
      <c r="E8566" s="59">
        <v>1.0</v>
      </c>
      <c r="F8566" s="59">
        <v>1.0</v>
      </c>
      <c r="G8566" s="60">
        <v>1.0</v>
      </c>
      <c r="H8566" s="60">
        <v>1.0</v>
      </c>
      <c r="I8566" s="60">
        <v>6.947769</v>
      </c>
      <c r="J8566" s="59">
        <v>1.0</v>
      </c>
      <c r="K8566" s="61">
        <f t="shared" si="1"/>
        <v>1</v>
      </c>
      <c r="L8566" s="62">
        <f t="shared" si="2"/>
        <v>1</v>
      </c>
    </row>
    <row r="8567">
      <c r="A8567" s="58">
        <v>45383.0</v>
      </c>
      <c r="B8567" s="24" t="s">
        <v>155</v>
      </c>
      <c r="C8567" s="24" t="s">
        <v>6886</v>
      </c>
      <c r="D8567" s="59">
        <v>1.0</v>
      </c>
      <c r="E8567" s="59">
        <v>1.0</v>
      </c>
      <c r="F8567" s="59">
        <v>0.0</v>
      </c>
      <c r="G8567" s="60">
        <v>1.0</v>
      </c>
      <c r="H8567" s="60">
        <v>0.0</v>
      </c>
      <c r="I8567" s="60">
        <v>774.961811</v>
      </c>
      <c r="J8567" s="59">
        <v>3.0</v>
      </c>
      <c r="K8567" s="61">
        <f t="shared" si="1"/>
        <v>0</v>
      </c>
      <c r="L8567" s="62">
        <f t="shared" si="2"/>
        <v>3</v>
      </c>
    </row>
    <row r="8568">
      <c r="A8568" s="58">
        <v>45383.0</v>
      </c>
      <c r="B8568" s="24" t="s">
        <v>6787</v>
      </c>
      <c r="C8568" s="24" t="s">
        <v>7584</v>
      </c>
      <c r="D8568" s="59">
        <v>1.0</v>
      </c>
      <c r="E8568" s="59">
        <v>1.0</v>
      </c>
      <c r="F8568" s="59">
        <v>1.0</v>
      </c>
      <c r="G8568" s="60">
        <v>1.0</v>
      </c>
      <c r="H8568" s="60">
        <v>1.0</v>
      </c>
      <c r="I8568" s="60">
        <v>1.67785</v>
      </c>
      <c r="J8568" s="59">
        <v>1.0</v>
      </c>
      <c r="K8568" s="61">
        <f t="shared" si="1"/>
        <v>1</v>
      </c>
      <c r="L8568" s="62">
        <f t="shared" si="2"/>
        <v>1</v>
      </c>
    </row>
    <row r="8569">
      <c r="A8569" s="58">
        <v>45383.0</v>
      </c>
      <c r="B8569" s="24" t="s">
        <v>6794</v>
      </c>
      <c r="C8569" s="24" t="s">
        <v>6799</v>
      </c>
      <c r="D8569" s="59">
        <v>1.0</v>
      </c>
      <c r="E8569" s="59">
        <v>1.0</v>
      </c>
      <c r="F8569" s="59">
        <v>0.0</v>
      </c>
      <c r="G8569" s="60">
        <v>1.0</v>
      </c>
      <c r="H8569" s="60">
        <v>0.0</v>
      </c>
      <c r="I8569" s="60">
        <v>390.885497</v>
      </c>
      <c r="J8569" s="59">
        <v>12.0</v>
      </c>
      <c r="K8569" s="61">
        <f t="shared" si="1"/>
        <v>0</v>
      </c>
      <c r="L8569" s="62">
        <f t="shared" si="2"/>
        <v>12</v>
      </c>
    </row>
    <row r="8570">
      <c r="A8570" s="58">
        <v>45383.0</v>
      </c>
      <c r="B8570" s="24" t="s">
        <v>6789</v>
      </c>
      <c r="C8570" s="24" t="s">
        <v>6820</v>
      </c>
      <c r="D8570" s="59">
        <v>1.0</v>
      </c>
      <c r="E8570" s="59">
        <v>3.0</v>
      </c>
      <c r="F8570" s="59">
        <v>0.0</v>
      </c>
      <c r="G8570" s="60">
        <v>3.0</v>
      </c>
      <c r="H8570" s="60">
        <v>0.333333333333333</v>
      </c>
      <c r="I8570" s="60">
        <v>66.0139583333333</v>
      </c>
      <c r="J8570" s="59">
        <v>6.0</v>
      </c>
      <c r="K8570" s="61">
        <f t="shared" si="1"/>
        <v>0</v>
      </c>
      <c r="L8570" s="62">
        <f t="shared" si="2"/>
        <v>2</v>
      </c>
    </row>
    <row r="8571">
      <c r="A8571" s="58">
        <v>45383.0</v>
      </c>
      <c r="B8571" s="24" t="s">
        <v>6794</v>
      </c>
      <c r="C8571" s="24" t="s">
        <v>6997</v>
      </c>
      <c r="D8571" s="59">
        <v>1.0</v>
      </c>
      <c r="E8571" s="59">
        <v>1.0</v>
      </c>
      <c r="F8571" s="59">
        <v>1.0</v>
      </c>
      <c r="G8571" s="60">
        <v>1.0</v>
      </c>
      <c r="H8571" s="60">
        <v>0.0</v>
      </c>
      <c r="I8571" s="60">
        <v>155.892445</v>
      </c>
      <c r="J8571" s="59">
        <v>2.0</v>
      </c>
      <c r="K8571" s="61">
        <f t="shared" si="1"/>
        <v>1</v>
      </c>
      <c r="L8571" s="62">
        <f t="shared" si="2"/>
        <v>2</v>
      </c>
    </row>
    <row r="8572">
      <c r="A8572" s="58">
        <v>45383.0</v>
      </c>
      <c r="B8572" s="24" t="s">
        <v>155</v>
      </c>
      <c r="C8572" s="24" t="s">
        <v>6997</v>
      </c>
      <c r="D8572" s="59">
        <v>1.0</v>
      </c>
      <c r="E8572" s="59">
        <v>1.0</v>
      </c>
      <c r="F8572" s="59">
        <v>0.0</v>
      </c>
      <c r="G8572" s="60">
        <v>1.0</v>
      </c>
      <c r="H8572" s="60">
        <v>1.0</v>
      </c>
      <c r="I8572" s="60">
        <v>4.20192</v>
      </c>
      <c r="J8572" s="59">
        <v>1.0</v>
      </c>
      <c r="K8572" s="61">
        <f t="shared" si="1"/>
        <v>0</v>
      </c>
      <c r="L8572" s="62">
        <f t="shared" si="2"/>
        <v>1</v>
      </c>
    </row>
    <row r="8573">
      <c r="A8573" s="58">
        <v>45383.0</v>
      </c>
      <c r="B8573" s="24" t="s">
        <v>155</v>
      </c>
      <c r="C8573" s="24" t="s">
        <v>6822</v>
      </c>
      <c r="D8573" s="59">
        <v>1.0</v>
      </c>
      <c r="E8573" s="59">
        <v>1.0</v>
      </c>
      <c r="F8573" s="59">
        <v>0.0</v>
      </c>
      <c r="G8573" s="60">
        <v>1.0</v>
      </c>
      <c r="H8573" s="60">
        <v>0.0</v>
      </c>
      <c r="I8573" s="60">
        <v>795.140369</v>
      </c>
      <c r="J8573" s="59">
        <v>28.0</v>
      </c>
      <c r="K8573" s="61">
        <f t="shared" si="1"/>
        <v>0</v>
      </c>
      <c r="L8573" s="62">
        <f t="shared" si="2"/>
        <v>28</v>
      </c>
    </row>
    <row r="8574">
      <c r="A8574" s="58">
        <v>45383.0</v>
      </c>
      <c r="B8574" s="24" t="s">
        <v>6789</v>
      </c>
      <c r="C8574" s="24" t="s">
        <v>6891</v>
      </c>
      <c r="D8574" s="59">
        <v>1.0</v>
      </c>
      <c r="E8574" s="59">
        <v>1.0</v>
      </c>
      <c r="F8574" s="59">
        <v>1.0</v>
      </c>
      <c r="G8574" s="60">
        <v>1.0</v>
      </c>
      <c r="H8574" s="60">
        <v>0.0</v>
      </c>
      <c r="I8574" s="60">
        <v>10.556254</v>
      </c>
      <c r="J8574" s="59">
        <v>1.0</v>
      </c>
      <c r="K8574" s="61">
        <f t="shared" si="1"/>
        <v>1</v>
      </c>
      <c r="L8574" s="62">
        <f t="shared" si="2"/>
        <v>1</v>
      </c>
    </row>
    <row r="8575">
      <c r="A8575" s="58">
        <v>45383.0</v>
      </c>
      <c r="B8575" s="24" t="s">
        <v>155</v>
      </c>
      <c r="C8575" s="24" t="s">
        <v>6892</v>
      </c>
      <c r="D8575" s="59">
        <v>1.0</v>
      </c>
      <c r="E8575" s="59">
        <v>2.0</v>
      </c>
      <c r="F8575" s="59">
        <v>1.0</v>
      </c>
      <c r="G8575" s="60">
        <v>2.0</v>
      </c>
      <c r="H8575" s="60">
        <v>0.5</v>
      </c>
      <c r="I8575" s="60">
        <v>459.497611</v>
      </c>
      <c r="J8575" s="59">
        <v>2.0</v>
      </c>
      <c r="K8575" s="61">
        <f t="shared" si="1"/>
        <v>0.5</v>
      </c>
      <c r="L8575" s="62">
        <f t="shared" si="2"/>
        <v>1</v>
      </c>
    </row>
    <row r="8576">
      <c r="A8576" s="58">
        <v>45383.0</v>
      </c>
      <c r="B8576" s="24" t="s">
        <v>6787</v>
      </c>
      <c r="C8576" s="24" t="s">
        <v>6896</v>
      </c>
      <c r="D8576" s="59">
        <v>1.0</v>
      </c>
      <c r="E8576" s="59">
        <v>1.0</v>
      </c>
      <c r="F8576" s="59">
        <v>1.0</v>
      </c>
      <c r="G8576" s="60">
        <v>1.0</v>
      </c>
      <c r="H8576" s="60">
        <v>1.0</v>
      </c>
      <c r="I8576" s="60">
        <v>0.0</v>
      </c>
      <c r="J8576" s="59">
        <v>1.0</v>
      </c>
      <c r="K8576" s="61">
        <f t="shared" si="1"/>
        <v>1</v>
      </c>
      <c r="L8576" s="62">
        <f t="shared" si="2"/>
        <v>1</v>
      </c>
    </row>
    <row r="8577">
      <c r="A8577" s="58">
        <v>45383.0</v>
      </c>
      <c r="B8577" s="24" t="s">
        <v>6787</v>
      </c>
      <c r="C8577" s="24" t="s">
        <v>6897</v>
      </c>
      <c r="D8577" s="59">
        <v>1.0</v>
      </c>
      <c r="E8577" s="59">
        <v>1.0</v>
      </c>
      <c r="F8577" s="59">
        <v>1.0</v>
      </c>
      <c r="G8577" s="60">
        <v>1.0</v>
      </c>
      <c r="H8577" s="60">
        <v>1.0</v>
      </c>
      <c r="I8577" s="60">
        <v>0.0</v>
      </c>
      <c r="J8577" s="59">
        <v>1.0</v>
      </c>
      <c r="K8577" s="61">
        <f t="shared" si="1"/>
        <v>1</v>
      </c>
      <c r="L8577" s="62">
        <f t="shared" si="2"/>
        <v>1</v>
      </c>
    </row>
    <row r="8578">
      <c r="A8578" s="58">
        <v>45383.0</v>
      </c>
      <c r="B8578" s="24" t="s">
        <v>6789</v>
      </c>
      <c r="C8578" s="24" t="s">
        <v>6897</v>
      </c>
      <c r="D8578" s="59">
        <v>1.0</v>
      </c>
      <c r="E8578" s="59">
        <v>1.0</v>
      </c>
      <c r="F8578" s="59">
        <v>1.0</v>
      </c>
      <c r="G8578" s="60">
        <v>1.0</v>
      </c>
      <c r="H8578" s="60">
        <v>0.0</v>
      </c>
      <c r="I8578" s="60">
        <v>87.015144</v>
      </c>
      <c r="J8578" s="59">
        <v>4.0</v>
      </c>
      <c r="K8578" s="61">
        <f t="shared" si="1"/>
        <v>1</v>
      </c>
      <c r="L8578" s="62">
        <f t="shared" si="2"/>
        <v>4</v>
      </c>
    </row>
    <row r="8579">
      <c r="A8579" s="58">
        <v>45383.0</v>
      </c>
      <c r="B8579" s="24" t="s">
        <v>6790</v>
      </c>
      <c r="C8579" s="24" t="s">
        <v>7034</v>
      </c>
      <c r="D8579" s="59">
        <v>1.0</v>
      </c>
      <c r="E8579" s="59">
        <v>1.0</v>
      </c>
      <c r="F8579" s="59">
        <v>0.0</v>
      </c>
      <c r="G8579" s="60">
        <v>1.0</v>
      </c>
      <c r="H8579" s="60">
        <v>1.0</v>
      </c>
      <c r="I8579" s="60">
        <v>0.0</v>
      </c>
      <c r="J8579" s="59">
        <v>1.0</v>
      </c>
      <c r="K8579" s="61">
        <f t="shared" si="1"/>
        <v>0</v>
      </c>
      <c r="L8579" s="62">
        <f t="shared" si="2"/>
        <v>1</v>
      </c>
    </row>
    <row r="8580">
      <c r="A8580" s="58">
        <v>45383.0</v>
      </c>
      <c r="B8580" s="24" t="s">
        <v>6789</v>
      </c>
      <c r="C8580" s="24" t="s">
        <v>7585</v>
      </c>
      <c r="D8580" s="59">
        <v>1.0</v>
      </c>
      <c r="E8580" s="59">
        <v>1.0</v>
      </c>
      <c r="F8580" s="59">
        <v>1.0</v>
      </c>
      <c r="G8580" s="60">
        <v>1.0</v>
      </c>
      <c r="H8580" s="60">
        <v>0.0</v>
      </c>
      <c r="I8580" s="60">
        <v>169.287936</v>
      </c>
      <c r="J8580" s="59">
        <v>1.0</v>
      </c>
      <c r="K8580" s="61">
        <f t="shared" si="1"/>
        <v>1</v>
      </c>
      <c r="L8580" s="62">
        <f t="shared" si="2"/>
        <v>1</v>
      </c>
    </row>
    <row r="8581">
      <c r="A8581" s="58">
        <v>45383.0</v>
      </c>
      <c r="B8581" s="24" t="s">
        <v>6787</v>
      </c>
      <c r="C8581" s="24" t="s">
        <v>7571</v>
      </c>
      <c r="D8581" s="59">
        <v>1.0</v>
      </c>
      <c r="E8581" s="59">
        <v>1.0</v>
      </c>
      <c r="F8581" s="59">
        <v>1.0</v>
      </c>
      <c r="G8581" s="60">
        <v>1.0</v>
      </c>
      <c r="H8581" s="60">
        <v>0.0</v>
      </c>
      <c r="I8581" s="60">
        <v>77.368014</v>
      </c>
      <c r="J8581" s="59">
        <v>2.0</v>
      </c>
      <c r="K8581" s="61">
        <f t="shared" si="1"/>
        <v>1</v>
      </c>
      <c r="L8581" s="62">
        <f t="shared" si="2"/>
        <v>2</v>
      </c>
    </row>
    <row r="8582">
      <c r="A8582" s="58">
        <v>45383.0</v>
      </c>
      <c r="B8582" s="24" t="s">
        <v>6789</v>
      </c>
      <c r="C8582" s="24" t="s">
        <v>7558</v>
      </c>
      <c r="D8582" s="59">
        <v>1.0</v>
      </c>
      <c r="E8582" s="59">
        <v>1.0</v>
      </c>
      <c r="F8582" s="59">
        <v>1.0</v>
      </c>
      <c r="G8582" s="60">
        <v>1.0</v>
      </c>
      <c r="H8582" s="60">
        <v>0.0</v>
      </c>
      <c r="I8582" s="60">
        <v>19.631049</v>
      </c>
      <c r="J8582" s="59">
        <v>1.0</v>
      </c>
      <c r="K8582" s="61">
        <f t="shared" si="1"/>
        <v>1</v>
      </c>
      <c r="L8582" s="62">
        <f t="shared" si="2"/>
        <v>1</v>
      </c>
    </row>
    <row r="8583">
      <c r="A8583" s="58">
        <v>45383.0</v>
      </c>
      <c r="B8583" s="24" t="s">
        <v>6787</v>
      </c>
      <c r="C8583" s="24" t="s">
        <v>7586</v>
      </c>
      <c r="D8583" s="59">
        <v>1.0</v>
      </c>
      <c r="E8583" s="59">
        <v>1.0</v>
      </c>
      <c r="F8583" s="59">
        <v>0.0</v>
      </c>
      <c r="G8583" s="60">
        <v>1.0</v>
      </c>
      <c r="H8583" s="60">
        <v>1.0</v>
      </c>
      <c r="I8583" s="60">
        <v>4.396529</v>
      </c>
      <c r="J8583" s="59">
        <v>1.0</v>
      </c>
      <c r="K8583" s="61">
        <f t="shared" si="1"/>
        <v>0</v>
      </c>
      <c r="L8583" s="62">
        <f t="shared" si="2"/>
        <v>1</v>
      </c>
    </row>
    <row r="8584">
      <c r="A8584" s="58">
        <v>45383.0</v>
      </c>
      <c r="B8584" s="24" t="s">
        <v>6789</v>
      </c>
      <c r="C8584" s="24" t="s">
        <v>7258</v>
      </c>
      <c r="D8584" s="59">
        <v>1.0</v>
      </c>
      <c r="E8584" s="59">
        <v>1.0</v>
      </c>
      <c r="F8584" s="59">
        <v>1.0</v>
      </c>
      <c r="G8584" s="60">
        <v>1.0</v>
      </c>
      <c r="H8584" s="60">
        <v>0.0</v>
      </c>
      <c r="I8584" s="60">
        <v>87.115051</v>
      </c>
      <c r="J8584" s="59">
        <v>1.0</v>
      </c>
      <c r="K8584" s="61">
        <f t="shared" si="1"/>
        <v>1</v>
      </c>
      <c r="L8584" s="62">
        <f t="shared" si="2"/>
        <v>1</v>
      </c>
    </row>
    <row r="8585">
      <c r="A8585" s="58">
        <v>45383.0</v>
      </c>
      <c r="B8585" s="24" t="s">
        <v>6789</v>
      </c>
      <c r="C8585" s="24" t="s">
        <v>7566</v>
      </c>
      <c r="D8585" s="59">
        <v>1.0</v>
      </c>
      <c r="E8585" s="59">
        <v>1.0</v>
      </c>
      <c r="F8585" s="59">
        <v>1.0</v>
      </c>
      <c r="G8585" s="60">
        <v>1.0</v>
      </c>
      <c r="H8585" s="60">
        <v>0.0</v>
      </c>
      <c r="I8585" s="60">
        <v>55.439555</v>
      </c>
      <c r="J8585" s="59">
        <v>1.0</v>
      </c>
      <c r="K8585" s="61">
        <f t="shared" si="1"/>
        <v>1</v>
      </c>
      <c r="L8585" s="62">
        <f t="shared" si="2"/>
        <v>1</v>
      </c>
    </row>
    <row r="8586">
      <c r="A8586" s="58">
        <v>45383.0</v>
      </c>
      <c r="B8586" s="24" t="s">
        <v>6787</v>
      </c>
      <c r="C8586" s="24" t="s">
        <v>7553</v>
      </c>
      <c r="D8586" s="59">
        <v>1.0</v>
      </c>
      <c r="E8586" s="59">
        <v>1.0</v>
      </c>
      <c r="F8586" s="59">
        <v>0.0</v>
      </c>
      <c r="G8586" s="60">
        <v>0.0</v>
      </c>
      <c r="H8586" s="60">
        <v>1.0</v>
      </c>
      <c r="I8586" s="60">
        <v>0.0</v>
      </c>
      <c r="J8586" s="59">
        <v>1.0</v>
      </c>
      <c r="K8586" s="61">
        <f t="shared" si="1"/>
        <v>0</v>
      </c>
      <c r="L8586" s="62">
        <f t="shared" si="2"/>
        <v>1</v>
      </c>
    </row>
    <row r="8587">
      <c r="A8587" s="58">
        <v>45383.0</v>
      </c>
      <c r="B8587" s="24" t="s">
        <v>6789</v>
      </c>
      <c r="C8587" s="24" t="s">
        <v>7587</v>
      </c>
      <c r="D8587" s="59">
        <v>1.0</v>
      </c>
      <c r="E8587" s="59">
        <v>1.0</v>
      </c>
      <c r="F8587" s="59">
        <v>1.0</v>
      </c>
      <c r="G8587" s="60">
        <v>1.0</v>
      </c>
      <c r="H8587" s="60">
        <v>0.0</v>
      </c>
      <c r="I8587" s="60">
        <v>12.628</v>
      </c>
      <c r="J8587" s="59">
        <v>1.0</v>
      </c>
      <c r="K8587" s="61">
        <f t="shared" si="1"/>
        <v>1</v>
      </c>
      <c r="L8587" s="62">
        <f t="shared" si="2"/>
        <v>1</v>
      </c>
    </row>
    <row r="8588">
      <c r="A8588" s="58">
        <v>45383.0</v>
      </c>
      <c r="B8588" s="24" t="s">
        <v>6789</v>
      </c>
      <c r="C8588" s="24" t="s">
        <v>7562</v>
      </c>
      <c r="D8588" s="59">
        <v>1.0</v>
      </c>
      <c r="E8588" s="59">
        <v>1.0</v>
      </c>
      <c r="F8588" s="59">
        <v>0.0</v>
      </c>
      <c r="G8588" s="60">
        <v>1.0</v>
      </c>
      <c r="H8588" s="60">
        <v>0.0</v>
      </c>
      <c r="I8588" s="60">
        <v>1041.801204</v>
      </c>
      <c r="J8588" s="59">
        <v>8.0</v>
      </c>
      <c r="K8588" s="61">
        <f t="shared" si="1"/>
        <v>0</v>
      </c>
      <c r="L8588" s="62">
        <f t="shared" si="2"/>
        <v>8</v>
      </c>
    </row>
    <row r="8589">
      <c r="A8589" s="58">
        <v>45383.0</v>
      </c>
      <c r="B8589" s="24" t="s">
        <v>3216</v>
      </c>
      <c r="C8589" s="24" t="s">
        <v>6907</v>
      </c>
      <c r="D8589" s="59">
        <v>1.0</v>
      </c>
      <c r="E8589" s="59">
        <v>1.0</v>
      </c>
      <c r="F8589" s="59">
        <v>1.0</v>
      </c>
      <c r="G8589" s="60">
        <v>1.0</v>
      </c>
      <c r="H8589" s="60">
        <v>0.0</v>
      </c>
      <c r="I8589" s="60">
        <v>952.101014</v>
      </c>
      <c r="J8589" s="59">
        <v>1.0</v>
      </c>
      <c r="K8589" s="61">
        <f t="shared" si="1"/>
        <v>1</v>
      </c>
      <c r="L8589" s="62">
        <f t="shared" si="2"/>
        <v>1</v>
      </c>
    </row>
    <row r="8590">
      <c r="A8590" s="58">
        <v>45383.0</v>
      </c>
      <c r="B8590" s="24" t="s">
        <v>6794</v>
      </c>
      <c r="C8590" s="24" t="s">
        <v>6907</v>
      </c>
      <c r="D8590" s="59">
        <v>1.0</v>
      </c>
      <c r="E8590" s="59">
        <v>1.0</v>
      </c>
      <c r="F8590" s="59">
        <v>0.0</v>
      </c>
      <c r="G8590" s="60">
        <v>0.0</v>
      </c>
      <c r="H8590" s="60">
        <v>1.0</v>
      </c>
      <c r="I8590" s="60">
        <v>0.0</v>
      </c>
      <c r="J8590" s="59">
        <v>1.0</v>
      </c>
      <c r="K8590" s="61">
        <f t="shared" si="1"/>
        <v>0</v>
      </c>
      <c r="L8590" s="62">
        <f t="shared" si="2"/>
        <v>1</v>
      </c>
    </row>
    <row r="8591">
      <c r="A8591" s="58">
        <v>45383.0</v>
      </c>
      <c r="B8591" s="24" t="s">
        <v>155</v>
      </c>
      <c r="C8591" s="24" t="s">
        <v>6907</v>
      </c>
      <c r="D8591" s="59">
        <v>1.0</v>
      </c>
      <c r="E8591" s="59">
        <v>1.0</v>
      </c>
      <c r="F8591" s="59">
        <v>0.0</v>
      </c>
      <c r="G8591" s="60">
        <v>1.0</v>
      </c>
      <c r="H8591" s="60">
        <v>0.0</v>
      </c>
      <c r="I8591" s="60">
        <v>570.548544</v>
      </c>
      <c r="J8591" s="59">
        <v>3.0</v>
      </c>
      <c r="K8591" s="61">
        <f t="shared" si="1"/>
        <v>0</v>
      </c>
      <c r="L8591" s="62">
        <f t="shared" si="2"/>
        <v>3</v>
      </c>
    </row>
    <row r="8592">
      <c r="A8592" s="58">
        <v>45383.0</v>
      </c>
      <c r="B8592" s="24" t="s">
        <v>6794</v>
      </c>
      <c r="C8592" s="24" t="s">
        <v>6808</v>
      </c>
      <c r="D8592" s="59">
        <v>1.0</v>
      </c>
      <c r="E8592" s="59">
        <v>1.0</v>
      </c>
      <c r="F8592" s="59">
        <v>0.0</v>
      </c>
      <c r="G8592" s="60">
        <v>0.0</v>
      </c>
      <c r="H8592" s="60">
        <v>1.0</v>
      </c>
      <c r="I8592" s="60">
        <v>0.0</v>
      </c>
      <c r="J8592" s="59">
        <v>1.0</v>
      </c>
      <c r="K8592" s="61">
        <f t="shared" si="1"/>
        <v>0</v>
      </c>
      <c r="L8592" s="62">
        <f t="shared" si="2"/>
        <v>1</v>
      </c>
    </row>
    <row r="8593">
      <c r="A8593" s="58">
        <v>45383.0</v>
      </c>
      <c r="B8593" s="24" t="s">
        <v>6787</v>
      </c>
      <c r="C8593" s="24" t="s">
        <v>7087</v>
      </c>
      <c r="D8593" s="59">
        <v>1.0</v>
      </c>
      <c r="E8593" s="59">
        <v>1.0</v>
      </c>
      <c r="F8593" s="59">
        <v>1.0</v>
      </c>
      <c r="G8593" s="60">
        <v>1.0</v>
      </c>
      <c r="H8593" s="60">
        <v>1.0</v>
      </c>
      <c r="I8593" s="60">
        <v>0.0</v>
      </c>
      <c r="J8593" s="59">
        <v>1.0</v>
      </c>
      <c r="K8593" s="61">
        <f t="shared" si="1"/>
        <v>1</v>
      </c>
      <c r="L8593" s="62">
        <f t="shared" si="2"/>
        <v>1</v>
      </c>
    </row>
    <row r="8594">
      <c r="A8594" s="58">
        <v>45383.0</v>
      </c>
      <c r="B8594" s="24" t="s">
        <v>3216</v>
      </c>
      <c r="C8594" s="24" t="s">
        <v>6800</v>
      </c>
      <c r="D8594" s="59">
        <v>1.0</v>
      </c>
      <c r="E8594" s="59">
        <v>1.0</v>
      </c>
      <c r="F8594" s="59">
        <v>0.0</v>
      </c>
      <c r="G8594" s="60">
        <v>1.0</v>
      </c>
      <c r="H8594" s="60">
        <v>1.0</v>
      </c>
      <c r="I8594" s="60">
        <v>1.460432</v>
      </c>
      <c r="J8594" s="59">
        <v>1.0</v>
      </c>
      <c r="K8594" s="61">
        <f t="shared" si="1"/>
        <v>0</v>
      </c>
      <c r="L8594" s="62">
        <f t="shared" si="2"/>
        <v>1</v>
      </c>
    </row>
    <row r="8595">
      <c r="A8595" s="58">
        <v>45383.0</v>
      </c>
      <c r="B8595" s="24" t="s">
        <v>7100</v>
      </c>
      <c r="C8595" s="24" t="s">
        <v>6800</v>
      </c>
      <c r="D8595" s="59">
        <v>1.0</v>
      </c>
      <c r="E8595" s="59">
        <v>1.0</v>
      </c>
      <c r="F8595" s="59">
        <v>1.0</v>
      </c>
      <c r="G8595" s="60">
        <v>1.0</v>
      </c>
      <c r="H8595" s="60">
        <v>0.0</v>
      </c>
      <c r="I8595" s="60">
        <v>17.07034</v>
      </c>
      <c r="J8595" s="59">
        <v>2.0</v>
      </c>
      <c r="K8595" s="61">
        <f t="shared" si="1"/>
        <v>1</v>
      </c>
      <c r="L8595" s="62">
        <f t="shared" si="2"/>
        <v>2</v>
      </c>
    </row>
    <row r="8596">
      <c r="A8596" s="58">
        <v>45383.0</v>
      </c>
      <c r="B8596" s="24" t="s">
        <v>6787</v>
      </c>
      <c r="C8596" s="24" t="s">
        <v>6908</v>
      </c>
      <c r="D8596" s="59">
        <v>1.0</v>
      </c>
      <c r="E8596" s="59">
        <v>1.0</v>
      </c>
      <c r="F8596" s="59">
        <v>1.0</v>
      </c>
      <c r="G8596" s="60">
        <v>1.0</v>
      </c>
      <c r="H8596" s="60">
        <v>1.0</v>
      </c>
      <c r="I8596" s="60">
        <v>0.0</v>
      </c>
      <c r="J8596" s="59">
        <v>1.0</v>
      </c>
      <c r="K8596" s="61">
        <f t="shared" si="1"/>
        <v>1</v>
      </c>
      <c r="L8596" s="62">
        <f t="shared" si="2"/>
        <v>1</v>
      </c>
    </row>
    <row r="8597">
      <c r="A8597" s="58">
        <v>45383.0</v>
      </c>
      <c r="B8597" s="24" t="s">
        <v>6790</v>
      </c>
      <c r="C8597" s="24" t="s">
        <v>6908</v>
      </c>
      <c r="D8597" s="59">
        <v>1.0</v>
      </c>
      <c r="E8597" s="59">
        <v>1.0</v>
      </c>
      <c r="F8597" s="59">
        <v>0.0</v>
      </c>
      <c r="G8597" s="60">
        <v>1.0</v>
      </c>
      <c r="H8597" s="60">
        <v>1.0</v>
      </c>
      <c r="I8597" s="60">
        <v>204.970109</v>
      </c>
      <c r="J8597" s="59">
        <v>1.0</v>
      </c>
      <c r="K8597" s="61">
        <f t="shared" si="1"/>
        <v>0</v>
      </c>
      <c r="L8597" s="62">
        <f t="shared" si="2"/>
        <v>1</v>
      </c>
    </row>
    <row r="8598">
      <c r="A8598" s="58">
        <v>45383.0</v>
      </c>
      <c r="B8598" s="24" t="s">
        <v>6790</v>
      </c>
      <c r="C8598" s="24" t="s">
        <v>7172</v>
      </c>
      <c r="D8598" s="59">
        <v>1.0</v>
      </c>
      <c r="E8598" s="59">
        <v>1.0</v>
      </c>
      <c r="F8598" s="59">
        <v>0.0</v>
      </c>
      <c r="G8598" s="60">
        <v>1.0</v>
      </c>
      <c r="H8598" s="60">
        <v>1.0</v>
      </c>
      <c r="I8598" s="60">
        <v>1668.845411</v>
      </c>
      <c r="J8598" s="59">
        <v>4.0</v>
      </c>
      <c r="K8598" s="61">
        <f t="shared" si="1"/>
        <v>0</v>
      </c>
      <c r="L8598" s="62">
        <f t="shared" si="2"/>
        <v>4</v>
      </c>
    </row>
    <row r="8599">
      <c r="A8599" s="58">
        <v>45383.0</v>
      </c>
      <c r="B8599" s="24" t="s">
        <v>6794</v>
      </c>
      <c r="C8599" s="24" t="s">
        <v>7313</v>
      </c>
      <c r="D8599" s="59">
        <v>1.0</v>
      </c>
      <c r="E8599" s="59">
        <v>1.0</v>
      </c>
      <c r="F8599" s="59">
        <v>0.0</v>
      </c>
      <c r="G8599" s="60">
        <v>1.0</v>
      </c>
      <c r="H8599" s="60">
        <v>1.0</v>
      </c>
      <c r="I8599" s="60">
        <v>0.0</v>
      </c>
      <c r="J8599" s="59">
        <v>1.0</v>
      </c>
      <c r="K8599" s="61">
        <f t="shared" si="1"/>
        <v>0</v>
      </c>
      <c r="L8599" s="62">
        <f t="shared" si="2"/>
        <v>1</v>
      </c>
    </row>
    <row r="8600">
      <c r="A8600" s="58">
        <v>45383.0</v>
      </c>
      <c r="B8600" s="24" t="s">
        <v>6794</v>
      </c>
      <c r="C8600" s="24" t="s">
        <v>7102</v>
      </c>
      <c r="D8600" s="59">
        <v>1.0</v>
      </c>
      <c r="E8600" s="59">
        <v>1.0</v>
      </c>
      <c r="F8600" s="59">
        <v>0.0</v>
      </c>
      <c r="G8600" s="60">
        <v>1.0</v>
      </c>
      <c r="H8600" s="60">
        <v>0.0</v>
      </c>
      <c r="I8600" s="60">
        <v>12.869844</v>
      </c>
      <c r="J8600" s="59">
        <v>1.0</v>
      </c>
      <c r="K8600" s="61">
        <f t="shared" si="1"/>
        <v>0</v>
      </c>
      <c r="L8600" s="62">
        <f t="shared" si="2"/>
        <v>1</v>
      </c>
    </row>
    <row r="8601">
      <c r="A8601" s="58">
        <v>45383.0</v>
      </c>
      <c r="B8601" s="24" t="s">
        <v>6794</v>
      </c>
      <c r="C8601" s="24" t="s">
        <v>7104</v>
      </c>
      <c r="D8601" s="59">
        <v>1.0</v>
      </c>
      <c r="E8601" s="59">
        <v>1.0</v>
      </c>
      <c r="F8601" s="59">
        <v>0.0</v>
      </c>
      <c r="G8601" s="60">
        <v>1.0</v>
      </c>
      <c r="H8601" s="60">
        <v>1.0</v>
      </c>
      <c r="I8601" s="60">
        <v>0.0</v>
      </c>
      <c r="J8601" s="59">
        <v>1.0</v>
      </c>
      <c r="K8601" s="61">
        <f t="shared" si="1"/>
        <v>0</v>
      </c>
      <c r="L8601" s="62">
        <f t="shared" si="2"/>
        <v>1</v>
      </c>
    </row>
    <row r="8602">
      <c r="A8602" s="58">
        <v>45383.0</v>
      </c>
      <c r="B8602" s="24" t="s">
        <v>6789</v>
      </c>
      <c r="C8602" s="24" t="s">
        <v>7192</v>
      </c>
      <c r="D8602" s="59">
        <v>1.0</v>
      </c>
      <c r="E8602" s="59">
        <v>1.0</v>
      </c>
      <c r="F8602" s="59">
        <v>0.0</v>
      </c>
      <c r="G8602" s="60">
        <v>1.0</v>
      </c>
      <c r="H8602" s="60">
        <v>0.0</v>
      </c>
      <c r="I8602" s="60">
        <v>313.293562</v>
      </c>
      <c r="J8602" s="59">
        <v>6.0</v>
      </c>
      <c r="K8602" s="61">
        <f t="shared" si="1"/>
        <v>0</v>
      </c>
      <c r="L8602" s="62">
        <f t="shared" si="2"/>
        <v>6</v>
      </c>
    </row>
    <row r="8603">
      <c r="A8603" s="58">
        <v>45383.0</v>
      </c>
      <c r="B8603" s="24" t="s">
        <v>6789</v>
      </c>
      <c r="C8603" s="24" t="s">
        <v>7273</v>
      </c>
      <c r="D8603" s="59">
        <v>1.0</v>
      </c>
      <c r="E8603" s="59">
        <v>1.0</v>
      </c>
      <c r="F8603" s="59">
        <v>0.0</v>
      </c>
      <c r="G8603" s="60">
        <v>1.0</v>
      </c>
      <c r="H8603" s="60">
        <v>0.0</v>
      </c>
      <c r="I8603" s="60">
        <v>773.902825</v>
      </c>
      <c r="J8603" s="59">
        <v>2.0</v>
      </c>
      <c r="K8603" s="61">
        <f t="shared" si="1"/>
        <v>0</v>
      </c>
      <c r="L8603" s="62">
        <f t="shared" si="2"/>
        <v>2</v>
      </c>
    </row>
    <row r="8604">
      <c r="A8604" s="58">
        <v>45383.0</v>
      </c>
      <c r="B8604" s="24" t="s">
        <v>6794</v>
      </c>
      <c r="C8604" s="24" t="s">
        <v>7559</v>
      </c>
      <c r="D8604" s="59">
        <v>1.0</v>
      </c>
      <c r="E8604" s="59">
        <v>1.0</v>
      </c>
      <c r="F8604" s="59">
        <v>1.0</v>
      </c>
      <c r="G8604" s="60">
        <v>1.0</v>
      </c>
      <c r="H8604" s="60">
        <v>0.0</v>
      </c>
      <c r="I8604" s="60">
        <v>41.798951</v>
      </c>
      <c r="J8604" s="59">
        <v>4.0</v>
      </c>
      <c r="K8604" s="61">
        <f t="shared" si="1"/>
        <v>1</v>
      </c>
      <c r="L8604" s="62">
        <f t="shared" si="2"/>
        <v>4</v>
      </c>
    </row>
    <row r="8605">
      <c r="A8605" s="58">
        <v>45383.0</v>
      </c>
      <c r="B8605" s="24" t="s">
        <v>6794</v>
      </c>
      <c r="C8605" s="24" t="s">
        <v>7027</v>
      </c>
      <c r="D8605" s="59">
        <v>1.0</v>
      </c>
      <c r="E8605" s="59">
        <v>1.0</v>
      </c>
      <c r="F8605" s="59">
        <v>0.0</v>
      </c>
      <c r="G8605" s="60">
        <v>1.0</v>
      </c>
      <c r="H8605" s="60">
        <v>0.0</v>
      </c>
      <c r="I8605" s="60">
        <v>245.625831</v>
      </c>
      <c r="J8605" s="59">
        <v>3.0</v>
      </c>
      <c r="K8605" s="61">
        <f t="shared" si="1"/>
        <v>0</v>
      </c>
      <c r="L8605" s="62">
        <f t="shared" si="2"/>
        <v>3</v>
      </c>
    </row>
    <row r="8606">
      <c r="A8606" s="58">
        <v>45383.0</v>
      </c>
      <c r="B8606" s="24" t="s">
        <v>155</v>
      </c>
      <c r="C8606" s="24" t="s">
        <v>7027</v>
      </c>
      <c r="D8606" s="59">
        <v>1.0</v>
      </c>
      <c r="E8606" s="59">
        <v>1.0</v>
      </c>
      <c r="F8606" s="59">
        <v>0.0</v>
      </c>
      <c r="G8606" s="60">
        <v>1.0</v>
      </c>
      <c r="H8606" s="60">
        <v>0.0</v>
      </c>
      <c r="I8606" s="60">
        <v>1171.782842</v>
      </c>
      <c r="J8606" s="59">
        <v>3.0</v>
      </c>
      <c r="K8606" s="61">
        <f t="shared" si="1"/>
        <v>0</v>
      </c>
      <c r="L8606" s="62">
        <f t="shared" si="2"/>
        <v>3</v>
      </c>
    </row>
    <row r="8607">
      <c r="A8607" s="58">
        <v>45383.0</v>
      </c>
      <c r="B8607" s="24" t="s">
        <v>6794</v>
      </c>
      <c r="C8607" s="24" t="s">
        <v>7180</v>
      </c>
      <c r="D8607" s="59">
        <v>1.0</v>
      </c>
      <c r="E8607" s="59">
        <v>1.0</v>
      </c>
      <c r="F8607" s="59">
        <v>0.0</v>
      </c>
      <c r="G8607" s="60">
        <v>1.0</v>
      </c>
      <c r="H8607" s="60">
        <v>0.0</v>
      </c>
      <c r="I8607" s="60">
        <v>12.925832</v>
      </c>
      <c r="J8607" s="59">
        <v>1.0</v>
      </c>
      <c r="K8607" s="61">
        <f t="shared" si="1"/>
        <v>0</v>
      </c>
      <c r="L8607" s="62">
        <f t="shared" si="2"/>
        <v>1</v>
      </c>
    </row>
    <row r="8608">
      <c r="A8608" s="58">
        <v>45383.0</v>
      </c>
      <c r="B8608" s="24" t="s">
        <v>6790</v>
      </c>
      <c r="C8608" s="24" t="s">
        <v>6815</v>
      </c>
      <c r="D8608" s="59">
        <v>1.0</v>
      </c>
      <c r="E8608" s="59">
        <v>5.0</v>
      </c>
      <c r="F8608" s="59">
        <v>0.0</v>
      </c>
      <c r="G8608" s="60">
        <v>0.0</v>
      </c>
      <c r="H8608" s="60">
        <v>1.0</v>
      </c>
      <c r="I8608" s="60">
        <v>0.0</v>
      </c>
      <c r="J8608" s="59">
        <v>5.0</v>
      </c>
      <c r="K8608" s="61">
        <f t="shared" si="1"/>
        <v>0</v>
      </c>
      <c r="L8608" s="62">
        <f t="shared" si="2"/>
        <v>1</v>
      </c>
    </row>
    <row r="8609">
      <c r="A8609" s="58">
        <v>45383.0</v>
      </c>
      <c r="B8609" s="24" t="s">
        <v>6787</v>
      </c>
      <c r="C8609" s="24" t="s">
        <v>7588</v>
      </c>
      <c r="D8609" s="59">
        <v>1.0</v>
      </c>
      <c r="E8609" s="59">
        <v>1.0</v>
      </c>
      <c r="F8609" s="59">
        <v>1.0</v>
      </c>
      <c r="G8609" s="60">
        <v>1.0</v>
      </c>
      <c r="H8609" s="60">
        <v>1.0</v>
      </c>
      <c r="I8609" s="60">
        <v>0.0</v>
      </c>
      <c r="J8609" s="59">
        <v>1.0</v>
      </c>
      <c r="K8609" s="61">
        <f t="shared" si="1"/>
        <v>1</v>
      </c>
      <c r="L8609" s="62">
        <f t="shared" si="2"/>
        <v>1</v>
      </c>
    </row>
    <row r="8610">
      <c r="A8610" s="58">
        <v>45383.0</v>
      </c>
      <c r="B8610" s="24" t="s">
        <v>6789</v>
      </c>
      <c r="C8610" s="24" t="s">
        <v>6921</v>
      </c>
      <c r="D8610" s="59">
        <v>1.0</v>
      </c>
      <c r="E8610" s="59">
        <v>1.0</v>
      </c>
      <c r="F8610" s="59">
        <v>0.0</v>
      </c>
      <c r="G8610" s="60">
        <v>1.0</v>
      </c>
      <c r="H8610" s="60">
        <v>0.0</v>
      </c>
      <c r="I8610" s="60">
        <v>18.717447</v>
      </c>
      <c r="J8610" s="59">
        <v>1.0</v>
      </c>
      <c r="K8610" s="61">
        <f t="shared" si="1"/>
        <v>0</v>
      </c>
      <c r="L8610" s="62">
        <f t="shared" si="2"/>
        <v>1</v>
      </c>
    </row>
    <row r="8611">
      <c r="A8611" s="58">
        <v>45383.0</v>
      </c>
      <c r="B8611" s="24" t="s">
        <v>6794</v>
      </c>
      <c r="C8611" s="24" t="s">
        <v>6921</v>
      </c>
      <c r="D8611" s="59">
        <v>1.0</v>
      </c>
      <c r="E8611" s="59">
        <v>1.0</v>
      </c>
      <c r="F8611" s="59">
        <v>0.0</v>
      </c>
      <c r="G8611" s="60">
        <v>1.0</v>
      </c>
      <c r="H8611" s="60">
        <v>0.0</v>
      </c>
      <c r="I8611" s="60">
        <v>20.73834</v>
      </c>
      <c r="J8611" s="59">
        <v>2.0</v>
      </c>
      <c r="K8611" s="61">
        <f t="shared" si="1"/>
        <v>0</v>
      </c>
      <c r="L8611" s="62">
        <f t="shared" si="2"/>
        <v>2</v>
      </c>
    </row>
    <row r="8612">
      <c r="A8612" s="58">
        <v>45383.0</v>
      </c>
      <c r="B8612" s="24" t="s">
        <v>6787</v>
      </c>
      <c r="C8612" s="24" t="s">
        <v>6797</v>
      </c>
      <c r="D8612" s="59">
        <v>1.0</v>
      </c>
      <c r="E8612" s="59">
        <v>1.0</v>
      </c>
      <c r="F8612" s="59">
        <v>1.0</v>
      </c>
      <c r="G8612" s="60">
        <v>1.0</v>
      </c>
      <c r="H8612" s="60">
        <v>1.0</v>
      </c>
      <c r="I8612" s="60">
        <v>0.0</v>
      </c>
      <c r="J8612" s="59">
        <v>1.0</v>
      </c>
      <c r="K8612" s="61">
        <f t="shared" si="1"/>
        <v>1</v>
      </c>
      <c r="L8612" s="62">
        <f t="shared" si="2"/>
        <v>1</v>
      </c>
    </row>
    <row r="8613">
      <c r="A8613" s="58">
        <v>45383.0</v>
      </c>
      <c r="B8613" s="24" t="s">
        <v>155</v>
      </c>
      <c r="C8613" s="24" t="s">
        <v>6931</v>
      </c>
      <c r="D8613" s="59">
        <v>1.0</v>
      </c>
      <c r="E8613" s="59">
        <v>1.0</v>
      </c>
      <c r="F8613" s="59">
        <v>1.0</v>
      </c>
      <c r="G8613" s="60">
        <v>1.0</v>
      </c>
      <c r="H8613" s="60">
        <v>0.0</v>
      </c>
      <c r="I8613" s="60">
        <v>5.825682</v>
      </c>
      <c r="J8613" s="59">
        <v>2.0</v>
      </c>
      <c r="K8613" s="61">
        <f t="shared" si="1"/>
        <v>1</v>
      </c>
      <c r="L8613" s="62">
        <f t="shared" si="2"/>
        <v>2</v>
      </c>
    </row>
    <row r="8614">
      <c r="A8614" s="58">
        <v>45383.0</v>
      </c>
      <c r="B8614" s="24" t="s">
        <v>6789</v>
      </c>
      <c r="C8614" s="24" t="s">
        <v>7208</v>
      </c>
      <c r="D8614" s="59">
        <v>1.0</v>
      </c>
      <c r="E8614" s="59">
        <v>1.0</v>
      </c>
      <c r="F8614" s="59">
        <v>0.0</v>
      </c>
      <c r="G8614" s="60">
        <v>1.0</v>
      </c>
      <c r="H8614" s="60">
        <v>0.0</v>
      </c>
      <c r="I8614" s="60">
        <v>1.56E-4</v>
      </c>
      <c r="J8614" s="59">
        <v>1.0</v>
      </c>
      <c r="K8614" s="61">
        <f t="shared" si="1"/>
        <v>0</v>
      </c>
      <c r="L8614" s="62">
        <f t="shared" si="2"/>
        <v>1</v>
      </c>
    </row>
    <row r="8615">
      <c r="A8615" s="58">
        <v>45383.0</v>
      </c>
      <c r="B8615" s="24" t="s">
        <v>6787</v>
      </c>
      <c r="C8615" s="24" t="s">
        <v>6963</v>
      </c>
      <c r="D8615" s="59">
        <v>1.0</v>
      </c>
      <c r="E8615" s="59">
        <v>1.0</v>
      </c>
      <c r="F8615" s="59">
        <v>0.0</v>
      </c>
      <c r="G8615" s="60">
        <v>1.0</v>
      </c>
      <c r="H8615" s="60">
        <v>1.0</v>
      </c>
      <c r="I8615" s="60">
        <v>0.0</v>
      </c>
      <c r="J8615" s="59">
        <v>1.0</v>
      </c>
      <c r="K8615" s="61">
        <f t="shared" si="1"/>
        <v>0</v>
      </c>
      <c r="L8615" s="62">
        <f t="shared" si="2"/>
        <v>1</v>
      </c>
    </row>
    <row r="8616">
      <c r="A8616" s="58">
        <v>45383.0</v>
      </c>
      <c r="B8616" s="24" t="s">
        <v>6789</v>
      </c>
      <c r="C8616" s="24" t="s">
        <v>6963</v>
      </c>
      <c r="D8616" s="59">
        <v>1.0</v>
      </c>
      <c r="E8616" s="59">
        <v>4.0</v>
      </c>
      <c r="F8616" s="59">
        <v>0.0</v>
      </c>
      <c r="G8616" s="60">
        <v>4.0</v>
      </c>
      <c r="H8616" s="60">
        <v>0.75</v>
      </c>
      <c r="I8616" s="60">
        <v>1.245268</v>
      </c>
      <c r="J8616" s="59">
        <v>5.0</v>
      </c>
      <c r="K8616" s="61">
        <f t="shared" si="1"/>
        <v>0</v>
      </c>
      <c r="L8616" s="62">
        <f t="shared" si="2"/>
        <v>1.25</v>
      </c>
    </row>
    <row r="8617">
      <c r="A8617" s="58">
        <v>45383.0</v>
      </c>
      <c r="B8617" s="24" t="s">
        <v>155</v>
      </c>
      <c r="C8617" s="24" t="s">
        <v>6963</v>
      </c>
      <c r="D8617" s="59">
        <v>1.0</v>
      </c>
      <c r="E8617" s="59">
        <v>1.0</v>
      </c>
      <c r="F8617" s="59">
        <v>0.0</v>
      </c>
      <c r="G8617" s="60">
        <v>1.0</v>
      </c>
      <c r="H8617" s="60">
        <v>0.0</v>
      </c>
      <c r="I8617" s="60">
        <v>15.60972</v>
      </c>
      <c r="J8617" s="59">
        <v>1.0</v>
      </c>
      <c r="K8617" s="61">
        <f t="shared" si="1"/>
        <v>0</v>
      </c>
      <c r="L8617" s="62">
        <f t="shared" si="2"/>
        <v>1</v>
      </c>
    </row>
    <row r="8618">
      <c r="A8618" s="58">
        <v>45383.0</v>
      </c>
      <c r="B8618" s="24" t="s">
        <v>6787</v>
      </c>
      <c r="C8618" s="24" t="s">
        <v>7576</v>
      </c>
      <c r="D8618" s="59">
        <v>1.0</v>
      </c>
      <c r="E8618" s="59">
        <v>2.0</v>
      </c>
      <c r="F8618" s="59">
        <v>0.0</v>
      </c>
      <c r="G8618" s="60">
        <v>2.0</v>
      </c>
      <c r="H8618" s="60">
        <v>0.5</v>
      </c>
      <c r="I8618" s="60">
        <v>15.930285</v>
      </c>
      <c r="J8618" s="59">
        <v>2.0</v>
      </c>
      <c r="K8618" s="61">
        <f t="shared" si="1"/>
        <v>0</v>
      </c>
      <c r="L8618" s="62">
        <f t="shared" si="2"/>
        <v>1</v>
      </c>
    </row>
    <row r="8619">
      <c r="A8619" s="58">
        <v>45383.0</v>
      </c>
      <c r="B8619" s="24" t="s">
        <v>155</v>
      </c>
      <c r="C8619" s="24" t="s">
        <v>6924</v>
      </c>
      <c r="D8619" s="59">
        <v>1.0</v>
      </c>
      <c r="E8619" s="59">
        <v>2.0</v>
      </c>
      <c r="F8619" s="59">
        <v>0.0</v>
      </c>
      <c r="G8619" s="60">
        <v>2.0</v>
      </c>
      <c r="H8619" s="60">
        <v>0.0</v>
      </c>
      <c r="I8619" s="60">
        <v>946.657871499999</v>
      </c>
      <c r="J8619" s="59">
        <v>10.0</v>
      </c>
      <c r="K8619" s="61">
        <f t="shared" si="1"/>
        <v>0</v>
      </c>
      <c r="L8619" s="62">
        <f t="shared" si="2"/>
        <v>5</v>
      </c>
    </row>
    <row r="8620">
      <c r="A8620" s="58">
        <v>45383.0</v>
      </c>
      <c r="B8620" s="24" t="s">
        <v>6789</v>
      </c>
      <c r="C8620" s="24" t="s">
        <v>7577</v>
      </c>
      <c r="D8620" s="59">
        <v>1.0</v>
      </c>
      <c r="E8620" s="59">
        <v>1.0</v>
      </c>
      <c r="F8620" s="59">
        <v>0.0</v>
      </c>
      <c r="G8620" s="60">
        <v>1.0</v>
      </c>
      <c r="H8620" s="60">
        <v>0.0</v>
      </c>
      <c r="I8620" s="60">
        <v>179.00466</v>
      </c>
      <c r="J8620" s="59">
        <v>3.0</v>
      </c>
      <c r="K8620" s="61">
        <f t="shared" si="1"/>
        <v>0</v>
      </c>
      <c r="L8620" s="62">
        <f t="shared" si="2"/>
        <v>3</v>
      </c>
    </row>
    <row r="8621">
      <c r="A8621" s="58">
        <v>45383.0</v>
      </c>
      <c r="B8621" s="24" t="s">
        <v>6787</v>
      </c>
      <c r="C8621" s="24" t="s">
        <v>7289</v>
      </c>
      <c r="D8621" s="59">
        <v>1.0</v>
      </c>
      <c r="E8621" s="59">
        <v>1.0</v>
      </c>
      <c r="F8621" s="59">
        <v>1.0</v>
      </c>
      <c r="G8621" s="60">
        <v>1.0</v>
      </c>
      <c r="H8621" s="60">
        <v>1.0</v>
      </c>
      <c r="I8621" s="60">
        <v>5.031838</v>
      </c>
      <c r="J8621" s="59">
        <v>1.0</v>
      </c>
      <c r="K8621" s="61">
        <f t="shared" si="1"/>
        <v>1</v>
      </c>
      <c r="L8621" s="62">
        <f t="shared" si="2"/>
        <v>1</v>
      </c>
    </row>
    <row r="8622">
      <c r="A8622" s="58">
        <v>45383.0</v>
      </c>
      <c r="B8622" s="24" t="s">
        <v>6787</v>
      </c>
      <c r="C8622" s="24" t="s">
        <v>7315</v>
      </c>
      <c r="D8622" s="59">
        <v>1.0</v>
      </c>
      <c r="E8622" s="59">
        <v>1.0</v>
      </c>
      <c r="F8622" s="59">
        <v>1.0</v>
      </c>
      <c r="G8622" s="60">
        <v>1.0</v>
      </c>
      <c r="H8622" s="60">
        <v>1.0</v>
      </c>
      <c r="I8622" s="60">
        <v>5.194899</v>
      </c>
      <c r="J8622" s="59">
        <v>1.0</v>
      </c>
      <c r="K8622" s="61">
        <f t="shared" si="1"/>
        <v>1</v>
      </c>
      <c r="L8622" s="62">
        <f t="shared" si="2"/>
        <v>1</v>
      </c>
    </row>
    <row r="8623">
      <c r="A8623" s="58">
        <v>45383.0</v>
      </c>
      <c r="B8623" s="24" t="s">
        <v>6787</v>
      </c>
      <c r="C8623" s="24" t="s">
        <v>7589</v>
      </c>
      <c r="D8623" s="59">
        <v>1.0</v>
      </c>
      <c r="E8623" s="59">
        <v>1.0</v>
      </c>
      <c r="F8623" s="59">
        <v>1.0</v>
      </c>
      <c r="G8623" s="60">
        <v>1.0</v>
      </c>
      <c r="H8623" s="60">
        <v>1.0</v>
      </c>
      <c r="I8623" s="60">
        <v>4.507293</v>
      </c>
      <c r="J8623" s="59">
        <v>1.0</v>
      </c>
      <c r="K8623" s="61">
        <f t="shared" si="1"/>
        <v>1</v>
      </c>
      <c r="L8623" s="62">
        <f t="shared" si="2"/>
        <v>1</v>
      </c>
    </row>
    <row r="8624">
      <c r="A8624" s="58">
        <v>45383.0</v>
      </c>
      <c r="B8624" s="24" t="s">
        <v>6787</v>
      </c>
      <c r="C8624" s="24" t="s">
        <v>7319</v>
      </c>
      <c r="D8624" s="59">
        <v>1.0</v>
      </c>
      <c r="E8624" s="59">
        <v>1.0</v>
      </c>
      <c r="F8624" s="59">
        <v>1.0</v>
      </c>
      <c r="G8624" s="60">
        <v>1.0</v>
      </c>
      <c r="H8624" s="60">
        <v>1.0</v>
      </c>
      <c r="I8624" s="60">
        <v>4.979838</v>
      </c>
      <c r="J8624" s="59">
        <v>1.0</v>
      </c>
      <c r="K8624" s="61">
        <f t="shared" si="1"/>
        <v>1</v>
      </c>
      <c r="L8624" s="62">
        <f t="shared" si="2"/>
        <v>1</v>
      </c>
    </row>
    <row r="8625">
      <c r="A8625" s="58">
        <v>45352.0</v>
      </c>
      <c r="B8625" s="24" t="s">
        <v>6789</v>
      </c>
      <c r="C8625" s="24" t="s">
        <v>6788</v>
      </c>
      <c r="D8625" s="59">
        <v>845.0</v>
      </c>
      <c r="E8625" s="59">
        <v>1217.0</v>
      </c>
      <c r="F8625" s="59">
        <v>707.0</v>
      </c>
      <c r="G8625" s="60">
        <v>1.45226730310262</v>
      </c>
      <c r="H8625" s="60">
        <v>0.138866064092029</v>
      </c>
      <c r="I8625" s="60">
        <v>213.136528739523</v>
      </c>
      <c r="J8625" s="59">
        <v>3909.0</v>
      </c>
      <c r="K8625" s="61">
        <f t="shared" si="1"/>
        <v>0.5809367297</v>
      </c>
      <c r="L8625" s="62">
        <f t="shared" si="2"/>
        <v>3.211996713</v>
      </c>
    </row>
    <row r="8626">
      <c r="A8626" s="58">
        <v>45352.0</v>
      </c>
      <c r="B8626" s="24" t="s">
        <v>6787</v>
      </c>
      <c r="C8626" s="24" t="s">
        <v>6788</v>
      </c>
      <c r="D8626" s="59">
        <v>536.0</v>
      </c>
      <c r="E8626" s="59">
        <v>757.0</v>
      </c>
      <c r="F8626" s="59">
        <v>482.0</v>
      </c>
      <c r="G8626" s="60">
        <v>1.41760299625468</v>
      </c>
      <c r="H8626" s="60">
        <v>0.190224570673712</v>
      </c>
      <c r="I8626" s="60">
        <v>157.092898721268</v>
      </c>
      <c r="J8626" s="59">
        <v>2325.0</v>
      </c>
      <c r="K8626" s="61">
        <f t="shared" si="1"/>
        <v>0.6367239102</v>
      </c>
      <c r="L8626" s="62">
        <f t="shared" si="2"/>
        <v>3.071334214</v>
      </c>
    </row>
    <row r="8627">
      <c r="A8627" s="58">
        <v>45352.0</v>
      </c>
      <c r="B8627" s="24" t="s">
        <v>6789</v>
      </c>
      <c r="C8627" s="24" t="s">
        <v>6792</v>
      </c>
      <c r="D8627" s="59">
        <v>200.0</v>
      </c>
      <c r="E8627" s="59">
        <v>236.0</v>
      </c>
      <c r="F8627" s="59">
        <v>0.0</v>
      </c>
      <c r="G8627" s="60">
        <v>1.67375886524822</v>
      </c>
      <c r="H8627" s="60">
        <v>0.970338983050847</v>
      </c>
      <c r="I8627" s="60">
        <v>9.81369117372881</v>
      </c>
      <c r="J8627" s="59">
        <v>0.0</v>
      </c>
      <c r="K8627" s="61">
        <f t="shared" si="1"/>
        <v>0</v>
      </c>
      <c r="L8627" s="62">
        <f t="shared" si="2"/>
        <v>0</v>
      </c>
    </row>
    <row r="8628">
      <c r="A8628" s="58">
        <v>45352.0</v>
      </c>
      <c r="B8628" s="24" t="s">
        <v>6789</v>
      </c>
      <c r="C8628" s="24" t="s">
        <v>7068</v>
      </c>
      <c r="D8628" s="59">
        <v>198.0</v>
      </c>
      <c r="E8628" s="59">
        <v>225.0</v>
      </c>
      <c r="F8628" s="59">
        <v>196.0</v>
      </c>
      <c r="G8628" s="60">
        <v>1.13636363636363</v>
      </c>
      <c r="H8628" s="60">
        <v>0.146666666666666</v>
      </c>
      <c r="I8628" s="60">
        <v>195.899946759999</v>
      </c>
      <c r="J8628" s="59">
        <v>372.0</v>
      </c>
      <c r="K8628" s="61">
        <f t="shared" si="1"/>
        <v>0.8711111111</v>
      </c>
      <c r="L8628" s="62">
        <f t="shared" si="2"/>
        <v>1.653333333</v>
      </c>
    </row>
    <row r="8629">
      <c r="A8629" s="58">
        <v>45352.0</v>
      </c>
      <c r="B8629" s="24" t="s">
        <v>155</v>
      </c>
      <c r="C8629" s="24" t="s">
        <v>6788</v>
      </c>
      <c r="D8629" s="59">
        <v>124.0</v>
      </c>
      <c r="E8629" s="59">
        <v>275.0</v>
      </c>
      <c r="F8629" s="59">
        <v>91.0</v>
      </c>
      <c r="G8629" s="60">
        <v>2.23577235772357</v>
      </c>
      <c r="H8629" s="60">
        <v>0.21090909090909</v>
      </c>
      <c r="I8629" s="60">
        <v>193.808653174545</v>
      </c>
      <c r="J8629" s="59">
        <v>871.0</v>
      </c>
      <c r="K8629" s="61">
        <f t="shared" si="1"/>
        <v>0.3309090909</v>
      </c>
      <c r="L8629" s="62">
        <f t="shared" si="2"/>
        <v>3.167272727</v>
      </c>
    </row>
    <row r="8630">
      <c r="A8630" s="58">
        <v>45352.0</v>
      </c>
      <c r="B8630" s="24" t="s">
        <v>6794</v>
      </c>
      <c r="C8630" s="24" t="s">
        <v>6788</v>
      </c>
      <c r="D8630" s="59">
        <v>118.0</v>
      </c>
      <c r="E8630" s="59">
        <v>133.0</v>
      </c>
      <c r="F8630" s="59">
        <v>105.0</v>
      </c>
      <c r="G8630" s="60">
        <v>1.12711864406779</v>
      </c>
      <c r="H8630" s="60">
        <v>0.0977443609022556</v>
      </c>
      <c r="I8630" s="60">
        <v>220.494611007518</v>
      </c>
      <c r="J8630" s="59">
        <v>416.0</v>
      </c>
      <c r="K8630" s="61">
        <f t="shared" si="1"/>
        <v>0.7894736842</v>
      </c>
      <c r="L8630" s="62">
        <f t="shared" si="2"/>
        <v>3.127819549</v>
      </c>
    </row>
    <row r="8631">
      <c r="A8631" s="58">
        <v>45352.0</v>
      </c>
      <c r="B8631" s="24" t="s">
        <v>6787</v>
      </c>
      <c r="C8631" s="24" t="s">
        <v>6792</v>
      </c>
      <c r="D8631" s="59">
        <v>62.0</v>
      </c>
      <c r="E8631" s="59">
        <v>77.0</v>
      </c>
      <c r="F8631" s="59">
        <v>0.0</v>
      </c>
      <c r="G8631" s="60">
        <v>1.60416666666666</v>
      </c>
      <c r="H8631" s="60">
        <v>0.974025974025974</v>
      </c>
      <c r="I8631" s="60">
        <v>4.12571272727272</v>
      </c>
      <c r="J8631" s="59">
        <v>0.0</v>
      </c>
      <c r="K8631" s="61">
        <f t="shared" si="1"/>
        <v>0</v>
      </c>
      <c r="L8631" s="62">
        <f t="shared" si="2"/>
        <v>0</v>
      </c>
    </row>
    <row r="8632">
      <c r="A8632" s="58">
        <v>45352.0</v>
      </c>
      <c r="B8632" s="24" t="s">
        <v>6787</v>
      </c>
      <c r="C8632" s="24" t="s">
        <v>6799</v>
      </c>
      <c r="D8632" s="59">
        <v>38.0</v>
      </c>
      <c r="E8632" s="59">
        <v>45.0</v>
      </c>
      <c r="F8632" s="59">
        <v>25.0</v>
      </c>
      <c r="G8632" s="60">
        <v>1.25</v>
      </c>
      <c r="H8632" s="60">
        <v>0.377777777777777</v>
      </c>
      <c r="I8632" s="60">
        <v>225.1259776</v>
      </c>
      <c r="J8632" s="59">
        <v>98.0</v>
      </c>
      <c r="K8632" s="61">
        <f t="shared" si="1"/>
        <v>0.5555555556</v>
      </c>
      <c r="L8632" s="62">
        <f t="shared" si="2"/>
        <v>2.177777778</v>
      </c>
    </row>
    <row r="8633">
      <c r="A8633" s="58">
        <v>45352.0</v>
      </c>
      <c r="B8633" s="24" t="s">
        <v>6789</v>
      </c>
      <c r="C8633" s="24" t="s">
        <v>6799</v>
      </c>
      <c r="D8633" s="59">
        <v>37.0</v>
      </c>
      <c r="E8633" s="59">
        <v>39.0</v>
      </c>
      <c r="F8633" s="59">
        <v>16.0</v>
      </c>
      <c r="G8633" s="60">
        <v>1.05405405405405</v>
      </c>
      <c r="H8633" s="60">
        <v>0.0769230769230769</v>
      </c>
      <c r="I8633" s="60">
        <v>248.715189307692</v>
      </c>
      <c r="J8633" s="59">
        <v>124.0</v>
      </c>
      <c r="K8633" s="61">
        <f t="shared" si="1"/>
        <v>0.4102564103</v>
      </c>
      <c r="L8633" s="62">
        <f t="shared" si="2"/>
        <v>3.179487179</v>
      </c>
    </row>
    <row r="8634">
      <c r="A8634" s="58">
        <v>45352.0</v>
      </c>
      <c r="B8634" s="24" t="s">
        <v>6787</v>
      </c>
      <c r="C8634" s="24" t="s">
        <v>7107</v>
      </c>
      <c r="D8634" s="59">
        <v>33.0</v>
      </c>
      <c r="E8634" s="59">
        <v>41.0</v>
      </c>
      <c r="F8634" s="59">
        <v>23.0</v>
      </c>
      <c r="G8634" s="60">
        <v>1.24242424242424</v>
      </c>
      <c r="H8634" s="60">
        <v>0.219512195121951</v>
      </c>
      <c r="I8634" s="60">
        <v>214.433160414634</v>
      </c>
      <c r="J8634" s="59">
        <v>166.0</v>
      </c>
      <c r="K8634" s="61">
        <f t="shared" si="1"/>
        <v>0.5609756098</v>
      </c>
      <c r="L8634" s="62">
        <f t="shared" si="2"/>
        <v>4.048780488</v>
      </c>
    </row>
    <row r="8635">
      <c r="A8635" s="58">
        <v>45352.0</v>
      </c>
      <c r="B8635" s="24" t="s">
        <v>6789</v>
      </c>
      <c r="C8635" s="24" t="s">
        <v>6808</v>
      </c>
      <c r="D8635" s="59">
        <v>29.0</v>
      </c>
      <c r="E8635" s="59">
        <v>36.0</v>
      </c>
      <c r="F8635" s="59">
        <v>17.0</v>
      </c>
      <c r="G8635" s="60">
        <v>1.28571428571428</v>
      </c>
      <c r="H8635" s="60">
        <v>0.111111111111111</v>
      </c>
      <c r="I8635" s="60">
        <v>135.843239222222</v>
      </c>
      <c r="J8635" s="59">
        <v>109.0</v>
      </c>
      <c r="K8635" s="61">
        <f t="shared" si="1"/>
        <v>0.4722222222</v>
      </c>
      <c r="L8635" s="62">
        <f t="shared" si="2"/>
        <v>3.027777778</v>
      </c>
    </row>
    <row r="8636">
      <c r="A8636" s="58">
        <v>45352.0</v>
      </c>
      <c r="B8636" s="24" t="s">
        <v>6789</v>
      </c>
      <c r="C8636" s="24" t="s">
        <v>6804</v>
      </c>
      <c r="D8636" s="59">
        <v>28.0</v>
      </c>
      <c r="E8636" s="59">
        <v>30.0</v>
      </c>
      <c r="F8636" s="59">
        <v>28.0</v>
      </c>
      <c r="G8636" s="60">
        <v>1.07142857142857</v>
      </c>
      <c r="H8636" s="60">
        <v>0.133333333333333</v>
      </c>
      <c r="I8636" s="60">
        <v>130.423235166666</v>
      </c>
      <c r="J8636" s="59">
        <v>58.0</v>
      </c>
      <c r="K8636" s="61">
        <f t="shared" si="1"/>
        <v>0.9333333333</v>
      </c>
      <c r="L8636" s="62">
        <f t="shared" si="2"/>
        <v>1.933333333</v>
      </c>
    </row>
    <row r="8637">
      <c r="A8637" s="58">
        <v>45352.0</v>
      </c>
      <c r="B8637" s="24" t="s">
        <v>6789</v>
      </c>
      <c r="C8637" s="24" t="s">
        <v>6815</v>
      </c>
      <c r="D8637" s="59">
        <v>27.0</v>
      </c>
      <c r="E8637" s="59">
        <v>32.0</v>
      </c>
      <c r="F8637" s="59">
        <v>24.0</v>
      </c>
      <c r="G8637" s="60">
        <v>1.18518518518518</v>
      </c>
      <c r="H8637" s="60">
        <v>0.09375</v>
      </c>
      <c r="I8637" s="60">
        <v>107.638367218749</v>
      </c>
      <c r="J8637" s="59">
        <v>84.0</v>
      </c>
      <c r="K8637" s="61">
        <f t="shared" si="1"/>
        <v>0.75</v>
      </c>
      <c r="L8637" s="62">
        <f t="shared" si="2"/>
        <v>2.625</v>
      </c>
    </row>
    <row r="8638">
      <c r="A8638" s="58">
        <v>45352.0</v>
      </c>
      <c r="B8638" s="24" t="s">
        <v>7100</v>
      </c>
      <c r="C8638" s="24" t="s">
        <v>6788</v>
      </c>
      <c r="D8638" s="59">
        <v>26.0</v>
      </c>
      <c r="E8638" s="59">
        <v>27.0</v>
      </c>
      <c r="F8638" s="59">
        <v>25.0</v>
      </c>
      <c r="G8638" s="60">
        <v>1.03846153846153</v>
      </c>
      <c r="H8638" s="60">
        <v>0.333333333333333</v>
      </c>
      <c r="I8638" s="60">
        <v>35.9501702222222</v>
      </c>
      <c r="J8638" s="59">
        <v>49.0</v>
      </c>
      <c r="K8638" s="61">
        <f t="shared" si="1"/>
        <v>0.9259259259</v>
      </c>
      <c r="L8638" s="62">
        <f t="shared" si="2"/>
        <v>1.814814815</v>
      </c>
    </row>
    <row r="8639">
      <c r="A8639" s="58">
        <v>45352.0</v>
      </c>
      <c r="B8639" s="24" t="s">
        <v>6790</v>
      </c>
      <c r="C8639" s="24" t="s">
        <v>6788</v>
      </c>
      <c r="D8639" s="59">
        <v>25.0</v>
      </c>
      <c r="E8639" s="59">
        <v>25.0</v>
      </c>
      <c r="F8639" s="59">
        <v>21.0</v>
      </c>
      <c r="G8639" s="60">
        <v>1.0</v>
      </c>
      <c r="H8639" s="60">
        <v>0.44</v>
      </c>
      <c r="I8639" s="60">
        <v>117.73072312</v>
      </c>
      <c r="J8639" s="59">
        <v>45.0</v>
      </c>
      <c r="K8639" s="61">
        <f t="shared" si="1"/>
        <v>0.84</v>
      </c>
      <c r="L8639" s="62">
        <f t="shared" si="2"/>
        <v>1.8</v>
      </c>
    </row>
    <row r="8640">
      <c r="A8640" s="58">
        <v>45352.0</v>
      </c>
      <c r="B8640" s="24" t="s">
        <v>6789</v>
      </c>
      <c r="C8640" s="24" t="s">
        <v>6802</v>
      </c>
      <c r="D8640" s="59">
        <v>24.0</v>
      </c>
      <c r="E8640" s="59">
        <v>36.0</v>
      </c>
      <c r="F8640" s="59">
        <v>5.0</v>
      </c>
      <c r="G8640" s="60">
        <v>1.56521739130434</v>
      </c>
      <c r="H8640" s="60">
        <v>0.0555555555555555</v>
      </c>
      <c r="I8640" s="60">
        <v>502.916519833333</v>
      </c>
      <c r="J8640" s="59">
        <v>156.0</v>
      </c>
      <c r="K8640" s="61">
        <f t="shared" si="1"/>
        <v>0.1388888889</v>
      </c>
      <c r="L8640" s="62">
        <f t="shared" si="2"/>
        <v>4.333333333</v>
      </c>
    </row>
    <row r="8641">
      <c r="A8641" s="58">
        <v>45352.0</v>
      </c>
      <c r="B8641" s="24" t="s">
        <v>6787</v>
      </c>
      <c r="C8641" s="24" t="s">
        <v>6802</v>
      </c>
      <c r="D8641" s="59">
        <v>23.0</v>
      </c>
      <c r="E8641" s="59">
        <v>25.0</v>
      </c>
      <c r="F8641" s="59">
        <v>20.0</v>
      </c>
      <c r="G8641" s="60">
        <v>1.08695652173913</v>
      </c>
      <c r="H8641" s="60">
        <v>0.04</v>
      </c>
      <c r="I8641" s="60">
        <v>334.8296352</v>
      </c>
      <c r="J8641" s="59">
        <v>82.0</v>
      </c>
      <c r="K8641" s="61">
        <f t="shared" si="1"/>
        <v>0.8</v>
      </c>
      <c r="L8641" s="62">
        <f t="shared" si="2"/>
        <v>3.28</v>
      </c>
    </row>
    <row r="8642">
      <c r="A8642" s="58">
        <v>45352.0</v>
      </c>
      <c r="B8642" s="24" t="s">
        <v>6787</v>
      </c>
      <c r="C8642" s="24" t="s">
        <v>6815</v>
      </c>
      <c r="D8642" s="59">
        <v>22.0</v>
      </c>
      <c r="E8642" s="59">
        <v>41.0</v>
      </c>
      <c r="F8642" s="59">
        <v>20.0</v>
      </c>
      <c r="G8642" s="60">
        <v>1.86363636363636</v>
      </c>
      <c r="H8642" s="60">
        <v>0.195121951219512</v>
      </c>
      <c r="I8642" s="60">
        <v>24.609233804878</v>
      </c>
      <c r="J8642" s="59">
        <v>78.0</v>
      </c>
      <c r="K8642" s="61">
        <f t="shared" si="1"/>
        <v>0.487804878</v>
      </c>
      <c r="L8642" s="62">
        <f t="shared" si="2"/>
        <v>1.902439024</v>
      </c>
    </row>
    <row r="8643">
      <c r="A8643" s="58">
        <v>45352.0</v>
      </c>
      <c r="B8643" s="24" t="s">
        <v>155</v>
      </c>
      <c r="C8643" s="24" t="s">
        <v>6792</v>
      </c>
      <c r="D8643" s="59">
        <v>20.0</v>
      </c>
      <c r="E8643" s="59">
        <v>31.0</v>
      </c>
      <c r="F8643" s="59">
        <v>0.0</v>
      </c>
      <c r="G8643" s="60">
        <v>1.63157894736842</v>
      </c>
      <c r="H8643" s="60">
        <v>0.903225806451612</v>
      </c>
      <c r="I8643" s="60">
        <v>41.4881807096774</v>
      </c>
      <c r="J8643" s="59">
        <v>0.0</v>
      </c>
      <c r="K8643" s="61">
        <f t="shared" si="1"/>
        <v>0</v>
      </c>
      <c r="L8643" s="62">
        <f t="shared" si="2"/>
        <v>0</v>
      </c>
    </row>
    <row r="8644">
      <c r="A8644" s="58">
        <v>45352.0</v>
      </c>
      <c r="B8644" s="24" t="s">
        <v>3216</v>
      </c>
      <c r="C8644" s="24" t="s">
        <v>6908</v>
      </c>
      <c r="D8644" s="59">
        <v>17.0</v>
      </c>
      <c r="E8644" s="59">
        <v>19.0</v>
      </c>
      <c r="F8644" s="59">
        <v>14.0</v>
      </c>
      <c r="G8644" s="60">
        <v>1.11764705882352</v>
      </c>
      <c r="H8644" s="60">
        <v>0.31578947368421</v>
      </c>
      <c r="I8644" s="60">
        <v>244.743368526315</v>
      </c>
      <c r="J8644" s="59">
        <v>62.0</v>
      </c>
      <c r="K8644" s="61">
        <f t="shared" si="1"/>
        <v>0.7368421053</v>
      </c>
      <c r="L8644" s="62">
        <f t="shared" si="2"/>
        <v>3.263157895</v>
      </c>
    </row>
    <row r="8645">
      <c r="A8645" s="58">
        <v>45352.0</v>
      </c>
      <c r="B8645" s="24" t="s">
        <v>6789</v>
      </c>
      <c r="C8645" s="24" t="s">
        <v>6803</v>
      </c>
      <c r="D8645" s="59">
        <v>16.0</v>
      </c>
      <c r="E8645" s="59">
        <v>20.0</v>
      </c>
      <c r="F8645" s="59">
        <v>12.0</v>
      </c>
      <c r="G8645" s="60">
        <v>1.33333333333333</v>
      </c>
      <c r="H8645" s="60">
        <v>0.15</v>
      </c>
      <c r="I8645" s="60">
        <v>124.320147049999</v>
      </c>
      <c r="J8645" s="59">
        <v>51.0</v>
      </c>
      <c r="K8645" s="61">
        <f t="shared" si="1"/>
        <v>0.6</v>
      </c>
      <c r="L8645" s="62">
        <f t="shared" si="2"/>
        <v>2.55</v>
      </c>
    </row>
    <row r="8646">
      <c r="A8646" s="58">
        <v>45352.0</v>
      </c>
      <c r="B8646" s="24" t="s">
        <v>6789</v>
      </c>
      <c r="C8646" s="24" t="s">
        <v>6892</v>
      </c>
      <c r="D8646" s="59">
        <v>14.0</v>
      </c>
      <c r="E8646" s="59">
        <v>16.0</v>
      </c>
      <c r="F8646" s="59">
        <v>13.0</v>
      </c>
      <c r="G8646" s="60">
        <v>1.14285714285714</v>
      </c>
      <c r="H8646" s="60">
        <v>0.0625</v>
      </c>
      <c r="I8646" s="60">
        <v>184.14836575</v>
      </c>
      <c r="J8646" s="59">
        <v>37.0</v>
      </c>
      <c r="K8646" s="61">
        <f t="shared" si="1"/>
        <v>0.8125</v>
      </c>
      <c r="L8646" s="62">
        <f t="shared" si="2"/>
        <v>2.3125</v>
      </c>
    </row>
    <row r="8647">
      <c r="A8647" s="58">
        <v>45352.0</v>
      </c>
      <c r="B8647" s="24" t="s">
        <v>6789</v>
      </c>
      <c r="C8647" s="24" t="s">
        <v>7180</v>
      </c>
      <c r="D8647" s="59">
        <v>14.0</v>
      </c>
      <c r="E8647" s="59">
        <v>15.0</v>
      </c>
      <c r="F8647" s="59">
        <v>13.0</v>
      </c>
      <c r="G8647" s="60">
        <v>1.07142857142857</v>
      </c>
      <c r="H8647" s="60">
        <v>0.0666666666666666</v>
      </c>
      <c r="I8647" s="60">
        <v>359.833678466666</v>
      </c>
      <c r="J8647" s="59">
        <v>34.0</v>
      </c>
      <c r="K8647" s="61">
        <f t="shared" si="1"/>
        <v>0.8666666667</v>
      </c>
      <c r="L8647" s="62">
        <f t="shared" si="2"/>
        <v>2.266666667</v>
      </c>
    </row>
    <row r="8648">
      <c r="A8648" s="58">
        <v>45352.0</v>
      </c>
      <c r="B8648" s="24" t="s">
        <v>3216</v>
      </c>
      <c r="C8648" s="24" t="s">
        <v>6953</v>
      </c>
      <c r="D8648" s="59">
        <v>13.0</v>
      </c>
      <c r="E8648" s="59">
        <v>14.0</v>
      </c>
      <c r="F8648" s="59">
        <v>13.0</v>
      </c>
      <c r="G8648" s="60">
        <v>1.07692307692307</v>
      </c>
      <c r="H8648" s="60">
        <v>0.0</v>
      </c>
      <c r="I8648" s="60">
        <v>47.1320022857142</v>
      </c>
      <c r="J8648" s="59">
        <v>31.0</v>
      </c>
      <c r="K8648" s="61">
        <f t="shared" si="1"/>
        <v>0.9285714286</v>
      </c>
      <c r="L8648" s="62">
        <f t="shared" si="2"/>
        <v>2.214285714</v>
      </c>
    </row>
    <row r="8649">
      <c r="A8649" s="58">
        <v>45352.0</v>
      </c>
      <c r="B8649" s="24" t="s">
        <v>6789</v>
      </c>
      <c r="C8649" s="24" t="s">
        <v>7107</v>
      </c>
      <c r="D8649" s="59">
        <v>13.0</v>
      </c>
      <c r="E8649" s="59">
        <v>26.0</v>
      </c>
      <c r="F8649" s="59">
        <v>3.0</v>
      </c>
      <c r="G8649" s="60">
        <v>2.16666666666666</v>
      </c>
      <c r="H8649" s="60">
        <v>0.23076923076923</v>
      </c>
      <c r="I8649" s="60">
        <v>582.447263461538</v>
      </c>
      <c r="J8649" s="59">
        <v>151.0</v>
      </c>
      <c r="K8649" s="61">
        <f t="shared" si="1"/>
        <v>0.1153846154</v>
      </c>
      <c r="L8649" s="62">
        <f t="shared" si="2"/>
        <v>5.807692308</v>
      </c>
    </row>
    <row r="8650">
      <c r="A8650" s="58">
        <v>45352.0</v>
      </c>
      <c r="B8650" s="24" t="s">
        <v>6794</v>
      </c>
      <c r="C8650" s="24" t="s">
        <v>6792</v>
      </c>
      <c r="D8650" s="59">
        <v>11.0</v>
      </c>
      <c r="E8650" s="59">
        <v>12.0</v>
      </c>
      <c r="F8650" s="59">
        <v>0.0</v>
      </c>
      <c r="G8650" s="60">
        <v>1.71428571428571</v>
      </c>
      <c r="H8650" s="60">
        <v>1.0</v>
      </c>
      <c r="I8650" s="60">
        <v>0.114161166666666</v>
      </c>
      <c r="J8650" s="59">
        <v>0.0</v>
      </c>
      <c r="K8650" s="61">
        <f t="shared" si="1"/>
        <v>0</v>
      </c>
      <c r="L8650" s="62">
        <f t="shared" si="2"/>
        <v>0</v>
      </c>
    </row>
    <row r="8651">
      <c r="A8651" s="58">
        <v>45352.0</v>
      </c>
      <c r="B8651" s="24" t="s">
        <v>6791</v>
      </c>
      <c r="C8651" s="24" t="s">
        <v>7206</v>
      </c>
      <c r="D8651" s="59">
        <v>11.0</v>
      </c>
      <c r="E8651" s="59">
        <v>12.0</v>
      </c>
      <c r="F8651" s="59">
        <v>10.0</v>
      </c>
      <c r="G8651" s="60">
        <v>1.09090909090909</v>
      </c>
      <c r="H8651" s="60">
        <v>0.0</v>
      </c>
      <c r="I8651" s="60">
        <v>27.6774251666666</v>
      </c>
      <c r="J8651" s="59">
        <v>32.0</v>
      </c>
      <c r="K8651" s="61">
        <f t="shared" si="1"/>
        <v>0.8333333333</v>
      </c>
      <c r="L8651" s="62">
        <f t="shared" si="2"/>
        <v>2.666666667</v>
      </c>
    </row>
    <row r="8652">
      <c r="A8652" s="58">
        <v>45352.0</v>
      </c>
      <c r="B8652" s="24" t="s">
        <v>6787</v>
      </c>
      <c r="C8652" s="24" t="s">
        <v>6800</v>
      </c>
      <c r="D8652" s="59">
        <v>11.0</v>
      </c>
      <c r="E8652" s="59">
        <v>11.0</v>
      </c>
      <c r="F8652" s="59">
        <v>11.0</v>
      </c>
      <c r="G8652" s="60">
        <v>1.0</v>
      </c>
      <c r="H8652" s="60">
        <v>0.818181818181818</v>
      </c>
      <c r="I8652" s="60">
        <v>0.763944</v>
      </c>
      <c r="J8652" s="59">
        <v>13.0</v>
      </c>
      <c r="K8652" s="61">
        <f t="shared" si="1"/>
        <v>1</v>
      </c>
      <c r="L8652" s="62">
        <f t="shared" si="2"/>
        <v>1.181818182</v>
      </c>
    </row>
    <row r="8653">
      <c r="A8653" s="58">
        <v>45352.0</v>
      </c>
      <c r="B8653" s="24" t="s">
        <v>6789</v>
      </c>
      <c r="C8653" s="24" t="s">
        <v>6990</v>
      </c>
      <c r="D8653" s="59">
        <v>10.0</v>
      </c>
      <c r="E8653" s="59">
        <v>10.0</v>
      </c>
      <c r="F8653" s="59">
        <v>9.0</v>
      </c>
      <c r="G8653" s="60">
        <v>1.0</v>
      </c>
      <c r="H8653" s="60">
        <v>0.0</v>
      </c>
      <c r="I8653" s="60">
        <v>245.4824631</v>
      </c>
      <c r="J8653" s="59">
        <v>20.0</v>
      </c>
      <c r="K8653" s="61">
        <f t="shared" si="1"/>
        <v>0.9</v>
      </c>
      <c r="L8653" s="62">
        <f t="shared" si="2"/>
        <v>2</v>
      </c>
    </row>
    <row r="8654">
      <c r="A8654" s="58">
        <v>45352.0</v>
      </c>
      <c r="B8654" s="24" t="s">
        <v>155</v>
      </c>
      <c r="C8654" s="24" t="s">
        <v>6799</v>
      </c>
      <c r="D8654" s="59">
        <v>10.0</v>
      </c>
      <c r="E8654" s="59">
        <v>14.0</v>
      </c>
      <c r="F8654" s="59">
        <v>8.0</v>
      </c>
      <c r="G8654" s="60">
        <v>1.4</v>
      </c>
      <c r="H8654" s="60">
        <v>0.0</v>
      </c>
      <c r="I8654" s="60">
        <v>442.593897285714</v>
      </c>
      <c r="J8654" s="59">
        <v>65.0</v>
      </c>
      <c r="K8654" s="61">
        <f t="shared" si="1"/>
        <v>0.5714285714</v>
      </c>
      <c r="L8654" s="62">
        <f t="shared" si="2"/>
        <v>4.642857143</v>
      </c>
    </row>
    <row r="8655">
      <c r="A8655" s="58">
        <v>45352.0</v>
      </c>
      <c r="B8655" s="24" t="s">
        <v>6789</v>
      </c>
      <c r="C8655" s="24" t="s">
        <v>6819</v>
      </c>
      <c r="D8655" s="59">
        <v>9.0</v>
      </c>
      <c r="E8655" s="59">
        <v>9.0</v>
      </c>
      <c r="F8655" s="59">
        <v>7.0</v>
      </c>
      <c r="G8655" s="60">
        <v>1.0</v>
      </c>
      <c r="H8655" s="60">
        <v>0.111111111111111</v>
      </c>
      <c r="I8655" s="60">
        <v>144.633093222222</v>
      </c>
      <c r="J8655" s="59">
        <v>18.0</v>
      </c>
      <c r="K8655" s="61">
        <f t="shared" si="1"/>
        <v>0.7777777778</v>
      </c>
      <c r="L8655" s="62">
        <f t="shared" si="2"/>
        <v>2</v>
      </c>
    </row>
    <row r="8656">
      <c r="A8656" s="58">
        <v>45352.0</v>
      </c>
      <c r="B8656" s="24" t="s">
        <v>6789</v>
      </c>
      <c r="C8656" s="24" t="s">
        <v>6835</v>
      </c>
      <c r="D8656" s="59">
        <v>9.0</v>
      </c>
      <c r="E8656" s="59">
        <v>14.0</v>
      </c>
      <c r="F8656" s="59">
        <v>9.0</v>
      </c>
      <c r="G8656" s="60">
        <v>1.55555555555555</v>
      </c>
      <c r="H8656" s="60">
        <v>0.357142857142857</v>
      </c>
      <c r="I8656" s="60">
        <v>351.844344285714</v>
      </c>
      <c r="J8656" s="59">
        <v>24.0</v>
      </c>
      <c r="K8656" s="61">
        <f t="shared" si="1"/>
        <v>0.6428571429</v>
      </c>
      <c r="L8656" s="62">
        <f t="shared" si="2"/>
        <v>1.714285714</v>
      </c>
    </row>
    <row r="8657">
      <c r="A8657" s="58">
        <v>45352.0</v>
      </c>
      <c r="B8657" s="24" t="s">
        <v>6789</v>
      </c>
      <c r="C8657" s="24" t="s">
        <v>7056</v>
      </c>
      <c r="D8657" s="59">
        <v>8.0</v>
      </c>
      <c r="E8657" s="59">
        <v>8.0</v>
      </c>
      <c r="F8657" s="59">
        <v>6.0</v>
      </c>
      <c r="G8657" s="60">
        <v>1.0</v>
      </c>
      <c r="H8657" s="60">
        <v>0.125</v>
      </c>
      <c r="I8657" s="60">
        <v>278.542398749999</v>
      </c>
      <c r="J8657" s="59">
        <v>24.0</v>
      </c>
      <c r="K8657" s="61">
        <f t="shared" si="1"/>
        <v>0.75</v>
      </c>
      <c r="L8657" s="62">
        <f t="shared" si="2"/>
        <v>3</v>
      </c>
    </row>
    <row r="8658">
      <c r="A8658" s="58">
        <v>45352.0</v>
      </c>
      <c r="B8658" s="24" t="s">
        <v>6787</v>
      </c>
      <c r="C8658" s="24" t="s">
        <v>7068</v>
      </c>
      <c r="D8658" s="59">
        <v>8.0</v>
      </c>
      <c r="E8658" s="59">
        <v>10.0</v>
      </c>
      <c r="F8658" s="59">
        <v>8.0</v>
      </c>
      <c r="G8658" s="60">
        <v>1.25</v>
      </c>
      <c r="H8658" s="60">
        <v>0.5</v>
      </c>
      <c r="I8658" s="60">
        <v>117.2693209</v>
      </c>
      <c r="J8658" s="59">
        <v>17.0</v>
      </c>
      <c r="K8658" s="61">
        <f t="shared" si="1"/>
        <v>0.8</v>
      </c>
      <c r="L8658" s="62">
        <f t="shared" si="2"/>
        <v>1.7</v>
      </c>
    </row>
    <row r="8659">
      <c r="A8659" s="58">
        <v>45352.0</v>
      </c>
      <c r="B8659" s="24" t="s">
        <v>6789</v>
      </c>
      <c r="C8659" s="24" t="s">
        <v>6997</v>
      </c>
      <c r="D8659" s="59">
        <v>8.0</v>
      </c>
      <c r="E8659" s="59">
        <v>9.0</v>
      </c>
      <c r="F8659" s="59">
        <v>5.0</v>
      </c>
      <c r="G8659" s="60">
        <v>1.125</v>
      </c>
      <c r="H8659" s="60">
        <v>0.111111111111111</v>
      </c>
      <c r="I8659" s="60">
        <v>332.423450444444</v>
      </c>
      <c r="J8659" s="59">
        <v>23.0</v>
      </c>
      <c r="K8659" s="61">
        <f t="shared" si="1"/>
        <v>0.5555555556</v>
      </c>
      <c r="L8659" s="62">
        <f t="shared" si="2"/>
        <v>2.555555556</v>
      </c>
    </row>
    <row r="8660">
      <c r="A8660" s="58">
        <v>45352.0</v>
      </c>
      <c r="B8660" s="24" t="s">
        <v>6789</v>
      </c>
      <c r="C8660" s="24" t="s">
        <v>7102</v>
      </c>
      <c r="D8660" s="59">
        <v>8.0</v>
      </c>
      <c r="E8660" s="59">
        <v>11.0</v>
      </c>
      <c r="F8660" s="59">
        <v>2.0</v>
      </c>
      <c r="G8660" s="60">
        <v>1.375</v>
      </c>
      <c r="H8660" s="60">
        <v>0.0909090909090909</v>
      </c>
      <c r="I8660" s="60">
        <v>41.566558090909</v>
      </c>
      <c r="J8660" s="59">
        <v>23.0</v>
      </c>
      <c r="K8660" s="61">
        <f t="shared" si="1"/>
        <v>0.1818181818</v>
      </c>
      <c r="L8660" s="62">
        <f t="shared" si="2"/>
        <v>2.090909091</v>
      </c>
    </row>
    <row r="8661">
      <c r="A8661" s="58">
        <v>45352.0</v>
      </c>
      <c r="B8661" s="24" t="s">
        <v>6787</v>
      </c>
      <c r="C8661" s="24" t="s">
        <v>7192</v>
      </c>
      <c r="D8661" s="59">
        <v>8.0</v>
      </c>
      <c r="E8661" s="59">
        <v>10.0</v>
      </c>
      <c r="F8661" s="59">
        <v>4.0</v>
      </c>
      <c r="G8661" s="60">
        <v>1.25</v>
      </c>
      <c r="H8661" s="60">
        <v>0.0</v>
      </c>
      <c r="I8661" s="60">
        <v>899.1546477</v>
      </c>
      <c r="J8661" s="59">
        <v>182.0</v>
      </c>
      <c r="K8661" s="61">
        <f t="shared" si="1"/>
        <v>0.4</v>
      </c>
      <c r="L8661" s="62">
        <f t="shared" si="2"/>
        <v>18.2</v>
      </c>
    </row>
    <row r="8662">
      <c r="A8662" s="58">
        <v>45352.0</v>
      </c>
      <c r="B8662" s="24" t="s">
        <v>6789</v>
      </c>
      <c r="C8662" s="24" t="s">
        <v>6829</v>
      </c>
      <c r="D8662" s="59">
        <v>7.0</v>
      </c>
      <c r="E8662" s="59">
        <v>8.0</v>
      </c>
      <c r="F8662" s="59">
        <v>7.0</v>
      </c>
      <c r="G8662" s="60">
        <v>1.14285714285714</v>
      </c>
      <c r="H8662" s="60">
        <v>0.0</v>
      </c>
      <c r="I8662" s="60">
        <v>60.133560875</v>
      </c>
      <c r="J8662" s="59">
        <v>13.0</v>
      </c>
      <c r="K8662" s="61">
        <f t="shared" si="1"/>
        <v>0.875</v>
      </c>
      <c r="L8662" s="62">
        <f t="shared" si="2"/>
        <v>1.625</v>
      </c>
    </row>
    <row r="8663">
      <c r="A8663" s="58">
        <v>45352.0</v>
      </c>
      <c r="B8663" s="24" t="s">
        <v>6789</v>
      </c>
      <c r="C8663" s="24" t="s">
        <v>7058</v>
      </c>
      <c r="D8663" s="59">
        <v>7.0</v>
      </c>
      <c r="E8663" s="59">
        <v>7.0</v>
      </c>
      <c r="F8663" s="59">
        <v>6.0</v>
      </c>
      <c r="G8663" s="60">
        <v>1.0</v>
      </c>
      <c r="H8663" s="60">
        <v>0.0</v>
      </c>
      <c r="I8663" s="60">
        <v>88.2208091428571</v>
      </c>
      <c r="J8663" s="59">
        <v>15.0</v>
      </c>
      <c r="K8663" s="61">
        <f t="shared" si="1"/>
        <v>0.8571428571</v>
      </c>
      <c r="L8663" s="62">
        <f t="shared" si="2"/>
        <v>2.142857143</v>
      </c>
    </row>
    <row r="8664">
      <c r="A8664" s="58">
        <v>45352.0</v>
      </c>
      <c r="B8664" s="24" t="s">
        <v>6787</v>
      </c>
      <c r="C8664" s="24" t="s">
        <v>6886</v>
      </c>
      <c r="D8664" s="59">
        <v>7.0</v>
      </c>
      <c r="E8664" s="59">
        <v>7.0</v>
      </c>
      <c r="F8664" s="59">
        <v>5.0</v>
      </c>
      <c r="G8664" s="60">
        <v>1.0</v>
      </c>
      <c r="H8664" s="60">
        <v>0.285714285714285</v>
      </c>
      <c r="I8664" s="60">
        <v>66.2104131428571</v>
      </c>
      <c r="J8664" s="59">
        <v>18.0</v>
      </c>
      <c r="K8664" s="61">
        <f t="shared" si="1"/>
        <v>0.7142857143</v>
      </c>
      <c r="L8664" s="62">
        <f t="shared" si="2"/>
        <v>2.571428571</v>
      </c>
    </row>
    <row r="8665">
      <c r="A8665" s="58">
        <v>45352.0</v>
      </c>
      <c r="B8665" s="24" t="s">
        <v>6789</v>
      </c>
      <c r="C8665" s="24" t="s">
        <v>6910</v>
      </c>
      <c r="D8665" s="59">
        <v>7.0</v>
      </c>
      <c r="E8665" s="59">
        <v>7.0</v>
      </c>
      <c r="F8665" s="59">
        <v>4.0</v>
      </c>
      <c r="G8665" s="60">
        <v>1.0</v>
      </c>
      <c r="H8665" s="60">
        <v>0.142857142857142</v>
      </c>
      <c r="I8665" s="60">
        <v>49.8160224285714</v>
      </c>
      <c r="J8665" s="59">
        <v>23.0</v>
      </c>
      <c r="K8665" s="61">
        <f t="shared" si="1"/>
        <v>0.5714285714</v>
      </c>
      <c r="L8665" s="62">
        <f t="shared" si="2"/>
        <v>3.285714286</v>
      </c>
    </row>
    <row r="8666">
      <c r="A8666" s="58">
        <v>45352.0</v>
      </c>
      <c r="B8666" s="24" t="s">
        <v>6789</v>
      </c>
      <c r="C8666" s="24" t="s">
        <v>6797</v>
      </c>
      <c r="D8666" s="59">
        <v>7.0</v>
      </c>
      <c r="E8666" s="59">
        <v>9.0</v>
      </c>
      <c r="F8666" s="59">
        <v>3.0</v>
      </c>
      <c r="G8666" s="60">
        <v>1.28571428571428</v>
      </c>
      <c r="H8666" s="60">
        <v>0.0</v>
      </c>
      <c r="I8666" s="60">
        <v>422.351896777777</v>
      </c>
      <c r="J8666" s="59">
        <v>23.0</v>
      </c>
      <c r="K8666" s="61">
        <f t="shared" si="1"/>
        <v>0.3333333333</v>
      </c>
      <c r="L8666" s="62">
        <f t="shared" si="2"/>
        <v>2.555555556</v>
      </c>
    </row>
    <row r="8667">
      <c r="A8667" s="58">
        <v>45352.0</v>
      </c>
      <c r="B8667" s="24" t="s">
        <v>6787</v>
      </c>
      <c r="C8667" s="24" t="s">
        <v>6817</v>
      </c>
      <c r="D8667" s="59">
        <v>6.0</v>
      </c>
      <c r="E8667" s="59">
        <v>9.0</v>
      </c>
      <c r="F8667" s="59">
        <v>3.0</v>
      </c>
      <c r="G8667" s="60">
        <v>1.5</v>
      </c>
      <c r="H8667" s="60">
        <v>0.222222222222222</v>
      </c>
      <c r="I8667" s="60">
        <v>497.203148444444</v>
      </c>
      <c r="J8667" s="59">
        <v>42.0</v>
      </c>
      <c r="K8667" s="61">
        <f t="shared" si="1"/>
        <v>0.3333333333</v>
      </c>
      <c r="L8667" s="62">
        <f t="shared" si="2"/>
        <v>4.666666667</v>
      </c>
    </row>
    <row r="8668">
      <c r="A8668" s="58">
        <v>45352.0</v>
      </c>
      <c r="B8668" s="24" t="s">
        <v>6789</v>
      </c>
      <c r="C8668" s="24" t="s">
        <v>6861</v>
      </c>
      <c r="D8668" s="59">
        <v>6.0</v>
      </c>
      <c r="E8668" s="59">
        <v>6.0</v>
      </c>
      <c r="F8668" s="59">
        <v>6.0</v>
      </c>
      <c r="G8668" s="60">
        <v>1.0</v>
      </c>
      <c r="H8668" s="60">
        <v>0.0</v>
      </c>
      <c r="I8668" s="60">
        <v>126.381270333333</v>
      </c>
      <c r="J8668" s="59">
        <v>23.0</v>
      </c>
      <c r="K8668" s="61">
        <f t="shared" si="1"/>
        <v>1</v>
      </c>
      <c r="L8668" s="62">
        <f t="shared" si="2"/>
        <v>3.833333333</v>
      </c>
    </row>
    <row r="8669">
      <c r="A8669" s="58">
        <v>45352.0</v>
      </c>
      <c r="B8669" s="24" t="s">
        <v>6789</v>
      </c>
      <c r="C8669" s="24" t="s">
        <v>6985</v>
      </c>
      <c r="D8669" s="59">
        <v>6.0</v>
      </c>
      <c r="E8669" s="59">
        <v>7.0</v>
      </c>
      <c r="F8669" s="59">
        <v>4.0</v>
      </c>
      <c r="G8669" s="60">
        <v>1.16666666666666</v>
      </c>
      <c r="H8669" s="60">
        <v>0.0</v>
      </c>
      <c r="I8669" s="60">
        <v>1160.87769642857</v>
      </c>
      <c r="J8669" s="59">
        <v>38.0</v>
      </c>
      <c r="K8669" s="61">
        <f t="shared" si="1"/>
        <v>0.5714285714</v>
      </c>
      <c r="L8669" s="62">
        <f t="shared" si="2"/>
        <v>5.428571429</v>
      </c>
    </row>
    <row r="8670">
      <c r="A8670" s="58">
        <v>45352.0</v>
      </c>
      <c r="B8670" s="24" t="s">
        <v>6791</v>
      </c>
      <c r="C8670" s="24" t="s">
        <v>7530</v>
      </c>
      <c r="D8670" s="59">
        <v>6.0</v>
      </c>
      <c r="E8670" s="59">
        <v>7.0</v>
      </c>
      <c r="F8670" s="59">
        <v>6.0</v>
      </c>
      <c r="G8670" s="60">
        <v>1.16666666666666</v>
      </c>
      <c r="H8670" s="60">
        <v>0.0</v>
      </c>
      <c r="I8670" s="60">
        <v>95.9095688571428</v>
      </c>
      <c r="J8670" s="59">
        <v>16.0</v>
      </c>
      <c r="K8670" s="61">
        <f t="shared" si="1"/>
        <v>0.8571428571</v>
      </c>
      <c r="L8670" s="62">
        <f t="shared" si="2"/>
        <v>2.285714286</v>
      </c>
    </row>
    <row r="8671">
      <c r="A8671" s="58">
        <v>45352.0</v>
      </c>
      <c r="B8671" s="24" t="s">
        <v>6789</v>
      </c>
      <c r="C8671" s="24" t="s">
        <v>7013</v>
      </c>
      <c r="D8671" s="59">
        <v>6.0</v>
      </c>
      <c r="E8671" s="59">
        <v>8.0</v>
      </c>
      <c r="F8671" s="59">
        <v>0.0</v>
      </c>
      <c r="G8671" s="60">
        <v>1.33333333333333</v>
      </c>
      <c r="H8671" s="60">
        <v>0.0</v>
      </c>
      <c r="I8671" s="60">
        <v>454.8475945</v>
      </c>
      <c r="J8671" s="59">
        <v>48.0</v>
      </c>
      <c r="K8671" s="61">
        <f t="shared" si="1"/>
        <v>0</v>
      </c>
      <c r="L8671" s="62">
        <f t="shared" si="2"/>
        <v>6</v>
      </c>
    </row>
    <row r="8672">
      <c r="A8672" s="58">
        <v>45352.0</v>
      </c>
      <c r="B8672" s="24" t="s">
        <v>6787</v>
      </c>
      <c r="C8672" s="24" t="s">
        <v>7174</v>
      </c>
      <c r="D8672" s="59">
        <v>6.0</v>
      </c>
      <c r="E8672" s="59">
        <v>6.0</v>
      </c>
      <c r="F8672" s="59">
        <v>3.0</v>
      </c>
      <c r="G8672" s="60">
        <v>1.0</v>
      </c>
      <c r="H8672" s="60">
        <v>0.333333333333333</v>
      </c>
      <c r="I8672" s="60">
        <v>46.7884691666666</v>
      </c>
      <c r="J8672" s="59">
        <v>21.0</v>
      </c>
      <c r="K8672" s="61">
        <f t="shared" si="1"/>
        <v>0.5</v>
      </c>
      <c r="L8672" s="62">
        <f t="shared" si="2"/>
        <v>3.5</v>
      </c>
    </row>
    <row r="8673">
      <c r="A8673" s="58">
        <v>45352.0</v>
      </c>
      <c r="B8673" s="24" t="s">
        <v>3216</v>
      </c>
      <c r="C8673" s="24" t="s">
        <v>6792</v>
      </c>
      <c r="D8673" s="59">
        <v>5.0</v>
      </c>
      <c r="E8673" s="59">
        <v>5.0</v>
      </c>
      <c r="F8673" s="59">
        <v>0.0</v>
      </c>
      <c r="G8673" s="60">
        <v>1.66666666666666</v>
      </c>
      <c r="H8673" s="60">
        <v>1.0</v>
      </c>
      <c r="I8673" s="60">
        <v>0.678969199999999</v>
      </c>
      <c r="J8673" s="59">
        <v>0.0</v>
      </c>
      <c r="K8673" s="61">
        <f t="shared" si="1"/>
        <v>0</v>
      </c>
      <c r="L8673" s="62">
        <f t="shared" si="2"/>
        <v>0</v>
      </c>
    </row>
    <row r="8674">
      <c r="A8674" s="58">
        <v>45352.0</v>
      </c>
      <c r="B8674" s="24" t="s">
        <v>6787</v>
      </c>
      <c r="C8674" s="24" t="s">
        <v>6803</v>
      </c>
      <c r="D8674" s="59">
        <v>5.0</v>
      </c>
      <c r="E8674" s="59">
        <v>5.0</v>
      </c>
      <c r="F8674" s="59">
        <v>4.0</v>
      </c>
      <c r="G8674" s="60">
        <v>1.0</v>
      </c>
      <c r="H8674" s="60">
        <v>0.2</v>
      </c>
      <c r="I8674" s="60">
        <v>8.4457232</v>
      </c>
      <c r="J8674" s="59">
        <v>14.0</v>
      </c>
      <c r="K8674" s="61">
        <f t="shared" si="1"/>
        <v>0.8</v>
      </c>
      <c r="L8674" s="62">
        <f t="shared" si="2"/>
        <v>2.8</v>
      </c>
    </row>
    <row r="8675">
      <c r="A8675" s="58">
        <v>45352.0</v>
      </c>
      <c r="B8675" s="24" t="s">
        <v>6789</v>
      </c>
      <c r="C8675" s="24" t="s">
        <v>6994</v>
      </c>
      <c r="D8675" s="59">
        <v>5.0</v>
      </c>
      <c r="E8675" s="59">
        <v>5.0</v>
      </c>
      <c r="F8675" s="59">
        <v>4.0</v>
      </c>
      <c r="G8675" s="60">
        <v>1.0</v>
      </c>
      <c r="H8675" s="60">
        <v>0.2</v>
      </c>
      <c r="I8675" s="60">
        <v>80.190309</v>
      </c>
      <c r="J8675" s="59">
        <v>9.0</v>
      </c>
      <c r="K8675" s="61">
        <f t="shared" si="1"/>
        <v>0.8</v>
      </c>
      <c r="L8675" s="62">
        <f t="shared" si="2"/>
        <v>1.8</v>
      </c>
    </row>
    <row r="8676">
      <c r="A8676" s="58">
        <v>45352.0</v>
      </c>
      <c r="B8676" s="24" t="s">
        <v>6789</v>
      </c>
      <c r="C8676" s="24" t="s">
        <v>7172</v>
      </c>
      <c r="D8676" s="59">
        <v>5.0</v>
      </c>
      <c r="E8676" s="59">
        <v>5.0</v>
      </c>
      <c r="F8676" s="59">
        <v>0.0</v>
      </c>
      <c r="G8676" s="60">
        <v>1.0</v>
      </c>
      <c r="H8676" s="60">
        <v>0.2</v>
      </c>
      <c r="I8676" s="60">
        <v>281.3904058</v>
      </c>
      <c r="J8676" s="59">
        <v>15.0</v>
      </c>
      <c r="K8676" s="61">
        <f t="shared" si="1"/>
        <v>0</v>
      </c>
      <c r="L8676" s="62">
        <f t="shared" si="2"/>
        <v>3</v>
      </c>
    </row>
    <row r="8677">
      <c r="A8677" s="58">
        <v>45352.0</v>
      </c>
      <c r="B8677" s="24" t="s">
        <v>6789</v>
      </c>
      <c r="C8677" s="24" t="s">
        <v>6801</v>
      </c>
      <c r="D8677" s="59">
        <v>5.0</v>
      </c>
      <c r="E8677" s="59">
        <v>7.0</v>
      </c>
      <c r="F8677" s="59">
        <v>5.0</v>
      </c>
      <c r="G8677" s="60">
        <v>1.4</v>
      </c>
      <c r="H8677" s="60">
        <v>0.285714285714285</v>
      </c>
      <c r="I8677" s="60">
        <v>188.680746857142</v>
      </c>
      <c r="J8677" s="59">
        <v>16.0</v>
      </c>
      <c r="K8677" s="61">
        <f t="shared" si="1"/>
        <v>0.7142857143</v>
      </c>
      <c r="L8677" s="62">
        <f t="shared" si="2"/>
        <v>2.285714286</v>
      </c>
    </row>
    <row r="8678">
      <c r="A8678" s="58">
        <v>45352.0</v>
      </c>
      <c r="B8678" s="24" t="s">
        <v>6789</v>
      </c>
      <c r="C8678" s="24" t="s">
        <v>7023</v>
      </c>
      <c r="D8678" s="59">
        <v>5.0</v>
      </c>
      <c r="E8678" s="59">
        <v>27.0</v>
      </c>
      <c r="F8678" s="59">
        <v>4.0</v>
      </c>
      <c r="G8678" s="60">
        <v>5.4</v>
      </c>
      <c r="H8678" s="60">
        <v>0.185185185185185</v>
      </c>
      <c r="I8678" s="60">
        <v>78.5622664074073</v>
      </c>
      <c r="J8678" s="59">
        <v>51.0</v>
      </c>
      <c r="K8678" s="61">
        <f t="shared" si="1"/>
        <v>0.1481481481</v>
      </c>
      <c r="L8678" s="62">
        <f t="shared" si="2"/>
        <v>1.888888889</v>
      </c>
    </row>
    <row r="8679">
      <c r="A8679" s="58">
        <v>45352.0</v>
      </c>
      <c r="B8679" s="24" t="s">
        <v>6787</v>
      </c>
      <c r="C8679" s="24" t="s">
        <v>6810</v>
      </c>
      <c r="D8679" s="59">
        <v>5.0</v>
      </c>
      <c r="E8679" s="59">
        <v>5.0</v>
      </c>
      <c r="F8679" s="59">
        <v>5.0</v>
      </c>
      <c r="G8679" s="60">
        <v>1.0</v>
      </c>
      <c r="H8679" s="60">
        <v>0.2</v>
      </c>
      <c r="I8679" s="60">
        <v>12.6650688</v>
      </c>
      <c r="J8679" s="59">
        <v>14.0</v>
      </c>
      <c r="K8679" s="61">
        <f t="shared" si="1"/>
        <v>1</v>
      </c>
      <c r="L8679" s="62">
        <f t="shared" si="2"/>
        <v>2.8</v>
      </c>
    </row>
    <row r="8680">
      <c r="A8680" s="58">
        <v>45352.0</v>
      </c>
      <c r="B8680" s="24" t="s">
        <v>6789</v>
      </c>
      <c r="C8680" s="24" t="s">
        <v>6810</v>
      </c>
      <c r="D8680" s="59">
        <v>5.0</v>
      </c>
      <c r="E8680" s="59">
        <v>7.0</v>
      </c>
      <c r="F8680" s="59">
        <v>1.0</v>
      </c>
      <c r="G8680" s="60">
        <v>1.4</v>
      </c>
      <c r="H8680" s="60">
        <v>0.0</v>
      </c>
      <c r="I8680" s="60">
        <v>27.1174809999999</v>
      </c>
      <c r="J8680" s="59">
        <v>20.0</v>
      </c>
      <c r="K8680" s="61">
        <f t="shared" si="1"/>
        <v>0.1428571429</v>
      </c>
      <c r="L8680" s="62">
        <f t="shared" si="2"/>
        <v>2.857142857</v>
      </c>
    </row>
    <row r="8681">
      <c r="A8681" s="58">
        <v>45352.0</v>
      </c>
      <c r="B8681" s="24" t="s">
        <v>6791</v>
      </c>
      <c r="C8681" s="24" t="s">
        <v>6792</v>
      </c>
      <c r="D8681" s="59">
        <v>4.0</v>
      </c>
      <c r="E8681" s="59">
        <v>6.0</v>
      </c>
      <c r="F8681" s="59">
        <v>0.0</v>
      </c>
      <c r="G8681" s="60">
        <v>2.0</v>
      </c>
      <c r="H8681" s="60">
        <v>1.0</v>
      </c>
      <c r="I8681" s="60">
        <v>0.0</v>
      </c>
      <c r="J8681" s="59">
        <v>0.0</v>
      </c>
      <c r="K8681" s="61">
        <f t="shared" si="1"/>
        <v>0</v>
      </c>
      <c r="L8681" s="62">
        <f t="shared" si="2"/>
        <v>0</v>
      </c>
    </row>
    <row r="8682">
      <c r="A8682" s="58">
        <v>45352.0</v>
      </c>
      <c r="B8682" s="24" t="s">
        <v>155</v>
      </c>
      <c r="C8682" s="24" t="s">
        <v>6817</v>
      </c>
      <c r="D8682" s="59">
        <v>4.0</v>
      </c>
      <c r="E8682" s="59">
        <v>5.0</v>
      </c>
      <c r="F8682" s="59">
        <v>0.0</v>
      </c>
      <c r="G8682" s="60">
        <v>1.25</v>
      </c>
      <c r="H8682" s="60">
        <v>0.2</v>
      </c>
      <c r="I8682" s="60">
        <v>403.8460254</v>
      </c>
      <c r="J8682" s="59">
        <v>22.0</v>
      </c>
      <c r="K8682" s="61">
        <f t="shared" si="1"/>
        <v>0</v>
      </c>
      <c r="L8682" s="62">
        <f t="shared" si="2"/>
        <v>4.4</v>
      </c>
    </row>
    <row r="8683">
      <c r="A8683" s="58">
        <v>45352.0</v>
      </c>
      <c r="B8683" s="24" t="s">
        <v>6789</v>
      </c>
      <c r="C8683" s="24" t="s">
        <v>6953</v>
      </c>
      <c r="D8683" s="59">
        <v>4.0</v>
      </c>
      <c r="E8683" s="59">
        <v>4.0</v>
      </c>
      <c r="F8683" s="59">
        <v>2.0</v>
      </c>
      <c r="G8683" s="60">
        <v>1.0</v>
      </c>
      <c r="H8683" s="60">
        <v>0.0</v>
      </c>
      <c r="I8683" s="60">
        <v>32.10790175</v>
      </c>
      <c r="J8683" s="59">
        <v>10.0</v>
      </c>
      <c r="K8683" s="61">
        <f t="shared" si="1"/>
        <v>0.5</v>
      </c>
      <c r="L8683" s="62">
        <f t="shared" si="2"/>
        <v>2.5</v>
      </c>
    </row>
    <row r="8684">
      <c r="A8684" s="58">
        <v>45352.0</v>
      </c>
      <c r="B8684" s="24" t="s">
        <v>6787</v>
      </c>
      <c r="C8684" s="24" t="s">
        <v>7056</v>
      </c>
      <c r="D8684" s="59">
        <v>4.0</v>
      </c>
      <c r="E8684" s="59">
        <v>10.0</v>
      </c>
      <c r="F8684" s="59">
        <v>3.0</v>
      </c>
      <c r="G8684" s="60">
        <v>2.5</v>
      </c>
      <c r="H8684" s="60">
        <v>0.1</v>
      </c>
      <c r="I8684" s="60">
        <v>509.5113653</v>
      </c>
      <c r="J8684" s="59">
        <v>44.0</v>
      </c>
      <c r="K8684" s="61">
        <f t="shared" si="1"/>
        <v>0.3</v>
      </c>
      <c r="L8684" s="62">
        <f t="shared" si="2"/>
        <v>4.4</v>
      </c>
    </row>
    <row r="8685">
      <c r="A8685" s="58">
        <v>45352.0</v>
      </c>
      <c r="B8685" s="24" t="s">
        <v>6789</v>
      </c>
      <c r="C8685" s="24" t="s">
        <v>7074</v>
      </c>
      <c r="D8685" s="59">
        <v>4.0</v>
      </c>
      <c r="E8685" s="59">
        <v>4.0</v>
      </c>
      <c r="F8685" s="59">
        <v>4.0</v>
      </c>
      <c r="G8685" s="60">
        <v>1.0</v>
      </c>
      <c r="H8685" s="60">
        <v>0.0</v>
      </c>
      <c r="I8685" s="60">
        <v>700.5841275</v>
      </c>
      <c r="J8685" s="59">
        <v>11.0</v>
      </c>
      <c r="K8685" s="61">
        <f t="shared" si="1"/>
        <v>1</v>
      </c>
      <c r="L8685" s="62">
        <f t="shared" si="2"/>
        <v>2.75</v>
      </c>
    </row>
    <row r="8686">
      <c r="A8686" s="58">
        <v>45352.0</v>
      </c>
      <c r="B8686" s="24" t="s">
        <v>6787</v>
      </c>
      <c r="C8686" s="24" t="s">
        <v>6822</v>
      </c>
      <c r="D8686" s="59">
        <v>4.0</v>
      </c>
      <c r="E8686" s="59">
        <v>4.0</v>
      </c>
      <c r="F8686" s="59">
        <v>3.0</v>
      </c>
      <c r="G8686" s="60">
        <v>1.0</v>
      </c>
      <c r="H8686" s="60">
        <v>0.0</v>
      </c>
      <c r="I8686" s="60">
        <v>221.0601065</v>
      </c>
      <c r="J8686" s="59">
        <v>27.0</v>
      </c>
      <c r="K8686" s="61">
        <f t="shared" si="1"/>
        <v>0.75</v>
      </c>
      <c r="L8686" s="62">
        <f t="shared" si="2"/>
        <v>6.75</v>
      </c>
    </row>
    <row r="8687">
      <c r="A8687" s="58">
        <v>45352.0</v>
      </c>
      <c r="B8687" s="24" t="s">
        <v>6789</v>
      </c>
      <c r="C8687" s="24" t="s">
        <v>6822</v>
      </c>
      <c r="D8687" s="59">
        <v>4.0</v>
      </c>
      <c r="E8687" s="59">
        <v>4.0</v>
      </c>
      <c r="F8687" s="59">
        <v>1.0</v>
      </c>
      <c r="G8687" s="60">
        <v>1.0</v>
      </c>
      <c r="H8687" s="60">
        <v>0.0</v>
      </c>
      <c r="I8687" s="60">
        <v>791.7052105</v>
      </c>
      <c r="J8687" s="59">
        <v>18.0</v>
      </c>
      <c r="K8687" s="61">
        <f t="shared" si="1"/>
        <v>0.25</v>
      </c>
      <c r="L8687" s="62">
        <f t="shared" si="2"/>
        <v>4.5</v>
      </c>
    </row>
    <row r="8688">
      <c r="A8688" s="58">
        <v>45352.0</v>
      </c>
      <c r="B8688" s="24" t="s">
        <v>6787</v>
      </c>
      <c r="C8688" s="24" t="s">
        <v>6904</v>
      </c>
      <c r="D8688" s="59">
        <v>4.0</v>
      </c>
      <c r="E8688" s="59">
        <v>5.0</v>
      </c>
      <c r="F8688" s="59">
        <v>3.0</v>
      </c>
      <c r="G8688" s="60">
        <v>1.66666666666666</v>
      </c>
      <c r="H8688" s="60">
        <v>0.4</v>
      </c>
      <c r="I8688" s="60">
        <v>2.20503</v>
      </c>
      <c r="J8688" s="59">
        <v>8.0</v>
      </c>
      <c r="K8688" s="61">
        <f t="shared" si="1"/>
        <v>0.6</v>
      </c>
      <c r="L8688" s="62">
        <f t="shared" si="2"/>
        <v>1.6</v>
      </c>
    </row>
    <row r="8689">
      <c r="A8689" s="58">
        <v>45352.0</v>
      </c>
      <c r="B8689" s="24" t="s">
        <v>6789</v>
      </c>
      <c r="C8689" s="24" t="s">
        <v>7034</v>
      </c>
      <c r="D8689" s="59">
        <v>4.0</v>
      </c>
      <c r="E8689" s="59">
        <v>4.0</v>
      </c>
      <c r="F8689" s="59">
        <v>3.0</v>
      </c>
      <c r="G8689" s="60">
        <v>1.0</v>
      </c>
      <c r="H8689" s="60">
        <v>0.0</v>
      </c>
      <c r="I8689" s="60">
        <v>299.507601249999</v>
      </c>
      <c r="J8689" s="59">
        <v>15.0</v>
      </c>
      <c r="K8689" s="61">
        <f t="shared" si="1"/>
        <v>0.75</v>
      </c>
      <c r="L8689" s="62">
        <f t="shared" si="2"/>
        <v>3.75</v>
      </c>
    </row>
    <row r="8690">
      <c r="A8690" s="58">
        <v>45352.0</v>
      </c>
      <c r="B8690" s="24" t="s">
        <v>155</v>
      </c>
      <c r="C8690" s="24" t="s">
        <v>7034</v>
      </c>
      <c r="D8690" s="59">
        <v>4.0</v>
      </c>
      <c r="E8690" s="59">
        <v>4.0</v>
      </c>
      <c r="F8690" s="59">
        <v>1.0</v>
      </c>
      <c r="G8690" s="60">
        <v>1.0</v>
      </c>
      <c r="H8690" s="60">
        <v>0.25</v>
      </c>
      <c r="I8690" s="60">
        <v>538.22010575</v>
      </c>
      <c r="J8690" s="59">
        <v>27.0</v>
      </c>
      <c r="K8690" s="61">
        <f t="shared" si="1"/>
        <v>0.25</v>
      </c>
      <c r="L8690" s="62">
        <f t="shared" si="2"/>
        <v>6.75</v>
      </c>
    </row>
    <row r="8691">
      <c r="A8691" s="58">
        <v>45352.0</v>
      </c>
      <c r="B8691" s="24" t="s">
        <v>6789</v>
      </c>
      <c r="C8691" s="24" t="s">
        <v>7558</v>
      </c>
      <c r="D8691" s="59">
        <v>4.0</v>
      </c>
      <c r="E8691" s="59">
        <v>4.0</v>
      </c>
      <c r="F8691" s="59">
        <v>4.0</v>
      </c>
      <c r="G8691" s="60">
        <v>1.0</v>
      </c>
      <c r="H8691" s="60">
        <v>0.25</v>
      </c>
      <c r="I8691" s="60">
        <v>73.8781215</v>
      </c>
      <c r="J8691" s="59">
        <v>8.0</v>
      </c>
      <c r="K8691" s="61">
        <f t="shared" si="1"/>
        <v>1</v>
      </c>
      <c r="L8691" s="62">
        <f t="shared" si="2"/>
        <v>2</v>
      </c>
    </row>
    <row r="8692">
      <c r="A8692" s="58">
        <v>45352.0</v>
      </c>
      <c r="B8692" s="24" t="s">
        <v>6789</v>
      </c>
      <c r="C8692" s="24" t="s">
        <v>7566</v>
      </c>
      <c r="D8692" s="59">
        <v>4.0</v>
      </c>
      <c r="E8692" s="59">
        <v>4.0</v>
      </c>
      <c r="F8692" s="59">
        <v>4.0</v>
      </c>
      <c r="G8692" s="60">
        <v>1.0</v>
      </c>
      <c r="H8692" s="60">
        <v>0.0</v>
      </c>
      <c r="I8692" s="60">
        <v>28.2136655</v>
      </c>
      <c r="J8692" s="59">
        <v>8.0</v>
      </c>
      <c r="K8692" s="61">
        <f t="shared" si="1"/>
        <v>1</v>
      </c>
      <c r="L8692" s="62">
        <f t="shared" si="2"/>
        <v>2</v>
      </c>
    </row>
    <row r="8693">
      <c r="A8693" s="58">
        <v>45352.0</v>
      </c>
      <c r="B8693" s="24" t="s">
        <v>155</v>
      </c>
      <c r="C8693" s="24" t="s">
        <v>6808</v>
      </c>
      <c r="D8693" s="59">
        <v>4.0</v>
      </c>
      <c r="E8693" s="59">
        <v>4.0</v>
      </c>
      <c r="F8693" s="59">
        <v>0.0</v>
      </c>
      <c r="G8693" s="60">
        <v>1.0</v>
      </c>
      <c r="H8693" s="60">
        <v>0.0</v>
      </c>
      <c r="I8693" s="60">
        <v>362.80837525</v>
      </c>
      <c r="J8693" s="59">
        <v>13.0</v>
      </c>
      <c r="K8693" s="61">
        <f t="shared" si="1"/>
        <v>0</v>
      </c>
      <c r="L8693" s="62">
        <f t="shared" si="2"/>
        <v>3.25</v>
      </c>
    </row>
    <row r="8694">
      <c r="A8694" s="58">
        <v>45352.0</v>
      </c>
      <c r="B8694" s="24" t="s">
        <v>6787</v>
      </c>
      <c r="C8694" s="24" t="s">
        <v>7313</v>
      </c>
      <c r="D8694" s="59">
        <v>4.0</v>
      </c>
      <c r="E8694" s="59">
        <v>4.0</v>
      </c>
      <c r="F8694" s="59">
        <v>2.0</v>
      </c>
      <c r="G8694" s="60">
        <v>1.0</v>
      </c>
      <c r="H8694" s="60">
        <v>0.25</v>
      </c>
      <c r="I8694" s="60">
        <v>22.1394905</v>
      </c>
      <c r="J8694" s="59">
        <v>7.0</v>
      </c>
      <c r="K8694" s="61">
        <f t="shared" si="1"/>
        <v>0.5</v>
      </c>
      <c r="L8694" s="62">
        <f t="shared" si="2"/>
        <v>1.75</v>
      </c>
    </row>
    <row r="8695">
      <c r="A8695" s="58">
        <v>45352.0</v>
      </c>
      <c r="B8695" s="24" t="s">
        <v>6789</v>
      </c>
      <c r="C8695" s="24" t="s">
        <v>7313</v>
      </c>
      <c r="D8695" s="59">
        <v>4.0</v>
      </c>
      <c r="E8695" s="59">
        <v>4.0</v>
      </c>
      <c r="F8695" s="59">
        <v>0.0</v>
      </c>
      <c r="G8695" s="60">
        <v>1.0</v>
      </c>
      <c r="H8695" s="60">
        <v>0.0</v>
      </c>
      <c r="I8695" s="60">
        <v>186.877571</v>
      </c>
      <c r="J8695" s="59">
        <v>9.0</v>
      </c>
      <c r="K8695" s="61">
        <f t="shared" si="1"/>
        <v>0</v>
      </c>
      <c r="L8695" s="62">
        <f t="shared" si="2"/>
        <v>2.25</v>
      </c>
    </row>
    <row r="8696">
      <c r="A8696" s="58">
        <v>45352.0</v>
      </c>
      <c r="B8696" s="24" t="s">
        <v>6787</v>
      </c>
      <c r="C8696" s="24" t="s">
        <v>6910</v>
      </c>
      <c r="D8696" s="59">
        <v>4.0</v>
      </c>
      <c r="E8696" s="59">
        <v>4.0</v>
      </c>
      <c r="F8696" s="59">
        <v>4.0</v>
      </c>
      <c r="G8696" s="60">
        <v>1.0</v>
      </c>
      <c r="H8696" s="60">
        <v>0.0</v>
      </c>
      <c r="I8696" s="60">
        <v>578.50646375</v>
      </c>
      <c r="J8696" s="59">
        <v>60.0</v>
      </c>
      <c r="K8696" s="61">
        <f t="shared" si="1"/>
        <v>1</v>
      </c>
      <c r="L8696" s="62">
        <f t="shared" si="2"/>
        <v>15</v>
      </c>
    </row>
    <row r="8697">
      <c r="A8697" s="58">
        <v>45352.0</v>
      </c>
      <c r="B8697" s="24" t="s">
        <v>6787</v>
      </c>
      <c r="C8697" s="24" t="s">
        <v>6801</v>
      </c>
      <c r="D8697" s="59">
        <v>4.0</v>
      </c>
      <c r="E8697" s="59">
        <v>5.0</v>
      </c>
      <c r="F8697" s="59">
        <v>4.0</v>
      </c>
      <c r="G8697" s="60">
        <v>1.25</v>
      </c>
      <c r="H8697" s="60">
        <v>0.6</v>
      </c>
      <c r="I8697" s="60">
        <v>3.1445888</v>
      </c>
      <c r="J8697" s="59">
        <v>7.0</v>
      </c>
      <c r="K8697" s="61">
        <f t="shared" si="1"/>
        <v>0.8</v>
      </c>
      <c r="L8697" s="62">
        <f t="shared" si="2"/>
        <v>1.4</v>
      </c>
    </row>
    <row r="8698">
      <c r="A8698" s="58">
        <v>45352.0</v>
      </c>
      <c r="B8698" s="24" t="s">
        <v>6787</v>
      </c>
      <c r="C8698" s="24" t="s">
        <v>7102</v>
      </c>
      <c r="D8698" s="59">
        <v>4.0</v>
      </c>
      <c r="E8698" s="59">
        <v>4.0</v>
      </c>
      <c r="F8698" s="59">
        <v>3.0</v>
      </c>
      <c r="G8698" s="60">
        <v>1.0</v>
      </c>
      <c r="H8698" s="60">
        <v>0.5</v>
      </c>
      <c r="I8698" s="60">
        <v>144.5056135</v>
      </c>
      <c r="J8698" s="59">
        <v>18.0</v>
      </c>
      <c r="K8698" s="61">
        <f t="shared" si="1"/>
        <v>0.75</v>
      </c>
      <c r="L8698" s="62">
        <f t="shared" si="2"/>
        <v>4.5</v>
      </c>
    </row>
    <row r="8699">
      <c r="A8699" s="58">
        <v>45352.0</v>
      </c>
      <c r="B8699" s="24" t="s">
        <v>155</v>
      </c>
      <c r="C8699" s="24" t="s">
        <v>7107</v>
      </c>
      <c r="D8699" s="59">
        <v>4.0</v>
      </c>
      <c r="E8699" s="59">
        <v>5.0</v>
      </c>
      <c r="F8699" s="59">
        <v>0.0</v>
      </c>
      <c r="G8699" s="60">
        <v>1.25</v>
      </c>
      <c r="H8699" s="60">
        <v>0.0</v>
      </c>
      <c r="I8699" s="60">
        <v>581.3020478</v>
      </c>
      <c r="J8699" s="59">
        <v>25.0</v>
      </c>
      <c r="K8699" s="61">
        <f t="shared" si="1"/>
        <v>0</v>
      </c>
      <c r="L8699" s="62">
        <f t="shared" si="2"/>
        <v>5</v>
      </c>
    </row>
    <row r="8700">
      <c r="A8700" s="58">
        <v>45352.0</v>
      </c>
      <c r="B8700" s="24" t="s">
        <v>7100</v>
      </c>
      <c r="C8700" s="24" t="s">
        <v>6792</v>
      </c>
      <c r="D8700" s="59">
        <v>3.0</v>
      </c>
      <c r="E8700" s="59">
        <v>3.0</v>
      </c>
      <c r="F8700" s="59">
        <v>0.0</v>
      </c>
      <c r="G8700" s="60">
        <v>1.0</v>
      </c>
      <c r="H8700" s="60">
        <v>1.0</v>
      </c>
      <c r="I8700" s="60">
        <v>0.0</v>
      </c>
      <c r="J8700" s="59">
        <v>0.0</v>
      </c>
      <c r="K8700" s="61">
        <f t="shared" si="1"/>
        <v>0</v>
      </c>
      <c r="L8700" s="62">
        <f t="shared" si="2"/>
        <v>0</v>
      </c>
    </row>
    <row r="8701">
      <c r="A8701" s="58">
        <v>45352.0</v>
      </c>
      <c r="B8701" s="24" t="s">
        <v>3216</v>
      </c>
      <c r="C8701" s="24" t="s">
        <v>6788</v>
      </c>
      <c r="D8701" s="59">
        <v>3.0</v>
      </c>
      <c r="E8701" s="59">
        <v>5.0</v>
      </c>
      <c r="F8701" s="59">
        <v>0.0</v>
      </c>
      <c r="G8701" s="60">
        <v>1.66666666666666</v>
      </c>
      <c r="H8701" s="60">
        <v>0.0</v>
      </c>
      <c r="I8701" s="60">
        <v>185.125634599999</v>
      </c>
      <c r="J8701" s="59">
        <v>18.0</v>
      </c>
      <c r="K8701" s="61">
        <f t="shared" si="1"/>
        <v>0</v>
      </c>
      <c r="L8701" s="62">
        <f t="shared" si="2"/>
        <v>3.6</v>
      </c>
    </row>
    <row r="8702">
      <c r="A8702" s="58">
        <v>45352.0</v>
      </c>
      <c r="B8702" s="24" t="s">
        <v>6787</v>
      </c>
      <c r="C8702" s="24" t="s">
        <v>7583</v>
      </c>
      <c r="D8702" s="59">
        <v>3.0</v>
      </c>
      <c r="E8702" s="59">
        <v>3.0</v>
      </c>
      <c r="F8702" s="59">
        <v>3.0</v>
      </c>
      <c r="G8702" s="60">
        <v>1.0</v>
      </c>
      <c r="H8702" s="60">
        <v>0.0</v>
      </c>
      <c r="I8702" s="60">
        <v>2.21675766666666</v>
      </c>
      <c r="J8702" s="59">
        <v>6.0</v>
      </c>
      <c r="K8702" s="61">
        <f t="shared" si="1"/>
        <v>1</v>
      </c>
      <c r="L8702" s="62">
        <f t="shared" si="2"/>
        <v>2</v>
      </c>
    </row>
    <row r="8703">
      <c r="A8703" s="58">
        <v>45352.0</v>
      </c>
      <c r="B8703" s="24" t="s">
        <v>155</v>
      </c>
      <c r="C8703" s="24" t="s">
        <v>6803</v>
      </c>
      <c r="D8703" s="59">
        <v>3.0</v>
      </c>
      <c r="E8703" s="59">
        <v>4.0</v>
      </c>
      <c r="F8703" s="59">
        <v>1.0</v>
      </c>
      <c r="G8703" s="60">
        <v>1.33333333333333</v>
      </c>
      <c r="H8703" s="60">
        <v>0.0</v>
      </c>
      <c r="I8703" s="60">
        <v>1431.75107025</v>
      </c>
      <c r="J8703" s="59">
        <v>47.0</v>
      </c>
      <c r="K8703" s="61">
        <f t="shared" si="1"/>
        <v>0.25</v>
      </c>
      <c r="L8703" s="62">
        <f t="shared" si="2"/>
        <v>11.75</v>
      </c>
    </row>
    <row r="8704">
      <c r="A8704" s="58">
        <v>45352.0</v>
      </c>
      <c r="B8704" s="24" t="s">
        <v>6789</v>
      </c>
      <c r="C8704" s="24" t="s">
        <v>6817</v>
      </c>
      <c r="D8704" s="59">
        <v>3.0</v>
      </c>
      <c r="E8704" s="59">
        <v>3.0</v>
      </c>
      <c r="F8704" s="59">
        <v>2.0</v>
      </c>
      <c r="G8704" s="60">
        <v>1.0</v>
      </c>
      <c r="H8704" s="60">
        <v>0.0</v>
      </c>
      <c r="I8704" s="60">
        <v>57.437746</v>
      </c>
      <c r="J8704" s="59">
        <v>8.0</v>
      </c>
      <c r="K8704" s="61">
        <f t="shared" si="1"/>
        <v>0.6666666667</v>
      </c>
      <c r="L8704" s="62">
        <f t="shared" si="2"/>
        <v>2.666666667</v>
      </c>
    </row>
    <row r="8705">
      <c r="A8705" s="58">
        <v>45352.0</v>
      </c>
      <c r="B8705" s="24" t="s">
        <v>6789</v>
      </c>
      <c r="C8705" s="24" t="s">
        <v>7057</v>
      </c>
      <c r="D8705" s="59">
        <v>3.0</v>
      </c>
      <c r="E8705" s="59">
        <v>3.0</v>
      </c>
      <c r="F8705" s="59">
        <v>3.0</v>
      </c>
      <c r="G8705" s="60">
        <v>1.0</v>
      </c>
      <c r="H8705" s="60">
        <v>0.0</v>
      </c>
      <c r="I8705" s="60">
        <v>342.498540333333</v>
      </c>
      <c r="J8705" s="59">
        <v>5.0</v>
      </c>
      <c r="K8705" s="61">
        <f t="shared" si="1"/>
        <v>1</v>
      </c>
      <c r="L8705" s="62">
        <f t="shared" si="2"/>
        <v>1.666666667</v>
      </c>
    </row>
    <row r="8706">
      <c r="A8706" s="58">
        <v>45352.0</v>
      </c>
      <c r="B8706" s="24" t="s">
        <v>6789</v>
      </c>
      <c r="C8706" s="24" t="s">
        <v>7059</v>
      </c>
      <c r="D8706" s="59">
        <v>3.0</v>
      </c>
      <c r="E8706" s="59">
        <v>3.0</v>
      </c>
      <c r="F8706" s="59">
        <v>3.0</v>
      </c>
      <c r="G8706" s="60">
        <v>1.0</v>
      </c>
      <c r="H8706" s="60">
        <v>0.0</v>
      </c>
      <c r="I8706" s="60">
        <v>11.9300769999999</v>
      </c>
      <c r="J8706" s="59">
        <v>6.0</v>
      </c>
      <c r="K8706" s="61">
        <f t="shared" si="1"/>
        <v>1</v>
      </c>
      <c r="L8706" s="62">
        <f t="shared" si="2"/>
        <v>2</v>
      </c>
    </row>
    <row r="8707">
      <c r="A8707" s="58">
        <v>45352.0</v>
      </c>
      <c r="B8707" s="24" t="s">
        <v>6787</v>
      </c>
      <c r="C8707" s="24" t="s">
        <v>6985</v>
      </c>
      <c r="D8707" s="59">
        <v>3.0</v>
      </c>
      <c r="E8707" s="59">
        <v>3.0</v>
      </c>
      <c r="F8707" s="59">
        <v>2.0</v>
      </c>
      <c r="G8707" s="60">
        <v>1.0</v>
      </c>
      <c r="H8707" s="60">
        <v>0.333333333333333</v>
      </c>
      <c r="I8707" s="60">
        <v>1.16418066666666</v>
      </c>
      <c r="J8707" s="59">
        <v>5.0</v>
      </c>
      <c r="K8707" s="61">
        <f t="shared" si="1"/>
        <v>0.6666666667</v>
      </c>
      <c r="L8707" s="62">
        <f t="shared" si="2"/>
        <v>1.666666667</v>
      </c>
    </row>
    <row r="8708">
      <c r="A8708" s="58">
        <v>45352.0</v>
      </c>
      <c r="B8708" s="24" t="s">
        <v>6789</v>
      </c>
      <c r="C8708" s="24" t="s">
        <v>7024</v>
      </c>
      <c r="D8708" s="59">
        <v>3.0</v>
      </c>
      <c r="E8708" s="59">
        <v>4.0</v>
      </c>
      <c r="F8708" s="59">
        <v>3.0</v>
      </c>
      <c r="G8708" s="60">
        <v>1.33333333333333</v>
      </c>
      <c r="H8708" s="60">
        <v>0.75</v>
      </c>
      <c r="I8708" s="60">
        <v>170.7201095</v>
      </c>
      <c r="J8708" s="59">
        <v>4.0</v>
      </c>
      <c r="K8708" s="61">
        <f t="shared" si="1"/>
        <v>0.75</v>
      </c>
      <c r="L8708" s="62">
        <f t="shared" si="2"/>
        <v>1</v>
      </c>
    </row>
    <row r="8709">
      <c r="A8709" s="58">
        <v>45352.0</v>
      </c>
      <c r="B8709" s="24" t="s">
        <v>6789</v>
      </c>
      <c r="C8709" s="24" t="s">
        <v>6989</v>
      </c>
      <c r="D8709" s="59">
        <v>3.0</v>
      </c>
      <c r="E8709" s="59">
        <v>3.0</v>
      </c>
      <c r="F8709" s="59">
        <v>3.0</v>
      </c>
      <c r="G8709" s="60">
        <v>1.0</v>
      </c>
      <c r="H8709" s="60">
        <v>0.333333333333333</v>
      </c>
      <c r="I8709" s="60">
        <v>109.031713</v>
      </c>
      <c r="J8709" s="59">
        <v>6.0</v>
      </c>
      <c r="K8709" s="61">
        <f t="shared" si="1"/>
        <v>1</v>
      </c>
      <c r="L8709" s="62">
        <f t="shared" si="2"/>
        <v>2</v>
      </c>
    </row>
    <row r="8710">
      <c r="A8710" s="58">
        <v>45352.0</v>
      </c>
      <c r="B8710" s="24" t="s">
        <v>6789</v>
      </c>
      <c r="C8710" s="24" t="s">
        <v>7067</v>
      </c>
      <c r="D8710" s="59">
        <v>3.0</v>
      </c>
      <c r="E8710" s="59">
        <v>3.0</v>
      </c>
      <c r="F8710" s="59">
        <v>3.0</v>
      </c>
      <c r="G8710" s="60">
        <v>1.0</v>
      </c>
      <c r="H8710" s="60">
        <v>0.333333333333333</v>
      </c>
      <c r="I8710" s="60">
        <v>543.180687333333</v>
      </c>
      <c r="J8710" s="59">
        <v>5.0</v>
      </c>
      <c r="K8710" s="61">
        <f t="shared" si="1"/>
        <v>1</v>
      </c>
      <c r="L8710" s="62">
        <f t="shared" si="2"/>
        <v>1.666666667</v>
      </c>
    </row>
    <row r="8711">
      <c r="A8711" s="58">
        <v>45352.0</v>
      </c>
      <c r="B8711" s="24" t="s">
        <v>6789</v>
      </c>
      <c r="C8711" s="24" t="s">
        <v>6896</v>
      </c>
      <c r="D8711" s="59">
        <v>3.0</v>
      </c>
      <c r="E8711" s="59">
        <v>3.0</v>
      </c>
      <c r="F8711" s="59">
        <v>2.0</v>
      </c>
      <c r="G8711" s="60">
        <v>1.5</v>
      </c>
      <c r="H8711" s="60">
        <v>0.333333333333333</v>
      </c>
      <c r="I8711" s="60">
        <v>11.6314763333333</v>
      </c>
      <c r="J8711" s="59">
        <v>5.0</v>
      </c>
      <c r="K8711" s="61">
        <f t="shared" si="1"/>
        <v>0.6666666667</v>
      </c>
      <c r="L8711" s="62">
        <f t="shared" si="2"/>
        <v>1.666666667</v>
      </c>
    </row>
    <row r="8712">
      <c r="A8712" s="58">
        <v>45352.0</v>
      </c>
      <c r="B8712" s="24" t="s">
        <v>6789</v>
      </c>
      <c r="C8712" s="24" t="s">
        <v>7530</v>
      </c>
      <c r="D8712" s="59">
        <v>3.0</v>
      </c>
      <c r="E8712" s="59">
        <v>3.0</v>
      </c>
      <c r="F8712" s="59">
        <v>2.0</v>
      </c>
      <c r="G8712" s="60">
        <v>1.0</v>
      </c>
      <c r="H8712" s="60">
        <v>0.666666666666666</v>
      </c>
      <c r="I8712" s="60">
        <v>223.810265999999</v>
      </c>
      <c r="J8712" s="59">
        <v>8.0</v>
      </c>
      <c r="K8712" s="61">
        <f t="shared" si="1"/>
        <v>0.6666666667</v>
      </c>
      <c r="L8712" s="62">
        <f t="shared" si="2"/>
        <v>2.666666667</v>
      </c>
    </row>
    <row r="8713">
      <c r="A8713" s="58">
        <v>45352.0</v>
      </c>
      <c r="B8713" s="24" t="s">
        <v>6791</v>
      </c>
      <c r="C8713" s="24" t="s">
        <v>7207</v>
      </c>
      <c r="D8713" s="59">
        <v>3.0</v>
      </c>
      <c r="E8713" s="59">
        <v>3.0</v>
      </c>
      <c r="F8713" s="59">
        <v>3.0</v>
      </c>
      <c r="G8713" s="60">
        <v>1.0</v>
      </c>
      <c r="H8713" s="60">
        <v>0.0</v>
      </c>
      <c r="I8713" s="60">
        <v>20.7210476666666</v>
      </c>
      <c r="J8713" s="59">
        <v>8.0</v>
      </c>
      <c r="K8713" s="61">
        <f t="shared" si="1"/>
        <v>1</v>
      </c>
      <c r="L8713" s="62">
        <f t="shared" si="2"/>
        <v>2.666666667</v>
      </c>
    </row>
    <row r="8714">
      <c r="A8714" s="58">
        <v>45352.0</v>
      </c>
      <c r="B8714" s="24" t="s">
        <v>6791</v>
      </c>
      <c r="C8714" s="24" t="s">
        <v>7261</v>
      </c>
      <c r="D8714" s="59">
        <v>3.0</v>
      </c>
      <c r="E8714" s="59">
        <v>3.0</v>
      </c>
      <c r="F8714" s="59">
        <v>3.0</v>
      </c>
      <c r="G8714" s="60">
        <v>1.0</v>
      </c>
      <c r="H8714" s="60">
        <v>0.0</v>
      </c>
      <c r="I8714" s="60">
        <v>637.287900333333</v>
      </c>
      <c r="J8714" s="59">
        <v>8.0</v>
      </c>
      <c r="K8714" s="61">
        <f t="shared" si="1"/>
        <v>1</v>
      </c>
      <c r="L8714" s="62">
        <f t="shared" si="2"/>
        <v>2.666666667</v>
      </c>
    </row>
    <row r="8715">
      <c r="A8715" s="58">
        <v>45352.0</v>
      </c>
      <c r="B8715" s="24" t="s">
        <v>6789</v>
      </c>
      <c r="C8715" s="24" t="s">
        <v>6800</v>
      </c>
      <c r="D8715" s="59">
        <v>3.0</v>
      </c>
      <c r="E8715" s="59">
        <v>3.0</v>
      </c>
      <c r="F8715" s="59">
        <v>1.0</v>
      </c>
      <c r="G8715" s="60">
        <v>1.0</v>
      </c>
      <c r="H8715" s="60">
        <v>0.333333333333333</v>
      </c>
      <c r="I8715" s="60">
        <v>28.8190116666666</v>
      </c>
      <c r="J8715" s="59">
        <v>5.0</v>
      </c>
      <c r="K8715" s="61">
        <f t="shared" si="1"/>
        <v>0.3333333333</v>
      </c>
      <c r="L8715" s="62">
        <f t="shared" si="2"/>
        <v>1.666666667</v>
      </c>
    </row>
    <row r="8716">
      <c r="A8716" s="58">
        <v>45352.0</v>
      </c>
      <c r="B8716" s="24" t="s">
        <v>155</v>
      </c>
      <c r="C8716" s="24" t="s">
        <v>6800</v>
      </c>
      <c r="D8716" s="59">
        <v>3.0</v>
      </c>
      <c r="E8716" s="59">
        <v>3.0</v>
      </c>
      <c r="F8716" s="59">
        <v>2.0</v>
      </c>
      <c r="G8716" s="60">
        <v>1.0</v>
      </c>
      <c r="H8716" s="60">
        <v>0.0</v>
      </c>
      <c r="I8716" s="60">
        <v>143.982670666666</v>
      </c>
      <c r="J8716" s="59">
        <v>18.0</v>
      </c>
      <c r="K8716" s="61">
        <f t="shared" si="1"/>
        <v>0.6666666667</v>
      </c>
      <c r="L8716" s="62">
        <f t="shared" si="2"/>
        <v>6</v>
      </c>
    </row>
    <row r="8717">
      <c r="A8717" s="58">
        <v>45352.0</v>
      </c>
      <c r="B8717" s="24" t="s">
        <v>6787</v>
      </c>
      <c r="C8717" s="24" t="s">
        <v>7013</v>
      </c>
      <c r="D8717" s="59">
        <v>3.0</v>
      </c>
      <c r="E8717" s="59">
        <v>3.0</v>
      </c>
      <c r="F8717" s="59">
        <v>2.0</v>
      </c>
      <c r="G8717" s="60">
        <v>1.0</v>
      </c>
      <c r="H8717" s="60">
        <v>0.333333333333333</v>
      </c>
      <c r="I8717" s="60">
        <v>56.6448423333333</v>
      </c>
      <c r="J8717" s="59">
        <v>7.0</v>
      </c>
      <c r="K8717" s="61">
        <f t="shared" si="1"/>
        <v>0.6666666667</v>
      </c>
      <c r="L8717" s="62">
        <f t="shared" si="2"/>
        <v>2.333333333</v>
      </c>
    </row>
    <row r="8718">
      <c r="A8718" s="58">
        <v>45352.0</v>
      </c>
      <c r="B8718" s="24" t="s">
        <v>6787</v>
      </c>
      <c r="C8718" s="24" t="s">
        <v>6908</v>
      </c>
      <c r="D8718" s="59">
        <v>3.0</v>
      </c>
      <c r="E8718" s="59">
        <v>3.0</v>
      </c>
      <c r="F8718" s="59">
        <v>3.0</v>
      </c>
      <c r="G8718" s="60">
        <v>1.0</v>
      </c>
      <c r="H8718" s="60">
        <v>0.333333333333333</v>
      </c>
      <c r="I8718" s="60">
        <v>4.53576433333333</v>
      </c>
      <c r="J8718" s="59">
        <v>7.0</v>
      </c>
      <c r="K8718" s="61">
        <f t="shared" si="1"/>
        <v>1</v>
      </c>
      <c r="L8718" s="62">
        <f t="shared" si="2"/>
        <v>2.333333333</v>
      </c>
    </row>
    <row r="8719">
      <c r="A8719" s="58">
        <v>45352.0</v>
      </c>
      <c r="B8719" s="24" t="s">
        <v>6787</v>
      </c>
      <c r="C8719" s="24" t="s">
        <v>7172</v>
      </c>
      <c r="D8719" s="59">
        <v>3.0</v>
      </c>
      <c r="E8719" s="59">
        <v>5.0</v>
      </c>
      <c r="F8719" s="59">
        <v>1.0</v>
      </c>
      <c r="G8719" s="60">
        <v>1.66666666666666</v>
      </c>
      <c r="H8719" s="60">
        <v>0.2</v>
      </c>
      <c r="I8719" s="60">
        <v>4.041092</v>
      </c>
      <c r="J8719" s="59">
        <v>9.0</v>
      </c>
      <c r="K8719" s="61">
        <f t="shared" si="1"/>
        <v>0.2</v>
      </c>
      <c r="L8719" s="62">
        <f t="shared" si="2"/>
        <v>1.8</v>
      </c>
    </row>
    <row r="8720">
      <c r="A8720" s="58">
        <v>45352.0</v>
      </c>
      <c r="B8720" s="24" t="s">
        <v>3216</v>
      </c>
      <c r="C8720" s="24" t="s">
        <v>7313</v>
      </c>
      <c r="D8720" s="59">
        <v>3.0</v>
      </c>
      <c r="E8720" s="59">
        <v>3.0</v>
      </c>
      <c r="F8720" s="59">
        <v>1.0</v>
      </c>
      <c r="G8720" s="60">
        <v>1.0</v>
      </c>
      <c r="H8720" s="60">
        <v>0.333333333333333</v>
      </c>
      <c r="I8720" s="60">
        <v>331.277126333333</v>
      </c>
      <c r="J8720" s="59">
        <v>31.0</v>
      </c>
      <c r="K8720" s="61">
        <f t="shared" si="1"/>
        <v>0.3333333333</v>
      </c>
      <c r="L8720" s="62">
        <f t="shared" si="2"/>
        <v>10.33333333</v>
      </c>
    </row>
    <row r="8721">
      <c r="A8721" s="58">
        <v>45352.0</v>
      </c>
      <c r="B8721" s="24" t="s">
        <v>6787</v>
      </c>
      <c r="C8721" s="24" t="s">
        <v>7104</v>
      </c>
      <c r="D8721" s="59">
        <v>3.0</v>
      </c>
      <c r="E8721" s="59">
        <v>3.0</v>
      </c>
      <c r="F8721" s="59">
        <v>2.0</v>
      </c>
      <c r="G8721" s="60">
        <v>1.0</v>
      </c>
      <c r="H8721" s="60">
        <v>0.333333333333333</v>
      </c>
      <c r="I8721" s="60">
        <v>917.017833333333</v>
      </c>
      <c r="J8721" s="59">
        <v>9.0</v>
      </c>
      <c r="K8721" s="61">
        <f t="shared" si="1"/>
        <v>0.6666666667</v>
      </c>
      <c r="L8721" s="62">
        <f t="shared" si="2"/>
        <v>3</v>
      </c>
    </row>
    <row r="8722">
      <c r="A8722" s="58">
        <v>45352.0</v>
      </c>
      <c r="B8722" s="24" t="s">
        <v>6789</v>
      </c>
      <c r="C8722" s="24" t="s">
        <v>7104</v>
      </c>
      <c r="D8722" s="59">
        <v>3.0</v>
      </c>
      <c r="E8722" s="59">
        <v>3.0</v>
      </c>
      <c r="F8722" s="59">
        <v>1.0</v>
      </c>
      <c r="G8722" s="60">
        <v>1.5</v>
      </c>
      <c r="H8722" s="60">
        <v>0.666666666666666</v>
      </c>
      <c r="I8722" s="60">
        <v>14.1651723333333</v>
      </c>
      <c r="J8722" s="59">
        <v>4.0</v>
      </c>
      <c r="K8722" s="61">
        <f t="shared" si="1"/>
        <v>0.3333333333</v>
      </c>
      <c r="L8722" s="62">
        <f t="shared" si="2"/>
        <v>1.333333333</v>
      </c>
    </row>
    <row r="8723">
      <c r="A8723" s="58">
        <v>45352.0</v>
      </c>
      <c r="B8723" s="24" t="s">
        <v>6787</v>
      </c>
      <c r="C8723" s="24" t="s">
        <v>7180</v>
      </c>
      <c r="D8723" s="59">
        <v>3.0</v>
      </c>
      <c r="E8723" s="59">
        <v>3.0</v>
      </c>
      <c r="F8723" s="59">
        <v>3.0</v>
      </c>
      <c r="G8723" s="60">
        <v>1.0</v>
      </c>
      <c r="H8723" s="60">
        <v>0.333333333333333</v>
      </c>
      <c r="I8723" s="60">
        <v>10.0144826666666</v>
      </c>
      <c r="J8723" s="59">
        <v>7.0</v>
      </c>
      <c r="K8723" s="61">
        <f t="shared" si="1"/>
        <v>1</v>
      </c>
      <c r="L8723" s="62">
        <f t="shared" si="2"/>
        <v>2.333333333</v>
      </c>
    </row>
    <row r="8724">
      <c r="A8724" s="58">
        <v>45352.0</v>
      </c>
      <c r="B8724" s="24" t="s">
        <v>6787</v>
      </c>
      <c r="C8724" s="24" t="s">
        <v>6922</v>
      </c>
      <c r="D8724" s="59">
        <v>3.0</v>
      </c>
      <c r="E8724" s="59">
        <v>3.0</v>
      </c>
      <c r="F8724" s="59">
        <v>3.0</v>
      </c>
      <c r="G8724" s="60">
        <v>1.0</v>
      </c>
      <c r="H8724" s="60">
        <v>0.666666666666666</v>
      </c>
      <c r="I8724" s="60">
        <v>1.50412</v>
      </c>
      <c r="J8724" s="59">
        <v>4.0</v>
      </c>
      <c r="K8724" s="61">
        <f t="shared" si="1"/>
        <v>1</v>
      </c>
      <c r="L8724" s="62">
        <f t="shared" si="2"/>
        <v>1.333333333</v>
      </c>
    </row>
    <row r="8725">
      <c r="A8725" s="58">
        <v>45352.0</v>
      </c>
      <c r="B8725" s="24" t="s">
        <v>6789</v>
      </c>
      <c r="C8725" s="24" t="s">
        <v>6922</v>
      </c>
      <c r="D8725" s="59">
        <v>3.0</v>
      </c>
      <c r="E8725" s="59">
        <v>3.0</v>
      </c>
      <c r="F8725" s="59">
        <v>3.0</v>
      </c>
      <c r="G8725" s="60">
        <v>1.0</v>
      </c>
      <c r="H8725" s="60">
        <v>0.333333333333333</v>
      </c>
      <c r="I8725" s="60">
        <v>176.825659</v>
      </c>
      <c r="J8725" s="59">
        <v>11.0</v>
      </c>
      <c r="K8725" s="61">
        <f t="shared" si="1"/>
        <v>1</v>
      </c>
      <c r="L8725" s="62">
        <f t="shared" si="2"/>
        <v>3.666666667</v>
      </c>
    </row>
    <row r="8726">
      <c r="A8726" s="58">
        <v>45352.0</v>
      </c>
      <c r="B8726" s="24" t="s">
        <v>6787</v>
      </c>
      <c r="C8726" s="24" t="s">
        <v>6797</v>
      </c>
      <c r="D8726" s="59">
        <v>3.0</v>
      </c>
      <c r="E8726" s="59">
        <v>3.0</v>
      </c>
      <c r="F8726" s="59">
        <v>3.0</v>
      </c>
      <c r="G8726" s="60">
        <v>1.0</v>
      </c>
      <c r="H8726" s="60">
        <v>0.333333333333333</v>
      </c>
      <c r="I8726" s="60">
        <v>7.25388299999999</v>
      </c>
      <c r="J8726" s="59">
        <v>5.0</v>
      </c>
      <c r="K8726" s="61">
        <f t="shared" si="1"/>
        <v>1</v>
      </c>
      <c r="L8726" s="62">
        <f t="shared" si="2"/>
        <v>1.666666667</v>
      </c>
    </row>
    <row r="8727">
      <c r="A8727" s="58">
        <v>45352.0</v>
      </c>
      <c r="B8727" s="24" t="s">
        <v>7296</v>
      </c>
      <c r="C8727" s="24" t="s">
        <v>6788</v>
      </c>
      <c r="D8727" s="59">
        <v>2.0</v>
      </c>
      <c r="E8727" s="59">
        <v>2.0</v>
      </c>
      <c r="F8727" s="59">
        <v>2.0</v>
      </c>
      <c r="G8727" s="60">
        <v>1.0</v>
      </c>
      <c r="H8727" s="60">
        <v>0.0</v>
      </c>
      <c r="I8727" s="60">
        <v>50.1648105</v>
      </c>
      <c r="J8727" s="59">
        <v>8.0</v>
      </c>
      <c r="K8727" s="61">
        <f t="shared" si="1"/>
        <v>1</v>
      </c>
      <c r="L8727" s="62">
        <f t="shared" si="2"/>
        <v>4</v>
      </c>
    </row>
    <row r="8728">
      <c r="A8728" s="58">
        <v>45352.0</v>
      </c>
      <c r="B8728" s="24" t="s">
        <v>155</v>
      </c>
      <c r="C8728" s="24" t="s">
        <v>6804</v>
      </c>
      <c r="D8728" s="59">
        <v>2.0</v>
      </c>
      <c r="E8728" s="59">
        <v>2.0</v>
      </c>
      <c r="F8728" s="59">
        <v>2.0</v>
      </c>
      <c r="G8728" s="60">
        <v>1.0</v>
      </c>
      <c r="H8728" s="60">
        <v>0.0</v>
      </c>
      <c r="I8728" s="60">
        <v>147.19992</v>
      </c>
      <c r="J8728" s="59">
        <v>6.0</v>
      </c>
      <c r="K8728" s="61">
        <f t="shared" si="1"/>
        <v>1</v>
      </c>
      <c r="L8728" s="62">
        <f t="shared" si="2"/>
        <v>3</v>
      </c>
    </row>
    <row r="8729">
      <c r="A8729" s="58">
        <v>45352.0</v>
      </c>
      <c r="B8729" s="24" t="s">
        <v>6787</v>
      </c>
      <c r="C8729" s="24" t="s">
        <v>7058</v>
      </c>
      <c r="D8729" s="59">
        <v>2.0</v>
      </c>
      <c r="E8729" s="59">
        <v>2.0</v>
      </c>
      <c r="F8729" s="59">
        <v>2.0</v>
      </c>
      <c r="G8729" s="60">
        <v>1.0</v>
      </c>
      <c r="H8729" s="60">
        <v>0.5</v>
      </c>
      <c r="I8729" s="60">
        <v>114.436583</v>
      </c>
      <c r="J8729" s="59">
        <v>2.0</v>
      </c>
      <c r="K8729" s="61">
        <f t="shared" si="1"/>
        <v>1</v>
      </c>
      <c r="L8729" s="62">
        <f t="shared" si="2"/>
        <v>1</v>
      </c>
    </row>
    <row r="8730">
      <c r="A8730" s="58">
        <v>45352.0</v>
      </c>
      <c r="B8730" s="24" t="s">
        <v>6787</v>
      </c>
      <c r="C8730" s="24" t="s">
        <v>6986</v>
      </c>
      <c r="D8730" s="59">
        <v>2.0</v>
      </c>
      <c r="E8730" s="59">
        <v>2.0</v>
      </c>
      <c r="F8730" s="59">
        <v>2.0</v>
      </c>
      <c r="G8730" s="60">
        <v>1.0</v>
      </c>
      <c r="H8730" s="60">
        <v>0.5</v>
      </c>
      <c r="I8730" s="60">
        <v>0.2091175</v>
      </c>
      <c r="J8730" s="59">
        <v>3.0</v>
      </c>
      <c r="K8730" s="61">
        <f t="shared" si="1"/>
        <v>1</v>
      </c>
      <c r="L8730" s="62">
        <f t="shared" si="2"/>
        <v>1.5</v>
      </c>
    </row>
    <row r="8731">
      <c r="A8731" s="58">
        <v>45352.0</v>
      </c>
      <c r="B8731" s="24" t="s">
        <v>6789</v>
      </c>
      <c r="C8731" s="24" t="s">
        <v>6986</v>
      </c>
      <c r="D8731" s="59">
        <v>2.0</v>
      </c>
      <c r="E8731" s="59">
        <v>2.0</v>
      </c>
      <c r="F8731" s="59">
        <v>2.0</v>
      </c>
      <c r="G8731" s="60">
        <v>1.0</v>
      </c>
      <c r="H8731" s="60">
        <v>0.5</v>
      </c>
      <c r="I8731" s="60">
        <v>6.632973</v>
      </c>
      <c r="J8731" s="59">
        <v>2.0</v>
      </c>
      <c r="K8731" s="61">
        <f t="shared" si="1"/>
        <v>1</v>
      </c>
      <c r="L8731" s="62">
        <f t="shared" si="2"/>
        <v>1</v>
      </c>
    </row>
    <row r="8732">
      <c r="A8732" s="58">
        <v>45352.0</v>
      </c>
      <c r="B8732" s="24" t="s">
        <v>6789</v>
      </c>
      <c r="C8732" s="24" t="s">
        <v>6867</v>
      </c>
      <c r="D8732" s="59">
        <v>2.0</v>
      </c>
      <c r="E8732" s="59">
        <v>2.0</v>
      </c>
      <c r="F8732" s="59">
        <v>2.0</v>
      </c>
      <c r="G8732" s="60">
        <v>1.0</v>
      </c>
      <c r="H8732" s="60">
        <v>0.5</v>
      </c>
      <c r="I8732" s="60">
        <v>25.9708635</v>
      </c>
      <c r="J8732" s="59">
        <v>3.0</v>
      </c>
      <c r="K8732" s="61">
        <f t="shared" si="1"/>
        <v>1</v>
      </c>
      <c r="L8732" s="62">
        <f t="shared" si="2"/>
        <v>1.5</v>
      </c>
    </row>
    <row r="8733">
      <c r="A8733" s="58">
        <v>45352.0</v>
      </c>
      <c r="B8733" s="24" t="s">
        <v>6789</v>
      </c>
      <c r="C8733" s="24" t="s">
        <v>6991</v>
      </c>
      <c r="D8733" s="59">
        <v>2.0</v>
      </c>
      <c r="E8733" s="59">
        <v>2.0</v>
      </c>
      <c r="F8733" s="59">
        <v>1.0</v>
      </c>
      <c r="G8733" s="60">
        <v>1.0</v>
      </c>
      <c r="H8733" s="60">
        <v>0.0</v>
      </c>
      <c r="I8733" s="60">
        <v>10.315335</v>
      </c>
      <c r="J8733" s="59">
        <v>4.0</v>
      </c>
      <c r="K8733" s="61">
        <f t="shared" si="1"/>
        <v>0.5</v>
      </c>
      <c r="L8733" s="62">
        <f t="shared" si="2"/>
        <v>2</v>
      </c>
    </row>
    <row r="8734">
      <c r="A8734" s="58">
        <v>45352.0</v>
      </c>
      <c r="B8734" s="24" t="s">
        <v>6787</v>
      </c>
      <c r="C8734" s="24" t="s">
        <v>6992</v>
      </c>
      <c r="D8734" s="59">
        <v>2.0</v>
      </c>
      <c r="E8734" s="59">
        <v>2.0</v>
      </c>
      <c r="F8734" s="59">
        <v>2.0</v>
      </c>
      <c r="G8734" s="60">
        <v>1.0</v>
      </c>
      <c r="H8734" s="60">
        <v>1.0</v>
      </c>
      <c r="I8734" s="60">
        <v>0.0</v>
      </c>
      <c r="J8734" s="59">
        <v>2.0</v>
      </c>
      <c r="K8734" s="61">
        <f t="shared" si="1"/>
        <v>1</v>
      </c>
      <c r="L8734" s="62">
        <f t="shared" si="2"/>
        <v>1</v>
      </c>
    </row>
    <row r="8735">
      <c r="A8735" s="58">
        <v>45352.0</v>
      </c>
      <c r="B8735" s="24" t="s">
        <v>6789</v>
      </c>
      <c r="C8735" s="24" t="s">
        <v>6820</v>
      </c>
      <c r="D8735" s="59">
        <v>2.0</v>
      </c>
      <c r="E8735" s="59">
        <v>4.0</v>
      </c>
      <c r="F8735" s="59">
        <v>0.0</v>
      </c>
      <c r="G8735" s="60">
        <v>2.0</v>
      </c>
      <c r="H8735" s="60">
        <v>0.0</v>
      </c>
      <c r="I8735" s="60">
        <v>375.75142825</v>
      </c>
      <c r="J8735" s="59">
        <v>28.0</v>
      </c>
      <c r="K8735" s="61">
        <f t="shared" si="1"/>
        <v>0</v>
      </c>
      <c r="L8735" s="62">
        <f t="shared" si="2"/>
        <v>7</v>
      </c>
    </row>
    <row r="8736">
      <c r="A8736" s="58">
        <v>45352.0</v>
      </c>
      <c r="B8736" s="24" t="s">
        <v>6787</v>
      </c>
      <c r="C8736" s="24" t="s">
        <v>6997</v>
      </c>
      <c r="D8736" s="59">
        <v>2.0</v>
      </c>
      <c r="E8736" s="59">
        <v>2.0</v>
      </c>
      <c r="F8736" s="59">
        <v>1.0</v>
      </c>
      <c r="G8736" s="60">
        <v>1.0</v>
      </c>
      <c r="H8736" s="60">
        <v>0.0</v>
      </c>
      <c r="I8736" s="60">
        <v>215.079605999999</v>
      </c>
      <c r="J8736" s="59">
        <v>6.0</v>
      </c>
      <c r="K8736" s="61">
        <f t="shared" si="1"/>
        <v>0.5</v>
      </c>
      <c r="L8736" s="62">
        <f t="shared" si="2"/>
        <v>3</v>
      </c>
    </row>
    <row r="8737">
      <c r="A8737" s="58">
        <v>45352.0</v>
      </c>
      <c r="B8737" s="24" t="s">
        <v>6787</v>
      </c>
      <c r="C8737" s="24" t="s">
        <v>6892</v>
      </c>
      <c r="D8737" s="59">
        <v>2.0</v>
      </c>
      <c r="E8737" s="59">
        <v>2.0</v>
      </c>
      <c r="F8737" s="59">
        <v>2.0</v>
      </c>
      <c r="G8737" s="60">
        <v>1.0</v>
      </c>
      <c r="H8737" s="60">
        <v>0.0</v>
      </c>
      <c r="I8737" s="60">
        <v>474.226618</v>
      </c>
      <c r="J8737" s="59">
        <v>3.0</v>
      </c>
      <c r="K8737" s="61">
        <f t="shared" si="1"/>
        <v>1</v>
      </c>
      <c r="L8737" s="62">
        <f t="shared" si="2"/>
        <v>1.5</v>
      </c>
    </row>
    <row r="8738">
      <c r="A8738" s="58">
        <v>45352.0</v>
      </c>
      <c r="B8738" s="24" t="s">
        <v>6787</v>
      </c>
      <c r="C8738" s="24" t="s">
        <v>7129</v>
      </c>
      <c r="D8738" s="59">
        <v>2.0</v>
      </c>
      <c r="E8738" s="59">
        <v>2.0</v>
      </c>
      <c r="F8738" s="59">
        <v>2.0</v>
      </c>
      <c r="G8738" s="60">
        <v>1.0</v>
      </c>
      <c r="H8738" s="60">
        <v>0.0</v>
      </c>
      <c r="I8738" s="60">
        <v>19.681105</v>
      </c>
      <c r="J8738" s="59">
        <v>6.0</v>
      </c>
      <c r="K8738" s="61">
        <f t="shared" si="1"/>
        <v>1</v>
      </c>
      <c r="L8738" s="62">
        <f t="shared" si="2"/>
        <v>3</v>
      </c>
    </row>
    <row r="8739">
      <c r="A8739" s="58">
        <v>45352.0</v>
      </c>
      <c r="B8739" s="24" t="s">
        <v>6787</v>
      </c>
      <c r="C8739" s="24" t="s">
        <v>6896</v>
      </c>
      <c r="D8739" s="59">
        <v>2.0</v>
      </c>
      <c r="E8739" s="59">
        <v>2.0</v>
      </c>
      <c r="F8739" s="59">
        <v>2.0</v>
      </c>
      <c r="G8739" s="60">
        <v>1.0</v>
      </c>
      <c r="H8739" s="60">
        <v>1.0</v>
      </c>
      <c r="I8739" s="60">
        <v>202.186341</v>
      </c>
      <c r="J8739" s="59">
        <v>2.0</v>
      </c>
      <c r="K8739" s="61">
        <f t="shared" si="1"/>
        <v>1</v>
      </c>
      <c r="L8739" s="62">
        <f t="shared" si="2"/>
        <v>1</v>
      </c>
    </row>
    <row r="8740">
      <c r="A8740" s="58">
        <v>45352.0</v>
      </c>
      <c r="B8740" s="24" t="s">
        <v>6787</v>
      </c>
      <c r="C8740" s="24" t="s">
        <v>6905</v>
      </c>
      <c r="D8740" s="59">
        <v>2.0</v>
      </c>
      <c r="E8740" s="59">
        <v>2.0</v>
      </c>
      <c r="F8740" s="59">
        <v>2.0</v>
      </c>
      <c r="G8740" s="60">
        <v>1.0</v>
      </c>
      <c r="H8740" s="60">
        <v>0.0</v>
      </c>
      <c r="I8740" s="60">
        <v>6.9526785</v>
      </c>
      <c r="J8740" s="59">
        <v>4.0</v>
      </c>
      <c r="K8740" s="61">
        <f t="shared" si="1"/>
        <v>1</v>
      </c>
      <c r="L8740" s="62">
        <f t="shared" si="2"/>
        <v>2</v>
      </c>
    </row>
    <row r="8741">
      <c r="A8741" s="58">
        <v>45352.0</v>
      </c>
      <c r="B8741" s="24" t="s">
        <v>6789</v>
      </c>
      <c r="C8741" s="24" t="s">
        <v>6905</v>
      </c>
      <c r="D8741" s="59">
        <v>2.0</v>
      </c>
      <c r="E8741" s="59">
        <v>2.0</v>
      </c>
      <c r="F8741" s="59">
        <v>0.0</v>
      </c>
      <c r="G8741" s="60">
        <v>1.0</v>
      </c>
      <c r="H8741" s="60">
        <v>0.0</v>
      </c>
      <c r="I8741" s="60">
        <v>112.244695</v>
      </c>
      <c r="J8741" s="59">
        <v>4.0</v>
      </c>
      <c r="K8741" s="61">
        <f t="shared" si="1"/>
        <v>0</v>
      </c>
      <c r="L8741" s="62">
        <f t="shared" si="2"/>
        <v>2</v>
      </c>
    </row>
    <row r="8742">
      <c r="A8742" s="58">
        <v>45352.0</v>
      </c>
      <c r="B8742" s="24" t="s">
        <v>6787</v>
      </c>
      <c r="C8742" s="24" t="s">
        <v>7034</v>
      </c>
      <c r="D8742" s="59">
        <v>2.0</v>
      </c>
      <c r="E8742" s="59">
        <v>2.0</v>
      </c>
      <c r="F8742" s="59">
        <v>1.0</v>
      </c>
      <c r="G8742" s="60">
        <v>1.0</v>
      </c>
      <c r="H8742" s="60">
        <v>0.0</v>
      </c>
      <c r="I8742" s="60">
        <v>811.3448265</v>
      </c>
      <c r="J8742" s="59">
        <v>6.0</v>
      </c>
      <c r="K8742" s="61">
        <f t="shared" si="1"/>
        <v>0.5</v>
      </c>
      <c r="L8742" s="62">
        <f t="shared" si="2"/>
        <v>3</v>
      </c>
    </row>
    <row r="8743">
      <c r="A8743" s="58">
        <v>45352.0</v>
      </c>
      <c r="B8743" s="24" t="s">
        <v>3216</v>
      </c>
      <c r="C8743" s="24" t="s">
        <v>7034</v>
      </c>
      <c r="D8743" s="59">
        <v>2.0</v>
      </c>
      <c r="E8743" s="59">
        <v>2.0</v>
      </c>
      <c r="F8743" s="59">
        <v>2.0</v>
      </c>
      <c r="G8743" s="60">
        <v>1.0</v>
      </c>
      <c r="H8743" s="60">
        <v>1.0</v>
      </c>
      <c r="I8743" s="60">
        <v>0.0</v>
      </c>
      <c r="J8743" s="59">
        <v>2.0</v>
      </c>
      <c r="K8743" s="61">
        <f t="shared" si="1"/>
        <v>1</v>
      </c>
      <c r="L8743" s="62">
        <f t="shared" si="2"/>
        <v>1</v>
      </c>
    </row>
    <row r="8744">
      <c r="A8744" s="58">
        <v>45352.0</v>
      </c>
      <c r="B8744" s="24" t="s">
        <v>6789</v>
      </c>
      <c r="C8744" s="24" t="s">
        <v>7571</v>
      </c>
      <c r="D8744" s="59">
        <v>2.0</v>
      </c>
      <c r="E8744" s="59">
        <v>2.0</v>
      </c>
      <c r="F8744" s="59">
        <v>2.0</v>
      </c>
      <c r="G8744" s="60">
        <v>1.0</v>
      </c>
      <c r="H8744" s="60">
        <v>0.0</v>
      </c>
      <c r="I8744" s="60">
        <v>66.550833</v>
      </c>
      <c r="J8744" s="59">
        <v>5.0</v>
      </c>
      <c r="K8744" s="61">
        <f t="shared" si="1"/>
        <v>1</v>
      </c>
      <c r="L8744" s="62">
        <f t="shared" si="2"/>
        <v>2.5</v>
      </c>
    </row>
    <row r="8745">
      <c r="A8745" s="58">
        <v>45352.0</v>
      </c>
      <c r="B8745" s="24" t="s">
        <v>6789</v>
      </c>
      <c r="C8745" s="24" t="s">
        <v>7574</v>
      </c>
      <c r="D8745" s="59">
        <v>2.0</v>
      </c>
      <c r="E8745" s="59">
        <v>2.0</v>
      </c>
      <c r="F8745" s="59">
        <v>1.0</v>
      </c>
      <c r="G8745" s="60">
        <v>1.0</v>
      </c>
      <c r="H8745" s="60">
        <v>0.5</v>
      </c>
      <c r="I8745" s="60">
        <v>25.4864425</v>
      </c>
      <c r="J8745" s="59">
        <v>2.0</v>
      </c>
      <c r="K8745" s="61">
        <f t="shared" si="1"/>
        <v>0.5</v>
      </c>
      <c r="L8745" s="62">
        <f t="shared" si="2"/>
        <v>1</v>
      </c>
    </row>
    <row r="8746">
      <c r="A8746" s="58">
        <v>45352.0</v>
      </c>
      <c r="B8746" s="24" t="s">
        <v>6787</v>
      </c>
      <c r="C8746" s="24" t="s">
        <v>6808</v>
      </c>
      <c r="D8746" s="59">
        <v>2.0</v>
      </c>
      <c r="E8746" s="59">
        <v>2.0</v>
      </c>
      <c r="F8746" s="59">
        <v>2.0</v>
      </c>
      <c r="G8746" s="60">
        <v>1.0</v>
      </c>
      <c r="H8746" s="60">
        <v>0.5</v>
      </c>
      <c r="I8746" s="60">
        <v>4.29487</v>
      </c>
      <c r="J8746" s="59">
        <v>3.0</v>
      </c>
      <c r="K8746" s="61">
        <f t="shared" si="1"/>
        <v>1</v>
      </c>
      <c r="L8746" s="62">
        <f t="shared" si="2"/>
        <v>1.5</v>
      </c>
    </row>
    <row r="8747">
      <c r="A8747" s="58">
        <v>45352.0</v>
      </c>
      <c r="B8747" s="24" t="s">
        <v>6787</v>
      </c>
      <c r="C8747" s="24" t="s">
        <v>7087</v>
      </c>
      <c r="D8747" s="59">
        <v>2.0</v>
      </c>
      <c r="E8747" s="59">
        <v>2.0</v>
      </c>
      <c r="F8747" s="59">
        <v>2.0</v>
      </c>
      <c r="G8747" s="60">
        <v>1.0</v>
      </c>
      <c r="H8747" s="60">
        <v>0.0</v>
      </c>
      <c r="I8747" s="60">
        <v>4.6888885</v>
      </c>
      <c r="J8747" s="59">
        <v>4.0</v>
      </c>
      <c r="K8747" s="61">
        <f t="shared" si="1"/>
        <v>1</v>
      </c>
      <c r="L8747" s="62">
        <f t="shared" si="2"/>
        <v>2</v>
      </c>
    </row>
    <row r="8748">
      <c r="A8748" s="58">
        <v>45352.0</v>
      </c>
      <c r="B8748" s="24" t="s">
        <v>6787</v>
      </c>
      <c r="C8748" s="24" t="s">
        <v>7101</v>
      </c>
      <c r="D8748" s="59">
        <v>2.0</v>
      </c>
      <c r="E8748" s="59">
        <v>2.0</v>
      </c>
      <c r="F8748" s="59">
        <v>2.0</v>
      </c>
      <c r="G8748" s="60">
        <v>1.0</v>
      </c>
      <c r="H8748" s="60">
        <v>0.5</v>
      </c>
      <c r="I8748" s="60">
        <v>1.7273535</v>
      </c>
      <c r="J8748" s="59">
        <v>3.0</v>
      </c>
      <c r="K8748" s="61">
        <f t="shared" si="1"/>
        <v>1</v>
      </c>
      <c r="L8748" s="62">
        <f t="shared" si="2"/>
        <v>1.5</v>
      </c>
    </row>
    <row r="8749">
      <c r="A8749" s="58">
        <v>45352.0</v>
      </c>
      <c r="B8749" s="24" t="s">
        <v>6789</v>
      </c>
      <c r="C8749" s="24" t="s">
        <v>7044</v>
      </c>
      <c r="D8749" s="59">
        <v>2.0</v>
      </c>
      <c r="E8749" s="59">
        <v>2.0</v>
      </c>
      <c r="F8749" s="59">
        <v>2.0</v>
      </c>
      <c r="G8749" s="60">
        <v>1.0</v>
      </c>
      <c r="H8749" s="60">
        <v>0.0</v>
      </c>
      <c r="I8749" s="60">
        <v>125.586113</v>
      </c>
      <c r="J8749" s="59">
        <v>6.0</v>
      </c>
      <c r="K8749" s="61">
        <f t="shared" si="1"/>
        <v>1</v>
      </c>
      <c r="L8749" s="62">
        <f t="shared" si="2"/>
        <v>3</v>
      </c>
    </row>
    <row r="8750">
      <c r="A8750" s="58">
        <v>45352.0</v>
      </c>
      <c r="B8750" s="24" t="s">
        <v>6789</v>
      </c>
      <c r="C8750" s="24" t="s">
        <v>6908</v>
      </c>
      <c r="D8750" s="59">
        <v>2.0</v>
      </c>
      <c r="E8750" s="59">
        <v>3.0</v>
      </c>
      <c r="F8750" s="59">
        <v>0.0</v>
      </c>
      <c r="G8750" s="60">
        <v>1.5</v>
      </c>
      <c r="H8750" s="60">
        <v>0.0</v>
      </c>
      <c r="I8750" s="60">
        <v>685.288742</v>
      </c>
      <c r="J8750" s="59">
        <v>16.0</v>
      </c>
      <c r="K8750" s="61">
        <f t="shared" si="1"/>
        <v>0</v>
      </c>
      <c r="L8750" s="62">
        <f t="shared" si="2"/>
        <v>5.333333333</v>
      </c>
    </row>
    <row r="8751">
      <c r="A8751" s="58">
        <v>45352.0</v>
      </c>
      <c r="B8751" s="24" t="s">
        <v>6789</v>
      </c>
      <c r="C8751" s="24" t="s">
        <v>7174</v>
      </c>
      <c r="D8751" s="59">
        <v>2.0</v>
      </c>
      <c r="E8751" s="59">
        <v>2.0</v>
      </c>
      <c r="F8751" s="59">
        <v>0.0</v>
      </c>
      <c r="G8751" s="60">
        <v>1.0</v>
      </c>
      <c r="H8751" s="60">
        <v>0.0</v>
      </c>
      <c r="I8751" s="60">
        <v>1388.035366</v>
      </c>
      <c r="J8751" s="59">
        <v>10.0</v>
      </c>
      <c r="K8751" s="61">
        <f t="shared" si="1"/>
        <v>0</v>
      </c>
      <c r="L8751" s="62">
        <f t="shared" si="2"/>
        <v>5</v>
      </c>
    </row>
    <row r="8752">
      <c r="A8752" s="58">
        <v>45352.0</v>
      </c>
      <c r="B8752" s="24" t="s">
        <v>6789</v>
      </c>
      <c r="C8752" s="24" t="s">
        <v>7403</v>
      </c>
      <c r="D8752" s="59">
        <v>2.0</v>
      </c>
      <c r="E8752" s="59">
        <v>2.0</v>
      </c>
      <c r="F8752" s="59">
        <v>0.0</v>
      </c>
      <c r="G8752" s="60">
        <v>1.0</v>
      </c>
      <c r="H8752" s="60">
        <v>0.0</v>
      </c>
      <c r="I8752" s="60">
        <v>147.559088</v>
      </c>
      <c r="J8752" s="59">
        <v>6.0</v>
      </c>
      <c r="K8752" s="61">
        <f t="shared" si="1"/>
        <v>0</v>
      </c>
      <c r="L8752" s="62">
        <f t="shared" si="2"/>
        <v>3</v>
      </c>
    </row>
    <row r="8753">
      <c r="A8753" s="58">
        <v>45352.0</v>
      </c>
      <c r="B8753" s="24" t="s">
        <v>6789</v>
      </c>
      <c r="C8753" s="24" t="s">
        <v>7192</v>
      </c>
      <c r="D8753" s="59">
        <v>2.0</v>
      </c>
      <c r="E8753" s="59">
        <v>3.0</v>
      </c>
      <c r="F8753" s="59">
        <v>1.0</v>
      </c>
      <c r="G8753" s="60">
        <v>1.5</v>
      </c>
      <c r="H8753" s="60">
        <v>0.0</v>
      </c>
      <c r="I8753" s="60">
        <v>1366.02506466666</v>
      </c>
      <c r="J8753" s="59">
        <v>32.0</v>
      </c>
      <c r="K8753" s="61">
        <f t="shared" si="1"/>
        <v>0.3333333333</v>
      </c>
      <c r="L8753" s="62">
        <f t="shared" si="2"/>
        <v>10.66666667</v>
      </c>
    </row>
    <row r="8754">
      <c r="A8754" s="58">
        <v>45352.0</v>
      </c>
      <c r="B8754" s="24" t="s">
        <v>6787</v>
      </c>
      <c r="C8754" s="24" t="s">
        <v>7588</v>
      </c>
      <c r="D8754" s="59">
        <v>2.0</v>
      </c>
      <c r="E8754" s="59">
        <v>2.0</v>
      </c>
      <c r="F8754" s="59">
        <v>2.0</v>
      </c>
      <c r="G8754" s="60">
        <v>1.0</v>
      </c>
      <c r="H8754" s="60">
        <v>0.5</v>
      </c>
      <c r="I8754" s="60">
        <v>4.75939649999999</v>
      </c>
      <c r="J8754" s="59">
        <v>3.0</v>
      </c>
      <c r="K8754" s="61">
        <f t="shared" si="1"/>
        <v>1</v>
      </c>
      <c r="L8754" s="62">
        <f t="shared" si="2"/>
        <v>1.5</v>
      </c>
    </row>
    <row r="8755">
      <c r="A8755" s="58">
        <v>45352.0</v>
      </c>
      <c r="B8755" s="24" t="s">
        <v>6787</v>
      </c>
      <c r="C8755" s="24" t="s">
        <v>6921</v>
      </c>
      <c r="D8755" s="59">
        <v>2.0</v>
      </c>
      <c r="E8755" s="59">
        <v>2.0</v>
      </c>
      <c r="F8755" s="59">
        <v>2.0</v>
      </c>
      <c r="G8755" s="60">
        <v>1.0</v>
      </c>
      <c r="H8755" s="60">
        <v>0.0</v>
      </c>
      <c r="I8755" s="60">
        <v>42.366714</v>
      </c>
      <c r="J8755" s="59">
        <v>4.0</v>
      </c>
      <c r="K8755" s="61">
        <f t="shared" si="1"/>
        <v>1</v>
      </c>
      <c r="L8755" s="62">
        <f t="shared" si="2"/>
        <v>2</v>
      </c>
    </row>
    <row r="8756">
      <c r="A8756" s="58">
        <v>45352.0</v>
      </c>
      <c r="B8756" s="24" t="s">
        <v>3216</v>
      </c>
      <c r="C8756" s="24" t="s">
        <v>6797</v>
      </c>
      <c r="D8756" s="59">
        <v>2.0</v>
      </c>
      <c r="E8756" s="59">
        <v>3.0</v>
      </c>
      <c r="F8756" s="59">
        <v>0.0</v>
      </c>
      <c r="G8756" s="60">
        <v>1.5</v>
      </c>
      <c r="H8756" s="60">
        <v>0.0</v>
      </c>
      <c r="I8756" s="60">
        <v>64.34419</v>
      </c>
      <c r="J8756" s="59">
        <v>14.0</v>
      </c>
      <c r="K8756" s="61">
        <f t="shared" si="1"/>
        <v>0</v>
      </c>
      <c r="L8756" s="62">
        <f t="shared" si="2"/>
        <v>4.666666667</v>
      </c>
    </row>
    <row r="8757">
      <c r="A8757" s="58">
        <v>45352.0</v>
      </c>
      <c r="B8757" s="24" t="s">
        <v>6787</v>
      </c>
      <c r="C8757" s="24" t="s">
        <v>6931</v>
      </c>
      <c r="D8757" s="59">
        <v>2.0</v>
      </c>
      <c r="E8757" s="59">
        <v>2.0</v>
      </c>
      <c r="F8757" s="59">
        <v>2.0</v>
      </c>
      <c r="G8757" s="60">
        <v>1.0</v>
      </c>
      <c r="H8757" s="60">
        <v>1.0</v>
      </c>
      <c r="I8757" s="60">
        <v>0.0</v>
      </c>
      <c r="J8757" s="59">
        <v>2.0</v>
      </c>
      <c r="K8757" s="61">
        <f t="shared" si="1"/>
        <v>1</v>
      </c>
      <c r="L8757" s="62">
        <f t="shared" si="2"/>
        <v>1</v>
      </c>
    </row>
    <row r="8758">
      <c r="A8758" s="58">
        <v>45352.0</v>
      </c>
      <c r="B8758" s="24" t="s">
        <v>155</v>
      </c>
      <c r="C8758" s="24" t="s">
        <v>6802</v>
      </c>
      <c r="D8758" s="59">
        <v>2.0</v>
      </c>
      <c r="E8758" s="59">
        <v>2.0</v>
      </c>
      <c r="F8758" s="59">
        <v>0.0</v>
      </c>
      <c r="G8758" s="60">
        <v>1.0</v>
      </c>
      <c r="H8758" s="60">
        <v>0.0</v>
      </c>
      <c r="I8758" s="60">
        <v>866.0816645</v>
      </c>
      <c r="J8758" s="59">
        <v>8.0</v>
      </c>
      <c r="K8758" s="61">
        <f t="shared" si="1"/>
        <v>0</v>
      </c>
      <c r="L8758" s="62">
        <f t="shared" si="2"/>
        <v>4</v>
      </c>
    </row>
    <row r="8759">
      <c r="A8759" s="58">
        <v>45352.0</v>
      </c>
      <c r="B8759" s="24" t="s">
        <v>6790</v>
      </c>
      <c r="C8759" s="24" t="s">
        <v>6792</v>
      </c>
      <c r="D8759" s="59">
        <v>1.0</v>
      </c>
      <c r="E8759" s="59">
        <v>1.0</v>
      </c>
      <c r="F8759" s="59">
        <v>0.0</v>
      </c>
      <c r="G8759" s="60">
        <v>1.0</v>
      </c>
      <c r="H8759" s="60">
        <v>1.0</v>
      </c>
      <c r="I8759" s="60">
        <v>0.0</v>
      </c>
      <c r="J8759" s="59">
        <v>0.0</v>
      </c>
      <c r="K8759" s="61">
        <f t="shared" si="1"/>
        <v>0</v>
      </c>
      <c r="L8759" s="62">
        <f t="shared" si="2"/>
        <v>0</v>
      </c>
    </row>
    <row r="8760">
      <c r="A8760" s="58">
        <v>45352.0</v>
      </c>
      <c r="B8760" s="24" t="s">
        <v>7030</v>
      </c>
      <c r="C8760" s="24" t="s">
        <v>6788</v>
      </c>
      <c r="D8760" s="59">
        <v>1.0</v>
      </c>
      <c r="E8760" s="59">
        <v>1.0</v>
      </c>
      <c r="F8760" s="59">
        <v>0.0</v>
      </c>
      <c r="G8760" s="60">
        <v>1.0</v>
      </c>
      <c r="H8760" s="60">
        <v>0.0</v>
      </c>
      <c r="I8760" s="60">
        <v>189.201895</v>
      </c>
      <c r="J8760" s="59">
        <v>6.0</v>
      </c>
      <c r="K8760" s="61">
        <f t="shared" si="1"/>
        <v>0</v>
      </c>
      <c r="L8760" s="62">
        <f t="shared" si="2"/>
        <v>6</v>
      </c>
    </row>
    <row r="8761">
      <c r="A8761" s="58">
        <v>45352.0</v>
      </c>
      <c r="B8761" s="24" t="s">
        <v>6942</v>
      </c>
      <c r="C8761" s="24" t="s">
        <v>6788</v>
      </c>
      <c r="D8761" s="59">
        <v>1.0</v>
      </c>
      <c r="E8761" s="59">
        <v>1.0</v>
      </c>
      <c r="F8761" s="59">
        <v>1.0</v>
      </c>
      <c r="G8761" s="60">
        <v>1.0</v>
      </c>
      <c r="H8761" s="60">
        <v>0.0</v>
      </c>
      <c r="I8761" s="60">
        <v>6.599993</v>
      </c>
      <c r="J8761" s="59">
        <v>2.0</v>
      </c>
      <c r="K8761" s="61">
        <f t="shared" si="1"/>
        <v>1</v>
      </c>
      <c r="L8761" s="62">
        <f t="shared" si="2"/>
        <v>2</v>
      </c>
    </row>
    <row r="8762">
      <c r="A8762" s="58">
        <v>45352.0</v>
      </c>
      <c r="B8762" s="24" t="s">
        <v>6791</v>
      </c>
      <c r="C8762" s="24" t="s">
        <v>6788</v>
      </c>
      <c r="D8762" s="59">
        <v>1.0</v>
      </c>
      <c r="E8762" s="59">
        <v>5.0</v>
      </c>
      <c r="F8762" s="59">
        <v>0.0</v>
      </c>
      <c r="G8762" s="60">
        <v>5.0</v>
      </c>
      <c r="H8762" s="60">
        <v>0.0</v>
      </c>
      <c r="I8762" s="60">
        <v>236.995329799999</v>
      </c>
      <c r="J8762" s="59">
        <v>32.0</v>
      </c>
      <c r="K8762" s="61">
        <f t="shared" si="1"/>
        <v>0</v>
      </c>
      <c r="L8762" s="62">
        <f t="shared" si="2"/>
        <v>6.4</v>
      </c>
    </row>
    <row r="8763">
      <c r="A8763" s="58">
        <v>45352.0</v>
      </c>
      <c r="B8763" s="24" t="s">
        <v>6787</v>
      </c>
      <c r="C8763" s="24" t="s">
        <v>6965</v>
      </c>
      <c r="D8763" s="59">
        <v>1.0</v>
      </c>
      <c r="E8763" s="59">
        <v>1.0</v>
      </c>
      <c r="F8763" s="59">
        <v>1.0</v>
      </c>
      <c r="G8763" s="60">
        <v>1.0</v>
      </c>
      <c r="H8763" s="60">
        <v>0.0</v>
      </c>
      <c r="I8763" s="60">
        <v>0.885476</v>
      </c>
      <c r="J8763" s="59">
        <v>2.0</v>
      </c>
      <c r="K8763" s="61">
        <f t="shared" si="1"/>
        <v>1</v>
      </c>
      <c r="L8763" s="62">
        <f t="shared" si="2"/>
        <v>2</v>
      </c>
    </row>
    <row r="8764">
      <c r="A8764" s="58">
        <v>45352.0</v>
      </c>
      <c r="B8764" s="24" t="s">
        <v>6787</v>
      </c>
      <c r="C8764" s="24" t="s">
        <v>7194</v>
      </c>
      <c r="D8764" s="59">
        <v>1.0</v>
      </c>
      <c r="E8764" s="59">
        <v>1.0</v>
      </c>
      <c r="F8764" s="59">
        <v>0.0</v>
      </c>
      <c r="G8764" s="60">
        <v>1.0</v>
      </c>
      <c r="H8764" s="60">
        <v>0.0</v>
      </c>
      <c r="I8764" s="60">
        <v>2.305616</v>
      </c>
      <c r="J8764" s="59">
        <v>2.0</v>
      </c>
      <c r="K8764" s="61">
        <f t="shared" si="1"/>
        <v>0</v>
      </c>
      <c r="L8764" s="62">
        <f t="shared" si="2"/>
        <v>2</v>
      </c>
    </row>
    <row r="8765">
      <c r="A8765" s="58">
        <v>45352.0</v>
      </c>
      <c r="B8765" s="24" t="s">
        <v>6794</v>
      </c>
      <c r="C8765" s="24" t="s">
        <v>6803</v>
      </c>
      <c r="D8765" s="59">
        <v>1.0</v>
      </c>
      <c r="E8765" s="59">
        <v>1.0</v>
      </c>
      <c r="F8765" s="59">
        <v>0.0</v>
      </c>
      <c r="G8765" s="60">
        <v>1.0</v>
      </c>
      <c r="H8765" s="60">
        <v>0.0</v>
      </c>
      <c r="I8765" s="60">
        <v>25.844016</v>
      </c>
      <c r="J8765" s="59">
        <v>2.0</v>
      </c>
      <c r="K8765" s="61">
        <f t="shared" si="1"/>
        <v>0</v>
      </c>
      <c r="L8765" s="62">
        <f t="shared" si="2"/>
        <v>2</v>
      </c>
    </row>
    <row r="8766">
      <c r="A8766" s="58">
        <v>45352.0</v>
      </c>
      <c r="B8766" s="24" t="s">
        <v>6790</v>
      </c>
      <c r="C8766" s="24" t="s">
        <v>6803</v>
      </c>
      <c r="D8766" s="59">
        <v>1.0</v>
      </c>
      <c r="E8766" s="59">
        <v>1.0</v>
      </c>
      <c r="F8766" s="59">
        <v>0.0</v>
      </c>
      <c r="G8766" s="60">
        <v>1.0</v>
      </c>
      <c r="H8766" s="60">
        <v>1.0</v>
      </c>
      <c r="I8766" s="60">
        <v>0.0</v>
      </c>
      <c r="J8766" s="59">
        <v>1.0</v>
      </c>
      <c r="K8766" s="61">
        <f t="shared" si="1"/>
        <v>0</v>
      </c>
      <c r="L8766" s="62">
        <f t="shared" si="2"/>
        <v>1</v>
      </c>
    </row>
    <row r="8767">
      <c r="A8767" s="58">
        <v>45352.0</v>
      </c>
      <c r="B8767" s="24" t="s">
        <v>6787</v>
      </c>
      <c r="C8767" s="24" t="s">
        <v>6953</v>
      </c>
      <c r="D8767" s="59">
        <v>1.0</v>
      </c>
      <c r="E8767" s="59">
        <v>1.0</v>
      </c>
      <c r="F8767" s="59">
        <v>1.0</v>
      </c>
      <c r="G8767" s="60">
        <v>1.0</v>
      </c>
      <c r="H8767" s="60">
        <v>0.0</v>
      </c>
      <c r="I8767" s="60">
        <v>20.086693</v>
      </c>
      <c r="J8767" s="59">
        <v>2.0</v>
      </c>
      <c r="K8767" s="61">
        <f t="shared" si="1"/>
        <v>1</v>
      </c>
      <c r="L8767" s="62">
        <f t="shared" si="2"/>
        <v>2</v>
      </c>
    </row>
    <row r="8768">
      <c r="A8768" s="58">
        <v>45352.0</v>
      </c>
      <c r="B8768" s="24" t="s">
        <v>155</v>
      </c>
      <c r="C8768" s="24" t="s">
        <v>7590</v>
      </c>
      <c r="D8768" s="59">
        <v>1.0</v>
      </c>
      <c r="E8768" s="59">
        <v>1.0</v>
      </c>
      <c r="F8768" s="59">
        <v>0.0</v>
      </c>
      <c r="G8768" s="60">
        <v>1.0</v>
      </c>
      <c r="H8768" s="60">
        <v>0.0</v>
      </c>
      <c r="I8768" s="60">
        <v>1459.000308</v>
      </c>
      <c r="J8768" s="59">
        <v>5.0</v>
      </c>
      <c r="K8768" s="61">
        <f t="shared" si="1"/>
        <v>0</v>
      </c>
      <c r="L8768" s="62">
        <f t="shared" si="2"/>
        <v>5</v>
      </c>
    </row>
    <row r="8769">
      <c r="A8769" s="58">
        <v>45352.0</v>
      </c>
      <c r="B8769" s="24" t="s">
        <v>6789</v>
      </c>
      <c r="C8769" s="24" t="s">
        <v>7060</v>
      </c>
      <c r="D8769" s="59">
        <v>1.0</v>
      </c>
      <c r="E8769" s="59">
        <v>1.0</v>
      </c>
      <c r="F8769" s="59">
        <v>1.0</v>
      </c>
      <c r="G8769" s="60">
        <v>1.0</v>
      </c>
      <c r="H8769" s="60">
        <v>0.0</v>
      </c>
      <c r="I8769" s="60">
        <v>3.660571</v>
      </c>
      <c r="J8769" s="59">
        <v>2.0</v>
      </c>
      <c r="K8769" s="61">
        <f t="shared" si="1"/>
        <v>1</v>
      </c>
      <c r="L8769" s="62">
        <f t="shared" si="2"/>
        <v>2</v>
      </c>
    </row>
    <row r="8770">
      <c r="A8770" s="58">
        <v>45352.0</v>
      </c>
      <c r="B8770" s="24" t="s">
        <v>6787</v>
      </c>
      <c r="C8770" s="24" t="s">
        <v>6867</v>
      </c>
      <c r="D8770" s="59">
        <v>1.0</v>
      </c>
      <c r="E8770" s="59">
        <v>1.0</v>
      </c>
      <c r="F8770" s="59">
        <v>1.0</v>
      </c>
      <c r="G8770" s="60">
        <v>1.0</v>
      </c>
      <c r="H8770" s="60">
        <v>1.0</v>
      </c>
      <c r="I8770" s="60">
        <v>0.0</v>
      </c>
      <c r="J8770" s="59">
        <v>1.0</v>
      </c>
      <c r="K8770" s="61">
        <f t="shared" si="1"/>
        <v>1</v>
      </c>
      <c r="L8770" s="62">
        <f t="shared" si="2"/>
        <v>1</v>
      </c>
    </row>
    <row r="8771">
      <c r="A8771" s="58">
        <v>45352.0</v>
      </c>
      <c r="B8771" s="24" t="s">
        <v>6787</v>
      </c>
      <c r="C8771" s="24" t="s">
        <v>7062</v>
      </c>
      <c r="D8771" s="59">
        <v>1.0</v>
      </c>
      <c r="E8771" s="59">
        <v>1.0</v>
      </c>
      <c r="F8771" s="59">
        <v>1.0</v>
      </c>
      <c r="G8771" s="60">
        <v>1.0</v>
      </c>
      <c r="H8771" s="60">
        <v>0.0</v>
      </c>
      <c r="I8771" s="60">
        <v>76.140521</v>
      </c>
      <c r="J8771" s="59">
        <v>2.0</v>
      </c>
      <c r="K8771" s="61">
        <f t="shared" si="1"/>
        <v>1</v>
      </c>
      <c r="L8771" s="62">
        <f t="shared" si="2"/>
        <v>2</v>
      </c>
    </row>
    <row r="8772">
      <c r="A8772" s="58">
        <v>45352.0</v>
      </c>
      <c r="B8772" s="24" t="s">
        <v>6789</v>
      </c>
      <c r="C8772" s="24" t="s">
        <v>7062</v>
      </c>
      <c r="D8772" s="59">
        <v>1.0</v>
      </c>
      <c r="E8772" s="59">
        <v>1.0</v>
      </c>
      <c r="F8772" s="59">
        <v>1.0</v>
      </c>
      <c r="G8772" s="60">
        <v>1.0</v>
      </c>
      <c r="H8772" s="60">
        <v>0.0</v>
      </c>
      <c r="I8772" s="60">
        <v>190.38005</v>
      </c>
      <c r="J8772" s="59">
        <v>6.0</v>
      </c>
      <c r="K8772" s="61">
        <f t="shared" si="1"/>
        <v>1</v>
      </c>
      <c r="L8772" s="62">
        <f t="shared" si="2"/>
        <v>6</v>
      </c>
    </row>
    <row r="8773">
      <c r="A8773" s="58">
        <v>45352.0</v>
      </c>
      <c r="B8773" s="24" t="s">
        <v>6787</v>
      </c>
      <c r="C8773" s="24" t="s">
        <v>7063</v>
      </c>
      <c r="D8773" s="59">
        <v>1.0</v>
      </c>
      <c r="E8773" s="59">
        <v>1.0</v>
      </c>
      <c r="F8773" s="59">
        <v>1.0</v>
      </c>
      <c r="G8773" s="60">
        <v>1.0</v>
      </c>
      <c r="H8773" s="60">
        <v>0.0</v>
      </c>
      <c r="I8773" s="60">
        <v>74.411581</v>
      </c>
      <c r="J8773" s="59">
        <v>2.0</v>
      </c>
      <c r="K8773" s="61">
        <f t="shared" si="1"/>
        <v>1</v>
      </c>
      <c r="L8773" s="62">
        <f t="shared" si="2"/>
        <v>2</v>
      </c>
    </row>
    <row r="8774">
      <c r="A8774" s="58">
        <v>45352.0</v>
      </c>
      <c r="B8774" s="24" t="s">
        <v>6789</v>
      </c>
      <c r="C8774" s="24" t="s">
        <v>7063</v>
      </c>
      <c r="D8774" s="59">
        <v>1.0</v>
      </c>
      <c r="E8774" s="59">
        <v>1.0</v>
      </c>
      <c r="F8774" s="59">
        <v>1.0</v>
      </c>
      <c r="G8774" s="60">
        <v>1.0</v>
      </c>
      <c r="H8774" s="60">
        <v>0.0</v>
      </c>
      <c r="I8774" s="60">
        <v>125.45102</v>
      </c>
      <c r="J8774" s="59">
        <v>2.0</v>
      </c>
      <c r="K8774" s="61">
        <f t="shared" si="1"/>
        <v>1</v>
      </c>
      <c r="L8774" s="62">
        <f t="shared" si="2"/>
        <v>2</v>
      </c>
    </row>
    <row r="8775">
      <c r="A8775" s="58">
        <v>45352.0</v>
      </c>
      <c r="B8775" s="24" t="s">
        <v>6789</v>
      </c>
      <c r="C8775" s="24" t="s">
        <v>7064</v>
      </c>
      <c r="D8775" s="59">
        <v>1.0</v>
      </c>
      <c r="E8775" s="59">
        <v>1.0</v>
      </c>
      <c r="F8775" s="59">
        <v>1.0</v>
      </c>
      <c r="G8775" s="60">
        <v>1.0</v>
      </c>
      <c r="H8775" s="60">
        <v>0.0</v>
      </c>
      <c r="I8775" s="60">
        <v>32.715479</v>
      </c>
      <c r="J8775" s="59">
        <v>4.0</v>
      </c>
      <c r="K8775" s="61">
        <f t="shared" si="1"/>
        <v>1</v>
      </c>
      <c r="L8775" s="62">
        <f t="shared" si="2"/>
        <v>4</v>
      </c>
    </row>
    <row r="8776">
      <c r="A8776" s="58">
        <v>45352.0</v>
      </c>
      <c r="B8776" s="24" t="s">
        <v>6787</v>
      </c>
      <c r="C8776" s="24" t="s">
        <v>7065</v>
      </c>
      <c r="D8776" s="59">
        <v>1.0</v>
      </c>
      <c r="E8776" s="59">
        <v>1.0</v>
      </c>
      <c r="F8776" s="59">
        <v>1.0</v>
      </c>
      <c r="G8776" s="60">
        <v>1.0</v>
      </c>
      <c r="H8776" s="60">
        <v>1.0</v>
      </c>
      <c r="I8776" s="60">
        <v>0.0</v>
      </c>
      <c r="J8776" s="59">
        <v>1.0</v>
      </c>
      <c r="K8776" s="61">
        <f t="shared" si="1"/>
        <v>1</v>
      </c>
      <c r="L8776" s="62">
        <f t="shared" si="2"/>
        <v>1</v>
      </c>
    </row>
    <row r="8777">
      <c r="A8777" s="58">
        <v>45352.0</v>
      </c>
      <c r="B8777" s="24" t="s">
        <v>6787</v>
      </c>
      <c r="C8777" s="24" t="s">
        <v>6990</v>
      </c>
      <c r="D8777" s="59">
        <v>1.0</v>
      </c>
      <c r="E8777" s="59">
        <v>1.0</v>
      </c>
      <c r="F8777" s="59">
        <v>1.0</v>
      </c>
      <c r="G8777" s="60">
        <v>1.0</v>
      </c>
      <c r="H8777" s="60">
        <v>1.0</v>
      </c>
      <c r="I8777" s="60">
        <v>0.0</v>
      </c>
      <c r="J8777" s="59">
        <v>1.0</v>
      </c>
      <c r="K8777" s="61">
        <f t="shared" si="1"/>
        <v>1</v>
      </c>
      <c r="L8777" s="62">
        <f t="shared" si="2"/>
        <v>1</v>
      </c>
    </row>
    <row r="8778">
      <c r="A8778" s="58">
        <v>45352.0</v>
      </c>
      <c r="B8778" s="24" t="s">
        <v>6787</v>
      </c>
      <c r="C8778" s="24" t="s">
        <v>7067</v>
      </c>
      <c r="D8778" s="59">
        <v>1.0</v>
      </c>
      <c r="E8778" s="59">
        <v>2.0</v>
      </c>
      <c r="F8778" s="59">
        <v>1.0</v>
      </c>
      <c r="G8778" s="60">
        <v>2.0</v>
      </c>
      <c r="H8778" s="60">
        <v>0.5</v>
      </c>
      <c r="I8778" s="60">
        <v>59.914743</v>
      </c>
      <c r="J8778" s="59">
        <v>2.0</v>
      </c>
      <c r="K8778" s="61">
        <f t="shared" si="1"/>
        <v>0.5</v>
      </c>
      <c r="L8778" s="62">
        <f t="shared" si="2"/>
        <v>1</v>
      </c>
    </row>
    <row r="8779">
      <c r="A8779" s="58">
        <v>45352.0</v>
      </c>
      <c r="B8779" s="24" t="s">
        <v>6790</v>
      </c>
      <c r="C8779" s="24" t="s">
        <v>7068</v>
      </c>
      <c r="D8779" s="59">
        <v>1.0</v>
      </c>
      <c r="E8779" s="59">
        <v>1.0</v>
      </c>
      <c r="F8779" s="59">
        <v>0.0</v>
      </c>
      <c r="G8779" s="60">
        <v>1.0</v>
      </c>
      <c r="H8779" s="60">
        <v>1.0</v>
      </c>
      <c r="I8779" s="60">
        <v>5.485346</v>
      </c>
      <c r="J8779" s="59">
        <v>2.0</v>
      </c>
      <c r="K8779" s="61">
        <f t="shared" si="1"/>
        <v>0</v>
      </c>
      <c r="L8779" s="62">
        <f t="shared" si="2"/>
        <v>2</v>
      </c>
    </row>
    <row r="8780">
      <c r="A8780" s="58">
        <v>45352.0</v>
      </c>
      <c r="B8780" s="24" t="s">
        <v>6787</v>
      </c>
      <c r="C8780" s="24" t="s">
        <v>6835</v>
      </c>
      <c r="D8780" s="59">
        <v>1.0</v>
      </c>
      <c r="E8780" s="59">
        <v>1.0</v>
      </c>
      <c r="F8780" s="59">
        <v>0.0</v>
      </c>
      <c r="G8780" s="60">
        <v>1.0</v>
      </c>
      <c r="H8780" s="60">
        <v>0.0</v>
      </c>
      <c r="I8780" s="60">
        <v>4.815333</v>
      </c>
      <c r="J8780" s="59">
        <v>2.0</v>
      </c>
      <c r="K8780" s="61">
        <f t="shared" si="1"/>
        <v>0</v>
      </c>
      <c r="L8780" s="62">
        <f t="shared" si="2"/>
        <v>2</v>
      </c>
    </row>
    <row r="8781">
      <c r="A8781" s="58">
        <v>45352.0</v>
      </c>
      <c r="B8781" s="24" t="s">
        <v>6789</v>
      </c>
      <c r="C8781" s="24" t="s">
        <v>6992</v>
      </c>
      <c r="D8781" s="59">
        <v>1.0</v>
      </c>
      <c r="E8781" s="59">
        <v>1.0</v>
      </c>
      <c r="F8781" s="59">
        <v>1.0</v>
      </c>
      <c r="G8781" s="60">
        <v>1.0</v>
      </c>
      <c r="H8781" s="60">
        <v>0.0</v>
      </c>
      <c r="I8781" s="60">
        <v>792.059142</v>
      </c>
      <c r="J8781" s="59">
        <v>8.0</v>
      </c>
      <c r="K8781" s="61">
        <f t="shared" si="1"/>
        <v>1</v>
      </c>
      <c r="L8781" s="62">
        <f t="shared" si="2"/>
        <v>8</v>
      </c>
    </row>
    <row r="8782">
      <c r="A8782" s="58">
        <v>45352.0</v>
      </c>
      <c r="B8782" s="24" t="s">
        <v>155</v>
      </c>
      <c r="C8782" s="24" t="s">
        <v>6994</v>
      </c>
      <c r="D8782" s="59">
        <v>1.0</v>
      </c>
      <c r="E8782" s="59">
        <v>1.0</v>
      </c>
      <c r="F8782" s="59">
        <v>1.0</v>
      </c>
      <c r="G8782" s="60">
        <v>1.0</v>
      </c>
      <c r="H8782" s="60">
        <v>0.0</v>
      </c>
      <c r="I8782" s="60">
        <v>4.860515</v>
      </c>
      <c r="J8782" s="59">
        <v>2.0</v>
      </c>
      <c r="K8782" s="61">
        <f t="shared" si="1"/>
        <v>1</v>
      </c>
      <c r="L8782" s="62">
        <f t="shared" si="2"/>
        <v>2</v>
      </c>
    </row>
    <row r="8783">
      <c r="A8783" s="58">
        <v>45352.0</v>
      </c>
      <c r="B8783" s="24" t="s">
        <v>6789</v>
      </c>
      <c r="C8783" s="24" t="s">
        <v>6886</v>
      </c>
      <c r="D8783" s="59">
        <v>1.0</v>
      </c>
      <c r="E8783" s="59">
        <v>1.0</v>
      </c>
      <c r="F8783" s="59">
        <v>1.0</v>
      </c>
      <c r="G8783" s="60">
        <v>1.0</v>
      </c>
      <c r="H8783" s="60">
        <v>0.0</v>
      </c>
      <c r="I8783" s="60">
        <v>23.494538</v>
      </c>
      <c r="J8783" s="59">
        <v>2.0</v>
      </c>
      <c r="K8783" s="61">
        <f t="shared" si="1"/>
        <v>1</v>
      </c>
      <c r="L8783" s="62">
        <f t="shared" si="2"/>
        <v>2</v>
      </c>
    </row>
    <row r="8784">
      <c r="A8784" s="58">
        <v>45352.0</v>
      </c>
      <c r="B8784" s="24" t="s">
        <v>155</v>
      </c>
      <c r="C8784" s="24" t="s">
        <v>6886</v>
      </c>
      <c r="D8784" s="59">
        <v>1.0</v>
      </c>
      <c r="E8784" s="59">
        <v>1.0</v>
      </c>
      <c r="F8784" s="59">
        <v>0.0</v>
      </c>
      <c r="G8784" s="60">
        <v>1.0</v>
      </c>
      <c r="H8784" s="60">
        <v>0.0</v>
      </c>
      <c r="I8784" s="60">
        <v>62.555492</v>
      </c>
      <c r="J8784" s="59">
        <v>4.0</v>
      </c>
      <c r="K8784" s="61">
        <f t="shared" si="1"/>
        <v>0</v>
      </c>
      <c r="L8784" s="62">
        <f t="shared" si="2"/>
        <v>4</v>
      </c>
    </row>
    <row r="8785">
      <c r="A8785" s="58">
        <v>45352.0</v>
      </c>
      <c r="B8785" s="24" t="s">
        <v>6794</v>
      </c>
      <c r="C8785" s="24" t="s">
        <v>6799</v>
      </c>
      <c r="D8785" s="59">
        <v>1.0</v>
      </c>
      <c r="E8785" s="59">
        <v>1.0</v>
      </c>
      <c r="F8785" s="59">
        <v>0.0</v>
      </c>
      <c r="G8785" s="60">
        <v>1.0</v>
      </c>
      <c r="H8785" s="60">
        <v>0.0</v>
      </c>
      <c r="I8785" s="60">
        <v>6.103968</v>
      </c>
      <c r="J8785" s="59">
        <v>2.0</v>
      </c>
      <c r="K8785" s="61">
        <f t="shared" si="1"/>
        <v>0</v>
      </c>
      <c r="L8785" s="62">
        <f t="shared" si="2"/>
        <v>2</v>
      </c>
    </row>
    <row r="8786">
      <c r="A8786" s="58">
        <v>45352.0</v>
      </c>
      <c r="B8786" s="24" t="s">
        <v>6794</v>
      </c>
      <c r="C8786" s="24" t="s">
        <v>6892</v>
      </c>
      <c r="D8786" s="59">
        <v>1.0</v>
      </c>
      <c r="E8786" s="59">
        <v>1.0</v>
      </c>
      <c r="F8786" s="59">
        <v>0.0</v>
      </c>
      <c r="G8786" s="60">
        <v>1.0</v>
      </c>
      <c r="H8786" s="60">
        <v>0.0</v>
      </c>
      <c r="I8786" s="60">
        <v>54.530553</v>
      </c>
      <c r="J8786" s="59">
        <v>8.0</v>
      </c>
      <c r="K8786" s="61">
        <f t="shared" si="1"/>
        <v>0</v>
      </c>
      <c r="L8786" s="62">
        <f t="shared" si="2"/>
        <v>8</v>
      </c>
    </row>
    <row r="8787">
      <c r="A8787" s="58">
        <v>45352.0</v>
      </c>
      <c r="B8787" s="24" t="s">
        <v>3216</v>
      </c>
      <c r="C8787" s="24" t="s">
        <v>6896</v>
      </c>
      <c r="D8787" s="59">
        <v>1.0</v>
      </c>
      <c r="E8787" s="59">
        <v>1.0</v>
      </c>
      <c r="F8787" s="59">
        <v>1.0</v>
      </c>
      <c r="G8787" s="60">
        <v>1.0</v>
      </c>
      <c r="H8787" s="60">
        <v>0.0</v>
      </c>
      <c r="I8787" s="60">
        <v>10.636583</v>
      </c>
      <c r="J8787" s="59">
        <v>1.0</v>
      </c>
      <c r="K8787" s="61">
        <f t="shared" si="1"/>
        <v>1</v>
      </c>
      <c r="L8787" s="62">
        <f t="shared" si="2"/>
        <v>1</v>
      </c>
    </row>
    <row r="8788">
      <c r="A8788" s="58">
        <v>45352.0</v>
      </c>
      <c r="B8788" s="24" t="s">
        <v>155</v>
      </c>
      <c r="C8788" s="24" t="s">
        <v>6896</v>
      </c>
      <c r="D8788" s="59">
        <v>1.0</v>
      </c>
      <c r="E8788" s="59">
        <v>1.0</v>
      </c>
      <c r="F8788" s="59">
        <v>0.0</v>
      </c>
      <c r="G8788" s="60">
        <v>1.0</v>
      </c>
      <c r="H8788" s="60">
        <v>0.0</v>
      </c>
      <c r="I8788" s="60">
        <v>1063.869985</v>
      </c>
      <c r="J8788" s="59">
        <v>24.0</v>
      </c>
      <c r="K8788" s="61">
        <f t="shared" si="1"/>
        <v>0</v>
      </c>
      <c r="L8788" s="62">
        <f t="shared" si="2"/>
        <v>24</v>
      </c>
    </row>
    <row r="8789">
      <c r="A8789" s="58">
        <v>45352.0</v>
      </c>
      <c r="B8789" s="24" t="s">
        <v>155</v>
      </c>
      <c r="C8789" s="24" t="s">
        <v>7008</v>
      </c>
      <c r="D8789" s="59">
        <v>1.0</v>
      </c>
      <c r="E8789" s="59">
        <v>1.0</v>
      </c>
      <c r="F8789" s="59">
        <v>0.0</v>
      </c>
      <c r="G8789" s="60">
        <v>1.0</v>
      </c>
      <c r="H8789" s="60">
        <v>0.0</v>
      </c>
      <c r="I8789" s="60">
        <v>30.040724</v>
      </c>
      <c r="J8789" s="59">
        <v>6.0</v>
      </c>
      <c r="K8789" s="61">
        <f t="shared" si="1"/>
        <v>0</v>
      </c>
      <c r="L8789" s="62">
        <f t="shared" si="2"/>
        <v>6</v>
      </c>
    </row>
    <row r="8790">
      <c r="A8790" s="58">
        <v>45352.0</v>
      </c>
      <c r="B8790" s="24" t="s">
        <v>6789</v>
      </c>
      <c r="C8790" s="24" t="s">
        <v>7401</v>
      </c>
      <c r="D8790" s="59">
        <v>1.0</v>
      </c>
      <c r="E8790" s="59">
        <v>1.0</v>
      </c>
      <c r="F8790" s="59">
        <v>0.0</v>
      </c>
      <c r="G8790" s="60">
        <v>1.0</v>
      </c>
      <c r="H8790" s="60">
        <v>0.0</v>
      </c>
      <c r="I8790" s="60">
        <v>0.890436</v>
      </c>
      <c r="J8790" s="59">
        <v>2.0</v>
      </c>
      <c r="K8790" s="61">
        <f t="shared" si="1"/>
        <v>0</v>
      </c>
      <c r="L8790" s="62">
        <f t="shared" si="2"/>
        <v>2</v>
      </c>
    </row>
    <row r="8791">
      <c r="A8791" s="58">
        <v>45352.0</v>
      </c>
      <c r="B8791" s="24" t="s">
        <v>155</v>
      </c>
      <c r="C8791" s="24" t="s">
        <v>6905</v>
      </c>
      <c r="D8791" s="59">
        <v>1.0</v>
      </c>
      <c r="E8791" s="59">
        <v>1.0</v>
      </c>
      <c r="F8791" s="59">
        <v>0.0</v>
      </c>
      <c r="G8791" s="60">
        <v>1.0</v>
      </c>
      <c r="H8791" s="60">
        <v>0.0</v>
      </c>
      <c r="I8791" s="60">
        <v>4.933197</v>
      </c>
      <c r="J8791" s="59">
        <v>2.0</v>
      </c>
      <c r="K8791" s="61">
        <f t="shared" si="1"/>
        <v>0</v>
      </c>
      <c r="L8791" s="62">
        <f t="shared" si="2"/>
        <v>2</v>
      </c>
    </row>
    <row r="8792">
      <c r="A8792" s="58">
        <v>45352.0</v>
      </c>
      <c r="B8792" s="24" t="s">
        <v>6789</v>
      </c>
      <c r="C8792" s="24" t="s">
        <v>7573</v>
      </c>
      <c r="D8792" s="59">
        <v>1.0</v>
      </c>
      <c r="E8792" s="59">
        <v>7.0</v>
      </c>
      <c r="F8792" s="59">
        <v>1.0</v>
      </c>
      <c r="G8792" s="60">
        <v>7.0</v>
      </c>
      <c r="H8792" s="60">
        <v>0.0</v>
      </c>
      <c r="I8792" s="60">
        <v>250.061061</v>
      </c>
      <c r="J8792" s="59">
        <v>19.0</v>
      </c>
      <c r="K8792" s="61">
        <f t="shared" si="1"/>
        <v>0.1428571429</v>
      </c>
      <c r="L8792" s="62">
        <f t="shared" si="2"/>
        <v>2.714285714</v>
      </c>
    </row>
    <row r="8793">
      <c r="A8793" s="58">
        <v>45352.0</v>
      </c>
      <c r="B8793" s="24" t="s">
        <v>6789</v>
      </c>
      <c r="C8793" s="24" t="s">
        <v>7591</v>
      </c>
      <c r="D8793" s="59">
        <v>1.0</v>
      </c>
      <c r="E8793" s="59">
        <v>1.0</v>
      </c>
      <c r="F8793" s="59">
        <v>1.0</v>
      </c>
      <c r="G8793" s="60">
        <v>1.0</v>
      </c>
      <c r="H8793" s="60">
        <v>1.0</v>
      </c>
      <c r="I8793" s="60">
        <v>0.0</v>
      </c>
      <c r="J8793" s="59">
        <v>1.0</v>
      </c>
      <c r="K8793" s="61">
        <f t="shared" si="1"/>
        <v>1</v>
      </c>
      <c r="L8793" s="62">
        <f t="shared" si="2"/>
        <v>1</v>
      </c>
    </row>
    <row r="8794">
      <c r="A8794" s="58">
        <v>45352.0</v>
      </c>
      <c r="B8794" s="24" t="s">
        <v>6787</v>
      </c>
      <c r="C8794" s="24" t="s">
        <v>7592</v>
      </c>
      <c r="D8794" s="59">
        <v>1.0</v>
      </c>
      <c r="E8794" s="59">
        <v>1.0</v>
      </c>
      <c r="F8794" s="59">
        <v>1.0</v>
      </c>
      <c r="G8794" s="60">
        <v>1.0</v>
      </c>
      <c r="H8794" s="60">
        <v>1.0</v>
      </c>
      <c r="I8794" s="60">
        <v>3.831576</v>
      </c>
      <c r="J8794" s="59">
        <v>1.0</v>
      </c>
      <c r="K8794" s="61">
        <f t="shared" si="1"/>
        <v>1</v>
      </c>
      <c r="L8794" s="62">
        <f t="shared" si="2"/>
        <v>1</v>
      </c>
    </row>
    <row r="8795">
      <c r="A8795" s="58">
        <v>45352.0</v>
      </c>
      <c r="B8795" s="24" t="s">
        <v>6789</v>
      </c>
      <c r="C8795" s="24" t="s">
        <v>7592</v>
      </c>
      <c r="D8795" s="59">
        <v>1.0</v>
      </c>
      <c r="E8795" s="59">
        <v>1.0</v>
      </c>
      <c r="F8795" s="59">
        <v>1.0</v>
      </c>
      <c r="G8795" s="60">
        <v>1.0</v>
      </c>
      <c r="H8795" s="60">
        <v>0.0</v>
      </c>
      <c r="I8795" s="60">
        <v>1045.627226</v>
      </c>
      <c r="J8795" s="59">
        <v>3.0</v>
      </c>
      <c r="K8795" s="61">
        <f t="shared" si="1"/>
        <v>1</v>
      </c>
      <c r="L8795" s="62">
        <f t="shared" si="2"/>
        <v>3</v>
      </c>
    </row>
    <row r="8796">
      <c r="A8796" s="58">
        <v>45352.0</v>
      </c>
      <c r="B8796" s="24" t="s">
        <v>6790</v>
      </c>
      <c r="C8796" s="24" t="s">
        <v>7574</v>
      </c>
      <c r="D8796" s="59">
        <v>1.0</v>
      </c>
      <c r="E8796" s="59">
        <v>1.0</v>
      </c>
      <c r="F8796" s="59">
        <v>0.0</v>
      </c>
      <c r="G8796" s="60">
        <v>1.0</v>
      </c>
      <c r="H8796" s="60">
        <v>1.0</v>
      </c>
      <c r="I8796" s="60">
        <v>26.101018</v>
      </c>
      <c r="J8796" s="59">
        <v>1.0</v>
      </c>
      <c r="K8796" s="61">
        <f t="shared" si="1"/>
        <v>0</v>
      </c>
      <c r="L8796" s="62">
        <f t="shared" si="2"/>
        <v>1</v>
      </c>
    </row>
    <row r="8797">
      <c r="A8797" s="58">
        <v>45352.0</v>
      </c>
      <c r="B8797" s="24" t="s">
        <v>6789</v>
      </c>
      <c r="C8797" s="24" t="s">
        <v>7580</v>
      </c>
      <c r="D8797" s="59">
        <v>1.0</v>
      </c>
      <c r="E8797" s="59">
        <v>1.0</v>
      </c>
      <c r="F8797" s="59">
        <v>1.0</v>
      </c>
      <c r="G8797" s="60">
        <v>1.0</v>
      </c>
      <c r="H8797" s="60">
        <v>0.0</v>
      </c>
      <c r="I8797" s="60">
        <v>72.847133</v>
      </c>
      <c r="J8797" s="59">
        <v>2.0</v>
      </c>
      <c r="K8797" s="61">
        <f t="shared" si="1"/>
        <v>1</v>
      </c>
      <c r="L8797" s="62">
        <f t="shared" si="2"/>
        <v>2</v>
      </c>
    </row>
    <row r="8798">
      <c r="A8798" s="58">
        <v>45352.0</v>
      </c>
      <c r="B8798" s="24" t="s">
        <v>6789</v>
      </c>
      <c r="C8798" s="24" t="s">
        <v>7258</v>
      </c>
      <c r="D8798" s="59">
        <v>1.0</v>
      </c>
      <c r="E8798" s="59">
        <v>9.0</v>
      </c>
      <c r="F8798" s="59">
        <v>0.0</v>
      </c>
      <c r="G8798" s="60">
        <v>9.0</v>
      </c>
      <c r="H8798" s="60">
        <v>0.333333333333333</v>
      </c>
      <c r="I8798" s="60">
        <v>4.14556866666666</v>
      </c>
      <c r="J8798" s="59">
        <v>15.0</v>
      </c>
      <c r="K8798" s="61">
        <f t="shared" si="1"/>
        <v>0</v>
      </c>
      <c r="L8798" s="62">
        <f t="shared" si="2"/>
        <v>1.666666667</v>
      </c>
    </row>
    <row r="8799">
      <c r="A8799" s="58">
        <v>45352.0</v>
      </c>
      <c r="B8799" s="24" t="s">
        <v>6942</v>
      </c>
      <c r="C8799" s="24" t="s">
        <v>7530</v>
      </c>
      <c r="D8799" s="59">
        <v>1.0</v>
      </c>
      <c r="E8799" s="59">
        <v>1.0</v>
      </c>
      <c r="F8799" s="59">
        <v>1.0</v>
      </c>
      <c r="G8799" s="60">
        <v>1.0</v>
      </c>
      <c r="H8799" s="60">
        <v>1.0</v>
      </c>
      <c r="I8799" s="60">
        <v>0.0</v>
      </c>
      <c r="J8799" s="59">
        <v>1.0</v>
      </c>
      <c r="K8799" s="61">
        <f t="shared" si="1"/>
        <v>1</v>
      </c>
      <c r="L8799" s="62">
        <f t="shared" si="2"/>
        <v>1</v>
      </c>
    </row>
    <row r="8800">
      <c r="A8800" s="58">
        <v>45352.0</v>
      </c>
      <c r="B8800" s="24" t="s">
        <v>6787</v>
      </c>
      <c r="C8800" s="24" t="s">
        <v>6907</v>
      </c>
      <c r="D8800" s="59">
        <v>1.0</v>
      </c>
      <c r="E8800" s="59">
        <v>1.0</v>
      </c>
      <c r="F8800" s="59">
        <v>0.0</v>
      </c>
      <c r="G8800" s="60">
        <v>1.0</v>
      </c>
      <c r="H8800" s="60">
        <v>0.0</v>
      </c>
      <c r="I8800" s="60">
        <v>1300.894936</v>
      </c>
      <c r="J8800" s="59">
        <v>8.0</v>
      </c>
      <c r="K8800" s="61">
        <f t="shared" si="1"/>
        <v>0</v>
      </c>
      <c r="L8800" s="62">
        <f t="shared" si="2"/>
        <v>8</v>
      </c>
    </row>
    <row r="8801">
      <c r="A8801" s="58">
        <v>45352.0</v>
      </c>
      <c r="B8801" s="24" t="s">
        <v>6789</v>
      </c>
      <c r="C8801" s="24" t="s">
        <v>6907</v>
      </c>
      <c r="D8801" s="59">
        <v>1.0</v>
      </c>
      <c r="E8801" s="59">
        <v>1.0</v>
      </c>
      <c r="F8801" s="59">
        <v>1.0</v>
      </c>
      <c r="G8801" s="60">
        <v>1.0</v>
      </c>
      <c r="H8801" s="60">
        <v>0.0</v>
      </c>
      <c r="I8801" s="60">
        <v>4.969693</v>
      </c>
      <c r="J8801" s="59">
        <v>2.0</v>
      </c>
      <c r="K8801" s="61">
        <f t="shared" si="1"/>
        <v>1</v>
      </c>
      <c r="L8801" s="62">
        <f t="shared" si="2"/>
        <v>2</v>
      </c>
    </row>
    <row r="8802">
      <c r="A8802" s="58">
        <v>45352.0</v>
      </c>
      <c r="B8802" s="24" t="s">
        <v>155</v>
      </c>
      <c r="C8802" s="24" t="s">
        <v>6907</v>
      </c>
      <c r="D8802" s="59">
        <v>1.0</v>
      </c>
      <c r="E8802" s="59">
        <v>1.0</v>
      </c>
      <c r="F8802" s="59">
        <v>0.0</v>
      </c>
      <c r="G8802" s="60">
        <v>1.0</v>
      </c>
      <c r="H8802" s="60">
        <v>0.0</v>
      </c>
      <c r="I8802" s="60">
        <v>1759.525297</v>
      </c>
      <c r="J8802" s="59">
        <v>8.0</v>
      </c>
      <c r="K8802" s="61">
        <f t="shared" si="1"/>
        <v>0</v>
      </c>
      <c r="L8802" s="62">
        <f t="shared" si="2"/>
        <v>8</v>
      </c>
    </row>
    <row r="8803">
      <c r="A8803" s="58">
        <v>45352.0</v>
      </c>
      <c r="B8803" s="24" t="s">
        <v>6790</v>
      </c>
      <c r="C8803" s="24" t="s">
        <v>6808</v>
      </c>
      <c r="D8803" s="59">
        <v>1.0</v>
      </c>
      <c r="E8803" s="59">
        <v>1.0</v>
      </c>
      <c r="F8803" s="59">
        <v>0.0</v>
      </c>
      <c r="G8803" s="60">
        <v>1.0</v>
      </c>
      <c r="H8803" s="60">
        <v>1.0</v>
      </c>
      <c r="I8803" s="60">
        <v>0.0</v>
      </c>
      <c r="J8803" s="59">
        <v>1.0</v>
      </c>
      <c r="K8803" s="61">
        <f t="shared" si="1"/>
        <v>0</v>
      </c>
      <c r="L8803" s="62">
        <f t="shared" si="2"/>
        <v>1</v>
      </c>
    </row>
    <row r="8804">
      <c r="A8804" s="58">
        <v>45352.0</v>
      </c>
      <c r="B8804" s="24" t="s">
        <v>6789</v>
      </c>
      <c r="C8804" s="24" t="s">
        <v>7087</v>
      </c>
      <c r="D8804" s="59">
        <v>1.0</v>
      </c>
      <c r="E8804" s="59">
        <v>1.0</v>
      </c>
      <c r="F8804" s="59">
        <v>0.0</v>
      </c>
      <c r="G8804" s="60">
        <v>1.0</v>
      </c>
      <c r="H8804" s="60">
        <v>0.0</v>
      </c>
      <c r="I8804" s="60">
        <v>5.044426</v>
      </c>
      <c r="J8804" s="59">
        <v>2.0</v>
      </c>
      <c r="K8804" s="61">
        <f t="shared" si="1"/>
        <v>0</v>
      </c>
      <c r="L8804" s="62">
        <f t="shared" si="2"/>
        <v>2</v>
      </c>
    </row>
    <row r="8805">
      <c r="A8805" s="58">
        <v>45352.0</v>
      </c>
      <c r="B8805" s="24" t="s">
        <v>6789</v>
      </c>
      <c r="C8805" s="24" t="s">
        <v>7101</v>
      </c>
      <c r="D8805" s="59">
        <v>1.0</v>
      </c>
      <c r="E8805" s="59">
        <v>1.0</v>
      </c>
      <c r="F8805" s="59">
        <v>0.0</v>
      </c>
      <c r="G8805" s="60">
        <v>1.0</v>
      </c>
      <c r="H8805" s="60">
        <v>0.0</v>
      </c>
      <c r="I8805" s="60">
        <v>447.454875</v>
      </c>
      <c r="J8805" s="59">
        <v>6.0</v>
      </c>
      <c r="K8805" s="61">
        <f t="shared" si="1"/>
        <v>0</v>
      </c>
      <c r="L8805" s="62">
        <f t="shared" si="2"/>
        <v>6</v>
      </c>
    </row>
    <row r="8806">
      <c r="A8806" s="58">
        <v>45352.0</v>
      </c>
      <c r="B8806" s="24" t="s">
        <v>155</v>
      </c>
      <c r="C8806" s="24" t="s">
        <v>7172</v>
      </c>
      <c r="D8806" s="59">
        <v>1.0</v>
      </c>
      <c r="E8806" s="59">
        <v>1.0</v>
      </c>
      <c r="F8806" s="59">
        <v>0.0</v>
      </c>
      <c r="G8806" s="60">
        <v>1.0</v>
      </c>
      <c r="H8806" s="60">
        <v>0.0</v>
      </c>
      <c r="I8806" s="60">
        <v>3808.437615</v>
      </c>
      <c r="J8806" s="59">
        <v>22.0</v>
      </c>
      <c r="K8806" s="61">
        <f t="shared" si="1"/>
        <v>0</v>
      </c>
      <c r="L8806" s="62">
        <f t="shared" si="2"/>
        <v>22</v>
      </c>
    </row>
    <row r="8807">
      <c r="A8807" s="58">
        <v>45352.0</v>
      </c>
      <c r="B8807" s="24" t="s">
        <v>6791</v>
      </c>
      <c r="C8807" s="24" t="s">
        <v>7313</v>
      </c>
      <c r="D8807" s="59">
        <v>1.0</v>
      </c>
      <c r="E8807" s="59">
        <v>1.0</v>
      </c>
      <c r="F8807" s="59">
        <v>0.0</v>
      </c>
      <c r="G8807" s="60">
        <v>1.0</v>
      </c>
      <c r="H8807" s="60">
        <v>0.0</v>
      </c>
      <c r="I8807" s="60">
        <v>71.390652</v>
      </c>
      <c r="J8807" s="59">
        <v>4.0</v>
      </c>
      <c r="K8807" s="61">
        <f t="shared" si="1"/>
        <v>0</v>
      </c>
      <c r="L8807" s="62">
        <f t="shared" si="2"/>
        <v>4</v>
      </c>
    </row>
    <row r="8808">
      <c r="A8808" s="58">
        <v>45352.0</v>
      </c>
      <c r="B8808" s="24" t="s">
        <v>6790</v>
      </c>
      <c r="C8808" s="24" t="s">
        <v>7313</v>
      </c>
      <c r="D8808" s="59">
        <v>1.0</v>
      </c>
      <c r="E8808" s="59">
        <v>1.0</v>
      </c>
      <c r="F8808" s="59">
        <v>0.0</v>
      </c>
      <c r="G8808" s="60">
        <v>1.0</v>
      </c>
      <c r="H8808" s="60">
        <v>1.0</v>
      </c>
      <c r="I8808" s="60">
        <v>0.0</v>
      </c>
      <c r="J8808" s="59">
        <v>1.0</v>
      </c>
      <c r="K8808" s="61">
        <f t="shared" si="1"/>
        <v>0</v>
      </c>
      <c r="L8808" s="62">
        <f t="shared" si="2"/>
        <v>1</v>
      </c>
    </row>
    <row r="8809">
      <c r="A8809" s="58">
        <v>45352.0</v>
      </c>
      <c r="B8809" s="24" t="s">
        <v>6791</v>
      </c>
      <c r="C8809" s="24" t="s">
        <v>6801</v>
      </c>
      <c r="D8809" s="59">
        <v>1.0</v>
      </c>
      <c r="E8809" s="59">
        <v>1.0</v>
      </c>
      <c r="F8809" s="59">
        <v>0.0</v>
      </c>
      <c r="G8809" s="60">
        <v>1.0</v>
      </c>
      <c r="H8809" s="60">
        <v>0.0</v>
      </c>
      <c r="I8809" s="60">
        <v>1529.132125</v>
      </c>
      <c r="J8809" s="59">
        <v>6.0</v>
      </c>
      <c r="K8809" s="61">
        <f t="shared" si="1"/>
        <v>0</v>
      </c>
      <c r="L8809" s="62">
        <f t="shared" si="2"/>
        <v>6</v>
      </c>
    </row>
    <row r="8810">
      <c r="A8810" s="58">
        <v>45352.0</v>
      </c>
      <c r="B8810" s="24" t="s">
        <v>6787</v>
      </c>
      <c r="C8810" s="24" t="s">
        <v>7023</v>
      </c>
      <c r="D8810" s="59">
        <v>1.0</v>
      </c>
      <c r="E8810" s="59">
        <v>1.0</v>
      </c>
      <c r="F8810" s="59">
        <v>1.0</v>
      </c>
      <c r="G8810" s="60">
        <v>1.0</v>
      </c>
      <c r="H8810" s="60">
        <v>0.0</v>
      </c>
      <c r="I8810" s="60">
        <v>125.279002</v>
      </c>
      <c r="J8810" s="59">
        <v>5.0</v>
      </c>
      <c r="K8810" s="61">
        <f t="shared" si="1"/>
        <v>1</v>
      </c>
      <c r="L8810" s="62">
        <f t="shared" si="2"/>
        <v>5</v>
      </c>
    </row>
    <row r="8811">
      <c r="A8811" s="58">
        <v>45352.0</v>
      </c>
      <c r="B8811" s="24" t="s">
        <v>155</v>
      </c>
      <c r="C8811" s="24" t="s">
        <v>7403</v>
      </c>
      <c r="D8811" s="59">
        <v>1.0</v>
      </c>
      <c r="E8811" s="59">
        <v>1.0</v>
      </c>
      <c r="F8811" s="59">
        <v>0.0</v>
      </c>
      <c r="G8811" s="60">
        <v>1.0</v>
      </c>
      <c r="H8811" s="60">
        <v>0.0</v>
      </c>
      <c r="I8811" s="60">
        <v>17.383184</v>
      </c>
      <c r="J8811" s="59">
        <v>2.0</v>
      </c>
      <c r="K8811" s="61">
        <f t="shared" si="1"/>
        <v>0</v>
      </c>
      <c r="L8811" s="62">
        <f t="shared" si="2"/>
        <v>2</v>
      </c>
    </row>
    <row r="8812">
      <c r="A8812" s="58">
        <v>45352.0</v>
      </c>
      <c r="B8812" s="24" t="s">
        <v>6794</v>
      </c>
      <c r="C8812" s="24" t="s">
        <v>7192</v>
      </c>
      <c r="D8812" s="59">
        <v>1.0</v>
      </c>
      <c r="E8812" s="59">
        <v>1.0</v>
      </c>
      <c r="F8812" s="59">
        <v>1.0</v>
      </c>
      <c r="G8812" s="60">
        <v>1.0</v>
      </c>
      <c r="H8812" s="60">
        <v>0.0</v>
      </c>
      <c r="I8812" s="60">
        <v>7.659027</v>
      </c>
      <c r="J8812" s="59">
        <v>2.0</v>
      </c>
      <c r="K8812" s="61">
        <f t="shared" si="1"/>
        <v>1</v>
      </c>
      <c r="L8812" s="62">
        <f t="shared" si="2"/>
        <v>2</v>
      </c>
    </row>
    <row r="8813">
      <c r="A8813" s="58">
        <v>45352.0</v>
      </c>
      <c r="B8813" s="24" t="s">
        <v>155</v>
      </c>
      <c r="C8813" s="24" t="s">
        <v>7192</v>
      </c>
      <c r="D8813" s="59">
        <v>1.0</v>
      </c>
      <c r="E8813" s="59">
        <v>1.0</v>
      </c>
      <c r="F8813" s="59">
        <v>0.0</v>
      </c>
      <c r="G8813" s="60">
        <v>1.0</v>
      </c>
      <c r="H8813" s="60">
        <v>0.0</v>
      </c>
      <c r="I8813" s="60">
        <v>241.528579</v>
      </c>
      <c r="J8813" s="59">
        <v>12.0</v>
      </c>
      <c r="K8813" s="61">
        <f t="shared" si="1"/>
        <v>0</v>
      </c>
      <c r="L8813" s="62">
        <f t="shared" si="2"/>
        <v>12</v>
      </c>
    </row>
    <row r="8814">
      <c r="A8814" s="58">
        <v>45352.0</v>
      </c>
      <c r="B8814" s="24" t="s">
        <v>6794</v>
      </c>
      <c r="C8814" s="24" t="s">
        <v>7559</v>
      </c>
      <c r="D8814" s="59">
        <v>1.0</v>
      </c>
      <c r="E8814" s="59">
        <v>1.0</v>
      </c>
      <c r="F8814" s="59">
        <v>1.0</v>
      </c>
      <c r="G8814" s="60">
        <v>1.0</v>
      </c>
      <c r="H8814" s="60">
        <v>0.0</v>
      </c>
      <c r="I8814" s="60">
        <v>2133.14293</v>
      </c>
      <c r="J8814" s="59">
        <v>16.0</v>
      </c>
      <c r="K8814" s="61">
        <f t="shared" si="1"/>
        <v>1</v>
      </c>
      <c r="L8814" s="62">
        <f t="shared" si="2"/>
        <v>16</v>
      </c>
    </row>
    <row r="8815">
      <c r="A8815" s="58">
        <v>45352.0</v>
      </c>
      <c r="B8815" s="24" t="s">
        <v>6787</v>
      </c>
      <c r="C8815" s="24" t="s">
        <v>7027</v>
      </c>
      <c r="D8815" s="59">
        <v>1.0</v>
      </c>
      <c r="E8815" s="59">
        <v>1.0</v>
      </c>
      <c r="F8815" s="59">
        <v>1.0</v>
      </c>
      <c r="G8815" s="60">
        <v>1.0</v>
      </c>
      <c r="H8815" s="60">
        <v>0.0</v>
      </c>
      <c r="I8815" s="60">
        <v>0.062078</v>
      </c>
      <c r="J8815" s="59">
        <v>2.0</v>
      </c>
      <c r="K8815" s="61">
        <f t="shared" si="1"/>
        <v>1</v>
      </c>
      <c r="L8815" s="62">
        <f t="shared" si="2"/>
        <v>2</v>
      </c>
    </row>
    <row r="8816">
      <c r="A8816" s="58">
        <v>45352.0</v>
      </c>
      <c r="B8816" s="24" t="s">
        <v>6794</v>
      </c>
      <c r="C8816" s="24" t="s">
        <v>6815</v>
      </c>
      <c r="D8816" s="59">
        <v>1.0</v>
      </c>
      <c r="E8816" s="59">
        <v>1.0</v>
      </c>
      <c r="F8816" s="59">
        <v>1.0</v>
      </c>
      <c r="G8816" s="60">
        <v>1.0</v>
      </c>
      <c r="H8816" s="60">
        <v>0.0</v>
      </c>
      <c r="I8816" s="60">
        <v>102.138309</v>
      </c>
      <c r="J8816" s="59">
        <v>2.0</v>
      </c>
      <c r="K8816" s="61">
        <f t="shared" si="1"/>
        <v>1</v>
      </c>
      <c r="L8816" s="62">
        <f t="shared" si="2"/>
        <v>2</v>
      </c>
    </row>
    <row r="8817">
      <c r="A8817" s="58">
        <v>45352.0</v>
      </c>
      <c r="B8817" s="24" t="s">
        <v>6790</v>
      </c>
      <c r="C8817" s="24" t="s">
        <v>6815</v>
      </c>
      <c r="D8817" s="59">
        <v>1.0</v>
      </c>
      <c r="E8817" s="59">
        <v>11.0</v>
      </c>
      <c r="F8817" s="59">
        <v>1.0</v>
      </c>
      <c r="G8817" s="60">
        <v>11.0</v>
      </c>
      <c r="H8817" s="60">
        <v>0.454545454545454</v>
      </c>
      <c r="I8817" s="60">
        <v>2.56096654545454</v>
      </c>
      <c r="J8817" s="59">
        <v>18.0</v>
      </c>
      <c r="K8817" s="61">
        <f t="shared" si="1"/>
        <v>0.09090909091</v>
      </c>
      <c r="L8817" s="62">
        <f t="shared" si="2"/>
        <v>1.636363636</v>
      </c>
    </row>
    <row r="8818">
      <c r="A8818" s="58">
        <v>45352.0</v>
      </c>
      <c r="B8818" s="24" t="s">
        <v>6787</v>
      </c>
      <c r="C8818" s="24" t="s">
        <v>7593</v>
      </c>
      <c r="D8818" s="59">
        <v>1.0</v>
      </c>
      <c r="E8818" s="59">
        <v>1.0</v>
      </c>
      <c r="F8818" s="59">
        <v>1.0</v>
      </c>
      <c r="G8818" s="60">
        <v>1.0</v>
      </c>
      <c r="H8818" s="60">
        <v>0.0</v>
      </c>
      <c r="I8818" s="60">
        <v>1.478045</v>
      </c>
      <c r="J8818" s="59">
        <v>2.0</v>
      </c>
      <c r="K8818" s="61">
        <f t="shared" si="1"/>
        <v>1</v>
      </c>
      <c r="L8818" s="62">
        <f t="shared" si="2"/>
        <v>2</v>
      </c>
    </row>
    <row r="8819">
      <c r="A8819" s="58">
        <v>45352.0</v>
      </c>
      <c r="B8819" s="24" t="s">
        <v>3216</v>
      </c>
      <c r="C8819" s="24" t="s">
        <v>6921</v>
      </c>
      <c r="D8819" s="59">
        <v>1.0</v>
      </c>
      <c r="E8819" s="59">
        <v>3.0</v>
      </c>
      <c r="F8819" s="59">
        <v>0.0</v>
      </c>
      <c r="G8819" s="60">
        <v>3.0</v>
      </c>
      <c r="H8819" s="60">
        <v>0.0</v>
      </c>
      <c r="I8819" s="60">
        <v>14.9533443333333</v>
      </c>
      <c r="J8819" s="59">
        <v>10.0</v>
      </c>
      <c r="K8819" s="61">
        <f t="shared" si="1"/>
        <v>0</v>
      </c>
      <c r="L8819" s="62">
        <f t="shared" si="2"/>
        <v>3.333333333</v>
      </c>
    </row>
    <row r="8820">
      <c r="A8820" s="58">
        <v>45352.0</v>
      </c>
      <c r="B8820" s="24" t="s">
        <v>6789</v>
      </c>
      <c r="C8820" s="24" t="s">
        <v>6921</v>
      </c>
      <c r="D8820" s="59">
        <v>1.0</v>
      </c>
      <c r="E8820" s="59">
        <v>1.0</v>
      </c>
      <c r="F8820" s="59">
        <v>0.0</v>
      </c>
      <c r="G8820" s="60">
        <v>1.0</v>
      </c>
      <c r="H8820" s="60">
        <v>0.0</v>
      </c>
      <c r="I8820" s="60">
        <v>20.195454</v>
      </c>
      <c r="J8820" s="59">
        <v>2.0</v>
      </c>
      <c r="K8820" s="61">
        <f t="shared" si="1"/>
        <v>0</v>
      </c>
      <c r="L8820" s="62">
        <f t="shared" si="2"/>
        <v>2</v>
      </c>
    </row>
    <row r="8821">
      <c r="A8821" s="58">
        <v>45352.0</v>
      </c>
      <c r="B8821" s="24" t="s">
        <v>6787</v>
      </c>
      <c r="C8821" s="24" t="s">
        <v>7047</v>
      </c>
      <c r="D8821" s="59">
        <v>1.0</v>
      </c>
      <c r="E8821" s="59">
        <v>1.0</v>
      </c>
      <c r="F8821" s="59">
        <v>0.0</v>
      </c>
      <c r="G8821" s="60">
        <v>1.0</v>
      </c>
      <c r="H8821" s="60">
        <v>0.0</v>
      </c>
      <c r="I8821" s="60">
        <v>318.473731</v>
      </c>
      <c r="J8821" s="59">
        <v>2.0</v>
      </c>
      <c r="K8821" s="61">
        <f t="shared" si="1"/>
        <v>0</v>
      </c>
      <c r="L8821" s="62">
        <f t="shared" si="2"/>
        <v>2</v>
      </c>
    </row>
    <row r="8822">
      <c r="A8822" s="58">
        <v>45352.0</v>
      </c>
      <c r="B8822" s="24" t="s">
        <v>6789</v>
      </c>
      <c r="C8822" s="24" t="s">
        <v>7047</v>
      </c>
      <c r="D8822" s="59">
        <v>1.0</v>
      </c>
      <c r="E8822" s="59">
        <v>1.0</v>
      </c>
      <c r="F8822" s="59">
        <v>0.0</v>
      </c>
      <c r="G8822" s="60">
        <v>1.0</v>
      </c>
      <c r="H8822" s="60">
        <v>0.0</v>
      </c>
      <c r="I8822" s="60">
        <v>58.636635</v>
      </c>
      <c r="J8822" s="59">
        <v>2.0</v>
      </c>
      <c r="K8822" s="61">
        <f t="shared" si="1"/>
        <v>0</v>
      </c>
      <c r="L8822" s="62">
        <f t="shared" si="2"/>
        <v>2</v>
      </c>
    </row>
    <row r="8823">
      <c r="A8823" s="58">
        <v>45352.0</v>
      </c>
      <c r="B8823" s="24" t="s">
        <v>6794</v>
      </c>
      <c r="C8823" s="24" t="s">
        <v>7047</v>
      </c>
      <c r="D8823" s="59">
        <v>1.0</v>
      </c>
      <c r="E8823" s="59">
        <v>1.0</v>
      </c>
      <c r="F8823" s="59">
        <v>0.0</v>
      </c>
      <c r="G8823" s="60">
        <v>1.0</v>
      </c>
      <c r="H8823" s="60">
        <v>0.0</v>
      </c>
      <c r="I8823" s="60">
        <v>8.059097</v>
      </c>
      <c r="J8823" s="59">
        <v>4.0</v>
      </c>
      <c r="K8823" s="61">
        <f t="shared" si="1"/>
        <v>0</v>
      </c>
      <c r="L8823" s="62">
        <f t="shared" si="2"/>
        <v>4</v>
      </c>
    </row>
    <row r="8824">
      <c r="A8824" s="58">
        <v>45352.0</v>
      </c>
      <c r="B8824" s="24" t="s">
        <v>155</v>
      </c>
      <c r="C8824" s="24" t="s">
        <v>7360</v>
      </c>
      <c r="D8824" s="59">
        <v>1.0</v>
      </c>
      <c r="E8824" s="59">
        <v>1.0</v>
      </c>
      <c r="F8824" s="59">
        <v>1.0</v>
      </c>
      <c r="G8824" s="60">
        <v>1.0</v>
      </c>
      <c r="H8824" s="60">
        <v>0.0</v>
      </c>
      <c r="I8824" s="60">
        <v>1315.633577</v>
      </c>
      <c r="J8824" s="59">
        <v>5.0</v>
      </c>
      <c r="K8824" s="61">
        <f t="shared" si="1"/>
        <v>1</v>
      </c>
      <c r="L8824" s="62">
        <f t="shared" si="2"/>
        <v>5</v>
      </c>
    </row>
    <row r="8825">
      <c r="A8825" s="58">
        <v>45352.0</v>
      </c>
      <c r="B8825" s="24" t="s">
        <v>155</v>
      </c>
      <c r="C8825" s="24" t="s">
        <v>6962</v>
      </c>
      <c r="D8825" s="59">
        <v>1.0</v>
      </c>
      <c r="E8825" s="59">
        <v>1.0</v>
      </c>
      <c r="F8825" s="59">
        <v>0.0</v>
      </c>
      <c r="G8825" s="60">
        <v>1.0</v>
      </c>
      <c r="H8825" s="60">
        <v>0.0</v>
      </c>
      <c r="I8825" s="60">
        <v>4167.308093</v>
      </c>
      <c r="J8825" s="59">
        <v>6.0</v>
      </c>
      <c r="K8825" s="61">
        <f t="shared" si="1"/>
        <v>0</v>
      </c>
      <c r="L8825" s="62">
        <f t="shared" si="2"/>
        <v>6</v>
      </c>
    </row>
    <row r="8826">
      <c r="A8826" s="58">
        <v>45323.0</v>
      </c>
      <c r="B8826" s="24" t="s">
        <v>6789</v>
      </c>
      <c r="C8826" s="24" t="s">
        <v>6788</v>
      </c>
      <c r="D8826" s="59">
        <v>734.0</v>
      </c>
      <c r="E8826" s="59">
        <v>988.0</v>
      </c>
      <c r="F8826" s="59">
        <v>629.0</v>
      </c>
      <c r="G8826" s="60">
        <v>1.34604904632152</v>
      </c>
      <c r="H8826" s="60">
        <v>0.00708502024291498</v>
      </c>
      <c r="I8826" s="60">
        <v>199.549327896761</v>
      </c>
      <c r="J8826" s="59">
        <v>3357.0</v>
      </c>
      <c r="K8826" s="61">
        <f t="shared" si="1"/>
        <v>0.6366396761</v>
      </c>
      <c r="L8826" s="62">
        <f t="shared" si="2"/>
        <v>3.397773279</v>
      </c>
    </row>
    <row r="8827">
      <c r="A8827" s="58">
        <v>45323.0</v>
      </c>
      <c r="B8827" s="24" t="s">
        <v>6787</v>
      </c>
      <c r="C8827" s="24" t="s">
        <v>6788</v>
      </c>
      <c r="D8827" s="59">
        <v>373.0</v>
      </c>
      <c r="E8827" s="59">
        <v>579.0</v>
      </c>
      <c r="F8827" s="59">
        <v>323.0</v>
      </c>
      <c r="G8827" s="60">
        <v>1.55645161290322</v>
      </c>
      <c r="H8827" s="60">
        <v>0.0414507772020725</v>
      </c>
      <c r="I8827" s="60">
        <v>127.806959799654</v>
      </c>
      <c r="J8827" s="59">
        <v>1766.0</v>
      </c>
      <c r="K8827" s="61">
        <f t="shared" si="1"/>
        <v>0.5578583765</v>
      </c>
      <c r="L8827" s="62">
        <f t="shared" si="2"/>
        <v>3.050086356</v>
      </c>
    </row>
    <row r="8828">
      <c r="A8828" s="58">
        <v>45323.0</v>
      </c>
      <c r="B8828" s="24" t="s">
        <v>6789</v>
      </c>
      <c r="C8828" s="24" t="s">
        <v>6792</v>
      </c>
      <c r="D8828" s="59">
        <v>188.0</v>
      </c>
      <c r="E8828" s="59">
        <v>205.0</v>
      </c>
      <c r="F8828" s="59">
        <v>0.0</v>
      </c>
      <c r="G8828" s="60">
        <v>1.5530303030303</v>
      </c>
      <c r="H8828" s="60">
        <v>0.960975609756097</v>
      </c>
      <c r="I8828" s="60">
        <v>19.7900171170731</v>
      </c>
      <c r="J8828" s="59">
        <v>0.0</v>
      </c>
      <c r="K8828" s="61">
        <f t="shared" si="1"/>
        <v>0</v>
      </c>
      <c r="L8828" s="62">
        <f t="shared" si="2"/>
        <v>0</v>
      </c>
    </row>
    <row r="8829">
      <c r="A8829" s="58">
        <v>45323.0</v>
      </c>
      <c r="B8829" s="24" t="s">
        <v>6794</v>
      </c>
      <c r="C8829" s="24" t="s">
        <v>6788</v>
      </c>
      <c r="D8829" s="59">
        <v>114.0</v>
      </c>
      <c r="E8829" s="59">
        <v>120.0</v>
      </c>
      <c r="F8829" s="59">
        <v>101.0</v>
      </c>
      <c r="G8829" s="60">
        <v>1.05263157894736</v>
      </c>
      <c r="H8829" s="60">
        <v>0.00833333333333333</v>
      </c>
      <c r="I8829" s="60">
        <v>144.385019849999</v>
      </c>
      <c r="J8829" s="59">
        <v>419.0</v>
      </c>
      <c r="K8829" s="61">
        <f t="shared" si="1"/>
        <v>0.8416666667</v>
      </c>
      <c r="L8829" s="62">
        <f t="shared" si="2"/>
        <v>3.491666667</v>
      </c>
    </row>
    <row r="8830">
      <c r="A8830" s="58">
        <v>45323.0</v>
      </c>
      <c r="B8830" s="24" t="s">
        <v>155</v>
      </c>
      <c r="C8830" s="24" t="s">
        <v>6788</v>
      </c>
      <c r="D8830" s="59">
        <v>97.0</v>
      </c>
      <c r="E8830" s="59">
        <v>184.0</v>
      </c>
      <c r="F8830" s="59">
        <v>72.0</v>
      </c>
      <c r="G8830" s="60">
        <v>1.89690721649484</v>
      </c>
      <c r="H8830" s="60">
        <v>0.0</v>
      </c>
      <c r="I8830" s="60">
        <v>146.188186043478</v>
      </c>
      <c r="J8830" s="59">
        <v>504.0</v>
      </c>
      <c r="K8830" s="61">
        <f t="shared" si="1"/>
        <v>0.3913043478</v>
      </c>
      <c r="L8830" s="62">
        <f t="shared" si="2"/>
        <v>2.739130435</v>
      </c>
    </row>
    <row r="8831">
      <c r="A8831" s="58">
        <v>45323.0</v>
      </c>
      <c r="B8831" s="24" t="s">
        <v>6789</v>
      </c>
      <c r="C8831" s="24" t="s">
        <v>7068</v>
      </c>
      <c r="D8831" s="59">
        <v>68.0</v>
      </c>
      <c r="E8831" s="59">
        <v>73.0</v>
      </c>
      <c r="F8831" s="59">
        <v>67.0</v>
      </c>
      <c r="G8831" s="60">
        <v>1.0735294117647</v>
      </c>
      <c r="H8831" s="60">
        <v>0.0136986301369863</v>
      </c>
      <c r="I8831" s="60">
        <v>114.63161049315</v>
      </c>
      <c r="J8831" s="59">
        <v>152.0</v>
      </c>
      <c r="K8831" s="61">
        <f t="shared" si="1"/>
        <v>0.9178082192</v>
      </c>
      <c r="L8831" s="62">
        <f t="shared" si="2"/>
        <v>2.082191781</v>
      </c>
    </row>
    <row r="8832">
      <c r="A8832" s="58">
        <v>45323.0</v>
      </c>
      <c r="B8832" s="24" t="s">
        <v>6789</v>
      </c>
      <c r="C8832" s="24" t="s">
        <v>6799</v>
      </c>
      <c r="D8832" s="59">
        <v>45.0</v>
      </c>
      <c r="E8832" s="59">
        <v>50.0</v>
      </c>
      <c r="F8832" s="59">
        <v>29.0</v>
      </c>
      <c r="G8832" s="60">
        <v>1.13636363636363</v>
      </c>
      <c r="H8832" s="60">
        <v>0.04</v>
      </c>
      <c r="I8832" s="60">
        <v>168.045175459999</v>
      </c>
      <c r="J8832" s="59">
        <v>174.0</v>
      </c>
      <c r="K8832" s="61">
        <f t="shared" si="1"/>
        <v>0.58</v>
      </c>
      <c r="L8832" s="62">
        <f t="shared" si="2"/>
        <v>3.48</v>
      </c>
    </row>
    <row r="8833">
      <c r="A8833" s="58">
        <v>45323.0</v>
      </c>
      <c r="B8833" s="24" t="s">
        <v>6787</v>
      </c>
      <c r="C8833" s="24" t="s">
        <v>6792</v>
      </c>
      <c r="D8833" s="59">
        <v>44.0</v>
      </c>
      <c r="E8833" s="59">
        <v>50.0</v>
      </c>
      <c r="F8833" s="59">
        <v>0.0</v>
      </c>
      <c r="G8833" s="60">
        <v>1.47058823529411</v>
      </c>
      <c r="H8833" s="60">
        <v>1.0</v>
      </c>
      <c r="I8833" s="60">
        <v>0.0596118599999999</v>
      </c>
      <c r="J8833" s="59">
        <v>0.0</v>
      </c>
      <c r="K8833" s="61">
        <f t="shared" si="1"/>
        <v>0</v>
      </c>
      <c r="L8833" s="62">
        <f t="shared" si="2"/>
        <v>0</v>
      </c>
    </row>
    <row r="8834">
      <c r="A8834" s="58">
        <v>45323.0</v>
      </c>
      <c r="B8834" s="24" t="s">
        <v>6791</v>
      </c>
      <c r="C8834" s="24" t="s">
        <v>7530</v>
      </c>
      <c r="D8834" s="59">
        <v>43.0</v>
      </c>
      <c r="E8834" s="59">
        <v>44.0</v>
      </c>
      <c r="F8834" s="59">
        <v>43.0</v>
      </c>
      <c r="G8834" s="60">
        <v>1.02325581395348</v>
      </c>
      <c r="H8834" s="60">
        <v>0.0</v>
      </c>
      <c r="I8834" s="60">
        <v>219.559787068181</v>
      </c>
      <c r="J8834" s="59">
        <v>133.0</v>
      </c>
      <c r="K8834" s="61">
        <f t="shared" si="1"/>
        <v>0.9772727273</v>
      </c>
      <c r="L8834" s="62">
        <f t="shared" si="2"/>
        <v>3.022727273</v>
      </c>
    </row>
    <row r="8835">
      <c r="A8835" s="58">
        <v>45323.0</v>
      </c>
      <c r="B8835" s="24" t="s">
        <v>6789</v>
      </c>
      <c r="C8835" s="24" t="s">
        <v>6808</v>
      </c>
      <c r="D8835" s="59">
        <v>37.0</v>
      </c>
      <c r="E8835" s="59">
        <v>39.0</v>
      </c>
      <c r="F8835" s="59">
        <v>21.0</v>
      </c>
      <c r="G8835" s="60">
        <v>1.05405405405405</v>
      </c>
      <c r="H8835" s="60">
        <v>0.0</v>
      </c>
      <c r="I8835" s="60">
        <v>112.480450307692</v>
      </c>
      <c r="J8835" s="59">
        <v>108.0</v>
      </c>
      <c r="K8835" s="61">
        <f t="shared" si="1"/>
        <v>0.5384615385</v>
      </c>
      <c r="L8835" s="62">
        <f t="shared" si="2"/>
        <v>2.769230769</v>
      </c>
    </row>
    <row r="8836">
      <c r="A8836" s="58">
        <v>45323.0</v>
      </c>
      <c r="B8836" s="24" t="s">
        <v>6789</v>
      </c>
      <c r="C8836" s="24" t="s">
        <v>6804</v>
      </c>
      <c r="D8836" s="59">
        <v>36.0</v>
      </c>
      <c r="E8836" s="59">
        <v>40.0</v>
      </c>
      <c r="F8836" s="59">
        <v>35.0</v>
      </c>
      <c r="G8836" s="60">
        <v>1.11111111111111</v>
      </c>
      <c r="H8836" s="60">
        <v>0.05</v>
      </c>
      <c r="I8836" s="60">
        <v>84.32905705</v>
      </c>
      <c r="J8836" s="59">
        <v>89.0</v>
      </c>
      <c r="K8836" s="61">
        <f t="shared" si="1"/>
        <v>0.875</v>
      </c>
      <c r="L8836" s="62">
        <f t="shared" si="2"/>
        <v>2.225</v>
      </c>
    </row>
    <row r="8837">
      <c r="A8837" s="58">
        <v>45323.0</v>
      </c>
      <c r="B8837" s="24" t="s">
        <v>6791</v>
      </c>
      <c r="C8837" s="24" t="s">
        <v>7206</v>
      </c>
      <c r="D8837" s="59">
        <v>25.0</v>
      </c>
      <c r="E8837" s="59">
        <v>25.0</v>
      </c>
      <c r="F8837" s="59">
        <v>23.0</v>
      </c>
      <c r="G8837" s="60">
        <v>1.0</v>
      </c>
      <c r="H8837" s="60">
        <v>0.0</v>
      </c>
      <c r="I8837" s="60">
        <v>176.74837368</v>
      </c>
      <c r="J8837" s="59">
        <v>62.0</v>
      </c>
      <c r="K8837" s="61">
        <f t="shared" si="1"/>
        <v>0.92</v>
      </c>
      <c r="L8837" s="62">
        <f t="shared" si="2"/>
        <v>2.48</v>
      </c>
    </row>
    <row r="8838">
      <c r="A8838" s="58">
        <v>45323.0</v>
      </c>
      <c r="B8838" s="24" t="s">
        <v>6789</v>
      </c>
      <c r="C8838" s="24" t="s">
        <v>6815</v>
      </c>
      <c r="D8838" s="59">
        <v>25.0</v>
      </c>
      <c r="E8838" s="59">
        <v>28.0</v>
      </c>
      <c r="F8838" s="59">
        <v>23.0</v>
      </c>
      <c r="G8838" s="60">
        <v>1.12</v>
      </c>
      <c r="H8838" s="60">
        <v>0.0</v>
      </c>
      <c r="I8838" s="60">
        <v>270.201826464285</v>
      </c>
      <c r="J8838" s="59">
        <v>75.0</v>
      </c>
      <c r="K8838" s="61">
        <f t="shared" si="1"/>
        <v>0.8214285714</v>
      </c>
      <c r="L8838" s="62">
        <f t="shared" si="2"/>
        <v>2.678571429</v>
      </c>
    </row>
    <row r="8839">
      <c r="A8839" s="58">
        <v>45323.0</v>
      </c>
      <c r="B8839" s="24" t="s">
        <v>3216</v>
      </c>
      <c r="C8839" s="24" t="s">
        <v>6908</v>
      </c>
      <c r="D8839" s="59">
        <v>23.0</v>
      </c>
      <c r="E8839" s="59">
        <v>23.0</v>
      </c>
      <c r="F8839" s="59">
        <v>22.0</v>
      </c>
      <c r="G8839" s="60">
        <v>1.0</v>
      </c>
      <c r="H8839" s="60">
        <v>0.17391304347826</v>
      </c>
      <c r="I8839" s="60">
        <v>14.2997026521739</v>
      </c>
      <c r="J8839" s="59">
        <v>43.0</v>
      </c>
      <c r="K8839" s="61">
        <f t="shared" si="1"/>
        <v>0.9565217391</v>
      </c>
      <c r="L8839" s="62">
        <f t="shared" si="2"/>
        <v>1.869565217</v>
      </c>
    </row>
    <row r="8840">
      <c r="A8840" s="58">
        <v>45323.0</v>
      </c>
      <c r="B8840" s="24" t="s">
        <v>6789</v>
      </c>
      <c r="C8840" s="24" t="s">
        <v>6997</v>
      </c>
      <c r="D8840" s="59">
        <v>17.0</v>
      </c>
      <c r="E8840" s="59">
        <v>18.0</v>
      </c>
      <c r="F8840" s="59">
        <v>10.0</v>
      </c>
      <c r="G8840" s="60">
        <v>1.05882352941176</v>
      </c>
      <c r="H8840" s="60">
        <v>0.0</v>
      </c>
      <c r="I8840" s="60">
        <v>279.842148444444</v>
      </c>
      <c r="J8840" s="59">
        <v>82.0</v>
      </c>
      <c r="K8840" s="61">
        <f t="shared" si="1"/>
        <v>0.5555555556</v>
      </c>
      <c r="L8840" s="62">
        <f t="shared" si="2"/>
        <v>4.555555556</v>
      </c>
    </row>
    <row r="8841">
      <c r="A8841" s="58">
        <v>45323.0</v>
      </c>
      <c r="B8841" s="24" t="s">
        <v>6791</v>
      </c>
      <c r="C8841" s="24" t="s">
        <v>7207</v>
      </c>
      <c r="D8841" s="59">
        <v>16.0</v>
      </c>
      <c r="E8841" s="59">
        <v>19.0</v>
      </c>
      <c r="F8841" s="59">
        <v>13.0</v>
      </c>
      <c r="G8841" s="60">
        <v>1.1875</v>
      </c>
      <c r="H8841" s="60">
        <v>0.0</v>
      </c>
      <c r="I8841" s="60">
        <v>154.938648631578</v>
      </c>
      <c r="J8841" s="59">
        <v>64.0</v>
      </c>
      <c r="K8841" s="61">
        <f t="shared" si="1"/>
        <v>0.6842105263</v>
      </c>
      <c r="L8841" s="62">
        <f t="shared" si="2"/>
        <v>3.368421053</v>
      </c>
    </row>
    <row r="8842">
      <c r="A8842" s="58">
        <v>45323.0</v>
      </c>
      <c r="B8842" s="24" t="s">
        <v>6789</v>
      </c>
      <c r="C8842" s="24" t="s">
        <v>6803</v>
      </c>
      <c r="D8842" s="59">
        <v>15.0</v>
      </c>
      <c r="E8842" s="59">
        <v>24.0</v>
      </c>
      <c r="F8842" s="59">
        <v>14.0</v>
      </c>
      <c r="G8842" s="60">
        <v>1.6</v>
      </c>
      <c r="H8842" s="60">
        <v>0.0</v>
      </c>
      <c r="I8842" s="60">
        <v>155.976648833333</v>
      </c>
      <c r="J8842" s="59">
        <v>71.0</v>
      </c>
      <c r="K8842" s="61">
        <f t="shared" si="1"/>
        <v>0.5833333333</v>
      </c>
      <c r="L8842" s="62">
        <f t="shared" si="2"/>
        <v>2.958333333</v>
      </c>
    </row>
    <row r="8843">
      <c r="A8843" s="58">
        <v>45323.0</v>
      </c>
      <c r="B8843" s="24" t="s">
        <v>6789</v>
      </c>
      <c r="C8843" s="24" t="s">
        <v>6990</v>
      </c>
      <c r="D8843" s="59">
        <v>15.0</v>
      </c>
      <c r="E8843" s="59">
        <v>17.0</v>
      </c>
      <c r="F8843" s="59">
        <v>13.0</v>
      </c>
      <c r="G8843" s="60">
        <v>1.13333333333333</v>
      </c>
      <c r="H8843" s="60">
        <v>0.0</v>
      </c>
      <c r="I8843" s="60">
        <v>318.781194588235</v>
      </c>
      <c r="J8843" s="59">
        <v>44.0</v>
      </c>
      <c r="K8843" s="61">
        <f t="shared" si="1"/>
        <v>0.7647058824</v>
      </c>
      <c r="L8843" s="62">
        <f t="shared" si="2"/>
        <v>2.588235294</v>
      </c>
    </row>
    <row r="8844">
      <c r="A8844" s="58">
        <v>45323.0</v>
      </c>
      <c r="B8844" s="24" t="s">
        <v>6790</v>
      </c>
      <c r="C8844" s="24" t="s">
        <v>6788</v>
      </c>
      <c r="D8844" s="59">
        <v>14.0</v>
      </c>
      <c r="E8844" s="59">
        <v>16.0</v>
      </c>
      <c r="F8844" s="59">
        <v>8.0</v>
      </c>
      <c r="G8844" s="60">
        <v>1.14285714285714</v>
      </c>
      <c r="H8844" s="60">
        <v>0.375</v>
      </c>
      <c r="I8844" s="60">
        <v>150.783231125</v>
      </c>
      <c r="J8844" s="59">
        <v>54.0</v>
      </c>
      <c r="K8844" s="61">
        <f t="shared" si="1"/>
        <v>0.5</v>
      </c>
      <c r="L8844" s="62">
        <f t="shared" si="2"/>
        <v>3.375</v>
      </c>
    </row>
    <row r="8845">
      <c r="A8845" s="58">
        <v>45323.0</v>
      </c>
      <c r="B8845" s="24" t="s">
        <v>6789</v>
      </c>
      <c r="C8845" s="24" t="s">
        <v>7180</v>
      </c>
      <c r="D8845" s="59">
        <v>14.0</v>
      </c>
      <c r="E8845" s="59">
        <v>14.0</v>
      </c>
      <c r="F8845" s="59">
        <v>11.0</v>
      </c>
      <c r="G8845" s="60">
        <v>1.0</v>
      </c>
      <c r="H8845" s="60">
        <v>0.0</v>
      </c>
      <c r="I8845" s="60">
        <v>100.610089142857</v>
      </c>
      <c r="J8845" s="59">
        <v>28.0</v>
      </c>
      <c r="K8845" s="61">
        <f t="shared" si="1"/>
        <v>0.7857142857</v>
      </c>
      <c r="L8845" s="62">
        <f t="shared" si="2"/>
        <v>2</v>
      </c>
    </row>
    <row r="8846">
      <c r="A8846" s="58">
        <v>45323.0</v>
      </c>
      <c r="B8846" s="24" t="s">
        <v>6794</v>
      </c>
      <c r="C8846" s="24" t="s">
        <v>6792</v>
      </c>
      <c r="D8846" s="59">
        <v>13.0</v>
      </c>
      <c r="E8846" s="59">
        <v>13.0</v>
      </c>
      <c r="F8846" s="59">
        <v>0.0</v>
      </c>
      <c r="G8846" s="60">
        <v>1.44444444444444</v>
      </c>
      <c r="H8846" s="60">
        <v>1.0</v>
      </c>
      <c r="I8846" s="60">
        <v>0.0</v>
      </c>
      <c r="J8846" s="59">
        <v>0.0</v>
      </c>
      <c r="K8846" s="61">
        <f t="shared" si="1"/>
        <v>0</v>
      </c>
      <c r="L8846" s="62">
        <f t="shared" si="2"/>
        <v>0</v>
      </c>
    </row>
    <row r="8847">
      <c r="A8847" s="58">
        <v>45323.0</v>
      </c>
      <c r="B8847" s="24" t="s">
        <v>6789</v>
      </c>
      <c r="C8847" s="24" t="s">
        <v>6802</v>
      </c>
      <c r="D8847" s="59">
        <v>13.0</v>
      </c>
      <c r="E8847" s="59">
        <v>17.0</v>
      </c>
      <c r="F8847" s="59">
        <v>4.0</v>
      </c>
      <c r="G8847" s="60">
        <v>1.3076923076923</v>
      </c>
      <c r="H8847" s="60">
        <v>0.0</v>
      </c>
      <c r="I8847" s="60">
        <v>190.361468941176</v>
      </c>
      <c r="J8847" s="59">
        <v>36.0</v>
      </c>
      <c r="K8847" s="61">
        <f t="shared" si="1"/>
        <v>0.2352941176</v>
      </c>
      <c r="L8847" s="62">
        <f t="shared" si="2"/>
        <v>2.117647059</v>
      </c>
    </row>
    <row r="8848">
      <c r="A8848" s="58">
        <v>45323.0</v>
      </c>
      <c r="B8848" s="24" t="s">
        <v>6787</v>
      </c>
      <c r="C8848" s="24" t="s">
        <v>6799</v>
      </c>
      <c r="D8848" s="59">
        <v>12.0</v>
      </c>
      <c r="E8848" s="59">
        <v>12.0</v>
      </c>
      <c r="F8848" s="59">
        <v>9.0</v>
      </c>
      <c r="G8848" s="60">
        <v>1.0</v>
      </c>
      <c r="H8848" s="60">
        <v>0.25</v>
      </c>
      <c r="I8848" s="60">
        <v>139.114011916666</v>
      </c>
      <c r="J8848" s="59">
        <v>23.0</v>
      </c>
      <c r="K8848" s="61">
        <f t="shared" si="1"/>
        <v>0.75</v>
      </c>
      <c r="L8848" s="62">
        <f t="shared" si="2"/>
        <v>1.916666667</v>
      </c>
    </row>
    <row r="8849">
      <c r="A8849" s="58">
        <v>45323.0</v>
      </c>
      <c r="B8849" s="24" t="s">
        <v>6787</v>
      </c>
      <c r="C8849" s="24" t="s">
        <v>6802</v>
      </c>
      <c r="D8849" s="59">
        <v>12.0</v>
      </c>
      <c r="E8849" s="59">
        <v>13.0</v>
      </c>
      <c r="F8849" s="59">
        <v>6.0</v>
      </c>
      <c r="G8849" s="60">
        <v>1.08333333333333</v>
      </c>
      <c r="H8849" s="60">
        <v>0.0769230769230769</v>
      </c>
      <c r="I8849" s="60">
        <v>588.017712923076</v>
      </c>
      <c r="J8849" s="59">
        <v>89.0</v>
      </c>
      <c r="K8849" s="61">
        <f t="shared" si="1"/>
        <v>0.4615384615</v>
      </c>
      <c r="L8849" s="62">
        <f t="shared" si="2"/>
        <v>6.846153846</v>
      </c>
    </row>
    <row r="8850">
      <c r="A8850" s="58">
        <v>45323.0</v>
      </c>
      <c r="B8850" s="24" t="s">
        <v>6789</v>
      </c>
      <c r="C8850" s="24" t="s">
        <v>6835</v>
      </c>
      <c r="D8850" s="59">
        <v>11.0</v>
      </c>
      <c r="E8850" s="59">
        <v>16.0</v>
      </c>
      <c r="F8850" s="59">
        <v>10.0</v>
      </c>
      <c r="G8850" s="60">
        <v>1.45454545454545</v>
      </c>
      <c r="H8850" s="60">
        <v>0.0</v>
      </c>
      <c r="I8850" s="60">
        <v>168.926610499999</v>
      </c>
      <c r="J8850" s="59">
        <v>44.0</v>
      </c>
      <c r="K8850" s="61">
        <f t="shared" si="1"/>
        <v>0.625</v>
      </c>
      <c r="L8850" s="62">
        <f t="shared" si="2"/>
        <v>2.75</v>
      </c>
    </row>
    <row r="8851">
      <c r="A8851" s="58">
        <v>45323.0</v>
      </c>
      <c r="B8851" s="24" t="s">
        <v>6789</v>
      </c>
      <c r="C8851" s="24" t="s">
        <v>6910</v>
      </c>
      <c r="D8851" s="59">
        <v>11.0</v>
      </c>
      <c r="E8851" s="59">
        <v>12.0</v>
      </c>
      <c r="F8851" s="59">
        <v>10.0</v>
      </c>
      <c r="G8851" s="60">
        <v>1.09090909090909</v>
      </c>
      <c r="H8851" s="60">
        <v>0.0</v>
      </c>
      <c r="I8851" s="60">
        <v>429.423395083333</v>
      </c>
      <c r="J8851" s="59">
        <v>61.0</v>
      </c>
      <c r="K8851" s="61">
        <f t="shared" si="1"/>
        <v>0.8333333333</v>
      </c>
      <c r="L8851" s="62">
        <f t="shared" si="2"/>
        <v>5.083333333</v>
      </c>
    </row>
    <row r="8852">
      <c r="A8852" s="58">
        <v>45323.0</v>
      </c>
      <c r="B8852" s="24" t="s">
        <v>6787</v>
      </c>
      <c r="C8852" s="24" t="s">
        <v>6815</v>
      </c>
      <c r="D8852" s="59">
        <v>11.0</v>
      </c>
      <c r="E8852" s="59">
        <v>18.0</v>
      </c>
      <c r="F8852" s="59">
        <v>10.0</v>
      </c>
      <c r="G8852" s="60">
        <v>1.63636363636363</v>
      </c>
      <c r="H8852" s="60">
        <v>0.0</v>
      </c>
      <c r="I8852" s="60">
        <v>23.2402843888888</v>
      </c>
      <c r="J8852" s="59">
        <v>48.0</v>
      </c>
      <c r="K8852" s="61">
        <f t="shared" si="1"/>
        <v>0.5555555556</v>
      </c>
      <c r="L8852" s="62">
        <f t="shared" si="2"/>
        <v>2.666666667</v>
      </c>
    </row>
    <row r="8853">
      <c r="A8853" s="58">
        <v>45323.0</v>
      </c>
      <c r="B8853" s="24" t="s">
        <v>6791</v>
      </c>
      <c r="C8853" s="24" t="s">
        <v>6792</v>
      </c>
      <c r="D8853" s="59">
        <v>9.0</v>
      </c>
      <c r="E8853" s="59">
        <v>9.0</v>
      </c>
      <c r="F8853" s="59">
        <v>0.0</v>
      </c>
      <c r="G8853" s="60">
        <v>1.28571428571428</v>
      </c>
      <c r="H8853" s="60">
        <v>1.0</v>
      </c>
      <c r="I8853" s="60">
        <v>0.0</v>
      </c>
      <c r="J8853" s="59">
        <v>0.0</v>
      </c>
      <c r="K8853" s="61">
        <f t="shared" si="1"/>
        <v>0</v>
      </c>
      <c r="L8853" s="62">
        <f t="shared" si="2"/>
        <v>0</v>
      </c>
    </row>
    <row r="8854">
      <c r="A8854" s="58">
        <v>45323.0</v>
      </c>
      <c r="B8854" s="24" t="s">
        <v>6789</v>
      </c>
      <c r="C8854" s="24" t="s">
        <v>6819</v>
      </c>
      <c r="D8854" s="59">
        <v>9.0</v>
      </c>
      <c r="E8854" s="59">
        <v>9.0</v>
      </c>
      <c r="F8854" s="59">
        <v>7.0</v>
      </c>
      <c r="G8854" s="60">
        <v>1.0</v>
      </c>
      <c r="H8854" s="60">
        <v>0.0</v>
      </c>
      <c r="I8854" s="60">
        <v>229.521258</v>
      </c>
      <c r="J8854" s="59">
        <v>18.0</v>
      </c>
      <c r="K8854" s="61">
        <f t="shared" si="1"/>
        <v>0.7777777778</v>
      </c>
      <c r="L8854" s="62">
        <f t="shared" si="2"/>
        <v>2</v>
      </c>
    </row>
    <row r="8855">
      <c r="A8855" s="58">
        <v>45323.0</v>
      </c>
      <c r="B8855" s="24" t="s">
        <v>6791</v>
      </c>
      <c r="C8855" s="24" t="s">
        <v>7261</v>
      </c>
      <c r="D8855" s="59">
        <v>9.0</v>
      </c>
      <c r="E8855" s="59">
        <v>9.0</v>
      </c>
      <c r="F8855" s="59">
        <v>9.0</v>
      </c>
      <c r="G8855" s="60">
        <v>1.0</v>
      </c>
      <c r="H8855" s="60">
        <v>0.0</v>
      </c>
      <c r="I8855" s="60">
        <v>23.2683774444444</v>
      </c>
      <c r="J8855" s="59">
        <v>24.0</v>
      </c>
      <c r="K8855" s="61">
        <f t="shared" si="1"/>
        <v>1</v>
      </c>
      <c r="L8855" s="62">
        <f t="shared" si="2"/>
        <v>2.666666667</v>
      </c>
    </row>
    <row r="8856">
      <c r="A8856" s="58">
        <v>45323.0</v>
      </c>
      <c r="B8856" s="24" t="s">
        <v>155</v>
      </c>
      <c r="C8856" s="24" t="s">
        <v>6792</v>
      </c>
      <c r="D8856" s="59">
        <v>8.0</v>
      </c>
      <c r="E8856" s="59">
        <v>10.0</v>
      </c>
      <c r="F8856" s="59">
        <v>0.0</v>
      </c>
      <c r="G8856" s="60">
        <v>1.66666666666666</v>
      </c>
      <c r="H8856" s="60">
        <v>0.9</v>
      </c>
      <c r="I8856" s="60">
        <v>19.3946848</v>
      </c>
      <c r="J8856" s="59">
        <v>0.0</v>
      </c>
      <c r="K8856" s="61">
        <f t="shared" si="1"/>
        <v>0</v>
      </c>
      <c r="L8856" s="62">
        <f t="shared" si="2"/>
        <v>0</v>
      </c>
    </row>
    <row r="8857">
      <c r="A8857" s="58">
        <v>45323.0</v>
      </c>
      <c r="B8857" s="24" t="s">
        <v>7100</v>
      </c>
      <c r="C8857" s="24" t="s">
        <v>6788</v>
      </c>
      <c r="D8857" s="59">
        <v>8.0</v>
      </c>
      <c r="E8857" s="59">
        <v>8.0</v>
      </c>
      <c r="F8857" s="59">
        <v>8.0</v>
      </c>
      <c r="G8857" s="60">
        <v>1.0</v>
      </c>
      <c r="H8857" s="60">
        <v>0.0</v>
      </c>
      <c r="I8857" s="60">
        <v>40.768175125</v>
      </c>
      <c r="J8857" s="59">
        <v>34.0</v>
      </c>
      <c r="K8857" s="61">
        <f t="shared" si="1"/>
        <v>1</v>
      </c>
      <c r="L8857" s="62">
        <f t="shared" si="2"/>
        <v>4.25</v>
      </c>
    </row>
    <row r="8858">
      <c r="A8858" s="58">
        <v>45323.0</v>
      </c>
      <c r="B8858" s="24" t="s">
        <v>6789</v>
      </c>
      <c r="C8858" s="24" t="s">
        <v>6892</v>
      </c>
      <c r="D8858" s="59">
        <v>8.0</v>
      </c>
      <c r="E8858" s="59">
        <v>9.0</v>
      </c>
      <c r="F8858" s="59">
        <v>6.0</v>
      </c>
      <c r="G8858" s="60">
        <v>1.125</v>
      </c>
      <c r="H8858" s="60">
        <v>0.0</v>
      </c>
      <c r="I8858" s="60">
        <v>155.088703666666</v>
      </c>
      <c r="J8858" s="59">
        <v>24.0</v>
      </c>
      <c r="K8858" s="61">
        <f t="shared" si="1"/>
        <v>0.6666666667</v>
      </c>
      <c r="L8858" s="62">
        <f t="shared" si="2"/>
        <v>2.666666667</v>
      </c>
    </row>
    <row r="8859">
      <c r="A8859" s="58">
        <v>45323.0</v>
      </c>
      <c r="B8859" s="24" t="s">
        <v>6791</v>
      </c>
      <c r="C8859" s="24" t="s">
        <v>7554</v>
      </c>
      <c r="D8859" s="59">
        <v>8.0</v>
      </c>
      <c r="E8859" s="59">
        <v>8.0</v>
      </c>
      <c r="F8859" s="59">
        <v>7.0</v>
      </c>
      <c r="G8859" s="60">
        <v>1.0</v>
      </c>
      <c r="H8859" s="60">
        <v>0.0</v>
      </c>
      <c r="I8859" s="60">
        <v>53.443657</v>
      </c>
      <c r="J8859" s="59">
        <v>33.0</v>
      </c>
      <c r="K8859" s="61">
        <f t="shared" si="1"/>
        <v>0.875</v>
      </c>
      <c r="L8859" s="62">
        <f t="shared" si="2"/>
        <v>4.125</v>
      </c>
    </row>
    <row r="8860">
      <c r="A8860" s="58">
        <v>45323.0</v>
      </c>
      <c r="B8860" s="24" t="s">
        <v>6789</v>
      </c>
      <c r="C8860" s="24" t="s">
        <v>7013</v>
      </c>
      <c r="D8860" s="59">
        <v>8.0</v>
      </c>
      <c r="E8860" s="59">
        <v>8.0</v>
      </c>
      <c r="F8860" s="59">
        <v>4.0</v>
      </c>
      <c r="G8860" s="60">
        <v>1.0</v>
      </c>
      <c r="H8860" s="60">
        <v>0.0</v>
      </c>
      <c r="I8860" s="60">
        <v>478.11933825</v>
      </c>
      <c r="J8860" s="59">
        <v>62.0</v>
      </c>
      <c r="K8860" s="61">
        <f t="shared" si="1"/>
        <v>0.5</v>
      </c>
      <c r="L8860" s="62">
        <f t="shared" si="2"/>
        <v>7.75</v>
      </c>
    </row>
    <row r="8861">
      <c r="A8861" s="58">
        <v>45323.0</v>
      </c>
      <c r="B8861" s="24" t="s">
        <v>6787</v>
      </c>
      <c r="C8861" s="24" t="s">
        <v>7172</v>
      </c>
      <c r="D8861" s="59">
        <v>8.0</v>
      </c>
      <c r="E8861" s="59">
        <v>8.0</v>
      </c>
      <c r="F8861" s="59">
        <v>4.0</v>
      </c>
      <c r="G8861" s="60">
        <v>1.0</v>
      </c>
      <c r="H8861" s="60">
        <v>0.125</v>
      </c>
      <c r="I8861" s="60">
        <v>73.946851375</v>
      </c>
      <c r="J8861" s="59">
        <v>23.0</v>
      </c>
      <c r="K8861" s="61">
        <f t="shared" si="1"/>
        <v>0.5</v>
      </c>
      <c r="L8861" s="62">
        <f t="shared" si="2"/>
        <v>2.875</v>
      </c>
    </row>
    <row r="8862">
      <c r="A8862" s="58">
        <v>45323.0</v>
      </c>
      <c r="B8862" s="24" t="s">
        <v>6789</v>
      </c>
      <c r="C8862" s="24" t="s">
        <v>6829</v>
      </c>
      <c r="D8862" s="59">
        <v>7.0</v>
      </c>
      <c r="E8862" s="59">
        <v>9.0</v>
      </c>
      <c r="F8862" s="59">
        <v>6.0</v>
      </c>
      <c r="G8862" s="60">
        <v>1.28571428571428</v>
      </c>
      <c r="H8862" s="60">
        <v>0.0</v>
      </c>
      <c r="I8862" s="60">
        <v>224.314092777777</v>
      </c>
      <c r="J8862" s="59">
        <v>22.0</v>
      </c>
      <c r="K8862" s="61">
        <f t="shared" si="1"/>
        <v>0.6666666667</v>
      </c>
      <c r="L8862" s="62">
        <f t="shared" si="2"/>
        <v>2.444444444</v>
      </c>
    </row>
    <row r="8863">
      <c r="A8863" s="58">
        <v>45323.0</v>
      </c>
      <c r="B8863" s="24" t="s">
        <v>6789</v>
      </c>
      <c r="C8863" s="24" t="s">
        <v>6922</v>
      </c>
      <c r="D8863" s="59">
        <v>7.0</v>
      </c>
      <c r="E8863" s="59">
        <v>10.0</v>
      </c>
      <c r="F8863" s="59">
        <v>1.0</v>
      </c>
      <c r="G8863" s="60">
        <v>1.42857142857142</v>
      </c>
      <c r="H8863" s="60">
        <v>0.0</v>
      </c>
      <c r="I8863" s="60">
        <v>317.563994699999</v>
      </c>
      <c r="J8863" s="59">
        <v>72.0</v>
      </c>
      <c r="K8863" s="61">
        <f t="shared" si="1"/>
        <v>0.1</v>
      </c>
      <c r="L8863" s="62">
        <f t="shared" si="2"/>
        <v>7.2</v>
      </c>
    </row>
    <row r="8864">
      <c r="A8864" s="58">
        <v>45323.0</v>
      </c>
      <c r="B8864" s="24" t="s">
        <v>6787</v>
      </c>
      <c r="C8864" s="24" t="s">
        <v>6810</v>
      </c>
      <c r="D8864" s="59">
        <v>7.0</v>
      </c>
      <c r="E8864" s="59">
        <v>7.0</v>
      </c>
      <c r="F8864" s="59">
        <v>7.0</v>
      </c>
      <c r="G8864" s="60">
        <v>1.0</v>
      </c>
      <c r="H8864" s="60">
        <v>0.285714285714285</v>
      </c>
      <c r="I8864" s="60">
        <v>12.3973275714285</v>
      </c>
      <c r="J8864" s="59">
        <v>18.0</v>
      </c>
      <c r="K8864" s="61">
        <f t="shared" si="1"/>
        <v>1</v>
      </c>
      <c r="L8864" s="62">
        <f t="shared" si="2"/>
        <v>2.571428571</v>
      </c>
    </row>
    <row r="8865">
      <c r="A8865" s="58">
        <v>45323.0</v>
      </c>
      <c r="B8865" s="24" t="s">
        <v>6789</v>
      </c>
      <c r="C8865" s="24" t="s">
        <v>6953</v>
      </c>
      <c r="D8865" s="59">
        <v>6.0</v>
      </c>
      <c r="E8865" s="59">
        <v>9.0</v>
      </c>
      <c r="F8865" s="59">
        <v>4.0</v>
      </c>
      <c r="G8865" s="60">
        <v>1.5</v>
      </c>
      <c r="H8865" s="60">
        <v>0.111111111111111</v>
      </c>
      <c r="I8865" s="60">
        <v>322.020725444444</v>
      </c>
      <c r="J8865" s="59">
        <v>31.0</v>
      </c>
      <c r="K8865" s="61">
        <f t="shared" si="1"/>
        <v>0.4444444444</v>
      </c>
      <c r="L8865" s="62">
        <f t="shared" si="2"/>
        <v>3.444444444</v>
      </c>
    </row>
    <row r="8866">
      <c r="A8866" s="58">
        <v>45323.0</v>
      </c>
      <c r="B8866" s="24" t="s">
        <v>6787</v>
      </c>
      <c r="C8866" s="24" t="s">
        <v>6804</v>
      </c>
      <c r="D8866" s="59">
        <v>6.0</v>
      </c>
      <c r="E8866" s="59">
        <v>7.0</v>
      </c>
      <c r="F8866" s="59">
        <v>5.0</v>
      </c>
      <c r="G8866" s="60">
        <v>1.16666666666666</v>
      </c>
      <c r="H8866" s="60">
        <v>0.285714285714285</v>
      </c>
      <c r="I8866" s="60">
        <v>44.6553952857142</v>
      </c>
      <c r="J8866" s="59">
        <v>14.0</v>
      </c>
      <c r="K8866" s="61">
        <f t="shared" si="1"/>
        <v>0.7142857143</v>
      </c>
      <c r="L8866" s="62">
        <f t="shared" si="2"/>
        <v>2</v>
      </c>
    </row>
    <row r="8867">
      <c r="A8867" s="58">
        <v>45323.0</v>
      </c>
      <c r="B8867" s="24" t="s">
        <v>6789</v>
      </c>
      <c r="C8867" s="24" t="s">
        <v>7058</v>
      </c>
      <c r="D8867" s="59">
        <v>6.0</v>
      </c>
      <c r="E8867" s="59">
        <v>6.0</v>
      </c>
      <c r="F8867" s="59">
        <v>6.0</v>
      </c>
      <c r="G8867" s="60">
        <v>1.0</v>
      </c>
      <c r="H8867" s="60">
        <v>0.0</v>
      </c>
      <c r="I8867" s="60">
        <v>76.2630064999999</v>
      </c>
      <c r="J8867" s="59">
        <v>14.0</v>
      </c>
      <c r="K8867" s="61">
        <f t="shared" si="1"/>
        <v>1</v>
      </c>
      <c r="L8867" s="62">
        <f t="shared" si="2"/>
        <v>2.333333333</v>
      </c>
    </row>
    <row r="8868">
      <c r="A8868" s="58">
        <v>45323.0</v>
      </c>
      <c r="B8868" s="24" t="s">
        <v>6789</v>
      </c>
      <c r="C8868" s="24" t="s">
        <v>6994</v>
      </c>
      <c r="D8868" s="59">
        <v>6.0</v>
      </c>
      <c r="E8868" s="59">
        <v>6.0</v>
      </c>
      <c r="F8868" s="59">
        <v>6.0</v>
      </c>
      <c r="G8868" s="60">
        <v>1.0</v>
      </c>
      <c r="H8868" s="60">
        <v>0.0</v>
      </c>
      <c r="I8868" s="60">
        <v>74.8845163333333</v>
      </c>
      <c r="J8868" s="59">
        <v>13.0</v>
      </c>
      <c r="K8868" s="61">
        <f t="shared" si="1"/>
        <v>1</v>
      </c>
      <c r="L8868" s="62">
        <f t="shared" si="2"/>
        <v>2.166666667</v>
      </c>
    </row>
    <row r="8869">
      <c r="A8869" s="58">
        <v>45323.0</v>
      </c>
      <c r="B8869" s="24" t="s">
        <v>155</v>
      </c>
      <c r="C8869" s="24" t="s">
        <v>6799</v>
      </c>
      <c r="D8869" s="59">
        <v>6.0</v>
      </c>
      <c r="E8869" s="59">
        <v>6.0</v>
      </c>
      <c r="F8869" s="59">
        <v>6.0</v>
      </c>
      <c r="G8869" s="60">
        <v>1.0</v>
      </c>
      <c r="H8869" s="60">
        <v>0.0</v>
      </c>
      <c r="I8869" s="60">
        <v>252.6997405</v>
      </c>
      <c r="J8869" s="59">
        <v>21.0</v>
      </c>
      <c r="K8869" s="61">
        <f t="shared" si="1"/>
        <v>1</v>
      </c>
      <c r="L8869" s="62">
        <f t="shared" si="2"/>
        <v>3.5</v>
      </c>
    </row>
    <row r="8870">
      <c r="A8870" s="58">
        <v>45323.0</v>
      </c>
      <c r="B8870" s="24" t="s">
        <v>6787</v>
      </c>
      <c r="C8870" s="24" t="s">
        <v>6892</v>
      </c>
      <c r="D8870" s="59">
        <v>6.0</v>
      </c>
      <c r="E8870" s="59">
        <v>6.0</v>
      </c>
      <c r="F8870" s="59">
        <v>6.0</v>
      </c>
      <c r="G8870" s="60">
        <v>1.0</v>
      </c>
      <c r="H8870" s="60">
        <v>0.166666666666666</v>
      </c>
      <c r="I8870" s="60">
        <v>4.66115683333333</v>
      </c>
      <c r="J8870" s="59">
        <v>11.0</v>
      </c>
      <c r="K8870" s="61">
        <f t="shared" si="1"/>
        <v>1</v>
      </c>
      <c r="L8870" s="62">
        <f t="shared" si="2"/>
        <v>1.833333333</v>
      </c>
    </row>
    <row r="8871">
      <c r="A8871" s="58">
        <v>45323.0</v>
      </c>
      <c r="B8871" s="24" t="s">
        <v>6789</v>
      </c>
      <c r="C8871" s="24" t="s">
        <v>7087</v>
      </c>
      <c r="D8871" s="59">
        <v>6.0</v>
      </c>
      <c r="E8871" s="59">
        <v>6.0</v>
      </c>
      <c r="F8871" s="59">
        <v>4.0</v>
      </c>
      <c r="G8871" s="60">
        <v>1.0</v>
      </c>
      <c r="H8871" s="60">
        <v>0.0</v>
      </c>
      <c r="I8871" s="60">
        <v>434.990417</v>
      </c>
      <c r="J8871" s="59">
        <v>23.0</v>
      </c>
      <c r="K8871" s="61">
        <f t="shared" si="1"/>
        <v>0.6666666667</v>
      </c>
      <c r="L8871" s="62">
        <f t="shared" si="2"/>
        <v>3.833333333</v>
      </c>
    </row>
    <row r="8872">
      <c r="A8872" s="58">
        <v>45323.0</v>
      </c>
      <c r="B8872" s="24" t="s">
        <v>6787</v>
      </c>
      <c r="C8872" s="24" t="s">
        <v>6800</v>
      </c>
      <c r="D8872" s="59">
        <v>6.0</v>
      </c>
      <c r="E8872" s="59">
        <v>6.0</v>
      </c>
      <c r="F8872" s="59">
        <v>6.0</v>
      </c>
      <c r="G8872" s="60">
        <v>1.0</v>
      </c>
      <c r="H8872" s="60">
        <v>0.5</v>
      </c>
      <c r="I8872" s="60">
        <v>5.59160533333333</v>
      </c>
      <c r="J8872" s="59">
        <v>12.0</v>
      </c>
      <c r="K8872" s="61">
        <f t="shared" si="1"/>
        <v>1</v>
      </c>
      <c r="L8872" s="62">
        <f t="shared" si="2"/>
        <v>2</v>
      </c>
    </row>
    <row r="8873">
      <c r="A8873" s="58">
        <v>45323.0</v>
      </c>
      <c r="B8873" s="24" t="s">
        <v>155</v>
      </c>
      <c r="C8873" s="24" t="s">
        <v>6800</v>
      </c>
      <c r="D8873" s="59">
        <v>6.0</v>
      </c>
      <c r="E8873" s="59">
        <v>6.0</v>
      </c>
      <c r="F8873" s="59">
        <v>5.0</v>
      </c>
      <c r="G8873" s="60">
        <v>1.0</v>
      </c>
      <c r="H8873" s="60">
        <v>0.0</v>
      </c>
      <c r="I8873" s="60">
        <v>39.1751825</v>
      </c>
      <c r="J8873" s="59">
        <v>22.0</v>
      </c>
      <c r="K8873" s="61">
        <f t="shared" si="1"/>
        <v>0.8333333333</v>
      </c>
      <c r="L8873" s="62">
        <f t="shared" si="2"/>
        <v>3.666666667</v>
      </c>
    </row>
    <row r="8874">
      <c r="A8874" s="58">
        <v>45323.0</v>
      </c>
      <c r="B8874" s="24" t="s">
        <v>6789</v>
      </c>
      <c r="C8874" s="24" t="s">
        <v>7313</v>
      </c>
      <c r="D8874" s="59">
        <v>6.0</v>
      </c>
      <c r="E8874" s="59">
        <v>9.0</v>
      </c>
      <c r="F8874" s="59">
        <v>1.0</v>
      </c>
      <c r="G8874" s="60">
        <v>1.5</v>
      </c>
      <c r="H8874" s="60">
        <v>0.0</v>
      </c>
      <c r="I8874" s="60">
        <v>740.504852777777</v>
      </c>
      <c r="J8874" s="59">
        <v>34.0</v>
      </c>
      <c r="K8874" s="61">
        <f t="shared" si="1"/>
        <v>0.1111111111</v>
      </c>
      <c r="L8874" s="62">
        <f t="shared" si="2"/>
        <v>3.777777778</v>
      </c>
    </row>
    <row r="8875">
      <c r="A8875" s="58">
        <v>45323.0</v>
      </c>
      <c r="B8875" s="24" t="s">
        <v>6787</v>
      </c>
      <c r="C8875" s="24" t="s">
        <v>6910</v>
      </c>
      <c r="D8875" s="59">
        <v>6.0</v>
      </c>
      <c r="E8875" s="59">
        <v>6.0</v>
      </c>
      <c r="F8875" s="59">
        <v>6.0</v>
      </c>
      <c r="G8875" s="60">
        <v>1.0</v>
      </c>
      <c r="H8875" s="60">
        <v>0.166666666666666</v>
      </c>
      <c r="I8875" s="60">
        <v>126.876408166666</v>
      </c>
      <c r="J8875" s="59">
        <v>19.0</v>
      </c>
      <c r="K8875" s="61">
        <f t="shared" si="1"/>
        <v>1</v>
      </c>
      <c r="L8875" s="62">
        <f t="shared" si="2"/>
        <v>3.166666667</v>
      </c>
    </row>
    <row r="8876">
      <c r="A8876" s="58">
        <v>45323.0</v>
      </c>
      <c r="B8876" s="24" t="s">
        <v>6787</v>
      </c>
      <c r="C8876" s="24" t="s">
        <v>6817</v>
      </c>
      <c r="D8876" s="59">
        <v>5.0</v>
      </c>
      <c r="E8876" s="59">
        <v>5.0</v>
      </c>
      <c r="F8876" s="59">
        <v>4.0</v>
      </c>
      <c r="G8876" s="60">
        <v>1.0</v>
      </c>
      <c r="H8876" s="60">
        <v>0.6</v>
      </c>
      <c r="I8876" s="60">
        <v>5.7550668</v>
      </c>
      <c r="J8876" s="59">
        <v>7.0</v>
      </c>
      <c r="K8876" s="61">
        <f t="shared" si="1"/>
        <v>0.8</v>
      </c>
      <c r="L8876" s="62">
        <f t="shared" si="2"/>
        <v>1.4</v>
      </c>
    </row>
    <row r="8877">
      <c r="A8877" s="58">
        <v>45323.0</v>
      </c>
      <c r="B8877" s="24" t="s">
        <v>6789</v>
      </c>
      <c r="C8877" s="24" t="s">
        <v>7056</v>
      </c>
      <c r="D8877" s="59">
        <v>5.0</v>
      </c>
      <c r="E8877" s="59">
        <v>5.0</v>
      </c>
      <c r="F8877" s="59">
        <v>4.0</v>
      </c>
      <c r="G8877" s="60">
        <v>1.0</v>
      </c>
      <c r="H8877" s="60">
        <v>0.0</v>
      </c>
      <c r="I8877" s="60">
        <v>335.6166408</v>
      </c>
      <c r="J8877" s="59">
        <v>31.0</v>
      </c>
      <c r="K8877" s="61">
        <f t="shared" si="1"/>
        <v>0.8</v>
      </c>
      <c r="L8877" s="62">
        <f t="shared" si="2"/>
        <v>6.2</v>
      </c>
    </row>
    <row r="8878">
      <c r="A8878" s="58">
        <v>45323.0</v>
      </c>
      <c r="B8878" s="24" t="s">
        <v>6787</v>
      </c>
      <c r="C8878" s="24" t="s">
        <v>6835</v>
      </c>
      <c r="D8878" s="59">
        <v>5.0</v>
      </c>
      <c r="E8878" s="59">
        <v>6.0</v>
      </c>
      <c r="F8878" s="59">
        <v>5.0</v>
      </c>
      <c r="G8878" s="60">
        <v>1.2</v>
      </c>
      <c r="H8878" s="60">
        <v>0.0</v>
      </c>
      <c r="I8878" s="60">
        <v>23.5428881666666</v>
      </c>
      <c r="J8878" s="59">
        <v>16.0</v>
      </c>
      <c r="K8878" s="61">
        <f t="shared" si="1"/>
        <v>0.8333333333</v>
      </c>
      <c r="L8878" s="62">
        <f t="shared" si="2"/>
        <v>2.666666667</v>
      </c>
    </row>
    <row r="8879">
      <c r="A8879" s="58">
        <v>45323.0</v>
      </c>
      <c r="B8879" s="24" t="s">
        <v>6789</v>
      </c>
      <c r="C8879" s="24" t="s">
        <v>7074</v>
      </c>
      <c r="D8879" s="59">
        <v>5.0</v>
      </c>
      <c r="E8879" s="59">
        <v>5.0</v>
      </c>
      <c r="F8879" s="59">
        <v>5.0</v>
      </c>
      <c r="G8879" s="60">
        <v>1.0</v>
      </c>
      <c r="H8879" s="60">
        <v>0.0</v>
      </c>
      <c r="I8879" s="60">
        <v>310.339769399999</v>
      </c>
      <c r="J8879" s="59">
        <v>18.0</v>
      </c>
      <c r="K8879" s="61">
        <f t="shared" si="1"/>
        <v>1</v>
      </c>
      <c r="L8879" s="62">
        <f t="shared" si="2"/>
        <v>3.6</v>
      </c>
    </row>
    <row r="8880">
      <c r="A8880" s="58">
        <v>45323.0</v>
      </c>
      <c r="B8880" s="24" t="s">
        <v>6789</v>
      </c>
      <c r="C8880" s="24" t="s">
        <v>7172</v>
      </c>
      <c r="D8880" s="59">
        <v>5.0</v>
      </c>
      <c r="E8880" s="59">
        <v>6.0</v>
      </c>
      <c r="F8880" s="59">
        <v>1.0</v>
      </c>
      <c r="G8880" s="60">
        <v>1.2</v>
      </c>
      <c r="H8880" s="60">
        <v>0.0</v>
      </c>
      <c r="I8880" s="60">
        <v>957.922818333333</v>
      </c>
      <c r="J8880" s="59">
        <v>38.0</v>
      </c>
      <c r="K8880" s="61">
        <f t="shared" si="1"/>
        <v>0.1666666667</v>
      </c>
      <c r="L8880" s="62">
        <f t="shared" si="2"/>
        <v>6.333333333</v>
      </c>
    </row>
    <row r="8881">
      <c r="A8881" s="58">
        <v>45323.0</v>
      </c>
      <c r="B8881" s="24" t="s">
        <v>6787</v>
      </c>
      <c r="C8881" s="24" t="s">
        <v>7313</v>
      </c>
      <c r="D8881" s="59">
        <v>5.0</v>
      </c>
      <c r="E8881" s="59">
        <v>7.0</v>
      </c>
      <c r="F8881" s="59">
        <v>4.0</v>
      </c>
      <c r="G8881" s="60">
        <v>1.4</v>
      </c>
      <c r="H8881" s="60">
        <v>0.285714285714285</v>
      </c>
      <c r="I8881" s="60">
        <v>409.550326571428</v>
      </c>
      <c r="J8881" s="59">
        <v>78.0</v>
      </c>
      <c r="K8881" s="61">
        <f t="shared" si="1"/>
        <v>0.5714285714</v>
      </c>
      <c r="L8881" s="62">
        <f t="shared" si="2"/>
        <v>11.14285714</v>
      </c>
    </row>
    <row r="8882">
      <c r="A8882" s="58">
        <v>45323.0</v>
      </c>
      <c r="B8882" s="24" t="s">
        <v>6789</v>
      </c>
      <c r="C8882" s="24" t="s">
        <v>6797</v>
      </c>
      <c r="D8882" s="59">
        <v>5.0</v>
      </c>
      <c r="E8882" s="59">
        <v>7.0</v>
      </c>
      <c r="F8882" s="59">
        <v>2.0</v>
      </c>
      <c r="G8882" s="60">
        <v>1.4</v>
      </c>
      <c r="H8882" s="60">
        <v>0.0</v>
      </c>
      <c r="I8882" s="60">
        <v>303.668980142857</v>
      </c>
      <c r="J8882" s="59">
        <v>47.0</v>
      </c>
      <c r="K8882" s="61">
        <f t="shared" si="1"/>
        <v>0.2857142857</v>
      </c>
      <c r="L8882" s="62">
        <f t="shared" si="2"/>
        <v>6.714285714</v>
      </c>
    </row>
    <row r="8883">
      <c r="A8883" s="58">
        <v>45323.0</v>
      </c>
      <c r="B8883" s="24" t="s">
        <v>6787</v>
      </c>
      <c r="C8883" s="24" t="s">
        <v>6931</v>
      </c>
      <c r="D8883" s="59">
        <v>5.0</v>
      </c>
      <c r="E8883" s="59">
        <v>5.0</v>
      </c>
      <c r="F8883" s="59">
        <v>4.0</v>
      </c>
      <c r="G8883" s="60">
        <v>1.0</v>
      </c>
      <c r="H8883" s="60">
        <v>0.2</v>
      </c>
      <c r="I8883" s="60">
        <v>382.233499</v>
      </c>
      <c r="J8883" s="59">
        <v>9.0</v>
      </c>
      <c r="K8883" s="61">
        <f t="shared" si="1"/>
        <v>0.8</v>
      </c>
      <c r="L8883" s="62">
        <f t="shared" si="2"/>
        <v>1.8</v>
      </c>
    </row>
    <row r="8884">
      <c r="A8884" s="58">
        <v>45323.0</v>
      </c>
      <c r="B8884" s="24" t="s">
        <v>3216</v>
      </c>
      <c r="C8884" s="24" t="s">
        <v>6792</v>
      </c>
      <c r="D8884" s="59">
        <v>4.0</v>
      </c>
      <c r="E8884" s="59">
        <v>6.0</v>
      </c>
      <c r="F8884" s="59">
        <v>0.0</v>
      </c>
      <c r="G8884" s="60">
        <v>1.5</v>
      </c>
      <c r="H8884" s="60">
        <v>0.833333333333333</v>
      </c>
      <c r="I8884" s="60">
        <v>27.0349405</v>
      </c>
      <c r="J8884" s="59">
        <v>0.0</v>
      </c>
      <c r="K8884" s="61">
        <f t="shared" si="1"/>
        <v>0</v>
      </c>
      <c r="L8884" s="62">
        <f t="shared" si="2"/>
        <v>0</v>
      </c>
    </row>
    <row r="8885">
      <c r="A8885" s="58">
        <v>45323.0</v>
      </c>
      <c r="B8885" s="24" t="s">
        <v>3216</v>
      </c>
      <c r="C8885" s="24" t="s">
        <v>6788</v>
      </c>
      <c r="D8885" s="59">
        <v>4.0</v>
      </c>
      <c r="E8885" s="59">
        <v>14.0</v>
      </c>
      <c r="F8885" s="59">
        <v>0.0</v>
      </c>
      <c r="G8885" s="60">
        <v>3.5</v>
      </c>
      <c r="H8885" s="60">
        <v>0.0</v>
      </c>
      <c r="I8885" s="60">
        <v>18.125647</v>
      </c>
      <c r="J8885" s="59">
        <v>34.0</v>
      </c>
      <c r="K8885" s="61">
        <f t="shared" si="1"/>
        <v>0</v>
      </c>
      <c r="L8885" s="62">
        <f t="shared" si="2"/>
        <v>2.428571429</v>
      </c>
    </row>
    <row r="8886">
      <c r="A8886" s="58">
        <v>45323.0</v>
      </c>
      <c r="B8886" s="24" t="s">
        <v>6791</v>
      </c>
      <c r="C8886" s="24" t="s">
        <v>6788</v>
      </c>
      <c r="D8886" s="59">
        <v>4.0</v>
      </c>
      <c r="E8886" s="59">
        <v>17.0</v>
      </c>
      <c r="F8886" s="59">
        <v>0.0</v>
      </c>
      <c r="G8886" s="60">
        <v>4.25</v>
      </c>
      <c r="H8886" s="60">
        <v>0.0588235294117647</v>
      </c>
      <c r="I8886" s="60">
        <v>194.031221941176</v>
      </c>
      <c r="J8886" s="59">
        <v>59.0</v>
      </c>
      <c r="K8886" s="61">
        <f t="shared" si="1"/>
        <v>0</v>
      </c>
      <c r="L8886" s="62">
        <f t="shared" si="2"/>
        <v>3.470588235</v>
      </c>
    </row>
    <row r="8887">
      <c r="A8887" s="58">
        <v>45323.0</v>
      </c>
      <c r="B8887" s="24" t="s">
        <v>6789</v>
      </c>
      <c r="C8887" s="24" t="s">
        <v>7057</v>
      </c>
      <c r="D8887" s="59">
        <v>4.0</v>
      </c>
      <c r="E8887" s="59">
        <v>4.0</v>
      </c>
      <c r="F8887" s="59">
        <v>3.0</v>
      </c>
      <c r="G8887" s="60">
        <v>1.0</v>
      </c>
      <c r="H8887" s="60">
        <v>0.0</v>
      </c>
      <c r="I8887" s="60">
        <v>56.88378475</v>
      </c>
      <c r="J8887" s="59">
        <v>8.0</v>
      </c>
      <c r="K8887" s="61">
        <f t="shared" si="1"/>
        <v>0.75</v>
      </c>
      <c r="L8887" s="62">
        <f t="shared" si="2"/>
        <v>2</v>
      </c>
    </row>
    <row r="8888">
      <c r="A8888" s="58">
        <v>45323.0</v>
      </c>
      <c r="B8888" s="24" t="s">
        <v>6789</v>
      </c>
      <c r="C8888" s="24" t="s">
        <v>6861</v>
      </c>
      <c r="D8888" s="59">
        <v>4.0</v>
      </c>
      <c r="E8888" s="59">
        <v>5.0</v>
      </c>
      <c r="F8888" s="59">
        <v>4.0</v>
      </c>
      <c r="G8888" s="60">
        <v>1.25</v>
      </c>
      <c r="H8888" s="60">
        <v>0.0</v>
      </c>
      <c r="I8888" s="60">
        <v>512.6249858</v>
      </c>
      <c r="J8888" s="59">
        <v>12.0</v>
      </c>
      <c r="K8888" s="61">
        <f t="shared" si="1"/>
        <v>0.8</v>
      </c>
      <c r="L8888" s="62">
        <f t="shared" si="2"/>
        <v>2.4</v>
      </c>
    </row>
    <row r="8889">
      <c r="A8889" s="58">
        <v>45323.0</v>
      </c>
      <c r="B8889" s="24" t="s">
        <v>6787</v>
      </c>
      <c r="C8889" s="24" t="s">
        <v>6985</v>
      </c>
      <c r="D8889" s="59">
        <v>4.0</v>
      </c>
      <c r="E8889" s="59">
        <v>4.0</v>
      </c>
      <c r="F8889" s="59">
        <v>4.0</v>
      </c>
      <c r="G8889" s="60">
        <v>1.0</v>
      </c>
      <c r="H8889" s="60">
        <v>0.25</v>
      </c>
      <c r="I8889" s="60">
        <v>5.26665749999999</v>
      </c>
      <c r="J8889" s="59">
        <v>7.0</v>
      </c>
      <c r="K8889" s="61">
        <f t="shared" si="1"/>
        <v>1</v>
      </c>
      <c r="L8889" s="62">
        <f t="shared" si="2"/>
        <v>1.75</v>
      </c>
    </row>
    <row r="8890">
      <c r="A8890" s="58">
        <v>45323.0</v>
      </c>
      <c r="B8890" s="24" t="s">
        <v>6787</v>
      </c>
      <c r="C8890" s="24" t="s">
        <v>6904</v>
      </c>
      <c r="D8890" s="59">
        <v>4.0</v>
      </c>
      <c r="E8890" s="59">
        <v>5.0</v>
      </c>
      <c r="F8890" s="59">
        <v>4.0</v>
      </c>
      <c r="G8890" s="60">
        <v>1.25</v>
      </c>
      <c r="H8890" s="60">
        <v>0.0</v>
      </c>
      <c r="I8890" s="60">
        <v>35.0822606</v>
      </c>
      <c r="J8890" s="59">
        <v>29.0</v>
      </c>
      <c r="K8890" s="61">
        <f t="shared" si="1"/>
        <v>0.8</v>
      </c>
      <c r="L8890" s="62">
        <f t="shared" si="2"/>
        <v>5.8</v>
      </c>
    </row>
    <row r="8891">
      <c r="A8891" s="58">
        <v>45323.0</v>
      </c>
      <c r="B8891" s="24" t="s">
        <v>6789</v>
      </c>
      <c r="C8891" s="24" t="s">
        <v>7571</v>
      </c>
      <c r="D8891" s="59">
        <v>4.0</v>
      </c>
      <c r="E8891" s="59">
        <v>4.0</v>
      </c>
      <c r="F8891" s="59">
        <v>4.0</v>
      </c>
      <c r="G8891" s="60">
        <v>1.0</v>
      </c>
      <c r="H8891" s="60">
        <v>0.0</v>
      </c>
      <c r="I8891" s="60">
        <v>77.28707325</v>
      </c>
      <c r="J8891" s="59">
        <v>10.0</v>
      </c>
      <c r="K8891" s="61">
        <f t="shared" si="1"/>
        <v>1</v>
      </c>
      <c r="L8891" s="62">
        <f t="shared" si="2"/>
        <v>2.5</v>
      </c>
    </row>
    <row r="8892">
      <c r="A8892" s="58">
        <v>45323.0</v>
      </c>
      <c r="B8892" s="24" t="s">
        <v>6789</v>
      </c>
      <c r="C8892" s="24" t="s">
        <v>7102</v>
      </c>
      <c r="D8892" s="59">
        <v>4.0</v>
      </c>
      <c r="E8892" s="59">
        <v>4.0</v>
      </c>
      <c r="F8892" s="59">
        <v>1.0</v>
      </c>
      <c r="G8892" s="60">
        <v>1.0</v>
      </c>
      <c r="H8892" s="60">
        <v>0.0</v>
      </c>
      <c r="I8892" s="60">
        <v>1519.1583115</v>
      </c>
      <c r="J8892" s="59">
        <v>74.0</v>
      </c>
      <c r="K8892" s="61">
        <f t="shared" si="1"/>
        <v>0.25</v>
      </c>
      <c r="L8892" s="62">
        <f t="shared" si="2"/>
        <v>18.5</v>
      </c>
    </row>
    <row r="8893">
      <c r="A8893" s="58">
        <v>45323.0</v>
      </c>
      <c r="B8893" s="24" t="s">
        <v>6789</v>
      </c>
      <c r="C8893" s="24" t="s">
        <v>7027</v>
      </c>
      <c r="D8893" s="59">
        <v>4.0</v>
      </c>
      <c r="E8893" s="59">
        <v>4.0</v>
      </c>
      <c r="F8893" s="59">
        <v>4.0</v>
      </c>
      <c r="G8893" s="60">
        <v>1.0</v>
      </c>
      <c r="H8893" s="60">
        <v>0.0</v>
      </c>
      <c r="I8893" s="60">
        <v>56.703382</v>
      </c>
      <c r="J8893" s="59">
        <v>15.0</v>
      </c>
      <c r="K8893" s="61">
        <f t="shared" si="1"/>
        <v>1</v>
      </c>
      <c r="L8893" s="62">
        <f t="shared" si="2"/>
        <v>3.75</v>
      </c>
    </row>
    <row r="8894">
      <c r="A8894" s="58">
        <v>45323.0</v>
      </c>
      <c r="B8894" s="24" t="s">
        <v>6789</v>
      </c>
      <c r="C8894" s="24" t="s">
        <v>6833</v>
      </c>
      <c r="D8894" s="59">
        <v>3.0</v>
      </c>
      <c r="E8894" s="59">
        <v>4.0</v>
      </c>
      <c r="F8894" s="59">
        <v>3.0</v>
      </c>
      <c r="G8894" s="60">
        <v>1.33333333333333</v>
      </c>
      <c r="H8894" s="60">
        <v>0.0</v>
      </c>
      <c r="I8894" s="60">
        <v>4.724087</v>
      </c>
      <c r="J8894" s="59">
        <v>8.0</v>
      </c>
      <c r="K8894" s="61">
        <f t="shared" si="1"/>
        <v>0.75</v>
      </c>
      <c r="L8894" s="62">
        <f t="shared" si="2"/>
        <v>2</v>
      </c>
    </row>
    <row r="8895">
      <c r="A8895" s="58">
        <v>45323.0</v>
      </c>
      <c r="B8895" s="24" t="s">
        <v>6787</v>
      </c>
      <c r="C8895" s="24" t="s">
        <v>7129</v>
      </c>
      <c r="D8895" s="59">
        <v>3.0</v>
      </c>
      <c r="E8895" s="59">
        <v>3.0</v>
      </c>
      <c r="F8895" s="59">
        <v>3.0</v>
      </c>
      <c r="G8895" s="60">
        <v>1.0</v>
      </c>
      <c r="H8895" s="60">
        <v>0.0</v>
      </c>
      <c r="I8895" s="60">
        <v>32.722074</v>
      </c>
      <c r="J8895" s="59">
        <v>8.0</v>
      </c>
      <c r="K8895" s="61">
        <f t="shared" si="1"/>
        <v>1</v>
      </c>
      <c r="L8895" s="62">
        <f t="shared" si="2"/>
        <v>2.666666667</v>
      </c>
    </row>
    <row r="8896">
      <c r="A8896" s="58">
        <v>45323.0</v>
      </c>
      <c r="B8896" s="24" t="s">
        <v>6789</v>
      </c>
      <c r="C8896" s="24" t="s">
        <v>6896</v>
      </c>
      <c r="D8896" s="59">
        <v>3.0</v>
      </c>
      <c r="E8896" s="59">
        <v>3.0</v>
      </c>
      <c r="F8896" s="59">
        <v>0.0</v>
      </c>
      <c r="G8896" s="60">
        <v>1.0</v>
      </c>
      <c r="H8896" s="60">
        <v>0.0</v>
      </c>
      <c r="I8896" s="60">
        <v>260.763889</v>
      </c>
      <c r="J8896" s="59">
        <v>10.0</v>
      </c>
      <c r="K8896" s="61">
        <f t="shared" si="1"/>
        <v>0</v>
      </c>
      <c r="L8896" s="62">
        <f t="shared" si="2"/>
        <v>3.333333333</v>
      </c>
    </row>
    <row r="8897">
      <c r="A8897" s="58">
        <v>45323.0</v>
      </c>
      <c r="B8897" s="24" t="s">
        <v>6789</v>
      </c>
      <c r="C8897" s="24" t="s">
        <v>7530</v>
      </c>
      <c r="D8897" s="59">
        <v>3.0</v>
      </c>
      <c r="E8897" s="59">
        <v>3.0</v>
      </c>
      <c r="F8897" s="59">
        <v>2.0</v>
      </c>
      <c r="G8897" s="60">
        <v>1.0</v>
      </c>
      <c r="H8897" s="60">
        <v>0.666666666666666</v>
      </c>
      <c r="I8897" s="60">
        <v>142.462993</v>
      </c>
      <c r="J8897" s="59">
        <v>4.0</v>
      </c>
      <c r="K8897" s="61">
        <f t="shared" si="1"/>
        <v>0.6666666667</v>
      </c>
      <c r="L8897" s="62">
        <f t="shared" si="2"/>
        <v>1.333333333</v>
      </c>
    </row>
    <row r="8898">
      <c r="A8898" s="58">
        <v>45323.0</v>
      </c>
      <c r="B8898" s="24" t="s">
        <v>6789</v>
      </c>
      <c r="C8898" s="24" t="s">
        <v>7206</v>
      </c>
      <c r="D8898" s="59">
        <v>3.0</v>
      </c>
      <c r="E8898" s="59">
        <v>3.0</v>
      </c>
      <c r="F8898" s="59">
        <v>2.0</v>
      </c>
      <c r="G8898" s="60">
        <v>1.0</v>
      </c>
      <c r="H8898" s="60">
        <v>0.666666666666666</v>
      </c>
      <c r="I8898" s="60">
        <v>191.197160666666</v>
      </c>
      <c r="J8898" s="59">
        <v>12.0</v>
      </c>
      <c r="K8898" s="61">
        <f t="shared" si="1"/>
        <v>0.6666666667</v>
      </c>
      <c r="L8898" s="62">
        <f t="shared" si="2"/>
        <v>4</v>
      </c>
    </row>
    <row r="8899">
      <c r="A8899" s="58">
        <v>45323.0</v>
      </c>
      <c r="B8899" s="24" t="s">
        <v>6787</v>
      </c>
      <c r="C8899" s="24" t="s">
        <v>6808</v>
      </c>
      <c r="D8899" s="59">
        <v>3.0</v>
      </c>
      <c r="E8899" s="59">
        <v>3.0</v>
      </c>
      <c r="F8899" s="59">
        <v>3.0</v>
      </c>
      <c r="G8899" s="60">
        <v>1.0</v>
      </c>
      <c r="H8899" s="60">
        <v>0.0</v>
      </c>
      <c r="I8899" s="60">
        <v>10.683554</v>
      </c>
      <c r="J8899" s="59">
        <v>8.0</v>
      </c>
      <c r="K8899" s="61">
        <f t="shared" si="1"/>
        <v>1</v>
      </c>
      <c r="L8899" s="62">
        <f t="shared" si="2"/>
        <v>2.666666667</v>
      </c>
    </row>
    <row r="8900">
      <c r="A8900" s="58">
        <v>45323.0</v>
      </c>
      <c r="B8900" s="24" t="s">
        <v>6789</v>
      </c>
      <c r="C8900" s="24" t="s">
        <v>6800</v>
      </c>
      <c r="D8900" s="59">
        <v>3.0</v>
      </c>
      <c r="E8900" s="59">
        <v>3.0</v>
      </c>
      <c r="F8900" s="59">
        <v>0.0</v>
      </c>
      <c r="G8900" s="60">
        <v>1.0</v>
      </c>
      <c r="H8900" s="60">
        <v>0.0</v>
      </c>
      <c r="I8900" s="60">
        <v>239.122665333333</v>
      </c>
      <c r="J8900" s="59">
        <v>8.0</v>
      </c>
      <c r="K8900" s="61">
        <f t="shared" si="1"/>
        <v>0</v>
      </c>
      <c r="L8900" s="62">
        <f t="shared" si="2"/>
        <v>2.666666667</v>
      </c>
    </row>
    <row r="8901">
      <c r="A8901" s="58">
        <v>45323.0</v>
      </c>
      <c r="B8901" s="24" t="s">
        <v>6789</v>
      </c>
      <c r="C8901" s="24" t="s">
        <v>6908</v>
      </c>
      <c r="D8901" s="59">
        <v>3.0</v>
      </c>
      <c r="E8901" s="59">
        <v>5.0</v>
      </c>
      <c r="F8901" s="59">
        <v>0.0</v>
      </c>
      <c r="G8901" s="60">
        <v>1.66666666666666</v>
      </c>
      <c r="H8901" s="60">
        <v>0.0</v>
      </c>
      <c r="I8901" s="60">
        <v>260.827453</v>
      </c>
      <c r="J8901" s="59">
        <v>25.0</v>
      </c>
      <c r="K8901" s="61">
        <f t="shared" si="1"/>
        <v>0</v>
      </c>
      <c r="L8901" s="62">
        <f t="shared" si="2"/>
        <v>5</v>
      </c>
    </row>
    <row r="8902">
      <c r="A8902" s="58">
        <v>45323.0</v>
      </c>
      <c r="B8902" s="24" t="s">
        <v>6789</v>
      </c>
      <c r="C8902" s="24" t="s">
        <v>7192</v>
      </c>
      <c r="D8902" s="59">
        <v>3.0</v>
      </c>
      <c r="E8902" s="59">
        <v>3.0</v>
      </c>
      <c r="F8902" s="59">
        <v>0.0</v>
      </c>
      <c r="G8902" s="60">
        <v>1.0</v>
      </c>
      <c r="H8902" s="60">
        <v>0.0</v>
      </c>
      <c r="I8902" s="60">
        <v>85.64491</v>
      </c>
      <c r="J8902" s="59">
        <v>8.0</v>
      </c>
      <c r="K8902" s="61">
        <f t="shared" si="1"/>
        <v>0</v>
      </c>
      <c r="L8902" s="62">
        <f t="shared" si="2"/>
        <v>2.666666667</v>
      </c>
    </row>
    <row r="8903">
      <c r="A8903" s="58">
        <v>45323.0</v>
      </c>
      <c r="B8903" s="24" t="s">
        <v>6787</v>
      </c>
      <c r="C8903" s="24" t="s">
        <v>7180</v>
      </c>
      <c r="D8903" s="59">
        <v>3.0</v>
      </c>
      <c r="E8903" s="59">
        <v>3.0</v>
      </c>
      <c r="F8903" s="59">
        <v>3.0</v>
      </c>
      <c r="G8903" s="60">
        <v>1.0</v>
      </c>
      <c r="H8903" s="60">
        <v>0.0</v>
      </c>
      <c r="I8903" s="60">
        <v>1207.96364466666</v>
      </c>
      <c r="J8903" s="59">
        <v>7.0</v>
      </c>
      <c r="K8903" s="61">
        <f t="shared" si="1"/>
        <v>1</v>
      </c>
      <c r="L8903" s="62">
        <f t="shared" si="2"/>
        <v>2.333333333</v>
      </c>
    </row>
    <row r="8904">
      <c r="A8904" s="58">
        <v>45323.0</v>
      </c>
      <c r="B8904" s="24" t="s">
        <v>6787</v>
      </c>
      <c r="C8904" s="24" t="s">
        <v>6921</v>
      </c>
      <c r="D8904" s="59">
        <v>3.0</v>
      </c>
      <c r="E8904" s="59">
        <v>3.0</v>
      </c>
      <c r="F8904" s="59">
        <v>3.0</v>
      </c>
      <c r="G8904" s="60">
        <v>1.0</v>
      </c>
      <c r="H8904" s="60">
        <v>0.666666666666666</v>
      </c>
      <c r="I8904" s="60">
        <v>16.8333976666666</v>
      </c>
      <c r="J8904" s="59">
        <v>4.0</v>
      </c>
      <c r="K8904" s="61">
        <f t="shared" si="1"/>
        <v>1</v>
      </c>
      <c r="L8904" s="62">
        <f t="shared" si="2"/>
        <v>1.333333333</v>
      </c>
    </row>
    <row r="8905">
      <c r="A8905" s="58">
        <v>45323.0</v>
      </c>
      <c r="B8905" s="24" t="s">
        <v>6789</v>
      </c>
      <c r="C8905" s="24" t="s">
        <v>6921</v>
      </c>
      <c r="D8905" s="59">
        <v>3.0</v>
      </c>
      <c r="E8905" s="59">
        <v>3.0</v>
      </c>
      <c r="F8905" s="59">
        <v>0.0</v>
      </c>
      <c r="G8905" s="60">
        <v>1.0</v>
      </c>
      <c r="H8905" s="60">
        <v>0.0</v>
      </c>
      <c r="I8905" s="60">
        <v>461.223944333333</v>
      </c>
      <c r="J8905" s="59">
        <v>18.0</v>
      </c>
      <c r="K8905" s="61">
        <f t="shared" si="1"/>
        <v>0</v>
      </c>
      <c r="L8905" s="62">
        <f t="shared" si="2"/>
        <v>6</v>
      </c>
    </row>
    <row r="8906">
      <c r="A8906" s="58">
        <v>45323.0</v>
      </c>
      <c r="B8906" s="24" t="s">
        <v>6789</v>
      </c>
      <c r="C8906" s="24" t="s">
        <v>7047</v>
      </c>
      <c r="D8906" s="59">
        <v>3.0</v>
      </c>
      <c r="E8906" s="59">
        <v>4.0</v>
      </c>
      <c r="F8906" s="59">
        <v>1.0</v>
      </c>
      <c r="G8906" s="60">
        <v>1.33333333333333</v>
      </c>
      <c r="H8906" s="60">
        <v>0.0</v>
      </c>
      <c r="I8906" s="60">
        <v>5.59082124999999</v>
      </c>
      <c r="J8906" s="59">
        <v>14.0</v>
      </c>
      <c r="K8906" s="61">
        <f t="shared" si="1"/>
        <v>0.25</v>
      </c>
      <c r="L8906" s="62">
        <f t="shared" si="2"/>
        <v>3.5</v>
      </c>
    </row>
    <row r="8907">
      <c r="A8907" s="58">
        <v>45323.0</v>
      </c>
      <c r="B8907" s="24" t="s">
        <v>6787</v>
      </c>
      <c r="C8907" s="24" t="s">
        <v>6797</v>
      </c>
      <c r="D8907" s="59">
        <v>3.0</v>
      </c>
      <c r="E8907" s="59">
        <v>3.0</v>
      </c>
      <c r="F8907" s="59">
        <v>3.0</v>
      </c>
      <c r="G8907" s="60">
        <v>1.0</v>
      </c>
      <c r="H8907" s="60">
        <v>0.333333333333333</v>
      </c>
      <c r="I8907" s="60">
        <v>2.096921</v>
      </c>
      <c r="J8907" s="59">
        <v>5.0</v>
      </c>
      <c r="K8907" s="61">
        <f t="shared" si="1"/>
        <v>1</v>
      </c>
      <c r="L8907" s="62">
        <f t="shared" si="2"/>
        <v>1.666666667</v>
      </c>
    </row>
    <row r="8908">
      <c r="A8908" s="58">
        <v>45323.0</v>
      </c>
      <c r="B8908" s="24" t="s">
        <v>6787</v>
      </c>
      <c r="C8908" s="24" t="s">
        <v>6803</v>
      </c>
      <c r="D8908" s="59">
        <v>2.0</v>
      </c>
      <c r="E8908" s="59">
        <v>2.0</v>
      </c>
      <c r="F8908" s="59">
        <v>2.0</v>
      </c>
      <c r="G8908" s="60">
        <v>1.0</v>
      </c>
      <c r="H8908" s="60">
        <v>0.0</v>
      </c>
      <c r="I8908" s="60">
        <v>36.7205235</v>
      </c>
      <c r="J8908" s="59">
        <v>12.0</v>
      </c>
      <c r="K8908" s="61">
        <f t="shared" si="1"/>
        <v>1</v>
      </c>
      <c r="L8908" s="62">
        <f t="shared" si="2"/>
        <v>6</v>
      </c>
    </row>
    <row r="8909">
      <c r="A8909" s="58">
        <v>45323.0</v>
      </c>
      <c r="B8909" s="24" t="s">
        <v>155</v>
      </c>
      <c r="C8909" s="24" t="s">
        <v>6803</v>
      </c>
      <c r="D8909" s="59">
        <v>2.0</v>
      </c>
      <c r="E8909" s="59">
        <v>2.0</v>
      </c>
      <c r="F8909" s="59">
        <v>0.0</v>
      </c>
      <c r="G8909" s="60">
        <v>1.0</v>
      </c>
      <c r="H8909" s="60">
        <v>0.0</v>
      </c>
      <c r="I8909" s="60">
        <v>604.2618305</v>
      </c>
      <c r="J8909" s="59">
        <v>8.0</v>
      </c>
      <c r="K8909" s="61">
        <f t="shared" si="1"/>
        <v>0</v>
      </c>
      <c r="L8909" s="62">
        <f t="shared" si="2"/>
        <v>4</v>
      </c>
    </row>
    <row r="8910">
      <c r="A8910" s="58">
        <v>45323.0</v>
      </c>
      <c r="B8910" s="24" t="s">
        <v>6789</v>
      </c>
      <c r="C8910" s="24" t="s">
        <v>6817</v>
      </c>
      <c r="D8910" s="59">
        <v>2.0</v>
      </c>
      <c r="E8910" s="59">
        <v>2.0</v>
      </c>
      <c r="F8910" s="59">
        <v>1.0</v>
      </c>
      <c r="G8910" s="60">
        <v>1.0</v>
      </c>
      <c r="H8910" s="60">
        <v>0.0</v>
      </c>
      <c r="I8910" s="60">
        <v>144.1943485</v>
      </c>
      <c r="J8910" s="59">
        <v>16.0</v>
      </c>
      <c r="K8910" s="61">
        <f t="shared" si="1"/>
        <v>0.5</v>
      </c>
      <c r="L8910" s="62">
        <f t="shared" si="2"/>
        <v>8</v>
      </c>
    </row>
    <row r="8911">
      <c r="A8911" s="58">
        <v>45323.0</v>
      </c>
      <c r="B8911" s="24" t="s">
        <v>6787</v>
      </c>
      <c r="C8911" s="24" t="s">
        <v>7056</v>
      </c>
      <c r="D8911" s="59">
        <v>2.0</v>
      </c>
      <c r="E8911" s="59">
        <v>2.0</v>
      </c>
      <c r="F8911" s="59">
        <v>1.0</v>
      </c>
      <c r="G8911" s="60">
        <v>1.0</v>
      </c>
      <c r="H8911" s="60">
        <v>0.0</v>
      </c>
      <c r="I8911" s="60">
        <v>408.4133435</v>
      </c>
      <c r="J8911" s="59">
        <v>16.0</v>
      </c>
      <c r="K8911" s="61">
        <f t="shared" si="1"/>
        <v>0.5</v>
      </c>
      <c r="L8911" s="62">
        <f t="shared" si="2"/>
        <v>8</v>
      </c>
    </row>
    <row r="8912">
      <c r="A8912" s="58">
        <v>45323.0</v>
      </c>
      <c r="B8912" s="24" t="s">
        <v>6789</v>
      </c>
      <c r="C8912" s="24" t="s">
        <v>6985</v>
      </c>
      <c r="D8912" s="59">
        <v>2.0</v>
      </c>
      <c r="E8912" s="59">
        <v>3.0</v>
      </c>
      <c r="F8912" s="59">
        <v>2.0</v>
      </c>
      <c r="G8912" s="60">
        <v>1.5</v>
      </c>
      <c r="H8912" s="60">
        <v>0.0</v>
      </c>
      <c r="I8912" s="60">
        <v>36.9035103333333</v>
      </c>
      <c r="J8912" s="59">
        <v>7.0</v>
      </c>
      <c r="K8912" s="61">
        <f t="shared" si="1"/>
        <v>0.6666666667</v>
      </c>
      <c r="L8912" s="62">
        <f t="shared" si="2"/>
        <v>2.333333333</v>
      </c>
    </row>
    <row r="8913">
      <c r="A8913" s="58">
        <v>45323.0</v>
      </c>
      <c r="B8913" s="24" t="s">
        <v>6787</v>
      </c>
      <c r="C8913" s="24" t="s">
        <v>6833</v>
      </c>
      <c r="D8913" s="59">
        <v>2.0</v>
      </c>
      <c r="E8913" s="59">
        <v>2.0</v>
      </c>
      <c r="F8913" s="59">
        <v>1.0</v>
      </c>
      <c r="G8913" s="60">
        <v>1.0</v>
      </c>
      <c r="H8913" s="60">
        <v>0.0</v>
      </c>
      <c r="I8913" s="60">
        <v>1.1220835</v>
      </c>
      <c r="J8913" s="59">
        <v>4.0</v>
      </c>
      <c r="K8913" s="61">
        <f t="shared" si="1"/>
        <v>0.5</v>
      </c>
      <c r="L8913" s="62">
        <f t="shared" si="2"/>
        <v>2</v>
      </c>
    </row>
    <row r="8914">
      <c r="A8914" s="58">
        <v>45323.0</v>
      </c>
      <c r="B8914" s="24" t="s">
        <v>6787</v>
      </c>
      <c r="C8914" s="24" t="s">
        <v>6819</v>
      </c>
      <c r="D8914" s="59">
        <v>2.0</v>
      </c>
      <c r="E8914" s="59">
        <v>2.0</v>
      </c>
      <c r="F8914" s="59">
        <v>2.0</v>
      </c>
      <c r="G8914" s="60">
        <v>1.0</v>
      </c>
      <c r="H8914" s="60">
        <v>0.0</v>
      </c>
      <c r="I8914" s="60">
        <v>4.925305</v>
      </c>
      <c r="J8914" s="59">
        <v>4.0</v>
      </c>
      <c r="K8914" s="61">
        <f t="shared" si="1"/>
        <v>1</v>
      </c>
      <c r="L8914" s="62">
        <f t="shared" si="2"/>
        <v>2</v>
      </c>
    </row>
    <row r="8915">
      <c r="A8915" s="58">
        <v>45323.0</v>
      </c>
      <c r="B8915" s="24" t="s">
        <v>6794</v>
      </c>
      <c r="C8915" s="24" t="s">
        <v>6986</v>
      </c>
      <c r="D8915" s="59">
        <v>2.0</v>
      </c>
      <c r="E8915" s="59">
        <v>2.0</v>
      </c>
      <c r="F8915" s="59">
        <v>2.0</v>
      </c>
      <c r="G8915" s="60">
        <v>1.0</v>
      </c>
      <c r="H8915" s="60">
        <v>0.5</v>
      </c>
      <c r="I8915" s="60">
        <v>2.3683375</v>
      </c>
      <c r="J8915" s="59">
        <v>3.0</v>
      </c>
      <c r="K8915" s="61">
        <f t="shared" si="1"/>
        <v>1</v>
      </c>
      <c r="L8915" s="62">
        <f t="shared" si="2"/>
        <v>1.5</v>
      </c>
    </row>
    <row r="8916">
      <c r="A8916" s="58">
        <v>45323.0</v>
      </c>
      <c r="B8916" s="24" t="s">
        <v>6787</v>
      </c>
      <c r="C8916" s="24" t="s">
        <v>6867</v>
      </c>
      <c r="D8916" s="59">
        <v>2.0</v>
      </c>
      <c r="E8916" s="59">
        <v>2.0</v>
      </c>
      <c r="F8916" s="59">
        <v>2.0</v>
      </c>
      <c r="G8916" s="60">
        <v>1.0</v>
      </c>
      <c r="H8916" s="60">
        <v>0.5</v>
      </c>
      <c r="I8916" s="60">
        <v>2.683457</v>
      </c>
      <c r="J8916" s="59">
        <v>3.0</v>
      </c>
      <c r="K8916" s="61">
        <f t="shared" si="1"/>
        <v>1</v>
      </c>
      <c r="L8916" s="62">
        <f t="shared" si="2"/>
        <v>1.5</v>
      </c>
    </row>
    <row r="8917">
      <c r="A8917" s="58">
        <v>45323.0</v>
      </c>
      <c r="B8917" s="24" t="s">
        <v>6787</v>
      </c>
      <c r="C8917" s="24" t="s">
        <v>7068</v>
      </c>
      <c r="D8917" s="59">
        <v>2.0</v>
      </c>
      <c r="E8917" s="59">
        <v>2.0</v>
      </c>
      <c r="F8917" s="59">
        <v>2.0</v>
      </c>
      <c r="G8917" s="60">
        <v>1.0</v>
      </c>
      <c r="H8917" s="60">
        <v>0.0</v>
      </c>
      <c r="I8917" s="60">
        <v>54.5907795</v>
      </c>
      <c r="J8917" s="59">
        <v>4.0</v>
      </c>
      <c r="K8917" s="61">
        <f t="shared" si="1"/>
        <v>1</v>
      </c>
      <c r="L8917" s="62">
        <f t="shared" si="2"/>
        <v>2</v>
      </c>
    </row>
    <row r="8918">
      <c r="A8918" s="58">
        <v>45323.0</v>
      </c>
      <c r="B8918" s="24" t="s">
        <v>155</v>
      </c>
      <c r="C8918" s="24" t="s">
        <v>7068</v>
      </c>
      <c r="D8918" s="59">
        <v>2.0</v>
      </c>
      <c r="E8918" s="59">
        <v>2.0</v>
      </c>
      <c r="F8918" s="59">
        <v>2.0</v>
      </c>
      <c r="G8918" s="60">
        <v>1.0</v>
      </c>
      <c r="H8918" s="60">
        <v>0.0</v>
      </c>
      <c r="I8918" s="60">
        <v>26.639041</v>
      </c>
      <c r="J8918" s="59">
        <v>4.0</v>
      </c>
      <c r="K8918" s="61">
        <f t="shared" si="1"/>
        <v>1</v>
      </c>
      <c r="L8918" s="62">
        <f t="shared" si="2"/>
        <v>2</v>
      </c>
    </row>
    <row r="8919">
      <c r="A8919" s="58">
        <v>45323.0</v>
      </c>
      <c r="B8919" s="24" t="s">
        <v>6789</v>
      </c>
      <c r="C8919" s="24" t="s">
        <v>6992</v>
      </c>
      <c r="D8919" s="59">
        <v>2.0</v>
      </c>
      <c r="E8919" s="59">
        <v>4.0</v>
      </c>
      <c r="F8919" s="59">
        <v>0.0</v>
      </c>
      <c r="G8919" s="60">
        <v>2.0</v>
      </c>
      <c r="H8919" s="60">
        <v>0.0</v>
      </c>
      <c r="I8919" s="60">
        <v>23.316954</v>
      </c>
      <c r="J8919" s="59">
        <v>10.0</v>
      </c>
      <c r="K8919" s="61">
        <f t="shared" si="1"/>
        <v>0</v>
      </c>
      <c r="L8919" s="62">
        <f t="shared" si="2"/>
        <v>2.5</v>
      </c>
    </row>
    <row r="8920">
      <c r="A8920" s="58">
        <v>45323.0</v>
      </c>
      <c r="B8920" s="24" t="s">
        <v>6787</v>
      </c>
      <c r="C8920" s="24" t="s">
        <v>6886</v>
      </c>
      <c r="D8920" s="59">
        <v>2.0</v>
      </c>
      <c r="E8920" s="59">
        <v>2.0</v>
      </c>
      <c r="F8920" s="59">
        <v>2.0</v>
      </c>
      <c r="G8920" s="60">
        <v>1.0</v>
      </c>
      <c r="H8920" s="60">
        <v>0.0</v>
      </c>
      <c r="I8920" s="60">
        <v>161.2990625</v>
      </c>
      <c r="J8920" s="59">
        <v>8.0</v>
      </c>
      <c r="K8920" s="61">
        <f t="shared" si="1"/>
        <v>1</v>
      </c>
      <c r="L8920" s="62">
        <f t="shared" si="2"/>
        <v>4</v>
      </c>
    </row>
    <row r="8921">
      <c r="A8921" s="58">
        <v>45323.0</v>
      </c>
      <c r="B8921" s="24" t="s">
        <v>3216</v>
      </c>
      <c r="C8921" s="24" t="s">
        <v>6896</v>
      </c>
      <c r="D8921" s="59">
        <v>2.0</v>
      </c>
      <c r="E8921" s="59">
        <v>3.0</v>
      </c>
      <c r="F8921" s="59">
        <v>0.0</v>
      </c>
      <c r="G8921" s="60">
        <v>1.5</v>
      </c>
      <c r="H8921" s="60">
        <v>0.0</v>
      </c>
      <c r="I8921" s="60">
        <v>69.0936873333333</v>
      </c>
      <c r="J8921" s="59">
        <v>8.0</v>
      </c>
      <c r="K8921" s="61">
        <f t="shared" si="1"/>
        <v>0</v>
      </c>
      <c r="L8921" s="62">
        <f t="shared" si="2"/>
        <v>2.666666667</v>
      </c>
    </row>
    <row r="8922">
      <c r="A8922" s="58">
        <v>45323.0</v>
      </c>
      <c r="B8922" s="24" t="s">
        <v>6789</v>
      </c>
      <c r="C8922" s="24" t="s">
        <v>6897</v>
      </c>
      <c r="D8922" s="59">
        <v>2.0</v>
      </c>
      <c r="E8922" s="59">
        <v>2.0</v>
      </c>
      <c r="F8922" s="59">
        <v>2.0</v>
      </c>
      <c r="G8922" s="60">
        <v>1.0</v>
      </c>
      <c r="H8922" s="60">
        <v>0.0</v>
      </c>
      <c r="I8922" s="60">
        <v>28.808286</v>
      </c>
      <c r="J8922" s="59">
        <v>6.0</v>
      </c>
      <c r="K8922" s="61">
        <f t="shared" si="1"/>
        <v>1</v>
      </c>
      <c r="L8922" s="62">
        <f t="shared" si="2"/>
        <v>3</v>
      </c>
    </row>
    <row r="8923">
      <c r="A8923" s="58">
        <v>45323.0</v>
      </c>
      <c r="B8923" s="24" t="s">
        <v>6789</v>
      </c>
      <c r="C8923" s="24" t="s">
        <v>7558</v>
      </c>
      <c r="D8923" s="59">
        <v>2.0</v>
      </c>
      <c r="E8923" s="59">
        <v>2.0</v>
      </c>
      <c r="F8923" s="59">
        <v>1.0</v>
      </c>
      <c r="G8923" s="60">
        <v>1.0</v>
      </c>
      <c r="H8923" s="60">
        <v>0.0</v>
      </c>
      <c r="I8923" s="60">
        <v>586.567086999999</v>
      </c>
      <c r="J8923" s="59">
        <v>10.0</v>
      </c>
      <c r="K8923" s="61">
        <f t="shared" si="1"/>
        <v>0.5</v>
      </c>
      <c r="L8923" s="62">
        <f t="shared" si="2"/>
        <v>5</v>
      </c>
    </row>
    <row r="8924">
      <c r="A8924" s="58">
        <v>45323.0</v>
      </c>
      <c r="B8924" s="24" t="s">
        <v>6789</v>
      </c>
      <c r="C8924" s="24" t="s">
        <v>7553</v>
      </c>
      <c r="D8924" s="59">
        <v>2.0</v>
      </c>
      <c r="E8924" s="59">
        <v>2.0</v>
      </c>
      <c r="F8924" s="59">
        <v>2.0</v>
      </c>
      <c r="G8924" s="60">
        <v>1.0</v>
      </c>
      <c r="H8924" s="60">
        <v>0.0</v>
      </c>
      <c r="I8924" s="60">
        <v>42.8860715</v>
      </c>
      <c r="J8924" s="59">
        <v>6.0</v>
      </c>
      <c r="K8924" s="61">
        <f t="shared" si="1"/>
        <v>1</v>
      </c>
      <c r="L8924" s="62">
        <f t="shared" si="2"/>
        <v>3</v>
      </c>
    </row>
    <row r="8925">
      <c r="A8925" s="58">
        <v>45323.0</v>
      </c>
      <c r="B8925" s="24" t="s">
        <v>6789</v>
      </c>
      <c r="C8925" s="24" t="s">
        <v>6907</v>
      </c>
      <c r="D8925" s="59">
        <v>2.0</v>
      </c>
      <c r="E8925" s="59">
        <v>2.0</v>
      </c>
      <c r="F8925" s="59">
        <v>1.0</v>
      </c>
      <c r="G8925" s="60">
        <v>1.0</v>
      </c>
      <c r="H8925" s="60">
        <v>0.0</v>
      </c>
      <c r="I8925" s="60">
        <v>89.710335</v>
      </c>
      <c r="J8925" s="59">
        <v>10.0</v>
      </c>
      <c r="K8925" s="61">
        <f t="shared" si="1"/>
        <v>0.5</v>
      </c>
      <c r="L8925" s="62">
        <f t="shared" si="2"/>
        <v>5</v>
      </c>
    </row>
    <row r="8926">
      <c r="A8926" s="58">
        <v>45323.0</v>
      </c>
      <c r="B8926" s="24" t="s">
        <v>6787</v>
      </c>
      <c r="C8926" s="24" t="s">
        <v>7101</v>
      </c>
      <c r="D8926" s="59">
        <v>2.0</v>
      </c>
      <c r="E8926" s="59">
        <v>2.0</v>
      </c>
      <c r="F8926" s="59">
        <v>2.0</v>
      </c>
      <c r="G8926" s="60">
        <v>1.0</v>
      </c>
      <c r="H8926" s="60">
        <v>0.5</v>
      </c>
      <c r="I8926" s="60">
        <v>1.582337</v>
      </c>
      <c r="J8926" s="59">
        <v>3.0</v>
      </c>
      <c r="K8926" s="61">
        <f t="shared" si="1"/>
        <v>1</v>
      </c>
      <c r="L8926" s="62">
        <f t="shared" si="2"/>
        <v>1.5</v>
      </c>
    </row>
    <row r="8927">
      <c r="A8927" s="58">
        <v>45323.0</v>
      </c>
      <c r="B8927" s="24" t="s">
        <v>6787</v>
      </c>
      <c r="C8927" s="24" t="s">
        <v>6908</v>
      </c>
      <c r="D8927" s="59">
        <v>2.0</v>
      </c>
      <c r="E8927" s="59">
        <v>2.0</v>
      </c>
      <c r="F8927" s="59">
        <v>2.0</v>
      </c>
      <c r="G8927" s="60">
        <v>1.0</v>
      </c>
      <c r="H8927" s="60">
        <v>1.0</v>
      </c>
      <c r="I8927" s="60">
        <v>0.0</v>
      </c>
      <c r="J8927" s="59">
        <v>2.0</v>
      </c>
      <c r="K8927" s="61">
        <f t="shared" si="1"/>
        <v>1</v>
      </c>
      <c r="L8927" s="62">
        <f t="shared" si="2"/>
        <v>1</v>
      </c>
    </row>
    <row r="8928">
      <c r="A8928" s="58">
        <v>45323.0</v>
      </c>
      <c r="B8928" s="24" t="s">
        <v>6787</v>
      </c>
      <c r="C8928" s="24" t="s">
        <v>6801</v>
      </c>
      <c r="D8928" s="59">
        <v>2.0</v>
      </c>
      <c r="E8928" s="59">
        <v>2.0</v>
      </c>
      <c r="F8928" s="59">
        <v>1.0</v>
      </c>
      <c r="G8928" s="60">
        <v>1.0</v>
      </c>
      <c r="H8928" s="60">
        <v>0.0</v>
      </c>
      <c r="I8928" s="60">
        <v>309.923287</v>
      </c>
      <c r="J8928" s="59">
        <v>16.0</v>
      </c>
      <c r="K8928" s="61">
        <f t="shared" si="1"/>
        <v>0.5</v>
      </c>
      <c r="L8928" s="62">
        <f t="shared" si="2"/>
        <v>8</v>
      </c>
    </row>
    <row r="8929">
      <c r="A8929" s="58">
        <v>45323.0</v>
      </c>
      <c r="B8929" s="24" t="s">
        <v>6787</v>
      </c>
      <c r="C8929" s="24" t="s">
        <v>7102</v>
      </c>
      <c r="D8929" s="59">
        <v>2.0</v>
      </c>
      <c r="E8929" s="59">
        <v>2.0</v>
      </c>
      <c r="F8929" s="59">
        <v>2.0</v>
      </c>
      <c r="G8929" s="60">
        <v>1.0</v>
      </c>
      <c r="H8929" s="60">
        <v>1.0</v>
      </c>
      <c r="I8929" s="60">
        <v>0.0</v>
      </c>
      <c r="J8929" s="59">
        <v>2.0</v>
      </c>
      <c r="K8929" s="61">
        <f t="shared" si="1"/>
        <v>1</v>
      </c>
      <c r="L8929" s="62">
        <f t="shared" si="2"/>
        <v>1</v>
      </c>
    </row>
    <row r="8930">
      <c r="A8930" s="58">
        <v>45323.0</v>
      </c>
      <c r="B8930" s="24" t="s">
        <v>6787</v>
      </c>
      <c r="C8930" s="24" t="s">
        <v>7023</v>
      </c>
      <c r="D8930" s="59">
        <v>2.0</v>
      </c>
      <c r="E8930" s="59">
        <v>2.0</v>
      </c>
      <c r="F8930" s="59">
        <v>2.0</v>
      </c>
      <c r="G8930" s="60">
        <v>1.0</v>
      </c>
      <c r="H8930" s="60">
        <v>0.0</v>
      </c>
      <c r="I8930" s="60">
        <v>478.6111125</v>
      </c>
      <c r="J8930" s="59">
        <v>6.0</v>
      </c>
      <c r="K8930" s="61">
        <f t="shared" si="1"/>
        <v>1</v>
      </c>
      <c r="L8930" s="62">
        <f t="shared" si="2"/>
        <v>3</v>
      </c>
    </row>
    <row r="8931">
      <c r="A8931" s="58">
        <v>45323.0</v>
      </c>
      <c r="B8931" s="24" t="s">
        <v>6789</v>
      </c>
      <c r="C8931" s="24" t="s">
        <v>7174</v>
      </c>
      <c r="D8931" s="59">
        <v>2.0</v>
      </c>
      <c r="E8931" s="59">
        <v>2.0</v>
      </c>
      <c r="F8931" s="59">
        <v>1.0</v>
      </c>
      <c r="G8931" s="60">
        <v>1.0</v>
      </c>
      <c r="H8931" s="60">
        <v>0.0</v>
      </c>
      <c r="I8931" s="60">
        <v>241.4267385</v>
      </c>
      <c r="J8931" s="59">
        <v>4.0</v>
      </c>
      <c r="K8931" s="61">
        <f t="shared" si="1"/>
        <v>0.5</v>
      </c>
      <c r="L8931" s="62">
        <f t="shared" si="2"/>
        <v>2</v>
      </c>
    </row>
    <row r="8932">
      <c r="A8932" s="58">
        <v>45323.0</v>
      </c>
      <c r="B8932" s="24" t="s">
        <v>6787</v>
      </c>
      <c r="C8932" s="24" t="s">
        <v>7448</v>
      </c>
      <c r="D8932" s="59">
        <v>2.0</v>
      </c>
      <c r="E8932" s="59">
        <v>2.0</v>
      </c>
      <c r="F8932" s="59">
        <v>2.0</v>
      </c>
      <c r="G8932" s="60">
        <v>1.0</v>
      </c>
      <c r="H8932" s="60">
        <v>0.0</v>
      </c>
      <c r="I8932" s="60">
        <v>2.59954649999999</v>
      </c>
      <c r="J8932" s="59">
        <v>4.0</v>
      </c>
      <c r="K8932" s="61">
        <f t="shared" si="1"/>
        <v>1</v>
      </c>
      <c r="L8932" s="62">
        <f t="shared" si="2"/>
        <v>2</v>
      </c>
    </row>
    <row r="8933">
      <c r="A8933" s="58">
        <v>45323.0</v>
      </c>
      <c r="B8933" s="24" t="s">
        <v>6794</v>
      </c>
      <c r="C8933" s="24" t="s">
        <v>6815</v>
      </c>
      <c r="D8933" s="59">
        <v>2.0</v>
      </c>
      <c r="E8933" s="59">
        <v>2.0</v>
      </c>
      <c r="F8933" s="59">
        <v>2.0</v>
      </c>
      <c r="G8933" s="60">
        <v>1.0</v>
      </c>
      <c r="H8933" s="60">
        <v>0.0</v>
      </c>
      <c r="I8933" s="60">
        <v>173.9269825</v>
      </c>
      <c r="J8933" s="59">
        <v>6.0</v>
      </c>
      <c r="K8933" s="61">
        <f t="shared" si="1"/>
        <v>1</v>
      </c>
      <c r="L8933" s="62">
        <f t="shared" si="2"/>
        <v>3</v>
      </c>
    </row>
    <row r="8934">
      <c r="A8934" s="58">
        <v>45323.0</v>
      </c>
      <c r="B8934" s="24" t="s">
        <v>6790</v>
      </c>
      <c r="C8934" s="24" t="s">
        <v>6815</v>
      </c>
      <c r="D8934" s="59">
        <v>2.0</v>
      </c>
      <c r="E8934" s="59">
        <v>3.0</v>
      </c>
      <c r="F8934" s="59">
        <v>2.0</v>
      </c>
      <c r="G8934" s="60">
        <v>1.5</v>
      </c>
      <c r="H8934" s="60">
        <v>0.0</v>
      </c>
      <c r="I8934" s="60">
        <v>122.745953</v>
      </c>
      <c r="J8934" s="59">
        <v>7.0</v>
      </c>
      <c r="K8934" s="61">
        <f t="shared" si="1"/>
        <v>0.6666666667</v>
      </c>
      <c r="L8934" s="62">
        <f t="shared" si="2"/>
        <v>2.333333333</v>
      </c>
    </row>
    <row r="8935">
      <c r="A8935" s="58">
        <v>45323.0</v>
      </c>
      <c r="B8935" s="24" t="s">
        <v>6787</v>
      </c>
      <c r="C8935" s="24" t="s">
        <v>7588</v>
      </c>
      <c r="D8935" s="59">
        <v>2.0</v>
      </c>
      <c r="E8935" s="59">
        <v>2.0</v>
      </c>
      <c r="F8935" s="59">
        <v>2.0</v>
      </c>
      <c r="G8935" s="60">
        <v>1.0</v>
      </c>
      <c r="H8935" s="60">
        <v>0.0</v>
      </c>
      <c r="I8935" s="60">
        <v>4.6166755</v>
      </c>
      <c r="J8935" s="59">
        <v>4.0</v>
      </c>
      <c r="K8935" s="61">
        <f t="shared" si="1"/>
        <v>1</v>
      </c>
      <c r="L8935" s="62">
        <f t="shared" si="2"/>
        <v>2</v>
      </c>
    </row>
    <row r="8936">
      <c r="A8936" s="58">
        <v>45323.0</v>
      </c>
      <c r="B8936" s="24" t="s">
        <v>6787</v>
      </c>
      <c r="C8936" s="24" t="s">
        <v>6922</v>
      </c>
      <c r="D8936" s="59">
        <v>2.0</v>
      </c>
      <c r="E8936" s="59">
        <v>2.0</v>
      </c>
      <c r="F8936" s="59">
        <v>2.0</v>
      </c>
      <c r="G8936" s="60">
        <v>1.0</v>
      </c>
      <c r="H8936" s="60">
        <v>1.0</v>
      </c>
      <c r="I8936" s="60">
        <v>0.0</v>
      </c>
      <c r="J8936" s="59">
        <v>2.0</v>
      </c>
      <c r="K8936" s="61">
        <f t="shared" si="1"/>
        <v>1</v>
      </c>
      <c r="L8936" s="62">
        <f t="shared" si="2"/>
        <v>1</v>
      </c>
    </row>
    <row r="8937">
      <c r="A8937" s="58">
        <v>45323.0</v>
      </c>
      <c r="B8937" s="24" t="s">
        <v>7296</v>
      </c>
      <c r="C8937" s="24" t="s">
        <v>7194</v>
      </c>
      <c r="D8937" s="59">
        <v>1.0</v>
      </c>
      <c r="E8937" s="59">
        <v>1.0</v>
      </c>
      <c r="F8937" s="59">
        <v>1.0</v>
      </c>
      <c r="G8937" s="60">
        <v>1.0</v>
      </c>
      <c r="H8937" s="60">
        <v>0.0</v>
      </c>
      <c r="I8937" s="60">
        <v>710.009415</v>
      </c>
      <c r="J8937" s="59">
        <v>5.0</v>
      </c>
      <c r="K8937" s="61">
        <f t="shared" si="1"/>
        <v>1</v>
      </c>
      <c r="L8937" s="62">
        <f t="shared" si="2"/>
        <v>5</v>
      </c>
    </row>
    <row r="8938">
      <c r="A8938" s="58">
        <v>45323.0</v>
      </c>
      <c r="B8938" s="24" t="s">
        <v>3216</v>
      </c>
      <c r="C8938" s="24" t="s">
        <v>6803</v>
      </c>
      <c r="D8938" s="59">
        <v>1.0</v>
      </c>
      <c r="E8938" s="59">
        <v>1.0</v>
      </c>
      <c r="F8938" s="59">
        <v>0.0</v>
      </c>
      <c r="G8938" s="60">
        <v>1.0</v>
      </c>
      <c r="H8938" s="60">
        <v>0.0</v>
      </c>
      <c r="I8938" s="60">
        <v>395.072936</v>
      </c>
      <c r="J8938" s="59">
        <v>6.0</v>
      </c>
      <c r="K8938" s="61">
        <f t="shared" si="1"/>
        <v>0</v>
      </c>
      <c r="L8938" s="62">
        <f t="shared" si="2"/>
        <v>6</v>
      </c>
    </row>
    <row r="8939">
      <c r="A8939" s="58">
        <v>45323.0</v>
      </c>
      <c r="B8939" s="24" t="s">
        <v>6791</v>
      </c>
      <c r="C8939" s="24" t="s">
        <v>6817</v>
      </c>
      <c r="D8939" s="59">
        <v>1.0</v>
      </c>
      <c r="E8939" s="59">
        <v>2.0</v>
      </c>
      <c r="F8939" s="59">
        <v>0.0</v>
      </c>
      <c r="G8939" s="60">
        <v>2.0</v>
      </c>
      <c r="H8939" s="60">
        <v>0.0</v>
      </c>
      <c r="I8939" s="60">
        <v>165.9962975</v>
      </c>
      <c r="J8939" s="59">
        <v>8.0</v>
      </c>
      <c r="K8939" s="61">
        <f t="shared" si="1"/>
        <v>0</v>
      </c>
      <c r="L8939" s="62">
        <f t="shared" si="2"/>
        <v>4</v>
      </c>
    </row>
    <row r="8940">
      <c r="A8940" s="58">
        <v>45323.0</v>
      </c>
      <c r="B8940" s="24" t="s">
        <v>155</v>
      </c>
      <c r="C8940" s="24" t="s">
        <v>6817</v>
      </c>
      <c r="D8940" s="59">
        <v>1.0</v>
      </c>
      <c r="E8940" s="59">
        <v>1.0</v>
      </c>
      <c r="F8940" s="59">
        <v>0.0</v>
      </c>
      <c r="G8940" s="60">
        <v>1.0</v>
      </c>
      <c r="H8940" s="60">
        <v>0.0</v>
      </c>
      <c r="I8940" s="60">
        <v>0.745122</v>
      </c>
      <c r="J8940" s="59">
        <v>2.0</v>
      </c>
      <c r="K8940" s="61">
        <f t="shared" si="1"/>
        <v>0</v>
      </c>
      <c r="L8940" s="62">
        <f t="shared" si="2"/>
        <v>2</v>
      </c>
    </row>
    <row r="8941">
      <c r="A8941" s="58">
        <v>45323.0</v>
      </c>
      <c r="B8941" s="24" t="s">
        <v>6787</v>
      </c>
      <c r="C8941" s="24" t="s">
        <v>6953</v>
      </c>
      <c r="D8941" s="59">
        <v>1.0</v>
      </c>
      <c r="E8941" s="59">
        <v>1.0</v>
      </c>
      <c r="F8941" s="59">
        <v>1.0</v>
      </c>
      <c r="G8941" s="60">
        <v>1.0</v>
      </c>
      <c r="H8941" s="60">
        <v>0.0</v>
      </c>
      <c r="I8941" s="60">
        <v>13.999353</v>
      </c>
      <c r="J8941" s="59">
        <v>2.0</v>
      </c>
      <c r="K8941" s="61">
        <f t="shared" si="1"/>
        <v>1</v>
      </c>
      <c r="L8941" s="62">
        <f t="shared" si="2"/>
        <v>2</v>
      </c>
    </row>
    <row r="8942">
      <c r="A8942" s="58">
        <v>45323.0</v>
      </c>
      <c r="B8942" s="24" t="s">
        <v>6794</v>
      </c>
      <c r="C8942" s="24" t="s">
        <v>6953</v>
      </c>
      <c r="D8942" s="59">
        <v>1.0</v>
      </c>
      <c r="E8942" s="59">
        <v>2.0</v>
      </c>
      <c r="F8942" s="59">
        <v>1.0</v>
      </c>
      <c r="G8942" s="60">
        <v>2.0</v>
      </c>
      <c r="H8942" s="60">
        <v>0.0</v>
      </c>
      <c r="I8942" s="60">
        <v>4.936571</v>
      </c>
      <c r="J8942" s="59">
        <v>4.0</v>
      </c>
      <c r="K8942" s="61">
        <f t="shared" si="1"/>
        <v>0.5</v>
      </c>
      <c r="L8942" s="62">
        <f t="shared" si="2"/>
        <v>2</v>
      </c>
    </row>
    <row r="8943">
      <c r="A8943" s="58">
        <v>45323.0</v>
      </c>
      <c r="B8943" s="24" t="s">
        <v>6790</v>
      </c>
      <c r="C8943" s="24" t="s">
        <v>6804</v>
      </c>
      <c r="D8943" s="59">
        <v>1.0</v>
      </c>
      <c r="E8943" s="59">
        <v>1.0</v>
      </c>
      <c r="F8943" s="59">
        <v>0.0</v>
      </c>
      <c r="G8943" s="60">
        <v>1.0</v>
      </c>
      <c r="H8943" s="60">
        <v>1.0</v>
      </c>
      <c r="I8943" s="60">
        <v>0.0</v>
      </c>
      <c r="J8943" s="59">
        <v>1.0</v>
      </c>
      <c r="K8943" s="61">
        <f t="shared" si="1"/>
        <v>0</v>
      </c>
      <c r="L8943" s="62">
        <f t="shared" si="2"/>
        <v>1</v>
      </c>
    </row>
    <row r="8944">
      <c r="A8944" s="58">
        <v>45323.0</v>
      </c>
      <c r="B8944" s="24" t="s">
        <v>6787</v>
      </c>
      <c r="C8944" s="24" t="s">
        <v>7057</v>
      </c>
      <c r="D8944" s="59">
        <v>1.0</v>
      </c>
      <c r="E8944" s="59">
        <v>2.0</v>
      </c>
      <c r="F8944" s="59">
        <v>1.0</v>
      </c>
      <c r="G8944" s="60">
        <v>2.0</v>
      </c>
      <c r="H8944" s="60">
        <v>0.0</v>
      </c>
      <c r="I8944" s="60">
        <v>249.397129</v>
      </c>
      <c r="J8944" s="59">
        <v>6.0</v>
      </c>
      <c r="K8944" s="61">
        <f t="shared" si="1"/>
        <v>0.5</v>
      </c>
      <c r="L8944" s="62">
        <f t="shared" si="2"/>
        <v>3</v>
      </c>
    </row>
    <row r="8945">
      <c r="A8945" s="58">
        <v>45323.0</v>
      </c>
      <c r="B8945" s="24" t="s">
        <v>6794</v>
      </c>
      <c r="C8945" s="24" t="s">
        <v>7057</v>
      </c>
      <c r="D8945" s="59">
        <v>1.0</v>
      </c>
      <c r="E8945" s="59">
        <v>1.0</v>
      </c>
      <c r="F8945" s="59">
        <v>0.0</v>
      </c>
      <c r="G8945" s="60">
        <v>1.0</v>
      </c>
      <c r="H8945" s="60">
        <v>0.0</v>
      </c>
      <c r="I8945" s="60">
        <v>5.256758</v>
      </c>
      <c r="J8945" s="59">
        <v>2.0</v>
      </c>
      <c r="K8945" s="61">
        <f t="shared" si="1"/>
        <v>0</v>
      </c>
      <c r="L8945" s="62">
        <f t="shared" si="2"/>
        <v>2</v>
      </c>
    </row>
    <row r="8946">
      <c r="A8946" s="58">
        <v>45323.0</v>
      </c>
      <c r="B8946" s="24" t="s">
        <v>155</v>
      </c>
      <c r="C8946" s="24" t="s">
        <v>7057</v>
      </c>
      <c r="D8946" s="59">
        <v>1.0</v>
      </c>
      <c r="E8946" s="59">
        <v>1.0</v>
      </c>
      <c r="F8946" s="59">
        <v>1.0</v>
      </c>
      <c r="G8946" s="60">
        <v>1.0</v>
      </c>
      <c r="H8946" s="60">
        <v>0.0</v>
      </c>
      <c r="I8946" s="60">
        <v>73.837162</v>
      </c>
      <c r="J8946" s="59">
        <v>2.0</v>
      </c>
      <c r="K8946" s="61">
        <f t="shared" si="1"/>
        <v>1</v>
      </c>
      <c r="L8946" s="62">
        <f t="shared" si="2"/>
        <v>2</v>
      </c>
    </row>
    <row r="8947">
      <c r="A8947" s="58">
        <v>45323.0</v>
      </c>
      <c r="B8947" s="24" t="s">
        <v>6787</v>
      </c>
      <c r="C8947" s="24" t="s">
        <v>7059</v>
      </c>
      <c r="D8947" s="59">
        <v>1.0</v>
      </c>
      <c r="E8947" s="59">
        <v>1.0</v>
      </c>
      <c r="F8947" s="59">
        <v>1.0</v>
      </c>
      <c r="G8947" s="60">
        <v>1.0</v>
      </c>
      <c r="H8947" s="60">
        <v>0.0</v>
      </c>
      <c r="I8947" s="60">
        <v>4.924114</v>
      </c>
      <c r="J8947" s="59">
        <v>2.0</v>
      </c>
      <c r="K8947" s="61">
        <f t="shared" si="1"/>
        <v>1</v>
      </c>
      <c r="L8947" s="62">
        <f t="shared" si="2"/>
        <v>2</v>
      </c>
    </row>
    <row r="8948">
      <c r="A8948" s="58">
        <v>45323.0</v>
      </c>
      <c r="B8948" s="24" t="s">
        <v>3216</v>
      </c>
      <c r="C8948" s="24" t="s">
        <v>6833</v>
      </c>
      <c r="D8948" s="59">
        <v>1.0</v>
      </c>
      <c r="E8948" s="59">
        <v>1.0</v>
      </c>
      <c r="F8948" s="59">
        <v>1.0</v>
      </c>
      <c r="G8948" s="60">
        <v>1.0</v>
      </c>
      <c r="H8948" s="60">
        <v>0.0</v>
      </c>
      <c r="I8948" s="60">
        <v>4.958484</v>
      </c>
      <c r="J8948" s="59">
        <v>2.0</v>
      </c>
      <c r="K8948" s="61">
        <f t="shared" si="1"/>
        <v>1</v>
      </c>
      <c r="L8948" s="62">
        <f t="shared" si="2"/>
        <v>2</v>
      </c>
    </row>
    <row r="8949">
      <c r="A8949" s="58">
        <v>45323.0</v>
      </c>
      <c r="B8949" s="24" t="s">
        <v>6787</v>
      </c>
      <c r="C8949" s="24" t="s">
        <v>6986</v>
      </c>
      <c r="D8949" s="59">
        <v>1.0</v>
      </c>
      <c r="E8949" s="59">
        <v>1.0</v>
      </c>
      <c r="F8949" s="59">
        <v>0.0</v>
      </c>
      <c r="G8949" s="60">
        <v>1.0</v>
      </c>
      <c r="H8949" s="60">
        <v>0.0</v>
      </c>
      <c r="I8949" s="60">
        <v>35.572344</v>
      </c>
      <c r="J8949" s="59">
        <v>2.0</v>
      </c>
      <c r="K8949" s="61">
        <f t="shared" si="1"/>
        <v>0</v>
      </c>
      <c r="L8949" s="62">
        <f t="shared" si="2"/>
        <v>2</v>
      </c>
    </row>
    <row r="8950">
      <c r="A8950" s="58">
        <v>45323.0</v>
      </c>
      <c r="B8950" s="24" t="s">
        <v>6789</v>
      </c>
      <c r="C8950" s="24" t="s">
        <v>6867</v>
      </c>
      <c r="D8950" s="59">
        <v>1.0</v>
      </c>
      <c r="E8950" s="59">
        <v>1.0</v>
      </c>
      <c r="F8950" s="59">
        <v>0.0</v>
      </c>
      <c r="G8950" s="60">
        <v>1.0</v>
      </c>
      <c r="H8950" s="60">
        <v>0.0</v>
      </c>
      <c r="I8950" s="60">
        <v>5.696922</v>
      </c>
      <c r="J8950" s="59">
        <v>2.0</v>
      </c>
      <c r="K8950" s="61">
        <f t="shared" si="1"/>
        <v>0</v>
      </c>
      <c r="L8950" s="62">
        <f t="shared" si="2"/>
        <v>2</v>
      </c>
    </row>
    <row r="8951">
      <c r="A8951" s="58">
        <v>45323.0</v>
      </c>
      <c r="B8951" s="24" t="s">
        <v>6791</v>
      </c>
      <c r="C8951" s="24" t="s">
        <v>6867</v>
      </c>
      <c r="D8951" s="59">
        <v>1.0</v>
      </c>
      <c r="E8951" s="59">
        <v>2.0</v>
      </c>
      <c r="F8951" s="59">
        <v>0.0</v>
      </c>
      <c r="G8951" s="60">
        <v>2.0</v>
      </c>
      <c r="H8951" s="60">
        <v>0.0</v>
      </c>
      <c r="I8951" s="60">
        <v>59.3355425</v>
      </c>
      <c r="J8951" s="59">
        <v>6.0</v>
      </c>
      <c r="K8951" s="61">
        <f t="shared" si="1"/>
        <v>0</v>
      </c>
      <c r="L8951" s="62">
        <f t="shared" si="2"/>
        <v>3</v>
      </c>
    </row>
    <row r="8952">
      <c r="A8952" s="58">
        <v>45323.0</v>
      </c>
      <c r="B8952" s="24" t="s">
        <v>6789</v>
      </c>
      <c r="C8952" s="24" t="s">
        <v>6988</v>
      </c>
      <c r="D8952" s="59">
        <v>1.0</v>
      </c>
      <c r="E8952" s="59">
        <v>1.0</v>
      </c>
      <c r="F8952" s="59">
        <v>0.0</v>
      </c>
      <c r="G8952" s="60">
        <v>1.0</v>
      </c>
      <c r="H8952" s="60">
        <v>0.0</v>
      </c>
      <c r="I8952" s="60">
        <v>7.830972</v>
      </c>
      <c r="J8952" s="59">
        <v>2.0</v>
      </c>
      <c r="K8952" s="61">
        <f t="shared" si="1"/>
        <v>0</v>
      </c>
      <c r="L8952" s="62">
        <f t="shared" si="2"/>
        <v>2</v>
      </c>
    </row>
    <row r="8953">
      <c r="A8953" s="58">
        <v>45323.0</v>
      </c>
      <c r="B8953" s="24" t="s">
        <v>6789</v>
      </c>
      <c r="C8953" s="24" t="s">
        <v>7062</v>
      </c>
      <c r="D8953" s="59">
        <v>1.0</v>
      </c>
      <c r="E8953" s="59">
        <v>1.0</v>
      </c>
      <c r="F8953" s="59">
        <v>0.0</v>
      </c>
      <c r="G8953" s="60">
        <v>1.0</v>
      </c>
      <c r="H8953" s="60">
        <v>0.0</v>
      </c>
      <c r="I8953" s="60">
        <v>38.576747</v>
      </c>
      <c r="J8953" s="59">
        <v>6.0</v>
      </c>
      <c r="K8953" s="61">
        <f t="shared" si="1"/>
        <v>0</v>
      </c>
      <c r="L8953" s="62">
        <f t="shared" si="2"/>
        <v>6</v>
      </c>
    </row>
    <row r="8954">
      <c r="A8954" s="58">
        <v>45323.0</v>
      </c>
      <c r="B8954" s="24" t="s">
        <v>6789</v>
      </c>
      <c r="C8954" s="24" t="s">
        <v>7063</v>
      </c>
      <c r="D8954" s="59">
        <v>1.0</v>
      </c>
      <c r="E8954" s="59">
        <v>1.0</v>
      </c>
      <c r="F8954" s="59">
        <v>0.0</v>
      </c>
      <c r="G8954" s="60">
        <v>1.0</v>
      </c>
      <c r="H8954" s="60">
        <v>0.0</v>
      </c>
      <c r="I8954" s="60">
        <v>5.854053</v>
      </c>
      <c r="J8954" s="59">
        <v>2.0</v>
      </c>
      <c r="K8954" s="61">
        <f t="shared" si="1"/>
        <v>0</v>
      </c>
      <c r="L8954" s="62">
        <f t="shared" si="2"/>
        <v>2</v>
      </c>
    </row>
    <row r="8955">
      <c r="A8955" s="58">
        <v>45323.0</v>
      </c>
      <c r="B8955" s="24" t="s">
        <v>6794</v>
      </c>
      <c r="C8955" s="24" t="s">
        <v>7437</v>
      </c>
      <c r="D8955" s="59">
        <v>1.0</v>
      </c>
      <c r="E8955" s="59">
        <v>1.0</v>
      </c>
      <c r="F8955" s="59">
        <v>1.0</v>
      </c>
      <c r="G8955" s="60">
        <v>1.0</v>
      </c>
      <c r="H8955" s="60">
        <v>0.0</v>
      </c>
      <c r="I8955" s="60">
        <v>285.764105</v>
      </c>
      <c r="J8955" s="59">
        <v>2.0</v>
      </c>
      <c r="K8955" s="61">
        <f t="shared" si="1"/>
        <v>1</v>
      </c>
      <c r="L8955" s="62">
        <f t="shared" si="2"/>
        <v>2</v>
      </c>
    </row>
    <row r="8956">
      <c r="A8956" s="58">
        <v>45323.0</v>
      </c>
      <c r="B8956" s="24" t="s">
        <v>6789</v>
      </c>
      <c r="C8956" s="24" t="s">
        <v>7024</v>
      </c>
      <c r="D8956" s="59">
        <v>1.0</v>
      </c>
      <c r="E8956" s="59">
        <v>2.0</v>
      </c>
      <c r="F8956" s="59">
        <v>0.0</v>
      </c>
      <c r="G8956" s="60">
        <v>2.0</v>
      </c>
      <c r="H8956" s="60">
        <v>0.0</v>
      </c>
      <c r="I8956" s="60">
        <v>5.2967135</v>
      </c>
      <c r="J8956" s="59">
        <v>4.0</v>
      </c>
      <c r="K8956" s="61">
        <f t="shared" si="1"/>
        <v>0</v>
      </c>
      <c r="L8956" s="62">
        <f t="shared" si="2"/>
        <v>2</v>
      </c>
    </row>
    <row r="8957">
      <c r="A8957" s="58">
        <v>45323.0</v>
      </c>
      <c r="B8957" s="24" t="s">
        <v>6787</v>
      </c>
      <c r="C8957" s="24" t="s">
        <v>7065</v>
      </c>
      <c r="D8957" s="59">
        <v>1.0</v>
      </c>
      <c r="E8957" s="59">
        <v>1.0</v>
      </c>
      <c r="F8957" s="59">
        <v>1.0</v>
      </c>
      <c r="G8957" s="60">
        <v>1.0</v>
      </c>
      <c r="H8957" s="60">
        <v>1.0</v>
      </c>
      <c r="I8957" s="60">
        <v>0.0</v>
      </c>
      <c r="J8957" s="59">
        <v>1.0</v>
      </c>
      <c r="K8957" s="61">
        <f t="shared" si="1"/>
        <v>1</v>
      </c>
      <c r="L8957" s="62">
        <f t="shared" si="2"/>
        <v>1</v>
      </c>
    </row>
    <row r="8958">
      <c r="A8958" s="58">
        <v>45323.0</v>
      </c>
      <c r="B8958" s="24" t="s">
        <v>6787</v>
      </c>
      <c r="C8958" s="24" t="s">
        <v>6989</v>
      </c>
      <c r="D8958" s="59">
        <v>1.0</v>
      </c>
      <c r="E8958" s="59">
        <v>1.0</v>
      </c>
      <c r="F8958" s="59">
        <v>1.0</v>
      </c>
      <c r="G8958" s="60">
        <v>1.0</v>
      </c>
      <c r="H8958" s="60">
        <v>1.0</v>
      </c>
      <c r="I8958" s="60">
        <v>0.0</v>
      </c>
      <c r="J8958" s="59">
        <v>1.0</v>
      </c>
      <c r="K8958" s="61">
        <f t="shared" si="1"/>
        <v>1</v>
      </c>
      <c r="L8958" s="62">
        <f t="shared" si="2"/>
        <v>1</v>
      </c>
    </row>
    <row r="8959">
      <c r="A8959" s="58">
        <v>45323.0</v>
      </c>
      <c r="B8959" s="24" t="s">
        <v>6789</v>
      </c>
      <c r="C8959" s="24" t="s">
        <v>6989</v>
      </c>
      <c r="D8959" s="59">
        <v>1.0</v>
      </c>
      <c r="E8959" s="59">
        <v>1.0</v>
      </c>
      <c r="F8959" s="59">
        <v>1.0</v>
      </c>
      <c r="G8959" s="60">
        <v>1.0</v>
      </c>
      <c r="H8959" s="60">
        <v>0.0</v>
      </c>
      <c r="I8959" s="60">
        <v>976.718784</v>
      </c>
      <c r="J8959" s="59">
        <v>8.0</v>
      </c>
      <c r="K8959" s="61">
        <f t="shared" si="1"/>
        <v>1</v>
      </c>
      <c r="L8959" s="62">
        <f t="shared" si="2"/>
        <v>8</v>
      </c>
    </row>
    <row r="8960">
      <c r="A8960" s="58">
        <v>45323.0</v>
      </c>
      <c r="B8960" s="24" t="s">
        <v>6787</v>
      </c>
      <c r="C8960" s="24" t="s">
        <v>6990</v>
      </c>
      <c r="D8960" s="59">
        <v>1.0</v>
      </c>
      <c r="E8960" s="59">
        <v>1.0</v>
      </c>
      <c r="F8960" s="59">
        <v>1.0</v>
      </c>
      <c r="G8960" s="60">
        <v>1.0</v>
      </c>
      <c r="H8960" s="60">
        <v>1.0</v>
      </c>
      <c r="I8960" s="60">
        <v>0.0</v>
      </c>
      <c r="J8960" s="59">
        <v>1.0</v>
      </c>
      <c r="K8960" s="61">
        <f t="shared" si="1"/>
        <v>1</v>
      </c>
      <c r="L8960" s="62">
        <f t="shared" si="2"/>
        <v>1</v>
      </c>
    </row>
    <row r="8961">
      <c r="A8961" s="58">
        <v>45323.0</v>
      </c>
      <c r="B8961" s="24" t="s">
        <v>155</v>
      </c>
      <c r="C8961" s="24" t="s">
        <v>6990</v>
      </c>
      <c r="D8961" s="59">
        <v>1.0</v>
      </c>
      <c r="E8961" s="59">
        <v>1.0</v>
      </c>
      <c r="F8961" s="59">
        <v>1.0</v>
      </c>
      <c r="G8961" s="60">
        <v>1.0</v>
      </c>
      <c r="H8961" s="60">
        <v>0.0</v>
      </c>
      <c r="I8961" s="60">
        <v>258.924786</v>
      </c>
      <c r="J8961" s="59">
        <v>2.0</v>
      </c>
      <c r="K8961" s="61">
        <f t="shared" si="1"/>
        <v>1</v>
      </c>
      <c r="L8961" s="62">
        <f t="shared" si="2"/>
        <v>2</v>
      </c>
    </row>
    <row r="8962">
      <c r="A8962" s="58">
        <v>45323.0</v>
      </c>
      <c r="B8962" s="24" t="s">
        <v>6791</v>
      </c>
      <c r="C8962" s="24" t="s">
        <v>7068</v>
      </c>
      <c r="D8962" s="59">
        <v>1.0</v>
      </c>
      <c r="E8962" s="59">
        <v>1.0</v>
      </c>
      <c r="F8962" s="59">
        <v>0.0</v>
      </c>
      <c r="G8962" s="60">
        <v>1.0</v>
      </c>
      <c r="H8962" s="60">
        <v>0.0</v>
      </c>
      <c r="I8962" s="60">
        <v>6.654257</v>
      </c>
      <c r="J8962" s="59">
        <v>2.0</v>
      </c>
      <c r="K8962" s="61">
        <f t="shared" si="1"/>
        <v>0</v>
      </c>
      <c r="L8962" s="62">
        <f t="shared" si="2"/>
        <v>2</v>
      </c>
    </row>
    <row r="8963">
      <c r="A8963" s="58">
        <v>45323.0</v>
      </c>
      <c r="B8963" s="24" t="s">
        <v>155</v>
      </c>
      <c r="C8963" s="24" t="s">
        <v>6835</v>
      </c>
      <c r="D8963" s="59">
        <v>1.0</v>
      </c>
      <c r="E8963" s="59">
        <v>1.0</v>
      </c>
      <c r="F8963" s="59">
        <v>1.0</v>
      </c>
      <c r="G8963" s="60">
        <v>1.0</v>
      </c>
      <c r="H8963" s="60">
        <v>0.0</v>
      </c>
      <c r="I8963" s="60">
        <v>4.922325</v>
      </c>
      <c r="J8963" s="59">
        <v>2.0</v>
      </c>
      <c r="K8963" s="61">
        <f t="shared" si="1"/>
        <v>1</v>
      </c>
      <c r="L8963" s="62">
        <f t="shared" si="2"/>
        <v>2</v>
      </c>
    </row>
    <row r="8964">
      <c r="A8964" s="58">
        <v>45323.0</v>
      </c>
      <c r="B8964" s="24" t="s">
        <v>6789</v>
      </c>
      <c r="C8964" s="24" t="s">
        <v>6991</v>
      </c>
      <c r="D8964" s="59">
        <v>1.0</v>
      </c>
      <c r="E8964" s="59">
        <v>1.0</v>
      </c>
      <c r="F8964" s="59">
        <v>0.0</v>
      </c>
      <c r="G8964" s="60">
        <v>1.0</v>
      </c>
      <c r="H8964" s="60">
        <v>0.0</v>
      </c>
      <c r="I8964" s="60">
        <v>1723.578895</v>
      </c>
      <c r="J8964" s="59">
        <v>4.0</v>
      </c>
      <c r="K8964" s="61">
        <f t="shared" si="1"/>
        <v>0</v>
      </c>
      <c r="L8964" s="62">
        <f t="shared" si="2"/>
        <v>4</v>
      </c>
    </row>
    <row r="8965">
      <c r="A8965" s="58">
        <v>45323.0</v>
      </c>
      <c r="B8965" s="24" t="s">
        <v>6789</v>
      </c>
      <c r="C8965" s="24" t="s">
        <v>6886</v>
      </c>
      <c r="D8965" s="59">
        <v>1.0</v>
      </c>
      <c r="E8965" s="59">
        <v>1.0</v>
      </c>
      <c r="F8965" s="59">
        <v>1.0</v>
      </c>
      <c r="G8965" s="60">
        <v>1.0</v>
      </c>
      <c r="H8965" s="60">
        <v>0.0</v>
      </c>
      <c r="I8965" s="60">
        <v>5.785361</v>
      </c>
      <c r="J8965" s="59">
        <v>2.0</v>
      </c>
      <c r="K8965" s="61">
        <f t="shared" si="1"/>
        <v>1</v>
      </c>
      <c r="L8965" s="62">
        <f t="shared" si="2"/>
        <v>2</v>
      </c>
    </row>
    <row r="8966">
      <c r="A8966" s="58">
        <v>45323.0</v>
      </c>
      <c r="B8966" s="24" t="s">
        <v>6787</v>
      </c>
      <c r="C8966" s="24" t="s">
        <v>7594</v>
      </c>
      <c r="D8966" s="59">
        <v>1.0</v>
      </c>
      <c r="E8966" s="59">
        <v>1.0</v>
      </c>
      <c r="F8966" s="59">
        <v>1.0</v>
      </c>
      <c r="G8966" s="60">
        <v>1.0</v>
      </c>
      <c r="H8966" s="60">
        <v>0.0</v>
      </c>
      <c r="I8966" s="60">
        <v>73.519883</v>
      </c>
      <c r="J8966" s="59">
        <v>4.0</v>
      </c>
      <c r="K8966" s="61">
        <f t="shared" si="1"/>
        <v>1</v>
      </c>
      <c r="L8966" s="62">
        <f t="shared" si="2"/>
        <v>4</v>
      </c>
    </row>
    <row r="8967">
      <c r="A8967" s="58">
        <v>45323.0</v>
      </c>
      <c r="B8967" s="24" t="s">
        <v>6791</v>
      </c>
      <c r="C8967" s="24" t="s">
        <v>6799</v>
      </c>
      <c r="D8967" s="59">
        <v>1.0</v>
      </c>
      <c r="E8967" s="59">
        <v>1.0</v>
      </c>
      <c r="F8967" s="59">
        <v>0.0</v>
      </c>
      <c r="G8967" s="60">
        <v>1.0</v>
      </c>
      <c r="H8967" s="60">
        <v>0.0</v>
      </c>
      <c r="I8967" s="60">
        <v>70.463636</v>
      </c>
      <c r="J8967" s="59">
        <v>2.0</v>
      </c>
      <c r="K8967" s="61">
        <f t="shared" si="1"/>
        <v>0</v>
      </c>
      <c r="L8967" s="62">
        <f t="shared" si="2"/>
        <v>2</v>
      </c>
    </row>
    <row r="8968">
      <c r="A8968" s="58">
        <v>45323.0</v>
      </c>
      <c r="B8968" s="24" t="s">
        <v>6790</v>
      </c>
      <c r="C8968" s="24" t="s">
        <v>6799</v>
      </c>
      <c r="D8968" s="59">
        <v>1.0</v>
      </c>
      <c r="E8968" s="59">
        <v>1.0</v>
      </c>
      <c r="F8968" s="59">
        <v>0.0</v>
      </c>
      <c r="G8968" s="60">
        <v>1.0</v>
      </c>
      <c r="H8968" s="60">
        <v>1.0</v>
      </c>
      <c r="I8968" s="60">
        <v>1.261055</v>
      </c>
      <c r="J8968" s="59">
        <v>2.0</v>
      </c>
      <c r="K8968" s="61">
        <f t="shared" si="1"/>
        <v>0</v>
      </c>
      <c r="L8968" s="62">
        <f t="shared" si="2"/>
        <v>2</v>
      </c>
    </row>
    <row r="8969">
      <c r="A8969" s="58">
        <v>45323.0</v>
      </c>
      <c r="B8969" s="24" t="s">
        <v>3216</v>
      </c>
      <c r="C8969" s="24" t="s">
        <v>6997</v>
      </c>
      <c r="D8969" s="59">
        <v>1.0</v>
      </c>
      <c r="E8969" s="59">
        <v>1.0</v>
      </c>
      <c r="F8969" s="59">
        <v>0.0</v>
      </c>
      <c r="G8969" s="60">
        <v>1.0</v>
      </c>
      <c r="H8969" s="60">
        <v>0.0</v>
      </c>
      <c r="I8969" s="60">
        <v>35.23603</v>
      </c>
      <c r="J8969" s="59">
        <v>2.0</v>
      </c>
      <c r="K8969" s="61">
        <f t="shared" si="1"/>
        <v>0</v>
      </c>
      <c r="L8969" s="62">
        <f t="shared" si="2"/>
        <v>2</v>
      </c>
    </row>
    <row r="8970">
      <c r="A8970" s="58">
        <v>45323.0</v>
      </c>
      <c r="B8970" s="24" t="s">
        <v>6794</v>
      </c>
      <c r="C8970" s="24" t="s">
        <v>6997</v>
      </c>
      <c r="D8970" s="59">
        <v>1.0</v>
      </c>
      <c r="E8970" s="59">
        <v>1.0</v>
      </c>
      <c r="F8970" s="59">
        <v>0.0</v>
      </c>
      <c r="G8970" s="60">
        <v>1.0</v>
      </c>
      <c r="H8970" s="60">
        <v>0.0</v>
      </c>
      <c r="I8970" s="60">
        <v>1.65964</v>
      </c>
      <c r="J8970" s="59">
        <v>2.0</v>
      </c>
      <c r="K8970" s="61">
        <f t="shared" si="1"/>
        <v>0</v>
      </c>
      <c r="L8970" s="62">
        <f t="shared" si="2"/>
        <v>2</v>
      </c>
    </row>
    <row r="8971">
      <c r="A8971" s="58">
        <v>45323.0</v>
      </c>
      <c r="B8971" s="24" t="s">
        <v>155</v>
      </c>
      <c r="C8971" s="24" t="s">
        <v>6997</v>
      </c>
      <c r="D8971" s="59">
        <v>1.0</v>
      </c>
      <c r="E8971" s="59">
        <v>1.0</v>
      </c>
      <c r="F8971" s="59">
        <v>0.0</v>
      </c>
      <c r="G8971" s="60">
        <v>1.0</v>
      </c>
      <c r="H8971" s="60">
        <v>0.0</v>
      </c>
      <c r="I8971" s="60">
        <v>5.126077</v>
      </c>
      <c r="J8971" s="59">
        <v>2.0</v>
      </c>
      <c r="K8971" s="61">
        <f t="shared" si="1"/>
        <v>0</v>
      </c>
      <c r="L8971" s="62">
        <f t="shared" si="2"/>
        <v>2</v>
      </c>
    </row>
    <row r="8972">
      <c r="A8972" s="58">
        <v>45323.0</v>
      </c>
      <c r="B8972" s="24" t="s">
        <v>6789</v>
      </c>
      <c r="C8972" s="24" t="s">
        <v>6822</v>
      </c>
      <c r="D8972" s="59">
        <v>1.0</v>
      </c>
      <c r="E8972" s="59">
        <v>1.0</v>
      </c>
      <c r="F8972" s="59">
        <v>1.0</v>
      </c>
      <c r="G8972" s="60">
        <v>1.0</v>
      </c>
      <c r="H8972" s="60">
        <v>0.0</v>
      </c>
      <c r="I8972" s="60">
        <v>7.551875</v>
      </c>
      <c r="J8972" s="59">
        <v>2.0</v>
      </c>
      <c r="K8972" s="61">
        <f t="shared" si="1"/>
        <v>1</v>
      </c>
      <c r="L8972" s="62">
        <f t="shared" si="2"/>
        <v>2</v>
      </c>
    </row>
    <row r="8973">
      <c r="A8973" s="58">
        <v>45323.0</v>
      </c>
      <c r="B8973" s="24" t="s">
        <v>6789</v>
      </c>
      <c r="C8973" s="24" t="s">
        <v>6891</v>
      </c>
      <c r="D8973" s="59">
        <v>1.0</v>
      </c>
      <c r="E8973" s="59">
        <v>2.0</v>
      </c>
      <c r="F8973" s="59">
        <v>0.0</v>
      </c>
      <c r="G8973" s="60">
        <v>2.0</v>
      </c>
      <c r="H8973" s="60">
        <v>0.0</v>
      </c>
      <c r="I8973" s="60">
        <v>5.254319</v>
      </c>
      <c r="J8973" s="59">
        <v>4.0</v>
      </c>
      <c r="K8973" s="61">
        <f t="shared" si="1"/>
        <v>0</v>
      </c>
      <c r="L8973" s="62">
        <f t="shared" si="2"/>
        <v>2</v>
      </c>
    </row>
    <row r="8974">
      <c r="A8974" s="58">
        <v>45323.0</v>
      </c>
      <c r="B8974" s="24" t="s">
        <v>155</v>
      </c>
      <c r="C8974" s="24" t="s">
        <v>6891</v>
      </c>
      <c r="D8974" s="59">
        <v>1.0</v>
      </c>
      <c r="E8974" s="59">
        <v>1.0</v>
      </c>
      <c r="F8974" s="59">
        <v>0.0</v>
      </c>
      <c r="G8974" s="60">
        <v>1.0</v>
      </c>
      <c r="H8974" s="60">
        <v>0.0</v>
      </c>
      <c r="I8974" s="60">
        <v>2712.220906</v>
      </c>
      <c r="J8974" s="59">
        <v>26.0</v>
      </c>
      <c r="K8974" s="61">
        <f t="shared" si="1"/>
        <v>0</v>
      </c>
      <c r="L8974" s="62">
        <f t="shared" si="2"/>
        <v>26</v>
      </c>
    </row>
    <row r="8975">
      <c r="A8975" s="58">
        <v>45323.0</v>
      </c>
      <c r="B8975" s="24" t="s">
        <v>155</v>
      </c>
      <c r="C8975" s="24" t="s">
        <v>7438</v>
      </c>
      <c r="D8975" s="59">
        <v>1.0</v>
      </c>
      <c r="E8975" s="59">
        <v>1.0</v>
      </c>
      <c r="F8975" s="59">
        <v>0.0</v>
      </c>
      <c r="G8975" s="60">
        <v>1.0</v>
      </c>
      <c r="H8975" s="60">
        <v>0.0</v>
      </c>
      <c r="I8975" s="60">
        <v>25.905361</v>
      </c>
      <c r="J8975" s="59">
        <v>4.0</v>
      </c>
      <c r="K8975" s="61">
        <f t="shared" si="1"/>
        <v>0</v>
      </c>
      <c r="L8975" s="62">
        <f t="shared" si="2"/>
        <v>4</v>
      </c>
    </row>
    <row r="8976">
      <c r="A8976" s="58">
        <v>45323.0</v>
      </c>
      <c r="B8976" s="24" t="s">
        <v>6789</v>
      </c>
      <c r="C8976" s="24" t="s">
        <v>6904</v>
      </c>
      <c r="D8976" s="59">
        <v>1.0</v>
      </c>
      <c r="E8976" s="59">
        <v>1.0</v>
      </c>
      <c r="F8976" s="59">
        <v>0.0</v>
      </c>
      <c r="G8976" s="60">
        <v>1.0</v>
      </c>
      <c r="H8976" s="60">
        <v>0.0</v>
      </c>
      <c r="I8976" s="60">
        <v>5.659139</v>
      </c>
      <c r="J8976" s="59">
        <v>2.0</v>
      </c>
      <c r="K8976" s="61">
        <f t="shared" si="1"/>
        <v>0</v>
      </c>
      <c r="L8976" s="62">
        <f t="shared" si="2"/>
        <v>2</v>
      </c>
    </row>
    <row r="8977">
      <c r="A8977" s="58">
        <v>45323.0</v>
      </c>
      <c r="B8977" s="24" t="s">
        <v>6791</v>
      </c>
      <c r="C8977" s="24" t="s">
        <v>6904</v>
      </c>
      <c r="D8977" s="59">
        <v>1.0</v>
      </c>
      <c r="E8977" s="59">
        <v>1.0</v>
      </c>
      <c r="F8977" s="59">
        <v>0.0</v>
      </c>
      <c r="G8977" s="60">
        <v>1.0</v>
      </c>
      <c r="H8977" s="60">
        <v>0.0</v>
      </c>
      <c r="I8977" s="60">
        <v>5.912161</v>
      </c>
      <c r="J8977" s="59">
        <v>2.0</v>
      </c>
      <c r="K8977" s="61">
        <f t="shared" si="1"/>
        <v>0</v>
      </c>
      <c r="L8977" s="62">
        <f t="shared" si="2"/>
        <v>2</v>
      </c>
    </row>
    <row r="8978">
      <c r="A8978" s="58">
        <v>45323.0</v>
      </c>
      <c r="B8978" s="24" t="s">
        <v>6787</v>
      </c>
      <c r="C8978" s="24" t="s">
        <v>6905</v>
      </c>
      <c r="D8978" s="59">
        <v>1.0</v>
      </c>
      <c r="E8978" s="59">
        <v>1.0</v>
      </c>
      <c r="F8978" s="59">
        <v>1.0</v>
      </c>
      <c r="G8978" s="60">
        <v>1.0</v>
      </c>
      <c r="H8978" s="60">
        <v>0.0</v>
      </c>
      <c r="I8978" s="60">
        <v>30.051642</v>
      </c>
      <c r="J8978" s="59">
        <v>2.0</v>
      </c>
      <c r="K8978" s="61">
        <f t="shared" si="1"/>
        <v>1</v>
      </c>
      <c r="L8978" s="62">
        <f t="shared" si="2"/>
        <v>2</v>
      </c>
    </row>
    <row r="8979">
      <c r="A8979" s="58">
        <v>45323.0</v>
      </c>
      <c r="B8979" s="24" t="s">
        <v>6787</v>
      </c>
      <c r="C8979" s="24" t="s">
        <v>7034</v>
      </c>
      <c r="D8979" s="59">
        <v>1.0</v>
      </c>
      <c r="E8979" s="59">
        <v>1.0</v>
      </c>
      <c r="F8979" s="59">
        <v>0.0</v>
      </c>
      <c r="G8979" s="60">
        <v>1.0</v>
      </c>
      <c r="H8979" s="60">
        <v>0.0</v>
      </c>
      <c r="I8979" s="60">
        <v>1226.770766</v>
      </c>
      <c r="J8979" s="59">
        <v>4.0</v>
      </c>
      <c r="K8979" s="61">
        <f t="shared" si="1"/>
        <v>0</v>
      </c>
      <c r="L8979" s="62">
        <f t="shared" si="2"/>
        <v>4</v>
      </c>
    </row>
    <row r="8980">
      <c r="A8980" s="58">
        <v>45323.0</v>
      </c>
      <c r="B8980" s="24" t="s">
        <v>6789</v>
      </c>
      <c r="C8980" s="24" t="s">
        <v>7034</v>
      </c>
      <c r="D8980" s="59">
        <v>1.0</v>
      </c>
      <c r="E8980" s="59">
        <v>1.0</v>
      </c>
      <c r="F8980" s="59">
        <v>0.0</v>
      </c>
      <c r="G8980" s="60">
        <v>1.0</v>
      </c>
      <c r="H8980" s="60">
        <v>0.0</v>
      </c>
      <c r="I8980" s="60">
        <v>4.87965</v>
      </c>
      <c r="J8980" s="59">
        <v>2.0</v>
      </c>
      <c r="K8980" s="61">
        <f t="shared" si="1"/>
        <v>0</v>
      </c>
      <c r="L8980" s="62">
        <f t="shared" si="2"/>
        <v>2</v>
      </c>
    </row>
    <row r="8981">
      <c r="A8981" s="58">
        <v>45323.0</v>
      </c>
      <c r="B8981" s="24" t="s">
        <v>6789</v>
      </c>
      <c r="C8981" s="24" t="s">
        <v>7595</v>
      </c>
      <c r="D8981" s="59">
        <v>1.0</v>
      </c>
      <c r="E8981" s="59">
        <v>1.0</v>
      </c>
      <c r="F8981" s="59">
        <v>0.0</v>
      </c>
      <c r="G8981" s="60">
        <v>1.0</v>
      </c>
      <c r="H8981" s="60">
        <v>0.0</v>
      </c>
      <c r="I8981" s="60">
        <v>3762.627966</v>
      </c>
      <c r="J8981" s="59">
        <v>13.0</v>
      </c>
      <c r="K8981" s="61">
        <f t="shared" si="1"/>
        <v>0</v>
      </c>
      <c r="L8981" s="62">
        <f t="shared" si="2"/>
        <v>13</v>
      </c>
    </row>
    <row r="8982">
      <c r="A8982" s="58">
        <v>45323.0</v>
      </c>
      <c r="B8982" s="24" t="s">
        <v>6789</v>
      </c>
      <c r="C8982" s="24" t="s">
        <v>7591</v>
      </c>
      <c r="D8982" s="59">
        <v>1.0</v>
      </c>
      <c r="E8982" s="59">
        <v>1.0</v>
      </c>
      <c r="F8982" s="59">
        <v>1.0</v>
      </c>
      <c r="G8982" s="60">
        <v>1.0</v>
      </c>
      <c r="H8982" s="60">
        <v>0.0</v>
      </c>
      <c r="I8982" s="60">
        <v>6.954098</v>
      </c>
      <c r="J8982" s="59">
        <v>2.0</v>
      </c>
      <c r="K8982" s="61">
        <f t="shared" si="1"/>
        <v>1</v>
      </c>
      <c r="L8982" s="62">
        <f t="shared" si="2"/>
        <v>2</v>
      </c>
    </row>
    <row r="8983">
      <c r="A8983" s="58">
        <v>45323.0</v>
      </c>
      <c r="B8983" s="24" t="s">
        <v>6789</v>
      </c>
      <c r="C8983" s="24" t="s">
        <v>7257</v>
      </c>
      <c r="D8983" s="59">
        <v>1.0</v>
      </c>
      <c r="E8983" s="59">
        <v>1.0</v>
      </c>
      <c r="F8983" s="59">
        <v>1.0</v>
      </c>
      <c r="G8983" s="60">
        <v>1.0</v>
      </c>
      <c r="H8983" s="60">
        <v>0.0</v>
      </c>
      <c r="I8983" s="60">
        <v>130.447444</v>
      </c>
      <c r="J8983" s="59">
        <v>2.0</v>
      </c>
      <c r="K8983" s="61">
        <f t="shared" si="1"/>
        <v>1</v>
      </c>
      <c r="L8983" s="62">
        <f t="shared" si="2"/>
        <v>2</v>
      </c>
    </row>
    <row r="8984">
      <c r="A8984" s="58">
        <v>45323.0</v>
      </c>
      <c r="B8984" s="24" t="s">
        <v>6789</v>
      </c>
      <c r="C8984" s="24" t="s">
        <v>7225</v>
      </c>
      <c r="D8984" s="59">
        <v>1.0</v>
      </c>
      <c r="E8984" s="59">
        <v>1.0</v>
      </c>
      <c r="F8984" s="59">
        <v>1.0</v>
      </c>
      <c r="G8984" s="60">
        <v>1.0</v>
      </c>
      <c r="H8984" s="60">
        <v>1.0</v>
      </c>
      <c r="I8984" s="60">
        <v>0.0</v>
      </c>
      <c r="J8984" s="59">
        <v>1.0</v>
      </c>
      <c r="K8984" s="61">
        <f t="shared" si="1"/>
        <v>1</v>
      </c>
      <c r="L8984" s="62">
        <f t="shared" si="2"/>
        <v>1</v>
      </c>
    </row>
    <row r="8985">
      <c r="A8985" s="58">
        <v>45323.0</v>
      </c>
      <c r="B8985" s="24" t="s">
        <v>6789</v>
      </c>
      <c r="C8985" s="24" t="s">
        <v>7574</v>
      </c>
      <c r="D8985" s="59">
        <v>1.0</v>
      </c>
      <c r="E8985" s="59">
        <v>1.0</v>
      </c>
      <c r="F8985" s="59">
        <v>1.0</v>
      </c>
      <c r="G8985" s="60">
        <v>1.0</v>
      </c>
      <c r="H8985" s="60">
        <v>0.0</v>
      </c>
      <c r="I8985" s="60">
        <v>902.880425</v>
      </c>
      <c r="J8985" s="59">
        <v>2.0</v>
      </c>
      <c r="K8985" s="61">
        <f t="shared" si="1"/>
        <v>1</v>
      </c>
      <c r="L8985" s="62">
        <f t="shared" si="2"/>
        <v>2</v>
      </c>
    </row>
    <row r="8986">
      <c r="A8986" s="58">
        <v>45323.0</v>
      </c>
      <c r="B8986" s="24" t="s">
        <v>6789</v>
      </c>
      <c r="C8986" s="24" t="s">
        <v>7551</v>
      </c>
      <c r="D8986" s="59">
        <v>1.0</v>
      </c>
      <c r="E8986" s="59">
        <v>1.0</v>
      </c>
      <c r="F8986" s="59">
        <v>1.0</v>
      </c>
      <c r="G8986" s="60">
        <v>1.0</v>
      </c>
      <c r="H8986" s="60">
        <v>0.0</v>
      </c>
      <c r="I8986" s="60">
        <v>626.531964</v>
      </c>
      <c r="J8986" s="59">
        <v>2.0</v>
      </c>
      <c r="K8986" s="61">
        <f t="shared" si="1"/>
        <v>1</v>
      </c>
      <c r="L8986" s="62">
        <f t="shared" si="2"/>
        <v>2</v>
      </c>
    </row>
    <row r="8987">
      <c r="A8987" s="58">
        <v>45323.0</v>
      </c>
      <c r="B8987" s="24" t="s">
        <v>6789</v>
      </c>
      <c r="C8987" s="24" t="s">
        <v>7578</v>
      </c>
      <c r="D8987" s="59">
        <v>1.0</v>
      </c>
      <c r="E8987" s="59">
        <v>1.0</v>
      </c>
      <c r="F8987" s="59">
        <v>1.0</v>
      </c>
      <c r="G8987" s="60">
        <v>1.0</v>
      </c>
      <c r="H8987" s="60">
        <v>0.0</v>
      </c>
      <c r="I8987" s="60">
        <v>267.843505</v>
      </c>
      <c r="J8987" s="59">
        <v>2.0</v>
      </c>
      <c r="K8987" s="61">
        <f t="shared" si="1"/>
        <v>1</v>
      </c>
      <c r="L8987" s="62">
        <f t="shared" si="2"/>
        <v>2</v>
      </c>
    </row>
    <row r="8988">
      <c r="A8988" s="58">
        <v>45323.0</v>
      </c>
      <c r="B8988" s="24" t="s">
        <v>6789</v>
      </c>
      <c r="C8988" s="24" t="s">
        <v>7552</v>
      </c>
      <c r="D8988" s="59">
        <v>1.0</v>
      </c>
      <c r="E8988" s="59">
        <v>1.0</v>
      </c>
      <c r="F8988" s="59">
        <v>0.0</v>
      </c>
      <c r="G8988" s="60">
        <v>1.0</v>
      </c>
      <c r="H8988" s="60">
        <v>0.0</v>
      </c>
      <c r="I8988" s="60">
        <v>1682.527761</v>
      </c>
      <c r="J8988" s="59">
        <v>2.0</v>
      </c>
      <c r="K8988" s="61">
        <f t="shared" si="1"/>
        <v>0</v>
      </c>
      <c r="L8988" s="62">
        <f t="shared" si="2"/>
        <v>2</v>
      </c>
    </row>
    <row r="8989">
      <c r="A8989" s="58">
        <v>45323.0</v>
      </c>
      <c r="B8989" s="24" t="s">
        <v>6787</v>
      </c>
      <c r="C8989" s="24" t="s">
        <v>7580</v>
      </c>
      <c r="D8989" s="59">
        <v>1.0</v>
      </c>
      <c r="E8989" s="59">
        <v>1.0</v>
      </c>
      <c r="F8989" s="59">
        <v>0.0</v>
      </c>
      <c r="G8989" s="60">
        <v>1.0</v>
      </c>
      <c r="H8989" s="60">
        <v>0.0</v>
      </c>
      <c r="I8989" s="60">
        <v>117.879455</v>
      </c>
      <c r="J8989" s="59">
        <v>6.0</v>
      </c>
      <c r="K8989" s="61">
        <f t="shared" si="1"/>
        <v>0</v>
      </c>
      <c r="L8989" s="62">
        <f t="shared" si="2"/>
        <v>6</v>
      </c>
    </row>
    <row r="8990">
      <c r="A8990" s="58">
        <v>45323.0</v>
      </c>
      <c r="B8990" s="24" t="s">
        <v>6789</v>
      </c>
      <c r="C8990" s="24" t="s">
        <v>7258</v>
      </c>
      <c r="D8990" s="59">
        <v>1.0</v>
      </c>
      <c r="E8990" s="59">
        <v>1.0</v>
      </c>
      <c r="F8990" s="59">
        <v>1.0</v>
      </c>
      <c r="G8990" s="60">
        <v>1.0</v>
      </c>
      <c r="H8990" s="60">
        <v>0.0</v>
      </c>
      <c r="I8990" s="60">
        <v>4.930232</v>
      </c>
      <c r="J8990" s="59">
        <v>2.0</v>
      </c>
      <c r="K8990" s="61">
        <f t="shared" si="1"/>
        <v>1</v>
      </c>
      <c r="L8990" s="62">
        <f t="shared" si="2"/>
        <v>2</v>
      </c>
    </row>
    <row r="8991">
      <c r="A8991" s="58">
        <v>45323.0</v>
      </c>
      <c r="B8991" s="24" t="s">
        <v>6789</v>
      </c>
      <c r="C8991" s="24" t="s">
        <v>7259</v>
      </c>
      <c r="D8991" s="59">
        <v>1.0</v>
      </c>
      <c r="E8991" s="59">
        <v>1.0</v>
      </c>
      <c r="F8991" s="59">
        <v>1.0</v>
      </c>
      <c r="G8991" s="60">
        <v>1.0</v>
      </c>
      <c r="H8991" s="60">
        <v>0.0</v>
      </c>
      <c r="I8991" s="60">
        <v>99.065814</v>
      </c>
      <c r="J8991" s="59">
        <v>9.0</v>
      </c>
      <c r="K8991" s="61">
        <f t="shared" si="1"/>
        <v>1</v>
      </c>
      <c r="L8991" s="62">
        <f t="shared" si="2"/>
        <v>9</v>
      </c>
    </row>
    <row r="8992">
      <c r="A8992" s="58">
        <v>45323.0</v>
      </c>
      <c r="B8992" s="24" t="s">
        <v>6787</v>
      </c>
      <c r="C8992" s="24" t="s">
        <v>7530</v>
      </c>
      <c r="D8992" s="59">
        <v>1.0</v>
      </c>
      <c r="E8992" s="59">
        <v>1.0</v>
      </c>
      <c r="F8992" s="59">
        <v>1.0</v>
      </c>
      <c r="G8992" s="60">
        <v>1.0</v>
      </c>
      <c r="H8992" s="60">
        <v>0.0</v>
      </c>
      <c r="I8992" s="60">
        <v>277.06114</v>
      </c>
      <c r="J8992" s="59">
        <v>4.0</v>
      </c>
      <c r="K8992" s="61">
        <f t="shared" si="1"/>
        <v>1</v>
      </c>
      <c r="L8992" s="62">
        <f t="shared" si="2"/>
        <v>4</v>
      </c>
    </row>
    <row r="8993">
      <c r="A8993" s="58">
        <v>45323.0</v>
      </c>
      <c r="B8993" s="24" t="s">
        <v>6942</v>
      </c>
      <c r="C8993" s="24" t="s">
        <v>7206</v>
      </c>
      <c r="D8993" s="59">
        <v>1.0</v>
      </c>
      <c r="E8993" s="59">
        <v>1.0</v>
      </c>
      <c r="F8993" s="59">
        <v>1.0</v>
      </c>
      <c r="G8993" s="60">
        <v>1.0</v>
      </c>
      <c r="H8993" s="60">
        <v>1.0</v>
      </c>
      <c r="I8993" s="60">
        <v>0.0</v>
      </c>
      <c r="J8993" s="59">
        <v>1.0</v>
      </c>
      <c r="K8993" s="61">
        <f t="shared" si="1"/>
        <v>1</v>
      </c>
      <c r="L8993" s="62">
        <f t="shared" si="2"/>
        <v>1</v>
      </c>
    </row>
    <row r="8994">
      <c r="A8994" s="58">
        <v>45323.0</v>
      </c>
      <c r="B8994" s="24" t="s">
        <v>3216</v>
      </c>
      <c r="C8994" s="24" t="s">
        <v>7554</v>
      </c>
      <c r="D8994" s="59">
        <v>1.0</v>
      </c>
      <c r="E8994" s="59">
        <v>1.0</v>
      </c>
      <c r="F8994" s="59">
        <v>0.0</v>
      </c>
      <c r="G8994" s="60">
        <v>1.0</v>
      </c>
      <c r="H8994" s="60">
        <v>0.0</v>
      </c>
      <c r="I8994" s="60">
        <v>4.821484</v>
      </c>
      <c r="J8994" s="59">
        <v>2.0</v>
      </c>
      <c r="K8994" s="61">
        <f t="shared" si="1"/>
        <v>0</v>
      </c>
      <c r="L8994" s="62">
        <f t="shared" si="2"/>
        <v>2</v>
      </c>
    </row>
    <row r="8995">
      <c r="A8995" s="58">
        <v>45323.0</v>
      </c>
      <c r="B8995" s="24" t="s">
        <v>6787</v>
      </c>
      <c r="C8995" s="24" t="s">
        <v>6907</v>
      </c>
      <c r="D8995" s="59">
        <v>1.0</v>
      </c>
      <c r="E8995" s="59">
        <v>1.0</v>
      </c>
      <c r="F8995" s="59">
        <v>1.0</v>
      </c>
      <c r="G8995" s="60">
        <v>1.0</v>
      </c>
      <c r="H8995" s="60">
        <v>0.0</v>
      </c>
      <c r="I8995" s="60">
        <v>4.386809</v>
      </c>
      <c r="J8995" s="59">
        <v>2.0</v>
      </c>
      <c r="K8995" s="61">
        <f t="shared" si="1"/>
        <v>1</v>
      </c>
      <c r="L8995" s="62">
        <f t="shared" si="2"/>
        <v>2</v>
      </c>
    </row>
    <row r="8996">
      <c r="A8996" s="58">
        <v>45323.0</v>
      </c>
      <c r="B8996" s="24" t="s">
        <v>6791</v>
      </c>
      <c r="C8996" s="24" t="s">
        <v>6808</v>
      </c>
      <c r="D8996" s="59">
        <v>1.0</v>
      </c>
      <c r="E8996" s="59">
        <v>2.0</v>
      </c>
      <c r="F8996" s="59">
        <v>0.0</v>
      </c>
      <c r="G8996" s="60">
        <v>2.0</v>
      </c>
      <c r="H8996" s="60">
        <v>0.0</v>
      </c>
      <c r="I8996" s="60">
        <v>316.0461135</v>
      </c>
      <c r="J8996" s="59">
        <v>6.0</v>
      </c>
      <c r="K8996" s="61">
        <f t="shared" si="1"/>
        <v>0</v>
      </c>
      <c r="L8996" s="62">
        <f t="shared" si="2"/>
        <v>3</v>
      </c>
    </row>
    <row r="8997">
      <c r="A8997" s="58">
        <v>45323.0</v>
      </c>
      <c r="B8997" s="24" t="s">
        <v>6787</v>
      </c>
      <c r="C8997" s="24" t="s">
        <v>7087</v>
      </c>
      <c r="D8997" s="59">
        <v>1.0</v>
      </c>
      <c r="E8997" s="59">
        <v>1.0</v>
      </c>
      <c r="F8997" s="59">
        <v>1.0</v>
      </c>
      <c r="G8997" s="60">
        <v>1.0</v>
      </c>
      <c r="H8997" s="60">
        <v>0.0</v>
      </c>
      <c r="I8997" s="60">
        <v>3.960771</v>
      </c>
      <c r="J8997" s="59">
        <v>2.0</v>
      </c>
      <c r="K8997" s="61">
        <f t="shared" si="1"/>
        <v>1</v>
      </c>
      <c r="L8997" s="62">
        <f t="shared" si="2"/>
        <v>2</v>
      </c>
    </row>
    <row r="8998">
      <c r="A8998" s="58">
        <v>45323.0</v>
      </c>
      <c r="B8998" s="24" t="s">
        <v>6787</v>
      </c>
      <c r="C8998" s="24" t="s">
        <v>7596</v>
      </c>
      <c r="D8998" s="59">
        <v>1.0</v>
      </c>
      <c r="E8998" s="59">
        <v>1.0</v>
      </c>
      <c r="F8998" s="59">
        <v>1.0</v>
      </c>
      <c r="G8998" s="60">
        <v>1.0</v>
      </c>
      <c r="H8998" s="60">
        <v>0.0</v>
      </c>
      <c r="I8998" s="60">
        <v>72.701772</v>
      </c>
      <c r="J8998" s="59">
        <v>2.0</v>
      </c>
      <c r="K8998" s="61">
        <f t="shared" si="1"/>
        <v>1</v>
      </c>
      <c r="L8998" s="62">
        <f t="shared" si="2"/>
        <v>2</v>
      </c>
    </row>
    <row r="8999">
      <c r="A8999" s="58">
        <v>45323.0</v>
      </c>
      <c r="B8999" s="24" t="s">
        <v>6787</v>
      </c>
      <c r="C8999" s="24" t="s">
        <v>7013</v>
      </c>
      <c r="D8999" s="59">
        <v>1.0</v>
      </c>
      <c r="E8999" s="59">
        <v>1.0</v>
      </c>
      <c r="F8999" s="59">
        <v>1.0</v>
      </c>
      <c r="G8999" s="60">
        <v>1.0</v>
      </c>
      <c r="H8999" s="60">
        <v>0.0</v>
      </c>
      <c r="I8999" s="60">
        <v>89.217969</v>
      </c>
      <c r="J8999" s="59">
        <v>6.0</v>
      </c>
      <c r="K8999" s="61">
        <f t="shared" si="1"/>
        <v>1</v>
      </c>
      <c r="L8999" s="62">
        <f t="shared" si="2"/>
        <v>6</v>
      </c>
    </row>
    <row r="9000">
      <c r="A9000" s="58">
        <v>45323.0</v>
      </c>
      <c r="B9000" s="24" t="s">
        <v>6789</v>
      </c>
      <c r="C9000" s="24" t="s">
        <v>7101</v>
      </c>
      <c r="D9000" s="59">
        <v>1.0</v>
      </c>
      <c r="E9000" s="59">
        <v>1.0</v>
      </c>
      <c r="F9000" s="59">
        <v>0.0</v>
      </c>
      <c r="G9000" s="60">
        <v>1.0</v>
      </c>
      <c r="H9000" s="60">
        <v>0.0</v>
      </c>
      <c r="I9000" s="60">
        <v>5.581945</v>
      </c>
      <c r="J9000" s="59">
        <v>2.0</v>
      </c>
      <c r="K9000" s="61">
        <f t="shared" si="1"/>
        <v>0</v>
      </c>
      <c r="L9000" s="62">
        <f t="shared" si="2"/>
        <v>2</v>
      </c>
    </row>
    <row r="9001">
      <c r="A9001" s="58">
        <v>45323.0</v>
      </c>
      <c r="B9001" s="24" t="s">
        <v>6787</v>
      </c>
      <c r="C9001" s="24" t="s">
        <v>7044</v>
      </c>
      <c r="D9001" s="59">
        <v>1.0</v>
      </c>
      <c r="E9001" s="59">
        <v>1.0</v>
      </c>
      <c r="F9001" s="59">
        <v>1.0</v>
      </c>
      <c r="G9001" s="60">
        <v>1.0</v>
      </c>
      <c r="H9001" s="60">
        <v>0.0</v>
      </c>
      <c r="I9001" s="60">
        <v>15.040645</v>
      </c>
      <c r="J9001" s="59">
        <v>2.0</v>
      </c>
      <c r="K9001" s="61">
        <f t="shared" si="1"/>
        <v>1</v>
      </c>
      <c r="L9001" s="62">
        <f t="shared" si="2"/>
        <v>2</v>
      </c>
    </row>
    <row r="9002">
      <c r="A9002" s="58">
        <v>45323.0</v>
      </c>
      <c r="B9002" s="24" t="s">
        <v>6791</v>
      </c>
      <c r="C9002" s="24" t="s">
        <v>6910</v>
      </c>
      <c r="D9002" s="59">
        <v>1.0</v>
      </c>
      <c r="E9002" s="59">
        <v>3.0</v>
      </c>
      <c r="F9002" s="59">
        <v>0.0</v>
      </c>
      <c r="G9002" s="60">
        <v>3.0</v>
      </c>
      <c r="H9002" s="60">
        <v>0.0</v>
      </c>
      <c r="I9002" s="60">
        <v>4.12278966666666</v>
      </c>
      <c r="J9002" s="59">
        <v>6.0</v>
      </c>
      <c r="K9002" s="61">
        <f t="shared" si="1"/>
        <v>0</v>
      </c>
      <c r="L9002" s="62">
        <f t="shared" si="2"/>
        <v>2</v>
      </c>
    </row>
    <row r="9003">
      <c r="A9003" s="58">
        <v>45323.0</v>
      </c>
      <c r="B9003" s="24" t="s">
        <v>6789</v>
      </c>
      <c r="C9003" s="24" t="s">
        <v>6801</v>
      </c>
      <c r="D9003" s="59">
        <v>1.0</v>
      </c>
      <c r="E9003" s="59">
        <v>1.0</v>
      </c>
      <c r="F9003" s="59">
        <v>1.0</v>
      </c>
      <c r="G9003" s="60">
        <v>1.0</v>
      </c>
      <c r="H9003" s="60">
        <v>0.0</v>
      </c>
      <c r="I9003" s="60">
        <v>53.418204</v>
      </c>
      <c r="J9003" s="59">
        <v>2.0</v>
      </c>
      <c r="K9003" s="61">
        <f t="shared" si="1"/>
        <v>1</v>
      </c>
      <c r="L9003" s="62">
        <f t="shared" si="2"/>
        <v>2</v>
      </c>
    </row>
    <row r="9004">
      <c r="A9004" s="58">
        <v>45323.0</v>
      </c>
      <c r="B9004" s="24" t="s">
        <v>6791</v>
      </c>
      <c r="C9004" s="24" t="s">
        <v>6801</v>
      </c>
      <c r="D9004" s="59">
        <v>1.0</v>
      </c>
      <c r="E9004" s="59">
        <v>3.0</v>
      </c>
      <c r="F9004" s="59">
        <v>0.0</v>
      </c>
      <c r="G9004" s="60">
        <v>3.0</v>
      </c>
      <c r="H9004" s="60">
        <v>0.0</v>
      </c>
      <c r="I9004" s="60">
        <v>67.1011713333333</v>
      </c>
      <c r="J9004" s="59">
        <v>12.0</v>
      </c>
      <c r="K9004" s="61">
        <f t="shared" si="1"/>
        <v>0</v>
      </c>
      <c r="L9004" s="62">
        <f t="shared" si="2"/>
        <v>4</v>
      </c>
    </row>
    <row r="9005">
      <c r="A9005" s="58">
        <v>45323.0</v>
      </c>
      <c r="B9005" s="24" t="s">
        <v>6789</v>
      </c>
      <c r="C9005" s="24" t="s">
        <v>7104</v>
      </c>
      <c r="D9005" s="59">
        <v>1.0</v>
      </c>
      <c r="E9005" s="59">
        <v>1.0</v>
      </c>
      <c r="F9005" s="59">
        <v>0.0</v>
      </c>
      <c r="G9005" s="60">
        <v>1.0</v>
      </c>
      <c r="H9005" s="60">
        <v>0.0</v>
      </c>
      <c r="I9005" s="60">
        <v>304.827104</v>
      </c>
      <c r="J9005" s="59">
        <v>2.0</v>
      </c>
      <c r="K9005" s="61">
        <f t="shared" si="1"/>
        <v>0</v>
      </c>
      <c r="L9005" s="62">
        <f t="shared" si="2"/>
        <v>2</v>
      </c>
    </row>
    <row r="9006">
      <c r="A9006" s="58">
        <v>45323.0</v>
      </c>
      <c r="B9006" s="24" t="s">
        <v>6789</v>
      </c>
      <c r="C9006" s="24" t="s">
        <v>7023</v>
      </c>
      <c r="D9006" s="59">
        <v>1.0</v>
      </c>
      <c r="E9006" s="59">
        <v>15.0</v>
      </c>
      <c r="F9006" s="59">
        <v>0.0</v>
      </c>
      <c r="G9006" s="60">
        <v>15.0</v>
      </c>
      <c r="H9006" s="60">
        <v>0.0</v>
      </c>
      <c r="I9006" s="60">
        <v>123.8353064</v>
      </c>
      <c r="J9006" s="59">
        <v>36.0</v>
      </c>
      <c r="K9006" s="61">
        <f t="shared" si="1"/>
        <v>0</v>
      </c>
      <c r="L9006" s="62">
        <f t="shared" si="2"/>
        <v>2.4</v>
      </c>
    </row>
    <row r="9007">
      <c r="A9007" s="58">
        <v>45323.0</v>
      </c>
      <c r="B9007" s="24" t="s">
        <v>6787</v>
      </c>
      <c r="C9007" s="24" t="s">
        <v>7174</v>
      </c>
      <c r="D9007" s="59">
        <v>1.0</v>
      </c>
      <c r="E9007" s="59">
        <v>1.0</v>
      </c>
      <c r="F9007" s="59">
        <v>1.0</v>
      </c>
      <c r="G9007" s="60">
        <v>1.0</v>
      </c>
      <c r="H9007" s="60">
        <v>0.0</v>
      </c>
      <c r="I9007" s="60">
        <v>4.875799</v>
      </c>
      <c r="J9007" s="59">
        <v>2.0</v>
      </c>
      <c r="K9007" s="61">
        <f t="shared" si="1"/>
        <v>1</v>
      </c>
      <c r="L9007" s="62">
        <f t="shared" si="2"/>
        <v>2</v>
      </c>
    </row>
    <row r="9008">
      <c r="A9008" s="58">
        <v>45323.0</v>
      </c>
      <c r="B9008" s="24" t="s">
        <v>6791</v>
      </c>
      <c r="C9008" s="24" t="s">
        <v>7174</v>
      </c>
      <c r="D9008" s="59">
        <v>1.0</v>
      </c>
      <c r="E9008" s="59">
        <v>2.0</v>
      </c>
      <c r="F9008" s="59">
        <v>0.0</v>
      </c>
      <c r="G9008" s="60">
        <v>2.0</v>
      </c>
      <c r="H9008" s="60">
        <v>0.5</v>
      </c>
      <c r="I9008" s="60">
        <v>95.222739</v>
      </c>
      <c r="J9008" s="59">
        <v>5.0</v>
      </c>
      <c r="K9008" s="61">
        <f t="shared" si="1"/>
        <v>0</v>
      </c>
      <c r="L9008" s="62">
        <f t="shared" si="2"/>
        <v>2.5</v>
      </c>
    </row>
    <row r="9009">
      <c r="A9009" s="58">
        <v>45323.0</v>
      </c>
      <c r="B9009" s="24" t="s">
        <v>3216</v>
      </c>
      <c r="C9009" s="24" t="s">
        <v>7403</v>
      </c>
      <c r="D9009" s="59">
        <v>1.0</v>
      </c>
      <c r="E9009" s="59">
        <v>1.0</v>
      </c>
      <c r="F9009" s="59">
        <v>0.0</v>
      </c>
      <c r="G9009" s="60">
        <v>1.0</v>
      </c>
      <c r="H9009" s="60">
        <v>0.0</v>
      </c>
      <c r="I9009" s="60">
        <v>7.866013</v>
      </c>
      <c r="J9009" s="59">
        <v>2.0</v>
      </c>
      <c r="K9009" s="61">
        <f t="shared" si="1"/>
        <v>0</v>
      </c>
      <c r="L9009" s="62">
        <f t="shared" si="2"/>
        <v>2</v>
      </c>
    </row>
    <row r="9010">
      <c r="A9010" s="58">
        <v>45323.0</v>
      </c>
      <c r="B9010" s="24" t="s">
        <v>6787</v>
      </c>
      <c r="C9010" s="24" t="s">
        <v>7192</v>
      </c>
      <c r="D9010" s="59">
        <v>1.0</v>
      </c>
      <c r="E9010" s="59">
        <v>1.0</v>
      </c>
      <c r="F9010" s="59">
        <v>1.0</v>
      </c>
      <c r="G9010" s="60">
        <v>1.0</v>
      </c>
      <c r="H9010" s="60">
        <v>0.0</v>
      </c>
      <c r="I9010" s="60">
        <v>61.22142</v>
      </c>
      <c r="J9010" s="59">
        <v>10.0</v>
      </c>
      <c r="K9010" s="61">
        <f t="shared" si="1"/>
        <v>1</v>
      </c>
      <c r="L9010" s="62">
        <f t="shared" si="2"/>
        <v>10</v>
      </c>
    </row>
    <row r="9011">
      <c r="A9011" s="58">
        <v>45323.0</v>
      </c>
      <c r="B9011" s="24" t="s">
        <v>155</v>
      </c>
      <c r="C9011" s="24" t="s">
        <v>7027</v>
      </c>
      <c r="D9011" s="59">
        <v>1.0</v>
      </c>
      <c r="E9011" s="59">
        <v>3.0</v>
      </c>
      <c r="F9011" s="59">
        <v>0.0</v>
      </c>
      <c r="G9011" s="60">
        <v>3.0</v>
      </c>
      <c r="H9011" s="60">
        <v>0.0</v>
      </c>
      <c r="I9011" s="60">
        <v>90.0086406666666</v>
      </c>
      <c r="J9011" s="59">
        <v>12.0</v>
      </c>
      <c r="K9011" s="61">
        <f t="shared" si="1"/>
        <v>0</v>
      </c>
      <c r="L9011" s="62">
        <f t="shared" si="2"/>
        <v>4</v>
      </c>
    </row>
    <row r="9012">
      <c r="A9012" s="58">
        <v>45323.0</v>
      </c>
      <c r="B9012" s="24" t="s">
        <v>6794</v>
      </c>
      <c r="C9012" s="24" t="s">
        <v>6921</v>
      </c>
      <c r="D9012" s="59">
        <v>1.0</v>
      </c>
      <c r="E9012" s="59">
        <v>1.0</v>
      </c>
      <c r="F9012" s="59">
        <v>0.0</v>
      </c>
      <c r="G9012" s="60">
        <v>1.0</v>
      </c>
      <c r="H9012" s="60">
        <v>0.0</v>
      </c>
      <c r="I9012" s="60">
        <v>5.512415</v>
      </c>
      <c r="J9012" s="59">
        <v>2.0</v>
      </c>
      <c r="K9012" s="61">
        <f t="shared" si="1"/>
        <v>0</v>
      </c>
      <c r="L9012" s="62">
        <f t="shared" si="2"/>
        <v>2</v>
      </c>
    </row>
    <row r="9013">
      <c r="A9013" s="58">
        <v>45323.0</v>
      </c>
      <c r="B9013" s="24" t="s">
        <v>6794</v>
      </c>
      <c r="C9013" s="24" t="s">
        <v>6922</v>
      </c>
      <c r="D9013" s="59">
        <v>1.0</v>
      </c>
      <c r="E9013" s="59">
        <v>1.0</v>
      </c>
      <c r="F9013" s="59">
        <v>0.0</v>
      </c>
      <c r="G9013" s="60">
        <v>1.0</v>
      </c>
      <c r="H9013" s="60">
        <v>0.0</v>
      </c>
      <c r="I9013" s="60">
        <v>505.821698</v>
      </c>
      <c r="J9013" s="59">
        <v>4.0</v>
      </c>
      <c r="K9013" s="61">
        <f t="shared" si="1"/>
        <v>0</v>
      </c>
      <c r="L9013" s="62">
        <f t="shared" si="2"/>
        <v>4</v>
      </c>
    </row>
    <row r="9014">
      <c r="A9014" s="58">
        <v>45323.0</v>
      </c>
      <c r="B9014" s="24" t="s">
        <v>6791</v>
      </c>
      <c r="C9014" s="24" t="s">
        <v>6922</v>
      </c>
      <c r="D9014" s="59">
        <v>1.0</v>
      </c>
      <c r="E9014" s="59">
        <v>1.0</v>
      </c>
      <c r="F9014" s="59">
        <v>1.0</v>
      </c>
      <c r="G9014" s="60">
        <v>1.0</v>
      </c>
      <c r="H9014" s="60">
        <v>0.0</v>
      </c>
      <c r="I9014" s="60">
        <v>581.997425</v>
      </c>
      <c r="J9014" s="59">
        <v>2.0</v>
      </c>
      <c r="K9014" s="61">
        <f t="shared" si="1"/>
        <v>1</v>
      </c>
      <c r="L9014" s="62">
        <f t="shared" si="2"/>
        <v>2</v>
      </c>
    </row>
    <row r="9015">
      <c r="A9015" s="58">
        <v>45323.0</v>
      </c>
      <c r="B9015" s="24" t="s">
        <v>6787</v>
      </c>
      <c r="C9015" s="24" t="s">
        <v>7047</v>
      </c>
      <c r="D9015" s="59">
        <v>1.0</v>
      </c>
      <c r="E9015" s="59">
        <v>1.0</v>
      </c>
      <c r="F9015" s="59">
        <v>1.0</v>
      </c>
      <c r="G9015" s="60">
        <v>1.0</v>
      </c>
      <c r="H9015" s="60">
        <v>0.0</v>
      </c>
      <c r="I9015" s="60">
        <v>1.126084</v>
      </c>
      <c r="J9015" s="59">
        <v>2.0</v>
      </c>
      <c r="K9015" s="61">
        <f t="shared" si="1"/>
        <v>1</v>
      </c>
      <c r="L9015" s="62">
        <f t="shared" si="2"/>
        <v>2</v>
      </c>
    </row>
    <row r="9016">
      <c r="A9016" s="58">
        <v>45323.0</v>
      </c>
      <c r="B9016" s="24" t="s">
        <v>6789</v>
      </c>
      <c r="C9016" s="24" t="s">
        <v>6810</v>
      </c>
      <c r="D9016" s="59">
        <v>1.0</v>
      </c>
      <c r="E9016" s="59">
        <v>2.0</v>
      </c>
      <c r="F9016" s="59">
        <v>0.0</v>
      </c>
      <c r="G9016" s="60">
        <v>2.0</v>
      </c>
      <c r="H9016" s="60">
        <v>0.0</v>
      </c>
      <c r="I9016" s="60">
        <v>5.020999</v>
      </c>
      <c r="J9016" s="59">
        <v>4.0</v>
      </c>
      <c r="K9016" s="61">
        <f t="shared" si="1"/>
        <v>0</v>
      </c>
      <c r="L9016" s="62">
        <f t="shared" si="2"/>
        <v>2</v>
      </c>
    </row>
    <row r="9017">
      <c r="A9017" s="58">
        <v>45323.0</v>
      </c>
      <c r="B9017" s="24" t="s">
        <v>6790</v>
      </c>
      <c r="C9017" s="24" t="s">
        <v>6810</v>
      </c>
      <c r="D9017" s="59">
        <v>1.0</v>
      </c>
      <c r="E9017" s="59">
        <v>1.0</v>
      </c>
      <c r="F9017" s="59">
        <v>0.0</v>
      </c>
      <c r="G9017" s="60">
        <v>1.0</v>
      </c>
      <c r="H9017" s="60">
        <v>1.0</v>
      </c>
      <c r="I9017" s="60">
        <v>0.0</v>
      </c>
      <c r="J9017" s="59">
        <v>1.0</v>
      </c>
      <c r="K9017" s="61">
        <f t="shared" si="1"/>
        <v>0</v>
      </c>
      <c r="L9017" s="62">
        <f t="shared" si="2"/>
        <v>1</v>
      </c>
    </row>
    <row r="9018">
      <c r="A9018" s="58">
        <v>45323.0</v>
      </c>
      <c r="B9018" s="24" t="s">
        <v>6789</v>
      </c>
      <c r="C9018" s="24" t="s">
        <v>6931</v>
      </c>
      <c r="D9018" s="59">
        <v>1.0</v>
      </c>
      <c r="E9018" s="59">
        <v>1.0</v>
      </c>
      <c r="F9018" s="59">
        <v>1.0</v>
      </c>
      <c r="G9018" s="60">
        <v>1.0</v>
      </c>
      <c r="H9018" s="60">
        <v>0.0</v>
      </c>
      <c r="I9018" s="60">
        <v>226.978791</v>
      </c>
      <c r="J9018" s="59">
        <v>7.0</v>
      </c>
      <c r="K9018" s="61">
        <f t="shared" si="1"/>
        <v>1</v>
      </c>
      <c r="L9018" s="62">
        <f t="shared" si="2"/>
        <v>7</v>
      </c>
    </row>
    <row r="9019">
      <c r="A9019" s="58">
        <v>45323.0</v>
      </c>
      <c r="B9019" s="24" t="s">
        <v>6794</v>
      </c>
      <c r="C9019" s="24" t="s">
        <v>7118</v>
      </c>
      <c r="D9019" s="59">
        <v>1.0</v>
      </c>
      <c r="E9019" s="59">
        <v>1.0</v>
      </c>
      <c r="F9019" s="59">
        <v>0.0</v>
      </c>
      <c r="G9019" s="60">
        <v>1.0</v>
      </c>
      <c r="H9019" s="60">
        <v>0.0</v>
      </c>
      <c r="I9019" s="60">
        <v>1005.981104</v>
      </c>
      <c r="J9019" s="59">
        <v>16.0</v>
      </c>
      <c r="K9019" s="61">
        <f t="shared" si="1"/>
        <v>0</v>
      </c>
      <c r="L9019" s="62">
        <f t="shared" si="2"/>
        <v>16</v>
      </c>
    </row>
    <row r="9020">
      <c r="A9020" s="58">
        <v>45323.0</v>
      </c>
      <c r="B9020" s="24" t="s">
        <v>6794</v>
      </c>
      <c r="C9020" s="24" t="s">
        <v>6802</v>
      </c>
      <c r="D9020" s="59">
        <v>1.0</v>
      </c>
      <c r="E9020" s="59">
        <v>1.0</v>
      </c>
      <c r="F9020" s="59">
        <v>0.0</v>
      </c>
      <c r="G9020" s="60">
        <v>1.0</v>
      </c>
      <c r="H9020" s="60">
        <v>0.0</v>
      </c>
      <c r="I9020" s="60">
        <v>5.570043</v>
      </c>
      <c r="J9020" s="59">
        <v>2.0</v>
      </c>
      <c r="K9020" s="61">
        <f t="shared" si="1"/>
        <v>0</v>
      </c>
      <c r="L9020" s="62">
        <f t="shared" si="2"/>
        <v>2</v>
      </c>
    </row>
    <row r="9021">
      <c r="A9021" s="58">
        <v>45323.0</v>
      </c>
      <c r="B9021" s="24" t="s">
        <v>6791</v>
      </c>
      <c r="C9021" s="24" t="s">
        <v>6802</v>
      </c>
      <c r="D9021" s="59">
        <v>1.0</v>
      </c>
      <c r="E9021" s="59">
        <v>1.0</v>
      </c>
      <c r="F9021" s="59">
        <v>0.0</v>
      </c>
      <c r="G9021" s="60">
        <v>1.0</v>
      </c>
      <c r="H9021" s="60">
        <v>0.0</v>
      </c>
      <c r="I9021" s="60">
        <v>46.049386</v>
      </c>
      <c r="J9021" s="59">
        <v>2.0</v>
      </c>
      <c r="K9021" s="61">
        <f t="shared" si="1"/>
        <v>0</v>
      </c>
      <c r="L9021" s="62">
        <f t="shared" si="2"/>
        <v>2</v>
      </c>
    </row>
    <row r="9022">
      <c r="A9022" s="58">
        <v>45323.0</v>
      </c>
      <c r="B9022" s="24" t="s">
        <v>7100</v>
      </c>
      <c r="C9022" s="24" t="s">
        <v>6802</v>
      </c>
      <c r="D9022" s="59">
        <v>1.0</v>
      </c>
      <c r="E9022" s="59">
        <v>1.0</v>
      </c>
      <c r="F9022" s="59">
        <v>0.0</v>
      </c>
      <c r="G9022" s="60">
        <v>1.0</v>
      </c>
      <c r="H9022" s="60">
        <v>0.0</v>
      </c>
      <c r="I9022" s="60">
        <v>5.651729</v>
      </c>
      <c r="J9022" s="59">
        <v>2.0</v>
      </c>
      <c r="K9022" s="61">
        <f t="shared" si="1"/>
        <v>0</v>
      </c>
      <c r="L9022" s="62">
        <f t="shared" si="2"/>
        <v>2</v>
      </c>
    </row>
    <row r="9023">
      <c r="A9023" s="58">
        <v>45292.0</v>
      </c>
      <c r="B9023" s="24" t="s">
        <v>6789</v>
      </c>
      <c r="C9023" s="24" t="s">
        <v>6788</v>
      </c>
      <c r="D9023" s="59">
        <v>704.0</v>
      </c>
      <c r="E9023" s="59">
        <v>985.0</v>
      </c>
      <c r="F9023" s="59">
        <v>598.0</v>
      </c>
      <c r="G9023" s="60">
        <v>1.39914772727272</v>
      </c>
      <c r="H9023" s="60">
        <v>0.00203045685279187</v>
      </c>
      <c r="I9023" s="60">
        <v>205.982036413198</v>
      </c>
      <c r="J9023" s="59">
        <v>3704.0</v>
      </c>
      <c r="K9023" s="61">
        <f t="shared" si="1"/>
        <v>0.607106599</v>
      </c>
      <c r="L9023" s="62">
        <f t="shared" si="2"/>
        <v>3.760406091</v>
      </c>
    </row>
    <row r="9024">
      <c r="A9024" s="58">
        <v>45292.0</v>
      </c>
      <c r="B9024" s="24" t="s">
        <v>6787</v>
      </c>
      <c r="C9024" s="24" t="s">
        <v>6788</v>
      </c>
      <c r="D9024" s="59">
        <v>392.0</v>
      </c>
      <c r="E9024" s="59">
        <v>541.0</v>
      </c>
      <c r="F9024" s="59">
        <v>358.0</v>
      </c>
      <c r="G9024" s="60">
        <v>1.38010204081632</v>
      </c>
      <c r="H9024" s="60">
        <v>0.0536044362292051</v>
      </c>
      <c r="I9024" s="60">
        <v>140.740486539741</v>
      </c>
      <c r="J9024" s="59">
        <v>1539.0</v>
      </c>
      <c r="K9024" s="61">
        <f t="shared" si="1"/>
        <v>0.6617375231</v>
      </c>
      <c r="L9024" s="62">
        <f t="shared" si="2"/>
        <v>2.844731978</v>
      </c>
    </row>
    <row r="9025">
      <c r="A9025" s="58">
        <v>45292.0</v>
      </c>
      <c r="B9025" s="24" t="s">
        <v>6789</v>
      </c>
      <c r="C9025" s="24" t="s">
        <v>6792</v>
      </c>
      <c r="D9025" s="59">
        <v>152.0</v>
      </c>
      <c r="E9025" s="59">
        <v>173.0</v>
      </c>
      <c r="F9025" s="59">
        <v>0.0</v>
      </c>
      <c r="G9025" s="60">
        <v>1.54464285714285</v>
      </c>
      <c r="H9025" s="60">
        <v>0.976878612716763</v>
      </c>
      <c r="I9025" s="60">
        <v>16.5185059942196</v>
      </c>
      <c r="J9025" s="59">
        <v>0.0</v>
      </c>
      <c r="K9025" s="61">
        <f t="shared" si="1"/>
        <v>0</v>
      </c>
      <c r="L9025" s="62">
        <f t="shared" si="2"/>
        <v>0</v>
      </c>
    </row>
    <row r="9026">
      <c r="A9026" s="58">
        <v>45292.0</v>
      </c>
      <c r="B9026" s="24" t="s">
        <v>6794</v>
      </c>
      <c r="C9026" s="24" t="s">
        <v>6788</v>
      </c>
      <c r="D9026" s="59">
        <v>94.0</v>
      </c>
      <c r="E9026" s="59">
        <v>107.0</v>
      </c>
      <c r="F9026" s="59">
        <v>88.0</v>
      </c>
      <c r="G9026" s="60">
        <v>1.13829787234042</v>
      </c>
      <c r="H9026" s="60">
        <v>0.02803738317757</v>
      </c>
      <c r="I9026" s="60">
        <v>181.865694663551</v>
      </c>
      <c r="J9026" s="59">
        <v>381.0</v>
      </c>
      <c r="K9026" s="61">
        <f t="shared" si="1"/>
        <v>0.8224299065</v>
      </c>
      <c r="L9026" s="62">
        <f t="shared" si="2"/>
        <v>3.560747664</v>
      </c>
    </row>
    <row r="9027">
      <c r="A9027" s="58">
        <v>45292.0</v>
      </c>
      <c r="B9027" s="24" t="s">
        <v>155</v>
      </c>
      <c r="C9027" s="24" t="s">
        <v>6788</v>
      </c>
      <c r="D9027" s="59">
        <v>86.0</v>
      </c>
      <c r="E9027" s="59">
        <v>168.0</v>
      </c>
      <c r="F9027" s="59">
        <v>69.0</v>
      </c>
      <c r="G9027" s="60">
        <v>1.95348837209302</v>
      </c>
      <c r="H9027" s="60">
        <v>0.0</v>
      </c>
      <c r="I9027" s="60">
        <v>78.980970125</v>
      </c>
      <c r="J9027" s="59">
        <v>489.0</v>
      </c>
      <c r="K9027" s="61">
        <f t="shared" si="1"/>
        <v>0.4107142857</v>
      </c>
      <c r="L9027" s="62">
        <f t="shared" si="2"/>
        <v>2.910714286</v>
      </c>
    </row>
    <row r="9028">
      <c r="A9028" s="58">
        <v>45292.0</v>
      </c>
      <c r="B9028" s="24" t="s">
        <v>6789</v>
      </c>
      <c r="C9028" s="24" t="s">
        <v>7068</v>
      </c>
      <c r="D9028" s="59">
        <v>55.0</v>
      </c>
      <c r="E9028" s="59">
        <v>63.0</v>
      </c>
      <c r="F9028" s="59">
        <v>52.0</v>
      </c>
      <c r="G9028" s="60">
        <v>1.14545454545454</v>
      </c>
      <c r="H9028" s="60">
        <v>0.0158730158730158</v>
      </c>
      <c r="I9028" s="60">
        <v>88.1312945079365</v>
      </c>
      <c r="J9028" s="59">
        <v>128.0</v>
      </c>
      <c r="K9028" s="61">
        <f t="shared" si="1"/>
        <v>0.8253968254</v>
      </c>
      <c r="L9028" s="62">
        <f t="shared" si="2"/>
        <v>2.031746032</v>
      </c>
    </row>
    <row r="9029">
      <c r="A9029" s="58">
        <v>45292.0</v>
      </c>
      <c r="B9029" s="24" t="s">
        <v>6791</v>
      </c>
      <c r="C9029" s="24" t="s">
        <v>7530</v>
      </c>
      <c r="D9029" s="59">
        <v>45.0</v>
      </c>
      <c r="E9029" s="59">
        <v>50.0</v>
      </c>
      <c r="F9029" s="59">
        <v>42.0</v>
      </c>
      <c r="G9029" s="60">
        <v>1.11111111111111</v>
      </c>
      <c r="H9029" s="60">
        <v>0.02</v>
      </c>
      <c r="I9029" s="60">
        <v>125.053146279999</v>
      </c>
      <c r="J9029" s="59">
        <v>130.0</v>
      </c>
      <c r="K9029" s="61">
        <f t="shared" si="1"/>
        <v>0.84</v>
      </c>
      <c r="L9029" s="62">
        <f t="shared" si="2"/>
        <v>2.6</v>
      </c>
    </row>
    <row r="9030">
      <c r="A9030" s="58">
        <v>45292.0</v>
      </c>
      <c r="B9030" s="24" t="s">
        <v>6789</v>
      </c>
      <c r="C9030" s="24" t="s">
        <v>6799</v>
      </c>
      <c r="D9030" s="59">
        <v>38.0</v>
      </c>
      <c r="E9030" s="59">
        <v>44.0</v>
      </c>
      <c r="F9030" s="59">
        <v>23.0</v>
      </c>
      <c r="G9030" s="60">
        <v>1.1578947368421</v>
      </c>
      <c r="H9030" s="60">
        <v>0.0454545454545454</v>
      </c>
      <c r="I9030" s="60">
        <v>246.69040440909</v>
      </c>
      <c r="J9030" s="59">
        <v>151.0</v>
      </c>
      <c r="K9030" s="61">
        <f t="shared" si="1"/>
        <v>0.5227272727</v>
      </c>
      <c r="L9030" s="62">
        <f t="shared" si="2"/>
        <v>3.431818182</v>
      </c>
    </row>
    <row r="9031">
      <c r="A9031" s="58">
        <v>45292.0</v>
      </c>
      <c r="B9031" s="24" t="s">
        <v>6789</v>
      </c>
      <c r="C9031" s="24" t="s">
        <v>6804</v>
      </c>
      <c r="D9031" s="59">
        <v>37.0</v>
      </c>
      <c r="E9031" s="59">
        <v>42.0</v>
      </c>
      <c r="F9031" s="59">
        <v>36.0</v>
      </c>
      <c r="G9031" s="60">
        <v>1.13513513513513</v>
      </c>
      <c r="H9031" s="60">
        <v>0.0</v>
      </c>
      <c r="I9031" s="60">
        <v>181.491445333333</v>
      </c>
      <c r="J9031" s="59">
        <v>97.0</v>
      </c>
      <c r="K9031" s="61">
        <f t="shared" si="1"/>
        <v>0.8571428571</v>
      </c>
      <c r="L9031" s="62">
        <f t="shared" si="2"/>
        <v>2.30952381</v>
      </c>
    </row>
    <row r="9032">
      <c r="A9032" s="58">
        <v>45292.0</v>
      </c>
      <c r="B9032" s="24" t="s">
        <v>6789</v>
      </c>
      <c r="C9032" s="24" t="s">
        <v>6803</v>
      </c>
      <c r="D9032" s="59">
        <v>34.0</v>
      </c>
      <c r="E9032" s="59">
        <v>39.0</v>
      </c>
      <c r="F9032" s="59">
        <v>28.0</v>
      </c>
      <c r="G9032" s="60">
        <v>1.14705882352941</v>
      </c>
      <c r="H9032" s="60">
        <v>0.0</v>
      </c>
      <c r="I9032" s="60">
        <v>212.784689564102</v>
      </c>
      <c r="J9032" s="59">
        <v>120.0</v>
      </c>
      <c r="K9032" s="61">
        <f t="shared" si="1"/>
        <v>0.7179487179</v>
      </c>
      <c r="L9032" s="62">
        <f t="shared" si="2"/>
        <v>3.076923077</v>
      </c>
    </row>
    <row r="9033">
      <c r="A9033" s="58">
        <v>45292.0</v>
      </c>
      <c r="B9033" s="24" t="s">
        <v>6787</v>
      </c>
      <c r="C9033" s="24" t="s">
        <v>6792</v>
      </c>
      <c r="D9033" s="59">
        <v>33.0</v>
      </c>
      <c r="E9033" s="59">
        <v>39.0</v>
      </c>
      <c r="F9033" s="59">
        <v>0.0</v>
      </c>
      <c r="G9033" s="60">
        <v>1.44444444444444</v>
      </c>
      <c r="H9033" s="60">
        <v>0.923076923076923</v>
      </c>
      <c r="I9033" s="60">
        <v>37.2624453846153</v>
      </c>
      <c r="J9033" s="59">
        <v>0.0</v>
      </c>
      <c r="K9033" s="61">
        <f t="shared" si="1"/>
        <v>0</v>
      </c>
      <c r="L9033" s="62">
        <f t="shared" si="2"/>
        <v>0</v>
      </c>
    </row>
    <row r="9034">
      <c r="A9034" s="58">
        <v>45292.0</v>
      </c>
      <c r="B9034" s="24" t="s">
        <v>6942</v>
      </c>
      <c r="C9034" s="24" t="s">
        <v>7530</v>
      </c>
      <c r="D9034" s="59">
        <v>25.0</v>
      </c>
      <c r="E9034" s="59">
        <v>25.0</v>
      </c>
      <c r="F9034" s="59">
        <v>25.0</v>
      </c>
      <c r="G9034" s="60">
        <v>1.0</v>
      </c>
      <c r="H9034" s="60">
        <v>0.96</v>
      </c>
      <c r="I9034" s="60">
        <v>0.099673</v>
      </c>
      <c r="J9034" s="59">
        <v>27.0</v>
      </c>
      <c r="K9034" s="61">
        <f t="shared" si="1"/>
        <v>1</v>
      </c>
      <c r="L9034" s="62">
        <f t="shared" si="2"/>
        <v>1.08</v>
      </c>
    </row>
    <row r="9035">
      <c r="A9035" s="58">
        <v>45292.0</v>
      </c>
      <c r="B9035" s="24" t="s">
        <v>6791</v>
      </c>
      <c r="C9035" s="24" t="s">
        <v>7206</v>
      </c>
      <c r="D9035" s="59">
        <v>23.0</v>
      </c>
      <c r="E9035" s="59">
        <v>25.0</v>
      </c>
      <c r="F9035" s="59">
        <v>22.0</v>
      </c>
      <c r="G9035" s="60">
        <v>1.08695652173913</v>
      </c>
      <c r="H9035" s="60">
        <v>0.04</v>
      </c>
      <c r="I9035" s="60">
        <v>221.35620112</v>
      </c>
      <c r="J9035" s="59">
        <v>106.0</v>
      </c>
      <c r="K9035" s="61">
        <f t="shared" si="1"/>
        <v>0.88</v>
      </c>
      <c r="L9035" s="62">
        <f t="shared" si="2"/>
        <v>4.24</v>
      </c>
    </row>
    <row r="9036">
      <c r="A9036" s="58">
        <v>45292.0</v>
      </c>
      <c r="B9036" s="24" t="s">
        <v>6789</v>
      </c>
      <c r="C9036" s="24" t="s">
        <v>6815</v>
      </c>
      <c r="D9036" s="59">
        <v>23.0</v>
      </c>
      <c r="E9036" s="59">
        <v>23.0</v>
      </c>
      <c r="F9036" s="59">
        <v>23.0</v>
      </c>
      <c r="G9036" s="60">
        <v>1.0</v>
      </c>
      <c r="H9036" s="60">
        <v>0.0434782608695652</v>
      </c>
      <c r="I9036" s="60">
        <v>112.110221130434</v>
      </c>
      <c r="J9036" s="59">
        <v>58.0</v>
      </c>
      <c r="K9036" s="61">
        <f t="shared" si="1"/>
        <v>1</v>
      </c>
      <c r="L9036" s="62">
        <f t="shared" si="2"/>
        <v>2.52173913</v>
      </c>
    </row>
    <row r="9037">
      <c r="A9037" s="58">
        <v>45292.0</v>
      </c>
      <c r="B9037" s="24" t="s">
        <v>6791</v>
      </c>
      <c r="C9037" s="24" t="s">
        <v>7207</v>
      </c>
      <c r="D9037" s="59">
        <v>21.0</v>
      </c>
      <c r="E9037" s="59">
        <v>22.0</v>
      </c>
      <c r="F9037" s="59">
        <v>19.0</v>
      </c>
      <c r="G9037" s="60">
        <v>1.04761904761904</v>
      </c>
      <c r="H9037" s="60">
        <v>0.0</v>
      </c>
      <c r="I9037" s="60">
        <v>90.7494870454545</v>
      </c>
      <c r="J9037" s="59">
        <v>58.0</v>
      </c>
      <c r="K9037" s="61">
        <f t="shared" si="1"/>
        <v>0.8636363636</v>
      </c>
      <c r="L9037" s="62">
        <f t="shared" si="2"/>
        <v>2.636363636</v>
      </c>
    </row>
    <row r="9038">
      <c r="A9038" s="58">
        <v>45292.0</v>
      </c>
      <c r="B9038" s="24" t="s">
        <v>6789</v>
      </c>
      <c r="C9038" s="24" t="s">
        <v>6997</v>
      </c>
      <c r="D9038" s="59">
        <v>20.0</v>
      </c>
      <c r="E9038" s="59">
        <v>24.0</v>
      </c>
      <c r="F9038" s="59">
        <v>15.0</v>
      </c>
      <c r="G9038" s="60">
        <v>1.2</v>
      </c>
      <c r="H9038" s="60">
        <v>0.0416666666666666</v>
      </c>
      <c r="I9038" s="60">
        <v>33.9141129999999</v>
      </c>
      <c r="J9038" s="59">
        <v>65.0</v>
      </c>
      <c r="K9038" s="61">
        <f t="shared" si="1"/>
        <v>0.625</v>
      </c>
      <c r="L9038" s="62">
        <f t="shared" si="2"/>
        <v>2.708333333</v>
      </c>
    </row>
    <row r="9039">
      <c r="A9039" s="58">
        <v>45292.0</v>
      </c>
      <c r="B9039" s="24" t="s">
        <v>6790</v>
      </c>
      <c r="C9039" s="24" t="s">
        <v>6788</v>
      </c>
      <c r="D9039" s="59">
        <v>19.0</v>
      </c>
      <c r="E9039" s="59">
        <v>20.0</v>
      </c>
      <c r="F9039" s="59">
        <v>14.0</v>
      </c>
      <c r="G9039" s="60">
        <v>1.05263157894736</v>
      </c>
      <c r="H9039" s="60">
        <v>0.2</v>
      </c>
      <c r="I9039" s="60">
        <v>125.644996699999</v>
      </c>
      <c r="J9039" s="59">
        <v>53.0</v>
      </c>
      <c r="K9039" s="61">
        <f t="shared" si="1"/>
        <v>0.7</v>
      </c>
      <c r="L9039" s="62">
        <f t="shared" si="2"/>
        <v>2.65</v>
      </c>
    </row>
    <row r="9040">
      <c r="A9040" s="58">
        <v>45292.0</v>
      </c>
      <c r="B9040" s="24" t="s">
        <v>6789</v>
      </c>
      <c r="C9040" s="24" t="s">
        <v>6808</v>
      </c>
      <c r="D9040" s="59">
        <v>18.0</v>
      </c>
      <c r="E9040" s="59">
        <v>23.0</v>
      </c>
      <c r="F9040" s="59">
        <v>10.0</v>
      </c>
      <c r="G9040" s="60">
        <v>1.27777777777777</v>
      </c>
      <c r="H9040" s="60">
        <v>0.0</v>
      </c>
      <c r="I9040" s="60">
        <v>140.800699913043</v>
      </c>
      <c r="J9040" s="59">
        <v>68.0</v>
      </c>
      <c r="K9040" s="61">
        <f t="shared" si="1"/>
        <v>0.4347826087</v>
      </c>
      <c r="L9040" s="62">
        <f t="shared" si="2"/>
        <v>2.956521739</v>
      </c>
    </row>
    <row r="9041">
      <c r="A9041" s="58">
        <v>45292.0</v>
      </c>
      <c r="B9041" s="24" t="s">
        <v>6789</v>
      </c>
      <c r="C9041" s="24" t="s">
        <v>6835</v>
      </c>
      <c r="D9041" s="59">
        <v>15.0</v>
      </c>
      <c r="E9041" s="59">
        <v>19.0</v>
      </c>
      <c r="F9041" s="59">
        <v>15.0</v>
      </c>
      <c r="G9041" s="60">
        <v>1.26666666666666</v>
      </c>
      <c r="H9041" s="60">
        <v>0.0</v>
      </c>
      <c r="I9041" s="60">
        <v>173.755323842105</v>
      </c>
      <c r="J9041" s="59">
        <v>41.0</v>
      </c>
      <c r="K9041" s="61">
        <f t="shared" si="1"/>
        <v>0.7894736842</v>
      </c>
      <c r="L9041" s="62">
        <f t="shared" si="2"/>
        <v>2.157894737</v>
      </c>
    </row>
    <row r="9042">
      <c r="A9042" s="58">
        <v>45292.0</v>
      </c>
      <c r="B9042" s="24" t="s">
        <v>6787</v>
      </c>
      <c r="C9042" s="24" t="s">
        <v>6815</v>
      </c>
      <c r="D9042" s="59">
        <v>15.0</v>
      </c>
      <c r="E9042" s="59">
        <v>15.0</v>
      </c>
      <c r="F9042" s="59">
        <v>15.0</v>
      </c>
      <c r="G9042" s="60">
        <v>1.0</v>
      </c>
      <c r="H9042" s="60">
        <v>0.133333333333333</v>
      </c>
      <c r="I9042" s="60">
        <v>63.5189114666666</v>
      </c>
      <c r="J9042" s="59">
        <v>28.0</v>
      </c>
      <c r="K9042" s="61">
        <f t="shared" si="1"/>
        <v>1</v>
      </c>
      <c r="L9042" s="62">
        <f t="shared" si="2"/>
        <v>1.866666667</v>
      </c>
    </row>
    <row r="9043">
      <c r="A9043" s="58">
        <v>45292.0</v>
      </c>
      <c r="B9043" s="24" t="s">
        <v>6787</v>
      </c>
      <c r="C9043" s="24" t="s">
        <v>6810</v>
      </c>
      <c r="D9043" s="59">
        <v>14.0</v>
      </c>
      <c r="E9043" s="59">
        <v>14.0</v>
      </c>
      <c r="F9043" s="59">
        <v>13.0</v>
      </c>
      <c r="G9043" s="60">
        <v>1.0</v>
      </c>
      <c r="H9043" s="60">
        <v>0.214285714285714</v>
      </c>
      <c r="I9043" s="60">
        <v>149.248785714285</v>
      </c>
      <c r="J9043" s="59">
        <v>40.0</v>
      </c>
      <c r="K9043" s="61">
        <f t="shared" si="1"/>
        <v>0.9285714286</v>
      </c>
      <c r="L9043" s="62">
        <f t="shared" si="2"/>
        <v>2.857142857</v>
      </c>
    </row>
    <row r="9044">
      <c r="A9044" s="58">
        <v>45292.0</v>
      </c>
      <c r="B9044" s="24" t="s">
        <v>6789</v>
      </c>
      <c r="C9044" s="24" t="s">
        <v>6802</v>
      </c>
      <c r="D9044" s="59">
        <v>14.0</v>
      </c>
      <c r="E9044" s="59">
        <v>17.0</v>
      </c>
      <c r="F9044" s="59">
        <v>1.0</v>
      </c>
      <c r="G9044" s="60">
        <v>1.21428571428571</v>
      </c>
      <c r="H9044" s="60">
        <v>0.0</v>
      </c>
      <c r="I9044" s="60">
        <v>243.057411470588</v>
      </c>
      <c r="J9044" s="59">
        <v>90.0</v>
      </c>
      <c r="K9044" s="61">
        <f t="shared" si="1"/>
        <v>0.05882352941</v>
      </c>
      <c r="L9044" s="62">
        <f t="shared" si="2"/>
        <v>5.294117647</v>
      </c>
    </row>
    <row r="9045">
      <c r="A9045" s="58">
        <v>45292.0</v>
      </c>
      <c r="B9045" s="24" t="s">
        <v>6791</v>
      </c>
      <c r="C9045" s="24" t="s">
        <v>6792</v>
      </c>
      <c r="D9045" s="59">
        <v>13.0</v>
      </c>
      <c r="E9045" s="59">
        <v>15.0</v>
      </c>
      <c r="F9045" s="59">
        <v>0.0</v>
      </c>
      <c r="G9045" s="60">
        <v>1.875</v>
      </c>
      <c r="H9045" s="60">
        <v>0.933333333333333</v>
      </c>
      <c r="I9045" s="60">
        <v>0.775061733333333</v>
      </c>
      <c r="J9045" s="59">
        <v>0.0</v>
      </c>
      <c r="K9045" s="61">
        <f t="shared" si="1"/>
        <v>0</v>
      </c>
      <c r="L9045" s="62">
        <f t="shared" si="2"/>
        <v>0</v>
      </c>
    </row>
    <row r="9046">
      <c r="A9046" s="58">
        <v>45292.0</v>
      </c>
      <c r="B9046" s="24" t="s">
        <v>7100</v>
      </c>
      <c r="C9046" s="24" t="s">
        <v>6788</v>
      </c>
      <c r="D9046" s="59">
        <v>12.0</v>
      </c>
      <c r="E9046" s="59">
        <v>20.0</v>
      </c>
      <c r="F9046" s="59">
        <v>10.0</v>
      </c>
      <c r="G9046" s="60">
        <v>1.66666666666666</v>
      </c>
      <c r="H9046" s="60">
        <v>0.0</v>
      </c>
      <c r="I9046" s="60">
        <v>313.32765845</v>
      </c>
      <c r="J9046" s="59">
        <v>75.0</v>
      </c>
      <c r="K9046" s="61">
        <f t="shared" si="1"/>
        <v>0.5</v>
      </c>
      <c r="L9046" s="62">
        <f t="shared" si="2"/>
        <v>3.75</v>
      </c>
    </row>
    <row r="9047">
      <c r="A9047" s="58">
        <v>45292.0</v>
      </c>
      <c r="B9047" s="24" t="s">
        <v>6789</v>
      </c>
      <c r="C9047" s="24" t="s">
        <v>6990</v>
      </c>
      <c r="D9047" s="59">
        <v>12.0</v>
      </c>
      <c r="E9047" s="59">
        <v>12.0</v>
      </c>
      <c r="F9047" s="59">
        <v>12.0</v>
      </c>
      <c r="G9047" s="60">
        <v>1.0</v>
      </c>
      <c r="H9047" s="60">
        <v>0.0</v>
      </c>
      <c r="I9047" s="60">
        <v>167.313206</v>
      </c>
      <c r="J9047" s="59">
        <v>24.0</v>
      </c>
      <c r="K9047" s="61">
        <f t="shared" si="1"/>
        <v>1</v>
      </c>
      <c r="L9047" s="62">
        <f t="shared" si="2"/>
        <v>2</v>
      </c>
    </row>
    <row r="9048">
      <c r="A9048" s="58">
        <v>45292.0</v>
      </c>
      <c r="B9048" s="24" t="s">
        <v>6787</v>
      </c>
      <c r="C9048" s="24" t="s">
        <v>7068</v>
      </c>
      <c r="D9048" s="59">
        <v>12.0</v>
      </c>
      <c r="E9048" s="59">
        <v>12.0</v>
      </c>
      <c r="F9048" s="59">
        <v>11.0</v>
      </c>
      <c r="G9048" s="60">
        <v>1.0</v>
      </c>
      <c r="H9048" s="60">
        <v>0.583333333333333</v>
      </c>
      <c r="I9048" s="60">
        <v>15.0843053333333</v>
      </c>
      <c r="J9048" s="59">
        <v>19.0</v>
      </c>
      <c r="K9048" s="61">
        <f t="shared" si="1"/>
        <v>0.9166666667</v>
      </c>
      <c r="L9048" s="62">
        <f t="shared" si="2"/>
        <v>1.583333333</v>
      </c>
    </row>
    <row r="9049">
      <c r="A9049" s="58">
        <v>45292.0</v>
      </c>
      <c r="B9049" s="24" t="s">
        <v>6787</v>
      </c>
      <c r="C9049" s="24" t="s">
        <v>6804</v>
      </c>
      <c r="D9049" s="59">
        <v>11.0</v>
      </c>
      <c r="E9049" s="59">
        <v>11.0</v>
      </c>
      <c r="F9049" s="59">
        <v>11.0</v>
      </c>
      <c r="G9049" s="60">
        <v>1.0</v>
      </c>
      <c r="H9049" s="60">
        <v>0.545454545454545</v>
      </c>
      <c r="I9049" s="60">
        <v>82.1678115454545</v>
      </c>
      <c r="J9049" s="59">
        <v>30.0</v>
      </c>
      <c r="K9049" s="61">
        <f t="shared" si="1"/>
        <v>1</v>
      </c>
      <c r="L9049" s="62">
        <f t="shared" si="2"/>
        <v>2.727272727</v>
      </c>
    </row>
    <row r="9050">
      <c r="A9050" s="58">
        <v>45292.0</v>
      </c>
      <c r="B9050" s="24" t="s">
        <v>6789</v>
      </c>
      <c r="C9050" s="24" t="s">
        <v>6829</v>
      </c>
      <c r="D9050" s="59">
        <v>11.0</v>
      </c>
      <c r="E9050" s="59">
        <v>14.0</v>
      </c>
      <c r="F9050" s="59">
        <v>11.0</v>
      </c>
      <c r="G9050" s="60">
        <v>1.27272727272727</v>
      </c>
      <c r="H9050" s="60">
        <v>0.0</v>
      </c>
      <c r="I9050" s="60">
        <v>171.105859071428</v>
      </c>
      <c r="J9050" s="59">
        <v>28.0</v>
      </c>
      <c r="K9050" s="61">
        <f t="shared" si="1"/>
        <v>0.7857142857</v>
      </c>
      <c r="L9050" s="62">
        <f t="shared" si="2"/>
        <v>2</v>
      </c>
    </row>
    <row r="9051">
      <c r="A9051" s="58">
        <v>45292.0</v>
      </c>
      <c r="B9051" s="24" t="s">
        <v>6789</v>
      </c>
      <c r="C9051" s="24" t="s">
        <v>6819</v>
      </c>
      <c r="D9051" s="59">
        <v>11.0</v>
      </c>
      <c r="E9051" s="59">
        <v>13.0</v>
      </c>
      <c r="F9051" s="59">
        <v>9.0</v>
      </c>
      <c r="G9051" s="60">
        <v>1.18181818181818</v>
      </c>
      <c r="H9051" s="60">
        <v>0.0</v>
      </c>
      <c r="I9051" s="60">
        <v>269.702855846153</v>
      </c>
      <c r="J9051" s="59">
        <v>36.0</v>
      </c>
      <c r="K9051" s="61">
        <f t="shared" si="1"/>
        <v>0.6923076923</v>
      </c>
      <c r="L9051" s="62">
        <f t="shared" si="2"/>
        <v>2.769230769</v>
      </c>
    </row>
    <row r="9052">
      <c r="A9052" s="58">
        <v>45292.0</v>
      </c>
      <c r="B9052" s="24" t="s">
        <v>6787</v>
      </c>
      <c r="C9052" s="24" t="s">
        <v>6802</v>
      </c>
      <c r="D9052" s="59">
        <v>11.0</v>
      </c>
      <c r="E9052" s="59">
        <v>13.0</v>
      </c>
      <c r="F9052" s="59">
        <v>9.0</v>
      </c>
      <c r="G9052" s="60">
        <v>1.18181818181818</v>
      </c>
      <c r="H9052" s="60">
        <v>0.23076923076923</v>
      </c>
      <c r="I9052" s="60">
        <v>492.330104384615</v>
      </c>
      <c r="J9052" s="59">
        <v>53.0</v>
      </c>
      <c r="K9052" s="61">
        <f t="shared" si="1"/>
        <v>0.6923076923</v>
      </c>
      <c r="L9052" s="62">
        <f t="shared" si="2"/>
        <v>4.076923077</v>
      </c>
    </row>
    <row r="9053">
      <c r="A9053" s="58">
        <v>45292.0</v>
      </c>
      <c r="B9053" s="24" t="s">
        <v>6791</v>
      </c>
      <c r="C9053" s="24" t="s">
        <v>6788</v>
      </c>
      <c r="D9053" s="59">
        <v>10.0</v>
      </c>
      <c r="E9053" s="59">
        <v>14.0</v>
      </c>
      <c r="F9053" s="59">
        <v>0.0</v>
      </c>
      <c r="G9053" s="60">
        <v>1.4</v>
      </c>
      <c r="H9053" s="60">
        <v>0.0</v>
      </c>
      <c r="I9053" s="60">
        <v>373.980638285714</v>
      </c>
      <c r="J9053" s="59">
        <v>79.0</v>
      </c>
      <c r="K9053" s="61">
        <f t="shared" si="1"/>
        <v>0</v>
      </c>
      <c r="L9053" s="62">
        <f t="shared" si="2"/>
        <v>5.642857143</v>
      </c>
    </row>
    <row r="9054">
      <c r="A9054" s="58">
        <v>45292.0</v>
      </c>
      <c r="B9054" s="24" t="s">
        <v>6791</v>
      </c>
      <c r="C9054" s="24" t="s">
        <v>7261</v>
      </c>
      <c r="D9054" s="59">
        <v>10.0</v>
      </c>
      <c r="E9054" s="59">
        <v>10.0</v>
      </c>
      <c r="F9054" s="59">
        <v>10.0</v>
      </c>
      <c r="G9054" s="60">
        <v>1.0</v>
      </c>
      <c r="H9054" s="60">
        <v>0.0</v>
      </c>
      <c r="I9054" s="60">
        <v>105.3565316</v>
      </c>
      <c r="J9054" s="59">
        <v>26.0</v>
      </c>
      <c r="K9054" s="61">
        <f t="shared" si="1"/>
        <v>1</v>
      </c>
      <c r="L9054" s="62">
        <f t="shared" si="2"/>
        <v>2.6</v>
      </c>
    </row>
    <row r="9055">
      <c r="A9055" s="58">
        <v>45292.0</v>
      </c>
      <c r="B9055" s="24" t="s">
        <v>6787</v>
      </c>
      <c r="C9055" s="24" t="s">
        <v>6800</v>
      </c>
      <c r="D9055" s="59">
        <v>10.0</v>
      </c>
      <c r="E9055" s="59">
        <v>10.0</v>
      </c>
      <c r="F9055" s="59">
        <v>9.0</v>
      </c>
      <c r="G9055" s="60">
        <v>1.0</v>
      </c>
      <c r="H9055" s="60">
        <v>0.5</v>
      </c>
      <c r="I9055" s="60">
        <v>6.3394785</v>
      </c>
      <c r="J9055" s="59">
        <v>23.0</v>
      </c>
      <c r="K9055" s="61">
        <f t="shared" si="1"/>
        <v>0.9</v>
      </c>
      <c r="L9055" s="62">
        <f t="shared" si="2"/>
        <v>2.3</v>
      </c>
    </row>
    <row r="9056">
      <c r="A9056" s="58">
        <v>45292.0</v>
      </c>
      <c r="B9056" s="24" t="s">
        <v>6789</v>
      </c>
      <c r="C9056" s="24" t="s">
        <v>7102</v>
      </c>
      <c r="D9056" s="59">
        <v>10.0</v>
      </c>
      <c r="E9056" s="59">
        <v>13.0</v>
      </c>
      <c r="F9056" s="59">
        <v>5.0</v>
      </c>
      <c r="G9056" s="60">
        <v>1.3</v>
      </c>
      <c r="H9056" s="60">
        <v>0.0</v>
      </c>
      <c r="I9056" s="60">
        <v>222.223325692307</v>
      </c>
      <c r="J9056" s="59">
        <v>41.0</v>
      </c>
      <c r="K9056" s="61">
        <f t="shared" si="1"/>
        <v>0.3846153846</v>
      </c>
      <c r="L9056" s="62">
        <f t="shared" si="2"/>
        <v>3.153846154</v>
      </c>
    </row>
    <row r="9057">
      <c r="A9057" s="58">
        <v>45292.0</v>
      </c>
      <c r="B9057" s="24" t="s">
        <v>6787</v>
      </c>
      <c r="C9057" s="24" t="s">
        <v>7174</v>
      </c>
      <c r="D9057" s="59">
        <v>10.0</v>
      </c>
      <c r="E9057" s="59">
        <v>11.0</v>
      </c>
      <c r="F9057" s="59">
        <v>6.0</v>
      </c>
      <c r="G9057" s="60">
        <v>1.1</v>
      </c>
      <c r="H9057" s="60">
        <v>0.454545454545454</v>
      </c>
      <c r="I9057" s="60">
        <v>319.499510272727</v>
      </c>
      <c r="J9057" s="59">
        <v>57.0</v>
      </c>
      <c r="K9057" s="61">
        <f t="shared" si="1"/>
        <v>0.5454545455</v>
      </c>
      <c r="L9057" s="62">
        <f t="shared" si="2"/>
        <v>5.181818182</v>
      </c>
    </row>
    <row r="9058">
      <c r="A9058" s="58">
        <v>45292.0</v>
      </c>
      <c r="B9058" s="24" t="s">
        <v>6794</v>
      </c>
      <c r="C9058" s="24" t="s">
        <v>6792</v>
      </c>
      <c r="D9058" s="59">
        <v>9.0</v>
      </c>
      <c r="E9058" s="59">
        <v>9.0</v>
      </c>
      <c r="F9058" s="59">
        <v>0.0</v>
      </c>
      <c r="G9058" s="60">
        <v>1.5</v>
      </c>
      <c r="H9058" s="60">
        <v>0.888888888888888</v>
      </c>
      <c r="I9058" s="60">
        <v>2.548904</v>
      </c>
      <c r="J9058" s="59">
        <v>0.0</v>
      </c>
      <c r="K9058" s="61">
        <f t="shared" si="1"/>
        <v>0</v>
      </c>
      <c r="L9058" s="62">
        <f t="shared" si="2"/>
        <v>0</v>
      </c>
    </row>
    <row r="9059">
      <c r="A9059" s="58">
        <v>45292.0</v>
      </c>
      <c r="B9059" s="24" t="s">
        <v>6787</v>
      </c>
      <c r="C9059" s="24" t="s">
        <v>6817</v>
      </c>
      <c r="D9059" s="59">
        <v>9.0</v>
      </c>
      <c r="E9059" s="59">
        <v>9.0</v>
      </c>
      <c r="F9059" s="59">
        <v>9.0</v>
      </c>
      <c r="G9059" s="60">
        <v>1.0</v>
      </c>
      <c r="H9059" s="60">
        <v>0.666666666666666</v>
      </c>
      <c r="I9059" s="60">
        <v>2.44403777777777</v>
      </c>
      <c r="J9059" s="59">
        <v>18.0</v>
      </c>
      <c r="K9059" s="61">
        <f t="shared" si="1"/>
        <v>1</v>
      </c>
      <c r="L9059" s="62">
        <f t="shared" si="2"/>
        <v>2</v>
      </c>
    </row>
    <row r="9060">
      <c r="A9060" s="58">
        <v>45292.0</v>
      </c>
      <c r="B9060" s="24" t="s">
        <v>6791</v>
      </c>
      <c r="C9060" s="24" t="s">
        <v>7554</v>
      </c>
      <c r="D9060" s="59">
        <v>9.0</v>
      </c>
      <c r="E9060" s="59">
        <v>12.0</v>
      </c>
      <c r="F9060" s="59">
        <v>6.0</v>
      </c>
      <c r="G9060" s="60">
        <v>1.33333333333333</v>
      </c>
      <c r="H9060" s="60">
        <v>0.0</v>
      </c>
      <c r="I9060" s="60">
        <v>329.041840416666</v>
      </c>
      <c r="J9060" s="59">
        <v>41.0</v>
      </c>
      <c r="K9060" s="61">
        <f t="shared" si="1"/>
        <v>0.5</v>
      </c>
      <c r="L9060" s="62">
        <f t="shared" si="2"/>
        <v>3.416666667</v>
      </c>
    </row>
    <row r="9061">
      <c r="A9061" s="58">
        <v>45292.0</v>
      </c>
      <c r="B9061" s="24" t="s">
        <v>6789</v>
      </c>
      <c r="C9061" s="24" t="s">
        <v>6861</v>
      </c>
      <c r="D9061" s="59">
        <v>8.0</v>
      </c>
      <c r="E9061" s="59">
        <v>8.0</v>
      </c>
      <c r="F9061" s="59">
        <v>8.0</v>
      </c>
      <c r="G9061" s="60">
        <v>1.0</v>
      </c>
      <c r="H9061" s="60">
        <v>0.0</v>
      </c>
      <c r="I9061" s="60">
        <v>262.141591125</v>
      </c>
      <c r="J9061" s="59">
        <v>37.0</v>
      </c>
      <c r="K9061" s="61">
        <f t="shared" si="1"/>
        <v>1</v>
      </c>
      <c r="L9061" s="62">
        <f t="shared" si="2"/>
        <v>4.625</v>
      </c>
    </row>
    <row r="9062">
      <c r="A9062" s="58">
        <v>45292.0</v>
      </c>
      <c r="B9062" s="24" t="s">
        <v>6787</v>
      </c>
      <c r="C9062" s="24" t="s">
        <v>6799</v>
      </c>
      <c r="D9062" s="59">
        <v>8.0</v>
      </c>
      <c r="E9062" s="59">
        <v>8.0</v>
      </c>
      <c r="F9062" s="59">
        <v>6.0</v>
      </c>
      <c r="G9062" s="60">
        <v>1.0</v>
      </c>
      <c r="H9062" s="60">
        <v>0.75</v>
      </c>
      <c r="I9062" s="60">
        <v>69.435315375</v>
      </c>
      <c r="J9062" s="59">
        <v>26.0</v>
      </c>
      <c r="K9062" s="61">
        <f t="shared" si="1"/>
        <v>0.75</v>
      </c>
      <c r="L9062" s="62">
        <f t="shared" si="2"/>
        <v>3.25</v>
      </c>
    </row>
    <row r="9063">
      <c r="A9063" s="58">
        <v>45292.0</v>
      </c>
      <c r="B9063" s="24" t="s">
        <v>155</v>
      </c>
      <c r="C9063" s="24" t="s">
        <v>6799</v>
      </c>
      <c r="D9063" s="59">
        <v>8.0</v>
      </c>
      <c r="E9063" s="59">
        <v>8.0</v>
      </c>
      <c r="F9063" s="59">
        <v>8.0</v>
      </c>
      <c r="G9063" s="60">
        <v>1.0</v>
      </c>
      <c r="H9063" s="60">
        <v>0.0</v>
      </c>
      <c r="I9063" s="60">
        <v>29.93666075</v>
      </c>
      <c r="J9063" s="59">
        <v>24.0</v>
      </c>
      <c r="K9063" s="61">
        <f t="shared" si="1"/>
        <v>1</v>
      </c>
      <c r="L9063" s="62">
        <f t="shared" si="2"/>
        <v>3</v>
      </c>
    </row>
    <row r="9064">
      <c r="A9064" s="58">
        <v>45292.0</v>
      </c>
      <c r="B9064" s="24" t="s">
        <v>6787</v>
      </c>
      <c r="C9064" s="24" t="s">
        <v>7578</v>
      </c>
      <c r="D9064" s="59">
        <v>8.0</v>
      </c>
      <c r="E9064" s="59">
        <v>8.0</v>
      </c>
      <c r="F9064" s="59">
        <v>8.0</v>
      </c>
      <c r="G9064" s="60">
        <v>1.0</v>
      </c>
      <c r="H9064" s="60">
        <v>0.125</v>
      </c>
      <c r="I9064" s="60">
        <v>23.0258712499999</v>
      </c>
      <c r="J9064" s="59">
        <v>16.0</v>
      </c>
      <c r="K9064" s="61">
        <f t="shared" si="1"/>
        <v>1</v>
      </c>
      <c r="L9064" s="62">
        <f t="shared" si="2"/>
        <v>2</v>
      </c>
    </row>
    <row r="9065">
      <c r="A9065" s="58">
        <v>45292.0</v>
      </c>
      <c r="B9065" s="24" t="s">
        <v>6789</v>
      </c>
      <c r="C9065" s="24" t="s">
        <v>7180</v>
      </c>
      <c r="D9065" s="59">
        <v>8.0</v>
      </c>
      <c r="E9065" s="59">
        <v>12.0</v>
      </c>
      <c r="F9065" s="59">
        <v>8.0</v>
      </c>
      <c r="G9065" s="60">
        <v>1.5</v>
      </c>
      <c r="H9065" s="60">
        <v>0.0833333333333333</v>
      </c>
      <c r="I9065" s="60">
        <v>287.818229</v>
      </c>
      <c r="J9065" s="59">
        <v>44.0</v>
      </c>
      <c r="K9065" s="61">
        <f t="shared" si="1"/>
        <v>0.6666666667</v>
      </c>
      <c r="L9065" s="62">
        <f t="shared" si="2"/>
        <v>3.666666667</v>
      </c>
    </row>
    <row r="9066">
      <c r="A9066" s="58">
        <v>45292.0</v>
      </c>
      <c r="B9066" s="24" t="s">
        <v>6787</v>
      </c>
      <c r="C9066" s="24" t="s">
        <v>6990</v>
      </c>
      <c r="D9066" s="59">
        <v>7.0</v>
      </c>
      <c r="E9066" s="59">
        <v>7.0</v>
      </c>
      <c r="F9066" s="59">
        <v>7.0</v>
      </c>
      <c r="G9066" s="60">
        <v>1.0</v>
      </c>
      <c r="H9066" s="60">
        <v>1.0</v>
      </c>
      <c r="I9066" s="60">
        <v>0.0</v>
      </c>
      <c r="J9066" s="59">
        <v>7.0</v>
      </c>
      <c r="K9066" s="61">
        <f t="shared" si="1"/>
        <v>1</v>
      </c>
      <c r="L9066" s="62">
        <f t="shared" si="2"/>
        <v>1</v>
      </c>
    </row>
    <row r="9067">
      <c r="A9067" s="58">
        <v>45292.0</v>
      </c>
      <c r="B9067" s="24" t="s">
        <v>6789</v>
      </c>
      <c r="C9067" s="24" t="s">
        <v>6892</v>
      </c>
      <c r="D9067" s="59">
        <v>7.0</v>
      </c>
      <c r="E9067" s="59">
        <v>7.0</v>
      </c>
      <c r="F9067" s="59">
        <v>4.0</v>
      </c>
      <c r="G9067" s="60">
        <v>1.0</v>
      </c>
      <c r="H9067" s="60">
        <v>0.0</v>
      </c>
      <c r="I9067" s="60">
        <v>64.9449204285714</v>
      </c>
      <c r="J9067" s="59">
        <v>20.0</v>
      </c>
      <c r="K9067" s="61">
        <f t="shared" si="1"/>
        <v>0.5714285714</v>
      </c>
      <c r="L9067" s="62">
        <f t="shared" si="2"/>
        <v>2.857142857</v>
      </c>
    </row>
    <row r="9068">
      <c r="A9068" s="58">
        <v>45292.0</v>
      </c>
      <c r="B9068" s="24" t="s">
        <v>6789</v>
      </c>
      <c r="C9068" s="24" t="s">
        <v>6896</v>
      </c>
      <c r="D9068" s="59">
        <v>7.0</v>
      </c>
      <c r="E9068" s="59">
        <v>9.0</v>
      </c>
      <c r="F9068" s="59">
        <v>4.0</v>
      </c>
      <c r="G9068" s="60">
        <v>1.28571428571428</v>
      </c>
      <c r="H9068" s="60">
        <v>0.0</v>
      </c>
      <c r="I9068" s="60">
        <v>67.8682148888889</v>
      </c>
      <c r="J9068" s="59">
        <v>18.0</v>
      </c>
      <c r="K9068" s="61">
        <f t="shared" si="1"/>
        <v>0.4444444444</v>
      </c>
      <c r="L9068" s="62">
        <f t="shared" si="2"/>
        <v>2</v>
      </c>
    </row>
    <row r="9069">
      <c r="A9069" s="58">
        <v>45292.0</v>
      </c>
      <c r="B9069" s="24" t="s">
        <v>6789</v>
      </c>
      <c r="C9069" s="24" t="s">
        <v>7034</v>
      </c>
      <c r="D9069" s="59">
        <v>7.0</v>
      </c>
      <c r="E9069" s="59">
        <v>13.0</v>
      </c>
      <c r="F9069" s="59">
        <v>3.0</v>
      </c>
      <c r="G9069" s="60">
        <v>1.85714285714285</v>
      </c>
      <c r="H9069" s="60">
        <v>0.0</v>
      </c>
      <c r="I9069" s="60">
        <v>393.110730230769</v>
      </c>
      <c r="J9069" s="59">
        <v>56.0</v>
      </c>
      <c r="K9069" s="61">
        <f t="shared" si="1"/>
        <v>0.2307692308</v>
      </c>
      <c r="L9069" s="62">
        <f t="shared" si="2"/>
        <v>4.307692308</v>
      </c>
    </row>
    <row r="9070">
      <c r="A9070" s="58">
        <v>45292.0</v>
      </c>
      <c r="B9070" s="24" t="s">
        <v>155</v>
      </c>
      <c r="C9070" s="24" t="s">
        <v>6800</v>
      </c>
      <c r="D9070" s="59">
        <v>7.0</v>
      </c>
      <c r="E9070" s="59">
        <v>7.0</v>
      </c>
      <c r="F9070" s="59">
        <v>6.0</v>
      </c>
      <c r="G9070" s="60">
        <v>1.0</v>
      </c>
      <c r="H9070" s="60">
        <v>0.0</v>
      </c>
      <c r="I9070" s="60">
        <v>224.182947714285</v>
      </c>
      <c r="J9070" s="59">
        <v>32.0</v>
      </c>
      <c r="K9070" s="61">
        <f t="shared" si="1"/>
        <v>0.8571428571</v>
      </c>
      <c r="L9070" s="62">
        <f t="shared" si="2"/>
        <v>4.571428571</v>
      </c>
    </row>
    <row r="9071">
      <c r="A9071" s="58">
        <v>45292.0</v>
      </c>
      <c r="B9071" s="24" t="s">
        <v>6787</v>
      </c>
      <c r="C9071" s="24" t="s">
        <v>7044</v>
      </c>
      <c r="D9071" s="59">
        <v>7.0</v>
      </c>
      <c r="E9071" s="59">
        <v>8.0</v>
      </c>
      <c r="F9071" s="59">
        <v>7.0</v>
      </c>
      <c r="G9071" s="60">
        <v>1.14285714285714</v>
      </c>
      <c r="H9071" s="60">
        <v>0.125</v>
      </c>
      <c r="I9071" s="60">
        <v>290.857196625</v>
      </c>
      <c r="J9071" s="59">
        <v>23.0</v>
      </c>
      <c r="K9071" s="61">
        <f t="shared" si="1"/>
        <v>0.875</v>
      </c>
      <c r="L9071" s="62">
        <f t="shared" si="2"/>
        <v>2.875</v>
      </c>
    </row>
    <row r="9072">
      <c r="A9072" s="58">
        <v>45292.0</v>
      </c>
      <c r="B9072" s="24" t="s">
        <v>6789</v>
      </c>
      <c r="C9072" s="24" t="s">
        <v>7313</v>
      </c>
      <c r="D9072" s="59">
        <v>7.0</v>
      </c>
      <c r="E9072" s="59">
        <v>8.0</v>
      </c>
      <c r="F9072" s="59">
        <v>2.0</v>
      </c>
      <c r="G9072" s="60">
        <v>1.14285714285714</v>
      </c>
      <c r="H9072" s="60">
        <v>0.0</v>
      </c>
      <c r="I9072" s="60">
        <v>1301.61754175</v>
      </c>
      <c r="J9072" s="59">
        <v>94.0</v>
      </c>
      <c r="K9072" s="61">
        <f t="shared" si="1"/>
        <v>0.25</v>
      </c>
      <c r="L9072" s="62">
        <f t="shared" si="2"/>
        <v>11.75</v>
      </c>
    </row>
    <row r="9073">
      <c r="A9073" s="58">
        <v>45292.0</v>
      </c>
      <c r="B9073" s="24" t="s">
        <v>6789</v>
      </c>
      <c r="C9073" s="24" t="s">
        <v>6910</v>
      </c>
      <c r="D9073" s="59">
        <v>7.0</v>
      </c>
      <c r="E9073" s="59">
        <v>7.0</v>
      </c>
      <c r="F9073" s="59">
        <v>0.0</v>
      </c>
      <c r="G9073" s="60">
        <v>1.0</v>
      </c>
      <c r="H9073" s="60">
        <v>0.0</v>
      </c>
      <c r="I9073" s="60">
        <v>58.8833009999999</v>
      </c>
      <c r="J9073" s="59">
        <v>18.0</v>
      </c>
      <c r="K9073" s="61">
        <f t="shared" si="1"/>
        <v>0</v>
      </c>
      <c r="L9073" s="62">
        <f t="shared" si="2"/>
        <v>2.571428571</v>
      </c>
    </row>
    <row r="9074">
      <c r="A9074" s="58">
        <v>45292.0</v>
      </c>
      <c r="B9074" s="24" t="s">
        <v>6787</v>
      </c>
      <c r="C9074" s="24" t="s">
        <v>6931</v>
      </c>
      <c r="D9074" s="59">
        <v>7.0</v>
      </c>
      <c r="E9074" s="59">
        <v>7.0</v>
      </c>
      <c r="F9074" s="59">
        <v>7.0</v>
      </c>
      <c r="G9074" s="60">
        <v>1.0</v>
      </c>
      <c r="H9074" s="60">
        <v>0.428571428571428</v>
      </c>
      <c r="I9074" s="60">
        <v>3.73501985714285</v>
      </c>
      <c r="J9074" s="59">
        <v>11.0</v>
      </c>
      <c r="K9074" s="61">
        <f t="shared" si="1"/>
        <v>1</v>
      </c>
      <c r="L9074" s="62">
        <f t="shared" si="2"/>
        <v>1.571428571</v>
      </c>
    </row>
    <row r="9075">
      <c r="A9075" s="58">
        <v>45292.0</v>
      </c>
      <c r="B9075" s="24" t="s">
        <v>155</v>
      </c>
      <c r="C9075" s="24" t="s">
        <v>6792</v>
      </c>
      <c r="D9075" s="59">
        <v>6.0</v>
      </c>
      <c r="E9075" s="59">
        <v>6.0</v>
      </c>
      <c r="F9075" s="59">
        <v>0.0</v>
      </c>
      <c r="G9075" s="60">
        <v>1.5</v>
      </c>
      <c r="H9075" s="60">
        <v>1.0</v>
      </c>
      <c r="I9075" s="60">
        <v>0.0</v>
      </c>
      <c r="J9075" s="59">
        <v>0.0</v>
      </c>
      <c r="K9075" s="61">
        <f t="shared" si="1"/>
        <v>0</v>
      </c>
      <c r="L9075" s="62">
        <f t="shared" si="2"/>
        <v>0</v>
      </c>
    </row>
    <row r="9076">
      <c r="A9076" s="58">
        <v>45292.0</v>
      </c>
      <c r="B9076" s="24" t="s">
        <v>6789</v>
      </c>
      <c r="C9076" s="24" t="s">
        <v>7058</v>
      </c>
      <c r="D9076" s="59">
        <v>6.0</v>
      </c>
      <c r="E9076" s="59">
        <v>6.0</v>
      </c>
      <c r="F9076" s="59">
        <v>5.0</v>
      </c>
      <c r="G9076" s="60">
        <v>1.0</v>
      </c>
      <c r="H9076" s="60">
        <v>0.0</v>
      </c>
      <c r="I9076" s="60">
        <v>223.554293166666</v>
      </c>
      <c r="J9076" s="59">
        <v>22.0</v>
      </c>
      <c r="K9076" s="61">
        <f t="shared" si="1"/>
        <v>0.8333333333</v>
      </c>
      <c r="L9076" s="62">
        <f t="shared" si="2"/>
        <v>3.666666667</v>
      </c>
    </row>
    <row r="9077">
      <c r="A9077" s="58">
        <v>45292.0</v>
      </c>
      <c r="B9077" s="24" t="s">
        <v>6789</v>
      </c>
      <c r="C9077" s="24" t="s">
        <v>6886</v>
      </c>
      <c r="D9077" s="59">
        <v>6.0</v>
      </c>
      <c r="E9077" s="59">
        <v>6.0</v>
      </c>
      <c r="F9077" s="59">
        <v>4.0</v>
      </c>
      <c r="G9077" s="60">
        <v>1.0</v>
      </c>
      <c r="H9077" s="60">
        <v>0.5</v>
      </c>
      <c r="I9077" s="60">
        <v>141.111971166666</v>
      </c>
      <c r="J9077" s="59">
        <v>17.0</v>
      </c>
      <c r="K9077" s="61">
        <f t="shared" si="1"/>
        <v>0.6666666667</v>
      </c>
      <c r="L9077" s="62">
        <f t="shared" si="2"/>
        <v>2.833333333</v>
      </c>
    </row>
    <row r="9078">
      <c r="A9078" s="58">
        <v>45292.0</v>
      </c>
      <c r="B9078" s="24" t="s">
        <v>6787</v>
      </c>
      <c r="C9078" s="24" t="s">
        <v>7552</v>
      </c>
      <c r="D9078" s="59">
        <v>6.0</v>
      </c>
      <c r="E9078" s="59">
        <v>7.0</v>
      </c>
      <c r="F9078" s="59">
        <v>5.0</v>
      </c>
      <c r="G9078" s="60">
        <v>1.16666666666666</v>
      </c>
      <c r="H9078" s="60">
        <v>0.0</v>
      </c>
      <c r="I9078" s="60">
        <v>11.4035692857142</v>
      </c>
      <c r="J9078" s="59">
        <v>18.0</v>
      </c>
      <c r="K9078" s="61">
        <f t="shared" si="1"/>
        <v>0.7142857143</v>
      </c>
      <c r="L9078" s="62">
        <f t="shared" si="2"/>
        <v>2.571428571</v>
      </c>
    </row>
    <row r="9079">
      <c r="A9079" s="58">
        <v>45292.0</v>
      </c>
      <c r="B9079" s="24" t="s">
        <v>6789</v>
      </c>
      <c r="C9079" s="24" t="s">
        <v>6953</v>
      </c>
      <c r="D9079" s="59">
        <v>5.0</v>
      </c>
      <c r="E9079" s="59">
        <v>5.0</v>
      </c>
      <c r="F9079" s="59">
        <v>5.0</v>
      </c>
      <c r="G9079" s="60">
        <v>1.0</v>
      </c>
      <c r="H9079" s="60">
        <v>0.0</v>
      </c>
      <c r="I9079" s="60">
        <v>108.0539518</v>
      </c>
      <c r="J9079" s="59">
        <v>10.0</v>
      </c>
      <c r="K9079" s="61">
        <f t="shared" si="1"/>
        <v>1</v>
      </c>
      <c r="L9079" s="62">
        <f t="shared" si="2"/>
        <v>2</v>
      </c>
    </row>
    <row r="9080">
      <c r="A9080" s="58">
        <v>45292.0</v>
      </c>
      <c r="B9080" s="24" t="s">
        <v>6789</v>
      </c>
      <c r="C9080" s="24" t="s">
        <v>7059</v>
      </c>
      <c r="D9080" s="59">
        <v>5.0</v>
      </c>
      <c r="E9080" s="59">
        <v>6.0</v>
      </c>
      <c r="F9080" s="59">
        <v>5.0</v>
      </c>
      <c r="G9080" s="60">
        <v>1.2</v>
      </c>
      <c r="H9080" s="60">
        <v>0.0</v>
      </c>
      <c r="I9080" s="60">
        <v>36.9177851666666</v>
      </c>
      <c r="J9080" s="59">
        <v>13.0</v>
      </c>
      <c r="K9080" s="61">
        <f t="shared" si="1"/>
        <v>0.8333333333</v>
      </c>
      <c r="L9080" s="62">
        <f t="shared" si="2"/>
        <v>2.166666667</v>
      </c>
    </row>
    <row r="9081">
      <c r="A9081" s="58">
        <v>45292.0</v>
      </c>
      <c r="B9081" s="24" t="s">
        <v>6789</v>
      </c>
      <c r="C9081" s="24" t="s">
        <v>6994</v>
      </c>
      <c r="D9081" s="59">
        <v>5.0</v>
      </c>
      <c r="E9081" s="59">
        <v>10.0</v>
      </c>
      <c r="F9081" s="59">
        <v>5.0</v>
      </c>
      <c r="G9081" s="60">
        <v>2.0</v>
      </c>
      <c r="H9081" s="60">
        <v>0.0</v>
      </c>
      <c r="I9081" s="60">
        <v>51.2597276</v>
      </c>
      <c r="J9081" s="59">
        <v>21.0</v>
      </c>
      <c r="K9081" s="61">
        <f t="shared" si="1"/>
        <v>0.5</v>
      </c>
      <c r="L9081" s="62">
        <f t="shared" si="2"/>
        <v>2.1</v>
      </c>
    </row>
    <row r="9082">
      <c r="A9082" s="58">
        <v>45292.0</v>
      </c>
      <c r="B9082" s="24" t="s">
        <v>6787</v>
      </c>
      <c r="C9082" s="24" t="s">
        <v>7034</v>
      </c>
      <c r="D9082" s="59">
        <v>5.0</v>
      </c>
      <c r="E9082" s="59">
        <v>13.0</v>
      </c>
      <c r="F9082" s="59">
        <v>4.0</v>
      </c>
      <c r="G9082" s="60">
        <v>2.6</v>
      </c>
      <c r="H9082" s="60">
        <v>0.0769230769230769</v>
      </c>
      <c r="I9082" s="60">
        <v>5.00920707692307</v>
      </c>
      <c r="J9082" s="59">
        <v>25.0</v>
      </c>
      <c r="K9082" s="61">
        <f t="shared" si="1"/>
        <v>0.3076923077</v>
      </c>
      <c r="L9082" s="62">
        <f t="shared" si="2"/>
        <v>1.923076923</v>
      </c>
    </row>
    <row r="9083">
      <c r="A9083" s="58">
        <v>45292.0</v>
      </c>
      <c r="B9083" s="24" t="s">
        <v>6787</v>
      </c>
      <c r="C9083" s="24" t="s">
        <v>7580</v>
      </c>
      <c r="D9083" s="59">
        <v>5.0</v>
      </c>
      <c r="E9083" s="59">
        <v>8.0</v>
      </c>
      <c r="F9083" s="59">
        <v>2.0</v>
      </c>
      <c r="G9083" s="60">
        <v>1.6</v>
      </c>
      <c r="H9083" s="60">
        <v>0.0</v>
      </c>
      <c r="I9083" s="60">
        <v>327.024247874999</v>
      </c>
      <c r="J9083" s="59">
        <v>28.0</v>
      </c>
      <c r="K9083" s="61">
        <f t="shared" si="1"/>
        <v>0.25</v>
      </c>
      <c r="L9083" s="62">
        <f t="shared" si="2"/>
        <v>3.5</v>
      </c>
    </row>
    <row r="9084">
      <c r="A9084" s="58">
        <v>45292.0</v>
      </c>
      <c r="B9084" s="24" t="s">
        <v>6789</v>
      </c>
      <c r="C9084" s="24" t="s">
        <v>7023</v>
      </c>
      <c r="D9084" s="59">
        <v>5.0</v>
      </c>
      <c r="E9084" s="59">
        <v>6.0</v>
      </c>
      <c r="F9084" s="59">
        <v>2.0</v>
      </c>
      <c r="G9084" s="60">
        <v>1.2</v>
      </c>
      <c r="H9084" s="60">
        <v>0.0</v>
      </c>
      <c r="I9084" s="60">
        <v>359.238065833333</v>
      </c>
      <c r="J9084" s="59">
        <v>24.0</v>
      </c>
      <c r="K9084" s="61">
        <f t="shared" si="1"/>
        <v>0.3333333333</v>
      </c>
      <c r="L9084" s="62">
        <f t="shared" si="2"/>
        <v>4</v>
      </c>
    </row>
    <row r="9085">
      <c r="A9085" s="58">
        <v>45292.0</v>
      </c>
      <c r="B9085" s="24" t="s">
        <v>6787</v>
      </c>
      <c r="C9085" s="24" t="s">
        <v>7180</v>
      </c>
      <c r="D9085" s="59">
        <v>5.0</v>
      </c>
      <c r="E9085" s="59">
        <v>5.0</v>
      </c>
      <c r="F9085" s="59">
        <v>5.0</v>
      </c>
      <c r="G9085" s="60">
        <v>1.0</v>
      </c>
      <c r="H9085" s="60">
        <v>0.8</v>
      </c>
      <c r="I9085" s="60">
        <v>3.411867</v>
      </c>
      <c r="J9085" s="59">
        <v>6.0</v>
      </c>
      <c r="K9085" s="61">
        <f t="shared" si="1"/>
        <v>1</v>
      </c>
      <c r="L9085" s="62">
        <f t="shared" si="2"/>
        <v>1.2</v>
      </c>
    </row>
    <row r="9086">
      <c r="A9086" s="58">
        <v>45292.0</v>
      </c>
      <c r="B9086" s="24" t="s">
        <v>6789</v>
      </c>
      <c r="C9086" s="24" t="s">
        <v>6817</v>
      </c>
      <c r="D9086" s="59">
        <v>4.0</v>
      </c>
      <c r="E9086" s="59">
        <v>4.0</v>
      </c>
      <c r="F9086" s="59">
        <v>1.0</v>
      </c>
      <c r="G9086" s="60">
        <v>1.0</v>
      </c>
      <c r="H9086" s="60">
        <v>0.0</v>
      </c>
      <c r="I9086" s="60">
        <v>496.58417525</v>
      </c>
      <c r="J9086" s="59">
        <v>46.0</v>
      </c>
      <c r="K9086" s="61">
        <f t="shared" si="1"/>
        <v>0.25</v>
      </c>
      <c r="L9086" s="62">
        <f t="shared" si="2"/>
        <v>11.5</v>
      </c>
    </row>
    <row r="9087">
      <c r="A9087" s="58">
        <v>45292.0</v>
      </c>
      <c r="B9087" s="24" t="s">
        <v>6789</v>
      </c>
      <c r="C9087" s="24" t="s">
        <v>7056</v>
      </c>
      <c r="D9087" s="59">
        <v>4.0</v>
      </c>
      <c r="E9087" s="59">
        <v>5.0</v>
      </c>
      <c r="F9087" s="59">
        <v>3.0</v>
      </c>
      <c r="G9087" s="60">
        <v>1.25</v>
      </c>
      <c r="H9087" s="60">
        <v>0.0</v>
      </c>
      <c r="I9087" s="60">
        <v>9.8561532</v>
      </c>
      <c r="J9087" s="59">
        <v>10.0</v>
      </c>
      <c r="K9087" s="61">
        <f t="shared" si="1"/>
        <v>0.6</v>
      </c>
      <c r="L9087" s="62">
        <f t="shared" si="2"/>
        <v>2</v>
      </c>
    </row>
    <row r="9088">
      <c r="A9088" s="58">
        <v>45292.0</v>
      </c>
      <c r="B9088" s="24" t="s">
        <v>6789</v>
      </c>
      <c r="C9088" s="24" t="s">
        <v>7057</v>
      </c>
      <c r="D9088" s="59">
        <v>4.0</v>
      </c>
      <c r="E9088" s="59">
        <v>5.0</v>
      </c>
      <c r="F9088" s="59">
        <v>4.0</v>
      </c>
      <c r="G9088" s="60">
        <v>1.25</v>
      </c>
      <c r="H9088" s="60">
        <v>0.0</v>
      </c>
      <c r="I9088" s="60">
        <v>234.9849698</v>
      </c>
      <c r="J9088" s="59">
        <v>10.0</v>
      </c>
      <c r="K9088" s="61">
        <f t="shared" si="1"/>
        <v>0.8</v>
      </c>
      <c r="L9088" s="62">
        <f t="shared" si="2"/>
        <v>2</v>
      </c>
    </row>
    <row r="9089">
      <c r="A9089" s="58">
        <v>45292.0</v>
      </c>
      <c r="B9089" s="24" t="s">
        <v>6794</v>
      </c>
      <c r="C9089" s="24" t="s">
        <v>6986</v>
      </c>
      <c r="D9089" s="59">
        <v>4.0</v>
      </c>
      <c r="E9089" s="59">
        <v>4.0</v>
      </c>
      <c r="F9089" s="59">
        <v>4.0</v>
      </c>
      <c r="G9089" s="60">
        <v>1.0</v>
      </c>
      <c r="H9089" s="60">
        <v>0.0</v>
      </c>
      <c r="I9089" s="60">
        <v>511.01758475</v>
      </c>
      <c r="J9089" s="59">
        <v>15.0</v>
      </c>
      <c r="K9089" s="61">
        <f t="shared" si="1"/>
        <v>1</v>
      </c>
      <c r="L9089" s="62">
        <f t="shared" si="2"/>
        <v>3.75</v>
      </c>
    </row>
    <row r="9090">
      <c r="A9090" s="58">
        <v>45292.0</v>
      </c>
      <c r="B9090" s="24" t="s">
        <v>6787</v>
      </c>
      <c r="C9090" s="24" t="s">
        <v>7013</v>
      </c>
      <c r="D9090" s="59">
        <v>4.0</v>
      </c>
      <c r="E9090" s="59">
        <v>5.0</v>
      </c>
      <c r="F9090" s="59">
        <v>4.0</v>
      </c>
      <c r="G9090" s="60">
        <v>1.25</v>
      </c>
      <c r="H9090" s="60">
        <v>0.0</v>
      </c>
      <c r="I9090" s="60">
        <v>11.8421379999999</v>
      </c>
      <c r="J9090" s="59">
        <v>10.0</v>
      </c>
      <c r="K9090" s="61">
        <f t="shared" si="1"/>
        <v>0.8</v>
      </c>
      <c r="L9090" s="62">
        <f t="shared" si="2"/>
        <v>2</v>
      </c>
    </row>
    <row r="9091">
      <c r="A9091" s="58">
        <v>45292.0</v>
      </c>
      <c r="B9091" s="24" t="s">
        <v>3216</v>
      </c>
      <c r="C9091" s="24" t="s">
        <v>6908</v>
      </c>
      <c r="D9091" s="59">
        <v>4.0</v>
      </c>
      <c r="E9091" s="59">
        <v>7.0</v>
      </c>
      <c r="F9091" s="59">
        <v>2.0</v>
      </c>
      <c r="G9091" s="60">
        <v>1.75</v>
      </c>
      <c r="H9091" s="60">
        <v>0.428571428571428</v>
      </c>
      <c r="I9091" s="60">
        <v>541.661079142857</v>
      </c>
      <c r="J9091" s="59">
        <v>19.0</v>
      </c>
      <c r="K9091" s="61">
        <f t="shared" si="1"/>
        <v>0.2857142857</v>
      </c>
      <c r="L9091" s="62">
        <f t="shared" si="2"/>
        <v>2.714285714</v>
      </c>
    </row>
    <row r="9092">
      <c r="A9092" s="58">
        <v>45292.0</v>
      </c>
      <c r="B9092" s="24" t="s">
        <v>6789</v>
      </c>
      <c r="C9092" s="24" t="s">
        <v>7172</v>
      </c>
      <c r="D9092" s="59">
        <v>4.0</v>
      </c>
      <c r="E9092" s="59">
        <v>6.0</v>
      </c>
      <c r="F9092" s="59">
        <v>1.0</v>
      </c>
      <c r="G9092" s="60">
        <v>1.5</v>
      </c>
      <c r="H9092" s="60">
        <v>0.0</v>
      </c>
      <c r="I9092" s="60">
        <v>39.9473916666666</v>
      </c>
      <c r="J9092" s="59">
        <v>16.0</v>
      </c>
      <c r="K9092" s="61">
        <f t="shared" si="1"/>
        <v>0.1666666667</v>
      </c>
      <c r="L9092" s="62">
        <f t="shared" si="2"/>
        <v>2.666666667</v>
      </c>
    </row>
    <row r="9093">
      <c r="A9093" s="58">
        <v>45292.0</v>
      </c>
      <c r="B9093" s="24" t="s">
        <v>6787</v>
      </c>
      <c r="C9093" s="24" t="s">
        <v>7313</v>
      </c>
      <c r="D9093" s="59">
        <v>4.0</v>
      </c>
      <c r="E9093" s="59">
        <v>4.0</v>
      </c>
      <c r="F9093" s="59">
        <v>3.0</v>
      </c>
      <c r="G9093" s="60">
        <v>1.0</v>
      </c>
      <c r="H9093" s="60">
        <v>0.5</v>
      </c>
      <c r="I9093" s="60">
        <v>164.28177975</v>
      </c>
      <c r="J9093" s="59">
        <v>12.0</v>
      </c>
      <c r="K9093" s="61">
        <f t="shared" si="1"/>
        <v>0.75</v>
      </c>
      <c r="L9093" s="62">
        <f t="shared" si="2"/>
        <v>3</v>
      </c>
    </row>
    <row r="9094">
      <c r="A9094" s="58">
        <v>45292.0</v>
      </c>
      <c r="B9094" s="24" t="s">
        <v>6789</v>
      </c>
      <c r="C9094" s="24" t="s">
        <v>7027</v>
      </c>
      <c r="D9094" s="59">
        <v>4.0</v>
      </c>
      <c r="E9094" s="59">
        <v>4.0</v>
      </c>
      <c r="F9094" s="59">
        <v>4.0</v>
      </c>
      <c r="G9094" s="60">
        <v>1.0</v>
      </c>
      <c r="H9094" s="60">
        <v>0.0</v>
      </c>
      <c r="I9094" s="60">
        <v>266.7300095</v>
      </c>
      <c r="J9094" s="59">
        <v>8.0</v>
      </c>
      <c r="K9094" s="61">
        <f t="shared" si="1"/>
        <v>1</v>
      </c>
      <c r="L9094" s="62">
        <f t="shared" si="2"/>
        <v>2</v>
      </c>
    </row>
    <row r="9095">
      <c r="A9095" s="58">
        <v>45292.0</v>
      </c>
      <c r="B9095" s="24" t="s">
        <v>6787</v>
      </c>
      <c r="C9095" s="24" t="s">
        <v>6803</v>
      </c>
      <c r="D9095" s="59">
        <v>3.0</v>
      </c>
      <c r="E9095" s="59">
        <v>3.0</v>
      </c>
      <c r="F9095" s="59">
        <v>2.0</v>
      </c>
      <c r="G9095" s="60">
        <v>1.0</v>
      </c>
      <c r="H9095" s="60">
        <v>0.0</v>
      </c>
      <c r="I9095" s="60">
        <v>5.04115966666666</v>
      </c>
      <c r="J9095" s="59">
        <v>6.0</v>
      </c>
      <c r="K9095" s="61">
        <f t="shared" si="1"/>
        <v>0.6666666667</v>
      </c>
      <c r="L9095" s="62">
        <f t="shared" si="2"/>
        <v>2</v>
      </c>
    </row>
    <row r="9096">
      <c r="A9096" s="58">
        <v>45292.0</v>
      </c>
      <c r="B9096" s="24" t="s">
        <v>6787</v>
      </c>
      <c r="C9096" s="24" t="s">
        <v>6985</v>
      </c>
      <c r="D9096" s="59">
        <v>3.0</v>
      </c>
      <c r="E9096" s="59">
        <v>3.0</v>
      </c>
      <c r="F9096" s="59">
        <v>3.0</v>
      </c>
      <c r="G9096" s="60">
        <v>1.0</v>
      </c>
      <c r="H9096" s="60">
        <v>1.0</v>
      </c>
      <c r="I9096" s="60">
        <v>0.0</v>
      </c>
      <c r="J9096" s="59">
        <v>3.0</v>
      </c>
      <c r="K9096" s="61">
        <f t="shared" si="1"/>
        <v>1</v>
      </c>
      <c r="L9096" s="62">
        <f t="shared" si="2"/>
        <v>1</v>
      </c>
    </row>
    <row r="9097">
      <c r="A9097" s="58">
        <v>45292.0</v>
      </c>
      <c r="B9097" s="24" t="s">
        <v>6787</v>
      </c>
      <c r="C9097" s="24" t="s">
        <v>6867</v>
      </c>
      <c r="D9097" s="59">
        <v>3.0</v>
      </c>
      <c r="E9097" s="59">
        <v>3.0</v>
      </c>
      <c r="F9097" s="59">
        <v>3.0</v>
      </c>
      <c r="G9097" s="60">
        <v>1.0</v>
      </c>
      <c r="H9097" s="60">
        <v>1.0</v>
      </c>
      <c r="I9097" s="60">
        <v>0.0</v>
      </c>
      <c r="J9097" s="59">
        <v>3.0</v>
      </c>
      <c r="K9097" s="61">
        <f t="shared" si="1"/>
        <v>1</v>
      </c>
      <c r="L9097" s="62">
        <f t="shared" si="2"/>
        <v>1</v>
      </c>
    </row>
    <row r="9098">
      <c r="A9098" s="58">
        <v>45292.0</v>
      </c>
      <c r="B9098" s="24" t="s">
        <v>6787</v>
      </c>
      <c r="C9098" s="24" t="s">
        <v>7065</v>
      </c>
      <c r="D9098" s="59">
        <v>3.0</v>
      </c>
      <c r="E9098" s="59">
        <v>3.0</v>
      </c>
      <c r="F9098" s="59">
        <v>3.0</v>
      </c>
      <c r="G9098" s="60">
        <v>1.0</v>
      </c>
      <c r="H9098" s="60">
        <v>1.0</v>
      </c>
      <c r="I9098" s="60">
        <v>0.0</v>
      </c>
      <c r="J9098" s="59">
        <v>3.0</v>
      </c>
      <c r="K9098" s="61">
        <f t="shared" si="1"/>
        <v>1</v>
      </c>
      <c r="L9098" s="62">
        <f t="shared" si="2"/>
        <v>1</v>
      </c>
    </row>
    <row r="9099">
      <c r="A9099" s="58">
        <v>45292.0</v>
      </c>
      <c r="B9099" s="24" t="s">
        <v>6789</v>
      </c>
      <c r="C9099" s="24" t="s">
        <v>6989</v>
      </c>
      <c r="D9099" s="59">
        <v>3.0</v>
      </c>
      <c r="E9099" s="59">
        <v>4.0</v>
      </c>
      <c r="F9099" s="59">
        <v>3.0</v>
      </c>
      <c r="G9099" s="60">
        <v>1.33333333333333</v>
      </c>
      <c r="H9099" s="60">
        <v>0.0</v>
      </c>
      <c r="I9099" s="60">
        <v>7.44822624999999</v>
      </c>
      <c r="J9099" s="59">
        <v>8.0</v>
      </c>
      <c r="K9099" s="61">
        <f t="shared" si="1"/>
        <v>0.75</v>
      </c>
      <c r="L9099" s="62">
        <f t="shared" si="2"/>
        <v>2</v>
      </c>
    </row>
    <row r="9100">
      <c r="A9100" s="58">
        <v>45292.0</v>
      </c>
      <c r="B9100" s="24" t="s">
        <v>6787</v>
      </c>
      <c r="C9100" s="24" t="s">
        <v>6886</v>
      </c>
      <c r="D9100" s="59">
        <v>3.0</v>
      </c>
      <c r="E9100" s="59">
        <v>3.0</v>
      </c>
      <c r="F9100" s="59">
        <v>3.0</v>
      </c>
      <c r="G9100" s="60">
        <v>1.0</v>
      </c>
      <c r="H9100" s="60">
        <v>0.333333333333333</v>
      </c>
      <c r="I9100" s="60">
        <v>15.6278226666666</v>
      </c>
      <c r="J9100" s="59">
        <v>9.0</v>
      </c>
      <c r="K9100" s="61">
        <f t="shared" si="1"/>
        <v>1</v>
      </c>
      <c r="L9100" s="62">
        <f t="shared" si="2"/>
        <v>3</v>
      </c>
    </row>
    <row r="9101">
      <c r="A9101" s="58">
        <v>45292.0</v>
      </c>
      <c r="B9101" s="24" t="s">
        <v>6787</v>
      </c>
      <c r="C9101" s="24" t="s">
        <v>6997</v>
      </c>
      <c r="D9101" s="59">
        <v>3.0</v>
      </c>
      <c r="E9101" s="59">
        <v>3.0</v>
      </c>
      <c r="F9101" s="59">
        <v>2.0</v>
      </c>
      <c r="G9101" s="60">
        <v>1.0</v>
      </c>
      <c r="H9101" s="60">
        <v>0.666666666666666</v>
      </c>
      <c r="I9101" s="60">
        <v>1.49553633333333</v>
      </c>
      <c r="J9101" s="59">
        <v>4.0</v>
      </c>
      <c r="K9101" s="61">
        <f t="shared" si="1"/>
        <v>0.6666666667</v>
      </c>
      <c r="L9101" s="62">
        <f t="shared" si="2"/>
        <v>1.333333333</v>
      </c>
    </row>
    <row r="9102">
      <c r="A9102" s="58">
        <v>45292.0</v>
      </c>
      <c r="B9102" s="24" t="s">
        <v>6787</v>
      </c>
      <c r="C9102" s="24" t="s">
        <v>6822</v>
      </c>
      <c r="D9102" s="59">
        <v>3.0</v>
      </c>
      <c r="E9102" s="59">
        <v>12.0</v>
      </c>
      <c r="F9102" s="59">
        <v>1.0</v>
      </c>
      <c r="G9102" s="60">
        <v>4.0</v>
      </c>
      <c r="H9102" s="60">
        <v>0.0</v>
      </c>
      <c r="I9102" s="60">
        <v>452.628280833333</v>
      </c>
      <c r="J9102" s="59">
        <v>58.0</v>
      </c>
      <c r="K9102" s="61">
        <f t="shared" si="1"/>
        <v>0.08333333333</v>
      </c>
      <c r="L9102" s="62">
        <f t="shared" si="2"/>
        <v>4.833333333</v>
      </c>
    </row>
    <row r="9103">
      <c r="A9103" s="58">
        <v>45292.0</v>
      </c>
      <c r="B9103" s="24" t="s">
        <v>6787</v>
      </c>
      <c r="C9103" s="24" t="s">
        <v>7438</v>
      </c>
      <c r="D9103" s="59">
        <v>3.0</v>
      </c>
      <c r="E9103" s="59">
        <v>3.0</v>
      </c>
      <c r="F9103" s="59">
        <v>2.0</v>
      </c>
      <c r="G9103" s="60">
        <v>1.0</v>
      </c>
      <c r="H9103" s="60">
        <v>0.0</v>
      </c>
      <c r="I9103" s="60">
        <v>30.641727</v>
      </c>
      <c r="J9103" s="59">
        <v>10.0</v>
      </c>
      <c r="K9103" s="61">
        <f t="shared" si="1"/>
        <v>0.6666666667</v>
      </c>
      <c r="L9103" s="62">
        <f t="shared" si="2"/>
        <v>3.333333333</v>
      </c>
    </row>
    <row r="9104">
      <c r="A9104" s="58">
        <v>45292.0</v>
      </c>
      <c r="B9104" s="24" t="s">
        <v>6787</v>
      </c>
      <c r="C9104" s="24" t="s">
        <v>6904</v>
      </c>
      <c r="D9104" s="59">
        <v>3.0</v>
      </c>
      <c r="E9104" s="59">
        <v>3.0</v>
      </c>
      <c r="F9104" s="59">
        <v>3.0</v>
      </c>
      <c r="G9104" s="60">
        <v>1.0</v>
      </c>
      <c r="H9104" s="60">
        <v>0.0</v>
      </c>
      <c r="I9104" s="60">
        <v>31.3038953333333</v>
      </c>
      <c r="J9104" s="59">
        <v>16.0</v>
      </c>
      <c r="K9104" s="61">
        <f t="shared" si="1"/>
        <v>1</v>
      </c>
      <c r="L9104" s="62">
        <f t="shared" si="2"/>
        <v>5.333333333</v>
      </c>
    </row>
    <row r="9105">
      <c r="A9105" s="58">
        <v>45292.0</v>
      </c>
      <c r="B9105" s="24" t="s">
        <v>6789</v>
      </c>
      <c r="C9105" s="24" t="s">
        <v>7573</v>
      </c>
      <c r="D9105" s="59">
        <v>3.0</v>
      </c>
      <c r="E9105" s="59">
        <v>3.0</v>
      </c>
      <c r="F9105" s="59">
        <v>3.0</v>
      </c>
      <c r="G9105" s="60">
        <v>1.0</v>
      </c>
      <c r="H9105" s="60">
        <v>0.333333333333333</v>
      </c>
      <c r="I9105" s="60">
        <v>308.763505333333</v>
      </c>
      <c r="J9105" s="59">
        <v>5.0</v>
      </c>
      <c r="K9105" s="61">
        <f t="shared" si="1"/>
        <v>1</v>
      </c>
      <c r="L9105" s="62">
        <f t="shared" si="2"/>
        <v>1.666666667</v>
      </c>
    </row>
    <row r="9106">
      <c r="A9106" s="58">
        <v>45292.0</v>
      </c>
      <c r="B9106" s="24" t="s">
        <v>6787</v>
      </c>
      <c r="C9106" s="24" t="s">
        <v>7530</v>
      </c>
      <c r="D9106" s="59">
        <v>3.0</v>
      </c>
      <c r="E9106" s="59">
        <v>3.0</v>
      </c>
      <c r="F9106" s="59">
        <v>2.0</v>
      </c>
      <c r="G9106" s="60">
        <v>1.0</v>
      </c>
      <c r="H9106" s="60">
        <v>0.0</v>
      </c>
      <c r="I9106" s="60">
        <v>44.4884846666666</v>
      </c>
      <c r="J9106" s="59">
        <v>10.0</v>
      </c>
      <c r="K9106" s="61">
        <f t="shared" si="1"/>
        <v>0.6666666667</v>
      </c>
      <c r="L9106" s="62">
        <f t="shared" si="2"/>
        <v>3.333333333</v>
      </c>
    </row>
    <row r="9107">
      <c r="A9107" s="58">
        <v>45292.0</v>
      </c>
      <c r="B9107" s="24" t="s">
        <v>6789</v>
      </c>
      <c r="C9107" s="24" t="s">
        <v>6907</v>
      </c>
      <c r="D9107" s="59">
        <v>3.0</v>
      </c>
      <c r="E9107" s="59">
        <v>3.0</v>
      </c>
      <c r="F9107" s="59">
        <v>2.0</v>
      </c>
      <c r="G9107" s="60">
        <v>1.0</v>
      </c>
      <c r="H9107" s="60">
        <v>0.0</v>
      </c>
      <c r="I9107" s="60">
        <v>398.638387333333</v>
      </c>
      <c r="J9107" s="59">
        <v>66.0</v>
      </c>
      <c r="K9107" s="61">
        <f t="shared" si="1"/>
        <v>0.6666666667</v>
      </c>
      <c r="L9107" s="62">
        <f t="shared" si="2"/>
        <v>22</v>
      </c>
    </row>
    <row r="9108">
      <c r="A9108" s="58">
        <v>45292.0</v>
      </c>
      <c r="B9108" s="24" t="s">
        <v>6787</v>
      </c>
      <c r="C9108" s="24" t="s">
        <v>7101</v>
      </c>
      <c r="D9108" s="59">
        <v>3.0</v>
      </c>
      <c r="E9108" s="59">
        <v>3.0</v>
      </c>
      <c r="F9108" s="59">
        <v>2.0</v>
      </c>
      <c r="G9108" s="60">
        <v>1.0</v>
      </c>
      <c r="H9108" s="60">
        <v>0.666666666666666</v>
      </c>
      <c r="I9108" s="60">
        <v>0.665489</v>
      </c>
      <c r="J9108" s="59">
        <v>4.0</v>
      </c>
      <c r="K9108" s="61">
        <f t="shared" si="1"/>
        <v>0.6666666667</v>
      </c>
      <c r="L9108" s="62">
        <f t="shared" si="2"/>
        <v>1.333333333</v>
      </c>
    </row>
    <row r="9109">
      <c r="A9109" s="58">
        <v>45292.0</v>
      </c>
      <c r="B9109" s="24" t="s">
        <v>6787</v>
      </c>
      <c r="C9109" s="24" t="s">
        <v>6908</v>
      </c>
      <c r="D9109" s="59">
        <v>3.0</v>
      </c>
      <c r="E9109" s="59">
        <v>3.0</v>
      </c>
      <c r="F9109" s="59">
        <v>2.0</v>
      </c>
      <c r="G9109" s="60">
        <v>1.0</v>
      </c>
      <c r="H9109" s="60">
        <v>0.333333333333333</v>
      </c>
      <c r="I9109" s="60">
        <v>3.46906533333333</v>
      </c>
      <c r="J9109" s="59">
        <v>5.0</v>
      </c>
      <c r="K9109" s="61">
        <f t="shared" si="1"/>
        <v>0.6666666667</v>
      </c>
      <c r="L9109" s="62">
        <f t="shared" si="2"/>
        <v>1.666666667</v>
      </c>
    </row>
    <row r="9110">
      <c r="A9110" s="58">
        <v>45292.0</v>
      </c>
      <c r="B9110" s="24" t="s">
        <v>6787</v>
      </c>
      <c r="C9110" s="24" t="s">
        <v>7172</v>
      </c>
      <c r="D9110" s="59">
        <v>3.0</v>
      </c>
      <c r="E9110" s="59">
        <v>3.0</v>
      </c>
      <c r="F9110" s="59">
        <v>2.0</v>
      </c>
      <c r="G9110" s="60">
        <v>1.0</v>
      </c>
      <c r="H9110" s="60">
        <v>0.666666666666666</v>
      </c>
      <c r="I9110" s="60">
        <v>1.71881833333333</v>
      </c>
      <c r="J9110" s="59">
        <v>4.0</v>
      </c>
      <c r="K9110" s="61">
        <f t="shared" si="1"/>
        <v>0.6666666667</v>
      </c>
      <c r="L9110" s="62">
        <f t="shared" si="2"/>
        <v>1.333333333</v>
      </c>
    </row>
    <row r="9111">
      <c r="A9111" s="58">
        <v>45292.0</v>
      </c>
      <c r="B9111" s="24" t="s">
        <v>6787</v>
      </c>
      <c r="C9111" s="24" t="s">
        <v>7102</v>
      </c>
      <c r="D9111" s="59">
        <v>3.0</v>
      </c>
      <c r="E9111" s="59">
        <v>3.0</v>
      </c>
      <c r="F9111" s="59">
        <v>3.0</v>
      </c>
      <c r="G9111" s="60">
        <v>1.0</v>
      </c>
      <c r="H9111" s="60">
        <v>0.0</v>
      </c>
      <c r="I9111" s="60">
        <v>4.42639266666666</v>
      </c>
      <c r="J9111" s="59">
        <v>6.0</v>
      </c>
      <c r="K9111" s="61">
        <f t="shared" si="1"/>
        <v>1</v>
      </c>
      <c r="L9111" s="62">
        <f t="shared" si="2"/>
        <v>2</v>
      </c>
    </row>
    <row r="9112">
      <c r="A9112" s="58">
        <v>45292.0</v>
      </c>
      <c r="B9112" s="24" t="s">
        <v>6789</v>
      </c>
      <c r="C9112" s="24" t="s">
        <v>7104</v>
      </c>
      <c r="D9112" s="59">
        <v>3.0</v>
      </c>
      <c r="E9112" s="59">
        <v>3.0</v>
      </c>
      <c r="F9112" s="59">
        <v>3.0</v>
      </c>
      <c r="G9112" s="60">
        <v>1.0</v>
      </c>
      <c r="H9112" s="60">
        <v>0.333333333333333</v>
      </c>
      <c r="I9112" s="60">
        <v>90.452715</v>
      </c>
      <c r="J9112" s="59">
        <v>10.0</v>
      </c>
      <c r="K9112" s="61">
        <f t="shared" si="1"/>
        <v>1</v>
      </c>
      <c r="L9112" s="62">
        <f t="shared" si="2"/>
        <v>3.333333333</v>
      </c>
    </row>
    <row r="9113">
      <c r="A9113" s="58">
        <v>45292.0</v>
      </c>
      <c r="B9113" s="24" t="s">
        <v>6787</v>
      </c>
      <c r="C9113" s="24" t="s">
        <v>7448</v>
      </c>
      <c r="D9113" s="59">
        <v>3.0</v>
      </c>
      <c r="E9113" s="59">
        <v>3.0</v>
      </c>
      <c r="F9113" s="59">
        <v>3.0</v>
      </c>
      <c r="G9113" s="60">
        <v>1.0</v>
      </c>
      <c r="H9113" s="60">
        <v>0.0</v>
      </c>
      <c r="I9113" s="60">
        <v>3.525987</v>
      </c>
      <c r="J9113" s="59">
        <v>6.0</v>
      </c>
      <c r="K9113" s="61">
        <f t="shared" si="1"/>
        <v>1</v>
      </c>
      <c r="L9113" s="62">
        <f t="shared" si="2"/>
        <v>2</v>
      </c>
    </row>
    <row r="9114">
      <c r="A9114" s="58">
        <v>45292.0</v>
      </c>
      <c r="B9114" s="24" t="s">
        <v>6787</v>
      </c>
      <c r="C9114" s="24" t="s">
        <v>7588</v>
      </c>
      <c r="D9114" s="59">
        <v>3.0</v>
      </c>
      <c r="E9114" s="59">
        <v>3.0</v>
      </c>
      <c r="F9114" s="59">
        <v>3.0</v>
      </c>
      <c r="G9114" s="60">
        <v>1.0</v>
      </c>
      <c r="H9114" s="60">
        <v>0.0</v>
      </c>
      <c r="I9114" s="60">
        <v>5.00915633333333</v>
      </c>
      <c r="J9114" s="59">
        <v>6.0</v>
      </c>
      <c r="K9114" s="61">
        <f t="shared" si="1"/>
        <v>1</v>
      </c>
      <c r="L9114" s="62">
        <f t="shared" si="2"/>
        <v>2</v>
      </c>
    </row>
    <row r="9115">
      <c r="A9115" s="58">
        <v>45292.0</v>
      </c>
      <c r="B9115" s="24" t="s">
        <v>6787</v>
      </c>
      <c r="C9115" s="24" t="s">
        <v>6922</v>
      </c>
      <c r="D9115" s="59">
        <v>3.0</v>
      </c>
      <c r="E9115" s="59">
        <v>3.0</v>
      </c>
      <c r="F9115" s="59">
        <v>3.0</v>
      </c>
      <c r="G9115" s="60">
        <v>1.0</v>
      </c>
      <c r="H9115" s="60">
        <v>0.333333333333333</v>
      </c>
      <c r="I9115" s="60">
        <v>5.50345133333333</v>
      </c>
      <c r="J9115" s="59">
        <v>6.0</v>
      </c>
      <c r="K9115" s="61">
        <f t="shared" si="1"/>
        <v>1</v>
      </c>
      <c r="L9115" s="62">
        <f t="shared" si="2"/>
        <v>2</v>
      </c>
    </row>
    <row r="9116">
      <c r="A9116" s="58">
        <v>45292.0</v>
      </c>
      <c r="B9116" s="24" t="s">
        <v>6789</v>
      </c>
      <c r="C9116" s="24" t="s">
        <v>7047</v>
      </c>
      <c r="D9116" s="59">
        <v>3.0</v>
      </c>
      <c r="E9116" s="59">
        <v>3.0</v>
      </c>
      <c r="F9116" s="59">
        <v>0.0</v>
      </c>
      <c r="G9116" s="60">
        <v>1.0</v>
      </c>
      <c r="H9116" s="60">
        <v>0.0</v>
      </c>
      <c r="I9116" s="60">
        <v>664.657121333333</v>
      </c>
      <c r="J9116" s="59">
        <v>20.0</v>
      </c>
      <c r="K9116" s="61">
        <f t="shared" si="1"/>
        <v>0</v>
      </c>
      <c r="L9116" s="62">
        <f t="shared" si="2"/>
        <v>6.666666667</v>
      </c>
    </row>
    <row r="9117">
      <c r="A9117" s="58">
        <v>45292.0</v>
      </c>
      <c r="B9117" s="24" t="s">
        <v>7100</v>
      </c>
      <c r="C9117" s="24" t="s">
        <v>6792</v>
      </c>
      <c r="D9117" s="59">
        <v>2.0</v>
      </c>
      <c r="E9117" s="59">
        <v>3.0</v>
      </c>
      <c r="F9117" s="59">
        <v>0.0</v>
      </c>
      <c r="G9117" s="60">
        <v>1.5</v>
      </c>
      <c r="H9117" s="60">
        <v>1.0</v>
      </c>
      <c r="I9117" s="60">
        <v>0.0</v>
      </c>
      <c r="J9117" s="59">
        <v>0.0</v>
      </c>
      <c r="K9117" s="61">
        <f t="shared" si="1"/>
        <v>0</v>
      </c>
      <c r="L9117" s="62">
        <f t="shared" si="2"/>
        <v>0</v>
      </c>
    </row>
    <row r="9118">
      <c r="A9118" s="58">
        <v>45292.0</v>
      </c>
      <c r="B9118" s="24" t="s">
        <v>6787</v>
      </c>
      <c r="C9118" s="24" t="s">
        <v>7058</v>
      </c>
      <c r="D9118" s="59">
        <v>2.0</v>
      </c>
      <c r="E9118" s="59">
        <v>2.0</v>
      </c>
      <c r="F9118" s="59">
        <v>2.0</v>
      </c>
      <c r="G9118" s="60">
        <v>1.0</v>
      </c>
      <c r="H9118" s="60">
        <v>0.5</v>
      </c>
      <c r="I9118" s="60">
        <v>1.9969845</v>
      </c>
      <c r="J9118" s="59">
        <v>3.0</v>
      </c>
      <c r="K9118" s="61">
        <f t="shared" si="1"/>
        <v>1</v>
      </c>
      <c r="L9118" s="62">
        <f t="shared" si="2"/>
        <v>1.5</v>
      </c>
    </row>
    <row r="9119">
      <c r="A9119" s="58">
        <v>45292.0</v>
      </c>
      <c r="B9119" s="24" t="s">
        <v>6789</v>
      </c>
      <c r="C9119" s="24" t="s">
        <v>6833</v>
      </c>
      <c r="D9119" s="59">
        <v>2.0</v>
      </c>
      <c r="E9119" s="59">
        <v>2.0</v>
      </c>
      <c r="F9119" s="59">
        <v>2.0</v>
      </c>
      <c r="G9119" s="60">
        <v>1.0</v>
      </c>
      <c r="H9119" s="60">
        <v>0.0</v>
      </c>
      <c r="I9119" s="60">
        <v>36.19326</v>
      </c>
      <c r="J9119" s="59">
        <v>4.0</v>
      </c>
      <c r="K9119" s="61">
        <f t="shared" si="1"/>
        <v>1</v>
      </c>
      <c r="L9119" s="62">
        <f t="shared" si="2"/>
        <v>2</v>
      </c>
    </row>
    <row r="9120">
      <c r="A9120" s="58">
        <v>45292.0</v>
      </c>
      <c r="B9120" s="24" t="s">
        <v>6787</v>
      </c>
      <c r="C9120" s="24" t="s">
        <v>6819</v>
      </c>
      <c r="D9120" s="59">
        <v>2.0</v>
      </c>
      <c r="E9120" s="59">
        <v>2.0</v>
      </c>
      <c r="F9120" s="59">
        <v>2.0</v>
      </c>
      <c r="G9120" s="60">
        <v>1.0</v>
      </c>
      <c r="H9120" s="60">
        <v>0.5</v>
      </c>
      <c r="I9120" s="60">
        <v>2.4574765</v>
      </c>
      <c r="J9120" s="59">
        <v>3.0</v>
      </c>
      <c r="K9120" s="61">
        <f t="shared" si="1"/>
        <v>1</v>
      </c>
      <c r="L9120" s="62">
        <f t="shared" si="2"/>
        <v>1.5</v>
      </c>
    </row>
    <row r="9121">
      <c r="A9121" s="58">
        <v>45292.0</v>
      </c>
      <c r="B9121" s="24" t="s">
        <v>6787</v>
      </c>
      <c r="C9121" s="24" t="s">
        <v>6986</v>
      </c>
      <c r="D9121" s="59">
        <v>2.0</v>
      </c>
      <c r="E9121" s="59">
        <v>3.0</v>
      </c>
      <c r="F9121" s="59">
        <v>0.0</v>
      </c>
      <c r="G9121" s="60">
        <v>1.5</v>
      </c>
      <c r="H9121" s="60">
        <v>0.0</v>
      </c>
      <c r="I9121" s="60">
        <v>1201.164859</v>
      </c>
      <c r="J9121" s="59">
        <v>22.0</v>
      </c>
      <c r="K9121" s="61">
        <f t="shared" si="1"/>
        <v>0</v>
      </c>
      <c r="L9121" s="62">
        <f t="shared" si="2"/>
        <v>7.333333333</v>
      </c>
    </row>
    <row r="9122">
      <c r="A9122" s="58">
        <v>45292.0</v>
      </c>
      <c r="B9122" s="24" t="s">
        <v>6789</v>
      </c>
      <c r="C9122" s="24" t="s">
        <v>6986</v>
      </c>
      <c r="D9122" s="59">
        <v>2.0</v>
      </c>
      <c r="E9122" s="59">
        <v>3.0</v>
      </c>
      <c r="F9122" s="59">
        <v>2.0</v>
      </c>
      <c r="G9122" s="60">
        <v>1.5</v>
      </c>
      <c r="H9122" s="60">
        <v>0.0</v>
      </c>
      <c r="I9122" s="60">
        <v>7.09860466666666</v>
      </c>
      <c r="J9122" s="59">
        <v>10.0</v>
      </c>
      <c r="K9122" s="61">
        <f t="shared" si="1"/>
        <v>0.6666666667</v>
      </c>
      <c r="L9122" s="62">
        <f t="shared" si="2"/>
        <v>3.333333333</v>
      </c>
    </row>
    <row r="9123">
      <c r="A9123" s="58">
        <v>45292.0</v>
      </c>
      <c r="B9123" s="24" t="s">
        <v>155</v>
      </c>
      <c r="C9123" s="24" t="s">
        <v>7068</v>
      </c>
      <c r="D9123" s="59">
        <v>2.0</v>
      </c>
      <c r="E9123" s="59">
        <v>2.0</v>
      </c>
      <c r="F9123" s="59">
        <v>1.0</v>
      </c>
      <c r="G9123" s="60">
        <v>1.0</v>
      </c>
      <c r="H9123" s="60">
        <v>0.0</v>
      </c>
      <c r="I9123" s="60">
        <v>7.1739175</v>
      </c>
      <c r="J9123" s="59">
        <v>4.0</v>
      </c>
      <c r="K9123" s="61">
        <f t="shared" si="1"/>
        <v>0.5</v>
      </c>
      <c r="L9123" s="62">
        <f t="shared" si="2"/>
        <v>2</v>
      </c>
    </row>
    <row r="9124">
      <c r="A9124" s="58">
        <v>45292.0</v>
      </c>
      <c r="B9124" s="24" t="s">
        <v>6787</v>
      </c>
      <c r="C9124" s="24" t="s">
        <v>6835</v>
      </c>
      <c r="D9124" s="59">
        <v>2.0</v>
      </c>
      <c r="E9124" s="59">
        <v>3.0</v>
      </c>
      <c r="F9124" s="59">
        <v>1.0</v>
      </c>
      <c r="G9124" s="60">
        <v>1.5</v>
      </c>
      <c r="H9124" s="60">
        <v>0.0</v>
      </c>
      <c r="I9124" s="60">
        <v>10.5336856666666</v>
      </c>
      <c r="J9124" s="59">
        <v>6.0</v>
      </c>
      <c r="K9124" s="61">
        <f t="shared" si="1"/>
        <v>0.3333333333</v>
      </c>
      <c r="L9124" s="62">
        <f t="shared" si="2"/>
        <v>2</v>
      </c>
    </row>
    <row r="9125">
      <c r="A9125" s="58">
        <v>45292.0</v>
      </c>
      <c r="B9125" s="24" t="s">
        <v>6787</v>
      </c>
      <c r="C9125" s="24" t="s">
        <v>7072</v>
      </c>
      <c r="D9125" s="59">
        <v>2.0</v>
      </c>
      <c r="E9125" s="59">
        <v>2.0</v>
      </c>
      <c r="F9125" s="59">
        <v>2.0</v>
      </c>
      <c r="G9125" s="60">
        <v>1.0</v>
      </c>
      <c r="H9125" s="60">
        <v>1.0</v>
      </c>
      <c r="I9125" s="60">
        <v>0.0</v>
      </c>
      <c r="J9125" s="59">
        <v>2.0</v>
      </c>
      <c r="K9125" s="61">
        <f t="shared" si="1"/>
        <v>1</v>
      </c>
      <c r="L9125" s="62">
        <f t="shared" si="2"/>
        <v>1</v>
      </c>
    </row>
    <row r="9126">
      <c r="A9126" s="58">
        <v>45292.0</v>
      </c>
      <c r="B9126" s="24" t="s">
        <v>6789</v>
      </c>
      <c r="C9126" s="24" t="s">
        <v>7072</v>
      </c>
      <c r="D9126" s="59">
        <v>2.0</v>
      </c>
      <c r="E9126" s="59">
        <v>4.0</v>
      </c>
      <c r="F9126" s="59">
        <v>2.0</v>
      </c>
      <c r="G9126" s="60">
        <v>2.0</v>
      </c>
      <c r="H9126" s="60">
        <v>0.0</v>
      </c>
      <c r="I9126" s="60">
        <v>5.166642</v>
      </c>
      <c r="J9126" s="59">
        <v>8.0</v>
      </c>
      <c r="K9126" s="61">
        <f t="shared" si="1"/>
        <v>0.5</v>
      </c>
      <c r="L9126" s="62">
        <f t="shared" si="2"/>
        <v>2</v>
      </c>
    </row>
    <row r="9127">
      <c r="A9127" s="58">
        <v>45292.0</v>
      </c>
      <c r="B9127" s="24" t="s">
        <v>6789</v>
      </c>
      <c r="C9127" s="24" t="s">
        <v>7074</v>
      </c>
      <c r="D9127" s="59">
        <v>2.0</v>
      </c>
      <c r="E9127" s="59">
        <v>2.0</v>
      </c>
      <c r="F9127" s="59">
        <v>1.0</v>
      </c>
      <c r="G9127" s="60">
        <v>1.0</v>
      </c>
      <c r="H9127" s="60">
        <v>0.0</v>
      </c>
      <c r="I9127" s="60">
        <v>95.1009515</v>
      </c>
      <c r="J9127" s="59">
        <v>4.0</v>
      </c>
      <c r="K9127" s="61">
        <f t="shared" si="1"/>
        <v>0.5</v>
      </c>
      <c r="L9127" s="62">
        <f t="shared" si="2"/>
        <v>2</v>
      </c>
    </row>
    <row r="9128">
      <c r="A9128" s="58">
        <v>45292.0</v>
      </c>
      <c r="B9128" s="24" t="s">
        <v>7100</v>
      </c>
      <c r="C9128" s="24" t="s">
        <v>6886</v>
      </c>
      <c r="D9128" s="59">
        <v>2.0</v>
      </c>
      <c r="E9128" s="59">
        <v>2.0</v>
      </c>
      <c r="F9128" s="59">
        <v>0.0</v>
      </c>
      <c r="G9128" s="60">
        <v>1.0</v>
      </c>
      <c r="H9128" s="60">
        <v>0.0</v>
      </c>
      <c r="I9128" s="60">
        <v>319.7698915</v>
      </c>
      <c r="J9128" s="59">
        <v>18.0</v>
      </c>
      <c r="K9128" s="61">
        <f t="shared" si="1"/>
        <v>0</v>
      </c>
      <c r="L9128" s="62">
        <f t="shared" si="2"/>
        <v>9</v>
      </c>
    </row>
    <row r="9129">
      <c r="A9129" s="58">
        <v>45292.0</v>
      </c>
      <c r="B9129" s="24" t="s">
        <v>6794</v>
      </c>
      <c r="C9129" s="24" t="s">
        <v>6799</v>
      </c>
      <c r="D9129" s="59">
        <v>2.0</v>
      </c>
      <c r="E9129" s="59">
        <v>2.0</v>
      </c>
      <c r="F9129" s="59">
        <v>0.0</v>
      </c>
      <c r="G9129" s="60">
        <v>1.0</v>
      </c>
      <c r="H9129" s="60">
        <v>0.0</v>
      </c>
      <c r="I9129" s="60">
        <v>46.066717</v>
      </c>
      <c r="J9129" s="59">
        <v>8.0</v>
      </c>
      <c r="K9129" s="61">
        <f t="shared" si="1"/>
        <v>0</v>
      </c>
      <c r="L9129" s="62">
        <f t="shared" si="2"/>
        <v>4</v>
      </c>
    </row>
    <row r="9130">
      <c r="A9130" s="58">
        <v>45292.0</v>
      </c>
      <c r="B9130" s="24" t="s">
        <v>6787</v>
      </c>
      <c r="C9130" s="24" t="s">
        <v>6820</v>
      </c>
      <c r="D9130" s="59">
        <v>2.0</v>
      </c>
      <c r="E9130" s="59">
        <v>2.0</v>
      </c>
      <c r="F9130" s="59">
        <v>2.0</v>
      </c>
      <c r="G9130" s="60">
        <v>1.0</v>
      </c>
      <c r="H9130" s="60">
        <v>1.0</v>
      </c>
      <c r="I9130" s="60">
        <v>0.0</v>
      </c>
      <c r="J9130" s="59">
        <v>2.0</v>
      </c>
      <c r="K9130" s="61">
        <f t="shared" si="1"/>
        <v>1</v>
      </c>
      <c r="L9130" s="62">
        <f t="shared" si="2"/>
        <v>1</v>
      </c>
    </row>
    <row r="9131">
      <c r="A9131" s="58">
        <v>45292.0</v>
      </c>
      <c r="B9131" s="24" t="s">
        <v>6789</v>
      </c>
      <c r="C9131" s="24" t="s">
        <v>6822</v>
      </c>
      <c r="D9131" s="59">
        <v>2.0</v>
      </c>
      <c r="E9131" s="59">
        <v>2.0</v>
      </c>
      <c r="F9131" s="59">
        <v>0.0</v>
      </c>
      <c r="G9131" s="60">
        <v>1.0</v>
      </c>
      <c r="H9131" s="60">
        <v>0.0</v>
      </c>
      <c r="I9131" s="60">
        <v>296.412566499999</v>
      </c>
      <c r="J9131" s="59">
        <v>8.0</v>
      </c>
      <c r="K9131" s="61">
        <f t="shared" si="1"/>
        <v>0</v>
      </c>
      <c r="L9131" s="62">
        <f t="shared" si="2"/>
        <v>4</v>
      </c>
    </row>
    <row r="9132">
      <c r="A9132" s="58">
        <v>45292.0</v>
      </c>
      <c r="B9132" s="24" t="s">
        <v>6787</v>
      </c>
      <c r="C9132" s="24" t="s">
        <v>6892</v>
      </c>
      <c r="D9132" s="59">
        <v>2.0</v>
      </c>
      <c r="E9132" s="59">
        <v>2.0</v>
      </c>
      <c r="F9132" s="59">
        <v>2.0</v>
      </c>
      <c r="G9132" s="60">
        <v>1.0</v>
      </c>
      <c r="H9132" s="60">
        <v>0.5</v>
      </c>
      <c r="I9132" s="60">
        <v>5.8836605</v>
      </c>
      <c r="J9132" s="59">
        <v>3.0</v>
      </c>
      <c r="K9132" s="61">
        <f t="shared" si="1"/>
        <v>1</v>
      </c>
      <c r="L9132" s="62">
        <f t="shared" si="2"/>
        <v>1.5</v>
      </c>
    </row>
    <row r="9133">
      <c r="A9133" s="58">
        <v>45292.0</v>
      </c>
      <c r="B9133" s="24" t="s">
        <v>6787</v>
      </c>
      <c r="C9133" s="24" t="s">
        <v>6896</v>
      </c>
      <c r="D9133" s="59">
        <v>2.0</v>
      </c>
      <c r="E9133" s="59">
        <v>2.0</v>
      </c>
      <c r="F9133" s="59">
        <v>1.0</v>
      </c>
      <c r="G9133" s="60">
        <v>1.0</v>
      </c>
      <c r="H9133" s="60">
        <v>0.0</v>
      </c>
      <c r="I9133" s="60">
        <v>138.545944</v>
      </c>
      <c r="J9133" s="59">
        <v>4.0</v>
      </c>
      <c r="K9133" s="61">
        <f t="shared" si="1"/>
        <v>0.5</v>
      </c>
      <c r="L9133" s="62">
        <f t="shared" si="2"/>
        <v>2</v>
      </c>
    </row>
    <row r="9134">
      <c r="A9134" s="58">
        <v>45292.0</v>
      </c>
      <c r="B9134" s="24" t="s">
        <v>6787</v>
      </c>
      <c r="C9134" s="24" t="s">
        <v>7398</v>
      </c>
      <c r="D9134" s="59">
        <v>2.0</v>
      </c>
      <c r="E9134" s="59">
        <v>2.0</v>
      </c>
      <c r="F9134" s="59">
        <v>2.0</v>
      </c>
      <c r="G9134" s="60">
        <v>1.0</v>
      </c>
      <c r="H9134" s="60">
        <v>0.0</v>
      </c>
      <c r="I9134" s="60">
        <v>348.729345</v>
      </c>
      <c r="J9134" s="59">
        <v>8.0</v>
      </c>
      <c r="K9134" s="61">
        <f t="shared" si="1"/>
        <v>1</v>
      </c>
      <c r="L9134" s="62">
        <f t="shared" si="2"/>
        <v>4</v>
      </c>
    </row>
    <row r="9135">
      <c r="A9135" s="58">
        <v>45292.0</v>
      </c>
      <c r="B9135" s="24" t="s">
        <v>6789</v>
      </c>
      <c r="C9135" s="24" t="s">
        <v>7578</v>
      </c>
      <c r="D9135" s="59">
        <v>2.0</v>
      </c>
      <c r="E9135" s="59">
        <v>2.0</v>
      </c>
      <c r="F9135" s="59">
        <v>1.0</v>
      </c>
      <c r="G9135" s="60">
        <v>1.0</v>
      </c>
      <c r="H9135" s="60">
        <v>0.0</v>
      </c>
      <c r="I9135" s="60">
        <v>262.1731945</v>
      </c>
      <c r="J9135" s="59">
        <v>4.0</v>
      </c>
      <c r="K9135" s="61">
        <f t="shared" si="1"/>
        <v>0.5</v>
      </c>
      <c r="L9135" s="62">
        <f t="shared" si="2"/>
        <v>2</v>
      </c>
    </row>
    <row r="9136">
      <c r="A9136" s="58">
        <v>45292.0</v>
      </c>
      <c r="B9136" s="24" t="s">
        <v>6789</v>
      </c>
      <c r="C9136" s="24" t="s">
        <v>7207</v>
      </c>
      <c r="D9136" s="59">
        <v>2.0</v>
      </c>
      <c r="E9136" s="59">
        <v>2.0</v>
      </c>
      <c r="F9136" s="59">
        <v>2.0</v>
      </c>
      <c r="G9136" s="60">
        <v>1.0</v>
      </c>
      <c r="H9136" s="60">
        <v>1.0</v>
      </c>
      <c r="I9136" s="60">
        <v>0.0</v>
      </c>
      <c r="J9136" s="59">
        <v>2.0</v>
      </c>
      <c r="K9136" s="61">
        <f t="shared" si="1"/>
        <v>1</v>
      </c>
      <c r="L9136" s="62">
        <f t="shared" si="2"/>
        <v>1</v>
      </c>
    </row>
    <row r="9137">
      <c r="A9137" s="58">
        <v>45292.0</v>
      </c>
      <c r="B9137" s="24" t="s">
        <v>6789</v>
      </c>
      <c r="C9137" s="24" t="s">
        <v>7087</v>
      </c>
      <c r="D9137" s="59">
        <v>2.0</v>
      </c>
      <c r="E9137" s="59">
        <v>2.0</v>
      </c>
      <c r="F9137" s="59">
        <v>2.0</v>
      </c>
      <c r="G9137" s="60">
        <v>1.0</v>
      </c>
      <c r="H9137" s="60">
        <v>0.0</v>
      </c>
      <c r="I9137" s="60">
        <v>49.2853664999999</v>
      </c>
      <c r="J9137" s="59">
        <v>4.0</v>
      </c>
      <c r="K9137" s="61">
        <f t="shared" si="1"/>
        <v>1</v>
      </c>
      <c r="L9137" s="62">
        <f t="shared" si="2"/>
        <v>2</v>
      </c>
    </row>
    <row r="9138">
      <c r="A9138" s="58">
        <v>45292.0</v>
      </c>
      <c r="B9138" s="24" t="s">
        <v>6789</v>
      </c>
      <c r="C9138" s="24" t="s">
        <v>6800</v>
      </c>
      <c r="D9138" s="59">
        <v>2.0</v>
      </c>
      <c r="E9138" s="59">
        <v>2.0</v>
      </c>
      <c r="F9138" s="59">
        <v>1.0</v>
      </c>
      <c r="G9138" s="60">
        <v>1.0</v>
      </c>
      <c r="H9138" s="60">
        <v>0.0</v>
      </c>
      <c r="I9138" s="60">
        <v>450.3352505</v>
      </c>
      <c r="J9138" s="59">
        <v>4.0</v>
      </c>
      <c r="K9138" s="61">
        <f t="shared" si="1"/>
        <v>0.5</v>
      </c>
      <c r="L9138" s="62">
        <f t="shared" si="2"/>
        <v>2</v>
      </c>
    </row>
    <row r="9139">
      <c r="A9139" s="58">
        <v>45292.0</v>
      </c>
      <c r="B9139" s="24" t="s">
        <v>6789</v>
      </c>
      <c r="C9139" s="24" t="s">
        <v>7013</v>
      </c>
      <c r="D9139" s="59">
        <v>2.0</v>
      </c>
      <c r="E9139" s="59">
        <v>2.0</v>
      </c>
      <c r="F9139" s="59">
        <v>1.0</v>
      </c>
      <c r="G9139" s="60">
        <v>1.0</v>
      </c>
      <c r="H9139" s="60">
        <v>0.0</v>
      </c>
      <c r="I9139" s="60">
        <v>3.451856</v>
      </c>
      <c r="J9139" s="59">
        <v>4.0</v>
      </c>
      <c r="K9139" s="61">
        <f t="shared" si="1"/>
        <v>0.5</v>
      </c>
      <c r="L9139" s="62">
        <f t="shared" si="2"/>
        <v>2</v>
      </c>
    </row>
    <row r="9140">
      <c r="A9140" s="58">
        <v>45292.0</v>
      </c>
      <c r="B9140" s="24" t="s">
        <v>6789</v>
      </c>
      <c r="C9140" s="24" t="s">
        <v>7044</v>
      </c>
      <c r="D9140" s="59">
        <v>2.0</v>
      </c>
      <c r="E9140" s="59">
        <v>2.0</v>
      </c>
      <c r="F9140" s="59">
        <v>2.0</v>
      </c>
      <c r="G9140" s="60">
        <v>1.0</v>
      </c>
      <c r="H9140" s="60">
        <v>0.0</v>
      </c>
      <c r="I9140" s="60">
        <v>375.4048535</v>
      </c>
      <c r="J9140" s="59">
        <v>14.0</v>
      </c>
      <c r="K9140" s="61">
        <f t="shared" si="1"/>
        <v>1</v>
      </c>
      <c r="L9140" s="62">
        <f t="shared" si="2"/>
        <v>7</v>
      </c>
    </row>
    <row r="9141">
      <c r="A9141" s="58">
        <v>45292.0</v>
      </c>
      <c r="B9141" s="24" t="s">
        <v>6789</v>
      </c>
      <c r="C9141" s="24" t="s">
        <v>6908</v>
      </c>
      <c r="D9141" s="59">
        <v>2.0</v>
      </c>
      <c r="E9141" s="59">
        <v>2.0</v>
      </c>
      <c r="F9141" s="59">
        <v>0.0</v>
      </c>
      <c r="G9141" s="60">
        <v>1.0</v>
      </c>
      <c r="H9141" s="60">
        <v>0.0</v>
      </c>
      <c r="I9141" s="60">
        <v>1204.298914</v>
      </c>
      <c r="J9141" s="59">
        <v>22.0</v>
      </c>
      <c r="K9141" s="61">
        <f t="shared" si="1"/>
        <v>0</v>
      </c>
      <c r="L9141" s="62">
        <f t="shared" si="2"/>
        <v>11</v>
      </c>
    </row>
    <row r="9142">
      <c r="A9142" s="58">
        <v>45292.0</v>
      </c>
      <c r="B9142" s="24" t="s">
        <v>7100</v>
      </c>
      <c r="C9142" s="24" t="s">
        <v>7172</v>
      </c>
      <c r="D9142" s="59">
        <v>2.0</v>
      </c>
      <c r="E9142" s="59">
        <v>2.0</v>
      </c>
      <c r="F9142" s="59">
        <v>2.0</v>
      </c>
      <c r="G9142" s="60">
        <v>1.0</v>
      </c>
      <c r="H9142" s="60">
        <v>0.5</v>
      </c>
      <c r="I9142" s="60">
        <v>5.0065545</v>
      </c>
      <c r="J9142" s="59">
        <v>7.0</v>
      </c>
      <c r="K9142" s="61">
        <f t="shared" si="1"/>
        <v>1</v>
      </c>
      <c r="L9142" s="62">
        <f t="shared" si="2"/>
        <v>3.5</v>
      </c>
    </row>
    <row r="9143">
      <c r="A9143" s="58">
        <v>45292.0</v>
      </c>
      <c r="B9143" s="24" t="s">
        <v>6794</v>
      </c>
      <c r="C9143" s="24" t="s">
        <v>7313</v>
      </c>
      <c r="D9143" s="59">
        <v>2.0</v>
      </c>
      <c r="E9143" s="59">
        <v>2.0</v>
      </c>
      <c r="F9143" s="59">
        <v>0.0</v>
      </c>
      <c r="G9143" s="60">
        <v>1.0</v>
      </c>
      <c r="H9143" s="60">
        <v>0.0</v>
      </c>
      <c r="I9143" s="60">
        <v>23.5570365</v>
      </c>
      <c r="J9143" s="59">
        <v>4.0</v>
      </c>
      <c r="K9143" s="61">
        <f t="shared" si="1"/>
        <v>0</v>
      </c>
      <c r="L9143" s="62">
        <f t="shared" si="2"/>
        <v>2</v>
      </c>
    </row>
    <row r="9144">
      <c r="A9144" s="58">
        <v>45292.0</v>
      </c>
      <c r="B9144" s="24" t="s">
        <v>155</v>
      </c>
      <c r="C9144" s="24" t="s">
        <v>7313</v>
      </c>
      <c r="D9144" s="59">
        <v>2.0</v>
      </c>
      <c r="E9144" s="59">
        <v>3.0</v>
      </c>
      <c r="F9144" s="59">
        <v>1.0</v>
      </c>
      <c r="G9144" s="60">
        <v>1.5</v>
      </c>
      <c r="H9144" s="60">
        <v>0.0</v>
      </c>
      <c r="I9144" s="60">
        <v>34.8390686666666</v>
      </c>
      <c r="J9144" s="59">
        <v>8.0</v>
      </c>
      <c r="K9144" s="61">
        <f t="shared" si="1"/>
        <v>0.3333333333</v>
      </c>
      <c r="L9144" s="62">
        <f t="shared" si="2"/>
        <v>2.666666667</v>
      </c>
    </row>
    <row r="9145">
      <c r="A9145" s="58">
        <v>45292.0</v>
      </c>
      <c r="B9145" s="24" t="s">
        <v>6789</v>
      </c>
      <c r="C9145" s="24" t="s">
        <v>7174</v>
      </c>
      <c r="D9145" s="59">
        <v>2.0</v>
      </c>
      <c r="E9145" s="59">
        <v>2.0</v>
      </c>
      <c r="F9145" s="59">
        <v>2.0</v>
      </c>
      <c r="G9145" s="60">
        <v>1.0</v>
      </c>
      <c r="H9145" s="60">
        <v>0.0</v>
      </c>
      <c r="I9145" s="60">
        <v>52.7132175</v>
      </c>
      <c r="J9145" s="59">
        <v>10.0</v>
      </c>
      <c r="K9145" s="61">
        <f t="shared" si="1"/>
        <v>1</v>
      </c>
      <c r="L9145" s="62">
        <f t="shared" si="2"/>
        <v>5</v>
      </c>
    </row>
    <row r="9146">
      <c r="A9146" s="58">
        <v>45292.0</v>
      </c>
      <c r="B9146" s="24" t="s">
        <v>6787</v>
      </c>
      <c r="C9146" s="24" t="s">
        <v>7192</v>
      </c>
      <c r="D9146" s="59">
        <v>2.0</v>
      </c>
      <c r="E9146" s="59">
        <v>2.0</v>
      </c>
      <c r="F9146" s="59">
        <v>1.0</v>
      </c>
      <c r="G9146" s="60">
        <v>1.0</v>
      </c>
      <c r="H9146" s="60">
        <v>0.0</v>
      </c>
      <c r="I9146" s="60">
        <v>966.504688</v>
      </c>
      <c r="J9146" s="59">
        <v>16.0</v>
      </c>
      <c r="K9146" s="61">
        <f t="shared" si="1"/>
        <v>0.5</v>
      </c>
      <c r="L9146" s="62">
        <f t="shared" si="2"/>
        <v>8</v>
      </c>
    </row>
    <row r="9147">
      <c r="A9147" s="58">
        <v>45292.0</v>
      </c>
      <c r="B9147" s="24" t="s">
        <v>6787</v>
      </c>
      <c r="C9147" s="24" t="s">
        <v>7027</v>
      </c>
      <c r="D9147" s="59">
        <v>2.0</v>
      </c>
      <c r="E9147" s="59">
        <v>2.0</v>
      </c>
      <c r="F9147" s="59">
        <v>1.0</v>
      </c>
      <c r="G9147" s="60">
        <v>1.0</v>
      </c>
      <c r="H9147" s="60">
        <v>0.0</v>
      </c>
      <c r="I9147" s="60">
        <v>248.562383</v>
      </c>
      <c r="J9147" s="59">
        <v>14.0</v>
      </c>
      <c r="K9147" s="61">
        <f t="shared" si="1"/>
        <v>0.5</v>
      </c>
      <c r="L9147" s="62">
        <f t="shared" si="2"/>
        <v>7</v>
      </c>
    </row>
    <row r="9148">
      <c r="A9148" s="58">
        <v>45292.0</v>
      </c>
      <c r="B9148" s="24" t="s">
        <v>6794</v>
      </c>
      <c r="C9148" s="24" t="s">
        <v>7180</v>
      </c>
      <c r="D9148" s="59">
        <v>2.0</v>
      </c>
      <c r="E9148" s="59">
        <v>4.0</v>
      </c>
      <c r="F9148" s="59">
        <v>2.0</v>
      </c>
      <c r="G9148" s="60">
        <v>2.0</v>
      </c>
      <c r="H9148" s="60">
        <v>0.0</v>
      </c>
      <c r="I9148" s="60">
        <v>788.246057249999</v>
      </c>
      <c r="J9148" s="59">
        <v>12.0</v>
      </c>
      <c r="K9148" s="61">
        <f t="shared" si="1"/>
        <v>0.5</v>
      </c>
      <c r="L9148" s="62">
        <f t="shared" si="2"/>
        <v>3</v>
      </c>
    </row>
    <row r="9149">
      <c r="A9149" s="58">
        <v>45292.0</v>
      </c>
      <c r="B9149" s="24" t="s">
        <v>6794</v>
      </c>
      <c r="C9149" s="24" t="s">
        <v>6815</v>
      </c>
      <c r="D9149" s="59">
        <v>2.0</v>
      </c>
      <c r="E9149" s="59">
        <v>3.0</v>
      </c>
      <c r="F9149" s="59">
        <v>2.0</v>
      </c>
      <c r="G9149" s="60">
        <v>1.5</v>
      </c>
      <c r="H9149" s="60">
        <v>0.0</v>
      </c>
      <c r="I9149" s="60">
        <v>57.0387736666666</v>
      </c>
      <c r="J9149" s="59">
        <v>6.0</v>
      </c>
      <c r="K9149" s="61">
        <f t="shared" si="1"/>
        <v>0.6666666667</v>
      </c>
      <c r="L9149" s="62">
        <f t="shared" si="2"/>
        <v>2</v>
      </c>
    </row>
    <row r="9150">
      <c r="A9150" s="58">
        <v>45292.0</v>
      </c>
      <c r="B9150" s="24" t="s">
        <v>6787</v>
      </c>
      <c r="C9150" s="24" t="s">
        <v>6921</v>
      </c>
      <c r="D9150" s="59">
        <v>2.0</v>
      </c>
      <c r="E9150" s="59">
        <v>2.0</v>
      </c>
      <c r="F9150" s="59">
        <v>2.0</v>
      </c>
      <c r="G9150" s="60">
        <v>1.0</v>
      </c>
      <c r="H9150" s="60">
        <v>0.5</v>
      </c>
      <c r="I9150" s="60">
        <v>2.3591125</v>
      </c>
      <c r="J9150" s="59">
        <v>3.0</v>
      </c>
      <c r="K9150" s="61">
        <f t="shared" si="1"/>
        <v>1</v>
      </c>
      <c r="L9150" s="62">
        <f t="shared" si="2"/>
        <v>1.5</v>
      </c>
    </row>
    <row r="9151">
      <c r="A9151" s="58">
        <v>45292.0</v>
      </c>
      <c r="B9151" s="24" t="s">
        <v>6789</v>
      </c>
      <c r="C9151" s="24" t="s">
        <v>6921</v>
      </c>
      <c r="D9151" s="59">
        <v>2.0</v>
      </c>
      <c r="E9151" s="59">
        <v>2.0</v>
      </c>
      <c r="F9151" s="59">
        <v>1.0</v>
      </c>
      <c r="G9151" s="60">
        <v>1.0</v>
      </c>
      <c r="H9151" s="60">
        <v>0.0</v>
      </c>
      <c r="I9151" s="60">
        <v>19.258802</v>
      </c>
      <c r="J9151" s="59">
        <v>8.0</v>
      </c>
      <c r="K9151" s="61">
        <f t="shared" si="1"/>
        <v>0.5</v>
      </c>
      <c r="L9151" s="62">
        <f t="shared" si="2"/>
        <v>4</v>
      </c>
    </row>
    <row r="9152">
      <c r="A9152" s="58">
        <v>45292.0</v>
      </c>
      <c r="B9152" s="24" t="s">
        <v>6789</v>
      </c>
      <c r="C9152" s="24" t="s">
        <v>6922</v>
      </c>
      <c r="D9152" s="59">
        <v>2.0</v>
      </c>
      <c r="E9152" s="59">
        <v>2.0</v>
      </c>
      <c r="F9152" s="59">
        <v>0.0</v>
      </c>
      <c r="G9152" s="60">
        <v>1.0</v>
      </c>
      <c r="H9152" s="60">
        <v>0.0</v>
      </c>
      <c r="I9152" s="60">
        <v>4.9608835</v>
      </c>
      <c r="J9152" s="59">
        <v>4.0</v>
      </c>
      <c r="K9152" s="61">
        <f t="shared" si="1"/>
        <v>0</v>
      </c>
      <c r="L9152" s="62">
        <f t="shared" si="2"/>
        <v>2</v>
      </c>
    </row>
    <row r="9153">
      <c r="A9153" s="58">
        <v>45292.0</v>
      </c>
      <c r="B9153" s="24" t="s">
        <v>6787</v>
      </c>
      <c r="C9153" s="24" t="s">
        <v>6797</v>
      </c>
      <c r="D9153" s="59">
        <v>2.0</v>
      </c>
      <c r="E9153" s="59">
        <v>2.0</v>
      </c>
      <c r="F9153" s="59">
        <v>2.0</v>
      </c>
      <c r="G9153" s="60">
        <v>1.0</v>
      </c>
      <c r="H9153" s="60">
        <v>0.5</v>
      </c>
      <c r="I9153" s="60">
        <v>2.609042</v>
      </c>
      <c r="J9153" s="59">
        <v>3.0</v>
      </c>
      <c r="K9153" s="61">
        <f t="shared" si="1"/>
        <v>1</v>
      </c>
      <c r="L9153" s="62">
        <f t="shared" si="2"/>
        <v>1.5</v>
      </c>
    </row>
    <row r="9154">
      <c r="A9154" s="58">
        <v>45292.0</v>
      </c>
      <c r="B9154" s="24" t="s">
        <v>6789</v>
      </c>
      <c r="C9154" s="24" t="s">
        <v>6797</v>
      </c>
      <c r="D9154" s="59">
        <v>2.0</v>
      </c>
      <c r="E9154" s="59">
        <v>2.0</v>
      </c>
      <c r="F9154" s="59">
        <v>0.0</v>
      </c>
      <c r="G9154" s="60">
        <v>1.0</v>
      </c>
      <c r="H9154" s="60">
        <v>0.0</v>
      </c>
      <c r="I9154" s="60">
        <v>28.888446</v>
      </c>
      <c r="J9154" s="59">
        <v>6.0</v>
      </c>
      <c r="K9154" s="61">
        <f t="shared" si="1"/>
        <v>0</v>
      </c>
      <c r="L9154" s="62">
        <f t="shared" si="2"/>
        <v>3</v>
      </c>
    </row>
    <row r="9155">
      <c r="A9155" s="58">
        <v>45292.0</v>
      </c>
      <c r="B9155" s="24" t="s">
        <v>6789</v>
      </c>
      <c r="C9155" s="24" t="s">
        <v>6810</v>
      </c>
      <c r="D9155" s="59">
        <v>2.0</v>
      </c>
      <c r="E9155" s="59">
        <v>2.0</v>
      </c>
      <c r="F9155" s="59">
        <v>1.0</v>
      </c>
      <c r="G9155" s="60">
        <v>1.0</v>
      </c>
      <c r="H9155" s="60">
        <v>0.0</v>
      </c>
      <c r="I9155" s="60">
        <v>47.535206</v>
      </c>
      <c r="J9155" s="59">
        <v>6.0</v>
      </c>
      <c r="K9155" s="61">
        <f t="shared" si="1"/>
        <v>0.5</v>
      </c>
      <c r="L9155" s="62">
        <f t="shared" si="2"/>
        <v>3</v>
      </c>
    </row>
    <row r="9156">
      <c r="A9156" s="58">
        <v>45292.0</v>
      </c>
      <c r="B9156" s="24" t="s">
        <v>3216</v>
      </c>
      <c r="C9156" s="24" t="s">
        <v>6792</v>
      </c>
      <c r="D9156" s="59">
        <v>1.0</v>
      </c>
      <c r="E9156" s="59">
        <v>1.0</v>
      </c>
      <c r="F9156" s="59">
        <v>0.0</v>
      </c>
      <c r="G9156" s="60">
        <v>1.0</v>
      </c>
      <c r="H9156" s="60">
        <v>1.0</v>
      </c>
      <c r="I9156" s="60">
        <v>0.0</v>
      </c>
      <c r="J9156" s="59">
        <v>0.0</v>
      </c>
      <c r="K9156" s="61">
        <f t="shared" si="1"/>
        <v>0</v>
      </c>
      <c r="L9156" s="62">
        <f t="shared" si="2"/>
        <v>0</v>
      </c>
    </row>
    <row r="9157">
      <c r="A9157" s="58">
        <v>45292.0</v>
      </c>
      <c r="B9157" s="24" t="s">
        <v>3216</v>
      </c>
      <c r="C9157" s="24" t="s">
        <v>6788</v>
      </c>
      <c r="D9157" s="59">
        <v>1.0</v>
      </c>
      <c r="E9157" s="59">
        <v>2.0</v>
      </c>
      <c r="F9157" s="59">
        <v>0.0</v>
      </c>
      <c r="G9157" s="60">
        <v>2.0</v>
      </c>
      <c r="H9157" s="60">
        <v>0.0</v>
      </c>
      <c r="I9157" s="60">
        <v>685.414225</v>
      </c>
      <c r="J9157" s="59">
        <v>6.0</v>
      </c>
      <c r="K9157" s="61">
        <f t="shared" si="1"/>
        <v>0</v>
      </c>
      <c r="L9157" s="62">
        <f t="shared" si="2"/>
        <v>3</v>
      </c>
    </row>
    <row r="9158">
      <c r="A9158" s="58">
        <v>45292.0</v>
      </c>
      <c r="B9158" s="24" t="s">
        <v>6787</v>
      </c>
      <c r="C9158" s="24" t="s">
        <v>7597</v>
      </c>
      <c r="D9158" s="59">
        <v>1.0</v>
      </c>
      <c r="E9158" s="59">
        <v>2.0</v>
      </c>
      <c r="F9158" s="59">
        <v>0.0</v>
      </c>
      <c r="G9158" s="60">
        <v>2.0</v>
      </c>
      <c r="H9158" s="60">
        <v>0.0</v>
      </c>
      <c r="I9158" s="60">
        <v>9.827192</v>
      </c>
      <c r="J9158" s="59">
        <v>6.0</v>
      </c>
      <c r="K9158" s="61">
        <f t="shared" si="1"/>
        <v>0</v>
      </c>
      <c r="L9158" s="62">
        <f t="shared" si="2"/>
        <v>3</v>
      </c>
    </row>
    <row r="9159">
      <c r="A9159" s="58">
        <v>45292.0</v>
      </c>
      <c r="B9159" s="24" t="s">
        <v>6789</v>
      </c>
      <c r="C9159" s="24" t="s">
        <v>7597</v>
      </c>
      <c r="D9159" s="59">
        <v>1.0</v>
      </c>
      <c r="E9159" s="59">
        <v>4.0</v>
      </c>
      <c r="F9159" s="59">
        <v>0.0</v>
      </c>
      <c r="G9159" s="60">
        <v>4.0</v>
      </c>
      <c r="H9159" s="60">
        <v>0.0</v>
      </c>
      <c r="I9159" s="60">
        <v>5.00023175</v>
      </c>
      <c r="J9159" s="59">
        <v>10.0</v>
      </c>
      <c r="K9159" s="61">
        <f t="shared" si="1"/>
        <v>0</v>
      </c>
      <c r="L9159" s="62">
        <f t="shared" si="2"/>
        <v>2.5</v>
      </c>
    </row>
    <row r="9160">
      <c r="A9160" s="58">
        <v>45292.0</v>
      </c>
      <c r="B9160" s="24" t="s">
        <v>7100</v>
      </c>
      <c r="C9160" s="24" t="s">
        <v>6803</v>
      </c>
      <c r="D9160" s="59">
        <v>1.0</v>
      </c>
      <c r="E9160" s="59">
        <v>3.0</v>
      </c>
      <c r="F9160" s="59">
        <v>0.0</v>
      </c>
      <c r="G9160" s="60">
        <v>3.0</v>
      </c>
      <c r="H9160" s="60">
        <v>0.0</v>
      </c>
      <c r="I9160" s="60">
        <v>3.000663</v>
      </c>
      <c r="J9160" s="59">
        <v>6.0</v>
      </c>
      <c r="K9160" s="61">
        <f t="shared" si="1"/>
        <v>0</v>
      </c>
      <c r="L9160" s="62">
        <f t="shared" si="2"/>
        <v>2</v>
      </c>
    </row>
    <row r="9161">
      <c r="A9161" s="58">
        <v>45292.0</v>
      </c>
      <c r="B9161" s="24" t="s">
        <v>6794</v>
      </c>
      <c r="C9161" s="24" t="s">
        <v>6817</v>
      </c>
      <c r="D9161" s="59">
        <v>1.0</v>
      </c>
      <c r="E9161" s="59">
        <v>1.0</v>
      </c>
      <c r="F9161" s="59">
        <v>0.0</v>
      </c>
      <c r="G9161" s="60">
        <v>1.0</v>
      </c>
      <c r="H9161" s="60">
        <v>0.0</v>
      </c>
      <c r="I9161" s="60">
        <v>4.940616</v>
      </c>
      <c r="J9161" s="59">
        <v>2.0</v>
      </c>
      <c r="K9161" s="61">
        <f t="shared" si="1"/>
        <v>0</v>
      </c>
      <c r="L9161" s="62">
        <f t="shared" si="2"/>
        <v>2</v>
      </c>
    </row>
    <row r="9162">
      <c r="A9162" s="58">
        <v>45292.0</v>
      </c>
      <c r="B9162" s="24" t="s">
        <v>155</v>
      </c>
      <c r="C9162" s="24" t="s">
        <v>6817</v>
      </c>
      <c r="D9162" s="59">
        <v>1.0</v>
      </c>
      <c r="E9162" s="59">
        <v>2.0</v>
      </c>
      <c r="F9162" s="59">
        <v>0.0</v>
      </c>
      <c r="G9162" s="60">
        <v>2.0</v>
      </c>
      <c r="H9162" s="60">
        <v>0.0</v>
      </c>
      <c r="I9162" s="60">
        <v>533.333724</v>
      </c>
      <c r="J9162" s="59">
        <v>10.0</v>
      </c>
      <c r="K9162" s="61">
        <f t="shared" si="1"/>
        <v>0</v>
      </c>
      <c r="L9162" s="62">
        <f t="shared" si="2"/>
        <v>5</v>
      </c>
    </row>
    <row r="9163">
      <c r="A9163" s="58">
        <v>45292.0</v>
      </c>
      <c r="B9163" s="24" t="s">
        <v>6787</v>
      </c>
      <c r="C9163" s="24" t="s">
        <v>6829</v>
      </c>
      <c r="D9163" s="59">
        <v>1.0</v>
      </c>
      <c r="E9163" s="59">
        <v>1.0</v>
      </c>
      <c r="F9163" s="59">
        <v>0.0</v>
      </c>
      <c r="G9163" s="60">
        <v>1.0</v>
      </c>
      <c r="H9163" s="60">
        <v>0.0</v>
      </c>
      <c r="I9163" s="60">
        <v>6.7293</v>
      </c>
      <c r="J9163" s="59">
        <v>2.0</v>
      </c>
      <c r="K9163" s="61">
        <f t="shared" si="1"/>
        <v>0</v>
      </c>
      <c r="L9163" s="62">
        <f t="shared" si="2"/>
        <v>2</v>
      </c>
    </row>
    <row r="9164">
      <c r="A9164" s="58">
        <v>45292.0</v>
      </c>
      <c r="B9164" s="24" t="s">
        <v>6794</v>
      </c>
      <c r="C9164" s="24" t="s">
        <v>7057</v>
      </c>
      <c r="D9164" s="59">
        <v>1.0</v>
      </c>
      <c r="E9164" s="59">
        <v>1.0</v>
      </c>
      <c r="F9164" s="59">
        <v>0.0</v>
      </c>
      <c r="G9164" s="60">
        <v>1.0</v>
      </c>
      <c r="H9164" s="60">
        <v>0.0</v>
      </c>
      <c r="I9164" s="60">
        <v>4.92269</v>
      </c>
      <c r="J9164" s="59">
        <v>2.0</v>
      </c>
      <c r="K9164" s="61">
        <f t="shared" si="1"/>
        <v>0</v>
      </c>
      <c r="L9164" s="62">
        <f t="shared" si="2"/>
        <v>2</v>
      </c>
    </row>
    <row r="9165">
      <c r="A9165" s="58">
        <v>45292.0</v>
      </c>
      <c r="B9165" s="24" t="s">
        <v>155</v>
      </c>
      <c r="C9165" s="24" t="s">
        <v>7058</v>
      </c>
      <c r="D9165" s="59">
        <v>1.0</v>
      </c>
      <c r="E9165" s="59">
        <v>1.0</v>
      </c>
      <c r="F9165" s="59">
        <v>1.0</v>
      </c>
      <c r="G9165" s="60">
        <v>1.0</v>
      </c>
      <c r="H9165" s="60">
        <v>0.0</v>
      </c>
      <c r="I9165" s="60">
        <v>78.069239</v>
      </c>
      <c r="J9165" s="59">
        <v>4.0</v>
      </c>
      <c r="K9165" s="61">
        <f t="shared" si="1"/>
        <v>1</v>
      </c>
      <c r="L9165" s="62">
        <f t="shared" si="2"/>
        <v>4</v>
      </c>
    </row>
    <row r="9166">
      <c r="A9166" s="58">
        <v>45292.0</v>
      </c>
      <c r="B9166" s="24" t="s">
        <v>6789</v>
      </c>
      <c r="C9166" s="24" t="s">
        <v>7060</v>
      </c>
      <c r="D9166" s="59">
        <v>1.0</v>
      </c>
      <c r="E9166" s="59">
        <v>1.0</v>
      </c>
      <c r="F9166" s="59">
        <v>1.0</v>
      </c>
      <c r="G9166" s="60">
        <v>1.0</v>
      </c>
      <c r="H9166" s="60">
        <v>0.0</v>
      </c>
      <c r="I9166" s="60">
        <v>5.738197</v>
      </c>
      <c r="J9166" s="59">
        <v>2.0</v>
      </c>
      <c r="K9166" s="61">
        <f t="shared" si="1"/>
        <v>1</v>
      </c>
      <c r="L9166" s="62">
        <f t="shared" si="2"/>
        <v>2</v>
      </c>
    </row>
    <row r="9167">
      <c r="A9167" s="58">
        <v>45292.0</v>
      </c>
      <c r="B9167" s="24" t="s">
        <v>155</v>
      </c>
      <c r="C9167" s="24" t="s">
        <v>6986</v>
      </c>
      <c r="D9167" s="59">
        <v>1.0</v>
      </c>
      <c r="E9167" s="59">
        <v>2.0</v>
      </c>
      <c r="F9167" s="59">
        <v>0.0</v>
      </c>
      <c r="G9167" s="60">
        <v>2.0</v>
      </c>
      <c r="H9167" s="60">
        <v>0.0</v>
      </c>
      <c r="I9167" s="60">
        <v>5.8162795</v>
      </c>
      <c r="J9167" s="59">
        <v>4.0</v>
      </c>
      <c r="K9167" s="61">
        <f t="shared" si="1"/>
        <v>0</v>
      </c>
      <c r="L9167" s="62">
        <f t="shared" si="2"/>
        <v>2</v>
      </c>
    </row>
    <row r="9168">
      <c r="A9168" s="58">
        <v>45292.0</v>
      </c>
      <c r="B9168" s="24" t="s">
        <v>6790</v>
      </c>
      <c r="C9168" s="24" t="s">
        <v>6986</v>
      </c>
      <c r="D9168" s="59">
        <v>1.0</v>
      </c>
      <c r="E9168" s="59">
        <v>1.0</v>
      </c>
      <c r="F9168" s="59">
        <v>0.0</v>
      </c>
      <c r="G9168" s="60">
        <v>1.0</v>
      </c>
      <c r="H9168" s="60">
        <v>1.0</v>
      </c>
      <c r="I9168" s="60">
        <v>5.013866</v>
      </c>
      <c r="J9168" s="59">
        <v>2.0</v>
      </c>
      <c r="K9168" s="61">
        <f t="shared" si="1"/>
        <v>0</v>
      </c>
      <c r="L9168" s="62">
        <f t="shared" si="2"/>
        <v>2</v>
      </c>
    </row>
    <row r="9169">
      <c r="A9169" s="58">
        <v>45292.0</v>
      </c>
      <c r="B9169" s="24" t="s">
        <v>6789</v>
      </c>
      <c r="C9169" s="24" t="s">
        <v>6988</v>
      </c>
      <c r="D9169" s="59">
        <v>1.0</v>
      </c>
      <c r="E9169" s="59">
        <v>1.0</v>
      </c>
      <c r="F9169" s="59">
        <v>1.0</v>
      </c>
      <c r="G9169" s="60">
        <v>1.0</v>
      </c>
      <c r="H9169" s="60">
        <v>0.0</v>
      </c>
      <c r="I9169" s="60">
        <v>285.951521</v>
      </c>
      <c r="J9169" s="59">
        <v>2.0</v>
      </c>
      <c r="K9169" s="61">
        <f t="shared" si="1"/>
        <v>1</v>
      </c>
      <c r="L9169" s="62">
        <f t="shared" si="2"/>
        <v>2</v>
      </c>
    </row>
    <row r="9170">
      <c r="A9170" s="58">
        <v>45292.0</v>
      </c>
      <c r="B9170" s="24" t="s">
        <v>155</v>
      </c>
      <c r="C9170" s="24" t="s">
        <v>7063</v>
      </c>
      <c r="D9170" s="59">
        <v>1.0</v>
      </c>
      <c r="E9170" s="59">
        <v>1.0</v>
      </c>
      <c r="F9170" s="59">
        <v>1.0</v>
      </c>
      <c r="G9170" s="60">
        <v>1.0</v>
      </c>
      <c r="H9170" s="60">
        <v>0.0</v>
      </c>
      <c r="I9170" s="60">
        <v>442.198071</v>
      </c>
      <c r="J9170" s="59">
        <v>6.0</v>
      </c>
      <c r="K9170" s="61">
        <f t="shared" si="1"/>
        <v>1</v>
      </c>
      <c r="L9170" s="62">
        <f t="shared" si="2"/>
        <v>6</v>
      </c>
    </row>
    <row r="9171">
      <c r="A9171" s="58">
        <v>45292.0</v>
      </c>
      <c r="B9171" s="24" t="s">
        <v>6789</v>
      </c>
      <c r="C9171" s="24" t="s">
        <v>7064</v>
      </c>
      <c r="D9171" s="59">
        <v>1.0</v>
      </c>
      <c r="E9171" s="59">
        <v>1.0</v>
      </c>
      <c r="F9171" s="59">
        <v>0.0</v>
      </c>
      <c r="G9171" s="60">
        <v>1.0</v>
      </c>
      <c r="H9171" s="60">
        <v>0.0</v>
      </c>
      <c r="I9171" s="60">
        <v>16.300081</v>
      </c>
      <c r="J9171" s="59">
        <v>2.0</v>
      </c>
      <c r="K9171" s="61">
        <f t="shared" si="1"/>
        <v>0</v>
      </c>
      <c r="L9171" s="62">
        <f t="shared" si="2"/>
        <v>2</v>
      </c>
    </row>
    <row r="9172">
      <c r="A9172" s="58">
        <v>45292.0</v>
      </c>
      <c r="B9172" s="24" t="s">
        <v>6789</v>
      </c>
      <c r="C9172" s="24" t="s">
        <v>7067</v>
      </c>
      <c r="D9172" s="59">
        <v>1.0</v>
      </c>
      <c r="E9172" s="59">
        <v>1.0</v>
      </c>
      <c r="F9172" s="59">
        <v>1.0</v>
      </c>
      <c r="G9172" s="60">
        <v>1.0</v>
      </c>
      <c r="H9172" s="60">
        <v>0.0</v>
      </c>
      <c r="I9172" s="60">
        <v>48.359925</v>
      </c>
      <c r="J9172" s="59">
        <v>4.0</v>
      </c>
      <c r="K9172" s="61">
        <f t="shared" si="1"/>
        <v>1</v>
      </c>
      <c r="L9172" s="62">
        <f t="shared" si="2"/>
        <v>4</v>
      </c>
    </row>
    <row r="9173">
      <c r="A9173" s="58">
        <v>45292.0</v>
      </c>
      <c r="B9173" s="24" t="s">
        <v>7100</v>
      </c>
      <c r="C9173" s="24" t="s">
        <v>7068</v>
      </c>
      <c r="D9173" s="59">
        <v>1.0</v>
      </c>
      <c r="E9173" s="59">
        <v>2.0</v>
      </c>
      <c r="F9173" s="59">
        <v>0.0</v>
      </c>
      <c r="G9173" s="60">
        <v>2.0</v>
      </c>
      <c r="H9173" s="60">
        <v>0.0</v>
      </c>
      <c r="I9173" s="60">
        <v>608.01126</v>
      </c>
      <c r="J9173" s="59">
        <v>8.0</v>
      </c>
      <c r="K9173" s="61">
        <f t="shared" si="1"/>
        <v>0</v>
      </c>
      <c r="L9173" s="62">
        <f t="shared" si="2"/>
        <v>4</v>
      </c>
    </row>
    <row r="9174">
      <c r="A9174" s="58">
        <v>45292.0</v>
      </c>
      <c r="B9174" s="24" t="s">
        <v>6787</v>
      </c>
      <c r="C9174" s="24" t="s">
        <v>6991</v>
      </c>
      <c r="D9174" s="59">
        <v>1.0</v>
      </c>
      <c r="E9174" s="59">
        <v>1.0</v>
      </c>
      <c r="F9174" s="59">
        <v>1.0</v>
      </c>
      <c r="G9174" s="60">
        <v>1.0</v>
      </c>
      <c r="H9174" s="60">
        <v>1.0</v>
      </c>
      <c r="I9174" s="60">
        <v>0.0</v>
      </c>
      <c r="J9174" s="59">
        <v>1.0</v>
      </c>
      <c r="K9174" s="61">
        <f t="shared" si="1"/>
        <v>1</v>
      </c>
      <c r="L9174" s="62">
        <f t="shared" si="2"/>
        <v>1</v>
      </c>
    </row>
    <row r="9175">
      <c r="A9175" s="58">
        <v>45292.0</v>
      </c>
      <c r="B9175" s="24" t="s">
        <v>6787</v>
      </c>
      <c r="C9175" s="24" t="s">
        <v>6994</v>
      </c>
      <c r="D9175" s="59">
        <v>1.0</v>
      </c>
      <c r="E9175" s="59">
        <v>1.0</v>
      </c>
      <c r="F9175" s="59">
        <v>1.0</v>
      </c>
      <c r="G9175" s="60">
        <v>1.0</v>
      </c>
      <c r="H9175" s="60">
        <v>1.0</v>
      </c>
      <c r="I9175" s="60">
        <v>0.0</v>
      </c>
      <c r="J9175" s="59">
        <v>1.0</v>
      </c>
      <c r="K9175" s="61">
        <f t="shared" si="1"/>
        <v>1</v>
      </c>
      <c r="L9175" s="62">
        <f t="shared" si="2"/>
        <v>1</v>
      </c>
    </row>
    <row r="9176">
      <c r="A9176" s="58">
        <v>45292.0</v>
      </c>
      <c r="B9176" s="24" t="s">
        <v>6942</v>
      </c>
      <c r="C9176" s="24" t="s">
        <v>6886</v>
      </c>
      <c r="D9176" s="59">
        <v>1.0</v>
      </c>
      <c r="E9176" s="59">
        <v>1.0</v>
      </c>
      <c r="F9176" s="59">
        <v>1.0</v>
      </c>
      <c r="G9176" s="60">
        <v>1.0</v>
      </c>
      <c r="H9176" s="60">
        <v>1.0</v>
      </c>
      <c r="I9176" s="60">
        <v>0.0</v>
      </c>
      <c r="J9176" s="59">
        <v>1.0</v>
      </c>
      <c r="K9176" s="61">
        <f t="shared" si="1"/>
        <v>1</v>
      </c>
      <c r="L9176" s="62">
        <f t="shared" si="2"/>
        <v>1</v>
      </c>
    </row>
    <row r="9177">
      <c r="A9177" s="58">
        <v>45292.0</v>
      </c>
      <c r="B9177" s="24" t="s">
        <v>6791</v>
      </c>
      <c r="C9177" s="24" t="s">
        <v>6886</v>
      </c>
      <c r="D9177" s="59">
        <v>1.0</v>
      </c>
      <c r="E9177" s="59">
        <v>1.0</v>
      </c>
      <c r="F9177" s="59">
        <v>1.0</v>
      </c>
      <c r="G9177" s="60">
        <v>1.0</v>
      </c>
      <c r="H9177" s="60">
        <v>0.0</v>
      </c>
      <c r="I9177" s="60">
        <v>31.599689</v>
      </c>
      <c r="J9177" s="59">
        <v>2.0</v>
      </c>
      <c r="K9177" s="61">
        <f t="shared" si="1"/>
        <v>1</v>
      </c>
      <c r="L9177" s="62">
        <f t="shared" si="2"/>
        <v>2</v>
      </c>
    </row>
    <row r="9178">
      <c r="A9178" s="58">
        <v>45292.0</v>
      </c>
      <c r="B9178" s="24" t="s">
        <v>6791</v>
      </c>
      <c r="C9178" s="24" t="s">
        <v>6799</v>
      </c>
      <c r="D9178" s="59">
        <v>1.0</v>
      </c>
      <c r="E9178" s="59">
        <v>1.0</v>
      </c>
      <c r="F9178" s="59">
        <v>0.0</v>
      </c>
      <c r="G9178" s="60">
        <v>1.0</v>
      </c>
      <c r="H9178" s="60">
        <v>0.0</v>
      </c>
      <c r="I9178" s="60">
        <v>7.445151</v>
      </c>
      <c r="J9178" s="59">
        <v>2.0</v>
      </c>
      <c r="K9178" s="61">
        <f t="shared" si="1"/>
        <v>0</v>
      </c>
      <c r="L9178" s="62">
        <f t="shared" si="2"/>
        <v>2</v>
      </c>
    </row>
    <row r="9179">
      <c r="A9179" s="58">
        <v>45292.0</v>
      </c>
      <c r="B9179" s="24" t="s">
        <v>7100</v>
      </c>
      <c r="C9179" s="24" t="s">
        <v>6799</v>
      </c>
      <c r="D9179" s="59">
        <v>1.0</v>
      </c>
      <c r="E9179" s="59">
        <v>1.0</v>
      </c>
      <c r="F9179" s="59">
        <v>0.0</v>
      </c>
      <c r="G9179" s="60">
        <v>1.0</v>
      </c>
      <c r="H9179" s="60">
        <v>0.0</v>
      </c>
      <c r="I9179" s="60">
        <v>35.088387</v>
      </c>
      <c r="J9179" s="59">
        <v>2.0</v>
      </c>
      <c r="K9179" s="61">
        <f t="shared" si="1"/>
        <v>0</v>
      </c>
      <c r="L9179" s="62">
        <f t="shared" si="2"/>
        <v>2</v>
      </c>
    </row>
    <row r="9180">
      <c r="A9180" s="58">
        <v>45292.0</v>
      </c>
      <c r="B9180" s="24" t="s">
        <v>6789</v>
      </c>
      <c r="C9180" s="24" t="s">
        <v>6820</v>
      </c>
      <c r="D9180" s="59">
        <v>1.0</v>
      </c>
      <c r="E9180" s="59">
        <v>1.0</v>
      </c>
      <c r="F9180" s="59">
        <v>1.0</v>
      </c>
      <c r="G9180" s="60">
        <v>1.0</v>
      </c>
      <c r="H9180" s="60">
        <v>0.0</v>
      </c>
      <c r="I9180" s="60">
        <v>18.583348</v>
      </c>
      <c r="J9180" s="59">
        <v>5.0</v>
      </c>
      <c r="K9180" s="61">
        <f t="shared" si="1"/>
        <v>1</v>
      </c>
      <c r="L9180" s="62">
        <f t="shared" si="2"/>
        <v>5</v>
      </c>
    </row>
    <row r="9181">
      <c r="A9181" s="58">
        <v>45292.0</v>
      </c>
      <c r="B9181" s="24" t="s">
        <v>7100</v>
      </c>
      <c r="C9181" s="24" t="s">
        <v>6822</v>
      </c>
      <c r="D9181" s="59">
        <v>1.0</v>
      </c>
      <c r="E9181" s="59">
        <v>1.0</v>
      </c>
      <c r="F9181" s="59">
        <v>0.0</v>
      </c>
      <c r="G9181" s="60">
        <v>1.0</v>
      </c>
      <c r="H9181" s="60">
        <v>0.0</v>
      </c>
      <c r="I9181" s="60">
        <v>966.414812</v>
      </c>
      <c r="J9181" s="59">
        <v>12.0</v>
      </c>
      <c r="K9181" s="61">
        <f t="shared" si="1"/>
        <v>0</v>
      </c>
      <c r="L9181" s="62">
        <f t="shared" si="2"/>
        <v>12</v>
      </c>
    </row>
    <row r="9182">
      <c r="A9182" s="58">
        <v>45292.0</v>
      </c>
      <c r="B9182" s="24" t="s">
        <v>6789</v>
      </c>
      <c r="C9182" s="24" t="s">
        <v>6891</v>
      </c>
      <c r="D9182" s="59">
        <v>1.0</v>
      </c>
      <c r="E9182" s="59">
        <v>1.0</v>
      </c>
      <c r="F9182" s="59">
        <v>0.0</v>
      </c>
      <c r="G9182" s="60">
        <v>1.0</v>
      </c>
      <c r="H9182" s="60">
        <v>0.0</v>
      </c>
      <c r="I9182" s="60">
        <v>56.373176</v>
      </c>
      <c r="J9182" s="59">
        <v>8.0</v>
      </c>
      <c r="K9182" s="61">
        <f t="shared" si="1"/>
        <v>0</v>
      </c>
      <c r="L9182" s="62">
        <f t="shared" si="2"/>
        <v>8</v>
      </c>
    </row>
    <row r="9183">
      <c r="A9183" s="58">
        <v>45292.0</v>
      </c>
      <c r="B9183" s="24" t="s">
        <v>7100</v>
      </c>
      <c r="C9183" s="24" t="s">
        <v>6892</v>
      </c>
      <c r="D9183" s="59">
        <v>1.0</v>
      </c>
      <c r="E9183" s="59">
        <v>2.0</v>
      </c>
      <c r="F9183" s="59">
        <v>0.0</v>
      </c>
      <c r="G9183" s="60">
        <v>2.0</v>
      </c>
      <c r="H9183" s="60">
        <v>0.0</v>
      </c>
      <c r="I9183" s="60">
        <v>203.094476</v>
      </c>
      <c r="J9183" s="59">
        <v>10.0</v>
      </c>
      <c r="K9183" s="61">
        <f t="shared" si="1"/>
        <v>0</v>
      </c>
      <c r="L9183" s="62">
        <f t="shared" si="2"/>
        <v>5</v>
      </c>
    </row>
    <row r="9184">
      <c r="A9184" s="58">
        <v>45292.0</v>
      </c>
      <c r="B9184" s="24" t="s">
        <v>6787</v>
      </c>
      <c r="C9184" s="24" t="s">
        <v>7129</v>
      </c>
      <c r="D9184" s="59">
        <v>1.0</v>
      </c>
      <c r="E9184" s="59">
        <v>1.0</v>
      </c>
      <c r="F9184" s="59">
        <v>1.0</v>
      </c>
      <c r="G9184" s="60">
        <v>1.0</v>
      </c>
      <c r="H9184" s="60">
        <v>0.0</v>
      </c>
      <c r="I9184" s="60">
        <v>6.2E-5</v>
      </c>
      <c r="J9184" s="59">
        <v>2.0</v>
      </c>
      <c r="K9184" s="61">
        <f t="shared" si="1"/>
        <v>1</v>
      </c>
      <c r="L9184" s="62">
        <f t="shared" si="2"/>
        <v>2</v>
      </c>
    </row>
    <row r="9185">
      <c r="A9185" s="58">
        <v>45292.0</v>
      </c>
      <c r="B9185" s="24" t="s">
        <v>3216</v>
      </c>
      <c r="C9185" s="24" t="s">
        <v>6896</v>
      </c>
      <c r="D9185" s="59">
        <v>1.0</v>
      </c>
      <c r="E9185" s="59">
        <v>2.0</v>
      </c>
      <c r="F9185" s="59">
        <v>0.0</v>
      </c>
      <c r="G9185" s="60">
        <v>2.0</v>
      </c>
      <c r="H9185" s="60">
        <v>0.0</v>
      </c>
      <c r="I9185" s="60">
        <v>632.257658499999</v>
      </c>
      <c r="J9185" s="59">
        <v>6.0</v>
      </c>
      <c r="K9185" s="61">
        <f t="shared" si="1"/>
        <v>0</v>
      </c>
      <c r="L9185" s="62">
        <f t="shared" si="2"/>
        <v>3</v>
      </c>
    </row>
    <row r="9186">
      <c r="A9186" s="58">
        <v>45292.0</v>
      </c>
      <c r="B9186" s="24" t="s">
        <v>6794</v>
      </c>
      <c r="C9186" s="24" t="s">
        <v>7439</v>
      </c>
      <c r="D9186" s="59">
        <v>1.0</v>
      </c>
      <c r="E9186" s="59">
        <v>1.0</v>
      </c>
      <c r="F9186" s="59">
        <v>0.0</v>
      </c>
      <c r="G9186" s="60">
        <v>1.0</v>
      </c>
      <c r="H9186" s="60">
        <v>0.0</v>
      </c>
      <c r="I9186" s="60">
        <v>2055.367715</v>
      </c>
      <c r="J9186" s="59">
        <v>17.0</v>
      </c>
      <c r="K9186" s="61">
        <f t="shared" si="1"/>
        <v>0</v>
      </c>
      <c r="L9186" s="62">
        <f t="shared" si="2"/>
        <v>17</v>
      </c>
    </row>
    <row r="9187">
      <c r="A9187" s="58">
        <v>45292.0</v>
      </c>
      <c r="B9187" s="24" t="s">
        <v>6789</v>
      </c>
      <c r="C9187" s="24" t="s">
        <v>6897</v>
      </c>
      <c r="D9187" s="59">
        <v>1.0</v>
      </c>
      <c r="E9187" s="59">
        <v>1.0</v>
      </c>
      <c r="F9187" s="59">
        <v>1.0</v>
      </c>
      <c r="G9187" s="60">
        <v>1.0</v>
      </c>
      <c r="H9187" s="60">
        <v>0.0</v>
      </c>
      <c r="I9187" s="60">
        <v>134.084354</v>
      </c>
      <c r="J9187" s="59">
        <v>2.0</v>
      </c>
      <c r="K9187" s="61">
        <f t="shared" si="1"/>
        <v>1</v>
      </c>
      <c r="L9187" s="62">
        <f t="shared" si="2"/>
        <v>2</v>
      </c>
    </row>
    <row r="9188">
      <c r="A9188" s="58">
        <v>45292.0</v>
      </c>
      <c r="B9188" s="24" t="s">
        <v>6787</v>
      </c>
      <c r="C9188" s="24" t="s">
        <v>7401</v>
      </c>
      <c r="D9188" s="59">
        <v>1.0</v>
      </c>
      <c r="E9188" s="59">
        <v>1.0</v>
      </c>
      <c r="F9188" s="59">
        <v>0.0</v>
      </c>
      <c r="G9188" s="60">
        <v>1.0</v>
      </c>
      <c r="H9188" s="60">
        <v>0.0</v>
      </c>
      <c r="I9188" s="60">
        <v>46.903601</v>
      </c>
      <c r="J9188" s="59">
        <v>16.0</v>
      </c>
      <c r="K9188" s="61">
        <f t="shared" si="1"/>
        <v>0</v>
      </c>
      <c r="L9188" s="62">
        <f t="shared" si="2"/>
        <v>16</v>
      </c>
    </row>
    <row r="9189">
      <c r="A9189" s="58">
        <v>45292.0</v>
      </c>
      <c r="B9189" s="24" t="s">
        <v>6789</v>
      </c>
      <c r="C9189" s="24" t="s">
        <v>7401</v>
      </c>
      <c r="D9189" s="59">
        <v>1.0</v>
      </c>
      <c r="E9189" s="59">
        <v>1.0</v>
      </c>
      <c r="F9189" s="59">
        <v>0.0</v>
      </c>
      <c r="G9189" s="60">
        <v>1.0</v>
      </c>
      <c r="H9189" s="60">
        <v>0.0</v>
      </c>
      <c r="I9189" s="60">
        <v>189.544266</v>
      </c>
      <c r="J9189" s="59">
        <v>6.0</v>
      </c>
      <c r="K9189" s="61">
        <f t="shared" si="1"/>
        <v>0</v>
      </c>
      <c r="L9189" s="62">
        <f t="shared" si="2"/>
        <v>6</v>
      </c>
    </row>
    <row r="9190">
      <c r="A9190" s="58">
        <v>45292.0</v>
      </c>
      <c r="B9190" s="24" t="s">
        <v>6787</v>
      </c>
      <c r="C9190" s="24" t="s">
        <v>6905</v>
      </c>
      <c r="D9190" s="59">
        <v>1.0</v>
      </c>
      <c r="E9190" s="59">
        <v>1.0</v>
      </c>
      <c r="F9190" s="59">
        <v>0.0</v>
      </c>
      <c r="G9190" s="60">
        <v>1.0</v>
      </c>
      <c r="H9190" s="60">
        <v>0.0</v>
      </c>
      <c r="I9190" s="60">
        <v>123.751546</v>
      </c>
      <c r="J9190" s="59">
        <v>2.0</v>
      </c>
      <c r="K9190" s="61">
        <f t="shared" si="1"/>
        <v>0</v>
      </c>
      <c r="L9190" s="62">
        <f t="shared" si="2"/>
        <v>2</v>
      </c>
    </row>
    <row r="9191">
      <c r="A9191" s="58">
        <v>45292.0</v>
      </c>
      <c r="B9191" s="24" t="s">
        <v>6789</v>
      </c>
      <c r="C9191" s="24" t="s">
        <v>6905</v>
      </c>
      <c r="D9191" s="59">
        <v>1.0</v>
      </c>
      <c r="E9191" s="59">
        <v>1.0</v>
      </c>
      <c r="F9191" s="59">
        <v>0.0</v>
      </c>
      <c r="G9191" s="60">
        <v>1.0</v>
      </c>
      <c r="H9191" s="60">
        <v>0.0</v>
      </c>
      <c r="I9191" s="60">
        <v>5.131982</v>
      </c>
      <c r="J9191" s="59">
        <v>2.0</v>
      </c>
      <c r="K9191" s="61">
        <f t="shared" si="1"/>
        <v>0</v>
      </c>
      <c r="L9191" s="62">
        <f t="shared" si="2"/>
        <v>2</v>
      </c>
    </row>
    <row r="9192">
      <c r="A9192" s="58">
        <v>45292.0</v>
      </c>
      <c r="B9192" s="24" t="s">
        <v>6789</v>
      </c>
      <c r="C9192" s="24" t="s">
        <v>7242</v>
      </c>
      <c r="D9192" s="59">
        <v>1.0</v>
      </c>
      <c r="E9192" s="59">
        <v>1.0</v>
      </c>
      <c r="F9192" s="59">
        <v>0.0</v>
      </c>
      <c r="G9192" s="60">
        <v>1.0</v>
      </c>
      <c r="H9192" s="60">
        <v>0.0</v>
      </c>
      <c r="I9192" s="60">
        <v>39.677862</v>
      </c>
      <c r="J9192" s="59">
        <v>4.0</v>
      </c>
      <c r="K9192" s="61">
        <f t="shared" si="1"/>
        <v>0</v>
      </c>
      <c r="L9192" s="62">
        <f t="shared" si="2"/>
        <v>4</v>
      </c>
    </row>
    <row r="9193">
      <c r="A9193" s="58">
        <v>45292.0</v>
      </c>
      <c r="B9193" s="24" t="s">
        <v>6787</v>
      </c>
      <c r="C9193" s="24" t="s">
        <v>7598</v>
      </c>
      <c r="D9193" s="59">
        <v>1.0</v>
      </c>
      <c r="E9193" s="59">
        <v>1.0</v>
      </c>
      <c r="F9193" s="59">
        <v>1.0</v>
      </c>
      <c r="G9193" s="60">
        <v>1.0</v>
      </c>
      <c r="H9193" s="60">
        <v>0.0</v>
      </c>
      <c r="I9193" s="60">
        <v>62.871254</v>
      </c>
      <c r="J9193" s="59">
        <v>4.0</v>
      </c>
      <c r="K9193" s="61">
        <f t="shared" si="1"/>
        <v>1</v>
      </c>
      <c r="L9193" s="62">
        <f t="shared" si="2"/>
        <v>4</v>
      </c>
    </row>
    <row r="9194">
      <c r="A9194" s="58">
        <v>45292.0</v>
      </c>
      <c r="B9194" s="24" t="s">
        <v>3216</v>
      </c>
      <c r="C9194" s="24" t="s">
        <v>7034</v>
      </c>
      <c r="D9194" s="59">
        <v>1.0</v>
      </c>
      <c r="E9194" s="59">
        <v>1.0</v>
      </c>
      <c r="F9194" s="59">
        <v>1.0</v>
      </c>
      <c r="G9194" s="60">
        <v>1.0</v>
      </c>
      <c r="H9194" s="60">
        <v>0.0</v>
      </c>
      <c r="I9194" s="60">
        <v>4.997406</v>
      </c>
      <c r="J9194" s="59">
        <v>2.0</v>
      </c>
      <c r="K9194" s="61">
        <f t="shared" si="1"/>
        <v>1</v>
      </c>
      <c r="L9194" s="62">
        <f t="shared" si="2"/>
        <v>2</v>
      </c>
    </row>
    <row r="9195">
      <c r="A9195" s="58">
        <v>45292.0</v>
      </c>
      <c r="B9195" s="24" t="s">
        <v>6794</v>
      </c>
      <c r="C9195" s="24" t="s">
        <v>7034</v>
      </c>
      <c r="D9195" s="59">
        <v>1.0</v>
      </c>
      <c r="E9195" s="59">
        <v>1.0</v>
      </c>
      <c r="F9195" s="59">
        <v>1.0</v>
      </c>
      <c r="G9195" s="60">
        <v>1.0</v>
      </c>
      <c r="H9195" s="60">
        <v>0.0</v>
      </c>
      <c r="I9195" s="60">
        <v>5.371361</v>
      </c>
      <c r="J9195" s="59">
        <v>2.0</v>
      </c>
      <c r="K9195" s="61">
        <f t="shared" si="1"/>
        <v>1</v>
      </c>
      <c r="L9195" s="62">
        <f t="shared" si="2"/>
        <v>2</v>
      </c>
    </row>
    <row r="9196">
      <c r="A9196" s="58">
        <v>45292.0</v>
      </c>
      <c r="B9196" s="24" t="s">
        <v>6789</v>
      </c>
      <c r="C9196" s="24" t="s">
        <v>7571</v>
      </c>
      <c r="D9196" s="59">
        <v>1.0</v>
      </c>
      <c r="E9196" s="59">
        <v>1.0</v>
      </c>
      <c r="F9196" s="59">
        <v>1.0</v>
      </c>
      <c r="G9196" s="60">
        <v>1.0</v>
      </c>
      <c r="H9196" s="60">
        <v>0.0</v>
      </c>
      <c r="I9196" s="60">
        <v>3.844772</v>
      </c>
      <c r="J9196" s="59">
        <v>2.0</v>
      </c>
      <c r="K9196" s="61">
        <f t="shared" si="1"/>
        <v>1</v>
      </c>
      <c r="L9196" s="62">
        <f t="shared" si="2"/>
        <v>2</v>
      </c>
    </row>
    <row r="9197">
      <c r="A9197" s="58">
        <v>45292.0</v>
      </c>
      <c r="B9197" s="24" t="s">
        <v>6787</v>
      </c>
      <c r="C9197" s="24" t="s">
        <v>7595</v>
      </c>
      <c r="D9197" s="59">
        <v>1.0</v>
      </c>
      <c r="E9197" s="59">
        <v>1.0</v>
      </c>
      <c r="F9197" s="59">
        <v>0.0</v>
      </c>
      <c r="G9197" s="60">
        <v>1.0</v>
      </c>
      <c r="H9197" s="60">
        <v>0.0</v>
      </c>
      <c r="I9197" s="60">
        <v>23.647238</v>
      </c>
      <c r="J9197" s="59">
        <v>2.0</v>
      </c>
      <c r="K9197" s="61">
        <f t="shared" si="1"/>
        <v>0</v>
      </c>
      <c r="L9197" s="62">
        <f t="shared" si="2"/>
        <v>2</v>
      </c>
    </row>
    <row r="9198">
      <c r="A9198" s="58">
        <v>45292.0</v>
      </c>
      <c r="B9198" s="24" t="s">
        <v>3216</v>
      </c>
      <c r="C9198" s="24" t="s">
        <v>7595</v>
      </c>
      <c r="D9198" s="59">
        <v>1.0</v>
      </c>
      <c r="E9198" s="59">
        <v>1.0</v>
      </c>
      <c r="F9198" s="59">
        <v>1.0</v>
      </c>
      <c r="G9198" s="60">
        <v>1.0</v>
      </c>
      <c r="H9198" s="60">
        <v>0.0</v>
      </c>
      <c r="I9198" s="60">
        <v>1.866846</v>
      </c>
      <c r="J9198" s="59">
        <v>4.0</v>
      </c>
      <c r="K9198" s="61">
        <f t="shared" si="1"/>
        <v>1</v>
      </c>
      <c r="L9198" s="62">
        <f t="shared" si="2"/>
        <v>4</v>
      </c>
    </row>
    <row r="9199">
      <c r="A9199" s="58">
        <v>45292.0</v>
      </c>
      <c r="B9199" s="24" t="s">
        <v>6789</v>
      </c>
      <c r="C9199" s="24" t="s">
        <v>7595</v>
      </c>
      <c r="D9199" s="59">
        <v>1.0</v>
      </c>
      <c r="E9199" s="59">
        <v>1.0</v>
      </c>
      <c r="F9199" s="59">
        <v>0.0</v>
      </c>
      <c r="G9199" s="60">
        <v>1.0</v>
      </c>
      <c r="H9199" s="60">
        <v>0.0</v>
      </c>
      <c r="I9199" s="60">
        <v>377.704405</v>
      </c>
      <c r="J9199" s="59">
        <v>4.0</v>
      </c>
      <c r="K9199" s="61">
        <f t="shared" si="1"/>
        <v>0</v>
      </c>
      <c r="L9199" s="62">
        <f t="shared" si="2"/>
        <v>4</v>
      </c>
    </row>
    <row r="9200">
      <c r="A9200" s="58">
        <v>45292.0</v>
      </c>
      <c r="B9200" s="24" t="s">
        <v>6787</v>
      </c>
      <c r="C9200" s="24" t="s">
        <v>7599</v>
      </c>
      <c r="D9200" s="59">
        <v>1.0</v>
      </c>
      <c r="E9200" s="59">
        <v>1.0</v>
      </c>
      <c r="F9200" s="59">
        <v>0.0</v>
      </c>
      <c r="G9200" s="60">
        <v>1.0</v>
      </c>
      <c r="H9200" s="60">
        <v>0.0</v>
      </c>
      <c r="I9200" s="60">
        <v>6.043103</v>
      </c>
      <c r="J9200" s="59">
        <v>2.0</v>
      </c>
      <c r="K9200" s="61">
        <f t="shared" si="1"/>
        <v>0</v>
      </c>
      <c r="L9200" s="62">
        <f t="shared" si="2"/>
        <v>2</v>
      </c>
    </row>
    <row r="9201">
      <c r="A9201" s="58">
        <v>45292.0</v>
      </c>
      <c r="B9201" s="24" t="s">
        <v>6789</v>
      </c>
      <c r="C9201" s="24" t="s">
        <v>7561</v>
      </c>
      <c r="D9201" s="59">
        <v>1.0</v>
      </c>
      <c r="E9201" s="59">
        <v>1.0</v>
      </c>
      <c r="F9201" s="59">
        <v>0.0</v>
      </c>
      <c r="G9201" s="60">
        <v>1.0</v>
      </c>
      <c r="H9201" s="60">
        <v>0.0</v>
      </c>
      <c r="I9201" s="60">
        <v>3.360969</v>
      </c>
      <c r="J9201" s="59">
        <v>2.0</v>
      </c>
      <c r="K9201" s="61">
        <f t="shared" si="1"/>
        <v>0</v>
      </c>
      <c r="L9201" s="62">
        <f t="shared" si="2"/>
        <v>2</v>
      </c>
    </row>
    <row r="9202">
      <c r="A9202" s="58">
        <v>45292.0</v>
      </c>
      <c r="B9202" s="24" t="s">
        <v>6789</v>
      </c>
      <c r="C9202" s="24" t="s">
        <v>7592</v>
      </c>
      <c r="D9202" s="59">
        <v>1.0</v>
      </c>
      <c r="E9202" s="59">
        <v>1.0</v>
      </c>
      <c r="F9202" s="59">
        <v>1.0</v>
      </c>
      <c r="G9202" s="60">
        <v>1.0</v>
      </c>
      <c r="H9202" s="60">
        <v>0.0</v>
      </c>
      <c r="I9202" s="60">
        <v>28.67938</v>
      </c>
      <c r="J9202" s="59">
        <v>2.0</v>
      </c>
      <c r="K9202" s="61">
        <f t="shared" si="1"/>
        <v>1</v>
      </c>
      <c r="L9202" s="62">
        <f t="shared" si="2"/>
        <v>2</v>
      </c>
    </row>
    <row r="9203">
      <c r="A9203" s="58">
        <v>45292.0</v>
      </c>
      <c r="B9203" s="24" t="s">
        <v>6789</v>
      </c>
      <c r="C9203" s="24" t="s">
        <v>7558</v>
      </c>
      <c r="D9203" s="59">
        <v>1.0</v>
      </c>
      <c r="E9203" s="59">
        <v>2.0</v>
      </c>
      <c r="F9203" s="59">
        <v>1.0</v>
      </c>
      <c r="G9203" s="60">
        <v>2.0</v>
      </c>
      <c r="H9203" s="60">
        <v>0.0</v>
      </c>
      <c r="I9203" s="60">
        <v>4.3124255</v>
      </c>
      <c r="J9203" s="59">
        <v>4.0</v>
      </c>
      <c r="K9203" s="61">
        <f t="shared" si="1"/>
        <v>0.5</v>
      </c>
      <c r="L9203" s="62">
        <f t="shared" si="2"/>
        <v>2</v>
      </c>
    </row>
    <row r="9204">
      <c r="A9204" s="58">
        <v>45292.0</v>
      </c>
      <c r="B9204" s="24" t="s">
        <v>6787</v>
      </c>
      <c r="C9204" s="24" t="s">
        <v>7574</v>
      </c>
      <c r="D9204" s="59">
        <v>1.0</v>
      </c>
      <c r="E9204" s="59">
        <v>1.0</v>
      </c>
      <c r="F9204" s="59">
        <v>1.0</v>
      </c>
      <c r="G9204" s="60">
        <v>1.0</v>
      </c>
      <c r="H9204" s="60">
        <v>1.0</v>
      </c>
      <c r="I9204" s="60">
        <v>0.0</v>
      </c>
      <c r="J9204" s="59">
        <v>1.0</v>
      </c>
      <c r="K9204" s="61">
        <f t="shared" si="1"/>
        <v>1</v>
      </c>
      <c r="L9204" s="62">
        <f t="shared" si="2"/>
        <v>1</v>
      </c>
    </row>
    <row r="9205">
      <c r="A9205" s="58">
        <v>45292.0</v>
      </c>
      <c r="B9205" s="24" t="s">
        <v>6789</v>
      </c>
      <c r="C9205" s="24" t="s">
        <v>7574</v>
      </c>
      <c r="D9205" s="59">
        <v>1.0</v>
      </c>
      <c r="E9205" s="59">
        <v>1.0</v>
      </c>
      <c r="F9205" s="59">
        <v>1.0</v>
      </c>
      <c r="G9205" s="60">
        <v>1.0</v>
      </c>
      <c r="H9205" s="60">
        <v>0.0</v>
      </c>
      <c r="I9205" s="60">
        <v>1.759273</v>
      </c>
      <c r="J9205" s="59">
        <v>2.0</v>
      </c>
      <c r="K9205" s="61">
        <f t="shared" si="1"/>
        <v>1</v>
      </c>
      <c r="L9205" s="62">
        <f t="shared" si="2"/>
        <v>2</v>
      </c>
    </row>
    <row r="9206">
      <c r="A9206" s="58">
        <v>45292.0</v>
      </c>
      <c r="B9206" s="24" t="s">
        <v>6789</v>
      </c>
      <c r="C9206" s="24" t="s">
        <v>7580</v>
      </c>
      <c r="D9206" s="59">
        <v>1.0</v>
      </c>
      <c r="E9206" s="59">
        <v>1.0</v>
      </c>
      <c r="F9206" s="59">
        <v>0.0</v>
      </c>
      <c r="G9206" s="60">
        <v>1.0</v>
      </c>
      <c r="H9206" s="60">
        <v>0.0</v>
      </c>
      <c r="I9206" s="60">
        <v>79.465097</v>
      </c>
      <c r="J9206" s="59">
        <v>2.0</v>
      </c>
      <c r="K9206" s="61">
        <f t="shared" si="1"/>
        <v>0</v>
      </c>
      <c r="L9206" s="62">
        <f t="shared" si="2"/>
        <v>2</v>
      </c>
    </row>
    <row r="9207">
      <c r="A9207" s="58">
        <v>45292.0</v>
      </c>
      <c r="B9207" s="24" t="s">
        <v>6789</v>
      </c>
      <c r="C9207" s="24" t="s">
        <v>7258</v>
      </c>
      <c r="D9207" s="59">
        <v>1.0</v>
      </c>
      <c r="E9207" s="59">
        <v>1.0</v>
      </c>
      <c r="F9207" s="59">
        <v>1.0</v>
      </c>
      <c r="G9207" s="60">
        <v>1.0</v>
      </c>
      <c r="H9207" s="60">
        <v>0.0</v>
      </c>
      <c r="I9207" s="60">
        <v>8.378738</v>
      </c>
      <c r="J9207" s="59">
        <v>2.0</v>
      </c>
      <c r="K9207" s="61">
        <f t="shared" si="1"/>
        <v>1</v>
      </c>
      <c r="L9207" s="62">
        <f t="shared" si="2"/>
        <v>2</v>
      </c>
    </row>
    <row r="9208">
      <c r="A9208" s="58">
        <v>45292.0</v>
      </c>
      <c r="B9208" s="24" t="s">
        <v>6789</v>
      </c>
      <c r="C9208" s="24" t="s">
        <v>7566</v>
      </c>
      <c r="D9208" s="59">
        <v>1.0</v>
      </c>
      <c r="E9208" s="59">
        <v>1.0</v>
      </c>
      <c r="F9208" s="59">
        <v>1.0</v>
      </c>
      <c r="G9208" s="60">
        <v>1.0</v>
      </c>
      <c r="H9208" s="60">
        <v>0.0</v>
      </c>
      <c r="I9208" s="60">
        <v>26.963571</v>
      </c>
      <c r="J9208" s="59">
        <v>2.0</v>
      </c>
      <c r="K9208" s="61">
        <f t="shared" si="1"/>
        <v>1</v>
      </c>
      <c r="L9208" s="62">
        <f t="shared" si="2"/>
        <v>2</v>
      </c>
    </row>
    <row r="9209">
      <c r="A9209" s="58">
        <v>45292.0</v>
      </c>
      <c r="B9209" s="24" t="s">
        <v>6789</v>
      </c>
      <c r="C9209" s="24" t="s">
        <v>7553</v>
      </c>
      <c r="D9209" s="59">
        <v>1.0</v>
      </c>
      <c r="E9209" s="59">
        <v>1.0</v>
      </c>
      <c r="F9209" s="59">
        <v>0.0</v>
      </c>
      <c r="G9209" s="60">
        <v>1.0</v>
      </c>
      <c r="H9209" s="60">
        <v>0.0</v>
      </c>
      <c r="I9209" s="60">
        <v>1004.100501</v>
      </c>
      <c r="J9209" s="59">
        <v>6.0</v>
      </c>
      <c r="K9209" s="61">
        <f t="shared" si="1"/>
        <v>0</v>
      </c>
      <c r="L9209" s="62">
        <f t="shared" si="2"/>
        <v>6</v>
      </c>
    </row>
    <row r="9210">
      <c r="A9210" s="58">
        <v>45292.0</v>
      </c>
      <c r="B9210" s="24" t="s">
        <v>6789</v>
      </c>
      <c r="C9210" s="24" t="s">
        <v>7587</v>
      </c>
      <c r="D9210" s="59">
        <v>1.0</v>
      </c>
      <c r="E9210" s="59">
        <v>1.0</v>
      </c>
      <c r="F9210" s="59">
        <v>1.0</v>
      </c>
      <c r="G9210" s="60">
        <v>1.0</v>
      </c>
      <c r="H9210" s="60">
        <v>0.0</v>
      </c>
      <c r="I9210" s="60">
        <v>38.850512</v>
      </c>
      <c r="J9210" s="59">
        <v>2.0</v>
      </c>
      <c r="K9210" s="61">
        <f t="shared" si="1"/>
        <v>1</v>
      </c>
      <c r="L9210" s="62">
        <f t="shared" si="2"/>
        <v>2</v>
      </c>
    </row>
    <row r="9211">
      <c r="A9211" s="58">
        <v>45292.0</v>
      </c>
      <c r="B9211" s="24" t="s">
        <v>6789</v>
      </c>
      <c r="C9211" s="24" t="s">
        <v>7562</v>
      </c>
      <c r="D9211" s="59">
        <v>1.0</v>
      </c>
      <c r="E9211" s="59">
        <v>1.0</v>
      </c>
      <c r="F9211" s="59">
        <v>1.0</v>
      </c>
      <c r="G9211" s="60">
        <v>1.0</v>
      </c>
      <c r="H9211" s="60">
        <v>0.0</v>
      </c>
      <c r="I9211" s="60">
        <v>22.241236</v>
      </c>
      <c r="J9211" s="59">
        <v>2.0</v>
      </c>
      <c r="K9211" s="61">
        <f t="shared" si="1"/>
        <v>1</v>
      </c>
      <c r="L9211" s="62">
        <f t="shared" si="2"/>
        <v>2</v>
      </c>
    </row>
    <row r="9212">
      <c r="A9212" s="58">
        <v>45292.0</v>
      </c>
      <c r="B9212" s="24" t="s">
        <v>6787</v>
      </c>
      <c r="C9212" s="24" t="s">
        <v>7600</v>
      </c>
      <c r="D9212" s="59">
        <v>1.0</v>
      </c>
      <c r="E9212" s="59">
        <v>1.0</v>
      </c>
      <c r="F9212" s="59">
        <v>0.0</v>
      </c>
      <c r="G9212" s="60">
        <v>1.0</v>
      </c>
      <c r="H9212" s="60">
        <v>0.0</v>
      </c>
      <c r="I9212" s="60">
        <v>10.150479</v>
      </c>
      <c r="J9212" s="59">
        <v>4.0</v>
      </c>
      <c r="K9212" s="61">
        <f t="shared" si="1"/>
        <v>0</v>
      </c>
      <c r="L9212" s="62">
        <f t="shared" si="2"/>
        <v>4</v>
      </c>
    </row>
    <row r="9213">
      <c r="A9213" s="58">
        <v>45292.0</v>
      </c>
      <c r="B9213" s="24" t="s">
        <v>6789</v>
      </c>
      <c r="C9213" s="24" t="s">
        <v>7530</v>
      </c>
      <c r="D9213" s="59">
        <v>1.0</v>
      </c>
      <c r="E9213" s="59">
        <v>1.0</v>
      </c>
      <c r="F9213" s="59">
        <v>1.0</v>
      </c>
      <c r="G9213" s="60">
        <v>1.0</v>
      </c>
      <c r="H9213" s="60">
        <v>1.0</v>
      </c>
      <c r="I9213" s="60">
        <v>0.0</v>
      </c>
      <c r="J9213" s="59">
        <v>1.0</v>
      </c>
      <c r="K9213" s="61">
        <f t="shared" si="1"/>
        <v>1</v>
      </c>
      <c r="L9213" s="62">
        <f t="shared" si="2"/>
        <v>1</v>
      </c>
    </row>
    <row r="9214">
      <c r="A9214" s="58">
        <v>45292.0</v>
      </c>
      <c r="B9214" s="24" t="s">
        <v>6787</v>
      </c>
      <c r="C9214" s="24" t="s">
        <v>7206</v>
      </c>
      <c r="D9214" s="59">
        <v>1.0</v>
      </c>
      <c r="E9214" s="59">
        <v>1.0</v>
      </c>
      <c r="F9214" s="59">
        <v>1.0</v>
      </c>
      <c r="G9214" s="60">
        <v>1.0</v>
      </c>
      <c r="H9214" s="60">
        <v>0.0</v>
      </c>
      <c r="I9214" s="60">
        <v>57.065364</v>
      </c>
      <c r="J9214" s="59">
        <v>2.0</v>
      </c>
      <c r="K9214" s="61">
        <f t="shared" si="1"/>
        <v>1</v>
      </c>
      <c r="L9214" s="62">
        <f t="shared" si="2"/>
        <v>2</v>
      </c>
    </row>
    <row r="9215">
      <c r="A9215" s="58">
        <v>45292.0</v>
      </c>
      <c r="B9215" s="24" t="s">
        <v>6942</v>
      </c>
      <c r="C9215" s="24" t="s">
        <v>7207</v>
      </c>
      <c r="D9215" s="59">
        <v>1.0</v>
      </c>
      <c r="E9215" s="59">
        <v>1.0</v>
      </c>
      <c r="F9215" s="59">
        <v>1.0</v>
      </c>
      <c r="G9215" s="60">
        <v>1.0</v>
      </c>
      <c r="H9215" s="60">
        <v>1.0</v>
      </c>
      <c r="I9215" s="60">
        <v>0.0</v>
      </c>
      <c r="J9215" s="59">
        <v>1.0</v>
      </c>
      <c r="K9215" s="61">
        <f t="shared" si="1"/>
        <v>1</v>
      </c>
      <c r="L9215" s="62">
        <f t="shared" si="2"/>
        <v>1</v>
      </c>
    </row>
    <row r="9216">
      <c r="A9216" s="58">
        <v>45292.0</v>
      </c>
      <c r="B9216" s="24" t="s">
        <v>6789</v>
      </c>
      <c r="C9216" s="24" t="s">
        <v>7554</v>
      </c>
      <c r="D9216" s="59">
        <v>1.0</v>
      </c>
      <c r="E9216" s="59">
        <v>3.0</v>
      </c>
      <c r="F9216" s="59">
        <v>0.0</v>
      </c>
      <c r="G9216" s="60">
        <v>3.0</v>
      </c>
      <c r="H9216" s="60">
        <v>0.0</v>
      </c>
      <c r="I9216" s="60">
        <v>4.856067</v>
      </c>
      <c r="J9216" s="59">
        <v>6.0</v>
      </c>
      <c r="K9216" s="61">
        <f t="shared" si="1"/>
        <v>0</v>
      </c>
      <c r="L9216" s="62">
        <f t="shared" si="2"/>
        <v>2</v>
      </c>
    </row>
    <row r="9217">
      <c r="A9217" s="58">
        <v>45292.0</v>
      </c>
      <c r="B9217" s="24" t="s">
        <v>6794</v>
      </c>
      <c r="C9217" s="24" t="s">
        <v>6907</v>
      </c>
      <c r="D9217" s="59">
        <v>1.0</v>
      </c>
      <c r="E9217" s="59">
        <v>1.0</v>
      </c>
      <c r="F9217" s="59">
        <v>0.0</v>
      </c>
      <c r="G9217" s="60">
        <v>1.0</v>
      </c>
      <c r="H9217" s="60">
        <v>0.0</v>
      </c>
      <c r="I9217" s="60">
        <v>433.264265</v>
      </c>
      <c r="J9217" s="59">
        <v>16.0</v>
      </c>
      <c r="K9217" s="61">
        <f t="shared" si="1"/>
        <v>0</v>
      </c>
      <c r="L9217" s="62">
        <f t="shared" si="2"/>
        <v>16</v>
      </c>
    </row>
    <row r="9218">
      <c r="A9218" s="58">
        <v>45292.0</v>
      </c>
      <c r="B9218" s="24" t="s">
        <v>6787</v>
      </c>
      <c r="C9218" s="24" t="s">
        <v>6808</v>
      </c>
      <c r="D9218" s="59">
        <v>1.0</v>
      </c>
      <c r="E9218" s="59">
        <v>1.0</v>
      </c>
      <c r="F9218" s="59">
        <v>1.0</v>
      </c>
      <c r="G9218" s="60">
        <v>1.0</v>
      </c>
      <c r="H9218" s="60">
        <v>0.0</v>
      </c>
      <c r="I9218" s="60">
        <v>11.206033</v>
      </c>
      <c r="J9218" s="59">
        <v>2.0</v>
      </c>
      <c r="K9218" s="61">
        <f t="shared" si="1"/>
        <v>1</v>
      </c>
      <c r="L9218" s="62">
        <f t="shared" si="2"/>
        <v>2</v>
      </c>
    </row>
    <row r="9219">
      <c r="A9219" s="58">
        <v>45292.0</v>
      </c>
      <c r="B9219" s="24" t="s">
        <v>6791</v>
      </c>
      <c r="C9219" s="24" t="s">
        <v>6808</v>
      </c>
      <c r="D9219" s="59">
        <v>1.0</v>
      </c>
      <c r="E9219" s="59">
        <v>1.0</v>
      </c>
      <c r="F9219" s="59">
        <v>0.0</v>
      </c>
      <c r="G9219" s="60">
        <v>1.0</v>
      </c>
      <c r="H9219" s="60">
        <v>0.0</v>
      </c>
      <c r="I9219" s="60">
        <v>7.673373</v>
      </c>
      <c r="J9219" s="59">
        <v>2.0</v>
      </c>
      <c r="K9219" s="61">
        <f t="shared" si="1"/>
        <v>0</v>
      </c>
      <c r="L9219" s="62">
        <f t="shared" si="2"/>
        <v>2</v>
      </c>
    </row>
    <row r="9220">
      <c r="A9220" s="58">
        <v>45292.0</v>
      </c>
      <c r="B9220" s="24" t="s">
        <v>3216</v>
      </c>
      <c r="C9220" s="24" t="s">
        <v>6800</v>
      </c>
      <c r="D9220" s="59">
        <v>1.0</v>
      </c>
      <c r="E9220" s="59">
        <v>1.0</v>
      </c>
      <c r="F9220" s="59">
        <v>0.0</v>
      </c>
      <c r="G9220" s="60">
        <v>1.0</v>
      </c>
      <c r="H9220" s="60">
        <v>0.0</v>
      </c>
      <c r="I9220" s="60">
        <v>16.51969</v>
      </c>
      <c r="J9220" s="59">
        <v>4.0</v>
      </c>
      <c r="K9220" s="61">
        <f t="shared" si="1"/>
        <v>0</v>
      </c>
      <c r="L9220" s="62">
        <f t="shared" si="2"/>
        <v>4</v>
      </c>
    </row>
    <row r="9221">
      <c r="A9221" s="58">
        <v>45292.0</v>
      </c>
      <c r="B9221" s="24" t="s">
        <v>6790</v>
      </c>
      <c r="C9221" s="24" t="s">
        <v>6800</v>
      </c>
      <c r="D9221" s="59">
        <v>1.0</v>
      </c>
      <c r="E9221" s="59">
        <v>1.0</v>
      </c>
      <c r="F9221" s="59">
        <v>0.0</v>
      </c>
      <c r="G9221" s="60">
        <v>1.0</v>
      </c>
      <c r="H9221" s="60">
        <v>1.0</v>
      </c>
      <c r="I9221" s="60">
        <v>52.555212</v>
      </c>
      <c r="J9221" s="59">
        <v>1.0</v>
      </c>
      <c r="K9221" s="61">
        <f t="shared" si="1"/>
        <v>0</v>
      </c>
      <c r="L9221" s="62">
        <f t="shared" si="2"/>
        <v>1</v>
      </c>
    </row>
    <row r="9222">
      <c r="A9222" s="58">
        <v>45292.0</v>
      </c>
      <c r="B9222" s="24" t="s">
        <v>6790</v>
      </c>
      <c r="C9222" s="24" t="s">
        <v>7013</v>
      </c>
      <c r="D9222" s="59">
        <v>1.0</v>
      </c>
      <c r="E9222" s="59">
        <v>1.0</v>
      </c>
      <c r="F9222" s="59">
        <v>0.0</v>
      </c>
      <c r="G9222" s="60">
        <v>1.0</v>
      </c>
      <c r="H9222" s="60">
        <v>0.0</v>
      </c>
      <c r="I9222" s="60">
        <v>5.040474</v>
      </c>
      <c r="J9222" s="59">
        <v>2.0</v>
      </c>
      <c r="K9222" s="61">
        <f t="shared" si="1"/>
        <v>0</v>
      </c>
      <c r="L9222" s="62">
        <f t="shared" si="2"/>
        <v>2</v>
      </c>
    </row>
    <row r="9223">
      <c r="A9223" s="58">
        <v>45292.0</v>
      </c>
      <c r="B9223" s="24" t="s">
        <v>6789</v>
      </c>
      <c r="C9223" s="24" t="s">
        <v>7101</v>
      </c>
      <c r="D9223" s="59">
        <v>1.0</v>
      </c>
      <c r="E9223" s="59">
        <v>2.0</v>
      </c>
      <c r="F9223" s="59">
        <v>0.0</v>
      </c>
      <c r="G9223" s="60">
        <v>2.0</v>
      </c>
      <c r="H9223" s="60">
        <v>0.0</v>
      </c>
      <c r="I9223" s="60">
        <v>701.2641195</v>
      </c>
      <c r="J9223" s="59">
        <v>6.0</v>
      </c>
      <c r="K9223" s="61">
        <f t="shared" si="1"/>
        <v>0</v>
      </c>
      <c r="L9223" s="62">
        <f t="shared" si="2"/>
        <v>3</v>
      </c>
    </row>
    <row r="9224">
      <c r="A9224" s="58">
        <v>45292.0</v>
      </c>
      <c r="B9224" s="24" t="s">
        <v>155</v>
      </c>
      <c r="C9224" s="24" t="s">
        <v>7044</v>
      </c>
      <c r="D9224" s="59">
        <v>1.0</v>
      </c>
      <c r="E9224" s="59">
        <v>1.0</v>
      </c>
      <c r="F9224" s="59">
        <v>0.0</v>
      </c>
      <c r="G9224" s="60">
        <v>1.0</v>
      </c>
      <c r="H9224" s="60">
        <v>0.0</v>
      </c>
      <c r="I9224" s="60">
        <v>366.201425</v>
      </c>
      <c r="J9224" s="59">
        <v>6.0</v>
      </c>
      <c r="K9224" s="61">
        <f t="shared" si="1"/>
        <v>0</v>
      </c>
      <c r="L9224" s="62">
        <f t="shared" si="2"/>
        <v>6</v>
      </c>
    </row>
    <row r="9225">
      <c r="A9225" s="58">
        <v>45292.0</v>
      </c>
      <c r="B9225" s="24" t="s">
        <v>6791</v>
      </c>
      <c r="C9225" s="24" t="s">
        <v>7172</v>
      </c>
      <c r="D9225" s="59">
        <v>1.0</v>
      </c>
      <c r="E9225" s="59">
        <v>1.0</v>
      </c>
      <c r="F9225" s="59">
        <v>0.0</v>
      </c>
      <c r="G9225" s="60">
        <v>1.0</v>
      </c>
      <c r="H9225" s="60">
        <v>0.0</v>
      </c>
      <c r="I9225" s="60">
        <v>5.095716</v>
      </c>
      <c r="J9225" s="59">
        <v>2.0</v>
      </c>
      <c r="K9225" s="61">
        <f t="shared" si="1"/>
        <v>0</v>
      </c>
      <c r="L9225" s="62">
        <f t="shared" si="2"/>
        <v>2</v>
      </c>
    </row>
    <row r="9226">
      <c r="A9226" s="58">
        <v>45292.0</v>
      </c>
      <c r="B9226" s="24" t="s">
        <v>6787</v>
      </c>
      <c r="C9226" s="24" t="s">
        <v>6910</v>
      </c>
      <c r="D9226" s="59">
        <v>1.0</v>
      </c>
      <c r="E9226" s="59">
        <v>1.0</v>
      </c>
      <c r="F9226" s="59">
        <v>1.0</v>
      </c>
      <c r="G9226" s="60">
        <v>1.0</v>
      </c>
      <c r="H9226" s="60">
        <v>1.0</v>
      </c>
      <c r="I9226" s="60">
        <v>0.0</v>
      </c>
      <c r="J9226" s="59">
        <v>1.0</v>
      </c>
      <c r="K9226" s="61">
        <f t="shared" si="1"/>
        <v>1</v>
      </c>
      <c r="L9226" s="62">
        <f t="shared" si="2"/>
        <v>1</v>
      </c>
    </row>
    <row r="9227">
      <c r="A9227" s="58">
        <v>45292.0</v>
      </c>
      <c r="B9227" s="24" t="s">
        <v>6794</v>
      </c>
      <c r="C9227" s="24" t="s">
        <v>6910</v>
      </c>
      <c r="D9227" s="59">
        <v>1.0</v>
      </c>
      <c r="E9227" s="59">
        <v>1.0</v>
      </c>
      <c r="F9227" s="59">
        <v>0.0</v>
      </c>
      <c r="G9227" s="60">
        <v>1.0</v>
      </c>
      <c r="H9227" s="60">
        <v>0.0</v>
      </c>
      <c r="I9227" s="60">
        <v>98.583952</v>
      </c>
      <c r="J9227" s="59">
        <v>6.0</v>
      </c>
      <c r="K9227" s="61">
        <f t="shared" si="1"/>
        <v>0</v>
      </c>
      <c r="L9227" s="62">
        <f t="shared" si="2"/>
        <v>6</v>
      </c>
    </row>
    <row r="9228">
      <c r="A9228" s="58">
        <v>45292.0</v>
      </c>
      <c r="B9228" s="24" t="s">
        <v>155</v>
      </c>
      <c r="C9228" s="24" t="s">
        <v>6910</v>
      </c>
      <c r="D9228" s="59">
        <v>1.0</v>
      </c>
      <c r="E9228" s="59">
        <v>1.0</v>
      </c>
      <c r="F9228" s="59">
        <v>0.0</v>
      </c>
      <c r="G9228" s="60">
        <v>1.0</v>
      </c>
      <c r="H9228" s="60">
        <v>0.0</v>
      </c>
      <c r="I9228" s="60">
        <v>142.201513</v>
      </c>
      <c r="J9228" s="59">
        <v>14.0</v>
      </c>
      <c r="K9228" s="61">
        <f t="shared" si="1"/>
        <v>0</v>
      </c>
      <c r="L9228" s="62">
        <f t="shared" si="2"/>
        <v>14</v>
      </c>
    </row>
    <row r="9229">
      <c r="A9229" s="58">
        <v>45292.0</v>
      </c>
      <c r="B9229" s="24" t="s">
        <v>6790</v>
      </c>
      <c r="C9229" s="24" t="s">
        <v>6910</v>
      </c>
      <c r="D9229" s="59">
        <v>1.0</v>
      </c>
      <c r="E9229" s="59">
        <v>1.0</v>
      </c>
      <c r="F9229" s="59">
        <v>0.0</v>
      </c>
      <c r="G9229" s="60">
        <v>1.0</v>
      </c>
      <c r="H9229" s="60">
        <v>1.0</v>
      </c>
      <c r="I9229" s="60">
        <v>26.456052</v>
      </c>
      <c r="J9229" s="59">
        <v>6.0</v>
      </c>
      <c r="K9229" s="61">
        <f t="shared" si="1"/>
        <v>0</v>
      </c>
      <c r="L9229" s="62">
        <f t="shared" si="2"/>
        <v>6</v>
      </c>
    </row>
    <row r="9230">
      <c r="A9230" s="58">
        <v>45292.0</v>
      </c>
      <c r="B9230" s="24" t="s">
        <v>6787</v>
      </c>
      <c r="C9230" s="24" t="s">
        <v>6801</v>
      </c>
      <c r="D9230" s="59">
        <v>1.0</v>
      </c>
      <c r="E9230" s="59">
        <v>1.0</v>
      </c>
      <c r="F9230" s="59">
        <v>1.0</v>
      </c>
      <c r="G9230" s="60">
        <v>1.0</v>
      </c>
      <c r="H9230" s="60">
        <v>0.0</v>
      </c>
      <c r="I9230" s="60">
        <v>10.213485</v>
      </c>
      <c r="J9230" s="59">
        <v>2.0</v>
      </c>
      <c r="K9230" s="61">
        <f t="shared" si="1"/>
        <v>1</v>
      </c>
      <c r="L9230" s="62">
        <f t="shared" si="2"/>
        <v>2</v>
      </c>
    </row>
    <row r="9231">
      <c r="A9231" s="58">
        <v>45292.0</v>
      </c>
      <c r="B9231" s="24" t="s">
        <v>6787</v>
      </c>
      <c r="C9231" s="24" t="s">
        <v>7104</v>
      </c>
      <c r="D9231" s="59">
        <v>1.0</v>
      </c>
      <c r="E9231" s="59">
        <v>1.0</v>
      </c>
      <c r="F9231" s="59">
        <v>1.0</v>
      </c>
      <c r="G9231" s="60">
        <v>1.0</v>
      </c>
      <c r="H9231" s="60">
        <v>0.0</v>
      </c>
      <c r="I9231" s="60">
        <v>5.247592</v>
      </c>
      <c r="J9231" s="59">
        <v>2.0</v>
      </c>
      <c r="K9231" s="61">
        <f t="shared" si="1"/>
        <v>1</v>
      </c>
      <c r="L9231" s="62">
        <f t="shared" si="2"/>
        <v>2</v>
      </c>
    </row>
    <row r="9232">
      <c r="A9232" s="58">
        <v>45292.0</v>
      </c>
      <c r="B9232" s="24" t="s">
        <v>155</v>
      </c>
      <c r="C9232" s="24" t="s">
        <v>7174</v>
      </c>
      <c r="D9232" s="59">
        <v>1.0</v>
      </c>
      <c r="E9232" s="59">
        <v>1.0</v>
      </c>
      <c r="F9232" s="59">
        <v>0.0</v>
      </c>
      <c r="G9232" s="60">
        <v>1.0</v>
      </c>
      <c r="H9232" s="60">
        <v>0.0</v>
      </c>
      <c r="I9232" s="60">
        <v>59.906271</v>
      </c>
      <c r="J9232" s="59">
        <v>4.0</v>
      </c>
      <c r="K9232" s="61">
        <f t="shared" si="1"/>
        <v>0</v>
      </c>
      <c r="L9232" s="62">
        <f t="shared" si="2"/>
        <v>4</v>
      </c>
    </row>
    <row r="9233">
      <c r="A9233" s="58">
        <v>45292.0</v>
      </c>
      <c r="B9233" s="24" t="s">
        <v>6787</v>
      </c>
      <c r="C9233" s="24" t="s">
        <v>7403</v>
      </c>
      <c r="D9233" s="59">
        <v>1.0</v>
      </c>
      <c r="E9233" s="59">
        <v>2.0</v>
      </c>
      <c r="F9233" s="59">
        <v>0.0</v>
      </c>
      <c r="G9233" s="60">
        <v>2.0</v>
      </c>
      <c r="H9233" s="60">
        <v>0.0</v>
      </c>
      <c r="I9233" s="60">
        <v>63.072597</v>
      </c>
      <c r="J9233" s="59">
        <v>4.0</v>
      </c>
      <c r="K9233" s="61">
        <f t="shared" si="1"/>
        <v>0</v>
      </c>
      <c r="L9233" s="62">
        <f t="shared" si="2"/>
        <v>2</v>
      </c>
    </row>
    <row r="9234">
      <c r="A9234" s="58">
        <v>45292.0</v>
      </c>
      <c r="B9234" s="24" t="s">
        <v>6790</v>
      </c>
      <c r="C9234" s="24" t="s">
        <v>7180</v>
      </c>
      <c r="D9234" s="59">
        <v>1.0</v>
      </c>
      <c r="E9234" s="59">
        <v>1.0</v>
      </c>
      <c r="F9234" s="59">
        <v>0.0</v>
      </c>
      <c r="G9234" s="60">
        <v>1.0</v>
      </c>
      <c r="H9234" s="60">
        <v>1.0</v>
      </c>
      <c r="I9234" s="60">
        <v>0.0</v>
      </c>
      <c r="J9234" s="59">
        <v>1.0</v>
      </c>
      <c r="K9234" s="61">
        <f t="shared" si="1"/>
        <v>0</v>
      </c>
      <c r="L9234" s="62">
        <f t="shared" si="2"/>
        <v>1</v>
      </c>
    </row>
    <row r="9235">
      <c r="A9235" s="58">
        <v>45292.0</v>
      </c>
      <c r="B9235" s="24" t="s">
        <v>6790</v>
      </c>
      <c r="C9235" s="24" t="s">
        <v>6815</v>
      </c>
      <c r="D9235" s="59">
        <v>1.0</v>
      </c>
      <c r="E9235" s="59">
        <v>1.0</v>
      </c>
      <c r="F9235" s="59">
        <v>1.0</v>
      </c>
      <c r="G9235" s="60">
        <v>1.0</v>
      </c>
      <c r="H9235" s="60">
        <v>0.0</v>
      </c>
      <c r="I9235" s="60">
        <v>4.900418</v>
      </c>
      <c r="J9235" s="59">
        <v>2.0</v>
      </c>
      <c r="K9235" s="61">
        <f t="shared" si="1"/>
        <v>1</v>
      </c>
      <c r="L9235" s="62">
        <f t="shared" si="2"/>
        <v>2</v>
      </c>
    </row>
    <row r="9236">
      <c r="A9236" s="58">
        <v>45292.0</v>
      </c>
      <c r="B9236" s="24" t="s">
        <v>6787</v>
      </c>
      <c r="C9236" s="24" t="s">
        <v>7601</v>
      </c>
      <c r="D9236" s="59">
        <v>1.0</v>
      </c>
      <c r="E9236" s="59">
        <v>1.0</v>
      </c>
      <c r="F9236" s="59">
        <v>0.0</v>
      </c>
      <c r="G9236" s="60">
        <v>1.0</v>
      </c>
      <c r="H9236" s="60">
        <v>0.0</v>
      </c>
      <c r="I9236" s="60">
        <v>79.215002</v>
      </c>
      <c r="J9236" s="59">
        <v>6.0</v>
      </c>
      <c r="K9236" s="61">
        <f t="shared" si="1"/>
        <v>0</v>
      </c>
      <c r="L9236" s="62">
        <f t="shared" si="2"/>
        <v>6</v>
      </c>
    </row>
    <row r="9237">
      <c r="A9237" s="58">
        <v>45292.0</v>
      </c>
      <c r="B9237" s="24" t="s">
        <v>6794</v>
      </c>
      <c r="C9237" s="24" t="s">
        <v>6922</v>
      </c>
      <c r="D9237" s="59">
        <v>1.0</v>
      </c>
      <c r="E9237" s="59">
        <v>1.0</v>
      </c>
      <c r="F9237" s="59">
        <v>0.0</v>
      </c>
      <c r="G9237" s="60">
        <v>1.0</v>
      </c>
      <c r="H9237" s="60">
        <v>0.0</v>
      </c>
      <c r="I9237" s="60">
        <v>206.723024</v>
      </c>
      <c r="J9237" s="59">
        <v>2.0</v>
      </c>
      <c r="K9237" s="61">
        <f t="shared" si="1"/>
        <v>0</v>
      </c>
      <c r="L9237" s="62">
        <f t="shared" si="2"/>
        <v>2</v>
      </c>
    </row>
    <row r="9238">
      <c r="A9238" s="58">
        <v>45292.0</v>
      </c>
      <c r="B9238" s="24" t="s">
        <v>6791</v>
      </c>
      <c r="C9238" s="24" t="s">
        <v>6922</v>
      </c>
      <c r="D9238" s="59">
        <v>1.0</v>
      </c>
      <c r="E9238" s="59">
        <v>1.0</v>
      </c>
      <c r="F9238" s="59">
        <v>1.0</v>
      </c>
      <c r="G9238" s="60">
        <v>1.0</v>
      </c>
      <c r="H9238" s="60">
        <v>0.0</v>
      </c>
      <c r="I9238" s="60">
        <v>54.682297</v>
      </c>
      <c r="J9238" s="59">
        <v>3.0</v>
      </c>
      <c r="K9238" s="61">
        <f t="shared" si="1"/>
        <v>1</v>
      </c>
      <c r="L9238" s="62">
        <f t="shared" si="2"/>
        <v>3</v>
      </c>
    </row>
    <row r="9239">
      <c r="A9239" s="58">
        <v>45292.0</v>
      </c>
      <c r="B9239" s="24" t="s">
        <v>6790</v>
      </c>
      <c r="C9239" s="24" t="s">
        <v>6922</v>
      </c>
      <c r="D9239" s="59">
        <v>1.0</v>
      </c>
      <c r="E9239" s="59">
        <v>1.0</v>
      </c>
      <c r="F9239" s="59">
        <v>0.0</v>
      </c>
      <c r="G9239" s="60">
        <v>1.0</v>
      </c>
      <c r="H9239" s="60">
        <v>0.0</v>
      </c>
      <c r="I9239" s="60">
        <v>361.622109</v>
      </c>
      <c r="J9239" s="59">
        <v>6.0</v>
      </c>
      <c r="K9239" s="61">
        <f t="shared" si="1"/>
        <v>0</v>
      </c>
      <c r="L9239" s="62">
        <f t="shared" si="2"/>
        <v>6</v>
      </c>
    </row>
    <row r="9240">
      <c r="A9240" s="58">
        <v>45292.0</v>
      </c>
      <c r="B9240" s="24" t="s">
        <v>6787</v>
      </c>
      <c r="C9240" s="24" t="s">
        <v>7047</v>
      </c>
      <c r="D9240" s="59">
        <v>1.0</v>
      </c>
      <c r="E9240" s="59">
        <v>2.0</v>
      </c>
      <c r="F9240" s="59">
        <v>1.0</v>
      </c>
      <c r="G9240" s="60">
        <v>2.0</v>
      </c>
      <c r="H9240" s="60">
        <v>0.0</v>
      </c>
      <c r="I9240" s="60">
        <v>5.3265045</v>
      </c>
      <c r="J9240" s="59">
        <v>4.0</v>
      </c>
      <c r="K9240" s="61">
        <f t="shared" si="1"/>
        <v>0.5</v>
      </c>
      <c r="L9240" s="62">
        <f t="shared" si="2"/>
        <v>2</v>
      </c>
    </row>
    <row r="9241">
      <c r="A9241" s="58">
        <v>45292.0</v>
      </c>
      <c r="B9241" s="24" t="s">
        <v>6791</v>
      </c>
      <c r="C9241" s="24" t="s">
        <v>6797</v>
      </c>
      <c r="D9241" s="59">
        <v>1.0</v>
      </c>
      <c r="E9241" s="59">
        <v>1.0</v>
      </c>
      <c r="F9241" s="59">
        <v>0.0</v>
      </c>
      <c r="G9241" s="60">
        <v>1.0</v>
      </c>
      <c r="H9241" s="60">
        <v>0.0</v>
      </c>
      <c r="I9241" s="60">
        <v>31.370043</v>
      </c>
      <c r="J9241" s="59">
        <v>2.0</v>
      </c>
      <c r="K9241" s="61">
        <f t="shared" si="1"/>
        <v>0</v>
      </c>
      <c r="L9241" s="62">
        <f t="shared" si="2"/>
        <v>2</v>
      </c>
    </row>
    <row r="9242">
      <c r="A9242" s="58">
        <v>45292.0</v>
      </c>
      <c r="B9242" s="24" t="s">
        <v>6789</v>
      </c>
      <c r="C9242" s="24" t="s">
        <v>7602</v>
      </c>
      <c r="D9242" s="59">
        <v>1.0</v>
      </c>
      <c r="E9242" s="59">
        <v>1.0</v>
      </c>
      <c r="F9242" s="59">
        <v>0.0</v>
      </c>
      <c r="G9242" s="60">
        <v>1.0</v>
      </c>
      <c r="H9242" s="60">
        <v>0.0</v>
      </c>
      <c r="I9242" s="60">
        <v>1217.377254</v>
      </c>
      <c r="J9242" s="59">
        <v>10.0</v>
      </c>
      <c r="K9242" s="61">
        <f t="shared" si="1"/>
        <v>0</v>
      </c>
      <c r="L9242" s="62">
        <f t="shared" si="2"/>
        <v>10</v>
      </c>
    </row>
    <row r="9243">
      <c r="A9243" s="58">
        <v>45292.0</v>
      </c>
      <c r="B9243" s="24" t="s">
        <v>155</v>
      </c>
      <c r="C9243" s="24" t="s">
        <v>6931</v>
      </c>
      <c r="D9243" s="59">
        <v>1.0</v>
      </c>
      <c r="E9243" s="59">
        <v>1.0</v>
      </c>
      <c r="F9243" s="59">
        <v>1.0</v>
      </c>
      <c r="G9243" s="60">
        <v>1.0</v>
      </c>
      <c r="H9243" s="60">
        <v>0.0</v>
      </c>
      <c r="I9243" s="60">
        <v>473.690302</v>
      </c>
      <c r="J9243" s="59">
        <v>8.0</v>
      </c>
      <c r="K9243" s="61">
        <f t="shared" si="1"/>
        <v>1</v>
      </c>
      <c r="L9243" s="62">
        <f t="shared" si="2"/>
        <v>8</v>
      </c>
    </row>
    <row r="9244">
      <c r="A9244" s="58">
        <v>45292.0</v>
      </c>
      <c r="B9244" s="24" t="s">
        <v>155</v>
      </c>
      <c r="C9244" s="24" t="s">
        <v>7118</v>
      </c>
      <c r="D9244" s="59">
        <v>1.0</v>
      </c>
      <c r="E9244" s="59">
        <v>1.0</v>
      </c>
      <c r="F9244" s="59">
        <v>1.0</v>
      </c>
      <c r="G9244" s="60">
        <v>1.0</v>
      </c>
      <c r="H9244" s="60">
        <v>0.0</v>
      </c>
      <c r="I9244" s="60">
        <v>4.595937</v>
      </c>
      <c r="J9244" s="59">
        <v>2.0</v>
      </c>
      <c r="K9244" s="61">
        <f t="shared" si="1"/>
        <v>1</v>
      </c>
      <c r="L9244" s="62">
        <f t="shared" si="2"/>
        <v>2</v>
      </c>
    </row>
    <row r="9245">
      <c r="A9245" s="58">
        <v>45292.0</v>
      </c>
      <c r="B9245" s="24" t="s">
        <v>6794</v>
      </c>
      <c r="C9245" s="24" t="s">
        <v>6802</v>
      </c>
      <c r="D9245" s="59">
        <v>1.0</v>
      </c>
      <c r="E9245" s="59">
        <v>1.0</v>
      </c>
      <c r="F9245" s="59">
        <v>0.0</v>
      </c>
      <c r="G9245" s="60">
        <v>1.0</v>
      </c>
      <c r="H9245" s="60">
        <v>0.0</v>
      </c>
      <c r="I9245" s="60">
        <v>51.738062</v>
      </c>
      <c r="J9245" s="59">
        <v>2.0</v>
      </c>
      <c r="K9245" s="61">
        <f t="shared" si="1"/>
        <v>0</v>
      </c>
      <c r="L9245" s="62">
        <f t="shared" si="2"/>
        <v>2</v>
      </c>
    </row>
    <row r="9246">
      <c r="A9246" s="58">
        <v>45261.0</v>
      </c>
      <c r="B9246" s="24" t="s">
        <v>6789</v>
      </c>
      <c r="C9246" s="24" t="s">
        <v>6788</v>
      </c>
      <c r="D9246" s="59">
        <v>782.0</v>
      </c>
      <c r="E9246" s="59">
        <v>975.0</v>
      </c>
      <c r="F9246" s="59">
        <v>668.0</v>
      </c>
      <c r="G9246" s="60">
        <v>1.2468030690537</v>
      </c>
      <c r="H9246" s="60">
        <v>0.0082051282051282</v>
      </c>
      <c r="I9246" s="60">
        <v>209.973850787692</v>
      </c>
      <c r="J9246" s="59">
        <v>3379.0</v>
      </c>
      <c r="K9246" s="61">
        <f t="shared" si="1"/>
        <v>0.6851282051</v>
      </c>
      <c r="L9246" s="62">
        <f t="shared" si="2"/>
        <v>3.465641026</v>
      </c>
    </row>
    <row r="9247">
      <c r="A9247" s="58">
        <v>45261.0</v>
      </c>
      <c r="B9247" s="24" t="s">
        <v>6787</v>
      </c>
      <c r="C9247" s="24" t="s">
        <v>6788</v>
      </c>
      <c r="D9247" s="59">
        <v>346.0</v>
      </c>
      <c r="E9247" s="59">
        <v>472.0</v>
      </c>
      <c r="F9247" s="59">
        <v>305.0</v>
      </c>
      <c r="G9247" s="60">
        <v>1.36416184971098</v>
      </c>
      <c r="H9247" s="60">
        <v>0.0423728813559322</v>
      </c>
      <c r="I9247" s="60">
        <v>144.352803866525</v>
      </c>
      <c r="J9247" s="59">
        <v>1404.0</v>
      </c>
      <c r="K9247" s="61">
        <f t="shared" si="1"/>
        <v>0.6461864407</v>
      </c>
      <c r="L9247" s="62">
        <f t="shared" si="2"/>
        <v>2.974576271</v>
      </c>
    </row>
    <row r="9248">
      <c r="A9248" s="58">
        <v>45261.0</v>
      </c>
      <c r="B9248" s="24" t="s">
        <v>6789</v>
      </c>
      <c r="C9248" s="24" t="s">
        <v>6792</v>
      </c>
      <c r="D9248" s="59">
        <v>154.0</v>
      </c>
      <c r="E9248" s="59">
        <v>173.0</v>
      </c>
      <c r="F9248" s="59">
        <v>0.0</v>
      </c>
      <c r="G9248" s="60">
        <v>1.54464285714285</v>
      </c>
      <c r="H9248" s="60">
        <v>0.976878612716763</v>
      </c>
      <c r="I9248" s="60">
        <v>4.22747547398843</v>
      </c>
      <c r="J9248" s="59">
        <v>0.0</v>
      </c>
      <c r="K9248" s="61">
        <f t="shared" si="1"/>
        <v>0</v>
      </c>
      <c r="L9248" s="62">
        <f t="shared" si="2"/>
        <v>0</v>
      </c>
    </row>
    <row r="9249">
      <c r="A9249" s="58">
        <v>45261.0</v>
      </c>
      <c r="B9249" s="24" t="s">
        <v>6794</v>
      </c>
      <c r="C9249" s="24" t="s">
        <v>6788</v>
      </c>
      <c r="D9249" s="59">
        <v>95.0</v>
      </c>
      <c r="E9249" s="59">
        <v>103.0</v>
      </c>
      <c r="F9249" s="59">
        <v>85.0</v>
      </c>
      <c r="G9249" s="60">
        <v>1.08421052631578</v>
      </c>
      <c r="H9249" s="60">
        <v>0.00970873786407766</v>
      </c>
      <c r="I9249" s="60">
        <v>127.563790601941</v>
      </c>
      <c r="J9249" s="59">
        <v>349.0</v>
      </c>
      <c r="K9249" s="61">
        <f t="shared" si="1"/>
        <v>0.8252427184</v>
      </c>
      <c r="L9249" s="62">
        <f t="shared" si="2"/>
        <v>3.388349515</v>
      </c>
    </row>
    <row r="9250">
      <c r="A9250" s="58">
        <v>45261.0</v>
      </c>
      <c r="B9250" s="24" t="s">
        <v>155</v>
      </c>
      <c r="C9250" s="24" t="s">
        <v>6788</v>
      </c>
      <c r="D9250" s="59">
        <v>89.0</v>
      </c>
      <c r="E9250" s="59">
        <v>165.0</v>
      </c>
      <c r="F9250" s="59">
        <v>72.0</v>
      </c>
      <c r="G9250" s="60">
        <v>1.85393258426966</v>
      </c>
      <c r="H9250" s="60">
        <v>0.0</v>
      </c>
      <c r="I9250" s="60">
        <v>135.424491430302</v>
      </c>
      <c r="J9250" s="59">
        <v>463.0</v>
      </c>
      <c r="K9250" s="61">
        <f t="shared" si="1"/>
        <v>0.4363636364</v>
      </c>
      <c r="L9250" s="62">
        <f t="shared" si="2"/>
        <v>2.806060606</v>
      </c>
    </row>
    <row r="9251">
      <c r="A9251" s="58">
        <v>45261.0</v>
      </c>
      <c r="B9251" s="24" t="s">
        <v>6789</v>
      </c>
      <c r="C9251" s="24" t="s">
        <v>7068</v>
      </c>
      <c r="D9251" s="59">
        <v>79.0</v>
      </c>
      <c r="E9251" s="59">
        <v>87.0</v>
      </c>
      <c r="F9251" s="59">
        <v>77.0</v>
      </c>
      <c r="G9251" s="60">
        <v>1.10126582278481</v>
      </c>
      <c r="H9251" s="60">
        <v>0.0</v>
      </c>
      <c r="I9251" s="60">
        <v>117.009424655172</v>
      </c>
      <c r="J9251" s="59">
        <v>178.0</v>
      </c>
      <c r="K9251" s="61">
        <f t="shared" si="1"/>
        <v>0.8850574713</v>
      </c>
      <c r="L9251" s="62">
        <f t="shared" si="2"/>
        <v>2.045977011</v>
      </c>
    </row>
    <row r="9252">
      <c r="A9252" s="58">
        <v>45261.0</v>
      </c>
      <c r="B9252" s="24" t="s">
        <v>6789</v>
      </c>
      <c r="C9252" s="24" t="s">
        <v>6799</v>
      </c>
      <c r="D9252" s="59">
        <v>71.0</v>
      </c>
      <c r="E9252" s="59">
        <v>93.0</v>
      </c>
      <c r="F9252" s="59">
        <v>41.0</v>
      </c>
      <c r="G9252" s="60">
        <v>1.30985915492957</v>
      </c>
      <c r="H9252" s="60">
        <v>0.043010752688172</v>
      </c>
      <c r="I9252" s="60">
        <v>156.58727988172</v>
      </c>
      <c r="J9252" s="59">
        <v>266.0</v>
      </c>
      <c r="K9252" s="61">
        <f t="shared" si="1"/>
        <v>0.4408602151</v>
      </c>
      <c r="L9252" s="62">
        <f t="shared" si="2"/>
        <v>2.860215054</v>
      </c>
    </row>
    <row r="9253">
      <c r="A9253" s="58">
        <v>45261.0</v>
      </c>
      <c r="B9253" s="24" t="s">
        <v>6790</v>
      </c>
      <c r="C9253" s="24" t="s">
        <v>6788</v>
      </c>
      <c r="D9253" s="59">
        <v>61.0</v>
      </c>
      <c r="E9253" s="59">
        <v>61.0</v>
      </c>
      <c r="F9253" s="59">
        <v>56.0</v>
      </c>
      <c r="G9253" s="60">
        <v>1.0</v>
      </c>
      <c r="H9253" s="60">
        <v>0.0655737704918032</v>
      </c>
      <c r="I9253" s="60">
        <v>54.7120411639344</v>
      </c>
      <c r="J9253" s="59">
        <v>140.0</v>
      </c>
      <c r="K9253" s="61">
        <f t="shared" si="1"/>
        <v>0.9180327869</v>
      </c>
      <c r="L9253" s="62">
        <f t="shared" si="2"/>
        <v>2.295081967</v>
      </c>
    </row>
    <row r="9254">
      <c r="A9254" s="58">
        <v>45261.0</v>
      </c>
      <c r="B9254" s="24" t="s">
        <v>7100</v>
      </c>
      <c r="C9254" s="24" t="s">
        <v>6788</v>
      </c>
      <c r="D9254" s="59">
        <v>53.0</v>
      </c>
      <c r="E9254" s="59">
        <v>56.0</v>
      </c>
      <c r="F9254" s="59">
        <v>48.0</v>
      </c>
      <c r="G9254" s="60">
        <v>1.0566037735849</v>
      </c>
      <c r="H9254" s="60">
        <v>0.0</v>
      </c>
      <c r="I9254" s="60">
        <v>65.4834382678571</v>
      </c>
      <c r="J9254" s="59">
        <v>145.0</v>
      </c>
      <c r="K9254" s="61">
        <f t="shared" si="1"/>
        <v>0.8571428571</v>
      </c>
      <c r="L9254" s="62">
        <f t="shared" si="2"/>
        <v>2.589285714</v>
      </c>
    </row>
    <row r="9255">
      <c r="A9255" s="58">
        <v>45261.0</v>
      </c>
      <c r="B9255" s="24" t="s">
        <v>7100</v>
      </c>
      <c r="C9255" s="24" t="s">
        <v>7172</v>
      </c>
      <c r="D9255" s="59">
        <v>43.0</v>
      </c>
      <c r="E9255" s="59">
        <v>56.0</v>
      </c>
      <c r="F9255" s="59">
        <v>42.0</v>
      </c>
      <c r="G9255" s="60">
        <v>1.30232558139534</v>
      </c>
      <c r="H9255" s="60">
        <v>0.0178571428571428</v>
      </c>
      <c r="I9255" s="60">
        <v>61.7395805178571</v>
      </c>
      <c r="J9255" s="59">
        <v>120.0</v>
      </c>
      <c r="K9255" s="61">
        <f t="shared" si="1"/>
        <v>0.75</v>
      </c>
      <c r="L9255" s="62">
        <f t="shared" si="2"/>
        <v>2.142857143</v>
      </c>
    </row>
    <row r="9256">
      <c r="A9256" s="58">
        <v>45261.0</v>
      </c>
      <c r="B9256" s="24" t="s">
        <v>6791</v>
      </c>
      <c r="C9256" s="24" t="s">
        <v>7530</v>
      </c>
      <c r="D9256" s="59">
        <v>42.0</v>
      </c>
      <c r="E9256" s="59">
        <v>44.0</v>
      </c>
      <c r="F9256" s="59">
        <v>40.0</v>
      </c>
      <c r="G9256" s="60">
        <v>1.04761904761904</v>
      </c>
      <c r="H9256" s="60">
        <v>0.0</v>
      </c>
      <c r="I9256" s="60">
        <v>77.1808454545454</v>
      </c>
      <c r="J9256" s="59">
        <v>93.0</v>
      </c>
      <c r="K9256" s="61">
        <f t="shared" si="1"/>
        <v>0.9090909091</v>
      </c>
      <c r="L9256" s="62">
        <f t="shared" si="2"/>
        <v>2.113636364</v>
      </c>
    </row>
    <row r="9257">
      <c r="A9257" s="58">
        <v>45261.0</v>
      </c>
      <c r="B9257" s="24" t="s">
        <v>6787</v>
      </c>
      <c r="C9257" s="24" t="s">
        <v>6792</v>
      </c>
      <c r="D9257" s="59">
        <v>41.0</v>
      </c>
      <c r="E9257" s="59">
        <v>44.0</v>
      </c>
      <c r="F9257" s="59">
        <v>0.0</v>
      </c>
      <c r="G9257" s="60">
        <v>1.29411764705882</v>
      </c>
      <c r="H9257" s="60">
        <v>1.0</v>
      </c>
      <c r="I9257" s="60">
        <v>0.0</v>
      </c>
      <c r="J9257" s="59">
        <v>0.0</v>
      </c>
      <c r="K9257" s="61">
        <f t="shared" si="1"/>
        <v>0</v>
      </c>
      <c r="L9257" s="62">
        <f t="shared" si="2"/>
        <v>0</v>
      </c>
    </row>
    <row r="9258">
      <c r="A9258" s="58">
        <v>45261.0</v>
      </c>
      <c r="B9258" s="24" t="s">
        <v>6789</v>
      </c>
      <c r="C9258" s="24" t="s">
        <v>6804</v>
      </c>
      <c r="D9258" s="59">
        <v>26.0</v>
      </c>
      <c r="E9258" s="59">
        <v>30.0</v>
      </c>
      <c r="F9258" s="59">
        <v>25.0</v>
      </c>
      <c r="G9258" s="60">
        <v>1.15384615384615</v>
      </c>
      <c r="H9258" s="60">
        <v>0.0</v>
      </c>
      <c r="I9258" s="60">
        <v>103.411127533333</v>
      </c>
      <c r="J9258" s="59">
        <v>67.0</v>
      </c>
      <c r="K9258" s="61">
        <f t="shared" si="1"/>
        <v>0.8333333333</v>
      </c>
      <c r="L9258" s="62">
        <f t="shared" si="2"/>
        <v>2.233333333</v>
      </c>
    </row>
    <row r="9259">
      <c r="A9259" s="58">
        <v>45261.0</v>
      </c>
      <c r="B9259" s="24" t="s">
        <v>6791</v>
      </c>
      <c r="C9259" s="24" t="s">
        <v>7207</v>
      </c>
      <c r="D9259" s="59">
        <v>23.0</v>
      </c>
      <c r="E9259" s="59">
        <v>26.0</v>
      </c>
      <c r="F9259" s="59">
        <v>20.0</v>
      </c>
      <c r="G9259" s="60">
        <v>1.13043478260869</v>
      </c>
      <c r="H9259" s="60">
        <v>0.0384615384615384</v>
      </c>
      <c r="I9259" s="60">
        <v>239.018320846153</v>
      </c>
      <c r="J9259" s="59">
        <v>70.0</v>
      </c>
      <c r="K9259" s="61">
        <f t="shared" si="1"/>
        <v>0.7692307692</v>
      </c>
      <c r="L9259" s="62">
        <f t="shared" si="2"/>
        <v>2.692307692</v>
      </c>
    </row>
    <row r="9260">
      <c r="A9260" s="58">
        <v>45261.0</v>
      </c>
      <c r="B9260" s="24" t="s">
        <v>6787</v>
      </c>
      <c r="C9260" s="24" t="s">
        <v>6799</v>
      </c>
      <c r="D9260" s="59">
        <v>22.0</v>
      </c>
      <c r="E9260" s="59">
        <v>23.0</v>
      </c>
      <c r="F9260" s="59">
        <v>15.0</v>
      </c>
      <c r="G9260" s="60">
        <v>1.09523809523809</v>
      </c>
      <c r="H9260" s="60">
        <v>0.260869565217391</v>
      </c>
      <c r="I9260" s="60">
        <v>128.018900173913</v>
      </c>
      <c r="J9260" s="59">
        <v>47.0</v>
      </c>
      <c r="K9260" s="61">
        <f t="shared" si="1"/>
        <v>0.652173913</v>
      </c>
      <c r="L9260" s="62">
        <f t="shared" si="2"/>
        <v>2.043478261</v>
      </c>
    </row>
    <row r="9261">
      <c r="A9261" s="58">
        <v>45261.0</v>
      </c>
      <c r="B9261" s="24" t="s">
        <v>6787</v>
      </c>
      <c r="C9261" s="24" t="s">
        <v>6897</v>
      </c>
      <c r="D9261" s="59">
        <v>21.0</v>
      </c>
      <c r="E9261" s="59">
        <v>21.0</v>
      </c>
      <c r="F9261" s="59">
        <v>21.0</v>
      </c>
      <c r="G9261" s="60">
        <v>1.0</v>
      </c>
      <c r="H9261" s="60">
        <v>0.0476190476190476</v>
      </c>
      <c r="I9261" s="60">
        <v>4.66935976190476</v>
      </c>
      <c r="J9261" s="59">
        <v>41.0</v>
      </c>
      <c r="K9261" s="61">
        <f t="shared" si="1"/>
        <v>1</v>
      </c>
      <c r="L9261" s="62">
        <f t="shared" si="2"/>
        <v>1.952380952</v>
      </c>
    </row>
    <row r="9262">
      <c r="A9262" s="58">
        <v>45261.0</v>
      </c>
      <c r="B9262" s="24" t="s">
        <v>6789</v>
      </c>
      <c r="C9262" s="24" t="s">
        <v>6815</v>
      </c>
      <c r="D9262" s="59">
        <v>21.0</v>
      </c>
      <c r="E9262" s="59">
        <v>22.0</v>
      </c>
      <c r="F9262" s="59">
        <v>17.0</v>
      </c>
      <c r="G9262" s="60">
        <v>1.04761904761904</v>
      </c>
      <c r="H9262" s="60">
        <v>0.0</v>
      </c>
      <c r="I9262" s="60">
        <v>187.57334390909</v>
      </c>
      <c r="J9262" s="59">
        <v>77.0</v>
      </c>
      <c r="K9262" s="61">
        <f t="shared" si="1"/>
        <v>0.7727272727</v>
      </c>
      <c r="L9262" s="62">
        <f t="shared" si="2"/>
        <v>3.5</v>
      </c>
    </row>
    <row r="9263">
      <c r="A9263" s="58">
        <v>45261.0</v>
      </c>
      <c r="B9263" s="24" t="s">
        <v>6789</v>
      </c>
      <c r="C9263" s="24" t="s">
        <v>6803</v>
      </c>
      <c r="D9263" s="59">
        <v>18.0</v>
      </c>
      <c r="E9263" s="59">
        <v>21.0</v>
      </c>
      <c r="F9263" s="59">
        <v>16.0</v>
      </c>
      <c r="G9263" s="60">
        <v>1.16666666666666</v>
      </c>
      <c r="H9263" s="60">
        <v>0.0</v>
      </c>
      <c r="I9263" s="60">
        <v>103.832852571428</v>
      </c>
      <c r="J9263" s="59">
        <v>62.0</v>
      </c>
      <c r="K9263" s="61">
        <f t="shared" si="1"/>
        <v>0.7619047619</v>
      </c>
      <c r="L9263" s="62">
        <f t="shared" si="2"/>
        <v>2.952380952</v>
      </c>
    </row>
    <row r="9264">
      <c r="A9264" s="58">
        <v>45261.0</v>
      </c>
      <c r="B9264" s="24" t="s">
        <v>6789</v>
      </c>
      <c r="C9264" s="24" t="s">
        <v>6835</v>
      </c>
      <c r="D9264" s="59">
        <v>17.0</v>
      </c>
      <c r="E9264" s="59">
        <v>20.0</v>
      </c>
      <c r="F9264" s="59">
        <v>16.0</v>
      </c>
      <c r="G9264" s="60">
        <v>1.17647058823529</v>
      </c>
      <c r="H9264" s="60">
        <v>0.0</v>
      </c>
      <c r="I9264" s="60">
        <v>446.498944599999</v>
      </c>
      <c r="J9264" s="59">
        <v>80.0</v>
      </c>
      <c r="K9264" s="61">
        <f t="shared" si="1"/>
        <v>0.8</v>
      </c>
      <c r="L9264" s="62">
        <f t="shared" si="2"/>
        <v>4</v>
      </c>
    </row>
    <row r="9265">
      <c r="A9265" s="58">
        <v>45261.0</v>
      </c>
      <c r="B9265" s="24" t="s">
        <v>6789</v>
      </c>
      <c r="C9265" s="24" t="s">
        <v>6808</v>
      </c>
      <c r="D9265" s="59">
        <v>16.0</v>
      </c>
      <c r="E9265" s="59">
        <v>18.0</v>
      </c>
      <c r="F9265" s="59">
        <v>11.0</v>
      </c>
      <c r="G9265" s="60">
        <v>1.125</v>
      </c>
      <c r="H9265" s="60">
        <v>0.0</v>
      </c>
      <c r="I9265" s="60">
        <v>352.585374111111</v>
      </c>
      <c r="J9265" s="59">
        <v>54.0</v>
      </c>
      <c r="K9265" s="61">
        <f t="shared" si="1"/>
        <v>0.6111111111</v>
      </c>
      <c r="L9265" s="62">
        <f t="shared" si="2"/>
        <v>3</v>
      </c>
    </row>
    <row r="9266">
      <c r="A9266" s="58">
        <v>45261.0</v>
      </c>
      <c r="B9266" s="24" t="s">
        <v>6787</v>
      </c>
      <c r="C9266" s="24" t="s">
        <v>6800</v>
      </c>
      <c r="D9266" s="59">
        <v>14.0</v>
      </c>
      <c r="E9266" s="59">
        <v>19.0</v>
      </c>
      <c r="F9266" s="59">
        <v>13.0</v>
      </c>
      <c r="G9266" s="60">
        <v>1.35714285714285</v>
      </c>
      <c r="H9266" s="60">
        <v>0.263157894736842</v>
      </c>
      <c r="I9266" s="60">
        <v>320.066785368421</v>
      </c>
      <c r="J9266" s="59">
        <v>59.0</v>
      </c>
      <c r="K9266" s="61">
        <f t="shared" si="1"/>
        <v>0.6842105263</v>
      </c>
      <c r="L9266" s="62">
        <f t="shared" si="2"/>
        <v>3.105263158</v>
      </c>
    </row>
    <row r="9267">
      <c r="A9267" s="58">
        <v>45261.0</v>
      </c>
      <c r="B9267" s="24" t="s">
        <v>6787</v>
      </c>
      <c r="C9267" s="24" t="s">
        <v>6815</v>
      </c>
      <c r="D9267" s="59">
        <v>14.0</v>
      </c>
      <c r="E9267" s="59">
        <v>14.0</v>
      </c>
      <c r="F9267" s="59">
        <v>11.0</v>
      </c>
      <c r="G9267" s="60">
        <v>1.0</v>
      </c>
      <c r="H9267" s="60">
        <v>0.0714285714285714</v>
      </c>
      <c r="I9267" s="60">
        <v>92.5857744999999</v>
      </c>
      <c r="J9267" s="59">
        <v>35.0</v>
      </c>
      <c r="K9267" s="61">
        <f t="shared" si="1"/>
        <v>0.7857142857</v>
      </c>
      <c r="L9267" s="62">
        <f t="shared" si="2"/>
        <v>2.5</v>
      </c>
    </row>
    <row r="9268">
      <c r="A9268" s="58">
        <v>45261.0</v>
      </c>
      <c r="B9268" s="24" t="s">
        <v>6789</v>
      </c>
      <c r="C9268" s="24" t="s">
        <v>6994</v>
      </c>
      <c r="D9268" s="59">
        <v>12.0</v>
      </c>
      <c r="E9268" s="59">
        <v>12.0</v>
      </c>
      <c r="F9268" s="59">
        <v>12.0</v>
      </c>
      <c r="G9268" s="60">
        <v>1.0</v>
      </c>
      <c r="H9268" s="60">
        <v>0.0</v>
      </c>
      <c r="I9268" s="60">
        <v>98.4675889999999</v>
      </c>
      <c r="J9268" s="59">
        <v>25.0</v>
      </c>
      <c r="K9268" s="61">
        <f t="shared" si="1"/>
        <v>1</v>
      </c>
      <c r="L9268" s="62">
        <f t="shared" si="2"/>
        <v>2.083333333</v>
      </c>
    </row>
    <row r="9269">
      <c r="A9269" s="58">
        <v>45261.0</v>
      </c>
      <c r="B9269" s="24" t="s">
        <v>6789</v>
      </c>
      <c r="C9269" s="24" t="s">
        <v>6802</v>
      </c>
      <c r="D9269" s="59">
        <v>12.0</v>
      </c>
      <c r="E9269" s="59">
        <v>13.0</v>
      </c>
      <c r="F9269" s="59">
        <v>3.0</v>
      </c>
      <c r="G9269" s="60">
        <v>1.08333333333333</v>
      </c>
      <c r="H9269" s="60">
        <v>0.0</v>
      </c>
      <c r="I9269" s="60">
        <v>338.937120384615</v>
      </c>
      <c r="J9269" s="59">
        <v>56.0</v>
      </c>
      <c r="K9269" s="61">
        <f t="shared" si="1"/>
        <v>0.2307692308</v>
      </c>
      <c r="L9269" s="62">
        <f t="shared" si="2"/>
        <v>4.307692308</v>
      </c>
    </row>
    <row r="9270">
      <c r="A9270" s="58">
        <v>45261.0</v>
      </c>
      <c r="B9270" s="24" t="s">
        <v>6787</v>
      </c>
      <c r="C9270" s="24" t="s">
        <v>6810</v>
      </c>
      <c r="D9270" s="59">
        <v>11.0</v>
      </c>
      <c r="E9270" s="59">
        <v>11.0</v>
      </c>
      <c r="F9270" s="59">
        <v>11.0</v>
      </c>
      <c r="G9270" s="60">
        <v>1.0</v>
      </c>
      <c r="H9270" s="60">
        <v>0.181818181818181</v>
      </c>
      <c r="I9270" s="60">
        <v>168.20909890909</v>
      </c>
      <c r="J9270" s="59">
        <v>42.0</v>
      </c>
      <c r="K9270" s="61">
        <f t="shared" si="1"/>
        <v>1</v>
      </c>
      <c r="L9270" s="62">
        <f t="shared" si="2"/>
        <v>3.818181818</v>
      </c>
    </row>
    <row r="9271">
      <c r="A9271" s="58">
        <v>45261.0</v>
      </c>
      <c r="B9271" s="24" t="s">
        <v>6787</v>
      </c>
      <c r="C9271" s="24" t="s">
        <v>6802</v>
      </c>
      <c r="D9271" s="59">
        <v>11.0</v>
      </c>
      <c r="E9271" s="59">
        <v>11.0</v>
      </c>
      <c r="F9271" s="59">
        <v>10.0</v>
      </c>
      <c r="G9271" s="60">
        <v>1.0</v>
      </c>
      <c r="H9271" s="60">
        <v>0.272727272727272</v>
      </c>
      <c r="I9271" s="60">
        <v>156.030947818181</v>
      </c>
      <c r="J9271" s="59">
        <v>37.0</v>
      </c>
      <c r="K9271" s="61">
        <f t="shared" si="1"/>
        <v>0.9090909091</v>
      </c>
      <c r="L9271" s="62">
        <f t="shared" si="2"/>
        <v>3.363636364</v>
      </c>
    </row>
    <row r="9272">
      <c r="A9272" s="58">
        <v>45261.0</v>
      </c>
      <c r="B9272" s="24" t="s">
        <v>6789</v>
      </c>
      <c r="C9272" s="24" t="s">
        <v>6997</v>
      </c>
      <c r="D9272" s="59">
        <v>10.0</v>
      </c>
      <c r="E9272" s="59">
        <v>11.0</v>
      </c>
      <c r="F9272" s="59">
        <v>9.0</v>
      </c>
      <c r="G9272" s="60">
        <v>1.1</v>
      </c>
      <c r="H9272" s="60">
        <v>0.0909090909090909</v>
      </c>
      <c r="I9272" s="60">
        <v>28.9782701818181</v>
      </c>
      <c r="J9272" s="59">
        <v>28.0</v>
      </c>
      <c r="K9272" s="61">
        <f t="shared" si="1"/>
        <v>0.8181818182</v>
      </c>
      <c r="L9272" s="62">
        <f t="shared" si="2"/>
        <v>2.545454545</v>
      </c>
    </row>
    <row r="9273">
      <c r="A9273" s="58">
        <v>45261.0</v>
      </c>
      <c r="B9273" s="24" t="s">
        <v>6791</v>
      </c>
      <c r="C9273" s="24" t="s">
        <v>7206</v>
      </c>
      <c r="D9273" s="59">
        <v>10.0</v>
      </c>
      <c r="E9273" s="59">
        <v>13.0</v>
      </c>
      <c r="F9273" s="59">
        <v>9.0</v>
      </c>
      <c r="G9273" s="60">
        <v>1.3</v>
      </c>
      <c r="H9273" s="60">
        <v>0.0</v>
      </c>
      <c r="I9273" s="60">
        <v>211.978237</v>
      </c>
      <c r="J9273" s="59">
        <v>64.0</v>
      </c>
      <c r="K9273" s="61">
        <f t="shared" si="1"/>
        <v>0.6923076923</v>
      </c>
      <c r="L9273" s="62">
        <f t="shared" si="2"/>
        <v>4.923076923</v>
      </c>
    </row>
    <row r="9274">
      <c r="A9274" s="58">
        <v>45261.0</v>
      </c>
      <c r="B9274" s="24" t="s">
        <v>6789</v>
      </c>
      <c r="C9274" s="24" t="s">
        <v>7180</v>
      </c>
      <c r="D9274" s="59">
        <v>10.0</v>
      </c>
      <c r="E9274" s="59">
        <v>15.0</v>
      </c>
      <c r="F9274" s="59">
        <v>9.0</v>
      </c>
      <c r="G9274" s="60">
        <v>1.5</v>
      </c>
      <c r="H9274" s="60">
        <v>0.0</v>
      </c>
      <c r="I9274" s="60">
        <v>32.6040288666666</v>
      </c>
      <c r="J9274" s="59">
        <v>34.0</v>
      </c>
      <c r="K9274" s="61">
        <f t="shared" si="1"/>
        <v>0.6</v>
      </c>
      <c r="L9274" s="62">
        <f t="shared" si="2"/>
        <v>2.266666667</v>
      </c>
    </row>
    <row r="9275">
      <c r="A9275" s="58">
        <v>45261.0</v>
      </c>
      <c r="B9275" s="24" t="s">
        <v>6789</v>
      </c>
      <c r="C9275" s="24" t="s">
        <v>6892</v>
      </c>
      <c r="D9275" s="59">
        <v>9.0</v>
      </c>
      <c r="E9275" s="59">
        <v>9.0</v>
      </c>
      <c r="F9275" s="59">
        <v>7.0</v>
      </c>
      <c r="G9275" s="60">
        <v>1.0</v>
      </c>
      <c r="H9275" s="60">
        <v>0.0</v>
      </c>
      <c r="I9275" s="60">
        <v>322.277148888888</v>
      </c>
      <c r="J9275" s="59">
        <v>24.0</v>
      </c>
      <c r="K9275" s="61">
        <f t="shared" si="1"/>
        <v>0.7777777778</v>
      </c>
      <c r="L9275" s="62">
        <f t="shared" si="2"/>
        <v>2.666666667</v>
      </c>
    </row>
    <row r="9276">
      <c r="A9276" s="58">
        <v>45261.0</v>
      </c>
      <c r="B9276" s="24" t="s">
        <v>6787</v>
      </c>
      <c r="C9276" s="24" t="s">
        <v>7034</v>
      </c>
      <c r="D9276" s="59">
        <v>9.0</v>
      </c>
      <c r="E9276" s="59">
        <v>9.0</v>
      </c>
      <c r="F9276" s="59">
        <v>8.0</v>
      </c>
      <c r="G9276" s="60">
        <v>1.0</v>
      </c>
      <c r="H9276" s="60">
        <v>0.333333333333333</v>
      </c>
      <c r="I9276" s="60">
        <v>629.652173</v>
      </c>
      <c r="J9276" s="59">
        <v>28.0</v>
      </c>
      <c r="K9276" s="61">
        <f t="shared" si="1"/>
        <v>0.8888888889</v>
      </c>
      <c r="L9276" s="62">
        <f t="shared" si="2"/>
        <v>3.111111111</v>
      </c>
    </row>
    <row r="9277">
      <c r="A9277" s="58">
        <v>45261.0</v>
      </c>
      <c r="B9277" s="24" t="s">
        <v>6789</v>
      </c>
      <c r="C9277" s="24" t="s">
        <v>7313</v>
      </c>
      <c r="D9277" s="59">
        <v>9.0</v>
      </c>
      <c r="E9277" s="59">
        <v>10.0</v>
      </c>
      <c r="F9277" s="59">
        <v>1.0</v>
      </c>
      <c r="G9277" s="60">
        <v>1.11111111111111</v>
      </c>
      <c r="H9277" s="60">
        <v>0.0</v>
      </c>
      <c r="I9277" s="60">
        <v>214.019641199999</v>
      </c>
      <c r="J9277" s="59">
        <v>28.0</v>
      </c>
      <c r="K9277" s="61">
        <f t="shared" si="1"/>
        <v>0.1</v>
      </c>
      <c r="L9277" s="62">
        <f t="shared" si="2"/>
        <v>2.8</v>
      </c>
    </row>
    <row r="9278">
      <c r="A9278" s="58">
        <v>45261.0</v>
      </c>
      <c r="B9278" s="24" t="s">
        <v>6794</v>
      </c>
      <c r="C9278" s="24" t="s">
        <v>6792</v>
      </c>
      <c r="D9278" s="59">
        <v>8.0</v>
      </c>
      <c r="E9278" s="59">
        <v>9.0</v>
      </c>
      <c r="F9278" s="59">
        <v>0.0</v>
      </c>
      <c r="G9278" s="60">
        <v>1.125</v>
      </c>
      <c r="H9278" s="60">
        <v>1.0</v>
      </c>
      <c r="I9278" s="60">
        <v>0.259642888888888</v>
      </c>
      <c r="J9278" s="59">
        <v>0.0</v>
      </c>
      <c r="K9278" s="61">
        <f t="shared" si="1"/>
        <v>0</v>
      </c>
      <c r="L9278" s="62">
        <f t="shared" si="2"/>
        <v>0</v>
      </c>
    </row>
    <row r="9279">
      <c r="A9279" s="58">
        <v>45261.0</v>
      </c>
      <c r="B9279" s="24" t="s">
        <v>6787</v>
      </c>
      <c r="C9279" s="24" t="s">
        <v>6910</v>
      </c>
      <c r="D9279" s="59">
        <v>8.0</v>
      </c>
      <c r="E9279" s="59">
        <v>8.0</v>
      </c>
      <c r="F9279" s="59">
        <v>7.0</v>
      </c>
      <c r="G9279" s="60">
        <v>1.0</v>
      </c>
      <c r="H9279" s="60">
        <v>0.375</v>
      </c>
      <c r="I9279" s="60">
        <v>73.891088875</v>
      </c>
      <c r="J9279" s="59">
        <v>37.0</v>
      </c>
      <c r="K9279" s="61">
        <f t="shared" si="1"/>
        <v>0.875</v>
      </c>
      <c r="L9279" s="62">
        <f t="shared" si="2"/>
        <v>4.625</v>
      </c>
    </row>
    <row r="9280">
      <c r="A9280" s="58">
        <v>45261.0</v>
      </c>
      <c r="B9280" s="24" t="s">
        <v>155</v>
      </c>
      <c r="C9280" s="24" t="s">
        <v>6792</v>
      </c>
      <c r="D9280" s="59">
        <v>7.0</v>
      </c>
      <c r="E9280" s="59">
        <v>8.0</v>
      </c>
      <c r="F9280" s="59">
        <v>0.0</v>
      </c>
      <c r="G9280" s="60">
        <v>2.0</v>
      </c>
      <c r="H9280" s="60">
        <v>1.0</v>
      </c>
      <c r="I9280" s="60">
        <v>0.0</v>
      </c>
      <c r="J9280" s="59">
        <v>0.0</v>
      </c>
      <c r="K9280" s="61">
        <f t="shared" si="1"/>
        <v>0</v>
      </c>
      <c r="L9280" s="62">
        <f t="shared" si="2"/>
        <v>0</v>
      </c>
    </row>
    <row r="9281">
      <c r="A9281" s="58">
        <v>45261.0</v>
      </c>
      <c r="B9281" s="24" t="s">
        <v>6789</v>
      </c>
      <c r="C9281" s="24" t="s">
        <v>6819</v>
      </c>
      <c r="D9281" s="59">
        <v>7.0</v>
      </c>
      <c r="E9281" s="59">
        <v>7.0</v>
      </c>
      <c r="F9281" s="59">
        <v>7.0</v>
      </c>
      <c r="G9281" s="60">
        <v>1.0</v>
      </c>
      <c r="H9281" s="60">
        <v>0.142857142857142</v>
      </c>
      <c r="I9281" s="60">
        <v>115.562114285714</v>
      </c>
      <c r="J9281" s="59">
        <v>14.0</v>
      </c>
      <c r="K9281" s="61">
        <f t="shared" si="1"/>
        <v>1</v>
      </c>
      <c r="L9281" s="62">
        <f t="shared" si="2"/>
        <v>2</v>
      </c>
    </row>
    <row r="9282">
      <c r="A9282" s="58">
        <v>45261.0</v>
      </c>
      <c r="B9282" s="24" t="s">
        <v>6791</v>
      </c>
      <c r="C9282" s="24" t="s">
        <v>7554</v>
      </c>
      <c r="D9282" s="59">
        <v>7.0</v>
      </c>
      <c r="E9282" s="59">
        <v>7.0</v>
      </c>
      <c r="F9282" s="59">
        <v>5.0</v>
      </c>
      <c r="G9282" s="60">
        <v>1.0</v>
      </c>
      <c r="H9282" s="60">
        <v>0.0</v>
      </c>
      <c r="I9282" s="60">
        <v>68.9947317142857</v>
      </c>
      <c r="J9282" s="59">
        <v>22.0</v>
      </c>
      <c r="K9282" s="61">
        <f t="shared" si="1"/>
        <v>0.7142857143</v>
      </c>
      <c r="L9282" s="62">
        <f t="shared" si="2"/>
        <v>3.142857143</v>
      </c>
    </row>
    <row r="9283">
      <c r="A9283" s="58">
        <v>45261.0</v>
      </c>
      <c r="B9283" s="24" t="s">
        <v>6789</v>
      </c>
      <c r="C9283" s="24" t="s">
        <v>6800</v>
      </c>
      <c r="D9283" s="59">
        <v>7.0</v>
      </c>
      <c r="E9283" s="59">
        <v>8.0</v>
      </c>
      <c r="F9283" s="59">
        <v>5.0</v>
      </c>
      <c r="G9283" s="60">
        <v>1.14285714285714</v>
      </c>
      <c r="H9283" s="60">
        <v>0.0</v>
      </c>
      <c r="I9283" s="60">
        <v>309.164839</v>
      </c>
      <c r="J9283" s="59">
        <v>48.0</v>
      </c>
      <c r="K9283" s="61">
        <f t="shared" si="1"/>
        <v>0.625</v>
      </c>
      <c r="L9283" s="62">
        <f t="shared" si="2"/>
        <v>6</v>
      </c>
    </row>
    <row r="9284">
      <c r="A9284" s="58">
        <v>45261.0</v>
      </c>
      <c r="B9284" s="24" t="s">
        <v>6787</v>
      </c>
      <c r="C9284" s="24" t="s">
        <v>7013</v>
      </c>
      <c r="D9284" s="59">
        <v>7.0</v>
      </c>
      <c r="E9284" s="59">
        <v>7.0</v>
      </c>
      <c r="F9284" s="59">
        <v>6.0</v>
      </c>
      <c r="G9284" s="60">
        <v>1.0</v>
      </c>
      <c r="H9284" s="60">
        <v>0.142857142857142</v>
      </c>
      <c r="I9284" s="60">
        <v>86.9552782857142</v>
      </c>
      <c r="J9284" s="59">
        <v>31.0</v>
      </c>
      <c r="K9284" s="61">
        <f t="shared" si="1"/>
        <v>0.8571428571</v>
      </c>
      <c r="L9284" s="62">
        <f t="shared" si="2"/>
        <v>4.428571429</v>
      </c>
    </row>
    <row r="9285">
      <c r="A9285" s="58">
        <v>45261.0</v>
      </c>
      <c r="B9285" s="24" t="s">
        <v>6787</v>
      </c>
      <c r="C9285" s="24" t="s">
        <v>7172</v>
      </c>
      <c r="D9285" s="59">
        <v>7.0</v>
      </c>
      <c r="E9285" s="59">
        <v>10.0</v>
      </c>
      <c r="F9285" s="59">
        <v>5.0</v>
      </c>
      <c r="G9285" s="60">
        <v>1.42857142857142</v>
      </c>
      <c r="H9285" s="60">
        <v>0.3</v>
      </c>
      <c r="I9285" s="60">
        <v>95.2760073</v>
      </c>
      <c r="J9285" s="59">
        <v>21.0</v>
      </c>
      <c r="K9285" s="61">
        <f t="shared" si="1"/>
        <v>0.5</v>
      </c>
      <c r="L9285" s="62">
        <f t="shared" si="2"/>
        <v>2.1</v>
      </c>
    </row>
    <row r="9286">
      <c r="A9286" s="58">
        <v>45261.0</v>
      </c>
      <c r="B9286" s="24" t="s">
        <v>6787</v>
      </c>
      <c r="C9286" s="24" t="s">
        <v>7313</v>
      </c>
      <c r="D9286" s="59">
        <v>7.0</v>
      </c>
      <c r="E9286" s="59">
        <v>7.0</v>
      </c>
      <c r="F9286" s="59">
        <v>5.0</v>
      </c>
      <c r="G9286" s="60">
        <v>1.0</v>
      </c>
      <c r="H9286" s="60">
        <v>0.428571428571428</v>
      </c>
      <c r="I9286" s="60">
        <v>15.7876261428571</v>
      </c>
      <c r="J9286" s="59">
        <v>15.0</v>
      </c>
      <c r="K9286" s="61">
        <f t="shared" si="1"/>
        <v>0.7142857143</v>
      </c>
      <c r="L9286" s="62">
        <f t="shared" si="2"/>
        <v>2.142857143</v>
      </c>
    </row>
    <row r="9287">
      <c r="A9287" s="58">
        <v>45261.0</v>
      </c>
      <c r="B9287" s="24" t="s">
        <v>6791</v>
      </c>
      <c r="C9287" s="24" t="s">
        <v>6792</v>
      </c>
      <c r="D9287" s="59">
        <v>6.0</v>
      </c>
      <c r="E9287" s="59">
        <v>7.0</v>
      </c>
      <c r="F9287" s="59">
        <v>0.0</v>
      </c>
      <c r="G9287" s="60">
        <v>2.33333333333333</v>
      </c>
      <c r="H9287" s="60">
        <v>1.0</v>
      </c>
      <c r="I9287" s="60">
        <v>0.0</v>
      </c>
      <c r="J9287" s="59">
        <v>0.0</v>
      </c>
      <c r="K9287" s="61">
        <f t="shared" si="1"/>
        <v>0</v>
      </c>
      <c r="L9287" s="62">
        <f t="shared" si="2"/>
        <v>0</v>
      </c>
    </row>
    <row r="9288">
      <c r="A9288" s="58">
        <v>45261.0</v>
      </c>
      <c r="B9288" s="24" t="s">
        <v>6790</v>
      </c>
      <c r="C9288" s="24" t="s">
        <v>6792</v>
      </c>
      <c r="D9288" s="59">
        <v>6.0</v>
      </c>
      <c r="E9288" s="59">
        <v>6.0</v>
      </c>
      <c r="F9288" s="59">
        <v>0.0</v>
      </c>
      <c r="G9288" s="60">
        <v>3.0</v>
      </c>
      <c r="H9288" s="60">
        <v>1.0</v>
      </c>
      <c r="I9288" s="60">
        <v>0.0</v>
      </c>
      <c r="J9288" s="59">
        <v>0.0</v>
      </c>
      <c r="K9288" s="61">
        <f t="shared" si="1"/>
        <v>0</v>
      </c>
      <c r="L9288" s="62">
        <f t="shared" si="2"/>
        <v>0</v>
      </c>
    </row>
    <row r="9289">
      <c r="A9289" s="58">
        <v>45261.0</v>
      </c>
      <c r="B9289" s="24" t="s">
        <v>6787</v>
      </c>
      <c r="C9289" s="24" t="s">
        <v>6817</v>
      </c>
      <c r="D9289" s="59">
        <v>6.0</v>
      </c>
      <c r="E9289" s="59">
        <v>6.0</v>
      </c>
      <c r="F9289" s="59">
        <v>5.0</v>
      </c>
      <c r="G9289" s="60">
        <v>1.0</v>
      </c>
      <c r="H9289" s="60">
        <v>0.833333333333333</v>
      </c>
      <c r="I9289" s="60">
        <v>7.66648483333333</v>
      </c>
      <c r="J9289" s="59">
        <v>9.0</v>
      </c>
      <c r="K9289" s="61">
        <f t="shared" si="1"/>
        <v>0.8333333333</v>
      </c>
      <c r="L9289" s="62">
        <f t="shared" si="2"/>
        <v>1.5</v>
      </c>
    </row>
    <row r="9290">
      <c r="A9290" s="58">
        <v>45261.0</v>
      </c>
      <c r="B9290" s="24" t="s">
        <v>6789</v>
      </c>
      <c r="C9290" s="24" t="s">
        <v>7034</v>
      </c>
      <c r="D9290" s="59">
        <v>6.0</v>
      </c>
      <c r="E9290" s="59">
        <v>6.0</v>
      </c>
      <c r="F9290" s="59">
        <v>3.0</v>
      </c>
      <c r="G9290" s="60">
        <v>1.0</v>
      </c>
      <c r="H9290" s="60">
        <v>0.0</v>
      </c>
      <c r="I9290" s="60">
        <v>297.127036666666</v>
      </c>
      <c r="J9290" s="59">
        <v>34.0</v>
      </c>
      <c r="K9290" s="61">
        <f t="shared" si="1"/>
        <v>0.5</v>
      </c>
      <c r="L9290" s="62">
        <f t="shared" si="2"/>
        <v>5.666666667</v>
      </c>
    </row>
    <row r="9291">
      <c r="A9291" s="58">
        <v>45261.0</v>
      </c>
      <c r="B9291" s="24" t="s">
        <v>6791</v>
      </c>
      <c r="C9291" s="24" t="s">
        <v>7261</v>
      </c>
      <c r="D9291" s="59">
        <v>6.0</v>
      </c>
      <c r="E9291" s="59">
        <v>6.0</v>
      </c>
      <c r="F9291" s="59">
        <v>6.0</v>
      </c>
      <c r="G9291" s="60">
        <v>1.0</v>
      </c>
      <c r="H9291" s="60">
        <v>0.0</v>
      </c>
      <c r="I9291" s="60">
        <v>644.300212833333</v>
      </c>
      <c r="J9291" s="59">
        <v>31.0</v>
      </c>
      <c r="K9291" s="61">
        <f t="shared" si="1"/>
        <v>1</v>
      </c>
      <c r="L9291" s="62">
        <f t="shared" si="2"/>
        <v>5.166666667</v>
      </c>
    </row>
    <row r="9292">
      <c r="A9292" s="58">
        <v>45261.0</v>
      </c>
      <c r="B9292" s="24" t="s">
        <v>6787</v>
      </c>
      <c r="C9292" s="24" t="s">
        <v>7101</v>
      </c>
      <c r="D9292" s="59">
        <v>6.0</v>
      </c>
      <c r="E9292" s="59">
        <v>7.0</v>
      </c>
      <c r="F9292" s="59">
        <v>6.0</v>
      </c>
      <c r="G9292" s="60">
        <v>1.16666666666666</v>
      </c>
      <c r="H9292" s="60">
        <v>0.285714285714285</v>
      </c>
      <c r="I9292" s="60">
        <v>276.711760428571</v>
      </c>
      <c r="J9292" s="59">
        <v>17.0</v>
      </c>
      <c r="K9292" s="61">
        <f t="shared" si="1"/>
        <v>0.8571428571</v>
      </c>
      <c r="L9292" s="62">
        <f t="shared" si="2"/>
        <v>2.428571429</v>
      </c>
    </row>
    <row r="9293">
      <c r="A9293" s="58">
        <v>45261.0</v>
      </c>
      <c r="B9293" s="24" t="s">
        <v>6789</v>
      </c>
      <c r="C9293" s="24" t="s">
        <v>6810</v>
      </c>
      <c r="D9293" s="59">
        <v>6.0</v>
      </c>
      <c r="E9293" s="59">
        <v>9.0</v>
      </c>
      <c r="F9293" s="59">
        <v>2.0</v>
      </c>
      <c r="G9293" s="60">
        <v>1.5</v>
      </c>
      <c r="H9293" s="60">
        <v>0.0</v>
      </c>
      <c r="I9293" s="60">
        <v>104.417379777777</v>
      </c>
      <c r="J9293" s="59">
        <v>20.0</v>
      </c>
      <c r="K9293" s="61">
        <f t="shared" si="1"/>
        <v>0.2222222222</v>
      </c>
      <c r="L9293" s="62">
        <f t="shared" si="2"/>
        <v>2.222222222</v>
      </c>
    </row>
    <row r="9294">
      <c r="A9294" s="58">
        <v>45261.0</v>
      </c>
      <c r="B9294" s="24" t="s">
        <v>6789</v>
      </c>
      <c r="C9294" s="24" t="s">
        <v>7058</v>
      </c>
      <c r="D9294" s="59">
        <v>5.0</v>
      </c>
      <c r="E9294" s="59">
        <v>5.0</v>
      </c>
      <c r="F9294" s="59">
        <v>5.0</v>
      </c>
      <c r="G9294" s="60">
        <v>1.0</v>
      </c>
      <c r="H9294" s="60">
        <v>0.0</v>
      </c>
      <c r="I9294" s="60">
        <v>28.408435</v>
      </c>
      <c r="J9294" s="59">
        <v>11.0</v>
      </c>
      <c r="K9294" s="61">
        <f t="shared" si="1"/>
        <v>1</v>
      </c>
      <c r="L9294" s="62">
        <f t="shared" si="2"/>
        <v>2.2</v>
      </c>
    </row>
    <row r="9295">
      <c r="A9295" s="58">
        <v>45261.0</v>
      </c>
      <c r="B9295" s="24" t="s">
        <v>6789</v>
      </c>
      <c r="C9295" s="24" t="s">
        <v>6990</v>
      </c>
      <c r="D9295" s="59">
        <v>5.0</v>
      </c>
      <c r="E9295" s="59">
        <v>5.0</v>
      </c>
      <c r="F9295" s="59">
        <v>5.0</v>
      </c>
      <c r="G9295" s="60">
        <v>1.0</v>
      </c>
      <c r="H9295" s="60">
        <v>0.0</v>
      </c>
      <c r="I9295" s="60">
        <v>23.0543486</v>
      </c>
      <c r="J9295" s="59">
        <v>11.0</v>
      </c>
      <c r="K9295" s="61">
        <f t="shared" si="1"/>
        <v>1</v>
      </c>
      <c r="L9295" s="62">
        <f t="shared" si="2"/>
        <v>2.2</v>
      </c>
    </row>
    <row r="9296">
      <c r="A9296" s="58">
        <v>45261.0</v>
      </c>
      <c r="B9296" s="24" t="s">
        <v>155</v>
      </c>
      <c r="C9296" s="24" t="s">
        <v>6799</v>
      </c>
      <c r="D9296" s="59">
        <v>5.0</v>
      </c>
      <c r="E9296" s="59">
        <v>5.0</v>
      </c>
      <c r="F9296" s="59">
        <v>4.0</v>
      </c>
      <c r="G9296" s="60">
        <v>1.0</v>
      </c>
      <c r="H9296" s="60">
        <v>0.0</v>
      </c>
      <c r="I9296" s="60">
        <v>163.6017448</v>
      </c>
      <c r="J9296" s="59">
        <v>14.0</v>
      </c>
      <c r="K9296" s="61">
        <f t="shared" si="1"/>
        <v>0.8</v>
      </c>
      <c r="L9296" s="62">
        <f t="shared" si="2"/>
        <v>2.8</v>
      </c>
    </row>
    <row r="9297">
      <c r="A9297" s="58">
        <v>45261.0</v>
      </c>
      <c r="B9297" s="24" t="s">
        <v>3216</v>
      </c>
      <c r="C9297" s="24" t="s">
        <v>7034</v>
      </c>
      <c r="D9297" s="59">
        <v>5.0</v>
      </c>
      <c r="E9297" s="59">
        <v>5.0</v>
      </c>
      <c r="F9297" s="59">
        <v>5.0</v>
      </c>
      <c r="G9297" s="60">
        <v>1.0</v>
      </c>
      <c r="H9297" s="60">
        <v>0.2</v>
      </c>
      <c r="I9297" s="60">
        <v>25.7610926</v>
      </c>
      <c r="J9297" s="59">
        <v>13.0</v>
      </c>
      <c r="K9297" s="61">
        <f t="shared" si="1"/>
        <v>1</v>
      </c>
      <c r="L9297" s="62">
        <f t="shared" si="2"/>
        <v>2.6</v>
      </c>
    </row>
    <row r="9298">
      <c r="A9298" s="58">
        <v>45261.0</v>
      </c>
      <c r="B9298" s="24" t="s">
        <v>3216</v>
      </c>
      <c r="C9298" s="24" t="s">
        <v>7595</v>
      </c>
      <c r="D9298" s="59">
        <v>5.0</v>
      </c>
      <c r="E9298" s="59">
        <v>5.0</v>
      </c>
      <c r="F9298" s="59">
        <v>5.0</v>
      </c>
      <c r="G9298" s="60">
        <v>1.0</v>
      </c>
      <c r="H9298" s="60">
        <v>0.0</v>
      </c>
      <c r="I9298" s="60">
        <v>7.6829414</v>
      </c>
      <c r="J9298" s="59">
        <v>12.0</v>
      </c>
      <c r="K9298" s="61">
        <f t="shared" si="1"/>
        <v>1</v>
      </c>
      <c r="L9298" s="62">
        <f t="shared" si="2"/>
        <v>2.4</v>
      </c>
    </row>
    <row r="9299">
      <c r="A9299" s="58">
        <v>45261.0</v>
      </c>
      <c r="B9299" s="24" t="s">
        <v>6789</v>
      </c>
      <c r="C9299" s="24" t="s">
        <v>7530</v>
      </c>
      <c r="D9299" s="59">
        <v>5.0</v>
      </c>
      <c r="E9299" s="59">
        <v>7.0</v>
      </c>
      <c r="F9299" s="59">
        <v>4.0</v>
      </c>
      <c r="G9299" s="60">
        <v>1.4</v>
      </c>
      <c r="H9299" s="60">
        <v>0.285714285714285</v>
      </c>
      <c r="I9299" s="60">
        <v>3.663384</v>
      </c>
      <c r="J9299" s="59">
        <v>12.0</v>
      </c>
      <c r="K9299" s="61">
        <f t="shared" si="1"/>
        <v>0.5714285714</v>
      </c>
      <c r="L9299" s="62">
        <f t="shared" si="2"/>
        <v>1.714285714</v>
      </c>
    </row>
    <row r="9300">
      <c r="A9300" s="58">
        <v>45261.0</v>
      </c>
      <c r="B9300" s="24" t="s">
        <v>3216</v>
      </c>
      <c r="C9300" s="24" t="s">
        <v>6908</v>
      </c>
      <c r="D9300" s="59">
        <v>5.0</v>
      </c>
      <c r="E9300" s="59">
        <v>9.0</v>
      </c>
      <c r="F9300" s="59">
        <v>4.0</v>
      </c>
      <c r="G9300" s="60">
        <v>1.8</v>
      </c>
      <c r="H9300" s="60">
        <v>0.111111111111111</v>
      </c>
      <c r="I9300" s="60">
        <v>215.908015777777</v>
      </c>
      <c r="J9300" s="59">
        <v>19.0</v>
      </c>
      <c r="K9300" s="61">
        <f t="shared" si="1"/>
        <v>0.4444444444</v>
      </c>
      <c r="L9300" s="62">
        <f t="shared" si="2"/>
        <v>2.111111111</v>
      </c>
    </row>
    <row r="9301">
      <c r="A9301" s="58">
        <v>45261.0</v>
      </c>
      <c r="B9301" s="24" t="s">
        <v>6787</v>
      </c>
      <c r="C9301" s="24" t="s">
        <v>7192</v>
      </c>
      <c r="D9301" s="59">
        <v>5.0</v>
      </c>
      <c r="E9301" s="59">
        <v>5.0</v>
      </c>
      <c r="F9301" s="59">
        <v>2.0</v>
      </c>
      <c r="G9301" s="60">
        <v>1.0</v>
      </c>
      <c r="H9301" s="60">
        <v>0.2</v>
      </c>
      <c r="I9301" s="60">
        <v>381.2914144</v>
      </c>
      <c r="J9301" s="59">
        <v>19.0</v>
      </c>
      <c r="K9301" s="61">
        <f t="shared" si="1"/>
        <v>0.4</v>
      </c>
      <c r="L9301" s="62">
        <f t="shared" si="2"/>
        <v>3.8</v>
      </c>
    </row>
    <row r="9302">
      <c r="A9302" s="58">
        <v>45261.0</v>
      </c>
      <c r="B9302" s="24" t="s">
        <v>6789</v>
      </c>
      <c r="C9302" s="24" t="s">
        <v>7047</v>
      </c>
      <c r="D9302" s="59">
        <v>5.0</v>
      </c>
      <c r="E9302" s="59">
        <v>5.0</v>
      </c>
      <c r="F9302" s="59">
        <v>1.0</v>
      </c>
      <c r="G9302" s="60">
        <v>1.0</v>
      </c>
      <c r="H9302" s="60">
        <v>0.0</v>
      </c>
      <c r="I9302" s="60">
        <v>355.1244796</v>
      </c>
      <c r="J9302" s="59">
        <v>26.0</v>
      </c>
      <c r="K9302" s="61">
        <f t="shared" si="1"/>
        <v>0.2</v>
      </c>
      <c r="L9302" s="62">
        <f t="shared" si="2"/>
        <v>5.2</v>
      </c>
    </row>
    <row r="9303">
      <c r="A9303" s="58">
        <v>45261.0</v>
      </c>
      <c r="B9303" s="24" t="s">
        <v>6791</v>
      </c>
      <c r="C9303" s="24" t="s">
        <v>6788</v>
      </c>
      <c r="D9303" s="59">
        <v>4.0</v>
      </c>
      <c r="E9303" s="59">
        <v>5.0</v>
      </c>
      <c r="F9303" s="59">
        <v>0.0</v>
      </c>
      <c r="G9303" s="60">
        <v>1.25</v>
      </c>
      <c r="H9303" s="60">
        <v>0.0</v>
      </c>
      <c r="I9303" s="60">
        <v>458.1221372</v>
      </c>
      <c r="J9303" s="59">
        <v>17.0</v>
      </c>
      <c r="K9303" s="61">
        <f t="shared" si="1"/>
        <v>0</v>
      </c>
      <c r="L9303" s="62">
        <f t="shared" si="2"/>
        <v>3.4</v>
      </c>
    </row>
    <row r="9304">
      <c r="A9304" s="58">
        <v>45261.0</v>
      </c>
      <c r="B9304" s="24" t="s">
        <v>6789</v>
      </c>
      <c r="C9304" s="24" t="s">
        <v>6861</v>
      </c>
      <c r="D9304" s="59">
        <v>4.0</v>
      </c>
      <c r="E9304" s="59">
        <v>5.0</v>
      </c>
      <c r="F9304" s="59">
        <v>3.0</v>
      </c>
      <c r="G9304" s="60">
        <v>1.25</v>
      </c>
      <c r="H9304" s="60">
        <v>0.0</v>
      </c>
      <c r="I9304" s="60">
        <v>565.7072982</v>
      </c>
      <c r="J9304" s="59">
        <v>21.0</v>
      </c>
      <c r="K9304" s="61">
        <f t="shared" si="1"/>
        <v>0.6</v>
      </c>
      <c r="L9304" s="62">
        <f t="shared" si="2"/>
        <v>4.2</v>
      </c>
    </row>
    <row r="9305">
      <c r="A9305" s="58">
        <v>45261.0</v>
      </c>
      <c r="B9305" s="24" t="s">
        <v>6787</v>
      </c>
      <c r="C9305" s="24" t="s">
        <v>6986</v>
      </c>
      <c r="D9305" s="59">
        <v>4.0</v>
      </c>
      <c r="E9305" s="59">
        <v>6.0</v>
      </c>
      <c r="F9305" s="59">
        <v>2.0</v>
      </c>
      <c r="G9305" s="60">
        <v>1.5</v>
      </c>
      <c r="H9305" s="60">
        <v>0.0</v>
      </c>
      <c r="I9305" s="60">
        <v>1009.77929116666</v>
      </c>
      <c r="J9305" s="59">
        <v>64.0</v>
      </c>
      <c r="K9305" s="61">
        <f t="shared" si="1"/>
        <v>0.3333333333</v>
      </c>
      <c r="L9305" s="62">
        <f t="shared" si="2"/>
        <v>10.66666667</v>
      </c>
    </row>
    <row r="9306">
      <c r="A9306" s="58">
        <v>45261.0</v>
      </c>
      <c r="B9306" s="24" t="s">
        <v>6787</v>
      </c>
      <c r="C9306" s="24" t="s">
        <v>6835</v>
      </c>
      <c r="D9306" s="59">
        <v>4.0</v>
      </c>
      <c r="E9306" s="59">
        <v>5.0</v>
      </c>
      <c r="F9306" s="59">
        <v>3.0</v>
      </c>
      <c r="G9306" s="60">
        <v>1.25</v>
      </c>
      <c r="H9306" s="60">
        <v>0.4</v>
      </c>
      <c r="I9306" s="60">
        <v>3.1662896</v>
      </c>
      <c r="J9306" s="59">
        <v>8.0</v>
      </c>
      <c r="K9306" s="61">
        <f t="shared" si="1"/>
        <v>0.6</v>
      </c>
      <c r="L9306" s="62">
        <f t="shared" si="2"/>
        <v>1.6</v>
      </c>
    </row>
    <row r="9307">
      <c r="A9307" s="58">
        <v>45261.0</v>
      </c>
      <c r="B9307" s="24" t="s">
        <v>6787</v>
      </c>
      <c r="C9307" s="24" t="s">
        <v>6886</v>
      </c>
      <c r="D9307" s="59">
        <v>4.0</v>
      </c>
      <c r="E9307" s="59">
        <v>6.0</v>
      </c>
      <c r="F9307" s="59">
        <v>4.0</v>
      </c>
      <c r="G9307" s="60">
        <v>1.5</v>
      </c>
      <c r="H9307" s="60">
        <v>0.166666666666666</v>
      </c>
      <c r="I9307" s="60">
        <v>11.8623465</v>
      </c>
      <c r="J9307" s="59">
        <v>19.0</v>
      </c>
      <c r="K9307" s="61">
        <f t="shared" si="1"/>
        <v>0.6666666667</v>
      </c>
      <c r="L9307" s="62">
        <f t="shared" si="2"/>
        <v>3.166666667</v>
      </c>
    </row>
    <row r="9308">
      <c r="A9308" s="58">
        <v>45261.0</v>
      </c>
      <c r="B9308" s="24" t="s">
        <v>6789</v>
      </c>
      <c r="C9308" s="24" t="s">
        <v>6886</v>
      </c>
      <c r="D9308" s="59">
        <v>4.0</v>
      </c>
      <c r="E9308" s="59">
        <v>4.0</v>
      </c>
      <c r="F9308" s="59">
        <v>2.0</v>
      </c>
      <c r="G9308" s="60">
        <v>1.0</v>
      </c>
      <c r="H9308" s="60">
        <v>0.5</v>
      </c>
      <c r="I9308" s="60">
        <v>42.7550035</v>
      </c>
      <c r="J9308" s="59">
        <v>10.0</v>
      </c>
      <c r="K9308" s="61">
        <f t="shared" si="1"/>
        <v>0.5</v>
      </c>
      <c r="L9308" s="62">
        <f t="shared" si="2"/>
        <v>2.5</v>
      </c>
    </row>
    <row r="9309">
      <c r="A9309" s="58">
        <v>45261.0</v>
      </c>
      <c r="B9309" s="24" t="s">
        <v>6787</v>
      </c>
      <c r="C9309" s="24" t="s">
        <v>6808</v>
      </c>
      <c r="D9309" s="59">
        <v>4.0</v>
      </c>
      <c r="E9309" s="59">
        <v>4.0</v>
      </c>
      <c r="F9309" s="59">
        <v>2.0</v>
      </c>
      <c r="G9309" s="60">
        <v>1.0</v>
      </c>
      <c r="H9309" s="60">
        <v>0.25</v>
      </c>
      <c r="I9309" s="60">
        <v>5.99574775</v>
      </c>
      <c r="J9309" s="59">
        <v>7.0</v>
      </c>
      <c r="K9309" s="61">
        <f t="shared" si="1"/>
        <v>0.5</v>
      </c>
      <c r="L9309" s="62">
        <f t="shared" si="2"/>
        <v>1.75</v>
      </c>
    </row>
    <row r="9310">
      <c r="A9310" s="58">
        <v>45261.0</v>
      </c>
      <c r="B9310" s="24" t="s">
        <v>6787</v>
      </c>
      <c r="C9310" s="24" t="s">
        <v>6908</v>
      </c>
      <c r="D9310" s="59">
        <v>4.0</v>
      </c>
      <c r="E9310" s="59">
        <v>4.0</v>
      </c>
      <c r="F9310" s="59">
        <v>2.0</v>
      </c>
      <c r="G9310" s="60">
        <v>1.0</v>
      </c>
      <c r="H9310" s="60">
        <v>0.5</v>
      </c>
      <c r="I9310" s="60">
        <v>6.68560974999999</v>
      </c>
      <c r="J9310" s="59">
        <v>8.0</v>
      </c>
      <c r="K9310" s="61">
        <f t="shared" si="1"/>
        <v>0.5</v>
      </c>
      <c r="L9310" s="62">
        <f t="shared" si="2"/>
        <v>2</v>
      </c>
    </row>
    <row r="9311">
      <c r="A9311" s="58">
        <v>45261.0</v>
      </c>
      <c r="B9311" s="24" t="s">
        <v>6789</v>
      </c>
      <c r="C9311" s="24" t="s">
        <v>7172</v>
      </c>
      <c r="D9311" s="59">
        <v>4.0</v>
      </c>
      <c r="E9311" s="59">
        <v>4.0</v>
      </c>
      <c r="F9311" s="59">
        <v>1.0</v>
      </c>
      <c r="G9311" s="60">
        <v>1.0</v>
      </c>
      <c r="H9311" s="60">
        <v>0.0</v>
      </c>
      <c r="I9311" s="60">
        <v>425.600757749999</v>
      </c>
      <c r="J9311" s="59">
        <v>23.0</v>
      </c>
      <c r="K9311" s="61">
        <f t="shared" si="1"/>
        <v>0.25</v>
      </c>
      <c r="L9311" s="62">
        <f t="shared" si="2"/>
        <v>5.75</v>
      </c>
    </row>
    <row r="9312">
      <c r="A9312" s="58">
        <v>45261.0</v>
      </c>
      <c r="B9312" s="24" t="s">
        <v>6789</v>
      </c>
      <c r="C9312" s="24" t="s">
        <v>6910</v>
      </c>
      <c r="D9312" s="59">
        <v>4.0</v>
      </c>
      <c r="E9312" s="59">
        <v>4.0</v>
      </c>
      <c r="F9312" s="59">
        <v>2.0</v>
      </c>
      <c r="G9312" s="60">
        <v>1.0</v>
      </c>
      <c r="H9312" s="60">
        <v>0.0</v>
      </c>
      <c r="I9312" s="60">
        <v>110.1893915</v>
      </c>
      <c r="J9312" s="59">
        <v>14.0</v>
      </c>
      <c r="K9312" s="61">
        <f t="shared" si="1"/>
        <v>0.5</v>
      </c>
      <c r="L9312" s="62">
        <f t="shared" si="2"/>
        <v>3.5</v>
      </c>
    </row>
    <row r="9313">
      <c r="A9313" s="58">
        <v>45261.0</v>
      </c>
      <c r="B9313" s="24" t="s">
        <v>6789</v>
      </c>
      <c r="C9313" s="24" t="s">
        <v>7174</v>
      </c>
      <c r="D9313" s="59">
        <v>4.0</v>
      </c>
      <c r="E9313" s="59">
        <v>4.0</v>
      </c>
      <c r="F9313" s="59">
        <v>1.0</v>
      </c>
      <c r="G9313" s="60">
        <v>1.0</v>
      </c>
      <c r="H9313" s="60">
        <v>0.0</v>
      </c>
      <c r="I9313" s="60">
        <v>205.163809749999</v>
      </c>
      <c r="J9313" s="59">
        <v>26.0</v>
      </c>
      <c r="K9313" s="61">
        <f t="shared" si="1"/>
        <v>0.25</v>
      </c>
      <c r="L9313" s="62">
        <f t="shared" si="2"/>
        <v>6.5</v>
      </c>
    </row>
    <row r="9314">
      <c r="A9314" s="58">
        <v>45261.0</v>
      </c>
      <c r="B9314" s="24" t="s">
        <v>6787</v>
      </c>
      <c r="C9314" s="24" t="s">
        <v>7027</v>
      </c>
      <c r="D9314" s="59">
        <v>4.0</v>
      </c>
      <c r="E9314" s="59">
        <v>4.0</v>
      </c>
      <c r="F9314" s="59">
        <v>4.0</v>
      </c>
      <c r="G9314" s="60">
        <v>1.0</v>
      </c>
      <c r="H9314" s="60">
        <v>0.25</v>
      </c>
      <c r="I9314" s="60">
        <v>2.55321224999999</v>
      </c>
      <c r="J9314" s="59">
        <v>7.0</v>
      </c>
      <c r="K9314" s="61">
        <f t="shared" si="1"/>
        <v>1</v>
      </c>
      <c r="L9314" s="62">
        <f t="shared" si="2"/>
        <v>1.75</v>
      </c>
    </row>
    <row r="9315">
      <c r="A9315" s="58">
        <v>45261.0</v>
      </c>
      <c r="B9315" s="24" t="s">
        <v>6789</v>
      </c>
      <c r="C9315" s="24" t="s">
        <v>6921</v>
      </c>
      <c r="D9315" s="59">
        <v>4.0</v>
      </c>
      <c r="E9315" s="59">
        <v>9.0</v>
      </c>
      <c r="F9315" s="59">
        <v>1.0</v>
      </c>
      <c r="G9315" s="60">
        <v>2.25</v>
      </c>
      <c r="H9315" s="60">
        <v>0.111111111111111</v>
      </c>
      <c r="I9315" s="60">
        <v>220.063535111111</v>
      </c>
      <c r="J9315" s="59">
        <v>43.0</v>
      </c>
      <c r="K9315" s="61">
        <f t="shared" si="1"/>
        <v>0.1111111111</v>
      </c>
      <c r="L9315" s="62">
        <f t="shared" si="2"/>
        <v>4.777777778</v>
      </c>
    </row>
    <row r="9316">
      <c r="A9316" s="58">
        <v>45261.0</v>
      </c>
      <c r="B9316" s="24" t="s">
        <v>6787</v>
      </c>
      <c r="C9316" s="24" t="s">
        <v>6922</v>
      </c>
      <c r="D9316" s="59">
        <v>4.0</v>
      </c>
      <c r="E9316" s="59">
        <v>4.0</v>
      </c>
      <c r="F9316" s="59">
        <v>4.0</v>
      </c>
      <c r="G9316" s="60">
        <v>1.0</v>
      </c>
      <c r="H9316" s="60">
        <v>0.5</v>
      </c>
      <c r="I9316" s="60">
        <v>6.80488525</v>
      </c>
      <c r="J9316" s="59">
        <v>8.0</v>
      </c>
      <c r="K9316" s="61">
        <f t="shared" si="1"/>
        <v>1</v>
      </c>
      <c r="L9316" s="62">
        <f t="shared" si="2"/>
        <v>2</v>
      </c>
    </row>
    <row r="9317">
      <c r="A9317" s="58">
        <v>45261.0</v>
      </c>
      <c r="B9317" s="24" t="s">
        <v>6787</v>
      </c>
      <c r="C9317" s="24" t="s">
        <v>6797</v>
      </c>
      <c r="D9317" s="59">
        <v>4.0</v>
      </c>
      <c r="E9317" s="59">
        <v>4.0</v>
      </c>
      <c r="F9317" s="59">
        <v>3.0</v>
      </c>
      <c r="G9317" s="60">
        <v>1.0</v>
      </c>
      <c r="H9317" s="60">
        <v>0.5</v>
      </c>
      <c r="I9317" s="60">
        <v>29.6046394999999</v>
      </c>
      <c r="J9317" s="59">
        <v>10.0</v>
      </c>
      <c r="K9317" s="61">
        <f t="shared" si="1"/>
        <v>0.75</v>
      </c>
      <c r="L9317" s="62">
        <f t="shared" si="2"/>
        <v>2.5</v>
      </c>
    </row>
    <row r="9318">
      <c r="A9318" s="58">
        <v>45261.0</v>
      </c>
      <c r="B9318" s="24" t="s">
        <v>6789</v>
      </c>
      <c r="C9318" s="24" t="s">
        <v>6797</v>
      </c>
      <c r="D9318" s="59">
        <v>4.0</v>
      </c>
      <c r="E9318" s="59">
        <v>6.0</v>
      </c>
      <c r="F9318" s="59">
        <v>1.0</v>
      </c>
      <c r="G9318" s="60">
        <v>1.5</v>
      </c>
      <c r="H9318" s="60">
        <v>0.0</v>
      </c>
      <c r="I9318" s="60">
        <v>18.1874495</v>
      </c>
      <c r="J9318" s="59">
        <v>12.0</v>
      </c>
      <c r="K9318" s="61">
        <f t="shared" si="1"/>
        <v>0.1666666667</v>
      </c>
      <c r="L9318" s="62">
        <f t="shared" si="2"/>
        <v>2</v>
      </c>
    </row>
    <row r="9319">
      <c r="A9319" s="58">
        <v>45261.0</v>
      </c>
      <c r="B9319" s="24" t="s">
        <v>6787</v>
      </c>
      <c r="C9319" s="24" t="s">
        <v>6803</v>
      </c>
      <c r="D9319" s="59">
        <v>3.0</v>
      </c>
      <c r="E9319" s="59">
        <v>3.0</v>
      </c>
      <c r="F9319" s="59">
        <v>3.0</v>
      </c>
      <c r="G9319" s="60">
        <v>1.0</v>
      </c>
      <c r="H9319" s="60">
        <v>0.0</v>
      </c>
      <c r="I9319" s="60">
        <v>36.6729533333333</v>
      </c>
      <c r="J9319" s="59">
        <v>11.0</v>
      </c>
      <c r="K9319" s="61">
        <f t="shared" si="1"/>
        <v>1</v>
      </c>
      <c r="L9319" s="62">
        <f t="shared" si="2"/>
        <v>3.666666667</v>
      </c>
    </row>
    <row r="9320">
      <c r="A9320" s="58">
        <v>45261.0</v>
      </c>
      <c r="B9320" s="24" t="s">
        <v>6787</v>
      </c>
      <c r="C9320" s="24" t="s">
        <v>6953</v>
      </c>
      <c r="D9320" s="59">
        <v>3.0</v>
      </c>
      <c r="E9320" s="59">
        <v>3.0</v>
      </c>
      <c r="F9320" s="59">
        <v>3.0</v>
      </c>
      <c r="G9320" s="60">
        <v>1.0</v>
      </c>
      <c r="H9320" s="60">
        <v>0.333333333333333</v>
      </c>
      <c r="I9320" s="60">
        <v>5.389303</v>
      </c>
      <c r="J9320" s="59">
        <v>5.0</v>
      </c>
      <c r="K9320" s="61">
        <f t="shared" si="1"/>
        <v>1</v>
      </c>
      <c r="L9320" s="62">
        <f t="shared" si="2"/>
        <v>1.666666667</v>
      </c>
    </row>
    <row r="9321">
      <c r="A9321" s="58">
        <v>45261.0</v>
      </c>
      <c r="B9321" s="24" t="s">
        <v>6789</v>
      </c>
      <c r="C9321" s="24" t="s">
        <v>7057</v>
      </c>
      <c r="D9321" s="59">
        <v>3.0</v>
      </c>
      <c r="E9321" s="59">
        <v>3.0</v>
      </c>
      <c r="F9321" s="59">
        <v>2.0</v>
      </c>
      <c r="G9321" s="60">
        <v>1.0</v>
      </c>
      <c r="H9321" s="60">
        <v>0.0</v>
      </c>
      <c r="I9321" s="60">
        <v>23.0668629999999</v>
      </c>
      <c r="J9321" s="59">
        <v>6.0</v>
      </c>
      <c r="K9321" s="61">
        <f t="shared" si="1"/>
        <v>0.6666666667</v>
      </c>
      <c r="L9321" s="62">
        <f t="shared" si="2"/>
        <v>2</v>
      </c>
    </row>
    <row r="9322">
      <c r="A9322" s="58">
        <v>45261.0</v>
      </c>
      <c r="B9322" s="24" t="s">
        <v>6789</v>
      </c>
      <c r="C9322" s="24" t="s">
        <v>6985</v>
      </c>
      <c r="D9322" s="59">
        <v>3.0</v>
      </c>
      <c r="E9322" s="59">
        <v>3.0</v>
      </c>
      <c r="F9322" s="59">
        <v>3.0</v>
      </c>
      <c r="G9322" s="60">
        <v>1.0</v>
      </c>
      <c r="H9322" s="60">
        <v>0.0</v>
      </c>
      <c r="I9322" s="60">
        <v>37.8068906666666</v>
      </c>
      <c r="J9322" s="59">
        <v>5.0</v>
      </c>
      <c r="K9322" s="61">
        <f t="shared" si="1"/>
        <v>1</v>
      </c>
      <c r="L9322" s="62">
        <f t="shared" si="2"/>
        <v>1.666666667</v>
      </c>
    </row>
    <row r="9323">
      <c r="A9323" s="58">
        <v>45261.0</v>
      </c>
      <c r="B9323" s="24" t="s">
        <v>6787</v>
      </c>
      <c r="C9323" s="24" t="s">
        <v>6988</v>
      </c>
      <c r="D9323" s="59">
        <v>3.0</v>
      </c>
      <c r="E9323" s="59">
        <v>4.0</v>
      </c>
      <c r="F9323" s="59">
        <v>3.0</v>
      </c>
      <c r="G9323" s="60">
        <v>1.33333333333333</v>
      </c>
      <c r="H9323" s="60">
        <v>0.0</v>
      </c>
      <c r="I9323" s="60">
        <v>116.06317675</v>
      </c>
      <c r="J9323" s="59">
        <v>10.0</v>
      </c>
      <c r="K9323" s="61">
        <f t="shared" si="1"/>
        <v>0.75</v>
      </c>
      <c r="L9323" s="62">
        <f t="shared" si="2"/>
        <v>2.5</v>
      </c>
    </row>
    <row r="9324">
      <c r="A9324" s="58">
        <v>45261.0</v>
      </c>
      <c r="B9324" s="24" t="s">
        <v>6787</v>
      </c>
      <c r="C9324" s="24" t="s">
        <v>6990</v>
      </c>
      <c r="D9324" s="59">
        <v>3.0</v>
      </c>
      <c r="E9324" s="59">
        <v>3.0</v>
      </c>
      <c r="F9324" s="59">
        <v>3.0</v>
      </c>
      <c r="G9324" s="60">
        <v>1.0</v>
      </c>
      <c r="H9324" s="60">
        <v>0.666666666666666</v>
      </c>
      <c r="I9324" s="60">
        <v>4.33332133333333</v>
      </c>
      <c r="J9324" s="59">
        <v>4.0</v>
      </c>
      <c r="K9324" s="61">
        <f t="shared" si="1"/>
        <v>1</v>
      </c>
      <c r="L9324" s="62">
        <f t="shared" si="2"/>
        <v>1.333333333</v>
      </c>
    </row>
    <row r="9325">
      <c r="A9325" s="58">
        <v>45261.0</v>
      </c>
      <c r="B9325" s="24" t="s">
        <v>6787</v>
      </c>
      <c r="C9325" s="24" t="s">
        <v>7068</v>
      </c>
      <c r="D9325" s="59">
        <v>3.0</v>
      </c>
      <c r="E9325" s="59">
        <v>3.0</v>
      </c>
      <c r="F9325" s="59">
        <v>3.0</v>
      </c>
      <c r="G9325" s="60">
        <v>1.0</v>
      </c>
      <c r="H9325" s="60">
        <v>0.333333333333333</v>
      </c>
      <c r="I9325" s="60">
        <v>629.932808666666</v>
      </c>
      <c r="J9325" s="59">
        <v>5.0</v>
      </c>
      <c r="K9325" s="61">
        <f t="shared" si="1"/>
        <v>1</v>
      </c>
      <c r="L9325" s="62">
        <f t="shared" si="2"/>
        <v>1.666666667</v>
      </c>
    </row>
    <row r="9326">
      <c r="A9326" s="58">
        <v>45261.0</v>
      </c>
      <c r="B9326" s="24" t="s">
        <v>6787</v>
      </c>
      <c r="C9326" s="24" t="s">
        <v>6896</v>
      </c>
      <c r="D9326" s="59">
        <v>3.0</v>
      </c>
      <c r="E9326" s="59">
        <v>3.0</v>
      </c>
      <c r="F9326" s="59">
        <v>3.0</v>
      </c>
      <c r="G9326" s="60">
        <v>1.0</v>
      </c>
      <c r="H9326" s="60">
        <v>0.333333333333333</v>
      </c>
      <c r="I9326" s="60">
        <v>24.7392823333333</v>
      </c>
      <c r="J9326" s="59">
        <v>5.0</v>
      </c>
      <c r="K9326" s="61">
        <f t="shared" si="1"/>
        <v>1</v>
      </c>
      <c r="L9326" s="62">
        <f t="shared" si="2"/>
        <v>1.666666667</v>
      </c>
    </row>
    <row r="9327">
      <c r="A9327" s="58">
        <v>45261.0</v>
      </c>
      <c r="B9327" s="24" t="s">
        <v>6789</v>
      </c>
      <c r="C9327" s="24" t="s">
        <v>6896</v>
      </c>
      <c r="D9327" s="59">
        <v>3.0</v>
      </c>
      <c r="E9327" s="59">
        <v>4.0</v>
      </c>
      <c r="F9327" s="59">
        <v>2.0</v>
      </c>
      <c r="G9327" s="60">
        <v>1.33333333333333</v>
      </c>
      <c r="H9327" s="60">
        <v>0.0</v>
      </c>
      <c r="I9327" s="60">
        <v>435.27931</v>
      </c>
      <c r="J9327" s="59">
        <v>8.0</v>
      </c>
      <c r="K9327" s="61">
        <f t="shared" si="1"/>
        <v>0.5</v>
      </c>
      <c r="L9327" s="62">
        <f t="shared" si="2"/>
        <v>2</v>
      </c>
    </row>
    <row r="9328">
      <c r="A9328" s="58">
        <v>45261.0</v>
      </c>
      <c r="B9328" s="24" t="s">
        <v>6789</v>
      </c>
      <c r="C9328" s="24" t="s">
        <v>7571</v>
      </c>
      <c r="D9328" s="59">
        <v>3.0</v>
      </c>
      <c r="E9328" s="59">
        <v>4.0</v>
      </c>
      <c r="F9328" s="59">
        <v>3.0</v>
      </c>
      <c r="G9328" s="60">
        <v>1.33333333333333</v>
      </c>
      <c r="H9328" s="60">
        <v>0.0</v>
      </c>
      <c r="I9328" s="60">
        <v>111.069105</v>
      </c>
      <c r="J9328" s="59">
        <v>14.0</v>
      </c>
      <c r="K9328" s="61">
        <f t="shared" si="1"/>
        <v>0.75</v>
      </c>
      <c r="L9328" s="62">
        <f t="shared" si="2"/>
        <v>3.5</v>
      </c>
    </row>
    <row r="9329">
      <c r="A9329" s="58">
        <v>45261.0</v>
      </c>
      <c r="B9329" s="24" t="s">
        <v>6787</v>
      </c>
      <c r="C9329" s="24" t="s">
        <v>7599</v>
      </c>
      <c r="D9329" s="59">
        <v>3.0</v>
      </c>
      <c r="E9329" s="59">
        <v>3.0</v>
      </c>
      <c r="F9329" s="59">
        <v>1.0</v>
      </c>
      <c r="G9329" s="60">
        <v>1.0</v>
      </c>
      <c r="H9329" s="60">
        <v>0.0</v>
      </c>
      <c r="I9329" s="60">
        <v>736.831580333333</v>
      </c>
      <c r="J9329" s="59">
        <v>16.0</v>
      </c>
      <c r="K9329" s="61">
        <f t="shared" si="1"/>
        <v>0.3333333333</v>
      </c>
      <c r="L9329" s="62">
        <f t="shared" si="2"/>
        <v>5.333333333</v>
      </c>
    </row>
    <row r="9330">
      <c r="A9330" s="58">
        <v>45261.0</v>
      </c>
      <c r="B9330" s="24" t="s">
        <v>6942</v>
      </c>
      <c r="C9330" s="24" t="s">
        <v>7207</v>
      </c>
      <c r="D9330" s="59">
        <v>3.0</v>
      </c>
      <c r="E9330" s="59">
        <v>3.0</v>
      </c>
      <c r="F9330" s="59">
        <v>3.0</v>
      </c>
      <c r="G9330" s="60">
        <v>1.0</v>
      </c>
      <c r="H9330" s="60">
        <v>1.0</v>
      </c>
      <c r="I9330" s="60">
        <v>0.0</v>
      </c>
      <c r="J9330" s="59">
        <v>3.0</v>
      </c>
      <c r="K9330" s="61">
        <f t="shared" si="1"/>
        <v>1</v>
      </c>
      <c r="L9330" s="62">
        <f t="shared" si="2"/>
        <v>1</v>
      </c>
    </row>
    <row r="9331">
      <c r="A9331" s="58">
        <v>45261.0</v>
      </c>
      <c r="B9331" s="24" t="s">
        <v>6787</v>
      </c>
      <c r="C9331" s="24" t="s">
        <v>7044</v>
      </c>
      <c r="D9331" s="59">
        <v>3.0</v>
      </c>
      <c r="E9331" s="59">
        <v>3.0</v>
      </c>
      <c r="F9331" s="59">
        <v>1.0</v>
      </c>
      <c r="G9331" s="60">
        <v>1.0</v>
      </c>
      <c r="H9331" s="60">
        <v>0.333333333333333</v>
      </c>
      <c r="I9331" s="60">
        <v>4.53844599999999</v>
      </c>
      <c r="J9331" s="59">
        <v>5.0</v>
      </c>
      <c r="K9331" s="61">
        <f t="shared" si="1"/>
        <v>0.3333333333</v>
      </c>
      <c r="L9331" s="62">
        <f t="shared" si="2"/>
        <v>1.666666667</v>
      </c>
    </row>
    <row r="9332">
      <c r="A9332" s="58">
        <v>45261.0</v>
      </c>
      <c r="B9332" s="24" t="s">
        <v>6789</v>
      </c>
      <c r="C9332" s="24" t="s">
        <v>6908</v>
      </c>
      <c r="D9332" s="59">
        <v>3.0</v>
      </c>
      <c r="E9332" s="59">
        <v>4.0</v>
      </c>
      <c r="F9332" s="59">
        <v>1.0</v>
      </c>
      <c r="G9332" s="60">
        <v>1.33333333333333</v>
      </c>
      <c r="H9332" s="60">
        <v>0.25</v>
      </c>
      <c r="I9332" s="60">
        <v>7.19878225</v>
      </c>
      <c r="J9332" s="59">
        <v>7.0</v>
      </c>
      <c r="K9332" s="61">
        <f t="shared" si="1"/>
        <v>0.25</v>
      </c>
      <c r="L9332" s="62">
        <f t="shared" si="2"/>
        <v>1.75</v>
      </c>
    </row>
    <row r="9333">
      <c r="A9333" s="58">
        <v>45261.0</v>
      </c>
      <c r="B9333" s="24" t="s">
        <v>6787</v>
      </c>
      <c r="C9333" s="24" t="s">
        <v>7102</v>
      </c>
      <c r="D9333" s="59">
        <v>3.0</v>
      </c>
      <c r="E9333" s="59">
        <v>3.0</v>
      </c>
      <c r="F9333" s="59">
        <v>2.0</v>
      </c>
      <c r="G9333" s="60">
        <v>1.0</v>
      </c>
      <c r="H9333" s="60">
        <v>0.666666666666666</v>
      </c>
      <c r="I9333" s="60">
        <v>3.46469066666666</v>
      </c>
      <c r="J9333" s="59">
        <v>4.0</v>
      </c>
      <c r="K9333" s="61">
        <f t="shared" si="1"/>
        <v>0.6666666667</v>
      </c>
      <c r="L9333" s="62">
        <f t="shared" si="2"/>
        <v>1.333333333</v>
      </c>
    </row>
    <row r="9334">
      <c r="A9334" s="58">
        <v>45261.0</v>
      </c>
      <c r="B9334" s="24" t="s">
        <v>6789</v>
      </c>
      <c r="C9334" s="24" t="s">
        <v>7102</v>
      </c>
      <c r="D9334" s="59">
        <v>3.0</v>
      </c>
      <c r="E9334" s="59">
        <v>3.0</v>
      </c>
      <c r="F9334" s="59">
        <v>0.0</v>
      </c>
      <c r="G9334" s="60">
        <v>1.0</v>
      </c>
      <c r="H9334" s="60">
        <v>0.0</v>
      </c>
      <c r="I9334" s="60">
        <v>139.878029666666</v>
      </c>
      <c r="J9334" s="59">
        <v>30.0</v>
      </c>
      <c r="K9334" s="61">
        <f t="shared" si="1"/>
        <v>0</v>
      </c>
      <c r="L9334" s="62">
        <f t="shared" si="2"/>
        <v>10</v>
      </c>
    </row>
    <row r="9335">
      <c r="A9335" s="58">
        <v>45261.0</v>
      </c>
      <c r="B9335" s="24" t="s">
        <v>6789</v>
      </c>
      <c r="C9335" s="24" t="s">
        <v>7027</v>
      </c>
      <c r="D9335" s="59">
        <v>3.0</v>
      </c>
      <c r="E9335" s="59">
        <v>3.0</v>
      </c>
      <c r="F9335" s="59">
        <v>1.0</v>
      </c>
      <c r="G9335" s="60">
        <v>1.0</v>
      </c>
      <c r="H9335" s="60">
        <v>0.0</v>
      </c>
      <c r="I9335" s="60">
        <v>236.898314666666</v>
      </c>
      <c r="J9335" s="59">
        <v>7.0</v>
      </c>
      <c r="K9335" s="61">
        <f t="shared" si="1"/>
        <v>0.3333333333</v>
      </c>
      <c r="L9335" s="62">
        <f t="shared" si="2"/>
        <v>2.333333333</v>
      </c>
    </row>
    <row r="9336">
      <c r="A9336" s="58">
        <v>45261.0</v>
      </c>
      <c r="B9336" s="24" t="s">
        <v>6787</v>
      </c>
      <c r="C9336" s="24" t="s">
        <v>6921</v>
      </c>
      <c r="D9336" s="59">
        <v>3.0</v>
      </c>
      <c r="E9336" s="59">
        <v>3.0</v>
      </c>
      <c r="F9336" s="59">
        <v>2.0</v>
      </c>
      <c r="G9336" s="60">
        <v>1.0</v>
      </c>
      <c r="H9336" s="60">
        <v>0.666666666666666</v>
      </c>
      <c r="I9336" s="60">
        <v>341.729723333333</v>
      </c>
      <c r="J9336" s="59">
        <v>10.0</v>
      </c>
      <c r="K9336" s="61">
        <f t="shared" si="1"/>
        <v>0.6666666667</v>
      </c>
      <c r="L9336" s="62">
        <f t="shared" si="2"/>
        <v>3.333333333</v>
      </c>
    </row>
    <row r="9337">
      <c r="A9337" s="58">
        <v>45261.0</v>
      </c>
      <c r="B9337" s="24" t="s">
        <v>6787</v>
      </c>
      <c r="C9337" s="24" t="s">
        <v>7047</v>
      </c>
      <c r="D9337" s="59">
        <v>3.0</v>
      </c>
      <c r="E9337" s="59">
        <v>3.0</v>
      </c>
      <c r="F9337" s="59">
        <v>3.0</v>
      </c>
      <c r="G9337" s="60">
        <v>1.0</v>
      </c>
      <c r="H9337" s="60">
        <v>0.333333333333333</v>
      </c>
      <c r="I9337" s="60">
        <v>3.46341366666666</v>
      </c>
      <c r="J9337" s="59">
        <v>5.0</v>
      </c>
      <c r="K9337" s="61">
        <f t="shared" si="1"/>
        <v>1</v>
      </c>
      <c r="L9337" s="62">
        <f t="shared" si="2"/>
        <v>1.666666667</v>
      </c>
    </row>
    <row r="9338">
      <c r="A9338" s="58">
        <v>45261.0</v>
      </c>
      <c r="B9338" s="24" t="s">
        <v>6787</v>
      </c>
      <c r="C9338" s="24" t="s">
        <v>6931</v>
      </c>
      <c r="D9338" s="59">
        <v>3.0</v>
      </c>
      <c r="E9338" s="59">
        <v>3.0</v>
      </c>
      <c r="F9338" s="59">
        <v>3.0</v>
      </c>
      <c r="G9338" s="60">
        <v>1.0</v>
      </c>
      <c r="H9338" s="60">
        <v>0.666666666666666</v>
      </c>
      <c r="I9338" s="60">
        <v>1.44628633333333</v>
      </c>
      <c r="J9338" s="59">
        <v>4.0</v>
      </c>
      <c r="K9338" s="61">
        <f t="shared" si="1"/>
        <v>1</v>
      </c>
      <c r="L9338" s="62">
        <f t="shared" si="2"/>
        <v>1.333333333</v>
      </c>
    </row>
    <row r="9339">
      <c r="A9339" s="58">
        <v>45261.0</v>
      </c>
      <c r="B9339" s="24" t="s">
        <v>6791</v>
      </c>
      <c r="C9339" s="24" t="s">
        <v>6802</v>
      </c>
      <c r="D9339" s="59">
        <v>3.0</v>
      </c>
      <c r="E9339" s="59">
        <v>3.0</v>
      </c>
      <c r="F9339" s="59">
        <v>3.0</v>
      </c>
      <c r="G9339" s="60">
        <v>1.0</v>
      </c>
      <c r="H9339" s="60">
        <v>0.0</v>
      </c>
      <c r="I9339" s="60">
        <v>54.0494396666666</v>
      </c>
      <c r="J9339" s="59">
        <v>8.0</v>
      </c>
      <c r="K9339" s="61">
        <f t="shared" si="1"/>
        <v>1</v>
      </c>
      <c r="L9339" s="62">
        <f t="shared" si="2"/>
        <v>2.666666667</v>
      </c>
    </row>
    <row r="9340">
      <c r="A9340" s="58">
        <v>45261.0</v>
      </c>
      <c r="B9340" s="24" t="s">
        <v>6790</v>
      </c>
      <c r="C9340" s="24" t="s">
        <v>6802</v>
      </c>
      <c r="D9340" s="59">
        <v>3.0</v>
      </c>
      <c r="E9340" s="59">
        <v>4.0</v>
      </c>
      <c r="F9340" s="59">
        <v>0.0</v>
      </c>
      <c r="G9340" s="60">
        <v>1.33333333333333</v>
      </c>
      <c r="H9340" s="60">
        <v>0.25</v>
      </c>
      <c r="I9340" s="60">
        <v>5.7486325</v>
      </c>
      <c r="J9340" s="59">
        <v>8.0</v>
      </c>
      <c r="K9340" s="61">
        <f t="shared" si="1"/>
        <v>0</v>
      </c>
      <c r="L9340" s="62">
        <f t="shared" si="2"/>
        <v>2</v>
      </c>
    </row>
    <row r="9341">
      <c r="A9341" s="58">
        <v>45261.0</v>
      </c>
      <c r="B9341" s="24" t="s">
        <v>3216</v>
      </c>
      <c r="C9341" s="24" t="s">
        <v>6792</v>
      </c>
      <c r="D9341" s="59">
        <v>2.0</v>
      </c>
      <c r="E9341" s="59">
        <v>3.0</v>
      </c>
      <c r="F9341" s="59">
        <v>0.0</v>
      </c>
      <c r="G9341" s="60">
        <v>3.0</v>
      </c>
      <c r="H9341" s="60">
        <v>1.0</v>
      </c>
      <c r="I9341" s="60">
        <v>0.131153666666666</v>
      </c>
      <c r="J9341" s="59">
        <v>0.0</v>
      </c>
      <c r="K9341" s="61">
        <f t="shared" si="1"/>
        <v>0</v>
      </c>
      <c r="L9341" s="62">
        <f t="shared" si="2"/>
        <v>0</v>
      </c>
    </row>
    <row r="9342">
      <c r="A9342" s="58">
        <v>45261.0</v>
      </c>
      <c r="B9342" s="24" t="s">
        <v>7100</v>
      </c>
      <c r="C9342" s="24" t="s">
        <v>6792</v>
      </c>
      <c r="D9342" s="59">
        <v>2.0</v>
      </c>
      <c r="E9342" s="59">
        <v>3.0</v>
      </c>
      <c r="F9342" s="59">
        <v>0.0</v>
      </c>
      <c r="G9342" s="60">
        <v>3.0</v>
      </c>
      <c r="H9342" s="60">
        <v>1.0</v>
      </c>
      <c r="I9342" s="60">
        <v>0.0</v>
      </c>
      <c r="J9342" s="59">
        <v>0.0</v>
      </c>
      <c r="K9342" s="61">
        <f t="shared" si="1"/>
        <v>0</v>
      </c>
      <c r="L9342" s="62">
        <f t="shared" si="2"/>
        <v>0</v>
      </c>
    </row>
    <row r="9343">
      <c r="A9343" s="58">
        <v>45261.0</v>
      </c>
      <c r="B9343" s="24" t="s">
        <v>6787</v>
      </c>
      <c r="C9343" s="24" t="s">
        <v>7194</v>
      </c>
      <c r="D9343" s="59">
        <v>2.0</v>
      </c>
      <c r="E9343" s="59">
        <v>2.0</v>
      </c>
      <c r="F9343" s="59">
        <v>1.0</v>
      </c>
      <c r="G9343" s="60">
        <v>1.0</v>
      </c>
      <c r="H9343" s="60">
        <v>0.0</v>
      </c>
      <c r="I9343" s="60">
        <v>360.6283435</v>
      </c>
      <c r="J9343" s="59">
        <v>10.0</v>
      </c>
      <c r="K9343" s="61">
        <f t="shared" si="1"/>
        <v>0.5</v>
      </c>
      <c r="L9343" s="62">
        <f t="shared" si="2"/>
        <v>5</v>
      </c>
    </row>
    <row r="9344">
      <c r="A9344" s="58">
        <v>45261.0</v>
      </c>
      <c r="B9344" s="24" t="s">
        <v>6789</v>
      </c>
      <c r="C9344" s="24" t="s">
        <v>7194</v>
      </c>
      <c r="D9344" s="59">
        <v>2.0</v>
      </c>
      <c r="E9344" s="59">
        <v>2.0</v>
      </c>
      <c r="F9344" s="59">
        <v>0.0</v>
      </c>
      <c r="G9344" s="60">
        <v>1.0</v>
      </c>
      <c r="H9344" s="60">
        <v>0.0</v>
      </c>
      <c r="I9344" s="60">
        <v>5.1888425</v>
      </c>
      <c r="J9344" s="59">
        <v>4.0</v>
      </c>
      <c r="K9344" s="61">
        <f t="shared" si="1"/>
        <v>0</v>
      </c>
      <c r="L9344" s="62">
        <f t="shared" si="2"/>
        <v>2</v>
      </c>
    </row>
    <row r="9345">
      <c r="A9345" s="58">
        <v>45261.0</v>
      </c>
      <c r="B9345" s="24" t="s">
        <v>6789</v>
      </c>
      <c r="C9345" s="24" t="s">
        <v>6817</v>
      </c>
      <c r="D9345" s="59">
        <v>2.0</v>
      </c>
      <c r="E9345" s="59">
        <v>4.0</v>
      </c>
      <c r="F9345" s="59">
        <v>0.0</v>
      </c>
      <c r="G9345" s="60">
        <v>2.0</v>
      </c>
      <c r="H9345" s="60">
        <v>0.0</v>
      </c>
      <c r="I9345" s="60">
        <v>60.1403555</v>
      </c>
      <c r="J9345" s="59">
        <v>11.0</v>
      </c>
      <c r="K9345" s="61">
        <f t="shared" si="1"/>
        <v>0</v>
      </c>
      <c r="L9345" s="62">
        <f t="shared" si="2"/>
        <v>2.75</v>
      </c>
    </row>
    <row r="9346">
      <c r="A9346" s="58">
        <v>45261.0</v>
      </c>
      <c r="B9346" s="24" t="s">
        <v>155</v>
      </c>
      <c r="C9346" s="24" t="s">
        <v>6953</v>
      </c>
      <c r="D9346" s="59">
        <v>2.0</v>
      </c>
      <c r="E9346" s="59">
        <v>3.0</v>
      </c>
      <c r="F9346" s="59">
        <v>2.0</v>
      </c>
      <c r="G9346" s="60">
        <v>1.5</v>
      </c>
      <c r="H9346" s="60">
        <v>0.0</v>
      </c>
      <c r="I9346" s="60">
        <v>576.208431666666</v>
      </c>
      <c r="J9346" s="59">
        <v>8.0</v>
      </c>
      <c r="K9346" s="61">
        <f t="shared" si="1"/>
        <v>0.6666666667</v>
      </c>
      <c r="L9346" s="62">
        <f t="shared" si="2"/>
        <v>2.666666667</v>
      </c>
    </row>
    <row r="9347">
      <c r="A9347" s="58">
        <v>45261.0</v>
      </c>
      <c r="B9347" s="24" t="s">
        <v>6789</v>
      </c>
      <c r="C9347" s="24" t="s">
        <v>7056</v>
      </c>
      <c r="D9347" s="59">
        <v>2.0</v>
      </c>
      <c r="E9347" s="59">
        <v>4.0</v>
      </c>
      <c r="F9347" s="59">
        <v>1.0</v>
      </c>
      <c r="G9347" s="60">
        <v>2.0</v>
      </c>
      <c r="H9347" s="60">
        <v>0.0</v>
      </c>
      <c r="I9347" s="60">
        <v>5.74798225</v>
      </c>
      <c r="J9347" s="59">
        <v>8.0</v>
      </c>
      <c r="K9347" s="61">
        <f t="shared" si="1"/>
        <v>0.25</v>
      </c>
      <c r="L9347" s="62">
        <f t="shared" si="2"/>
        <v>2</v>
      </c>
    </row>
    <row r="9348">
      <c r="A9348" s="58">
        <v>45261.0</v>
      </c>
      <c r="B9348" s="24" t="s">
        <v>6787</v>
      </c>
      <c r="C9348" s="24" t="s">
        <v>6804</v>
      </c>
      <c r="D9348" s="59">
        <v>2.0</v>
      </c>
      <c r="E9348" s="59">
        <v>2.0</v>
      </c>
      <c r="F9348" s="59">
        <v>2.0</v>
      </c>
      <c r="G9348" s="60">
        <v>1.0</v>
      </c>
      <c r="H9348" s="60">
        <v>0.5</v>
      </c>
      <c r="I9348" s="60">
        <v>152.196727</v>
      </c>
      <c r="J9348" s="59">
        <v>3.0</v>
      </c>
      <c r="K9348" s="61">
        <f t="shared" si="1"/>
        <v>1</v>
      </c>
      <c r="L9348" s="62">
        <f t="shared" si="2"/>
        <v>1.5</v>
      </c>
    </row>
    <row r="9349">
      <c r="A9349" s="58">
        <v>45261.0</v>
      </c>
      <c r="B9349" s="24" t="s">
        <v>6789</v>
      </c>
      <c r="C9349" s="24" t="s">
        <v>6829</v>
      </c>
      <c r="D9349" s="59">
        <v>2.0</v>
      </c>
      <c r="E9349" s="59">
        <v>2.0</v>
      </c>
      <c r="F9349" s="59">
        <v>1.0</v>
      </c>
      <c r="G9349" s="60">
        <v>1.0</v>
      </c>
      <c r="H9349" s="60">
        <v>0.0</v>
      </c>
      <c r="I9349" s="60">
        <v>19.0764685</v>
      </c>
      <c r="J9349" s="59">
        <v>4.0</v>
      </c>
      <c r="K9349" s="61">
        <f t="shared" si="1"/>
        <v>0.5</v>
      </c>
      <c r="L9349" s="62">
        <f t="shared" si="2"/>
        <v>2</v>
      </c>
    </row>
    <row r="9350">
      <c r="A9350" s="58">
        <v>45261.0</v>
      </c>
      <c r="B9350" s="24" t="s">
        <v>6787</v>
      </c>
      <c r="C9350" s="24" t="s">
        <v>6833</v>
      </c>
      <c r="D9350" s="59">
        <v>2.0</v>
      </c>
      <c r="E9350" s="59">
        <v>2.0</v>
      </c>
      <c r="F9350" s="59">
        <v>2.0</v>
      </c>
      <c r="G9350" s="60">
        <v>1.0</v>
      </c>
      <c r="H9350" s="60">
        <v>0.5</v>
      </c>
      <c r="I9350" s="60">
        <v>2.501651</v>
      </c>
      <c r="J9350" s="59">
        <v>3.0</v>
      </c>
      <c r="K9350" s="61">
        <f t="shared" si="1"/>
        <v>1</v>
      </c>
      <c r="L9350" s="62">
        <f t="shared" si="2"/>
        <v>1.5</v>
      </c>
    </row>
    <row r="9351">
      <c r="A9351" s="58">
        <v>45261.0</v>
      </c>
      <c r="B9351" s="24" t="s">
        <v>6787</v>
      </c>
      <c r="C9351" s="24" t="s">
        <v>6867</v>
      </c>
      <c r="D9351" s="59">
        <v>2.0</v>
      </c>
      <c r="E9351" s="59">
        <v>2.0</v>
      </c>
      <c r="F9351" s="59">
        <v>2.0</v>
      </c>
      <c r="G9351" s="60">
        <v>1.0</v>
      </c>
      <c r="H9351" s="60">
        <v>1.0</v>
      </c>
      <c r="I9351" s="60">
        <v>0.0</v>
      </c>
      <c r="J9351" s="59">
        <v>2.0</v>
      </c>
      <c r="K9351" s="61">
        <f t="shared" si="1"/>
        <v>1</v>
      </c>
      <c r="L9351" s="62">
        <f t="shared" si="2"/>
        <v>1</v>
      </c>
    </row>
    <row r="9352">
      <c r="A9352" s="58">
        <v>45261.0</v>
      </c>
      <c r="B9352" s="24" t="s">
        <v>6789</v>
      </c>
      <c r="C9352" s="24" t="s">
        <v>6988</v>
      </c>
      <c r="D9352" s="59">
        <v>2.0</v>
      </c>
      <c r="E9352" s="59">
        <v>2.0</v>
      </c>
      <c r="F9352" s="59">
        <v>0.0</v>
      </c>
      <c r="G9352" s="60">
        <v>1.0</v>
      </c>
      <c r="H9352" s="60">
        <v>0.0</v>
      </c>
      <c r="I9352" s="60">
        <v>155.3668205</v>
      </c>
      <c r="J9352" s="59">
        <v>12.0</v>
      </c>
      <c r="K9352" s="61">
        <f t="shared" si="1"/>
        <v>0</v>
      </c>
      <c r="L9352" s="62">
        <f t="shared" si="2"/>
        <v>6</v>
      </c>
    </row>
    <row r="9353">
      <c r="A9353" s="58">
        <v>45261.0</v>
      </c>
      <c r="B9353" s="24" t="s">
        <v>6787</v>
      </c>
      <c r="C9353" s="24" t="s">
        <v>7063</v>
      </c>
      <c r="D9353" s="59">
        <v>2.0</v>
      </c>
      <c r="E9353" s="59">
        <v>3.0</v>
      </c>
      <c r="F9353" s="59">
        <v>2.0</v>
      </c>
      <c r="G9353" s="60">
        <v>1.5</v>
      </c>
      <c r="H9353" s="60">
        <v>0.333333333333333</v>
      </c>
      <c r="I9353" s="60">
        <v>31.9796856666666</v>
      </c>
      <c r="J9353" s="59">
        <v>5.0</v>
      </c>
      <c r="K9353" s="61">
        <f t="shared" si="1"/>
        <v>0.6666666667</v>
      </c>
      <c r="L9353" s="62">
        <f t="shared" si="2"/>
        <v>1.666666667</v>
      </c>
    </row>
    <row r="9354">
      <c r="A9354" s="58">
        <v>45261.0</v>
      </c>
      <c r="B9354" s="24" t="s">
        <v>6794</v>
      </c>
      <c r="C9354" s="24" t="s">
        <v>7024</v>
      </c>
      <c r="D9354" s="59">
        <v>2.0</v>
      </c>
      <c r="E9354" s="59">
        <v>4.0</v>
      </c>
      <c r="F9354" s="59">
        <v>0.0</v>
      </c>
      <c r="G9354" s="60">
        <v>2.0</v>
      </c>
      <c r="H9354" s="60">
        <v>0.0</v>
      </c>
      <c r="I9354" s="60">
        <v>9.89111575</v>
      </c>
      <c r="J9354" s="59">
        <v>8.0</v>
      </c>
      <c r="K9354" s="61">
        <f t="shared" si="1"/>
        <v>0</v>
      </c>
      <c r="L9354" s="62">
        <f t="shared" si="2"/>
        <v>2</v>
      </c>
    </row>
    <row r="9355">
      <c r="A9355" s="58">
        <v>45261.0</v>
      </c>
      <c r="B9355" s="24" t="s">
        <v>6787</v>
      </c>
      <c r="C9355" s="24" t="s">
        <v>6997</v>
      </c>
      <c r="D9355" s="59">
        <v>2.0</v>
      </c>
      <c r="E9355" s="59">
        <v>2.0</v>
      </c>
      <c r="F9355" s="59">
        <v>2.0</v>
      </c>
      <c r="G9355" s="60">
        <v>1.0</v>
      </c>
      <c r="H9355" s="60">
        <v>0.0</v>
      </c>
      <c r="I9355" s="60">
        <v>16.423974</v>
      </c>
      <c r="J9355" s="59">
        <v>4.0</v>
      </c>
      <c r="K9355" s="61">
        <f t="shared" si="1"/>
        <v>1</v>
      </c>
      <c r="L9355" s="62">
        <f t="shared" si="2"/>
        <v>2</v>
      </c>
    </row>
    <row r="9356">
      <c r="A9356" s="58">
        <v>45261.0</v>
      </c>
      <c r="B9356" s="24" t="s">
        <v>6787</v>
      </c>
      <c r="C9356" s="24" t="s">
        <v>6892</v>
      </c>
      <c r="D9356" s="59">
        <v>2.0</v>
      </c>
      <c r="E9356" s="59">
        <v>2.0</v>
      </c>
      <c r="F9356" s="59">
        <v>2.0</v>
      </c>
      <c r="G9356" s="60">
        <v>1.0</v>
      </c>
      <c r="H9356" s="60">
        <v>0.5</v>
      </c>
      <c r="I9356" s="60">
        <v>6.3629255</v>
      </c>
      <c r="J9356" s="59">
        <v>3.0</v>
      </c>
      <c r="K9356" s="61">
        <f t="shared" si="1"/>
        <v>1</v>
      </c>
      <c r="L9356" s="62">
        <f t="shared" si="2"/>
        <v>1.5</v>
      </c>
    </row>
    <row r="9357">
      <c r="A9357" s="58">
        <v>45261.0</v>
      </c>
      <c r="B9357" s="24" t="s">
        <v>6789</v>
      </c>
      <c r="C9357" s="24" t="s">
        <v>6897</v>
      </c>
      <c r="D9357" s="59">
        <v>2.0</v>
      </c>
      <c r="E9357" s="59">
        <v>2.0</v>
      </c>
      <c r="F9357" s="59">
        <v>2.0</v>
      </c>
      <c r="G9357" s="60">
        <v>1.0</v>
      </c>
      <c r="H9357" s="60">
        <v>0.0</v>
      </c>
      <c r="I9357" s="60">
        <v>840.5853195</v>
      </c>
      <c r="J9357" s="59">
        <v>6.0</v>
      </c>
      <c r="K9357" s="61">
        <f t="shared" si="1"/>
        <v>1</v>
      </c>
      <c r="L9357" s="62">
        <f t="shared" si="2"/>
        <v>3</v>
      </c>
    </row>
    <row r="9358">
      <c r="A9358" s="58">
        <v>45261.0</v>
      </c>
      <c r="B9358" s="24" t="s">
        <v>6787</v>
      </c>
      <c r="C9358" s="24" t="s">
        <v>6904</v>
      </c>
      <c r="D9358" s="59">
        <v>2.0</v>
      </c>
      <c r="E9358" s="59">
        <v>2.0</v>
      </c>
      <c r="F9358" s="59">
        <v>2.0</v>
      </c>
      <c r="G9358" s="60">
        <v>1.0</v>
      </c>
      <c r="H9358" s="60">
        <v>0.0</v>
      </c>
      <c r="I9358" s="60">
        <v>5.0682285</v>
      </c>
      <c r="J9358" s="59">
        <v>6.0</v>
      </c>
      <c r="K9358" s="61">
        <f t="shared" si="1"/>
        <v>1</v>
      </c>
      <c r="L9358" s="62">
        <f t="shared" si="2"/>
        <v>3</v>
      </c>
    </row>
    <row r="9359">
      <c r="A9359" s="58">
        <v>45261.0</v>
      </c>
      <c r="B9359" s="24" t="s">
        <v>3216</v>
      </c>
      <c r="C9359" s="24" t="s">
        <v>6905</v>
      </c>
      <c r="D9359" s="59">
        <v>2.0</v>
      </c>
      <c r="E9359" s="59">
        <v>2.0</v>
      </c>
      <c r="F9359" s="59">
        <v>1.0</v>
      </c>
      <c r="G9359" s="60">
        <v>1.0</v>
      </c>
      <c r="H9359" s="60">
        <v>0.0</v>
      </c>
      <c r="I9359" s="60">
        <v>68.912724</v>
      </c>
      <c r="J9359" s="59">
        <v>6.0</v>
      </c>
      <c r="K9359" s="61">
        <f t="shared" si="1"/>
        <v>0.5</v>
      </c>
      <c r="L9359" s="62">
        <f t="shared" si="2"/>
        <v>3</v>
      </c>
    </row>
    <row r="9360">
      <c r="A9360" s="58">
        <v>45261.0</v>
      </c>
      <c r="B9360" s="24" t="s">
        <v>6787</v>
      </c>
      <c r="C9360" s="24" t="s">
        <v>7598</v>
      </c>
      <c r="D9360" s="59">
        <v>2.0</v>
      </c>
      <c r="E9360" s="59">
        <v>2.0</v>
      </c>
      <c r="F9360" s="59">
        <v>2.0</v>
      </c>
      <c r="G9360" s="60">
        <v>1.0</v>
      </c>
      <c r="H9360" s="60">
        <v>0.0</v>
      </c>
      <c r="I9360" s="60">
        <v>19.3396179999999</v>
      </c>
      <c r="J9360" s="59">
        <v>4.0</v>
      </c>
      <c r="K9360" s="61">
        <f t="shared" si="1"/>
        <v>1</v>
      </c>
      <c r="L9360" s="62">
        <f t="shared" si="2"/>
        <v>2</v>
      </c>
    </row>
    <row r="9361">
      <c r="A9361" s="58">
        <v>45261.0</v>
      </c>
      <c r="B9361" s="24" t="s">
        <v>6787</v>
      </c>
      <c r="C9361" s="24" t="s">
        <v>7258</v>
      </c>
      <c r="D9361" s="59">
        <v>2.0</v>
      </c>
      <c r="E9361" s="59">
        <v>2.0</v>
      </c>
      <c r="F9361" s="59">
        <v>2.0</v>
      </c>
      <c r="G9361" s="60">
        <v>1.0</v>
      </c>
      <c r="H9361" s="60">
        <v>0.0</v>
      </c>
      <c r="I9361" s="60">
        <v>37.4557855</v>
      </c>
      <c r="J9361" s="59">
        <v>4.0</v>
      </c>
      <c r="K9361" s="61">
        <f t="shared" si="1"/>
        <v>1</v>
      </c>
      <c r="L9361" s="62">
        <f t="shared" si="2"/>
        <v>2</v>
      </c>
    </row>
    <row r="9362">
      <c r="A9362" s="58">
        <v>45261.0</v>
      </c>
      <c r="B9362" s="24" t="s">
        <v>6789</v>
      </c>
      <c r="C9362" s="24" t="s">
        <v>7258</v>
      </c>
      <c r="D9362" s="59">
        <v>2.0</v>
      </c>
      <c r="E9362" s="59">
        <v>2.0</v>
      </c>
      <c r="F9362" s="59">
        <v>2.0</v>
      </c>
      <c r="G9362" s="60">
        <v>1.0</v>
      </c>
      <c r="H9362" s="60">
        <v>0.0</v>
      </c>
      <c r="I9362" s="60">
        <v>49.443639</v>
      </c>
      <c r="J9362" s="59">
        <v>4.0</v>
      </c>
      <c r="K9362" s="61">
        <f t="shared" si="1"/>
        <v>1</v>
      </c>
      <c r="L9362" s="62">
        <f t="shared" si="2"/>
        <v>2</v>
      </c>
    </row>
    <row r="9363">
      <c r="A9363" s="58">
        <v>45261.0</v>
      </c>
      <c r="B9363" s="24" t="s">
        <v>6787</v>
      </c>
      <c r="C9363" s="24" t="s">
        <v>7207</v>
      </c>
      <c r="D9363" s="59">
        <v>2.0</v>
      </c>
      <c r="E9363" s="59">
        <v>2.0</v>
      </c>
      <c r="F9363" s="59">
        <v>2.0</v>
      </c>
      <c r="G9363" s="60">
        <v>1.0</v>
      </c>
      <c r="H9363" s="60">
        <v>0.0</v>
      </c>
      <c r="I9363" s="60">
        <v>28.307081</v>
      </c>
      <c r="J9363" s="59">
        <v>12.0</v>
      </c>
      <c r="K9363" s="61">
        <f t="shared" si="1"/>
        <v>1</v>
      </c>
      <c r="L9363" s="62">
        <f t="shared" si="2"/>
        <v>6</v>
      </c>
    </row>
    <row r="9364">
      <c r="A9364" s="58">
        <v>45261.0</v>
      </c>
      <c r="B9364" s="24" t="s">
        <v>6789</v>
      </c>
      <c r="C9364" s="24" t="s">
        <v>7261</v>
      </c>
      <c r="D9364" s="59">
        <v>2.0</v>
      </c>
      <c r="E9364" s="59">
        <v>2.0</v>
      </c>
      <c r="F9364" s="59">
        <v>2.0</v>
      </c>
      <c r="G9364" s="60">
        <v>1.0</v>
      </c>
      <c r="H9364" s="60">
        <v>1.0</v>
      </c>
      <c r="I9364" s="60">
        <v>0.0</v>
      </c>
      <c r="J9364" s="59">
        <v>2.0</v>
      </c>
      <c r="K9364" s="61">
        <f t="shared" si="1"/>
        <v>1</v>
      </c>
      <c r="L9364" s="62">
        <f t="shared" si="2"/>
        <v>1</v>
      </c>
    </row>
    <row r="9365">
      <c r="A9365" s="58">
        <v>45261.0</v>
      </c>
      <c r="B9365" s="24" t="s">
        <v>6787</v>
      </c>
      <c r="C9365" s="24" t="s">
        <v>6907</v>
      </c>
      <c r="D9365" s="59">
        <v>2.0</v>
      </c>
      <c r="E9365" s="59">
        <v>2.0</v>
      </c>
      <c r="F9365" s="59">
        <v>1.0</v>
      </c>
      <c r="G9365" s="60">
        <v>1.0</v>
      </c>
      <c r="H9365" s="60">
        <v>0.5</v>
      </c>
      <c r="I9365" s="60">
        <v>235.8655795</v>
      </c>
      <c r="J9365" s="59">
        <v>3.0</v>
      </c>
      <c r="K9365" s="61">
        <f t="shared" si="1"/>
        <v>0.5</v>
      </c>
      <c r="L9365" s="62">
        <f t="shared" si="2"/>
        <v>1.5</v>
      </c>
    </row>
    <row r="9366">
      <c r="A9366" s="58">
        <v>45261.0</v>
      </c>
      <c r="B9366" s="24" t="s">
        <v>6789</v>
      </c>
      <c r="C9366" s="24" t="s">
        <v>6907</v>
      </c>
      <c r="D9366" s="59">
        <v>2.0</v>
      </c>
      <c r="E9366" s="59">
        <v>4.0</v>
      </c>
      <c r="F9366" s="59">
        <v>1.0</v>
      </c>
      <c r="G9366" s="60">
        <v>2.0</v>
      </c>
      <c r="H9366" s="60">
        <v>0.0</v>
      </c>
      <c r="I9366" s="60">
        <v>5.28990075</v>
      </c>
      <c r="J9366" s="59">
        <v>8.0</v>
      </c>
      <c r="K9366" s="61">
        <f t="shared" si="1"/>
        <v>0.25</v>
      </c>
      <c r="L9366" s="62">
        <f t="shared" si="2"/>
        <v>2</v>
      </c>
    </row>
    <row r="9367">
      <c r="A9367" s="58">
        <v>45261.0</v>
      </c>
      <c r="B9367" s="24" t="s">
        <v>6787</v>
      </c>
      <c r="C9367" s="24" t="s">
        <v>7087</v>
      </c>
      <c r="D9367" s="59">
        <v>2.0</v>
      </c>
      <c r="E9367" s="59">
        <v>2.0</v>
      </c>
      <c r="F9367" s="59">
        <v>1.0</v>
      </c>
      <c r="G9367" s="60">
        <v>1.0</v>
      </c>
      <c r="H9367" s="60">
        <v>0.5</v>
      </c>
      <c r="I9367" s="60">
        <v>32.1117375</v>
      </c>
      <c r="J9367" s="59">
        <v>3.0</v>
      </c>
      <c r="K9367" s="61">
        <f t="shared" si="1"/>
        <v>0.5</v>
      </c>
      <c r="L9367" s="62">
        <f t="shared" si="2"/>
        <v>1.5</v>
      </c>
    </row>
    <row r="9368">
      <c r="A9368" s="58">
        <v>45261.0</v>
      </c>
      <c r="B9368" s="24" t="s">
        <v>155</v>
      </c>
      <c r="C9368" s="24" t="s">
        <v>7013</v>
      </c>
      <c r="D9368" s="59">
        <v>2.0</v>
      </c>
      <c r="E9368" s="59">
        <v>3.0</v>
      </c>
      <c r="F9368" s="59">
        <v>2.0</v>
      </c>
      <c r="G9368" s="60">
        <v>1.5</v>
      </c>
      <c r="H9368" s="60">
        <v>0.0</v>
      </c>
      <c r="I9368" s="60">
        <v>168.386559</v>
      </c>
      <c r="J9368" s="59">
        <v>6.0</v>
      </c>
      <c r="K9368" s="61">
        <f t="shared" si="1"/>
        <v>0.6666666667</v>
      </c>
      <c r="L9368" s="62">
        <f t="shared" si="2"/>
        <v>2</v>
      </c>
    </row>
    <row r="9369">
      <c r="A9369" s="58">
        <v>45261.0</v>
      </c>
      <c r="B9369" s="24" t="s">
        <v>6789</v>
      </c>
      <c r="C9369" s="24" t="s">
        <v>7101</v>
      </c>
      <c r="D9369" s="59">
        <v>2.0</v>
      </c>
      <c r="E9369" s="59">
        <v>5.0</v>
      </c>
      <c r="F9369" s="59">
        <v>0.0</v>
      </c>
      <c r="G9369" s="60">
        <v>2.5</v>
      </c>
      <c r="H9369" s="60">
        <v>0.0</v>
      </c>
      <c r="I9369" s="60">
        <v>68.5526558</v>
      </c>
      <c r="J9369" s="59">
        <v>16.0</v>
      </c>
      <c r="K9369" s="61">
        <f t="shared" si="1"/>
        <v>0</v>
      </c>
      <c r="L9369" s="62">
        <f t="shared" si="2"/>
        <v>3.2</v>
      </c>
    </row>
    <row r="9370">
      <c r="A9370" s="58">
        <v>45261.0</v>
      </c>
      <c r="B9370" s="24" t="s">
        <v>6787</v>
      </c>
      <c r="C9370" s="24" t="s">
        <v>6801</v>
      </c>
      <c r="D9370" s="59">
        <v>2.0</v>
      </c>
      <c r="E9370" s="59">
        <v>2.0</v>
      </c>
      <c r="F9370" s="59">
        <v>2.0</v>
      </c>
      <c r="G9370" s="60">
        <v>1.0</v>
      </c>
      <c r="H9370" s="60">
        <v>0.5</v>
      </c>
      <c r="I9370" s="60">
        <v>71.7508445</v>
      </c>
      <c r="J9370" s="59">
        <v>2.0</v>
      </c>
      <c r="K9370" s="61">
        <f t="shared" si="1"/>
        <v>1</v>
      </c>
      <c r="L9370" s="62">
        <f t="shared" si="2"/>
        <v>1</v>
      </c>
    </row>
    <row r="9371">
      <c r="A9371" s="58">
        <v>45261.0</v>
      </c>
      <c r="B9371" s="24" t="s">
        <v>6787</v>
      </c>
      <c r="C9371" s="24" t="s">
        <v>7104</v>
      </c>
      <c r="D9371" s="59">
        <v>2.0</v>
      </c>
      <c r="E9371" s="59">
        <v>5.0</v>
      </c>
      <c r="F9371" s="59">
        <v>2.0</v>
      </c>
      <c r="G9371" s="60">
        <v>2.5</v>
      </c>
      <c r="H9371" s="60">
        <v>0.2</v>
      </c>
      <c r="I9371" s="60">
        <v>156.6452364</v>
      </c>
      <c r="J9371" s="59">
        <v>9.0</v>
      </c>
      <c r="K9371" s="61">
        <f t="shared" si="1"/>
        <v>0.4</v>
      </c>
      <c r="L9371" s="62">
        <f t="shared" si="2"/>
        <v>1.8</v>
      </c>
    </row>
    <row r="9372">
      <c r="A9372" s="58">
        <v>45261.0</v>
      </c>
      <c r="B9372" s="24" t="s">
        <v>6789</v>
      </c>
      <c r="C9372" s="24" t="s">
        <v>7104</v>
      </c>
      <c r="D9372" s="59">
        <v>2.0</v>
      </c>
      <c r="E9372" s="59">
        <v>2.0</v>
      </c>
      <c r="F9372" s="59">
        <v>1.0</v>
      </c>
      <c r="G9372" s="60">
        <v>1.0</v>
      </c>
      <c r="H9372" s="60">
        <v>0.5</v>
      </c>
      <c r="I9372" s="60">
        <v>129.046903</v>
      </c>
      <c r="J9372" s="59">
        <v>3.0</v>
      </c>
      <c r="K9372" s="61">
        <f t="shared" si="1"/>
        <v>0.5</v>
      </c>
      <c r="L9372" s="62">
        <f t="shared" si="2"/>
        <v>1.5</v>
      </c>
    </row>
    <row r="9373">
      <c r="A9373" s="58">
        <v>45261.0</v>
      </c>
      <c r="B9373" s="24" t="s">
        <v>7100</v>
      </c>
      <c r="C9373" s="24" t="s">
        <v>7174</v>
      </c>
      <c r="D9373" s="59">
        <v>2.0</v>
      </c>
      <c r="E9373" s="59">
        <v>2.0</v>
      </c>
      <c r="F9373" s="59">
        <v>2.0</v>
      </c>
      <c r="G9373" s="60">
        <v>1.0</v>
      </c>
      <c r="H9373" s="60">
        <v>0.0</v>
      </c>
      <c r="I9373" s="60">
        <v>4.007355</v>
      </c>
      <c r="J9373" s="59">
        <v>4.0</v>
      </c>
      <c r="K9373" s="61">
        <f t="shared" si="1"/>
        <v>1</v>
      </c>
      <c r="L9373" s="62">
        <f t="shared" si="2"/>
        <v>2</v>
      </c>
    </row>
    <row r="9374">
      <c r="A9374" s="58">
        <v>45261.0</v>
      </c>
      <c r="B9374" s="24" t="s">
        <v>6794</v>
      </c>
      <c r="C9374" s="24" t="s">
        <v>6815</v>
      </c>
      <c r="D9374" s="59">
        <v>2.0</v>
      </c>
      <c r="E9374" s="59">
        <v>3.0</v>
      </c>
      <c r="F9374" s="59">
        <v>1.0</v>
      </c>
      <c r="G9374" s="60">
        <v>1.5</v>
      </c>
      <c r="H9374" s="60">
        <v>0.0</v>
      </c>
      <c r="I9374" s="60">
        <v>319.098863333333</v>
      </c>
      <c r="J9374" s="59">
        <v>7.0</v>
      </c>
      <c r="K9374" s="61">
        <f t="shared" si="1"/>
        <v>0.3333333333</v>
      </c>
      <c r="L9374" s="62">
        <f t="shared" si="2"/>
        <v>2.333333333</v>
      </c>
    </row>
    <row r="9375">
      <c r="A9375" s="58">
        <v>45261.0</v>
      </c>
      <c r="B9375" s="24" t="s">
        <v>6787</v>
      </c>
      <c r="C9375" s="24" t="s">
        <v>7588</v>
      </c>
      <c r="D9375" s="59">
        <v>2.0</v>
      </c>
      <c r="E9375" s="59">
        <v>2.0</v>
      </c>
      <c r="F9375" s="59">
        <v>2.0</v>
      </c>
      <c r="G9375" s="60">
        <v>1.0</v>
      </c>
      <c r="H9375" s="60">
        <v>0.0</v>
      </c>
      <c r="I9375" s="60">
        <v>4.6338655</v>
      </c>
      <c r="J9375" s="59">
        <v>4.0</v>
      </c>
      <c r="K9375" s="61">
        <f t="shared" si="1"/>
        <v>1</v>
      </c>
      <c r="L9375" s="62">
        <f t="shared" si="2"/>
        <v>2</v>
      </c>
    </row>
    <row r="9376">
      <c r="A9376" s="58">
        <v>45261.0</v>
      </c>
      <c r="B9376" s="24" t="s">
        <v>6789</v>
      </c>
      <c r="C9376" s="24" t="s">
        <v>6922</v>
      </c>
      <c r="D9376" s="59">
        <v>2.0</v>
      </c>
      <c r="E9376" s="59">
        <v>7.0</v>
      </c>
      <c r="F9376" s="59">
        <v>0.0</v>
      </c>
      <c r="G9376" s="60">
        <v>3.5</v>
      </c>
      <c r="H9376" s="60">
        <v>0.0</v>
      </c>
      <c r="I9376" s="60">
        <v>275.266896714285</v>
      </c>
      <c r="J9376" s="59">
        <v>14.0</v>
      </c>
      <c r="K9376" s="61">
        <f t="shared" si="1"/>
        <v>0</v>
      </c>
      <c r="L9376" s="62">
        <f t="shared" si="2"/>
        <v>2</v>
      </c>
    </row>
    <row r="9377">
      <c r="A9377" s="58">
        <v>45261.0</v>
      </c>
      <c r="B9377" s="24" t="s">
        <v>155</v>
      </c>
      <c r="C9377" s="24" t="s">
        <v>6802</v>
      </c>
      <c r="D9377" s="59">
        <v>2.0</v>
      </c>
      <c r="E9377" s="59">
        <v>4.0</v>
      </c>
      <c r="F9377" s="59">
        <v>0.0</v>
      </c>
      <c r="G9377" s="60">
        <v>2.0</v>
      </c>
      <c r="H9377" s="60">
        <v>0.0</v>
      </c>
      <c r="I9377" s="60">
        <v>5.16878875</v>
      </c>
      <c r="J9377" s="59">
        <v>8.0</v>
      </c>
      <c r="K9377" s="61">
        <f t="shared" si="1"/>
        <v>0</v>
      </c>
      <c r="L9377" s="62">
        <f t="shared" si="2"/>
        <v>2</v>
      </c>
    </row>
    <row r="9378">
      <c r="A9378" s="58">
        <v>45261.0</v>
      </c>
      <c r="B9378" s="24" t="s">
        <v>7296</v>
      </c>
      <c r="C9378" s="24" t="s">
        <v>6792</v>
      </c>
      <c r="D9378" s="59">
        <v>1.0</v>
      </c>
      <c r="E9378" s="59">
        <v>2.0</v>
      </c>
      <c r="F9378" s="59">
        <v>0.0</v>
      </c>
      <c r="G9378" s="60">
        <v>0.0</v>
      </c>
      <c r="H9378" s="60">
        <v>1.0</v>
      </c>
      <c r="I9378" s="60">
        <v>0.2132825</v>
      </c>
      <c r="J9378" s="59">
        <v>0.0</v>
      </c>
      <c r="K9378" s="61">
        <f t="shared" si="1"/>
        <v>0</v>
      </c>
      <c r="L9378" s="62">
        <f t="shared" si="2"/>
        <v>0</v>
      </c>
    </row>
    <row r="9379">
      <c r="A9379" s="58">
        <v>45261.0</v>
      </c>
      <c r="B9379" s="24" t="s">
        <v>3216</v>
      </c>
      <c r="C9379" s="24" t="s">
        <v>6788</v>
      </c>
      <c r="D9379" s="59">
        <v>1.0</v>
      </c>
      <c r="E9379" s="59">
        <v>8.0</v>
      </c>
      <c r="F9379" s="59">
        <v>0.0</v>
      </c>
      <c r="G9379" s="60">
        <v>8.0</v>
      </c>
      <c r="H9379" s="60">
        <v>0.0</v>
      </c>
      <c r="I9379" s="60">
        <v>73.042285625</v>
      </c>
      <c r="J9379" s="59">
        <v>20.0</v>
      </c>
      <c r="K9379" s="61">
        <f t="shared" si="1"/>
        <v>0</v>
      </c>
      <c r="L9379" s="62">
        <f t="shared" si="2"/>
        <v>2.5</v>
      </c>
    </row>
    <row r="9380">
      <c r="A9380" s="58">
        <v>45261.0</v>
      </c>
      <c r="B9380" s="24" t="s">
        <v>7296</v>
      </c>
      <c r="C9380" s="24" t="s">
        <v>6788</v>
      </c>
      <c r="D9380" s="59">
        <v>1.0</v>
      </c>
      <c r="E9380" s="59">
        <v>1.0</v>
      </c>
      <c r="F9380" s="59">
        <v>0.0</v>
      </c>
      <c r="G9380" s="60">
        <v>1.0</v>
      </c>
      <c r="H9380" s="60">
        <v>0.0</v>
      </c>
      <c r="I9380" s="60">
        <v>5.224567</v>
      </c>
      <c r="J9380" s="59">
        <v>2.0</v>
      </c>
      <c r="K9380" s="61">
        <f t="shared" si="1"/>
        <v>0</v>
      </c>
      <c r="L9380" s="62">
        <f t="shared" si="2"/>
        <v>2</v>
      </c>
    </row>
    <row r="9381">
      <c r="A9381" s="58">
        <v>45261.0</v>
      </c>
      <c r="B9381" s="24" t="s">
        <v>6942</v>
      </c>
      <c r="C9381" s="24" t="s">
        <v>6788</v>
      </c>
      <c r="D9381" s="59">
        <v>1.0</v>
      </c>
      <c r="E9381" s="59">
        <v>1.0</v>
      </c>
      <c r="F9381" s="59">
        <v>0.0</v>
      </c>
      <c r="G9381" s="60">
        <v>1.0</v>
      </c>
      <c r="H9381" s="60">
        <v>0.0</v>
      </c>
      <c r="I9381" s="60">
        <v>3422.365388</v>
      </c>
      <c r="J9381" s="59">
        <v>30.0</v>
      </c>
      <c r="K9381" s="61">
        <f t="shared" si="1"/>
        <v>0</v>
      </c>
      <c r="L9381" s="62">
        <f t="shared" si="2"/>
        <v>30</v>
      </c>
    </row>
    <row r="9382">
      <c r="A9382" s="58">
        <v>45261.0</v>
      </c>
      <c r="B9382" s="24" t="s">
        <v>6787</v>
      </c>
      <c r="C9382" s="24" t="s">
        <v>7597</v>
      </c>
      <c r="D9382" s="59">
        <v>1.0</v>
      </c>
      <c r="E9382" s="59">
        <v>2.0</v>
      </c>
      <c r="F9382" s="59">
        <v>0.0</v>
      </c>
      <c r="G9382" s="60">
        <v>2.0</v>
      </c>
      <c r="H9382" s="60">
        <v>0.0</v>
      </c>
      <c r="I9382" s="60">
        <v>71.6900694999999</v>
      </c>
      <c r="J9382" s="59">
        <v>6.0</v>
      </c>
      <c r="K9382" s="61">
        <f t="shared" si="1"/>
        <v>0</v>
      </c>
      <c r="L9382" s="62">
        <f t="shared" si="2"/>
        <v>3</v>
      </c>
    </row>
    <row r="9383">
      <c r="A9383" s="58">
        <v>45261.0</v>
      </c>
      <c r="B9383" s="24" t="s">
        <v>6787</v>
      </c>
      <c r="C9383" s="24" t="s">
        <v>7603</v>
      </c>
      <c r="D9383" s="59">
        <v>1.0</v>
      </c>
      <c r="E9383" s="59">
        <v>1.0</v>
      </c>
      <c r="F9383" s="59">
        <v>1.0</v>
      </c>
      <c r="G9383" s="60">
        <v>1.0</v>
      </c>
      <c r="H9383" s="60">
        <v>0.0</v>
      </c>
      <c r="I9383" s="60">
        <v>0.738813</v>
      </c>
      <c r="J9383" s="59">
        <v>2.0</v>
      </c>
      <c r="K9383" s="61">
        <f t="shared" si="1"/>
        <v>1</v>
      </c>
      <c r="L9383" s="62">
        <f t="shared" si="2"/>
        <v>2</v>
      </c>
    </row>
    <row r="9384">
      <c r="A9384" s="58">
        <v>45261.0</v>
      </c>
      <c r="B9384" s="24" t="s">
        <v>6787</v>
      </c>
      <c r="C9384" s="24" t="s">
        <v>7604</v>
      </c>
      <c r="D9384" s="59">
        <v>1.0</v>
      </c>
      <c r="E9384" s="59">
        <v>1.0</v>
      </c>
      <c r="F9384" s="59">
        <v>1.0</v>
      </c>
      <c r="G9384" s="60">
        <v>1.0</v>
      </c>
      <c r="H9384" s="60">
        <v>0.0</v>
      </c>
      <c r="I9384" s="60">
        <v>220.772774</v>
      </c>
      <c r="J9384" s="59">
        <v>2.0</v>
      </c>
      <c r="K9384" s="61">
        <f t="shared" si="1"/>
        <v>1</v>
      </c>
      <c r="L9384" s="62">
        <f t="shared" si="2"/>
        <v>2</v>
      </c>
    </row>
    <row r="9385">
      <c r="A9385" s="58">
        <v>45261.0</v>
      </c>
      <c r="B9385" s="24" t="s">
        <v>6787</v>
      </c>
      <c r="C9385" s="24" t="s">
        <v>7354</v>
      </c>
      <c r="D9385" s="59">
        <v>1.0</v>
      </c>
      <c r="E9385" s="59">
        <v>1.0</v>
      </c>
      <c r="F9385" s="59">
        <v>1.0</v>
      </c>
      <c r="G9385" s="60">
        <v>1.0</v>
      </c>
      <c r="H9385" s="60">
        <v>0.0</v>
      </c>
      <c r="I9385" s="60">
        <v>40.641874</v>
      </c>
      <c r="J9385" s="59">
        <v>2.0</v>
      </c>
      <c r="K9385" s="61">
        <f t="shared" si="1"/>
        <v>1</v>
      </c>
      <c r="L9385" s="62">
        <f t="shared" si="2"/>
        <v>2</v>
      </c>
    </row>
    <row r="9386">
      <c r="A9386" s="58">
        <v>45261.0</v>
      </c>
      <c r="B9386" s="24" t="s">
        <v>7296</v>
      </c>
      <c r="C9386" s="24" t="s">
        <v>7194</v>
      </c>
      <c r="D9386" s="59">
        <v>1.0</v>
      </c>
      <c r="E9386" s="59">
        <v>5.0</v>
      </c>
      <c r="F9386" s="59">
        <v>0.0</v>
      </c>
      <c r="G9386" s="60">
        <v>5.0</v>
      </c>
      <c r="H9386" s="60">
        <v>0.0</v>
      </c>
      <c r="I9386" s="60">
        <v>1246.40251599999</v>
      </c>
      <c r="J9386" s="59">
        <v>32.0</v>
      </c>
      <c r="K9386" s="61">
        <f t="shared" si="1"/>
        <v>0</v>
      </c>
      <c r="L9386" s="62">
        <f t="shared" si="2"/>
        <v>6.4</v>
      </c>
    </row>
    <row r="9387">
      <c r="A9387" s="58">
        <v>45261.0</v>
      </c>
      <c r="B9387" s="24" t="s">
        <v>155</v>
      </c>
      <c r="C9387" s="24" t="s">
        <v>7194</v>
      </c>
      <c r="D9387" s="59">
        <v>1.0</v>
      </c>
      <c r="E9387" s="59">
        <v>1.0</v>
      </c>
      <c r="F9387" s="59">
        <v>0.0</v>
      </c>
      <c r="G9387" s="60">
        <v>1.0</v>
      </c>
      <c r="H9387" s="60">
        <v>0.0</v>
      </c>
      <c r="I9387" s="60">
        <v>15.414153</v>
      </c>
      <c r="J9387" s="59">
        <v>2.0</v>
      </c>
      <c r="K9387" s="61">
        <f t="shared" si="1"/>
        <v>0</v>
      </c>
      <c r="L9387" s="62">
        <f t="shared" si="2"/>
        <v>2</v>
      </c>
    </row>
    <row r="9388">
      <c r="A9388" s="58">
        <v>45261.0</v>
      </c>
      <c r="B9388" s="24" t="s">
        <v>6794</v>
      </c>
      <c r="C9388" s="24" t="s">
        <v>6803</v>
      </c>
      <c r="D9388" s="59">
        <v>1.0</v>
      </c>
      <c r="E9388" s="59">
        <v>1.0</v>
      </c>
      <c r="F9388" s="59">
        <v>0.0</v>
      </c>
      <c r="G9388" s="60">
        <v>1.0</v>
      </c>
      <c r="H9388" s="60">
        <v>0.0</v>
      </c>
      <c r="I9388" s="60">
        <v>208.60115</v>
      </c>
      <c r="J9388" s="59">
        <v>4.0</v>
      </c>
      <c r="K9388" s="61">
        <f t="shared" si="1"/>
        <v>0</v>
      </c>
      <c r="L9388" s="62">
        <f t="shared" si="2"/>
        <v>4</v>
      </c>
    </row>
    <row r="9389">
      <c r="A9389" s="58">
        <v>45261.0</v>
      </c>
      <c r="B9389" s="24" t="s">
        <v>6789</v>
      </c>
      <c r="C9389" s="24" t="s">
        <v>6953</v>
      </c>
      <c r="D9389" s="59">
        <v>1.0</v>
      </c>
      <c r="E9389" s="59">
        <v>1.0</v>
      </c>
      <c r="F9389" s="59">
        <v>1.0</v>
      </c>
      <c r="G9389" s="60">
        <v>1.0</v>
      </c>
      <c r="H9389" s="60">
        <v>0.0</v>
      </c>
      <c r="I9389" s="60">
        <v>5.317306</v>
      </c>
      <c r="J9389" s="59">
        <v>2.0</v>
      </c>
      <c r="K9389" s="61">
        <f t="shared" si="1"/>
        <v>1</v>
      </c>
      <c r="L9389" s="62">
        <f t="shared" si="2"/>
        <v>2</v>
      </c>
    </row>
    <row r="9390">
      <c r="A9390" s="58">
        <v>45261.0</v>
      </c>
      <c r="B9390" s="24" t="s">
        <v>6787</v>
      </c>
      <c r="C9390" s="24" t="s">
        <v>7056</v>
      </c>
      <c r="D9390" s="59">
        <v>1.0</v>
      </c>
      <c r="E9390" s="59">
        <v>1.0</v>
      </c>
      <c r="F9390" s="59">
        <v>1.0</v>
      </c>
      <c r="G9390" s="60">
        <v>1.0</v>
      </c>
      <c r="H9390" s="60">
        <v>1.0</v>
      </c>
      <c r="I9390" s="60">
        <v>0.0</v>
      </c>
      <c r="J9390" s="59">
        <v>1.0</v>
      </c>
      <c r="K9390" s="61">
        <f t="shared" si="1"/>
        <v>1</v>
      </c>
      <c r="L9390" s="62">
        <f t="shared" si="2"/>
        <v>1</v>
      </c>
    </row>
    <row r="9391">
      <c r="A9391" s="58">
        <v>45261.0</v>
      </c>
      <c r="B9391" s="24" t="s">
        <v>155</v>
      </c>
      <c r="C9391" s="24" t="s">
        <v>6804</v>
      </c>
      <c r="D9391" s="59">
        <v>1.0</v>
      </c>
      <c r="E9391" s="59">
        <v>1.0</v>
      </c>
      <c r="F9391" s="59">
        <v>1.0</v>
      </c>
      <c r="G9391" s="60">
        <v>1.0</v>
      </c>
      <c r="H9391" s="60">
        <v>0.0</v>
      </c>
      <c r="I9391" s="60">
        <v>11.871022</v>
      </c>
      <c r="J9391" s="59">
        <v>2.0</v>
      </c>
      <c r="K9391" s="61">
        <f t="shared" si="1"/>
        <v>1</v>
      </c>
      <c r="L9391" s="62">
        <f t="shared" si="2"/>
        <v>2</v>
      </c>
    </row>
    <row r="9392">
      <c r="A9392" s="58">
        <v>45261.0</v>
      </c>
      <c r="B9392" s="24" t="s">
        <v>6787</v>
      </c>
      <c r="C9392" s="24" t="s">
        <v>7477</v>
      </c>
      <c r="D9392" s="59">
        <v>1.0</v>
      </c>
      <c r="E9392" s="59">
        <v>1.0</v>
      </c>
      <c r="F9392" s="59">
        <v>1.0</v>
      </c>
      <c r="G9392" s="60">
        <v>1.0</v>
      </c>
      <c r="H9392" s="60">
        <v>1.0</v>
      </c>
      <c r="I9392" s="60">
        <v>0.0</v>
      </c>
      <c r="J9392" s="59">
        <v>1.0</v>
      </c>
      <c r="K9392" s="61">
        <f t="shared" si="1"/>
        <v>1</v>
      </c>
      <c r="L9392" s="62">
        <f t="shared" si="2"/>
        <v>1</v>
      </c>
    </row>
    <row r="9393">
      <c r="A9393" s="58">
        <v>45261.0</v>
      </c>
      <c r="B9393" s="24" t="s">
        <v>6787</v>
      </c>
      <c r="C9393" s="24" t="s">
        <v>7057</v>
      </c>
      <c r="D9393" s="59">
        <v>1.0</v>
      </c>
      <c r="E9393" s="59">
        <v>1.0</v>
      </c>
      <c r="F9393" s="59">
        <v>1.0</v>
      </c>
      <c r="G9393" s="60">
        <v>1.0</v>
      </c>
      <c r="H9393" s="60">
        <v>1.0</v>
      </c>
      <c r="I9393" s="60">
        <v>8.872921</v>
      </c>
      <c r="J9393" s="59">
        <v>1.0</v>
      </c>
      <c r="K9393" s="61">
        <f t="shared" si="1"/>
        <v>1</v>
      </c>
      <c r="L9393" s="62">
        <f t="shared" si="2"/>
        <v>1</v>
      </c>
    </row>
    <row r="9394">
      <c r="A9394" s="58">
        <v>45261.0</v>
      </c>
      <c r="B9394" s="24" t="s">
        <v>6787</v>
      </c>
      <c r="C9394" s="24" t="s">
        <v>7058</v>
      </c>
      <c r="D9394" s="59">
        <v>1.0</v>
      </c>
      <c r="E9394" s="59">
        <v>1.0</v>
      </c>
      <c r="F9394" s="59">
        <v>1.0</v>
      </c>
      <c r="G9394" s="60">
        <v>1.0</v>
      </c>
      <c r="H9394" s="60">
        <v>0.0</v>
      </c>
      <c r="I9394" s="60">
        <v>376.226032</v>
      </c>
      <c r="J9394" s="59">
        <v>2.0</v>
      </c>
      <c r="K9394" s="61">
        <f t="shared" si="1"/>
        <v>1</v>
      </c>
      <c r="L9394" s="62">
        <f t="shared" si="2"/>
        <v>2</v>
      </c>
    </row>
    <row r="9395">
      <c r="A9395" s="58">
        <v>45261.0</v>
      </c>
      <c r="B9395" s="24" t="s">
        <v>3216</v>
      </c>
      <c r="C9395" s="24" t="s">
        <v>6861</v>
      </c>
      <c r="D9395" s="59">
        <v>1.0</v>
      </c>
      <c r="E9395" s="59">
        <v>1.0</v>
      </c>
      <c r="F9395" s="59">
        <v>0.0</v>
      </c>
      <c r="G9395" s="60">
        <v>1.0</v>
      </c>
      <c r="H9395" s="60">
        <v>0.0</v>
      </c>
      <c r="I9395" s="60">
        <v>13.009436</v>
      </c>
      <c r="J9395" s="59">
        <v>4.0</v>
      </c>
      <c r="K9395" s="61">
        <f t="shared" si="1"/>
        <v>0</v>
      </c>
      <c r="L9395" s="62">
        <f t="shared" si="2"/>
        <v>4</v>
      </c>
    </row>
    <row r="9396">
      <c r="A9396" s="58">
        <v>45261.0</v>
      </c>
      <c r="B9396" s="24" t="s">
        <v>6787</v>
      </c>
      <c r="C9396" s="24" t="s">
        <v>7059</v>
      </c>
      <c r="D9396" s="59">
        <v>1.0</v>
      </c>
      <c r="E9396" s="59">
        <v>1.0</v>
      </c>
      <c r="F9396" s="59">
        <v>1.0</v>
      </c>
      <c r="G9396" s="60">
        <v>1.0</v>
      </c>
      <c r="H9396" s="60">
        <v>1.0</v>
      </c>
      <c r="I9396" s="60">
        <v>0.0</v>
      </c>
      <c r="J9396" s="59">
        <v>1.0</v>
      </c>
      <c r="K9396" s="61">
        <f t="shared" si="1"/>
        <v>1</v>
      </c>
      <c r="L9396" s="62">
        <f t="shared" si="2"/>
        <v>1</v>
      </c>
    </row>
    <row r="9397">
      <c r="A9397" s="58">
        <v>45261.0</v>
      </c>
      <c r="B9397" s="24" t="s">
        <v>6789</v>
      </c>
      <c r="C9397" s="24" t="s">
        <v>7059</v>
      </c>
      <c r="D9397" s="59">
        <v>1.0</v>
      </c>
      <c r="E9397" s="59">
        <v>1.0</v>
      </c>
      <c r="F9397" s="59">
        <v>1.0</v>
      </c>
      <c r="G9397" s="60">
        <v>1.0</v>
      </c>
      <c r="H9397" s="60">
        <v>0.0</v>
      </c>
      <c r="I9397" s="60">
        <v>272.833396</v>
      </c>
      <c r="J9397" s="59">
        <v>3.0</v>
      </c>
      <c r="K9397" s="61">
        <f t="shared" si="1"/>
        <v>1</v>
      </c>
      <c r="L9397" s="62">
        <f t="shared" si="2"/>
        <v>3</v>
      </c>
    </row>
    <row r="9398">
      <c r="A9398" s="58">
        <v>45261.0</v>
      </c>
      <c r="B9398" s="24" t="s">
        <v>6787</v>
      </c>
      <c r="C9398" s="24" t="s">
        <v>7060</v>
      </c>
      <c r="D9398" s="59">
        <v>1.0</v>
      </c>
      <c r="E9398" s="59">
        <v>1.0</v>
      </c>
      <c r="F9398" s="59">
        <v>1.0</v>
      </c>
      <c r="G9398" s="60">
        <v>1.0</v>
      </c>
      <c r="H9398" s="60">
        <v>1.0</v>
      </c>
      <c r="I9398" s="60">
        <v>0.0</v>
      </c>
      <c r="J9398" s="59">
        <v>1.0</v>
      </c>
      <c r="K9398" s="61">
        <f t="shared" si="1"/>
        <v>1</v>
      </c>
      <c r="L9398" s="62">
        <f t="shared" si="2"/>
        <v>1</v>
      </c>
    </row>
    <row r="9399">
      <c r="A9399" s="58">
        <v>45261.0</v>
      </c>
      <c r="B9399" s="24" t="s">
        <v>6789</v>
      </c>
      <c r="C9399" s="24" t="s">
        <v>7060</v>
      </c>
      <c r="D9399" s="59">
        <v>1.0</v>
      </c>
      <c r="E9399" s="59">
        <v>1.0</v>
      </c>
      <c r="F9399" s="59">
        <v>1.0</v>
      </c>
      <c r="G9399" s="60">
        <v>1.0</v>
      </c>
      <c r="H9399" s="60">
        <v>0.0</v>
      </c>
      <c r="I9399" s="60">
        <v>5.010341</v>
      </c>
      <c r="J9399" s="59">
        <v>2.0</v>
      </c>
      <c r="K9399" s="61">
        <f t="shared" si="1"/>
        <v>1</v>
      </c>
      <c r="L9399" s="62">
        <f t="shared" si="2"/>
        <v>2</v>
      </c>
    </row>
    <row r="9400">
      <c r="A9400" s="58">
        <v>45261.0</v>
      </c>
      <c r="B9400" s="24" t="s">
        <v>6787</v>
      </c>
      <c r="C9400" s="24" t="s">
        <v>6985</v>
      </c>
      <c r="D9400" s="59">
        <v>1.0</v>
      </c>
      <c r="E9400" s="59">
        <v>1.0</v>
      </c>
      <c r="F9400" s="59">
        <v>1.0</v>
      </c>
      <c r="G9400" s="60">
        <v>1.0</v>
      </c>
      <c r="H9400" s="60">
        <v>1.0</v>
      </c>
      <c r="I9400" s="60">
        <v>0.0</v>
      </c>
      <c r="J9400" s="59">
        <v>1.0</v>
      </c>
      <c r="K9400" s="61">
        <f t="shared" si="1"/>
        <v>1</v>
      </c>
      <c r="L9400" s="62">
        <f t="shared" si="2"/>
        <v>1</v>
      </c>
    </row>
    <row r="9401">
      <c r="A9401" s="58">
        <v>45261.0</v>
      </c>
      <c r="B9401" s="24" t="s">
        <v>6787</v>
      </c>
      <c r="C9401" s="24" t="s">
        <v>7024</v>
      </c>
      <c r="D9401" s="59">
        <v>1.0</v>
      </c>
      <c r="E9401" s="59">
        <v>1.0</v>
      </c>
      <c r="F9401" s="59">
        <v>1.0</v>
      </c>
      <c r="G9401" s="60">
        <v>1.0</v>
      </c>
      <c r="H9401" s="60">
        <v>1.0</v>
      </c>
      <c r="I9401" s="60">
        <v>0.0</v>
      </c>
      <c r="J9401" s="59">
        <v>1.0</v>
      </c>
      <c r="K9401" s="61">
        <f t="shared" si="1"/>
        <v>1</v>
      </c>
      <c r="L9401" s="62">
        <f t="shared" si="2"/>
        <v>1</v>
      </c>
    </row>
    <row r="9402">
      <c r="A9402" s="58">
        <v>45261.0</v>
      </c>
      <c r="B9402" s="24" t="s">
        <v>6787</v>
      </c>
      <c r="C9402" s="24" t="s">
        <v>7065</v>
      </c>
      <c r="D9402" s="59">
        <v>1.0</v>
      </c>
      <c r="E9402" s="59">
        <v>1.0</v>
      </c>
      <c r="F9402" s="59">
        <v>1.0</v>
      </c>
      <c r="G9402" s="60">
        <v>1.0</v>
      </c>
      <c r="H9402" s="60">
        <v>1.0</v>
      </c>
      <c r="I9402" s="60">
        <v>0.0</v>
      </c>
      <c r="J9402" s="59">
        <v>1.0</v>
      </c>
      <c r="K9402" s="61">
        <f t="shared" si="1"/>
        <v>1</v>
      </c>
      <c r="L9402" s="62">
        <f t="shared" si="2"/>
        <v>1</v>
      </c>
    </row>
    <row r="9403">
      <c r="A9403" s="58">
        <v>45261.0</v>
      </c>
      <c r="B9403" s="24" t="s">
        <v>7100</v>
      </c>
      <c r="C9403" s="24" t="s">
        <v>7065</v>
      </c>
      <c r="D9403" s="59">
        <v>1.0</v>
      </c>
      <c r="E9403" s="59">
        <v>2.0</v>
      </c>
      <c r="F9403" s="59">
        <v>0.0</v>
      </c>
      <c r="G9403" s="60">
        <v>2.0</v>
      </c>
      <c r="H9403" s="60">
        <v>0.0</v>
      </c>
      <c r="I9403" s="60">
        <v>5.0205995</v>
      </c>
      <c r="J9403" s="59">
        <v>4.0</v>
      </c>
      <c r="K9403" s="61">
        <f t="shared" si="1"/>
        <v>0</v>
      </c>
      <c r="L9403" s="62">
        <f t="shared" si="2"/>
        <v>2</v>
      </c>
    </row>
    <row r="9404">
      <c r="A9404" s="58">
        <v>45261.0</v>
      </c>
      <c r="B9404" s="24" t="s">
        <v>6787</v>
      </c>
      <c r="C9404" s="24" t="s">
        <v>6989</v>
      </c>
      <c r="D9404" s="59">
        <v>1.0</v>
      </c>
      <c r="E9404" s="59">
        <v>1.0</v>
      </c>
      <c r="F9404" s="59">
        <v>1.0</v>
      </c>
      <c r="G9404" s="60">
        <v>1.0</v>
      </c>
      <c r="H9404" s="60">
        <v>1.0</v>
      </c>
      <c r="I9404" s="60">
        <v>0.0</v>
      </c>
      <c r="J9404" s="59">
        <v>1.0</v>
      </c>
      <c r="K9404" s="61">
        <f t="shared" si="1"/>
        <v>1</v>
      </c>
      <c r="L9404" s="62">
        <f t="shared" si="2"/>
        <v>1</v>
      </c>
    </row>
    <row r="9405">
      <c r="A9405" s="58">
        <v>45261.0</v>
      </c>
      <c r="B9405" s="24" t="s">
        <v>6789</v>
      </c>
      <c r="C9405" s="24" t="s">
        <v>6989</v>
      </c>
      <c r="D9405" s="59">
        <v>1.0</v>
      </c>
      <c r="E9405" s="59">
        <v>1.0</v>
      </c>
      <c r="F9405" s="59">
        <v>1.0</v>
      </c>
      <c r="G9405" s="60">
        <v>1.0</v>
      </c>
      <c r="H9405" s="60">
        <v>0.0</v>
      </c>
      <c r="I9405" s="60">
        <v>809.459479</v>
      </c>
      <c r="J9405" s="59">
        <v>12.0</v>
      </c>
      <c r="K9405" s="61">
        <f t="shared" si="1"/>
        <v>1</v>
      </c>
      <c r="L9405" s="62">
        <f t="shared" si="2"/>
        <v>12</v>
      </c>
    </row>
    <row r="9406">
      <c r="A9406" s="58">
        <v>45261.0</v>
      </c>
      <c r="B9406" s="24" t="s">
        <v>6787</v>
      </c>
      <c r="C9406" s="24" t="s">
        <v>7067</v>
      </c>
      <c r="D9406" s="59">
        <v>1.0</v>
      </c>
      <c r="E9406" s="59">
        <v>1.0</v>
      </c>
      <c r="F9406" s="59">
        <v>0.0</v>
      </c>
      <c r="G9406" s="60">
        <v>1.0</v>
      </c>
      <c r="H9406" s="60">
        <v>0.0</v>
      </c>
      <c r="I9406" s="60">
        <v>5.245603</v>
      </c>
      <c r="J9406" s="59">
        <v>2.0</v>
      </c>
      <c r="K9406" s="61">
        <f t="shared" si="1"/>
        <v>0</v>
      </c>
      <c r="L9406" s="62">
        <f t="shared" si="2"/>
        <v>2</v>
      </c>
    </row>
    <row r="9407">
      <c r="A9407" s="58">
        <v>45261.0</v>
      </c>
      <c r="B9407" s="24" t="s">
        <v>6789</v>
      </c>
      <c r="C9407" s="24" t="s">
        <v>7067</v>
      </c>
      <c r="D9407" s="59">
        <v>1.0</v>
      </c>
      <c r="E9407" s="59">
        <v>1.0</v>
      </c>
      <c r="F9407" s="59">
        <v>1.0</v>
      </c>
      <c r="G9407" s="60">
        <v>1.0</v>
      </c>
      <c r="H9407" s="60">
        <v>0.0</v>
      </c>
      <c r="I9407" s="60">
        <v>40.992788</v>
      </c>
      <c r="J9407" s="59">
        <v>2.0</v>
      </c>
      <c r="K9407" s="61">
        <f t="shared" si="1"/>
        <v>1</v>
      </c>
      <c r="L9407" s="62">
        <f t="shared" si="2"/>
        <v>2</v>
      </c>
    </row>
    <row r="9408">
      <c r="A9408" s="58">
        <v>45261.0</v>
      </c>
      <c r="B9408" s="24" t="s">
        <v>6794</v>
      </c>
      <c r="C9408" s="24" t="s">
        <v>6835</v>
      </c>
      <c r="D9408" s="59">
        <v>1.0</v>
      </c>
      <c r="E9408" s="59">
        <v>1.0</v>
      </c>
      <c r="F9408" s="59">
        <v>1.0</v>
      </c>
      <c r="G9408" s="60">
        <v>1.0</v>
      </c>
      <c r="H9408" s="60">
        <v>0.0</v>
      </c>
      <c r="I9408" s="60">
        <v>308.621577</v>
      </c>
      <c r="J9408" s="59">
        <v>2.0</v>
      </c>
      <c r="K9408" s="61">
        <f t="shared" si="1"/>
        <v>1</v>
      </c>
      <c r="L9408" s="62">
        <f t="shared" si="2"/>
        <v>2</v>
      </c>
    </row>
    <row r="9409">
      <c r="A9409" s="58">
        <v>45261.0</v>
      </c>
      <c r="B9409" s="24" t="s">
        <v>6789</v>
      </c>
      <c r="C9409" s="24" t="s">
        <v>6991</v>
      </c>
      <c r="D9409" s="59">
        <v>1.0</v>
      </c>
      <c r="E9409" s="59">
        <v>1.0</v>
      </c>
      <c r="F9409" s="59">
        <v>1.0</v>
      </c>
      <c r="G9409" s="60">
        <v>1.0</v>
      </c>
      <c r="H9409" s="60">
        <v>0.0</v>
      </c>
      <c r="I9409" s="60">
        <v>26.342247</v>
      </c>
      <c r="J9409" s="59">
        <v>2.0</v>
      </c>
      <c r="K9409" s="61">
        <f t="shared" si="1"/>
        <v>1</v>
      </c>
      <c r="L9409" s="62">
        <f t="shared" si="2"/>
        <v>2</v>
      </c>
    </row>
    <row r="9410">
      <c r="A9410" s="58">
        <v>45261.0</v>
      </c>
      <c r="B9410" s="24" t="s">
        <v>6787</v>
      </c>
      <c r="C9410" s="24" t="s">
        <v>6992</v>
      </c>
      <c r="D9410" s="59">
        <v>1.0</v>
      </c>
      <c r="E9410" s="59">
        <v>1.0</v>
      </c>
      <c r="F9410" s="59">
        <v>1.0</v>
      </c>
      <c r="G9410" s="60">
        <v>1.0</v>
      </c>
      <c r="H9410" s="60">
        <v>1.0</v>
      </c>
      <c r="I9410" s="60">
        <v>0.0</v>
      </c>
      <c r="J9410" s="59">
        <v>1.0</v>
      </c>
      <c r="K9410" s="61">
        <f t="shared" si="1"/>
        <v>1</v>
      </c>
      <c r="L9410" s="62">
        <f t="shared" si="2"/>
        <v>1</v>
      </c>
    </row>
    <row r="9411">
      <c r="A9411" s="58">
        <v>45261.0</v>
      </c>
      <c r="B9411" s="24" t="s">
        <v>6787</v>
      </c>
      <c r="C9411" s="24" t="s">
        <v>6994</v>
      </c>
      <c r="D9411" s="59">
        <v>1.0</v>
      </c>
      <c r="E9411" s="59">
        <v>1.0</v>
      </c>
      <c r="F9411" s="59">
        <v>1.0</v>
      </c>
      <c r="G9411" s="60">
        <v>1.0</v>
      </c>
      <c r="H9411" s="60">
        <v>0.0</v>
      </c>
      <c r="I9411" s="60">
        <v>317.260601</v>
      </c>
      <c r="J9411" s="59">
        <v>8.0</v>
      </c>
      <c r="K9411" s="61">
        <f t="shared" si="1"/>
        <v>1</v>
      </c>
      <c r="L9411" s="62">
        <f t="shared" si="2"/>
        <v>8</v>
      </c>
    </row>
    <row r="9412">
      <c r="A9412" s="58">
        <v>45261.0</v>
      </c>
      <c r="B9412" s="24" t="s">
        <v>6787</v>
      </c>
      <c r="C9412" s="24" t="s">
        <v>7072</v>
      </c>
      <c r="D9412" s="59">
        <v>1.0</v>
      </c>
      <c r="E9412" s="59">
        <v>1.0</v>
      </c>
      <c r="F9412" s="59">
        <v>1.0</v>
      </c>
      <c r="G9412" s="60">
        <v>1.0</v>
      </c>
      <c r="H9412" s="60">
        <v>1.0</v>
      </c>
      <c r="I9412" s="60">
        <v>0.0</v>
      </c>
      <c r="J9412" s="59">
        <v>1.0</v>
      </c>
      <c r="K9412" s="61">
        <f t="shared" si="1"/>
        <v>1</v>
      </c>
      <c r="L9412" s="62">
        <f t="shared" si="2"/>
        <v>1</v>
      </c>
    </row>
    <row r="9413">
      <c r="A9413" s="58">
        <v>45261.0</v>
      </c>
      <c r="B9413" s="24" t="s">
        <v>6789</v>
      </c>
      <c r="C9413" s="24" t="s">
        <v>7072</v>
      </c>
      <c r="D9413" s="59">
        <v>1.0</v>
      </c>
      <c r="E9413" s="59">
        <v>1.0</v>
      </c>
      <c r="F9413" s="59">
        <v>1.0</v>
      </c>
      <c r="G9413" s="60">
        <v>1.0</v>
      </c>
      <c r="H9413" s="60">
        <v>0.0</v>
      </c>
      <c r="I9413" s="60">
        <v>4.880504</v>
      </c>
      <c r="J9413" s="59">
        <v>2.0</v>
      </c>
      <c r="K9413" s="61">
        <f t="shared" si="1"/>
        <v>1</v>
      </c>
      <c r="L9413" s="62">
        <f t="shared" si="2"/>
        <v>2</v>
      </c>
    </row>
    <row r="9414">
      <c r="A9414" s="58">
        <v>45261.0</v>
      </c>
      <c r="B9414" s="24" t="s">
        <v>6787</v>
      </c>
      <c r="C9414" s="24" t="s">
        <v>7074</v>
      </c>
      <c r="D9414" s="59">
        <v>1.0</v>
      </c>
      <c r="E9414" s="59">
        <v>1.0</v>
      </c>
      <c r="F9414" s="59">
        <v>0.0</v>
      </c>
      <c r="G9414" s="60">
        <v>1.0</v>
      </c>
      <c r="H9414" s="60">
        <v>0.0</v>
      </c>
      <c r="I9414" s="60">
        <v>4.808856</v>
      </c>
      <c r="J9414" s="59">
        <v>2.0</v>
      </c>
      <c r="K9414" s="61">
        <f t="shared" si="1"/>
        <v>0</v>
      </c>
      <c r="L9414" s="62">
        <f t="shared" si="2"/>
        <v>2</v>
      </c>
    </row>
    <row r="9415">
      <c r="A9415" s="58">
        <v>45261.0</v>
      </c>
      <c r="B9415" s="24" t="s">
        <v>6791</v>
      </c>
      <c r="C9415" s="24" t="s">
        <v>6886</v>
      </c>
      <c r="D9415" s="59">
        <v>1.0</v>
      </c>
      <c r="E9415" s="59">
        <v>1.0</v>
      </c>
      <c r="F9415" s="59">
        <v>1.0</v>
      </c>
      <c r="G9415" s="60">
        <v>1.0</v>
      </c>
      <c r="H9415" s="60">
        <v>0.0</v>
      </c>
      <c r="I9415" s="60">
        <v>16.180232</v>
      </c>
      <c r="J9415" s="59">
        <v>4.0</v>
      </c>
      <c r="K9415" s="61">
        <f t="shared" si="1"/>
        <v>1</v>
      </c>
      <c r="L9415" s="62">
        <f t="shared" si="2"/>
        <v>4</v>
      </c>
    </row>
    <row r="9416">
      <c r="A9416" s="58">
        <v>45261.0</v>
      </c>
      <c r="B9416" s="24" t="s">
        <v>6791</v>
      </c>
      <c r="C9416" s="24" t="s">
        <v>6799</v>
      </c>
      <c r="D9416" s="59">
        <v>1.0</v>
      </c>
      <c r="E9416" s="59">
        <v>1.0</v>
      </c>
      <c r="F9416" s="59">
        <v>0.0</v>
      </c>
      <c r="G9416" s="60">
        <v>1.0</v>
      </c>
      <c r="H9416" s="60">
        <v>0.0</v>
      </c>
      <c r="I9416" s="60">
        <v>1.900679</v>
      </c>
      <c r="J9416" s="59">
        <v>2.0</v>
      </c>
      <c r="K9416" s="61">
        <f t="shared" si="1"/>
        <v>0</v>
      </c>
      <c r="L9416" s="62">
        <f t="shared" si="2"/>
        <v>2</v>
      </c>
    </row>
    <row r="9417">
      <c r="A9417" s="58">
        <v>45261.0</v>
      </c>
      <c r="B9417" s="24" t="s">
        <v>6790</v>
      </c>
      <c r="C9417" s="24" t="s">
        <v>6799</v>
      </c>
      <c r="D9417" s="59">
        <v>1.0</v>
      </c>
      <c r="E9417" s="59">
        <v>1.0</v>
      </c>
      <c r="F9417" s="59">
        <v>0.0</v>
      </c>
      <c r="G9417" s="60">
        <v>1.0</v>
      </c>
      <c r="H9417" s="60">
        <v>0.0</v>
      </c>
      <c r="I9417" s="60">
        <v>417.210962</v>
      </c>
      <c r="J9417" s="59">
        <v>2.0</v>
      </c>
      <c r="K9417" s="61">
        <f t="shared" si="1"/>
        <v>0</v>
      </c>
      <c r="L9417" s="62">
        <f t="shared" si="2"/>
        <v>2</v>
      </c>
    </row>
    <row r="9418">
      <c r="A9418" s="58">
        <v>45261.0</v>
      </c>
      <c r="B9418" s="24" t="s">
        <v>6789</v>
      </c>
      <c r="C9418" s="24" t="s">
        <v>6820</v>
      </c>
      <c r="D9418" s="59">
        <v>1.0</v>
      </c>
      <c r="E9418" s="59">
        <v>1.0</v>
      </c>
      <c r="F9418" s="59">
        <v>0.0</v>
      </c>
      <c r="G9418" s="60">
        <v>1.0</v>
      </c>
      <c r="H9418" s="60">
        <v>0.0</v>
      </c>
      <c r="I9418" s="60">
        <v>367.295191</v>
      </c>
      <c r="J9418" s="59">
        <v>10.0</v>
      </c>
      <c r="K9418" s="61">
        <f t="shared" si="1"/>
        <v>0</v>
      </c>
      <c r="L9418" s="62">
        <f t="shared" si="2"/>
        <v>10</v>
      </c>
    </row>
    <row r="9419">
      <c r="A9419" s="58">
        <v>45261.0</v>
      </c>
      <c r="B9419" s="24" t="s">
        <v>6789</v>
      </c>
      <c r="C9419" s="24" t="s">
        <v>6822</v>
      </c>
      <c r="D9419" s="59">
        <v>1.0</v>
      </c>
      <c r="E9419" s="59">
        <v>7.0</v>
      </c>
      <c r="F9419" s="59">
        <v>1.0</v>
      </c>
      <c r="G9419" s="60">
        <v>7.0</v>
      </c>
      <c r="H9419" s="60">
        <v>0.0</v>
      </c>
      <c r="I9419" s="60">
        <v>229.250764285714</v>
      </c>
      <c r="J9419" s="59">
        <v>26.0</v>
      </c>
      <c r="K9419" s="61">
        <f t="shared" si="1"/>
        <v>0.1428571429</v>
      </c>
      <c r="L9419" s="62">
        <f t="shared" si="2"/>
        <v>3.714285714</v>
      </c>
    </row>
    <row r="9420">
      <c r="A9420" s="58">
        <v>45261.0</v>
      </c>
      <c r="B9420" s="24" t="s">
        <v>6787</v>
      </c>
      <c r="C9420" s="24" t="s">
        <v>7129</v>
      </c>
      <c r="D9420" s="59">
        <v>1.0</v>
      </c>
      <c r="E9420" s="59">
        <v>1.0</v>
      </c>
      <c r="F9420" s="59">
        <v>1.0</v>
      </c>
      <c r="G9420" s="60">
        <v>1.0</v>
      </c>
      <c r="H9420" s="60">
        <v>1.0</v>
      </c>
      <c r="I9420" s="60">
        <v>0.0</v>
      </c>
      <c r="J9420" s="59">
        <v>1.0</v>
      </c>
      <c r="K9420" s="61">
        <f t="shared" si="1"/>
        <v>1</v>
      </c>
      <c r="L9420" s="62">
        <f t="shared" si="2"/>
        <v>1</v>
      </c>
    </row>
    <row r="9421">
      <c r="A9421" s="58">
        <v>45261.0</v>
      </c>
      <c r="B9421" s="24" t="s">
        <v>6787</v>
      </c>
      <c r="C9421" s="24" t="s">
        <v>6905</v>
      </c>
      <c r="D9421" s="59">
        <v>1.0</v>
      </c>
      <c r="E9421" s="59">
        <v>1.0</v>
      </c>
      <c r="F9421" s="59">
        <v>1.0</v>
      </c>
      <c r="G9421" s="60">
        <v>1.0</v>
      </c>
      <c r="H9421" s="60">
        <v>0.0</v>
      </c>
      <c r="I9421" s="60">
        <v>1010.987123</v>
      </c>
      <c r="J9421" s="59">
        <v>6.0</v>
      </c>
      <c r="K9421" s="61">
        <f t="shared" si="1"/>
        <v>1</v>
      </c>
      <c r="L9421" s="62">
        <f t="shared" si="2"/>
        <v>6</v>
      </c>
    </row>
    <row r="9422">
      <c r="A9422" s="58">
        <v>45261.0</v>
      </c>
      <c r="B9422" s="24" t="s">
        <v>155</v>
      </c>
      <c r="C9422" s="24" t="s">
        <v>7034</v>
      </c>
      <c r="D9422" s="59">
        <v>1.0</v>
      </c>
      <c r="E9422" s="59">
        <v>2.0</v>
      </c>
      <c r="F9422" s="59">
        <v>1.0</v>
      </c>
      <c r="G9422" s="60">
        <v>2.0</v>
      </c>
      <c r="H9422" s="60">
        <v>0.0</v>
      </c>
      <c r="I9422" s="60">
        <v>157.560871</v>
      </c>
      <c r="J9422" s="59">
        <v>17.0</v>
      </c>
      <c r="K9422" s="61">
        <f t="shared" si="1"/>
        <v>0.5</v>
      </c>
      <c r="L9422" s="62">
        <f t="shared" si="2"/>
        <v>8.5</v>
      </c>
    </row>
    <row r="9423">
      <c r="A9423" s="58">
        <v>45261.0</v>
      </c>
      <c r="B9423" s="24" t="s">
        <v>6789</v>
      </c>
      <c r="C9423" s="24" t="s">
        <v>7573</v>
      </c>
      <c r="D9423" s="59">
        <v>1.0</v>
      </c>
      <c r="E9423" s="59">
        <v>1.0</v>
      </c>
      <c r="F9423" s="59">
        <v>1.0</v>
      </c>
      <c r="G9423" s="60">
        <v>1.0</v>
      </c>
      <c r="H9423" s="60">
        <v>0.0</v>
      </c>
      <c r="I9423" s="60">
        <v>232.189539</v>
      </c>
      <c r="J9423" s="59">
        <v>4.0</v>
      </c>
      <c r="K9423" s="61">
        <f t="shared" si="1"/>
        <v>1</v>
      </c>
      <c r="L9423" s="62">
        <f t="shared" si="2"/>
        <v>4</v>
      </c>
    </row>
    <row r="9424">
      <c r="A9424" s="58">
        <v>45261.0</v>
      </c>
      <c r="B9424" s="24" t="s">
        <v>6791</v>
      </c>
      <c r="C9424" s="24" t="s">
        <v>7599</v>
      </c>
      <c r="D9424" s="59">
        <v>1.0</v>
      </c>
      <c r="E9424" s="59">
        <v>1.0</v>
      </c>
      <c r="F9424" s="59">
        <v>0.0</v>
      </c>
      <c r="G9424" s="60">
        <v>1.0</v>
      </c>
      <c r="H9424" s="60">
        <v>0.0</v>
      </c>
      <c r="I9424" s="60">
        <v>1086.73686</v>
      </c>
      <c r="J9424" s="59">
        <v>6.0</v>
      </c>
      <c r="K9424" s="61">
        <f t="shared" si="1"/>
        <v>0</v>
      </c>
      <c r="L9424" s="62">
        <f t="shared" si="2"/>
        <v>6</v>
      </c>
    </row>
    <row r="9425">
      <c r="A9425" s="58">
        <v>45261.0</v>
      </c>
      <c r="B9425" s="24" t="s">
        <v>3216</v>
      </c>
      <c r="C9425" s="24" t="s">
        <v>7565</v>
      </c>
      <c r="D9425" s="59">
        <v>1.0</v>
      </c>
      <c r="E9425" s="59">
        <v>1.0</v>
      </c>
      <c r="F9425" s="59">
        <v>0.0</v>
      </c>
      <c r="G9425" s="60">
        <v>1.0</v>
      </c>
      <c r="H9425" s="60">
        <v>0.0</v>
      </c>
      <c r="I9425" s="60">
        <v>4.56142</v>
      </c>
      <c r="J9425" s="59">
        <v>2.0</v>
      </c>
      <c r="K9425" s="61">
        <f t="shared" si="1"/>
        <v>0</v>
      </c>
      <c r="L9425" s="62">
        <f t="shared" si="2"/>
        <v>2</v>
      </c>
    </row>
    <row r="9426">
      <c r="A9426" s="58">
        <v>45261.0</v>
      </c>
      <c r="B9426" s="24" t="s">
        <v>6789</v>
      </c>
      <c r="C9426" s="24" t="s">
        <v>7592</v>
      </c>
      <c r="D9426" s="59">
        <v>1.0</v>
      </c>
      <c r="E9426" s="59">
        <v>2.0</v>
      </c>
      <c r="F9426" s="59">
        <v>1.0</v>
      </c>
      <c r="G9426" s="60">
        <v>2.0</v>
      </c>
      <c r="H9426" s="60">
        <v>1.0</v>
      </c>
      <c r="I9426" s="60">
        <v>0.0</v>
      </c>
      <c r="J9426" s="59">
        <v>2.0</v>
      </c>
      <c r="K9426" s="61">
        <f t="shared" si="1"/>
        <v>0.5</v>
      </c>
      <c r="L9426" s="62">
        <f t="shared" si="2"/>
        <v>1</v>
      </c>
    </row>
    <row r="9427">
      <c r="A9427" s="58">
        <v>45261.0</v>
      </c>
      <c r="B9427" s="24" t="s">
        <v>6789</v>
      </c>
      <c r="C9427" s="24" t="s">
        <v>7558</v>
      </c>
      <c r="D9427" s="59">
        <v>1.0</v>
      </c>
      <c r="E9427" s="59">
        <v>2.0</v>
      </c>
      <c r="F9427" s="59">
        <v>1.0</v>
      </c>
      <c r="G9427" s="60">
        <v>2.0</v>
      </c>
      <c r="H9427" s="60">
        <v>0.0</v>
      </c>
      <c r="I9427" s="60">
        <v>87.683714</v>
      </c>
      <c r="J9427" s="59">
        <v>4.0</v>
      </c>
      <c r="K9427" s="61">
        <f t="shared" si="1"/>
        <v>0.5</v>
      </c>
      <c r="L9427" s="62">
        <f t="shared" si="2"/>
        <v>2</v>
      </c>
    </row>
    <row r="9428">
      <c r="A9428" s="58">
        <v>45261.0</v>
      </c>
      <c r="B9428" s="24" t="s">
        <v>6787</v>
      </c>
      <c r="C9428" s="24" t="s">
        <v>7578</v>
      </c>
      <c r="D9428" s="59">
        <v>1.0</v>
      </c>
      <c r="E9428" s="59">
        <v>1.0</v>
      </c>
      <c r="F9428" s="59">
        <v>0.0</v>
      </c>
      <c r="G9428" s="60">
        <v>1.0</v>
      </c>
      <c r="H9428" s="60">
        <v>0.0</v>
      </c>
      <c r="I9428" s="60">
        <v>4.801188</v>
      </c>
      <c r="J9428" s="59">
        <v>2.0</v>
      </c>
      <c r="K9428" s="61">
        <f t="shared" si="1"/>
        <v>0</v>
      </c>
      <c r="L9428" s="62">
        <f t="shared" si="2"/>
        <v>2</v>
      </c>
    </row>
    <row r="9429">
      <c r="A9429" s="58">
        <v>45261.0</v>
      </c>
      <c r="B9429" s="24" t="s">
        <v>6789</v>
      </c>
      <c r="C9429" s="24" t="s">
        <v>7566</v>
      </c>
      <c r="D9429" s="59">
        <v>1.0</v>
      </c>
      <c r="E9429" s="59">
        <v>1.0</v>
      </c>
      <c r="F9429" s="59">
        <v>1.0</v>
      </c>
      <c r="G9429" s="60">
        <v>1.0</v>
      </c>
      <c r="H9429" s="60">
        <v>0.0</v>
      </c>
      <c r="I9429" s="60">
        <v>4.91692</v>
      </c>
      <c r="J9429" s="59">
        <v>2.0</v>
      </c>
      <c r="K9429" s="61">
        <f t="shared" si="1"/>
        <v>1</v>
      </c>
      <c r="L9429" s="62">
        <f t="shared" si="2"/>
        <v>2</v>
      </c>
    </row>
    <row r="9430">
      <c r="A9430" s="58">
        <v>45261.0</v>
      </c>
      <c r="B9430" s="24" t="s">
        <v>6789</v>
      </c>
      <c r="C9430" s="24" t="s">
        <v>7553</v>
      </c>
      <c r="D9430" s="59">
        <v>1.0</v>
      </c>
      <c r="E9430" s="59">
        <v>1.0</v>
      </c>
      <c r="F9430" s="59">
        <v>1.0</v>
      </c>
      <c r="G9430" s="60">
        <v>1.0</v>
      </c>
      <c r="H9430" s="60">
        <v>0.0</v>
      </c>
      <c r="I9430" s="60">
        <v>4.768636</v>
      </c>
      <c r="J9430" s="59">
        <v>2.0</v>
      </c>
      <c r="K9430" s="61">
        <f t="shared" si="1"/>
        <v>1</v>
      </c>
      <c r="L9430" s="62">
        <f t="shared" si="2"/>
        <v>2</v>
      </c>
    </row>
    <row r="9431">
      <c r="A9431" s="58">
        <v>45261.0</v>
      </c>
      <c r="B9431" s="24" t="s">
        <v>6787</v>
      </c>
      <c r="C9431" s="24" t="s">
        <v>7562</v>
      </c>
      <c r="D9431" s="59">
        <v>1.0</v>
      </c>
      <c r="E9431" s="59">
        <v>1.0</v>
      </c>
      <c r="F9431" s="59">
        <v>1.0</v>
      </c>
      <c r="G9431" s="60">
        <v>1.0</v>
      </c>
      <c r="H9431" s="60">
        <v>0.0</v>
      </c>
      <c r="I9431" s="60">
        <v>22.187112</v>
      </c>
      <c r="J9431" s="59">
        <v>2.0</v>
      </c>
      <c r="K9431" s="61">
        <f t="shared" si="1"/>
        <v>1</v>
      </c>
      <c r="L9431" s="62">
        <f t="shared" si="2"/>
        <v>2</v>
      </c>
    </row>
    <row r="9432">
      <c r="A9432" s="58">
        <v>45261.0</v>
      </c>
      <c r="B9432" s="24" t="s">
        <v>6787</v>
      </c>
      <c r="C9432" s="24" t="s">
        <v>7530</v>
      </c>
      <c r="D9432" s="59">
        <v>1.0</v>
      </c>
      <c r="E9432" s="59">
        <v>1.0</v>
      </c>
      <c r="F9432" s="59">
        <v>1.0</v>
      </c>
      <c r="G9432" s="60">
        <v>1.0</v>
      </c>
      <c r="H9432" s="60">
        <v>0.0</v>
      </c>
      <c r="I9432" s="60">
        <v>207.81329</v>
      </c>
      <c r="J9432" s="59">
        <v>4.0</v>
      </c>
      <c r="K9432" s="61">
        <f t="shared" si="1"/>
        <v>1</v>
      </c>
      <c r="L9432" s="62">
        <f t="shared" si="2"/>
        <v>4</v>
      </c>
    </row>
    <row r="9433">
      <c r="A9433" s="58">
        <v>45261.0</v>
      </c>
      <c r="B9433" s="24" t="s">
        <v>6942</v>
      </c>
      <c r="C9433" s="24" t="s">
        <v>7530</v>
      </c>
      <c r="D9433" s="59">
        <v>1.0</v>
      </c>
      <c r="E9433" s="59">
        <v>1.0</v>
      </c>
      <c r="F9433" s="59">
        <v>1.0</v>
      </c>
      <c r="G9433" s="60">
        <v>1.0</v>
      </c>
      <c r="H9433" s="60">
        <v>1.0</v>
      </c>
      <c r="I9433" s="60">
        <v>0.0</v>
      </c>
      <c r="J9433" s="59">
        <v>1.0</v>
      </c>
      <c r="K9433" s="61">
        <f t="shared" si="1"/>
        <v>1</v>
      </c>
      <c r="L9433" s="62">
        <f t="shared" si="2"/>
        <v>1</v>
      </c>
    </row>
    <row r="9434">
      <c r="A9434" s="58">
        <v>45261.0</v>
      </c>
      <c r="B9434" s="24" t="s">
        <v>155</v>
      </c>
      <c r="C9434" s="24" t="s">
        <v>7530</v>
      </c>
      <c r="D9434" s="59">
        <v>1.0</v>
      </c>
      <c r="E9434" s="59">
        <v>2.0</v>
      </c>
      <c r="F9434" s="59">
        <v>0.0</v>
      </c>
      <c r="G9434" s="60">
        <v>2.0</v>
      </c>
      <c r="H9434" s="60">
        <v>0.0</v>
      </c>
      <c r="I9434" s="60">
        <v>4.960013</v>
      </c>
      <c r="J9434" s="59">
        <v>4.0</v>
      </c>
      <c r="K9434" s="61">
        <f t="shared" si="1"/>
        <v>0</v>
      </c>
      <c r="L9434" s="62">
        <f t="shared" si="2"/>
        <v>2</v>
      </c>
    </row>
    <row r="9435">
      <c r="A9435" s="58">
        <v>45261.0</v>
      </c>
      <c r="B9435" s="24" t="s">
        <v>6787</v>
      </c>
      <c r="C9435" s="24" t="s">
        <v>7206</v>
      </c>
      <c r="D9435" s="59">
        <v>1.0</v>
      </c>
      <c r="E9435" s="59">
        <v>1.0</v>
      </c>
      <c r="F9435" s="59">
        <v>1.0</v>
      </c>
      <c r="G9435" s="60">
        <v>1.0</v>
      </c>
      <c r="H9435" s="60">
        <v>0.0</v>
      </c>
      <c r="I9435" s="60">
        <v>305.105645</v>
      </c>
      <c r="J9435" s="59">
        <v>12.0</v>
      </c>
      <c r="K9435" s="61">
        <f t="shared" si="1"/>
        <v>1</v>
      </c>
      <c r="L9435" s="62">
        <f t="shared" si="2"/>
        <v>12</v>
      </c>
    </row>
    <row r="9436">
      <c r="A9436" s="58">
        <v>45261.0</v>
      </c>
      <c r="B9436" s="24" t="s">
        <v>6942</v>
      </c>
      <c r="C9436" s="24" t="s">
        <v>7206</v>
      </c>
      <c r="D9436" s="59">
        <v>1.0</v>
      </c>
      <c r="E9436" s="59">
        <v>1.0</v>
      </c>
      <c r="F9436" s="59">
        <v>1.0</v>
      </c>
      <c r="G9436" s="60">
        <v>1.0</v>
      </c>
      <c r="H9436" s="60">
        <v>0.0</v>
      </c>
      <c r="I9436" s="60">
        <v>6.389534</v>
      </c>
      <c r="J9436" s="59">
        <v>2.0</v>
      </c>
      <c r="K9436" s="61">
        <f t="shared" si="1"/>
        <v>1</v>
      </c>
      <c r="L9436" s="62">
        <f t="shared" si="2"/>
        <v>2</v>
      </c>
    </row>
    <row r="9437">
      <c r="A9437" s="58">
        <v>45261.0</v>
      </c>
      <c r="B9437" s="24" t="s">
        <v>6942</v>
      </c>
      <c r="C9437" s="24" t="s">
        <v>7261</v>
      </c>
      <c r="D9437" s="59">
        <v>1.0</v>
      </c>
      <c r="E9437" s="59">
        <v>1.0</v>
      </c>
      <c r="F9437" s="59">
        <v>1.0</v>
      </c>
      <c r="G9437" s="60">
        <v>1.0</v>
      </c>
      <c r="H9437" s="60">
        <v>1.0</v>
      </c>
      <c r="I9437" s="60">
        <v>0.0</v>
      </c>
      <c r="J9437" s="59">
        <v>1.0</v>
      </c>
      <c r="K9437" s="61">
        <f t="shared" si="1"/>
        <v>1</v>
      </c>
      <c r="L9437" s="62">
        <f t="shared" si="2"/>
        <v>1</v>
      </c>
    </row>
    <row r="9438">
      <c r="A9438" s="58">
        <v>45261.0</v>
      </c>
      <c r="B9438" s="24" t="s">
        <v>6794</v>
      </c>
      <c r="C9438" s="24" t="s">
        <v>6907</v>
      </c>
      <c r="D9438" s="59">
        <v>1.0</v>
      </c>
      <c r="E9438" s="59">
        <v>1.0</v>
      </c>
      <c r="F9438" s="59">
        <v>0.0</v>
      </c>
      <c r="G9438" s="60">
        <v>1.0</v>
      </c>
      <c r="H9438" s="60">
        <v>0.0</v>
      </c>
      <c r="I9438" s="60">
        <v>195.000144</v>
      </c>
      <c r="J9438" s="59">
        <v>4.0</v>
      </c>
      <c r="K9438" s="61">
        <f t="shared" si="1"/>
        <v>0</v>
      </c>
      <c r="L9438" s="62">
        <f t="shared" si="2"/>
        <v>4</v>
      </c>
    </row>
    <row r="9439">
      <c r="A9439" s="58">
        <v>45261.0</v>
      </c>
      <c r="B9439" s="24" t="s">
        <v>6789</v>
      </c>
      <c r="C9439" s="24" t="s">
        <v>7013</v>
      </c>
      <c r="D9439" s="59">
        <v>1.0</v>
      </c>
      <c r="E9439" s="59">
        <v>1.0</v>
      </c>
      <c r="F9439" s="59">
        <v>0.0</v>
      </c>
      <c r="G9439" s="60">
        <v>1.0</v>
      </c>
      <c r="H9439" s="60">
        <v>0.0</v>
      </c>
      <c r="I9439" s="60">
        <v>7.419174</v>
      </c>
      <c r="J9439" s="59">
        <v>2.0</v>
      </c>
      <c r="K9439" s="61">
        <f t="shared" si="1"/>
        <v>0</v>
      </c>
      <c r="L9439" s="62">
        <f t="shared" si="2"/>
        <v>2</v>
      </c>
    </row>
    <row r="9440">
      <c r="A9440" s="58">
        <v>45261.0</v>
      </c>
      <c r="B9440" s="24" t="s">
        <v>6790</v>
      </c>
      <c r="C9440" s="24" t="s">
        <v>7013</v>
      </c>
      <c r="D9440" s="59">
        <v>1.0</v>
      </c>
      <c r="E9440" s="59">
        <v>1.0</v>
      </c>
      <c r="F9440" s="59">
        <v>0.0</v>
      </c>
      <c r="G9440" s="60">
        <v>1.0</v>
      </c>
      <c r="H9440" s="60">
        <v>0.0</v>
      </c>
      <c r="I9440" s="60">
        <v>4.852424</v>
      </c>
      <c r="J9440" s="59">
        <v>2.0</v>
      </c>
      <c r="K9440" s="61">
        <f t="shared" si="1"/>
        <v>0</v>
      </c>
      <c r="L9440" s="62">
        <f t="shared" si="2"/>
        <v>2</v>
      </c>
    </row>
    <row r="9441">
      <c r="A9441" s="58">
        <v>45261.0</v>
      </c>
      <c r="B9441" s="24" t="s">
        <v>6794</v>
      </c>
      <c r="C9441" s="24" t="s">
        <v>6910</v>
      </c>
      <c r="D9441" s="59">
        <v>1.0</v>
      </c>
      <c r="E9441" s="59">
        <v>1.0</v>
      </c>
      <c r="F9441" s="59">
        <v>0.0</v>
      </c>
      <c r="G9441" s="60">
        <v>1.0</v>
      </c>
      <c r="H9441" s="60">
        <v>0.0</v>
      </c>
      <c r="I9441" s="60">
        <v>4.939398</v>
      </c>
      <c r="J9441" s="59">
        <v>2.0</v>
      </c>
      <c r="K9441" s="61">
        <f t="shared" si="1"/>
        <v>0</v>
      </c>
      <c r="L9441" s="62">
        <f t="shared" si="2"/>
        <v>2</v>
      </c>
    </row>
    <row r="9442">
      <c r="A9442" s="58">
        <v>45261.0</v>
      </c>
      <c r="B9442" s="24" t="s">
        <v>155</v>
      </c>
      <c r="C9442" s="24" t="s">
        <v>6801</v>
      </c>
      <c r="D9442" s="59">
        <v>1.0</v>
      </c>
      <c r="E9442" s="59">
        <v>1.0</v>
      </c>
      <c r="F9442" s="59">
        <v>0.0</v>
      </c>
      <c r="G9442" s="60">
        <v>1.0</v>
      </c>
      <c r="H9442" s="60">
        <v>0.0</v>
      </c>
      <c r="I9442" s="60">
        <v>5.217789</v>
      </c>
      <c r="J9442" s="59">
        <v>2.0</v>
      </c>
      <c r="K9442" s="61">
        <f t="shared" si="1"/>
        <v>0</v>
      </c>
      <c r="L9442" s="62">
        <f t="shared" si="2"/>
        <v>2</v>
      </c>
    </row>
    <row r="9443">
      <c r="A9443" s="58">
        <v>45261.0</v>
      </c>
      <c r="B9443" s="24" t="s">
        <v>6787</v>
      </c>
      <c r="C9443" s="24" t="s">
        <v>7023</v>
      </c>
      <c r="D9443" s="59">
        <v>1.0</v>
      </c>
      <c r="E9443" s="59">
        <v>1.0</v>
      </c>
      <c r="F9443" s="59">
        <v>1.0</v>
      </c>
      <c r="G9443" s="60">
        <v>1.0</v>
      </c>
      <c r="H9443" s="60">
        <v>1.0</v>
      </c>
      <c r="I9443" s="60">
        <v>0.0</v>
      </c>
      <c r="J9443" s="59">
        <v>1.0</v>
      </c>
      <c r="K9443" s="61">
        <f t="shared" si="1"/>
        <v>1</v>
      </c>
      <c r="L9443" s="62">
        <f t="shared" si="2"/>
        <v>1</v>
      </c>
    </row>
    <row r="9444">
      <c r="A9444" s="58">
        <v>45261.0</v>
      </c>
      <c r="B9444" s="24" t="s">
        <v>6789</v>
      </c>
      <c r="C9444" s="24" t="s">
        <v>7023</v>
      </c>
      <c r="D9444" s="59">
        <v>1.0</v>
      </c>
      <c r="E9444" s="59">
        <v>1.0</v>
      </c>
      <c r="F9444" s="59">
        <v>0.0</v>
      </c>
      <c r="G9444" s="60">
        <v>1.0</v>
      </c>
      <c r="H9444" s="60">
        <v>0.0</v>
      </c>
      <c r="I9444" s="60">
        <v>1.940015</v>
      </c>
      <c r="J9444" s="59">
        <v>2.0</v>
      </c>
      <c r="K9444" s="61">
        <f t="shared" si="1"/>
        <v>0</v>
      </c>
      <c r="L9444" s="62">
        <f t="shared" si="2"/>
        <v>2</v>
      </c>
    </row>
    <row r="9445">
      <c r="A9445" s="58">
        <v>45261.0</v>
      </c>
      <c r="B9445" s="24" t="s">
        <v>6787</v>
      </c>
      <c r="C9445" s="24" t="s">
        <v>7174</v>
      </c>
      <c r="D9445" s="59">
        <v>1.0</v>
      </c>
      <c r="E9445" s="59">
        <v>1.0</v>
      </c>
      <c r="F9445" s="59">
        <v>1.0</v>
      </c>
      <c r="G9445" s="60">
        <v>1.0</v>
      </c>
      <c r="H9445" s="60">
        <v>1.0</v>
      </c>
      <c r="I9445" s="60">
        <v>0.0</v>
      </c>
      <c r="J9445" s="59">
        <v>1.0</v>
      </c>
      <c r="K9445" s="61">
        <f t="shared" si="1"/>
        <v>1</v>
      </c>
      <c r="L9445" s="62">
        <f t="shared" si="2"/>
        <v>1</v>
      </c>
    </row>
    <row r="9446">
      <c r="A9446" s="58">
        <v>45261.0</v>
      </c>
      <c r="B9446" s="24" t="s">
        <v>6787</v>
      </c>
      <c r="C9446" s="24" t="s">
        <v>7180</v>
      </c>
      <c r="D9446" s="59">
        <v>1.0</v>
      </c>
      <c r="E9446" s="59">
        <v>1.0</v>
      </c>
      <c r="F9446" s="59">
        <v>1.0</v>
      </c>
      <c r="G9446" s="60">
        <v>1.0</v>
      </c>
      <c r="H9446" s="60">
        <v>1.0</v>
      </c>
      <c r="I9446" s="60">
        <v>0.0</v>
      </c>
      <c r="J9446" s="59">
        <v>1.0</v>
      </c>
      <c r="K9446" s="61">
        <f t="shared" si="1"/>
        <v>1</v>
      </c>
      <c r="L9446" s="62">
        <f t="shared" si="2"/>
        <v>1</v>
      </c>
    </row>
    <row r="9447">
      <c r="A9447" s="58">
        <v>45261.0</v>
      </c>
      <c r="B9447" s="24" t="s">
        <v>155</v>
      </c>
      <c r="C9447" s="24" t="s">
        <v>6815</v>
      </c>
      <c r="D9447" s="59">
        <v>1.0</v>
      </c>
      <c r="E9447" s="59">
        <v>1.0</v>
      </c>
      <c r="F9447" s="59">
        <v>0.0</v>
      </c>
      <c r="G9447" s="60">
        <v>1.0</v>
      </c>
      <c r="H9447" s="60">
        <v>0.0</v>
      </c>
      <c r="I9447" s="60">
        <v>6.734317</v>
      </c>
      <c r="J9447" s="59">
        <v>2.0</v>
      </c>
      <c r="K9447" s="61">
        <f t="shared" si="1"/>
        <v>0</v>
      </c>
      <c r="L9447" s="62">
        <f t="shared" si="2"/>
        <v>2</v>
      </c>
    </row>
    <row r="9448">
      <c r="A9448" s="58">
        <v>45261.0</v>
      </c>
      <c r="B9448" s="24" t="s">
        <v>6790</v>
      </c>
      <c r="C9448" s="24" t="s">
        <v>6815</v>
      </c>
      <c r="D9448" s="59">
        <v>1.0</v>
      </c>
      <c r="E9448" s="59">
        <v>1.0</v>
      </c>
      <c r="F9448" s="59">
        <v>1.0</v>
      </c>
      <c r="G9448" s="60">
        <v>1.0</v>
      </c>
      <c r="H9448" s="60">
        <v>0.0</v>
      </c>
      <c r="I9448" s="60">
        <v>5.948905</v>
      </c>
      <c r="J9448" s="59">
        <v>2.0</v>
      </c>
      <c r="K9448" s="61">
        <f t="shared" si="1"/>
        <v>1</v>
      </c>
      <c r="L9448" s="62">
        <f t="shared" si="2"/>
        <v>2</v>
      </c>
    </row>
    <row r="9449">
      <c r="A9449" s="58">
        <v>45261.0</v>
      </c>
      <c r="B9449" s="24" t="s">
        <v>6794</v>
      </c>
      <c r="C9449" s="24" t="s">
        <v>6922</v>
      </c>
      <c r="D9449" s="59">
        <v>1.0</v>
      </c>
      <c r="E9449" s="59">
        <v>2.0</v>
      </c>
      <c r="F9449" s="59">
        <v>0.0</v>
      </c>
      <c r="G9449" s="60">
        <v>2.0</v>
      </c>
      <c r="H9449" s="60">
        <v>0.0</v>
      </c>
      <c r="I9449" s="60">
        <v>26.7326895</v>
      </c>
      <c r="J9449" s="59">
        <v>6.0</v>
      </c>
      <c r="K9449" s="61">
        <f t="shared" si="1"/>
        <v>0</v>
      </c>
      <c r="L9449" s="62">
        <f t="shared" si="2"/>
        <v>3</v>
      </c>
    </row>
    <row r="9450">
      <c r="A9450" s="58">
        <v>45261.0</v>
      </c>
      <c r="B9450" s="24" t="s">
        <v>155</v>
      </c>
      <c r="C9450" s="24" t="s">
        <v>6810</v>
      </c>
      <c r="D9450" s="59">
        <v>1.0</v>
      </c>
      <c r="E9450" s="59">
        <v>4.0</v>
      </c>
      <c r="F9450" s="59">
        <v>1.0</v>
      </c>
      <c r="G9450" s="60">
        <v>4.0</v>
      </c>
      <c r="H9450" s="60">
        <v>0.0</v>
      </c>
      <c r="I9450" s="60">
        <v>363.34943125</v>
      </c>
      <c r="J9450" s="59">
        <v>10.0</v>
      </c>
      <c r="K9450" s="61">
        <f t="shared" si="1"/>
        <v>0.25</v>
      </c>
      <c r="L9450" s="62">
        <f t="shared" si="2"/>
        <v>2.5</v>
      </c>
    </row>
    <row r="9451">
      <c r="A9451" s="58">
        <v>45261.0</v>
      </c>
      <c r="B9451" s="24" t="s">
        <v>6789</v>
      </c>
      <c r="C9451" s="24" t="s">
        <v>6931</v>
      </c>
      <c r="D9451" s="59">
        <v>1.0</v>
      </c>
      <c r="E9451" s="59">
        <v>1.0</v>
      </c>
      <c r="F9451" s="59">
        <v>1.0</v>
      </c>
      <c r="G9451" s="60">
        <v>1.0</v>
      </c>
      <c r="H9451" s="60">
        <v>0.0</v>
      </c>
      <c r="I9451" s="60">
        <v>4.979836</v>
      </c>
      <c r="J9451" s="59">
        <v>2.0</v>
      </c>
      <c r="K9451" s="61">
        <f t="shared" si="1"/>
        <v>1</v>
      </c>
      <c r="L9451" s="62">
        <f t="shared" si="2"/>
        <v>2</v>
      </c>
    </row>
    <row r="9452">
      <c r="A9452" s="58">
        <v>45261.0</v>
      </c>
      <c r="B9452" s="24" t="s">
        <v>6789</v>
      </c>
      <c r="C9452" s="24" t="s">
        <v>6962</v>
      </c>
      <c r="D9452" s="59">
        <v>1.0</v>
      </c>
      <c r="E9452" s="59">
        <v>1.0</v>
      </c>
      <c r="F9452" s="59">
        <v>0.0</v>
      </c>
      <c r="G9452" s="60">
        <v>1.0</v>
      </c>
      <c r="H9452" s="60">
        <v>0.0</v>
      </c>
      <c r="I9452" s="60">
        <v>1637.759239</v>
      </c>
      <c r="J9452" s="59">
        <v>2.0</v>
      </c>
      <c r="K9452" s="61">
        <f t="shared" si="1"/>
        <v>0</v>
      </c>
      <c r="L9452" s="62">
        <f t="shared" si="2"/>
        <v>2</v>
      </c>
    </row>
    <row r="9453">
      <c r="A9453" s="58">
        <v>45231.0</v>
      </c>
      <c r="B9453" s="24" t="s">
        <v>6789</v>
      </c>
      <c r="C9453" s="24" t="s">
        <v>6788</v>
      </c>
      <c r="D9453" s="59">
        <v>574.0</v>
      </c>
      <c r="E9453" s="59">
        <v>808.0</v>
      </c>
      <c r="F9453" s="59">
        <v>462.0</v>
      </c>
      <c r="G9453" s="60">
        <v>1.40766550522648</v>
      </c>
      <c r="H9453" s="60">
        <v>0.00866336633663366</v>
      </c>
      <c r="I9453" s="60">
        <v>174.658136165841</v>
      </c>
      <c r="J9453" s="59">
        <v>2797.0</v>
      </c>
      <c r="K9453" s="61">
        <f t="shared" si="1"/>
        <v>0.5717821782</v>
      </c>
      <c r="L9453" s="62">
        <f t="shared" si="2"/>
        <v>3.461633663</v>
      </c>
    </row>
    <row r="9454">
      <c r="A9454" s="58">
        <v>45231.0</v>
      </c>
      <c r="B9454" s="24" t="s">
        <v>6787</v>
      </c>
      <c r="C9454" s="24" t="s">
        <v>6788</v>
      </c>
      <c r="D9454" s="59">
        <v>270.0</v>
      </c>
      <c r="E9454" s="59">
        <v>384.0</v>
      </c>
      <c r="F9454" s="59">
        <v>233.0</v>
      </c>
      <c r="G9454" s="60">
        <v>1.42222222222222</v>
      </c>
      <c r="H9454" s="60">
        <v>0.0546875</v>
      </c>
      <c r="I9454" s="60">
        <v>92.2717777473958</v>
      </c>
      <c r="J9454" s="59">
        <v>1065.0</v>
      </c>
      <c r="K9454" s="61">
        <f t="shared" si="1"/>
        <v>0.6067708333</v>
      </c>
      <c r="L9454" s="62">
        <f t="shared" si="2"/>
        <v>2.7734375</v>
      </c>
    </row>
    <row r="9455">
      <c r="A9455" s="58">
        <v>45231.0</v>
      </c>
      <c r="B9455" s="24" t="s">
        <v>6789</v>
      </c>
      <c r="C9455" s="24" t="s">
        <v>6792</v>
      </c>
      <c r="D9455" s="59">
        <v>130.0</v>
      </c>
      <c r="E9455" s="59">
        <v>147.0</v>
      </c>
      <c r="F9455" s="59">
        <v>0.0</v>
      </c>
      <c r="G9455" s="60">
        <v>1.51546391752577</v>
      </c>
      <c r="H9455" s="60">
        <v>0.979591836734693</v>
      </c>
      <c r="I9455" s="60">
        <v>9.370167</v>
      </c>
      <c r="J9455" s="59">
        <v>0.0</v>
      </c>
      <c r="K9455" s="61">
        <f t="shared" si="1"/>
        <v>0</v>
      </c>
      <c r="L9455" s="62">
        <f t="shared" si="2"/>
        <v>0</v>
      </c>
    </row>
    <row r="9456">
      <c r="A9456" s="58">
        <v>45231.0</v>
      </c>
      <c r="B9456" s="24" t="s">
        <v>155</v>
      </c>
      <c r="C9456" s="24" t="s">
        <v>6788</v>
      </c>
      <c r="D9456" s="59">
        <v>124.0</v>
      </c>
      <c r="E9456" s="59">
        <v>224.0</v>
      </c>
      <c r="F9456" s="59">
        <v>87.0</v>
      </c>
      <c r="G9456" s="60">
        <v>1.80645161290322</v>
      </c>
      <c r="H9456" s="60">
        <v>0.0</v>
      </c>
      <c r="I9456" s="60">
        <v>96.885744642857</v>
      </c>
      <c r="J9456" s="59">
        <v>658.0</v>
      </c>
      <c r="K9456" s="61">
        <f t="shared" si="1"/>
        <v>0.3883928571</v>
      </c>
      <c r="L9456" s="62">
        <f t="shared" si="2"/>
        <v>2.9375</v>
      </c>
    </row>
    <row r="9457">
      <c r="A9457" s="58">
        <v>45231.0</v>
      </c>
      <c r="B9457" s="24" t="s">
        <v>7100</v>
      </c>
      <c r="C9457" s="24" t="s">
        <v>7172</v>
      </c>
      <c r="D9457" s="59">
        <v>101.0</v>
      </c>
      <c r="E9457" s="59">
        <v>115.0</v>
      </c>
      <c r="F9457" s="59">
        <v>92.0</v>
      </c>
      <c r="G9457" s="60">
        <v>1.13861386138613</v>
      </c>
      <c r="H9457" s="60">
        <v>0.017391304347826</v>
      </c>
      <c r="I9457" s="60">
        <v>48.2393128608695</v>
      </c>
      <c r="J9457" s="59">
        <v>263.0</v>
      </c>
      <c r="K9457" s="61">
        <f t="shared" si="1"/>
        <v>0.8</v>
      </c>
      <c r="L9457" s="62">
        <f t="shared" si="2"/>
        <v>2.286956522</v>
      </c>
    </row>
    <row r="9458">
      <c r="A9458" s="58">
        <v>45231.0</v>
      </c>
      <c r="B9458" s="24" t="s">
        <v>7100</v>
      </c>
      <c r="C9458" s="24" t="s">
        <v>6788</v>
      </c>
      <c r="D9458" s="59">
        <v>94.0</v>
      </c>
      <c r="E9458" s="59">
        <v>115.0</v>
      </c>
      <c r="F9458" s="59">
        <v>87.0</v>
      </c>
      <c r="G9458" s="60">
        <v>1.22340425531914</v>
      </c>
      <c r="H9458" s="60">
        <v>0.0260869565217391</v>
      </c>
      <c r="I9458" s="60">
        <v>29.7585944695652</v>
      </c>
      <c r="J9458" s="59">
        <v>254.0</v>
      </c>
      <c r="K9458" s="61">
        <f t="shared" si="1"/>
        <v>0.7565217391</v>
      </c>
      <c r="L9458" s="62">
        <f t="shared" si="2"/>
        <v>2.208695652</v>
      </c>
    </row>
    <row r="9459">
      <c r="A9459" s="58">
        <v>45231.0</v>
      </c>
      <c r="B9459" s="24" t="s">
        <v>6794</v>
      </c>
      <c r="C9459" s="24" t="s">
        <v>6788</v>
      </c>
      <c r="D9459" s="59">
        <v>89.0</v>
      </c>
      <c r="E9459" s="59">
        <v>98.0</v>
      </c>
      <c r="F9459" s="59">
        <v>82.0</v>
      </c>
      <c r="G9459" s="60">
        <v>1.10112359550561</v>
      </c>
      <c r="H9459" s="60">
        <v>0.0</v>
      </c>
      <c r="I9459" s="60">
        <v>470.098844877551</v>
      </c>
      <c r="J9459" s="59">
        <v>304.0</v>
      </c>
      <c r="K9459" s="61">
        <f t="shared" si="1"/>
        <v>0.8367346939</v>
      </c>
      <c r="L9459" s="62">
        <f t="shared" si="2"/>
        <v>3.102040816</v>
      </c>
    </row>
    <row r="9460">
      <c r="A9460" s="58">
        <v>45231.0</v>
      </c>
      <c r="B9460" s="24" t="s">
        <v>6791</v>
      </c>
      <c r="C9460" s="24" t="s">
        <v>7530</v>
      </c>
      <c r="D9460" s="59">
        <v>54.0</v>
      </c>
      <c r="E9460" s="59">
        <v>60.0</v>
      </c>
      <c r="F9460" s="59">
        <v>50.0</v>
      </c>
      <c r="G9460" s="60">
        <v>1.11111111111111</v>
      </c>
      <c r="H9460" s="60">
        <v>0.0</v>
      </c>
      <c r="I9460" s="60">
        <v>210.634308566666</v>
      </c>
      <c r="J9460" s="59">
        <v>228.0</v>
      </c>
      <c r="K9460" s="61">
        <f t="shared" si="1"/>
        <v>0.8333333333</v>
      </c>
      <c r="L9460" s="62">
        <f t="shared" si="2"/>
        <v>3.8</v>
      </c>
    </row>
    <row r="9461">
      <c r="A9461" s="58">
        <v>45231.0</v>
      </c>
      <c r="B9461" s="24" t="s">
        <v>6787</v>
      </c>
      <c r="C9461" s="24" t="s">
        <v>6792</v>
      </c>
      <c r="D9461" s="59">
        <v>37.0</v>
      </c>
      <c r="E9461" s="59">
        <v>44.0</v>
      </c>
      <c r="F9461" s="59">
        <v>0.0</v>
      </c>
      <c r="G9461" s="60">
        <v>1.51724137931034</v>
      </c>
      <c r="H9461" s="60">
        <v>0.977272727272727</v>
      </c>
      <c r="I9461" s="60">
        <v>0.362086704545454</v>
      </c>
      <c r="J9461" s="59">
        <v>0.0</v>
      </c>
      <c r="K9461" s="61">
        <f t="shared" si="1"/>
        <v>0</v>
      </c>
      <c r="L9461" s="62">
        <f t="shared" si="2"/>
        <v>0</v>
      </c>
    </row>
    <row r="9462">
      <c r="A9462" s="58">
        <v>45231.0</v>
      </c>
      <c r="B9462" s="24" t="s">
        <v>6789</v>
      </c>
      <c r="C9462" s="24" t="s">
        <v>6799</v>
      </c>
      <c r="D9462" s="59">
        <v>26.0</v>
      </c>
      <c r="E9462" s="59">
        <v>28.0</v>
      </c>
      <c r="F9462" s="59">
        <v>16.0</v>
      </c>
      <c r="G9462" s="60">
        <v>1.07692307692307</v>
      </c>
      <c r="H9462" s="60">
        <v>0.0</v>
      </c>
      <c r="I9462" s="60">
        <v>157.26366525</v>
      </c>
      <c r="J9462" s="59">
        <v>85.0</v>
      </c>
      <c r="K9462" s="61">
        <f t="shared" si="1"/>
        <v>0.5714285714</v>
      </c>
      <c r="L9462" s="62">
        <f t="shared" si="2"/>
        <v>3.035714286</v>
      </c>
    </row>
    <row r="9463">
      <c r="A9463" s="58">
        <v>45231.0</v>
      </c>
      <c r="B9463" s="24" t="s">
        <v>6791</v>
      </c>
      <c r="C9463" s="24" t="s">
        <v>7207</v>
      </c>
      <c r="D9463" s="59">
        <v>25.0</v>
      </c>
      <c r="E9463" s="59">
        <v>28.0</v>
      </c>
      <c r="F9463" s="59">
        <v>22.0</v>
      </c>
      <c r="G9463" s="60">
        <v>1.12</v>
      </c>
      <c r="H9463" s="60">
        <v>0.0</v>
      </c>
      <c r="I9463" s="60">
        <v>159.416147857142</v>
      </c>
      <c r="J9463" s="59">
        <v>77.0</v>
      </c>
      <c r="K9463" s="61">
        <f t="shared" si="1"/>
        <v>0.7857142857</v>
      </c>
      <c r="L9463" s="62">
        <f t="shared" si="2"/>
        <v>2.75</v>
      </c>
    </row>
    <row r="9464">
      <c r="A9464" s="58">
        <v>45231.0</v>
      </c>
      <c r="B9464" s="24" t="s">
        <v>3216</v>
      </c>
      <c r="C9464" s="24" t="s">
        <v>6908</v>
      </c>
      <c r="D9464" s="59">
        <v>25.0</v>
      </c>
      <c r="E9464" s="59">
        <v>27.0</v>
      </c>
      <c r="F9464" s="59">
        <v>23.0</v>
      </c>
      <c r="G9464" s="60">
        <v>1.08</v>
      </c>
      <c r="H9464" s="60">
        <v>0.37037037037037</v>
      </c>
      <c r="I9464" s="60">
        <v>30.4655416666666</v>
      </c>
      <c r="J9464" s="59">
        <v>47.0</v>
      </c>
      <c r="K9464" s="61">
        <f t="shared" si="1"/>
        <v>0.8518518519</v>
      </c>
      <c r="L9464" s="62">
        <f t="shared" si="2"/>
        <v>1.740740741</v>
      </c>
    </row>
    <row r="9465">
      <c r="A9465" s="58">
        <v>45231.0</v>
      </c>
      <c r="B9465" s="24" t="s">
        <v>6789</v>
      </c>
      <c r="C9465" s="24" t="s">
        <v>7068</v>
      </c>
      <c r="D9465" s="59">
        <v>22.0</v>
      </c>
      <c r="E9465" s="59">
        <v>23.0</v>
      </c>
      <c r="F9465" s="59">
        <v>22.0</v>
      </c>
      <c r="G9465" s="60">
        <v>1.04545454545454</v>
      </c>
      <c r="H9465" s="60">
        <v>0.0434782608695652</v>
      </c>
      <c r="I9465" s="60">
        <v>104.499808217391</v>
      </c>
      <c r="J9465" s="59">
        <v>49.0</v>
      </c>
      <c r="K9465" s="61">
        <f t="shared" si="1"/>
        <v>0.9565217391</v>
      </c>
      <c r="L9465" s="62">
        <f t="shared" si="2"/>
        <v>2.130434783</v>
      </c>
    </row>
    <row r="9466">
      <c r="A9466" s="58">
        <v>45231.0</v>
      </c>
      <c r="B9466" s="24" t="s">
        <v>6789</v>
      </c>
      <c r="C9466" s="24" t="s">
        <v>6815</v>
      </c>
      <c r="D9466" s="59">
        <v>22.0</v>
      </c>
      <c r="E9466" s="59">
        <v>27.0</v>
      </c>
      <c r="F9466" s="59">
        <v>19.0</v>
      </c>
      <c r="G9466" s="60">
        <v>1.22727272727272</v>
      </c>
      <c r="H9466" s="60">
        <v>0.0</v>
      </c>
      <c r="I9466" s="60">
        <v>238.988978777777</v>
      </c>
      <c r="J9466" s="59">
        <v>94.0</v>
      </c>
      <c r="K9466" s="61">
        <f t="shared" si="1"/>
        <v>0.7037037037</v>
      </c>
      <c r="L9466" s="62">
        <f t="shared" si="2"/>
        <v>3.481481481</v>
      </c>
    </row>
    <row r="9467">
      <c r="A9467" s="58">
        <v>45231.0</v>
      </c>
      <c r="B9467" s="24" t="s">
        <v>6789</v>
      </c>
      <c r="C9467" s="24" t="s">
        <v>6803</v>
      </c>
      <c r="D9467" s="59">
        <v>20.0</v>
      </c>
      <c r="E9467" s="59">
        <v>26.0</v>
      </c>
      <c r="F9467" s="59">
        <v>16.0</v>
      </c>
      <c r="G9467" s="60">
        <v>1.3</v>
      </c>
      <c r="H9467" s="60">
        <v>0.0</v>
      </c>
      <c r="I9467" s="60">
        <v>183.323847384615</v>
      </c>
      <c r="J9467" s="59">
        <v>75.0</v>
      </c>
      <c r="K9467" s="61">
        <f t="shared" si="1"/>
        <v>0.6153846154</v>
      </c>
      <c r="L9467" s="62">
        <f t="shared" si="2"/>
        <v>2.884615385</v>
      </c>
    </row>
    <row r="9468">
      <c r="A9468" s="58">
        <v>45231.0</v>
      </c>
      <c r="B9468" s="24" t="s">
        <v>6791</v>
      </c>
      <c r="C9468" s="24" t="s">
        <v>7206</v>
      </c>
      <c r="D9468" s="59">
        <v>19.0</v>
      </c>
      <c r="E9468" s="59">
        <v>20.0</v>
      </c>
      <c r="F9468" s="59">
        <v>18.0</v>
      </c>
      <c r="G9468" s="60">
        <v>1.05263157894736</v>
      </c>
      <c r="H9468" s="60">
        <v>0.0</v>
      </c>
      <c r="I9468" s="60">
        <v>183.75227395</v>
      </c>
      <c r="J9468" s="59">
        <v>107.0</v>
      </c>
      <c r="K9468" s="61">
        <f t="shared" si="1"/>
        <v>0.9</v>
      </c>
      <c r="L9468" s="62">
        <f t="shared" si="2"/>
        <v>5.35</v>
      </c>
    </row>
    <row r="9469">
      <c r="A9469" s="58">
        <v>45231.0</v>
      </c>
      <c r="B9469" s="24" t="s">
        <v>6791</v>
      </c>
      <c r="C9469" s="24" t="s">
        <v>6792</v>
      </c>
      <c r="D9469" s="59">
        <v>17.0</v>
      </c>
      <c r="E9469" s="59">
        <v>19.0</v>
      </c>
      <c r="F9469" s="59">
        <v>0.0</v>
      </c>
      <c r="G9469" s="60">
        <v>1.46153846153846</v>
      </c>
      <c r="H9469" s="60">
        <v>0.947368421052631</v>
      </c>
      <c r="I9469" s="60">
        <v>12.1552623157894</v>
      </c>
      <c r="J9469" s="59">
        <v>0.0</v>
      </c>
      <c r="K9469" s="61">
        <f t="shared" si="1"/>
        <v>0</v>
      </c>
      <c r="L9469" s="62">
        <f t="shared" si="2"/>
        <v>0</v>
      </c>
    </row>
    <row r="9470">
      <c r="A9470" s="58">
        <v>45231.0</v>
      </c>
      <c r="B9470" s="24" t="s">
        <v>6787</v>
      </c>
      <c r="C9470" s="24" t="s">
        <v>6815</v>
      </c>
      <c r="D9470" s="59">
        <v>16.0</v>
      </c>
      <c r="E9470" s="59">
        <v>19.0</v>
      </c>
      <c r="F9470" s="59">
        <v>15.0</v>
      </c>
      <c r="G9470" s="60">
        <v>1.1875</v>
      </c>
      <c r="H9470" s="60">
        <v>0.0</v>
      </c>
      <c r="I9470" s="60">
        <v>63.4868958421052</v>
      </c>
      <c r="J9470" s="59">
        <v>55.0</v>
      </c>
      <c r="K9470" s="61">
        <f t="shared" si="1"/>
        <v>0.7894736842</v>
      </c>
      <c r="L9470" s="62">
        <f t="shared" si="2"/>
        <v>2.894736842</v>
      </c>
    </row>
    <row r="9471">
      <c r="A9471" s="58">
        <v>45231.0</v>
      </c>
      <c r="B9471" s="24" t="s">
        <v>6789</v>
      </c>
      <c r="C9471" s="24" t="s">
        <v>6997</v>
      </c>
      <c r="D9471" s="59">
        <v>15.0</v>
      </c>
      <c r="E9471" s="59">
        <v>15.0</v>
      </c>
      <c r="F9471" s="59">
        <v>15.0</v>
      </c>
      <c r="G9471" s="60">
        <v>1.0</v>
      </c>
      <c r="H9471" s="60">
        <v>0.0</v>
      </c>
      <c r="I9471" s="60">
        <v>80.2037654</v>
      </c>
      <c r="J9471" s="59">
        <v>41.0</v>
      </c>
      <c r="K9471" s="61">
        <f t="shared" si="1"/>
        <v>1</v>
      </c>
      <c r="L9471" s="62">
        <f t="shared" si="2"/>
        <v>2.733333333</v>
      </c>
    </row>
    <row r="9472">
      <c r="A9472" s="58">
        <v>45231.0</v>
      </c>
      <c r="B9472" s="24" t="s">
        <v>6789</v>
      </c>
      <c r="C9472" s="24" t="s">
        <v>6802</v>
      </c>
      <c r="D9472" s="59">
        <v>14.0</v>
      </c>
      <c r="E9472" s="59">
        <v>15.0</v>
      </c>
      <c r="F9472" s="59">
        <v>6.0</v>
      </c>
      <c r="G9472" s="60">
        <v>1.07142857142857</v>
      </c>
      <c r="H9472" s="60">
        <v>0.0</v>
      </c>
      <c r="I9472" s="60">
        <v>487.9888394</v>
      </c>
      <c r="J9472" s="59">
        <v>88.0</v>
      </c>
      <c r="K9472" s="61">
        <f t="shared" si="1"/>
        <v>0.4</v>
      </c>
      <c r="L9472" s="62">
        <f t="shared" si="2"/>
        <v>5.866666667</v>
      </c>
    </row>
    <row r="9473">
      <c r="A9473" s="58">
        <v>45231.0</v>
      </c>
      <c r="B9473" s="24" t="s">
        <v>6787</v>
      </c>
      <c r="C9473" s="24" t="s">
        <v>6799</v>
      </c>
      <c r="D9473" s="59">
        <v>13.0</v>
      </c>
      <c r="E9473" s="59">
        <v>14.0</v>
      </c>
      <c r="F9473" s="59">
        <v>11.0</v>
      </c>
      <c r="G9473" s="60">
        <v>1.16666666666666</v>
      </c>
      <c r="H9473" s="60">
        <v>0.285714285714285</v>
      </c>
      <c r="I9473" s="60">
        <v>8.50622621428571</v>
      </c>
      <c r="J9473" s="59">
        <v>27.0</v>
      </c>
      <c r="K9473" s="61">
        <f t="shared" si="1"/>
        <v>0.7857142857</v>
      </c>
      <c r="L9473" s="62">
        <f t="shared" si="2"/>
        <v>1.928571429</v>
      </c>
    </row>
    <row r="9474">
      <c r="A9474" s="58">
        <v>45231.0</v>
      </c>
      <c r="B9474" s="24" t="s">
        <v>6790</v>
      </c>
      <c r="C9474" s="24" t="s">
        <v>6788</v>
      </c>
      <c r="D9474" s="59">
        <v>12.0</v>
      </c>
      <c r="E9474" s="59">
        <v>17.0</v>
      </c>
      <c r="F9474" s="59">
        <v>10.0</v>
      </c>
      <c r="G9474" s="60">
        <v>1.41666666666666</v>
      </c>
      <c r="H9474" s="60">
        <v>0.0</v>
      </c>
      <c r="I9474" s="60">
        <v>180.027241882352</v>
      </c>
      <c r="J9474" s="59">
        <v>80.0</v>
      </c>
      <c r="K9474" s="61">
        <f t="shared" si="1"/>
        <v>0.5882352941</v>
      </c>
      <c r="L9474" s="62">
        <f t="shared" si="2"/>
        <v>4.705882353</v>
      </c>
    </row>
    <row r="9475">
      <c r="A9475" s="58">
        <v>45231.0</v>
      </c>
      <c r="B9475" s="24" t="s">
        <v>6789</v>
      </c>
      <c r="C9475" s="24" t="s">
        <v>6990</v>
      </c>
      <c r="D9475" s="59">
        <v>12.0</v>
      </c>
      <c r="E9475" s="59">
        <v>12.0</v>
      </c>
      <c r="F9475" s="59">
        <v>12.0</v>
      </c>
      <c r="G9475" s="60">
        <v>1.0</v>
      </c>
      <c r="H9475" s="60">
        <v>0.0</v>
      </c>
      <c r="I9475" s="60">
        <v>183.032006333333</v>
      </c>
      <c r="J9475" s="59">
        <v>27.0</v>
      </c>
      <c r="K9475" s="61">
        <f t="shared" si="1"/>
        <v>1</v>
      </c>
      <c r="L9475" s="62">
        <f t="shared" si="2"/>
        <v>2.25</v>
      </c>
    </row>
    <row r="9476">
      <c r="A9476" s="58">
        <v>45231.0</v>
      </c>
      <c r="B9476" s="24" t="s">
        <v>6789</v>
      </c>
      <c r="C9476" s="24" t="s">
        <v>6808</v>
      </c>
      <c r="D9476" s="59">
        <v>11.0</v>
      </c>
      <c r="E9476" s="59">
        <v>13.0</v>
      </c>
      <c r="F9476" s="59">
        <v>6.0</v>
      </c>
      <c r="G9476" s="60">
        <v>1.18181818181818</v>
      </c>
      <c r="H9476" s="60">
        <v>0.0</v>
      </c>
      <c r="I9476" s="60">
        <v>359.138745</v>
      </c>
      <c r="J9476" s="59">
        <v>36.0</v>
      </c>
      <c r="K9476" s="61">
        <f t="shared" si="1"/>
        <v>0.4615384615</v>
      </c>
      <c r="L9476" s="62">
        <f t="shared" si="2"/>
        <v>2.769230769</v>
      </c>
    </row>
    <row r="9477">
      <c r="A9477" s="58">
        <v>45231.0</v>
      </c>
      <c r="B9477" s="24" t="s">
        <v>6787</v>
      </c>
      <c r="C9477" s="24" t="s">
        <v>6800</v>
      </c>
      <c r="D9477" s="59">
        <v>11.0</v>
      </c>
      <c r="E9477" s="59">
        <v>12.0</v>
      </c>
      <c r="F9477" s="59">
        <v>11.0</v>
      </c>
      <c r="G9477" s="60">
        <v>1.09090909090909</v>
      </c>
      <c r="H9477" s="60">
        <v>0.333333333333333</v>
      </c>
      <c r="I9477" s="60">
        <v>5.07845141666666</v>
      </c>
      <c r="J9477" s="59">
        <v>24.0</v>
      </c>
      <c r="K9477" s="61">
        <f t="shared" si="1"/>
        <v>0.9166666667</v>
      </c>
      <c r="L9477" s="62">
        <f t="shared" si="2"/>
        <v>2</v>
      </c>
    </row>
    <row r="9478">
      <c r="A9478" s="58">
        <v>45231.0</v>
      </c>
      <c r="B9478" s="24" t="s">
        <v>7100</v>
      </c>
      <c r="C9478" s="24" t="s">
        <v>7174</v>
      </c>
      <c r="D9478" s="59">
        <v>11.0</v>
      </c>
      <c r="E9478" s="59">
        <v>11.0</v>
      </c>
      <c r="F9478" s="59">
        <v>11.0</v>
      </c>
      <c r="G9478" s="60">
        <v>1.0</v>
      </c>
      <c r="H9478" s="60">
        <v>0.0909090909090909</v>
      </c>
      <c r="I9478" s="60">
        <v>18.0738173636363</v>
      </c>
      <c r="J9478" s="59">
        <v>25.0</v>
      </c>
      <c r="K9478" s="61">
        <f t="shared" si="1"/>
        <v>1</v>
      </c>
      <c r="L9478" s="62">
        <f t="shared" si="2"/>
        <v>2.272727273</v>
      </c>
    </row>
    <row r="9479">
      <c r="A9479" s="58">
        <v>45231.0</v>
      </c>
      <c r="B9479" s="24" t="s">
        <v>6789</v>
      </c>
      <c r="C9479" s="24" t="s">
        <v>6922</v>
      </c>
      <c r="D9479" s="59">
        <v>11.0</v>
      </c>
      <c r="E9479" s="59">
        <v>11.0</v>
      </c>
      <c r="F9479" s="59">
        <v>7.0</v>
      </c>
      <c r="G9479" s="60">
        <v>1.1</v>
      </c>
      <c r="H9479" s="60">
        <v>0.727272727272727</v>
      </c>
      <c r="I9479" s="60">
        <v>4.15251836363636</v>
      </c>
      <c r="J9479" s="59">
        <v>16.0</v>
      </c>
      <c r="K9479" s="61">
        <f t="shared" si="1"/>
        <v>0.6363636364</v>
      </c>
      <c r="L9479" s="62">
        <f t="shared" si="2"/>
        <v>1.454545455</v>
      </c>
    </row>
    <row r="9480">
      <c r="A9480" s="58">
        <v>45231.0</v>
      </c>
      <c r="B9480" s="24" t="s">
        <v>6787</v>
      </c>
      <c r="C9480" s="24" t="s">
        <v>6802</v>
      </c>
      <c r="D9480" s="59">
        <v>11.0</v>
      </c>
      <c r="E9480" s="59">
        <v>11.0</v>
      </c>
      <c r="F9480" s="59">
        <v>7.0</v>
      </c>
      <c r="G9480" s="60">
        <v>1.0</v>
      </c>
      <c r="H9480" s="60">
        <v>0.0</v>
      </c>
      <c r="I9480" s="60">
        <v>329.837154181818</v>
      </c>
      <c r="J9480" s="59">
        <v>45.0</v>
      </c>
      <c r="K9480" s="61">
        <f t="shared" si="1"/>
        <v>0.6363636364</v>
      </c>
      <c r="L9480" s="62">
        <f t="shared" si="2"/>
        <v>4.090909091</v>
      </c>
    </row>
    <row r="9481">
      <c r="A9481" s="58">
        <v>45231.0</v>
      </c>
      <c r="B9481" s="24" t="s">
        <v>6794</v>
      </c>
      <c r="C9481" s="24" t="s">
        <v>6792</v>
      </c>
      <c r="D9481" s="59">
        <v>10.0</v>
      </c>
      <c r="E9481" s="59">
        <v>12.0</v>
      </c>
      <c r="F9481" s="59">
        <v>0.0</v>
      </c>
      <c r="G9481" s="60">
        <v>2.0</v>
      </c>
      <c r="H9481" s="60">
        <v>0.833333333333333</v>
      </c>
      <c r="I9481" s="60">
        <v>115.877304166666</v>
      </c>
      <c r="J9481" s="59">
        <v>0.0</v>
      </c>
      <c r="K9481" s="61">
        <f t="shared" si="1"/>
        <v>0</v>
      </c>
      <c r="L9481" s="62">
        <f t="shared" si="2"/>
        <v>0</v>
      </c>
    </row>
    <row r="9482">
      <c r="A9482" s="58">
        <v>45231.0</v>
      </c>
      <c r="B9482" s="24" t="s">
        <v>155</v>
      </c>
      <c r="C9482" s="24" t="s">
        <v>6792</v>
      </c>
      <c r="D9482" s="59">
        <v>10.0</v>
      </c>
      <c r="E9482" s="59">
        <v>14.0</v>
      </c>
      <c r="F9482" s="59">
        <v>0.0</v>
      </c>
      <c r="G9482" s="60">
        <v>2.0</v>
      </c>
      <c r="H9482" s="60">
        <v>1.0</v>
      </c>
      <c r="I9482" s="60">
        <v>0.0</v>
      </c>
      <c r="J9482" s="59">
        <v>0.0</v>
      </c>
      <c r="K9482" s="61">
        <f t="shared" si="1"/>
        <v>0</v>
      </c>
      <c r="L9482" s="62">
        <f t="shared" si="2"/>
        <v>0</v>
      </c>
    </row>
    <row r="9483">
      <c r="A9483" s="58">
        <v>45231.0</v>
      </c>
      <c r="B9483" s="24" t="s">
        <v>6789</v>
      </c>
      <c r="C9483" s="24" t="s">
        <v>6804</v>
      </c>
      <c r="D9483" s="59">
        <v>10.0</v>
      </c>
      <c r="E9483" s="59">
        <v>13.0</v>
      </c>
      <c r="F9483" s="59">
        <v>8.0</v>
      </c>
      <c r="G9483" s="60">
        <v>1.3</v>
      </c>
      <c r="H9483" s="60">
        <v>0.0</v>
      </c>
      <c r="I9483" s="60">
        <v>262.611125230769</v>
      </c>
      <c r="J9483" s="59">
        <v>55.0</v>
      </c>
      <c r="K9483" s="61">
        <f t="shared" si="1"/>
        <v>0.6153846154</v>
      </c>
      <c r="L9483" s="62">
        <f t="shared" si="2"/>
        <v>4.230769231</v>
      </c>
    </row>
    <row r="9484">
      <c r="A9484" s="58">
        <v>45231.0</v>
      </c>
      <c r="B9484" s="24" t="s">
        <v>6787</v>
      </c>
      <c r="C9484" s="24" t="s">
        <v>6808</v>
      </c>
      <c r="D9484" s="59">
        <v>10.0</v>
      </c>
      <c r="E9484" s="59">
        <v>10.0</v>
      </c>
      <c r="F9484" s="59">
        <v>8.0</v>
      </c>
      <c r="G9484" s="60">
        <v>1.0</v>
      </c>
      <c r="H9484" s="60">
        <v>0.0</v>
      </c>
      <c r="I9484" s="60">
        <v>53.7435033999999</v>
      </c>
      <c r="J9484" s="59">
        <v>32.0</v>
      </c>
      <c r="K9484" s="61">
        <f t="shared" si="1"/>
        <v>0.8</v>
      </c>
      <c r="L9484" s="62">
        <f t="shared" si="2"/>
        <v>3.2</v>
      </c>
    </row>
    <row r="9485">
      <c r="A9485" s="58">
        <v>45231.0</v>
      </c>
      <c r="B9485" s="24" t="s">
        <v>6789</v>
      </c>
      <c r="C9485" s="24" t="s">
        <v>6994</v>
      </c>
      <c r="D9485" s="59">
        <v>9.0</v>
      </c>
      <c r="E9485" s="59">
        <v>10.0</v>
      </c>
      <c r="F9485" s="59">
        <v>8.0</v>
      </c>
      <c r="G9485" s="60">
        <v>1.11111111111111</v>
      </c>
      <c r="H9485" s="60">
        <v>0.0</v>
      </c>
      <c r="I9485" s="60">
        <v>32.8578209</v>
      </c>
      <c r="J9485" s="59">
        <v>21.0</v>
      </c>
      <c r="K9485" s="61">
        <f t="shared" si="1"/>
        <v>0.8</v>
      </c>
      <c r="L9485" s="62">
        <f t="shared" si="2"/>
        <v>2.1</v>
      </c>
    </row>
    <row r="9486">
      <c r="A9486" s="58">
        <v>45231.0</v>
      </c>
      <c r="B9486" s="24" t="s">
        <v>6791</v>
      </c>
      <c r="C9486" s="24" t="s">
        <v>7261</v>
      </c>
      <c r="D9486" s="59">
        <v>9.0</v>
      </c>
      <c r="E9486" s="59">
        <v>9.0</v>
      </c>
      <c r="F9486" s="59">
        <v>9.0</v>
      </c>
      <c r="G9486" s="60">
        <v>1.0</v>
      </c>
      <c r="H9486" s="60">
        <v>0.0</v>
      </c>
      <c r="I9486" s="60">
        <v>310.309779444444</v>
      </c>
      <c r="J9486" s="59">
        <v>35.0</v>
      </c>
      <c r="K9486" s="61">
        <f t="shared" si="1"/>
        <v>1</v>
      </c>
      <c r="L9486" s="62">
        <f t="shared" si="2"/>
        <v>3.888888889</v>
      </c>
    </row>
    <row r="9487">
      <c r="A9487" s="58">
        <v>45231.0</v>
      </c>
      <c r="B9487" s="24" t="s">
        <v>6789</v>
      </c>
      <c r="C9487" s="24" t="s">
        <v>7313</v>
      </c>
      <c r="D9487" s="59">
        <v>8.0</v>
      </c>
      <c r="E9487" s="59">
        <v>8.0</v>
      </c>
      <c r="F9487" s="59">
        <v>4.0</v>
      </c>
      <c r="G9487" s="60">
        <v>1.0</v>
      </c>
      <c r="H9487" s="60">
        <v>0.25</v>
      </c>
      <c r="I9487" s="60">
        <v>383.495858625</v>
      </c>
      <c r="J9487" s="59">
        <v>46.0</v>
      </c>
      <c r="K9487" s="61">
        <f t="shared" si="1"/>
        <v>0.5</v>
      </c>
      <c r="L9487" s="62">
        <f t="shared" si="2"/>
        <v>5.75</v>
      </c>
    </row>
    <row r="9488">
      <c r="A9488" s="58">
        <v>45231.0</v>
      </c>
      <c r="B9488" s="24" t="s">
        <v>6789</v>
      </c>
      <c r="C9488" s="24" t="s">
        <v>6819</v>
      </c>
      <c r="D9488" s="59">
        <v>7.0</v>
      </c>
      <c r="E9488" s="59">
        <v>7.0</v>
      </c>
      <c r="F9488" s="59">
        <v>5.0</v>
      </c>
      <c r="G9488" s="60">
        <v>1.0</v>
      </c>
      <c r="H9488" s="60">
        <v>0.0</v>
      </c>
      <c r="I9488" s="60">
        <v>70.7835558571428</v>
      </c>
      <c r="J9488" s="59">
        <v>17.0</v>
      </c>
      <c r="K9488" s="61">
        <f t="shared" si="1"/>
        <v>0.7142857143</v>
      </c>
      <c r="L9488" s="62">
        <f t="shared" si="2"/>
        <v>2.428571429</v>
      </c>
    </row>
    <row r="9489">
      <c r="A9489" s="58">
        <v>45231.0</v>
      </c>
      <c r="B9489" s="24" t="s">
        <v>6791</v>
      </c>
      <c r="C9489" s="24" t="s">
        <v>7554</v>
      </c>
      <c r="D9489" s="59">
        <v>7.0</v>
      </c>
      <c r="E9489" s="59">
        <v>8.0</v>
      </c>
      <c r="F9489" s="59">
        <v>7.0</v>
      </c>
      <c r="G9489" s="60">
        <v>1.14285714285714</v>
      </c>
      <c r="H9489" s="60">
        <v>0.0</v>
      </c>
      <c r="I9489" s="60">
        <v>314.329512875</v>
      </c>
      <c r="J9489" s="59">
        <v>22.0</v>
      </c>
      <c r="K9489" s="61">
        <f t="shared" si="1"/>
        <v>0.875</v>
      </c>
      <c r="L9489" s="62">
        <f t="shared" si="2"/>
        <v>2.75</v>
      </c>
    </row>
    <row r="9490">
      <c r="A9490" s="58">
        <v>45231.0</v>
      </c>
      <c r="B9490" s="24" t="s">
        <v>6789</v>
      </c>
      <c r="C9490" s="24" t="s">
        <v>6800</v>
      </c>
      <c r="D9490" s="59">
        <v>7.0</v>
      </c>
      <c r="E9490" s="59">
        <v>7.0</v>
      </c>
      <c r="F9490" s="59">
        <v>4.0</v>
      </c>
      <c r="G9490" s="60">
        <v>1.0</v>
      </c>
      <c r="H9490" s="60">
        <v>0.0</v>
      </c>
      <c r="I9490" s="60">
        <v>438.011564571428</v>
      </c>
      <c r="J9490" s="59">
        <v>36.0</v>
      </c>
      <c r="K9490" s="61">
        <f t="shared" si="1"/>
        <v>0.5714285714</v>
      </c>
      <c r="L9490" s="62">
        <f t="shared" si="2"/>
        <v>5.142857143</v>
      </c>
    </row>
    <row r="9491">
      <c r="A9491" s="58">
        <v>45231.0</v>
      </c>
      <c r="B9491" s="24" t="s">
        <v>155</v>
      </c>
      <c r="C9491" s="24" t="s">
        <v>6800</v>
      </c>
      <c r="D9491" s="59">
        <v>7.0</v>
      </c>
      <c r="E9491" s="59">
        <v>7.0</v>
      </c>
      <c r="F9491" s="59">
        <v>6.0</v>
      </c>
      <c r="G9491" s="60">
        <v>1.0</v>
      </c>
      <c r="H9491" s="60">
        <v>0.0</v>
      </c>
      <c r="I9491" s="60">
        <v>42.335972</v>
      </c>
      <c r="J9491" s="59">
        <v>26.0</v>
      </c>
      <c r="K9491" s="61">
        <f t="shared" si="1"/>
        <v>0.8571428571</v>
      </c>
      <c r="L9491" s="62">
        <f t="shared" si="2"/>
        <v>3.714285714</v>
      </c>
    </row>
    <row r="9492">
      <c r="A9492" s="58">
        <v>45231.0</v>
      </c>
      <c r="B9492" s="24" t="s">
        <v>6787</v>
      </c>
      <c r="C9492" s="24" t="s">
        <v>7192</v>
      </c>
      <c r="D9492" s="59">
        <v>7.0</v>
      </c>
      <c r="E9492" s="59">
        <v>8.0</v>
      </c>
      <c r="F9492" s="59">
        <v>6.0</v>
      </c>
      <c r="G9492" s="60">
        <v>1.14285714285714</v>
      </c>
      <c r="H9492" s="60">
        <v>0.0</v>
      </c>
      <c r="I9492" s="60">
        <v>134.222305875</v>
      </c>
      <c r="J9492" s="59">
        <v>46.0</v>
      </c>
      <c r="K9492" s="61">
        <f t="shared" si="1"/>
        <v>0.75</v>
      </c>
      <c r="L9492" s="62">
        <f t="shared" si="2"/>
        <v>5.75</v>
      </c>
    </row>
    <row r="9493">
      <c r="A9493" s="58">
        <v>45231.0</v>
      </c>
      <c r="B9493" s="24" t="s">
        <v>6789</v>
      </c>
      <c r="C9493" s="24" t="s">
        <v>7180</v>
      </c>
      <c r="D9493" s="59">
        <v>7.0</v>
      </c>
      <c r="E9493" s="59">
        <v>7.0</v>
      </c>
      <c r="F9493" s="59">
        <v>6.0</v>
      </c>
      <c r="G9493" s="60">
        <v>1.0</v>
      </c>
      <c r="H9493" s="60">
        <v>0.0</v>
      </c>
      <c r="I9493" s="60">
        <v>222.029541571428</v>
      </c>
      <c r="J9493" s="59">
        <v>26.0</v>
      </c>
      <c r="K9493" s="61">
        <f t="shared" si="1"/>
        <v>0.8571428571</v>
      </c>
      <c r="L9493" s="62">
        <f t="shared" si="2"/>
        <v>3.714285714</v>
      </c>
    </row>
    <row r="9494">
      <c r="A9494" s="58">
        <v>45231.0</v>
      </c>
      <c r="B9494" s="24" t="s">
        <v>6787</v>
      </c>
      <c r="C9494" s="24" t="s">
        <v>6817</v>
      </c>
      <c r="D9494" s="59">
        <v>6.0</v>
      </c>
      <c r="E9494" s="59">
        <v>10.0</v>
      </c>
      <c r="F9494" s="59">
        <v>3.0</v>
      </c>
      <c r="G9494" s="60">
        <v>1.66666666666666</v>
      </c>
      <c r="H9494" s="60">
        <v>0.3</v>
      </c>
      <c r="I9494" s="60">
        <v>19.7701635</v>
      </c>
      <c r="J9494" s="59">
        <v>23.0</v>
      </c>
      <c r="K9494" s="61">
        <f t="shared" si="1"/>
        <v>0.3</v>
      </c>
      <c r="L9494" s="62">
        <f t="shared" si="2"/>
        <v>2.3</v>
      </c>
    </row>
    <row r="9495">
      <c r="A9495" s="58">
        <v>45231.0</v>
      </c>
      <c r="B9495" s="24" t="s">
        <v>6789</v>
      </c>
      <c r="C9495" s="24" t="s">
        <v>6835</v>
      </c>
      <c r="D9495" s="59">
        <v>6.0</v>
      </c>
      <c r="E9495" s="59">
        <v>6.0</v>
      </c>
      <c r="F9495" s="59">
        <v>5.0</v>
      </c>
      <c r="G9495" s="60">
        <v>1.0</v>
      </c>
      <c r="H9495" s="60">
        <v>0.166666666666666</v>
      </c>
      <c r="I9495" s="60">
        <v>79.2444315</v>
      </c>
      <c r="J9495" s="59">
        <v>15.0</v>
      </c>
      <c r="K9495" s="61">
        <f t="shared" si="1"/>
        <v>0.8333333333</v>
      </c>
      <c r="L9495" s="62">
        <f t="shared" si="2"/>
        <v>2.5</v>
      </c>
    </row>
    <row r="9496">
      <c r="A9496" s="58">
        <v>45231.0</v>
      </c>
      <c r="B9496" s="24" t="s">
        <v>6789</v>
      </c>
      <c r="C9496" s="24" t="s">
        <v>6892</v>
      </c>
      <c r="D9496" s="59">
        <v>6.0</v>
      </c>
      <c r="E9496" s="59">
        <v>7.0</v>
      </c>
      <c r="F9496" s="59">
        <v>5.0</v>
      </c>
      <c r="G9496" s="60">
        <v>1.16666666666666</v>
      </c>
      <c r="H9496" s="60">
        <v>0.0</v>
      </c>
      <c r="I9496" s="60">
        <v>183.969789857142</v>
      </c>
      <c r="J9496" s="59">
        <v>14.0</v>
      </c>
      <c r="K9496" s="61">
        <f t="shared" si="1"/>
        <v>0.7142857143</v>
      </c>
      <c r="L9496" s="62">
        <f t="shared" si="2"/>
        <v>2</v>
      </c>
    </row>
    <row r="9497">
      <c r="A9497" s="58">
        <v>45231.0</v>
      </c>
      <c r="B9497" s="24" t="s">
        <v>6942</v>
      </c>
      <c r="C9497" s="24" t="s">
        <v>7530</v>
      </c>
      <c r="D9497" s="59">
        <v>6.0</v>
      </c>
      <c r="E9497" s="59">
        <v>6.0</v>
      </c>
      <c r="F9497" s="59">
        <v>6.0</v>
      </c>
      <c r="G9497" s="60">
        <v>1.0</v>
      </c>
      <c r="H9497" s="60">
        <v>1.0</v>
      </c>
      <c r="I9497" s="60">
        <v>0.0</v>
      </c>
      <c r="J9497" s="59">
        <v>6.0</v>
      </c>
      <c r="K9497" s="61">
        <f t="shared" si="1"/>
        <v>1</v>
      </c>
      <c r="L9497" s="62">
        <f t="shared" si="2"/>
        <v>1</v>
      </c>
    </row>
    <row r="9498">
      <c r="A9498" s="58">
        <v>45231.0</v>
      </c>
      <c r="B9498" s="24" t="s">
        <v>6789</v>
      </c>
      <c r="C9498" s="24" t="s">
        <v>7104</v>
      </c>
      <c r="D9498" s="59">
        <v>6.0</v>
      </c>
      <c r="E9498" s="59">
        <v>6.0</v>
      </c>
      <c r="F9498" s="59">
        <v>5.0</v>
      </c>
      <c r="G9498" s="60">
        <v>1.0</v>
      </c>
      <c r="H9498" s="60">
        <v>0.0</v>
      </c>
      <c r="I9498" s="60">
        <v>593.320739</v>
      </c>
      <c r="J9498" s="59">
        <v>26.0</v>
      </c>
      <c r="K9498" s="61">
        <f t="shared" si="1"/>
        <v>0.8333333333</v>
      </c>
      <c r="L9498" s="62">
        <f t="shared" si="2"/>
        <v>4.333333333</v>
      </c>
    </row>
    <row r="9499">
      <c r="A9499" s="58">
        <v>45231.0</v>
      </c>
      <c r="B9499" s="24" t="s">
        <v>6794</v>
      </c>
      <c r="C9499" s="24" t="s">
        <v>6797</v>
      </c>
      <c r="D9499" s="59">
        <v>6.0</v>
      </c>
      <c r="E9499" s="59">
        <v>6.0</v>
      </c>
      <c r="F9499" s="59">
        <v>6.0</v>
      </c>
      <c r="G9499" s="60">
        <v>1.0</v>
      </c>
      <c r="H9499" s="60">
        <v>0.0</v>
      </c>
      <c r="I9499" s="60">
        <v>5.20014783333333</v>
      </c>
      <c r="J9499" s="59">
        <v>12.0</v>
      </c>
      <c r="K9499" s="61">
        <f t="shared" si="1"/>
        <v>1</v>
      </c>
      <c r="L9499" s="62">
        <f t="shared" si="2"/>
        <v>2</v>
      </c>
    </row>
    <row r="9500">
      <c r="A9500" s="58">
        <v>45231.0</v>
      </c>
      <c r="B9500" s="24" t="s">
        <v>6787</v>
      </c>
      <c r="C9500" s="24" t="s">
        <v>6810</v>
      </c>
      <c r="D9500" s="59">
        <v>6.0</v>
      </c>
      <c r="E9500" s="59">
        <v>6.0</v>
      </c>
      <c r="F9500" s="59">
        <v>6.0</v>
      </c>
      <c r="G9500" s="60">
        <v>1.0</v>
      </c>
      <c r="H9500" s="60">
        <v>0.5</v>
      </c>
      <c r="I9500" s="60">
        <v>350.657364999999</v>
      </c>
      <c r="J9500" s="59">
        <v>11.0</v>
      </c>
      <c r="K9500" s="61">
        <f t="shared" si="1"/>
        <v>1</v>
      </c>
      <c r="L9500" s="62">
        <f t="shared" si="2"/>
        <v>1.833333333</v>
      </c>
    </row>
    <row r="9501">
      <c r="A9501" s="58">
        <v>45231.0</v>
      </c>
      <c r="B9501" s="24" t="s">
        <v>6789</v>
      </c>
      <c r="C9501" s="24" t="s">
        <v>7058</v>
      </c>
      <c r="D9501" s="59">
        <v>5.0</v>
      </c>
      <c r="E9501" s="59">
        <v>5.0</v>
      </c>
      <c r="F9501" s="59">
        <v>5.0</v>
      </c>
      <c r="G9501" s="60">
        <v>1.0</v>
      </c>
      <c r="H9501" s="60">
        <v>0.0</v>
      </c>
      <c r="I9501" s="60">
        <v>75.6100818</v>
      </c>
      <c r="J9501" s="59">
        <v>12.0</v>
      </c>
      <c r="K9501" s="61">
        <f t="shared" si="1"/>
        <v>1</v>
      </c>
      <c r="L9501" s="62">
        <f t="shared" si="2"/>
        <v>2.4</v>
      </c>
    </row>
    <row r="9502">
      <c r="A9502" s="58">
        <v>45231.0</v>
      </c>
      <c r="B9502" s="24" t="s">
        <v>6789</v>
      </c>
      <c r="C9502" s="24" t="s">
        <v>6861</v>
      </c>
      <c r="D9502" s="59">
        <v>5.0</v>
      </c>
      <c r="E9502" s="59">
        <v>5.0</v>
      </c>
      <c r="F9502" s="59">
        <v>5.0</v>
      </c>
      <c r="G9502" s="60">
        <v>1.0</v>
      </c>
      <c r="H9502" s="60">
        <v>0.0</v>
      </c>
      <c r="I9502" s="60">
        <v>353.704213</v>
      </c>
      <c r="J9502" s="59">
        <v>13.0</v>
      </c>
      <c r="K9502" s="61">
        <f t="shared" si="1"/>
        <v>1</v>
      </c>
      <c r="L9502" s="62">
        <f t="shared" si="2"/>
        <v>2.6</v>
      </c>
    </row>
    <row r="9503">
      <c r="A9503" s="58">
        <v>45231.0</v>
      </c>
      <c r="B9503" s="24" t="s">
        <v>6787</v>
      </c>
      <c r="C9503" s="24" t="s">
        <v>7065</v>
      </c>
      <c r="D9503" s="59">
        <v>5.0</v>
      </c>
      <c r="E9503" s="59">
        <v>5.0</v>
      </c>
      <c r="F9503" s="59">
        <v>5.0</v>
      </c>
      <c r="G9503" s="60">
        <v>1.0</v>
      </c>
      <c r="H9503" s="60">
        <v>0.6</v>
      </c>
      <c r="I9503" s="60">
        <v>1.3146978</v>
      </c>
      <c r="J9503" s="59">
        <v>8.0</v>
      </c>
      <c r="K9503" s="61">
        <f t="shared" si="1"/>
        <v>1</v>
      </c>
      <c r="L9503" s="62">
        <f t="shared" si="2"/>
        <v>1.6</v>
      </c>
    </row>
    <row r="9504">
      <c r="A9504" s="58">
        <v>45231.0</v>
      </c>
      <c r="B9504" s="24" t="s">
        <v>7100</v>
      </c>
      <c r="C9504" s="24" t="s">
        <v>6892</v>
      </c>
      <c r="D9504" s="59">
        <v>5.0</v>
      </c>
      <c r="E9504" s="59">
        <v>5.0</v>
      </c>
      <c r="F9504" s="59">
        <v>5.0</v>
      </c>
      <c r="G9504" s="60">
        <v>1.0</v>
      </c>
      <c r="H9504" s="60">
        <v>0.4</v>
      </c>
      <c r="I9504" s="60">
        <v>3.23277159999999</v>
      </c>
      <c r="J9504" s="59">
        <v>8.0</v>
      </c>
      <c r="K9504" s="61">
        <f t="shared" si="1"/>
        <v>1</v>
      </c>
      <c r="L9504" s="62">
        <f t="shared" si="2"/>
        <v>1.6</v>
      </c>
    </row>
    <row r="9505">
      <c r="A9505" s="58">
        <v>45231.0</v>
      </c>
      <c r="B9505" s="24" t="s">
        <v>6787</v>
      </c>
      <c r="C9505" s="24" t="s">
        <v>7530</v>
      </c>
      <c r="D9505" s="59">
        <v>5.0</v>
      </c>
      <c r="E9505" s="59">
        <v>5.0</v>
      </c>
      <c r="F9505" s="59">
        <v>3.0</v>
      </c>
      <c r="G9505" s="60">
        <v>1.0</v>
      </c>
      <c r="H9505" s="60">
        <v>0.0</v>
      </c>
      <c r="I9505" s="60">
        <v>80.753477</v>
      </c>
      <c r="J9505" s="59">
        <v>14.0</v>
      </c>
      <c r="K9505" s="61">
        <f t="shared" si="1"/>
        <v>0.6</v>
      </c>
      <c r="L9505" s="62">
        <f t="shared" si="2"/>
        <v>2.8</v>
      </c>
    </row>
    <row r="9506">
      <c r="A9506" s="58">
        <v>45231.0</v>
      </c>
      <c r="B9506" s="24" t="s">
        <v>6787</v>
      </c>
      <c r="C9506" s="24" t="s">
        <v>7313</v>
      </c>
      <c r="D9506" s="59">
        <v>5.0</v>
      </c>
      <c r="E9506" s="59">
        <v>5.0</v>
      </c>
      <c r="F9506" s="59">
        <v>1.0</v>
      </c>
      <c r="G9506" s="60">
        <v>1.0</v>
      </c>
      <c r="H9506" s="60">
        <v>0.2</v>
      </c>
      <c r="I9506" s="60">
        <v>89.7763442</v>
      </c>
      <c r="J9506" s="59">
        <v>13.0</v>
      </c>
      <c r="K9506" s="61">
        <f t="shared" si="1"/>
        <v>0.2</v>
      </c>
      <c r="L9506" s="62">
        <f t="shared" si="2"/>
        <v>2.6</v>
      </c>
    </row>
    <row r="9507">
      <c r="A9507" s="58">
        <v>45231.0</v>
      </c>
      <c r="B9507" s="24" t="s">
        <v>6794</v>
      </c>
      <c r="C9507" s="24" t="s">
        <v>6815</v>
      </c>
      <c r="D9507" s="59">
        <v>5.0</v>
      </c>
      <c r="E9507" s="59">
        <v>9.0</v>
      </c>
      <c r="F9507" s="59">
        <v>3.0</v>
      </c>
      <c r="G9507" s="60">
        <v>1.8</v>
      </c>
      <c r="H9507" s="60">
        <v>0.0</v>
      </c>
      <c r="I9507" s="60">
        <v>128.433519777777</v>
      </c>
      <c r="J9507" s="59">
        <v>36.0</v>
      </c>
      <c r="K9507" s="61">
        <f t="shared" si="1"/>
        <v>0.3333333333</v>
      </c>
      <c r="L9507" s="62">
        <f t="shared" si="2"/>
        <v>4</v>
      </c>
    </row>
    <row r="9508">
      <c r="A9508" s="58">
        <v>45231.0</v>
      </c>
      <c r="B9508" s="24" t="s">
        <v>6942</v>
      </c>
      <c r="C9508" s="24" t="s">
        <v>6922</v>
      </c>
      <c r="D9508" s="59">
        <v>5.0</v>
      </c>
      <c r="E9508" s="59">
        <v>5.0</v>
      </c>
      <c r="F9508" s="59">
        <v>5.0</v>
      </c>
      <c r="G9508" s="60">
        <v>1.0</v>
      </c>
      <c r="H9508" s="60">
        <v>1.0</v>
      </c>
      <c r="I9508" s="60">
        <v>0.0</v>
      </c>
      <c r="J9508" s="59">
        <v>5.0</v>
      </c>
      <c r="K9508" s="61">
        <f t="shared" si="1"/>
        <v>1</v>
      </c>
      <c r="L9508" s="62">
        <f t="shared" si="2"/>
        <v>1</v>
      </c>
    </row>
    <row r="9509">
      <c r="A9509" s="58">
        <v>45231.0</v>
      </c>
      <c r="B9509" s="24" t="s">
        <v>6787</v>
      </c>
      <c r="C9509" s="24" t="s">
        <v>6797</v>
      </c>
      <c r="D9509" s="59">
        <v>5.0</v>
      </c>
      <c r="E9509" s="59">
        <v>5.0</v>
      </c>
      <c r="F9509" s="59">
        <v>5.0</v>
      </c>
      <c r="G9509" s="60">
        <v>1.0</v>
      </c>
      <c r="H9509" s="60">
        <v>0.0</v>
      </c>
      <c r="I9509" s="60">
        <v>106.685559399999</v>
      </c>
      <c r="J9509" s="59">
        <v>20.0</v>
      </c>
      <c r="K9509" s="61">
        <f t="shared" si="1"/>
        <v>1</v>
      </c>
      <c r="L9509" s="62">
        <f t="shared" si="2"/>
        <v>4</v>
      </c>
    </row>
    <row r="9510">
      <c r="A9510" s="58">
        <v>45231.0</v>
      </c>
      <c r="B9510" s="24" t="s">
        <v>6789</v>
      </c>
      <c r="C9510" s="24" t="s">
        <v>6810</v>
      </c>
      <c r="D9510" s="59">
        <v>5.0</v>
      </c>
      <c r="E9510" s="59">
        <v>7.0</v>
      </c>
      <c r="F9510" s="59">
        <v>2.0</v>
      </c>
      <c r="G9510" s="60">
        <v>1.4</v>
      </c>
      <c r="H9510" s="60">
        <v>0.0</v>
      </c>
      <c r="I9510" s="60">
        <v>689.292141142857</v>
      </c>
      <c r="J9510" s="59">
        <v>24.0</v>
      </c>
      <c r="K9510" s="61">
        <f t="shared" si="1"/>
        <v>0.2857142857</v>
      </c>
      <c r="L9510" s="62">
        <f t="shared" si="2"/>
        <v>3.428571429</v>
      </c>
    </row>
    <row r="9511">
      <c r="A9511" s="58">
        <v>45231.0</v>
      </c>
      <c r="B9511" s="24" t="s">
        <v>6791</v>
      </c>
      <c r="C9511" s="24" t="s">
        <v>6802</v>
      </c>
      <c r="D9511" s="59">
        <v>5.0</v>
      </c>
      <c r="E9511" s="59">
        <v>6.0</v>
      </c>
      <c r="F9511" s="59">
        <v>3.0</v>
      </c>
      <c r="G9511" s="60">
        <v>1.2</v>
      </c>
      <c r="H9511" s="60">
        <v>0.0</v>
      </c>
      <c r="I9511" s="60">
        <v>386.236499333333</v>
      </c>
      <c r="J9511" s="59">
        <v>32.0</v>
      </c>
      <c r="K9511" s="61">
        <f t="shared" si="1"/>
        <v>0.5</v>
      </c>
      <c r="L9511" s="62">
        <f t="shared" si="2"/>
        <v>5.333333333</v>
      </c>
    </row>
    <row r="9512">
      <c r="A9512" s="58">
        <v>45231.0</v>
      </c>
      <c r="B9512" s="24" t="s">
        <v>3216</v>
      </c>
      <c r="C9512" s="24" t="s">
        <v>6792</v>
      </c>
      <c r="D9512" s="59">
        <v>4.0</v>
      </c>
      <c r="E9512" s="59">
        <v>5.0</v>
      </c>
      <c r="F9512" s="59">
        <v>0.0</v>
      </c>
      <c r="G9512" s="60">
        <v>1.25</v>
      </c>
      <c r="H9512" s="60">
        <v>1.0</v>
      </c>
      <c r="I9512" s="60">
        <v>0.0</v>
      </c>
      <c r="J9512" s="59">
        <v>0.0</v>
      </c>
      <c r="K9512" s="61">
        <f t="shared" si="1"/>
        <v>0</v>
      </c>
      <c r="L9512" s="62">
        <f t="shared" si="2"/>
        <v>0</v>
      </c>
    </row>
    <row r="9513">
      <c r="A9513" s="58">
        <v>45231.0</v>
      </c>
      <c r="B9513" s="24" t="s">
        <v>6789</v>
      </c>
      <c r="C9513" s="24" t="s">
        <v>6953</v>
      </c>
      <c r="D9513" s="59">
        <v>4.0</v>
      </c>
      <c r="E9513" s="59">
        <v>4.0</v>
      </c>
      <c r="F9513" s="59">
        <v>4.0</v>
      </c>
      <c r="G9513" s="60">
        <v>1.0</v>
      </c>
      <c r="H9513" s="60">
        <v>0.0</v>
      </c>
      <c r="I9513" s="60">
        <v>68.25607025</v>
      </c>
      <c r="J9513" s="59">
        <v>8.0</v>
      </c>
      <c r="K9513" s="61">
        <f t="shared" si="1"/>
        <v>1</v>
      </c>
      <c r="L9513" s="62">
        <f t="shared" si="2"/>
        <v>2</v>
      </c>
    </row>
    <row r="9514">
      <c r="A9514" s="58">
        <v>45231.0</v>
      </c>
      <c r="B9514" s="24" t="s">
        <v>6787</v>
      </c>
      <c r="C9514" s="24" t="s">
        <v>6985</v>
      </c>
      <c r="D9514" s="59">
        <v>4.0</v>
      </c>
      <c r="E9514" s="59">
        <v>4.0</v>
      </c>
      <c r="F9514" s="59">
        <v>4.0</v>
      </c>
      <c r="G9514" s="60">
        <v>1.0</v>
      </c>
      <c r="H9514" s="60">
        <v>0.75</v>
      </c>
      <c r="I9514" s="60">
        <v>1.2320645</v>
      </c>
      <c r="J9514" s="59">
        <v>5.0</v>
      </c>
      <c r="K9514" s="61">
        <f t="shared" si="1"/>
        <v>1</v>
      </c>
      <c r="L9514" s="62">
        <f t="shared" si="2"/>
        <v>1.25</v>
      </c>
    </row>
    <row r="9515">
      <c r="A9515" s="58">
        <v>45231.0</v>
      </c>
      <c r="B9515" s="24" t="s">
        <v>6787</v>
      </c>
      <c r="C9515" s="24" t="s">
        <v>7438</v>
      </c>
      <c r="D9515" s="59">
        <v>4.0</v>
      </c>
      <c r="E9515" s="59">
        <v>6.0</v>
      </c>
      <c r="F9515" s="59">
        <v>3.0</v>
      </c>
      <c r="G9515" s="60">
        <v>1.5</v>
      </c>
      <c r="H9515" s="60">
        <v>0.0</v>
      </c>
      <c r="I9515" s="60">
        <v>107.789493666666</v>
      </c>
      <c r="J9515" s="59">
        <v>14.0</v>
      </c>
      <c r="K9515" s="61">
        <f t="shared" si="1"/>
        <v>0.5</v>
      </c>
      <c r="L9515" s="62">
        <f t="shared" si="2"/>
        <v>2.333333333</v>
      </c>
    </row>
    <row r="9516">
      <c r="A9516" s="58">
        <v>45231.0</v>
      </c>
      <c r="B9516" s="24" t="s">
        <v>6789</v>
      </c>
      <c r="C9516" s="24" t="s">
        <v>7034</v>
      </c>
      <c r="D9516" s="59">
        <v>4.0</v>
      </c>
      <c r="E9516" s="59">
        <v>5.0</v>
      </c>
      <c r="F9516" s="59">
        <v>2.0</v>
      </c>
      <c r="G9516" s="60">
        <v>1.25</v>
      </c>
      <c r="H9516" s="60">
        <v>0.0</v>
      </c>
      <c r="I9516" s="60">
        <v>30.9864324</v>
      </c>
      <c r="J9516" s="59">
        <v>10.0</v>
      </c>
      <c r="K9516" s="61">
        <f t="shared" si="1"/>
        <v>0.4</v>
      </c>
      <c r="L9516" s="62">
        <f t="shared" si="2"/>
        <v>2</v>
      </c>
    </row>
    <row r="9517">
      <c r="A9517" s="58">
        <v>45231.0</v>
      </c>
      <c r="B9517" s="24" t="s">
        <v>6787</v>
      </c>
      <c r="C9517" s="24" t="s">
        <v>7573</v>
      </c>
      <c r="D9517" s="59">
        <v>4.0</v>
      </c>
      <c r="E9517" s="59">
        <v>4.0</v>
      </c>
      <c r="F9517" s="59">
        <v>4.0</v>
      </c>
      <c r="G9517" s="60">
        <v>1.0</v>
      </c>
      <c r="H9517" s="60">
        <v>0.0</v>
      </c>
      <c r="I9517" s="60">
        <v>1.40575875</v>
      </c>
      <c r="J9517" s="59">
        <v>8.0</v>
      </c>
      <c r="K9517" s="61">
        <f t="shared" si="1"/>
        <v>1</v>
      </c>
      <c r="L9517" s="62">
        <f t="shared" si="2"/>
        <v>2</v>
      </c>
    </row>
    <row r="9518">
      <c r="A9518" s="58">
        <v>45231.0</v>
      </c>
      <c r="B9518" s="24" t="s">
        <v>3216</v>
      </c>
      <c r="C9518" s="24" t="s">
        <v>7595</v>
      </c>
      <c r="D9518" s="59">
        <v>4.0</v>
      </c>
      <c r="E9518" s="59">
        <v>4.0</v>
      </c>
      <c r="F9518" s="59">
        <v>3.0</v>
      </c>
      <c r="G9518" s="60">
        <v>1.0</v>
      </c>
      <c r="H9518" s="60">
        <v>0.0</v>
      </c>
      <c r="I9518" s="60">
        <v>95.73852975</v>
      </c>
      <c r="J9518" s="59">
        <v>10.0</v>
      </c>
      <c r="K9518" s="61">
        <f t="shared" si="1"/>
        <v>0.75</v>
      </c>
      <c r="L9518" s="62">
        <f t="shared" si="2"/>
        <v>2.5</v>
      </c>
    </row>
    <row r="9519">
      <c r="A9519" s="58">
        <v>45231.0</v>
      </c>
      <c r="B9519" s="24" t="s">
        <v>6789</v>
      </c>
      <c r="C9519" s="24" t="s">
        <v>7530</v>
      </c>
      <c r="D9519" s="59">
        <v>4.0</v>
      </c>
      <c r="E9519" s="59">
        <v>6.0</v>
      </c>
      <c r="F9519" s="59">
        <v>3.0</v>
      </c>
      <c r="G9519" s="60">
        <v>1.5</v>
      </c>
      <c r="H9519" s="60">
        <v>0.333333333333333</v>
      </c>
      <c r="I9519" s="60">
        <v>223.050725666666</v>
      </c>
      <c r="J9519" s="59">
        <v>10.0</v>
      </c>
      <c r="K9519" s="61">
        <f t="shared" si="1"/>
        <v>0.5</v>
      </c>
      <c r="L9519" s="62">
        <f t="shared" si="2"/>
        <v>1.666666667</v>
      </c>
    </row>
    <row r="9520">
      <c r="A9520" s="58">
        <v>45231.0</v>
      </c>
      <c r="B9520" s="24" t="s">
        <v>6787</v>
      </c>
      <c r="C9520" s="24" t="s">
        <v>7172</v>
      </c>
      <c r="D9520" s="59">
        <v>4.0</v>
      </c>
      <c r="E9520" s="59">
        <v>4.0</v>
      </c>
      <c r="F9520" s="59">
        <v>3.0</v>
      </c>
      <c r="G9520" s="60">
        <v>1.0</v>
      </c>
      <c r="H9520" s="60">
        <v>0.0</v>
      </c>
      <c r="I9520" s="60">
        <v>18.1642755</v>
      </c>
      <c r="J9520" s="59">
        <v>7.0</v>
      </c>
      <c r="K9520" s="61">
        <f t="shared" si="1"/>
        <v>0.75</v>
      </c>
      <c r="L9520" s="62">
        <f t="shared" si="2"/>
        <v>1.75</v>
      </c>
    </row>
    <row r="9521">
      <c r="A9521" s="58">
        <v>45231.0</v>
      </c>
      <c r="B9521" s="24" t="s">
        <v>7100</v>
      </c>
      <c r="C9521" s="24" t="s">
        <v>7102</v>
      </c>
      <c r="D9521" s="59">
        <v>4.0</v>
      </c>
      <c r="E9521" s="59">
        <v>4.0</v>
      </c>
      <c r="F9521" s="59">
        <v>4.0</v>
      </c>
      <c r="G9521" s="60">
        <v>1.0</v>
      </c>
      <c r="H9521" s="60">
        <v>0.0</v>
      </c>
      <c r="I9521" s="60">
        <v>4.99131425</v>
      </c>
      <c r="J9521" s="59">
        <v>8.0</v>
      </c>
      <c r="K9521" s="61">
        <f t="shared" si="1"/>
        <v>1</v>
      </c>
      <c r="L9521" s="62">
        <f t="shared" si="2"/>
        <v>2</v>
      </c>
    </row>
    <row r="9522">
      <c r="A9522" s="58">
        <v>45231.0</v>
      </c>
      <c r="B9522" s="24" t="s">
        <v>155</v>
      </c>
      <c r="C9522" s="24" t="s">
        <v>6815</v>
      </c>
      <c r="D9522" s="59">
        <v>4.0</v>
      </c>
      <c r="E9522" s="59">
        <v>5.0</v>
      </c>
      <c r="F9522" s="59">
        <v>4.0</v>
      </c>
      <c r="G9522" s="60">
        <v>1.25</v>
      </c>
      <c r="H9522" s="60">
        <v>0.0</v>
      </c>
      <c r="I9522" s="60">
        <v>10.6191104</v>
      </c>
      <c r="J9522" s="59">
        <v>10.0</v>
      </c>
      <c r="K9522" s="61">
        <f t="shared" si="1"/>
        <v>0.8</v>
      </c>
      <c r="L9522" s="62">
        <f t="shared" si="2"/>
        <v>2</v>
      </c>
    </row>
    <row r="9523">
      <c r="A9523" s="58">
        <v>45231.0</v>
      </c>
      <c r="B9523" s="24" t="s">
        <v>6787</v>
      </c>
      <c r="C9523" s="24" t="s">
        <v>6931</v>
      </c>
      <c r="D9523" s="59">
        <v>4.0</v>
      </c>
      <c r="E9523" s="59">
        <v>4.0</v>
      </c>
      <c r="F9523" s="59">
        <v>4.0</v>
      </c>
      <c r="G9523" s="60">
        <v>1.0</v>
      </c>
      <c r="H9523" s="60">
        <v>0.75</v>
      </c>
      <c r="I9523" s="60">
        <v>1.075709</v>
      </c>
      <c r="J9523" s="59">
        <v>5.0</v>
      </c>
      <c r="K9523" s="61">
        <f t="shared" si="1"/>
        <v>1</v>
      </c>
      <c r="L9523" s="62">
        <f t="shared" si="2"/>
        <v>1.25</v>
      </c>
    </row>
    <row r="9524">
      <c r="A9524" s="58">
        <v>45231.0</v>
      </c>
      <c r="B9524" s="24" t="s">
        <v>6790</v>
      </c>
      <c r="C9524" s="24" t="s">
        <v>6792</v>
      </c>
      <c r="D9524" s="59">
        <v>3.0</v>
      </c>
      <c r="E9524" s="59">
        <v>4.0</v>
      </c>
      <c r="F9524" s="59">
        <v>0.0</v>
      </c>
      <c r="G9524" s="60">
        <v>2.0</v>
      </c>
      <c r="H9524" s="60">
        <v>1.0</v>
      </c>
      <c r="I9524" s="60">
        <v>0.0</v>
      </c>
      <c r="J9524" s="59">
        <v>0.0</v>
      </c>
      <c r="K9524" s="61">
        <f t="shared" si="1"/>
        <v>0</v>
      </c>
      <c r="L9524" s="62">
        <f t="shared" si="2"/>
        <v>0</v>
      </c>
    </row>
    <row r="9525">
      <c r="A9525" s="58">
        <v>45231.0</v>
      </c>
      <c r="B9525" s="24" t="s">
        <v>3216</v>
      </c>
      <c r="C9525" s="24" t="s">
        <v>6788</v>
      </c>
      <c r="D9525" s="59">
        <v>3.0</v>
      </c>
      <c r="E9525" s="59">
        <v>7.0</v>
      </c>
      <c r="F9525" s="59">
        <v>0.0</v>
      </c>
      <c r="G9525" s="60">
        <v>2.33333333333333</v>
      </c>
      <c r="H9525" s="60">
        <v>0.0</v>
      </c>
      <c r="I9525" s="60">
        <v>98.2932242857142</v>
      </c>
      <c r="J9525" s="59">
        <v>22.0</v>
      </c>
      <c r="K9525" s="61">
        <f t="shared" si="1"/>
        <v>0</v>
      </c>
      <c r="L9525" s="62">
        <f t="shared" si="2"/>
        <v>3.142857143</v>
      </c>
    </row>
    <row r="9526">
      <c r="A9526" s="58">
        <v>45231.0</v>
      </c>
      <c r="B9526" s="24" t="s">
        <v>6789</v>
      </c>
      <c r="C9526" s="24" t="s">
        <v>7056</v>
      </c>
      <c r="D9526" s="59">
        <v>3.0</v>
      </c>
      <c r="E9526" s="59">
        <v>3.0</v>
      </c>
      <c r="F9526" s="59">
        <v>0.0</v>
      </c>
      <c r="G9526" s="60">
        <v>1.0</v>
      </c>
      <c r="H9526" s="60">
        <v>0.0</v>
      </c>
      <c r="I9526" s="60">
        <v>155.207812</v>
      </c>
      <c r="J9526" s="59">
        <v>16.0</v>
      </c>
      <c r="K9526" s="61">
        <f t="shared" si="1"/>
        <v>0</v>
      </c>
      <c r="L9526" s="62">
        <f t="shared" si="2"/>
        <v>5.333333333</v>
      </c>
    </row>
    <row r="9527">
      <c r="A9527" s="58">
        <v>45231.0</v>
      </c>
      <c r="B9527" s="24" t="s">
        <v>6787</v>
      </c>
      <c r="C9527" s="24" t="s">
        <v>6867</v>
      </c>
      <c r="D9527" s="59">
        <v>3.0</v>
      </c>
      <c r="E9527" s="59">
        <v>3.0</v>
      </c>
      <c r="F9527" s="59">
        <v>3.0</v>
      </c>
      <c r="G9527" s="60">
        <v>1.0</v>
      </c>
      <c r="H9527" s="60">
        <v>1.0</v>
      </c>
      <c r="I9527" s="60">
        <v>0.0</v>
      </c>
      <c r="J9527" s="59">
        <v>3.0</v>
      </c>
      <c r="K9527" s="61">
        <f t="shared" si="1"/>
        <v>1</v>
      </c>
      <c r="L9527" s="62">
        <f t="shared" si="2"/>
        <v>1</v>
      </c>
    </row>
    <row r="9528">
      <c r="A9528" s="58">
        <v>45231.0</v>
      </c>
      <c r="B9528" s="24" t="s">
        <v>7100</v>
      </c>
      <c r="C9528" s="24" t="s">
        <v>6989</v>
      </c>
      <c r="D9528" s="59">
        <v>3.0</v>
      </c>
      <c r="E9528" s="59">
        <v>3.0</v>
      </c>
      <c r="F9528" s="59">
        <v>3.0</v>
      </c>
      <c r="G9528" s="60">
        <v>1.0</v>
      </c>
      <c r="H9528" s="60">
        <v>0.666666666666666</v>
      </c>
      <c r="I9528" s="60">
        <v>1.74757866666666</v>
      </c>
      <c r="J9528" s="59">
        <v>4.0</v>
      </c>
      <c r="K9528" s="61">
        <f t="shared" si="1"/>
        <v>1</v>
      </c>
      <c r="L9528" s="62">
        <f t="shared" si="2"/>
        <v>1.333333333</v>
      </c>
    </row>
    <row r="9529">
      <c r="A9529" s="58">
        <v>45231.0</v>
      </c>
      <c r="B9529" s="24" t="s">
        <v>6787</v>
      </c>
      <c r="C9529" s="24" t="s">
        <v>6990</v>
      </c>
      <c r="D9529" s="59">
        <v>3.0</v>
      </c>
      <c r="E9529" s="59">
        <v>3.0</v>
      </c>
      <c r="F9529" s="59">
        <v>3.0</v>
      </c>
      <c r="G9529" s="60">
        <v>1.0</v>
      </c>
      <c r="H9529" s="60">
        <v>1.0</v>
      </c>
      <c r="I9529" s="60">
        <v>0.0</v>
      </c>
      <c r="J9529" s="59">
        <v>3.0</v>
      </c>
      <c r="K9529" s="61">
        <f t="shared" si="1"/>
        <v>1</v>
      </c>
      <c r="L9529" s="62">
        <f t="shared" si="2"/>
        <v>1</v>
      </c>
    </row>
    <row r="9530">
      <c r="A9530" s="58">
        <v>45231.0</v>
      </c>
      <c r="B9530" s="24" t="s">
        <v>6787</v>
      </c>
      <c r="C9530" s="24" t="s">
        <v>7068</v>
      </c>
      <c r="D9530" s="59">
        <v>3.0</v>
      </c>
      <c r="E9530" s="59">
        <v>3.0</v>
      </c>
      <c r="F9530" s="59">
        <v>3.0</v>
      </c>
      <c r="G9530" s="60">
        <v>1.0</v>
      </c>
      <c r="H9530" s="60">
        <v>0.0</v>
      </c>
      <c r="I9530" s="60">
        <v>109.140141666666</v>
      </c>
      <c r="J9530" s="59">
        <v>9.0</v>
      </c>
      <c r="K9530" s="61">
        <f t="shared" si="1"/>
        <v>1</v>
      </c>
      <c r="L9530" s="62">
        <f t="shared" si="2"/>
        <v>3</v>
      </c>
    </row>
    <row r="9531">
      <c r="A9531" s="58">
        <v>45231.0</v>
      </c>
      <c r="B9531" s="24" t="s">
        <v>6787</v>
      </c>
      <c r="C9531" s="24" t="s">
        <v>6997</v>
      </c>
      <c r="D9531" s="59">
        <v>3.0</v>
      </c>
      <c r="E9531" s="59">
        <v>3.0</v>
      </c>
      <c r="F9531" s="59">
        <v>3.0</v>
      </c>
      <c r="G9531" s="60">
        <v>1.0</v>
      </c>
      <c r="H9531" s="60">
        <v>0.0</v>
      </c>
      <c r="I9531" s="60">
        <v>28.9863576666666</v>
      </c>
      <c r="J9531" s="59">
        <v>7.0</v>
      </c>
      <c r="K9531" s="61">
        <f t="shared" si="1"/>
        <v>1</v>
      </c>
      <c r="L9531" s="62">
        <f t="shared" si="2"/>
        <v>2.333333333</v>
      </c>
    </row>
    <row r="9532">
      <c r="A9532" s="58">
        <v>45231.0</v>
      </c>
      <c r="B9532" s="24" t="s">
        <v>6789</v>
      </c>
      <c r="C9532" s="24" t="s">
        <v>6896</v>
      </c>
      <c r="D9532" s="59">
        <v>3.0</v>
      </c>
      <c r="E9532" s="59">
        <v>5.0</v>
      </c>
      <c r="F9532" s="59">
        <v>2.0</v>
      </c>
      <c r="G9532" s="60">
        <v>1.66666666666666</v>
      </c>
      <c r="H9532" s="60">
        <v>0.0</v>
      </c>
      <c r="I9532" s="60">
        <v>495.9448204</v>
      </c>
      <c r="J9532" s="59">
        <v>14.0</v>
      </c>
      <c r="K9532" s="61">
        <f t="shared" si="1"/>
        <v>0.4</v>
      </c>
      <c r="L9532" s="62">
        <f t="shared" si="2"/>
        <v>2.8</v>
      </c>
    </row>
    <row r="9533">
      <c r="A9533" s="58">
        <v>45231.0</v>
      </c>
      <c r="B9533" s="24" t="s">
        <v>6789</v>
      </c>
      <c r="C9533" s="24" t="s">
        <v>7258</v>
      </c>
      <c r="D9533" s="59">
        <v>3.0</v>
      </c>
      <c r="E9533" s="59">
        <v>4.0</v>
      </c>
      <c r="F9533" s="59">
        <v>3.0</v>
      </c>
      <c r="G9533" s="60">
        <v>1.33333333333333</v>
      </c>
      <c r="H9533" s="60">
        <v>0.0</v>
      </c>
      <c r="I9533" s="60">
        <v>253.76149225</v>
      </c>
      <c r="J9533" s="59">
        <v>8.0</v>
      </c>
      <c r="K9533" s="61">
        <f t="shared" si="1"/>
        <v>0.75</v>
      </c>
      <c r="L9533" s="62">
        <f t="shared" si="2"/>
        <v>2</v>
      </c>
    </row>
    <row r="9534">
      <c r="A9534" s="58">
        <v>45231.0</v>
      </c>
      <c r="B9534" s="24" t="s">
        <v>6790</v>
      </c>
      <c r="C9534" s="24" t="s">
        <v>7227</v>
      </c>
      <c r="D9534" s="59">
        <v>3.0</v>
      </c>
      <c r="E9534" s="59">
        <v>3.0</v>
      </c>
      <c r="F9534" s="59">
        <v>3.0</v>
      </c>
      <c r="G9534" s="60">
        <v>1.0</v>
      </c>
      <c r="H9534" s="60">
        <v>0.0</v>
      </c>
      <c r="I9534" s="60">
        <v>5.675006</v>
      </c>
      <c r="J9534" s="59">
        <v>6.0</v>
      </c>
      <c r="K9534" s="61">
        <f t="shared" si="1"/>
        <v>1</v>
      </c>
      <c r="L9534" s="62">
        <f t="shared" si="2"/>
        <v>2</v>
      </c>
    </row>
    <row r="9535">
      <c r="A9535" s="58">
        <v>45231.0</v>
      </c>
      <c r="B9535" s="24" t="s">
        <v>6789</v>
      </c>
      <c r="C9535" s="24" t="s">
        <v>7101</v>
      </c>
      <c r="D9535" s="59">
        <v>3.0</v>
      </c>
      <c r="E9535" s="59">
        <v>4.0</v>
      </c>
      <c r="F9535" s="59">
        <v>0.0</v>
      </c>
      <c r="G9535" s="60">
        <v>1.33333333333333</v>
      </c>
      <c r="H9535" s="60">
        <v>0.0</v>
      </c>
      <c r="I9535" s="60">
        <v>85.9703615</v>
      </c>
      <c r="J9535" s="59">
        <v>12.0</v>
      </c>
      <c r="K9535" s="61">
        <f t="shared" si="1"/>
        <v>0</v>
      </c>
      <c r="L9535" s="62">
        <f t="shared" si="2"/>
        <v>3</v>
      </c>
    </row>
    <row r="9536">
      <c r="A9536" s="58">
        <v>45231.0</v>
      </c>
      <c r="B9536" s="24" t="s">
        <v>6789</v>
      </c>
      <c r="C9536" s="24" t="s">
        <v>6908</v>
      </c>
      <c r="D9536" s="59">
        <v>3.0</v>
      </c>
      <c r="E9536" s="59">
        <v>8.0</v>
      </c>
      <c r="F9536" s="59">
        <v>0.0</v>
      </c>
      <c r="G9536" s="60">
        <v>2.66666666666666</v>
      </c>
      <c r="H9536" s="60">
        <v>0.0</v>
      </c>
      <c r="I9536" s="60">
        <v>10.9454204999999</v>
      </c>
      <c r="J9536" s="59">
        <v>18.0</v>
      </c>
      <c r="K9536" s="61">
        <f t="shared" si="1"/>
        <v>0</v>
      </c>
      <c r="L9536" s="62">
        <f t="shared" si="2"/>
        <v>2.25</v>
      </c>
    </row>
    <row r="9537">
      <c r="A9537" s="58">
        <v>45231.0</v>
      </c>
      <c r="B9537" s="24" t="s">
        <v>6787</v>
      </c>
      <c r="C9537" s="24" t="s">
        <v>6910</v>
      </c>
      <c r="D9537" s="59">
        <v>3.0</v>
      </c>
      <c r="E9537" s="59">
        <v>3.0</v>
      </c>
      <c r="F9537" s="59">
        <v>3.0</v>
      </c>
      <c r="G9537" s="60">
        <v>1.0</v>
      </c>
      <c r="H9537" s="60">
        <v>0.333333333333333</v>
      </c>
      <c r="I9537" s="60">
        <v>103.000364666666</v>
      </c>
      <c r="J9537" s="59">
        <v>16.0</v>
      </c>
      <c r="K9537" s="61">
        <f t="shared" si="1"/>
        <v>1</v>
      </c>
      <c r="L9537" s="62">
        <f t="shared" si="2"/>
        <v>5.333333333</v>
      </c>
    </row>
    <row r="9538">
      <c r="A9538" s="58">
        <v>45231.0</v>
      </c>
      <c r="B9538" s="24" t="s">
        <v>6789</v>
      </c>
      <c r="C9538" s="24" t="s">
        <v>6910</v>
      </c>
      <c r="D9538" s="59">
        <v>3.0</v>
      </c>
      <c r="E9538" s="59">
        <v>4.0</v>
      </c>
      <c r="F9538" s="59">
        <v>3.0</v>
      </c>
      <c r="G9538" s="60">
        <v>1.33333333333333</v>
      </c>
      <c r="H9538" s="60">
        <v>0.0</v>
      </c>
      <c r="I9538" s="60">
        <v>528.746499</v>
      </c>
      <c r="J9538" s="59">
        <v>19.0</v>
      </c>
      <c r="K9538" s="61">
        <f t="shared" si="1"/>
        <v>0.75</v>
      </c>
      <c r="L9538" s="62">
        <f t="shared" si="2"/>
        <v>4.75</v>
      </c>
    </row>
    <row r="9539">
      <c r="A9539" s="58">
        <v>45231.0</v>
      </c>
      <c r="B9539" s="24" t="s">
        <v>6787</v>
      </c>
      <c r="C9539" s="24" t="s">
        <v>7027</v>
      </c>
      <c r="D9539" s="59">
        <v>3.0</v>
      </c>
      <c r="E9539" s="59">
        <v>3.0</v>
      </c>
      <c r="F9539" s="59">
        <v>3.0</v>
      </c>
      <c r="G9539" s="60">
        <v>1.0</v>
      </c>
      <c r="H9539" s="60">
        <v>0.0</v>
      </c>
      <c r="I9539" s="60">
        <v>3.63039166666666</v>
      </c>
      <c r="J9539" s="59">
        <v>6.0</v>
      </c>
      <c r="K9539" s="61">
        <f t="shared" si="1"/>
        <v>1</v>
      </c>
      <c r="L9539" s="62">
        <f t="shared" si="2"/>
        <v>2</v>
      </c>
    </row>
    <row r="9540">
      <c r="A9540" s="58">
        <v>45231.0</v>
      </c>
      <c r="B9540" s="24" t="s">
        <v>6790</v>
      </c>
      <c r="C9540" s="24" t="s">
        <v>6815</v>
      </c>
      <c r="D9540" s="59">
        <v>3.0</v>
      </c>
      <c r="E9540" s="59">
        <v>4.0</v>
      </c>
      <c r="F9540" s="59">
        <v>3.0</v>
      </c>
      <c r="G9540" s="60">
        <v>1.33333333333333</v>
      </c>
      <c r="H9540" s="60">
        <v>0.0</v>
      </c>
      <c r="I9540" s="60">
        <v>6.10828975</v>
      </c>
      <c r="J9540" s="59">
        <v>9.0</v>
      </c>
      <c r="K9540" s="61">
        <f t="shared" si="1"/>
        <v>0.75</v>
      </c>
      <c r="L9540" s="62">
        <f t="shared" si="2"/>
        <v>2.25</v>
      </c>
    </row>
    <row r="9541">
      <c r="A9541" s="58">
        <v>45231.0</v>
      </c>
      <c r="B9541" s="24" t="s">
        <v>6794</v>
      </c>
      <c r="C9541" s="24" t="s">
        <v>6921</v>
      </c>
      <c r="D9541" s="59">
        <v>3.0</v>
      </c>
      <c r="E9541" s="59">
        <v>3.0</v>
      </c>
      <c r="F9541" s="59">
        <v>3.0</v>
      </c>
      <c r="G9541" s="60">
        <v>1.0</v>
      </c>
      <c r="H9541" s="60">
        <v>0.0</v>
      </c>
      <c r="I9541" s="60">
        <v>5.30242566666666</v>
      </c>
      <c r="J9541" s="59">
        <v>6.0</v>
      </c>
      <c r="K9541" s="61">
        <f t="shared" si="1"/>
        <v>1</v>
      </c>
      <c r="L9541" s="62">
        <f t="shared" si="2"/>
        <v>2</v>
      </c>
    </row>
    <row r="9542">
      <c r="A9542" s="58">
        <v>45231.0</v>
      </c>
      <c r="B9542" s="24" t="s">
        <v>6789</v>
      </c>
      <c r="C9542" s="24" t="s">
        <v>7047</v>
      </c>
      <c r="D9542" s="59">
        <v>3.0</v>
      </c>
      <c r="E9542" s="59">
        <v>12.0</v>
      </c>
      <c r="F9542" s="59">
        <v>2.0</v>
      </c>
      <c r="G9542" s="60">
        <v>4.0</v>
      </c>
      <c r="H9542" s="60">
        <v>0.0</v>
      </c>
      <c r="I9542" s="60">
        <v>153.40283525</v>
      </c>
      <c r="J9542" s="59">
        <v>26.0</v>
      </c>
      <c r="K9542" s="61">
        <f t="shared" si="1"/>
        <v>0.1666666667</v>
      </c>
      <c r="L9542" s="62">
        <f t="shared" si="2"/>
        <v>2.166666667</v>
      </c>
    </row>
    <row r="9543">
      <c r="A9543" s="58">
        <v>45231.0</v>
      </c>
      <c r="B9543" s="24" t="s">
        <v>7030</v>
      </c>
      <c r="C9543" s="24" t="s">
        <v>6788</v>
      </c>
      <c r="D9543" s="59">
        <v>2.0</v>
      </c>
      <c r="E9543" s="59">
        <v>3.0</v>
      </c>
      <c r="F9543" s="59">
        <v>2.0</v>
      </c>
      <c r="G9543" s="60">
        <v>1.5</v>
      </c>
      <c r="H9543" s="60">
        <v>0.0</v>
      </c>
      <c r="I9543" s="60">
        <v>28.0871219999999</v>
      </c>
      <c r="J9543" s="59">
        <v>6.0</v>
      </c>
      <c r="K9543" s="61">
        <f t="shared" si="1"/>
        <v>0.6666666667</v>
      </c>
      <c r="L9543" s="62">
        <f t="shared" si="2"/>
        <v>2</v>
      </c>
    </row>
    <row r="9544">
      <c r="A9544" s="58">
        <v>45231.0</v>
      </c>
      <c r="B9544" s="24" t="s">
        <v>6791</v>
      </c>
      <c r="C9544" s="24" t="s">
        <v>6788</v>
      </c>
      <c r="D9544" s="59">
        <v>2.0</v>
      </c>
      <c r="E9544" s="59">
        <v>2.0</v>
      </c>
      <c r="F9544" s="59">
        <v>0.0</v>
      </c>
      <c r="G9544" s="60">
        <v>1.0</v>
      </c>
      <c r="H9544" s="60">
        <v>0.0</v>
      </c>
      <c r="I9544" s="60">
        <v>240.859526</v>
      </c>
      <c r="J9544" s="59">
        <v>20.0</v>
      </c>
      <c r="K9544" s="61">
        <f t="shared" si="1"/>
        <v>0</v>
      </c>
      <c r="L9544" s="62">
        <f t="shared" si="2"/>
        <v>10</v>
      </c>
    </row>
    <row r="9545">
      <c r="A9545" s="58">
        <v>45231.0</v>
      </c>
      <c r="B9545" s="24" t="s">
        <v>6789</v>
      </c>
      <c r="C9545" s="24" t="s">
        <v>6817</v>
      </c>
      <c r="D9545" s="59">
        <v>2.0</v>
      </c>
      <c r="E9545" s="59">
        <v>2.0</v>
      </c>
      <c r="F9545" s="59">
        <v>1.0</v>
      </c>
      <c r="G9545" s="60">
        <v>1.0</v>
      </c>
      <c r="H9545" s="60">
        <v>0.0</v>
      </c>
      <c r="I9545" s="60">
        <v>35.108137</v>
      </c>
      <c r="J9545" s="59">
        <v>8.0</v>
      </c>
      <c r="K9545" s="61">
        <f t="shared" si="1"/>
        <v>0.5</v>
      </c>
      <c r="L9545" s="62">
        <f t="shared" si="2"/>
        <v>4</v>
      </c>
    </row>
    <row r="9546">
      <c r="A9546" s="58">
        <v>45231.0</v>
      </c>
      <c r="B9546" s="24" t="s">
        <v>6787</v>
      </c>
      <c r="C9546" s="24" t="s">
        <v>6804</v>
      </c>
      <c r="D9546" s="59">
        <v>2.0</v>
      </c>
      <c r="E9546" s="59">
        <v>3.0</v>
      </c>
      <c r="F9546" s="59">
        <v>0.0</v>
      </c>
      <c r="G9546" s="60">
        <v>1.5</v>
      </c>
      <c r="H9546" s="60">
        <v>0.0</v>
      </c>
      <c r="I9546" s="60">
        <v>179.978207333333</v>
      </c>
      <c r="J9546" s="59">
        <v>14.0</v>
      </c>
      <c r="K9546" s="61">
        <f t="shared" si="1"/>
        <v>0</v>
      </c>
      <c r="L9546" s="62">
        <f t="shared" si="2"/>
        <v>4.666666667</v>
      </c>
    </row>
    <row r="9547">
      <c r="A9547" s="58">
        <v>45231.0</v>
      </c>
      <c r="B9547" s="24" t="s">
        <v>6787</v>
      </c>
      <c r="C9547" s="24" t="s">
        <v>6829</v>
      </c>
      <c r="D9547" s="59">
        <v>2.0</v>
      </c>
      <c r="E9547" s="59">
        <v>4.0</v>
      </c>
      <c r="F9547" s="59">
        <v>1.0</v>
      </c>
      <c r="G9547" s="60">
        <v>2.0</v>
      </c>
      <c r="H9547" s="60">
        <v>0.0</v>
      </c>
      <c r="I9547" s="60">
        <v>465.709064999999</v>
      </c>
      <c r="J9547" s="59">
        <v>8.0</v>
      </c>
      <c r="K9547" s="61">
        <f t="shared" si="1"/>
        <v>0.25</v>
      </c>
      <c r="L9547" s="62">
        <f t="shared" si="2"/>
        <v>2</v>
      </c>
    </row>
    <row r="9548">
      <c r="A9548" s="58">
        <v>45231.0</v>
      </c>
      <c r="B9548" s="24" t="s">
        <v>6789</v>
      </c>
      <c r="C9548" s="24" t="s">
        <v>6829</v>
      </c>
      <c r="D9548" s="59">
        <v>2.0</v>
      </c>
      <c r="E9548" s="59">
        <v>2.0</v>
      </c>
      <c r="F9548" s="59">
        <v>1.0</v>
      </c>
      <c r="G9548" s="60">
        <v>1.0</v>
      </c>
      <c r="H9548" s="60">
        <v>0.0</v>
      </c>
      <c r="I9548" s="60">
        <v>35.2222155</v>
      </c>
      <c r="J9548" s="59">
        <v>8.0</v>
      </c>
      <c r="K9548" s="61">
        <f t="shared" si="1"/>
        <v>0.5</v>
      </c>
      <c r="L9548" s="62">
        <f t="shared" si="2"/>
        <v>4</v>
      </c>
    </row>
    <row r="9549">
      <c r="A9549" s="58">
        <v>45231.0</v>
      </c>
      <c r="B9549" s="24" t="s">
        <v>6789</v>
      </c>
      <c r="C9549" s="24" t="s">
        <v>6833</v>
      </c>
      <c r="D9549" s="59">
        <v>2.0</v>
      </c>
      <c r="E9549" s="59">
        <v>2.0</v>
      </c>
      <c r="F9549" s="59">
        <v>2.0</v>
      </c>
      <c r="G9549" s="60">
        <v>1.0</v>
      </c>
      <c r="H9549" s="60">
        <v>0.0</v>
      </c>
      <c r="I9549" s="60">
        <v>82.7331995</v>
      </c>
      <c r="J9549" s="59">
        <v>6.0</v>
      </c>
      <c r="K9549" s="61">
        <f t="shared" si="1"/>
        <v>1</v>
      </c>
      <c r="L9549" s="62">
        <f t="shared" si="2"/>
        <v>3</v>
      </c>
    </row>
    <row r="9550">
      <c r="A9550" s="58">
        <v>45231.0</v>
      </c>
      <c r="B9550" s="24" t="s">
        <v>6787</v>
      </c>
      <c r="C9550" s="24" t="s">
        <v>6819</v>
      </c>
      <c r="D9550" s="59">
        <v>2.0</v>
      </c>
      <c r="E9550" s="59">
        <v>2.0</v>
      </c>
      <c r="F9550" s="59">
        <v>2.0</v>
      </c>
      <c r="G9550" s="60">
        <v>1.0</v>
      </c>
      <c r="H9550" s="60">
        <v>0.0</v>
      </c>
      <c r="I9550" s="60">
        <v>18.368813</v>
      </c>
      <c r="J9550" s="59">
        <v>4.0</v>
      </c>
      <c r="K9550" s="61">
        <f t="shared" si="1"/>
        <v>1</v>
      </c>
      <c r="L9550" s="62">
        <f t="shared" si="2"/>
        <v>2</v>
      </c>
    </row>
    <row r="9551">
      <c r="A9551" s="58">
        <v>45231.0</v>
      </c>
      <c r="B9551" s="24" t="s">
        <v>6787</v>
      </c>
      <c r="C9551" s="24" t="s">
        <v>6994</v>
      </c>
      <c r="D9551" s="59">
        <v>2.0</v>
      </c>
      <c r="E9551" s="59">
        <v>2.0</v>
      </c>
      <c r="F9551" s="59">
        <v>2.0</v>
      </c>
      <c r="G9551" s="60">
        <v>1.0</v>
      </c>
      <c r="H9551" s="60">
        <v>0.0</v>
      </c>
      <c r="I9551" s="60">
        <v>4.8901715</v>
      </c>
      <c r="J9551" s="59">
        <v>4.0</v>
      </c>
      <c r="K9551" s="61">
        <f t="shared" si="1"/>
        <v>1</v>
      </c>
      <c r="L9551" s="62">
        <f t="shared" si="2"/>
        <v>2</v>
      </c>
    </row>
    <row r="9552">
      <c r="A9552" s="58">
        <v>45231.0</v>
      </c>
      <c r="B9552" s="24" t="s">
        <v>6787</v>
      </c>
      <c r="C9552" s="24" t="s">
        <v>6886</v>
      </c>
      <c r="D9552" s="59">
        <v>2.0</v>
      </c>
      <c r="E9552" s="59">
        <v>2.0</v>
      </c>
      <c r="F9552" s="59">
        <v>2.0</v>
      </c>
      <c r="G9552" s="60">
        <v>1.0</v>
      </c>
      <c r="H9552" s="60">
        <v>0.0</v>
      </c>
      <c r="I9552" s="60">
        <v>83.8780275</v>
      </c>
      <c r="J9552" s="59">
        <v>10.0</v>
      </c>
      <c r="K9552" s="61">
        <f t="shared" si="1"/>
        <v>1</v>
      </c>
      <c r="L9552" s="62">
        <f t="shared" si="2"/>
        <v>5</v>
      </c>
    </row>
    <row r="9553">
      <c r="A9553" s="58">
        <v>45231.0</v>
      </c>
      <c r="B9553" s="24" t="s">
        <v>6787</v>
      </c>
      <c r="C9553" s="24" t="s">
        <v>6888</v>
      </c>
      <c r="D9553" s="59">
        <v>2.0</v>
      </c>
      <c r="E9553" s="59">
        <v>2.0</v>
      </c>
      <c r="F9553" s="59">
        <v>1.0</v>
      </c>
      <c r="G9553" s="60">
        <v>1.0</v>
      </c>
      <c r="H9553" s="60">
        <v>0.0</v>
      </c>
      <c r="I9553" s="60">
        <v>3363.250529</v>
      </c>
      <c r="J9553" s="59">
        <v>32.0</v>
      </c>
      <c r="K9553" s="61">
        <f t="shared" si="1"/>
        <v>0.5</v>
      </c>
      <c r="L9553" s="62">
        <f t="shared" si="2"/>
        <v>16</v>
      </c>
    </row>
    <row r="9554">
      <c r="A9554" s="58">
        <v>45231.0</v>
      </c>
      <c r="B9554" s="24" t="s">
        <v>6787</v>
      </c>
      <c r="C9554" s="24" t="s">
        <v>6891</v>
      </c>
      <c r="D9554" s="59">
        <v>2.0</v>
      </c>
      <c r="E9554" s="59">
        <v>2.0</v>
      </c>
      <c r="F9554" s="59">
        <v>0.0</v>
      </c>
      <c r="G9554" s="60">
        <v>1.0</v>
      </c>
      <c r="H9554" s="60">
        <v>0.0</v>
      </c>
      <c r="I9554" s="60">
        <v>29.776575</v>
      </c>
      <c r="J9554" s="59">
        <v>12.0</v>
      </c>
      <c r="K9554" s="61">
        <f t="shared" si="1"/>
        <v>0</v>
      </c>
      <c r="L9554" s="62">
        <f t="shared" si="2"/>
        <v>6</v>
      </c>
    </row>
    <row r="9555">
      <c r="A9555" s="58">
        <v>45231.0</v>
      </c>
      <c r="B9555" s="24" t="s">
        <v>6787</v>
      </c>
      <c r="C9555" s="24" t="s">
        <v>6896</v>
      </c>
      <c r="D9555" s="59">
        <v>2.0</v>
      </c>
      <c r="E9555" s="59">
        <v>2.0</v>
      </c>
      <c r="F9555" s="59">
        <v>2.0</v>
      </c>
      <c r="G9555" s="60">
        <v>1.0</v>
      </c>
      <c r="H9555" s="60">
        <v>0.0</v>
      </c>
      <c r="I9555" s="60">
        <v>131.441487</v>
      </c>
      <c r="J9555" s="59">
        <v>8.0</v>
      </c>
      <c r="K9555" s="61">
        <f t="shared" si="1"/>
        <v>1</v>
      </c>
      <c r="L9555" s="62">
        <f t="shared" si="2"/>
        <v>4</v>
      </c>
    </row>
    <row r="9556">
      <c r="A9556" s="58">
        <v>45231.0</v>
      </c>
      <c r="B9556" s="24" t="s">
        <v>6789</v>
      </c>
      <c r="C9556" s="24" t="s">
        <v>6897</v>
      </c>
      <c r="D9556" s="59">
        <v>2.0</v>
      </c>
      <c r="E9556" s="59">
        <v>4.0</v>
      </c>
      <c r="F9556" s="59">
        <v>2.0</v>
      </c>
      <c r="G9556" s="60">
        <v>2.0</v>
      </c>
      <c r="H9556" s="60">
        <v>0.0</v>
      </c>
      <c r="I9556" s="60">
        <v>446.55877875</v>
      </c>
      <c r="J9556" s="59">
        <v>14.0</v>
      </c>
      <c r="K9556" s="61">
        <f t="shared" si="1"/>
        <v>0.5</v>
      </c>
      <c r="L9556" s="62">
        <f t="shared" si="2"/>
        <v>3.5</v>
      </c>
    </row>
    <row r="9557">
      <c r="A9557" s="58">
        <v>45231.0</v>
      </c>
      <c r="B9557" s="24" t="s">
        <v>3216</v>
      </c>
      <c r="C9557" s="24" t="s">
        <v>7034</v>
      </c>
      <c r="D9557" s="59">
        <v>2.0</v>
      </c>
      <c r="E9557" s="59">
        <v>2.0</v>
      </c>
      <c r="F9557" s="59">
        <v>1.0</v>
      </c>
      <c r="G9557" s="60">
        <v>1.0</v>
      </c>
      <c r="H9557" s="60">
        <v>0.0</v>
      </c>
      <c r="I9557" s="60">
        <v>1813.9725025</v>
      </c>
      <c r="J9557" s="59">
        <v>18.0</v>
      </c>
      <c r="K9557" s="61">
        <f t="shared" si="1"/>
        <v>0.5</v>
      </c>
      <c r="L9557" s="62">
        <f t="shared" si="2"/>
        <v>9</v>
      </c>
    </row>
    <row r="9558">
      <c r="A9558" s="58">
        <v>45231.0</v>
      </c>
      <c r="B9558" s="24" t="s">
        <v>6789</v>
      </c>
      <c r="C9558" s="24" t="s">
        <v>7573</v>
      </c>
      <c r="D9558" s="59">
        <v>2.0</v>
      </c>
      <c r="E9558" s="59">
        <v>2.0</v>
      </c>
      <c r="F9558" s="59">
        <v>2.0</v>
      </c>
      <c r="G9558" s="60">
        <v>1.0</v>
      </c>
      <c r="H9558" s="60">
        <v>0.0</v>
      </c>
      <c r="I9558" s="60">
        <v>3.3188395</v>
      </c>
      <c r="J9558" s="59">
        <v>4.0</v>
      </c>
      <c r="K9558" s="61">
        <f t="shared" si="1"/>
        <v>1</v>
      </c>
      <c r="L9558" s="62">
        <f t="shared" si="2"/>
        <v>2</v>
      </c>
    </row>
    <row r="9559">
      <c r="A9559" s="58">
        <v>45231.0</v>
      </c>
      <c r="B9559" s="24" t="s">
        <v>6789</v>
      </c>
      <c r="C9559" s="24" t="s">
        <v>7571</v>
      </c>
      <c r="D9559" s="59">
        <v>2.0</v>
      </c>
      <c r="E9559" s="59">
        <v>2.0</v>
      </c>
      <c r="F9559" s="59">
        <v>2.0</v>
      </c>
      <c r="G9559" s="60">
        <v>1.0</v>
      </c>
      <c r="H9559" s="60">
        <v>0.0</v>
      </c>
      <c r="I9559" s="60">
        <v>19.269269</v>
      </c>
      <c r="J9559" s="59">
        <v>4.0</v>
      </c>
      <c r="K9559" s="61">
        <f t="shared" si="1"/>
        <v>1</v>
      </c>
      <c r="L9559" s="62">
        <f t="shared" si="2"/>
        <v>2</v>
      </c>
    </row>
    <row r="9560">
      <c r="A9560" s="58">
        <v>45231.0</v>
      </c>
      <c r="B9560" s="24" t="s">
        <v>6789</v>
      </c>
      <c r="C9560" s="24" t="s">
        <v>7257</v>
      </c>
      <c r="D9560" s="59">
        <v>2.0</v>
      </c>
      <c r="E9560" s="59">
        <v>4.0</v>
      </c>
      <c r="F9560" s="59">
        <v>2.0</v>
      </c>
      <c r="G9560" s="60">
        <v>2.0</v>
      </c>
      <c r="H9560" s="60">
        <v>0.0</v>
      </c>
      <c r="I9560" s="60">
        <v>128.225513</v>
      </c>
      <c r="J9560" s="59">
        <v>8.0</v>
      </c>
      <c r="K9560" s="61">
        <f t="shared" si="1"/>
        <v>0.5</v>
      </c>
      <c r="L9560" s="62">
        <f t="shared" si="2"/>
        <v>2</v>
      </c>
    </row>
    <row r="9561">
      <c r="A9561" s="58">
        <v>45231.0</v>
      </c>
      <c r="B9561" s="24" t="s">
        <v>6787</v>
      </c>
      <c r="C9561" s="24" t="s">
        <v>7578</v>
      </c>
      <c r="D9561" s="59">
        <v>2.0</v>
      </c>
      <c r="E9561" s="59">
        <v>3.0</v>
      </c>
      <c r="F9561" s="59">
        <v>0.0</v>
      </c>
      <c r="G9561" s="60">
        <v>1.5</v>
      </c>
      <c r="H9561" s="60">
        <v>0.0</v>
      </c>
      <c r="I9561" s="60">
        <v>121.334654666666</v>
      </c>
      <c r="J9561" s="59">
        <v>8.0</v>
      </c>
      <c r="K9561" s="61">
        <f t="shared" si="1"/>
        <v>0</v>
      </c>
      <c r="L9561" s="62">
        <f t="shared" si="2"/>
        <v>2.666666667</v>
      </c>
    </row>
    <row r="9562">
      <c r="A9562" s="58">
        <v>45231.0</v>
      </c>
      <c r="B9562" s="24" t="s">
        <v>6787</v>
      </c>
      <c r="C9562" s="24" t="s">
        <v>7206</v>
      </c>
      <c r="D9562" s="59">
        <v>2.0</v>
      </c>
      <c r="E9562" s="59">
        <v>2.0</v>
      </c>
      <c r="F9562" s="59">
        <v>2.0</v>
      </c>
      <c r="G9562" s="60">
        <v>1.0</v>
      </c>
      <c r="H9562" s="60">
        <v>0.0</v>
      </c>
      <c r="I9562" s="60">
        <v>27.91207</v>
      </c>
      <c r="J9562" s="59">
        <v>8.0</v>
      </c>
      <c r="K9562" s="61">
        <f t="shared" si="1"/>
        <v>1</v>
      </c>
      <c r="L9562" s="62">
        <f t="shared" si="2"/>
        <v>4</v>
      </c>
    </row>
    <row r="9563">
      <c r="A9563" s="58">
        <v>45231.0</v>
      </c>
      <c r="B9563" s="24" t="s">
        <v>6789</v>
      </c>
      <c r="C9563" s="24" t="s">
        <v>7207</v>
      </c>
      <c r="D9563" s="59">
        <v>2.0</v>
      </c>
      <c r="E9563" s="59">
        <v>2.0</v>
      </c>
      <c r="F9563" s="59">
        <v>2.0</v>
      </c>
      <c r="G9563" s="60">
        <v>1.0</v>
      </c>
      <c r="H9563" s="60">
        <v>1.0</v>
      </c>
      <c r="I9563" s="60">
        <v>0.0</v>
      </c>
      <c r="J9563" s="59">
        <v>2.0</v>
      </c>
      <c r="K9563" s="61">
        <f t="shared" si="1"/>
        <v>1</v>
      </c>
      <c r="L9563" s="62">
        <f t="shared" si="2"/>
        <v>1</v>
      </c>
    </row>
    <row r="9564">
      <c r="A9564" s="58">
        <v>45231.0</v>
      </c>
      <c r="B9564" s="24" t="s">
        <v>6787</v>
      </c>
      <c r="C9564" s="24" t="s">
        <v>7554</v>
      </c>
      <c r="D9564" s="59">
        <v>2.0</v>
      </c>
      <c r="E9564" s="59">
        <v>2.0</v>
      </c>
      <c r="F9564" s="59">
        <v>1.0</v>
      </c>
      <c r="G9564" s="60">
        <v>1.0</v>
      </c>
      <c r="H9564" s="60">
        <v>0.0</v>
      </c>
      <c r="I9564" s="60">
        <v>15.2948285</v>
      </c>
      <c r="J9564" s="59">
        <v>6.0</v>
      </c>
      <c r="K9564" s="61">
        <f t="shared" si="1"/>
        <v>0.5</v>
      </c>
      <c r="L9564" s="62">
        <f t="shared" si="2"/>
        <v>3</v>
      </c>
    </row>
    <row r="9565">
      <c r="A9565" s="58">
        <v>45231.0</v>
      </c>
      <c r="B9565" s="24" t="s">
        <v>7100</v>
      </c>
      <c r="C9565" s="24" t="s">
        <v>7101</v>
      </c>
      <c r="D9565" s="59">
        <v>2.0</v>
      </c>
      <c r="E9565" s="59">
        <v>2.0</v>
      </c>
      <c r="F9565" s="59">
        <v>2.0</v>
      </c>
      <c r="G9565" s="60">
        <v>1.0</v>
      </c>
      <c r="H9565" s="60">
        <v>0.0</v>
      </c>
      <c r="I9565" s="60">
        <v>2.5679325</v>
      </c>
      <c r="J9565" s="59">
        <v>4.0</v>
      </c>
      <c r="K9565" s="61">
        <f t="shared" si="1"/>
        <v>1</v>
      </c>
      <c r="L9565" s="62">
        <f t="shared" si="2"/>
        <v>2</v>
      </c>
    </row>
    <row r="9566">
      <c r="A9566" s="58">
        <v>45231.0</v>
      </c>
      <c r="B9566" s="24" t="s">
        <v>6789</v>
      </c>
      <c r="C9566" s="24" t="s">
        <v>7044</v>
      </c>
      <c r="D9566" s="59">
        <v>2.0</v>
      </c>
      <c r="E9566" s="59">
        <v>2.0</v>
      </c>
      <c r="F9566" s="59">
        <v>2.0</v>
      </c>
      <c r="G9566" s="60">
        <v>1.0</v>
      </c>
      <c r="H9566" s="60">
        <v>0.0</v>
      </c>
      <c r="I9566" s="60">
        <v>1329.08981</v>
      </c>
      <c r="J9566" s="59">
        <v>30.0</v>
      </c>
      <c r="K9566" s="61">
        <f t="shared" si="1"/>
        <v>1</v>
      </c>
      <c r="L9566" s="62">
        <f t="shared" si="2"/>
        <v>15</v>
      </c>
    </row>
    <row r="9567">
      <c r="A9567" s="58">
        <v>45231.0</v>
      </c>
      <c r="B9567" s="24" t="s">
        <v>6787</v>
      </c>
      <c r="C9567" s="24" t="s">
        <v>7102</v>
      </c>
      <c r="D9567" s="59">
        <v>2.0</v>
      </c>
      <c r="E9567" s="59">
        <v>2.0</v>
      </c>
      <c r="F9567" s="59">
        <v>2.0</v>
      </c>
      <c r="G9567" s="60">
        <v>1.0</v>
      </c>
      <c r="H9567" s="60">
        <v>0.5</v>
      </c>
      <c r="I9567" s="60">
        <v>2.47E-4</v>
      </c>
      <c r="J9567" s="59">
        <v>3.0</v>
      </c>
      <c r="K9567" s="61">
        <f t="shared" si="1"/>
        <v>1</v>
      </c>
      <c r="L9567" s="62">
        <f t="shared" si="2"/>
        <v>1.5</v>
      </c>
    </row>
    <row r="9568">
      <c r="A9568" s="58">
        <v>45231.0</v>
      </c>
      <c r="B9568" s="24" t="s">
        <v>6787</v>
      </c>
      <c r="C9568" s="24" t="s">
        <v>7174</v>
      </c>
      <c r="D9568" s="59">
        <v>2.0</v>
      </c>
      <c r="E9568" s="59">
        <v>2.0</v>
      </c>
      <c r="F9568" s="59">
        <v>1.0</v>
      </c>
      <c r="G9568" s="60">
        <v>1.0</v>
      </c>
      <c r="H9568" s="60">
        <v>0.5</v>
      </c>
      <c r="I9568" s="60">
        <v>107.457031</v>
      </c>
      <c r="J9568" s="59">
        <v>3.0</v>
      </c>
      <c r="K9568" s="61">
        <f t="shared" si="1"/>
        <v>0.5</v>
      </c>
      <c r="L9568" s="62">
        <f t="shared" si="2"/>
        <v>1.5</v>
      </c>
    </row>
    <row r="9569">
      <c r="A9569" s="58">
        <v>45231.0</v>
      </c>
      <c r="B9569" s="24" t="s">
        <v>6789</v>
      </c>
      <c r="C9569" s="24" t="s">
        <v>7192</v>
      </c>
      <c r="D9569" s="59">
        <v>2.0</v>
      </c>
      <c r="E9569" s="59">
        <v>2.0</v>
      </c>
      <c r="F9569" s="59">
        <v>0.0</v>
      </c>
      <c r="G9569" s="60">
        <v>1.0</v>
      </c>
      <c r="H9569" s="60">
        <v>0.0</v>
      </c>
      <c r="I9569" s="60">
        <v>2.4775075</v>
      </c>
      <c r="J9569" s="59">
        <v>4.0</v>
      </c>
      <c r="K9569" s="61">
        <f t="shared" si="1"/>
        <v>0</v>
      </c>
      <c r="L9569" s="62">
        <f t="shared" si="2"/>
        <v>2</v>
      </c>
    </row>
    <row r="9570">
      <c r="A9570" s="58">
        <v>45231.0</v>
      </c>
      <c r="B9570" s="24" t="s">
        <v>6787</v>
      </c>
      <c r="C9570" s="24" t="s">
        <v>7588</v>
      </c>
      <c r="D9570" s="59">
        <v>2.0</v>
      </c>
      <c r="E9570" s="59">
        <v>2.0</v>
      </c>
      <c r="F9570" s="59">
        <v>2.0</v>
      </c>
      <c r="G9570" s="60">
        <v>1.0</v>
      </c>
      <c r="H9570" s="60">
        <v>0.0</v>
      </c>
      <c r="I9570" s="60">
        <v>4.773557</v>
      </c>
      <c r="J9570" s="59">
        <v>4.0</v>
      </c>
      <c r="K9570" s="61">
        <f t="shared" si="1"/>
        <v>1</v>
      </c>
      <c r="L9570" s="62">
        <f t="shared" si="2"/>
        <v>2</v>
      </c>
    </row>
    <row r="9571">
      <c r="A9571" s="58">
        <v>45231.0</v>
      </c>
      <c r="B9571" s="24" t="s">
        <v>6789</v>
      </c>
      <c r="C9571" s="24" t="s">
        <v>6797</v>
      </c>
      <c r="D9571" s="59">
        <v>2.0</v>
      </c>
      <c r="E9571" s="59">
        <v>2.0</v>
      </c>
      <c r="F9571" s="59">
        <v>2.0</v>
      </c>
      <c r="G9571" s="60">
        <v>1.0</v>
      </c>
      <c r="H9571" s="60">
        <v>0.0</v>
      </c>
      <c r="I9571" s="60">
        <v>135.8977955</v>
      </c>
      <c r="J9571" s="59">
        <v>12.0</v>
      </c>
      <c r="K9571" s="61">
        <f t="shared" si="1"/>
        <v>1</v>
      </c>
      <c r="L9571" s="62">
        <f t="shared" si="2"/>
        <v>6</v>
      </c>
    </row>
    <row r="9572">
      <c r="A9572" s="58">
        <v>45231.0</v>
      </c>
      <c r="B9572" s="24" t="s">
        <v>7100</v>
      </c>
      <c r="C9572" s="24" t="s">
        <v>6802</v>
      </c>
      <c r="D9572" s="59">
        <v>2.0</v>
      </c>
      <c r="E9572" s="59">
        <v>2.0</v>
      </c>
      <c r="F9572" s="59">
        <v>1.0</v>
      </c>
      <c r="G9572" s="60">
        <v>1.0</v>
      </c>
      <c r="H9572" s="60">
        <v>0.0</v>
      </c>
      <c r="I9572" s="60">
        <v>2.49442499999999</v>
      </c>
      <c r="J9572" s="59">
        <v>4.0</v>
      </c>
      <c r="K9572" s="61">
        <f t="shared" si="1"/>
        <v>0.5</v>
      </c>
      <c r="L9572" s="62">
        <f t="shared" si="2"/>
        <v>2</v>
      </c>
    </row>
    <row r="9573">
      <c r="A9573" s="58">
        <v>45231.0</v>
      </c>
      <c r="B9573" s="24" t="s">
        <v>7100</v>
      </c>
      <c r="C9573" s="24" t="s">
        <v>6792</v>
      </c>
      <c r="D9573" s="59">
        <v>1.0</v>
      </c>
      <c r="E9573" s="59">
        <v>1.0</v>
      </c>
      <c r="F9573" s="59">
        <v>0.0</v>
      </c>
      <c r="G9573" s="60">
        <v>1.0</v>
      </c>
      <c r="H9573" s="60">
        <v>1.0</v>
      </c>
      <c r="I9573" s="60">
        <v>0.0</v>
      </c>
      <c r="J9573" s="59">
        <v>0.0</v>
      </c>
      <c r="K9573" s="61">
        <f t="shared" si="1"/>
        <v>0</v>
      </c>
      <c r="L9573" s="62">
        <f t="shared" si="2"/>
        <v>0</v>
      </c>
    </row>
    <row r="9574">
      <c r="A9574" s="58">
        <v>45231.0</v>
      </c>
      <c r="B9574" s="24" t="s">
        <v>6787</v>
      </c>
      <c r="C9574" s="24" t="s">
        <v>6803</v>
      </c>
      <c r="D9574" s="59">
        <v>1.0</v>
      </c>
      <c r="E9574" s="59">
        <v>1.0</v>
      </c>
      <c r="F9574" s="59">
        <v>1.0</v>
      </c>
      <c r="G9574" s="60">
        <v>1.0</v>
      </c>
      <c r="H9574" s="60">
        <v>0.0</v>
      </c>
      <c r="I9574" s="60">
        <v>5.011544</v>
      </c>
      <c r="J9574" s="59">
        <v>2.0</v>
      </c>
      <c r="K9574" s="61">
        <f t="shared" si="1"/>
        <v>1</v>
      </c>
      <c r="L9574" s="62">
        <f t="shared" si="2"/>
        <v>2</v>
      </c>
    </row>
    <row r="9575">
      <c r="A9575" s="58">
        <v>45231.0</v>
      </c>
      <c r="B9575" s="24" t="s">
        <v>6794</v>
      </c>
      <c r="C9575" s="24" t="s">
        <v>6803</v>
      </c>
      <c r="D9575" s="59">
        <v>1.0</v>
      </c>
      <c r="E9575" s="59">
        <v>5.0</v>
      </c>
      <c r="F9575" s="59">
        <v>0.0</v>
      </c>
      <c r="G9575" s="60">
        <v>5.0</v>
      </c>
      <c r="H9575" s="60">
        <v>0.0</v>
      </c>
      <c r="I9575" s="60">
        <v>320.9198178</v>
      </c>
      <c r="J9575" s="59">
        <v>12.0</v>
      </c>
      <c r="K9575" s="61">
        <f t="shared" si="1"/>
        <v>0</v>
      </c>
      <c r="L9575" s="62">
        <f t="shared" si="2"/>
        <v>2.4</v>
      </c>
    </row>
    <row r="9576">
      <c r="A9576" s="58">
        <v>45231.0</v>
      </c>
      <c r="B9576" s="24" t="s">
        <v>6790</v>
      </c>
      <c r="C9576" s="24" t="s">
        <v>6803</v>
      </c>
      <c r="D9576" s="59">
        <v>1.0</v>
      </c>
      <c r="E9576" s="59">
        <v>2.0</v>
      </c>
      <c r="F9576" s="59">
        <v>0.0</v>
      </c>
      <c r="G9576" s="60">
        <v>2.0</v>
      </c>
      <c r="H9576" s="60">
        <v>0.0</v>
      </c>
      <c r="I9576" s="60">
        <v>182.679033</v>
      </c>
      <c r="J9576" s="59">
        <v>10.0</v>
      </c>
      <c r="K9576" s="61">
        <f t="shared" si="1"/>
        <v>0</v>
      </c>
      <c r="L9576" s="62">
        <f t="shared" si="2"/>
        <v>5</v>
      </c>
    </row>
    <row r="9577">
      <c r="A9577" s="58">
        <v>45231.0</v>
      </c>
      <c r="B9577" s="24" t="s">
        <v>6794</v>
      </c>
      <c r="C9577" s="24" t="s">
        <v>6817</v>
      </c>
      <c r="D9577" s="59">
        <v>1.0</v>
      </c>
      <c r="E9577" s="59">
        <v>1.0</v>
      </c>
      <c r="F9577" s="59">
        <v>0.0</v>
      </c>
      <c r="G9577" s="60">
        <v>1.0</v>
      </c>
      <c r="H9577" s="60">
        <v>0.0</v>
      </c>
      <c r="I9577" s="60">
        <v>1508.723394</v>
      </c>
      <c r="J9577" s="59">
        <v>16.0</v>
      </c>
      <c r="K9577" s="61">
        <f t="shared" si="1"/>
        <v>0</v>
      </c>
      <c r="L9577" s="62">
        <f t="shared" si="2"/>
        <v>16</v>
      </c>
    </row>
    <row r="9578">
      <c r="A9578" s="58">
        <v>45231.0</v>
      </c>
      <c r="B9578" s="24" t="s">
        <v>6787</v>
      </c>
      <c r="C9578" s="24" t="s">
        <v>7477</v>
      </c>
      <c r="D9578" s="59">
        <v>1.0</v>
      </c>
      <c r="E9578" s="59">
        <v>1.0</v>
      </c>
      <c r="F9578" s="59">
        <v>1.0</v>
      </c>
      <c r="G9578" s="60">
        <v>1.0</v>
      </c>
      <c r="H9578" s="60">
        <v>1.0</v>
      </c>
      <c r="I9578" s="60">
        <v>0.0</v>
      </c>
      <c r="J9578" s="59">
        <v>1.0</v>
      </c>
      <c r="K9578" s="61">
        <f t="shared" si="1"/>
        <v>1</v>
      </c>
      <c r="L9578" s="62">
        <f t="shared" si="2"/>
        <v>1</v>
      </c>
    </row>
    <row r="9579">
      <c r="A9579" s="58">
        <v>45231.0</v>
      </c>
      <c r="B9579" s="24" t="s">
        <v>6790</v>
      </c>
      <c r="C9579" s="24" t="s">
        <v>6829</v>
      </c>
      <c r="D9579" s="59">
        <v>1.0</v>
      </c>
      <c r="E9579" s="59">
        <v>1.0</v>
      </c>
      <c r="F9579" s="59">
        <v>0.0</v>
      </c>
      <c r="G9579" s="60">
        <v>1.0</v>
      </c>
      <c r="H9579" s="60">
        <v>0.0</v>
      </c>
      <c r="I9579" s="60">
        <v>348.460549</v>
      </c>
      <c r="J9579" s="59">
        <v>8.0</v>
      </c>
      <c r="K9579" s="61">
        <f t="shared" si="1"/>
        <v>0</v>
      </c>
      <c r="L9579" s="62">
        <f t="shared" si="2"/>
        <v>8</v>
      </c>
    </row>
    <row r="9580">
      <c r="A9580" s="58">
        <v>45231.0</v>
      </c>
      <c r="B9580" s="24" t="s">
        <v>6789</v>
      </c>
      <c r="C9580" s="24" t="s">
        <v>7057</v>
      </c>
      <c r="D9580" s="59">
        <v>1.0</v>
      </c>
      <c r="E9580" s="59">
        <v>1.0</v>
      </c>
      <c r="F9580" s="59">
        <v>1.0</v>
      </c>
      <c r="G9580" s="60">
        <v>1.0</v>
      </c>
      <c r="H9580" s="60">
        <v>0.0</v>
      </c>
      <c r="I9580" s="60">
        <v>197.377179</v>
      </c>
      <c r="J9580" s="59">
        <v>2.0</v>
      </c>
      <c r="K9580" s="61">
        <f t="shared" si="1"/>
        <v>1</v>
      </c>
      <c r="L9580" s="62">
        <f t="shared" si="2"/>
        <v>2</v>
      </c>
    </row>
    <row r="9581">
      <c r="A9581" s="58">
        <v>45231.0</v>
      </c>
      <c r="B9581" s="24" t="s">
        <v>6789</v>
      </c>
      <c r="C9581" s="24" t="s">
        <v>7059</v>
      </c>
      <c r="D9581" s="59">
        <v>1.0</v>
      </c>
      <c r="E9581" s="59">
        <v>1.0</v>
      </c>
      <c r="F9581" s="59">
        <v>1.0</v>
      </c>
      <c r="G9581" s="60">
        <v>1.0</v>
      </c>
      <c r="H9581" s="60">
        <v>0.0</v>
      </c>
      <c r="I9581" s="60">
        <v>5.551927</v>
      </c>
      <c r="J9581" s="59">
        <v>2.0</v>
      </c>
      <c r="K9581" s="61">
        <f t="shared" si="1"/>
        <v>1</v>
      </c>
      <c r="L9581" s="62">
        <f t="shared" si="2"/>
        <v>2</v>
      </c>
    </row>
    <row r="9582">
      <c r="A9582" s="58">
        <v>45231.0</v>
      </c>
      <c r="B9582" s="24" t="s">
        <v>6789</v>
      </c>
      <c r="C9582" s="24" t="s">
        <v>6985</v>
      </c>
      <c r="D9582" s="59">
        <v>1.0</v>
      </c>
      <c r="E9582" s="59">
        <v>1.0</v>
      </c>
      <c r="F9582" s="59">
        <v>1.0</v>
      </c>
      <c r="G9582" s="60">
        <v>1.0</v>
      </c>
      <c r="H9582" s="60">
        <v>0.0</v>
      </c>
      <c r="I9582" s="60">
        <v>297.84481</v>
      </c>
      <c r="J9582" s="59">
        <v>6.0</v>
      </c>
      <c r="K9582" s="61">
        <f t="shared" si="1"/>
        <v>1</v>
      </c>
      <c r="L9582" s="62">
        <f t="shared" si="2"/>
        <v>6</v>
      </c>
    </row>
    <row r="9583">
      <c r="A9583" s="58">
        <v>45231.0</v>
      </c>
      <c r="B9583" s="24" t="s">
        <v>6787</v>
      </c>
      <c r="C9583" s="24" t="s">
        <v>6833</v>
      </c>
      <c r="D9583" s="59">
        <v>1.0</v>
      </c>
      <c r="E9583" s="59">
        <v>1.0</v>
      </c>
      <c r="F9583" s="59">
        <v>1.0</v>
      </c>
      <c r="G9583" s="60">
        <v>1.0</v>
      </c>
      <c r="H9583" s="60">
        <v>0.0</v>
      </c>
      <c r="I9583" s="60">
        <v>4.801769</v>
      </c>
      <c r="J9583" s="59">
        <v>2.0</v>
      </c>
      <c r="K9583" s="61">
        <f t="shared" si="1"/>
        <v>1</v>
      </c>
      <c r="L9583" s="62">
        <f t="shared" si="2"/>
        <v>2</v>
      </c>
    </row>
    <row r="9584">
      <c r="A9584" s="58">
        <v>45231.0</v>
      </c>
      <c r="B9584" s="24" t="s">
        <v>3216</v>
      </c>
      <c r="C9584" s="24" t="s">
        <v>6833</v>
      </c>
      <c r="D9584" s="59">
        <v>1.0</v>
      </c>
      <c r="E9584" s="59">
        <v>1.0</v>
      </c>
      <c r="F9584" s="59">
        <v>1.0</v>
      </c>
      <c r="G9584" s="60">
        <v>1.0</v>
      </c>
      <c r="H9584" s="60">
        <v>0.0</v>
      </c>
      <c r="I9584" s="60">
        <v>5.091051</v>
      </c>
      <c r="J9584" s="59">
        <v>2.0</v>
      </c>
      <c r="K9584" s="61">
        <f t="shared" si="1"/>
        <v>1</v>
      </c>
      <c r="L9584" s="62">
        <f t="shared" si="2"/>
        <v>2</v>
      </c>
    </row>
    <row r="9585">
      <c r="A9585" s="58">
        <v>45231.0</v>
      </c>
      <c r="B9585" s="24" t="s">
        <v>6789</v>
      </c>
      <c r="C9585" s="24" t="s">
        <v>6867</v>
      </c>
      <c r="D9585" s="59">
        <v>1.0</v>
      </c>
      <c r="E9585" s="59">
        <v>1.0</v>
      </c>
      <c r="F9585" s="59">
        <v>0.0</v>
      </c>
      <c r="G9585" s="60">
        <v>1.0</v>
      </c>
      <c r="H9585" s="60">
        <v>0.0</v>
      </c>
      <c r="I9585" s="60">
        <v>141.774858</v>
      </c>
      <c r="J9585" s="59">
        <v>2.0</v>
      </c>
      <c r="K9585" s="61">
        <f t="shared" si="1"/>
        <v>0</v>
      </c>
      <c r="L9585" s="62">
        <f t="shared" si="2"/>
        <v>2</v>
      </c>
    </row>
    <row r="9586">
      <c r="A9586" s="58">
        <v>45231.0</v>
      </c>
      <c r="B9586" s="24" t="s">
        <v>6789</v>
      </c>
      <c r="C9586" s="24" t="s">
        <v>6988</v>
      </c>
      <c r="D9586" s="59">
        <v>1.0</v>
      </c>
      <c r="E9586" s="59">
        <v>1.0</v>
      </c>
      <c r="F9586" s="59">
        <v>0.0</v>
      </c>
      <c r="G9586" s="60">
        <v>1.0</v>
      </c>
      <c r="H9586" s="60">
        <v>0.0</v>
      </c>
      <c r="I9586" s="60">
        <v>2.480967</v>
      </c>
      <c r="J9586" s="59">
        <v>4.0</v>
      </c>
      <c r="K9586" s="61">
        <f t="shared" si="1"/>
        <v>0</v>
      </c>
      <c r="L9586" s="62">
        <f t="shared" si="2"/>
        <v>4</v>
      </c>
    </row>
    <row r="9587">
      <c r="A9587" s="58">
        <v>45231.0</v>
      </c>
      <c r="B9587" s="24" t="s">
        <v>6789</v>
      </c>
      <c r="C9587" s="24" t="s">
        <v>7024</v>
      </c>
      <c r="D9587" s="59">
        <v>1.0</v>
      </c>
      <c r="E9587" s="59">
        <v>1.0</v>
      </c>
      <c r="F9587" s="59">
        <v>0.0</v>
      </c>
      <c r="G9587" s="60">
        <v>1.0</v>
      </c>
      <c r="H9587" s="60">
        <v>0.0</v>
      </c>
      <c r="I9587" s="60">
        <v>0.903297</v>
      </c>
      <c r="J9587" s="59">
        <v>2.0</v>
      </c>
      <c r="K9587" s="61">
        <f t="shared" si="1"/>
        <v>0</v>
      </c>
      <c r="L9587" s="62">
        <f t="shared" si="2"/>
        <v>2</v>
      </c>
    </row>
    <row r="9588">
      <c r="A9588" s="58">
        <v>45231.0</v>
      </c>
      <c r="B9588" s="24" t="s">
        <v>6794</v>
      </c>
      <c r="C9588" s="24" t="s">
        <v>7024</v>
      </c>
      <c r="D9588" s="59">
        <v>1.0</v>
      </c>
      <c r="E9588" s="59">
        <v>1.0</v>
      </c>
      <c r="F9588" s="59">
        <v>1.0</v>
      </c>
      <c r="G9588" s="60">
        <v>1.0</v>
      </c>
      <c r="H9588" s="60">
        <v>0.0</v>
      </c>
      <c r="I9588" s="60">
        <v>4.912834</v>
      </c>
      <c r="J9588" s="59">
        <v>3.0</v>
      </c>
      <c r="K9588" s="61">
        <f t="shared" si="1"/>
        <v>1</v>
      </c>
      <c r="L9588" s="62">
        <f t="shared" si="2"/>
        <v>3</v>
      </c>
    </row>
    <row r="9589">
      <c r="A9589" s="58">
        <v>45231.0</v>
      </c>
      <c r="B9589" s="24" t="s">
        <v>6787</v>
      </c>
      <c r="C9589" s="24" t="s">
        <v>7067</v>
      </c>
      <c r="D9589" s="59">
        <v>1.0</v>
      </c>
      <c r="E9589" s="59">
        <v>1.0</v>
      </c>
      <c r="F9589" s="59">
        <v>1.0</v>
      </c>
      <c r="G9589" s="60">
        <v>1.0</v>
      </c>
      <c r="H9589" s="60">
        <v>1.0</v>
      </c>
      <c r="I9589" s="60">
        <v>0.0</v>
      </c>
      <c r="J9589" s="59">
        <v>1.0</v>
      </c>
      <c r="K9589" s="61">
        <f t="shared" si="1"/>
        <v>1</v>
      </c>
      <c r="L9589" s="62">
        <f t="shared" si="2"/>
        <v>1</v>
      </c>
    </row>
    <row r="9590">
      <c r="A9590" s="58">
        <v>45231.0</v>
      </c>
      <c r="B9590" s="24" t="s">
        <v>6787</v>
      </c>
      <c r="C9590" s="24" t="s">
        <v>6835</v>
      </c>
      <c r="D9590" s="59">
        <v>1.0</v>
      </c>
      <c r="E9590" s="59">
        <v>2.0</v>
      </c>
      <c r="F9590" s="59">
        <v>1.0</v>
      </c>
      <c r="G9590" s="60">
        <v>2.0</v>
      </c>
      <c r="H9590" s="60">
        <v>0.0</v>
      </c>
      <c r="I9590" s="60">
        <v>5.2055965</v>
      </c>
      <c r="J9590" s="59">
        <v>4.0</v>
      </c>
      <c r="K9590" s="61">
        <f t="shared" si="1"/>
        <v>0.5</v>
      </c>
      <c r="L9590" s="62">
        <f t="shared" si="2"/>
        <v>2</v>
      </c>
    </row>
    <row r="9591">
      <c r="A9591" s="58">
        <v>45231.0</v>
      </c>
      <c r="B9591" s="24" t="s">
        <v>6787</v>
      </c>
      <c r="C9591" s="24" t="s">
        <v>7072</v>
      </c>
      <c r="D9591" s="59">
        <v>1.0</v>
      </c>
      <c r="E9591" s="59">
        <v>1.0</v>
      </c>
      <c r="F9591" s="59">
        <v>1.0</v>
      </c>
      <c r="G9591" s="60">
        <v>1.0</v>
      </c>
      <c r="H9591" s="60">
        <v>1.0</v>
      </c>
      <c r="I9591" s="60">
        <v>0.0</v>
      </c>
      <c r="J9591" s="59">
        <v>1.0</v>
      </c>
      <c r="K9591" s="61">
        <f t="shared" si="1"/>
        <v>1</v>
      </c>
      <c r="L9591" s="62">
        <f t="shared" si="2"/>
        <v>1</v>
      </c>
    </row>
    <row r="9592">
      <c r="A9592" s="58">
        <v>45231.0</v>
      </c>
      <c r="B9592" s="24" t="s">
        <v>6789</v>
      </c>
      <c r="C9592" s="24" t="s">
        <v>7072</v>
      </c>
      <c r="D9592" s="59">
        <v>1.0</v>
      </c>
      <c r="E9592" s="59">
        <v>1.0</v>
      </c>
      <c r="F9592" s="59">
        <v>1.0</v>
      </c>
      <c r="G9592" s="60">
        <v>1.0</v>
      </c>
      <c r="H9592" s="60">
        <v>0.0</v>
      </c>
      <c r="I9592" s="60">
        <v>798.106891</v>
      </c>
      <c r="J9592" s="59">
        <v>2.0</v>
      </c>
      <c r="K9592" s="61">
        <f t="shared" si="1"/>
        <v>1</v>
      </c>
      <c r="L9592" s="62">
        <f t="shared" si="2"/>
        <v>2</v>
      </c>
    </row>
    <row r="9593">
      <c r="A9593" s="58">
        <v>45231.0</v>
      </c>
      <c r="B9593" s="24" t="s">
        <v>6787</v>
      </c>
      <c r="C9593" s="24" t="s">
        <v>7074</v>
      </c>
      <c r="D9593" s="59">
        <v>1.0</v>
      </c>
      <c r="E9593" s="59">
        <v>1.0</v>
      </c>
      <c r="F9593" s="59">
        <v>0.0</v>
      </c>
      <c r="G9593" s="60">
        <v>1.0</v>
      </c>
      <c r="H9593" s="60">
        <v>0.0</v>
      </c>
      <c r="I9593" s="60">
        <v>4.750568</v>
      </c>
      <c r="J9593" s="59">
        <v>2.0</v>
      </c>
      <c r="K9593" s="61">
        <f t="shared" si="1"/>
        <v>0</v>
      </c>
      <c r="L9593" s="62">
        <f t="shared" si="2"/>
        <v>2</v>
      </c>
    </row>
    <row r="9594">
      <c r="A9594" s="58">
        <v>45231.0</v>
      </c>
      <c r="B9594" s="24" t="s">
        <v>6794</v>
      </c>
      <c r="C9594" s="24" t="s">
        <v>6799</v>
      </c>
      <c r="D9594" s="59">
        <v>1.0</v>
      </c>
      <c r="E9594" s="59">
        <v>1.0</v>
      </c>
      <c r="F9594" s="59">
        <v>0.0</v>
      </c>
      <c r="G9594" s="60">
        <v>1.0</v>
      </c>
      <c r="H9594" s="60">
        <v>0.0</v>
      </c>
      <c r="I9594" s="60">
        <v>4.985747</v>
      </c>
      <c r="J9594" s="59">
        <v>2.0</v>
      </c>
      <c r="K9594" s="61">
        <f t="shared" si="1"/>
        <v>0</v>
      </c>
      <c r="L9594" s="62">
        <f t="shared" si="2"/>
        <v>2</v>
      </c>
    </row>
    <row r="9595">
      <c r="A9595" s="58">
        <v>45231.0</v>
      </c>
      <c r="B9595" s="24" t="s">
        <v>155</v>
      </c>
      <c r="C9595" s="24" t="s">
        <v>6799</v>
      </c>
      <c r="D9595" s="59">
        <v>1.0</v>
      </c>
      <c r="E9595" s="59">
        <v>1.0</v>
      </c>
      <c r="F9595" s="59">
        <v>1.0</v>
      </c>
      <c r="G9595" s="60">
        <v>1.0</v>
      </c>
      <c r="H9595" s="60">
        <v>0.0</v>
      </c>
      <c r="I9595" s="60">
        <v>20.814048</v>
      </c>
      <c r="J9595" s="59">
        <v>2.0</v>
      </c>
      <c r="K9595" s="61">
        <f t="shared" si="1"/>
        <v>1</v>
      </c>
      <c r="L9595" s="62">
        <f t="shared" si="2"/>
        <v>2</v>
      </c>
    </row>
    <row r="9596">
      <c r="A9596" s="58">
        <v>45231.0</v>
      </c>
      <c r="B9596" s="24" t="s">
        <v>6787</v>
      </c>
      <c r="C9596" s="24" t="s">
        <v>6820</v>
      </c>
      <c r="D9596" s="59">
        <v>1.0</v>
      </c>
      <c r="E9596" s="59">
        <v>1.0</v>
      </c>
      <c r="F9596" s="59">
        <v>0.0</v>
      </c>
      <c r="G9596" s="60">
        <v>1.0</v>
      </c>
      <c r="H9596" s="60">
        <v>0.0</v>
      </c>
      <c r="I9596" s="60">
        <v>8.895645</v>
      </c>
      <c r="J9596" s="59">
        <v>4.0</v>
      </c>
      <c r="K9596" s="61">
        <f t="shared" si="1"/>
        <v>0</v>
      </c>
      <c r="L9596" s="62">
        <f t="shared" si="2"/>
        <v>4</v>
      </c>
    </row>
    <row r="9597">
      <c r="A9597" s="58">
        <v>45231.0</v>
      </c>
      <c r="B9597" s="24" t="s">
        <v>6789</v>
      </c>
      <c r="C9597" s="24" t="s">
        <v>6820</v>
      </c>
      <c r="D9597" s="59">
        <v>1.0</v>
      </c>
      <c r="E9597" s="59">
        <v>1.0</v>
      </c>
      <c r="F9597" s="59">
        <v>0.0</v>
      </c>
      <c r="G9597" s="60">
        <v>1.0</v>
      </c>
      <c r="H9597" s="60">
        <v>0.0</v>
      </c>
      <c r="I9597" s="60">
        <v>115.317478</v>
      </c>
      <c r="J9597" s="59">
        <v>4.0</v>
      </c>
      <c r="K9597" s="61">
        <f t="shared" si="1"/>
        <v>0</v>
      </c>
      <c r="L9597" s="62">
        <f t="shared" si="2"/>
        <v>4</v>
      </c>
    </row>
    <row r="9598">
      <c r="A9598" s="58">
        <v>45231.0</v>
      </c>
      <c r="B9598" s="24" t="s">
        <v>155</v>
      </c>
      <c r="C9598" s="24" t="s">
        <v>6820</v>
      </c>
      <c r="D9598" s="59">
        <v>1.0</v>
      </c>
      <c r="E9598" s="59">
        <v>1.0</v>
      </c>
      <c r="F9598" s="59">
        <v>0.0</v>
      </c>
      <c r="G9598" s="60">
        <v>1.0</v>
      </c>
      <c r="H9598" s="60">
        <v>0.0</v>
      </c>
      <c r="I9598" s="60">
        <v>1189.989015</v>
      </c>
      <c r="J9598" s="59">
        <v>2.0</v>
      </c>
      <c r="K9598" s="61">
        <f t="shared" si="1"/>
        <v>0</v>
      </c>
      <c r="L9598" s="62">
        <f t="shared" si="2"/>
        <v>2</v>
      </c>
    </row>
    <row r="9599">
      <c r="A9599" s="58">
        <v>45231.0</v>
      </c>
      <c r="B9599" s="24" t="s">
        <v>6789</v>
      </c>
      <c r="C9599" s="24" t="s">
        <v>6888</v>
      </c>
      <c r="D9599" s="59">
        <v>1.0</v>
      </c>
      <c r="E9599" s="59">
        <v>1.0</v>
      </c>
      <c r="F9599" s="59">
        <v>0.0</v>
      </c>
      <c r="G9599" s="60">
        <v>1.0</v>
      </c>
      <c r="H9599" s="60">
        <v>0.0</v>
      </c>
      <c r="I9599" s="60">
        <v>48.659003</v>
      </c>
      <c r="J9599" s="59">
        <v>14.0</v>
      </c>
      <c r="K9599" s="61">
        <f t="shared" si="1"/>
        <v>0</v>
      </c>
      <c r="L9599" s="62">
        <f t="shared" si="2"/>
        <v>14</v>
      </c>
    </row>
    <row r="9600">
      <c r="A9600" s="58">
        <v>45231.0</v>
      </c>
      <c r="B9600" s="24" t="s">
        <v>155</v>
      </c>
      <c r="C9600" s="24" t="s">
        <v>6888</v>
      </c>
      <c r="D9600" s="59">
        <v>1.0</v>
      </c>
      <c r="E9600" s="59">
        <v>1.0</v>
      </c>
      <c r="F9600" s="59">
        <v>0.0</v>
      </c>
      <c r="G9600" s="60">
        <v>1.0</v>
      </c>
      <c r="H9600" s="60">
        <v>0.0</v>
      </c>
      <c r="I9600" s="60">
        <v>217.911807</v>
      </c>
      <c r="J9600" s="59">
        <v>10.0</v>
      </c>
      <c r="K9600" s="61">
        <f t="shared" si="1"/>
        <v>0</v>
      </c>
      <c r="L9600" s="62">
        <f t="shared" si="2"/>
        <v>10</v>
      </c>
    </row>
    <row r="9601">
      <c r="A9601" s="58">
        <v>45231.0</v>
      </c>
      <c r="B9601" s="24" t="s">
        <v>155</v>
      </c>
      <c r="C9601" s="24" t="s">
        <v>6997</v>
      </c>
      <c r="D9601" s="59">
        <v>1.0</v>
      </c>
      <c r="E9601" s="59">
        <v>1.0</v>
      </c>
      <c r="F9601" s="59">
        <v>0.0</v>
      </c>
      <c r="G9601" s="60">
        <v>1.0</v>
      </c>
      <c r="H9601" s="60">
        <v>0.0</v>
      </c>
      <c r="I9601" s="60">
        <v>4.931052</v>
      </c>
      <c r="J9601" s="59">
        <v>2.0</v>
      </c>
      <c r="K9601" s="61">
        <f t="shared" si="1"/>
        <v>0</v>
      </c>
      <c r="L9601" s="62">
        <f t="shared" si="2"/>
        <v>2</v>
      </c>
    </row>
    <row r="9602">
      <c r="A9602" s="58">
        <v>45231.0</v>
      </c>
      <c r="B9602" s="24" t="s">
        <v>6790</v>
      </c>
      <c r="C9602" s="24" t="s">
        <v>6997</v>
      </c>
      <c r="D9602" s="59">
        <v>1.0</v>
      </c>
      <c r="E9602" s="59">
        <v>1.0</v>
      </c>
      <c r="F9602" s="59">
        <v>0.0</v>
      </c>
      <c r="G9602" s="60">
        <v>1.0</v>
      </c>
      <c r="H9602" s="60">
        <v>0.0</v>
      </c>
      <c r="I9602" s="60">
        <v>6152.738212</v>
      </c>
      <c r="J9602" s="59">
        <v>14.0</v>
      </c>
      <c r="K9602" s="61">
        <f t="shared" si="1"/>
        <v>0</v>
      </c>
      <c r="L9602" s="62">
        <f t="shared" si="2"/>
        <v>14</v>
      </c>
    </row>
    <row r="9603">
      <c r="A9603" s="58">
        <v>45231.0</v>
      </c>
      <c r="B9603" s="24" t="s">
        <v>6787</v>
      </c>
      <c r="C9603" s="24" t="s">
        <v>6822</v>
      </c>
      <c r="D9603" s="59">
        <v>1.0</v>
      </c>
      <c r="E9603" s="59">
        <v>4.0</v>
      </c>
      <c r="F9603" s="59">
        <v>0.0</v>
      </c>
      <c r="G9603" s="60">
        <v>4.0</v>
      </c>
      <c r="H9603" s="60">
        <v>0.0</v>
      </c>
      <c r="I9603" s="60">
        <v>331.93651075</v>
      </c>
      <c r="J9603" s="59">
        <v>24.0</v>
      </c>
      <c r="K9603" s="61">
        <f t="shared" si="1"/>
        <v>0</v>
      </c>
      <c r="L9603" s="62">
        <f t="shared" si="2"/>
        <v>6</v>
      </c>
    </row>
    <row r="9604">
      <c r="A9604" s="58">
        <v>45231.0</v>
      </c>
      <c r="B9604" s="24" t="s">
        <v>6787</v>
      </c>
      <c r="C9604" s="24" t="s">
        <v>6892</v>
      </c>
      <c r="D9604" s="59">
        <v>1.0</v>
      </c>
      <c r="E9604" s="59">
        <v>1.0</v>
      </c>
      <c r="F9604" s="59">
        <v>1.0</v>
      </c>
      <c r="G9604" s="60">
        <v>1.0</v>
      </c>
      <c r="H9604" s="60">
        <v>0.0</v>
      </c>
      <c r="I9604" s="60">
        <v>13.007132</v>
      </c>
      <c r="J9604" s="59">
        <v>2.0</v>
      </c>
      <c r="K9604" s="61">
        <f t="shared" si="1"/>
        <v>1</v>
      </c>
      <c r="L9604" s="62">
        <f t="shared" si="2"/>
        <v>2</v>
      </c>
    </row>
    <row r="9605">
      <c r="A9605" s="58">
        <v>45231.0</v>
      </c>
      <c r="B9605" s="24" t="s">
        <v>6791</v>
      </c>
      <c r="C9605" s="24" t="s">
        <v>6892</v>
      </c>
      <c r="D9605" s="59">
        <v>1.0</v>
      </c>
      <c r="E9605" s="59">
        <v>1.0</v>
      </c>
      <c r="F9605" s="59">
        <v>1.0</v>
      </c>
      <c r="G9605" s="60">
        <v>1.0</v>
      </c>
      <c r="H9605" s="60">
        <v>0.0</v>
      </c>
      <c r="I9605" s="60">
        <v>84.582414</v>
      </c>
      <c r="J9605" s="59">
        <v>4.0</v>
      </c>
      <c r="K9605" s="61">
        <f t="shared" si="1"/>
        <v>1</v>
      </c>
      <c r="L9605" s="62">
        <f t="shared" si="2"/>
        <v>4</v>
      </c>
    </row>
    <row r="9606">
      <c r="A9606" s="58">
        <v>45231.0</v>
      </c>
      <c r="B9606" s="24" t="s">
        <v>6790</v>
      </c>
      <c r="C9606" s="24" t="s">
        <v>7002</v>
      </c>
      <c r="D9606" s="59">
        <v>1.0</v>
      </c>
      <c r="E9606" s="59">
        <v>1.0</v>
      </c>
      <c r="F9606" s="59">
        <v>0.0</v>
      </c>
      <c r="G9606" s="60">
        <v>1.0</v>
      </c>
      <c r="H9606" s="60">
        <v>0.0</v>
      </c>
      <c r="I9606" s="60">
        <v>7.325897</v>
      </c>
      <c r="J9606" s="59">
        <v>2.0</v>
      </c>
      <c r="K9606" s="61">
        <f t="shared" si="1"/>
        <v>0</v>
      </c>
      <c r="L9606" s="62">
        <f t="shared" si="2"/>
        <v>2</v>
      </c>
    </row>
    <row r="9607">
      <c r="A9607" s="58">
        <v>45231.0</v>
      </c>
      <c r="B9607" s="24" t="s">
        <v>6787</v>
      </c>
      <c r="C9607" s="24" t="s">
        <v>6897</v>
      </c>
      <c r="D9607" s="59">
        <v>1.0</v>
      </c>
      <c r="E9607" s="59">
        <v>1.0</v>
      </c>
      <c r="F9607" s="59">
        <v>1.0</v>
      </c>
      <c r="G9607" s="60">
        <v>1.0</v>
      </c>
      <c r="H9607" s="60">
        <v>0.0</v>
      </c>
      <c r="I9607" s="60">
        <v>4.764585</v>
      </c>
      <c r="J9607" s="59">
        <v>2.0</v>
      </c>
      <c r="K9607" s="61">
        <f t="shared" si="1"/>
        <v>1</v>
      </c>
      <c r="L9607" s="62">
        <f t="shared" si="2"/>
        <v>2</v>
      </c>
    </row>
    <row r="9608">
      <c r="A9608" s="58">
        <v>45231.0</v>
      </c>
      <c r="B9608" s="24" t="s">
        <v>6787</v>
      </c>
      <c r="C9608" s="24" t="s">
        <v>6904</v>
      </c>
      <c r="D9608" s="59">
        <v>1.0</v>
      </c>
      <c r="E9608" s="59">
        <v>1.0</v>
      </c>
      <c r="F9608" s="59">
        <v>1.0</v>
      </c>
      <c r="G9608" s="60">
        <v>1.0</v>
      </c>
      <c r="H9608" s="60">
        <v>0.0</v>
      </c>
      <c r="I9608" s="60">
        <v>2.340173</v>
      </c>
      <c r="J9608" s="59">
        <v>2.0</v>
      </c>
      <c r="K9608" s="61">
        <f t="shared" si="1"/>
        <v>1</v>
      </c>
      <c r="L9608" s="62">
        <f t="shared" si="2"/>
        <v>2</v>
      </c>
    </row>
    <row r="9609">
      <c r="A9609" s="58">
        <v>45231.0</v>
      </c>
      <c r="B9609" s="24" t="s">
        <v>6790</v>
      </c>
      <c r="C9609" s="24" t="s">
        <v>7034</v>
      </c>
      <c r="D9609" s="59">
        <v>1.0</v>
      </c>
      <c r="E9609" s="59">
        <v>1.0</v>
      </c>
      <c r="F9609" s="59">
        <v>0.0</v>
      </c>
      <c r="G9609" s="60">
        <v>1.0</v>
      </c>
      <c r="H9609" s="60">
        <v>0.0</v>
      </c>
      <c r="I9609" s="60">
        <v>1205.19499</v>
      </c>
      <c r="J9609" s="59">
        <v>12.0</v>
      </c>
      <c r="K9609" s="61">
        <f t="shared" si="1"/>
        <v>0</v>
      </c>
      <c r="L9609" s="62">
        <f t="shared" si="2"/>
        <v>12</v>
      </c>
    </row>
    <row r="9610">
      <c r="A9610" s="58">
        <v>45231.0</v>
      </c>
      <c r="B9610" s="24" t="s">
        <v>6787</v>
      </c>
      <c r="C9610" s="24" t="s">
        <v>7204</v>
      </c>
      <c r="D9610" s="59">
        <v>1.0</v>
      </c>
      <c r="E9610" s="59">
        <v>2.0</v>
      </c>
      <c r="F9610" s="59">
        <v>1.0</v>
      </c>
      <c r="G9610" s="60">
        <v>2.0</v>
      </c>
      <c r="H9610" s="60">
        <v>0.0</v>
      </c>
      <c r="I9610" s="60">
        <v>60.477543</v>
      </c>
      <c r="J9610" s="59">
        <v>6.0</v>
      </c>
      <c r="K9610" s="61">
        <f t="shared" si="1"/>
        <v>0.5</v>
      </c>
      <c r="L9610" s="62">
        <f t="shared" si="2"/>
        <v>3</v>
      </c>
    </row>
    <row r="9611">
      <c r="A9611" s="58">
        <v>45231.0</v>
      </c>
      <c r="B9611" s="24" t="s">
        <v>6794</v>
      </c>
      <c r="C9611" s="24" t="s">
        <v>7565</v>
      </c>
      <c r="D9611" s="59">
        <v>1.0</v>
      </c>
      <c r="E9611" s="59">
        <v>1.0</v>
      </c>
      <c r="F9611" s="59">
        <v>0.0</v>
      </c>
      <c r="G9611" s="60">
        <v>1.0</v>
      </c>
      <c r="H9611" s="60">
        <v>0.0</v>
      </c>
      <c r="I9611" s="60">
        <v>221.086463</v>
      </c>
      <c r="J9611" s="59">
        <v>12.0</v>
      </c>
      <c r="K9611" s="61">
        <f t="shared" si="1"/>
        <v>0</v>
      </c>
      <c r="L9611" s="62">
        <f t="shared" si="2"/>
        <v>12</v>
      </c>
    </row>
    <row r="9612">
      <c r="A9612" s="58">
        <v>45231.0</v>
      </c>
      <c r="B9612" s="24" t="s">
        <v>6787</v>
      </c>
      <c r="C9612" s="24" t="s">
        <v>7257</v>
      </c>
      <c r="D9612" s="59">
        <v>1.0</v>
      </c>
      <c r="E9612" s="59">
        <v>2.0</v>
      </c>
      <c r="F9612" s="59">
        <v>0.0</v>
      </c>
      <c r="G9612" s="60">
        <v>2.0</v>
      </c>
      <c r="H9612" s="60">
        <v>0.0</v>
      </c>
      <c r="I9612" s="60">
        <v>5.2869615</v>
      </c>
      <c r="J9612" s="59">
        <v>4.0</v>
      </c>
      <c r="K9612" s="61">
        <f t="shared" si="1"/>
        <v>0</v>
      </c>
      <c r="L9612" s="62">
        <f t="shared" si="2"/>
        <v>2</v>
      </c>
    </row>
    <row r="9613">
      <c r="A9613" s="58">
        <v>45231.0</v>
      </c>
      <c r="B9613" s="24" t="s">
        <v>6790</v>
      </c>
      <c r="C9613" s="24" t="s">
        <v>7257</v>
      </c>
      <c r="D9613" s="59">
        <v>1.0</v>
      </c>
      <c r="E9613" s="59">
        <v>1.0</v>
      </c>
      <c r="F9613" s="59">
        <v>0.0</v>
      </c>
      <c r="G9613" s="60">
        <v>1.0</v>
      </c>
      <c r="H9613" s="60">
        <v>0.0</v>
      </c>
      <c r="I9613" s="60">
        <v>200.432804</v>
      </c>
      <c r="J9613" s="59">
        <v>2.0</v>
      </c>
      <c r="K9613" s="61">
        <f t="shared" si="1"/>
        <v>0</v>
      </c>
      <c r="L9613" s="62">
        <f t="shared" si="2"/>
        <v>2</v>
      </c>
    </row>
    <row r="9614">
      <c r="A9614" s="58">
        <v>45231.0</v>
      </c>
      <c r="B9614" s="24" t="s">
        <v>6787</v>
      </c>
      <c r="C9614" s="24" t="s">
        <v>7592</v>
      </c>
      <c r="D9614" s="59">
        <v>1.0</v>
      </c>
      <c r="E9614" s="59">
        <v>1.0</v>
      </c>
      <c r="F9614" s="59">
        <v>1.0</v>
      </c>
      <c r="G9614" s="60">
        <v>1.0</v>
      </c>
      <c r="H9614" s="60">
        <v>0.0</v>
      </c>
      <c r="I9614" s="60">
        <v>10.914484</v>
      </c>
      <c r="J9614" s="59">
        <v>3.0</v>
      </c>
      <c r="K9614" s="61">
        <f t="shared" si="1"/>
        <v>1</v>
      </c>
      <c r="L9614" s="62">
        <f t="shared" si="2"/>
        <v>3</v>
      </c>
    </row>
    <row r="9615">
      <c r="A9615" s="58">
        <v>45231.0</v>
      </c>
      <c r="B9615" s="24" t="s">
        <v>6787</v>
      </c>
      <c r="C9615" s="24" t="s">
        <v>7225</v>
      </c>
      <c r="D9615" s="59">
        <v>1.0</v>
      </c>
      <c r="E9615" s="59">
        <v>1.0</v>
      </c>
      <c r="F9615" s="59">
        <v>0.0</v>
      </c>
      <c r="G9615" s="60">
        <v>1.0</v>
      </c>
      <c r="H9615" s="60">
        <v>0.0</v>
      </c>
      <c r="I9615" s="60">
        <v>16.627105</v>
      </c>
      <c r="J9615" s="59">
        <v>4.0</v>
      </c>
      <c r="K9615" s="61">
        <f t="shared" si="1"/>
        <v>0</v>
      </c>
      <c r="L9615" s="62">
        <f t="shared" si="2"/>
        <v>4</v>
      </c>
    </row>
    <row r="9616">
      <c r="A9616" s="58">
        <v>45231.0</v>
      </c>
      <c r="B9616" s="24" t="s">
        <v>6787</v>
      </c>
      <c r="C9616" s="24" t="s">
        <v>7605</v>
      </c>
      <c r="D9616" s="59">
        <v>1.0</v>
      </c>
      <c r="E9616" s="59">
        <v>3.0</v>
      </c>
      <c r="F9616" s="59">
        <v>0.0</v>
      </c>
      <c r="G9616" s="60">
        <v>3.0</v>
      </c>
      <c r="H9616" s="60">
        <v>0.0</v>
      </c>
      <c r="I9616" s="60">
        <v>3.479694</v>
      </c>
      <c r="J9616" s="59">
        <v>6.0</v>
      </c>
      <c r="K9616" s="61">
        <f t="shared" si="1"/>
        <v>0</v>
      </c>
      <c r="L9616" s="62">
        <f t="shared" si="2"/>
        <v>2</v>
      </c>
    </row>
    <row r="9617">
      <c r="A9617" s="58">
        <v>45231.0</v>
      </c>
      <c r="B9617" s="24" t="s">
        <v>155</v>
      </c>
      <c r="C9617" s="24" t="s">
        <v>7530</v>
      </c>
      <c r="D9617" s="59">
        <v>1.0</v>
      </c>
      <c r="E9617" s="59">
        <v>1.0</v>
      </c>
      <c r="F9617" s="59">
        <v>0.0</v>
      </c>
      <c r="G9617" s="60">
        <v>1.0</v>
      </c>
      <c r="H9617" s="60">
        <v>0.0</v>
      </c>
      <c r="I9617" s="60">
        <v>28.851952</v>
      </c>
      <c r="J9617" s="59">
        <v>2.0</v>
      </c>
      <c r="K9617" s="61">
        <f t="shared" si="1"/>
        <v>0</v>
      </c>
      <c r="L9617" s="62">
        <f t="shared" si="2"/>
        <v>2</v>
      </c>
    </row>
    <row r="9618">
      <c r="A9618" s="58">
        <v>45231.0</v>
      </c>
      <c r="B9618" s="24" t="s">
        <v>6787</v>
      </c>
      <c r="C9618" s="24" t="s">
        <v>7207</v>
      </c>
      <c r="D9618" s="59">
        <v>1.0</v>
      </c>
      <c r="E9618" s="59">
        <v>1.0</v>
      </c>
      <c r="F9618" s="59">
        <v>1.0</v>
      </c>
      <c r="G9618" s="60">
        <v>1.0</v>
      </c>
      <c r="H9618" s="60">
        <v>0.0</v>
      </c>
      <c r="I9618" s="60">
        <v>47.821989</v>
      </c>
      <c r="J9618" s="59">
        <v>8.0</v>
      </c>
      <c r="K9618" s="61">
        <f t="shared" si="1"/>
        <v>1</v>
      </c>
      <c r="L9618" s="62">
        <f t="shared" si="2"/>
        <v>8</v>
      </c>
    </row>
    <row r="9619">
      <c r="A9619" s="58">
        <v>45231.0</v>
      </c>
      <c r="B9619" s="24" t="s">
        <v>6787</v>
      </c>
      <c r="C9619" s="24" t="s">
        <v>7261</v>
      </c>
      <c r="D9619" s="59">
        <v>1.0</v>
      </c>
      <c r="E9619" s="59">
        <v>1.0</v>
      </c>
      <c r="F9619" s="59">
        <v>1.0</v>
      </c>
      <c r="G9619" s="60">
        <v>1.0</v>
      </c>
      <c r="H9619" s="60">
        <v>0.0</v>
      </c>
      <c r="I9619" s="60">
        <v>19.03784</v>
      </c>
      <c r="J9619" s="59">
        <v>4.0</v>
      </c>
      <c r="K9619" s="61">
        <f t="shared" si="1"/>
        <v>1</v>
      </c>
      <c r="L9619" s="62">
        <f t="shared" si="2"/>
        <v>4</v>
      </c>
    </row>
    <row r="9620">
      <c r="A9620" s="58">
        <v>45231.0</v>
      </c>
      <c r="B9620" s="24" t="s">
        <v>155</v>
      </c>
      <c r="C9620" s="24" t="s">
        <v>7261</v>
      </c>
      <c r="D9620" s="59">
        <v>1.0</v>
      </c>
      <c r="E9620" s="59">
        <v>1.0</v>
      </c>
      <c r="F9620" s="59">
        <v>0.0</v>
      </c>
      <c r="G9620" s="60">
        <v>1.0</v>
      </c>
      <c r="H9620" s="60">
        <v>0.0</v>
      </c>
      <c r="I9620" s="60">
        <v>31.502887</v>
      </c>
      <c r="J9620" s="59">
        <v>2.0</v>
      </c>
      <c r="K9620" s="61">
        <f t="shared" si="1"/>
        <v>0</v>
      </c>
      <c r="L9620" s="62">
        <f t="shared" si="2"/>
        <v>2</v>
      </c>
    </row>
    <row r="9621">
      <c r="A9621" s="58">
        <v>45231.0</v>
      </c>
      <c r="B9621" s="24" t="s">
        <v>6787</v>
      </c>
      <c r="C9621" s="24" t="s">
        <v>6907</v>
      </c>
      <c r="D9621" s="59">
        <v>1.0</v>
      </c>
      <c r="E9621" s="59">
        <v>1.0</v>
      </c>
      <c r="F9621" s="59">
        <v>1.0</v>
      </c>
      <c r="G9621" s="60">
        <v>1.0</v>
      </c>
      <c r="H9621" s="60">
        <v>0.0</v>
      </c>
      <c r="I9621" s="60">
        <v>6.203363</v>
      </c>
      <c r="J9621" s="59">
        <v>4.0</v>
      </c>
      <c r="K9621" s="61">
        <f t="shared" si="1"/>
        <v>1</v>
      </c>
      <c r="L9621" s="62">
        <f t="shared" si="2"/>
        <v>4</v>
      </c>
    </row>
    <row r="9622">
      <c r="A9622" s="58">
        <v>45231.0</v>
      </c>
      <c r="B9622" s="24" t="s">
        <v>6789</v>
      </c>
      <c r="C9622" s="24" t="s">
        <v>6907</v>
      </c>
      <c r="D9622" s="59">
        <v>1.0</v>
      </c>
      <c r="E9622" s="59">
        <v>1.0</v>
      </c>
      <c r="F9622" s="59">
        <v>1.0</v>
      </c>
      <c r="G9622" s="60">
        <v>1.0</v>
      </c>
      <c r="H9622" s="60">
        <v>0.0</v>
      </c>
      <c r="I9622" s="60">
        <v>4.865802</v>
      </c>
      <c r="J9622" s="59">
        <v>2.0</v>
      </c>
      <c r="K9622" s="61">
        <f t="shared" si="1"/>
        <v>1</v>
      </c>
      <c r="L9622" s="62">
        <f t="shared" si="2"/>
        <v>2</v>
      </c>
    </row>
    <row r="9623">
      <c r="A9623" s="58">
        <v>45231.0</v>
      </c>
      <c r="B9623" s="24" t="s">
        <v>155</v>
      </c>
      <c r="C9623" s="24" t="s">
        <v>6808</v>
      </c>
      <c r="D9623" s="59">
        <v>1.0</v>
      </c>
      <c r="E9623" s="59">
        <v>1.0</v>
      </c>
      <c r="F9623" s="59">
        <v>0.0</v>
      </c>
      <c r="G9623" s="60">
        <v>1.0</v>
      </c>
      <c r="H9623" s="60">
        <v>0.0</v>
      </c>
      <c r="I9623" s="60">
        <v>6.873603</v>
      </c>
      <c r="J9623" s="59">
        <v>2.0</v>
      </c>
      <c r="K9623" s="61">
        <f t="shared" si="1"/>
        <v>0</v>
      </c>
      <c r="L9623" s="62">
        <f t="shared" si="2"/>
        <v>2</v>
      </c>
    </row>
    <row r="9624">
      <c r="A9624" s="58">
        <v>45231.0</v>
      </c>
      <c r="B9624" s="24" t="s">
        <v>6790</v>
      </c>
      <c r="C9624" s="24" t="s">
        <v>6808</v>
      </c>
      <c r="D9624" s="59">
        <v>1.0</v>
      </c>
      <c r="E9624" s="59">
        <v>1.0</v>
      </c>
      <c r="F9624" s="59">
        <v>0.0</v>
      </c>
      <c r="G9624" s="60">
        <v>1.0</v>
      </c>
      <c r="H9624" s="60">
        <v>0.0</v>
      </c>
      <c r="I9624" s="60">
        <v>88.862551</v>
      </c>
      <c r="J9624" s="59">
        <v>2.0</v>
      </c>
      <c r="K9624" s="61">
        <f t="shared" si="1"/>
        <v>0</v>
      </c>
      <c r="L9624" s="62">
        <f t="shared" si="2"/>
        <v>2</v>
      </c>
    </row>
    <row r="9625">
      <c r="A9625" s="58">
        <v>45231.0</v>
      </c>
      <c r="B9625" s="24" t="s">
        <v>6789</v>
      </c>
      <c r="C9625" s="24" t="s">
        <v>7087</v>
      </c>
      <c r="D9625" s="59">
        <v>1.0</v>
      </c>
      <c r="E9625" s="59">
        <v>1.0</v>
      </c>
      <c r="F9625" s="59">
        <v>1.0</v>
      </c>
      <c r="G9625" s="60">
        <v>1.0</v>
      </c>
      <c r="H9625" s="60">
        <v>0.0</v>
      </c>
      <c r="I9625" s="60">
        <v>11.428403</v>
      </c>
      <c r="J9625" s="59">
        <v>4.0</v>
      </c>
      <c r="K9625" s="61">
        <f t="shared" si="1"/>
        <v>1</v>
      </c>
      <c r="L9625" s="62">
        <f t="shared" si="2"/>
        <v>4</v>
      </c>
    </row>
    <row r="9626">
      <c r="A9626" s="58">
        <v>45231.0</v>
      </c>
      <c r="B9626" s="24" t="s">
        <v>6787</v>
      </c>
      <c r="C9626" s="24" t="s">
        <v>7013</v>
      </c>
      <c r="D9626" s="59">
        <v>1.0</v>
      </c>
      <c r="E9626" s="59">
        <v>2.0</v>
      </c>
      <c r="F9626" s="59">
        <v>1.0</v>
      </c>
      <c r="G9626" s="60">
        <v>2.0</v>
      </c>
      <c r="H9626" s="60">
        <v>0.0</v>
      </c>
      <c r="I9626" s="60">
        <v>1100.402539</v>
      </c>
      <c r="J9626" s="59">
        <v>8.0</v>
      </c>
      <c r="K9626" s="61">
        <f t="shared" si="1"/>
        <v>0.5</v>
      </c>
      <c r="L9626" s="62">
        <f t="shared" si="2"/>
        <v>4</v>
      </c>
    </row>
    <row r="9627">
      <c r="A9627" s="58">
        <v>45231.0</v>
      </c>
      <c r="B9627" s="24" t="s">
        <v>6789</v>
      </c>
      <c r="C9627" s="24" t="s">
        <v>7013</v>
      </c>
      <c r="D9627" s="59">
        <v>1.0</v>
      </c>
      <c r="E9627" s="59">
        <v>1.0</v>
      </c>
      <c r="F9627" s="59">
        <v>0.0</v>
      </c>
      <c r="G9627" s="60">
        <v>1.0</v>
      </c>
      <c r="H9627" s="60">
        <v>0.0</v>
      </c>
      <c r="I9627" s="60">
        <v>5.347536</v>
      </c>
      <c r="J9627" s="59">
        <v>2.0</v>
      </c>
      <c r="K9627" s="61">
        <f t="shared" si="1"/>
        <v>0</v>
      </c>
      <c r="L9627" s="62">
        <f t="shared" si="2"/>
        <v>2</v>
      </c>
    </row>
    <row r="9628">
      <c r="A9628" s="58">
        <v>45231.0</v>
      </c>
      <c r="B9628" s="24" t="s">
        <v>6790</v>
      </c>
      <c r="C9628" s="24" t="s">
        <v>7013</v>
      </c>
      <c r="D9628" s="59">
        <v>1.0</v>
      </c>
      <c r="E9628" s="59">
        <v>1.0</v>
      </c>
      <c r="F9628" s="59">
        <v>1.0</v>
      </c>
      <c r="G9628" s="60">
        <v>1.0</v>
      </c>
      <c r="H9628" s="60">
        <v>0.0</v>
      </c>
      <c r="I9628" s="60">
        <v>5.567369</v>
      </c>
      <c r="J9628" s="59">
        <v>2.0</v>
      </c>
      <c r="K9628" s="61">
        <f t="shared" si="1"/>
        <v>1</v>
      </c>
      <c r="L9628" s="62">
        <f t="shared" si="2"/>
        <v>2</v>
      </c>
    </row>
    <row r="9629">
      <c r="A9629" s="58">
        <v>45231.0</v>
      </c>
      <c r="B9629" s="24" t="s">
        <v>6787</v>
      </c>
      <c r="C9629" s="24" t="s">
        <v>7101</v>
      </c>
      <c r="D9629" s="59">
        <v>1.0</v>
      </c>
      <c r="E9629" s="59">
        <v>1.0</v>
      </c>
      <c r="F9629" s="59">
        <v>1.0</v>
      </c>
      <c r="G9629" s="60">
        <v>1.0</v>
      </c>
      <c r="H9629" s="60">
        <v>1.0</v>
      </c>
      <c r="I9629" s="60">
        <v>0.0</v>
      </c>
      <c r="J9629" s="59">
        <v>1.0</v>
      </c>
      <c r="K9629" s="61">
        <f t="shared" si="1"/>
        <v>1</v>
      </c>
      <c r="L9629" s="62">
        <f t="shared" si="2"/>
        <v>1</v>
      </c>
    </row>
    <row r="9630">
      <c r="A9630" s="58">
        <v>45231.0</v>
      </c>
      <c r="B9630" s="24" t="s">
        <v>155</v>
      </c>
      <c r="C9630" s="24" t="s">
        <v>7101</v>
      </c>
      <c r="D9630" s="59">
        <v>1.0</v>
      </c>
      <c r="E9630" s="59">
        <v>1.0</v>
      </c>
      <c r="F9630" s="59">
        <v>0.0</v>
      </c>
      <c r="G9630" s="60">
        <v>1.0</v>
      </c>
      <c r="H9630" s="60">
        <v>0.0</v>
      </c>
      <c r="I9630" s="60">
        <v>28.222067</v>
      </c>
      <c r="J9630" s="59">
        <v>2.0</v>
      </c>
      <c r="K9630" s="61">
        <f t="shared" si="1"/>
        <v>0</v>
      </c>
      <c r="L9630" s="62">
        <f t="shared" si="2"/>
        <v>2</v>
      </c>
    </row>
    <row r="9631">
      <c r="A9631" s="58">
        <v>45231.0</v>
      </c>
      <c r="B9631" s="24" t="s">
        <v>6787</v>
      </c>
      <c r="C9631" s="24" t="s">
        <v>7044</v>
      </c>
      <c r="D9631" s="59">
        <v>1.0</v>
      </c>
      <c r="E9631" s="59">
        <v>1.0</v>
      </c>
      <c r="F9631" s="59">
        <v>0.0</v>
      </c>
      <c r="G9631" s="60">
        <v>1.0</v>
      </c>
      <c r="H9631" s="60">
        <v>0.0</v>
      </c>
      <c r="I9631" s="60">
        <v>1321.191847</v>
      </c>
      <c r="J9631" s="59">
        <v>4.0</v>
      </c>
      <c r="K9631" s="61">
        <f t="shared" si="1"/>
        <v>0</v>
      </c>
      <c r="L9631" s="62">
        <f t="shared" si="2"/>
        <v>4</v>
      </c>
    </row>
    <row r="9632">
      <c r="A9632" s="58">
        <v>45231.0</v>
      </c>
      <c r="B9632" s="24" t="s">
        <v>6787</v>
      </c>
      <c r="C9632" s="24" t="s">
        <v>6908</v>
      </c>
      <c r="D9632" s="59">
        <v>1.0</v>
      </c>
      <c r="E9632" s="59">
        <v>1.0</v>
      </c>
      <c r="F9632" s="59">
        <v>1.0</v>
      </c>
      <c r="G9632" s="60">
        <v>1.0</v>
      </c>
      <c r="H9632" s="60">
        <v>1.0</v>
      </c>
      <c r="I9632" s="60">
        <v>0.0</v>
      </c>
      <c r="J9632" s="59">
        <v>1.0</v>
      </c>
      <c r="K9632" s="61">
        <f t="shared" si="1"/>
        <v>1</v>
      </c>
      <c r="L9632" s="62">
        <f t="shared" si="2"/>
        <v>1</v>
      </c>
    </row>
    <row r="9633">
      <c r="A9633" s="58">
        <v>45231.0</v>
      </c>
      <c r="B9633" s="24" t="s">
        <v>6789</v>
      </c>
      <c r="C9633" s="24" t="s">
        <v>7172</v>
      </c>
      <c r="D9633" s="59">
        <v>1.0</v>
      </c>
      <c r="E9633" s="59">
        <v>1.0</v>
      </c>
      <c r="F9633" s="59">
        <v>0.0</v>
      </c>
      <c r="G9633" s="60">
        <v>1.0</v>
      </c>
      <c r="H9633" s="60">
        <v>0.0</v>
      </c>
      <c r="I9633" s="60">
        <v>629.630779</v>
      </c>
      <c r="J9633" s="59">
        <v>2.0</v>
      </c>
      <c r="K9633" s="61">
        <f t="shared" si="1"/>
        <v>0</v>
      </c>
      <c r="L9633" s="62">
        <f t="shared" si="2"/>
        <v>2</v>
      </c>
    </row>
    <row r="9634">
      <c r="A9634" s="58">
        <v>45231.0</v>
      </c>
      <c r="B9634" s="24" t="s">
        <v>6789</v>
      </c>
      <c r="C9634" s="24" t="s">
        <v>6801</v>
      </c>
      <c r="D9634" s="59">
        <v>1.0</v>
      </c>
      <c r="E9634" s="59">
        <v>1.0</v>
      </c>
      <c r="F9634" s="59">
        <v>1.0</v>
      </c>
      <c r="G9634" s="60">
        <v>1.0</v>
      </c>
      <c r="H9634" s="60">
        <v>0.0</v>
      </c>
      <c r="I9634" s="60">
        <v>42.703703</v>
      </c>
      <c r="J9634" s="59">
        <v>4.0</v>
      </c>
      <c r="K9634" s="61">
        <f t="shared" si="1"/>
        <v>1</v>
      </c>
      <c r="L9634" s="62">
        <f t="shared" si="2"/>
        <v>4</v>
      </c>
    </row>
    <row r="9635">
      <c r="A9635" s="58">
        <v>45231.0</v>
      </c>
      <c r="B9635" s="24" t="s">
        <v>6789</v>
      </c>
      <c r="C9635" s="24" t="s">
        <v>7102</v>
      </c>
      <c r="D9635" s="59">
        <v>1.0</v>
      </c>
      <c r="E9635" s="59">
        <v>1.0</v>
      </c>
      <c r="F9635" s="59">
        <v>0.0</v>
      </c>
      <c r="G9635" s="60">
        <v>1.0</v>
      </c>
      <c r="H9635" s="60">
        <v>0.0</v>
      </c>
      <c r="I9635" s="60">
        <v>323.173584</v>
      </c>
      <c r="J9635" s="59">
        <v>8.0</v>
      </c>
      <c r="K9635" s="61">
        <f t="shared" si="1"/>
        <v>0</v>
      </c>
      <c r="L9635" s="62">
        <f t="shared" si="2"/>
        <v>8</v>
      </c>
    </row>
    <row r="9636">
      <c r="A9636" s="58">
        <v>45231.0</v>
      </c>
      <c r="B9636" s="24" t="s">
        <v>6787</v>
      </c>
      <c r="C9636" s="24" t="s">
        <v>7023</v>
      </c>
      <c r="D9636" s="59">
        <v>1.0</v>
      </c>
      <c r="E9636" s="59">
        <v>1.0</v>
      </c>
      <c r="F9636" s="59">
        <v>1.0</v>
      </c>
      <c r="G9636" s="60">
        <v>1.0</v>
      </c>
      <c r="H9636" s="60">
        <v>0.0</v>
      </c>
      <c r="I9636" s="60">
        <v>4.828719</v>
      </c>
      <c r="J9636" s="59">
        <v>2.0</v>
      </c>
      <c r="K9636" s="61">
        <f t="shared" si="1"/>
        <v>1</v>
      </c>
      <c r="L9636" s="62">
        <f t="shared" si="2"/>
        <v>2</v>
      </c>
    </row>
    <row r="9637">
      <c r="A9637" s="58">
        <v>45231.0</v>
      </c>
      <c r="B9637" s="24" t="s">
        <v>6789</v>
      </c>
      <c r="C9637" s="24" t="s">
        <v>7023</v>
      </c>
      <c r="D9637" s="59">
        <v>1.0</v>
      </c>
      <c r="E9637" s="59">
        <v>1.0</v>
      </c>
      <c r="F9637" s="59">
        <v>1.0</v>
      </c>
      <c r="G9637" s="60">
        <v>1.0</v>
      </c>
      <c r="H9637" s="60">
        <v>0.0</v>
      </c>
      <c r="I9637" s="60">
        <v>15.917473</v>
      </c>
      <c r="J9637" s="59">
        <v>2.0</v>
      </c>
      <c r="K9637" s="61">
        <f t="shared" si="1"/>
        <v>1</v>
      </c>
      <c r="L9637" s="62">
        <f t="shared" si="2"/>
        <v>2</v>
      </c>
    </row>
    <row r="9638">
      <c r="A9638" s="58">
        <v>45231.0</v>
      </c>
      <c r="B9638" s="24" t="s">
        <v>6790</v>
      </c>
      <c r="C9638" s="24" t="s">
        <v>7023</v>
      </c>
      <c r="D9638" s="59">
        <v>1.0</v>
      </c>
      <c r="E9638" s="59">
        <v>1.0</v>
      </c>
      <c r="F9638" s="59">
        <v>0.0</v>
      </c>
      <c r="G9638" s="60">
        <v>1.0</v>
      </c>
      <c r="H9638" s="60">
        <v>0.0</v>
      </c>
      <c r="I9638" s="60">
        <v>743.354143</v>
      </c>
      <c r="J9638" s="59">
        <v>2.0</v>
      </c>
      <c r="K9638" s="61">
        <f t="shared" si="1"/>
        <v>0</v>
      </c>
      <c r="L9638" s="62">
        <f t="shared" si="2"/>
        <v>2</v>
      </c>
    </row>
    <row r="9639">
      <c r="A9639" s="58">
        <v>45231.0</v>
      </c>
      <c r="B9639" s="24" t="s">
        <v>6794</v>
      </c>
      <c r="C9639" s="24" t="s">
        <v>7174</v>
      </c>
      <c r="D9639" s="59">
        <v>1.0</v>
      </c>
      <c r="E9639" s="59">
        <v>1.0</v>
      </c>
      <c r="F9639" s="59">
        <v>0.0</v>
      </c>
      <c r="G9639" s="60">
        <v>1.0</v>
      </c>
      <c r="H9639" s="60">
        <v>0.0</v>
      </c>
      <c r="I9639" s="60">
        <v>101.521094</v>
      </c>
      <c r="J9639" s="59">
        <v>4.0</v>
      </c>
      <c r="K9639" s="61">
        <f t="shared" si="1"/>
        <v>0</v>
      </c>
      <c r="L9639" s="62">
        <f t="shared" si="2"/>
        <v>4</v>
      </c>
    </row>
    <row r="9640">
      <c r="A9640" s="58">
        <v>45231.0</v>
      </c>
      <c r="B9640" s="24" t="s">
        <v>6791</v>
      </c>
      <c r="C9640" s="24" t="s">
        <v>7192</v>
      </c>
      <c r="D9640" s="59">
        <v>1.0</v>
      </c>
      <c r="E9640" s="59">
        <v>1.0</v>
      </c>
      <c r="F9640" s="59">
        <v>0.0</v>
      </c>
      <c r="G9640" s="60">
        <v>1.0</v>
      </c>
      <c r="H9640" s="60">
        <v>0.0</v>
      </c>
      <c r="I9640" s="60">
        <v>92.522805</v>
      </c>
      <c r="J9640" s="59">
        <v>4.0</v>
      </c>
      <c r="K9640" s="61">
        <f t="shared" si="1"/>
        <v>0</v>
      </c>
      <c r="L9640" s="62">
        <f t="shared" si="2"/>
        <v>4</v>
      </c>
    </row>
    <row r="9641">
      <c r="A9641" s="58">
        <v>45231.0</v>
      </c>
      <c r="B9641" s="24" t="s">
        <v>6790</v>
      </c>
      <c r="C9641" s="24" t="s">
        <v>7192</v>
      </c>
      <c r="D9641" s="59">
        <v>1.0</v>
      </c>
      <c r="E9641" s="59">
        <v>1.0</v>
      </c>
      <c r="F9641" s="59">
        <v>0.0</v>
      </c>
      <c r="G9641" s="60">
        <v>1.0</v>
      </c>
      <c r="H9641" s="60">
        <v>0.0</v>
      </c>
      <c r="I9641" s="60">
        <v>7367.486883</v>
      </c>
      <c r="J9641" s="59">
        <v>92.0</v>
      </c>
      <c r="K9641" s="61">
        <f t="shared" si="1"/>
        <v>0</v>
      </c>
      <c r="L9641" s="62">
        <f t="shared" si="2"/>
        <v>92</v>
      </c>
    </row>
    <row r="9642">
      <c r="A9642" s="58">
        <v>45231.0</v>
      </c>
      <c r="B9642" s="24" t="s">
        <v>6794</v>
      </c>
      <c r="C9642" s="24" t="s">
        <v>7559</v>
      </c>
      <c r="D9642" s="59">
        <v>1.0</v>
      </c>
      <c r="E9642" s="59">
        <v>1.0</v>
      </c>
      <c r="F9642" s="59">
        <v>1.0</v>
      </c>
      <c r="G9642" s="60">
        <v>1.0</v>
      </c>
      <c r="H9642" s="60">
        <v>0.0</v>
      </c>
      <c r="I9642" s="60">
        <v>0.968982</v>
      </c>
      <c r="J9642" s="59">
        <v>2.0</v>
      </c>
      <c r="K9642" s="61">
        <f t="shared" si="1"/>
        <v>1</v>
      </c>
      <c r="L9642" s="62">
        <f t="shared" si="2"/>
        <v>2</v>
      </c>
    </row>
    <row r="9643">
      <c r="A9643" s="58">
        <v>45231.0</v>
      </c>
      <c r="B9643" s="24" t="s">
        <v>6789</v>
      </c>
      <c r="C9643" s="24" t="s">
        <v>7027</v>
      </c>
      <c r="D9643" s="59">
        <v>1.0</v>
      </c>
      <c r="E9643" s="59">
        <v>1.0</v>
      </c>
      <c r="F9643" s="59">
        <v>1.0</v>
      </c>
      <c r="G9643" s="60">
        <v>1.0</v>
      </c>
      <c r="H9643" s="60">
        <v>0.0</v>
      </c>
      <c r="I9643" s="60">
        <v>5.777</v>
      </c>
      <c r="J9643" s="59">
        <v>2.0</v>
      </c>
      <c r="K9643" s="61">
        <f t="shared" si="1"/>
        <v>1</v>
      </c>
      <c r="L9643" s="62">
        <f t="shared" si="2"/>
        <v>2</v>
      </c>
    </row>
    <row r="9644">
      <c r="A9644" s="58">
        <v>45231.0</v>
      </c>
      <c r="B9644" s="24" t="s">
        <v>6787</v>
      </c>
      <c r="C9644" s="24" t="s">
        <v>7180</v>
      </c>
      <c r="D9644" s="59">
        <v>1.0</v>
      </c>
      <c r="E9644" s="59">
        <v>1.0</v>
      </c>
      <c r="F9644" s="59">
        <v>1.0</v>
      </c>
      <c r="G9644" s="60">
        <v>1.0</v>
      </c>
      <c r="H9644" s="60">
        <v>0.0</v>
      </c>
      <c r="I9644" s="60">
        <v>4.53202</v>
      </c>
      <c r="J9644" s="59">
        <v>2.0</v>
      </c>
      <c r="K9644" s="61">
        <f t="shared" si="1"/>
        <v>1</v>
      </c>
      <c r="L9644" s="62">
        <f t="shared" si="2"/>
        <v>2</v>
      </c>
    </row>
    <row r="9645">
      <c r="A9645" s="58">
        <v>45231.0</v>
      </c>
      <c r="B9645" s="24" t="s">
        <v>6787</v>
      </c>
      <c r="C9645" s="24" t="s">
        <v>6921</v>
      </c>
      <c r="D9645" s="59">
        <v>1.0</v>
      </c>
      <c r="E9645" s="59">
        <v>1.0</v>
      </c>
      <c r="F9645" s="59">
        <v>1.0</v>
      </c>
      <c r="G9645" s="60">
        <v>1.0</v>
      </c>
      <c r="H9645" s="60">
        <v>1.0</v>
      </c>
      <c r="I9645" s="60">
        <v>0.0</v>
      </c>
      <c r="J9645" s="59">
        <v>1.0</v>
      </c>
      <c r="K9645" s="61">
        <f t="shared" si="1"/>
        <v>1</v>
      </c>
      <c r="L9645" s="62">
        <f t="shared" si="2"/>
        <v>1</v>
      </c>
    </row>
    <row r="9646">
      <c r="A9646" s="58">
        <v>45231.0</v>
      </c>
      <c r="B9646" s="24" t="s">
        <v>6789</v>
      </c>
      <c r="C9646" s="24" t="s">
        <v>6921</v>
      </c>
      <c r="D9646" s="59">
        <v>1.0</v>
      </c>
      <c r="E9646" s="59">
        <v>1.0</v>
      </c>
      <c r="F9646" s="59">
        <v>0.0</v>
      </c>
      <c r="G9646" s="60">
        <v>1.0</v>
      </c>
      <c r="H9646" s="60">
        <v>0.0</v>
      </c>
      <c r="I9646" s="60">
        <v>72.641945</v>
      </c>
      <c r="J9646" s="59">
        <v>6.0</v>
      </c>
      <c r="K9646" s="61">
        <f t="shared" si="1"/>
        <v>0</v>
      </c>
      <c r="L9646" s="62">
        <f t="shared" si="2"/>
        <v>6</v>
      </c>
    </row>
    <row r="9647">
      <c r="A9647" s="58">
        <v>45231.0</v>
      </c>
      <c r="B9647" s="24" t="s">
        <v>7100</v>
      </c>
      <c r="C9647" s="24" t="s">
        <v>6921</v>
      </c>
      <c r="D9647" s="59">
        <v>1.0</v>
      </c>
      <c r="E9647" s="59">
        <v>1.0</v>
      </c>
      <c r="F9647" s="59">
        <v>1.0</v>
      </c>
      <c r="G9647" s="60">
        <v>1.0</v>
      </c>
      <c r="H9647" s="60">
        <v>0.0</v>
      </c>
      <c r="I9647" s="60">
        <v>16.188614</v>
      </c>
      <c r="J9647" s="59">
        <v>4.0</v>
      </c>
      <c r="K9647" s="61">
        <f t="shared" si="1"/>
        <v>1</v>
      </c>
      <c r="L9647" s="62">
        <f t="shared" si="2"/>
        <v>4</v>
      </c>
    </row>
    <row r="9648">
      <c r="A9648" s="58">
        <v>45231.0</v>
      </c>
      <c r="B9648" s="24" t="s">
        <v>6790</v>
      </c>
      <c r="C9648" s="24" t="s">
        <v>6921</v>
      </c>
      <c r="D9648" s="59">
        <v>1.0</v>
      </c>
      <c r="E9648" s="59">
        <v>1.0</v>
      </c>
      <c r="F9648" s="59">
        <v>0.0</v>
      </c>
      <c r="G9648" s="60">
        <v>1.0</v>
      </c>
      <c r="H9648" s="60">
        <v>1.0</v>
      </c>
      <c r="I9648" s="60">
        <v>0.0</v>
      </c>
      <c r="J9648" s="59">
        <v>1.0</v>
      </c>
      <c r="K9648" s="61">
        <f t="shared" si="1"/>
        <v>0</v>
      </c>
      <c r="L9648" s="62">
        <f t="shared" si="2"/>
        <v>1</v>
      </c>
    </row>
    <row r="9649">
      <c r="A9649" s="58">
        <v>45231.0</v>
      </c>
      <c r="B9649" s="24" t="s">
        <v>6787</v>
      </c>
      <c r="C9649" s="24" t="s">
        <v>6922</v>
      </c>
      <c r="D9649" s="59">
        <v>1.0</v>
      </c>
      <c r="E9649" s="59">
        <v>1.0</v>
      </c>
      <c r="F9649" s="59">
        <v>1.0</v>
      </c>
      <c r="G9649" s="60">
        <v>1.0</v>
      </c>
      <c r="H9649" s="60">
        <v>0.0</v>
      </c>
      <c r="I9649" s="60">
        <v>4.837572</v>
      </c>
      <c r="J9649" s="59">
        <v>2.0</v>
      </c>
      <c r="K9649" s="61">
        <f t="shared" si="1"/>
        <v>1</v>
      </c>
      <c r="L9649" s="62">
        <f t="shared" si="2"/>
        <v>2</v>
      </c>
    </row>
    <row r="9650">
      <c r="A9650" s="58">
        <v>45231.0</v>
      </c>
      <c r="B9650" s="24" t="s">
        <v>6791</v>
      </c>
      <c r="C9650" s="24" t="s">
        <v>6922</v>
      </c>
      <c r="D9650" s="59">
        <v>1.0</v>
      </c>
      <c r="E9650" s="59">
        <v>1.0</v>
      </c>
      <c r="F9650" s="59">
        <v>1.0</v>
      </c>
      <c r="G9650" s="60">
        <v>1.0</v>
      </c>
      <c r="H9650" s="60">
        <v>0.0</v>
      </c>
      <c r="I9650" s="60">
        <v>36.787738</v>
      </c>
      <c r="J9650" s="59">
        <v>2.0</v>
      </c>
      <c r="K9650" s="61">
        <f t="shared" si="1"/>
        <v>1</v>
      </c>
      <c r="L9650" s="62">
        <f t="shared" si="2"/>
        <v>2</v>
      </c>
    </row>
    <row r="9651">
      <c r="A9651" s="58">
        <v>45231.0</v>
      </c>
      <c r="B9651" s="24" t="s">
        <v>6787</v>
      </c>
      <c r="C9651" s="24" t="s">
        <v>7047</v>
      </c>
      <c r="D9651" s="59">
        <v>1.0</v>
      </c>
      <c r="E9651" s="59">
        <v>4.0</v>
      </c>
      <c r="F9651" s="59">
        <v>0.0</v>
      </c>
      <c r="G9651" s="60">
        <v>4.0</v>
      </c>
      <c r="H9651" s="60">
        <v>0.0</v>
      </c>
      <c r="I9651" s="60">
        <v>5.0748755</v>
      </c>
      <c r="J9651" s="59">
        <v>8.0</v>
      </c>
      <c r="K9651" s="61">
        <f t="shared" si="1"/>
        <v>0</v>
      </c>
      <c r="L9651" s="62">
        <f t="shared" si="2"/>
        <v>2</v>
      </c>
    </row>
    <row r="9652">
      <c r="A9652" s="58">
        <v>45231.0</v>
      </c>
      <c r="B9652" s="24" t="s">
        <v>155</v>
      </c>
      <c r="C9652" s="24" t="s">
        <v>6931</v>
      </c>
      <c r="D9652" s="59">
        <v>1.0</v>
      </c>
      <c r="E9652" s="59">
        <v>1.0</v>
      </c>
      <c r="F9652" s="59">
        <v>1.0</v>
      </c>
      <c r="G9652" s="60">
        <v>1.0</v>
      </c>
      <c r="H9652" s="60">
        <v>0.0</v>
      </c>
      <c r="I9652" s="60">
        <v>6.338916</v>
      </c>
      <c r="J9652" s="59">
        <v>4.0</v>
      </c>
      <c r="K9652" s="61">
        <f t="shared" si="1"/>
        <v>1</v>
      </c>
      <c r="L9652" s="62">
        <f t="shared" si="2"/>
        <v>4</v>
      </c>
    </row>
    <row r="9653">
      <c r="A9653" s="58">
        <v>45231.0</v>
      </c>
      <c r="B9653" s="24" t="s">
        <v>6789</v>
      </c>
      <c r="C9653" s="24" t="s">
        <v>6962</v>
      </c>
      <c r="D9653" s="59">
        <v>1.0</v>
      </c>
      <c r="E9653" s="59">
        <v>1.0</v>
      </c>
      <c r="F9653" s="59">
        <v>0.0</v>
      </c>
      <c r="G9653" s="60">
        <v>1.0</v>
      </c>
      <c r="H9653" s="60">
        <v>0.0</v>
      </c>
      <c r="I9653" s="60">
        <v>1286.145524</v>
      </c>
      <c r="J9653" s="59">
        <v>2.0</v>
      </c>
      <c r="K9653" s="61">
        <f t="shared" si="1"/>
        <v>0</v>
      </c>
      <c r="L9653" s="62">
        <f t="shared" si="2"/>
        <v>2</v>
      </c>
    </row>
    <row r="9654">
      <c r="A9654" s="58">
        <v>45231.0</v>
      </c>
      <c r="B9654" s="24" t="s">
        <v>6789</v>
      </c>
      <c r="C9654" s="24" t="s">
        <v>7208</v>
      </c>
      <c r="D9654" s="59">
        <v>1.0</v>
      </c>
      <c r="E9654" s="59">
        <v>1.0</v>
      </c>
      <c r="F9654" s="59">
        <v>0.0</v>
      </c>
      <c r="G9654" s="60">
        <v>1.0</v>
      </c>
      <c r="H9654" s="60">
        <v>0.0</v>
      </c>
      <c r="I9654" s="60">
        <v>0.001647</v>
      </c>
      <c r="J9654" s="59">
        <v>2.0</v>
      </c>
      <c r="K9654" s="61">
        <f t="shared" si="1"/>
        <v>0</v>
      </c>
      <c r="L9654" s="62">
        <f t="shared" si="2"/>
        <v>2</v>
      </c>
    </row>
    <row r="9655">
      <c r="A9655" s="58">
        <v>45231.0</v>
      </c>
      <c r="B9655" s="24" t="s">
        <v>6790</v>
      </c>
      <c r="C9655" s="24" t="s">
        <v>7118</v>
      </c>
      <c r="D9655" s="59">
        <v>1.0</v>
      </c>
      <c r="E9655" s="59">
        <v>1.0</v>
      </c>
      <c r="F9655" s="59">
        <v>0.0</v>
      </c>
      <c r="G9655" s="60">
        <v>1.0</v>
      </c>
      <c r="H9655" s="60">
        <v>0.0</v>
      </c>
      <c r="I9655" s="60">
        <v>31.741283</v>
      </c>
      <c r="J9655" s="59">
        <v>4.0</v>
      </c>
      <c r="K9655" s="61">
        <f t="shared" si="1"/>
        <v>0</v>
      </c>
      <c r="L9655" s="62">
        <f t="shared" si="2"/>
        <v>4</v>
      </c>
    </row>
    <row r="9656">
      <c r="A9656" s="58">
        <v>45200.0</v>
      </c>
      <c r="B9656" s="24" t="s">
        <v>6789</v>
      </c>
      <c r="C9656" s="24" t="s">
        <v>6788</v>
      </c>
      <c r="D9656" s="59">
        <v>644.0</v>
      </c>
      <c r="E9656" s="59">
        <v>911.0</v>
      </c>
      <c r="F9656" s="59">
        <v>545.0</v>
      </c>
      <c r="G9656" s="60">
        <v>1.41459627329192</v>
      </c>
      <c r="H9656" s="60">
        <v>0.00768386388583973</v>
      </c>
      <c r="I9656" s="60">
        <v>222.281469255762</v>
      </c>
      <c r="J9656" s="59">
        <v>3191.0</v>
      </c>
      <c r="K9656" s="61">
        <f t="shared" si="1"/>
        <v>0.5982436883</v>
      </c>
      <c r="L9656" s="62">
        <f t="shared" si="2"/>
        <v>3.502744237</v>
      </c>
    </row>
    <row r="9657">
      <c r="A9657" s="58">
        <v>45200.0</v>
      </c>
      <c r="B9657" s="24" t="s">
        <v>6787</v>
      </c>
      <c r="C9657" s="24" t="s">
        <v>6788</v>
      </c>
      <c r="D9657" s="59">
        <v>410.0</v>
      </c>
      <c r="E9657" s="59">
        <v>561.0</v>
      </c>
      <c r="F9657" s="59">
        <v>360.0</v>
      </c>
      <c r="G9657" s="60">
        <v>1.36829268292682</v>
      </c>
      <c r="H9657" s="60">
        <v>0.0641711229946524</v>
      </c>
      <c r="I9657" s="60">
        <v>99.1375841408199</v>
      </c>
      <c r="J9657" s="59">
        <v>1684.0</v>
      </c>
      <c r="K9657" s="61">
        <f t="shared" si="1"/>
        <v>0.6417112299</v>
      </c>
      <c r="L9657" s="62">
        <f t="shared" si="2"/>
        <v>3.001782531</v>
      </c>
    </row>
    <row r="9658">
      <c r="A9658" s="58">
        <v>45200.0</v>
      </c>
      <c r="B9658" s="24" t="s">
        <v>155</v>
      </c>
      <c r="C9658" s="24" t="s">
        <v>6788</v>
      </c>
      <c r="D9658" s="59">
        <v>199.0</v>
      </c>
      <c r="E9658" s="59">
        <v>319.0</v>
      </c>
      <c r="F9658" s="59">
        <v>177.0</v>
      </c>
      <c r="G9658" s="60">
        <v>1.60301507537688</v>
      </c>
      <c r="H9658" s="60">
        <v>0.00940438871473354</v>
      </c>
      <c r="I9658" s="60">
        <v>297.162564025078</v>
      </c>
      <c r="J9658" s="59">
        <v>1197.0</v>
      </c>
      <c r="K9658" s="61">
        <f t="shared" si="1"/>
        <v>0.5548589342</v>
      </c>
      <c r="L9658" s="62">
        <f t="shared" si="2"/>
        <v>3.752351097</v>
      </c>
    </row>
    <row r="9659">
      <c r="A9659" s="58">
        <v>45200.0</v>
      </c>
      <c r="B9659" s="24" t="s">
        <v>6789</v>
      </c>
      <c r="C9659" s="24" t="s">
        <v>6792</v>
      </c>
      <c r="D9659" s="59">
        <v>134.0</v>
      </c>
      <c r="E9659" s="59">
        <v>164.0</v>
      </c>
      <c r="F9659" s="59">
        <v>3.0</v>
      </c>
      <c r="G9659" s="60">
        <v>1.54716981132075</v>
      </c>
      <c r="H9659" s="60">
        <v>0.957317073170731</v>
      </c>
      <c r="I9659" s="60">
        <v>14.0494727439024</v>
      </c>
      <c r="J9659" s="59">
        <v>0.0</v>
      </c>
      <c r="K9659" s="61">
        <f t="shared" si="1"/>
        <v>0.01829268293</v>
      </c>
      <c r="L9659" s="62">
        <f t="shared" si="2"/>
        <v>0</v>
      </c>
    </row>
    <row r="9660">
      <c r="A9660" s="58">
        <v>45200.0</v>
      </c>
      <c r="B9660" s="24" t="s">
        <v>7100</v>
      </c>
      <c r="C9660" s="24" t="s">
        <v>6788</v>
      </c>
      <c r="D9660" s="59">
        <v>130.0</v>
      </c>
      <c r="E9660" s="59">
        <v>147.0</v>
      </c>
      <c r="F9660" s="59">
        <v>124.0</v>
      </c>
      <c r="G9660" s="60">
        <v>1.13953488372093</v>
      </c>
      <c r="H9660" s="60">
        <v>0.0340136054421768</v>
      </c>
      <c r="I9660" s="60">
        <v>41.5813197006802</v>
      </c>
      <c r="J9660" s="59">
        <v>300.0</v>
      </c>
      <c r="K9660" s="61">
        <f t="shared" si="1"/>
        <v>0.843537415</v>
      </c>
      <c r="L9660" s="62">
        <f t="shared" si="2"/>
        <v>2.040816327</v>
      </c>
    </row>
    <row r="9661">
      <c r="A9661" s="58">
        <v>45200.0</v>
      </c>
      <c r="B9661" s="24" t="s">
        <v>7100</v>
      </c>
      <c r="C9661" s="24" t="s">
        <v>7172</v>
      </c>
      <c r="D9661" s="59">
        <v>115.0</v>
      </c>
      <c r="E9661" s="59">
        <v>135.0</v>
      </c>
      <c r="F9661" s="59">
        <v>112.0</v>
      </c>
      <c r="G9661" s="60">
        <v>1.17391304347826</v>
      </c>
      <c r="H9661" s="60">
        <v>0.103703703703703</v>
      </c>
      <c r="I9661" s="60">
        <v>13.9455682962962</v>
      </c>
      <c r="J9661" s="59">
        <v>281.0</v>
      </c>
      <c r="K9661" s="61">
        <f t="shared" si="1"/>
        <v>0.8296296296</v>
      </c>
      <c r="L9661" s="62">
        <f t="shared" si="2"/>
        <v>2.081481481</v>
      </c>
    </row>
    <row r="9662">
      <c r="A9662" s="58">
        <v>45200.0</v>
      </c>
      <c r="B9662" s="24" t="s">
        <v>6794</v>
      </c>
      <c r="C9662" s="24" t="s">
        <v>6788</v>
      </c>
      <c r="D9662" s="59">
        <v>111.0</v>
      </c>
      <c r="E9662" s="59">
        <v>138.0</v>
      </c>
      <c r="F9662" s="59">
        <v>93.0</v>
      </c>
      <c r="G9662" s="60">
        <v>1.24324324324324</v>
      </c>
      <c r="H9662" s="60">
        <v>0.0</v>
      </c>
      <c r="I9662" s="60">
        <v>183.309276442029</v>
      </c>
      <c r="J9662" s="59">
        <v>486.0</v>
      </c>
      <c r="K9662" s="61">
        <f t="shared" si="1"/>
        <v>0.6739130435</v>
      </c>
      <c r="L9662" s="62">
        <f t="shared" si="2"/>
        <v>3.52173913</v>
      </c>
    </row>
    <row r="9663">
      <c r="A9663" s="58">
        <v>45200.0</v>
      </c>
      <c r="B9663" s="24" t="s">
        <v>6787</v>
      </c>
      <c r="C9663" s="24" t="s">
        <v>6792</v>
      </c>
      <c r="D9663" s="59">
        <v>61.0</v>
      </c>
      <c r="E9663" s="59">
        <v>69.0</v>
      </c>
      <c r="F9663" s="59">
        <v>8.0</v>
      </c>
      <c r="G9663" s="60">
        <v>1.4375</v>
      </c>
      <c r="H9663" s="60">
        <v>0.927536231884058</v>
      </c>
      <c r="I9663" s="60">
        <v>2.07980253623188</v>
      </c>
      <c r="J9663" s="59">
        <v>0.0</v>
      </c>
      <c r="K9663" s="61">
        <f t="shared" si="1"/>
        <v>0.115942029</v>
      </c>
      <c r="L9663" s="62">
        <f t="shared" si="2"/>
        <v>0</v>
      </c>
    </row>
    <row r="9664">
      <c r="A9664" s="58">
        <v>45200.0</v>
      </c>
      <c r="B9664" s="24" t="s">
        <v>6791</v>
      </c>
      <c r="C9664" s="24" t="s">
        <v>7530</v>
      </c>
      <c r="D9664" s="59">
        <v>59.0</v>
      </c>
      <c r="E9664" s="59">
        <v>61.0</v>
      </c>
      <c r="F9664" s="59">
        <v>55.0</v>
      </c>
      <c r="G9664" s="60">
        <v>1.03389830508474</v>
      </c>
      <c r="H9664" s="60">
        <v>0.0491803278688524</v>
      </c>
      <c r="I9664" s="60">
        <v>200.91730657377</v>
      </c>
      <c r="J9664" s="59">
        <v>180.0</v>
      </c>
      <c r="K9664" s="61">
        <f t="shared" si="1"/>
        <v>0.9016393443</v>
      </c>
      <c r="L9664" s="62">
        <f t="shared" si="2"/>
        <v>2.950819672</v>
      </c>
    </row>
    <row r="9665">
      <c r="A9665" s="58">
        <v>45200.0</v>
      </c>
      <c r="B9665" s="24" t="s">
        <v>6789</v>
      </c>
      <c r="C9665" s="24" t="s">
        <v>7068</v>
      </c>
      <c r="D9665" s="59">
        <v>55.0</v>
      </c>
      <c r="E9665" s="59">
        <v>60.0</v>
      </c>
      <c r="F9665" s="59">
        <v>50.0</v>
      </c>
      <c r="G9665" s="60">
        <v>1.09090909090909</v>
      </c>
      <c r="H9665" s="60">
        <v>0.0166666666666666</v>
      </c>
      <c r="I9665" s="60">
        <v>206.630036033333</v>
      </c>
      <c r="J9665" s="59">
        <v>126.0</v>
      </c>
      <c r="K9665" s="61">
        <f t="shared" si="1"/>
        <v>0.8333333333</v>
      </c>
      <c r="L9665" s="62">
        <f t="shared" si="2"/>
        <v>2.1</v>
      </c>
    </row>
    <row r="9666">
      <c r="A9666" s="58">
        <v>45200.0</v>
      </c>
      <c r="B9666" s="24" t="s">
        <v>6789</v>
      </c>
      <c r="C9666" s="24" t="s">
        <v>6799</v>
      </c>
      <c r="D9666" s="59">
        <v>35.0</v>
      </c>
      <c r="E9666" s="59">
        <v>37.0</v>
      </c>
      <c r="F9666" s="59">
        <v>19.0</v>
      </c>
      <c r="G9666" s="60">
        <v>1.05714285714285</v>
      </c>
      <c r="H9666" s="60">
        <v>0.0</v>
      </c>
      <c r="I9666" s="60">
        <v>135.243952216216</v>
      </c>
      <c r="J9666" s="59">
        <v>120.0</v>
      </c>
      <c r="K9666" s="61">
        <f t="shared" si="1"/>
        <v>0.5135135135</v>
      </c>
      <c r="L9666" s="62">
        <f t="shared" si="2"/>
        <v>3.243243243</v>
      </c>
    </row>
    <row r="9667">
      <c r="A9667" s="58">
        <v>45200.0</v>
      </c>
      <c r="B9667" s="24" t="s">
        <v>6789</v>
      </c>
      <c r="C9667" s="24" t="s">
        <v>6815</v>
      </c>
      <c r="D9667" s="59">
        <v>30.0</v>
      </c>
      <c r="E9667" s="59">
        <v>36.0</v>
      </c>
      <c r="F9667" s="59">
        <v>23.0</v>
      </c>
      <c r="G9667" s="60">
        <v>1.2</v>
      </c>
      <c r="H9667" s="60">
        <v>0.0</v>
      </c>
      <c r="I9667" s="60">
        <v>145.917749972222</v>
      </c>
      <c r="J9667" s="59">
        <v>106.0</v>
      </c>
      <c r="K9667" s="61">
        <f t="shared" si="1"/>
        <v>0.6388888889</v>
      </c>
      <c r="L9667" s="62">
        <f t="shared" si="2"/>
        <v>2.944444444</v>
      </c>
    </row>
    <row r="9668">
      <c r="A9668" s="58">
        <v>45200.0</v>
      </c>
      <c r="B9668" s="24" t="s">
        <v>6787</v>
      </c>
      <c r="C9668" s="24" t="s">
        <v>6815</v>
      </c>
      <c r="D9668" s="59">
        <v>29.0</v>
      </c>
      <c r="E9668" s="59">
        <v>37.0</v>
      </c>
      <c r="F9668" s="59">
        <v>25.0</v>
      </c>
      <c r="G9668" s="60">
        <v>1.27586206896551</v>
      </c>
      <c r="H9668" s="60">
        <v>0.054054054054054</v>
      </c>
      <c r="I9668" s="60">
        <v>91.5158928108108</v>
      </c>
      <c r="J9668" s="59">
        <v>91.0</v>
      </c>
      <c r="K9668" s="61">
        <f t="shared" si="1"/>
        <v>0.6756756757</v>
      </c>
      <c r="L9668" s="62">
        <f t="shared" si="2"/>
        <v>2.459459459</v>
      </c>
    </row>
    <row r="9669">
      <c r="A9669" s="58">
        <v>45200.0</v>
      </c>
      <c r="B9669" s="24" t="s">
        <v>6791</v>
      </c>
      <c r="C9669" s="24" t="s">
        <v>7207</v>
      </c>
      <c r="D9669" s="59">
        <v>25.0</v>
      </c>
      <c r="E9669" s="59">
        <v>26.0</v>
      </c>
      <c r="F9669" s="59">
        <v>25.0</v>
      </c>
      <c r="G9669" s="60">
        <v>1.04</v>
      </c>
      <c r="H9669" s="60">
        <v>0.0</v>
      </c>
      <c r="I9669" s="60">
        <v>159.682719923076</v>
      </c>
      <c r="J9669" s="59">
        <v>81.0</v>
      </c>
      <c r="K9669" s="61">
        <f t="shared" si="1"/>
        <v>0.9615384615</v>
      </c>
      <c r="L9669" s="62">
        <f t="shared" si="2"/>
        <v>3.115384615</v>
      </c>
    </row>
    <row r="9670">
      <c r="A9670" s="58">
        <v>45200.0</v>
      </c>
      <c r="B9670" s="24" t="s">
        <v>6787</v>
      </c>
      <c r="C9670" s="24" t="s">
        <v>6802</v>
      </c>
      <c r="D9670" s="59">
        <v>20.0</v>
      </c>
      <c r="E9670" s="59">
        <v>21.0</v>
      </c>
      <c r="F9670" s="59">
        <v>17.0</v>
      </c>
      <c r="G9670" s="60">
        <v>1.05</v>
      </c>
      <c r="H9670" s="60">
        <v>0.19047619047619</v>
      </c>
      <c r="I9670" s="60">
        <v>223.976131619047</v>
      </c>
      <c r="J9670" s="59">
        <v>125.0</v>
      </c>
      <c r="K9670" s="61">
        <f t="shared" si="1"/>
        <v>0.8095238095</v>
      </c>
      <c r="L9670" s="62">
        <f t="shared" si="2"/>
        <v>5.952380952</v>
      </c>
    </row>
    <row r="9671">
      <c r="A9671" s="58">
        <v>45200.0</v>
      </c>
      <c r="B9671" s="24" t="s">
        <v>6789</v>
      </c>
      <c r="C9671" s="24" t="s">
        <v>6803</v>
      </c>
      <c r="D9671" s="59">
        <v>18.0</v>
      </c>
      <c r="E9671" s="59">
        <v>25.0</v>
      </c>
      <c r="F9671" s="59">
        <v>15.0</v>
      </c>
      <c r="G9671" s="60">
        <v>1.38888888888888</v>
      </c>
      <c r="H9671" s="60">
        <v>0.0</v>
      </c>
      <c r="I9671" s="60">
        <v>158.5554842</v>
      </c>
      <c r="J9671" s="59">
        <v>56.0</v>
      </c>
      <c r="K9671" s="61">
        <f t="shared" si="1"/>
        <v>0.6</v>
      </c>
      <c r="L9671" s="62">
        <f t="shared" si="2"/>
        <v>2.24</v>
      </c>
    </row>
    <row r="9672">
      <c r="A9672" s="58">
        <v>45200.0</v>
      </c>
      <c r="B9672" s="24" t="s">
        <v>6794</v>
      </c>
      <c r="C9672" s="24" t="s">
        <v>6792</v>
      </c>
      <c r="D9672" s="59">
        <v>17.0</v>
      </c>
      <c r="E9672" s="59">
        <v>20.0</v>
      </c>
      <c r="F9672" s="59">
        <v>0.0</v>
      </c>
      <c r="G9672" s="60">
        <v>1.66666666666666</v>
      </c>
      <c r="H9672" s="60">
        <v>0.9</v>
      </c>
      <c r="I9672" s="60">
        <v>32.69502225</v>
      </c>
      <c r="J9672" s="59">
        <v>0.0</v>
      </c>
      <c r="K9672" s="61">
        <f t="shared" si="1"/>
        <v>0</v>
      </c>
      <c r="L9672" s="62">
        <f t="shared" si="2"/>
        <v>0</v>
      </c>
    </row>
    <row r="9673">
      <c r="A9673" s="58">
        <v>45200.0</v>
      </c>
      <c r="B9673" s="24" t="s">
        <v>6791</v>
      </c>
      <c r="C9673" s="24" t="s">
        <v>7206</v>
      </c>
      <c r="D9673" s="59">
        <v>16.0</v>
      </c>
      <c r="E9673" s="59">
        <v>18.0</v>
      </c>
      <c r="F9673" s="59">
        <v>13.0</v>
      </c>
      <c r="G9673" s="60">
        <v>1.125</v>
      </c>
      <c r="H9673" s="60">
        <v>0.0</v>
      </c>
      <c r="I9673" s="60">
        <v>147.519110333333</v>
      </c>
      <c r="J9673" s="59">
        <v>57.0</v>
      </c>
      <c r="K9673" s="61">
        <f t="shared" si="1"/>
        <v>0.7222222222</v>
      </c>
      <c r="L9673" s="62">
        <f t="shared" si="2"/>
        <v>3.166666667</v>
      </c>
    </row>
    <row r="9674">
      <c r="A9674" s="58">
        <v>45200.0</v>
      </c>
      <c r="B9674" s="24" t="s">
        <v>7100</v>
      </c>
      <c r="C9674" s="24" t="s">
        <v>7174</v>
      </c>
      <c r="D9674" s="59">
        <v>16.0</v>
      </c>
      <c r="E9674" s="59">
        <v>16.0</v>
      </c>
      <c r="F9674" s="59">
        <v>16.0</v>
      </c>
      <c r="G9674" s="60">
        <v>1.0</v>
      </c>
      <c r="H9674" s="60">
        <v>0.0625</v>
      </c>
      <c r="I9674" s="60">
        <v>69.6819843125</v>
      </c>
      <c r="J9674" s="59">
        <v>41.0</v>
      </c>
      <c r="K9674" s="61">
        <f t="shared" si="1"/>
        <v>1</v>
      </c>
      <c r="L9674" s="62">
        <f t="shared" si="2"/>
        <v>2.5625</v>
      </c>
    </row>
    <row r="9675">
      <c r="A9675" s="58">
        <v>45200.0</v>
      </c>
      <c r="B9675" s="24" t="s">
        <v>155</v>
      </c>
      <c r="C9675" s="24" t="s">
        <v>6792</v>
      </c>
      <c r="D9675" s="59">
        <v>15.0</v>
      </c>
      <c r="E9675" s="59">
        <v>19.0</v>
      </c>
      <c r="F9675" s="59">
        <v>0.0</v>
      </c>
      <c r="G9675" s="60">
        <v>1.35714285714285</v>
      </c>
      <c r="H9675" s="60">
        <v>1.0</v>
      </c>
      <c r="I9675" s="60">
        <v>0.100087421052631</v>
      </c>
      <c r="J9675" s="59">
        <v>0.0</v>
      </c>
      <c r="K9675" s="61">
        <f t="shared" si="1"/>
        <v>0</v>
      </c>
      <c r="L9675" s="62">
        <f t="shared" si="2"/>
        <v>0</v>
      </c>
    </row>
    <row r="9676">
      <c r="A9676" s="58">
        <v>45200.0</v>
      </c>
      <c r="B9676" s="24" t="s">
        <v>6789</v>
      </c>
      <c r="C9676" s="24" t="s">
        <v>6990</v>
      </c>
      <c r="D9676" s="59">
        <v>15.0</v>
      </c>
      <c r="E9676" s="59">
        <v>16.0</v>
      </c>
      <c r="F9676" s="59">
        <v>15.0</v>
      </c>
      <c r="G9676" s="60">
        <v>1.06666666666666</v>
      </c>
      <c r="H9676" s="60">
        <v>0.0625</v>
      </c>
      <c r="I9676" s="60">
        <v>166.9320330625</v>
      </c>
      <c r="J9676" s="59">
        <v>34.0</v>
      </c>
      <c r="K9676" s="61">
        <f t="shared" si="1"/>
        <v>0.9375</v>
      </c>
      <c r="L9676" s="62">
        <f t="shared" si="2"/>
        <v>2.125</v>
      </c>
    </row>
    <row r="9677">
      <c r="A9677" s="58">
        <v>45200.0</v>
      </c>
      <c r="B9677" s="24" t="s">
        <v>6789</v>
      </c>
      <c r="C9677" s="24" t="s">
        <v>6835</v>
      </c>
      <c r="D9677" s="59">
        <v>14.0</v>
      </c>
      <c r="E9677" s="59">
        <v>19.0</v>
      </c>
      <c r="F9677" s="59">
        <v>13.0</v>
      </c>
      <c r="G9677" s="60">
        <v>1.35714285714285</v>
      </c>
      <c r="H9677" s="60">
        <v>0.0</v>
      </c>
      <c r="I9677" s="60">
        <v>178.108785052631</v>
      </c>
      <c r="J9677" s="59">
        <v>38.0</v>
      </c>
      <c r="K9677" s="61">
        <f t="shared" si="1"/>
        <v>0.6842105263</v>
      </c>
      <c r="L9677" s="62">
        <f t="shared" si="2"/>
        <v>2</v>
      </c>
    </row>
    <row r="9678">
      <c r="A9678" s="58">
        <v>45200.0</v>
      </c>
      <c r="B9678" s="24" t="s">
        <v>6791</v>
      </c>
      <c r="C9678" s="24" t="s">
        <v>6792</v>
      </c>
      <c r="D9678" s="59">
        <v>13.0</v>
      </c>
      <c r="E9678" s="59">
        <v>15.0</v>
      </c>
      <c r="F9678" s="59">
        <v>1.0</v>
      </c>
      <c r="G9678" s="60">
        <v>1.66666666666666</v>
      </c>
      <c r="H9678" s="60">
        <v>1.0</v>
      </c>
      <c r="I9678" s="60">
        <v>0.452517266666666</v>
      </c>
      <c r="J9678" s="59">
        <v>0.0</v>
      </c>
      <c r="K9678" s="61">
        <f t="shared" si="1"/>
        <v>0.06666666667</v>
      </c>
      <c r="L9678" s="62">
        <f t="shared" si="2"/>
        <v>0</v>
      </c>
    </row>
    <row r="9679">
      <c r="A9679" s="58">
        <v>45200.0</v>
      </c>
      <c r="B9679" s="24" t="s">
        <v>6787</v>
      </c>
      <c r="C9679" s="24" t="s">
        <v>6799</v>
      </c>
      <c r="D9679" s="59">
        <v>13.0</v>
      </c>
      <c r="E9679" s="59">
        <v>14.0</v>
      </c>
      <c r="F9679" s="59">
        <v>11.0</v>
      </c>
      <c r="G9679" s="60">
        <v>1.07692307692307</v>
      </c>
      <c r="H9679" s="60">
        <v>0.142857142857142</v>
      </c>
      <c r="I9679" s="60">
        <v>335.022765214285</v>
      </c>
      <c r="J9679" s="59">
        <v>51.0</v>
      </c>
      <c r="K9679" s="61">
        <f t="shared" si="1"/>
        <v>0.7857142857</v>
      </c>
      <c r="L9679" s="62">
        <f t="shared" si="2"/>
        <v>3.642857143</v>
      </c>
    </row>
    <row r="9680">
      <c r="A9680" s="58">
        <v>45200.0</v>
      </c>
      <c r="B9680" s="24" t="s">
        <v>6794</v>
      </c>
      <c r="C9680" s="24" t="s">
        <v>6815</v>
      </c>
      <c r="D9680" s="59">
        <v>13.0</v>
      </c>
      <c r="E9680" s="59">
        <v>24.0</v>
      </c>
      <c r="F9680" s="59">
        <v>11.0</v>
      </c>
      <c r="G9680" s="60">
        <v>1.84615384615384</v>
      </c>
      <c r="H9680" s="60">
        <v>0.0</v>
      </c>
      <c r="I9680" s="60">
        <v>328.641136291666</v>
      </c>
      <c r="J9680" s="59">
        <v>77.0</v>
      </c>
      <c r="K9680" s="61">
        <f t="shared" si="1"/>
        <v>0.4583333333</v>
      </c>
      <c r="L9680" s="62">
        <f t="shared" si="2"/>
        <v>3.208333333</v>
      </c>
    </row>
    <row r="9681">
      <c r="A9681" s="58">
        <v>45200.0</v>
      </c>
      <c r="B9681" s="24" t="s">
        <v>6789</v>
      </c>
      <c r="C9681" s="24" t="s">
        <v>6802</v>
      </c>
      <c r="D9681" s="59">
        <v>13.0</v>
      </c>
      <c r="E9681" s="59">
        <v>14.0</v>
      </c>
      <c r="F9681" s="59">
        <v>2.0</v>
      </c>
      <c r="G9681" s="60">
        <v>1.07692307692307</v>
      </c>
      <c r="H9681" s="60">
        <v>0.0</v>
      </c>
      <c r="I9681" s="60">
        <v>403.451385357142</v>
      </c>
      <c r="J9681" s="59">
        <v>87.0</v>
      </c>
      <c r="K9681" s="61">
        <f t="shared" si="1"/>
        <v>0.1428571429</v>
      </c>
      <c r="L9681" s="62">
        <f t="shared" si="2"/>
        <v>6.214285714</v>
      </c>
    </row>
    <row r="9682">
      <c r="A9682" s="58">
        <v>45200.0</v>
      </c>
      <c r="B9682" s="24" t="s">
        <v>6790</v>
      </c>
      <c r="C9682" s="24" t="s">
        <v>6788</v>
      </c>
      <c r="D9682" s="59">
        <v>12.0</v>
      </c>
      <c r="E9682" s="59">
        <v>14.0</v>
      </c>
      <c r="F9682" s="59">
        <v>8.0</v>
      </c>
      <c r="G9682" s="60">
        <v>1.16666666666666</v>
      </c>
      <c r="H9682" s="60">
        <v>0.214285714285714</v>
      </c>
      <c r="I9682" s="60">
        <v>120.177305642857</v>
      </c>
      <c r="J9682" s="59">
        <v>59.0</v>
      </c>
      <c r="K9682" s="61">
        <f t="shared" si="1"/>
        <v>0.5714285714</v>
      </c>
      <c r="L9682" s="62">
        <f t="shared" si="2"/>
        <v>4.214285714</v>
      </c>
    </row>
    <row r="9683">
      <c r="A9683" s="58">
        <v>45200.0</v>
      </c>
      <c r="B9683" s="24" t="s">
        <v>7100</v>
      </c>
      <c r="C9683" s="24" t="s">
        <v>6892</v>
      </c>
      <c r="D9683" s="59">
        <v>12.0</v>
      </c>
      <c r="E9683" s="59">
        <v>12.0</v>
      </c>
      <c r="F9683" s="59">
        <v>11.0</v>
      </c>
      <c r="G9683" s="60">
        <v>1.0</v>
      </c>
      <c r="H9683" s="60">
        <v>0.0833333333333333</v>
      </c>
      <c r="I9683" s="60">
        <v>13.5356809166666</v>
      </c>
      <c r="J9683" s="59">
        <v>23.0</v>
      </c>
      <c r="K9683" s="61">
        <f t="shared" si="1"/>
        <v>0.9166666667</v>
      </c>
      <c r="L9683" s="62">
        <f t="shared" si="2"/>
        <v>1.916666667</v>
      </c>
    </row>
    <row r="9684">
      <c r="A9684" s="58">
        <v>45200.0</v>
      </c>
      <c r="B9684" s="24" t="s">
        <v>6789</v>
      </c>
      <c r="C9684" s="24" t="s">
        <v>7034</v>
      </c>
      <c r="D9684" s="59">
        <v>12.0</v>
      </c>
      <c r="E9684" s="59">
        <v>18.0</v>
      </c>
      <c r="F9684" s="59">
        <v>3.0</v>
      </c>
      <c r="G9684" s="60">
        <v>1.5</v>
      </c>
      <c r="H9684" s="60">
        <v>0.0</v>
      </c>
      <c r="I9684" s="60">
        <v>87.9047298333333</v>
      </c>
      <c r="J9684" s="59">
        <v>46.0</v>
      </c>
      <c r="K9684" s="61">
        <f t="shared" si="1"/>
        <v>0.1666666667</v>
      </c>
      <c r="L9684" s="62">
        <f t="shared" si="2"/>
        <v>2.555555556</v>
      </c>
    </row>
    <row r="9685">
      <c r="A9685" s="58">
        <v>45200.0</v>
      </c>
      <c r="B9685" s="24" t="s">
        <v>6791</v>
      </c>
      <c r="C9685" s="24" t="s">
        <v>7261</v>
      </c>
      <c r="D9685" s="59">
        <v>12.0</v>
      </c>
      <c r="E9685" s="59">
        <v>13.0</v>
      </c>
      <c r="F9685" s="59">
        <v>10.0</v>
      </c>
      <c r="G9685" s="60">
        <v>1.08333333333333</v>
      </c>
      <c r="H9685" s="60">
        <v>0.0</v>
      </c>
      <c r="I9685" s="60">
        <v>127.886882615384</v>
      </c>
      <c r="J9685" s="59">
        <v>31.0</v>
      </c>
      <c r="K9685" s="61">
        <f t="shared" si="1"/>
        <v>0.7692307692</v>
      </c>
      <c r="L9685" s="62">
        <f t="shared" si="2"/>
        <v>2.384615385</v>
      </c>
    </row>
    <row r="9686">
      <c r="A9686" s="58">
        <v>45200.0</v>
      </c>
      <c r="B9686" s="24" t="s">
        <v>6789</v>
      </c>
      <c r="C9686" s="24" t="s">
        <v>6808</v>
      </c>
      <c r="D9686" s="59">
        <v>12.0</v>
      </c>
      <c r="E9686" s="59">
        <v>12.0</v>
      </c>
      <c r="F9686" s="59">
        <v>9.0</v>
      </c>
      <c r="G9686" s="60">
        <v>1.0</v>
      </c>
      <c r="H9686" s="60">
        <v>0.0</v>
      </c>
      <c r="I9686" s="60">
        <v>431.45197925</v>
      </c>
      <c r="J9686" s="59">
        <v>45.0</v>
      </c>
      <c r="K9686" s="61">
        <f t="shared" si="1"/>
        <v>0.75</v>
      </c>
      <c r="L9686" s="62">
        <f t="shared" si="2"/>
        <v>3.75</v>
      </c>
    </row>
    <row r="9687">
      <c r="A9687" s="58">
        <v>45200.0</v>
      </c>
      <c r="B9687" s="24" t="s">
        <v>6787</v>
      </c>
      <c r="C9687" s="24" t="s">
        <v>7068</v>
      </c>
      <c r="D9687" s="59">
        <v>11.0</v>
      </c>
      <c r="E9687" s="59">
        <v>11.0</v>
      </c>
      <c r="F9687" s="59">
        <v>9.0</v>
      </c>
      <c r="G9687" s="60">
        <v>1.0</v>
      </c>
      <c r="H9687" s="60">
        <v>0.0</v>
      </c>
      <c r="I9687" s="60">
        <v>255.614521272727</v>
      </c>
      <c r="J9687" s="59">
        <v>28.0</v>
      </c>
      <c r="K9687" s="61">
        <f t="shared" si="1"/>
        <v>0.8181818182</v>
      </c>
      <c r="L9687" s="62">
        <f t="shared" si="2"/>
        <v>2.545454545</v>
      </c>
    </row>
    <row r="9688">
      <c r="A9688" s="58">
        <v>45200.0</v>
      </c>
      <c r="B9688" s="24" t="s">
        <v>6787</v>
      </c>
      <c r="C9688" s="24" t="s">
        <v>6803</v>
      </c>
      <c r="D9688" s="59">
        <v>10.0</v>
      </c>
      <c r="E9688" s="59">
        <v>10.0</v>
      </c>
      <c r="F9688" s="59">
        <v>9.0</v>
      </c>
      <c r="G9688" s="60">
        <v>1.0</v>
      </c>
      <c r="H9688" s="60">
        <v>0.0</v>
      </c>
      <c r="I9688" s="60">
        <v>294.5070309</v>
      </c>
      <c r="J9688" s="59">
        <v>32.0</v>
      </c>
      <c r="K9688" s="61">
        <f t="shared" si="1"/>
        <v>0.9</v>
      </c>
      <c r="L9688" s="62">
        <f t="shared" si="2"/>
        <v>3.2</v>
      </c>
    </row>
    <row r="9689">
      <c r="A9689" s="58">
        <v>45200.0</v>
      </c>
      <c r="B9689" s="24" t="s">
        <v>6789</v>
      </c>
      <c r="C9689" s="24" t="s">
        <v>6892</v>
      </c>
      <c r="D9689" s="59">
        <v>10.0</v>
      </c>
      <c r="E9689" s="59">
        <v>12.0</v>
      </c>
      <c r="F9689" s="59">
        <v>10.0</v>
      </c>
      <c r="G9689" s="60">
        <v>1.2</v>
      </c>
      <c r="H9689" s="60">
        <v>0.0</v>
      </c>
      <c r="I9689" s="60">
        <v>107.492422083333</v>
      </c>
      <c r="J9689" s="59">
        <v>26.0</v>
      </c>
      <c r="K9689" s="61">
        <f t="shared" si="1"/>
        <v>0.8333333333</v>
      </c>
      <c r="L9689" s="62">
        <f t="shared" si="2"/>
        <v>2.166666667</v>
      </c>
    </row>
    <row r="9690">
      <c r="A9690" s="58">
        <v>45200.0</v>
      </c>
      <c r="B9690" s="24" t="s">
        <v>155</v>
      </c>
      <c r="C9690" s="24" t="s">
        <v>6800</v>
      </c>
      <c r="D9690" s="59">
        <v>10.0</v>
      </c>
      <c r="E9690" s="59">
        <v>10.0</v>
      </c>
      <c r="F9690" s="59">
        <v>8.0</v>
      </c>
      <c r="G9690" s="60">
        <v>1.0</v>
      </c>
      <c r="H9690" s="60">
        <v>0.0</v>
      </c>
      <c r="I9690" s="60">
        <v>135.030898999999</v>
      </c>
      <c r="J9690" s="59">
        <v>47.0</v>
      </c>
      <c r="K9690" s="61">
        <f t="shared" si="1"/>
        <v>0.8</v>
      </c>
      <c r="L9690" s="62">
        <f t="shared" si="2"/>
        <v>4.7</v>
      </c>
    </row>
    <row r="9691">
      <c r="A9691" s="58">
        <v>45200.0</v>
      </c>
      <c r="B9691" s="24" t="s">
        <v>3216</v>
      </c>
      <c r="C9691" s="24" t="s">
        <v>6908</v>
      </c>
      <c r="D9691" s="59">
        <v>10.0</v>
      </c>
      <c r="E9691" s="59">
        <v>13.0</v>
      </c>
      <c r="F9691" s="59">
        <v>6.0</v>
      </c>
      <c r="G9691" s="60">
        <v>1.3</v>
      </c>
      <c r="H9691" s="60">
        <v>0.0769230769230769</v>
      </c>
      <c r="I9691" s="60">
        <v>58.1174418461538</v>
      </c>
      <c r="J9691" s="59">
        <v>33.0</v>
      </c>
      <c r="K9691" s="61">
        <f t="shared" si="1"/>
        <v>0.4615384615</v>
      </c>
      <c r="L9691" s="62">
        <f t="shared" si="2"/>
        <v>2.538461538</v>
      </c>
    </row>
    <row r="9692">
      <c r="A9692" s="58">
        <v>45200.0</v>
      </c>
      <c r="B9692" s="24" t="s">
        <v>7100</v>
      </c>
      <c r="C9692" s="24" t="s">
        <v>6792</v>
      </c>
      <c r="D9692" s="59">
        <v>9.0</v>
      </c>
      <c r="E9692" s="59">
        <v>9.0</v>
      </c>
      <c r="F9692" s="59">
        <v>6.0</v>
      </c>
      <c r="G9692" s="60">
        <v>1.125</v>
      </c>
      <c r="H9692" s="60">
        <v>0.888888888888888</v>
      </c>
      <c r="I9692" s="60">
        <v>8.21096866666666</v>
      </c>
      <c r="J9692" s="59">
        <v>0.0</v>
      </c>
      <c r="K9692" s="61">
        <f t="shared" si="1"/>
        <v>0.6666666667</v>
      </c>
      <c r="L9692" s="62">
        <f t="shared" si="2"/>
        <v>0</v>
      </c>
    </row>
    <row r="9693">
      <c r="A9693" s="58">
        <v>45200.0</v>
      </c>
      <c r="B9693" s="24" t="s">
        <v>6787</v>
      </c>
      <c r="C9693" s="24" t="s">
        <v>7313</v>
      </c>
      <c r="D9693" s="59">
        <v>9.0</v>
      </c>
      <c r="E9693" s="59">
        <v>11.0</v>
      </c>
      <c r="F9693" s="59">
        <v>4.0</v>
      </c>
      <c r="G9693" s="60">
        <v>1.22222222222222</v>
      </c>
      <c r="H9693" s="60">
        <v>0.0909090909090909</v>
      </c>
      <c r="I9693" s="60">
        <v>101.905502181818</v>
      </c>
      <c r="J9693" s="59">
        <v>31.0</v>
      </c>
      <c r="K9693" s="61">
        <f t="shared" si="1"/>
        <v>0.3636363636</v>
      </c>
      <c r="L9693" s="62">
        <f t="shared" si="2"/>
        <v>2.818181818</v>
      </c>
    </row>
    <row r="9694">
      <c r="A9694" s="58">
        <v>45200.0</v>
      </c>
      <c r="B9694" s="24" t="s">
        <v>6787</v>
      </c>
      <c r="C9694" s="24" t="s">
        <v>7024</v>
      </c>
      <c r="D9694" s="59">
        <v>8.0</v>
      </c>
      <c r="E9694" s="59">
        <v>15.0</v>
      </c>
      <c r="F9694" s="59">
        <v>2.0</v>
      </c>
      <c r="G9694" s="60">
        <v>1.875</v>
      </c>
      <c r="H9694" s="60">
        <v>0.0</v>
      </c>
      <c r="I9694" s="60">
        <v>840.9205022</v>
      </c>
      <c r="J9694" s="59">
        <v>94.0</v>
      </c>
      <c r="K9694" s="61">
        <f t="shared" si="1"/>
        <v>0.1333333333</v>
      </c>
      <c r="L9694" s="62">
        <f t="shared" si="2"/>
        <v>6.266666667</v>
      </c>
    </row>
    <row r="9695">
      <c r="A9695" s="58">
        <v>45200.0</v>
      </c>
      <c r="B9695" s="24" t="s">
        <v>7100</v>
      </c>
      <c r="C9695" s="24" t="s">
        <v>6989</v>
      </c>
      <c r="D9695" s="59">
        <v>8.0</v>
      </c>
      <c r="E9695" s="59">
        <v>8.0</v>
      </c>
      <c r="F9695" s="59">
        <v>8.0</v>
      </c>
      <c r="G9695" s="60">
        <v>1.0</v>
      </c>
      <c r="H9695" s="60">
        <v>0.125</v>
      </c>
      <c r="I9695" s="60">
        <v>21.911880875</v>
      </c>
      <c r="J9695" s="59">
        <v>16.0</v>
      </c>
      <c r="K9695" s="61">
        <f t="shared" si="1"/>
        <v>1</v>
      </c>
      <c r="L9695" s="62">
        <f t="shared" si="2"/>
        <v>2</v>
      </c>
    </row>
    <row r="9696">
      <c r="A9696" s="58">
        <v>45200.0</v>
      </c>
      <c r="B9696" s="24" t="s">
        <v>6789</v>
      </c>
      <c r="C9696" s="24" t="s">
        <v>6997</v>
      </c>
      <c r="D9696" s="59">
        <v>8.0</v>
      </c>
      <c r="E9696" s="59">
        <v>9.0</v>
      </c>
      <c r="F9696" s="59">
        <v>6.0</v>
      </c>
      <c r="G9696" s="60">
        <v>1.125</v>
      </c>
      <c r="H9696" s="60">
        <v>0.0</v>
      </c>
      <c r="I9696" s="60">
        <v>36.6875253333333</v>
      </c>
      <c r="J9696" s="59">
        <v>23.0</v>
      </c>
      <c r="K9696" s="61">
        <f t="shared" si="1"/>
        <v>0.6666666667</v>
      </c>
      <c r="L9696" s="62">
        <f t="shared" si="2"/>
        <v>2.555555556</v>
      </c>
    </row>
    <row r="9697">
      <c r="A9697" s="58">
        <v>45200.0</v>
      </c>
      <c r="B9697" s="24" t="s">
        <v>6787</v>
      </c>
      <c r="C9697" s="24" t="s">
        <v>6800</v>
      </c>
      <c r="D9697" s="59">
        <v>8.0</v>
      </c>
      <c r="E9697" s="59">
        <v>8.0</v>
      </c>
      <c r="F9697" s="59">
        <v>8.0</v>
      </c>
      <c r="G9697" s="60">
        <v>1.0</v>
      </c>
      <c r="H9697" s="60">
        <v>0.375</v>
      </c>
      <c r="I9697" s="60">
        <v>5.30221775</v>
      </c>
      <c r="J9697" s="59">
        <v>13.0</v>
      </c>
      <c r="K9697" s="61">
        <f t="shared" si="1"/>
        <v>1</v>
      </c>
      <c r="L9697" s="62">
        <f t="shared" si="2"/>
        <v>1.625</v>
      </c>
    </row>
    <row r="9698">
      <c r="A9698" s="58">
        <v>45200.0</v>
      </c>
      <c r="B9698" s="24" t="s">
        <v>6787</v>
      </c>
      <c r="C9698" s="24" t="s">
        <v>6801</v>
      </c>
      <c r="D9698" s="59">
        <v>8.0</v>
      </c>
      <c r="E9698" s="59">
        <v>13.0</v>
      </c>
      <c r="F9698" s="59">
        <v>7.0</v>
      </c>
      <c r="G9698" s="60">
        <v>1.625</v>
      </c>
      <c r="H9698" s="60">
        <v>0.0</v>
      </c>
      <c r="I9698" s="60">
        <v>245.21015876923</v>
      </c>
      <c r="J9698" s="59">
        <v>30.0</v>
      </c>
      <c r="K9698" s="61">
        <f t="shared" si="1"/>
        <v>0.5384615385</v>
      </c>
      <c r="L9698" s="62">
        <f t="shared" si="2"/>
        <v>2.307692308</v>
      </c>
    </row>
    <row r="9699">
      <c r="A9699" s="58">
        <v>45200.0</v>
      </c>
      <c r="B9699" s="24" t="s">
        <v>6787</v>
      </c>
      <c r="C9699" s="24" t="s">
        <v>6886</v>
      </c>
      <c r="D9699" s="59">
        <v>7.0</v>
      </c>
      <c r="E9699" s="59">
        <v>7.0</v>
      </c>
      <c r="F9699" s="59">
        <v>7.0</v>
      </c>
      <c r="G9699" s="60">
        <v>1.0</v>
      </c>
      <c r="H9699" s="60">
        <v>0.0</v>
      </c>
      <c r="I9699" s="60">
        <v>19.8230317142857</v>
      </c>
      <c r="J9699" s="59">
        <v>31.0</v>
      </c>
      <c r="K9699" s="61">
        <f t="shared" si="1"/>
        <v>1</v>
      </c>
      <c r="L9699" s="62">
        <f t="shared" si="2"/>
        <v>4.428571429</v>
      </c>
    </row>
    <row r="9700">
      <c r="A9700" s="58">
        <v>45200.0</v>
      </c>
      <c r="B9700" s="24" t="s">
        <v>6789</v>
      </c>
      <c r="C9700" s="24" t="s">
        <v>7087</v>
      </c>
      <c r="D9700" s="59">
        <v>7.0</v>
      </c>
      <c r="E9700" s="59">
        <v>7.0</v>
      </c>
      <c r="F9700" s="59">
        <v>5.0</v>
      </c>
      <c r="G9700" s="60">
        <v>1.0</v>
      </c>
      <c r="H9700" s="60">
        <v>0.0</v>
      </c>
      <c r="I9700" s="60">
        <v>249.833097571428</v>
      </c>
      <c r="J9700" s="59">
        <v>18.0</v>
      </c>
      <c r="K9700" s="61">
        <f t="shared" si="1"/>
        <v>0.7142857143</v>
      </c>
      <c r="L9700" s="62">
        <f t="shared" si="2"/>
        <v>2.571428571</v>
      </c>
    </row>
    <row r="9701">
      <c r="A9701" s="58">
        <v>45200.0</v>
      </c>
      <c r="B9701" s="24" t="s">
        <v>6787</v>
      </c>
      <c r="C9701" s="24" t="s">
        <v>6910</v>
      </c>
      <c r="D9701" s="59">
        <v>7.0</v>
      </c>
      <c r="E9701" s="59">
        <v>10.0</v>
      </c>
      <c r="F9701" s="59">
        <v>6.0</v>
      </c>
      <c r="G9701" s="60">
        <v>1.42857142857142</v>
      </c>
      <c r="H9701" s="60">
        <v>0.2</v>
      </c>
      <c r="I9701" s="60">
        <v>40.6672027</v>
      </c>
      <c r="J9701" s="59">
        <v>22.0</v>
      </c>
      <c r="K9701" s="61">
        <f t="shared" si="1"/>
        <v>0.6</v>
      </c>
      <c r="L9701" s="62">
        <f t="shared" si="2"/>
        <v>2.2</v>
      </c>
    </row>
    <row r="9702">
      <c r="A9702" s="58">
        <v>45200.0</v>
      </c>
      <c r="B9702" s="24" t="s">
        <v>6789</v>
      </c>
      <c r="C9702" s="24" t="s">
        <v>7027</v>
      </c>
      <c r="D9702" s="59">
        <v>7.0</v>
      </c>
      <c r="E9702" s="59">
        <v>7.0</v>
      </c>
      <c r="F9702" s="59">
        <v>6.0</v>
      </c>
      <c r="G9702" s="60">
        <v>1.0</v>
      </c>
      <c r="H9702" s="60">
        <v>0.0</v>
      </c>
      <c r="I9702" s="60">
        <v>57.4248895714285</v>
      </c>
      <c r="J9702" s="59">
        <v>22.0</v>
      </c>
      <c r="K9702" s="61">
        <f t="shared" si="1"/>
        <v>0.8571428571</v>
      </c>
      <c r="L9702" s="62">
        <f t="shared" si="2"/>
        <v>3.142857143</v>
      </c>
    </row>
    <row r="9703">
      <c r="A9703" s="58">
        <v>45200.0</v>
      </c>
      <c r="B9703" s="24" t="s">
        <v>6791</v>
      </c>
      <c r="C9703" s="24" t="s">
        <v>7554</v>
      </c>
      <c r="D9703" s="59">
        <v>6.0</v>
      </c>
      <c r="E9703" s="59">
        <v>6.0</v>
      </c>
      <c r="F9703" s="59">
        <v>6.0</v>
      </c>
      <c r="G9703" s="60">
        <v>1.0</v>
      </c>
      <c r="H9703" s="60">
        <v>0.0</v>
      </c>
      <c r="I9703" s="60">
        <v>81.8330793333333</v>
      </c>
      <c r="J9703" s="59">
        <v>22.0</v>
      </c>
      <c r="K9703" s="61">
        <f t="shared" si="1"/>
        <v>1</v>
      </c>
      <c r="L9703" s="62">
        <f t="shared" si="2"/>
        <v>3.666666667</v>
      </c>
    </row>
    <row r="9704">
      <c r="A9704" s="58">
        <v>45200.0</v>
      </c>
      <c r="B9704" s="24" t="s">
        <v>6789</v>
      </c>
      <c r="C9704" s="24" t="s">
        <v>7013</v>
      </c>
      <c r="D9704" s="59">
        <v>6.0</v>
      </c>
      <c r="E9704" s="59">
        <v>10.0</v>
      </c>
      <c r="F9704" s="59">
        <v>4.0</v>
      </c>
      <c r="G9704" s="60">
        <v>1.66666666666666</v>
      </c>
      <c r="H9704" s="60">
        <v>0.0</v>
      </c>
      <c r="I9704" s="60">
        <v>224.2491686</v>
      </c>
      <c r="J9704" s="59">
        <v>43.0</v>
      </c>
      <c r="K9704" s="61">
        <f t="shared" si="1"/>
        <v>0.4</v>
      </c>
      <c r="L9704" s="62">
        <f t="shared" si="2"/>
        <v>4.3</v>
      </c>
    </row>
    <row r="9705">
      <c r="A9705" s="58">
        <v>45200.0</v>
      </c>
      <c r="B9705" s="24" t="s">
        <v>6789</v>
      </c>
      <c r="C9705" s="24" t="s">
        <v>7313</v>
      </c>
      <c r="D9705" s="59">
        <v>6.0</v>
      </c>
      <c r="E9705" s="59">
        <v>11.0</v>
      </c>
      <c r="F9705" s="59">
        <v>0.0</v>
      </c>
      <c r="G9705" s="60">
        <v>1.83333333333333</v>
      </c>
      <c r="H9705" s="60">
        <v>0.0</v>
      </c>
      <c r="I9705" s="60">
        <v>406.828558181818</v>
      </c>
      <c r="J9705" s="59">
        <v>55.0</v>
      </c>
      <c r="K9705" s="61">
        <f t="shared" si="1"/>
        <v>0</v>
      </c>
      <c r="L9705" s="62">
        <f t="shared" si="2"/>
        <v>5</v>
      </c>
    </row>
    <row r="9706">
      <c r="A9706" s="58">
        <v>45200.0</v>
      </c>
      <c r="B9706" s="24" t="s">
        <v>6789</v>
      </c>
      <c r="C9706" s="24" t="s">
        <v>7180</v>
      </c>
      <c r="D9706" s="59">
        <v>6.0</v>
      </c>
      <c r="E9706" s="59">
        <v>6.0</v>
      </c>
      <c r="F9706" s="59">
        <v>3.0</v>
      </c>
      <c r="G9706" s="60">
        <v>1.0</v>
      </c>
      <c r="H9706" s="60">
        <v>0.0</v>
      </c>
      <c r="I9706" s="60">
        <v>407.831617666666</v>
      </c>
      <c r="J9706" s="59">
        <v>18.0</v>
      </c>
      <c r="K9706" s="61">
        <f t="shared" si="1"/>
        <v>0.5</v>
      </c>
      <c r="L9706" s="62">
        <f t="shared" si="2"/>
        <v>3</v>
      </c>
    </row>
    <row r="9707">
      <c r="A9707" s="58">
        <v>45200.0</v>
      </c>
      <c r="B9707" s="24" t="s">
        <v>6789</v>
      </c>
      <c r="C9707" s="24" t="s">
        <v>6861</v>
      </c>
      <c r="D9707" s="59">
        <v>5.0</v>
      </c>
      <c r="E9707" s="59">
        <v>5.0</v>
      </c>
      <c r="F9707" s="59">
        <v>4.0</v>
      </c>
      <c r="G9707" s="60">
        <v>1.0</v>
      </c>
      <c r="H9707" s="60">
        <v>0.0</v>
      </c>
      <c r="I9707" s="60">
        <v>188.497185</v>
      </c>
      <c r="J9707" s="59">
        <v>37.0</v>
      </c>
      <c r="K9707" s="61">
        <f t="shared" si="1"/>
        <v>0.8</v>
      </c>
      <c r="L9707" s="62">
        <f t="shared" si="2"/>
        <v>7.4</v>
      </c>
    </row>
    <row r="9708">
      <c r="A9708" s="58">
        <v>45200.0</v>
      </c>
      <c r="B9708" s="24" t="s">
        <v>6789</v>
      </c>
      <c r="C9708" s="24" t="s">
        <v>6994</v>
      </c>
      <c r="D9708" s="59">
        <v>5.0</v>
      </c>
      <c r="E9708" s="59">
        <v>9.0</v>
      </c>
      <c r="F9708" s="59">
        <v>4.0</v>
      </c>
      <c r="G9708" s="60">
        <v>1.8</v>
      </c>
      <c r="H9708" s="60">
        <v>0.0</v>
      </c>
      <c r="I9708" s="60">
        <v>22.3696307777777</v>
      </c>
      <c r="J9708" s="59">
        <v>18.0</v>
      </c>
      <c r="K9708" s="61">
        <f t="shared" si="1"/>
        <v>0.4444444444</v>
      </c>
      <c r="L9708" s="62">
        <f t="shared" si="2"/>
        <v>2</v>
      </c>
    </row>
    <row r="9709">
      <c r="A9709" s="58">
        <v>45200.0</v>
      </c>
      <c r="B9709" s="24" t="s">
        <v>6787</v>
      </c>
      <c r="C9709" s="24" t="s">
        <v>7034</v>
      </c>
      <c r="D9709" s="59">
        <v>5.0</v>
      </c>
      <c r="E9709" s="59">
        <v>5.0</v>
      </c>
      <c r="F9709" s="59">
        <v>2.0</v>
      </c>
      <c r="G9709" s="60">
        <v>1.0</v>
      </c>
      <c r="H9709" s="60">
        <v>0.0</v>
      </c>
      <c r="I9709" s="60">
        <v>299.641440399999</v>
      </c>
      <c r="J9709" s="59">
        <v>14.0</v>
      </c>
      <c r="K9709" s="61">
        <f t="shared" si="1"/>
        <v>0.4</v>
      </c>
      <c r="L9709" s="62">
        <f t="shared" si="2"/>
        <v>2.8</v>
      </c>
    </row>
    <row r="9710">
      <c r="A9710" s="58">
        <v>45200.0</v>
      </c>
      <c r="B9710" s="24" t="s">
        <v>6787</v>
      </c>
      <c r="C9710" s="24" t="s">
        <v>7530</v>
      </c>
      <c r="D9710" s="59">
        <v>5.0</v>
      </c>
      <c r="E9710" s="59">
        <v>5.0</v>
      </c>
      <c r="F9710" s="59">
        <v>4.0</v>
      </c>
      <c r="G9710" s="60">
        <v>1.0</v>
      </c>
      <c r="H9710" s="60">
        <v>0.2</v>
      </c>
      <c r="I9710" s="60">
        <v>21.1768888</v>
      </c>
      <c r="J9710" s="59">
        <v>9.0</v>
      </c>
      <c r="K9710" s="61">
        <f t="shared" si="1"/>
        <v>0.8</v>
      </c>
      <c r="L9710" s="62">
        <f t="shared" si="2"/>
        <v>1.8</v>
      </c>
    </row>
    <row r="9711">
      <c r="A9711" s="58">
        <v>45200.0</v>
      </c>
      <c r="B9711" s="24" t="s">
        <v>6789</v>
      </c>
      <c r="C9711" s="24" t="s">
        <v>7172</v>
      </c>
      <c r="D9711" s="59">
        <v>5.0</v>
      </c>
      <c r="E9711" s="59">
        <v>6.0</v>
      </c>
      <c r="F9711" s="59">
        <v>1.0</v>
      </c>
      <c r="G9711" s="60">
        <v>1.2</v>
      </c>
      <c r="H9711" s="60">
        <v>0.0</v>
      </c>
      <c r="I9711" s="60">
        <v>847.985488</v>
      </c>
      <c r="J9711" s="59">
        <v>60.0</v>
      </c>
      <c r="K9711" s="61">
        <f t="shared" si="1"/>
        <v>0.1666666667</v>
      </c>
      <c r="L9711" s="62">
        <f t="shared" si="2"/>
        <v>10</v>
      </c>
    </row>
    <row r="9712">
      <c r="A9712" s="58">
        <v>45200.0</v>
      </c>
      <c r="B9712" s="24" t="s">
        <v>6789</v>
      </c>
      <c r="C9712" s="24" t="s">
        <v>6910</v>
      </c>
      <c r="D9712" s="59">
        <v>5.0</v>
      </c>
      <c r="E9712" s="59">
        <v>7.0</v>
      </c>
      <c r="F9712" s="59">
        <v>3.0</v>
      </c>
      <c r="G9712" s="60">
        <v>1.4</v>
      </c>
      <c r="H9712" s="60">
        <v>0.0</v>
      </c>
      <c r="I9712" s="60">
        <v>205.346260285714</v>
      </c>
      <c r="J9712" s="59">
        <v>24.0</v>
      </c>
      <c r="K9712" s="61">
        <f t="shared" si="1"/>
        <v>0.4285714286</v>
      </c>
      <c r="L9712" s="62">
        <f t="shared" si="2"/>
        <v>3.428571429</v>
      </c>
    </row>
    <row r="9713">
      <c r="A9713" s="58">
        <v>45200.0</v>
      </c>
      <c r="B9713" s="24" t="s">
        <v>6789</v>
      </c>
      <c r="C9713" s="24" t="s">
        <v>7102</v>
      </c>
      <c r="D9713" s="59">
        <v>5.0</v>
      </c>
      <c r="E9713" s="59">
        <v>7.0</v>
      </c>
      <c r="F9713" s="59">
        <v>0.0</v>
      </c>
      <c r="G9713" s="60">
        <v>1.4</v>
      </c>
      <c r="H9713" s="60">
        <v>0.0</v>
      </c>
      <c r="I9713" s="60">
        <v>363.097684428571</v>
      </c>
      <c r="J9713" s="59">
        <v>40.0</v>
      </c>
      <c r="K9713" s="61">
        <f t="shared" si="1"/>
        <v>0</v>
      </c>
      <c r="L9713" s="62">
        <f t="shared" si="2"/>
        <v>5.714285714</v>
      </c>
    </row>
    <row r="9714">
      <c r="A9714" s="58">
        <v>45200.0</v>
      </c>
      <c r="B9714" s="24" t="s">
        <v>6787</v>
      </c>
      <c r="C9714" s="24" t="s">
        <v>7027</v>
      </c>
      <c r="D9714" s="59">
        <v>5.0</v>
      </c>
      <c r="E9714" s="59">
        <v>5.0</v>
      </c>
      <c r="F9714" s="59">
        <v>5.0</v>
      </c>
      <c r="G9714" s="60">
        <v>1.0</v>
      </c>
      <c r="H9714" s="60">
        <v>0.2</v>
      </c>
      <c r="I9714" s="60">
        <v>3.02738779999999</v>
      </c>
      <c r="J9714" s="59">
        <v>9.0</v>
      </c>
      <c r="K9714" s="61">
        <f t="shared" si="1"/>
        <v>1</v>
      </c>
      <c r="L9714" s="62">
        <f t="shared" si="2"/>
        <v>1.8</v>
      </c>
    </row>
    <row r="9715">
      <c r="A9715" s="58">
        <v>45200.0</v>
      </c>
      <c r="B9715" s="24" t="s">
        <v>155</v>
      </c>
      <c r="C9715" s="24" t="s">
        <v>6803</v>
      </c>
      <c r="D9715" s="59">
        <v>4.0</v>
      </c>
      <c r="E9715" s="59">
        <v>11.0</v>
      </c>
      <c r="F9715" s="59">
        <v>2.0</v>
      </c>
      <c r="G9715" s="60">
        <v>2.75</v>
      </c>
      <c r="H9715" s="60">
        <v>0.0</v>
      </c>
      <c r="I9715" s="60">
        <v>776.670561363636</v>
      </c>
      <c r="J9715" s="59">
        <v>48.0</v>
      </c>
      <c r="K9715" s="61">
        <f t="shared" si="1"/>
        <v>0.1818181818</v>
      </c>
      <c r="L9715" s="62">
        <f t="shared" si="2"/>
        <v>4.363636364</v>
      </c>
    </row>
    <row r="9716">
      <c r="A9716" s="58">
        <v>45200.0</v>
      </c>
      <c r="B9716" s="24" t="s">
        <v>6787</v>
      </c>
      <c r="C9716" s="24" t="s">
        <v>6817</v>
      </c>
      <c r="D9716" s="59">
        <v>4.0</v>
      </c>
      <c r="E9716" s="59">
        <v>4.0</v>
      </c>
      <c r="F9716" s="59">
        <v>4.0</v>
      </c>
      <c r="G9716" s="60">
        <v>1.0</v>
      </c>
      <c r="H9716" s="60">
        <v>0.25</v>
      </c>
      <c r="I9716" s="60">
        <v>33.113867</v>
      </c>
      <c r="J9716" s="59">
        <v>18.0</v>
      </c>
      <c r="K9716" s="61">
        <f t="shared" si="1"/>
        <v>1</v>
      </c>
      <c r="L9716" s="62">
        <f t="shared" si="2"/>
        <v>4.5</v>
      </c>
    </row>
    <row r="9717">
      <c r="A9717" s="58">
        <v>45200.0</v>
      </c>
      <c r="B9717" s="24" t="s">
        <v>6789</v>
      </c>
      <c r="C9717" s="24" t="s">
        <v>6817</v>
      </c>
      <c r="D9717" s="59">
        <v>4.0</v>
      </c>
      <c r="E9717" s="59">
        <v>6.0</v>
      </c>
      <c r="F9717" s="59">
        <v>0.0</v>
      </c>
      <c r="G9717" s="60">
        <v>1.5</v>
      </c>
      <c r="H9717" s="60">
        <v>0.0</v>
      </c>
      <c r="I9717" s="60">
        <v>231.924147666666</v>
      </c>
      <c r="J9717" s="59">
        <v>40.0</v>
      </c>
      <c r="K9717" s="61">
        <f t="shared" si="1"/>
        <v>0</v>
      </c>
      <c r="L9717" s="62">
        <f t="shared" si="2"/>
        <v>6.666666667</v>
      </c>
    </row>
    <row r="9718">
      <c r="A9718" s="58">
        <v>45200.0</v>
      </c>
      <c r="B9718" s="24" t="s">
        <v>6789</v>
      </c>
      <c r="C9718" s="24" t="s">
        <v>6953</v>
      </c>
      <c r="D9718" s="59">
        <v>4.0</v>
      </c>
      <c r="E9718" s="59">
        <v>6.0</v>
      </c>
      <c r="F9718" s="59">
        <v>4.0</v>
      </c>
      <c r="G9718" s="60">
        <v>1.5</v>
      </c>
      <c r="H9718" s="60">
        <v>0.0</v>
      </c>
      <c r="I9718" s="60">
        <v>90.1433771666666</v>
      </c>
      <c r="J9718" s="59">
        <v>12.0</v>
      </c>
      <c r="K9718" s="61">
        <f t="shared" si="1"/>
        <v>0.6666666667</v>
      </c>
      <c r="L9718" s="62">
        <f t="shared" si="2"/>
        <v>2</v>
      </c>
    </row>
    <row r="9719">
      <c r="A9719" s="58">
        <v>45200.0</v>
      </c>
      <c r="B9719" s="24" t="s">
        <v>6789</v>
      </c>
      <c r="C9719" s="24" t="s">
        <v>7059</v>
      </c>
      <c r="D9719" s="59">
        <v>4.0</v>
      </c>
      <c r="E9719" s="59">
        <v>4.0</v>
      </c>
      <c r="F9719" s="59">
        <v>4.0</v>
      </c>
      <c r="G9719" s="60">
        <v>1.0</v>
      </c>
      <c r="H9719" s="60">
        <v>0.0</v>
      </c>
      <c r="I9719" s="60">
        <v>20.91870075</v>
      </c>
      <c r="J9719" s="59">
        <v>8.0</v>
      </c>
      <c r="K9719" s="61">
        <f t="shared" si="1"/>
        <v>1</v>
      </c>
      <c r="L9719" s="62">
        <f t="shared" si="2"/>
        <v>2</v>
      </c>
    </row>
    <row r="9720">
      <c r="A9720" s="58">
        <v>45200.0</v>
      </c>
      <c r="B9720" s="24" t="s">
        <v>6789</v>
      </c>
      <c r="C9720" s="24" t="s">
        <v>6819</v>
      </c>
      <c r="D9720" s="59">
        <v>4.0</v>
      </c>
      <c r="E9720" s="59">
        <v>4.0</v>
      </c>
      <c r="F9720" s="59">
        <v>4.0</v>
      </c>
      <c r="G9720" s="60">
        <v>1.0</v>
      </c>
      <c r="H9720" s="60">
        <v>0.0</v>
      </c>
      <c r="I9720" s="60">
        <v>58.541439</v>
      </c>
      <c r="J9720" s="59">
        <v>8.0</v>
      </c>
      <c r="K9720" s="61">
        <f t="shared" si="1"/>
        <v>1</v>
      </c>
      <c r="L9720" s="62">
        <f t="shared" si="2"/>
        <v>2</v>
      </c>
    </row>
    <row r="9721">
      <c r="A9721" s="58">
        <v>45200.0</v>
      </c>
      <c r="B9721" s="24" t="s">
        <v>6787</v>
      </c>
      <c r="C9721" s="24" t="s">
        <v>6822</v>
      </c>
      <c r="D9721" s="59">
        <v>4.0</v>
      </c>
      <c r="E9721" s="59">
        <v>9.0</v>
      </c>
      <c r="F9721" s="59">
        <v>0.0</v>
      </c>
      <c r="G9721" s="60">
        <v>2.25</v>
      </c>
      <c r="H9721" s="60">
        <v>0.0</v>
      </c>
      <c r="I9721" s="60">
        <v>558.772496666666</v>
      </c>
      <c r="J9721" s="59">
        <v>34.0</v>
      </c>
      <c r="K9721" s="61">
        <f t="shared" si="1"/>
        <v>0</v>
      </c>
      <c r="L9721" s="62">
        <f t="shared" si="2"/>
        <v>3.777777778</v>
      </c>
    </row>
    <row r="9722">
      <c r="A9722" s="58">
        <v>45200.0</v>
      </c>
      <c r="B9722" s="24" t="s">
        <v>6789</v>
      </c>
      <c r="C9722" s="24" t="s">
        <v>7571</v>
      </c>
      <c r="D9722" s="59">
        <v>4.0</v>
      </c>
      <c r="E9722" s="59">
        <v>4.0</v>
      </c>
      <c r="F9722" s="59">
        <v>4.0</v>
      </c>
      <c r="G9722" s="60">
        <v>1.0</v>
      </c>
      <c r="H9722" s="60">
        <v>0.0</v>
      </c>
      <c r="I9722" s="60">
        <v>73.0381254999999</v>
      </c>
      <c r="J9722" s="59">
        <v>8.0</v>
      </c>
      <c r="K9722" s="61">
        <f t="shared" si="1"/>
        <v>1</v>
      </c>
      <c r="L9722" s="62">
        <f t="shared" si="2"/>
        <v>2</v>
      </c>
    </row>
    <row r="9723">
      <c r="A9723" s="58">
        <v>45200.0</v>
      </c>
      <c r="B9723" s="24" t="s">
        <v>6789</v>
      </c>
      <c r="C9723" s="24" t="s">
        <v>7530</v>
      </c>
      <c r="D9723" s="59">
        <v>4.0</v>
      </c>
      <c r="E9723" s="59">
        <v>4.0</v>
      </c>
      <c r="F9723" s="59">
        <v>3.0</v>
      </c>
      <c r="G9723" s="60">
        <v>1.0</v>
      </c>
      <c r="H9723" s="60">
        <v>0.75</v>
      </c>
      <c r="I9723" s="60">
        <v>1.29863075</v>
      </c>
      <c r="J9723" s="59">
        <v>5.0</v>
      </c>
      <c r="K9723" s="61">
        <f t="shared" si="1"/>
        <v>0.75</v>
      </c>
      <c r="L9723" s="62">
        <f t="shared" si="2"/>
        <v>1.25</v>
      </c>
    </row>
    <row r="9724">
      <c r="A9724" s="58">
        <v>45200.0</v>
      </c>
      <c r="B9724" s="24" t="s">
        <v>6789</v>
      </c>
      <c r="C9724" s="24" t="s">
        <v>6800</v>
      </c>
      <c r="D9724" s="59">
        <v>4.0</v>
      </c>
      <c r="E9724" s="59">
        <v>4.0</v>
      </c>
      <c r="F9724" s="59">
        <v>4.0</v>
      </c>
      <c r="G9724" s="60">
        <v>1.0</v>
      </c>
      <c r="H9724" s="60">
        <v>0.0</v>
      </c>
      <c r="I9724" s="60">
        <v>62.5789379999999</v>
      </c>
      <c r="J9724" s="59">
        <v>14.0</v>
      </c>
      <c r="K9724" s="61">
        <f t="shared" si="1"/>
        <v>1</v>
      </c>
      <c r="L9724" s="62">
        <f t="shared" si="2"/>
        <v>3.5</v>
      </c>
    </row>
    <row r="9725">
      <c r="A9725" s="58">
        <v>45200.0</v>
      </c>
      <c r="B9725" s="24" t="s">
        <v>6787</v>
      </c>
      <c r="C9725" s="24" t="s">
        <v>7172</v>
      </c>
      <c r="D9725" s="59">
        <v>4.0</v>
      </c>
      <c r="E9725" s="59">
        <v>4.0</v>
      </c>
      <c r="F9725" s="59">
        <v>4.0</v>
      </c>
      <c r="G9725" s="60">
        <v>1.0</v>
      </c>
      <c r="H9725" s="60">
        <v>0.5</v>
      </c>
      <c r="I9725" s="60">
        <v>2.49241025</v>
      </c>
      <c r="J9725" s="59">
        <v>6.0</v>
      </c>
      <c r="K9725" s="61">
        <f t="shared" si="1"/>
        <v>1</v>
      </c>
      <c r="L9725" s="62">
        <f t="shared" si="2"/>
        <v>1.5</v>
      </c>
    </row>
    <row r="9726">
      <c r="A9726" s="58">
        <v>45200.0</v>
      </c>
      <c r="B9726" s="24" t="s">
        <v>6790</v>
      </c>
      <c r="C9726" s="24" t="s">
        <v>6815</v>
      </c>
      <c r="D9726" s="59">
        <v>4.0</v>
      </c>
      <c r="E9726" s="59">
        <v>4.0</v>
      </c>
      <c r="F9726" s="59">
        <v>1.0</v>
      </c>
      <c r="G9726" s="60">
        <v>1.0</v>
      </c>
      <c r="H9726" s="60">
        <v>0.5</v>
      </c>
      <c r="I9726" s="60">
        <v>51.75885675</v>
      </c>
      <c r="J9726" s="59">
        <v>8.0</v>
      </c>
      <c r="K9726" s="61">
        <f t="shared" si="1"/>
        <v>0.25</v>
      </c>
      <c r="L9726" s="62">
        <f t="shared" si="2"/>
        <v>2</v>
      </c>
    </row>
    <row r="9727">
      <c r="A9727" s="58">
        <v>45200.0</v>
      </c>
      <c r="B9727" s="24" t="s">
        <v>6789</v>
      </c>
      <c r="C9727" s="24" t="s">
        <v>7047</v>
      </c>
      <c r="D9727" s="59">
        <v>4.0</v>
      </c>
      <c r="E9727" s="59">
        <v>6.0</v>
      </c>
      <c r="F9727" s="59">
        <v>1.0</v>
      </c>
      <c r="G9727" s="60">
        <v>1.5</v>
      </c>
      <c r="H9727" s="60">
        <v>0.0</v>
      </c>
      <c r="I9727" s="60">
        <v>105.415169833333</v>
      </c>
      <c r="J9727" s="59">
        <v>18.0</v>
      </c>
      <c r="K9727" s="61">
        <f t="shared" si="1"/>
        <v>0.1666666667</v>
      </c>
      <c r="L9727" s="62">
        <f t="shared" si="2"/>
        <v>3</v>
      </c>
    </row>
    <row r="9728">
      <c r="A9728" s="58">
        <v>45200.0</v>
      </c>
      <c r="B9728" s="24" t="s">
        <v>6789</v>
      </c>
      <c r="C9728" s="24" t="s">
        <v>6797</v>
      </c>
      <c r="D9728" s="59">
        <v>4.0</v>
      </c>
      <c r="E9728" s="59">
        <v>5.0</v>
      </c>
      <c r="F9728" s="59">
        <v>2.0</v>
      </c>
      <c r="G9728" s="60">
        <v>1.25</v>
      </c>
      <c r="H9728" s="60">
        <v>0.2</v>
      </c>
      <c r="I9728" s="60">
        <v>46.1999308</v>
      </c>
      <c r="J9728" s="59">
        <v>11.0</v>
      </c>
      <c r="K9728" s="61">
        <f t="shared" si="1"/>
        <v>0.4</v>
      </c>
      <c r="L9728" s="62">
        <f t="shared" si="2"/>
        <v>2.2</v>
      </c>
    </row>
    <row r="9729">
      <c r="A9729" s="58">
        <v>45200.0</v>
      </c>
      <c r="B9729" s="24" t="s">
        <v>6787</v>
      </c>
      <c r="C9729" s="24" t="s">
        <v>6931</v>
      </c>
      <c r="D9729" s="59">
        <v>4.0</v>
      </c>
      <c r="E9729" s="59">
        <v>4.0</v>
      </c>
      <c r="F9729" s="59">
        <v>3.0</v>
      </c>
      <c r="G9729" s="60">
        <v>1.0</v>
      </c>
      <c r="H9729" s="60">
        <v>0.0</v>
      </c>
      <c r="I9729" s="60">
        <v>209.772892249999</v>
      </c>
      <c r="J9729" s="59">
        <v>15.0</v>
      </c>
      <c r="K9729" s="61">
        <f t="shared" si="1"/>
        <v>0.75</v>
      </c>
      <c r="L9729" s="62">
        <f t="shared" si="2"/>
        <v>3.75</v>
      </c>
    </row>
    <row r="9730">
      <c r="A9730" s="58">
        <v>45200.0</v>
      </c>
      <c r="B9730" s="24" t="s">
        <v>6791</v>
      </c>
      <c r="C9730" s="24" t="s">
        <v>6802</v>
      </c>
      <c r="D9730" s="59">
        <v>4.0</v>
      </c>
      <c r="E9730" s="59">
        <v>4.0</v>
      </c>
      <c r="F9730" s="59">
        <v>4.0</v>
      </c>
      <c r="G9730" s="60">
        <v>1.0</v>
      </c>
      <c r="H9730" s="60">
        <v>0.0</v>
      </c>
      <c r="I9730" s="60">
        <v>27.08246675</v>
      </c>
      <c r="J9730" s="59">
        <v>12.0</v>
      </c>
      <c r="K9730" s="61">
        <f t="shared" si="1"/>
        <v>1</v>
      </c>
      <c r="L9730" s="62">
        <f t="shared" si="2"/>
        <v>3</v>
      </c>
    </row>
    <row r="9731">
      <c r="A9731" s="58">
        <v>45200.0</v>
      </c>
      <c r="B9731" s="24" t="s">
        <v>6787</v>
      </c>
      <c r="C9731" s="24" t="s">
        <v>7056</v>
      </c>
      <c r="D9731" s="59">
        <v>3.0</v>
      </c>
      <c r="E9731" s="59">
        <v>3.0</v>
      </c>
      <c r="F9731" s="59">
        <v>3.0</v>
      </c>
      <c r="G9731" s="60">
        <v>1.0</v>
      </c>
      <c r="H9731" s="60">
        <v>0.0</v>
      </c>
      <c r="I9731" s="60">
        <v>565.925266666666</v>
      </c>
      <c r="J9731" s="59">
        <v>12.0</v>
      </c>
      <c r="K9731" s="61">
        <f t="shared" si="1"/>
        <v>1</v>
      </c>
      <c r="L9731" s="62">
        <f t="shared" si="2"/>
        <v>4</v>
      </c>
    </row>
    <row r="9732">
      <c r="A9732" s="58">
        <v>45200.0</v>
      </c>
      <c r="B9732" s="24" t="s">
        <v>6789</v>
      </c>
      <c r="C9732" s="24" t="s">
        <v>7074</v>
      </c>
      <c r="D9732" s="59">
        <v>3.0</v>
      </c>
      <c r="E9732" s="59">
        <v>3.0</v>
      </c>
      <c r="F9732" s="59">
        <v>3.0</v>
      </c>
      <c r="G9732" s="60">
        <v>1.0</v>
      </c>
      <c r="H9732" s="60">
        <v>0.0</v>
      </c>
      <c r="I9732" s="60">
        <v>19.4167003333333</v>
      </c>
      <c r="J9732" s="59">
        <v>6.0</v>
      </c>
      <c r="K9732" s="61">
        <f t="shared" si="1"/>
        <v>1</v>
      </c>
      <c r="L9732" s="62">
        <f t="shared" si="2"/>
        <v>2</v>
      </c>
    </row>
    <row r="9733">
      <c r="A9733" s="58">
        <v>45200.0</v>
      </c>
      <c r="B9733" s="24" t="s">
        <v>6789</v>
      </c>
      <c r="C9733" s="24" t="s">
        <v>6886</v>
      </c>
      <c r="D9733" s="59">
        <v>3.0</v>
      </c>
      <c r="E9733" s="59">
        <v>3.0</v>
      </c>
      <c r="F9733" s="59">
        <v>1.0</v>
      </c>
      <c r="G9733" s="60">
        <v>1.0</v>
      </c>
      <c r="H9733" s="60">
        <v>0.333333333333333</v>
      </c>
      <c r="I9733" s="60">
        <v>79.0270706666666</v>
      </c>
      <c r="J9733" s="59">
        <v>7.0</v>
      </c>
      <c r="K9733" s="61">
        <f t="shared" si="1"/>
        <v>0.3333333333</v>
      </c>
      <c r="L9733" s="62">
        <f t="shared" si="2"/>
        <v>2.333333333</v>
      </c>
    </row>
    <row r="9734">
      <c r="A9734" s="58">
        <v>45200.0</v>
      </c>
      <c r="B9734" s="24" t="s">
        <v>6787</v>
      </c>
      <c r="C9734" s="24" t="s">
        <v>6891</v>
      </c>
      <c r="D9734" s="59">
        <v>3.0</v>
      </c>
      <c r="E9734" s="59">
        <v>6.0</v>
      </c>
      <c r="F9734" s="59">
        <v>2.0</v>
      </c>
      <c r="G9734" s="60">
        <v>2.0</v>
      </c>
      <c r="H9734" s="60">
        <v>0.0</v>
      </c>
      <c r="I9734" s="60">
        <v>183.933512333333</v>
      </c>
      <c r="J9734" s="59">
        <v>24.0</v>
      </c>
      <c r="K9734" s="61">
        <f t="shared" si="1"/>
        <v>0.3333333333</v>
      </c>
      <c r="L9734" s="62">
        <f t="shared" si="2"/>
        <v>4</v>
      </c>
    </row>
    <row r="9735">
      <c r="A9735" s="58">
        <v>45200.0</v>
      </c>
      <c r="B9735" s="24" t="s">
        <v>6789</v>
      </c>
      <c r="C9735" s="24" t="s">
        <v>6904</v>
      </c>
      <c r="D9735" s="59">
        <v>3.0</v>
      </c>
      <c r="E9735" s="59">
        <v>4.0</v>
      </c>
      <c r="F9735" s="59">
        <v>0.0</v>
      </c>
      <c r="G9735" s="60">
        <v>1.33333333333333</v>
      </c>
      <c r="H9735" s="60">
        <v>0.0</v>
      </c>
      <c r="I9735" s="60">
        <v>48.54875025</v>
      </c>
      <c r="J9735" s="59">
        <v>16.0</v>
      </c>
      <c r="K9735" s="61">
        <f t="shared" si="1"/>
        <v>0</v>
      </c>
      <c r="L9735" s="62">
        <f t="shared" si="2"/>
        <v>4</v>
      </c>
    </row>
    <row r="9736">
      <c r="A9736" s="58">
        <v>45200.0</v>
      </c>
      <c r="B9736" s="24" t="s">
        <v>3216</v>
      </c>
      <c r="C9736" s="24" t="s">
        <v>7595</v>
      </c>
      <c r="D9736" s="59">
        <v>3.0</v>
      </c>
      <c r="E9736" s="59">
        <v>3.0</v>
      </c>
      <c r="F9736" s="59">
        <v>2.0</v>
      </c>
      <c r="G9736" s="60">
        <v>1.0</v>
      </c>
      <c r="H9736" s="60">
        <v>0.0</v>
      </c>
      <c r="I9736" s="60">
        <v>23.203266</v>
      </c>
      <c r="J9736" s="59">
        <v>6.0</v>
      </c>
      <c r="K9736" s="61">
        <f t="shared" si="1"/>
        <v>0.6666666667</v>
      </c>
      <c r="L9736" s="62">
        <f t="shared" si="2"/>
        <v>2</v>
      </c>
    </row>
    <row r="9737">
      <c r="A9737" s="58">
        <v>45200.0</v>
      </c>
      <c r="B9737" s="24" t="s">
        <v>6794</v>
      </c>
      <c r="C9737" s="24" t="s">
        <v>7592</v>
      </c>
      <c r="D9737" s="59">
        <v>3.0</v>
      </c>
      <c r="E9737" s="59">
        <v>3.0</v>
      </c>
      <c r="F9737" s="59">
        <v>2.0</v>
      </c>
      <c r="G9737" s="60">
        <v>1.0</v>
      </c>
      <c r="H9737" s="60">
        <v>0.0</v>
      </c>
      <c r="I9737" s="60">
        <v>5.63852266666666</v>
      </c>
      <c r="J9737" s="59">
        <v>6.0</v>
      </c>
      <c r="K9737" s="61">
        <f t="shared" si="1"/>
        <v>0.6666666667</v>
      </c>
      <c r="L9737" s="62">
        <f t="shared" si="2"/>
        <v>2</v>
      </c>
    </row>
    <row r="9738">
      <c r="A9738" s="58">
        <v>45200.0</v>
      </c>
      <c r="B9738" s="24" t="s">
        <v>6789</v>
      </c>
      <c r="C9738" s="24" t="s">
        <v>6907</v>
      </c>
      <c r="D9738" s="59">
        <v>3.0</v>
      </c>
      <c r="E9738" s="59">
        <v>3.0</v>
      </c>
      <c r="F9738" s="59">
        <v>2.0</v>
      </c>
      <c r="G9738" s="60">
        <v>1.0</v>
      </c>
      <c r="H9738" s="60">
        <v>0.0</v>
      </c>
      <c r="I9738" s="60">
        <v>517.089951333333</v>
      </c>
      <c r="J9738" s="59">
        <v>8.0</v>
      </c>
      <c r="K9738" s="61">
        <f t="shared" si="1"/>
        <v>0.6666666667</v>
      </c>
      <c r="L9738" s="62">
        <f t="shared" si="2"/>
        <v>2.666666667</v>
      </c>
    </row>
    <row r="9739">
      <c r="A9739" s="58">
        <v>45200.0</v>
      </c>
      <c r="B9739" s="24" t="s">
        <v>6787</v>
      </c>
      <c r="C9739" s="24" t="s">
        <v>6808</v>
      </c>
      <c r="D9739" s="59">
        <v>3.0</v>
      </c>
      <c r="E9739" s="59">
        <v>3.0</v>
      </c>
      <c r="F9739" s="59">
        <v>2.0</v>
      </c>
      <c r="G9739" s="60">
        <v>1.0</v>
      </c>
      <c r="H9739" s="60">
        <v>0.0</v>
      </c>
      <c r="I9739" s="60">
        <v>609.953777</v>
      </c>
      <c r="J9739" s="59">
        <v>8.0</v>
      </c>
      <c r="K9739" s="61">
        <f t="shared" si="1"/>
        <v>0.6666666667</v>
      </c>
      <c r="L9739" s="62">
        <f t="shared" si="2"/>
        <v>2.666666667</v>
      </c>
    </row>
    <row r="9740">
      <c r="A9740" s="58">
        <v>45200.0</v>
      </c>
      <c r="B9740" s="24" t="s">
        <v>6787</v>
      </c>
      <c r="C9740" s="24" t="s">
        <v>7013</v>
      </c>
      <c r="D9740" s="59">
        <v>3.0</v>
      </c>
      <c r="E9740" s="59">
        <v>3.0</v>
      </c>
      <c r="F9740" s="59">
        <v>3.0</v>
      </c>
      <c r="G9740" s="60">
        <v>1.0</v>
      </c>
      <c r="H9740" s="60">
        <v>0.0</v>
      </c>
      <c r="I9740" s="60">
        <v>543.036965333333</v>
      </c>
      <c r="J9740" s="59">
        <v>5.0</v>
      </c>
      <c r="K9740" s="61">
        <f t="shared" si="1"/>
        <v>1</v>
      </c>
      <c r="L9740" s="62">
        <f t="shared" si="2"/>
        <v>1.666666667</v>
      </c>
    </row>
    <row r="9741">
      <c r="A9741" s="58">
        <v>45200.0</v>
      </c>
      <c r="B9741" s="24" t="s">
        <v>155</v>
      </c>
      <c r="C9741" s="24" t="s">
        <v>7013</v>
      </c>
      <c r="D9741" s="59">
        <v>3.0</v>
      </c>
      <c r="E9741" s="59">
        <v>3.0</v>
      </c>
      <c r="F9741" s="59">
        <v>2.0</v>
      </c>
      <c r="G9741" s="60">
        <v>1.0</v>
      </c>
      <c r="H9741" s="60">
        <v>0.0</v>
      </c>
      <c r="I9741" s="60">
        <v>54.7018309999999</v>
      </c>
      <c r="J9741" s="59">
        <v>14.0</v>
      </c>
      <c r="K9741" s="61">
        <f t="shared" si="1"/>
        <v>0.6666666667</v>
      </c>
      <c r="L9741" s="62">
        <f t="shared" si="2"/>
        <v>4.666666667</v>
      </c>
    </row>
    <row r="9742">
      <c r="A9742" s="58">
        <v>45200.0</v>
      </c>
      <c r="B9742" s="24" t="s">
        <v>6787</v>
      </c>
      <c r="C9742" s="24" t="s">
        <v>7101</v>
      </c>
      <c r="D9742" s="59">
        <v>3.0</v>
      </c>
      <c r="E9742" s="59">
        <v>4.0</v>
      </c>
      <c r="F9742" s="59">
        <v>2.0</v>
      </c>
      <c r="G9742" s="60">
        <v>1.33333333333333</v>
      </c>
      <c r="H9742" s="60">
        <v>0.5</v>
      </c>
      <c r="I9742" s="60">
        <v>96.97361625</v>
      </c>
      <c r="J9742" s="59">
        <v>18.0</v>
      </c>
      <c r="K9742" s="61">
        <f t="shared" si="1"/>
        <v>0.5</v>
      </c>
      <c r="L9742" s="62">
        <f t="shared" si="2"/>
        <v>4.5</v>
      </c>
    </row>
    <row r="9743">
      <c r="A9743" s="58">
        <v>45200.0</v>
      </c>
      <c r="B9743" s="24" t="s">
        <v>6787</v>
      </c>
      <c r="C9743" s="24" t="s">
        <v>6908</v>
      </c>
      <c r="D9743" s="59">
        <v>3.0</v>
      </c>
      <c r="E9743" s="59">
        <v>3.0</v>
      </c>
      <c r="F9743" s="59">
        <v>3.0</v>
      </c>
      <c r="G9743" s="60">
        <v>1.0</v>
      </c>
      <c r="H9743" s="60">
        <v>0.666666666666666</v>
      </c>
      <c r="I9743" s="60">
        <v>9.640917</v>
      </c>
      <c r="J9743" s="59">
        <v>4.0</v>
      </c>
      <c r="K9743" s="61">
        <f t="shared" si="1"/>
        <v>1</v>
      </c>
      <c r="L9743" s="62">
        <f t="shared" si="2"/>
        <v>1.333333333</v>
      </c>
    </row>
    <row r="9744">
      <c r="A9744" s="58">
        <v>45200.0</v>
      </c>
      <c r="B9744" s="24" t="s">
        <v>6789</v>
      </c>
      <c r="C9744" s="24" t="s">
        <v>7174</v>
      </c>
      <c r="D9744" s="59">
        <v>3.0</v>
      </c>
      <c r="E9744" s="59">
        <v>3.0</v>
      </c>
      <c r="F9744" s="59">
        <v>1.0</v>
      </c>
      <c r="G9744" s="60">
        <v>1.0</v>
      </c>
      <c r="H9744" s="60">
        <v>0.0</v>
      </c>
      <c r="I9744" s="60">
        <v>76.3722763333333</v>
      </c>
      <c r="J9744" s="59">
        <v>12.0</v>
      </c>
      <c r="K9744" s="61">
        <f t="shared" si="1"/>
        <v>0.3333333333</v>
      </c>
      <c r="L9744" s="62">
        <f t="shared" si="2"/>
        <v>4</v>
      </c>
    </row>
    <row r="9745">
      <c r="A9745" s="58">
        <v>45200.0</v>
      </c>
      <c r="B9745" s="24" t="s">
        <v>6787</v>
      </c>
      <c r="C9745" s="24" t="s">
        <v>7588</v>
      </c>
      <c r="D9745" s="59">
        <v>3.0</v>
      </c>
      <c r="E9745" s="59">
        <v>3.0</v>
      </c>
      <c r="F9745" s="59">
        <v>3.0</v>
      </c>
      <c r="G9745" s="60">
        <v>1.0</v>
      </c>
      <c r="H9745" s="60">
        <v>0.0</v>
      </c>
      <c r="I9745" s="60">
        <v>4.573752</v>
      </c>
      <c r="J9745" s="59">
        <v>6.0</v>
      </c>
      <c r="K9745" s="61">
        <f t="shared" si="1"/>
        <v>1</v>
      </c>
      <c r="L9745" s="62">
        <f t="shared" si="2"/>
        <v>2</v>
      </c>
    </row>
    <row r="9746">
      <c r="A9746" s="58">
        <v>45200.0</v>
      </c>
      <c r="B9746" s="24" t="s">
        <v>6787</v>
      </c>
      <c r="C9746" s="24" t="s">
        <v>6922</v>
      </c>
      <c r="D9746" s="59">
        <v>3.0</v>
      </c>
      <c r="E9746" s="59">
        <v>3.0</v>
      </c>
      <c r="F9746" s="59">
        <v>3.0</v>
      </c>
      <c r="G9746" s="60">
        <v>1.0</v>
      </c>
      <c r="H9746" s="60">
        <v>0.666666666666666</v>
      </c>
      <c r="I9746" s="60">
        <v>3.00639933333333</v>
      </c>
      <c r="J9746" s="59">
        <v>4.0</v>
      </c>
      <c r="K9746" s="61">
        <f t="shared" si="1"/>
        <v>1</v>
      </c>
      <c r="L9746" s="62">
        <f t="shared" si="2"/>
        <v>1.333333333</v>
      </c>
    </row>
    <row r="9747">
      <c r="A9747" s="58">
        <v>45200.0</v>
      </c>
      <c r="B9747" s="24" t="s">
        <v>6787</v>
      </c>
      <c r="C9747" s="24" t="s">
        <v>6797</v>
      </c>
      <c r="D9747" s="59">
        <v>3.0</v>
      </c>
      <c r="E9747" s="59">
        <v>3.0</v>
      </c>
      <c r="F9747" s="59">
        <v>2.0</v>
      </c>
      <c r="G9747" s="60">
        <v>1.0</v>
      </c>
      <c r="H9747" s="60">
        <v>0.666666666666666</v>
      </c>
      <c r="I9747" s="60">
        <v>1.843597</v>
      </c>
      <c r="J9747" s="59">
        <v>4.0</v>
      </c>
      <c r="K9747" s="61">
        <f t="shared" si="1"/>
        <v>0.6666666667</v>
      </c>
      <c r="L9747" s="62">
        <f t="shared" si="2"/>
        <v>1.333333333</v>
      </c>
    </row>
    <row r="9748">
      <c r="A9748" s="58">
        <v>45200.0</v>
      </c>
      <c r="B9748" s="24" t="s">
        <v>155</v>
      </c>
      <c r="C9748" s="24" t="s">
        <v>6802</v>
      </c>
      <c r="D9748" s="59">
        <v>3.0</v>
      </c>
      <c r="E9748" s="59">
        <v>4.0</v>
      </c>
      <c r="F9748" s="59">
        <v>0.0</v>
      </c>
      <c r="G9748" s="60">
        <v>1.33333333333333</v>
      </c>
      <c r="H9748" s="60">
        <v>0.0</v>
      </c>
      <c r="I9748" s="60">
        <v>542.799143249999</v>
      </c>
      <c r="J9748" s="59">
        <v>82.0</v>
      </c>
      <c r="K9748" s="61">
        <f t="shared" si="1"/>
        <v>0</v>
      </c>
      <c r="L9748" s="62">
        <f t="shared" si="2"/>
        <v>20.5</v>
      </c>
    </row>
    <row r="9749">
      <c r="A9749" s="58">
        <v>45200.0</v>
      </c>
      <c r="B9749" s="24" t="s">
        <v>3216</v>
      </c>
      <c r="C9749" s="24" t="s">
        <v>6792</v>
      </c>
      <c r="D9749" s="59">
        <v>2.0</v>
      </c>
      <c r="E9749" s="59">
        <v>2.0</v>
      </c>
      <c r="F9749" s="59">
        <v>1.0</v>
      </c>
      <c r="G9749" s="60">
        <v>2.0</v>
      </c>
      <c r="H9749" s="60">
        <v>1.0</v>
      </c>
      <c r="I9749" s="60">
        <v>0.0</v>
      </c>
      <c r="J9749" s="59">
        <v>0.0</v>
      </c>
      <c r="K9749" s="61">
        <f t="shared" si="1"/>
        <v>0.5</v>
      </c>
      <c r="L9749" s="62">
        <f t="shared" si="2"/>
        <v>0</v>
      </c>
    </row>
    <row r="9750">
      <c r="A9750" s="58">
        <v>45200.0</v>
      </c>
      <c r="B9750" s="24" t="s">
        <v>6790</v>
      </c>
      <c r="C9750" s="24" t="s">
        <v>6792</v>
      </c>
      <c r="D9750" s="59">
        <v>2.0</v>
      </c>
      <c r="E9750" s="59">
        <v>2.0</v>
      </c>
      <c r="F9750" s="59">
        <v>0.0</v>
      </c>
      <c r="G9750" s="60">
        <v>1.0</v>
      </c>
      <c r="H9750" s="60">
        <v>1.0</v>
      </c>
      <c r="I9750" s="60">
        <v>0.0</v>
      </c>
      <c r="J9750" s="59">
        <v>0.0</v>
      </c>
      <c r="K9750" s="61">
        <f t="shared" si="1"/>
        <v>0</v>
      </c>
      <c r="L9750" s="62">
        <f t="shared" si="2"/>
        <v>0</v>
      </c>
    </row>
    <row r="9751">
      <c r="A9751" s="58">
        <v>45200.0</v>
      </c>
      <c r="B9751" s="24" t="s">
        <v>6791</v>
      </c>
      <c r="C9751" s="24" t="s">
        <v>6788</v>
      </c>
      <c r="D9751" s="59">
        <v>2.0</v>
      </c>
      <c r="E9751" s="59">
        <v>3.0</v>
      </c>
      <c r="F9751" s="59">
        <v>0.0</v>
      </c>
      <c r="G9751" s="60">
        <v>1.5</v>
      </c>
      <c r="H9751" s="60">
        <v>0.0</v>
      </c>
      <c r="I9751" s="60">
        <v>752.044051</v>
      </c>
      <c r="J9751" s="59">
        <v>54.0</v>
      </c>
      <c r="K9751" s="61">
        <f t="shared" si="1"/>
        <v>0</v>
      </c>
      <c r="L9751" s="62">
        <f t="shared" si="2"/>
        <v>18</v>
      </c>
    </row>
    <row r="9752">
      <c r="A9752" s="58">
        <v>45200.0</v>
      </c>
      <c r="B9752" s="24" t="s">
        <v>155</v>
      </c>
      <c r="C9752" s="24" t="s">
        <v>6817</v>
      </c>
      <c r="D9752" s="59">
        <v>2.0</v>
      </c>
      <c r="E9752" s="59">
        <v>2.0</v>
      </c>
      <c r="F9752" s="59">
        <v>0.0</v>
      </c>
      <c r="G9752" s="60">
        <v>1.0</v>
      </c>
      <c r="H9752" s="60">
        <v>0.0</v>
      </c>
      <c r="I9752" s="60">
        <v>82.0214745</v>
      </c>
      <c r="J9752" s="59">
        <v>6.0</v>
      </c>
      <c r="K9752" s="61">
        <f t="shared" si="1"/>
        <v>0</v>
      </c>
      <c r="L9752" s="62">
        <f t="shared" si="2"/>
        <v>3</v>
      </c>
    </row>
    <row r="9753">
      <c r="A9753" s="58">
        <v>45200.0</v>
      </c>
      <c r="B9753" s="24" t="s">
        <v>6789</v>
      </c>
      <c r="C9753" s="24" t="s">
        <v>7056</v>
      </c>
      <c r="D9753" s="59">
        <v>2.0</v>
      </c>
      <c r="E9753" s="59">
        <v>4.0</v>
      </c>
      <c r="F9753" s="59">
        <v>1.0</v>
      </c>
      <c r="G9753" s="60">
        <v>2.0</v>
      </c>
      <c r="H9753" s="60">
        <v>0.0</v>
      </c>
      <c r="I9753" s="60">
        <v>587.97312225</v>
      </c>
      <c r="J9753" s="59">
        <v>24.0</v>
      </c>
      <c r="K9753" s="61">
        <f t="shared" si="1"/>
        <v>0.25</v>
      </c>
      <c r="L9753" s="62">
        <f t="shared" si="2"/>
        <v>6</v>
      </c>
    </row>
    <row r="9754">
      <c r="A9754" s="58">
        <v>45200.0</v>
      </c>
      <c r="B9754" s="24" t="s">
        <v>6789</v>
      </c>
      <c r="C9754" s="24" t="s">
        <v>7057</v>
      </c>
      <c r="D9754" s="59">
        <v>2.0</v>
      </c>
      <c r="E9754" s="59">
        <v>2.0</v>
      </c>
      <c r="F9754" s="59">
        <v>0.0</v>
      </c>
      <c r="G9754" s="60">
        <v>1.0</v>
      </c>
      <c r="H9754" s="60">
        <v>0.0</v>
      </c>
      <c r="I9754" s="60">
        <v>19.2123229999999</v>
      </c>
      <c r="J9754" s="59">
        <v>6.0</v>
      </c>
      <c r="K9754" s="61">
        <f t="shared" si="1"/>
        <v>0</v>
      </c>
      <c r="L9754" s="62">
        <f t="shared" si="2"/>
        <v>3</v>
      </c>
    </row>
    <row r="9755">
      <c r="A9755" s="58">
        <v>45200.0</v>
      </c>
      <c r="B9755" s="24" t="s">
        <v>6789</v>
      </c>
      <c r="C9755" s="24" t="s">
        <v>7058</v>
      </c>
      <c r="D9755" s="59">
        <v>2.0</v>
      </c>
      <c r="E9755" s="59">
        <v>2.0</v>
      </c>
      <c r="F9755" s="59">
        <v>2.0</v>
      </c>
      <c r="G9755" s="60">
        <v>1.0</v>
      </c>
      <c r="H9755" s="60">
        <v>0.0</v>
      </c>
      <c r="I9755" s="60">
        <v>4.9834095</v>
      </c>
      <c r="J9755" s="59">
        <v>4.0</v>
      </c>
      <c r="K9755" s="61">
        <f t="shared" si="1"/>
        <v>1</v>
      </c>
      <c r="L9755" s="62">
        <f t="shared" si="2"/>
        <v>2</v>
      </c>
    </row>
    <row r="9756">
      <c r="A9756" s="58">
        <v>45200.0</v>
      </c>
      <c r="B9756" s="24" t="s">
        <v>6789</v>
      </c>
      <c r="C9756" s="24" t="s">
        <v>6833</v>
      </c>
      <c r="D9756" s="59">
        <v>2.0</v>
      </c>
      <c r="E9756" s="59">
        <v>2.0</v>
      </c>
      <c r="F9756" s="59">
        <v>1.0</v>
      </c>
      <c r="G9756" s="60">
        <v>1.0</v>
      </c>
      <c r="H9756" s="60">
        <v>0.0</v>
      </c>
      <c r="I9756" s="60">
        <v>7.0541285</v>
      </c>
      <c r="J9756" s="59">
        <v>6.0</v>
      </c>
      <c r="K9756" s="61">
        <f t="shared" si="1"/>
        <v>0.5</v>
      </c>
      <c r="L9756" s="62">
        <f t="shared" si="2"/>
        <v>3</v>
      </c>
    </row>
    <row r="9757">
      <c r="A9757" s="58">
        <v>45200.0</v>
      </c>
      <c r="B9757" s="24" t="s">
        <v>6787</v>
      </c>
      <c r="C9757" s="24" t="s">
        <v>6819</v>
      </c>
      <c r="D9757" s="59">
        <v>2.0</v>
      </c>
      <c r="E9757" s="59">
        <v>2.0</v>
      </c>
      <c r="F9757" s="59">
        <v>2.0</v>
      </c>
      <c r="G9757" s="60">
        <v>1.0</v>
      </c>
      <c r="H9757" s="60">
        <v>0.0</v>
      </c>
      <c r="I9757" s="60">
        <v>402.503038499999</v>
      </c>
      <c r="J9757" s="59">
        <v>7.0</v>
      </c>
      <c r="K9757" s="61">
        <f t="shared" si="1"/>
        <v>1</v>
      </c>
      <c r="L9757" s="62">
        <f t="shared" si="2"/>
        <v>3.5</v>
      </c>
    </row>
    <row r="9758">
      <c r="A9758" s="58">
        <v>45200.0</v>
      </c>
      <c r="B9758" s="24" t="s">
        <v>6794</v>
      </c>
      <c r="C9758" s="24" t="s">
        <v>7024</v>
      </c>
      <c r="D9758" s="59">
        <v>2.0</v>
      </c>
      <c r="E9758" s="59">
        <v>2.0</v>
      </c>
      <c r="F9758" s="59">
        <v>1.0</v>
      </c>
      <c r="G9758" s="60">
        <v>1.0</v>
      </c>
      <c r="H9758" s="60">
        <v>0.0</v>
      </c>
      <c r="I9758" s="60">
        <v>534.229515499999</v>
      </c>
      <c r="J9758" s="59">
        <v>13.0</v>
      </c>
      <c r="K9758" s="61">
        <f t="shared" si="1"/>
        <v>0.5</v>
      </c>
      <c r="L9758" s="62">
        <f t="shared" si="2"/>
        <v>6.5</v>
      </c>
    </row>
    <row r="9759">
      <c r="A9759" s="58">
        <v>45200.0</v>
      </c>
      <c r="B9759" s="24" t="s">
        <v>6789</v>
      </c>
      <c r="C9759" s="24" t="s">
        <v>7065</v>
      </c>
      <c r="D9759" s="59">
        <v>2.0</v>
      </c>
      <c r="E9759" s="59">
        <v>4.0</v>
      </c>
      <c r="F9759" s="59">
        <v>0.0</v>
      </c>
      <c r="G9759" s="60">
        <v>2.0</v>
      </c>
      <c r="H9759" s="60">
        <v>0.0</v>
      </c>
      <c r="I9759" s="60">
        <v>442.10604025</v>
      </c>
      <c r="J9759" s="59">
        <v>14.0</v>
      </c>
      <c r="K9759" s="61">
        <f t="shared" si="1"/>
        <v>0</v>
      </c>
      <c r="L9759" s="62">
        <f t="shared" si="2"/>
        <v>3.5</v>
      </c>
    </row>
    <row r="9760">
      <c r="A9760" s="58">
        <v>45200.0</v>
      </c>
      <c r="B9760" s="24" t="s">
        <v>6794</v>
      </c>
      <c r="C9760" s="24" t="s">
        <v>6835</v>
      </c>
      <c r="D9760" s="59">
        <v>2.0</v>
      </c>
      <c r="E9760" s="59">
        <v>2.0</v>
      </c>
      <c r="F9760" s="59">
        <v>2.0</v>
      </c>
      <c r="G9760" s="60">
        <v>1.0</v>
      </c>
      <c r="H9760" s="60">
        <v>0.0</v>
      </c>
      <c r="I9760" s="60">
        <v>4.898607</v>
      </c>
      <c r="J9760" s="59">
        <v>4.0</v>
      </c>
      <c r="K9760" s="61">
        <f t="shared" si="1"/>
        <v>1</v>
      </c>
      <c r="L9760" s="62">
        <f t="shared" si="2"/>
        <v>2</v>
      </c>
    </row>
    <row r="9761">
      <c r="A9761" s="58">
        <v>45200.0</v>
      </c>
      <c r="B9761" s="24" t="s">
        <v>6789</v>
      </c>
      <c r="C9761" s="24" t="s">
        <v>6991</v>
      </c>
      <c r="D9761" s="59">
        <v>2.0</v>
      </c>
      <c r="E9761" s="59">
        <v>3.0</v>
      </c>
      <c r="F9761" s="59">
        <v>0.0</v>
      </c>
      <c r="G9761" s="60">
        <v>1.5</v>
      </c>
      <c r="H9761" s="60">
        <v>0.0</v>
      </c>
      <c r="I9761" s="60">
        <v>257.858214666666</v>
      </c>
      <c r="J9761" s="59">
        <v>16.0</v>
      </c>
      <c r="K9761" s="61">
        <f t="shared" si="1"/>
        <v>0</v>
      </c>
      <c r="L9761" s="62">
        <f t="shared" si="2"/>
        <v>5.333333333</v>
      </c>
    </row>
    <row r="9762">
      <c r="A9762" s="58">
        <v>45200.0</v>
      </c>
      <c r="B9762" s="24" t="s">
        <v>6789</v>
      </c>
      <c r="C9762" s="24" t="s">
        <v>7072</v>
      </c>
      <c r="D9762" s="59">
        <v>2.0</v>
      </c>
      <c r="E9762" s="59">
        <v>2.0</v>
      </c>
      <c r="F9762" s="59">
        <v>1.0</v>
      </c>
      <c r="G9762" s="60">
        <v>1.0</v>
      </c>
      <c r="H9762" s="60">
        <v>0.0</v>
      </c>
      <c r="I9762" s="60">
        <v>1311.4922295</v>
      </c>
      <c r="J9762" s="59">
        <v>12.0</v>
      </c>
      <c r="K9762" s="61">
        <f t="shared" si="1"/>
        <v>0.5</v>
      </c>
      <c r="L9762" s="62">
        <f t="shared" si="2"/>
        <v>6</v>
      </c>
    </row>
    <row r="9763">
      <c r="A9763" s="58">
        <v>45200.0</v>
      </c>
      <c r="B9763" s="24" t="s">
        <v>6787</v>
      </c>
      <c r="C9763" s="24" t="s">
        <v>6997</v>
      </c>
      <c r="D9763" s="59">
        <v>2.0</v>
      </c>
      <c r="E9763" s="59">
        <v>2.0</v>
      </c>
      <c r="F9763" s="59">
        <v>2.0</v>
      </c>
      <c r="G9763" s="60">
        <v>1.0</v>
      </c>
      <c r="H9763" s="60">
        <v>0.0</v>
      </c>
      <c r="I9763" s="60">
        <v>15.292005</v>
      </c>
      <c r="J9763" s="59">
        <v>4.0</v>
      </c>
      <c r="K9763" s="61">
        <f t="shared" si="1"/>
        <v>1</v>
      </c>
      <c r="L9763" s="62">
        <f t="shared" si="2"/>
        <v>2</v>
      </c>
    </row>
    <row r="9764">
      <c r="A9764" s="58">
        <v>45200.0</v>
      </c>
      <c r="B9764" s="24" t="s">
        <v>6787</v>
      </c>
      <c r="C9764" s="24" t="s">
        <v>6892</v>
      </c>
      <c r="D9764" s="59">
        <v>2.0</v>
      </c>
      <c r="E9764" s="59">
        <v>2.0</v>
      </c>
      <c r="F9764" s="59">
        <v>2.0</v>
      </c>
      <c r="G9764" s="60">
        <v>1.0</v>
      </c>
      <c r="H9764" s="60">
        <v>0.0</v>
      </c>
      <c r="I9764" s="60">
        <v>9.30586299999999</v>
      </c>
      <c r="J9764" s="59">
        <v>4.0</v>
      </c>
      <c r="K9764" s="61">
        <f t="shared" si="1"/>
        <v>1</v>
      </c>
      <c r="L9764" s="62">
        <f t="shared" si="2"/>
        <v>2</v>
      </c>
    </row>
    <row r="9765">
      <c r="A9765" s="58">
        <v>45200.0</v>
      </c>
      <c r="B9765" s="24" t="s">
        <v>6789</v>
      </c>
      <c r="C9765" s="24" t="s">
        <v>6896</v>
      </c>
      <c r="D9765" s="59">
        <v>2.0</v>
      </c>
      <c r="E9765" s="59">
        <v>2.0</v>
      </c>
      <c r="F9765" s="59">
        <v>2.0</v>
      </c>
      <c r="G9765" s="60">
        <v>1.0</v>
      </c>
      <c r="H9765" s="60">
        <v>0.0</v>
      </c>
      <c r="I9765" s="60">
        <v>29.675949</v>
      </c>
      <c r="J9765" s="59">
        <v>4.0</v>
      </c>
      <c r="K9765" s="61">
        <f t="shared" si="1"/>
        <v>1</v>
      </c>
      <c r="L9765" s="62">
        <f t="shared" si="2"/>
        <v>2</v>
      </c>
    </row>
    <row r="9766">
      <c r="A9766" s="58">
        <v>45200.0</v>
      </c>
      <c r="B9766" s="24" t="s">
        <v>6789</v>
      </c>
      <c r="C9766" s="24" t="s">
        <v>6897</v>
      </c>
      <c r="D9766" s="59">
        <v>2.0</v>
      </c>
      <c r="E9766" s="59">
        <v>2.0</v>
      </c>
      <c r="F9766" s="59">
        <v>2.0</v>
      </c>
      <c r="G9766" s="60">
        <v>1.0</v>
      </c>
      <c r="H9766" s="60">
        <v>0.0</v>
      </c>
      <c r="I9766" s="60">
        <v>164.6404945</v>
      </c>
      <c r="J9766" s="59">
        <v>6.0</v>
      </c>
      <c r="K9766" s="61">
        <f t="shared" si="1"/>
        <v>1</v>
      </c>
      <c r="L9766" s="62">
        <f t="shared" si="2"/>
        <v>3</v>
      </c>
    </row>
    <row r="9767">
      <c r="A9767" s="58">
        <v>45200.0</v>
      </c>
      <c r="B9767" s="24" t="s">
        <v>6787</v>
      </c>
      <c r="C9767" s="24" t="s">
        <v>6904</v>
      </c>
      <c r="D9767" s="59">
        <v>2.0</v>
      </c>
      <c r="E9767" s="59">
        <v>3.0</v>
      </c>
      <c r="F9767" s="59">
        <v>2.0</v>
      </c>
      <c r="G9767" s="60">
        <v>1.5</v>
      </c>
      <c r="H9767" s="60">
        <v>0.0</v>
      </c>
      <c r="I9767" s="60">
        <v>567.085174333333</v>
      </c>
      <c r="J9767" s="59">
        <v>12.0</v>
      </c>
      <c r="K9767" s="61">
        <f t="shared" si="1"/>
        <v>0.6666666667</v>
      </c>
      <c r="L9767" s="62">
        <f t="shared" si="2"/>
        <v>4</v>
      </c>
    </row>
    <row r="9768">
      <c r="A9768" s="58">
        <v>45200.0</v>
      </c>
      <c r="B9768" s="24" t="s">
        <v>6787</v>
      </c>
      <c r="C9768" s="24" t="s">
        <v>6905</v>
      </c>
      <c r="D9768" s="59">
        <v>2.0</v>
      </c>
      <c r="E9768" s="59">
        <v>2.0</v>
      </c>
      <c r="F9768" s="59">
        <v>2.0</v>
      </c>
      <c r="G9768" s="60">
        <v>1.0</v>
      </c>
      <c r="H9768" s="60">
        <v>0.0</v>
      </c>
      <c r="I9768" s="60">
        <v>115.335514</v>
      </c>
      <c r="J9768" s="59">
        <v>10.0</v>
      </c>
      <c r="K9768" s="61">
        <f t="shared" si="1"/>
        <v>1</v>
      </c>
      <c r="L9768" s="62">
        <f t="shared" si="2"/>
        <v>5</v>
      </c>
    </row>
    <row r="9769">
      <c r="A9769" s="58">
        <v>45200.0</v>
      </c>
      <c r="B9769" s="24" t="s">
        <v>3216</v>
      </c>
      <c r="C9769" s="24" t="s">
        <v>6905</v>
      </c>
      <c r="D9769" s="59">
        <v>2.0</v>
      </c>
      <c r="E9769" s="59">
        <v>2.0</v>
      </c>
      <c r="F9769" s="59">
        <v>2.0</v>
      </c>
      <c r="G9769" s="60">
        <v>1.0</v>
      </c>
      <c r="H9769" s="60">
        <v>0.0</v>
      </c>
      <c r="I9769" s="60">
        <v>21.374486</v>
      </c>
      <c r="J9769" s="59">
        <v>4.0</v>
      </c>
      <c r="K9769" s="61">
        <f t="shared" si="1"/>
        <v>1</v>
      </c>
      <c r="L9769" s="62">
        <f t="shared" si="2"/>
        <v>2</v>
      </c>
    </row>
    <row r="9770">
      <c r="A9770" s="58">
        <v>45200.0</v>
      </c>
      <c r="B9770" s="24" t="s">
        <v>6787</v>
      </c>
      <c r="C9770" s="24" t="s">
        <v>7571</v>
      </c>
      <c r="D9770" s="59">
        <v>2.0</v>
      </c>
      <c r="E9770" s="59">
        <v>3.0</v>
      </c>
      <c r="F9770" s="59">
        <v>2.0</v>
      </c>
      <c r="G9770" s="60">
        <v>1.5</v>
      </c>
      <c r="H9770" s="60">
        <v>0.0</v>
      </c>
      <c r="I9770" s="60">
        <v>15.7425156666666</v>
      </c>
      <c r="J9770" s="59">
        <v>6.0</v>
      </c>
      <c r="K9770" s="61">
        <f t="shared" si="1"/>
        <v>0.6666666667</v>
      </c>
      <c r="L9770" s="62">
        <f t="shared" si="2"/>
        <v>2</v>
      </c>
    </row>
    <row r="9771">
      <c r="A9771" s="58">
        <v>45200.0</v>
      </c>
      <c r="B9771" s="24" t="s">
        <v>6787</v>
      </c>
      <c r="C9771" s="24" t="s">
        <v>7591</v>
      </c>
      <c r="D9771" s="59">
        <v>2.0</v>
      </c>
      <c r="E9771" s="59">
        <v>2.0</v>
      </c>
      <c r="F9771" s="59">
        <v>1.0</v>
      </c>
      <c r="G9771" s="60">
        <v>2.0</v>
      </c>
      <c r="H9771" s="60">
        <v>0.5</v>
      </c>
      <c r="I9771" s="60">
        <v>109.92064</v>
      </c>
      <c r="J9771" s="59">
        <v>8.0</v>
      </c>
      <c r="K9771" s="61">
        <f t="shared" si="1"/>
        <v>0.5</v>
      </c>
      <c r="L9771" s="62">
        <f t="shared" si="2"/>
        <v>4</v>
      </c>
    </row>
    <row r="9772">
      <c r="A9772" s="58">
        <v>45200.0</v>
      </c>
      <c r="B9772" s="24" t="s">
        <v>6789</v>
      </c>
      <c r="C9772" s="24" t="s">
        <v>7561</v>
      </c>
      <c r="D9772" s="59">
        <v>2.0</v>
      </c>
      <c r="E9772" s="59">
        <v>2.0</v>
      </c>
      <c r="F9772" s="59">
        <v>1.0</v>
      </c>
      <c r="G9772" s="60">
        <v>1.0</v>
      </c>
      <c r="H9772" s="60">
        <v>0.0</v>
      </c>
      <c r="I9772" s="60">
        <v>24.7081835</v>
      </c>
      <c r="J9772" s="59">
        <v>4.0</v>
      </c>
      <c r="K9772" s="61">
        <f t="shared" si="1"/>
        <v>0.5</v>
      </c>
      <c r="L9772" s="62">
        <f t="shared" si="2"/>
        <v>2</v>
      </c>
    </row>
    <row r="9773">
      <c r="A9773" s="58">
        <v>45200.0</v>
      </c>
      <c r="B9773" s="24" t="s">
        <v>6787</v>
      </c>
      <c r="C9773" s="24" t="s">
        <v>7592</v>
      </c>
      <c r="D9773" s="59">
        <v>2.0</v>
      </c>
      <c r="E9773" s="59">
        <v>2.0</v>
      </c>
      <c r="F9773" s="59">
        <v>2.0</v>
      </c>
      <c r="G9773" s="60">
        <v>1.0</v>
      </c>
      <c r="H9773" s="60">
        <v>0.0</v>
      </c>
      <c r="I9773" s="60">
        <v>27.084585</v>
      </c>
      <c r="J9773" s="59">
        <v>7.0</v>
      </c>
      <c r="K9773" s="61">
        <f t="shared" si="1"/>
        <v>1</v>
      </c>
      <c r="L9773" s="62">
        <f t="shared" si="2"/>
        <v>3.5</v>
      </c>
    </row>
    <row r="9774">
      <c r="A9774" s="58">
        <v>45200.0</v>
      </c>
      <c r="B9774" s="24" t="s">
        <v>6789</v>
      </c>
      <c r="C9774" s="24" t="s">
        <v>7551</v>
      </c>
      <c r="D9774" s="59">
        <v>2.0</v>
      </c>
      <c r="E9774" s="59">
        <v>2.0</v>
      </c>
      <c r="F9774" s="59">
        <v>1.0</v>
      </c>
      <c r="G9774" s="60">
        <v>1.0</v>
      </c>
      <c r="H9774" s="60">
        <v>0.0</v>
      </c>
      <c r="I9774" s="60">
        <v>12.1302309999999</v>
      </c>
      <c r="J9774" s="59">
        <v>6.0</v>
      </c>
      <c r="K9774" s="61">
        <f t="shared" si="1"/>
        <v>0.5</v>
      </c>
      <c r="L9774" s="62">
        <f t="shared" si="2"/>
        <v>3</v>
      </c>
    </row>
    <row r="9775">
      <c r="A9775" s="58">
        <v>45200.0</v>
      </c>
      <c r="B9775" s="24" t="s">
        <v>6789</v>
      </c>
      <c r="C9775" s="24" t="s">
        <v>7258</v>
      </c>
      <c r="D9775" s="59">
        <v>2.0</v>
      </c>
      <c r="E9775" s="59">
        <v>2.0</v>
      </c>
      <c r="F9775" s="59">
        <v>2.0</v>
      </c>
      <c r="G9775" s="60">
        <v>1.0</v>
      </c>
      <c r="H9775" s="60">
        <v>0.0</v>
      </c>
      <c r="I9775" s="60">
        <v>24.782865</v>
      </c>
      <c r="J9775" s="59">
        <v>4.0</v>
      </c>
      <c r="K9775" s="61">
        <f t="shared" si="1"/>
        <v>1</v>
      </c>
      <c r="L9775" s="62">
        <f t="shared" si="2"/>
        <v>2</v>
      </c>
    </row>
    <row r="9776">
      <c r="A9776" s="58">
        <v>45200.0</v>
      </c>
      <c r="B9776" s="24" t="s">
        <v>6942</v>
      </c>
      <c r="C9776" s="24" t="s">
        <v>7530</v>
      </c>
      <c r="D9776" s="59">
        <v>2.0</v>
      </c>
      <c r="E9776" s="59">
        <v>2.0</v>
      </c>
      <c r="F9776" s="59">
        <v>2.0</v>
      </c>
      <c r="G9776" s="60">
        <v>1.0</v>
      </c>
      <c r="H9776" s="60">
        <v>1.0</v>
      </c>
      <c r="I9776" s="60">
        <v>0.0</v>
      </c>
      <c r="J9776" s="59">
        <v>2.0</v>
      </c>
      <c r="K9776" s="61">
        <f t="shared" si="1"/>
        <v>1</v>
      </c>
      <c r="L9776" s="62">
        <f t="shared" si="2"/>
        <v>1</v>
      </c>
    </row>
    <row r="9777">
      <c r="A9777" s="58">
        <v>45200.0</v>
      </c>
      <c r="B9777" s="24" t="s">
        <v>6790</v>
      </c>
      <c r="C9777" s="24" t="s">
        <v>7530</v>
      </c>
      <c r="D9777" s="59">
        <v>2.0</v>
      </c>
      <c r="E9777" s="59">
        <v>2.0</v>
      </c>
      <c r="F9777" s="59">
        <v>2.0</v>
      </c>
      <c r="G9777" s="60">
        <v>1.0</v>
      </c>
      <c r="H9777" s="60">
        <v>0.5</v>
      </c>
      <c r="I9777" s="60">
        <v>2.5164255</v>
      </c>
      <c r="J9777" s="59">
        <v>3.0</v>
      </c>
      <c r="K9777" s="61">
        <f t="shared" si="1"/>
        <v>1</v>
      </c>
      <c r="L9777" s="62">
        <f t="shared" si="2"/>
        <v>1.5</v>
      </c>
    </row>
    <row r="9778">
      <c r="A9778" s="58">
        <v>45200.0</v>
      </c>
      <c r="B9778" s="24" t="s">
        <v>6789</v>
      </c>
      <c r="C9778" s="24" t="s">
        <v>7554</v>
      </c>
      <c r="D9778" s="59">
        <v>2.0</v>
      </c>
      <c r="E9778" s="59">
        <v>2.0</v>
      </c>
      <c r="F9778" s="59">
        <v>2.0</v>
      </c>
      <c r="G9778" s="60">
        <v>1.0</v>
      </c>
      <c r="H9778" s="60">
        <v>1.0</v>
      </c>
      <c r="I9778" s="60">
        <v>0.0</v>
      </c>
      <c r="J9778" s="59">
        <v>2.0</v>
      </c>
      <c r="K9778" s="61">
        <f t="shared" si="1"/>
        <v>1</v>
      </c>
      <c r="L9778" s="62">
        <f t="shared" si="2"/>
        <v>1</v>
      </c>
    </row>
    <row r="9779">
      <c r="A9779" s="58">
        <v>45200.0</v>
      </c>
      <c r="B9779" s="24" t="s">
        <v>6789</v>
      </c>
      <c r="C9779" s="24" t="s">
        <v>7261</v>
      </c>
      <c r="D9779" s="59">
        <v>2.0</v>
      </c>
      <c r="E9779" s="59">
        <v>2.0</v>
      </c>
      <c r="F9779" s="59">
        <v>2.0</v>
      </c>
      <c r="G9779" s="60">
        <v>1.0</v>
      </c>
      <c r="H9779" s="60">
        <v>1.0</v>
      </c>
      <c r="I9779" s="60">
        <v>0.0</v>
      </c>
      <c r="J9779" s="59">
        <v>2.0</v>
      </c>
      <c r="K9779" s="61">
        <f t="shared" si="1"/>
        <v>1</v>
      </c>
      <c r="L9779" s="62">
        <f t="shared" si="2"/>
        <v>1</v>
      </c>
    </row>
    <row r="9780">
      <c r="A9780" s="58">
        <v>45200.0</v>
      </c>
      <c r="B9780" s="24" t="s">
        <v>6942</v>
      </c>
      <c r="C9780" s="24" t="s">
        <v>7261</v>
      </c>
      <c r="D9780" s="59">
        <v>2.0</v>
      </c>
      <c r="E9780" s="59">
        <v>2.0</v>
      </c>
      <c r="F9780" s="59">
        <v>2.0</v>
      </c>
      <c r="G9780" s="60">
        <v>1.0</v>
      </c>
      <c r="H9780" s="60">
        <v>1.0</v>
      </c>
      <c r="I9780" s="60">
        <v>0.0</v>
      </c>
      <c r="J9780" s="59">
        <v>2.0</v>
      </c>
      <c r="K9780" s="61">
        <f t="shared" si="1"/>
        <v>1</v>
      </c>
      <c r="L9780" s="62">
        <f t="shared" si="2"/>
        <v>1</v>
      </c>
    </row>
    <row r="9781">
      <c r="A9781" s="58">
        <v>45200.0</v>
      </c>
      <c r="B9781" s="24" t="s">
        <v>6789</v>
      </c>
      <c r="C9781" s="24" t="s">
        <v>7101</v>
      </c>
      <c r="D9781" s="59">
        <v>2.0</v>
      </c>
      <c r="E9781" s="59">
        <v>5.0</v>
      </c>
      <c r="F9781" s="59">
        <v>0.0</v>
      </c>
      <c r="G9781" s="60">
        <v>2.5</v>
      </c>
      <c r="H9781" s="60">
        <v>0.0</v>
      </c>
      <c r="I9781" s="60">
        <v>5.3834292</v>
      </c>
      <c r="J9781" s="59">
        <v>10.0</v>
      </c>
      <c r="K9781" s="61">
        <f t="shared" si="1"/>
        <v>0</v>
      </c>
      <c r="L9781" s="62">
        <f t="shared" si="2"/>
        <v>2</v>
      </c>
    </row>
    <row r="9782">
      <c r="A9782" s="58">
        <v>45200.0</v>
      </c>
      <c r="B9782" s="24" t="s">
        <v>6789</v>
      </c>
      <c r="C9782" s="24" t="s">
        <v>7044</v>
      </c>
      <c r="D9782" s="59">
        <v>2.0</v>
      </c>
      <c r="E9782" s="59">
        <v>2.0</v>
      </c>
      <c r="F9782" s="59">
        <v>0.0</v>
      </c>
      <c r="G9782" s="60">
        <v>1.0</v>
      </c>
      <c r="H9782" s="60">
        <v>0.0</v>
      </c>
      <c r="I9782" s="60">
        <v>409.212971</v>
      </c>
      <c r="J9782" s="59">
        <v>4.0</v>
      </c>
      <c r="K9782" s="61">
        <f t="shared" si="1"/>
        <v>0</v>
      </c>
      <c r="L9782" s="62">
        <f t="shared" si="2"/>
        <v>2</v>
      </c>
    </row>
    <row r="9783">
      <c r="A9783" s="58">
        <v>45200.0</v>
      </c>
      <c r="B9783" s="24" t="s">
        <v>6789</v>
      </c>
      <c r="C9783" s="24" t="s">
        <v>6801</v>
      </c>
      <c r="D9783" s="59">
        <v>2.0</v>
      </c>
      <c r="E9783" s="59">
        <v>3.0</v>
      </c>
      <c r="F9783" s="59">
        <v>0.0</v>
      </c>
      <c r="G9783" s="60">
        <v>1.5</v>
      </c>
      <c r="H9783" s="60">
        <v>0.0</v>
      </c>
      <c r="I9783" s="60">
        <v>1450.09993766666</v>
      </c>
      <c r="J9783" s="59">
        <v>87.0</v>
      </c>
      <c r="K9783" s="61">
        <f t="shared" si="1"/>
        <v>0</v>
      </c>
      <c r="L9783" s="62">
        <f t="shared" si="2"/>
        <v>29</v>
      </c>
    </row>
    <row r="9784">
      <c r="A9784" s="58">
        <v>45200.0</v>
      </c>
      <c r="B9784" s="24" t="s">
        <v>6787</v>
      </c>
      <c r="C9784" s="24" t="s">
        <v>7102</v>
      </c>
      <c r="D9784" s="59">
        <v>2.0</v>
      </c>
      <c r="E9784" s="59">
        <v>2.0</v>
      </c>
      <c r="F9784" s="59">
        <v>2.0</v>
      </c>
      <c r="G9784" s="60">
        <v>1.0</v>
      </c>
      <c r="H9784" s="60">
        <v>1.0</v>
      </c>
      <c r="I9784" s="60">
        <v>0.0</v>
      </c>
      <c r="J9784" s="59">
        <v>2.0</v>
      </c>
      <c r="K9784" s="61">
        <f t="shared" si="1"/>
        <v>1</v>
      </c>
      <c r="L9784" s="62">
        <f t="shared" si="2"/>
        <v>1</v>
      </c>
    </row>
    <row r="9785">
      <c r="A9785" s="58">
        <v>45200.0</v>
      </c>
      <c r="B9785" s="24" t="s">
        <v>6789</v>
      </c>
      <c r="C9785" s="24" t="s">
        <v>7023</v>
      </c>
      <c r="D9785" s="59">
        <v>2.0</v>
      </c>
      <c r="E9785" s="59">
        <v>2.0</v>
      </c>
      <c r="F9785" s="59">
        <v>0.0</v>
      </c>
      <c r="G9785" s="60">
        <v>1.0</v>
      </c>
      <c r="H9785" s="60">
        <v>0.0</v>
      </c>
      <c r="I9785" s="60">
        <v>1598.4832845</v>
      </c>
      <c r="J9785" s="59">
        <v>18.0</v>
      </c>
      <c r="K9785" s="61">
        <f t="shared" si="1"/>
        <v>0</v>
      </c>
      <c r="L9785" s="62">
        <f t="shared" si="2"/>
        <v>9</v>
      </c>
    </row>
    <row r="9786">
      <c r="A9786" s="58">
        <v>45200.0</v>
      </c>
      <c r="B9786" s="24" t="s">
        <v>6787</v>
      </c>
      <c r="C9786" s="24" t="s">
        <v>7192</v>
      </c>
      <c r="D9786" s="59">
        <v>2.0</v>
      </c>
      <c r="E9786" s="59">
        <v>4.0</v>
      </c>
      <c r="F9786" s="59">
        <v>1.0</v>
      </c>
      <c r="G9786" s="60">
        <v>2.0</v>
      </c>
      <c r="H9786" s="60">
        <v>0.25</v>
      </c>
      <c r="I9786" s="60">
        <v>708.65325</v>
      </c>
      <c r="J9786" s="59">
        <v>45.0</v>
      </c>
      <c r="K9786" s="61">
        <f t="shared" si="1"/>
        <v>0.25</v>
      </c>
      <c r="L9786" s="62">
        <f t="shared" si="2"/>
        <v>11.25</v>
      </c>
    </row>
    <row r="9787">
      <c r="A9787" s="58">
        <v>45200.0</v>
      </c>
      <c r="B9787" s="24" t="s">
        <v>6794</v>
      </c>
      <c r="C9787" s="24" t="s">
        <v>7559</v>
      </c>
      <c r="D9787" s="59">
        <v>2.0</v>
      </c>
      <c r="E9787" s="59">
        <v>2.0</v>
      </c>
      <c r="F9787" s="59">
        <v>2.0</v>
      </c>
      <c r="G9787" s="60">
        <v>1.0</v>
      </c>
      <c r="H9787" s="60">
        <v>0.0</v>
      </c>
      <c r="I9787" s="60">
        <v>297.2310305</v>
      </c>
      <c r="J9787" s="59">
        <v>6.0</v>
      </c>
      <c r="K9787" s="61">
        <f t="shared" si="1"/>
        <v>1</v>
      </c>
      <c r="L9787" s="62">
        <f t="shared" si="2"/>
        <v>3</v>
      </c>
    </row>
    <row r="9788">
      <c r="A9788" s="58">
        <v>45200.0</v>
      </c>
      <c r="B9788" s="24" t="s">
        <v>6787</v>
      </c>
      <c r="C9788" s="24" t="s">
        <v>6921</v>
      </c>
      <c r="D9788" s="59">
        <v>2.0</v>
      </c>
      <c r="E9788" s="59">
        <v>2.0</v>
      </c>
      <c r="F9788" s="59">
        <v>2.0</v>
      </c>
      <c r="G9788" s="60">
        <v>1.0</v>
      </c>
      <c r="H9788" s="60">
        <v>1.0</v>
      </c>
      <c r="I9788" s="60">
        <v>0.0</v>
      </c>
      <c r="J9788" s="59">
        <v>2.0</v>
      </c>
      <c r="K9788" s="61">
        <f t="shared" si="1"/>
        <v>1</v>
      </c>
      <c r="L9788" s="62">
        <f t="shared" si="2"/>
        <v>1</v>
      </c>
    </row>
    <row r="9789">
      <c r="A9789" s="58">
        <v>45200.0</v>
      </c>
      <c r="B9789" s="24" t="s">
        <v>6789</v>
      </c>
      <c r="C9789" s="24" t="s">
        <v>6922</v>
      </c>
      <c r="D9789" s="59">
        <v>2.0</v>
      </c>
      <c r="E9789" s="59">
        <v>2.0</v>
      </c>
      <c r="F9789" s="59">
        <v>0.0</v>
      </c>
      <c r="G9789" s="60">
        <v>1.0</v>
      </c>
      <c r="H9789" s="60">
        <v>0.0</v>
      </c>
      <c r="I9789" s="60">
        <v>21.2126719999999</v>
      </c>
      <c r="J9789" s="59">
        <v>8.0</v>
      </c>
      <c r="K9789" s="61">
        <f t="shared" si="1"/>
        <v>0</v>
      </c>
      <c r="L9789" s="62">
        <f t="shared" si="2"/>
        <v>4</v>
      </c>
    </row>
    <row r="9790">
      <c r="A9790" s="58">
        <v>45200.0</v>
      </c>
      <c r="B9790" s="24" t="s">
        <v>7100</v>
      </c>
      <c r="C9790" s="24" t="s">
        <v>6922</v>
      </c>
      <c r="D9790" s="59">
        <v>2.0</v>
      </c>
      <c r="E9790" s="59">
        <v>2.0</v>
      </c>
      <c r="F9790" s="59">
        <v>2.0</v>
      </c>
      <c r="G9790" s="60">
        <v>1.0</v>
      </c>
      <c r="H9790" s="60">
        <v>0.0</v>
      </c>
      <c r="I9790" s="60">
        <v>31.926839</v>
      </c>
      <c r="J9790" s="59">
        <v>4.0</v>
      </c>
      <c r="K9790" s="61">
        <f t="shared" si="1"/>
        <v>1</v>
      </c>
      <c r="L9790" s="62">
        <f t="shared" si="2"/>
        <v>2</v>
      </c>
    </row>
    <row r="9791">
      <c r="A9791" s="58">
        <v>45200.0</v>
      </c>
      <c r="B9791" s="24" t="s">
        <v>6787</v>
      </c>
      <c r="C9791" s="24" t="s">
        <v>7047</v>
      </c>
      <c r="D9791" s="59">
        <v>2.0</v>
      </c>
      <c r="E9791" s="59">
        <v>3.0</v>
      </c>
      <c r="F9791" s="59">
        <v>1.0</v>
      </c>
      <c r="G9791" s="60">
        <v>1.5</v>
      </c>
      <c r="H9791" s="60">
        <v>0.0</v>
      </c>
      <c r="I9791" s="60">
        <v>5.412852</v>
      </c>
      <c r="J9791" s="59">
        <v>6.0</v>
      </c>
      <c r="K9791" s="61">
        <f t="shared" si="1"/>
        <v>0.3333333333</v>
      </c>
      <c r="L9791" s="62">
        <f t="shared" si="2"/>
        <v>2</v>
      </c>
    </row>
    <row r="9792">
      <c r="A9792" s="58">
        <v>45200.0</v>
      </c>
      <c r="B9792" s="24" t="s">
        <v>6787</v>
      </c>
      <c r="C9792" s="24" t="s">
        <v>6810</v>
      </c>
      <c r="D9792" s="59">
        <v>2.0</v>
      </c>
      <c r="E9792" s="59">
        <v>2.0</v>
      </c>
      <c r="F9792" s="59">
        <v>2.0</v>
      </c>
      <c r="G9792" s="60">
        <v>1.0</v>
      </c>
      <c r="H9792" s="60">
        <v>0.0</v>
      </c>
      <c r="I9792" s="60">
        <v>284.209824999999</v>
      </c>
      <c r="J9792" s="59">
        <v>14.0</v>
      </c>
      <c r="K9792" s="61">
        <f t="shared" si="1"/>
        <v>1</v>
      </c>
      <c r="L9792" s="62">
        <f t="shared" si="2"/>
        <v>7</v>
      </c>
    </row>
    <row r="9793">
      <c r="A9793" s="58">
        <v>45200.0</v>
      </c>
      <c r="B9793" s="24" t="s">
        <v>6794</v>
      </c>
      <c r="C9793" s="24" t="s">
        <v>6802</v>
      </c>
      <c r="D9793" s="59">
        <v>2.0</v>
      </c>
      <c r="E9793" s="59">
        <v>2.0</v>
      </c>
      <c r="F9793" s="59">
        <v>0.0</v>
      </c>
      <c r="G9793" s="60">
        <v>1.0</v>
      </c>
      <c r="H9793" s="60">
        <v>0.0</v>
      </c>
      <c r="I9793" s="60">
        <v>5.8878345</v>
      </c>
      <c r="J9793" s="59">
        <v>6.0</v>
      </c>
      <c r="K9793" s="61">
        <f t="shared" si="1"/>
        <v>0</v>
      </c>
      <c r="L9793" s="62">
        <f t="shared" si="2"/>
        <v>3</v>
      </c>
    </row>
    <row r="9794">
      <c r="A9794" s="58">
        <v>45200.0</v>
      </c>
      <c r="B9794" s="24" t="s">
        <v>7100</v>
      </c>
      <c r="C9794" s="24" t="s">
        <v>6802</v>
      </c>
      <c r="D9794" s="59">
        <v>2.0</v>
      </c>
      <c r="E9794" s="59">
        <v>2.0</v>
      </c>
      <c r="F9794" s="59">
        <v>2.0</v>
      </c>
      <c r="G9794" s="60">
        <v>1.0</v>
      </c>
      <c r="H9794" s="60">
        <v>0.0</v>
      </c>
      <c r="I9794" s="60">
        <v>44.527508</v>
      </c>
      <c r="J9794" s="59">
        <v>10.0</v>
      </c>
      <c r="K9794" s="61">
        <f t="shared" si="1"/>
        <v>1</v>
      </c>
      <c r="L9794" s="62">
        <f t="shared" si="2"/>
        <v>5</v>
      </c>
    </row>
    <row r="9795">
      <c r="A9795" s="58">
        <v>45200.0</v>
      </c>
      <c r="B9795" s="24" t="s">
        <v>7606</v>
      </c>
      <c r="C9795" s="24" t="s">
        <v>6788</v>
      </c>
      <c r="D9795" s="59">
        <v>1.0</v>
      </c>
      <c r="E9795" s="59">
        <v>1.0</v>
      </c>
      <c r="F9795" s="59">
        <v>0.0</v>
      </c>
      <c r="G9795" s="60">
        <v>1.0</v>
      </c>
      <c r="H9795" s="60">
        <v>0.0</v>
      </c>
      <c r="I9795" s="60">
        <v>3.737247</v>
      </c>
      <c r="J9795" s="59">
        <v>2.0</v>
      </c>
      <c r="K9795" s="61">
        <f t="shared" si="1"/>
        <v>0</v>
      </c>
      <c r="L9795" s="62">
        <f t="shared" si="2"/>
        <v>2</v>
      </c>
    </row>
    <row r="9796">
      <c r="A9796" s="58">
        <v>45200.0</v>
      </c>
      <c r="B9796" s="24" t="s">
        <v>3216</v>
      </c>
      <c r="C9796" s="24" t="s">
        <v>6788</v>
      </c>
      <c r="D9796" s="59">
        <v>1.0</v>
      </c>
      <c r="E9796" s="59">
        <v>2.0</v>
      </c>
      <c r="F9796" s="59">
        <v>0.0</v>
      </c>
      <c r="G9796" s="60">
        <v>2.0</v>
      </c>
      <c r="H9796" s="60">
        <v>0.0</v>
      </c>
      <c r="I9796" s="60">
        <v>15.6353325</v>
      </c>
      <c r="J9796" s="59">
        <v>6.0</v>
      </c>
      <c r="K9796" s="61">
        <f t="shared" si="1"/>
        <v>0</v>
      </c>
      <c r="L9796" s="62">
        <f t="shared" si="2"/>
        <v>3</v>
      </c>
    </row>
    <row r="9797">
      <c r="A9797" s="58">
        <v>45200.0</v>
      </c>
      <c r="B9797" s="24" t="s">
        <v>6789</v>
      </c>
      <c r="C9797" s="24" t="s">
        <v>7200</v>
      </c>
      <c r="D9797" s="59">
        <v>1.0</v>
      </c>
      <c r="E9797" s="59">
        <v>1.0</v>
      </c>
      <c r="F9797" s="59">
        <v>1.0</v>
      </c>
      <c r="G9797" s="60">
        <v>1.0</v>
      </c>
      <c r="H9797" s="60">
        <v>0.0</v>
      </c>
      <c r="I9797" s="60">
        <v>14.648123</v>
      </c>
      <c r="J9797" s="59">
        <v>2.0</v>
      </c>
      <c r="K9797" s="61">
        <f t="shared" si="1"/>
        <v>1</v>
      </c>
      <c r="L9797" s="62">
        <f t="shared" si="2"/>
        <v>2</v>
      </c>
    </row>
    <row r="9798">
      <c r="A9798" s="58">
        <v>45200.0</v>
      </c>
      <c r="B9798" s="24" t="s">
        <v>6787</v>
      </c>
      <c r="C9798" s="24" t="s">
        <v>7583</v>
      </c>
      <c r="D9798" s="59">
        <v>1.0</v>
      </c>
      <c r="E9798" s="59">
        <v>1.0</v>
      </c>
      <c r="F9798" s="59">
        <v>1.0</v>
      </c>
      <c r="G9798" s="60">
        <v>1.0</v>
      </c>
      <c r="H9798" s="60">
        <v>0.0</v>
      </c>
      <c r="I9798" s="60">
        <v>5.315875</v>
      </c>
      <c r="J9798" s="59">
        <v>2.0</v>
      </c>
      <c r="K9798" s="61">
        <f t="shared" si="1"/>
        <v>1</v>
      </c>
      <c r="L9798" s="62">
        <f t="shared" si="2"/>
        <v>2</v>
      </c>
    </row>
    <row r="9799">
      <c r="A9799" s="58">
        <v>45200.0</v>
      </c>
      <c r="B9799" s="24" t="s">
        <v>6794</v>
      </c>
      <c r="C9799" s="24" t="s">
        <v>6803</v>
      </c>
      <c r="D9799" s="59">
        <v>1.0</v>
      </c>
      <c r="E9799" s="59">
        <v>1.0</v>
      </c>
      <c r="F9799" s="59">
        <v>0.0</v>
      </c>
      <c r="G9799" s="60">
        <v>1.0</v>
      </c>
      <c r="H9799" s="60">
        <v>0.0</v>
      </c>
      <c r="I9799" s="60">
        <v>159.519307</v>
      </c>
      <c r="J9799" s="59">
        <v>4.0</v>
      </c>
      <c r="K9799" s="61">
        <f t="shared" si="1"/>
        <v>0</v>
      </c>
      <c r="L9799" s="62">
        <f t="shared" si="2"/>
        <v>4</v>
      </c>
    </row>
    <row r="9800">
      <c r="A9800" s="58">
        <v>45200.0</v>
      </c>
      <c r="B9800" s="24" t="s">
        <v>6790</v>
      </c>
      <c r="C9800" s="24" t="s">
        <v>6817</v>
      </c>
      <c r="D9800" s="59">
        <v>1.0</v>
      </c>
      <c r="E9800" s="59">
        <v>1.0</v>
      </c>
      <c r="F9800" s="59">
        <v>0.0</v>
      </c>
      <c r="G9800" s="60">
        <v>1.0</v>
      </c>
      <c r="H9800" s="60">
        <v>1.0</v>
      </c>
      <c r="I9800" s="60">
        <v>105.547334</v>
      </c>
      <c r="J9800" s="59">
        <v>2.0</v>
      </c>
      <c r="K9800" s="61">
        <f t="shared" si="1"/>
        <v>0</v>
      </c>
      <c r="L9800" s="62">
        <f t="shared" si="2"/>
        <v>2</v>
      </c>
    </row>
    <row r="9801">
      <c r="A9801" s="58">
        <v>45200.0</v>
      </c>
      <c r="B9801" s="24" t="s">
        <v>3216</v>
      </c>
      <c r="C9801" s="24" t="s">
        <v>7056</v>
      </c>
      <c r="D9801" s="59">
        <v>1.0</v>
      </c>
      <c r="E9801" s="59">
        <v>1.0</v>
      </c>
      <c r="F9801" s="59">
        <v>0.0</v>
      </c>
      <c r="G9801" s="60">
        <v>1.0</v>
      </c>
      <c r="H9801" s="60">
        <v>0.0</v>
      </c>
      <c r="I9801" s="60">
        <v>1.917422</v>
      </c>
      <c r="J9801" s="59">
        <v>2.0</v>
      </c>
      <c r="K9801" s="61">
        <f t="shared" si="1"/>
        <v>0</v>
      </c>
      <c r="L9801" s="62">
        <f t="shared" si="2"/>
        <v>2</v>
      </c>
    </row>
    <row r="9802">
      <c r="A9802" s="58">
        <v>45200.0</v>
      </c>
      <c r="B9802" s="24" t="s">
        <v>6787</v>
      </c>
      <c r="C9802" s="24" t="s">
        <v>6861</v>
      </c>
      <c r="D9802" s="59">
        <v>1.0</v>
      </c>
      <c r="E9802" s="59">
        <v>1.0</v>
      </c>
      <c r="F9802" s="59">
        <v>0.0</v>
      </c>
      <c r="G9802" s="60">
        <v>1.0</v>
      </c>
      <c r="H9802" s="60">
        <v>0.0</v>
      </c>
      <c r="I9802" s="60">
        <v>5798.89393</v>
      </c>
      <c r="J9802" s="59">
        <v>42.0</v>
      </c>
      <c r="K9802" s="61">
        <f t="shared" si="1"/>
        <v>0</v>
      </c>
      <c r="L9802" s="62">
        <f t="shared" si="2"/>
        <v>42</v>
      </c>
    </row>
    <row r="9803">
      <c r="A9803" s="58">
        <v>45200.0</v>
      </c>
      <c r="B9803" s="24" t="s">
        <v>6787</v>
      </c>
      <c r="C9803" s="24" t="s">
        <v>7060</v>
      </c>
      <c r="D9803" s="59">
        <v>1.0</v>
      </c>
      <c r="E9803" s="59">
        <v>1.0</v>
      </c>
      <c r="F9803" s="59">
        <v>0.0</v>
      </c>
      <c r="G9803" s="60">
        <v>1.0</v>
      </c>
      <c r="H9803" s="60">
        <v>0.0</v>
      </c>
      <c r="I9803" s="60">
        <v>21.188421</v>
      </c>
      <c r="J9803" s="59">
        <v>2.0</v>
      </c>
      <c r="K9803" s="61">
        <f t="shared" si="1"/>
        <v>0</v>
      </c>
      <c r="L9803" s="62">
        <f t="shared" si="2"/>
        <v>2</v>
      </c>
    </row>
    <row r="9804">
      <c r="A9804" s="58">
        <v>45200.0</v>
      </c>
      <c r="B9804" s="24" t="s">
        <v>6789</v>
      </c>
      <c r="C9804" s="24" t="s">
        <v>6985</v>
      </c>
      <c r="D9804" s="59">
        <v>1.0</v>
      </c>
      <c r="E9804" s="59">
        <v>1.0</v>
      </c>
      <c r="F9804" s="59">
        <v>0.0</v>
      </c>
      <c r="G9804" s="60">
        <v>1.0</v>
      </c>
      <c r="H9804" s="60">
        <v>0.0</v>
      </c>
      <c r="I9804" s="60">
        <v>1639.214587</v>
      </c>
      <c r="J9804" s="59">
        <v>4.0</v>
      </c>
      <c r="K9804" s="61">
        <f t="shared" si="1"/>
        <v>0</v>
      </c>
      <c r="L9804" s="62">
        <f t="shared" si="2"/>
        <v>4</v>
      </c>
    </row>
    <row r="9805">
      <c r="A9805" s="58">
        <v>45200.0</v>
      </c>
      <c r="B9805" s="24" t="s">
        <v>6789</v>
      </c>
      <c r="C9805" s="24" t="s">
        <v>6988</v>
      </c>
      <c r="D9805" s="59">
        <v>1.0</v>
      </c>
      <c r="E9805" s="59">
        <v>4.0</v>
      </c>
      <c r="F9805" s="59">
        <v>0.0</v>
      </c>
      <c r="G9805" s="60">
        <v>4.0</v>
      </c>
      <c r="H9805" s="60">
        <v>0.0</v>
      </c>
      <c r="I9805" s="60">
        <v>736.98639075</v>
      </c>
      <c r="J9805" s="59">
        <v>20.0</v>
      </c>
      <c r="K9805" s="61">
        <f t="shared" si="1"/>
        <v>0</v>
      </c>
      <c r="L9805" s="62">
        <f t="shared" si="2"/>
        <v>5</v>
      </c>
    </row>
    <row r="9806">
      <c r="A9806" s="58">
        <v>45200.0</v>
      </c>
      <c r="B9806" s="24" t="s">
        <v>6789</v>
      </c>
      <c r="C9806" s="24" t="s">
        <v>7063</v>
      </c>
      <c r="D9806" s="59">
        <v>1.0</v>
      </c>
      <c r="E9806" s="59">
        <v>1.0</v>
      </c>
      <c r="F9806" s="59">
        <v>0.0</v>
      </c>
      <c r="G9806" s="60">
        <v>1.0</v>
      </c>
      <c r="H9806" s="60">
        <v>0.0</v>
      </c>
      <c r="I9806" s="60">
        <v>365.426877</v>
      </c>
      <c r="J9806" s="59">
        <v>14.0</v>
      </c>
      <c r="K9806" s="61">
        <f t="shared" si="1"/>
        <v>0</v>
      </c>
      <c r="L9806" s="62">
        <f t="shared" si="2"/>
        <v>14</v>
      </c>
    </row>
    <row r="9807">
      <c r="A9807" s="58">
        <v>45200.0</v>
      </c>
      <c r="B9807" s="24" t="s">
        <v>6789</v>
      </c>
      <c r="C9807" s="24" t="s">
        <v>7064</v>
      </c>
      <c r="D9807" s="59">
        <v>1.0</v>
      </c>
      <c r="E9807" s="59">
        <v>1.0</v>
      </c>
      <c r="F9807" s="59">
        <v>1.0</v>
      </c>
      <c r="G9807" s="60">
        <v>1.0</v>
      </c>
      <c r="H9807" s="60">
        <v>0.0</v>
      </c>
      <c r="I9807" s="60">
        <v>4.921871</v>
      </c>
      <c r="J9807" s="59">
        <v>2.0</v>
      </c>
      <c r="K9807" s="61">
        <f t="shared" si="1"/>
        <v>1</v>
      </c>
      <c r="L9807" s="62">
        <f t="shared" si="2"/>
        <v>2</v>
      </c>
    </row>
    <row r="9808">
      <c r="A9808" s="58">
        <v>45200.0</v>
      </c>
      <c r="B9808" s="24" t="s">
        <v>6789</v>
      </c>
      <c r="C9808" s="24" t="s">
        <v>6989</v>
      </c>
      <c r="D9808" s="59">
        <v>1.0</v>
      </c>
      <c r="E9808" s="59">
        <v>1.0</v>
      </c>
      <c r="F9808" s="59">
        <v>0.0</v>
      </c>
      <c r="G9808" s="60">
        <v>1.0</v>
      </c>
      <c r="H9808" s="60">
        <v>0.0</v>
      </c>
      <c r="I9808" s="60">
        <v>365.294847</v>
      </c>
      <c r="J9808" s="59">
        <v>5.0</v>
      </c>
      <c r="K9808" s="61">
        <f t="shared" si="1"/>
        <v>0</v>
      </c>
      <c r="L9808" s="62">
        <f t="shared" si="2"/>
        <v>5</v>
      </c>
    </row>
    <row r="9809">
      <c r="A9809" s="58">
        <v>45200.0</v>
      </c>
      <c r="B9809" s="24" t="s">
        <v>6787</v>
      </c>
      <c r="C9809" s="24" t="s">
        <v>7067</v>
      </c>
      <c r="D9809" s="59">
        <v>1.0</v>
      </c>
      <c r="E9809" s="59">
        <v>1.0</v>
      </c>
      <c r="F9809" s="59">
        <v>1.0</v>
      </c>
      <c r="G9809" s="60">
        <v>1.0</v>
      </c>
      <c r="H9809" s="60">
        <v>0.0</v>
      </c>
      <c r="I9809" s="60">
        <v>67.353013</v>
      </c>
      <c r="J9809" s="59">
        <v>7.0</v>
      </c>
      <c r="K9809" s="61">
        <f t="shared" si="1"/>
        <v>1</v>
      </c>
      <c r="L9809" s="62">
        <f t="shared" si="2"/>
        <v>7</v>
      </c>
    </row>
    <row r="9810">
      <c r="A9810" s="58">
        <v>45200.0</v>
      </c>
      <c r="B9810" s="24" t="s">
        <v>6789</v>
      </c>
      <c r="C9810" s="24" t="s">
        <v>7067</v>
      </c>
      <c r="D9810" s="59">
        <v>1.0</v>
      </c>
      <c r="E9810" s="59">
        <v>1.0</v>
      </c>
      <c r="F9810" s="59">
        <v>1.0</v>
      </c>
      <c r="G9810" s="60">
        <v>1.0</v>
      </c>
      <c r="H9810" s="60">
        <v>0.0</v>
      </c>
      <c r="I9810" s="60">
        <v>17.840457</v>
      </c>
      <c r="J9810" s="59">
        <v>2.0</v>
      </c>
      <c r="K9810" s="61">
        <f t="shared" si="1"/>
        <v>1</v>
      </c>
      <c r="L9810" s="62">
        <f t="shared" si="2"/>
        <v>2</v>
      </c>
    </row>
    <row r="9811">
      <c r="A9811" s="58">
        <v>45200.0</v>
      </c>
      <c r="B9811" s="24" t="s">
        <v>6790</v>
      </c>
      <c r="C9811" s="24" t="s">
        <v>7068</v>
      </c>
      <c r="D9811" s="59">
        <v>1.0</v>
      </c>
      <c r="E9811" s="59">
        <v>1.0</v>
      </c>
      <c r="F9811" s="59">
        <v>0.0</v>
      </c>
      <c r="G9811" s="60">
        <v>1.0</v>
      </c>
      <c r="H9811" s="60">
        <v>0.0</v>
      </c>
      <c r="I9811" s="60">
        <v>1550.557942</v>
      </c>
      <c r="J9811" s="59">
        <v>2.0</v>
      </c>
      <c r="K9811" s="61">
        <f t="shared" si="1"/>
        <v>0</v>
      </c>
      <c r="L9811" s="62">
        <f t="shared" si="2"/>
        <v>2</v>
      </c>
    </row>
    <row r="9812">
      <c r="A9812" s="58">
        <v>45200.0</v>
      </c>
      <c r="B9812" s="24" t="s">
        <v>6787</v>
      </c>
      <c r="C9812" s="24" t="s">
        <v>6835</v>
      </c>
      <c r="D9812" s="59">
        <v>1.0</v>
      </c>
      <c r="E9812" s="59">
        <v>1.0</v>
      </c>
      <c r="F9812" s="59">
        <v>1.0</v>
      </c>
      <c r="G9812" s="60">
        <v>1.0</v>
      </c>
      <c r="H9812" s="60">
        <v>0.0</v>
      </c>
      <c r="I9812" s="60">
        <v>4.688679</v>
      </c>
      <c r="J9812" s="59">
        <v>2.0</v>
      </c>
      <c r="K9812" s="61">
        <f t="shared" si="1"/>
        <v>1</v>
      </c>
      <c r="L9812" s="62">
        <f t="shared" si="2"/>
        <v>2</v>
      </c>
    </row>
    <row r="9813">
      <c r="A9813" s="58">
        <v>45200.0</v>
      </c>
      <c r="B9813" s="24" t="s">
        <v>6790</v>
      </c>
      <c r="C9813" s="24" t="s">
        <v>6835</v>
      </c>
      <c r="D9813" s="59">
        <v>1.0</v>
      </c>
      <c r="E9813" s="59">
        <v>1.0</v>
      </c>
      <c r="F9813" s="59">
        <v>1.0</v>
      </c>
      <c r="G9813" s="60">
        <v>1.0</v>
      </c>
      <c r="H9813" s="60">
        <v>0.0</v>
      </c>
      <c r="I9813" s="60">
        <v>388.348967</v>
      </c>
      <c r="J9813" s="59">
        <v>2.0</v>
      </c>
      <c r="K9813" s="61">
        <f t="shared" si="1"/>
        <v>1</v>
      </c>
      <c r="L9813" s="62">
        <f t="shared" si="2"/>
        <v>2</v>
      </c>
    </row>
    <row r="9814">
      <c r="A9814" s="58">
        <v>45200.0</v>
      </c>
      <c r="B9814" s="24" t="s">
        <v>6789</v>
      </c>
      <c r="C9814" s="24" t="s">
        <v>6992</v>
      </c>
      <c r="D9814" s="59">
        <v>1.0</v>
      </c>
      <c r="E9814" s="59">
        <v>1.0</v>
      </c>
      <c r="F9814" s="59">
        <v>0.0</v>
      </c>
      <c r="G9814" s="60">
        <v>1.0</v>
      </c>
      <c r="H9814" s="60">
        <v>0.0</v>
      </c>
      <c r="I9814" s="60">
        <v>0.590104</v>
      </c>
      <c r="J9814" s="59">
        <v>2.0</v>
      </c>
      <c r="K9814" s="61">
        <f t="shared" si="1"/>
        <v>0</v>
      </c>
      <c r="L9814" s="62">
        <f t="shared" si="2"/>
        <v>2</v>
      </c>
    </row>
    <row r="9815">
      <c r="A9815" s="58">
        <v>45200.0</v>
      </c>
      <c r="B9815" s="24" t="s">
        <v>155</v>
      </c>
      <c r="C9815" s="24" t="s">
        <v>6992</v>
      </c>
      <c r="D9815" s="59">
        <v>1.0</v>
      </c>
      <c r="E9815" s="59">
        <v>1.0</v>
      </c>
      <c r="F9815" s="59">
        <v>0.0</v>
      </c>
      <c r="G9815" s="60">
        <v>1.0</v>
      </c>
      <c r="H9815" s="60">
        <v>0.0</v>
      </c>
      <c r="I9815" s="60">
        <v>1355.870785</v>
      </c>
      <c r="J9815" s="59">
        <v>2.0</v>
      </c>
      <c r="K9815" s="61">
        <f t="shared" si="1"/>
        <v>0</v>
      </c>
      <c r="L9815" s="62">
        <f t="shared" si="2"/>
        <v>2</v>
      </c>
    </row>
    <row r="9816">
      <c r="A9816" s="58">
        <v>45200.0</v>
      </c>
      <c r="B9816" s="24" t="s">
        <v>155</v>
      </c>
      <c r="C9816" s="24" t="s">
        <v>6994</v>
      </c>
      <c r="D9816" s="59">
        <v>1.0</v>
      </c>
      <c r="E9816" s="59">
        <v>1.0</v>
      </c>
      <c r="F9816" s="59">
        <v>1.0</v>
      </c>
      <c r="G9816" s="60">
        <v>1.0</v>
      </c>
      <c r="H9816" s="60">
        <v>0.0</v>
      </c>
      <c r="I9816" s="60">
        <v>13.331239</v>
      </c>
      <c r="J9816" s="59">
        <v>2.0</v>
      </c>
      <c r="K9816" s="61">
        <f t="shared" si="1"/>
        <v>1</v>
      </c>
      <c r="L9816" s="62">
        <f t="shared" si="2"/>
        <v>2</v>
      </c>
    </row>
    <row r="9817">
      <c r="A9817" s="58">
        <v>45200.0</v>
      </c>
      <c r="B9817" s="24" t="s">
        <v>6787</v>
      </c>
      <c r="C9817" s="24" t="s">
        <v>7072</v>
      </c>
      <c r="D9817" s="59">
        <v>1.0</v>
      </c>
      <c r="E9817" s="59">
        <v>1.0</v>
      </c>
      <c r="F9817" s="59">
        <v>1.0</v>
      </c>
      <c r="G9817" s="60">
        <v>1.0</v>
      </c>
      <c r="H9817" s="60">
        <v>0.0</v>
      </c>
      <c r="I9817" s="60">
        <v>4.669728</v>
      </c>
      <c r="J9817" s="59">
        <v>2.0</v>
      </c>
      <c r="K9817" s="61">
        <f t="shared" si="1"/>
        <v>1</v>
      </c>
      <c r="L9817" s="62">
        <f t="shared" si="2"/>
        <v>2</v>
      </c>
    </row>
    <row r="9818">
      <c r="A9818" s="58">
        <v>45200.0</v>
      </c>
      <c r="B9818" s="24" t="s">
        <v>6942</v>
      </c>
      <c r="C9818" s="24" t="s">
        <v>6886</v>
      </c>
      <c r="D9818" s="59">
        <v>1.0</v>
      </c>
      <c r="E9818" s="59">
        <v>1.0</v>
      </c>
      <c r="F9818" s="59">
        <v>1.0</v>
      </c>
      <c r="G9818" s="60">
        <v>1.0</v>
      </c>
      <c r="H9818" s="60">
        <v>1.0</v>
      </c>
      <c r="I9818" s="60">
        <v>0.0</v>
      </c>
      <c r="J9818" s="59">
        <v>1.0</v>
      </c>
      <c r="K9818" s="61">
        <f t="shared" si="1"/>
        <v>1</v>
      </c>
      <c r="L9818" s="62">
        <f t="shared" si="2"/>
        <v>1</v>
      </c>
    </row>
    <row r="9819">
      <c r="A9819" s="58">
        <v>45200.0</v>
      </c>
      <c r="B9819" s="24" t="s">
        <v>7100</v>
      </c>
      <c r="C9819" s="24" t="s">
        <v>6886</v>
      </c>
      <c r="D9819" s="59">
        <v>1.0</v>
      </c>
      <c r="E9819" s="59">
        <v>4.0</v>
      </c>
      <c r="F9819" s="59">
        <v>0.0</v>
      </c>
      <c r="G9819" s="60">
        <v>4.0</v>
      </c>
      <c r="H9819" s="60">
        <v>0.5</v>
      </c>
      <c r="I9819" s="60">
        <v>7.2712815</v>
      </c>
      <c r="J9819" s="59">
        <v>14.0</v>
      </c>
      <c r="K9819" s="61">
        <f t="shared" si="1"/>
        <v>0</v>
      </c>
      <c r="L9819" s="62">
        <f t="shared" si="2"/>
        <v>3.5</v>
      </c>
    </row>
    <row r="9820">
      <c r="A9820" s="58">
        <v>45200.0</v>
      </c>
      <c r="B9820" s="24" t="s">
        <v>6790</v>
      </c>
      <c r="C9820" s="24" t="s">
        <v>6886</v>
      </c>
      <c r="D9820" s="59">
        <v>1.0</v>
      </c>
      <c r="E9820" s="59">
        <v>1.0</v>
      </c>
      <c r="F9820" s="59">
        <v>0.0</v>
      </c>
      <c r="G9820" s="60">
        <v>1.0</v>
      </c>
      <c r="H9820" s="60">
        <v>0.0</v>
      </c>
      <c r="I9820" s="60">
        <v>4.876029</v>
      </c>
      <c r="J9820" s="59">
        <v>2.0</v>
      </c>
      <c r="K9820" s="61">
        <f t="shared" si="1"/>
        <v>0</v>
      </c>
      <c r="L9820" s="62">
        <f t="shared" si="2"/>
        <v>2</v>
      </c>
    </row>
    <row r="9821">
      <c r="A9821" s="58">
        <v>45200.0</v>
      </c>
      <c r="B9821" s="24" t="s">
        <v>6794</v>
      </c>
      <c r="C9821" s="24" t="s">
        <v>6799</v>
      </c>
      <c r="D9821" s="59">
        <v>1.0</v>
      </c>
      <c r="E9821" s="59">
        <v>1.0</v>
      </c>
      <c r="F9821" s="59">
        <v>0.0</v>
      </c>
      <c r="G9821" s="60">
        <v>1.0</v>
      </c>
      <c r="H9821" s="60">
        <v>0.0</v>
      </c>
      <c r="I9821" s="60">
        <v>52.952419</v>
      </c>
      <c r="J9821" s="59">
        <v>6.0</v>
      </c>
      <c r="K9821" s="61">
        <f t="shared" si="1"/>
        <v>0</v>
      </c>
      <c r="L9821" s="62">
        <f t="shared" si="2"/>
        <v>6</v>
      </c>
    </row>
    <row r="9822">
      <c r="A9822" s="58">
        <v>45200.0</v>
      </c>
      <c r="B9822" s="24" t="s">
        <v>155</v>
      </c>
      <c r="C9822" s="24" t="s">
        <v>6799</v>
      </c>
      <c r="D9822" s="59">
        <v>1.0</v>
      </c>
      <c r="E9822" s="59">
        <v>1.0</v>
      </c>
      <c r="F9822" s="59">
        <v>0.0</v>
      </c>
      <c r="G9822" s="60">
        <v>1.0</v>
      </c>
      <c r="H9822" s="60">
        <v>0.0</v>
      </c>
      <c r="I9822" s="60">
        <v>5.896821</v>
      </c>
      <c r="J9822" s="59">
        <v>3.0</v>
      </c>
      <c r="K9822" s="61">
        <f t="shared" si="1"/>
        <v>0</v>
      </c>
      <c r="L9822" s="62">
        <f t="shared" si="2"/>
        <v>3</v>
      </c>
    </row>
    <row r="9823">
      <c r="A9823" s="58">
        <v>45200.0</v>
      </c>
      <c r="B9823" s="24" t="s">
        <v>6790</v>
      </c>
      <c r="C9823" s="24" t="s">
        <v>6799</v>
      </c>
      <c r="D9823" s="59">
        <v>1.0</v>
      </c>
      <c r="E9823" s="59">
        <v>1.0</v>
      </c>
      <c r="F9823" s="59">
        <v>0.0</v>
      </c>
      <c r="G9823" s="60">
        <v>1.0</v>
      </c>
      <c r="H9823" s="60">
        <v>1.0</v>
      </c>
      <c r="I9823" s="60">
        <v>0.0</v>
      </c>
      <c r="J9823" s="59">
        <v>1.0</v>
      </c>
      <c r="K9823" s="61">
        <f t="shared" si="1"/>
        <v>0</v>
      </c>
      <c r="L9823" s="62">
        <f t="shared" si="2"/>
        <v>1</v>
      </c>
    </row>
    <row r="9824">
      <c r="A9824" s="58">
        <v>45200.0</v>
      </c>
      <c r="B9824" s="24" t="s">
        <v>6789</v>
      </c>
      <c r="C9824" s="24" t="s">
        <v>6822</v>
      </c>
      <c r="D9824" s="59">
        <v>1.0</v>
      </c>
      <c r="E9824" s="59">
        <v>2.0</v>
      </c>
      <c r="F9824" s="59">
        <v>0.0</v>
      </c>
      <c r="G9824" s="60">
        <v>2.0</v>
      </c>
      <c r="H9824" s="60">
        <v>0.0</v>
      </c>
      <c r="I9824" s="60">
        <v>525.959993</v>
      </c>
      <c r="J9824" s="59">
        <v>4.0</v>
      </c>
      <c r="K9824" s="61">
        <f t="shared" si="1"/>
        <v>0</v>
      </c>
      <c r="L9824" s="62">
        <f t="shared" si="2"/>
        <v>2</v>
      </c>
    </row>
    <row r="9825">
      <c r="A9825" s="58">
        <v>45200.0</v>
      </c>
      <c r="B9825" s="24" t="s">
        <v>155</v>
      </c>
      <c r="C9825" s="24" t="s">
        <v>6822</v>
      </c>
      <c r="D9825" s="59">
        <v>1.0</v>
      </c>
      <c r="E9825" s="59">
        <v>1.0</v>
      </c>
      <c r="F9825" s="59">
        <v>0.0</v>
      </c>
      <c r="G9825" s="60">
        <v>1.0</v>
      </c>
      <c r="H9825" s="60">
        <v>0.0</v>
      </c>
      <c r="I9825" s="60">
        <v>45.455793</v>
      </c>
      <c r="J9825" s="59">
        <v>2.0</v>
      </c>
      <c r="K9825" s="61">
        <f t="shared" si="1"/>
        <v>0</v>
      </c>
      <c r="L9825" s="62">
        <f t="shared" si="2"/>
        <v>2</v>
      </c>
    </row>
    <row r="9826">
      <c r="A9826" s="58">
        <v>45200.0</v>
      </c>
      <c r="B9826" s="24" t="s">
        <v>6789</v>
      </c>
      <c r="C9826" s="24" t="s">
        <v>6891</v>
      </c>
      <c r="D9826" s="59">
        <v>1.0</v>
      </c>
      <c r="E9826" s="59">
        <v>5.0</v>
      </c>
      <c r="F9826" s="59">
        <v>0.0</v>
      </c>
      <c r="G9826" s="60">
        <v>5.0</v>
      </c>
      <c r="H9826" s="60">
        <v>0.0</v>
      </c>
      <c r="I9826" s="60">
        <v>19.930848</v>
      </c>
      <c r="J9826" s="59">
        <v>26.0</v>
      </c>
      <c r="K9826" s="61">
        <f t="shared" si="1"/>
        <v>0</v>
      </c>
      <c r="L9826" s="62">
        <f t="shared" si="2"/>
        <v>5.2</v>
      </c>
    </row>
    <row r="9827">
      <c r="A9827" s="58">
        <v>45200.0</v>
      </c>
      <c r="B9827" s="24" t="s">
        <v>3216</v>
      </c>
      <c r="C9827" s="24" t="s">
        <v>7034</v>
      </c>
      <c r="D9827" s="59">
        <v>1.0</v>
      </c>
      <c r="E9827" s="59">
        <v>1.0</v>
      </c>
      <c r="F9827" s="59">
        <v>1.0</v>
      </c>
      <c r="G9827" s="60">
        <v>1.0</v>
      </c>
      <c r="H9827" s="60">
        <v>1.0</v>
      </c>
      <c r="I9827" s="60">
        <v>0.0</v>
      </c>
      <c r="J9827" s="59">
        <v>1.0</v>
      </c>
      <c r="K9827" s="61">
        <f t="shared" si="1"/>
        <v>1</v>
      </c>
      <c r="L9827" s="62">
        <f t="shared" si="2"/>
        <v>1</v>
      </c>
    </row>
    <row r="9828">
      <c r="A9828" s="58">
        <v>45200.0</v>
      </c>
      <c r="B9828" s="24" t="s">
        <v>155</v>
      </c>
      <c r="C9828" s="24" t="s">
        <v>7034</v>
      </c>
      <c r="D9828" s="59">
        <v>1.0</v>
      </c>
      <c r="E9828" s="59">
        <v>3.0</v>
      </c>
      <c r="F9828" s="59">
        <v>0.0</v>
      </c>
      <c r="G9828" s="60">
        <v>3.0</v>
      </c>
      <c r="H9828" s="60">
        <v>0.0</v>
      </c>
      <c r="I9828" s="60">
        <v>661.681805</v>
      </c>
      <c r="J9828" s="59">
        <v>30.0</v>
      </c>
      <c r="K9828" s="61">
        <f t="shared" si="1"/>
        <v>0</v>
      </c>
      <c r="L9828" s="62">
        <f t="shared" si="2"/>
        <v>10</v>
      </c>
    </row>
    <row r="9829">
      <c r="A9829" s="58">
        <v>45200.0</v>
      </c>
      <c r="B9829" s="24" t="s">
        <v>6794</v>
      </c>
      <c r="C9829" s="24" t="s">
        <v>7573</v>
      </c>
      <c r="D9829" s="59">
        <v>1.0</v>
      </c>
      <c r="E9829" s="59">
        <v>1.0</v>
      </c>
      <c r="F9829" s="59">
        <v>1.0</v>
      </c>
      <c r="G9829" s="60">
        <v>1.0</v>
      </c>
      <c r="H9829" s="60">
        <v>0.0</v>
      </c>
      <c r="I9829" s="60">
        <v>4.790878</v>
      </c>
      <c r="J9829" s="59">
        <v>2.0</v>
      </c>
      <c r="K9829" s="61">
        <f t="shared" si="1"/>
        <v>1</v>
      </c>
      <c r="L9829" s="62">
        <f t="shared" si="2"/>
        <v>2</v>
      </c>
    </row>
    <row r="9830">
      <c r="A9830" s="58">
        <v>45200.0</v>
      </c>
      <c r="B9830" s="24" t="s">
        <v>6787</v>
      </c>
      <c r="C9830" s="24" t="s">
        <v>7595</v>
      </c>
      <c r="D9830" s="59">
        <v>1.0</v>
      </c>
      <c r="E9830" s="59">
        <v>1.0</v>
      </c>
      <c r="F9830" s="59">
        <v>0.0</v>
      </c>
      <c r="G9830" s="60">
        <v>1.0</v>
      </c>
      <c r="H9830" s="60">
        <v>0.0</v>
      </c>
      <c r="I9830" s="60">
        <v>44.780653</v>
      </c>
      <c r="J9830" s="59">
        <v>2.0</v>
      </c>
      <c r="K9830" s="61">
        <f t="shared" si="1"/>
        <v>0</v>
      </c>
      <c r="L9830" s="62">
        <f t="shared" si="2"/>
        <v>2</v>
      </c>
    </row>
    <row r="9831">
      <c r="A9831" s="58">
        <v>45200.0</v>
      </c>
      <c r="B9831" s="24" t="s">
        <v>6791</v>
      </c>
      <c r="C9831" s="24" t="s">
        <v>7595</v>
      </c>
      <c r="D9831" s="59">
        <v>1.0</v>
      </c>
      <c r="E9831" s="59">
        <v>1.0</v>
      </c>
      <c r="F9831" s="59">
        <v>0.0</v>
      </c>
      <c r="G9831" s="60">
        <v>1.0</v>
      </c>
      <c r="H9831" s="60">
        <v>0.0</v>
      </c>
      <c r="I9831" s="60">
        <v>54.09923</v>
      </c>
      <c r="J9831" s="59">
        <v>2.0</v>
      </c>
      <c r="K9831" s="61">
        <f t="shared" si="1"/>
        <v>0</v>
      </c>
      <c r="L9831" s="62">
        <f t="shared" si="2"/>
        <v>2</v>
      </c>
    </row>
    <row r="9832">
      <c r="A9832" s="58">
        <v>45200.0</v>
      </c>
      <c r="B9832" s="24" t="s">
        <v>6787</v>
      </c>
      <c r="C9832" s="24" t="s">
        <v>7204</v>
      </c>
      <c r="D9832" s="59">
        <v>1.0</v>
      </c>
      <c r="E9832" s="59">
        <v>2.0</v>
      </c>
      <c r="F9832" s="59">
        <v>0.0</v>
      </c>
      <c r="G9832" s="60">
        <v>2.0</v>
      </c>
      <c r="H9832" s="60">
        <v>0.0</v>
      </c>
      <c r="I9832" s="60">
        <v>4.879893</v>
      </c>
      <c r="J9832" s="59">
        <v>4.0</v>
      </c>
      <c r="K9832" s="61">
        <f t="shared" si="1"/>
        <v>0</v>
      </c>
      <c r="L9832" s="62">
        <f t="shared" si="2"/>
        <v>2</v>
      </c>
    </row>
    <row r="9833">
      <c r="A9833" s="58">
        <v>45200.0</v>
      </c>
      <c r="B9833" s="24" t="s">
        <v>6789</v>
      </c>
      <c r="C9833" s="24" t="s">
        <v>7592</v>
      </c>
      <c r="D9833" s="59">
        <v>1.0</v>
      </c>
      <c r="E9833" s="59">
        <v>1.0</v>
      </c>
      <c r="F9833" s="59">
        <v>1.0</v>
      </c>
      <c r="G9833" s="60">
        <v>1.0</v>
      </c>
      <c r="H9833" s="60">
        <v>1.0</v>
      </c>
      <c r="I9833" s="60">
        <v>0.0</v>
      </c>
      <c r="J9833" s="59">
        <v>1.0</v>
      </c>
      <c r="K9833" s="61">
        <f t="shared" si="1"/>
        <v>1</v>
      </c>
      <c r="L9833" s="62">
        <f t="shared" si="2"/>
        <v>1</v>
      </c>
    </row>
    <row r="9834">
      <c r="A9834" s="58">
        <v>45200.0</v>
      </c>
      <c r="B9834" s="24" t="s">
        <v>6789</v>
      </c>
      <c r="C9834" s="24" t="s">
        <v>7558</v>
      </c>
      <c r="D9834" s="59">
        <v>1.0</v>
      </c>
      <c r="E9834" s="59">
        <v>1.0</v>
      </c>
      <c r="F9834" s="59">
        <v>1.0</v>
      </c>
      <c r="G9834" s="60">
        <v>1.0</v>
      </c>
      <c r="H9834" s="60">
        <v>0.0</v>
      </c>
      <c r="I9834" s="60">
        <v>36.448996</v>
      </c>
      <c r="J9834" s="59">
        <v>2.0</v>
      </c>
      <c r="K9834" s="61">
        <f t="shared" si="1"/>
        <v>1</v>
      </c>
      <c r="L9834" s="62">
        <f t="shared" si="2"/>
        <v>2</v>
      </c>
    </row>
    <row r="9835">
      <c r="A9835" s="58">
        <v>45200.0</v>
      </c>
      <c r="B9835" s="24" t="s">
        <v>6787</v>
      </c>
      <c r="C9835" s="24" t="s">
        <v>7225</v>
      </c>
      <c r="D9835" s="59">
        <v>1.0</v>
      </c>
      <c r="E9835" s="59">
        <v>2.0</v>
      </c>
      <c r="F9835" s="59">
        <v>0.0</v>
      </c>
      <c r="G9835" s="60">
        <v>2.0</v>
      </c>
      <c r="H9835" s="60">
        <v>0.0</v>
      </c>
      <c r="I9835" s="60">
        <v>43.2014005</v>
      </c>
      <c r="J9835" s="59">
        <v>4.0</v>
      </c>
      <c r="K9835" s="61">
        <f t="shared" si="1"/>
        <v>0</v>
      </c>
      <c r="L9835" s="62">
        <f t="shared" si="2"/>
        <v>2</v>
      </c>
    </row>
    <row r="9836">
      <c r="A9836" s="58">
        <v>45200.0</v>
      </c>
      <c r="B9836" s="24" t="s">
        <v>6789</v>
      </c>
      <c r="C9836" s="24" t="s">
        <v>7225</v>
      </c>
      <c r="D9836" s="59">
        <v>1.0</v>
      </c>
      <c r="E9836" s="59">
        <v>1.0</v>
      </c>
      <c r="F9836" s="59">
        <v>0.0</v>
      </c>
      <c r="G9836" s="60">
        <v>1.0</v>
      </c>
      <c r="H9836" s="60">
        <v>0.0</v>
      </c>
      <c r="I9836" s="60">
        <v>4.908603</v>
      </c>
      <c r="J9836" s="59">
        <v>2.0</v>
      </c>
      <c r="K9836" s="61">
        <f t="shared" si="1"/>
        <v>0</v>
      </c>
      <c r="L9836" s="62">
        <f t="shared" si="2"/>
        <v>2</v>
      </c>
    </row>
    <row r="9837">
      <c r="A9837" s="58">
        <v>45200.0</v>
      </c>
      <c r="B9837" s="24" t="s">
        <v>6789</v>
      </c>
      <c r="C9837" s="24" t="s">
        <v>7574</v>
      </c>
      <c r="D9837" s="59">
        <v>1.0</v>
      </c>
      <c r="E9837" s="59">
        <v>1.0</v>
      </c>
      <c r="F9837" s="59">
        <v>1.0</v>
      </c>
      <c r="G9837" s="60">
        <v>1.0</v>
      </c>
      <c r="H9837" s="60">
        <v>1.0</v>
      </c>
      <c r="I9837" s="60">
        <v>0.0</v>
      </c>
      <c r="J9837" s="59">
        <v>1.0</v>
      </c>
      <c r="K9837" s="61">
        <f t="shared" si="1"/>
        <v>1</v>
      </c>
      <c r="L9837" s="62">
        <f t="shared" si="2"/>
        <v>1</v>
      </c>
    </row>
    <row r="9838">
      <c r="A9838" s="58">
        <v>45200.0</v>
      </c>
      <c r="B9838" s="24" t="s">
        <v>6789</v>
      </c>
      <c r="C9838" s="24" t="s">
        <v>7566</v>
      </c>
      <c r="D9838" s="59">
        <v>1.0</v>
      </c>
      <c r="E9838" s="59">
        <v>1.0</v>
      </c>
      <c r="F9838" s="59">
        <v>1.0</v>
      </c>
      <c r="G9838" s="60">
        <v>1.0</v>
      </c>
      <c r="H9838" s="60">
        <v>0.0</v>
      </c>
      <c r="I9838" s="60">
        <v>48.920724</v>
      </c>
      <c r="J9838" s="59">
        <v>2.0</v>
      </c>
      <c r="K9838" s="61">
        <f t="shared" si="1"/>
        <v>1</v>
      </c>
      <c r="L9838" s="62">
        <f t="shared" si="2"/>
        <v>2</v>
      </c>
    </row>
    <row r="9839">
      <c r="A9839" s="58">
        <v>45200.0</v>
      </c>
      <c r="B9839" s="24" t="s">
        <v>155</v>
      </c>
      <c r="C9839" s="24" t="s">
        <v>7530</v>
      </c>
      <c r="D9839" s="59">
        <v>1.0</v>
      </c>
      <c r="E9839" s="59">
        <v>1.0</v>
      </c>
      <c r="F9839" s="59">
        <v>0.0</v>
      </c>
      <c r="G9839" s="60">
        <v>1.0</v>
      </c>
      <c r="H9839" s="60">
        <v>0.0</v>
      </c>
      <c r="I9839" s="60">
        <v>20.571894</v>
      </c>
      <c r="J9839" s="59">
        <v>2.0</v>
      </c>
      <c r="K9839" s="61">
        <f t="shared" si="1"/>
        <v>0</v>
      </c>
      <c r="L9839" s="62">
        <f t="shared" si="2"/>
        <v>2</v>
      </c>
    </row>
    <row r="9840">
      <c r="A9840" s="58">
        <v>45200.0</v>
      </c>
      <c r="B9840" s="24" t="s">
        <v>6787</v>
      </c>
      <c r="C9840" s="24" t="s">
        <v>7206</v>
      </c>
      <c r="D9840" s="59">
        <v>1.0</v>
      </c>
      <c r="E9840" s="59">
        <v>1.0</v>
      </c>
      <c r="F9840" s="59">
        <v>1.0</v>
      </c>
      <c r="G9840" s="60">
        <v>1.0</v>
      </c>
      <c r="H9840" s="60">
        <v>0.0</v>
      </c>
      <c r="I9840" s="60">
        <v>74.871377</v>
      </c>
      <c r="J9840" s="59">
        <v>4.0</v>
      </c>
      <c r="K9840" s="61">
        <f t="shared" si="1"/>
        <v>1</v>
      </c>
      <c r="L9840" s="62">
        <f t="shared" si="2"/>
        <v>4</v>
      </c>
    </row>
    <row r="9841">
      <c r="A9841" s="58">
        <v>45200.0</v>
      </c>
      <c r="B9841" s="24" t="s">
        <v>6942</v>
      </c>
      <c r="C9841" s="24" t="s">
        <v>7554</v>
      </c>
      <c r="D9841" s="59">
        <v>1.0</v>
      </c>
      <c r="E9841" s="59">
        <v>1.0</v>
      </c>
      <c r="F9841" s="59">
        <v>1.0</v>
      </c>
      <c r="G9841" s="60">
        <v>1.0</v>
      </c>
      <c r="H9841" s="60">
        <v>1.0</v>
      </c>
      <c r="I9841" s="60">
        <v>0.0</v>
      </c>
      <c r="J9841" s="59">
        <v>1.0</v>
      </c>
      <c r="K9841" s="61">
        <f t="shared" si="1"/>
        <v>1</v>
      </c>
      <c r="L9841" s="62">
        <f t="shared" si="2"/>
        <v>1</v>
      </c>
    </row>
    <row r="9842">
      <c r="A9842" s="58">
        <v>45200.0</v>
      </c>
      <c r="B9842" s="24" t="s">
        <v>6787</v>
      </c>
      <c r="C9842" s="24" t="s">
        <v>7261</v>
      </c>
      <c r="D9842" s="59">
        <v>1.0</v>
      </c>
      <c r="E9842" s="59">
        <v>1.0</v>
      </c>
      <c r="F9842" s="59">
        <v>1.0</v>
      </c>
      <c r="G9842" s="60">
        <v>1.0</v>
      </c>
      <c r="H9842" s="60">
        <v>0.0</v>
      </c>
      <c r="I9842" s="60">
        <v>8.425286</v>
      </c>
      <c r="J9842" s="59">
        <v>2.0</v>
      </c>
      <c r="K9842" s="61">
        <f t="shared" si="1"/>
        <v>1</v>
      </c>
      <c r="L9842" s="62">
        <f t="shared" si="2"/>
        <v>2</v>
      </c>
    </row>
    <row r="9843">
      <c r="A9843" s="58">
        <v>45200.0</v>
      </c>
      <c r="B9843" s="24" t="s">
        <v>6787</v>
      </c>
      <c r="C9843" s="24" t="s">
        <v>6907</v>
      </c>
      <c r="D9843" s="59">
        <v>1.0</v>
      </c>
      <c r="E9843" s="59">
        <v>1.0</v>
      </c>
      <c r="F9843" s="59">
        <v>0.0</v>
      </c>
      <c r="G9843" s="60">
        <v>1.0</v>
      </c>
      <c r="H9843" s="60">
        <v>0.0</v>
      </c>
      <c r="I9843" s="60">
        <v>42.273111</v>
      </c>
      <c r="J9843" s="59">
        <v>4.0</v>
      </c>
      <c r="K9843" s="61">
        <f t="shared" si="1"/>
        <v>0</v>
      </c>
      <c r="L9843" s="62">
        <f t="shared" si="2"/>
        <v>4</v>
      </c>
    </row>
    <row r="9844">
      <c r="A9844" s="58">
        <v>45200.0</v>
      </c>
      <c r="B9844" s="24" t="s">
        <v>155</v>
      </c>
      <c r="C9844" s="24" t="s">
        <v>6907</v>
      </c>
      <c r="D9844" s="59">
        <v>1.0</v>
      </c>
      <c r="E9844" s="59">
        <v>2.0</v>
      </c>
      <c r="F9844" s="59">
        <v>0.0</v>
      </c>
      <c r="G9844" s="60">
        <v>2.0</v>
      </c>
      <c r="H9844" s="60">
        <v>0.0</v>
      </c>
      <c r="I9844" s="60">
        <v>4.456586</v>
      </c>
      <c r="J9844" s="59">
        <v>4.0</v>
      </c>
      <c r="K9844" s="61">
        <f t="shared" si="1"/>
        <v>0</v>
      </c>
      <c r="L9844" s="62">
        <f t="shared" si="2"/>
        <v>2</v>
      </c>
    </row>
    <row r="9845">
      <c r="A9845" s="58">
        <v>45200.0</v>
      </c>
      <c r="B9845" s="24" t="s">
        <v>6790</v>
      </c>
      <c r="C9845" s="24" t="s">
        <v>7013</v>
      </c>
      <c r="D9845" s="59">
        <v>1.0</v>
      </c>
      <c r="E9845" s="59">
        <v>2.0</v>
      </c>
      <c r="F9845" s="59">
        <v>0.0</v>
      </c>
      <c r="G9845" s="60">
        <v>2.0</v>
      </c>
      <c r="H9845" s="60">
        <v>0.0</v>
      </c>
      <c r="I9845" s="60">
        <v>5.683985</v>
      </c>
      <c r="J9845" s="59">
        <v>4.0</v>
      </c>
      <c r="K9845" s="61">
        <f t="shared" si="1"/>
        <v>0</v>
      </c>
      <c r="L9845" s="62">
        <f t="shared" si="2"/>
        <v>2</v>
      </c>
    </row>
    <row r="9846">
      <c r="A9846" s="58">
        <v>45200.0</v>
      </c>
      <c r="B9846" s="24" t="s">
        <v>6791</v>
      </c>
      <c r="C9846" s="24" t="s">
        <v>7101</v>
      </c>
      <c r="D9846" s="59">
        <v>1.0</v>
      </c>
      <c r="E9846" s="59">
        <v>1.0</v>
      </c>
      <c r="F9846" s="59">
        <v>0.0</v>
      </c>
      <c r="G9846" s="60">
        <v>1.0</v>
      </c>
      <c r="H9846" s="60">
        <v>0.0</v>
      </c>
      <c r="I9846" s="60">
        <v>904.668988</v>
      </c>
      <c r="J9846" s="59">
        <v>4.0</v>
      </c>
      <c r="K9846" s="61">
        <f t="shared" si="1"/>
        <v>0</v>
      </c>
      <c r="L9846" s="62">
        <f t="shared" si="2"/>
        <v>4</v>
      </c>
    </row>
    <row r="9847">
      <c r="A9847" s="58">
        <v>45200.0</v>
      </c>
      <c r="B9847" s="24" t="s">
        <v>7100</v>
      </c>
      <c r="C9847" s="24" t="s">
        <v>7101</v>
      </c>
      <c r="D9847" s="59">
        <v>1.0</v>
      </c>
      <c r="E9847" s="59">
        <v>1.0</v>
      </c>
      <c r="F9847" s="59">
        <v>1.0</v>
      </c>
      <c r="G9847" s="60">
        <v>1.0</v>
      </c>
      <c r="H9847" s="60">
        <v>0.0</v>
      </c>
      <c r="I9847" s="60">
        <v>5.12432</v>
      </c>
      <c r="J9847" s="59">
        <v>2.0</v>
      </c>
      <c r="K9847" s="61">
        <f t="shared" si="1"/>
        <v>1</v>
      </c>
      <c r="L9847" s="62">
        <f t="shared" si="2"/>
        <v>2</v>
      </c>
    </row>
    <row r="9848">
      <c r="A9848" s="58">
        <v>45200.0</v>
      </c>
      <c r="B9848" s="24" t="s">
        <v>155</v>
      </c>
      <c r="C9848" s="24" t="s">
        <v>7101</v>
      </c>
      <c r="D9848" s="59">
        <v>1.0</v>
      </c>
      <c r="E9848" s="59">
        <v>1.0</v>
      </c>
      <c r="F9848" s="59">
        <v>0.0</v>
      </c>
      <c r="G9848" s="60">
        <v>1.0</v>
      </c>
      <c r="H9848" s="60">
        <v>0.0</v>
      </c>
      <c r="I9848" s="60">
        <v>1196.530295</v>
      </c>
      <c r="J9848" s="59">
        <v>4.0</v>
      </c>
      <c r="K9848" s="61">
        <f t="shared" si="1"/>
        <v>0</v>
      </c>
      <c r="L9848" s="62">
        <f t="shared" si="2"/>
        <v>4</v>
      </c>
    </row>
    <row r="9849">
      <c r="A9849" s="58">
        <v>45200.0</v>
      </c>
      <c r="B9849" s="24" t="s">
        <v>6789</v>
      </c>
      <c r="C9849" s="24" t="s">
        <v>6908</v>
      </c>
      <c r="D9849" s="59">
        <v>1.0</v>
      </c>
      <c r="E9849" s="59">
        <v>1.0</v>
      </c>
      <c r="F9849" s="59">
        <v>0.0</v>
      </c>
      <c r="G9849" s="60">
        <v>1.0</v>
      </c>
      <c r="H9849" s="60">
        <v>0.0</v>
      </c>
      <c r="I9849" s="60">
        <v>534.814993</v>
      </c>
      <c r="J9849" s="59">
        <v>2.0</v>
      </c>
      <c r="K9849" s="61">
        <f t="shared" si="1"/>
        <v>0</v>
      </c>
      <c r="L9849" s="62">
        <f t="shared" si="2"/>
        <v>2</v>
      </c>
    </row>
    <row r="9850">
      <c r="A9850" s="58">
        <v>45200.0</v>
      </c>
      <c r="B9850" s="24" t="s">
        <v>6787</v>
      </c>
      <c r="C9850" s="24" t="s">
        <v>7607</v>
      </c>
      <c r="D9850" s="59">
        <v>1.0</v>
      </c>
      <c r="E9850" s="59">
        <v>1.0</v>
      </c>
      <c r="F9850" s="59">
        <v>1.0</v>
      </c>
      <c r="G9850" s="60">
        <v>1.0</v>
      </c>
      <c r="H9850" s="60">
        <v>0.0</v>
      </c>
      <c r="I9850" s="60">
        <v>196.764802</v>
      </c>
      <c r="J9850" s="59">
        <v>7.0</v>
      </c>
      <c r="K9850" s="61">
        <f t="shared" si="1"/>
        <v>1</v>
      </c>
      <c r="L9850" s="62">
        <f t="shared" si="2"/>
        <v>7</v>
      </c>
    </row>
    <row r="9851">
      <c r="A9851" s="58">
        <v>45200.0</v>
      </c>
      <c r="B9851" s="24" t="s">
        <v>155</v>
      </c>
      <c r="C9851" s="24" t="s">
        <v>7313</v>
      </c>
      <c r="D9851" s="59">
        <v>1.0</v>
      </c>
      <c r="E9851" s="59">
        <v>2.0</v>
      </c>
      <c r="F9851" s="59">
        <v>0.0</v>
      </c>
      <c r="G9851" s="60">
        <v>2.0</v>
      </c>
      <c r="H9851" s="60">
        <v>0.5</v>
      </c>
      <c r="I9851" s="60">
        <v>60.6167</v>
      </c>
      <c r="J9851" s="59">
        <v>7.0</v>
      </c>
      <c r="K9851" s="61">
        <f t="shared" si="1"/>
        <v>0</v>
      </c>
      <c r="L9851" s="62">
        <f t="shared" si="2"/>
        <v>3.5</v>
      </c>
    </row>
    <row r="9852">
      <c r="A9852" s="58">
        <v>45200.0</v>
      </c>
      <c r="B9852" s="24" t="s">
        <v>155</v>
      </c>
      <c r="C9852" s="24" t="s">
        <v>7102</v>
      </c>
      <c r="D9852" s="59">
        <v>1.0</v>
      </c>
      <c r="E9852" s="59">
        <v>2.0</v>
      </c>
      <c r="F9852" s="59">
        <v>0.0</v>
      </c>
      <c r="G9852" s="60">
        <v>2.0</v>
      </c>
      <c r="H9852" s="60">
        <v>0.0</v>
      </c>
      <c r="I9852" s="60">
        <v>3.0332935</v>
      </c>
      <c r="J9852" s="59">
        <v>4.0</v>
      </c>
      <c r="K9852" s="61">
        <f t="shared" si="1"/>
        <v>0</v>
      </c>
      <c r="L9852" s="62">
        <f t="shared" si="2"/>
        <v>2</v>
      </c>
    </row>
    <row r="9853">
      <c r="A9853" s="58">
        <v>45200.0</v>
      </c>
      <c r="B9853" s="24" t="s">
        <v>6787</v>
      </c>
      <c r="C9853" s="24" t="s">
        <v>7104</v>
      </c>
      <c r="D9853" s="59">
        <v>1.0</v>
      </c>
      <c r="E9853" s="59">
        <v>2.0</v>
      </c>
      <c r="F9853" s="59">
        <v>0.0</v>
      </c>
      <c r="G9853" s="60">
        <v>2.0</v>
      </c>
      <c r="H9853" s="60">
        <v>0.0</v>
      </c>
      <c r="I9853" s="60">
        <v>550.0727585</v>
      </c>
      <c r="J9853" s="59">
        <v>8.0</v>
      </c>
      <c r="K9853" s="61">
        <f t="shared" si="1"/>
        <v>0</v>
      </c>
      <c r="L9853" s="62">
        <f t="shared" si="2"/>
        <v>4</v>
      </c>
    </row>
    <row r="9854">
      <c r="A9854" s="58">
        <v>45200.0</v>
      </c>
      <c r="B9854" s="24" t="s">
        <v>6789</v>
      </c>
      <c r="C9854" s="24" t="s">
        <v>7104</v>
      </c>
      <c r="D9854" s="59">
        <v>1.0</v>
      </c>
      <c r="E9854" s="59">
        <v>1.0</v>
      </c>
      <c r="F9854" s="59">
        <v>0.0</v>
      </c>
      <c r="G9854" s="60">
        <v>1.0</v>
      </c>
      <c r="H9854" s="60">
        <v>0.0</v>
      </c>
      <c r="I9854" s="60">
        <v>6.569061</v>
      </c>
      <c r="J9854" s="59">
        <v>2.0</v>
      </c>
      <c r="K9854" s="61">
        <f t="shared" si="1"/>
        <v>0</v>
      </c>
      <c r="L9854" s="62">
        <f t="shared" si="2"/>
        <v>2</v>
      </c>
    </row>
    <row r="9855">
      <c r="A9855" s="58">
        <v>45200.0</v>
      </c>
      <c r="B9855" s="24" t="s">
        <v>6791</v>
      </c>
      <c r="C9855" s="24" t="s">
        <v>7104</v>
      </c>
      <c r="D9855" s="59">
        <v>1.0</v>
      </c>
      <c r="E9855" s="59">
        <v>1.0</v>
      </c>
      <c r="F9855" s="59">
        <v>0.0</v>
      </c>
      <c r="G9855" s="60">
        <v>1.0</v>
      </c>
      <c r="H9855" s="60">
        <v>0.0</v>
      </c>
      <c r="I9855" s="60">
        <v>9.50645</v>
      </c>
      <c r="J9855" s="59">
        <v>9.0</v>
      </c>
      <c r="K9855" s="61">
        <f t="shared" si="1"/>
        <v>0</v>
      </c>
      <c r="L9855" s="62">
        <f t="shared" si="2"/>
        <v>9</v>
      </c>
    </row>
    <row r="9856">
      <c r="A9856" s="58">
        <v>45200.0</v>
      </c>
      <c r="B9856" s="24" t="s">
        <v>6787</v>
      </c>
      <c r="C9856" s="24" t="s">
        <v>7023</v>
      </c>
      <c r="D9856" s="59">
        <v>1.0</v>
      </c>
      <c r="E9856" s="59">
        <v>1.0</v>
      </c>
      <c r="F9856" s="59">
        <v>0.0</v>
      </c>
      <c r="G9856" s="60">
        <v>1.0</v>
      </c>
      <c r="H9856" s="60">
        <v>0.0</v>
      </c>
      <c r="I9856" s="60">
        <v>11.821376</v>
      </c>
      <c r="J9856" s="59">
        <v>4.0</v>
      </c>
      <c r="K9856" s="61">
        <f t="shared" si="1"/>
        <v>0</v>
      </c>
      <c r="L9856" s="62">
        <f t="shared" si="2"/>
        <v>4</v>
      </c>
    </row>
    <row r="9857">
      <c r="A9857" s="58">
        <v>45200.0</v>
      </c>
      <c r="B9857" s="24" t="s">
        <v>6789</v>
      </c>
      <c r="C9857" s="24" t="s">
        <v>7192</v>
      </c>
      <c r="D9857" s="59">
        <v>1.0</v>
      </c>
      <c r="E9857" s="59">
        <v>1.0</v>
      </c>
      <c r="F9857" s="59">
        <v>0.0</v>
      </c>
      <c r="G9857" s="60">
        <v>1.0</v>
      </c>
      <c r="H9857" s="60">
        <v>0.0</v>
      </c>
      <c r="I9857" s="60">
        <v>513.635599</v>
      </c>
      <c r="J9857" s="59">
        <v>6.0</v>
      </c>
      <c r="K9857" s="61">
        <f t="shared" si="1"/>
        <v>0</v>
      </c>
      <c r="L9857" s="62">
        <f t="shared" si="2"/>
        <v>6</v>
      </c>
    </row>
    <row r="9858">
      <c r="A9858" s="58">
        <v>45200.0</v>
      </c>
      <c r="B9858" s="24" t="s">
        <v>6787</v>
      </c>
      <c r="C9858" s="24" t="s">
        <v>7180</v>
      </c>
      <c r="D9858" s="59">
        <v>1.0</v>
      </c>
      <c r="E9858" s="59">
        <v>1.0</v>
      </c>
      <c r="F9858" s="59">
        <v>1.0</v>
      </c>
      <c r="G9858" s="60">
        <v>1.0</v>
      </c>
      <c r="H9858" s="60">
        <v>0.0</v>
      </c>
      <c r="I9858" s="60">
        <v>4.466598</v>
      </c>
      <c r="J9858" s="59">
        <v>2.0</v>
      </c>
      <c r="K9858" s="61">
        <f t="shared" si="1"/>
        <v>1</v>
      </c>
      <c r="L9858" s="62">
        <f t="shared" si="2"/>
        <v>2</v>
      </c>
    </row>
    <row r="9859">
      <c r="A9859" s="58">
        <v>45200.0</v>
      </c>
      <c r="B9859" s="24" t="s">
        <v>6794</v>
      </c>
      <c r="C9859" s="24" t="s">
        <v>7180</v>
      </c>
      <c r="D9859" s="59">
        <v>1.0</v>
      </c>
      <c r="E9859" s="59">
        <v>1.0</v>
      </c>
      <c r="F9859" s="59">
        <v>0.0</v>
      </c>
      <c r="G9859" s="60">
        <v>1.0</v>
      </c>
      <c r="H9859" s="60">
        <v>0.0</v>
      </c>
      <c r="I9859" s="60">
        <v>7.080457</v>
      </c>
      <c r="J9859" s="59">
        <v>2.0</v>
      </c>
      <c r="K9859" s="61">
        <f t="shared" si="1"/>
        <v>0</v>
      </c>
      <c r="L9859" s="62">
        <f t="shared" si="2"/>
        <v>2</v>
      </c>
    </row>
    <row r="9860">
      <c r="A9860" s="58">
        <v>45200.0</v>
      </c>
      <c r="B9860" s="24" t="s">
        <v>6789</v>
      </c>
      <c r="C9860" s="24" t="s">
        <v>6931</v>
      </c>
      <c r="D9860" s="59">
        <v>1.0</v>
      </c>
      <c r="E9860" s="59">
        <v>2.0</v>
      </c>
      <c r="F9860" s="59">
        <v>1.0</v>
      </c>
      <c r="G9860" s="60">
        <v>2.0</v>
      </c>
      <c r="H9860" s="60">
        <v>0.0</v>
      </c>
      <c r="I9860" s="60">
        <v>2.7012505</v>
      </c>
      <c r="J9860" s="59">
        <v>4.0</v>
      </c>
      <c r="K9860" s="61">
        <f t="shared" si="1"/>
        <v>0.5</v>
      </c>
      <c r="L9860" s="62">
        <f t="shared" si="2"/>
        <v>2</v>
      </c>
    </row>
    <row r="9861">
      <c r="A9861" s="58">
        <v>45200.0</v>
      </c>
      <c r="B9861" s="24" t="s">
        <v>155</v>
      </c>
      <c r="C9861" s="24" t="s">
        <v>6931</v>
      </c>
      <c r="D9861" s="59">
        <v>1.0</v>
      </c>
      <c r="E9861" s="59">
        <v>1.0</v>
      </c>
      <c r="F9861" s="59">
        <v>1.0</v>
      </c>
      <c r="G9861" s="60">
        <v>1.0</v>
      </c>
      <c r="H9861" s="60">
        <v>0.0</v>
      </c>
      <c r="I9861" s="60">
        <v>18.295614</v>
      </c>
      <c r="J9861" s="59">
        <v>2.0</v>
      </c>
      <c r="K9861" s="61">
        <f t="shared" si="1"/>
        <v>1</v>
      </c>
      <c r="L9861" s="62">
        <f t="shared" si="2"/>
        <v>2</v>
      </c>
    </row>
    <row r="9862">
      <c r="A9862" s="58">
        <v>45200.0</v>
      </c>
      <c r="B9862" s="24" t="s">
        <v>155</v>
      </c>
      <c r="C9862" s="24" t="s">
        <v>7118</v>
      </c>
      <c r="D9862" s="59">
        <v>1.0</v>
      </c>
      <c r="E9862" s="59">
        <v>1.0</v>
      </c>
      <c r="F9862" s="59">
        <v>0.0</v>
      </c>
      <c r="G9862" s="60">
        <v>1.0</v>
      </c>
      <c r="H9862" s="60">
        <v>0.0</v>
      </c>
      <c r="I9862" s="60">
        <v>166.029818</v>
      </c>
      <c r="J9862" s="59">
        <v>2.0</v>
      </c>
      <c r="K9862" s="61">
        <f t="shared" si="1"/>
        <v>0</v>
      </c>
      <c r="L9862" s="62">
        <f t="shared" si="2"/>
        <v>2</v>
      </c>
    </row>
    <row r="9863">
      <c r="A9863" s="58">
        <v>45200.0</v>
      </c>
      <c r="B9863" s="24" t="s">
        <v>6790</v>
      </c>
      <c r="C9863" s="24" t="s">
        <v>6802</v>
      </c>
      <c r="D9863" s="59">
        <v>1.0</v>
      </c>
      <c r="E9863" s="59">
        <v>1.0</v>
      </c>
      <c r="F9863" s="59">
        <v>0.0</v>
      </c>
      <c r="G9863" s="60">
        <v>1.0</v>
      </c>
      <c r="H9863" s="60">
        <v>0.0</v>
      </c>
      <c r="I9863" s="60">
        <v>73.959378</v>
      </c>
      <c r="J9863" s="59">
        <v>2.0</v>
      </c>
      <c r="K9863" s="61">
        <f t="shared" si="1"/>
        <v>0</v>
      </c>
      <c r="L9863" s="62">
        <f t="shared" si="2"/>
        <v>2</v>
      </c>
    </row>
    <row r="9864">
      <c r="A9864" s="58">
        <v>45170.0</v>
      </c>
      <c r="B9864" s="24" t="s">
        <v>6789</v>
      </c>
      <c r="C9864" s="24" t="s">
        <v>6788</v>
      </c>
      <c r="D9864" s="59">
        <v>619.0</v>
      </c>
      <c r="E9864" s="59">
        <v>847.0</v>
      </c>
      <c r="F9864" s="59">
        <v>517.0</v>
      </c>
      <c r="G9864" s="60">
        <v>1.36833602584814</v>
      </c>
      <c r="H9864" s="60">
        <v>0.00236127508854781</v>
      </c>
      <c r="I9864" s="60">
        <v>219.0491269634</v>
      </c>
      <c r="J9864" s="59">
        <v>3062.0</v>
      </c>
      <c r="K9864" s="61">
        <f t="shared" si="1"/>
        <v>0.6103896104</v>
      </c>
      <c r="L9864" s="62">
        <f t="shared" si="2"/>
        <v>3.615112161</v>
      </c>
    </row>
    <row r="9865">
      <c r="A9865" s="58">
        <v>45170.0</v>
      </c>
      <c r="B9865" s="24" t="s">
        <v>6787</v>
      </c>
      <c r="C9865" s="24" t="s">
        <v>6788</v>
      </c>
      <c r="D9865" s="59">
        <v>393.0</v>
      </c>
      <c r="E9865" s="59">
        <v>519.0</v>
      </c>
      <c r="F9865" s="59">
        <v>349.0</v>
      </c>
      <c r="G9865" s="60">
        <v>1.3206106870229</v>
      </c>
      <c r="H9865" s="60">
        <v>0.0423892100192678</v>
      </c>
      <c r="I9865" s="60">
        <v>204.834826493256</v>
      </c>
      <c r="J9865" s="59">
        <v>1594.0</v>
      </c>
      <c r="K9865" s="61">
        <f t="shared" si="1"/>
        <v>0.6724470135</v>
      </c>
      <c r="L9865" s="62">
        <f t="shared" si="2"/>
        <v>3.071290944</v>
      </c>
    </row>
    <row r="9866">
      <c r="A9866" s="58">
        <v>45170.0</v>
      </c>
      <c r="B9866" s="24" t="s">
        <v>6789</v>
      </c>
      <c r="C9866" s="24" t="s">
        <v>6792</v>
      </c>
      <c r="D9866" s="59">
        <v>289.0</v>
      </c>
      <c r="E9866" s="59">
        <v>382.0</v>
      </c>
      <c r="F9866" s="59">
        <v>106.0</v>
      </c>
      <c r="G9866" s="60">
        <v>1.57201646090534</v>
      </c>
      <c r="H9866" s="60">
        <v>0.787958115183246</v>
      </c>
      <c r="I9866" s="60">
        <v>76.1811675890052</v>
      </c>
      <c r="J9866" s="59">
        <v>0.0</v>
      </c>
      <c r="K9866" s="61">
        <f t="shared" si="1"/>
        <v>0.277486911</v>
      </c>
      <c r="L9866" s="62">
        <f t="shared" si="2"/>
        <v>0</v>
      </c>
    </row>
    <row r="9867">
      <c r="A9867" s="58">
        <v>45170.0</v>
      </c>
      <c r="B9867" s="24" t="s">
        <v>6789</v>
      </c>
      <c r="C9867" s="24" t="s">
        <v>7068</v>
      </c>
      <c r="D9867" s="59">
        <v>183.0</v>
      </c>
      <c r="E9867" s="59">
        <v>197.0</v>
      </c>
      <c r="F9867" s="59">
        <v>179.0</v>
      </c>
      <c r="G9867" s="60">
        <v>1.07650273224043</v>
      </c>
      <c r="H9867" s="60">
        <v>0.00507614213197969</v>
      </c>
      <c r="I9867" s="60">
        <v>181.363237203045</v>
      </c>
      <c r="J9867" s="59">
        <v>436.0</v>
      </c>
      <c r="K9867" s="61">
        <f t="shared" si="1"/>
        <v>0.9086294416</v>
      </c>
      <c r="L9867" s="62">
        <f t="shared" si="2"/>
        <v>2.21319797</v>
      </c>
    </row>
    <row r="9868">
      <c r="A9868" s="58">
        <v>45170.0</v>
      </c>
      <c r="B9868" s="24" t="s">
        <v>6787</v>
      </c>
      <c r="C9868" s="24" t="s">
        <v>6792</v>
      </c>
      <c r="D9868" s="59">
        <v>181.0</v>
      </c>
      <c r="E9868" s="59">
        <v>208.0</v>
      </c>
      <c r="F9868" s="59">
        <v>123.0</v>
      </c>
      <c r="G9868" s="60">
        <v>1.2760736196319</v>
      </c>
      <c r="H9868" s="60">
        <v>0.846153846153846</v>
      </c>
      <c r="I9868" s="60">
        <v>39.9559817884615</v>
      </c>
      <c r="J9868" s="59">
        <v>0.0</v>
      </c>
      <c r="K9868" s="61">
        <f t="shared" si="1"/>
        <v>0.5913461538</v>
      </c>
      <c r="L9868" s="62">
        <f t="shared" si="2"/>
        <v>0</v>
      </c>
    </row>
    <row r="9869">
      <c r="A9869" s="58">
        <v>45170.0</v>
      </c>
      <c r="B9869" s="24" t="s">
        <v>7100</v>
      </c>
      <c r="C9869" s="24" t="s">
        <v>7172</v>
      </c>
      <c r="D9869" s="59">
        <v>146.0</v>
      </c>
      <c r="E9869" s="59">
        <v>176.0</v>
      </c>
      <c r="F9869" s="59">
        <v>132.0</v>
      </c>
      <c r="G9869" s="60">
        <v>1.20547945205479</v>
      </c>
      <c r="H9869" s="60">
        <v>0.0170454545454545</v>
      </c>
      <c r="I9869" s="60">
        <v>26.9717623181818</v>
      </c>
      <c r="J9869" s="59">
        <v>384.0</v>
      </c>
      <c r="K9869" s="61">
        <f t="shared" si="1"/>
        <v>0.75</v>
      </c>
      <c r="L9869" s="62">
        <f t="shared" si="2"/>
        <v>2.181818182</v>
      </c>
    </row>
    <row r="9870">
      <c r="A9870" s="58">
        <v>45170.0</v>
      </c>
      <c r="B9870" s="24" t="s">
        <v>6794</v>
      </c>
      <c r="C9870" s="24" t="s">
        <v>6788</v>
      </c>
      <c r="D9870" s="59">
        <v>130.0</v>
      </c>
      <c r="E9870" s="59">
        <v>154.0</v>
      </c>
      <c r="F9870" s="59">
        <v>115.0</v>
      </c>
      <c r="G9870" s="60">
        <v>1.18461538461538</v>
      </c>
      <c r="H9870" s="60">
        <v>0.0</v>
      </c>
      <c r="I9870" s="60">
        <v>220.758086493506</v>
      </c>
      <c r="J9870" s="59">
        <v>586.0</v>
      </c>
      <c r="K9870" s="61">
        <f t="shared" si="1"/>
        <v>0.7467532468</v>
      </c>
      <c r="L9870" s="62">
        <f t="shared" si="2"/>
        <v>3.805194805</v>
      </c>
    </row>
    <row r="9871">
      <c r="A9871" s="58">
        <v>45170.0</v>
      </c>
      <c r="B9871" s="24" t="s">
        <v>7100</v>
      </c>
      <c r="C9871" s="24" t="s">
        <v>6788</v>
      </c>
      <c r="D9871" s="59">
        <v>108.0</v>
      </c>
      <c r="E9871" s="59">
        <v>116.0</v>
      </c>
      <c r="F9871" s="59">
        <v>99.0</v>
      </c>
      <c r="G9871" s="60">
        <v>1.07407407407407</v>
      </c>
      <c r="H9871" s="60">
        <v>0.0</v>
      </c>
      <c r="I9871" s="60">
        <v>6.08343121551724</v>
      </c>
      <c r="J9871" s="59">
        <v>240.0</v>
      </c>
      <c r="K9871" s="61">
        <f t="shared" si="1"/>
        <v>0.8534482759</v>
      </c>
      <c r="L9871" s="62">
        <f t="shared" si="2"/>
        <v>2.068965517</v>
      </c>
    </row>
    <row r="9872">
      <c r="A9872" s="58">
        <v>45170.0</v>
      </c>
      <c r="B9872" s="24" t="s">
        <v>7100</v>
      </c>
      <c r="C9872" s="24" t="s">
        <v>6792</v>
      </c>
      <c r="D9872" s="59">
        <v>97.0</v>
      </c>
      <c r="E9872" s="59">
        <v>101.0</v>
      </c>
      <c r="F9872" s="59">
        <v>95.0</v>
      </c>
      <c r="G9872" s="60">
        <v>1.04123711340206</v>
      </c>
      <c r="H9872" s="60">
        <v>1.0</v>
      </c>
      <c r="I9872" s="60">
        <v>0.0</v>
      </c>
      <c r="J9872" s="59">
        <v>0.0</v>
      </c>
      <c r="K9872" s="61">
        <f t="shared" si="1"/>
        <v>0.9405940594</v>
      </c>
      <c r="L9872" s="62">
        <f t="shared" si="2"/>
        <v>0</v>
      </c>
    </row>
    <row r="9873">
      <c r="A9873" s="58">
        <v>45170.0</v>
      </c>
      <c r="B9873" s="24" t="s">
        <v>155</v>
      </c>
      <c r="C9873" s="24" t="s">
        <v>6788</v>
      </c>
      <c r="D9873" s="59">
        <v>87.0</v>
      </c>
      <c r="E9873" s="59">
        <v>196.0</v>
      </c>
      <c r="F9873" s="59">
        <v>62.0</v>
      </c>
      <c r="G9873" s="60">
        <v>2.25287356321839</v>
      </c>
      <c r="H9873" s="60">
        <v>0.0</v>
      </c>
      <c r="I9873" s="60">
        <v>183.297585091836</v>
      </c>
      <c r="J9873" s="59">
        <v>751.0</v>
      </c>
      <c r="K9873" s="61">
        <f t="shared" si="1"/>
        <v>0.3163265306</v>
      </c>
      <c r="L9873" s="62">
        <f t="shared" si="2"/>
        <v>3.831632653</v>
      </c>
    </row>
    <row r="9874">
      <c r="A9874" s="58">
        <v>45170.0</v>
      </c>
      <c r="B9874" s="24" t="s">
        <v>6790</v>
      </c>
      <c r="C9874" s="24" t="s">
        <v>6788</v>
      </c>
      <c r="D9874" s="59">
        <v>74.0</v>
      </c>
      <c r="E9874" s="59">
        <v>74.0</v>
      </c>
      <c r="F9874" s="59">
        <v>73.0</v>
      </c>
      <c r="G9874" s="60">
        <v>1.0</v>
      </c>
      <c r="H9874" s="60">
        <v>0.0135135135135135</v>
      </c>
      <c r="I9874" s="60">
        <v>27.285216581081</v>
      </c>
      <c r="J9874" s="59">
        <v>155.0</v>
      </c>
      <c r="K9874" s="61">
        <f t="shared" si="1"/>
        <v>0.9864864865</v>
      </c>
      <c r="L9874" s="62">
        <f t="shared" si="2"/>
        <v>2.094594595</v>
      </c>
    </row>
    <row r="9875">
      <c r="A9875" s="58">
        <v>45170.0</v>
      </c>
      <c r="B9875" s="24" t="s">
        <v>6791</v>
      </c>
      <c r="C9875" s="24" t="s">
        <v>7530</v>
      </c>
      <c r="D9875" s="59">
        <v>57.0</v>
      </c>
      <c r="E9875" s="59">
        <v>67.0</v>
      </c>
      <c r="F9875" s="59">
        <v>54.0</v>
      </c>
      <c r="G9875" s="60">
        <v>1.17543859649122</v>
      </c>
      <c r="H9875" s="60">
        <v>0.0298507462686567</v>
      </c>
      <c r="I9875" s="60">
        <v>170.370583179104</v>
      </c>
      <c r="J9875" s="59">
        <v>204.0</v>
      </c>
      <c r="K9875" s="61">
        <f t="shared" si="1"/>
        <v>0.8059701493</v>
      </c>
      <c r="L9875" s="62">
        <f t="shared" si="2"/>
        <v>3.044776119</v>
      </c>
    </row>
    <row r="9876">
      <c r="A9876" s="58">
        <v>45170.0</v>
      </c>
      <c r="B9876" s="24" t="s">
        <v>155</v>
      </c>
      <c r="C9876" s="24" t="s">
        <v>6792</v>
      </c>
      <c r="D9876" s="59">
        <v>37.0</v>
      </c>
      <c r="E9876" s="59">
        <v>56.0</v>
      </c>
      <c r="F9876" s="59">
        <v>12.0</v>
      </c>
      <c r="G9876" s="60">
        <v>1.80645161290322</v>
      </c>
      <c r="H9876" s="60">
        <v>0.839285714285714</v>
      </c>
      <c r="I9876" s="60">
        <v>25.6146286607142</v>
      </c>
      <c r="J9876" s="59">
        <v>0.0</v>
      </c>
      <c r="K9876" s="61">
        <f t="shared" si="1"/>
        <v>0.2142857143</v>
      </c>
      <c r="L9876" s="62">
        <f t="shared" si="2"/>
        <v>0</v>
      </c>
    </row>
    <row r="9877">
      <c r="A9877" s="58">
        <v>45170.0</v>
      </c>
      <c r="B9877" s="24" t="s">
        <v>6794</v>
      </c>
      <c r="C9877" s="24" t="s">
        <v>6815</v>
      </c>
      <c r="D9877" s="59">
        <v>37.0</v>
      </c>
      <c r="E9877" s="59">
        <v>56.0</v>
      </c>
      <c r="F9877" s="59">
        <v>28.0</v>
      </c>
      <c r="G9877" s="60">
        <v>1.55555555555555</v>
      </c>
      <c r="H9877" s="60">
        <v>0.0357142857142857</v>
      </c>
      <c r="I9877" s="60">
        <v>222.538826321428</v>
      </c>
      <c r="J9877" s="59">
        <v>184.0</v>
      </c>
      <c r="K9877" s="61">
        <f t="shared" si="1"/>
        <v>0.5</v>
      </c>
      <c r="L9877" s="62">
        <f t="shared" si="2"/>
        <v>3.285714286</v>
      </c>
    </row>
    <row r="9878">
      <c r="A9878" s="58">
        <v>45170.0</v>
      </c>
      <c r="B9878" s="24" t="s">
        <v>6794</v>
      </c>
      <c r="C9878" s="24" t="s">
        <v>6792</v>
      </c>
      <c r="D9878" s="59">
        <v>36.0</v>
      </c>
      <c r="E9878" s="59">
        <v>43.0</v>
      </c>
      <c r="F9878" s="59">
        <v>13.0</v>
      </c>
      <c r="G9878" s="60">
        <v>1.48275862068965</v>
      </c>
      <c r="H9878" s="60">
        <v>0.813953488372093</v>
      </c>
      <c r="I9878" s="60">
        <v>4.97015976744186</v>
      </c>
      <c r="J9878" s="59">
        <v>0.0</v>
      </c>
      <c r="K9878" s="61">
        <f t="shared" si="1"/>
        <v>0.3023255814</v>
      </c>
      <c r="L9878" s="62">
        <f t="shared" si="2"/>
        <v>0</v>
      </c>
    </row>
    <row r="9879">
      <c r="A9879" s="58">
        <v>45170.0</v>
      </c>
      <c r="B9879" s="24" t="s">
        <v>6789</v>
      </c>
      <c r="C9879" s="24" t="s">
        <v>6799</v>
      </c>
      <c r="D9879" s="59">
        <v>30.0</v>
      </c>
      <c r="E9879" s="59">
        <v>33.0</v>
      </c>
      <c r="F9879" s="59">
        <v>23.0</v>
      </c>
      <c r="G9879" s="60">
        <v>1.1</v>
      </c>
      <c r="H9879" s="60">
        <v>0.0</v>
      </c>
      <c r="I9879" s="60">
        <v>429.40260460606</v>
      </c>
      <c r="J9879" s="59">
        <v>118.0</v>
      </c>
      <c r="K9879" s="61">
        <f t="shared" si="1"/>
        <v>0.696969697</v>
      </c>
      <c r="L9879" s="62">
        <f t="shared" si="2"/>
        <v>3.575757576</v>
      </c>
    </row>
    <row r="9880">
      <c r="A9880" s="58">
        <v>45170.0</v>
      </c>
      <c r="B9880" s="24" t="s">
        <v>6787</v>
      </c>
      <c r="C9880" s="24" t="s">
        <v>7608</v>
      </c>
      <c r="D9880" s="59">
        <v>29.0</v>
      </c>
      <c r="E9880" s="59">
        <v>35.0</v>
      </c>
      <c r="F9880" s="59">
        <v>24.0</v>
      </c>
      <c r="G9880" s="60">
        <v>1.20689655172413</v>
      </c>
      <c r="H9880" s="60">
        <v>0.0571428571428571</v>
      </c>
      <c r="I9880" s="60">
        <v>74.2578445714285</v>
      </c>
      <c r="J9880" s="59">
        <v>89.0</v>
      </c>
      <c r="K9880" s="61">
        <f t="shared" si="1"/>
        <v>0.6857142857</v>
      </c>
      <c r="L9880" s="62">
        <f t="shared" si="2"/>
        <v>2.542857143</v>
      </c>
    </row>
    <row r="9881">
      <c r="A9881" s="58">
        <v>45170.0</v>
      </c>
      <c r="B9881" s="24" t="s">
        <v>6787</v>
      </c>
      <c r="C9881" s="24" t="s">
        <v>7034</v>
      </c>
      <c r="D9881" s="59">
        <v>28.0</v>
      </c>
      <c r="E9881" s="59">
        <v>37.0</v>
      </c>
      <c r="F9881" s="59">
        <v>26.0</v>
      </c>
      <c r="G9881" s="60">
        <v>1.32142857142857</v>
      </c>
      <c r="H9881" s="60">
        <v>0.054054054054054</v>
      </c>
      <c r="I9881" s="60">
        <v>15.4166507567567</v>
      </c>
      <c r="J9881" s="59">
        <v>90.0</v>
      </c>
      <c r="K9881" s="61">
        <f t="shared" si="1"/>
        <v>0.7027027027</v>
      </c>
      <c r="L9881" s="62">
        <f t="shared" si="2"/>
        <v>2.432432432</v>
      </c>
    </row>
    <row r="9882">
      <c r="A9882" s="58">
        <v>45170.0</v>
      </c>
      <c r="B9882" s="24" t="s">
        <v>7100</v>
      </c>
      <c r="C9882" s="24" t="s">
        <v>7174</v>
      </c>
      <c r="D9882" s="59">
        <v>28.0</v>
      </c>
      <c r="E9882" s="59">
        <v>28.0</v>
      </c>
      <c r="F9882" s="59">
        <v>27.0</v>
      </c>
      <c r="G9882" s="60">
        <v>1.0</v>
      </c>
      <c r="H9882" s="60">
        <v>0.0357142857142857</v>
      </c>
      <c r="I9882" s="60">
        <v>32.5812215357142</v>
      </c>
      <c r="J9882" s="59">
        <v>72.0</v>
      </c>
      <c r="K9882" s="61">
        <f t="shared" si="1"/>
        <v>0.9642857143</v>
      </c>
      <c r="L9882" s="62">
        <f t="shared" si="2"/>
        <v>2.571428571</v>
      </c>
    </row>
    <row r="9883">
      <c r="A9883" s="58">
        <v>45170.0</v>
      </c>
      <c r="B9883" s="24" t="s">
        <v>6789</v>
      </c>
      <c r="C9883" s="24" t="s">
        <v>6815</v>
      </c>
      <c r="D9883" s="59">
        <v>28.0</v>
      </c>
      <c r="E9883" s="59">
        <v>36.0</v>
      </c>
      <c r="F9883" s="59">
        <v>23.0</v>
      </c>
      <c r="G9883" s="60">
        <v>1.28571428571428</v>
      </c>
      <c r="H9883" s="60">
        <v>0.0</v>
      </c>
      <c r="I9883" s="60">
        <v>255.141607777777</v>
      </c>
      <c r="J9883" s="59">
        <v>104.0</v>
      </c>
      <c r="K9883" s="61">
        <f t="shared" si="1"/>
        <v>0.6388888889</v>
      </c>
      <c r="L9883" s="62">
        <f t="shared" si="2"/>
        <v>2.888888889</v>
      </c>
    </row>
    <row r="9884">
      <c r="A9884" s="58">
        <v>45170.0</v>
      </c>
      <c r="B9884" s="24" t="s">
        <v>6791</v>
      </c>
      <c r="C9884" s="24" t="s">
        <v>6792</v>
      </c>
      <c r="D9884" s="59">
        <v>26.0</v>
      </c>
      <c r="E9884" s="59">
        <v>29.0</v>
      </c>
      <c r="F9884" s="59">
        <v>15.0</v>
      </c>
      <c r="G9884" s="60">
        <v>1.20833333333333</v>
      </c>
      <c r="H9884" s="60">
        <v>0.620689655172413</v>
      </c>
      <c r="I9884" s="60">
        <v>73.1570803103448</v>
      </c>
      <c r="J9884" s="59">
        <v>0.0</v>
      </c>
      <c r="K9884" s="61">
        <f t="shared" si="1"/>
        <v>0.5172413793</v>
      </c>
      <c r="L9884" s="62">
        <f t="shared" si="2"/>
        <v>0</v>
      </c>
    </row>
    <row r="9885">
      <c r="A9885" s="58">
        <v>45170.0</v>
      </c>
      <c r="B9885" s="24" t="s">
        <v>6791</v>
      </c>
      <c r="C9885" s="24" t="s">
        <v>7206</v>
      </c>
      <c r="D9885" s="59">
        <v>24.0</v>
      </c>
      <c r="E9885" s="59">
        <v>32.0</v>
      </c>
      <c r="F9885" s="59">
        <v>20.0</v>
      </c>
      <c r="G9885" s="60">
        <v>1.33333333333333</v>
      </c>
      <c r="H9885" s="60">
        <v>0.0</v>
      </c>
      <c r="I9885" s="60">
        <v>101.7234826875</v>
      </c>
      <c r="J9885" s="59">
        <v>83.0</v>
      </c>
      <c r="K9885" s="61">
        <f t="shared" si="1"/>
        <v>0.625</v>
      </c>
      <c r="L9885" s="62">
        <f t="shared" si="2"/>
        <v>2.59375</v>
      </c>
    </row>
    <row r="9886">
      <c r="A9886" s="58">
        <v>45170.0</v>
      </c>
      <c r="B9886" s="24" t="s">
        <v>6789</v>
      </c>
      <c r="C9886" s="24" t="s">
        <v>6803</v>
      </c>
      <c r="D9886" s="59">
        <v>23.0</v>
      </c>
      <c r="E9886" s="59">
        <v>25.0</v>
      </c>
      <c r="F9886" s="59">
        <v>20.0</v>
      </c>
      <c r="G9886" s="60">
        <v>1.08695652173913</v>
      </c>
      <c r="H9886" s="60">
        <v>0.0</v>
      </c>
      <c r="I9886" s="60">
        <v>46.61922468</v>
      </c>
      <c r="J9886" s="59">
        <v>70.0</v>
      </c>
      <c r="K9886" s="61">
        <f t="shared" si="1"/>
        <v>0.8</v>
      </c>
      <c r="L9886" s="62">
        <f t="shared" si="2"/>
        <v>2.8</v>
      </c>
    </row>
    <row r="9887">
      <c r="A9887" s="58">
        <v>45170.0</v>
      </c>
      <c r="B9887" s="24" t="s">
        <v>7100</v>
      </c>
      <c r="C9887" s="24" t="s">
        <v>6892</v>
      </c>
      <c r="D9887" s="59">
        <v>23.0</v>
      </c>
      <c r="E9887" s="59">
        <v>23.0</v>
      </c>
      <c r="F9887" s="59">
        <v>23.0</v>
      </c>
      <c r="G9887" s="60">
        <v>1.0</v>
      </c>
      <c r="H9887" s="60">
        <v>0.0</v>
      </c>
      <c r="I9887" s="60">
        <v>68.5700256086956</v>
      </c>
      <c r="J9887" s="59">
        <v>51.0</v>
      </c>
      <c r="K9887" s="61">
        <f t="shared" si="1"/>
        <v>1</v>
      </c>
      <c r="L9887" s="62">
        <f t="shared" si="2"/>
        <v>2.217391304</v>
      </c>
    </row>
    <row r="9888">
      <c r="A9888" s="58">
        <v>45170.0</v>
      </c>
      <c r="B9888" s="24" t="s">
        <v>6791</v>
      </c>
      <c r="C9888" s="24" t="s">
        <v>7207</v>
      </c>
      <c r="D9888" s="59">
        <v>21.0</v>
      </c>
      <c r="E9888" s="59">
        <v>21.0</v>
      </c>
      <c r="F9888" s="59">
        <v>20.0</v>
      </c>
      <c r="G9888" s="60">
        <v>1.0</v>
      </c>
      <c r="H9888" s="60">
        <v>0.0</v>
      </c>
      <c r="I9888" s="60">
        <v>38.5948932380952</v>
      </c>
      <c r="J9888" s="59">
        <v>52.0</v>
      </c>
      <c r="K9888" s="61">
        <f t="shared" si="1"/>
        <v>0.9523809524</v>
      </c>
      <c r="L9888" s="62">
        <f t="shared" si="2"/>
        <v>2.476190476</v>
      </c>
    </row>
    <row r="9889">
      <c r="A9889" s="58">
        <v>45170.0</v>
      </c>
      <c r="B9889" s="24" t="s">
        <v>6787</v>
      </c>
      <c r="C9889" s="24" t="s">
        <v>6815</v>
      </c>
      <c r="D9889" s="59">
        <v>18.0</v>
      </c>
      <c r="E9889" s="59">
        <v>18.0</v>
      </c>
      <c r="F9889" s="59">
        <v>17.0</v>
      </c>
      <c r="G9889" s="60">
        <v>1.0</v>
      </c>
      <c r="H9889" s="60">
        <v>0.0</v>
      </c>
      <c r="I9889" s="60">
        <v>178.186742555555</v>
      </c>
      <c r="J9889" s="59">
        <v>55.0</v>
      </c>
      <c r="K9889" s="61">
        <f t="shared" si="1"/>
        <v>0.9444444444</v>
      </c>
      <c r="L9889" s="62">
        <f t="shared" si="2"/>
        <v>3.055555556</v>
      </c>
    </row>
    <row r="9890">
      <c r="A9890" s="58">
        <v>45170.0</v>
      </c>
      <c r="B9890" s="24" t="s">
        <v>6790</v>
      </c>
      <c r="C9890" s="24" t="s">
        <v>6792</v>
      </c>
      <c r="D9890" s="59">
        <v>16.0</v>
      </c>
      <c r="E9890" s="59">
        <v>22.0</v>
      </c>
      <c r="F9890" s="59">
        <v>8.0</v>
      </c>
      <c r="G9890" s="60">
        <v>2.0</v>
      </c>
      <c r="H9890" s="60">
        <v>0.863636363636363</v>
      </c>
      <c r="I9890" s="60">
        <v>4.17045586363636</v>
      </c>
      <c r="J9890" s="59">
        <v>0.0</v>
      </c>
      <c r="K9890" s="61">
        <f t="shared" si="1"/>
        <v>0.3636363636</v>
      </c>
      <c r="L9890" s="62">
        <f t="shared" si="2"/>
        <v>0</v>
      </c>
    </row>
    <row r="9891">
      <c r="A9891" s="58">
        <v>45170.0</v>
      </c>
      <c r="B9891" s="24" t="s">
        <v>6787</v>
      </c>
      <c r="C9891" s="24" t="s">
        <v>6822</v>
      </c>
      <c r="D9891" s="59">
        <v>15.0</v>
      </c>
      <c r="E9891" s="59">
        <v>28.0</v>
      </c>
      <c r="F9891" s="59">
        <v>10.0</v>
      </c>
      <c r="G9891" s="60">
        <v>1.86666666666666</v>
      </c>
      <c r="H9891" s="60">
        <v>0.0357142857142857</v>
      </c>
      <c r="I9891" s="60">
        <v>289.773063857142</v>
      </c>
      <c r="J9891" s="59">
        <v>86.0</v>
      </c>
      <c r="K9891" s="61">
        <f t="shared" si="1"/>
        <v>0.3571428571</v>
      </c>
      <c r="L9891" s="62">
        <f t="shared" si="2"/>
        <v>3.071428571</v>
      </c>
    </row>
    <row r="9892">
      <c r="A9892" s="58">
        <v>45170.0</v>
      </c>
      <c r="B9892" s="24" t="s">
        <v>6787</v>
      </c>
      <c r="C9892" s="24" t="s">
        <v>7068</v>
      </c>
      <c r="D9892" s="59">
        <v>14.0</v>
      </c>
      <c r="E9892" s="59">
        <v>17.0</v>
      </c>
      <c r="F9892" s="59">
        <v>13.0</v>
      </c>
      <c r="G9892" s="60">
        <v>1.21428571428571</v>
      </c>
      <c r="H9892" s="60">
        <v>0.0</v>
      </c>
      <c r="I9892" s="60">
        <v>159.196737882352</v>
      </c>
      <c r="J9892" s="59">
        <v>33.0</v>
      </c>
      <c r="K9892" s="61">
        <f t="shared" si="1"/>
        <v>0.7647058824</v>
      </c>
      <c r="L9892" s="62">
        <f t="shared" si="2"/>
        <v>1.941176471</v>
      </c>
    </row>
    <row r="9893">
      <c r="A9893" s="58">
        <v>45170.0</v>
      </c>
      <c r="B9893" s="24" t="s">
        <v>6787</v>
      </c>
      <c r="C9893" s="24" t="s">
        <v>6802</v>
      </c>
      <c r="D9893" s="59">
        <v>14.0</v>
      </c>
      <c r="E9893" s="59">
        <v>14.0</v>
      </c>
      <c r="F9893" s="59">
        <v>12.0</v>
      </c>
      <c r="G9893" s="60">
        <v>1.0</v>
      </c>
      <c r="H9893" s="60">
        <v>0.0714285714285714</v>
      </c>
      <c r="I9893" s="60">
        <v>72.0955137857142</v>
      </c>
      <c r="J9893" s="59">
        <v>45.0</v>
      </c>
      <c r="K9893" s="61">
        <f t="shared" si="1"/>
        <v>0.8571428571</v>
      </c>
      <c r="L9893" s="62">
        <f t="shared" si="2"/>
        <v>3.214285714</v>
      </c>
    </row>
    <row r="9894">
      <c r="A9894" s="58">
        <v>45170.0</v>
      </c>
      <c r="B9894" s="24" t="s">
        <v>6789</v>
      </c>
      <c r="C9894" s="24" t="s">
        <v>6835</v>
      </c>
      <c r="D9894" s="59">
        <v>13.0</v>
      </c>
      <c r="E9894" s="59">
        <v>15.0</v>
      </c>
      <c r="F9894" s="59">
        <v>12.0</v>
      </c>
      <c r="G9894" s="60">
        <v>1.15384615384615</v>
      </c>
      <c r="H9894" s="60">
        <v>0.0</v>
      </c>
      <c r="I9894" s="60">
        <v>261.663660133333</v>
      </c>
      <c r="J9894" s="59">
        <v>35.0</v>
      </c>
      <c r="K9894" s="61">
        <f t="shared" si="1"/>
        <v>0.8</v>
      </c>
      <c r="L9894" s="62">
        <f t="shared" si="2"/>
        <v>2.333333333</v>
      </c>
    </row>
    <row r="9895">
      <c r="A9895" s="58">
        <v>45170.0</v>
      </c>
      <c r="B9895" s="24" t="s">
        <v>6789</v>
      </c>
      <c r="C9895" s="24" t="s">
        <v>7034</v>
      </c>
      <c r="D9895" s="59">
        <v>12.0</v>
      </c>
      <c r="E9895" s="59">
        <v>24.0</v>
      </c>
      <c r="F9895" s="59">
        <v>1.0</v>
      </c>
      <c r="G9895" s="60">
        <v>2.0</v>
      </c>
      <c r="H9895" s="60">
        <v>0.0</v>
      </c>
      <c r="I9895" s="60">
        <v>224.73013625</v>
      </c>
      <c r="J9895" s="59">
        <v>96.0</v>
      </c>
      <c r="K9895" s="61">
        <f t="shared" si="1"/>
        <v>0.04166666667</v>
      </c>
      <c r="L9895" s="62">
        <f t="shared" si="2"/>
        <v>4</v>
      </c>
    </row>
    <row r="9896">
      <c r="A9896" s="58">
        <v>45170.0</v>
      </c>
      <c r="B9896" s="24" t="s">
        <v>6787</v>
      </c>
      <c r="C9896" s="24" t="s">
        <v>6800</v>
      </c>
      <c r="D9896" s="59">
        <v>12.0</v>
      </c>
      <c r="E9896" s="59">
        <v>12.0</v>
      </c>
      <c r="F9896" s="59">
        <v>12.0</v>
      </c>
      <c r="G9896" s="60">
        <v>1.0</v>
      </c>
      <c r="H9896" s="60">
        <v>0.0833333333333333</v>
      </c>
      <c r="I9896" s="60">
        <v>348.85045375</v>
      </c>
      <c r="J9896" s="59">
        <v>59.0</v>
      </c>
      <c r="K9896" s="61">
        <f t="shared" si="1"/>
        <v>1</v>
      </c>
      <c r="L9896" s="62">
        <f t="shared" si="2"/>
        <v>4.916666667</v>
      </c>
    </row>
    <row r="9897">
      <c r="A9897" s="58">
        <v>45170.0</v>
      </c>
      <c r="B9897" s="24" t="s">
        <v>6789</v>
      </c>
      <c r="C9897" s="24" t="s">
        <v>6990</v>
      </c>
      <c r="D9897" s="59">
        <v>11.0</v>
      </c>
      <c r="E9897" s="59">
        <v>11.0</v>
      </c>
      <c r="F9897" s="59">
        <v>10.0</v>
      </c>
      <c r="G9897" s="60">
        <v>1.0</v>
      </c>
      <c r="H9897" s="60">
        <v>0.0</v>
      </c>
      <c r="I9897" s="60">
        <v>283.828780727272</v>
      </c>
      <c r="J9897" s="59">
        <v>30.0</v>
      </c>
      <c r="K9897" s="61">
        <f t="shared" si="1"/>
        <v>0.9090909091</v>
      </c>
      <c r="L9897" s="62">
        <f t="shared" si="2"/>
        <v>2.727272727</v>
      </c>
    </row>
    <row r="9898">
      <c r="A9898" s="58">
        <v>45170.0</v>
      </c>
      <c r="B9898" s="24" t="s">
        <v>6787</v>
      </c>
      <c r="C9898" s="24" t="s">
        <v>7598</v>
      </c>
      <c r="D9898" s="59">
        <v>11.0</v>
      </c>
      <c r="E9898" s="59">
        <v>11.0</v>
      </c>
      <c r="F9898" s="59">
        <v>11.0</v>
      </c>
      <c r="G9898" s="60">
        <v>1.0</v>
      </c>
      <c r="H9898" s="60">
        <v>0.0</v>
      </c>
      <c r="I9898" s="60">
        <v>12.5272882727272</v>
      </c>
      <c r="J9898" s="59">
        <v>22.0</v>
      </c>
      <c r="K9898" s="61">
        <f t="shared" si="1"/>
        <v>1</v>
      </c>
      <c r="L9898" s="62">
        <f t="shared" si="2"/>
        <v>2</v>
      </c>
    </row>
    <row r="9899">
      <c r="A9899" s="58">
        <v>45170.0</v>
      </c>
      <c r="B9899" s="24" t="s">
        <v>6791</v>
      </c>
      <c r="C9899" s="24" t="s">
        <v>7261</v>
      </c>
      <c r="D9899" s="59">
        <v>11.0</v>
      </c>
      <c r="E9899" s="59">
        <v>13.0</v>
      </c>
      <c r="F9899" s="59">
        <v>12.0</v>
      </c>
      <c r="G9899" s="60">
        <v>1.18181818181818</v>
      </c>
      <c r="H9899" s="60">
        <v>0.0</v>
      </c>
      <c r="I9899" s="60">
        <v>220.064691307692</v>
      </c>
      <c r="J9899" s="59">
        <v>50.0</v>
      </c>
      <c r="K9899" s="61">
        <f t="shared" si="1"/>
        <v>0.9230769231</v>
      </c>
      <c r="L9899" s="62">
        <f t="shared" si="2"/>
        <v>3.846153846</v>
      </c>
    </row>
    <row r="9900">
      <c r="A9900" s="58">
        <v>45170.0</v>
      </c>
      <c r="B9900" s="24" t="s">
        <v>6789</v>
      </c>
      <c r="C9900" s="24" t="s">
        <v>6819</v>
      </c>
      <c r="D9900" s="59">
        <v>10.0</v>
      </c>
      <c r="E9900" s="59">
        <v>11.0</v>
      </c>
      <c r="F9900" s="59">
        <v>8.0</v>
      </c>
      <c r="G9900" s="60">
        <v>1.1</v>
      </c>
      <c r="H9900" s="60">
        <v>0.0</v>
      </c>
      <c r="I9900" s="60">
        <v>191.794012</v>
      </c>
      <c r="J9900" s="59">
        <v>28.0</v>
      </c>
      <c r="K9900" s="61">
        <f t="shared" si="1"/>
        <v>0.7272727273</v>
      </c>
      <c r="L9900" s="62">
        <f t="shared" si="2"/>
        <v>2.545454545</v>
      </c>
    </row>
    <row r="9901">
      <c r="A9901" s="58">
        <v>45170.0</v>
      </c>
      <c r="B9901" s="24" t="s">
        <v>6789</v>
      </c>
      <c r="C9901" s="24" t="s">
        <v>6997</v>
      </c>
      <c r="D9901" s="59">
        <v>10.0</v>
      </c>
      <c r="E9901" s="59">
        <v>11.0</v>
      </c>
      <c r="F9901" s="59">
        <v>7.0</v>
      </c>
      <c r="G9901" s="60">
        <v>1.1</v>
      </c>
      <c r="H9901" s="60">
        <v>0.0</v>
      </c>
      <c r="I9901" s="60">
        <v>434.591700363636</v>
      </c>
      <c r="J9901" s="59">
        <v>59.0</v>
      </c>
      <c r="K9901" s="61">
        <f t="shared" si="1"/>
        <v>0.6363636364</v>
      </c>
      <c r="L9901" s="62">
        <f t="shared" si="2"/>
        <v>5.363636364</v>
      </c>
    </row>
    <row r="9902">
      <c r="A9902" s="58">
        <v>45170.0</v>
      </c>
      <c r="B9902" s="24" t="s">
        <v>6789</v>
      </c>
      <c r="C9902" s="24" t="s">
        <v>6808</v>
      </c>
      <c r="D9902" s="59">
        <v>10.0</v>
      </c>
      <c r="E9902" s="59">
        <v>13.0</v>
      </c>
      <c r="F9902" s="59">
        <v>3.0</v>
      </c>
      <c r="G9902" s="60">
        <v>1.3</v>
      </c>
      <c r="H9902" s="60">
        <v>0.0</v>
      </c>
      <c r="I9902" s="60">
        <v>81.155152076923</v>
      </c>
      <c r="J9902" s="59">
        <v>33.0</v>
      </c>
      <c r="K9902" s="61">
        <f t="shared" si="1"/>
        <v>0.2307692308</v>
      </c>
      <c r="L9902" s="62">
        <f t="shared" si="2"/>
        <v>2.538461538</v>
      </c>
    </row>
    <row r="9903">
      <c r="A9903" s="58">
        <v>45170.0</v>
      </c>
      <c r="B9903" s="24" t="s">
        <v>6789</v>
      </c>
      <c r="C9903" s="24" t="s">
        <v>6800</v>
      </c>
      <c r="D9903" s="59">
        <v>10.0</v>
      </c>
      <c r="E9903" s="59">
        <v>18.0</v>
      </c>
      <c r="F9903" s="59">
        <v>5.0</v>
      </c>
      <c r="G9903" s="60">
        <v>1.8</v>
      </c>
      <c r="H9903" s="60">
        <v>0.0</v>
      </c>
      <c r="I9903" s="60">
        <v>151.807168666666</v>
      </c>
      <c r="J9903" s="59">
        <v>50.0</v>
      </c>
      <c r="K9903" s="61">
        <f t="shared" si="1"/>
        <v>0.2777777778</v>
      </c>
      <c r="L9903" s="62">
        <f t="shared" si="2"/>
        <v>2.777777778</v>
      </c>
    </row>
    <row r="9904">
      <c r="A9904" s="58">
        <v>45170.0</v>
      </c>
      <c r="B9904" s="24" t="s">
        <v>6790</v>
      </c>
      <c r="C9904" s="24" t="s">
        <v>6815</v>
      </c>
      <c r="D9904" s="59">
        <v>10.0</v>
      </c>
      <c r="E9904" s="59">
        <v>11.0</v>
      </c>
      <c r="F9904" s="59">
        <v>7.0</v>
      </c>
      <c r="G9904" s="60">
        <v>1.1</v>
      </c>
      <c r="H9904" s="60">
        <v>0.0</v>
      </c>
      <c r="I9904" s="60">
        <v>216.459490363636</v>
      </c>
      <c r="J9904" s="59">
        <v>27.0</v>
      </c>
      <c r="K9904" s="61">
        <f t="shared" si="1"/>
        <v>0.6363636364</v>
      </c>
      <c r="L9904" s="62">
        <f t="shared" si="2"/>
        <v>2.454545455</v>
      </c>
    </row>
    <row r="9905">
      <c r="A9905" s="58">
        <v>45170.0</v>
      </c>
      <c r="B9905" s="24" t="s">
        <v>6787</v>
      </c>
      <c r="C9905" s="24" t="s">
        <v>6799</v>
      </c>
      <c r="D9905" s="59">
        <v>9.0</v>
      </c>
      <c r="E9905" s="59">
        <v>9.0</v>
      </c>
      <c r="F9905" s="59">
        <v>8.0</v>
      </c>
      <c r="G9905" s="60">
        <v>1.0</v>
      </c>
      <c r="H9905" s="60">
        <v>0.111111111111111</v>
      </c>
      <c r="I9905" s="60">
        <v>17.5324841111111</v>
      </c>
      <c r="J9905" s="59">
        <v>23.0</v>
      </c>
      <c r="K9905" s="61">
        <f t="shared" si="1"/>
        <v>0.8888888889</v>
      </c>
      <c r="L9905" s="62">
        <f t="shared" si="2"/>
        <v>2.555555556</v>
      </c>
    </row>
    <row r="9906">
      <c r="A9906" s="58">
        <v>45170.0</v>
      </c>
      <c r="B9906" s="24" t="s">
        <v>155</v>
      </c>
      <c r="C9906" s="24" t="s">
        <v>6800</v>
      </c>
      <c r="D9906" s="59">
        <v>9.0</v>
      </c>
      <c r="E9906" s="59">
        <v>9.0</v>
      </c>
      <c r="F9906" s="59">
        <v>9.0</v>
      </c>
      <c r="G9906" s="60">
        <v>1.0</v>
      </c>
      <c r="H9906" s="60">
        <v>0.0</v>
      </c>
      <c r="I9906" s="60">
        <v>66.9042307777777</v>
      </c>
      <c r="J9906" s="59">
        <v>34.0</v>
      </c>
      <c r="K9906" s="61">
        <f t="shared" si="1"/>
        <v>1</v>
      </c>
      <c r="L9906" s="62">
        <f t="shared" si="2"/>
        <v>3.777777778</v>
      </c>
    </row>
    <row r="9907">
      <c r="A9907" s="58">
        <v>45170.0</v>
      </c>
      <c r="B9907" s="24" t="s">
        <v>6787</v>
      </c>
      <c r="C9907" s="24" t="s">
        <v>6886</v>
      </c>
      <c r="D9907" s="59">
        <v>8.0</v>
      </c>
      <c r="E9907" s="59">
        <v>8.0</v>
      </c>
      <c r="F9907" s="59">
        <v>8.0</v>
      </c>
      <c r="G9907" s="60">
        <v>1.0</v>
      </c>
      <c r="H9907" s="60">
        <v>0.0</v>
      </c>
      <c r="I9907" s="60">
        <v>25.419974125</v>
      </c>
      <c r="J9907" s="59">
        <v>42.0</v>
      </c>
      <c r="K9907" s="61">
        <f t="shared" si="1"/>
        <v>1</v>
      </c>
      <c r="L9907" s="62">
        <f t="shared" si="2"/>
        <v>5.25</v>
      </c>
    </row>
    <row r="9908">
      <c r="A9908" s="58">
        <v>45170.0</v>
      </c>
      <c r="B9908" s="24" t="s">
        <v>6789</v>
      </c>
      <c r="C9908" s="24" t="s">
        <v>7027</v>
      </c>
      <c r="D9908" s="59">
        <v>8.0</v>
      </c>
      <c r="E9908" s="59">
        <v>8.0</v>
      </c>
      <c r="F9908" s="59">
        <v>6.0</v>
      </c>
      <c r="G9908" s="60">
        <v>1.0</v>
      </c>
      <c r="H9908" s="60">
        <v>0.0</v>
      </c>
      <c r="I9908" s="60">
        <v>91.5202739999999</v>
      </c>
      <c r="J9908" s="59">
        <v>17.0</v>
      </c>
      <c r="K9908" s="61">
        <f t="shared" si="1"/>
        <v>0.75</v>
      </c>
      <c r="L9908" s="62">
        <f t="shared" si="2"/>
        <v>2.125</v>
      </c>
    </row>
    <row r="9909">
      <c r="A9909" s="58">
        <v>45170.0</v>
      </c>
      <c r="B9909" s="24" t="s">
        <v>6789</v>
      </c>
      <c r="C9909" s="24" t="s">
        <v>7180</v>
      </c>
      <c r="D9909" s="59">
        <v>8.0</v>
      </c>
      <c r="E9909" s="59">
        <v>9.0</v>
      </c>
      <c r="F9909" s="59">
        <v>6.0</v>
      </c>
      <c r="G9909" s="60">
        <v>1.125</v>
      </c>
      <c r="H9909" s="60">
        <v>0.0</v>
      </c>
      <c r="I9909" s="60">
        <v>406.114889</v>
      </c>
      <c r="J9909" s="59">
        <v>49.0</v>
      </c>
      <c r="K9909" s="61">
        <f t="shared" si="1"/>
        <v>0.6666666667</v>
      </c>
      <c r="L9909" s="62">
        <f t="shared" si="2"/>
        <v>5.444444444</v>
      </c>
    </row>
    <row r="9910">
      <c r="A9910" s="58">
        <v>45170.0</v>
      </c>
      <c r="B9910" s="24" t="s">
        <v>6789</v>
      </c>
      <c r="C9910" s="24" t="s">
        <v>6802</v>
      </c>
      <c r="D9910" s="59">
        <v>8.0</v>
      </c>
      <c r="E9910" s="59">
        <v>8.0</v>
      </c>
      <c r="F9910" s="59">
        <v>2.0</v>
      </c>
      <c r="G9910" s="60">
        <v>1.0</v>
      </c>
      <c r="H9910" s="60">
        <v>0.0</v>
      </c>
      <c r="I9910" s="60">
        <v>39.85275725</v>
      </c>
      <c r="J9910" s="59">
        <v>18.0</v>
      </c>
      <c r="K9910" s="61">
        <f t="shared" si="1"/>
        <v>0.25</v>
      </c>
      <c r="L9910" s="62">
        <f t="shared" si="2"/>
        <v>2.25</v>
      </c>
    </row>
    <row r="9911">
      <c r="A9911" s="58">
        <v>45170.0</v>
      </c>
      <c r="B9911" s="24" t="s">
        <v>6787</v>
      </c>
      <c r="C9911" s="24" t="s">
        <v>6803</v>
      </c>
      <c r="D9911" s="59">
        <v>7.0</v>
      </c>
      <c r="E9911" s="59">
        <v>8.0</v>
      </c>
      <c r="F9911" s="59">
        <v>7.0</v>
      </c>
      <c r="G9911" s="60">
        <v>1.14285714285714</v>
      </c>
      <c r="H9911" s="60">
        <v>0.0</v>
      </c>
      <c r="I9911" s="60">
        <v>37.968074</v>
      </c>
      <c r="J9911" s="59">
        <v>18.0</v>
      </c>
      <c r="K9911" s="61">
        <f t="shared" si="1"/>
        <v>0.875</v>
      </c>
      <c r="L9911" s="62">
        <f t="shared" si="2"/>
        <v>2.25</v>
      </c>
    </row>
    <row r="9912">
      <c r="A9912" s="58">
        <v>45170.0</v>
      </c>
      <c r="B9912" s="24" t="s">
        <v>6787</v>
      </c>
      <c r="C9912" s="24" t="s">
        <v>7172</v>
      </c>
      <c r="D9912" s="59">
        <v>7.0</v>
      </c>
      <c r="E9912" s="59">
        <v>7.0</v>
      </c>
      <c r="F9912" s="59">
        <v>7.0</v>
      </c>
      <c r="G9912" s="60">
        <v>1.0</v>
      </c>
      <c r="H9912" s="60">
        <v>0.0</v>
      </c>
      <c r="I9912" s="60">
        <v>3.41359628571428</v>
      </c>
      <c r="J9912" s="59">
        <v>14.0</v>
      </c>
      <c r="K9912" s="61">
        <f t="shared" si="1"/>
        <v>1</v>
      </c>
      <c r="L9912" s="62">
        <f t="shared" si="2"/>
        <v>2</v>
      </c>
    </row>
    <row r="9913">
      <c r="A9913" s="58">
        <v>45170.0</v>
      </c>
      <c r="B9913" s="24" t="s">
        <v>6789</v>
      </c>
      <c r="C9913" s="24" t="s">
        <v>6910</v>
      </c>
      <c r="D9913" s="59">
        <v>7.0</v>
      </c>
      <c r="E9913" s="59">
        <v>11.0</v>
      </c>
      <c r="F9913" s="59">
        <v>4.0</v>
      </c>
      <c r="G9913" s="60">
        <v>1.57142857142857</v>
      </c>
      <c r="H9913" s="60">
        <v>0.0</v>
      </c>
      <c r="I9913" s="60">
        <v>214.035328363636</v>
      </c>
      <c r="J9913" s="59">
        <v>41.0</v>
      </c>
      <c r="K9913" s="61">
        <f t="shared" si="1"/>
        <v>0.3636363636</v>
      </c>
      <c r="L9913" s="62">
        <f t="shared" si="2"/>
        <v>3.727272727</v>
      </c>
    </row>
    <row r="9914">
      <c r="A9914" s="58">
        <v>45170.0</v>
      </c>
      <c r="B9914" s="24" t="s">
        <v>6787</v>
      </c>
      <c r="C9914" s="24" t="s">
        <v>7180</v>
      </c>
      <c r="D9914" s="59">
        <v>7.0</v>
      </c>
      <c r="E9914" s="59">
        <v>8.0</v>
      </c>
      <c r="F9914" s="59">
        <v>7.0</v>
      </c>
      <c r="G9914" s="60">
        <v>1.14285714285714</v>
      </c>
      <c r="H9914" s="60">
        <v>0.0</v>
      </c>
      <c r="I9914" s="60">
        <v>59.719518</v>
      </c>
      <c r="J9914" s="59">
        <v>16.0</v>
      </c>
      <c r="K9914" s="61">
        <f t="shared" si="1"/>
        <v>0.875</v>
      </c>
      <c r="L9914" s="62">
        <f t="shared" si="2"/>
        <v>2</v>
      </c>
    </row>
    <row r="9915">
      <c r="A9915" s="58">
        <v>45170.0</v>
      </c>
      <c r="B9915" s="24" t="s">
        <v>155</v>
      </c>
      <c r="C9915" s="24" t="s">
        <v>6815</v>
      </c>
      <c r="D9915" s="59">
        <v>7.0</v>
      </c>
      <c r="E9915" s="59">
        <v>7.0</v>
      </c>
      <c r="F9915" s="59">
        <v>6.0</v>
      </c>
      <c r="G9915" s="60">
        <v>1.0</v>
      </c>
      <c r="H9915" s="60">
        <v>0.0</v>
      </c>
      <c r="I9915" s="60">
        <v>513.602257571428</v>
      </c>
      <c r="J9915" s="59">
        <v>37.0</v>
      </c>
      <c r="K9915" s="61">
        <f t="shared" si="1"/>
        <v>0.8571428571</v>
      </c>
      <c r="L9915" s="62">
        <f t="shared" si="2"/>
        <v>5.285714286</v>
      </c>
    </row>
    <row r="9916">
      <c r="A9916" s="58">
        <v>45170.0</v>
      </c>
      <c r="B9916" s="24" t="s">
        <v>7100</v>
      </c>
      <c r="C9916" s="24" t="s">
        <v>6802</v>
      </c>
      <c r="D9916" s="59">
        <v>7.0</v>
      </c>
      <c r="E9916" s="59">
        <v>7.0</v>
      </c>
      <c r="F9916" s="59">
        <v>7.0</v>
      </c>
      <c r="G9916" s="60">
        <v>1.0</v>
      </c>
      <c r="H9916" s="60">
        <v>0.0</v>
      </c>
      <c r="I9916" s="60">
        <v>11.4856319999999</v>
      </c>
      <c r="J9916" s="59">
        <v>16.0</v>
      </c>
      <c r="K9916" s="61">
        <f t="shared" si="1"/>
        <v>1</v>
      </c>
      <c r="L9916" s="62">
        <f t="shared" si="2"/>
        <v>2.285714286</v>
      </c>
    </row>
    <row r="9917">
      <c r="A9917" s="58">
        <v>45170.0</v>
      </c>
      <c r="B9917" s="24" t="s">
        <v>6789</v>
      </c>
      <c r="C9917" s="24" t="s">
        <v>7058</v>
      </c>
      <c r="D9917" s="59">
        <v>6.0</v>
      </c>
      <c r="E9917" s="59">
        <v>6.0</v>
      </c>
      <c r="F9917" s="59">
        <v>5.0</v>
      </c>
      <c r="G9917" s="60">
        <v>1.0</v>
      </c>
      <c r="H9917" s="60">
        <v>0.0</v>
      </c>
      <c r="I9917" s="60">
        <v>26.8522541666666</v>
      </c>
      <c r="J9917" s="59">
        <v>12.0</v>
      </c>
      <c r="K9917" s="61">
        <f t="shared" si="1"/>
        <v>0.8333333333</v>
      </c>
      <c r="L9917" s="62">
        <f t="shared" si="2"/>
        <v>2</v>
      </c>
    </row>
    <row r="9918">
      <c r="A9918" s="58">
        <v>45170.0</v>
      </c>
      <c r="B9918" s="24" t="s">
        <v>6794</v>
      </c>
      <c r="C9918" s="24" t="s">
        <v>7608</v>
      </c>
      <c r="D9918" s="59">
        <v>6.0</v>
      </c>
      <c r="E9918" s="59">
        <v>6.0</v>
      </c>
      <c r="F9918" s="59">
        <v>4.0</v>
      </c>
      <c r="G9918" s="60">
        <v>1.0</v>
      </c>
      <c r="H9918" s="60">
        <v>0.0</v>
      </c>
      <c r="I9918" s="60">
        <v>320.426537666666</v>
      </c>
      <c r="J9918" s="59">
        <v>15.0</v>
      </c>
      <c r="K9918" s="61">
        <f t="shared" si="1"/>
        <v>0.6666666667</v>
      </c>
      <c r="L9918" s="62">
        <f t="shared" si="2"/>
        <v>2.5</v>
      </c>
    </row>
    <row r="9919">
      <c r="A9919" s="58">
        <v>45170.0</v>
      </c>
      <c r="B9919" s="24" t="s">
        <v>6787</v>
      </c>
      <c r="C9919" s="24" t="s">
        <v>7192</v>
      </c>
      <c r="D9919" s="59">
        <v>6.0</v>
      </c>
      <c r="E9919" s="59">
        <v>6.0</v>
      </c>
      <c r="F9919" s="59">
        <v>5.0</v>
      </c>
      <c r="G9919" s="60">
        <v>1.0</v>
      </c>
      <c r="H9919" s="60">
        <v>0.0</v>
      </c>
      <c r="I9919" s="60">
        <v>207.429449333333</v>
      </c>
      <c r="J9919" s="59">
        <v>27.0</v>
      </c>
      <c r="K9919" s="61">
        <f t="shared" si="1"/>
        <v>0.8333333333</v>
      </c>
      <c r="L9919" s="62">
        <f t="shared" si="2"/>
        <v>4.5</v>
      </c>
    </row>
    <row r="9920">
      <c r="A9920" s="58">
        <v>45170.0</v>
      </c>
      <c r="B9920" s="24" t="s">
        <v>6789</v>
      </c>
      <c r="C9920" s="24" t="s">
        <v>6810</v>
      </c>
      <c r="D9920" s="59">
        <v>6.0</v>
      </c>
      <c r="E9920" s="59">
        <v>8.0</v>
      </c>
      <c r="F9920" s="59">
        <v>4.0</v>
      </c>
      <c r="G9920" s="60">
        <v>1.33333333333333</v>
      </c>
      <c r="H9920" s="60">
        <v>0.0</v>
      </c>
      <c r="I9920" s="60">
        <v>195.4324715</v>
      </c>
      <c r="J9920" s="59">
        <v>24.0</v>
      </c>
      <c r="K9920" s="61">
        <f t="shared" si="1"/>
        <v>0.5</v>
      </c>
      <c r="L9920" s="62">
        <f t="shared" si="2"/>
        <v>3</v>
      </c>
    </row>
    <row r="9921">
      <c r="A9921" s="58">
        <v>45170.0</v>
      </c>
      <c r="B9921" s="24" t="s">
        <v>6791</v>
      </c>
      <c r="C9921" s="24" t="s">
        <v>6802</v>
      </c>
      <c r="D9921" s="59">
        <v>6.0</v>
      </c>
      <c r="E9921" s="59">
        <v>6.0</v>
      </c>
      <c r="F9921" s="59">
        <v>6.0</v>
      </c>
      <c r="G9921" s="60">
        <v>1.0</v>
      </c>
      <c r="H9921" s="60">
        <v>0.0</v>
      </c>
      <c r="I9921" s="60">
        <v>15.9734008333333</v>
      </c>
      <c r="J9921" s="59">
        <v>15.0</v>
      </c>
      <c r="K9921" s="61">
        <f t="shared" si="1"/>
        <v>1</v>
      </c>
      <c r="L9921" s="62">
        <f t="shared" si="2"/>
        <v>2.5</v>
      </c>
    </row>
    <row r="9922">
      <c r="A9922" s="58">
        <v>45170.0</v>
      </c>
      <c r="B9922" s="24" t="s">
        <v>6787</v>
      </c>
      <c r="C9922" s="24" t="s">
        <v>6817</v>
      </c>
      <c r="D9922" s="59">
        <v>5.0</v>
      </c>
      <c r="E9922" s="59">
        <v>6.0</v>
      </c>
      <c r="F9922" s="59">
        <v>3.0</v>
      </c>
      <c r="G9922" s="60">
        <v>1.2</v>
      </c>
      <c r="H9922" s="60">
        <v>0.0</v>
      </c>
      <c r="I9922" s="60">
        <v>6.42978</v>
      </c>
      <c r="J9922" s="59">
        <v>12.0</v>
      </c>
      <c r="K9922" s="61">
        <f t="shared" si="1"/>
        <v>0.5</v>
      </c>
      <c r="L9922" s="62">
        <f t="shared" si="2"/>
        <v>2</v>
      </c>
    </row>
    <row r="9923">
      <c r="A9923" s="58">
        <v>45170.0</v>
      </c>
      <c r="B9923" s="24" t="s">
        <v>6789</v>
      </c>
      <c r="C9923" s="24" t="s">
        <v>7056</v>
      </c>
      <c r="D9923" s="59">
        <v>5.0</v>
      </c>
      <c r="E9923" s="59">
        <v>9.0</v>
      </c>
      <c r="F9923" s="59">
        <v>0.0</v>
      </c>
      <c r="G9923" s="60">
        <v>1.8</v>
      </c>
      <c r="H9923" s="60">
        <v>0.0</v>
      </c>
      <c r="I9923" s="60">
        <v>323.203993555555</v>
      </c>
      <c r="J9923" s="59">
        <v>37.0</v>
      </c>
      <c r="K9923" s="61">
        <f t="shared" si="1"/>
        <v>0</v>
      </c>
      <c r="L9923" s="62">
        <f t="shared" si="2"/>
        <v>4.111111111</v>
      </c>
    </row>
    <row r="9924">
      <c r="A9924" s="58">
        <v>45170.0</v>
      </c>
      <c r="B9924" s="24" t="s">
        <v>7100</v>
      </c>
      <c r="C9924" s="24" t="s">
        <v>6989</v>
      </c>
      <c r="D9924" s="59">
        <v>5.0</v>
      </c>
      <c r="E9924" s="59">
        <v>5.0</v>
      </c>
      <c r="F9924" s="59">
        <v>5.0</v>
      </c>
      <c r="G9924" s="60">
        <v>1.0</v>
      </c>
      <c r="H9924" s="60">
        <v>0.2</v>
      </c>
      <c r="I9924" s="60">
        <v>3.2028702</v>
      </c>
      <c r="J9924" s="59">
        <v>9.0</v>
      </c>
      <c r="K9924" s="61">
        <f t="shared" si="1"/>
        <v>1</v>
      </c>
      <c r="L9924" s="62">
        <f t="shared" si="2"/>
        <v>1.8</v>
      </c>
    </row>
    <row r="9925">
      <c r="A9925" s="58">
        <v>45170.0</v>
      </c>
      <c r="B9925" s="24" t="s">
        <v>6787</v>
      </c>
      <c r="C9925" s="24" t="s">
        <v>6891</v>
      </c>
      <c r="D9925" s="59">
        <v>5.0</v>
      </c>
      <c r="E9925" s="59">
        <v>13.0</v>
      </c>
      <c r="F9925" s="59">
        <v>0.0</v>
      </c>
      <c r="G9925" s="60">
        <v>2.6</v>
      </c>
      <c r="H9925" s="60">
        <v>0.0</v>
      </c>
      <c r="I9925" s="60">
        <v>271.839176692307</v>
      </c>
      <c r="J9925" s="59">
        <v>42.0</v>
      </c>
      <c r="K9925" s="61">
        <f t="shared" si="1"/>
        <v>0</v>
      </c>
      <c r="L9925" s="62">
        <f t="shared" si="2"/>
        <v>3.230769231</v>
      </c>
    </row>
    <row r="9926">
      <c r="A9926" s="58">
        <v>45170.0</v>
      </c>
      <c r="B9926" s="24" t="s">
        <v>6789</v>
      </c>
      <c r="C9926" s="24" t="s">
        <v>6892</v>
      </c>
      <c r="D9926" s="59">
        <v>5.0</v>
      </c>
      <c r="E9926" s="59">
        <v>7.0</v>
      </c>
      <c r="F9926" s="59">
        <v>4.0</v>
      </c>
      <c r="G9926" s="60">
        <v>1.4</v>
      </c>
      <c r="H9926" s="60">
        <v>0.0</v>
      </c>
      <c r="I9926" s="60">
        <v>117.051774714285</v>
      </c>
      <c r="J9926" s="59">
        <v>16.0</v>
      </c>
      <c r="K9926" s="61">
        <f t="shared" si="1"/>
        <v>0.5714285714</v>
      </c>
      <c r="L9926" s="62">
        <f t="shared" si="2"/>
        <v>2.285714286</v>
      </c>
    </row>
    <row r="9927">
      <c r="A9927" s="58">
        <v>45170.0</v>
      </c>
      <c r="B9927" s="24" t="s">
        <v>6789</v>
      </c>
      <c r="C9927" s="24" t="s">
        <v>7608</v>
      </c>
      <c r="D9927" s="59">
        <v>5.0</v>
      </c>
      <c r="E9927" s="59">
        <v>8.0</v>
      </c>
      <c r="F9927" s="59">
        <v>0.0</v>
      </c>
      <c r="G9927" s="60">
        <v>1.6</v>
      </c>
      <c r="H9927" s="60">
        <v>0.0</v>
      </c>
      <c r="I9927" s="60">
        <v>110.178658249999</v>
      </c>
      <c r="J9927" s="59">
        <v>25.0</v>
      </c>
      <c r="K9927" s="61">
        <f t="shared" si="1"/>
        <v>0</v>
      </c>
      <c r="L9927" s="62">
        <f t="shared" si="2"/>
        <v>3.125</v>
      </c>
    </row>
    <row r="9928">
      <c r="A9928" s="58">
        <v>45170.0</v>
      </c>
      <c r="B9928" s="24" t="s">
        <v>6794</v>
      </c>
      <c r="C9928" s="24" t="s">
        <v>7571</v>
      </c>
      <c r="D9928" s="59">
        <v>5.0</v>
      </c>
      <c r="E9928" s="59">
        <v>5.0</v>
      </c>
      <c r="F9928" s="59">
        <v>3.0</v>
      </c>
      <c r="G9928" s="60">
        <v>1.0</v>
      </c>
      <c r="H9928" s="60">
        <v>0.2</v>
      </c>
      <c r="I9928" s="60">
        <v>80.6430562</v>
      </c>
      <c r="J9928" s="59">
        <v>12.0</v>
      </c>
      <c r="K9928" s="61">
        <f t="shared" si="1"/>
        <v>0.6</v>
      </c>
      <c r="L9928" s="62">
        <f t="shared" si="2"/>
        <v>2.4</v>
      </c>
    </row>
    <row r="9929">
      <c r="A9929" s="58">
        <v>45170.0</v>
      </c>
      <c r="B9929" s="24" t="s">
        <v>6787</v>
      </c>
      <c r="C9929" s="24" t="s">
        <v>7530</v>
      </c>
      <c r="D9929" s="59">
        <v>5.0</v>
      </c>
      <c r="E9929" s="59">
        <v>6.0</v>
      </c>
      <c r="F9929" s="59">
        <v>5.0</v>
      </c>
      <c r="G9929" s="60">
        <v>1.2</v>
      </c>
      <c r="H9929" s="60">
        <v>0.0</v>
      </c>
      <c r="I9929" s="60">
        <v>366.468404166666</v>
      </c>
      <c r="J9929" s="59">
        <v>14.0</v>
      </c>
      <c r="K9929" s="61">
        <f t="shared" si="1"/>
        <v>0.8333333333</v>
      </c>
      <c r="L9929" s="62">
        <f t="shared" si="2"/>
        <v>2.333333333</v>
      </c>
    </row>
    <row r="9930">
      <c r="A9930" s="58">
        <v>45170.0</v>
      </c>
      <c r="B9930" s="24" t="s">
        <v>6791</v>
      </c>
      <c r="C9930" s="24" t="s">
        <v>7554</v>
      </c>
      <c r="D9930" s="59">
        <v>5.0</v>
      </c>
      <c r="E9930" s="59">
        <v>6.0</v>
      </c>
      <c r="F9930" s="59">
        <v>3.0</v>
      </c>
      <c r="G9930" s="60">
        <v>1.2</v>
      </c>
      <c r="H9930" s="60">
        <v>0.0</v>
      </c>
      <c r="I9930" s="60">
        <v>173.786571666666</v>
      </c>
      <c r="J9930" s="59">
        <v>28.0</v>
      </c>
      <c r="K9930" s="61">
        <f t="shared" si="1"/>
        <v>0.5</v>
      </c>
      <c r="L9930" s="62">
        <f t="shared" si="2"/>
        <v>4.666666667</v>
      </c>
    </row>
    <row r="9931">
      <c r="A9931" s="58">
        <v>45170.0</v>
      </c>
      <c r="B9931" s="24" t="s">
        <v>6789</v>
      </c>
      <c r="C9931" s="24" t="s">
        <v>7172</v>
      </c>
      <c r="D9931" s="59">
        <v>5.0</v>
      </c>
      <c r="E9931" s="59">
        <v>9.0</v>
      </c>
      <c r="F9931" s="59">
        <v>0.0</v>
      </c>
      <c r="G9931" s="60">
        <v>1.8</v>
      </c>
      <c r="H9931" s="60">
        <v>0.111111111111111</v>
      </c>
      <c r="I9931" s="60">
        <v>290.036544666666</v>
      </c>
      <c r="J9931" s="59">
        <v>31.0</v>
      </c>
      <c r="K9931" s="61">
        <f t="shared" si="1"/>
        <v>0</v>
      </c>
      <c r="L9931" s="62">
        <f t="shared" si="2"/>
        <v>3.444444444</v>
      </c>
    </row>
    <row r="9932">
      <c r="A9932" s="58">
        <v>45170.0</v>
      </c>
      <c r="B9932" s="24" t="s">
        <v>6789</v>
      </c>
      <c r="C9932" s="24" t="s">
        <v>7313</v>
      </c>
      <c r="D9932" s="59">
        <v>5.0</v>
      </c>
      <c r="E9932" s="59">
        <v>5.0</v>
      </c>
      <c r="F9932" s="59">
        <v>1.0</v>
      </c>
      <c r="G9932" s="60">
        <v>1.0</v>
      </c>
      <c r="H9932" s="60">
        <v>0.0</v>
      </c>
      <c r="I9932" s="60">
        <v>645.5997616</v>
      </c>
      <c r="J9932" s="59">
        <v>24.0</v>
      </c>
      <c r="K9932" s="61">
        <f t="shared" si="1"/>
        <v>0.2</v>
      </c>
      <c r="L9932" s="62">
        <f t="shared" si="2"/>
        <v>4.8</v>
      </c>
    </row>
    <row r="9933">
      <c r="A9933" s="58">
        <v>45170.0</v>
      </c>
      <c r="B9933" s="24" t="s">
        <v>6789</v>
      </c>
      <c r="C9933" s="24" t="s">
        <v>6797</v>
      </c>
      <c r="D9933" s="59">
        <v>5.0</v>
      </c>
      <c r="E9933" s="59">
        <v>7.0</v>
      </c>
      <c r="F9933" s="59">
        <v>2.0</v>
      </c>
      <c r="G9933" s="60">
        <v>1.4</v>
      </c>
      <c r="H9933" s="60">
        <v>0.0</v>
      </c>
      <c r="I9933" s="60">
        <v>418.916185</v>
      </c>
      <c r="J9933" s="59">
        <v>28.0</v>
      </c>
      <c r="K9933" s="61">
        <f t="shared" si="1"/>
        <v>0.2857142857</v>
      </c>
      <c r="L9933" s="62">
        <f t="shared" si="2"/>
        <v>4</v>
      </c>
    </row>
    <row r="9934">
      <c r="A9934" s="58">
        <v>45170.0</v>
      </c>
      <c r="B9934" s="24" t="s">
        <v>6791</v>
      </c>
      <c r="C9934" s="24" t="s">
        <v>6788</v>
      </c>
      <c r="D9934" s="59">
        <v>4.0</v>
      </c>
      <c r="E9934" s="59">
        <v>7.0</v>
      </c>
      <c r="F9934" s="59">
        <v>0.0</v>
      </c>
      <c r="G9934" s="60">
        <v>1.75</v>
      </c>
      <c r="H9934" s="60">
        <v>0.0</v>
      </c>
      <c r="I9934" s="60">
        <v>658.67901</v>
      </c>
      <c r="J9934" s="59">
        <v>22.0</v>
      </c>
      <c r="K9934" s="61">
        <f t="shared" si="1"/>
        <v>0</v>
      </c>
      <c r="L9934" s="62">
        <f t="shared" si="2"/>
        <v>3.142857143</v>
      </c>
    </row>
    <row r="9935">
      <c r="A9935" s="58">
        <v>45170.0</v>
      </c>
      <c r="B9935" s="24" t="s">
        <v>6787</v>
      </c>
      <c r="C9935" s="24" t="s">
        <v>7056</v>
      </c>
      <c r="D9935" s="59">
        <v>4.0</v>
      </c>
      <c r="E9935" s="59">
        <v>4.0</v>
      </c>
      <c r="F9935" s="59">
        <v>3.0</v>
      </c>
      <c r="G9935" s="60">
        <v>1.0</v>
      </c>
      <c r="H9935" s="60">
        <v>0.0</v>
      </c>
      <c r="I9935" s="60">
        <v>18.93641975</v>
      </c>
      <c r="J9935" s="59">
        <v>10.0</v>
      </c>
      <c r="K9935" s="61">
        <f t="shared" si="1"/>
        <v>0.75</v>
      </c>
      <c r="L9935" s="62">
        <f t="shared" si="2"/>
        <v>2.5</v>
      </c>
    </row>
    <row r="9936">
      <c r="A9936" s="58">
        <v>45170.0</v>
      </c>
      <c r="B9936" s="24" t="s">
        <v>6789</v>
      </c>
      <c r="C9936" s="24" t="s">
        <v>7072</v>
      </c>
      <c r="D9936" s="59">
        <v>4.0</v>
      </c>
      <c r="E9936" s="59">
        <v>4.0</v>
      </c>
      <c r="F9936" s="59">
        <v>3.0</v>
      </c>
      <c r="G9936" s="60">
        <v>1.0</v>
      </c>
      <c r="H9936" s="60">
        <v>0.0</v>
      </c>
      <c r="I9936" s="60">
        <v>448.820677</v>
      </c>
      <c r="J9936" s="59">
        <v>8.0</v>
      </c>
      <c r="K9936" s="61">
        <f t="shared" si="1"/>
        <v>0.75</v>
      </c>
      <c r="L9936" s="62">
        <f t="shared" si="2"/>
        <v>2</v>
      </c>
    </row>
    <row r="9937">
      <c r="A9937" s="58">
        <v>45170.0</v>
      </c>
      <c r="B9937" s="24" t="s">
        <v>6794</v>
      </c>
      <c r="C9937" s="24" t="s">
        <v>7034</v>
      </c>
      <c r="D9937" s="59">
        <v>4.0</v>
      </c>
      <c r="E9937" s="59">
        <v>4.0</v>
      </c>
      <c r="F9937" s="59">
        <v>4.0</v>
      </c>
      <c r="G9937" s="60">
        <v>1.0</v>
      </c>
      <c r="H9937" s="60">
        <v>0.0</v>
      </c>
      <c r="I9937" s="60">
        <v>53.746689</v>
      </c>
      <c r="J9937" s="59">
        <v>15.0</v>
      </c>
      <c r="K9937" s="61">
        <f t="shared" si="1"/>
        <v>1</v>
      </c>
      <c r="L9937" s="62">
        <f t="shared" si="2"/>
        <v>3.75</v>
      </c>
    </row>
    <row r="9938">
      <c r="A9938" s="58">
        <v>45170.0</v>
      </c>
      <c r="B9938" s="24" t="s">
        <v>6789</v>
      </c>
      <c r="C9938" s="24" t="s">
        <v>7013</v>
      </c>
      <c r="D9938" s="59">
        <v>4.0</v>
      </c>
      <c r="E9938" s="59">
        <v>4.0</v>
      </c>
      <c r="F9938" s="59">
        <v>3.0</v>
      </c>
      <c r="G9938" s="60">
        <v>1.0</v>
      </c>
      <c r="H9938" s="60">
        <v>0.0</v>
      </c>
      <c r="I9938" s="60">
        <v>441.15159075</v>
      </c>
      <c r="J9938" s="59">
        <v>12.0</v>
      </c>
      <c r="K9938" s="61">
        <f t="shared" si="1"/>
        <v>0.75</v>
      </c>
      <c r="L9938" s="62">
        <f t="shared" si="2"/>
        <v>3</v>
      </c>
    </row>
    <row r="9939">
      <c r="A9939" s="58">
        <v>45170.0</v>
      </c>
      <c r="B9939" s="24" t="s">
        <v>6789</v>
      </c>
      <c r="C9939" s="24" t="s">
        <v>7044</v>
      </c>
      <c r="D9939" s="59">
        <v>4.0</v>
      </c>
      <c r="E9939" s="59">
        <v>4.0</v>
      </c>
      <c r="F9939" s="59">
        <v>1.0</v>
      </c>
      <c r="G9939" s="60">
        <v>1.0</v>
      </c>
      <c r="H9939" s="60">
        <v>0.0</v>
      </c>
      <c r="I9939" s="60">
        <v>580.95227</v>
      </c>
      <c r="J9939" s="59">
        <v>17.0</v>
      </c>
      <c r="K9939" s="61">
        <f t="shared" si="1"/>
        <v>0.25</v>
      </c>
      <c r="L9939" s="62">
        <f t="shared" si="2"/>
        <v>4.25</v>
      </c>
    </row>
    <row r="9940">
      <c r="A9940" s="58">
        <v>45170.0</v>
      </c>
      <c r="B9940" s="24" t="s">
        <v>6787</v>
      </c>
      <c r="C9940" s="24" t="s">
        <v>6910</v>
      </c>
      <c r="D9940" s="59">
        <v>4.0</v>
      </c>
      <c r="E9940" s="59">
        <v>4.0</v>
      </c>
      <c r="F9940" s="59">
        <v>4.0</v>
      </c>
      <c r="G9940" s="60">
        <v>1.0</v>
      </c>
      <c r="H9940" s="60">
        <v>0.0</v>
      </c>
      <c r="I9940" s="60">
        <v>232.87220875</v>
      </c>
      <c r="J9940" s="59">
        <v>10.0</v>
      </c>
      <c r="K9940" s="61">
        <f t="shared" si="1"/>
        <v>1</v>
      </c>
      <c r="L9940" s="62">
        <f t="shared" si="2"/>
        <v>2.5</v>
      </c>
    </row>
    <row r="9941">
      <c r="A9941" s="58">
        <v>45170.0</v>
      </c>
      <c r="B9941" s="24" t="s">
        <v>6789</v>
      </c>
      <c r="C9941" s="24" t="s">
        <v>7102</v>
      </c>
      <c r="D9941" s="59">
        <v>4.0</v>
      </c>
      <c r="E9941" s="59">
        <v>4.0</v>
      </c>
      <c r="F9941" s="59">
        <v>3.0</v>
      </c>
      <c r="G9941" s="60">
        <v>1.0</v>
      </c>
      <c r="H9941" s="60">
        <v>0.0</v>
      </c>
      <c r="I9941" s="60">
        <v>349.51083075</v>
      </c>
      <c r="J9941" s="59">
        <v>41.0</v>
      </c>
      <c r="K9941" s="61">
        <f t="shared" si="1"/>
        <v>0.75</v>
      </c>
      <c r="L9941" s="62">
        <f t="shared" si="2"/>
        <v>10.25</v>
      </c>
    </row>
    <row r="9942">
      <c r="A9942" s="58">
        <v>45170.0</v>
      </c>
      <c r="B9942" s="24" t="s">
        <v>6789</v>
      </c>
      <c r="C9942" s="24" t="s">
        <v>7192</v>
      </c>
      <c r="D9942" s="59">
        <v>4.0</v>
      </c>
      <c r="E9942" s="59">
        <v>4.0</v>
      </c>
      <c r="F9942" s="59">
        <v>0.0</v>
      </c>
      <c r="G9942" s="60">
        <v>1.0</v>
      </c>
      <c r="H9942" s="60">
        <v>0.0</v>
      </c>
      <c r="I9942" s="60">
        <v>50.4287865</v>
      </c>
      <c r="J9942" s="59">
        <v>12.0</v>
      </c>
      <c r="K9942" s="61">
        <f t="shared" si="1"/>
        <v>0</v>
      </c>
      <c r="L9942" s="62">
        <f t="shared" si="2"/>
        <v>3</v>
      </c>
    </row>
    <row r="9943">
      <c r="A9943" s="58">
        <v>45170.0</v>
      </c>
      <c r="B9943" s="24" t="s">
        <v>6787</v>
      </c>
      <c r="C9943" s="24" t="s">
        <v>7027</v>
      </c>
      <c r="D9943" s="59">
        <v>4.0</v>
      </c>
      <c r="E9943" s="59">
        <v>4.0</v>
      </c>
      <c r="F9943" s="59">
        <v>4.0</v>
      </c>
      <c r="G9943" s="60">
        <v>1.0</v>
      </c>
      <c r="H9943" s="60">
        <v>0.0</v>
      </c>
      <c r="I9943" s="60">
        <v>3.8707045</v>
      </c>
      <c r="J9943" s="59">
        <v>8.0</v>
      </c>
      <c r="K9943" s="61">
        <f t="shared" si="1"/>
        <v>1</v>
      </c>
      <c r="L9943" s="62">
        <f t="shared" si="2"/>
        <v>2</v>
      </c>
    </row>
    <row r="9944">
      <c r="A9944" s="58">
        <v>45170.0</v>
      </c>
      <c r="B9944" s="24" t="s">
        <v>6787</v>
      </c>
      <c r="C9944" s="24" t="s">
        <v>6922</v>
      </c>
      <c r="D9944" s="59">
        <v>4.0</v>
      </c>
      <c r="E9944" s="59">
        <v>4.0</v>
      </c>
      <c r="F9944" s="59">
        <v>3.0</v>
      </c>
      <c r="G9944" s="60">
        <v>1.0</v>
      </c>
      <c r="H9944" s="60">
        <v>0.0</v>
      </c>
      <c r="I9944" s="60">
        <v>114.0942235</v>
      </c>
      <c r="J9944" s="59">
        <v>8.0</v>
      </c>
      <c r="K9944" s="61">
        <f t="shared" si="1"/>
        <v>0.75</v>
      </c>
      <c r="L9944" s="62">
        <f t="shared" si="2"/>
        <v>2</v>
      </c>
    </row>
    <row r="9945">
      <c r="A9945" s="58">
        <v>45170.0</v>
      </c>
      <c r="B9945" s="24" t="s">
        <v>6787</v>
      </c>
      <c r="C9945" s="24" t="s">
        <v>6931</v>
      </c>
      <c r="D9945" s="59">
        <v>4.0</v>
      </c>
      <c r="E9945" s="59">
        <v>5.0</v>
      </c>
      <c r="F9945" s="59">
        <v>3.0</v>
      </c>
      <c r="G9945" s="60">
        <v>1.25</v>
      </c>
      <c r="H9945" s="60">
        <v>0.0</v>
      </c>
      <c r="I9945" s="60">
        <v>184.4401198</v>
      </c>
      <c r="J9945" s="59">
        <v>16.0</v>
      </c>
      <c r="K9945" s="61">
        <f t="shared" si="1"/>
        <v>0.6</v>
      </c>
      <c r="L9945" s="62">
        <f t="shared" si="2"/>
        <v>3.2</v>
      </c>
    </row>
    <row r="9946">
      <c r="A9946" s="58">
        <v>45170.0</v>
      </c>
      <c r="B9946" s="24" t="s">
        <v>3216</v>
      </c>
      <c r="C9946" s="24" t="s">
        <v>6788</v>
      </c>
      <c r="D9946" s="59">
        <v>3.0</v>
      </c>
      <c r="E9946" s="59">
        <v>5.0</v>
      </c>
      <c r="F9946" s="59">
        <v>0.0</v>
      </c>
      <c r="G9946" s="60">
        <v>1.66666666666666</v>
      </c>
      <c r="H9946" s="60">
        <v>0.0</v>
      </c>
      <c r="I9946" s="60">
        <v>131.3681226</v>
      </c>
      <c r="J9946" s="59">
        <v>12.0</v>
      </c>
      <c r="K9946" s="61">
        <f t="shared" si="1"/>
        <v>0</v>
      </c>
      <c r="L9946" s="62">
        <f t="shared" si="2"/>
        <v>2.4</v>
      </c>
    </row>
    <row r="9947">
      <c r="A9947" s="58">
        <v>45170.0</v>
      </c>
      <c r="B9947" s="24" t="s">
        <v>6794</v>
      </c>
      <c r="C9947" s="24" t="s">
        <v>6803</v>
      </c>
      <c r="D9947" s="59">
        <v>3.0</v>
      </c>
      <c r="E9947" s="59">
        <v>3.0</v>
      </c>
      <c r="F9947" s="59">
        <v>1.0</v>
      </c>
      <c r="G9947" s="60">
        <v>1.0</v>
      </c>
      <c r="H9947" s="60">
        <v>0.0</v>
      </c>
      <c r="I9947" s="60">
        <v>170.357940999999</v>
      </c>
      <c r="J9947" s="59">
        <v>5.0</v>
      </c>
      <c r="K9947" s="61">
        <f t="shared" si="1"/>
        <v>0.3333333333</v>
      </c>
      <c r="L9947" s="62">
        <f t="shared" si="2"/>
        <v>1.666666667</v>
      </c>
    </row>
    <row r="9948">
      <c r="A9948" s="58">
        <v>45170.0</v>
      </c>
      <c r="B9948" s="24" t="s">
        <v>6789</v>
      </c>
      <c r="C9948" s="24" t="s">
        <v>6953</v>
      </c>
      <c r="D9948" s="59">
        <v>3.0</v>
      </c>
      <c r="E9948" s="59">
        <v>3.0</v>
      </c>
      <c r="F9948" s="59">
        <v>3.0</v>
      </c>
      <c r="G9948" s="60">
        <v>1.0</v>
      </c>
      <c r="H9948" s="60">
        <v>0.0</v>
      </c>
      <c r="I9948" s="60">
        <v>648.234515333333</v>
      </c>
      <c r="J9948" s="59">
        <v>6.0</v>
      </c>
      <c r="K9948" s="61">
        <f t="shared" si="1"/>
        <v>1</v>
      </c>
      <c r="L9948" s="62">
        <f t="shared" si="2"/>
        <v>2</v>
      </c>
    </row>
    <row r="9949">
      <c r="A9949" s="58">
        <v>45170.0</v>
      </c>
      <c r="B9949" s="24" t="s">
        <v>6789</v>
      </c>
      <c r="C9949" s="24" t="s">
        <v>7057</v>
      </c>
      <c r="D9949" s="59">
        <v>3.0</v>
      </c>
      <c r="E9949" s="59">
        <v>7.0</v>
      </c>
      <c r="F9949" s="59">
        <v>2.0</v>
      </c>
      <c r="G9949" s="60">
        <v>2.33333333333333</v>
      </c>
      <c r="H9949" s="60">
        <v>0.0</v>
      </c>
      <c r="I9949" s="60">
        <v>331.728289999999</v>
      </c>
      <c r="J9949" s="59">
        <v>18.0</v>
      </c>
      <c r="K9949" s="61">
        <f t="shared" si="1"/>
        <v>0.2857142857</v>
      </c>
      <c r="L9949" s="62">
        <f t="shared" si="2"/>
        <v>2.571428571</v>
      </c>
    </row>
    <row r="9950">
      <c r="A9950" s="58">
        <v>45170.0</v>
      </c>
      <c r="B9950" s="24" t="s">
        <v>6787</v>
      </c>
      <c r="C9950" s="24" t="s">
        <v>7058</v>
      </c>
      <c r="D9950" s="59">
        <v>3.0</v>
      </c>
      <c r="E9950" s="59">
        <v>3.0</v>
      </c>
      <c r="F9950" s="59">
        <v>2.0</v>
      </c>
      <c r="G9950" s="60">
        <v>1.0</v>
      </c>
      <c r="H9950" s="60">
        <v>0.333333333333333</v>
      </c>
      <c r="I9950" s="60">
        <v>56.344843</v>
      </c>
      <c r="J9950" s="59">
        <v>9.0</v>
      </c>
      <c r="K9950" s="61">
        <f t="shared" si="1"/>
        <v>0.6666666667</v>
      </c>
      <c r="L9950" s="62">
        <f t="shared" si="2"/>
        <v>3</v>
      </c>
    </row>
    <row r="9951">
      <c r="A9951" s="58">
        <v>45170.0</v>
      </c>
      <c r="B9951" s="24" t="s">
        <v>6789</v>
      </c>
      <c r="C9951" s="24" t="s">
        <v>6985</v>
      </c>
      <c r="D9951" s="59">
        <v>3.0</v>
      </c>
      <c r="E9951" s="59">
        <v>3.0</v>
      </c>
      <c r="F9951" s="59">
        <v>0.0</v>
      </c>
      <c r="G9951" s="60">
        <v>1.0</v>
      </c>
      <c r="H9951" s="60">
        <v>0.0</v>
      </c>
      <c r="I9951" s="60">
        <v>1076.185964</v>
      </c>
      <c r="J9951" s="59">
        <v>34.0</v>
      </c>
      <c r="K9951" s="61">
        <f t="shared" si="1"/>
        <v>0</v>
      </c>
      <c r="L9951" s="62">
        <f t="shared" si="2"/>
        <v>11.33333333</v>
      </c>
    </row>
    <row r="9952">
      <c r="A9952" s="58">
        <v>45170.0</v>
      </c>
      <c r="B9952" s="24" t="s">
        <v>155</v>
      </c>
      <c r="C9952" s="24" t="s">
        <v>7068</v>
      </c>
      <c r="D9952" s="59">
        <v>3.0</v>
      </c>
      <c r="E9952" s="59">
        <v>3.0</v>
      </c>
      <c r="F9952" s="59">
        <v>3.0</v>
      </c>
      <c r="G9952" s="60">
        <v>1.0</v>
      </c>
      <c r="H9952" s="60">
        <v>0.0</v>
      </c>
      <c r="I9952" s="60">
        <v>164.306331666666</v>
      </c>
      <c r="J9952" s="59">
        <v>12.0</v>
      </c>
      <c r="K9952" s="61">
        <f t="shared" si="1"/>
        <v>1</v>
      </c>
      <c r="L9952" s="62">
        <f t="shared" si="2"/>
        <v>4</v>
      </c>
    </row>
    <row r="9953">
      <c r="A9953" s="58">
        <v>45170.0</v>
      </c>
      <c r="B9953" s="24" t="s">
        <v>6787</v>
      </c>
      <c r="C9953" s="24" t="s">
        <v>6835</v>
      </c>
      <c r="D9953" s="59">
        <v>3.0</v>
      </c>
      <c r="E9953" s="59">
        <v>3.0</v>
      </c>
      <c r="F9953" s="59">
        <v>3.0</v>
      </c>
      <c r="G9953" s="60">
        <v>1.0</v>
      </c>
      <c r="H9953" s="60">
        <v>0.0</v>
      </c>
      <c r="I9953" s="60">
        <v>5.63179533333333</v>
      </c>
      <c r="J9953" s="59">
        <v>6.0</v>
      </c>
      <c r="K9953" s="61">
        <f t="shared" si="1"/>
        <v>1</v>
      </c>
      <c r="L9953" s="62">
        <f t="shared" si="2"/>
        <v>2</v>
      </c>
    </row>
    <row r="9954">
      <c r="A9954" s="58">
        <v>45170.0</v>
      </c>
      <c r="B9954" s="24" t="s">
        <v>6789</v>
      </c>
      <c r="C9954" s="24" t="s">
        <v>6994</v>
      </c>
      <c r="D9954" s="59">
        <v>3.0</v>
      </c>
      <c r="E9954" s="59">
        <v>3.0</v>
      </c>
      <c r="F9954" s="59">
        <v>3.0</v>
      </c>
      <c r="G9954" s="60">
        <v>1.0</v>
      </c>
      <c r="H9954" s="60">
        <v>0.0</v>
      </c>
      <c r="I9954" s="60">
        <v>613.839949333333</v>
      </c>
      <c r="J9954" s="59">
        <v>5.0</v>
      </c>
      <c r="K9954" s="61">
        <f t="shared" si="1"/>
        <v>1</v>
      </c>
      <c r="L9954" s="62">
        <f t="shared" si="2"/>
        <v>1.666666667</v>
      </c>
    </row>
    <row r="9955">
      <c r="A9955" s="58">
        <v>45170.0</v>
      </c>
      <c r="B9955" s="24" t="s">
        <v>6791</v>
      </c>
      <c r="C9955" s="24" t="s">
        <v>6886</v>
      </c>
      <c r="D9955" s="59">
        <v>3.0</v>
      </c>
      <c r="E9955" s="59">
        <v>3.0</v>
      </c>
      <c r="F9955" s="59">
        <v>3.0</v>
      </c>
      <c r="G9955" s="60">
        <v>1.0</v>
      </c>
      <c r="H9955" s="60">
        <v>0.0</v>
      </c>
      <c r="I9955" s="60">
        <v>6.48096633333333</v>
      </c>
      <c r="J9955" s="59">
        <v>6.0</v>
      </c>
      <c r="K9955" s="61">
        <f t="shared" si="1"/>
        <v>1</v>
      </c>
      <c r="L9955" s="62">
        <f t="shared" si="2"/>
        <v>2</v>
      </c>
    </row>
    <row r="9956">
      <c r="A9956" s="58">
        <v>45170.0</v>
      </c>
      <c r="B9956" s="24" t="s">
        <v>6794</v>
      </c>
      <c r="C9956" s="24" t="s">
        <v>6799</v>
      </c>
      <c r="D9956" s="59">
        <v>3.0</v>
      </c>
      <c r="E9956" s="59">
        <v>3.0</v>
      </c>
      <c r="F9956" s="59">
        <v>0.0</v>
      </c>
      <c r="G9956" s="60">
        <v>1.0</v>
      </c>
      <c r="H9956" s="60">
        <v>0.0</v>
      </c>
      <c r="I9956" s="60">
        <v>1.43128866666666</v>
      </c>
      <c r="J9956" s="59">
        <v>6.0</v>
      </c>
      <c r="K9956" s="61">
        <f t="shared" si="1"/>
        <v>0</v>
      </c>
      <c r="L9956" s="62">
        <f t="shared" si="2"/>
        <v>2</v>
      </c>
    </row>
    <row r="9957">
      <c r="A9957" s="58">
        <v>45170.0</v>
      </c>
      <c r="B9957" s="24" t="s">
        <v>6787</v>
      </c>
      <c r="C9957" s="24" t="s">
        <v>6904</v>
      </c>
      <c r="D9957" s="59">
        <v>3.0</v>
      </c>
      <c r="E9957" s="59">
        <v>3.0</v>
      </c>
      <c r="F9957" s="59">
        <v>3.0</v>
      </c>
      <c r="G9957" s="60">
        <v>1.0</v>
      </c>
      <c r="H9957" s="60">
        <v>0.0</v>
      </c>
      <c r="I9957" s="60">
        <v>15.9813593333333</v>
      </c>
      <c r="J9957" s="59">
        <v>6.0</v>
      </c>
      <c r="K9957" s="61">
        <f t="shared" si="1"/>
        <v>1</v>
      </c>
      <c r="L9957" s="62">
        <f t="shared" si="2"/>
        <v>2</v>
      </c>
    </row>
    <row r="9958">
      <c r="A9958" s="58">
        <v>45170.0</v>
      </c>
      <c r="B9958" s="24" t="s">
        <v>6787</v>
      </c>
      <c r="C9958" s="24" t="s">
        <v>7571</v>
      </c>
      <c r="D9958" s="59">
        <v>3.0</v>
      </c>
      <c r="E9958" s="59">
        <v>3.0</v>
      </c>
      <c r="F9958" s="59">
        <v>1.0</v>
      </c>
      <c r="G9958" s="60">
        <v>1.0</v>
      </c>
      <c r="H9958" s="60">
        <v>0.0</v>
      </c>
      <c r="I9958" s="60">
        <v>187.760999666666</v>
      </c>
      <c r="J9958" s="59">
        <v>12.0</v>
      </c>
      <c r="K9958" s="61">
        <f t="shared" si="1"/>
        <v>0.3333333333</v>
      </c>
      <c r="L9958" s="62">
        <f t="shared" si="2"/>
        <v>4</v>
      </c>
    </row>
    <row r="9959">
      <c r="A9959" s="58">
        <v>45170.0</v>
      </c>
      <c r="B9959" s="24" t="s">
        <v>3216</v>
      </c>
      <c r="C9959" s="24" t="s">
        <v>7595</v>
      </c>
      <c r="D9959" s="59">
        <v>3.0</v>
      </c>
      <c r="E9959" s="59">
        <v>5.0</v>
      </c>
      <c r="F9959" s="59">
        <v>2.0</v>
      </c>
      <c r="G9959" s="60">
        <v>1.66666666666666</v>
      </c>
      <c r="H9959" s="60">
        <v>0.0</v>
      </c>
      <c r="I9959" s="60">
        <v>22.2312758</v>
      </c>
      <c r="J9959" s="59">
        <v>10.0</v>
      </c>
      <c r="K9959" s="61">
        <f t="shared" si="1"/>
        <v>0.4</v>
      </c>
      <c r="L9959" s="62">
        <f t="shared" si="2"/>
        <v>2</v>
      </c>
    </row>
    <row r="9960">
      <c r="A9960" s="58">
        <v>45170.0</v>
      </c>
      <c r="B9960" s="24" t="s">
        <v>6789</v>
      </c>
      <c r="C9960" s="24" t="s">
        <v>7258</v>
      </c>
      <c r="D9960" s="59">
        <v>3.0</v>
      </c>
      <c r="E9960" s="59">
        <v>3.0</v>
      </c>
      <c r="F9960" s="59">
        <v>3.0</v>
      </c>
      <c r="G9960" s="60">
        <v>1.0</v>
      </c>
      <c r="H9960" s="60">
        <v>0.0</v>
      </c>
      <c r="I9960" s="60">
        <v>50.8793516666666</v>
      </c>
      <c r="J9960" s="59">
        <v>8.0</v>
      </c>
      <c r="K9960" s="61">
        <f t="shared" si="1"/>
        <v>1</v>
      </c>
      <c r="L9960" s="62">
        <f t="shared" si="2"/>
        <v>2.666666667</v>
      </c>
    </row>
    <row r="9961">
      <c r="A9961" s="58">
        <v>45170.0</v>
      </c>
      <c r="B9961" s="24" t="s">
        <v>6942</v>
      </c>
      <c r="C9961" s="24" t="s">
        <v>7530</v>
      </c>
      <c r="D9961" s="59">
        <v>3.0</v>
      </c>
      <c r="E9961" s="59">
        <v>3.0</v>
      </c>
      <c r="F9961" s="59">
        <v>3.0</v>
      </c>
      <c r="G9961" s="60">
        <v>1.0</v>
      </c>
      <c r="H9961" s="60">
        <v>0.0</v>
      </c>
      <c r="I9961" s="60">
        <v>0.185573</v>
      </c>
      <c r="J9961" s="59">
        <v>6.0</v>
      </c>
      <c r="K9961" s="61">
        <f t="shared" si="1"/>
        <v>1</v>
      </c>
      <c r="L9961" s="62">
        <f t="shared" si="2"/>
        <v>2</v>
      </c>
    </row>
    <row r="9962">
      <c r="A9962" s="58">
        <v>45170.0</v>
      </c>
      <c r="B9962" s="24" t="s">
        <v>6789</v>
      </c>
      <c r="C9962" s="24" t="s">
        <v>6907</v>
      </c>
      <c r="D9962" s="59">
        <v>3.0</v>
      </c>
      <c r="E9962" s="59">
        <v>3.0</v>
      </c>
      <c r="F9962" s="59">
        <v>2.0</v>
      </c>
      <c r="G9962" s="60">
        <v>1.0</v>
      </c>
      <c r="H9962" s="60">
        <v>0.0</v>
      </c>
      <c r="I9962" s="60">
        <v>101.083832333333</v>
      </c>
      <c r="J9962" s="59">
        <v>10.0</v>
      </c>
      <c r="K9962" s="61">
        <f t="shared" si="1"/>
        <v>0.6666666667</v>
      </c>
      <c r="L9962" s="62">
        <f t="shared" si="2"/>
        <v>3.333333333</v>
      </c>
    </row>
    <row r="9963">
      <c r="A9963" s="58">
        <v>45170.0</v>
      </c>
      <c r="B9963" s="24" t="s">
        <v>6787</v>
      </c>
      <c r="C9963" s="24" t="s">
        <v>6808</v>
      </c>
      <c r="D9963" s="59">
        <v>3.0</v>
      </c>
      <c r="E9963" s="59">
        <v>3.0</v>
      </c>
      <c r="F9963" s="59">
        <v>3.0</v>
      </c>
      <c r="G9963" s="60">
        <v>1.0</v>
      </c>
      <c r="H9963" s="60">
        <v>0.0</v>
      </c>
      <c r="I9963" s="60">
        <v>19.6097206666666</v>
      </c>
      <c r="J9963" s="59">
        <v>8.0</v>
      </c>
      <c r="K9963" s="61">
        <f t="shared" si="1"/>
        <v>1</v>
      </c>
      <c r="L9963" s="62">
        <f t="shared" si="2"/>
        <v>2.666666667</v>
      </c>
    </row>
    <row r="9964">
      <c r="A9964" s="58">
        <v>45170.0</v>
      </c>
      <c r="B9964" s="24" t="s">
        <v>6789</v>
      </c>
      <c r="C9964" s="24" t="s">
        <v>7101</v>
      </c>
      <c r="D9964" s="59">
        <v>3.0</v>
      </c>
      <c r="E9964" s="59">
        <v>3.0</v>
      </c>
      <c r="F9964" s="59">
        <v>0.0</v>
      </c>
      <c r="G9964" s="60">
        <v>1.0</v>
      </c>
      <c r="H9964" s="60">
        <v>0.0</v>
      </c>
      <c r="I9964" s="60">
        <v>14.438443</v>
      </c>
      <c r="J9964" s="59">
        <v>6.0</v>
      </c>
      <c r="K9964" s="61">
        <f t="shared" si="1"/>
        <v>0</v>
      </c>
      <c r="L9964" s="62">
        <f t="shared" si="2"/>
        <v>2</v>
      </c>
    </row>
    <row r="9965">
      <c r="A9965" s="58">
        <v>45170.0</v>
      </c>
      <c r="B9965" s="24" t="s">
        <v>7100</v>
      </c>
      <c r="C9965" s="24" t="s">
        <v>7101</v>
      </c>
      <c r="D9965" s="59">
        <v>3.0</v>
      </c>
      <c r="E9965" s="59">
        <v>6.0</v>
      </c>
      <c r="F9965" s="59">
        <v>0.0</v>
      </c>
      <c r="G9965" s="60">
        <v>2.0</v>
      </c>
      <c r="H9965" s="60">
        <v>0.0</v>
      </c>
      <c r="I9965" s="60">
        <v>218.583127666666</v>
      </c>
      <c r="J9965" s="59">
        <v>16.0</v>
      </c>
      <c r="K9965" s="61">
        <f t="shared" si="1"/>
        <v>0</v>
      </c>
      <c r="L9965" s="62">
        <f t="shared" si="2"/>
        <v>2.666666667</v>
      </c>
    </row>
    <row r="9966">
      <c r="A9966" s="58">
        <v>45170.0</v>
      </c>
      <c r="B9966" s="24" t="s">
        <v>6789</v>
      </c>
      <c r="C9966" s="24" t="s">
        <v>6801</v>
      </c>
      <c r="D9966" s="59">
        <v>3.0</v>
      </c>
      <c r="E9966" s="59">
        <v>3.0</v>
      </c>
      <c r="F9966" s="59">
        <v>2.0</v>
      </c>
      <c r="G9966" s="60">
        <v>1.0</v>
      </c>
      <c r="H9966" s="60">
        <v>0.0</v>
      </c>
      <c r="I9966" s="60">
        <v>13.4358203333333</v>
      </c>
      <c r="J9966" s="59">
        <v>6.0</v>
      </c>
      <c r="K9966" s="61">
        <f t="shared" si="1"/>
        <v>0.6666666667</v>
      </c>
      <c r="L9966" s="62">
        <f t="shared" si="2"/>
        <v>2</v>
      </c>
    </row>
    <row r="9967">
      <c r="A9967" s="58">
        <v>45170.0</v>
      </c>
      <c r="B9967" s="24" t="s">
        <v>6787</v>
      </c>
      <c r="C9967" s="24" t="s">
        <v>7102</v>
      </c>
      <c r="D9967" s="59">
        <v>3.0</v>
      </c>
      <c r="E9967" s="59">
        <v>4.0</v>
      </c>
      <c r="F9967" s="59">
        <v>1.0</v>
      </c>
      <c r="G9967" s="60">
        <v>1.33333333333333</v>
      </c>
      <c r="H9967" s="60">
        <v>0.0</v>
      </c>
      <c r="I9967" s="60">
        <v>7.14392675</v>
      </c>
      <c r="J9967" s="59">
        <v>8.0</v>
      </c>
      <c r="K9967" s="61">
        <f t="shared" si="1"/>
        <v>0.25</v>
      </c>
      <c r="L9967" s="62">
        <f t="shared" si="2"/>
        <v>2</v>
      </c>
    </row>
    <row r="9968">
      <c r="A9968" s="58">
        <v>45170.0</v>
      </c>
      <c r="B9968" s="24" t="s">
        <v>7100</v>
      </c>
      <c r="C9968" s="24" t="s">
        <v>7102</v>
      </c>
      <c r="D9968" s="59">
        <v>3.0</v>
      </c>
      <c r="E9968" s="59">
        <v>3.0</v>
      </c>
      <c r="F9968" s="59">
        <v>3.0</v>
      </c>
      <c r="G9968" s="60">
        <v>1.0</v>
      </c>
      <c r="H9968" s="60">
        <v>0.0</v>
      </c>
      <c r="I9968" s="60">
        <v>4.80011366666666</v>
      </c>
      <c r="J9968" s="59">
        <v>8.0</v>
      </c>
      <c r="K9968" s="61">
        <f t="shared" si="1"/>
        <v>1</v>
      </c>
      <c r="L9968" s="62">
        <f t="shared" si="2"/>
        <v>2.666666667</v>
      </c>
    </row>
    <row r="9969">
      <c r="A9969" s="58">
        <v>45170.0</v>
      </c>
      <c r="B9969" s="24" t="s">
        <v>6787</v>
      </c>
      <c r="C9969" s="24" t="s">
        <v>7174</v>
      </c>
      <c r="D9969" s="59">
        <v>3.0</v>
      </c>
      <c r="E9969" s="59">
        <v>4.0</v>
      </c>
      <c r="F9969" s="59">
        <v>2.0</v>
      </c>
      <c r="G9969" s="60">
        <v>1.33333333333333</v>
      </c>
      <c r="H9969" s="60">
        <v>0.0</v>
      </c>
      <c r="I9969" s="60">
        <v>154.3056</v>
      </c>
      <c r="J9969" s="59">
        <v>8.0</v>
      </c>
      <c r="K9969" s="61">
        <f t="shared" si="1"/>
        <v>0.5</v>
      </c>
      <c r="L9969" s="62">
        <f t="shared" si="2"/>
        <v>2</v>
      </c>
    </row>
    <row r="9970">
      <c r="A9970" s="58">
        <v>45170.0</v>
      </c>
      <c r="B9970" s="24" t="s">
        <v>6789</v>
      </c>
      <c r="C9970" s="24" t="s">
        <v>7047</v>
      </c>
      <c r="D9970" s="59">
        <v>3.0</v>
      </c>
      <c r="E9970" s="59">
        <v>4.0</v>
      </c>
      <c r="F9970" s="59">
        <v>1.0</v>
      </c>
      <c r="G9970" s="60">
        <v>1.33333333333333</v>
      </c>
      <c r="H9970" s="60">
        <v>0.0</v>
      </c>
      <c r="I9970" s="60">
        <v>3.85616874999999</v>
      </c>
      <c r="J9970" s="59">
        <v>8.0</v>
      </c>
      <c r="K9970" s="61">
        <f t="shared" si="1"/>
        <v>0.25</v>
      </c>
      <c r="L9970" s="62">
        <f t="shared" si="2"/>
        <v>2</v>
      </c>
    </row>
    <row r="9971">
      <c r="A9971" s="58">
        <v>45170.0</v>
      </c>
      <c r="B9971" s="24" t="s">
        <v>6787</v>
      </c>
      <c r="C9971" s="24" t="s">
        <v>6810</v>
      </c>
      <c r="D9971" s="59">
        <v>3.0</v>
      </c>
      <c r="E9971" s="59">
        <v>3.0</v>
      </c>
      <c r="F9971" s="59">
        <v>2.0</v>
      </c>
      <c r="G9971" s="60">
        <v>1.0</v>
      </c>
      <c r="H9971" s="60">
        <v>0.0</v>
      </c>
      <c r="I9971" s="60">
        <v>366.616458</v>
      </c>
      <c r="J9971" s="59">
        <v>7.0</v>
      </c>
      <c r="K9971" s="61">
        <f t="shared" si="1"/>
        <v>0.6666666667</v>
      </c>
      <c r="L9971" s="62">
        <f t="shared" si="2"/>
        <v>2.333333333</v>
      </c>
    </row>
    <row r="9972">
      <c r="A9972" s="58">
        <v>45170.0</v>
      </c>
      <c r="B9972" s="24" t="s">
        <v>6789</v>
      </c>
      <c r="C9972" s="24" t="s">
        <v>6931</v>
      </c>
      <c r="D9972" s="59">
        <v>3.0</v>
      </c>
      <c r="E9972" s="59">
        <v>3.0</v>
      </c>
      <c r="F9972" s="59">
        <v>2.0</v>
      </c>
      <c r="G9972" s="60">
        <v>1.0</v>
      </c>
      <c r="H9972" s="60">
        <v>0.0</v>
      </c>
      <c r="I9972" s="60">
        <v>236.994247666666</v>
      </c>
      <c r="J9972" s="59">
        <v>8.0</v>
      </c>
      <c r="K9972" s="61">
        <f t="shared" si="1"/>
        <v>0.6666666667</v>
      </c>
      <c r="L9972" s="62">
        <f t="shared" si="2"/>
        <v>2.666666667</v>
      </c>
    </row>
    <row r="9973">
      <c r="A9973" s="58">
        <v>45170.0</v>
      </c>
      <c r="B9973" s="24" t="s">
        <v>6942</v>
      </c>
      <c r="C9973" s="24" t="s">
        <v>6792</v>
      </c>
      <c r="D9973" s="59">
        <v>2.0</v>
      </c>
      <c r="E9973" s="59">
        <v>2.0</v>
      </c>
      <c r="F9973" s="59">
        <v>2.0</v>
      </c>
      <c r="G9973" s="60">
        <v>1.0</v>
      </c>
      <c r="H9973" s="60">
        <v>1.0</v>
      </c>
      <c r="I9973" s="60">
        <v>0.0</v>
      </c>
      <c r="J9973" s="59">
        <v>0.0</v>
      </c>
      <c r="K9973" s="61">
        <f t="shared" si="1"/>
        <v>1</v>
      </c>
      <c r="L9973" s="62">
        <f t="shared" si="2"/>
        <v>0</v>
      </c>
    </row>
    <row r="9974">
      <c r="A9974" s="58">
        <v>45170.0</v>
      </c>
      <c r="B9974" s="24" t="s">
        <v>155</v>
      </c>
      <c r="C9974" s="24" t="s">
        <v>6803</v>
      </c>
      <c r="D9974" s="59">
        <v>2.0</v>
      </c>
      <c r="E9974" s="59">
        <v>4.0</v>
      </c>
      <c r="F9974" s="59">
        <v>1.0</v>
      </c>
      <c r="G9974" s="60">
        <v>2.0</v>
      </c>
      <c r="H9974" s="60">
        <v>0.0</v>
      </c>
      <c r="I9974" s="60">
        <v>854.86400925</v>
      </c>
      <c r="J9974" s="59">
        <v>24.0</v>
      </c>
      <c r="K9974" s="61">
        <f t="shared" si="1"/>
        <v>0.25</v>
      </c>
      <c r="L9974" s="62">
        <f t="shared" si="2"/>
        <v>6</v>
      </c>
    </row>
    <row r="9975">
      <c r="A9975" s="58">
        <v>45170.0</v>
      </c>
      <c r="B9975" s="24" t="s">
        <v>6789</v>
      </c>
      <c r="C9975" s="24" t="s">
        <v>6817</v>
      </c>
      <c r="D9975" s="59">
        <v>2.0</v>
      </c>
      <c r="E9975" s="59">
        <v>2.0</v>
      </c>
      <c r="F9975" s="59">
        <v>0.0</v>
      </c>
      <c r="G9975" s="60">
        <v>1.0</v>
      </c>
      <c r="H9975" s="60">
        <v>0.0</v>
      </c>
      <c r="I9975" s="60">
        <v>24.9945274999999</v>
      </c>
      <c r="J9975" s="59">
        <v>4.0</v>
      </c>
      <c r="K9975" s="61">
        <f t="shared" si="1"/>
        <v>0</v>
      </c>
      <c r="L9975" s="62">
        <f t="shared" si="2"/>
        <v>2</v>
      </c>
    </row>
    <row r="9976">
      <c r="A9976" s="58">
        <v>45170.0</v>
      </c>
      <c r="B9976" s="24" t="s">
        <v>6787</v>
      </c>
      <c r="C9976" s="24" t="s">
        <v>6953</v>
      </c>
      <c r="D9976" s="59">
        <v>2.0</v>
      </c>
      <c r="E9976" s="59">
        <v>2.0</v>
      </c>
      <c r="F9976" s="59">
        <v>2.0</v>
      </c>
      <c r="G9976" s="60">
        <v>1.0</v>
      </c>
      <c r="H9976" s="60">
        <v>1.0</v>
      </c>
      <c r="I9976" s="60">
        <v>0.5470955</v>
      </c>
      <c r="J9976" s="59">
        <v>2.0</v>
      </c>
      <c r="K9976" s="61">
        <f t="shared" si="1"/>
        <v>1</v>
      </c>
      <c r="L9976" s="62">
        <f t="shared" si="2"/>
        <v>1</v>
      </c>
    </row>
    <row r="9977">
      <c r="A9977" s="58">
        <v>45170.0</v>
      </c>
      <c r="B9977" s="24" t="s">
        <v>6789</v>
      </c>
      <c r="C9977" s="24" t="s">
        <v>6861</v>
      </c>
      <c r="D9977" s="59">
        <v>2.0</v>
      </c>
      <c r="E9977" s="59">
        <v>2.0</v>
      </c>
      <c r="F9977" s="59">
        <v>2.0</v>
      </c>
      <c r="G9977" s="60">
        <v>1.0</v>
      </c>
      <c r="H9977" s="60">
        <v>0.0</v>
      </c>
      <c r="I9977" s="60">
        <v>55.3770695</v>
      </c>
      <c r="J9977" s="59">
        <v>4.0</v>
      </c>
      <c r="K9977" s="61">
        <f t="shared" si="1"/>
        <v>1</v>
      </c>
      <c r="L9977" s="62">
        <f t="shared" si="2"/>
        <v>2</v>
      </c>
    </row>
    <row r="9978">
      <c r="A9978" s="58">
        <v>45170.0</v>
      </c>
      <c r="B9978" s="24" t="s">
        <v>6789</v>
      </c>
      <c r="C9978" s="24" t="s">
        <v>7437</v>
      </c>
      <c r="D9978" s="59">
        <v>2.0</v>
      </c>
      <c r="E9978" s="59">
        <v>3.0</v>
      </c>
      <c r="F9978" s="59">
        <v>2.0</v>
      </c>
      <c r="G9978" s="60">
        <v>1.5</v>
      </c>
      <c r="H9978" s="60">
        <v>0.0</v>
      </c>
      <c r="I9978" s="60">
        <v>4.11830633333333</v>
      </c>
      <c r="J9978" s="59">
        <v>6.0</v>
      </c>
      <c r="K9978" s="61">
        <f t="shared" si="1"/>
        <v>0.6666666667</v>
      </c>
      <c r="L9978" s="62">
        <f t="shared" si="2"/>
        <v>2</v>
      </c>
    </row>
    <row r="9979">
      <c r="A9979" s="58">
        <v>45170.0</v>
      </c>
      <c r="B9979" s="24" t="s">
        <v>6789</v>
      </c>
      <c r="C9979" s="24" t="s">
        <v>6989</v>
      </c>
      <c r="D9979" s="59">
        <v>2.0</v>
      </c>
      <c r="E9979" s="59">
        <v>3.0</v>
      </c>
      <c r="F9979" s="59">
        <v>2.0</v>
      </c>
      <c r="G9979" s="60">
        <v>1.5</v>
      </c>
      <c r="H9979" s="60">
        <v>0.333333333333333</v>
      </c>
      <c r="I9979" s="60">
        <v>4.92526333333333</v>
      </c>
      <c r="J9979" s="59">
        <v>5.0</v>
      </c>
      <c r="K9979" s="61">
        <f t="shared" si="1"/>
        <v>0.6666666667</v>
      </c>
      <c r="L9979" s="62">
        <f t="shared" si="2"/>
        <v>1.666666667</v>
      </c>
    </row>
    <row r="9980">
      <c r="A9980" s="58">
        <v>45170.0</v>
      </c>
      <c r="B9980" s="24" t="s">
        <v>6787</v>
      </c>
      <c r="C9980" s="24" t="s">
        <v>6990</v>
      </c>
      <c r="D9980" s="59">
        <v>2.0</v>
      </c>
      <c r="E9980" s="59">
        <v>2.0</v>
      </c>
      <c r="F9980" s="59">
        <v>1.0</v>
      </c>
      <c r="G9980" s="60">
        <v>1.0</v>
      </c>
      <c r="H9980" s="60">
        <v>0.0</v>
      </c>
      <c r="I9980" s="60">
        <v>3.0080545</v>
      </c>
      <c r="J9980" s="59">
        <v>4.0</v>
      </c>
      <c r="K9980" s="61">
        <f t="shared" si="1"/>
        <v>0.5</v>
      </c>
      <c r="L9980" s="62">
        <f t="shared" si="2"/>
        <v>2</v>
      </c>
    </row>
    <row r="9981">
      <c r="A9981" s="58">
        <v>45170.0</v>
      </c>
      <c r="B9981" s="24" t="s">
        <v>6789</v>
      </c>
      <c r="C9981" s="24" t="s">
        <v>7074</v>
      </c>
      <c r="D9981" s="59">
        <v>2.0</v>
      </c>
      <c r="E9981" s="59">
        <v>2.0</v>
      </c>
      <c r="F9981" s="59">
        <v>2.0</v>
      </c>
      <c r="G9981" s="60">
        <v>1.0</v>
      </c>
      <c r="H9981" s="60">
        <v>0.0</v>
      </c>
      <c r="I9981" s="60">
        <v>69.966464</v>
      </c>
      <c r="J9981" s="59">
        <v>4.0</v>
      </c>
      <c r="K9981" s="61">
        <f t="shared" si="1"/>
        <v>1</v>
      </c>
      <c r="L9981" s="62">
        <f t="shared" si="2"/>
        <v>2</v>
      </c>
    </row>
    <row r="9982">
      <c r="A9982" s="58">
        <v>45170.0</v>
      </c>
      <c r="B9982" s="24" t="s">
        <v>155</v>
      </c>
      <c r="C9982" s="24" t="s">
        <v>6886</v>
      </c>
      <c r="D9982" s="59">
        <v>2.0</v>
      </c>
      <c r="E9982" s="59">
        <v>2.0</v>
      </c>
      <c r="F9982" s="59">
        <v>1.0</v>
      </c>
      <c r="G9982" s="60">
        <v>1.0</v>
      </c>
      <c r="H9982" s="60">
        <v>0.0</v>
      </c>
      <c r="I9982" s="60">
        <v>250.585470999999</v>
      </c>
      <c r="J9982" s="59">
        <v>10.0</v>
      </c>
      <c r="K9982" s="61">
        <f t="shared" si="1"/>
        <v>0.5</v>
      </c>
      <c r="L9982" s="62">
        <f t="shared" si="2"/>
        <v>5</v>
      </c>
    </row>
    <row r="9983">
      <c r="A9983" s="58">
        <v>45170.0</v>
      </c>
      <c r="B9983" s="24" t="s">
        <v>6787</v>
      </c>
      <c r="C9983" s="24" t="s">
        <v>7609</v>
      </c>
      <c r="D9983" s="59">
        <v>2.0</v>
      </c>
      <c r="E9983" s="59">
        <v>2.0</v>
      </c>
      <c r="F9983" s="59">
        <v>1.0</v>
      </c>
      <c r="G9983" s="60">
        <v>1.0</v>
      </c>
      <c r="H9983" s="60">
        <v>0.0</v>
      </c>
      <c r="I9983" s="60">
        <v>181.71164</v>
      </c>
      <c r="J9983" s="59">
        <v>6.0</v>
      </c>
      <c r="K9983" s="61">
        <f t="shared" si="1"/>
        <v>0.5</v>
      </c>
      <c r="L9983" s="62">
        <f t="shared" si="2"/>
        <v>3</v>
      </c>
    </row>
    <row r="9984">
      <c r="A9984" s="58">
        <v>45170.0</v>
      </c>
      <c r="B9984" s="24" t="s">
        <v>6787</v>
      </c>
      <c r="C9984" s="24" t="s">
        <v>6892</v>
      </c>
      <c r="D9984" s="59">
        <v>2.0</v>
      </c>
      <c r="E9984" s="59">
        <v>2.0</v>
      </c>
      <c r="F9984" s="59">
        <v>2.0</v>
      </c>
      <c r="G9984" s="60">
        <v>1.0</v>
      </c>
      <c r="H9984" s="60">
        <v>0.0</v>
      </c>
      <c r="I9984" s="60">
        <v>701.309069</v>
      </c>
      <c r="J9984" s="59">
        <v>8.0</v>
      </c>
      <c r="K9984" s="61">
        <f t="shared" si="1"/>
        <v>1</v>
      </c>
      <c r="L9984" s="62">
        <f t="shared" si="2"/>
        <v>4</v>
      </c>
    </row>
    <row r="9985">
      <c r="A9985" s="58">
        <v>45170.0</v>
      </c>
      <c r="B9985" s="24" t="s">
        <v>6789</v>
      </c>
      <c r="C9985" s="24" t="s">
        <v>6896</v>
      </c>
      <c r="D9985" s="59">
        <v>2.0</v>
      </c>
      <c r="E9985" s="59">
        <v>2.0</v>
      </c>
      <c r="F9985" s="59">
        <v>1.0</v>
      </c>
      <c r="G9985" s="60">
        <v>1.0</v>
      </c>
      <c r="H9985" s="60">
        <v>0.0</v>
      </c>
      <c r="I9985" s="60">
        <v>30.187869</v>
      </c>
      <c r="J9985" s="59">
        <v>4.0</v>
      </c>
      <c r="K9985" s="61">
        <f t="shared" si="1"/>
        <v>0.5</v>
      </c>
      <c r="L9985" s="62">
        <f t="shared" si="2"/>
        <v>2</v>
      </c>
    </row>
    <row r="9986">
      <c r="A9986" s="58">
        <v>45170.0</v>
      </c>
      <c r="B9986" s="24" t="s">
        <v>6789</v>
      </c>
      <c r="C9986" s="24" t="s">
        <v>7571</v>
      </c>
      <c r="D9986" s="59">
        <v>2.0</v>
      </c>
      <c r="E9986" s="59">
        <v>3.0</v>
      </c>
      <c r="F9986" s="59">
        <v>2.0</v>
      </c>
      <c r="G9986" s="60">
        <v>1.5</v>
      </c>
      <c r="H9986" s="60">
        <v>0.333333333333333</v>
      </c>
      <c r="I9986" s="60">
        <v>3.64586133333333</v>
      </c>
      <c r="J9986" s="59">
        <v>5.0</v>
      </c>
      <c r="K9986" s="61">
        <f t="shared" si="1"/>
        <v>0.6666666667</v>
      </c>
      <c r="L9986" s="62">
        <f t="shared" si="2"/>
        <v>1.666666667</v>
      </c>
    </row>
    <row r="9987">
      <c r="A9987" s="58">
        <v>45170.0</v>
      </c>
      <c r="B9987" s="24" t="s">
        <v>6787</v>
      </c>
      <c r="C9987" s="24" t="s">
        <v>7595</v>
      </c>
      <c r="D9987" s="59">
        <v>2.0</v>
      </c>
      <c r="E9987" s="59">
        <v>7.0</v>
      </c>
      <c r="F9987" s="59">
        <v>0.0</v>
      </c>
      <c r="G9987" s="60">
        <v>3.5</v>
      </c>
      <c r="H9987" s="60">
        <v>0.0</v>
      </c>
      <c r="I9987" s="60">
        <v>238.842428142857</v>
      </c>
      <c r="J9987" s="59">
        <v>28.0</v>
      </c>
      <c r="K9987" s="61">
        <f t="shared" si="1"/>
        <v>0</v>
      </c>
      <c r="L9987" s="62">
        <f t="shared" si="2"/>
        <v>4</v>
      </c>
    </row>
    <row r="9988">
      <c r="A9988" s="58">
        <v>45170.0</v>
      </c>
      <c r="B9988" s="24" t="s">
        <v>6787</v>
      </c>
      <c r="C9988" s="24" t="s">
        <v>7551</v>
      </c>
      <c r="D9988" s="59">
        <v>2.0</v>
      </c>
      <c r="E9988" s="59">
        <v>2.0</v>
      </c>
      <c r="F9988" s="59">
        <v>0.0</v>
      </c>
      <c r="G9988" s="60">
        <v>1.0</v>
      </c>
      <c r="H9988" s="60">
        <v>0.0</v>
      </c>
      <c r="I9988" s="60">
        <v>32.394213</v>
      </c>
      <c r="J9988" s="59">
        <v>6.0</v>
      </c>
      <c r="K9988" s="61">
        <f t="shared" si="1"/>
        <v>0</v>
      </c>
      <c r="L9988" s="62">
        <f t="shared" si="2"/>
        <v>3</v>
      </c>
    </row>
    <row r="9989">
      <c r="A9989" s="58">
        <v>45170.0</v>
      </c>
      <c r="B9989" s="24" t="s">
        <v>6789</v>
      </c>
      <c r="C9989" s="24" t="s">
        <v>7551</v>
      </c>
      <c r="D9989" s="59">
        <v>2.0</v>
      </c>
      <c r="E9989" s="59">
        <v>2.0</v>
      </c>
      <c r="F9989" s="59">
        <v>0.0</v>
      </c>
      <c r="G9989" s="60">
        <v>1.0</v>
      </c>
      <c r="H9989" s="60">
        <v>0.0</v>
      </c>
      <c r="I9989" s="60">
        <v>4.124898</v>
      </c>
      <c r="J9989" s="59">
        <v>4.0</v>
      </c>
      <c r="K9989" s="61">
        <f t="shared" si="1"/>
        <v>0</v>
      </c>
      <c r="L9989" s="62">
        <f t="shared" si="2"/>
        <v>2</v>
      </c>
    </row>
    <row r="9990">
      <c r="A9990" s="58">
        <v>45170.0</v>
      </c>
      <c r="B9990" s="24" t="s">
        <v>6787</v>
      </c>
      <c r="C9990" s="24" t="s">
        <v>7313</v>
      </c>
      <c r="D9990" s="59">
        <v>2.0</v>
      </c>
      <c r="E9990" s="59">
        <v>2.0</v>
      </c>
      <c r="F9990" s="59">
        <v>1.0</v>
      </c>
      <c r="G9990" s="60">
        <v>1.0</v>
      </c>
      <c r="H9990" s="60">
        <v>0.0</v>
      </c>
      <c r="I9990" s="60">
        <v>122.3059125</v>
      </c>
      <c r="J9990" s="59">
        <v>14.0</v>
      </c>
      <c r="K9990" s="61">
        <f t="shared" si="1"/>
        <v>0.5</v>
      </c>
      <c r="L9990" s="62">
        <f t="shared" si="2"/>
        <v>7</v>
      </c>
    </row>
    <row r="9991">
      <c r="A9991" s="58">
        <v>45170.0</v>
      </c>
      <c r="B9991" s="24" t="s">
        <v>155</v>
      </c>
      <c r="C9991" s="24" t="s">
        <v>7313</v>
      </c>
      <c r="D9991" s="59">
        <v>2.0</v>
      </c>
      <c r="E9991" s="59">
        <v>3.0</v>
      </c>
      <c r="F9991" s="59">
        <v>1.0</v>
      </c>
      <c r="G9991" s="60">
        <v>1.5</v>
      </c>
      <c r="H9991" s="60">
        <v>0.0</v>
      </c>
      <c r="I9991" s="60">
        <v>144.345013666666</v>
      </c>
      <c r="J9991" s="59">
        <v>6.0</v>
      </c>
      <c r="K9991" s="61">
        <f t="shared" si="1"/>
        <v>0.3333333333</v>
      </c>
      <c r="L9991" s="62">
        <f t="shared" si="2"/>
        <v>2</v>
      </c>
    </row>
    <row r="9992">
      <c r="A9992" s="58">
        <v>45170.0</v>
      </c>
      <c r="B9992" s="24" t="s">
        <v>6789</v>
      </c>
      <c r="C9992" s="24" t="s">
        <v>7104</v>
      </c>
      <c r="D9992" s="59">
        <v>2.0</v>
      </c>
      <c r="E9992" s="59">
        <v>2.0</v>
      </c>
      <c r="F9992" s="59">
        <v>0.0</v>
      </c>
      <c r="G9992" s="60">
        <v>1.0</v>
      </c>
      <c r="H9992" s="60">
        <v>0.0</v>
      </c>
      <c r="I9992" s="60">
        <v>126.4183295</v>
      </c>
      <c r="J9992" s="59">
        <v>20.0</v>
      </c>
      <c r="K9992" s="61">
        <f t="shared" si="1"/>
        <v>0</v>
      </c>
      <c r="L9992" s="62">
        <f t="shared" si="2"/>
        <v>10</v>
      </c>
    </row>
    <row r="9993">
      <c r="A9993" s="58">
        <v>45170.0</v>
      </c>
      <c r="B9993" s="24" t="s">
        <v>6787</v>
      </c>
      <c r="C9993" s="24" t="s">
        <v>7588</v>
      </c>
      <c r="D9993" s="59">
        <v>2.0</v>
      </c>
      <c r="E9993" s="59">
        <v>2.0</v>
      </c>
      <c r="F9993" s="59">
        <v>2.0</v>
      </c>
      <c r="G9993" s="60">
        <v>1.0</v>
      </c>
      <c r="H9993" s="60">
        <v>0.0</v>
      </c>
      <c r="I9993" s="60">
        <v>4.6120765</v>
      </c>
      <c r="J9993" s="59">
        <v>4.0</v>
      </c>
      <c r="K9993" s="61">
        <f t="shared" si="1"/>
        <v>1</v>
      </c>
      <c r="L9993" s="62">
        <f t="shared" si="2"/>
        <v>2</v>
      </c>
    </row>
    <row r="9994">
      <c r="A9994" s="58">
        <v>45170.0</v>
      </c>
      <c r="B9994" s="24" t="s">
        <v>6789</v>
      </c>
      <c r="C9994" s="24" t="s">
        <v>6921</v>
      </c>
      <c r="D9994" s="59">
        <v>2.0</v>
      </c>
      <c r="E9994" s="59">
        <v>2.0</v>
      </c>
      <c r="F9994" s="59">
        <v>1.0</v>
      </c>
      <c r="G9994" s="60">
        <v>1.0</v>
      </c>
      <c r="H9994" s="60">
        <v>0.0</v>
      </c>
      <c r="I9994" s="60">
        <v>129.7345725</v>
      </c>
      <c r="J9994" s="59">
        <v>6.0</v>
      </c>
      <c r="K9994" s="61">
        <f t="shared" si="1"/>
        <v>0.5</v>
      </c>
      <c r="L9994" s="62">
        <f t="shared" si="2"/>
        <v>3</v>
      </c>
    </row>
    <row r="9995">
      <c r="A9995" s="58">
        <v>45170.0</v>
      </c>
      <c r="B9995" s="24" t="s">
        <v>7100</v>
      </c>
      <c r="C9995" s="24" t="s">
        <v>6922</v>
      </c>
      <c r="D9995" s="59">
        <v>2.0</v>
      </c>
      <c r="E9995" s="59">
        <v>2.0</v>
      </c>
      <c r="F9995" s="59">
        <v>2.0</v>
      </c>
      <c r="G9995" s="60">
        <v>1.0</v>
      </c>
      <c r="H9995" s="60">
        <v>0.0</v>
      </c>
      <c r="I9995" s="60">
        <v>5.0982645</v>
      </c>
      <c r="J9995" s="59">
        <v>4.0</v>
      </c>
      <c r="K9995" s="61">
        <f t="shared" si="1"/>
        <v>1</v>
      </c>
      <c r="L9995" s="62">
        <f t="shared" si="2"/>
        <v>2</v>
      </c>
    </row>
    <row r="9996">
      <c r="A9996" s="58">
        <v>45170.0</v>
      </c>
      <c r="B9996" s="24" t="s">
        <v>6787</v>
      </c>
      <c r="C9996" s="24" t="s">
        <v>6797</v>
      </c>
      <c r="D9996" s="59">
        <v>2.0</v>
      </c>
      <c r="E9996" s="59">
        <v>2.0</v>
      </c>
      <c r="F9996" s="59">
        <v>2.0</v>
      </c>
      <c r="G9996" s="60">
        <v>1.0</v>
      </c>
      <c r="H9996" s="60">
        <v>0.0</v>
      </c>
      <c r="I9996" s="60">
        <v>3.8771435</v>
      </c>
      <c r="J9996" s="59">
        <v>4.0</v>
      </c>
      <c r="K9996" s="61">
        <f t="shared" si="1"/>
        <v>1</v>
      </c>
      <c r="L9996" s="62">
        <f t="shared" si="2"/>
        <v>2</v>
      </c>
    </row>
    <row r="9997">
      <c r="A9997" s="58">
        <v>45170.0</v>
      </c>
      <c r="B9997" s="24" t="s">
        <v>6794</v>
      </c>
      <c r="C9997" s="24" t="s">
        <v>7118</v>
      </c>
      <c r="D9997" s="59">
        <v>2.0</v>
      </c>
      <c r="E9997" s="59">
        <v>2.0</v>
      </c>
      <c r="F9997" s="59">
        <v>1.0</v>
      </c>
      <c r="G9997" s="60">
        <v>1.0</v>
      </c>
      <c r="H9997" s="60">
        <v>0.0</v>
      </c>
      <c r="I9997" s="60">
        <v>72.271143</v>
      </c>
      <c r="J9997" s="59">
        <v>4.0</v>
      </c>
      <c r="K9997" s="61">
        <f t="shared" si="1"/>
        <v>0.5</v>
      </c>
      <c r="L9997" s="62">
        <f t="shared" si="2"/>
        <v>2</v>
      </c>
    </row>
    <row r="9998">
      <c r="A9998" s="58">
        <v>45170.0</v>
      </c>
      <c r="B9998" s="24" t="s">
        <v>3216</v>
      </c>
      <c r="C9998" s="24" t="s">
        <v>6792</v>
      </c>
      <c r="D9998" s="59">
        <v>1.0</v>
      </c>
      <c r="E9998" s="59">
        <v>2.0</v>
      </c>
      <c r="F9998" s="59">
        <v>0.0</v>
      </c>
      <c r="G9998" s="60">
        <v>2.0</v>
      </c>
      <c r="H9998" s="60">
        <v>1.0</v>
      </c>
      <c r="I9998" s="60">
        <v>0.0</v>
      </c>
      <c r="J9998" s="59">
        <v>0.0</v>
      </c>
      <c r="K9998" s="61">
        <f t="shared" si="1"/>
        <v>0</v>
      </c>
      <c r="L9998" s="62">
        <f t="shared" si="2"/>
        <v>0</v>
      </c>
    </row>
    <row r="9999">
      <c r="A9999" s="58">
        <v>45170.0</v>
      </c>
      <c r="B9999" s="24" t="s">
        <v>7606</v>
      </c>
      <c r="C9999" s="24" t="s">
        <v>6788</v>
      </c>
      <c r="D9999" s="59">
        <v>1.0</v>
      </c>
      <c r="E9999" s="59">
        <v>3.0</v>
      </c>
      <c r="F9999" s="59">
        <v>0.0</v>
      </c>
      <c r="G9999" s="60">
        <v>3.0</v>
      </c>
      <c r="H9999" s="60">
        <v>0.0</v>
      </c>
      <c r="I9999" s="60">
        <v>10.8076483333333</v>
      </c>
      <c r="J9999" s="59">
        <v>6.0</v>
      </c>
      <c r="K9999" s="61">
        <f t="shared" si="1"/>
        <v>0</v>
      </c>
      <c r="L9999" s="62">
        <f t="shared" si="2"/>
        <v>2</v>
      </c>
    </row>
    <row r="10000">
      <c r="A10000" s="58">
        <v>45170.0</v>
      </c>
      <c r="B10000" s="24" t="s">
        <v>155</v>
      </c>
      <c r="C10000" s="24" t="s">
        <v>7610</v>
      </c>
      <c r="D10000" s="59">
        <v>1.0</v>
      </c>
      <c r="E10000" s="59">
        <v>1.0</v>
      </c>
      <c r="F10000" s="59">
        <v>0.0</v>
      </c>
      <c r="G10000" s="60">
        <v>1.0</v>
      </c>
      <c r="H10000" s="60">
        <v>0.0</v>
      </c>
      <c r="I10000" s="60">
        <v>383.032004</v>
      </c>
      <c r="J10000" s="59">
        <v>4.0</v>
      </c>
      <c r="K10000" s="61">
        <f t="shared" si="1"/>
        <v>0</v>
      </c>
      <c r="L10000" s="62">
        <f t="shared" si="2"/>
        <v>4</v>
      </c>
    </row>
    <row r="10001">
      <c r="A10001" s="58">
        <v>45170.0</v>
      </c>
      <c r="B10001" s="24" t="s">
        <v>155</v>
      </c>
      <c r="C10001" s="24" t="s">
        <v>6817</v>
      </c>
      <c r="D10001" s="59">
        <v>1.0</v>
      </c>
      <c r="E10001" s="59">
        <v>1.0</v>
      </c>
      <c r="F10001" s="59">
        <v>0.0</v>
      </c>
      <c r="G10001" s="60">
        <v>1.0</v>
      </c>
      <c r="H10001" s="60">
        <v>0.0</v>
      </c>
      <c r="I10001" s="60">
        <v>463.314798</v>
      </c>
      <c r="J10001" s="59">
        <v>12.0</v>
      </c>
      <c r="K10001" s="61">
        <f t="shared" si="1"/>
        <v>0</v>
      </c>
      <c r="L10001" s="62">
        <f t="shared" si="2"/>
        <v>12</v>
      </c>
    </row>
    <row r="10002">
      <c r="A10002" s="58">
        <v>45170.0</v>
      </c>
      <c r="B10002" s="24" t="s">
        <v>6794</v>
      </c>
      <c r="C10002" s="24" t="s">
        <v>7056</v>
      </c>
      <c r="D10002" s="59">
        <v>1.0</v>
      </c>
      <c r="E10002" s="59">
        <v>1.0</v>
      </c>
      <c r="F10002" s="59">
        <v>0.0</v>
      </c>
      <c r="G10002" s="60">
        <v>1.0</v>
      </c>
      <c r="H10002" s="60">
        <v>0.0</v>
      </c>
      <c r="I10002" s="60">
        <v>1062.4559</v>
      </c>
      <c r="J10002" s="59">
        <v>4.0</v>
      </c>
      <c r="K10002" s="61">
        <f t="shared" si="1"/>
        <v>0</v>
      </c>
      <c r="L10002" s="62">
        <f t="shared" si="2"/>
        <v>4</v>
      </c>
    </row>
    <row r="10003">
      <c r="A10003" s="58">
        <v>45170.0</v>
      </c>
      <c r="B10003" s="24" t="s">
        <v>155</v>
      </c>
      <c r="C10003" s="24" t="s">
        <v>7056</v>
      </c>
      <c r="D10003" s="59">
        <v>1.0</v>
      </c>
      <c r="E10003" s="59">
        <v>3.0</v>
      </c>
      <c r="F10003" s="59">
        <v>0.0</v>
      </c>
      <c r="G10003" s="60">
        <v>3.0</v>
      </c>
      <c r="H10003" s="60">
        <v>0.0</v>
      </c>
      <c r="I10003" s="60">
        <v>671.477241999999</v>
      </c>
      <c r="J10003" s="59">
        <v>16.0</v>
      </c>
      <c r="K10003" s="61">
        <f t="shared" si="1"/>
        <v>0</v>
      </c>
      <c r="L10003" s="62">
        <f t="shared" si="2"/>
        <v>5.333333333</v>
      </c>
    </row>
    <row r="10004">
      <c r="A10004" s="58">
        <v>45170.0</v>
      </c>
      <c r="B10004" s="24" t="s">
        <v>6789</v>
      </c>
      <c r="C10004" s="24" t="s">
        <v>7477</v>
      </c>
      <c r="D10004" s="59">
        <v>1.0</v>
      </c>
      <c r="E10004" s="59">
        <v>1.0</v>
      </c>
      <c r="F10004" s="59">
        <v>0.0</v>
      </c>
      <c r="G10004" s="60">
        <v>1.0</v>
      </c>
      <c r="H10004" s="60">
        <v>0.0</v>
      </c>
      <c r="I10004" s="60">
        <v>5.169749</v>
      </c>
      <c r="J10004" s="59">
        <v>2.0</v>
      </c>
      <c r="K10004" s="61">
        <f t="shared" si="1"/>
        <v>0</v>
      </c>
      <c r="L10004" s="62">
        <f t="shared" si="2"/>
        <v>2</v>
      </c>
    </row>
    <row r="10005">
      <c r="A10005" s="58">
        <v>45170.0</v>
      </c>
      <c r="B10005" s="24" t="s">
        <v>6787</v>
      </c>
      <c r="C10005" s="24" t="s">
        <v>7057</v>
      </c>
      <c r="D10005" s="59">
        <v>1.0</v>
      </c>
      <c r="E10005" s="59">
        <v>1.0</v>
      </c>
      <c r="F10005" s="59">
        <v>1.0</v>
      </c>
      <c r="G10005" s="60">
        <v>1.0</v>
      </c>
      <c r="H10005" s="60">
        <v>0.0</v>
      </c>
      <c r="I10005" s="60">
        <v>3112.783558</v>
      </c>
      <c r="J10005" s="59">
        <v>6.0</v>
      </c>
      <c r="K10005" s="61">
        <f t="shared" si="1"/>
        <v>1</v>
      </c>
      <c r="L10005" s="62">
        <f t="shared" si="2"/>
        <v>6</v>
      </c>
    </row>
    <row r="10006">
      <c r="A10006" s="58">
        <v>45170.0</v>
      </c>
      <c r="B10006" s="24" t="s">
        <v>6789</v>
      </c>
      <c r="C10006" s="24" t="s">
        <v>7059</v>
      </c>
      <c r="D10006" s="59">
        <v>1.0</v>
      </c>
      <c r="E10006" s="59">
        <v>1.0</v>
      </c>
      <c r="F10006" s="59">
        <v>1.0</v>
      </c>
      <c r="G10006" s="60">
        <v>1.0</v>
      </c>
      <c r="H10006" s="60">
        <v>0.0</v>
      </c>
      <c r="I10006" s="60">
        <v>228.458369</v>
      </c>
      <c r="J10006" s="59">
        <v>4.0</v>
      </c>
      <c r="K10006" s="61">
        <f t="shared" si="1"/>
        <v>1</v>
      </c>
      <c r="L10006" s="62">
        <f t="shared" si="2"/>
        <v>4</v>
      </c>
    </row>
    <row r="10007">
      <c r="A10007" s="58">
        <v>45170.0</v>
      </c>
      <c r="B10007" s="24" t="s">
        <v>6787</v>
      </c>
      <c r="C10007" s="24" t="s">
        <v>6985</v>
      </c>
      <c r="D10007" s="59">
        <v>1.0</v>
      </c>
      <c r="E10007" s="59">
        <v>1.0</v>
      </c>
      <c r="F10007" s="59">
        <v>0.0</v>
      </c>
      <c r="G10007" s="60">
        <v>1.0</v>
      </c>
      <c r="H10007" s="60">
        <v>0.0</v>
      </c>
      <c r="I10007" s="60">
        <v>1435.17555</v>
      </c>
      <c r="J10007" s="59">
        <v>8.0</v>
      </c>
      <c r="K10007" s="61">
        <f t="shared" si="1"/>
        <v>0</v>
      </c>
      <c r="L10007" s="62">
        <f t="shared" si="2"/>
        <v>8</v>
      </c>
    </row>
    <row r="10008">
      <c r="A10008" s="58">
        <v>45170.0</v>
      </c>
      <c r="B10008" s="24" t="s">
        <v>3216</v>
      </c>
      <c r="C10008" s="24" t="s">
        <v>6833</v>
      </c>
      <c r="D10008" s="59">
        <v>1.0</v>
      </c>
      <c r="E10008" s="59">
        <v>3.0</v>
      </c>
      <c r="F10008" s="59">
        <v>1.0</v>
      </c>
      <c r="G10008" s="60">
        <v>3.0</v>
      </c>
      <c r="H10008" s="60">
        <v>0.0</v>
      </c>
      <c r="I10008" s="60">
        <v>5.21952733333333</v>
      </c>
      <c r="J10008" s="59">
        <v>6.0</v>
      </c>
      <c r="K10008" s="61">
        <f t="shared" si="1"/>
        <v>0.3333333333</v>
      </c>
      <c r="L10008" s="62">
        <f t="shared" si="2"/>
        <v>2</v>
      </c>
    </row>
    <row r="10009">
      <c r="A10009" s="58">
        <v>45170.0</v>
      </c>
      <c r="B10009" s="24" t="s">
        <v>6794</v>
      </c>
      <c r="C10009" s="24" t="s">
        <v>6867</v>
      </c>
      <c r="D10009" s="59">
        <v>1.0</v>
      </c>
      <c r="E10009" s="59">
        <v>4.0</v>
      </c>
      <c r="F10009" s="59">
        <v>0.0</v>
      </c>
      <c r="G10009" s="60">
        <v>4.0</v>
      </c>
      <c r="H10009" s="60">
        <v>0.0</v>
      </c>
      <c r="I10009" s="60">
        <v>5.23092174999999</v>
      </c>
      <c r="J10009" s="59">
        <v>8.0</v>
      </c>
      <c r="K10009" s="61">
        <f t="shared" si="1"/>
        <v>0</v>
      </c>
      <c r="L10009" s="62">
        <f t="shared" si="2"/>
        <v>2</v>
      </c>
    </row>
    <row r="10010">
      <c r="A10010" s="58">
        <v>45170.0</v>
      </c>
      <c r="B10010" s="24" t="s">
        <v>6789</v>
      </c>
      <c r="C10010" s="24" t="s">
        <v>7062</v>
      </c>
      <c r="D10010" s="59">
        <v>1.0</v>
      </c>
      <c r="E10010" s="59">
        <v>1.0</v>
      </c>
      <c r="F10010" s="59">
        <v>1.0</v>
      </c>
      <c r="G10010" s="60">
        <v>1.0</v>
      </c>
      <c r="H10010" s="60">
        <v>0.0</v>
      </c>
      <c r="I10010" s="60">
        <v>7.102882</v>
      </c>
      <c r="J10010" s="59">
        <v>2.0</v>
      </c>
      <c r="K10010" s="61">
        <f t="shared" si="1"/>
        <v>1</v>
      </c>
      <c r="L10010" s="62">
        <f t="shared" si="2"/>
        <v>2</v>
      </c>
    </row>
    <row r="10011">
      <c r="A10011" s="58">
        <v>45170.0</v>
      </c>
      <c r="B10011" s="24" t="s">
        <v>6789</v>
      </c>
      <c r="C10011" s="24" t="s">
        <v>7067</v>
      </c>
      <c r="D10011" s="59">
        <v>1.0</v>
      </c>
      <c r="E10011" s="59">
        <v>1.0</v>
      </c>
      <c r="F10011" s="59">
        <v>0.0</v>
      </c>
      <c r="G10011" s="60">
        <v>1.0</v>
      </c>
      <c r="H10011" s="60">
        <v>0.0</v>
      </c>
      <c r="I10011" s="60">
        <v>30.632762</v>
      </c>
      <c r="J10011" s="59">
        <v>2.0</v>
      </c>
      <c r="K10011" s="61">
        <f t="shared" si="1"/>
        <v>0</v>
      </c>
      <c r="L10011" s="62">
        <f t="shared" si="2"/>
        <v>2</v>
      </c>
    </row>
    <row r="10012">
      <c r="A10012" s="58">
        <v>45170.0</v>
      </c>
      <c r="B10012" s="24" t="s">
        <v>155</v>
      </c>
      <c r="C10012" s="24" t="s">
        <v>6835</v>
      </c>
      <c r="D10012" s="59">
        <v>1.0</v>
      </c>
      <c r="E10012" s="59">
        <v>1.0</v>
      </c>
      <c r="F10012" s="59">
        <v>0.0</v>
      </c>
      <c r="G10012" s="60">
        <v>1.0</v>
      </c>
      <c r="H10012" s="60">
        <v>0.0</v>
      </c>
      <c r="I10012" s="60">
        <v>520.718209</v>
      </c>
      <c r="J10012" s="59">
        <v>2.0</v>
      </c>
      <c r="K10012" s="61">
        <f t="shared" si="1"/>
        <v>0</v>
      </c>
      <c r="L10012" s="62">
        <f t="shared" si="2"/>
        <v>2</v>
      </c>
    </row>
    <row r="10013">
      <c r="A10013" s="58">
        <v>45170.0</v>
      </c>
      <c r="B10013" s="24" t="s">
        <v>6787</v>
      </c>
      <c r="C10013" s="24" t="s">
        <v>6992</v>
      </c>
      <c r="D10013" s="59">
        <v>1.0</v>
      </c>
      <c r="E10013" s="59">
        <v>2.0</v>
      </c>
      <c r="F10013" s="59">
        <v>0.0</v>
      </c>
      <c r="G10013" s="60">
        <v>2.0</v>
      </c>
      <c r="H10013" s="60">
        <v>0.0</v>
      </c>
      <c r="I10013" s="60">
        <v>3.1117925</v>
      </c>
      <c r="J10013" s="59">
        <v>4.0</v>
      </c>
      <c r="K10013" s="61">
        <f t="shared" si="1"/>
        <v>0</v>
      </c>
      <c r="L10013" s="62">
        <f t="shared" si="2"/>
        <v>2</v>
      </c>
    </row>
    <row r="10014">
      <c r="A10014" s="58">
        <v>45170.0</v>
      </c>
      <c r="B10014" s="24" t="s">
        <v>6791</v>
      </c>
      <c r="C10014" s="24" t="s">
        <v>6799</v>
      </c>
      <c r="D10014" s="59">
        <v>1.0</v>
      </c>
      <c r="E10014" s="59">
        <v>1.0</v>
      </c>
      <c r="F10014" s="59">
        <v>0.0</v>
      </c>
      <c r="G10014" s="60">
        <v>1.0</v>
      </c>
      <c r="H10014" s="60">
        <v>0.0</v>
      </c>
      <c r="I10014" s="60">
        <v>92.376239</v>
      </c>
      <c r="J10014" s="59">
        <v>2.0</v>
      </c>
      <c r="K10014" s="61">
        <f t="shared" si="1"/>
        <v>0</v>
      </c>
      <c r="L10014" s="62">
        <f t="shared" si="2"/>
        <v>2</v>
      </c>
    </row>
    <row r="10015">
      <c r="A10015" s="58">
        <v>45170.0</v>
      </c>
      <c r="B10015" s="24" t="s">
        <v>155</v>
      </c>
      <c r="C10015" s="24" t="s">
        <v>6799</v>
      </c>
      <c r="D10015" s="59">
        <v>1.0</v>
      </c>
      <c r="E10015" s="59">
        <v>1.0</v>
      </c>
      <c r="F10015" s="59">
        <v>0.0</v>
      </c>
      <c r="G10015" s="60">
        <v>1.0</v>
      </c>
      <c r="H10015" s="60">
        <v>0.0</v>
      </c>
      <c r="I10015" s="60">
        <v>78.819622</v>
      </c>
      <c r="J10015" s="59">
        <v>6.0</v>
      </c>
      <c r="K10015" s="61">
        <f t="shared" si="1"/>
        <v>0</v>
      </c>
      <c r="L10015" s="62">
        <f t="shared" si="2"/>
        <v>6</v>
      </c>
    </row>
    <row r="10016">
      <c r="A10016" s="58">
        <v>45170.0</v>
      </c>
      <c r="B10016" s="24" t="s">
        <v>6794</v>
      </c>
      <c r="C10016" s="24" t="s">
        <v>6997</v>
      </c>
      <c r="D10016" s="59">
        <v>1.0</v>
      </c>
      <c r="E10016" s="59">
        <v>1.0</v>
      </c>
      <c r="F10016" s="59">
        <v>1.0</v>
      </c>
      <c r="G10016" s="60">
        <v>1.0</v>
      </c>
      <c r="H10016" s="60">
        <v>0.0</v>
      </c>
      <c r="I10016" s="60">
        <v>4.787223</v>
      </c>
      <c r="J10016" s="59">
        <v>2.0</v>
      </c>
      <c r="K10016" s="61">
        <f t="shared" si="1"/>
        <v>1</v>
      </c>
      <c r="L10016" s="62">
        <f t="shared" si="2"/>
        <v>2</v>
      </c>
    </row>
    <row r="10017">
      <c r="A10017" s="58">
        <v>45170.0</v>
      </c>
      <c r="B10017" s="24" t="s">
        <v>6790</v>
      </c>
      <c r="C10017" s="24" t="s">
        <v>6891</v>
      </c>
      <c r="D10017" s="59">
        <v>1.0</v>
      </c>
      <c r="E10017" s="59">
        <v>1.0</v>
      </c>
      <c r="F10017" s="59">
        <v>0.0</v>
      </c>
      <c r="G10017" s="60">
        <v>1.0</v>
      </c>
      <c r="H10017" s="60">
        <v>1.0</v>
      </c>
      <c r="I10017" s="60">
        <v>465.105754</v>
      </c>
      <c r="J10017" s="59">
        <v>10.0</v>
      </c>
      <c r="K10017" s="61">
        <f t="shared" si="1"/>
        <v>0</v>
      </c>
      <c r="L10017" s="62">
        <f t="shared" si="2"/>
        <v>10</v>
      </c>
    </row>
    <row r="10018">
      <c r="A10018" s="58">
        <v>45170.0</v>
      </c>
      <c r="B10018" s="24" t="s">
        <v>6794</v>
      </c>
      <c r="C10018" s="24" t="s">
        <v>6892</v>
      </c>
      <c r="D10018" s="59">
        <v>1.0</v>
      </c>
      <c r="E10018" s="59">
        <v>1.0</v>
      </c>
      <c r="F10018" s="59">
        <v>1.0</v>
      </c>
      <c r="G10018" s="60">
        <v>1.0</v>
      </c>
      <c r="H10018" s="60">
        <v>0.0</v>
      </c>
      <c r="I10018" s="60">
        <v>4.938679</v>
      </c>
      <c r="J10018" s="59">
        <v>2.0</v>
      </c>
      <c r="K10018" s="61">
        <f t="shared" si="1"/>
        <v>1</v>
      </c>
      <c r="L10018" s="62">
        <f t="shared" si="2"/>
        <v>2</v>
      </c>
    </row>
    <row r="10019">
      <c r="A10019" s="58">
        <v>45170.0</v>
      </c>
      <c r="B10019" s="24" t="s">
        <v>6787</v>
      </c>
      <c r="C10019" s="24" t="s">
        <v>7611</v>
      </c>
      <c r="D10019" s="59">
        <v>1.0</v>
      </c>
      <c r="E10019" s="59">
        <v>1.0</v>
      </c>
      <c r="F10019" s="59">
        <v>1.0</v>
      </c>
      <c r="G10019" s="60">
        <v>1.0</v>
      </c>
      <c r="H10019" s="60">
        <v>0.0</v>
      </c>
      <c r="I10019" s="60">
        <v>2.567165</v>
      </c>
      <c r="J10019" s="59">
        <v>2.0</v>
      </c>
      <c r="K10019" s="61">
        <f t="shared" si="1"/>
        <v>1</v>
      </c>
      <c r="L10019" s="62">
        <f t="shared" si="2"/>
        <v>2</v>
      </c>
    </row>
    <row r="10020">
      <c r="A10020" s="58">
        <v>45170.0</v>
      </c>
      <c r="B10020" s="24" t="s">
        <v>155</v>
      </c>
      <c r="C10020" s="24" t="s">
        <v>7608</v>
      </c>
      <c r="D10020" s="59">
        <v>1.0</v>
      </c>
      <c r="E10020" s="59">
        <v>2.0</v>
      </c>
      <c r="F10020" s="59">
        <v>0.0</v>
      </c>
      <c r="G10020" s="60">
        <v>2.0</v>
      </c>
      <c r="H10020" s="60">
        <v>0.0</v>
      </c>
      <c r="I10020" s="60">
        <v>5.3396705</v>
      </c>
      <c r="J10020" s="59">
        <v>4.0</v>
      </c>
      <c r="K10020" s="61">
        <f t="shared" si="1"/>
        <v>0</v>
      </c>
      <c r="L10020" s="62">
        <f t="shared" si="2"/>
        <v>2</v>
      </c>
    </row>
    <row r="10021">
      <c r="A10021" s="58">
        <v>45170.0</v>
      </c>
      <c r="B10021" s="24" t="s">
        <v>6789</v>
      </c>
      <c r="C10021" s="24" t="s">
        <v>6897</v>
      </c>
      <c r="D10021" s="59">
        <v>1.0</v>
      </c>
      <c r="E10021" s="59">
        <v>1.0</v>
      </c>
      <c r="F10021" s="59">
        <v>1.0</v>
      </c>
      <c r="G10021" s="60">
        <v>1.0</v>
      </c>
      <c r="H10021" s="60">
        <v>0.0</v>
      </c>
      <c r="I10021" s="60">
        <v>13.304639</v>
      </c>
      <c r="J10021" s="59">
        <v>2.0</v>
      </c>
      <c r="K10021" s="61">
        <f t="shared" si="1"/>
        <v>1</v>
      </c>
      <c r="L10021" s="62">
        <f t="shared" si="2"/>
        <v>2</v>
      </c>
    </row>
    <row r="10022">
      <c r="A10022" s="58">
        <v>45170.0</v>
      </c>
      <c r="B10022" s="24" t="s">
        <v>6787</v>
      </c>
      <c r="C10022" s="24" t="s">
        <v>7612</v>
      </c>
      <c r="D10022" s="59">
        <v>1.0</v>
      </c>
      <c r="E10022" s="59">
        <v>1.0</v>
      </c>
      <c r="F10022" s="59">
        <v>0.0</v>
      </c>
      <c r="G10022" s="60">
        <v>1.0</v>
      </c>
      <c r="H10022" s="60">
        <v>0.0</v>
      </c>
      <c r="I10022" s="60">
        <v>390.460687</v>
      </c>
      <c r="J10022" s="59">
        <v>14.0</v>
      </c>
      <c r="K10022" s="61">
        <f t="shared" si="1"/>
        <v>0</v>
      </c>
      <c r="L10022" s="62">
        <f t="shared" si="2"/>
        <v>14</v>
      </c>
    </row>
    <row r="10023">
      <c r="A10023" s="58">
        <v>45170.0</v>
      </c>
      <c r="B10023" s="24" t="s">
        <v>6787</v>
      </c>
      <c r="C10023" s="24" t="s">
        <v>7613</v>
      </c>
      <c r="D10023" s="59">
        <v>1.0</v>
      </c>
      <c r="E10023" s="59">
        <v>1.0</v>
      </c>
      <c r="F10023" s="59">
        <v>1.0</v>
      </c>
      <c r="G10023" s="60">
        <v>1.0</v>
      </c>
      <c r="H10023" s="60">
        <v>0.0</v>
      </c>
      <c r="I10023" s="60">
        <v>4.099635</v>
      </c>
      <c r="J10023" s="59">
        <v>2.0</v>
      </c>
      <c r="K10023" s="61">
        <f t="shared" si="1"/>
        <v>1</v>
      </c>
      <c r="L10023" s="62">
        <f t="shared" si="2"/>
        <v>2</v>
      </c>
    </row>
    <row r="10024">
      <c r="A10024" s="58">
        <v>45170.0</v>
      </c>
      <c r="B10024" s="24" t="s">
        <v>6794</v>
      </c>
      <c r="C10024" s="24" t="s">
        <v>7008</v>
      </c>
      <c r="D10024" s="59">
        <v>1.0</v>
      </c>
      <c r="E10024" s="59">
        <v>1.0</v>
      </c>
      <c r="F10024" s="59">
        <v>0.0</v>
      </c>
      <c r="G10024" s="60">
        <v>1.0</v>
      </c>
      <c r="H10024" s="60">
        <v>0.0</v>
      </c>
      <c r="I10024" s="60">
        <v>27.577397</v>
      </c>
      <c r="J10024" s="59">
        <v>6.0</v>
      </c>
      <c r="K10024" s="61">
        <f t="shared" si="1"/>
        <v>0</v>
      </c>
      <c r="L10024" s="62">
        <f t="shared" si="2"/>
        <v>6</v>
      </c>
    </row>
    <row r="10025">
      <c r="A10025" s="58">
        <v>45170.0</v>
      </c>
      <c r="B10025" s="24" t="s">
        <v>6787</v>
      </c>
      <c r="C10025" s="24" t="s">
        <v>7009</v>
      </c>
      <c r="D10025" s="59">
        <v>1.0</v>
      </c>
      <c r="E10025" s="59">
        <v>1.0</v>
      </c>
      <c r="F10025" s="59">
        <v>1.0</v>
      </c>
      <c r="G10025" s="60">
        <v>1.0</v>
      </c>
      <c r="H10025" s="60">
        <v>0.0</v>
      </c>
      <c r="I10025" s="60">
        <v>1257.827605</v>
      </c>
      <c r="J10025" s="59">
        <v>4.0</v>
      </c>
      <c r="K10025" s="61">
        <f t="shared" si="1"/>
        <v>1</v>
      </c>
      <c r="L10025" s="62">
        <f t="shared" si="2"/>
        <v>4</v>
      </c>
    </row>
    <row r="10026">
      <c r="A10026" s="58">
        <v>45170.0</v>
      </c>
      <c r="B10026" s="24" t="s">
        <v>6787</v>
      </c>
      <c r="C10026" s="24" t="s">
        <v>7401</v>
      </c>
      <c r="D10026" s="59">
        <v>1.0</v>
      </c>
      <c r="E10026" s="59">
        <v>1.0</v>
      </c>
      <c r="F10026" s="59">
        <v>1.0</v>
      </c>
      <c r="G10026" s="60">
        <v>1.0</v>
      </c>
      <c r="H10026" s="60">
        <v>0.0</v>
      </c>
      <c r="I10026" s="60">
        <v>0.325476</v>
      </c>
      <c r="J10026" s="59">
        <v>2.0</v>
      </c>
      <c r="K10026" s="61">
        <f t="shared" si="1"/>
        <v>1</v>
      </c>
      <c r="L10026" s="62">
        <f t="shared" si="2"/>
        <v>2</v>
      </c>
    </row>
    <row r="10027">
      <c r="A10027" s="58">
        <v>45170.0</v>
      </c>
      <c r="B10027" s="24" t="s">
        <v>6794</v>
      </c>
      <c r="C10027" s="24" t="s">
        <v>6905</v>
      </c>
      <c r="D10027" s="59">
        <v>1.0</v>
      </c>
      <c r="E10027" s="59">
        <v>1.0</v>
      </c>
      <c r="F10027" s="59">
        <v>0.0</v>
      </c>
      <c r="G10027" s="60">
        <v>1.0</v>
      </c>
      <c r="H10027" s="60">
        <v>0.0</v>
      </c>
      <c r="I10027" s="60">
        <v>5.425241</v>
      </c>
      <c r="J10027" s="59">
        <v>2.0</v>
      </c>
      <c r="K10027" s="61">
        <f t="shared" si="1"/>
        <v>0</v>
      </c>
      <c r="L10027" s="62">
        <f t="shared" si="2"/>
        <v>2</v>
      </c>
    </row>
    <row r="10028">
      <c r="A10028" s="58">
        <v>45170.0</v>
      </c>
      <c r="B10028" s="24" t="s">
        <v>6789</v>
      </c>
      <c r="C10028" s="24" t="s">
        <v>7573</v>
      </c>
      <c r="D10028" s="59">
        <v>1.0</v>
      </c>
      <c r="E10028" s="59">
        <v>1.0</v>
      </c>
      <c r="F10028" s="59">
        <v>1.0</v>
      </c>
      <c r="G10028" s="60">
        <v>1.0</v>
      </c>
      <c r="H10028" s="60">
        <v>0.0</v>
      </c>
      <c r="I10028" s="60">
        <v>2.357162</v>
      </c>
      <c r="J10028" s="59">
        <v>2.0</v>
      </c>
      <c r="K10028" s="61">
        <f t="shared" si="1"/>
        <v>1</v>
      </c>
      <c r="L10028" s="62">
        <f t="shared" si="2"/>
        <v>2</v>
      </c>
    </row>
    <row r="10029">
      <c r="A10029" s="58">
        <v>45170.0</v>
      </c>
      <c r="B10029" s="24" t="s">
        <v>6787</v>
      </c>
      <c r="C10029" s="24" t="s">
        <v>7585</v>
      </c>
      <c r="D10029" s="59">
        <v>1.0</v>
      </c>
      <c r="E10029" s="59">
        <v>1.0</v>
      </c>
      <c r="F10029" s="59">
        <v>0.0</v>
      </c>
      <c r="G10029" s="60">
        <v>1.0</v>
      </c>
      <c r="H10029" s="60">
        <v>0.0</v>
      </c>
      <c r="I10029" s="60">
        <v>5.160004</v>
      </c>
      <c r="J10029" s="59">
        <v>2.0</v>
      </c>
      <c r="K10029" s="61">
        <f t="shared" si="1"/>
        <v>0</v>
      </c>
      <c r="L10029" s="62">
        <f t="shared" si="2"/>
        <v>2</v>
      </c>
    </row>
    <row r="10030">
      <c r="A10030" s="58">
        <v>45170.0</v>
      </c>
      <c r="B10030" s="24" t="s">
        <v>6789</v>
      </c>
      <c r="C10030" s="24" t="s">
        <v>7614</v>
      </c>
      <c r="D10030" s="59">
        <v>1.0</v>
      </c>
      <c r="E10030" s="59">
        <v>1.0</v>
      </c>
      <c r="F10030" s="59">
        <v>1.0</v>
      </c>
      <c r="G10030" s="60">
        <v>1.0</v>
      </c>
      <c r="H10030" s="60">
        <v>0.0</v>
      </c>
      <c r="I10030" s="60">
        <v>71.330149</v>
      </c>
      <c r="J10030" s="59">
        <v>3.0</v>
      </c>
      <c r="K10030" s="61">
        <f t="shared" si="1"/>
        <v>1</v>
      </c>
      <c r="L10030" s="62">
        <f t="shared" si="2"/>
        <v>3</v>
      </c>
    </row>
    <row r="10031">
      <c r="A10031" s="58">
        <v>45170.0</v>
      </c>
      <c r="B10031" s="24" t="s">
        <v>6791</v>
      </c>
      <c r="C10031" s="24" t="s">
        <v>7595</v>
      </c>
      <c r="D10031" s="59">
        <v>1.0</v>
      </c>
      <c r="E10031" s="59">
        <v>1.0</v>
      </c>
      <c r="F10031" s="59">
        <v>0.0</v>
      </c>
      <c r="G10031" s="60">
        <v>1.0</v>
      </c>
      <c r="H10031" s="60">
        <v>0.0</v>
      </c>
      <c r="I10031" s="60">
        <v>202.688379</v>
      </c>
      <c r="J10031" s="59">
        <v>4.0</v>
      </c>
      <c r="K10031" s="61">
        <f t="shared" si="1"/>
        <v>0</v>
      </c>
      <c r="L10031" s="62">
        <f t="shared" si="2"/>
        <v>4</v>
      </c>
    </row>
    <row r="10032">
      <c r="A10032" s="58">
        <v>45170.0</v>
      </c>
      <c r="B10032" s="24" t="s">
        <v>6787</v>
      </c>
      <c r="C10032" s="24" t="s">
        <v>7204</v>
      </c>
      <c r="D10032" s="59">
        <v>1.0</v>
      </c>
      <c r="E10032" s="59">
        <v>1.0</v>
      </c>
      <c r="F10032" s="59">
        <v>0.0</v>
      </c>
      <c r="G10032" s="60">
        <v>1.0</v>
      </c>
      <c r="H10032" s="60">
        <v>0.0</v>
      </c>
      <c r="I10032" s="60">
        <v>5.215474</v>
      </c>
      <c r="J10032" s="59">
        <v>2.0</v>
      </c>
      <c r="K10032" s="61">
        <f t="shared" si="1"/>
        <v>0</v>
      </c>
      <c r="L10032" s="62">
        <f t="shared" si="2"/>
        <v>2</v>
      </c>
    </row>
    <row r="10033">
      <c r="A10033" s="58">
        <v>45170.0</v>
      </c>
      <c r="B10033" s="24" t="s">
        <v>6789</v>
      </c>
      <c r="C10033" s="24" t="s">
        <v>7615</v>
      </c>
      <c r="D10033" s="59">
        <v>1.0</v>
      </c>
      <c r="E10033" s="59">
        <v>1.0</v>
      </c>
      <c r="F10033" s="59">
        <v>0.0</v>
      </c>
      <c r="G10033" s="60">
        <v>1.0</v>
      </c>
      <c r="H10033" s="60">
        <v>0.0</v>
      </c>
      <c r="I10033" s="60">
        <v>1731.775625</v>
      </c>
      <c r="J10033" s="59">
        <v>8.0</v>
      </c>
      <c r="K10033" s="61">
        <f t="shared" si="1"/>
        <v>0</v>
      </c>
      <c r="L10033" s="62">
        <f t="shared" si="2"/>
        <v>8</v>
      </c>
    </row>
    <row r="10034">
      <c r="A10034" s="58">
        <v>45170.0</v>
      </c>
      <c r="B10034" s="24" t="s">
        <v>6787</v>
      </c>
      <c r="C10034" s="24" t="s">
        <v>7592</v>
      </c>
      <c r="D10034" s="59">
        <v>1.0</v>
      </c>
      <c r="E10034" s="59">
        <v>1.0</v>
      </c>
      <c r="F10034" s="59">
        <v>1.0</v>
      </c>
      <c r="G10034" s="60">
        <v>1.0</v>
      </c>
      <c r="H10034" s="60">
        <v>0.0</v>
      </c>
      <c r="I10034" s="60">
        <v>32.744261</v>
      </c>
      <c r="J10034" s="59">
        <v>2.0</v>
      </c>
      <c r="K10034" s="61">
        <f t="shared" si="1"/>
        <v>1</v>
      </c>
      <c r="L10034" s="62">
        <f t="shared" si="2"/>
        <v>2</v>
      </c>
    </row>
    <row r="10035">
      <c r="A10035" s="58">
        <v>45170.0</v>
      </c>
      <c r="B10035" s="24" t="s">
        <v>6789</v>
      </c>
      <c r="C10035" s="24" t="s">
        <v>7558</v>
      </c>
      <c r="D10035" s="59">
        <v>1.0</v>
      </c>
      <c r="E10035" s="59">
        <v>1.0</v>
      </c>
      <c r="F10035" s="59">
        <v>1.0</v>
      </c>
      <c r="G10035" s="60">
        <v>1.0</v>
      </c>
      <c r="H10035" s="60">
        <v>0.0</v>
      </c>
      <c r="I10035" s="60">
        <v>4.019544</v>
      </c>
      <c r="J10035" s="59">
        <v>2.0</v>
      </c>
      <c r="K10035" s="61">
        <f t="shared" si="1"/>
        <v>1</v>
      </c>
      <c r="L10035" s="62">
        <f t="shared" si="2"/>
        <v>2</v>
      </c>
    </row>
    <row r="10036">
      <c r="A10036" s="58">
        <v>45170.0</v>
      </c>
      <c r="B10036" s="24" t="s">
        <v>6789</v>
      </c>
      <c r="C10036" s="24" t="s">
        <v>7616</v>
      </c>
      <c r="D10036" s="59">
        <v>1.0</v>
      </c>
      <c r="E10036" s="59">
        <v>1.0</v>
      </c>
      <c r="F10036" s="59">
        <v>1.0</v>
      </c>
      <c r="G10036" s="60">
        <v>1.0</v>
      </c>
      <c r="H10036" s="60">
        <v>0.0</v>
      </c>
      <c r="I10036" s="60">
        <v>6.135846</v>
      </c>
      <c r="J10036" s="59">
        <v>2.0</v>
      </c>
      <c r="K10036" s="61">
        <f t="shared" si="1"/>
        <v>1</v>
      </c>
      <c r="L10036" s="62">
        <f t="shared" si="2"/>
        <v>2</v>
      </c>
    </row>
    <row r="10037">
      <c r="A10037" s="58">
        <v>45170.0</v>
      </c>
      <c r="B10037" s="24" t="s">
        <v>6794</v>
      </c>
      <c r="C10037" s="24" t="s">
        <v>7616</v>
      </c>
      <c r="D10037" s="59">
        <v>1.0</v>
      </c>
      <c r="E10037" s="59">
        <v>2.0</v>
      </c>
      <c r="F10037" s="59">
        <v>0.0</v>
      </c>
      <c r="G10037" s="60">
        <v>2.0</v>
      </c>
      <c r="H10037" s="60">
        <v>0.0</v>
      </c>
      <c r="I10037" s="60">
        <v>13.528851</v>
      </c>
      <c r="J10037" s="59">
        <v>4.0</v>
      </c>
      <c r="K10037" s="61">
        <f t="shared" si="1"/>
        <v>0</v>
      </c>
      <c r="L10037" s="62">
        <f t="shared" si="2"/>
        <v>2</v>
      </c>
    </row>
    <row r="10038">
      <c r="A10038" s="58">
        <v>45170.0</v>
      </c>
      <c r="B10038" s="24" t="s">
        <v>6789</v>
      </c>
      <c r="C10038" s="24" t="s">
        <v>7259</v>
      </c>
      <c r="D10038" s="59">
        <v>1.0</v>
      </c>
      <c r="E10038" s="59">
        <v>1.0</v>
      </c>
      <c r="F10038" s="59">
        <v>0.0</v>
      </c>
      <c r="G10038" s="60">
        <v>1.0</v>
      </c>
      <c r="H10038" s="60">
        <v>0.0</v>
      </c>
      <c r="I10038" s="60">
        <v>167.767787</v>
      </c>
      <c r="J10038" s="59">
        <v>8.0</v>
      </c>
      <c r="K10038" s="61">
        <f t="shared" si="1"/>
        <v>0</v>
      </c>
      <c r="L10038" s="62">
        <f t="shared" si="2"/>
        <v>8</v>
      </c>
    </row>
    <row r="10039">
      <c r="A10039" s="58">
        <v>45170.0</v>
      </c>
      <c r="B10039" s="24" t="s">
        <v>6794</v>
      </c>
      <c r="C10039" s="24" t="s">
        <v>7259</v>
      </c>
      <c r="D10039" s="59">
        <v>1.0</v>
      </c>
      <c r="E10039" s="59">
        <v>1.0</v>
      </c>
      <c r="F10039" s="59">
        <v>0.0</v>
      </c>
      <c r="G10039" s="60">
        <v>1.0</v>
      </c>
      <c r="H10039" s="60">
        <v>0.0</v>
      </c>
      <c r="I10039" s="60">
        <v>1666.115725</v>
      </c>
      <c r="J10039" s="59">
        <v>2.0</v>
      </c>
      <c r="K10039" s="61">
        <f t="shared" si="1"/>
        <v>0</v>
      </c>
      <c r="L10039" s="62">
        <f t="shared" si="2"/>
        <v>2</v>
      </c>
    </row>
    <row r="10040">
      <c r="A10040" s="58">
        <v>45170.0</v>
      </c>
      <c r="B10040" s="24" t="s">
        <v>6789</v>
      </c>
      <c r="C10040" s="24" t="s">
        <v>7566</v>
      </c>
      <c r="D10040" s="59">
        <v>1.0</v>
      </c>
      <c r="E10040" s="59">
        <v>1.0</v>
      </c>
      <c r="F10040" s="59">
        <v>1.0</v>
      </c>
      <c r="G10040" s="60">
        <v>1.0</v>
      </c>
      <c r="H10040" s="60">
        <v>0.0</v>
      </c>
      <c r="I10040" s="60">
        <v>55.197142</v>
      </c>
      <c r="J10040" s="59">
        <v>2.0</v>
      </c>
      <c r="K10040" s="61">
        <f t="shared" si="1"/>
        <v>1</v>
      </c>
      <c r="L10040" s="62">
        <f t="shared" si="2"/>
        <v>2</v>
      </c>
    </row>
    <row r="10041">
      <c r="A10041" s="58">
        <v>45170.0</v>
      </c>
      <c r="B10041" s="24" t="s">
        <v>6787</v>
      </c>
      <c r="C10041" s="24" t="s">
        <v>7617</v>
      </c>
      <c r="D10041" s="59">
        <v>1.0</v>
      </c>
      <c r="E10041" s="59">
        <v>1.0</v>
      </c>
      <c r="F10041" s="59">
        <v>0.0</v>
      </c>
      <c r="G10041" s="60">
        <v>1.0</v>
      </c>
      <c r="H10041" s="60">
        <v>0.0</v>
      </c>
      <c r="I10041" s="60">
        <v>171.492872</v>
      </c>
      <c r="J10041" s="59">
        <v>4.0</v>
      </c>
      <c r="K10041" s="61">
        <f t="shared" si="1"/>
        <v>0</v>
      </c>
      <c r="L10041" s="62">
        <f t="shared" si="2"/>
        <v>4</v>
      </c>
    </row>
    <row r="10042">
      <c r="A10042" s="58">
        <v>45170.0</v>
      </c>
      <c r="B10042" s="24" t="s">
        <v>6789</v>
      </c>
      <c r="C10042" s="24" t="s">
        <v>7530</v>
      </c>
      <c r="D10042" s="59">
        <v>1.0</v>
      </c>
      <c r="E10042" s="59">
        <v>1.0</v>
      </c>
      <c r="F10042" s="59">
        <v>1.0</v>
      </c>
      <c r="G10042" s="60">
        <v>1.0</v>
      </c>
      <c r="H10042" s="60">
        <v>0.0</v>
      </c>
      <c r="I10042" s="60">
        <v>0.033869</v>
      </c>
      <c r="J10042" s="59">
        <v>2.0</v>
      </c>
      <c r="K10042" s="61">
        <f t="shared" si="1"/>
        <v>1</v>
      </c>
      <c r="L10042" s="62">
        <f t="shared" si="2"/>
        <v>2</v>
      </c>
    </row>
    <row r="10043">
      <c r="A10043" s="58">
        <v>45170.0</v>
      </c>
      <c r="B10043" s="24" t="s">
        <v>6794</v>
      </c>
      <c r="C10043" s="24" t="s">
        <v>7530</v>
      </c>
      <c r="D10043" s="59">
        <v>1.0</v>
      </c>
      <c r="E10043" s="59">
        <v>2.0</v>
      </c>
      <c r="F10043" s="59">
        <v>0.0</v>
      </c>
      <c r="G10043" s="60">
        <v>2.0</v>
      </c>
      <c r="H10043" s="60">
        <v>0.0</v>
      </c>
      <c r="I10043" s="60">
        <v>3060.8278365</v>
      </c>
      <c r="J10043" s="59">
        <v>28.0</v>
      </c>
      <c r="K10043" s="61">
        <f t="shared" si="1"/>
        <v>0</v>
      </c>
      <c r="L10043" s="62">
        <f t="shared" si="2"/>
        <v>14</v>
      </c>
    </row>
    <row r="10044">
      <c r="A10044" s="58">
        <v>45170.0</v>
      </c>
      <c r="B10044" s="24" t="s">
        <v>6789</v>
      </c>
      <c r="C10044" s="24" t="s">
        <v>7207</v>
      </c>
      <c r="D10044" s="59">
        <v>1.0</v>
      </c>
      <c r="E10044" s="59">
        <v>1.0</v>
      </c>
      <c r="F10044" s="59">
        <v>1.0</v>
      </c>
      <c r="G10044" s="60">
        <v>1.0</v>
      </c>
      <c r="H10044" s="60">
        <v>0.0</v>
      </c>
      <c r="I10044" s="60">
        <v>1.816794</v>
      </c>
      <c r="J10044" s="59">
        <v>2.0</v>
      </c>
      <c r="K10044" s="61">
        <f t="shared" si="1"/>
        <v>1</v>
      </c>
      <c r="L10044" s="62">
        <f t="shared" si="2"/>
        <v>2</v>
      </c>
    </row>
    <row r="10045">
      <c r="A10045" s="58">
        <v>45170.0</v>
      </c>
      <c r="B10045" s="24" t="s">
        <v>6942</v>
      </c>
      <c r="C10045" s="24" t="s">
        <v>7207</v>
      </c>
      <c r="D10045" s="59">
        <v>1.0</v>
      </c>
      <c r="E10045" s="59">
        <v>1.0</v>
      </c>
      <c r="F10045" s="59">
        <v>1.0</v>
      </c>
      <c r="G10045" s="60">
        <v>1.0</v>
      </c>
      <c r="H10045" s="60">
        <v>0.0</v>
      </c>
      <c r="I10045" s="60">
        <v>0.03949</v>
      </c>
      <c r="J10045" s="59">
        <v>2.0</v>
      </c>
      <c r="K10045" s="61">
        <f t="shared" si="1"/>
        <v>1</v>
      </c>
      <c r="L10045" s="62">
        <f t="shared" si="2"/>
        <v>2</v>
      </c>
    </row>
    <row r="10046">
      <c r="A10046" s="58">
        <v>45170.0</v>
      </c>
      <c r="B10046" s="24" t="s">
        <v>6789</v>
      </c>
      <c r="C10046" s="24" t="s">
        <v>7554</v>
      </c>
      <c r="D10046" s="59">
        <v>1.0</v>
      </c>
      <c r="E10046" s="59">
        <v>1.0</v>
      </c>
      <c r="F10046" s="59">
        <v>1.0</v>
      </c>
      <c r="G10046" s="60">
        <v>1.0</v>
      </c>
      <c r="H10046" s="60">
        <v>0.0</v>
      </c>
      <c r="I10046" s="60">
        <v>0.037359</v>
      </c>
      <c r="J10046" s="59">
        <v>2.0</v>
      </c>
      <c r="K10046" s="61">
        <f t="shared" si="1"/>
        <v>1</v>
      </c>
      <c r="L10046" s="62">
        <f t="shared" si="2"/>
        <v>2</v>
      </c>
    </row>
    <row r="10047">
      <c r="A10047" s="58">
        <v>45170.0</v>
      </c>
      <c r="B10047" s="24" t="s">
        <v>3216</v>
      </c>
      <c r="C10047" s="24" t="s">
        <v>6808</v>
      </c>
      <c r="D10047" s="59">
        <v>1.0</v>
      </c>
      <c r="E10047" s="59">
        <v>1.0</v>
      </c>
      <c r="F10047" s="59">
        <v>0.0</v>
      </c>
      <c r="G10047" s="60">
        <v>1.0</v>
      </c>
      <c r="H10047" s="60">
        <v>0.0</v>
      </c>
      <c r="I10047" s="60">
        <v>2.748253</v>
      </c>
      <c r="J10047" s="59">
        <v>2.0</v>
      </c>
      <c r="K10047" s="61">
        <f t="shared" si="1"/>
        <v>0</v>
      </c>
      <c r="L10047" s="62">
        <f t="shared" si="2"/>
        <v>2</v>
      </c>
    </row>
    <row r="10048">
      <c r="A10048" s="58">
        <v>45170.0</v>
      </c>
      <c r="B10048" s="24" t="s">
        <v>6787</v>
      </c>
      <c r="C10048" s="24" t="s">
        <v>7087</v>
      </c>
      <c r="D10048" s="59">
        <v>1.0</v>
      </c>
      <c r="E10048" s="59">
        <v>1.0</v>
      </c>
      <c r="F10048" s="59">
        <v>1.0</v>
      </c>
      <c r="G10048" s="60">
        <v>1.0</v>
      </c>
      <c r="H10048" s="60">
        <v>0.0</v>
      </c>
      <c r="I10048" s="60">
        <v>32.853541</v>
      </c>
      <c r="J10048" s="59">
        <v>2.0</v>
      </c>
      <c r="K10048" s="61">
        <f t="shared" si="1"/>
        <v>1</v>
      </c>
      <c r="L10048" s="62">
        <f t="shared" si="2"/>
        <v>2</v>
      </c>
    </row>
    <row r="10049">
      <c r="A10049" s="58">
        <v>45170.0</v>
      </c>
      <c r="B10049" s="24" t="s">
        <v>6789</v>
      </c>
      <c r="C10049" s="24" t="s">
        <v>7087</v>
      </c>
      <c r="D10049" s="59">
        <v>1.0</v>
      </c>
      <c r="E10049" s="59">
        <v>1.0</v>
      </c>
      <c r="F10049" s="59">
        <v>1.0</v>
      </c>
      <c r="G10049" s="60">
        <v>1.0</v>
      </c>
      <c r="H10049" s="60">
        <v>0.0</v>
      </c>
      <c r="I10049" s="60">
        <v>9.638362</v>
      </c>
      <c r="J10049" s="59">
        <v>2.0</v>
      </c>
      <c r="K10049" s="61">
        <f t="shared" si="1"/>
        <v>1</v>
      </c>
      <c r="L10049" s="62">
        <f t="shared" si="2"/>
        <v>2</v>
      </c>
    </row>
    <row r="10050">
      <c r="A10050" s="58">
        <v>45170.0</v>
      </c>
      <c r="B10050" s="24" t="s">
        <v>3216</v>
      </c>
      <c r="C10050" s="24" t="s">
        <v>6800</v>
      </c>
      <c r="D10050" s="59">
        <v>1.0</v>
      </c>
      <c r="E10050" s="59">
        <v>1.0</v>
      </c>
      <c r="F10050" s="59">
        <v>0.0</v>
      </c>
      <c r="G10050" s="60">
        <v>1.0</v>
      </c>
      <c r="H10050" s="60">
        <v>0.0</v>
      </c>
      <c r="I10050" s="60">
        <v>956.270702</v>
      </c>
      <c r="J10050" s="59">
        <v>8.0</v>
      </c>
      <c r="K10050" s="61">
        <f t="shared" si="1"/>
        <v>0</v>
      </c>
      <c r="L10050" s="62">
        <f t="shared" si="2"/>
        <v>8</v>
      </c>
    </row>
    <row r="10051">
      <c r="A10051" s="58">
        <v>45170.0</v>
      </c>
      <c r="B10051" s="24" t="s">
        <v>6791</v>
      </c>
      <c r="C10051" s="24" t="s">
        <v>7013</v>
      </c>
      <c r="D10051" s="59">
        <v>1.0</v>
      </c>
      <c r="E10051" s="59">
        <v>1.0</v>
      </c>
      <c r="F10051" s="59">
        <v>0.0</v>
      </c>
      <c r="G10051" s="60">
        <v>1.0</v>
      </c>
      <c r="H10051" s="60">
        <v>0.0</v>
      </c>
      <c r="I10051" s="60">
        <v>61.091937</v>
      </c>
      <c r="J10051" s="59">
        <v>4.0</v>
      </c>
      <c r="K10051" s="61">
        <f t="shared" si="1"/>
        <v>0</v>
      </c>
      <c r="L10051" s="62">
        <f t="shared" si="2"/>
        <v>4</v>
      </c>
    </row>
    <row r="10052">
      <c r="A10052" s="58">
        <v>45170.0</v>
      </c>
      <c r="B10052" s="24" t="s">
        <v>155</v>
      </c>
      <c r="C10052" s="24" t="s">
        <v>7013</v>
      </c>
      <c r="D10052" s="59">
        <v>1.0</v>
      </c>
      <c r="E10052" s="59">
        <v>3.0</v>
      </c>
      <c r="F10052" s="59">
        <v>0.0</v>
      </c>
      <c r="G10052" s="60">
        <v>3.0</v>
      </c>
      <c r="H10052" s="60">
        <v>0.0</v>
      </c>
      <c r="I10052" s="60">
        <v>5.74725266666666</v>
      </c>
      <c r="J10052" s="59">
        <v>6.0</v>
      </c>
      <c r="K10052" s="61">
        <f t="shared" si="1"/>
        <v>0</v>
      </c>
      <c r="L10052" s="62">
        <f t="shared" si="2"/>
        <v>2</v>
      </c>
    </row>
    <row r="10053">
      <c r="A10053" s="58">
        <v>45170.0</v>
      </c>
      <c r="B10053" s="24" t="s">
        <v>6790</v>
      </c>
      <c r="C10053" s="24" t="s">
        <v>7013</v>
      </c>
      <c r="D10053" s="59">
        <v>1.0</v>
      </c>
      <c r="E10053" s="59">
        <v>1.0</v>
      </c>
      <c r="F10053" s="59">
        <v>0.0</v>
      </c>
      <c r="G10053" s="60">
        <v>1.0</v>
      </c>
      <c r="H10053" s="60">
        <v>0.0</v>
      </c>
      <c r="I10053" s="60">
        <v>1342.483881</v>
      </c>
      <c r="J10053" s="59">
        <v>2.0</v>
      </c>
      <c r="K10053" s="61">
        <f t="shared" si="1"/>
        <v>0</v>
      </c>
      <c r="L10053" s="62">
        <f t="shared" si="2"/>
        <v>2</v>
      </c>
    </row>
    <row r="10054">
      <c r="A10054" s="58">
        <v>45170.0</v>
      </c>
      <c r="B10054" s="24" t="s">
        <v>6787</v>
      </c>
      <c r="C10054" s="24" t="s">
        <v>7101</v>
      </c>
      <c r="D10054" s="59">
        <v>1.0</v>
      </c>
      <c r="E10054" s="59">
        <v>1.0</v>
      </c>
      <c r="F10054" s="59">
        <v>1.0</v>
      </c>
      <c r="G10054" s="60">
        <v>1.0</v>
      </c>
      <c r="H10054" s="60">
        <v>0.0</v>
      </c>
      <c r="I10054" s="60">
        <v>0.323386</v>
      </c>
      <c r="J10054" s="59">
        <v>2.0</v>
      </c>
      <c r="K10054" s="61">
        <f t="shared" si="1"/>
        <v>1</v>
      </c>
      <c r="L10054" s="62">
        <f t="shared" si="2"/>
        <v>2</v>
      </c>
    </row>
    <row r="10055">
      <c r="A10055" s="58">
        <v>45170.0</v>
      </c>
      <c r="B10055" s="24" t="s">
        <v>155</v>
      </c>
      <c r="C10055" s="24" t="s">
        <v>7101</v>
      </c>
      <c r="D10055" s="59">
        <v>1.0</v>
      </c>
      <c r="E10055" s="59">
        <v>1.0</v>
      </c>
      <c r="F10055" s="59">
        <v>0.0</v>
      </c>
      <c r="G10055" s="60">
        <v>1.0</v>
      </c>
      <c r="H10055" s="60">
        <v>0.0</v>
      </c>
      <c r="I10055" s="60">
        <v>2820.655371</v>
      </c>
      <c r="J10055" s="59">
        <v>65.0</v>
      </c>
      <c r="K10055" s="61">
        <f t="shared" si="1"/>
        <v>0</v>
      </c>
      <c r="L10055" s="62">
        <f t="shared" si="2"/>
        <v>65</v>
      </c>
    </row>
    <row r="10056">
      <c r="A10056" s="58">
        <v>45170.0</v>
      </c>
      <c r="B10056" s="24" t="s">
        <v>6787</v>
      </c>
      <c r="C10056" s="24" t="s">
        <v>6908</v>
      </c>
      <c r="D10056" s="59">
        <v>1.0</v>
      </c>
      <c r="E10056" s="59">
        <v>1.0</v>
      </c>
      <c r="F10056" s="59">
        <v>1.0</v>
      </c>
      <c r="G10056" s="60">
        <v>1.0</v>
      </c>
      <c r="H10056" s="60">
        <v>0.0</v>
      </c>
      <c r="I10056" s="60">
        <v>0.261487</v>
      </c>
      <c r="J10056" s="59">
        <v>2.0</v>
      </c>
      <c r="K10056" s="61">
        <f t="shared" si="1"/>
        <v>1</v>
      </c>
      <c r="L10056" s="62">
        <f t="shared" si="2"/>
        <v>2</v>
      </c>
    </row>
    <row r="10057">
      <c r="A10057" s="58">
        <v>45170.0</v>
      </c>
      <c r="B10057" s="24" t="s">
        <v>6794</v>
      </c>
      <c r="C10057" s="24" t="s">
        <v>6908</v>
      </c>
      <c r="D10057" s="59">
        <v>1.0</v>
      </c>
      <c r="E10057" s="59">
        <v>3.0</v>
      </c>
      <c r="F10057" s="59">
        <v>0.0</v>
      </c>
      <c r="G10057" s="60">
        <v>3.0</v>
      </c>
      <c r="H10057" s="60">
        <v>0.0</v>
      </c>
      <c r="I10057" s="60">
        <v>5.32329966666666</v>
      </c>
      <c r="J10057" s="59">
        <v>6.0</v>
      </c>
      <c r="K10057" s="61">
        <f t="shared" si="1"/>
        <v>0</v>
      </c>
      <c r="L10057" s="62">
        <f t="shared" si="2"/>
        <v>2</v>
      </c>
    </row>
    <row r="10058">
      <c r="A10058" s="58">
        <v>45170.0</v>
      </c>
      <c r="B10058" s="24" t="s">
        <v>6791</v>
      </c>
      <c r="C10058" s="24" t="s">
        <v>7172</v>
      </c>
      <c r="D10058" s="59">
        <v>1.0</v>
      </c>
      <c r="E10058" s="59">
        <v>2.0</v>
      </c>
      <c r="F10058" s="59">
        <v>0.0</v>
      </c>
      <c r="G10058" s="60">
        <v>2.0</v>
      </c>
      <c r="H10058" s="60">
        <v>0.0</v>
      </c>
      <c r="I10058" s="60">
        <v>392.171009</v>
      </c>
      <c r="J10058" s="59">
        <v>6.0</v>
      </c>
      <c r="K10058" s="61">
        <f t="shared" si="1"/>
        <v>0</v>
      </c>
      <c r="L10058" s="62">
        <f t="shared" si="2"/>
        <v>3</v>
      </c>
    </row>
    <row r="10059">
      <c r="A10059" s="58">
        <v>45170.0</v>
      </c>
      <c r="B10059" s="24" t="s">
        <v>155</v>
      </c>
      <c r="C10059" s="24" t="s">
        <v>7172</v>
      </c>
      <c r="D10059" s="59">
        <v>1.0</v>
      </c>
      <c r="E10059" s="59">
        <v>1.0</v>
      </c>
      <c r="F10059" s="59">
        <v>0.0</v>
      </c>
      <c r="G10059" s="60">
        <v>1.0</v>
      </c>
      <c r="H10059" s="60">
        <v>0.0</v>
      </c>
      <c r="I10059" s="60">
        <v>5.269145</v>
      </c>
      <c r="J10059" s="59">
        <v>2.0</v>
      </c>
      <c r="K10059" s="61">
        <f t="shared" si="1"/>
        <v>0</v>
      </c>
      <c r="L10059" s="62">
        <f t="shared" si="2"/>
        <v>2</v>
      </c>
    </row>
    <row r="10060">
      <c r="A10060" s="58">
        <v>45170.0</v>
      </c>
      <c r="B10060" s="24" t="s">
        <v>6794</v>
      </c>
      <c r="C10060" s="24" t="s">
        <v>7313</v>
      </c>
      <c r="D10060" s="59">
        <v>1.0</v>
      </c>
      <c r="E10060" s="59">
        <v>1.0</v>
      </c>
      <c r="F10060" s="59">
        <v>0.0</v>
      </c>
      <c r="G10060" s="60">
        <v>1.0</v>
      </c>
      <c r="H10060" s="60">
        <v>0.0</v>
      </c>
      <c r="I10060" s="60">
        <v>6.439246</v>
      </c>
      <c r="J10060" s="59">
        <v>2.0</v>
      </c>
      <c r="K10060" s="61">
        <f t="shared" si="1"/>
        <v>0</v>
      </c>
      <c r="L10060" s="62">
        <f t="shared" si="2"/>
        <v>2</v>
      </c>
    </row>
    <row r="10061">
      <c r="A10061" s="58">
        <v>45170.0</v>
      </c>
      <c r="B10061" s="24" t="s">
        <v>6794</v>
      </c>
      <c r="C10061" s="24" t="s">
        <v>6910</v>
      </c>
      <c r="D10061" s="59">
        <v>1.0</v>
      </c>
      <c r="E10061" s="59">
        <v>1.0</v>
      </c>
      <c r="F10061" s="59">
        <v>0.0</v>
      </c>
      <c r="G10061" s="60">
        <v>1.0</v>
      </c>
      <c r="H10061" s="60">
        <v>0.0</v>
      </c>
      <c r="I10061" s="60">
        <v>511.090734</v>
      </c>
      <c r="J10061" s="59">
        <v>2.0</v>
      </c>
      <c r="K10061" s="61">
        <f t="shared" si="1"/>
        <v>0</v>
      </c>
      <c r="L10061" s="62">
        <f t="shared" si="2"/>
        <v>2</v>
      </c>
    </row>
    <row r="10062">
      <c r="A10062" s="58">
        <v>45170.0</v>
      </c>
      <c r="B10062" s="24" t="s">
        <v>7100</v>
      </c>
      <c r="C10062" s="24" t="s">
        <v>6910</v>
      </c>
      <c r="D10062" s="59">
        <v>1.0</v>
      </c>
      <c r="E10062" s="59">
        <v>2.0</v>
      </c>
      <c r="F10062" s="59">
        <v>0.0</v>
      </c>
      <c r="G10062" s="60">
        <v>2.0</v>
      </c>
      <c r="H10062" s="60">
        <v>0.0</v>
      </c>
      <c r="I10062" s="60">
        <v>111.1948075</v>
      </c>
      <c r="J10062" s="59">
        <v>6.0</v>
      </c>
      <c r="K10062" s="61">
        <f t="shared" si="1"/>
        <v>0</v>
      </c>
      <c r="L10062" s="62">
        <f t="shared" si="2"/>
        <v>3</v>
      </c>
    </row>
    <row r="10063">
      <c r="A10063" s="58">
        <v>45170.0</v>
      </c>
      <c r="B10063" s="24" t="s">
        <v>6794</v>
      </c>
      <c r="C10063" s="24" t="s">
        <v>7102</v>
      </c>
      <c r="D10063" s="59">
        <v>1.0</v>
      </c>
      <c r="E10063" s="59">
        <v>1.0</v>
      </c>
      <c r="F10063" s="59">
        <v>0.0</v>
      </c>
      <c r="G10063" s="60">
        <v>1.0</v>
      </c>
      <c r="H10063" s="60">
        <v>0.0</v>
      </c>
      <c r="I10063" s="60">
        <v>42.788816</v>
      </c>
      <c r="J10063" s="59">
        <v>10.0</v>
      </c>
      <c r="K10063" s="61">
        <f t="shared" si="1"/>
        <v>0</v>
      </c>
      <c r="L10063" s="62">
        <f t="shared" si="2"/>
        <v>10</v>
      </c>
    </row>
    <row r="10064">
      <c r="A10064" s="58">
        <v>45170.0</v>
      </c>
      <c r="B10064" s="24" t="s">
        <v>6791</v>
      </c>
      <c r="C10064" s="24" t="s">
        <v>7192</v>
      </c>
      <c r="D10064" s="59">
        <v>1.0</v>
      </c>
      <c r="E10064" s="59">
        <v>1.0</v>
      </c>
      <c r="F10064" s="59">
        <v>0.0</v>
      </c>
      <c r="G10064" s="60">
        <v>1.0</v>
      </c>
      <c r="H10064" s="60">
        <v>0.0</v>
      </c>
      <c r="I10064" s="60">
        <v>20.798471</v>
      </c>
      <c r="J10064" s="59">
        <v>2.0</v>
      </c>
      <c r="K10064" s="61">
        <f t="shared" si="1"/>
        <v>0</v>
      </c>
      <c r="L10064" s="62">
        <f t="shared" si="2"/>
        <v>2</v>
      </c>
    </row>
    <row r="10065">
      <c r="A10065" s="58">
        <v>45170.0</v>
      </c>
      <c r="B10065" s="24" t="s">
        <v>155</v>
      </c>
      <c r="C10065" s="24" t="s">
        <v>7192</v>
      </c>
      <c r="D10065" s="59">
        <v>1.0</v>
      </c>
      <c r="E10065" s="59">
        <v>1.0</v>
      </c>
      <c r="F10065" s="59">
        <v>0.0</v>
      </c>
      <c r="G10065" s="60">
        <v>1.0</v>
      </c>
      <c r="H10065" s="60">
        <v>0.0</v>
      </c>
      <c r="I10065" s="60">
        <v>28.086614</v>
      </c>
      <c r="J10065" s="59">
        <v>6.0</v>
      </c>
      <c r="K10065" s="61">
        <f t="shared" si="1"/>
        <v>0</v>
      </c>
      <c r="L10065" s="62">
        <f t="shared" si="2"/>
        <v>6</v>
      </c>
    </row>
    <row r="10066">
      <c r="A10066" s="58">
        <v>45170.0</v>
      </c>
      <c r="B10066" s="24" t="s">
        <v>6787</v>
      </c>
      <c r="C10066" s="24" t="s">
        <v>6921</v>
      </c>
      <c r="D10066" s="59">
        <v>1.0</v>
      </c>
      <c r="E10066" s="59">
        <v>1.0</v>
      </c>
      <c r="F10066" s="59">
        <v>1.0</v>
      </c>
      <c r="G10066" s="60">
        <v>1.0</v>
      </c>
      <c r="H10066" s="60">
        <v>0.0</v>
      </c>
      <c r="I10066" s="60">
        <v>0.144394</v>
      </c>
      <c r="J10066" s="59">
        <v>2.0</v>
      </c>
      <c r="K10066" s="61">
        <f t="shared" si="1"/>
        <v>1</v>
      </c>
      <c r="L10066" s="62">
        <f t="shared" si="2"/>
        <v>2</v>
      </c>
    </row>
    <row r="10067">
      <c r="A10067" s="58">
        <v>45170.0</v>
      </c>
      <c r="B10067" s="24" t="s">
        <v>6789</v>
      </c>
      <c r="C10067" s="24" t="s">
        <v>6922</v>
      </c>
      <c r="D10067" s="59">
        <v>1.0</v>
      </c>
      <c r="E10067" s="59">
        <v>1.0</v>
      </c>
      <c r="F10067" s="59">
        <v>1.0</v>
      </c>
      <c r="G10067" s="60">
        <v>1.0</v>
      </c>
      <c r="H10067" s="60">
        <v>0.0</v>
      </c>
      <c r="I10067" s="60">
        <v>2.551806</v>
      </c>
      <c r="J10067" s="59">
        <v>2.0</v>
      </c>
      <c r="K10067" s="61">
        <f t="shared" si="1"/>
        <v>1</v>
      </c>
      <c r="L10067" s="62">
        <f t="shared" si="2"/>
        <v>2</v>
      </c>
    </row>
    <row r="10068">
      <c r="A10068" s="58">
        <v>45170.0</v>
      </c>
      <c r="B10068" s="24" t="s">
        <v>155</v>
      </c>
      <c r="C10068" s="24" t="s">
        <v>6810</v>
      </c>
      <c r="D10068" s="59">
        <v>1.0</v>
      </c>
      <c r="E10068" s="59">
        <v>4.0</v>
      </c>
      <c r="F10068" s="59">
        <v>0.0</v>
      </c>
      <c r="G10068" s="60">
        <v>4.0</v>
      </c>
      <c r="H10068" s="60">
        <v>0.0</v>
      </c>
      <c r="I10068" s="60">
        <v>4.793117</v>
      </c>
      <c r="J10068" s="59">
        <v>8.0</v>
      </c>
      <c r="K10068" s="61">
        <f t="shared" si="1"/>
        <v>0</v>
      </c>
      <c r="L10068" s="62">
        <f t="shared" si="2"/>
        <v>2</v>
      </c>
    </row>
    <row r="10069">
      <c r="A10069" s="58">
        <v>45170.0</v>
      </c>
      <c r="B10069" s="24" t="s">
        <v>3216</v>
      </c>
      <c r="C10069" s="24" t="s">
        <v>7360</v>
      </c>
      <c r="D10069" s="59">
        <v>1.0</v>
      </c>
      <c r="E10069" s="59">
        <v>1.0</v>
      </c>
      <c r="F10069" s="59">
        <v>0.0</v>
      </c>
      <c r="G10069" s="60">
        <v>1.0</v>
      </c>
      <c r="H10069" s="60">
        <v>0.0</v>
      </c>
      <c r="I10069" s="60">
        <v>658.114705</v>
      </c>
      <c r="J10069" s="59">
        <v>12.0</v>
      </c>
      <c r="K10069" s="61">
        <f t="shared" si="1"/>
        <v>0</v>
      </c>
      <c r="L10069" s="62">
        <f t="shared" si="2"/>
        <v>12</v>
      </c>
    </row>
    <row r="10070">
      <c r="A10070" s="58">
        <v>45139.0</v>
      </c>
      <c r="B10070" s="24" t="s">
        <v>6789</v>
      </c>
      <c r="C10070" s="24" t="s">
        <v>6788</v>
      </c>
      <c r="D10070" s="59">
        <v>671.0</v>
      </c>
      <c r="E10070" s="59">
        <v>957.0</v>
      </c>
      <c r="F10070" s="59">
        <v>554.0</v>
      </c>
      <c r="G10070" s="60">
        <v>1.42622950819672</v>
      </c>
      <c r="H10070" s="60">
        <v>0.00522466039707419</v>
      </c>
      <c r="I10070" s="60">
        <v>194.187079480668</v>
      </c>
      <c r="J10070" s="59">
        <v>3428.0</v>
      </c>
      <c r="K10070" s="61">
        <f t="shared" si="1"/>
        <v>0.578892372</v>
      </c>
      <c r="L10070" s="62">
        <f t="shared" si="2"/>
        <v>3.582027168</v>
      </c>
    </row>
    <row r="10071">
      <c r="A10071" s="58">
        <v>45139.0</v>
      </c>
      <c r="B10071" s="24" t="s">
        <v>6787</v>
      </c>
      <c r="C10071" s="24" t="s">
        <v>6788</v>
      </c>
      <c r="D10071" s="59">
        <v>454.0</v>
      </c>
      <c r="E10071" s="59">
        <v>622.0</v>
      </c>
      <c r="F10071" s="59">
        <v>398.0</v>
      </c>
      <c r="G10071" s="60">
        <v>1.37004405286343</v>
      </c>
      <c r="H10071" s="60">
        <v>0.0514469453376205</v>
      </c>
      <c r="I10071" s="60">
        <v>111.57463061254</v>
      </c>
      <c r="J10071" s="59">
        <v>1878.0</v>
      </c>
      <c r="K10071" s="61">
        <f t="shared" si="1"/>
        <v>0.6398713826</v>
      </c>
      <c r="L10071" s="62">
        <f t="shared" si="2"/>
        <v>3.019292605</v>
      </c>
    </row>
    <row r="10072">
      <c r="A10072" s="58">
        <v>45139.0</v>
      </c>
      <c r="B10072" s="24" t="s">
        <v>6789</v>
      </c>
      <c r="C10072" s="24" t="s">
        <v>6792</v>
      </c>
      <c r="D10072" s="59">
        <v>318.0</v>
      </c>
      <c r="E10072" s="59">
        <v>404.0</v>
      </c>
      <c r="F10072" s="59">
        <v>147.0</v>
      </c>
      <c r="G10072" s="60">
        <v>1.4690909090909</v>
      </c>
      <c r="H10072" s="60">
        <v>0.782178217821782</v>
      </c>
      <c r="I10072" s="60">
        <v>76.5913838019802</v>
      </c>
      <c r="J10072" s="59">
        <v>0.0</v>
      </c>
      <c r="K10072" s="61">
        <f t="shared" si="1"/>
        <v>0.3638613861</v>
      </c>
      <c r="L10072" s="62">
        <f t="shared" si="2"/>
        <v>0</v>
      </c>
    </row>
    <row r="10073">
      <c r="A10073" s="58">
        <v>45139.0</v>
      </c>
      <c r="B10073" s="24" t="s">
        <v>6787</v>
      </c>
      <c r="C10073" s="24" t="s">
        <v>6792</v>
      </c>
      <c r="D10073" s="59">
        <v>215.0</v>
      </c>
      <c r="E10073" s="59">
        <v>258.0</v>
      </c>
      <c r="F10073" s="59">
        <v>143.0</v>
      </c>
      <c r="G10073" s="60">
        <v>1.2964824120603</v>
      </c>
      <c r="H10073" s="60">
        <v>0.930232558139534</v>
      </c>
      <c r="I10073" s="60">
        <v>23.3878714728682</v>
      </c>
      <c r="J10073" s="59">
        <v>0.0</v>
      </c>
      <c r="K10073" s="61">
        <f t="shared" si="1"/>
        <v>0.5542635659</v>
      </c>
      <c r="L10073" s="62">
        <f t="shared" si="2"/>
        <v>0</v>
      </c>
    </row>
    <row r="10074">
      <c r="A10074" s="58">
        <v>45139.0</v>
      </c>
      <c r="B10074" s="24" t="s">
        <v>6789</v>
      </c>
      <c r="C10074" s="24" t="s">
        <v>7068</v>
      </c>
      <c r="D10074" s="59">
        <v>170.0</v>
      </c>
      <c r="E10074" s="59">
        <v>172.0</v>
      </c>
      <c r="F10074" s="59">
        <v>164.0</v>
      </c>
      <c r="G10074" s="60">
        <v>1.01176470588235</v>
      </c>
      <c r="H10074" s="60">
        <v>0.0174418604651162</v>
      </c>
      <c r="I10074" s="60">
        <v>165.464022755813</v>
      </c>
      <c r="J10074" s="59">
        <v>375.0</v>
      </c>
      <c r="K10074" s="61">
        <f t="shared" si="1"/>
        <v>0.9534883721</v>
      </c>
      <c r="L10074" s="62">
        <f t="shared" si="2"/>
        <v>2.180232558</v>
      </c>
    </row>
    <row r="10075">
      <c r="A10075" s="58">
        <v>45139.0</v>
      </c>
      <c r="B10075" s="24" t="s">
        <v>7100</v>
      </c>
      <c r="C10075" s="24" t="s">
        <v>7172</v>
      </c>
      <c r="D10075" s="59">
        <v>160.0</v>
      </c>
      <c r="E10075" s="59">
        <v>215.0</v>
      </c>
      <c r="F10075" s="59">
        <v>139.0</v>
      </c>
      <c r="G10075" s="60">
        <v>1.34375</v>
      </c>
      <c r="H10075" s="60">
        <v>0.0186046511627906</v>
      </c>
      <c r="I10075" s="60">
        <v>41.1697278093023</v>
      </c>
      <c r="J10075" s="59">
        <v>456.0</v>
      </c>
      <c r="K10075" s="61">
        <f t="shared" si="1"/>
        <v>0.6465116279</v>
      </c>
      <c r="L10075" s="62">
        <f t="shared" si="2"/>
        <v>2.120930233</v>
      </c>
    </row>
    <row r="10076">
      <c r="A10076" s="58">
        <v>45139.0</v>
      </c>
      <c r="B10076" s="24" t="s">
        <v>6794</v>
      </c>
      <c r="C10076" s="24" t="s">
        <v>6788</v>
      </c>
      <c r="D10076" s="59">
        <v>158.0</v>
      </c>
      <c r="E10076" s="59">
        <v>183.0</v>
      </c>
      <c r="F10076" s="59">
        <v>147.0</v>
      </c>
      <c r="G10076" s="60">
        <v>1.15822784810126</v>
      </c>
      <c r="H10076" s="60">
        <v>0.0163934426229508</v>
      </c>
      <c r="I10076" s="60">
        <v>155.851266240437</v>
      </c>
      <c r="J10076" s="59">
        <v>681.0</v>
      </c>
      <c r="K10076" s="61">
        <f t="shared" si="1"/>
        <v>0.8032786885</v>
      </c>
      <c r="L10076" s="62">
        <f t="shared" si="2"/>
        <v>3.721311475</v>
      </c>
    </row>
    <row r="10077">
      <c r="A10077" s="58">
        <v>45139.0</v>
      </c>
      <c r="B10077" s="24" t="s">
        <v>7100</v>
      </c>
      <c r="C10077" s="24" t="s">
        <v>6788</v>
      </c>
      <c r="D10077" s="59">
        <v>125.0</v>
      </c>
      <c r="E10077" s="59">
        <v>178.0</v>
      </c>
      <c r="F10077" s="59">
        <v>110.0</v>
      </c>
      <c r="G10077" s="60">
        <v>1.424</v>
      </c>
      <c r="H10077" s="60">
        <v>0.0449438202247191</v>
      </c>
      <c r="I10077" s="60">
        <v>29.2570439494382</v>
      </c>
      <c r="J10077" s="59">
        <v>369.0</v>
      </c>
      <c r="K10077" s="61">
        <f t="shared" si="1"/>
        <v>0.6179775281</v>
      </c>
      <c r="L10077" s="62">
        <f t="shared" si="2"/>
        <v>2.073033708</v>
      </c>
    </row>
    <row r="10078">
      <c r="A10078" s="58">
        <v>45139.0</v>
      </c>
      <c r="B10078" s="24" t="s">
        <v>7100</v>
      </c>
      <c r="C10078" s="24" t="s">
        <v>6792</v>
      </c>
      <c r="D10078" s="59">
        <v>96.0</v>
      </c>
      <c r="E10078" s="59">
        <v>98.0</v>
      </c>
      <c r="F10078" s="59">
        <v>89.0</v>
      </c>
      <c r="G10078" s="60">
        <v>1.02083333333333</v>
      </c>
      <c r="H10078" s="60">
        <v>0.979591836734693</v>
      </c>
      <c r="I10078" s="60">
        <v>5.0176375510204</v>
      </c>
      <c r="J10078" s="59">
        <v>0.0</v>
      </c>
      <c r="K10078" s="61">
        <f t="shared" si="1"/>
        <v>0.9081632653</v>
      </c>
      <c r="L10078" s="62">
        <f t="shared" si="2"/>
        <v>0</v>
      </c>
    </row>
    <row r="10079">
      <c r="A10079" s="58">
        <v>45139.0</v>
      </c>
      <c r="B10079" s="24" t="s">
        <v>6794</v>
      </c>
      <c r="C10079" s="24" t="s">
        <v>6815</v>
      </c>
      <c r="D10079" s="59">
        <v>81.0</v>
      </c>
      <c r="E10079" s="59">
        <v>105.0</v>
      </c>
      <c r="F10079" s="59">
        <v>60.0</v>
      </c>
      <c r="G10079" s="60">
        <v>1.29629629629629</v>
      </c>
      <c r="H10079" s="60">
        <v>0.0</v>
      </c>
      <c r="I10079" s="60">
        <v>178.445796104761</v>
      </c>
      <c r="J10079" s="59">
        <v>304.0</v>
      </c>
      <c r="K10079" s="61">
        <f t="shared" si="1"/>
        <v>0.5714285714</v>
      </c>
      <c r="L10079" s="62">
        <f t="shared" si="2"/>
        <v>2.895238095</v>
      </c>
    </row>
    <row r="10080">
      <c r="A10080" s="58">
        <v>45139.0</v>
      </c>
      <c r="B10080" s="24" t="s">
        <v>155</v>
      </c>
      <c r="C10080" s="24" t="s">
        <v>6788</v>
      </c>
      <c r="D10080" s="59">
        <v>77.0</v>
      </c>
      <c r="E10080" s="59">
        <v>171.0</v>
      </c>
      <c r="F10080" s="59">
        <v>54.0</v>
      </c>
      <c r="G10080" s="60">
        <v>2.22077922077922</v>
      </c>
      <c r="H10080" s="60">
        <v>0.0</v>
      </c>
      <c r="I10080" s="60">
        <v>150.707583461988</v>
      </c>
      <c r="J10080" s="59">
        <v>561.0</v>
      </c>
      <c r="K10080" s="61">
        <f t="shared" si="1"/>
        <v>0.3157894737</v>
      </c>
      <c r="L10080" s="62">
        <f t="shared" si="2"/>
        <v>3.280701754</v>
      </c>
    </row>
    <row r="10081">
      <c r="A10081" s="58">
        <v>45139.0</v>
      </c>
      <c r="B10081" s="24" t="s">
        <v>6791</v>
      </c>
      <c r="C10081" s="24" t="s">
        <v>7530</v>
      </c>
      <c r="D10081" s="59">
        <v>68.0</v>
      </c>
      <c r="E10081" s="59">
        <v>76.0</v>
      </c>
      <c r="F10081" s="59">
        <v>65.0</v>
      </c>
      <c r="G10081" s="60">
        <v>1.11764705882352</v>
      </c>
      <c r="H10081" s="60">
        <v>0.0</v>
      </c>
      <c r="I10081" s="60">
        <v>243.755561223684</v>
      </c>
      <c r="J10081" s="59">
        <v>206.0</v>
      </c>
      <c r="K10081" s="61">
        <f t="shared" si="1"/>
        <v>0.8552631579</v>
      </c>
      <c r="L10081" s="62">
        <f t="shared" si="2"/>
        <v>2.710526316</v>
      </c>
    </row>
    <row r="10082">
      <c r="A10082" s="58">
        <v>45139.0</v>
      </c>
      <c r="B10082" s="24" t="s">
        <v>6794</v>
      </c>
      <c r="C10082" s="24" t="s">
        <v>6792</v>
      </c>
      <c r="D10082" s="59">
        <v>62.0</v>
      </c>
      <c r="E10082" s="59">
        <v>70.0</v>
      </c>
      <c r="F10082" s="59">
        <v>25.0</v>
      </c>
      <c r="G10082" s="60">
        <v>1.52173913043478</v>
      </c>
      <c r="H10082" s="60">
        <v>0.757142857142857</v>
      </c>
      <c r="I10082" s="60">
        <v>77.6877264</v>
      </c>
      <c r="J10082" s="59">
        <v>0.0</v>
      </c>
      <c r="K10082" s="61">
        <f t="shared" si="1"/>
        <v>0.3571428571</v>
      </c>
      <c r="L10082" s="62">
        <f t="shared" si="2"/>
        <v>0</v>
      </c>
    </row>
    <row r="10083">
      <c r="A10083" s="58">
        <v>45139.0</v>
      </c>
      <c r="B10083" s="24" t="s">
        <v>6791</v>
      </c>
      <c r="C10083" s="24" t="s">
        <v>6792</v>
      </c>
      <c r="D10083" s="59">
        <v>40.0</v>
      </c>
      <c r="E10083" s="59">
        <v>49.0</v>
      </c>
      <c r="F10083" s="59">
        <v>25.0</v>
      </c>
      <c r="G10083" s="60">
        <v>1.4</v>
      </c>
      <c r="H10083" s="60">
        <v>0.653061224489795</v>
      </c>
      <c r="I10083" s="60">
        <v>86.4905718979591</v>
      </c>
      <c r="J10083" s="59">
        <v>0.0</v>
      </c>
      <c r="K10083" s="61">
        <f t="shared" si="1"/>
        <v>0.5102040816</v>
      </c>
      <c r="L10083" s="62">
        <f t="shared" si="2"/>
        <v>0</v>
      </c>
    </row>
    <row r="10084">
      <c r="A10084" s="58">
        <v>45139.0</v>
      </c>
      <c r="B10084" s="24" t="s">
        <v>155</v>
      </c>
      <c r="C10084" s="24" t="s">
        <v>6792</v>
      </c>
      <c r="D10084" s="59">
        <v>34.0</v>
      </c>
      <c r="E10084" s="59">
        <v>88.0</v>
      </c>
      <c r="F10084" s="59">
        <v>16.0</v>
      </c>
      <c r="G10084" s="60">
        <v>2.83870967741935</v>
      </c>
      <c r="H10084" s="60">
        <v>0.534090909090909</v>
      </c>
      <c r="I10084" s="60">
        <v>212.983769</v>
      </c>
      <c r="J10084" s="59">
        <v>0.0</v>
      </c>
      <c r="K10084" s="61">
        <f t="shared" si="1"/>
        <v>0.1818181818</v>
      </c>
      <c r="L10084" s="62">
        <f t="shared" si="2"/>
        <v>0</v>
      </c>
    </row>
    <row r="10085">
      <c r="A10085" s="58">
        <v>45139.0</v>
      </c>
      <c r="B10085" s="24" t="s">
        <v>6789</v>
      </c>
      <c r="C10085" s="24" t="s">
        <v>6815</v>
      </c>
      <c r="D10085" s="59">
        <v>34.0</v>
      </c>
      <c r="E10085" s="59">
        <v>41.0</v>
      </c>
      <c r="F10085" s="59">
        <v>29.0</v>
      </c>
      <c r="G10085" s="60">
        <v>1.20588235294117</v>
      </c>
      <c r="H10085" s="60">
        <v>0.0</v>
      </c>
      <c r="I10085" s="60">
        <v>122.606324780487</v>
      </c>
      <c r="J10085" s="59">
        <v>117.0</v>
      </c>
      <c r="K10085" s="61">
        <f t="shared" si="1"/>
        <v>0.7073170732</v>
      </c>
      <c r="L10085" s="62">
        <f t="shared" si="2"/>
        <v>2.853658537</v>
      </c>
    </row>
    <row r="10086">
      <c r="A10086" s="58">
        <v>45139.0</v>
      </c>
      <c r="B10086" s="24" t="s">
        <v>6789</v>
      </c>
      <c r="C10086" s="24" t="s">
        <v>6799</v>
      </c>
      <c r="D10086" s="59">
        <v>32.0</v>
      </c>
      <c r="E10086" s="59">
        <v>37.0</v>
      </c>
      <c r="F10086" s="59">
        <v>18.0</v>
      </c>
      <c r="G10086" s="60">
        <v>1.15625</v>
      </c>
      <c r="H10086" s="60">
        <v>0.0</v>
      </c>
      <c r="I10086" s="60">
        <v>262.888702783783</v>
      </c>
      <c r="J10086" s="59">
        <v>133.0</v>
      </c>
      <c r="K10086" s="61">
        <f t="shared" si="1"/>
        <v>0.4864864865</v>
      </c>
      <c r="L10086" s="62">
        <f t="shared" si="2"/>
        <v>3.594594595</v>
      </c>
    </row>
    <row r="10087">
      <c r="A10087" s="58">
        <v>45139.0</v>
      </c>
      <c r="B10087" s="24" t="s">
        <v>7100</v>
      </c>
      <c r="C10087" s="24" t="s">
        <v>7174</v>
      </c>
      <c r="D10087" s="59">
        <v>30.0</v>
      </c>
      <c r="E10087" s="59">
        <v>30.0</v>
      </c>
      <c r="F10087" s="59">
        <v>30.0</v>
      </c>
      <c r="G10087" s="60">
        <v>1.0</v>
      </c>
      <c r="H10087" s="60">
        <v>0.133333333333333</v>
      </c>
      <c r="I10087" s="60">
        <v>49.3843833333333</v>
      </c>
      <c r="J10087" s="59">
        <v>68.0</v>
      </c>
      <c r="K10087" s="61">
        <f t="shared" si="1"/>
        <v>1</v>
      </c>
      <c r="L10087" s="62">
        <f t="shared" si="2"/>
        <v>2.266666667</v>
      </c>
    </row>
    <row r="10088">
      <c r="A10088" s="58">
        <v>45139.0</v>
      </c>
      <c r="B10088" s="24" t="s">
        <v>6791</v>
      </c>
      <c r="C10088" s="24" t="s">
        <v>7207</v>
      </c>
      <c r="D10088" s="59">
        <v>25.0</v>
      </c>
      <c r="E10088" s="59">
        <v>32.0</v>
      </c>
      <c r="F10088" s="59">
        <v>23.0</v>
      </c>
      <c r="G10088" s="60">
        <v>1.28</v>
      </c>
      <c r="H10088" s="60">
        <v>0.0</v>
      </c>
      <c r="I10088" s="60">
        <v>175.72882325</v>
      </c>
      <c r="J10088" s="59">
        <v>68.0</v>
      </c>
      <c r="K10088" s="61">
        <f t="shared" si="1"/>
        <v>0.71875</v>
      </c>
      <c r="L10088" s="62">
        <f t="shared" si="2"/>
        <v>2.125</v>
      </c>
    </row>
    <row r="10089">
      <c r="A10089" s="58">
        <v>45139.0</v>
      </c>
      <c r="B10089" s="24" t="s">
        <v>7100</v>
      </c>
      <c r="C10089" s="24" t="s">
        <v>6892</v>
      </c>
      <c r="D10089" s="59">
        <v>23.0</v>
      </c>
      <c r="E10089" s="59">
        <v>23.0</v>
      </c>
      <c r="F10089" s="59">
        <v>23.0</v>
      </c>
      <c r="G10089" s="60">
        <v>1.0</v>
      </c>
      <c r="H10089" s="60">
        <v>0.0</v>
      </c>
      <c r="I10089" s="60">
        <v>6.13585639130434</v>
      </c>
      <c r="J10089" s="59">
        <v>46.0</v>
      </c>
      <c r="K10089" s="61">
        <f t="shared" si="1"/>
        <v>1</v>
      </c>
      <c r="L10089" s="62">
        <f t="shared" si="2"/>
        <v>2</v>
      </c>
    </row>
    <row r="10090">
      <c r="A10090" s="58">
        <v>45139.0</v>
      </c>
      <c r="B10090" s="24" t="s">
        <v>6787</v>
      </c>
      <c r="C10090" s="24" t="s">
        <v>6815</v>
      </c>
      <c r="D10090" s="59">
        <v>21.0</v>
      </c>
      <c r="E10090" s="59">
        <v>23.0</v>
      </c>
      <c r="F10090" s="59">
        <v>18.0</v>
      </c>
      <c r="G10090" s="60">
        <v>1.09523809523809</v>
      </c>
      <c r="H10090" s="60">
        <v>0.0</v>
      </c>
      <c r="I10090" s="60">
        <v>68.3185391304347</v>
      </c>
      <c r="J10090" s="59">
        <v>49.0</v>
      </c>
      <c r="K10090" s="61">
        <f t="shared" si="1"/>
        <v>0.7826086957</v>
      </c>
      <c r="L10090" s="62">
        <f t="shared" si="2"/>
        <v>2.130434783</v>
      </c>
    </row>
    <row r="10091">
      <c r="A10091" s="58">
        <v>45139.0</v>
      </c>
      <c r="B10091" s="24" t="s">
        <v>6789</v>
      </c>
      <c r="C10091" s="24" t="s">
        <v>6835</v>
      </c>
      <c r="D10091" s="59">
        <v>19.0</v>
      </c>
      <c r="E10091" s="59">
        <v>26.0</v>
      </c>
      <c r="F10091" s="59">
        <v>18.0</v>
      </c>
      <c r="G10091" s="60">
        <v>1.36842105263157</v>
      </c>
      <c r="H10091" s="60">
        <v>0.0</v>
      </c>
      <c r="I10091" s="60">
        <v>129.369473730769</v>
      </c>
      <c r="J10091" s="59">
        <v>56.0</v>
      </c>
      <c r="K10091" s="61">
        <f t="shared" si="1"/>
        <v>0.6923076923</v>
      </c>
      <c r="L10091" s="62">
        <f t="shared" si="2"/>
        <v>2.153846154</v>
      </c>
    </row>
    <row r="10092">
      <c r="A10092" s="58">
        <v>45139.0</v>
      </c>
      <c r="B10092" s="24" t="s">
        <v>6789</v>
      </c>
      <c r="C10092" s="24" t="s">
        <v>6808</v>
      </c>
      <c r="D10092" s="59">
        <v>18.0</v>
      </c>
      <c r="E10092" s="59">
        <v>26.0</v>
      </c>
      <c r="F10092" s="59">
        <v>9.0</v>
      </c>
      <c r="G10092" s="60">
        <v>1.44444444444444</v>
      </c>
      <c r="H10092" s="60">
        <v>0.0</v>
      </c>
      <c r="I10092" s="60">
        <v>365.345531076922</v>
      </c>
      <c r="J10092" s="59">
        <v>103.0</v>
      </c>
      <c r="K10092" s="61">
        <f t="shared" si="1"/>
        <v>0.3461538462</v>
      </c>
      <c r="L10092" s="62">
        <f t="shared" si="2"/>
        <v>3.961538462</v>
      </c>
    </row>
    <row r="10093">
      <c r="A10093" s="58">
        <v>45139.0</v>
      </c>
      <c r="B10093" s="24" t="s">
        <v>6787</v>
      </c>
      <c r="C10093" s="24" t="s">
        <v>7118</v>
      </c>
      <c r="D10093" s="59">
        <v>18.0</v>
      </c>
      <c r="E10093" s="59">
        <v>33.0</v>
      </c>
      <c r="F10093" s="59">
        <v>11.0</v>
      </c>
      <c r="G10093" s="60">
        <v>1.83333333333333</v>
      </c>
      <c r="H10093" s="60">
        <v>0.0</v>
      </c>
      <c r="I10093" s="60">
        <v>406.837666818181</v>
      </c>
      <c r="J10093" s="59">
        <v>131.0</v>
      </c>
      <c r="K10093" s="61">
        <f t="shared" si="1"/>
        <v>0.3333333333</v>
      </c>
      <c r="L10093" s="62">
        <f t="shared" si="2"/>
        <v>3.96969697</v>
      </c>
    </row>
    <row r="10094">
      <c r="A10094" s="58">
        <v>45139.0</v>
      </c>
      <c r="B10094" s="24" t="s">
        <v>6789</v>
      </c>
      <c r="C10094" s="24" t="s">
        <v>6997</v>
      </c>
      <c r="D10094" s="59">
        <v>17.0</v>
      </c>
      <c r="E10094" s="59">
        <v>22.0</v>
      </c>
      <c r="F10094" s="59">
        <v>13.0</v>
      </c>
      <c r="G10094" s="60">
        <v>1.29411764705882</v>
      </c>
      <c r="H10094" s="60">
        <v>0.0</v>
      </c>
      <c r="I10094" s="60">
        <v>38.3798839545454</v>
      </c>
      <c r="J10094" s="59">
        <v>61.0</v>
      </c>
      <c r="K10094" s="61">
        <f t="shared" si="1"/>
        <v>0.5909090909</v>
      </c>
      <c r="L10094" s="62">
        <f t="shared" si="2"/>
        <v>2.772727273</v>
      </c>
    </row>
    <row r="10095">
      <c r="A10095" s="58">
        <v>45139.0</v>
      </c>
      <c r="B10095" s="24" t="s">
        <v>6791</v>
      </c>
      <c r="C10095" s="24" t="s">
        <v>7206</v>
      </c>
      <c r="D10095" s="59">
        <v>17.0</v>
      </c>
      <c r="E10095" s="59">
        <v>18.0</v>
      </c>
      <c r="F10095" s="59">
        <v>15.0</v>
      </c>
      <c r="G10095" s="60">
        <v>1.05882352941176</v>
      </c>
      <c r="H10095" s="60">
        <v>0.0</v>
      </c>
      <c r="I10095" s="60">
        <v>439.9732775</v>
      </c>
      <c r="J10095" s="59">
        <v>72.0</v>
      </c>
      <c r="K10095" s="61">
        <f t="shared" si="1"/>
        <v>0.8333333333</v>
      </c>
      <c r="L10095" s="62">
        <f t="shared" si="2"/>
        <v>4</v>
      </c>
    </row>
    <row r="10096">
      <c r="A10096" s="58">
        <v>45139.0</v>
      </c>
      <c r="B10096" s="24" t="s">
        <v>6790</v>
      </c>
      <c r="C10096" s="24" t="s">
        <v>6788</v>
      </c>
      <c r="D10096" s="59">
        <v>16.0</v>
      </c>
      <c r="E10096" s="59">
        <v>23.0</v>
      </c>
      <c r="F10096" s="59">
        <v>9.0</v>
      </c>
      <c r="G10096" s="60">
        <v>1.4375</v>
      </c>
      <c r="H10096" s="60">
        <v>0.130434782608695</v>
      </c>
      <c r="I10096" s="60">
        <v>340.95184973913</v>
      </c>
      <c r="J10096" s="59">
        <v>90.0</v>
      </c>
      <c r="K10096" s="61">
        <f t="shared" si="1"/>
        <v>0.3913043478</v>
      </c>
      <c r="L10096" s="62">
        <f t="shared" si="2"/>
        <v>3.913043478</v>
      </c>
    </row>
    <row r="10097">
      <c r="A10097" s="58">
        <v>45139.0</v>
      </c>
      <c r="B10097" s="24" t="s">
        <v>6789</v>
      </c>
      <c r="C10097" s="24" t="s">
        <v>6990</v>
      </c>
      <c r="D10097" s="59">
        <v>15.0</v>
      </c>
      <c r="E10097" s="59">
        <v>15.0</v>
      </c>
      <c r="F10097" s="59">
        <v>13.0</v>
      </c>
      <c r="G10097" s="60">
        <v>1.0</v>
      </c>
      <c r="H10097" s="60">
        <v>0.0666666666666666</v>
      </c>
      <c r="I10097" s="60">
        <v>155.020104933333</v>
      </c>
      <c r="J10097" s="59">
        <v>30.0</v>
      </c>
      <c r="K10097" s="61">
        <f t="shared" si="1"/>
        <v>0.8666666667</v>
      </c>
      <c r="L10097" s="62">
        <f t="shared" si="2"/>
        <v>2</v>
      </c>
    </row>
    <row r="10098">
      <c r="A10098" s="58">
        <v>45139.0</v>
      </c>
      <c r="B10098" s="24" t="s">
        <v>6942</v>
      </c>
      <c r="C10098" s="24" t="s">
        <v>6792</v>
      </c>
      <c r="D10098" s="59">
        <v>14.0</v>
      </c>
      <c r="E10098" s="59">
        <v>14.0</v>
      </c>
      <c r="F10098" s="59">
        <v>14.0</v>
      </c>
      <c r="G10098" s="60">
        <v>1.0</v>
      </c>
      <c r="H10098" s="60">
        <v>1.0</v>
      </c>
      <c r="I10098" s="60">
        <v>0.0</v>
      </c>
      <c r="J10098" s="59">
        <v>0.0</v>
      </c>
      <c r="K10098" s="61">
        <f t="shared" si="1"/>
        <v>1</v>
      </c>
      <c r="L10098" s="62">
        <f t="shared" si="2"/>
        <v>0</v>
      </c>
    </row>
    <row r="10099">
      <c r="A10099" s="58">
        <v>45139.0</v>
      </c>
      <c r="B10099" s="24" t="s">
        <v>6790</v>
      </c>
      <c r="C10099" s="24" t="s">
        <v>6792</v>
      </c>
      <c r="D10099" s="59">
        <v>13.0</v>
      </c>
      <c r="E10099" s="59">
        <v>17.0</v>
      </c>
      <c r="F10099" s="59">
        <v>2.0</v>
      </c>
      <c r="G10099" s="60">
        <v>1.88888888888888</v>
      </c>
      <c r="H10099" s="60">
        <v>0.941176470588235</v>
      </c>
      <c r="I10099" s="60">
        <v>6.28710694117647</v>
      </c>
      <c r="J10099" s="59">
        <v>0.0</v>
      </c>
      <c r="K10099" s="61">
        <f t="shared" si="1"/>
        <v>0.1176470588</v>
      </c>
      <c r="L10099" s="62">
        <f t="shared" si="2"/>
        <v>0</v>
      </c>
    </row>
    <row r="10100">
      <c r="A10100" s="58">
        <v>45139.0</v>
      </c>
      <c r="B10100" s="24" t="s">
        <v>155</v>
      </c>
      <c r="C10100" s="24" t="s">
        <v>6800</v>
      </c>
      <c r="D10100" s="59">
        <v>13.0</v>
      </c>
      <c r="E10100" s="59">
        <v>13.0</v>
      </c>
      <c r="F10100" s="59">
        <v>13.0</v>
      </c>
      <c r="G10100" s="60">
        <v>1.0</v>
      </c>
      <c r="H10100" s="60">
        <v>0.0</v>
      </c>
      <c r="I10100" s="60">
        <v>35.8577929230769</v>
      </c>
      <c r="J10100" s="59">
        <v>44.0</v>
      </c>
      <c r="K10100" s="61">
        <f t="shared" si="1"/>
        <v>1</v>
      </c>
      <c r="L10100" s="62">
        <f t="shared" si="2"/>
        <v>3.384615385</v>
      </c>
    </row>
    <row r="10101">
      <c r="A10101" s="58">
        <v>45139.0</v>
      </c>
      <c r="B10101" s="24" t="s">
        <v>6787</v>
      </c>
      <c r="C10101" s="24" t="s">
        <v>6802</v>
      </c>
      <c r="D10101" s="59">
        <v>13.0</v>
      </c>
      <c r="E10101" s="59">
        <v>15.0</v>
      </c>
      <c r="F10101" s="59">
        <v>11.0</v>
      </c>
      <c r="G10101" s="60">
        <v>1.15384615384615</v>
      </c>
      <c r="H10101" s="60">
        <v>0.0</v>
      </c>
      <c r="I10101" s="60">
        <v>17.8964356666666</v>
      </c>
      <c r="J10101" s="59">
        <v>44.0</v>
      </c>
      <c r="K10101" s="61">
        <f t="shared" si="1"/>
        <v>0.7333333333</v>
      </c>
      <c r="L10101" s="62">
        <f t="shared" si="2"/>
        <v>2.933333333</v>
      </c>
    </row>
    <row r="10102">
      <c r="A10102" s="58">
        <v>45139.0</v>
      </c>
      <c r="B10102" s="24" t="s">
        <v>6787</v>
      </c>
      <c r="C10102" s="24" t="s">
        <v>6867</v>
      </c>
      <c r="D10102" s="59">
        <v>12.0</v>
      </c>
      <c r="E10102" s="59">
        <v>19.0</v>
      </c>
      <c r="F10102" s="59">
        <v>5.0</v>
      </c>
      <c r="G10102" s="60">
        <v>1.58333333333333</v>
      </c>
      <c r="H10102" s="60">
        <v>0.0</v>
      </c>
      <c r="I10102" s="60">
        <v>146.098782157894</v>
      </c>
      <c r="J10102" s="59">
        <v>52.0</v>
      </c>
      <c r="K10102" s="61">
        <f t="shared" si="1"/>
        <v>0.2631578947</v>
      </c>
      <c r="L10102" s="62">
        <f t="shared" si="2"/>
        <v>2.736842105</v>
      </c>
    </row>
    <row r="10103">
      <c r="A10103" s="58">
        <v>45139.0</v>
      </c>
      <c r="B10103" s="24" t="s">
        <v>6787</v>
      </c>
      <c r="C10103" s="24" t="s">
        <v>6886</v>
      </c>
      <c r="D10103" s="59">
        <v>12.0</v>
      </c>
      <c r="E10103" s="59">
        <v>13.0</v>
      </c>
      <c r="F10103" s="59">
        <v>12.0</v>
      </c>
      <c r="G10103" s="60">
        <v>1.08333333333333</v>
      </c>
      <c r="H10103" s="60">
        <v>0.0</v>
      </c>
      <c r="I10103" s="60">
        <v>163.839435</v>
      </c>
      <c r="J10103" s="59">
        <v>69.0</v>
      </c>
      <c r="K10103" s="61">
        <f t="shared" si="1"/>
        <v>0.9230769231</v>
      </c>
      <c r="L10103" s="62">
        <f t="shared" si="2"/>
        <v>5.307692308</v>
      </c>
    </row>
    <row r="10104">
      <c r="A10104" s="58">
        <v>45139.0</v>
      </c>
      <c r="B10104" s="24" t="s">
        <v>6789</v>
      </c>
      <c r="C10104" s="24" t="s">
        <v>6802</v>
      </c>
      <c r="D10104" s="59">
        <v>12.0</v>
      </c>
      <c r="E10104" s="59">
        <v>16.0</v>
      </c>
      <c r="F10104" s="59">
        <v>2.0</v>
      </c>
      <c r="G10104" s="60">
        <v>1.33333333333333</v>
      </c>
      <c r="H10104" s="60">
        <v>0.0</v>
      </c>
      <c r="I10104" s="60">
        <v>474.708349749999</v>
      </c>
      <c r="J10104" s="59">
        <v>75.0</v>
      </c>
      <c r="K10104" s="61">
        <f t="shared" si="1"/>
        <v>0.125</v>
      </c>
      <c r="L10104" s="62">
        <f t="shared" si="2"/>
        <v>4.6875</v>
      </c>
    </row>
    <row r="10105">
      <c r="A10105" s="58">
        <v>45139.0</v>
      </c>
      <c r="B10105" s="24" t="s">
        <v>6789</v>
      </c>
      <c r="C10105" s="24" t="s">
        <v>6803</v>
      </c>
      <c r="D10105" s="59">
        <v>11.0</v>
      </c>
      <c r="E10105" s="59">
        <v>11.0</v>
      </c>
      <c r="F10105" s="59">
        <v>8.0</v>
      </c>
      <c r="G10105" s="60">
        <v>1.0</v>
      </c>
      <c r="H10105" s="60">
        <v>0.0</v>
      </c>
      <c r="I10105" s="60">
        <v>70.0179725454545</v>
      </c>
      <c r="J10105" s="59">
        <v>42.0</v>
      </c>
      <c r="K10105" s="61">
        <f t="shared" si="1"/>
        <v>0.7272727273</v>
      </c>
      <c r="L10105" s="62">
        <f t="shared" si="2"/>
        <v>3.818181818</v>
      </c>
    </row>
    <row r="10106">
      <c r="A10106" s="58">
        <v>45139.0</v>
      </c>
      <c r="B10106" s="24" t="s">
        <v>6787</v>
      </c>
      <c r="C10106" s="24" t="s">
        <v>6799</v>
      </c>
      <c r="D10106" s="59">
        <v>10.0</v>
      </c>
      <c r="E10106" s="59">
        <v>10.0</v>
      </c>
      <c r="F10106" s="59">
        <v>7.0</v>
      </c>
      <c r="G10106" s="60">
        <v>1.0</v>
      </c>
      <c r="H10106" s="60">
        <v>0.0</v>
      </c>
      <c r="I10106" s="60">
        <v>42.8364948</v>
      </c>
      <c r="J10106" s="59">
        <v>22.0</v>
      </c>
      <c r="K10106" s="61">
        <f t="shared" si="1"/>
        <v>0.7</v>
      </c>
      <c r="L10106" s="62">
        <f t="shared" si="2"/>
        <v>2.2</v>
      </c>
    </row>
    <row r="10107">
      <c r="A10107" s="58">
        <v>45139.0</v>
      </c>
      <c r="B10107" s="24" t="s">
        <v>6787</v>
      </c>
      <c r="C10107" s="24" t="s">
        <v>7068</v>
      </c>
      <c r="D10107" s="59">
        <v>9.0</v>
      </c>
      <c r="E10107" s="59">
        <v>10.0</v>
      </c>
      <c r="F10107" s="59">
        <v>7.0</v>
      </c>
      <c r="G10107" s="60">
        <v>1.11111111111111</v>
      </c>
      <c r="H10107" s="60">
        <v>0.1</v>
      </c>
      <c r="I10107" s="60">
        <v>73.1552246</v>
      </c>
      <c r="J10107" s="59">
        <v>20.0</v>
      </c>
      <c r="K10107" s="61">
        <f t="shared" si="1"/>
        <v>0.7</v>
      </c>
      <c r="L10107" s="62">
        <f t="shared" si="2"/>
        <v>2</v>
      </c>
    </row>
    <row r="10108">
      <c r="A10108" s="58">
        <v>45139.0</v>
      </c>
      <c r="B10108" s="24" t="s">
        <v>6789</v>
      </c>
      <c r="C10108" s="24" t="s">
        <v>6892</v>
      </c>
      <c r="D10108" s="59">
        <v>9.0</v>
      </c>
      <c r="E10108" s="59">
        <v>14.0</v>
      </c>
      <c r="F10108" s="59">
        <v>6.0</v>
      </c>
      <c r="G10108" s="60">
        <v>1.55555555555555</v>
      </c>
      <c r="H10108" s="60">
        <v>0.0</v>
      </c>
      <c r="I10108" s="60">
        <v>123.005644785714</v>
      </c>
      <c r="J10108" s="59">
        <v>36.0</v>
      </c>
      <c r="K10108" s="61">
        <f t="shared" si="1"/>
        <v>0.4285714286</v>
      </c>
      <c r="L10108" s="62">
        <f t="shared" si="2"/>
        <v>2.571428571</v>
      </c>
    </row>
    <row r="10109">
      <c r="A10109" s="58">
        <v>45139.0</v>
      </c>
      <c r="B10109" s="24" t="s">
        <v>6791</v>
      </c>
      <c r="C10109" s="24" t="s">
        <v>7554</v>
      </c>
      <c r="D10109" s="59">
        <v>9.0</v>
      </c>
      <c r="E10109" s="59">
        <v>9.0</v>
      </c>
      <c r="F10109" s="59">
        <v>8.0</v>
      </c>
      <c r="G10109" s="60">
        <v>1.0</v>
      </c>
      <c r="H10109" s="60">
        <v>0.0</v>
      </c>
      <c r="I10109" s="60">
        <v>241.553507555555</v>
      </c>
      <c r="J10109" s="59">
        <v>32.0</v>
      </c>
      <c r="K10109" s="61">
        <f t="shared" si="1"/>
        <v>0.8888888889</v>
      </c>
      <c r="L10109" s="62">
        <f t="shared" si="2"/>
        <v>3.555555556</v>
      </c>
    </row>
    <row r="10110">
      <c r="A10110" s="58">
        <v>45139.0</v>
      </c>
      <c r="B10110" s="24" t="s">
        <v>6791</v>
      </c>
      <c r="C10110" s="24" t="s">
        <v>7261</v>
      </c>
      <c r="D10110" s="59">
        <v>9.0</v>
      </c>
      <c r="E10110" s="59">
        <v>11.0</v>
      </c>
      <c r="F10110" s="59">
        <v>9.0</v>
      </c>
      <c r="G10110" s="60">
        <v>1.22222222222222</v>
      </c>
      <c r="H10110" s="60">
        <v>0.0</v>
      </c>
      <c r="I10110" s="60">
        <v>308.09701690909</v>
      </c>
      <c r="J10110" s="59">
        <v>44.0</v>
      </c>
      <c r="K10110" s="61">
        <f t="shared" si="1"/>
        <v>0.8181818182</v>
      </c>
      <c r="L10110" s="62">
        <f t="shared" si="2"/>
        <v>4</v>
      </c>
    </row>
    <row r="10111">
      <c r="A10111" s="58">
        <v>45139.0</v>
      </c>
      <c r="B10111" s="24" t="s">
        <v>6787</v>
      </c>
      <c r="C10111" s="24" t="s">
        <v>6800</v>
      </c>
      <c r="D10111" s="59">
        <v>9.0</v>
      </c>
      <c r="E10111" s="59">
        <v>9.0</v>
      </c>
      <c r="F10111" s="59">
        <v>8.0</v>
      </c>
      <c r="G10111" s="60">
        <v>1.0</v>
      </c>
      <c r="H10111" s="60">
        <v>0.0</v>
      </c>
      <c r="I10111" s="60">
        <v>3.68145622222222</v>
      </c>
      <c r="J10111" s="59">
        <v>21.0</v>
      </c>
      <c r="K10111" s="61">
        <f t="shared" si="1"/>
        <v>0.8888888889</v>
      </c>
      <c r="L10111" s="62">
        <f t="shared" si="2"/>
        <v>2.333333333</v>
      </c>
    </row>
    <row r="10112">
      <c r="A10112" s="58">
        <v>45139.0</v>
      </c>
      <c r="B10112" s="24" t="s">
        <v>6789</v>
      </c>
      <c r="C10112" s="24" t="s">
        <v>6910</v>
      </c>
      <c r="D10112" s="59">
        <v>9.0</v>
      </c>
      <c r="E10112" s="59">
        <v>14.0</v>
      </c>
      <c r="F10112" s="59">
        <v>5.0</v>
      </c>
      <c r="G10112" s="60">
        <v>1.55555555555555</v>
      </c>
      <c r="H10112" s="60">
        <v>0.0</v>
      </c>
      <c r="I10112" s="60">
        <v>256.008176214285</v>
      </c>
      <c r="J10112" s="59">
        <v>50.0</v>
      </c>
      <c r="K10112" s="61">
        <f t="shared" si="1"/>
        <v>0.3571428571</v>
      </c>
      <c r="L10112" s="62">
        <f t="shared" si="2"/>
        <v>3.571428571</v>
      </c>
    </row>
    <row r="10113">
      <c r="A10113" s="58">
        <v>45139.0</v>
      </c>
      <c r="B10113" s="24" t="s">
        <v>6790</v>
      </c>
      <c r="C10113" s="24" t="s">
        <v>6815</v>
      </c>
      <c r="D10113" s="59">
        <v>9.0</v>
      </c>
      <c r="E10113" s="59">
        <v>20.0</v>
      </c>
      <c r="F10113" s="59">
        <v>6.0</v>
      </c>
      <c r="G10113" s="60">
        <v>2.22222222222222</v>
      </c>
      <c r="H10113" s="60">
        <v>0.0</v>
      </c>
      <c r="I10113" s="60">
        <v>218.8726095</v>
      </c>
      <c r="J10113" s="59">
        <v>41.0</v>
      </c>
      <c r="K10113" s="61">
        <f t="shared" si="1"/>
        <v>0.3</v>
      </c>
      <c r="L10113" s="62">
        <f t="shared" si="2"/>
        <v>2.05</v>
      </c>
    </row>
    <row r="10114">
      <c r="A10114" s="58">
        <v>45139.0</v>
      </c>
      <c r="B10114" s="24" t="s">
        <v>6789</v>
      </c>
      <c r="C10114" s="24" t="s">
        <v>6817</v>
      </c>
      <c r="D10114" s="59">
        <v>8.0</v>
      </c>
      <c r="E10114" s="59">
        <v>17.0</v>
      </c>
      <c r="F10114" s="59">
        <v>1.0</v>
      </c>
      <c r="G10114" s="60">
        <v>2.125</v>
      </c>
      <c r="H10114" s="60">
        <v>0.0</v>
      </c>
      <c r="I10114" s="60">
        <v>90.534271117647</v>
      </c>
      <c r="J10114" s="59">
        <v>62.0</v>
      </c>
      <c r="K10114" s="61">
        <f t="shared" si="1"/>
        <v>0.05882352941</v>
      </c>
      <c r="L10114" s="62">
        <f t="shared" si="2"/>
        <v>3.647058824</v>
      </c>
    </row>
    <row r="10115">
      <c r="A10115" s="58">
        <v>45139.0</v>
      </c>
      <c r="B10115" s="24" t="s">
        <v>6789</v>
      </c>
      <c r="C10115" s="24" t="s">
        <v>7034</v>
      </c>
      <c r="D10115" s="59">
        <v>8.0</v>
      </c>
      <c r="E10115" s="59">
        <v>22.0</v>
      </c>
      <c r="F10115" s="59">
        <v>1.0</v>
      </c>
      <c r="G10115" s="60">
        <v>2.75</v>
      </c>
      <c r="H10115" s="60">
        <v>0.0</v>
      </c>
      <c r="I10115" s="60">
        <v>183.416712318181</v>
      </c>
      <c r="J10115" s="59">
        <v>79.0</v>
      </c>
      <c r="K10115" s="61">
        <f t="shared" si="1"/>
        <v>0.04545454545</v>
      </c>
      <c r="L10115" s="62">
        <f t="shared" si="2"/>
        <v>3.590909091</v>
      </c>
    </row>
    <row r="10116">
      <c r="A10116" s="58">
        <v>45139.0</v>
      </c>
      <c r="B10116" s="24" t="s">
        <v>6787</v>
      </c>
      <c r="C10116" s="24" t="s">
        <v>6808</v>
      </c>
      <c r="D10116" s="59">
        <v>8.0</v>
      </c>
      <c r="E10116" s="59">
        <v>17.0</v>
      </c>
      <c r="F10116" s="59">
        <v>4.0</v>
      </c>
      <c r="G10116" s="60">
        <v>2.125</v>
      </c>
      <c r="H10116" s="60">
        <v>0.0</v>
      </c>
      <c r="I10116" s="60">
        <v>161.132688705882</v>
      </c>
      <c r="J10116" s="59">
        <v>58.0</v>
      </c>
      <c r="K10116" s="61">
        <f t="shared" si="1"/>
        <v>0.2352941176</v>
      </c>
      <c r="L10116" s="62">
        <f t="shared" si="2"/>
        <v>3.411764706</v>
      </c>
    </row>
    <row r="10117">
      <c r="A10117" s="58">
        <v>45139.0</v>
      </c>
      <c r="B10117" s="24" t="s">
        <v>6789</v>
      </c>
      <c r="C10117" s="24" t="s">
        <v>7313</v>
      </c>
      <c r="D10117" s="59">
        <v>8.0</v>
      </c>
      <c r="E10117" s="59">
        <v>13.0</v>
      </c>
      <c r="F10117" s="59">
        <v>1.0</v>
      </c>
      <c r="G10117" s="60">
        <v>1.625</v>
      </c>
      <c r="H10117" s="60">
        <v>0.0</v>
      </c>
      <c r="I10117" s="60">
        <v>533.529789384615</v>
      </c>
      <c r="J10117" s="59">
        <v>100.0</v>
      </c>
      <c r="K10117" s="61">
        <f t="shared" si="1"/>
        <v>0.07692307692</v>
      </c>
      <c r="L10117" s="62">
        <f t="shared" si="2"/>
        <v>7.692307692</v>
      </c>
    </row>
    <row r="10118">
      <c r="A10118" s="58">
        <v>45139.0</v>
      </c>
      <c r="B10118" s="24" t="s">
        <v>6791</v>
      </c>
      <c r="C10118" s="24" t="s">
        <v>6788</v>
      </c>
      <c r="D10118" s="59">
        <v>7.0</v>
      </c>
      <c r="E10118" s="59">
        <v>9.0</v>
      </c>
      <c r="F10118" s="59">
        <v>0.0</v>
      </c>
      <c r="G10118" s="60">
        <v>1.28571428571428</v>
      </c>
      <c r="H10118" s="60">
        <v>0.0</v>
      </c>
      <c r="I10118" s="60">
        <v>94.3939085555555</v>
      </c>
      <c r="J10118" s="59">
        <v>36.0</v>
      </c>
      <c r="K10118" s="61">
        <f t="shared" si="1"/>
        <v>0</v>
      </c>
      <c r="L10118" s="62">
        <f t="shared" si="2"/>
        <v>4</v>
      </c>
    </row>
    <row r="10119">
      <c r="A10119" s="58">
        <v>45139.0</v>
      </c>
      <c r="B10119" s="24" t="s">
        <v>6789</v>
      </c>
      <c r="C10119" s="24" t="s">
        <v>6819</v>
      </c>
      <c r="D10119" s="59">
        <v>7.0</v>
      </c>
      <c r="E10119" s="59">
        <v>7.0</v>
      </c>
      <c r="F10119" s="59">
        <v>6.0</v>
      </c>
      <c r="G10119" s="60">
        <v>1.0</v>
      </c>
      <c r="H10119" s="60">
        <v>0.0</v>
      </c>
      <c r="I10119" s="60">
        <v>84.739376</v>
      </c>
      <c r="J10119" s="59">
        <v>18.0</v>
      </c>
      <c r="K10119" s="61">
        <f t="shared" si="1"/>
        <v>0.8571428571</v>
      </c>
      <c r="L10119" s="62">
        <f t="shared" si="2"/>
        <v>2.571428571</v>
      </c>
    </row>
    <row r="10120">
      <c r="A10120" s="58">
        <v>45139.0</v>
      </c>
      <c r="B10120" s="24" t="s">
        <v>6789</v>
      </c>
      <c r="C10120" s="24" t="s">
        <v>7530</v>
      </c>
      <c r="D10120" s="59">
        <v>7.0</v>
      </c>
      <c r="E10120" s="59">
        <v>14.0</v>
      </c>
      <c r="F10120" s="59">
        <v>3.0</v>
      </c>
      <c r="G10120" s="60">
        <v>2.0</v>
      </c>
      <c r="H10120" s="60">
        <v>0.0</v>
      </c>
      <c r="I10120" s="60">
        <v>146.180810928571</v>
      </c>
      <c r="J10120" s="59">
        <v>42.0</v>
      </c>
      <c r="K10120" s="61">
        <f t="shared" si="1"/>
        <v>0.2142857143</v>
      </c>
      <c r="L10120" s="62">
        <f t="shared" si="2"/>
        <v>3</v>
      </c>
    </row>
    <row r="10121">
      <c r="A10121" s="58">
        <v>45139.0</v>
      </c>
      <c r="B10121" s="24" t="s">
        <v>6787</v>
      </c>
      <c r="C10121" s="24" t="s">
        <v>7313</v>
      </c>
      <c r="D10121" s="59">
        <v>7.0</v>
      </c>
      <c r="E10121" s="59">
        <v>8.0</v>
      </c>
      <c r="F10121" s="59">
        <v>3.0</v>
      </c>
      <c r="G10121" s="60">
        <v>1.14285714285714</v>
      </c>
      <c r="H10121" s="60">
        <v>0.0</v>
      </c>
      <c r="I10121" s="60">
        <v>471.773060375</v>
      </c>
      <c r="J10121" s="59">
        <v>23.0</v>
      </c>
      <c r="K10121" s="61">
        <f t="shared" si="1"/>
        <v>0.375</v>
      </c>
      <c r="L10121" s="62">
        <f t="shared" si="2"/>
        <v>2.875</v>
      </c>
    </row>
    <row r="10122">
      <c r="A10122" s="58">
        <v>45139.0</v>
      </c>
      <c r="B10122" s="24" t="s">
        <v>6787</v>
      </c>
      <c r="C10122" s="24" t="s">
        <v>7403</v>
      </c>
      <c r="D10122" s="59">
        <v>7.0</v>
      </c>
      <c r="E10122" s="59">
        <v>13.0</v>
      </c>
      <c r="F10122" s="59">
        <v>4.0</v>
      </c>
      <c r="G10122" s="60">
        <v>1.85714285714285</v>
      </c>
      <c r="H10122" s="60">
        <v>0.0769230769230769</v>
      </c>
      <c r="I10122" s="60">
        <v>275.493404153846</v>
      </c>
      <c r="J10122" s="59">
        <v>47.0</v>
      </c>
      <c r="K10122" s="61">
        <f t="shared" si="1"/>
        <v>0.3076923077</v>
      </c>
      <c r="L10122" s="62">
        <f t="shared" si="2"/>
        <v>3.615384615</v>
      </c>
    </row>
    <row r="10123">
      <c r="A10123" s="58">
        <v>45139.0</v>
      </c>
      <c r="B10123" s="24" t="s">
        <v>6787</v>
      </c>
      <c r="C10123" s="24" t="s">
        <v>7192</v>
      </c>
      <c r="D10123" s="59">
        <v>7.0</v>
      </c>
      <c r="E10123" s="59">
        <v>17.0</v>
      </c>
      <c r="F10123" s="59">
        <v>3.0</v>
      </c>
      <c r="G10123" s="60">
        <v>2.42857142857142</v>
      </c>
      <c r="H10123" s="60">
        <v>0.0</v>
      </c>
      <c r="I10123" s="60">
        <v>557.504268705882</v>
      </c>
      <c r="J10123" s="59">
        <v>98.0</v>
      </c>
      <c r="K10123" s="61">
        <f t="shared" si="1"/>
        <v>0.1764705882</v>
      </c>
      <c r="L10123" s="62">
        <f t="shared" si="2"/>
        <v>5.764705882</v>
      </c>
    </row>
    <row r="10124">
      <c r="A10124" s="58">
        <v>45139.0</v>
      </c>
      <c r="B10124" s="24" t="s">
        <v>6787</v>
      </c>
      <c r="C10124" s="24" t="s">
        <v>6803</v>
      </c>
      <c r="D10124" s="59">
        <v>6.0</v>
      </c>
      <c r="E10124" s="59">
        <v>6.0</v>
      </c>
      <c r="F10124" s="59">
        <v>6.0</v>
      </c>
      <c r="G10124" s="60">
        <v>1.0</v>
      </c>
      <c r="H10124" s="60">
        <v>0.0</v>
      </c>
      <c r="I10124" s="60">
        <v>292.355127666666</v>
      </c>
      <c r="J10124" s="59">
        <v>24.0</v>
      </c>
      <c r="K10124" s="61">
        <f t="shared" si="1"/>
        <v>1</v>
      </c>
      <c r="L10124" s="62">
        <f t="shared" si="2"/>
        <v>4</v>
      </c>
    </row>
    <row r="10125">
      <c r="A10125" s="58">
        <v>45139.0</v>
      </c>
      <c r="B10125" s="24" t="s">
        <v>6787</v>
      </c>
      <c r="C10125" s="24" t="s">
        <v>7034</v>
      </c>
      <c r="D10125" s="59">
        <v>6.0</v>
      </c>
      <c r="E10125" s="59">
        <v>11.0</v>
      </c>
      <c r="F10125" s="59">
        <v>2.0</v>
      </c>
      <c r="G10125" s="60">
        <v>1.83333333333333</v>
      </c>
      <c r="H10125" s="60">
        <v>0.0</v>
      </c>
      <c r="I10125" s="60">
        <v>930.936478818181</v>
      </c>
      <c r="J10125" s="59">
        <v>92.0</v>
      </c>
      <c r="K10125" s="61">
        <f t="shared" si="1"/>
        <v>0.1818181818</v>
      </c>
      <c r="L10125" s="62">
        <f t="shared" si="2"/>
        <v>8.363636364</v>
      </c>
    </row>
    <row r="10126">
      <c r="A10126" s="58">
        <v>45139.0</v>
      </c>
      <c r="B10126" s="24" t="s">
        <v>6787</v>
      </c>
      <c r="C10126" s="24" t="s">
        <v>7530</v>
      </c>
      <c r="D10126" s="59">
        <v>6.0</v>
      </c>
      <c r="E10126" s="59">
        <v>6.0</v>
      </c>
      <c r="F10126" s="59">
        <v>6.0</v>
      </c>
      <c r="G10126" s="60">
        <v>1.0</v>
      </c>
      <c r="H10126" s="60">
        <v>0.0</v>
      </c>
      <c r="I10126" s="60">
        <v>461.961735166666</v>
      </c>
      <c r="J10126" s="59">
        <v>21.0</v>
      </c>
      <c r="K10126" s="61">
        <f t="shared" si="1"/>
        <v>1</v>
      </c>
      <c r="L10126" s="62">
        <f t="shared" si="2"/>
        <v>3.5</v>
      </c>
    </row>
    <row r="10127">
      <c r="A10127" s="58">
        <v>45139.0</v>
      </c>
      <c r="B10127" s="24" t="s">
        <v>6789</v>
      </c>
      <c r="C10127" s="24" t="s">
        <v>7207</v>
      </c>
      <c r="D10127" s="59">
        <v>6.0</v>
      </c>
      <c r="E10127" s="59">
        <v>6.0</v>
      </c>
      <c r="F10127" s="59">
        <v>6.0</v>
      </c>
      <c r="G10127" s="60">
        <v>1.0</v>
      </c>
      <c r="H10127" s="60">
        <v>0.0</v>
      </c>
      <c r="I10127" s="60">
        <v>0.1638195</v>
      </c>
      <c r="J10127" s="59">
        <v>12.0</v>
      </c>
      <c r="K10127" s="61">
        <f t="shared" si="1"/>
        <v>1</v>
      </c>
      <c r="L10127" s="62">
        <f t="shared" si="2"/>
        <v>2</v>
      </c>
    </row>
    <row r="10128">
      <c r="A10128" s="58">
        <v>45139.0</v>
      </c>
      <c r="B10128" s="24" t="s">
        <v>6789</v>
      </c>
      <c r="C10128" s="24" t="s">
        <v>7013</v>
      </c>
      <c r="D10128" s="59">
        <v>6.0</v>
      </c>
      <c r="E10128" s="59">
        <v>9.0</v>
      </c>
      <c r="F10128" s="59">
        <v>1.0</v>
      </c>
      <c r="G10128" s="60">
        <v>1.5</v>
      </c>
      <c r="H10128" s="60">
        <v>0.0</v>
      </c>
      <c r="I10128" s="60">
        <v>372.130288888888</v>
      </c>
      <c r="J10128" s="59">
        <v>22.0</v>
      </c>
      <c r="K10128" s="61">
        <f t="shared" si="1"/>
        <v>0.1111111111</v>
      </c>
      <c r="L10128" s="62">
        <f t="shared" si="2"/>
        <v>2.444444444</v>
      </c>
    </row>
    <row r="10129">
      <c r="A10129" s="58">
        <v>45139.0</v>
      </c>
      <c r="B10129" s="24" t="s">
        <v>6789</v>
      </c>
      <c r="C10129" s="24" t="s">
        <v>6922</v>
      </c>
      <c r="D10129" s="59">
        <v>6.0</v>
      </c>
      <c r="E10129" s="59">
        <v>6.0</v>
      </c>
      <c r="F10129" s="59">
        <v>2.0</v>
      </c>
      <c r="G10129" s="60">
        <v>1.0</v>
      </c>
      <c r="H10129" s="60">
        <v>0.0</v>
      </c>
      <c r="I10129" s="60">
        <v>333.80991</v>
      </c>
      <c r="J10129" s="59">
        <v>30.0</v>
      </c>
      <c r="K10129" s="61">
        <f t="shared" si="1"/>
        <v>0.3333333333</v>
      </c>
      <c r="L10129" s="62">
        <f t="shared" si="2"/>
        <v>5</v>
      </c>
    </row>
    <row r="10130">
      <c r="A10130" s="58">
        <v>45139.0</v>
      </c>
      <c r="B10130" s="24" t="s">
        <v>6789</v>
      </c>
      <c r="C10130" s="24" t="s">
        <v>6797</v>
      </c>
      <c r="D10130" s="59">
        <v>6.0</v>
      </c>
      <c r="E10130" s="59">
        <v>7.0</v>
      </c>
      <c r="F10130" s="59">
        <v>3.0</v>
      </c>
      <c r="G10130" s="60">
        <v>1.16666666666666</v>
      </c>
      <c r="H10130" s="60">
        <v>0.0</v>
      </c>
      <c r="I10130" s="60">
        <v>582.973975571428</v>
      </c>
      <c r="J10130" s="59">
        <v>36.0</v>
      </c>
      <c r="K10130" s="61">
        <f t="shared" si="1"/>
        <v>0.4285714286</v>
      </c>
      <c r="L10130" s="62">
        <f t="shared" si="2"/>
        <v>5.142857143</v>
      </c>
    </row>
    <row r="10131">
      <c r="A10131" s="58">
        <v>45139.0</v>
      </c>
      <c r="B10131" s="24" t="s">
        <v>6791</v>
      </c>
      <c r="C10131" s="24" t="s">
        <v>6802</v>
      </c>
      <c r="D10131" s="59">
        <v>6.0</v>
      </c>
      <c r="E10131" s="59">
        <v>6.0</v>
      </c>
      <c r="F10131" s="59">
        <v>6.0</v>
      </c>
      <c r="G10131" s="60">
        <v>1.0</v>
      </c>
      <c r="H10131" s="60">
        <v>0.0</v>
      </c>
      <c r="I10131" s="60">
        <v>194.757224666666</v>
      </c>
      <c r="J10131" s="59">
        <v>12.0</v>
      </c>
      <c r="K10131" s="61">
        <f t="shared" si="1"/>
        <v>1</v>
      </c>
      <c r="L10131" s="62">
        <f t="shared" si="2"/>
        <v>2</v>
      </c>
    </row>
    <row r="10132">
      <c r="A10132" s="58">
        <v>45139.0</v>
      </c>
      <c r="B10132" s="24" t="s">
        <v>6787</v>
      </c>
      <c r="C10132" s="24" t="s">
        <v>6817</v>
      </c>
      <c r="D10132" s="59">
        <v>5.0</v>
      </c>
      <c r="E10132" s="59">
        <v>5.0</v>
      </c>
      <c r="F10132" s="59">
        <v>3.0</v>
      </c>
      <c r="G10132" s="60">
        <v>1.0</v>
      </c>
      <c r="H10132" s="60">
        <v>0.2</v>
      </c>
      <c r="I10132" s="60">
        <v>215.3115254</v>
      </c>
      <c r="J10132" s="59">
        <v>13.0</v>
      </c>
      <c r="K10132" s="61">
        <f t="shared" si="1"/>
        <v>0.6</v>
      </c>
      <c r="L10132" s="62">
        <f t="shared" si="2"/>
        <v>2.6</v>
      </c>
    </row>
    <row r="10133">
      <c r="A10133" s="58">
        <v>45139.0</v>
      </c>
      <c r="B10133" s="24" t="s">
        <v>6789</v>
      </c>
      <c r="C10133" s="24" t="s">
        <v>7058</v>
      </c>
      <c r="D10133" s="59">
        <v>5.0</v>
      </c>
      <c r="E10133" s="59">
        <v>5.0</v>
      </c>
      <c r="F10133" s="59">
        <v>5.0</v>
      </c>
      <c r="G10133" s="60">
        <v>1.0</v>
      </c>
      <c r="H10133" s="60">
        <v>0.2</v>
      </c>
      <c r="I10133" s="60">
        <v>38.5351055999999</v>
      </c>
      <c r="J10133" s="59">
        <v>13.0</v>
      </c>
      <c r="K10133" s="61">
        <f t="shared" si="1"/>
        <v>1</v>
      </c>
      <c r="L10133" s="62">
        <f t="shared" si="2"/>
        <v>2.6</v>
      </c>
    </row>
    <row r="10134">
      <c r="A10134" s="58">
        <v>45139.0</v>
      </c>
      <c r="B10134" s="24" t="s">
        <v>6789</v>
      </c>
      <c r="C10134" s="24" t="s">
        <v>6994</v>
      </c>
      <c r="D10134" s="59">
        <v>5.0</v>
      </c>
      <c r="E10134" s="59">
        <v>5.0</v>
      </c>
      <c r="F10134" s="59">
        <v>5.0</v>
      </c>
      <c r="G10134" s="60">
        <v>1.0</v>
      </c>
      <c r="H10134" s="60">
        <v>0.0</v>
      </c>
      <c r="I10134" s="60">
        <v>307.416335799999</v>
      </c>
      <c r="J10134" s="59">
        <v>10.0</v>
      </c>
      <c r="K10134" s="61">
        <f t="shared" si="1"/>
        <v>1</v>
      </c>
      <c r="L10134" s="62">
        <f t="shared" si="2"/>
        <v>2</v>
      </c>
    </row>
    <row r="10135">
      <c r="A10135" s="58">
        <v>45139.0</v>
      </c>
      <c r="B10135" s="24" t="s">
        <v>6789</v>
      </c>
      <c r="C10135" s="24" t="s">
        <v>6886</v>
      </c>
      <c r="D10135" s="59">
        <v>5.0</v>
      </c>
      <c r="E10135" s="59">
        <v>5.0</v>
      </c>
      <c r="F10135" s="59">
        <v>2.0</v>
      </c>
      <c r="G10135" s="60">
        <v>1.0</v>
      </c>
      <c r="H10135" s="60">
        <v>0.0</v>
      </c>
      <c r="I10135" s="60">
        <v>62.4366962</v>
      </c>
      <c r="J10135" s="59">
        <v>19.0</v>
      </c>
      <c r="K10135" s="61">
        <f t="shared" si="1"/>
        <v>0.4</v>
      </c>
      <c r="L10135" s="62">
        <f t="shared" si="2"/>
        <v>3.8</v>
      </c>
    </row>
    <row r="10136">
      <c r="A10136" s="58">
        <v>45139.0</v>
      </c>
      <c r="B10136" s="24" t="s">
        <v>6789</v>
      </c>
      <c r="C10136" s="24" t="s">
        <v>6907</v>
      </c>
      <c r="D10136" s="59">
        <v>5.0</v>
      </c>
      <c r="E10136" s="59">
        <v>6.0</v>
      </c>
      <c r="F10136" s="59">
        <v>3.0</v>
      </c>
      <c r="G10136" s="60">
        <v>1.2</v>
      </c>
      <c r="H10136" s="60">
        <v>0.0</v>
      </c>
      <c r="I10136" s="60">
        <v>140.771655166666</v>
      </c>
      <c r="J10136" s="59">
        <v>18.0</v>
      </c>
      <c r="K10136" s="61">
        <f t="shared" si="1"/>
        <v>0.5</v>
      </c>
      <c r="L10136" s="62">
        <f t="shared" si="2"/>
        <v>3</v>
      </c>
    </row>
    <row r="10137">
      <c r="A10137" s="58">
        <v>45139.0</v>
      </c>
      <c r="B10137" s="24" t="s">
        <v>6787</v>
      </c>
      <c r="C10137" s="24" t="s">
        <v>7172</v>
      </c>
      <c r="D10137" s="59">
        <v>5.0</v>
      </c>
      <c r="E10137" s="59">
        <v>5.0</v>
      </c>
      <c r="F10137" s="59">
        <v>4.0</v>
      </c>
      <c r="G10137" s="60">
        <v>1.0</v>
      </c>
      <c r="H10137" s="60">
        <v>0.0</v>
      </c>
      <c r="I10137" s="60">
        <v>23.712638</v>
      </c>
      <c r="J10137" s="59">
        <v>12.0</v>
      </c>
      <c r="K10137" s="61">
        <f t="shared" si="1"/>
        <v>0.8</v>
      </c>
      <c r="L10137" s="62">
        <f t="shared" si="2"/>
        <v>2.4</v>
      </c>
    </row>
    <row r="10138">
      <c r="A10138" s="58">
        <v>45139.0</v>
      </c>
      <c r="B10138" s="24" t="s">
        <v>6789</v>
      </c>
      <c r="C10138" s="24" t="s">
        <v>7180</v>
      </c>
      <c r="D10138" s="59">
        <v>5.0</v>
      </c>
      <c r="E10138" s="59">
        <v>5.0</v>
      </c>
      <c r="F10138" s="59">
        <v>5.0</v>
      </c>
      <c r="G10138" s="60">
        <v>1.0</v>
      </c>
      <c r="H10138" s="60">
        <v>0.0</v>
      </c>
      <c r="I10138" s="60">
        <v>157.7838238</v>
      </c>
      <c r="J10138" s="59">
        <v>18.0</v>
      </c>
      <c r="K10138" s="61">
        <f t="shared" si="1"/>
        <v>1</v>
      </c>
      <c r="L10138" s="62">
        <f t="shared" si="2"/>
        <v>3.6</v>
      </c>
    </row>
    <row r="10139">
      <c r="A10139" s="58">
        <v>45139.0</v>
      </c>
      <c r="B10139" s="24" t="s">
        <v>6787</v>
      </c>
      <c r="C10139" s="24" t="s">
        <v>6922</v>
      </c>
      <c r="D10139" s="59">
        <v>5.0</v>
      </c>
      <c r="E10139" s="59">
        <v>5.0</v>
      </c>
      <c r="F10139" s="59">
        <v>5.0</v>
      </c>
      <c r="G10139" s="60">
        <v>1.0</v>
      </c>
      <c r="H10139" s="60">
        <v>0.0</v>
      </c>
      <c r="I10139" s="60">
        <v>14.6538709999999</v>
      </c>
      <c r="J10139" s="59">
        <v>13.0</v>
      </c>
      <c r="K10139" s="61">
        <f t="shared" si="1"/>
        <v>1</v>
      </c>
      <c r="L10139" s="62">
        <f t="shared" si="2"/>
        <v>2.6</v>
      </c>
    </row>
    <row r="10140">
      <c r="A10140" s="58">
        <v>45139.0</v>
      </c>
      <c r="B10140" s="24" t="s">
        <v>6789</v>
      </c>
      <c r="C10140" s="24" t="s">
        <v>6810</v>
      </c>
      <c r="D10140" s="59">
        <v>5.0</v>
      </c>
      <c r="E10140" s="59">
        <v>7.0</v>
      </c>
      <c r="F10140" s="59">
        <v>4.0</v>
      </c>
      <c r="G10140" s="60">
        <v>1.4</v>
      </c>
      <c r="H10140" s="60">
        <v>0.0</v>
      </c>
      <c r="I10140" s="60">
        <v>162.846638428571</v>
      </c>
      <c r="J10140" s="59">
        <v>31.0</v>
      </c>
      <c r="K10140" s="61">
        <f t="shared" si="1"/>
        <v>0.5714285714</v>
      </c>
      <c r="L10140" s="62">
        <f t="shared" si="2"/>
        <v>4.428571429</v>
      </c>
    </row>
    <row r="10141">
      <c r="A10141" s="58">
        <v>45139.0</v>
      </c>
      <c r="B10141" s="24" t="s">
        <v>7100</v>
      </c>
      <c r="C10141" s="24" t="s">
        <v>6802</v>
      </c>
      <c r="D10141" s="59">
        <v>5.0</v>
      </c>
      <c r="E10141" s="59">
        <v>5.0</v>
      </c>
      <c r="F10141" s="59">
        <v>5.0</v>
      </c>
      <c r="G10141" s="60">
        <v>1.0</v>
      </c>
      <c r="H10141" s="60">
        <v>0.0</v>
      </c>
      <c r="I10141" s="60">
        <v>30.7950876</v>
      </c>
      <c r="J10141" s="59">
        <v>16.0</v>
      </c>
      <c r="K10141" s="61">
        <f t="shared" si="1"/>
        <v>1</v>
      </c>
      <c r="L10141" s="62">
        <f t="shared" si="2"/>
        <v>3.2</v>
      </c>
    </row>
    <row r="10142">
      <c r="A10142" s="58">
        <v>45139.0</v>
      </c>
      <c r="B10142" s="24" t="s">
        <v>6789</v>
      </c>
      <c r="C10142" s="24" t="s">
        <v>6953</v>
      </c>
      <c r="D10142" s="59">
        <v>4.0</v>
      </c>
      <c r="E10142" s="59">
        <v>6.0</v>
      </c>
      <c r="F10142" s="59">
        <v>2.0</v>
      </c>
      <c r="G10142" s="60">
        <v>1.5</v>
      </c>
      <c r="H10142" s="60">
        <v>0.0</v>
      </c>
      <c r="I10142" s="60">
        <v>143.542147666666</v>
      </c>
      <c r="J10142" s="59">
        <v>16.0</v>
      </c>
      <c r="K10142" s="61">
        <f t="shared" si="1"/>
        <v>0.3333333333</v>
      </c>
      <c r="L10142" s="62">
        <f t="shared" si="2"/>
        <v>2.666666667</v>
      </c>
    </row>
    <row r="10143">
      <c r="A10143" s="58">
        <v>45139.0</v>
      </c>
      <c r="B10143" s="24" t="s">
        <v>7100</v>
      </c>
      <c r="C10143" s="24" t="s">
        <v>6989</v>
      </c>
      <c r="D10143" s="59">
        <v>4.0</v>
      </c>
      <c r="E10143" s="59">
        <v>4.0</v>
      </c>
      <c r="F10143" s="59">
        <v>4.0</v>
      </c>
      <c r="G10143" s="60">
        <v>1.0</v>
      </c>
      <c r="H10143" s="60">
        <v>0.0</v>
      </c>
      <c r="I10143" s="60">
        <v>4.6951515</v>
      </c>
      <c r="J10143" s="59">
        <v>8.0</v>
      </c>
      <c r="K10143" s="61">
        <f t="shared" si="1"/>
        <v>1</v>
      </c>
      <c r="L10143" s="62">
        <f t="shared" si="2"/>
        <v>2</v>
      </c>
    </row>
    <row r="10144">
      <c r="A10144" s="58">
        <v>45139.0</v>
      </c>
      <c r="B10144" s="24" t="s">
        <v>6787</v>
      </c>
      <c r="C10144" s="24" t="s">
        <v>6835</v>
      </c>
      <c r="D10144" s="59">
        <v>4.0</v>
      </c>
      <c r="E10144" s="59">
        <v>4.0</v>
      </c>
      <c r="F10144" s="59">
        <v>3.0</v>
      </c>
      <c r="G10144" s="60">
        <v>1.0</v>
      </c>
      <c r="H10144" s="60">
        <v>0.0</v>
      </c>
      <c r="I10144" s="60">
        <v>5.1703665</v>
      </c>
      <c r="J10144" s="59">
        <v>8.0</v>
      </c>
      <c r="K10144" s="61">
        <f t="shared" si="1"/>
        <v>0.75</v>
      </c>
      <c r="L10144" s="62">
        <f t="shared" si="2"/>
        <v>2</v>
      </c>
    </row>
    <row r="10145">
      <c r="A10145" s="58">
        <v>45139.0</v>
      </c>
      <c r="B10145" s="24" t="s">
        <v>6789</v>
      </c>
      <c r="C10145" s="24" t="s">
        <v>7558</v>
      </c>
      <c r="D10145" s="59">
        <v>4.0</v>
      </c>
      <c r="E10145" s="59">
        <v>4.0</v>
      </c>
      <c r="F10145" s="59">
        <v>3.0</v>
      </c>
      <c r="G10145" s="60">
        <v>1.0</v>
      </c>
      <c r="H10145" s="60">
        <v>0.0</v>
      </c>
      <c r="I10145" s="60">
        <v>19.72439</v>
      </c>
      <c r="J10145" s="59">
        <v>10.0</v>
      </c>
      <c r="K10145" s="61">
        <f t="shared" si="1"/>
        <v>0.75</v>
      </c>
      <c r="L10145" s="62">
        <f t="shared" si="2"/>
        <v>2.5</v>
      </c>
    </row>
    <row r="10146">
      <c r="A10146" s="58">
        <v>45139.0</v>
      </c>
      <c r="B10146" s="24" t="s">
        <v>6789</v>
      </c>
      <c r="C10146" s="24" t="s">
        <v>7206</v>
      </c>
      <c r="D10146" s="59">
        <v>4.0</v>
      </c>
      <c r="E10146" s="59">
        <v>4.0</v>
      </c>
      <c r="F10146" s="59">
        <v>2.0</v>
      </c>
      <c r="G10146" s="60">
        <v>1.0</v>
      </c>
      <c r="H10146" s="60">
        <v>0.0</v>
      </c>
      <c r="I10146" s="60">
        <v>20.73464975</v>
      </c>
      <c r="J10146" s="59">
        <v>8.0</v>
      </c>
      <c r="K10146" s="61">
        <f t="shared" si="1"/>
        <v>0.5</v>
      </c>
      <c r="L10146" s="62">
        <f t="shared" si="2"/>
        <v>2</v>
      </c>
    </row>
    <row r="10147">
      <c r="A10147" s="58">
        <v>45139.0</v>
      </c>
      <c r="B10147" s="24" t="s">
        <v>6789</v>
      </c>
      <c r="C10147" s="24" t="s">
        <v>7101</v>
      </c>
      <c r="D10147" s="59">
        <v>4.0</v>
      </c>
      <c r="E10147" s="59">
        <v>9.0</v>
      </c>
      <c r="F10147" s="59">
        <v>0.0</v>
      </c>
      <c r="G10147" s="60">
        <v>2.25</v>
      </c>
      <c r="H10147" s="60">
        <v>0.0</v>
      </c>
      <c r="I10147" s="60">
        <v>585.012192111111</v>
      </c>
      <c r="J10147" s="59">
        <v>65.0</v>
      </c>
      <c r="K10147" s="61">
        <f t="shared" si="1"/>
        <v>0</v>
      </c>
      <c r="L10147" s="62">
        <f t="shared" si="2"/>
        <v>7.222222222</v>
      </c>
    </row>
    <row r="10148">
      <c r="A10148" s="58">
        <v>45139.0</v>
      </c>
      <c r="B10148" s="24" t="s">
        <v>6789</v>
      </c>
      <c r="C10148" s="24" t="s">
        <v>6908</v>
      </c>
      <c r="D10148" s="59">
        <v>4.0</v>
      </c>
      <c r="E10148" s="59">
        <v>5.0</v>
      </c>
      <c r="F10148" s="59">
        <v>0.0</v>
      </c>
      <c r="G10148" s="60">
        <v>1.25</v>
      </c>
      <c r="H10148" s="60">
        <v>0.0</v>
      </c>
      <c r="I10148" s="60">
        <v>1051.7060316</v>
      </c>
      <c r="J10148" s="59">
        <v>52.0</v>
      </c>
      <c r="K10148" s="61">
        <f t="shared" si="1"/>
        <v>0</v>
      </c>
      <c r="L10148" s="62">
        <f t="shared" si="2"/>
        <v>10.4</v>
      </c>
    </row>
    <row r="10149">
      <c r="A10149" s="58">
        <v>45139.0</v>
      </c>
      <c r="B10149" s="24" t="s">
        <v>6789</v>
      </c>
      <c r="C10149" s="24" t="s">
        <v>7104</v>
      </c>
      <c r="D10149" s="59">
        <v>4.0</v>
      </c>
      <c r="E10149" s="59">
        <v>4.0</v>
      </c>
      <c r="F10149" s="59">
        <v>1.0</v>
      </c>
      <c r="G10149" s="60">
        <v>1.0</v>
      </c>
      <c r="H10149" s="60">
        <v>0.0</v>
      </c>
      <c r="I10149" s="60">
        <v>77.2991155</v>
      </c>
      <c r="J10149" s="59">
        <v>18.0</v>
      </c>
      <c r="K10149" s="61">
        <f t="shared" si="1"/>
        <v>0.25</v>
      </c>
      <c r="L10149" s="62">
        <f t="shared" si="2"/>
        <v>4.5</v>
      </c>
    </row>
    <row r="10150">
      <c r="A10150" s="58">
        <v>45139.0</v>
      </c>
      <c r="B10150" s="24" t="s">
        <v>6789</v>
      </c>
      <c r="C10150" s="24" t="s">
        <v>6921</v>
      </c>
      <c r="D10150" s="59">
        <v>4.0</v>
      </c>
      <c r="E10150" s="59">
        <v>4.0</v>
      </c>
      <c r="F10150" s="59">
        <v>0.0</v>
      </c>
      <c r="G10150" s="60">
        <v>1.0</v>
      </c>
      <c r="H10150" s="60">
        <v>0.0</v>
      </c>
      <c r="I10150" s="60">
        <v>299.77861475</v>
      </c>
      <c r="J10150" s="59">
        <v>15.0</v>
      </c>
      <c r="K10150" s="61">
        <f t="shared" si="1"/>
        <v>0</v>
      </c>
      <c r="L10150" s="62">
        <f t="shared" si="2"/>
        <v>3.75</v>
      </c>
    </row>
    <row r="10151">
      <c r="A10151" s="58">
        <v>45139.0</v>
      </c>
      <c r="B10151" s="24" t="s">
        <v>6787</v>
      </c>
      <c r="C10151" s="24" t="s">
        <v>6797</v>
      </c>
      <c r="D10151" s="59">
        <v>4.0</v>
      </c>
      <c r="E10151" s="59">
        <v>4.0</v>
      </c>
      <c r="F10151" s="59">
        <v>4.0</v>
      </c>
      <c r="G10151" s="60">
        <v>1.0</v>
      </c>
      <c r="H10151" s="60">
        <v>0.0</v>
      </c>
      <c r="I10151" s="60">
        <v>7.5197015</v>
      </c>
      <c r="J10151" s="59">
        <v>10.0</v>
      </c>
      <c r="K10151" s="61">
        <f t="shared" si="1"/>
        <v>1</v>
      </c>
      <c r="L10151" s="62">
        <f t="shared" si="2"/>
        <v>2.5</v>
      </c>
    </row>
    <row r="10152">
      <c r="A10152" s="58">
        <v>45139.0</v>
      </c>
      <c r="B10152" s="24" t="s">
        <v>3216</v>
      </c>
      <c r="C10152" s="24" t="s">
        <v>6788</v>
      </c>
      <c r="D10152" s="59">
        <v>3.0</v>
      </c>
      <c r="E10152" s="59">
        <v>4.0</v>
      </c>
      <c r="F10152" s="59">
        <v>0.0</v>
      </c>
      <c r="G10152" s="60">
        <v>1.33333333333333</v>
      </c>
      <c r="H10152" s="60">
        <v>0.0</v>
      </c>
      <c r="I10152" s="60">
        <v>28.5933219999999</v>
      </c>
      <c r="J10152" s="59">
        <v>12.0</v>
      </c>
      <c r="K10152" s="61">
        <f t="shared" si="1"/>
        <v>0</v>
      </c>
      <c r="L10152" s="62">
        <f t="shared" si="2"/>
        <v>3</v>
      </c>
    </row>
    <row r="10153">
      <c r="A10153" s="58">
        <v>45139.0</v>
      </c>
      <c r="B10153" s="24" t="s">
        <v>6789</v>
      </c>
      <c r="C10153" s="24" t="s">
        <v>6861</v>
      </c>
      <c r="D10153" s="59">
        <v>3.0</v>
      </c>
      <c r="E10153" s="59">
        <v>3.0</v>
      </c>
      <c r="F10153" s="59">
        <v>2.0</v>
      </c>
      <c r="G10153" s="60">
        <v>1.0</v>
      </c>
      <c r="H10153" s="60">
        <v>0.0</v>
      </c>
      <c r="I10153" s="60">
        <v>45.906549</v>
      </c>
      <c r="J10153" s="59">
        <v>6.0</v>
      </c>
      <c r="K10153" s="61">
        <f t="shared" si="1"/>
        <v>0.6666666667</v>
      </c>
      <c r="L10153" s="62">
        <f t="shared" si="2"/>
        <v>2</v>
      </c>
    </row>
    <row r="10154">
      <c r="A10154" s="58">
        <v>45139.0</v>
      </c>
      <c r="B10154" s="24" t="s">
        <v>6789</v>
      </c>
      <c r="C10154" s="24" t="s">
        <v>7059</v>
      </c>
      <c r="D10154" s="59">
        <v>3.0</v>
      </c>
      <c r="E10154" s="59">
        <v>3.0</v>
      </c>
      <c r="F10154" s="59">
        <v>2.0</v>
      </c>
      <c r="G10154" s="60">
        <v>1.0</v>
      </c>
      <c r="H10154" s="60">
        <v>0.0</v>
      </c>
      <c r="I10154" s="60">
        <v>836.156516333333</v>
      </c>
      <c r="J10154" s="59">
        <v>6.0</v>
      </c>
      <c r="K10154" s="61">
        <f t="shared" si="1"/>
        <v>0.6666666667</v>
      </c>
      <c r="L10154" s="62">
        <f t="shared" si="2"/>
        <v>2</v>
      </c>
    </row>
    <row r="10155">
      <c r="A10155" s="58">
        <v>45139.0</v>
      </c>
      <c r="B10155" s="24" t="s">
        <v>6789</v>
      </c>
      <c r="C10155" s="24" t="s">
        <v>6985</v>
      </c>
      <c r="D10155" s="59">
        <v>3.0</v>
      </c>
      <c r="E10155" s="59">
        <v>3.0</v>
      </c>
      <c r="F10155" s="59">
        <v>3.0</v>
      </c>
      <c r="G10155" s="60">
        <v>1.0</v>
      </c>
      <c r="H10155" s="60">
        <v>0.0</v>
      </c>
      <c r="I10155" s="60">
        <v>85.9145526666666</v>
      </c>
      <c r="J10155" s="59">
        <v>8.0</v>
      </c>
      <c r="K10155" s="61">
        <f t="shared" si="1"/>
        <v>1</v>
      </c>
      <c r="L10155" s="62">
        <f t="shared" si="2"/>
        <v>2.666666667</v>
      </c>
    </row>
    <row r="10156">
      <c r="A10156" s="58">
        <v>45139.0</v>
      </c>
      <c r="B10156" s="24" t="s">
        <v>6794</v>
      </c>
      <c r="C10156" s="24" t="s">
        <v>6867</v>
      </c>
      <c r="D10156" s="59">
        <v>3.0</v>
      </c>
      <c r="E10156" s="59">
        <v>5.0</v>
      </c>
      <c r="F10156" s="59">
        <v>3.0</v>
      </c>
      <c r="G10156" s="60">
        <v>1.66666666666666</v>
      </c>
      <c r="H10156" s="60">
        <v>0.2</v>
      </c>
      <c r="I10156" s="60">
        <v>27.843894</v>
      </c>
      <c r="J10156" s="59">
        <v>10.0</v>
      </c>
      <c r="K10156" s="61">
        <f t="shared" si="1"/>
        <v>0.6</v>
      </c>
      <c r="L10156" s="62">
        <f t="shared" si="2"/>
        <v>2</v>
      </c>
    </row>
    <row r="10157">
      <c r="A10157" s="58">
        <v>45139.0</v>
      </c>
      <c r="B10157" s="24" t="s">
        <v>6789</v>
      </c>
      <c r="C10157" s="24" t="s">
        <v>7074</v>
      </c>
      <c r="D10157" s="59">
        <v>3.0</v>
      </c>
      <c r="E10157" s="59">
        <v>3.0</v>
      </c>
      <c r="F10157" s="59">
        <v>3.0</v>
      </c>
      <c r="G10157" s="60">
        <v>1.0</v>
      </c>
      <c r="H10157" s="60">
        <v>0.0</v>
      </c>
      <c r="I10157" s="60">
        <v>294.711277</v>
      </c>
      <c r="J10157" s="59">
        <v>6.0</v>
      </c>
      <c r="K10157" s="61">
        <f t="shared" si="1"/>
        <v>1</v>
      </c>
      <c r="L10157" s="62">
        <f t="shared" si="2"/>
        <v>2</v>
      </c>
    </row>
    <row r="10158">
      <c r="A10158" s="58">
        <v>45139.0</v>
      </c>
      <c r="B10158" s="24" t="s">
        <v>6787</v>
      </c>
      <c r="C10158" s="24" t="s">
        <v>6892</v>
      </c>
      <c r="D10158" s="59">
        <v>3.0</v>
      </c>
      <c r="E10158" s="59">
        <v>3.0</v>
      </c>
      <c r="F10158" s="59">
        <v>2.0</v>
      </c>
      <c r="G10158" s="60">
        <v>1.0</v>
      </c>
      <c r="H10158" s="60">
        <v>0.0</v>
      </c>
      <c r="I10158" s="60">
        <v>6.85742866666666</v>
      </c>
      <c r="J10158" s="59">
        <v>6.0</v>
      </c>
      <c r="K10158" s="61">
        <f t="shared" si="1"/>
        <v>0.6666666667</v>
      </c>
      <c r="L10158" s="62">
        <f t="shared" si="2"/>
        <v>2</v>
      </c>
    </row>
    <row r="10159">
      <c r="A10159" s="58">
        <v>45139.0</v>
      </c>
      <c r="B10159" s="24" t="s">
        <v>6787</v>
      </c>
      <c r="C10159" s="24" t="s">
        <v>7573</v>
      </c>
      <c r="D10159" s="59">
        <v>3.0</v>
      </c>
      <c r="E10159" s="59">
        <v>3.0</v>
      </c>
      <c r="F10159" s="59">
        <v>3.0</v>
      </c>
      <c r="G10159" s="60">
        <v>1.0</v>
      </c>
      <c r="H10159" s="60">
        <v>0.0</v>
      </c>
      <c r="I10159" s="60">
        <v>16.548868</v>
      </c>
      <c r="J10159" s="59">
        <v>6.0</v>
      </c>
      <c r="K10159" s="61">
        <f t="shared" si="1"/>
        <v>1</v>
      </c>
      <c r="L10159" s="62">
        <f t="shared" si="2"/>
        <v>2</v>
      </c>
    </row>
    <row r="10160">
      <c r="A10160" s="58">
        <v>45139.0</v>
      </c>
      <c r="B10160" s="24" t="s">
        <v>6787</v>
      </c>
      <c r="C10160" s="24" t="s">
        <v>7592</v>
      </c>
      <c r="D10160" s="59">
        <v>3.0</v>
      </c>
      <c r="E10160" s="59">
        <v>5.0</v>
      </c>
      <c r="F10160" s="59">
        <v>2.0</v>
      </c>
      <c r="G10160" s="60">
        <v>1.66666666666666</v>
      </c>
      <c r="H10160" s="60">
        <v>0.0</v>
      </c>
      <c r="I10160" s="60">
        <v>84.5746132</v>
      </c>
      <c r="J10160" s="59">
        <v>10.0</v>
      </c>
      <c r="K10160" s="61">
        <f t="shared" si="1"/>
        <v>0.4</v>
      </c>
      <c r="L10160" s="62">
        <f t="shared" si="2"/>
        <v>2</v>
      </c>
    </row>
    <row r="10161">
      <c r="A10161" s="58">
        <v>45139.0</v>
      </c>
      <c r="B10161" s="24" t="s">
        <v>6942</v>
      </c>
      <c r="C10161" s="24" t="s">
        <v>7530</v>
      </c>
      <c r="D10161" s="59">
        <v>3.0</v>
      </c>
      <c r="E10161" s="59">
        <v>3.0</v>
      </c>
      <c r="F10161" s="59">
        <v>3.0</v>
      </c>
      <c r="G10161" s="60">
        <v>1.0</v>
      </c>
      <c r="H10161" s="60">
        <v>0.0</v>
      </c>
      <c r="I10161" s="60">
        <v>0.204457</v>
      </c>
      <c r="J10161" s="59">
        <v>6.0</v>
      </c>
      <c r="K10161" s="61">
        <f t="shared" si="1"/>
        <v>1</v>
      </c>
      <c r="L10161" s="62">
        <f t="shared" si="2"/>
        <v>2</v>
      </c>
    </row>
    <row r="10162">
      <c r="A10162" s="58">
        <v>45139.0</v>
      </c>
      <c r="B10162" s="24" t="s">
        <v>6942</v>
      </c>
      <c r="C10162" s="24" t="s">
        <v>7207</v>
      </c>
      <c r="D10162" s="59">
        <v>3.0</v>
      </c>
      <c r="E10162" s="59">
        <v>3.0</v>
      </c>
      <c r="F10162" s="59">
        <v>3.0</v>
      </c>
      <c r="G10162" s="60">
        <v>1.0</v>
      </c>
      <c r="H10162" s="60">
        <v>0.0</v>
      </c>
      <c r="I10162" s="60">
        <v>0.188297</v>
      </c>
      <c r="J10162" s="59">
        <v>6.0</v>
      </c>
      <c r="K10162" s="61">
        <f t="shared" si="1"/>
        <v>1</v>
      </c>
      <c r="L10162" s="62">
        <f t="shared" si="2"/>
        <v>2</v>
      </c>
    </row>
    <row r="10163">
      <c r="A10163" s="58">
        <v>45139.0</v>
      </c>
      <c r="B10163" s="24" t="s">
        <v>6787</v>
      </c>
      <c r="C10163" s="24" t="s">
        <v>7087</v>
      </c>
      <c r="D10163" s="59">
        <v>3.0</v>
      </c>
      <c r="E10163" s="59">
        <v>3.0</v>
      </c>
      <c r="F10163" s="59">
        <v>2.0</v>
      </c>
      <c r="G10163" s="60">
        <v>1.0</v>
      </c>
      <c r="H10163" s="60">
        <v>0.0</v>
      </c>
      <c r="I10163" s="60">
        <v>611.502511666666</v>
      </c>
      <c r="J10163" s="59">
        <v>12.0</v>
      </c>
      <c r="K10163" s="61">
        <f t="shared" si="1"/>
        <v>0.6666666667</v>
      </c>
      <c r="L10163" s="62">
        <f t="shared" si="2"/>
        <v>4</v>
      </c>
    </row>
    <row r="10164">
      <c r="A10164" s="58">
        <v>45139.0</v>
      </c>
      <c r="B10164" s="24" t="s">
        <v>6789</v>
      </c>
      <c r="C10164" s="24" t="s">
        <v>6800</v>
      </c>
      <c r="D10164" s="59">
        <v>3.0</v>
      </c>
      <c r="E10164" s="59">
        <v>5.0</v>
      </c>
      <c r="F10164" s="59">
        <v>0.0</v>
      </c>
      <c r="G10164" s="60">
        <v>1.66666666666666</v>
      </c>
      <c r="H10164" s="60">
        <v>0.0</v>
      </c>
      <c r="I10164" s="60">
        <v>465.0531062</v>
      </c>
      <c r="J10164" s="59">
        <v>16.0</v>
      </c>
      <c r="K10164" s="61">
        <f t="shared" si="1"/>
        <v>0</v>
      </c>
      <c r="L10164" s="62">
        <f t="shared" si="2"/>
        <v>3.2</v>
      </c>
    </row>
    <row r="10165">
      <c r="A10165" s="58">
        <v>45139.0</v>
      </c>
      <c r="B10165" s="24" t="s">
        <v>6787</v>
      </c>
      <c r="C10165" s="24" t="s">
        <v>7013</v>
      </c>
      <c r="D10165" s="59">
        <v>3.0</v>
      </c>
      <c r="E10165" s="59">
        <v>3.0</v>
      </c>
      <c r="F10165" s="59">
        <v>2.0</v>
      </c>
      <c r="G10165" s="60">
        <v>1.0</v>
      </c>
      <c r="H10165" s="60">
        <v>0.0</v>
      </c>
      <c r="I10165" s="60">
        <v>11.318968</v>
      </c>
      <c r="J10165" s="59">
        <v>6.0</v>
      </c>
      <c r="K10165" s="61">
        <f t="shared" si="1"/>
        <v>0.6666666667</v>
      </c>
      <c r="L10165" s="62">
        <f t="shared" si="2"/>
        <v>2</v>
      </c>
    </row>
    <row r="10166">
      <c r="A10166" s="58">
        <v>45139.0</v>
      </c>
      <c r="B10166" s="24" t="s">
        <v>6787</v>
      </c>
      <c r="C10166" s="24" t="s">
        <v>7101</v>
      </c>
      <c r="D10166" s="59">
        <v>3.0</v>
      </c>
      <c r="E10166" s="59">
        <v>3.0</v>
      </c>
      <c r="F10166" s="59">
        <v>3.0</v>
      </c>
      <c r="G10166" s="60">
        <v>1.0</v>
      </c>
      <c r="H10166" s="60">
        <v>0.0</v>
      </c>
      <c r="I10166" s="60">
        <v>2.27431033333333</v>
      </c>
      <c r="J10166" s="59">
        <v>6.0</v>
      </c>
      <c r="K10166" s="61">
        <f t="shared" si="1"/>
        <v>1</v>
      </c>
      <c r="L10166" s="62">
        <f t="shared" si="2"/>
        <v>2</v>
      </c>
    </row>
    <row r="10167">
      <c r="A10167" s="58">
        <v>45139.0</v>
      </c>
      <c r="B10167" s="24" t="s">
        <v>6789</v>
      </c>
      <c r="C10167" s="24" t="s">
        <v>7172</v>
      </c>
      <c r="D10167" s="59">
        <v>3.0</v>
      </c>
      <c r="E10167" s="59">
        <v>4.0</v>
      </c>
      <c r="F10167" s="59">
        <v>0.0</v>
      </c>
      <c r="G10167" s="60">
        <v>1.33333333333333</v>
      </c>
      <c r="H10167" s="60">
        <v>0.0</v>
      </c>
      <c r="I10167" s="60">
        <v>177.913603</v>
      </c>
      <c r="J10167" s="59">
        <v>12.0</v>
      </c>
      <c r="K10167" s="61">
        <f t="shared" si="1"/>
        <v>0</v>
      </c>
      <c r="L10167" s="62">
        <f t="shared" si="2"/>
        <v>3</v>
      </c>
    </row>
    <row r="10168">
      <c r="A10168" s="58">
        <v>45139.0</v>
      </c>
      <c r="B10168" s="24" t="s">
        <v>6787</v>
      </c>
      <c r="C10168" s="24" t="s">
        <v>7102</v>
      </c>
      <c r="D10168" s="59">
        <v>3.0</v>
      </c>
      <c r="E10168" s="59">
        <v>3.0</v>
      </c>
      <c r="F10168" s="59">
        <v>3.0</v>
      </c>
      <c r="G10168" s="60">
        <v>1.0</v>
      </c>
      <c r="H10168" s="60">
        <v>0.333333333333333</v>
      </c>
      <c r="I10168" s="60">
        <v>2.12284966666666</v>
      </c>
      <c r="J10168" s="59">
        <v>5.0</v>
      </c>
      <c r="K10168" s="61">
        <f t="shared" si="1"/>
        <v>1</v>
      </c>
      <c r="L10168" s="62">
        <f t="shared" si="2"/>
        <v>1.666666667</v>
      </c>
    </row>
    <row r="10169">
      <c r="A10169" s="58">
        <v>45139.0</v>
      </c>
      <c r="B10169" s="24" t="s">
        <v>6789</v>
      </c>
      <c r="C10169" s="24" t="s">
        <v>7102</v>
      </c>
      <c r="D10169" s="59">
        <v>3.0</v>
      </c>
      <c r="E10169" s="59">
        <v>3.0</v>
      </c>
      <c r="F10169" s="59">
        <v>1.0</v>
      </c>
      <c r="G10169" s="60">
        <v>1.0</v>
      </c>
      <c r="H10169" s="60">
        <v>0.0</v>
      </c>
      <c r="I10169" s="60">
        <v>227.434806333333</v>
      </c>
      <c r="J10169" s="59">
        <v>7.0</v>
      </c>
      <c r="K10169" s="61">
        <f t="shared" si="1"/>
        <v>0.3333333333</v>
      </c>
      <c r="L10169" s="62">
        <f t="shared" si="2"/>
        <v>2.333333333</v>
      </c>
    </row>
    <row r="10170">
      <c r="A10170" s="58">
        <v>45139.0</v>
      </c>
      <c r="B10170" s="24" t="s">
        <v>6787</v>
      </c>
      <c r="C10170" s="24" t="s">
        <v>7027</v>
      </c>
      <c r="D10170" s="59">
        <v>3.0</v>
      </c>
      <c r="E10170" s="59">
        <v>3.0</v>
      </c>
      <c r="F10170" s="59">
        <v>3.0</v>
      </c>
      <c r="G10170" s="60">
        <v>1.0</v>
      </c>
      <c r="H10170" s="60">
        <v>0.0</v>
      </c>
      <c r="I10170" s="60">
        <v>3.54793933333333</v>
      </c>
      <c r="J10170" s="59">
        <v>6.0</v>
      </c>
      <c r="K10170" s="61">
        <f t="shared" si="1"/>
        <v>1</v>
      </c>
      <c r="L10170" s="62">
        <f t="shared" si="2"/>
        <v>2</v>
      </c>
    </row>
    <row r="10171">
      <c r="A10171" s="58">
        <v>45139.0</v>
      </c>
      <c r="B10171" s="24" t="s">
        <v>155</v>
      </c>
      <c r="C10171" s="24" t="s">
        <v>6815</v>
      </c>
      <c r="D10171" s="59">
        <v>3.0</v>
      </c>
      <c r="E10171" s="59">
        <v>4.0</v>
      </c>
      <c r="F10171" s="59">
        <v>1.0</v>
      </c>
      <c r="G10171" s="60">
        <v>1.33333333333333</v>
      </c>
      <c r="H10171" s="60">
        <v>0.0</v>
      </c>
      <c r="I10171" s="60">
        <v>14.3609509999999</v>
      </c>
      <c r="J10171" s="59">
        <v>8.0</v>
      </c>
      <c r="K10171" s="61">
        <f t="shared" si="1"/>
        <v>0.25</v>
      </c>
      <c r="L10171" s="62">
        <f t="shared" si="2"/>
        <v>2</v>
      </c>
    </row>
    <row r="10172">
      <c r="A10172" s="58">
        <v>45139.0</v>
      </c>
      <c r="B10172" s="24" t="s">
        <v>6794</v>
      </c>
      <c r="C10172" s="24" t="s">
        <v>6922</v>
      </c>
      <c r="D10172" s="59">
        <v>3.0</v>
      </c>
      <c r="E10172" s="59">
        <v>4.0</v>
      </c>
      <c r="F10172" s="59">
        <v>3.0</v>
      </c>
      <c r="G10172" s="60">
        <v>1.33333333333333</v>
      </c>
      <c r="H10172" s="60">
        <v>0.0</v>
      </c>
      <c r="I10172" s="60">
        <v>58.0858564999999</v>
      </c>
      <c r="J10172" s="59">
        <v>12.0</v>
      </c>
      <c r="K10172" s="61">
        <f t="shared" si="1"/>
        <v>0.75</v>
      </c>
      <c r="L10172" s="62">
        <f t="shared" si="2"/>
        <v>3</v>
      </c>
    </row>
    <row r="10173">
      <c r="A10173" s="58">
        <v>45139.0</v>
      </c>
      <c r="B10173" s="24" t="s">
        <v>7100</v>
      </c>
      <c r="C10173" s="24" t="s">
        <v>6797</v>
      </c>
      <c r="D10173" s="59">
        <v>3.0</v>
      </c>
      <c r="E10173" s="59">
        <v>3.0</v>
      </c>
      <c r="F10173" s="59">
        <v>2.0</v>
      </c>
      <c r="G10173" s="60">
        <v>1.0</v>
      </c>
      <c r="H10173" s="60">
        <v>0.0</v>
      </c>
      <c r="I10173" s="60">
        <v>8.68766866666666</v>
      </c>
      <c r="J10173" s="59">
        <v>6.0</v>
      </c>
      <c r="K10173" s="61">
        <f t="shared" si="1"/>
        <v>0.6666666667</v>
      </c>
      <c r="L10173" s="62">
        <f t="shared" si="2"/>
        <v>2</v>
      </c>
    </row>
    <row r="10174">
      <c r="A10174" s="58">
        <v>45139.0</v>
      </c>
      <c r="B10174" s="24" t="s">
        <v>6789</v>
      </c>
      <c r="C10174" s="24" t="s">
        <v>7118</v>
      </c>
      <c r="D10174" s="59">
        <v>3.0</v>
      </c>
      <c r="E10174" s="59">
        <v>7.0</v>
      </c>
      <c r="F10174" s="59">
        <v>1.0</v>
      </c>
      <c r="G10174" s="60">
        <v>2.33333333333333</v>
      </c>
      <c r="H10174" s="60">
        <v>0.0</v>
      </c>
      <c r="I10174" s="60">
        <v>878.741517857142</v>
      </c>
      <c r="J10174" s="59">
        <v>36.0</v>
      </c>
      <c r="K10174" s="61">
        <f t="shared" si="1"/>
        <v>0.1428571429</v>
      </c>
      <c r="L10174" s="62">
        <f t="shared" si="2"/>
        <v>5.142857143</v>
      </c>
    </row>
    <row r="10175">
      <c r="A10175" s="58">
        <v>45139.0</v>
      </c>
      <c r="B10175" s="24" t="s">
        <v>7606</v>
      </c>
      <c r="C10175" s="24" t="s">
        <v>6788</v>
      </c>
      <c r="D10175" s="59">
        <v>2.0</v>
      </c>
      <c r="E10175" s="59">
        <v>4.0</v>
      </c>
      <c r="F10175" s="59">
        <v>1.0</v>
      </c>
      <c r="G10175" s="60">
        <v>2.0</v>
      </c>
      <c r="H10175" s="60">
        <v>0.0</v>
      </c>
      <c r="I10175" s="60">
        <v>11.06621975</v>
      </c>
      <c r="J10175" s="59">
        <v>8.0</v>
      </c>
      <c r="K10175" s="61">
        <f t="shared" si="1"/>
        <v>0.25</v>
      </c>
      <c r="L10175" s="62">
        <f t="shared" si="2"/>
        <v>2</v>
      </c>
    </row>
    <row r="10176">
      <c r="A10176" s="58">
        <v>45139.0</v>
      </c>
      <c r="B10176" s="24" t="s">
        <v>6942</v>
      </c>
      <c r="C10176" s="24" t="s">
        <v>6788</v>
      </c>
      <c r="D10176" s="59">
        <v>2.0</v>
      </c>
      <c r="E10176" s="59">
        <v>2.0</v>
      </c>
      <c r="F10176" s="59">
        <v>2.0</v>
      </c>
      <c r="G10176" s="60">
        <v>1.0</v>
      </c>
      <c r="H10176" s="60">
        <v>0.0</v>
      </c>
      <c r="I10176" s="60">
        <v>47.292009</v>
      </c>
      <c r="J10176" s="59">
        <v>11.0</v>
      </c>
      <c r="K10176" s="61">
        <f t="shared" si="1"/>
        <v>1</v>
      </c>
      <c r="L10176" s="62">
        <f t="shared" si="2"/>
        <v>5.5</v>
      </c>
    </row>
    <row r="10177">
      <c r="A10177" s="58">
        <v>45139.0</v>
      </c>
      <c r="B10177" s="24" t="s">
        <v>6790</v>
      </c>
      <c r="C10177" s="24" t="s">
        <v>6803</v>
      </c>
      <c r="D10177" s="59">
        <v>2.0</v>
      </c>
      <c r="E10177" s="59">
        <v>2.0</v>
      </c>
      <c r="F10177" s="59">
        <v>0.0</v>
      </c>
      <c r="G10177" s="60">
        <v>1.0</v>
      </c>
      <c r="H10177" s="60">
        <v>0.0</v>
      </c>
      <c r="I10177" s="60">
        <v>482.002942</v>
      </c>
      <c r="J10177" s="59">
        <v>8.0</v>
      </c>
      <c r="K10177" s="61">
        <f t="shared" si="1"/>
        <v>0</v>
      </c>
      <c r="L10177" s="62">
        <f t="shared" si="2"/>
        <v>4</v>
      </c>
    </row>
    <row r="10178">
      <c r="A10178" s="58">
        <v>45139.0</v>
      </c>
      <c r="B10178" s="24" t="s">
        <v>6794</v>
      </c>
      <c r="C10178" s="24" t="s">
        <v>6953</v>
      </c>
      <c r="D10178" s="59">
        <v>2.0</v>
      </c>
      <c r="E10178" s="59">
        <v>2.0</v>
      </c>
      <c r="F10178" s="59">
        <v>1.0</v>
      </c>
      <c r="G10178" s="60">
        <v>1.0</v>
      </c>
      <c r="H10178" s="60">
        <v>0.5</v>
      </c>
      <c r="I10178" s="60">
        <v>9.2721865</v>
      </c>
      <c r="J10178" s="59">
        <v>5.0</v>
      </c>
      <c r="K10178" s="61">
        <f t="shared" si="1"/>
        <v>0.5</v>
      </c>
      <c r="L10178" s="62">
        <f t="shared" si="2"/>
        <v>2.5</v>
      </c>
    </row>
    <row r="10179">
      <c r="A10179" s="58">
        <v>45139.0</v>
      </c>
      <c r="B10179" s="24" t="s">
        <v>6789</v>
      </c>
      <c r="C10179" s="24" t="s">
        <v>7057</v>
      </c>
      <c r="D10179" s="59">
        <v>2.0</v>
      </c>
      <c r="E10179" s="59">
        <v>2.0</v>
      </c>
      <c r="F10179" s="59">
        <v>2.0</v>
      </c>
      <c r="G10179" s="60">
        <v>1.0</v>
      </c>
      <c r="H10179" s="60">
        <v>0.0</v>
      </c>
      <c r="I10179" s="60">
        <v>30.6480585</v>
      </c>
      <c r="J10179" s="59">
        <v>4.0</v>
      </c>
      <c r="K10179" s="61">
        <f t="shared" si="1"/>
        <v>1</v>
      </c>
      <c r="L10179" s="62">
        <f t="shared" si="2"/>
        <v>2</v>
      </c>
    </row>
    <row r="10180">
      <c r="A10180" s="58">
        <v>45139.0</v>
      </c>
      <c r="B10180" s="24" t="s">
        <v>6789</v>
      </c>
      <c r="C10180" s="24" t="s">
        <v>7464</v>
      </c>
      <c r="D10180" s="59">
        <v>2.0</v>
      </c>
      <c r="E10180" s="59">
        <v>2.0</v>
      </c>
      <c r="F10180" s="59">
        <v>1.0</v>
      </c>
      <c r="G10180" s="60">
        <v>1.0</v>
      </c>
      <c r="H10180" s="60">
        <v>0.0</v>
      </c>
      <c r="I10180" s="60">
        <v>473.3719995</v>
      </c>
      <c r="J10180" s="59">
        <v>17.0</v>
      </c>
      <c r="K10180" s="61">
        <f t="shared" si="1"/>
        <v>0.5</v>
      </c>
      <c r="L10180" s="62">
        <f t="shared" si="2"/>
        <v>8.5</v>
      </c>
    </row>
    <row r="10181">
      <c r="A10181" s="58">
        <v>45139.0</v>
      </c>
      <c r="B10181" s="24" t="s">
        <v>6789</v>
      </c>
      <c r="C10181" s="24" t="s">
        <v>7072</v>
      </c>
      <c r="D10181" s="59">
        <v>2.0</v>
      </c>
      <c r="E10181" s="59">
        <v>4.0</v>
      </c>
      <c r="F10181" s="59">
        <v>2.0</v>
      </c>
      <c r="G10181" s="60">
        <v>2.0</v>
      </c>
      <c r="H10181" s="60">
        <v>0.0</v>
      </c>
      <c r="I10181" s="60">
        <v>278.813152</v>
      </c>
      <c r="J10181" s="59">
        <v>10.0</v>
      </c>
      <c r="K10181" s="61">
        <f t="shared" si="1"/>
        <v>0.5</v>
      </c>
      <c r="L10181" s="62">
        <f t="shared" si="2"/>
        <v>2.5</v>
      </c>
    </row>
    <row r="10182">
      <c r="A10182" s="58">
        <v>45139.0</v>
      </c>
      <c r="B10182" s="24" t="s">
        <v>6789</v>
      </c>
      <c r="C10182" s="24" t="s">
        <v>6820</v>
      </c>
      <c r="D10182" s="59">
        <v>2.0</v>
      </c>
      <c r="E10182" s="59">
        <v>2.0</v>
      </c>
      <c r="F10182" s="59">
        <v>1.0</v>
      </c>
      <c r="G10182" s="60">
        <v>1.0</v>
      </c>
      <c r="H10182" s="60">
        <v>0.0</v>
      </c>
      <c r="I10182" s="60">
        <v>50.1447715</v>
      </c>
      <c r="J10182" s="59">
        <v>10.0</v>
      </c>
      <c r="K10182" s="61">
        <f t="shared" si="1"/>
        <v>0.5</v>
      </c>
      <c r="L10182" s="62">
        <f t="shared" si="2"/>
        <v>5</v>
      </c>
    </row>
    <row r="10183">
      <c r="A10183" s="58">
        <v>45139.0</v>
      </c>
      <c r="B10183" s="24" t="s">
        <v>6789</v>
      </c>
      <c r="C10183" s="24" t="s">
        <v>7009</v>
      </c>
      <c r="D10183" s="59">
        <v>2.0</v>
      </c>
      <c r="E10183" s="59">
        <v>3.0</v>
      </c>
      <c r="F10183" s="59">
        <v>1.0</v>
      </c>
      <c r="G10183" s="60">
        <v>1.5</v>
      </c>
      <c r="H10183" s="60">
        <v>0.0</v>
      </c>
      <c r="I10183" s="60">
        <v>25.7767953333333</v>
      </c>
      <c r="J10183" s="59">
        <v>10.0</v>
      </c>
      <c r="K10183" s="61">
        <f t="shared" si="1"/>
        <v>0.3333333333</v>
      </c>
      <c r="L10183" s="62">
        <f t="shared" si="2"/>
        <v>3.333333333</v>
      </c>
    </row>
    <row r="10184">
      <c r="A10184" s="58">
        <v>45139.0</v>
      </c>
      <c r="B10184" s="24" t="s">
        <v>6787</v>
      </c>
      <c r="C10184" s="24" t="s">
        <v>6904</v>
      </c>
      <c r="D10184" s="59">
        <v>2.0</v>
      </c>
      <c r="E10184" s="59">
        <v>2.0</v>
      </c>
      <c r="F10184" s="59">
        <v>2.0</v>
      </c>
      <c r="G10184" s="60">
        <v>1.0</v>
      </c>
      <c r="H10184" s="60">
        <v>0.0</v>
      </c>
      <c r="I10184" s="60">
        <v>4.712841</v>
      </c>
      <c r="J10184" s="59">
        <v>4.0</v>
      </c>
      <c r="K10184" s="61">
        <f t="shared" si="1"/>
        <v>1</v>
      </c>
      <c r="L10184" s="62">
        <f t="shared" si="2"/>
        <v>2</v>
      </c>
    </row>
    <row r="10185">
      <c r="A10185" s="58">
        <v>45139.0</v>
      </c>
      <c r="B10185" s="24" t="s">
        <v>3216</v>
      </c>
      <c r="C10185" s="24" t="s">
        <v>7034</v>
      </c>
      <c r="D10185" s="59">
        <v>2.0</v>
      </c>
      <c r="E10185" s="59">
        <v>4.0</v>
      </c>
      <c r="F10185" s="59">
        <v>0.0</v>
      </c>
      <c r="G10185" s="60">
        <v>2.0</v>
      </c>
      <c r="H10185" s="60">
        <v>0.0</v>
      </c>
      <c r="I10185" s="60">
        <v>145.62100275</v>
      </c>
      <c r="J10185" s="59">
        <v>10.0</v>
      </c>
      <c r="K10185" s="61">
        <f t="shared" si="1"/>
        <v>0</v>
      </c>
      <c r="L10185" s="62">
        <f t="shared" si="2"/>
        <v>2.5</v>
      </c>
    </row>
    <row r="10186">
      <c r="A10186" s="58">
        <v>45139.0</v>
      </c>
      <c r="B10186" s="24" t="s">
        <v>6794</v>
      </c>
      <c r="C10186" s="24" t="s">
        <v>7571</v>
      </c>
      <c r="D10186" s="59">
        <v>2.0</v>
      </c>
      <c r="E10186" s="59">
        <v>2.0</v>
      </c>
      <c r="F10186" s="59">
        <v>1.0</v>
      </c>
      <c r="G10186" s="60">
        <v>1.0</v>
      </c>
      <c r="H10186" s="60">
        <v>0.0</v>
      </c>
      <c r="I10186" s="60">
        <v>476.9463445</v>
      </c>
      <c r="J10186" s="59">
        <v>4.0</v>
      </c>
      <c r="K10186" s="61">
        <f t="shared" si="1"/>
        <v>0.5</v>
      </c>
      <c r="L10186" s="62">
        <f t="shared" si="2"/>
        <v>2</v>
      </c>
    </row>
    <row r="10187">
      <c r="A10187" s="58">
        <v>45139.0</v>
      </c>
      <c r="B10187" s="24" t="s">
        <v>6794</v>
      </c>
      <c r="C10187" s="24" t="s">
        <v>7258</v>
      </c>
      <c r="D10187" s="59">
        <v>2.0</v>
      </c>
      <c r="E10187" s="59">
        <v>2.0</v>
      </c>
      <c r="F10187" s="59">
        <v>1.0</v>
      </c>
      <c r="G10187" s="60">
        <v>1.0</v>
      </c>
      <c r="H10187" s="60">
        <v>0.0</v>
      </c>
      <c r="I10187" s="60">
        <v>42.352171</v>
      </c>
      <c r="J10187" s="59">
        <v>6.0</v>
      </c>
      <c r="K10187" s="61">
        <f t="shared" si="1"/>
        <v>0.5</v>
      </c>
      <c r="L10187" s="62">
        <f t="shared" si="2"/>
        <v>3</v>
      </c>
    </row>
    <row r="10188">
      <c r="A10188" s="58">
        <v>45139.0</v>
      </c>
      <c r="B10188" s="24" t="s">
        <v>6789</v>
      </c>
      <c r="C10188" s="24" t="s">
        <v>7259</v>
      </c>
      <c r="D10188" s="59">
        <v>2.0</v>
      </c>
      <c r="E10188" s="59">
        <v>2.0</v>
      </c>
      <c r="F10188" s="59">
        <v>1.0</v>
      </c>
      <c r="G10188" s="60">
        <v>1.0</v>
      </c>
      <c r="H10188" s="60">
        <v>0.0</v>
      </c>
      <c r="I10188" s="60">
        <v>55.604827</v>
      </c>
      <c r="J10188" s="59">
        <v>6.0</v>
      </c>
      <c r="K10188" s="61">
        <f t="shared" si="1"/>
        <v>0.5</v>
      </c>
      <c r="L10188" s="62">
        <f t="shared" si="2"/>
        <v>3</v>
      </c>
    </row>
    <row r="10189">
      <c r="A10189" s="58">
        <v>45139.0</v>
      </c>
      <c r="B10189" s="24" t="s">
        <v>6789</v>
      </c>
      <c r="C10189" s="24" t="s">
        <v>7566</v>
      </c>
      <c r="D10189" s="59">
        <v>2.0</v>
      </c>
      <c r="E10189" s="59">
        <v>2.0</v>
      </c>
      <c r="F10189" s="59">
        <v>1.0</v>
      </c>
      <c r="G10189" s="60">
        <v>1.0</v>
      </c>
      <c r="H10189" s="60">
        <v>0.0</v>
      </c>
      <c r="I10189" s="60">
        <v>5.5841405</v>
      </c>
      <c r="J10189" s="59">
        <v>4.0</v>
      </c>
      <c r="K10189" s="61">
        <f t="shared" si="1"/>
        <v>0.5</v>
      </c>
      <c r="L10189" s="62">
        <f t="shared" si="2"/>
        <v>2</v>
      </c>
    </row>
    <row r="10190">
      <c r="A10190" s="58">
        <v>45139.0</v>
      </c>
      <c r="B10190" s="24" t="s">
        <v>155</v>
      </c>
      <c r="C10190" s="24" t="s">
        <v>7530</v>
      </c>
      <c r="D10190" s="59">
        <v>2.0</v>
      </c>
      <c r="E10190" s="59">
        <v>19.0</v>
      </c>
      <c r="F10190" s="59">
        <v>0.0</v>
      </c>
      <c r="G10190" s="60">
        <v>9.5</v>
      </c>
      <c r="H10190" s="60">
        <v>0.0</v>
      </c>
      <c r="I10190" s="60">
        <v>753.363736</v>
      </c>
      <c r="J10190" s="59">
        <v>89.0</v>
      </c>
      <c r="K10190" s="61">
        <f t="shared" si="1"/>
        <v>0</v>
      </c>
      <c r="L10190" s="62">
        <f t="shared" si="2"/>
        <v>4.684210526</v>
      </c>
    </row>
    <row r="10191">
      <c r="A10191" s="58">
        <v>45139.0</v>
      </c>
      <c r="B10191" s="24" t="s">
        <v>6787</v>
      </c>
      <c r="C10191" s="24" t="s">
        <v>7260</v>
      </c>
      <c r="D10191" s="59">
        <v>2.0</v>
      </c>
      <c r="E10191" s="59">
        <v>3.0</v>
      </c>
      <c r="F10191" s="59">
        <v>0.0</v>
      </c>
      <c r="G10191" s="60">
        <v>1.5</v>
      </c>
      <c r="H10191" s="60">
        <v>0.0</v>
      </c>
      <c r="I10191" s="60">
        <v>221.009862</v>
      </c>
      <c r="J10191" s="59">
        <v>14.0</v>
      </c>
      <c r="K10191" s="61">
        <f t="shared" si="1"/>
        <v>0</v>
      </c>
      <c r="L10191" s="62">
        <f t="shared" si="2"/>
        <v>4.666666667</v>
      </c>
    </row>
    <row r="10192">
      <c r="A10192" s="58">
        <v>45139.0</v>
      </c>
      <c r="B10192" s="24" t="s">
        <v>6787</v>
      </c>
      <c r="C10192" s="24" t="s">
        <v>7207</v>
      </c>
      <c r="D10192" s="59">
        <v>2.0</v>
      </c>
      <c r="E10192" s="59">
        <v>2.0</v>
      </c>
      <c r="F10192" s="59">
        <v>0.0</v>
      </c>
      <c r="G10192" s="60">
        <v>1.0</v>
      </c>
      <c r="H10192" s="60">
        <v>0.0</v>
      </c>
      <c r="I10192" s="60">
        <v>194.6389445</v>
      </c>
      <c r="J10192" s="59">
        <v>4.0</v>
      </c>
      <c r="K10192" s="61">
        <f t="shared" si="1"/>
        <v>0</v>
      </c>
      <c r="L10192" s="62">
        <f t="shared" si="2"/>
        <v>2</v>
      </c>
    </row>
    <row r="10193">
      <c r="A10193" s="58">
        <v>45139.0</v>
      </c>
      <c r="B10193" s="24" t="s">
        <v>6789</v>
      </c>
      <c r="C10193" s="24" t="s">
        <v>7087</v>
      </c>
      <c r="D10193" s="59">
        <v>2.0</v>
      </c>
      <c r="E10193" s="59">
        <v>2.0</v>
      </c>
      <c r="F10193" s="59">
        <v>1.0</v>
      </c>
      <c r="G10193" s="60">
        <v>1.0</v>
      </c>
      <c r="H10193" s="60">
        <v>0.0</v>
      </c>
      <c r="I10193" s="60">
        <v>50.7477885</v>
      </c>
      <c r="J10193" s="59">
        <v>10.0</v>
      </c>
      <c r="K10193" s="61">
        <f t="shared" si="1"/>
        <v>0.5</v>
      </c>
      <c r="L10193" s="62">
        <f t="shared" si="2"/>
        <v>5</v>
      </c>
    </row>
    <row r="10194">
      <c r="A10194" s="58">
        <v>45139.0</v>
      </c>
      <c r="B10194" s="24" t="s">
        <v>155</v>
      </c>
      <c r="C10194" s="24" t="s">
        <v>7087</v>
      </c>
      <c r="D10194" s="59">
        <v>2.0</v>
      </c>
      <c r="E10194" s="59">
        <v>2.0</v>
      </c>
      <c r="F10194" s="59">
        <v>1.0</v>
      </c>
      <c r="G10194" s="60">
        <v>1.0</v>
      </c>
      <c r="H10194" s="60">
        <v>0.0</v>
      </c>
      <c r="I10194" s="60">
        <v>182.5772465</v>
      </c>
      <c r="J10194" s="59">
        <v>8.0</v>
      </c>
      <c r="K10194" s="61">
        <f t="shared" si="1"/>
        <v>0.5</v>
      </c>
      <c r="L10194" s="62">
        <f t="shared" si="2"/>
        <v>4</v>
      </c>
    </row>
    <row r="10195">
      <c r="A10195" s="58">
        <v>45139.0</v>
      </c>
      <c r="B10195" s="24" t="s">
        <v>6790</v>
      </c>
      <c r="C10195" s="24" t="s">
        <v>7013</v>
      </c>
      <c r="D10195" s="59">
        <v>2.0</v>
      </c>
      <c r="E10195" s="59">
        <v>6.0</v>
      </c>
      <c r="F10195" s="59">
        <v>0.0</v>
      </c>
      <c r="G10195" s="60">
        <v>3.0</v>
      </c>
      <c r="H10195" s="60">
        <v>0.0</v>
      </c>
      <c r="I10195" s="60">
        <v>7.29622833333333</v>
      </c>
      <c r="J10195" s="59">
        <v>12.0</v>
      </c>
      <c r="K10195" s="61">
        <f t="shared" si="1"/>
        <v>0</v>
      </c>
      <c r="L10195" s="62">
        <f t="shared" si="2"/>
        <v>2</v>
      </c>
    </row>
    <row r="10196">
      <c r="A10196" s="58">
        <v>45139.0</v>
      </c>
      <c r="B10196" s="24" t="s">
        <v>6787</v>
      </c>
      <c r="C10196" s="24" t="s">
        <v>6908</v>
      </c>
      <c r="D10196" s="59">
        <v>2.0</v>
      </c>
      <c r="E10196" s="59">
        <v>2.0</v>
      </c>
      <c r="F10196" s="59">
        <v>2.0</v>
      </c>
      <c r="G10196" s="60">
        <v>1.0</v>
      </c>
      <c r="H10196" s="60">
        <v>0.0</v>
      </c>
      <c r="I10196" s="60">
        <v>0.155152999999999</v>
      </c>
      <c r="J10196" s="59">
        <v>4.0</v>
      </c>
      <c r="K10196" s="61">
        <f t="shared" si="1"/>
        <v>1</v>
      </c>
      <c r="L10196" s="62">
        <f t="shared" si="2"/>
        <v>2</v>
      </c>
    </row>
    <row r="10197">
      <c r="A10197" s="58">
        <v>45139.0</v>
      </c>
      <c r="B10197" s="24" t="s">
        <v>6787</v>
      </c>
      <c r="C10197" s="24" t="s">
        <v>6910</v>
      </c>
      <c r="D10197" s="59">
        <v>2.0</v>
      </c>
      <c r="E10197" s="59">
        <v>2.0</v>
      </c>
      <c r="F10197" s="59">
        <v>2.0</v>
      </c>
      <c r="G10197" s="60">
        <v>1.0</v>
      </c>
      <c r="H10197" s="60">
        <v>0.0</v>
      </c>
      <c r="I10197" s="60">
        <v>0.531873</v>
      </c>
      <c r="J10197" s="59">
        <v>4.0</v>
      </c>
      <c r="K10197" s="61">
        <f t="shared" si="1"/>
        <v>1</v>
      </c>
      <c r="L10197" s="62">
        <f t="shared" si="2"/>
        <v>2</v>
      </c>
    </row>
    <row r="10198">
      <c r="A10198" s="58">
        <v>45139.0</v>
      </c>
      <c r="B10198" s="24" t="s">
        <v>7100</v>
      </c>
      <c r="C10198" s="24" t="s">
        <v>7102</v>
      </c>
      <c r="D10198" s="59">
        <v>2.0</v>
      </c>
      <c r="E10198" s="59">
        <v>7.0</v>
      </c>
      <c r="F10198" s="59">
        <v>1.0</v>
      </c>
      <c r="G10198" s="60">
        <v>3.5</v>
      </c>
      <c r="H10198" s="60">
        <v>0.0</v>
      </c>
      <c r="I10198" s="60">
        <v>5.70219657142857</v>
      </c>
      <c r="J10198" s="59">
        <v>14.0</v>
      </c>
      <c r="K10198" s="61">
        <f t="shared" si="1"/>
        <v>0.1428571429</v>
      </c>
      <c r="L10198" s="62">
        <f t="shared" si="2"/>
        <v>2</v>
      </c>
    </row>
    <row r="10199">
      <c r="A10199" s="58">
        <v>45139.0</v>
      </c>
      <c r="B10199" s="24" t="s">
        <v>6789</v>
      </c>
      <c r="C10199" s="24" t="s">
        <v>7174</v>
      </c>
      <c r="D10199" s="59">
        <v>2.0</v>
      </c>
      <c r="E10199" s="59">
        <v>2.0</v>
      </c>
      <c r="F10199" s="59">
        <v>0.0</v>
      </c>
      <c r="G10199" s="60">
        <v>1.0</v>
      </c>
      <c r="H10199" s="60">
        <v>0.0</v>
      </c>
      <c r="I10199" s="60">
        <v>1120.1258905</v>
      </c>
      <c r="J10199" s="59">
        <v>18.0</v>
      </c>
      <c r="K10199" s="61">
        <f t="shared" si="1"/>
        <v>0</v>
      </c>
      <c r="L10199" s="62">
        <f t="shared" si="2"/>
        <v>9</v>
      </c>
    </row>
    <row r="10200">
      <c r="A10200" s="58">
        <v>45139.0</v>
      </c>
      <c r="B10200" s="24" t="s">
        <v>6789</v>
      </c>
      <c r="C10200" s="24" t="s">
        <v>7403</v>
      </c>
      <c r="D10200" s="59">
        <v>2.0</v>
      </c>
      <c r="E10200" s="59">
        <v>2.0</v>
      </c>
      <c r="F10200" s="59">
        <v>0.0</v>
      </c>
      <c r="G10200" s="60">
        <v>1.0</v>
      </c>
      <c r="H10200" s="60">
        <v>0.0</v>
      </c>
      <c r="I10200" s="60">
        <v>6.531738</v>
      </c>
      <c r="J10200" s="59">
        <v>4.0</v>
      </c>
      <c r="K10200" s="61">
        <f t="shared" si="1"/>
        <v>0</v>
      </c>
      <c r="L10200" s="62">
        <f t="shared" si="2"/>
        <v>2</v>
      </c>
    </row>
    <row r="10201">
      <c r="A10201" s="58">
        <v>45139.0</v>
      </c>
      <c r="B10201" s="24" t="s">
        <v>6789</v>
      </c>
      <c r="C10201" s="24" t="s">
        <v>7192</v>
      </c>
      <c r="D10201" s="59">
        <v>2.0</v>
      </c>
      <c r="E10201" s="59">
        <v>2.0</v>
      </c>
      <c r="F10201" s="59">
        <v>0.0</v>
      </c>
      <c r="G10201" s="60">
        <v>1.0</v>
      </c>
      <c r="H10201" s="60">
        <v>0.0</v>
      </c>
      <c r="I10201" s="60">
        <v>801.2833835</v>
      </c>
      <c r="J10201" s="59">
        <v>26.0</v>
      </c>
      <c r="K10201" s="61">
        <f t="shared" si="1"/>
        <v>0</v>
      </c>
      <c r="L10201" s="62">
        <f t="shared" si="2"/>
        <v>13</v>
      </c>
    </row>
    <row r="10202">
      <c r="A10202" s="58">
        <v>45139.0</v>
      </c>
      <c r="B10202" s="24" t="s">
        <v>6787</v>
      </c>
      <c r="C10202" s="24" t="s">
        <v>6921</v>
      </c>
      <c r="D10202" s="59">
        <v>2.0</v>
      </c>
      <c r="E10202" s="59">
        <v>2.0</v>
      </c>
      <c r="F10202" s="59">
        <v>2.0</v>
      </c>
      <c r="G10202" s="60">
        <v>1.0</v>
      </c>
      <c r="H10202" s="60">
        <v>0.0</v>
      </c>
      <c r="I10202" s="60">
        <v>0.302039</v>
      </c>
      <c r="J10202" s="59">
        <v>4.0</v>
      </c>
      <c r="K10202" s="61">
        <f t="shared" si="1"/>
        <v>1</v>
      </c>
      <c r="L10202" s="62">
        <f t="shared" si="2"/>
        <v>2</v>
      </c>
    </row>
    <row r="10203">
      <c r="A10203" s="58">
        <v>45139.0</v>
      </c>
      <c r="B10203" s="24" t="s">
        <v>6787</v>
      </c>
      <c r="C10203" s="24" t="s">
        <v>7047</v>
      </c>
      <c r="D10203" s="59">
        <v>2.0</v>
      </c>
      <c r="E10203" s="59">
        <v>3.0</v>
      </c>
      <c r="F10203" s="59">
        <v>2.0</v>
      </c>
      <c r="G10203" s="60">
        <v>1.5</v>
      </c>
      <c r="H10203" s="60">
        <v>0.0</v>
      </c>
      <c r="I10203" s="60">
        <v>357.194197</v>
      </c>
      <c r="J10203" s="59">
        <v>8.0</v>
      </c>
      <c r="K10203" s="61">
        <f t="shared" si="1"/>
        <v>0.6666666667</v>
      </c>
      <c r="L10203" s="62">
        <f t="shared" si="2"/>
        <v>2.666666667</v>
      </c>
    </row>
    <row r="10204">
      <c r="A10204" s="58">
        <v>45139.0</v>
      </c>
      <c r="B10204" s="24" t="s">
        <v>6789</v>
      </c>
      <c r="C10204" s="24" t="s">
        <v>7047</v>
      </c>
      <c r="D10204" s="59">
        <v>2.0</v>
      </c>
      <c r="E10204" s="59">
        <v>4.0</v>
      </c>
      <c r="F10204" s="59">
        <v>1.0</v>
      </c>
      <c r="G10204" s="60">
        <v>2.0</v>
      </c>
      <c r="H10204" s="60">
        <v>0.0</v>
      </c>
      <c r="I10204" s="60">
        <v>520.322170749999</v>
      </c>
      <c r="J10204" s="59">
        <v>8.0</v>
      </c>
      <c r="K10204" s="61">
        <f t="shared" si="1"/>
        <v>0.25</v>
      </c>
      <c r="L10204" s="62">
        <f t="shared" si="2"/>
        <v>2</v>
      </c>
    </row>
    <row r="10205">
      <c r="A10205" s="58">
        <v>45139.0</v>
      </c>
      <c r="B10205" s="24" t="s">
        <v>6787</v>
      </c>
      <c r="C10205" s="24" t="s">
        <v>6810</v>
      </c>
      <c r="D10205" s="59">
        <v>2.0</v>
      </c>
      <c r="E10205" s="59">
        <v>2.0</v>
      </c>
      <c r="F10205" s="59">
        <v>2.0</v>
      </c>
      <c r="G10205" s="60">
        <v>1.0</v>
      </c>
      <c r="H10205" s="60">
        <v>0.0</v>
      </c>
      <c r="I10205" s="60">
        <v>40.8088445</v>
      </c>
      <c r="J10205" s="59">
        <v>7.0</v>
      </c>
      <c r="K10205" s="61">
        <f t="shared" si="1"/>
        <v>1</v>
      </c>
      <c r="L10205" s="62">
        <f t="shared" si="2"/>
        <v>3.5</v>
      </c>
    </row>
    <row r="10206">
      <c r="A10206" s="58">
        <v>45139.0</v>
      </c>
      <c r="B10206" s="24" t="s">
        <v>3216</v>
      </c>
      <c r="C10206" s="24" t="s">
        <v>6810</v>
      </c>
      <c r="D10206" s="59">
        <v>2.0</v>
      </c>
      <c r="E10206" s="59">
        <v>2.0</v>
      </c>
      <c r="F10206" s="59">
        <v>1.0</v>
      </c>
      <c r="G10206" s="60">
        <v>1.0</v>
      </c>
      <c r="H10206" s="60">
        <v>0.0</v>
      </c>
      <c r="I10206" s="60">
        <v>5.381005</v>
      </c>
      <c r="J10206" s="59">
        <v>4.0</v>
      </c>
      <c r="K10206" s="61">
        <f t="shared" si="1"/>
        <v>0.5</v>
      </c>
      <c r="L10206" s="62">
        <f t="shared" si="2"/>
        <v>2</v>
      </c>
    </row>
    <row r="10207">
      <c r="A10207" s="58">
        <v>45139.0</v>
      </c>
      <c r="B10207" s="24" t="s">
        <v>6789</v>
      </c>
      <c r="C10207" s="24" t="s">
        <v>6962</v>
      </c>
      <c r="D10207" s="59">
        <v>2.0</v>
      </c>
      <c r="E10207" s="59">
        <v>2.0</v>
      </c>
      <c r="F10207" s="59">
        <v>0.0</v>
      </c>
      <c r="G10207" s="60">
        <v>1.0</v>
      </c>
      <c r="H10207" s="60">
        <v>0.0</v>
      </c>
      <c r="I10207" s="60">
        <v>3.9447375</v>
      </c>
      <c r="J10207" s="59">
        <v>4.0</v>
      </c>
      <c r="K10207" s="61">
        <f t="shared" si="1"/>
        <v>0</v>
      </c>
      <c r="L10207" s="62">
        <f t="shared" si="2"/>
        <v>2</v>
      </c>
    </row>
    <row r="10208">
      <c r="A10208" s="58">
        <v>45139.0</v>
      </c>
      <c r="B10208" s="24" t="s">
        <v>6794</v>
      </c>
      <c r="C10208" s="24" t="s">
        <v>7118</v>
      </c>
      <c r="D10208" s="59">
        <v>2.0</v>
      </c>
      <c r="E10208" s="59">
        <v>2.0</v>
      </c>
      <c r="F10208" s="59">
        <v>2.0</v>
      </c>
      <c r="G10208" s="60">
        <v>1.0</v>
      </c>
      <c r="H10208" s="60">
        <v>0.0</v>
      </c>
      <c r="I10208" s="60">
        <v>4.367111</v>
      </c>
      <c r="J10208" s="59">
        <v>4.0</v>
      </c>
      <c r="K10208" s="61">
        <f t="shared" si="1"/>
        <v>1</v>
      </c>
      <c r="L10208" s="62">
        <f t="shared" si="2"/>
        <v>2</v>
      </c>
    </row>
    <row r="10209">
      <c r="A10209" s="58">
        <v>45139.0</v>
      </c>
      <c r="B10209" s="24" t="s">
        <v>3216</v>
      </c>
      <c r="C10209" s="24" t="s">
        <v>6792</v>
      </c>
      <c r="D10209" s="59">
        <v>1.0</v>
      </c>
      <c r="E10209" s="59">
        <v>1.0</v>
      </c>
      <c r="F10209" s="59">
        <v>0.0</v>
      </c>
      <c r="G10209" s="60">
        <v>0.0</v>
      </c>
      <c r="H10209" s="60">
        <v>1.0</v>
      </c>
      <c r="I10209" s="60">
        <v>0.0</v>
      </c>
      <c r="J10209" s="59">
        <v>0.0</v>
      </c>
      <c r="K10209" s="61">
        <f t="shared" si="1"/>
        <v>0</v>
      </c>
      <c r="L10209" s="62">
        <f t="shared" si="2"/>
        <v>0</v>
      </c>
    </row>
    <row r="10210">
      <c r="A10210" s="58">
        <v>45139.0</v>
      </c>
      <c r="B10210" s="24" t="s">
        <v>155</v>
      </c>
      <c r="C10210" s="24" t="s">
        <v>6803</v>
      </c>
      <c r="D10210" s="59">
        <v>1.0</v>
      </c>
      <c r="E10210" s="59">
        <v>2.0</v>
      </c>
      <c r="F10210" s="59">
        <v>0.0</v>
      </c>
      <c r="G10210" s="60">
        <v>2.0</v>
      </c>
      <c r="H10210" s="60">
        <v>0.0</v>
      </c>
      <c r="I10210" s="60">
        <v>776.7211405</v>
      </c>
      <c r="J10210" s="59">
        <v>4.0</v>
      </c>
      <c r="K10210" s="61">
        <f t="shared" si="1"/>
        <v>0</v>
      </c>
      <c r="L10210" s="62">
        <f t="shared" si="2"/>
        <v>2</v>
      </c>
    </row>
    <row r="10211">
      <c r="A10211" s="58">
        <v>45139.0</v>
      </c>
      <c r="B10211" s="24" t="s">
        <v>6794</v>
      </c>
      <c r="C10211" s="24" t="s">
        <v>6817</v>
      </c>
      <c r="D10211" s="59">
        <v>1.0</v>
      </c>
      <c r="E10211" s="59">
        <v>1.0</v>
      </c>
      <c r="F10211" s="59">
        <v>0.0</v>
      </c>
      <c r="G10211" s="60">
        <v>1.0</v>
      </c>
      <c r="H10211" s="60">
        <v>0.0</v>
      </c>
      <c r="I10211" s="60">
        <v>24.702018</v>
      </c>
      <c r="J10211" s="59">
        <v>4.0</v>
      </c>
      <c r="K10211" s="61">
        <f t="shared" si="1"/>
        <v>0</v>
      </c>
      <c r="L10211" s="62">
        <f t="shared" si="2"/>
        <v>4</v>
      </c>
    </row>
    <row r="10212">
      <c r="A10212" s="58">
        <v>45139.0</v>
      </c>
      <c r="B10212" s="24" t="s">
        <v>6791</v>
      </c>
      <c r="C10212" s="24" t="s">
        <v>6817</v>
      </c>
      <c r="D10212" s="59">
        <v>1.0</v>
      </c>
      <c r="E10212" s="59">
        <v>1.0</v>
      </c>
      <c r="F10212" s="59">
        <v>0.0</v>
      </c>
      <c r="G10212" s="60">
        <v>1.0</v>
      </c>
      <c r="H10212" s="60">
        <v>0.0</v>
      </c>
      <c r="I10212" s="60">
        <v>863.87927</v>
      </c>
      <c r="J10212" s="59">
        <v>10.0</v>
      </c>
      <c r="K10212" s="61">
        <f t="shared" si="1"/>
        <v>0</v>
      </c>
      <c r="L10212" s="62">
        <f t="shared" si="2"/>
        <v>10</v>
      </c>
    </row>
    <row r="10213">
      <c r="A10213" s="58">
        <v>45139.0</v>
      </c>
      <c r="B10213" s="24" t="s">
        <v>155</v>
      </c>
      <c r="C10213" s="24" t="s">
        <v>6817</v>
      </c>
      <c r="D10213" s="59">
        <v>1.0</v>
      </c>
      <c r="E10213" s="59">
        <v>1.0</v>
      </c>
      <c r="F10213" s="59">
        <v>0.0</v>
      </c>
      <c r="G10213" s="60">
        <v>1.0</v>
      </c>
      <c r="H10213" s="60">
        <v>0.0</v>
      </c>
      <c r="I10213" s="60">
        <v>8.326001</v>
      </c>
      <c r="J10213" s="59">
        <v>4.0</v>
      </c>
      <c r="K10213" s="61">
        <f t="shared" si="1"/>
        <v>0</v>
      </c>
      <c r="L10213" s="62">
        <f t="shared" si="2"/>
        <v>4</v>
      </c>
    </row>
    <row r="10214">
      <c r="A10214" s="58">
        <v>45139.0</v>
      </c>
      <c r="B10214" s="24" t="s">
        <v>6790</v>
      </c>
      <c r="C10214" s="24" t="s">
        <v>6817</v>
      </c>
      <c r="D10214" s="59">
        <v>1.0</v>
      </c>
      <c r="E10214" s="59">
        <v>1.0</v>
      </c>
      <c r="F10214" s="59">
        <v>0.0</v>
      </c>
      <c r="G10214" s="60">
        <v>1.0</v>
      </c>
      <c r="H10214" s="60">
        <v>0.0</v>
      </c>
      <c r="I10214" s="60">
        <v>5.672827</v>
      </c>
      <c r="J10214" s="59">
        <v>2.0</v>
      </c>
      <c r="K10214" s="61">
        <f t="shared" si="1"/>
        <v>0</v>
      </c>
      <c r="L10214" s="62">
        <f t="shared" si="2"/>
        <v>2</v>
      </c>
    </row>
    <row r="10215">
      <c r="A10215" s="58">
        <v>45139.0</v>
      </c>
      <c r="B10215" s="24" t="s">
        <v>6787</v>
      </c>
      <c r="C10215" s="24" t="s">
        <v>6953</v>
      </c>
      <c r="D10215" s="59">
        <v>1.0</v>
      </c>
      <c r="E10215" s="59">
        <v>1.0</v>
      </c>
      <c r="F10215" s="59">
        <v>1.0</v>
      </c>
      <c r="G10215" s="60">
        <v>1.0</v>
      </c>
      <c r="H10215" s="60">
        <v>0.0</v>
      </c>
      <c r="I10215" s="60">
        <v>41.923285</v>
      </c>
      <c r="J10215" s="59">
        <v>2.0</v>
      </c>
      <c r="K10215" s="61">
        <f t="shared" si="1"/>
        <v>1</v>
      </c>
      <c r="L10215" s="62">
        <f t="shared" si="2"/>
        <v>2</v>
      </c>
    </row>
    <row r="10216">
      <c r="A10216" s="58">
        <v>45139.0</v>
      </c>
      <c r="B10216" s="24" t="s">
        <v>6787</v>
      </c>
      <c r="C10216" s="24" t="s">
        <v>7058</v>
      </c>
      <c r="D10216" s="59">
        <v>1.0</v>
      </c>
      <c r="E10216" s="59">
        <v>3.0</v>
      </c>
      <c r="F10216" s="59">
        <v>0.0</v>
      </c>
      <c r="G10216" s="60">
        <v>3.0</v>
      </c>
      <c r="H10216" s="60">
        <v>0.0</v>
      </c>
      <c r="I10216" s="60">
        <v>16.765105</v>
      </c>
      <c r="J10216" s="59">
        <v>8.0</v>
      </c>
      <c r="K10216" s="61">
        <f t="shared" si="1"/>
        <v>0</v>
      </c>
      <c r="L10216" s="62">
        <f t="shared" si="2"/>
        <v>2.666666667</v>
      </c>
    </row>
    <row r="10217">
      <c r="A10217" s="58">
        <v>45139.0</v>
      </c>
      <c r="B10217" s="24" t="s">
        <v>6794</v>
      </c>
      <c r="C10217" s="24" t="s">
        <v>6861</v>
      </c>
      <c r="D10217" s="59">
        <v>1.0</v>
      </c>
      <c r="E10217" s="59">
        <v>1.0</v>
      </c>
      <c r="F10217" s="59">
        <v>0.0</v>
      </c>
      <c r="G10217" s="60">
        <v>1.0</v>
      </c>
      <c r="H10217" s="60">
        <v>0.0</v>
      </c>
      <c r="I10217" s="60">
        <v>145.608983</v>
      </c>
      <c r="J10217" s="59">
        <v>4.0</v>
      </c>
      <c r="K10217" s="61">
        <f t="shared" si="1"/>
        <v>0</v>
      </c>
      <c r="L10217" s="62">
        <f t="shared" si="2"/>
        <v>4</v>
      </c>
    </row>
    <row r="10218">
      <c r="A10218" s="58">
        <v>45139.0</v>
      </c>
      <c r="B10218" s="24" t="s">
        <v>6787</v>
      </c>
      <c r="C10218" s="24" t="s">
        <v>6985</v>
      </c>
      <c r="D10218" s="59">
        <v>1.0</v>
      </c>
      <c r="E10218" s="59">
        <v>1.0</v>
      </c>
      <c r="F10218" s="59">
        <v>1.0</v>
      </c>
      <c r="G10218" s="60">
        <v>1.0</v>
      </c>
      <c r="H10218" s="60">
        <v>0.0</v>
      </c>
      <c r="I10218" s="60">
        <v>503.116353</v>
      </c>
      <c r="J10218" s="59">
        <v>2.0</v>
      </c>
      <c r="K10218" s="61">
        <f t="shared" si="1"/>
        <v>1</v>
      </c>
      <c r="L10218" s="62">
        <f t="shared" si="2"/>
        <v>2</v>
      </c>
    </row>
    <row r="10219">
      <c r="A10219" s="58">
        <v>45139.0</v>
      </c>
      <c r="B10219" s="24" t="s">
        <v>6791</v>
      </c>
      <c r="C10219" s="24" t="s">
        <v>6985</v>
      </c>
      <c r="D10219" s="59">
        <v>1.0</v>
      </c>
      <c r="E10219" s="59">
        <v>1.0</v>
      </c>
      <c r="F10219" s="59">
        <v>1.0</v>
      </c>
      <c r="G10219" s="60">
        <v>1.0</v>
      </c>
      <c r="H10219" s="60">
        <v>0.0</v>
      </c>
      <c r="I10219" s="60">
        <v>5.150125</v>
      </c>
      <c r="J10219" s="59">
        <v>2.0</v>
      </c>
      <c r="K10219" s="61">
        <f t="shared" si="1"/>
        <v>1</v>
      </c>
      <c r="L10219" s="62">
        <f t="shared" si="2"/>
        <v>2</v>
      </c>
    </row>
    <row r="10220">
      <c r="A10220" s="58">
        <v>45139.0</v>
      </c>
      <c r="B10220" s="24" t="s">
        <v>155</v>
      </c>
      <c r="C10220" s="24" t="s">
        <v>6985</v>
      </c>
      <c r="D10220" s="59">
        <v>1.0</v>
      </c>
      <c r="E10220" s="59">
        <v>1.0</v>
      </c>
      <c r="F10220" s="59">
        <v>0.0</v>
      </c>
      <c r="G10220" s="60">
        <v>1.0</v>
      </c>
      <c r="H10220" s="60">
        <v>0.0</v>
      </c>
      <c r="I10220" s="60">
        <v>3726.437091</v>
      </c>
      <c r="J10220" s="59">
        <v>6.0</v>
      </c>
      <c r="K10220" s="61">
        <f t="shared" si="1"/>
        <v>0</v>
      </c>
      <c r="L10220" s="62">
        <f t="shared" si="2"/>
        <v>6</v>
      </c>
    </row>
    <row r="10221">
      <c r="A10221" s="58">
        <v>45139.0</v>
      </c>
      <c r="B10221" s="24" t="s">
        <v>6789</v>
      </c>
      <c r="C10221" s="24" t="s">
        <v>6833</v>
      </c>
      <c r="D10221" s="59">
        <v>1.0</v>
      </c>
      <c r="E10221" s="59">
        <v>1.0</v>
      </c>
      <c r="F10221" s="59">
        <v>0.0</v>
      </c>
      <c r="G10221" s="60">
        <v>1.0</v>
      </c>
      <c r="H10221" s="60">
        <v>0.0</v>
      </c>
      <c r="I10221" s="60">
        <v>6.055827</v>
      </c>
      <c r="J10221" s="59">
        <v>2.0</v>
      </c>
      <c r="K10221" s="61">
        <f t="shared" si="1"/>
        <v>0</v>
      </c>
      <c r="L10221" s="62">
        <f t="shared" si="2"/>
        <v>2</v>
      </c>
    </row>
    <row r="10222">
      <c r="A10222" s="58">
        <v>45139.0</v>
      </c>
      <c r="B10222" s="24" t="s">
        <v>6789</v>
      </c>
      <c r="C10222" s="24" t="s">
        <v>7062</v>
      </c>
      <c r="D10222" s="59">
        <v>1.0</v>
      </c>
      <c r="E10222" s="59">
        <v>1.0</v>
      </c>
      <c r="F10222" s="59">
        <v>0.0</v>
      </c>
      <c r="G10222" s="60">
        <v>1.0</v>
      </c>
      <c r="H10222" s="60">
        <v>0.0</v>
      </c>
      <c r="I10222" s="60">
        <v>45.875565</v>
      </c>
      <c r="J10222" s="59">
        <v>2.0</v>
      </c>
      <c r="K10222" s="61">
        <f t="shared" si="1"/>
        <v>0</v>
      </c>
      <c r="L10222" s="62">
        <f t="shared" si="2"/>
        <v>2</v>
      </c>
    </row>
    <row r="10223">
      <c r="A10223" s="58">
        <v>45139.0</v>
      </c>
      <c r="B10223" s="24" t="s">
        <v>6789</v>
      </c>
      <c r="C10223" s="24" t="s">
        <v>7437</v>
      </c>
      <c r="D10223" s="59">
        <v>1.0</v>
      </c>
      <c r="E10223" s="59">
        <v>1.0</v>
      </c>
      <c r="F10223" s="59">
        <v>0.0</v>
      </c>
      <c r="G10223" s="60">
        <v>1.0</v>
      </c>
      <c r="H10223" s="60">
        <v>0.0</v>
      </c>
      <c r="I10223" s="60">
        <v>1.344202</v>
      </c>
      <c r="J10223" s="59">
        <v>2.0</v>
      </c>
      <c r="K10223" s="61">
        <f t="shared" si="1"/>
        <v>0</v>
      </c>
      <c r="L10223" s="62">
        <f t="shared" si="2"/>
        <v>2</v>
      </c>
    </row>
    <row r="10224">
      <c r="A10224" s="58">
        <v>45139.0</v>
      </c>
      <c r="B10224" s="24" t="s">
        <v>6787</v>
      </c>
      <c r="C10224" s="24" t="s">
        <v>6989</v>
      </c>
      <c r="D10224" s="59">
        <v>1.0</v>
      </c>
      <c r="E10224" s="59">
        <v>1.0</v>
      </c>
      <c r="F10224" s="59">
        <v>1.0</v>
      </c>
      <c r="G10224" s="60">
        <v>1.0</v>
      </c>
      <c r="H10224" s="60">
        <v>0.0</v>
      </c>
      <c r="I10224" s="60">
        <v>5.14817</v>
      </c>
      <c r="J10224" s="59">
        <v>2.0</v>
      </c>
      <c r="K10224" s="61">
        <f t="shared" si="1"/>
        <v>1</v>
      </c>
      <c r="L10224" s="62">
        <f t="shared" si="2"/>
        <v>2</v>
      </c>
    </row>
    <row r="10225">
      <c r="A10225" s="58">
        <v>45139.0</v>
      </c>
      <c r="B10225" s="24" t="s">
        <v>6794</v>
      </c>
      <c r="C10225" s="24" t="s">
        <v>6990</v>
      </c>
      <c r="D10225" s="59">
        <v>1.0</v>
      </c>
      <c r="E10225" s="59">
        <v>1.0</v>
      </c>
      <c r="F10225" s="59">
        <v>0.0</v>
      </c>
      <c r="G10225" s="60">
        <v>1.0</v>
      </c>
      <c r="H10225" s="60">
        <v>0.0</v>
      </c>
      <c r="I10225" s="60">
        <v>5.440715</v>
      </c>
      <c r="J10225" s="59">
        <v>2.0</v>
      </c>
      <c r="K10225" s="61">
        <f t="shared" si="1"/>
        <v>0</v>
      </c>
      <c r="L10225" s="62">
        <f t="shared" si="2"/>
        <v>2</v>
      </c>
    </row>
    <row r="10226">
      <c r="A10226" s="58">
        <v>45139.0</v>
      </c>
      <c r="B10226" s="24" t="s">
        <v>6790</v>
      </c>
      <c r="C10226" s="24" t="s">
        <v>6835</v>
      </c>
      <c r="D10226" s="59">
        <v>1.0</v>
      </c>
      <c r="E10226" s="59">
        <v>2.0</v>
      </c>
      <c r="F10226" s="59">
        <v>1.0</v>
      </c>
      <c r="G10226" s="60">
        <v>2.0</v>
      </c>
      <c r="H10226" s="60">
        <v>0.0</v>
      </c>
      <c r="I10226" s="60">
        <v>4.067977</v>
      </c>
      <c r="J10226" s="59">
        <v>4.0</v>
      </c>
      <c r="K10226" s="61">
        <f t="shared" si="1"/>
        <v>0.5</v>
      </c>
      <c r="L10226" s="62">
        <f t="shared" si="2"/>
        <v>2</v>
      </c>
    </row>
    <row r="10227">
      <c r="A10227" s="58">
        <v>45139.0</v>
      </c>
      <c r="B10227" s="24" t="s">
        <v>6789</v>
      </c>
      <c r="C10227" s="24" t="s">
        <v>6991</v>
      </c>
      <c r="D10227" s="59">
        <v>1.0</v>
      </c>
      <c r="E10227" s="59">
        <v>1.0</v>
      </c>
      <c r="F10227" s="59">
        <v>1.0</v>
      </c>
      <c r="G10227" s="60">
        <v>1.0</v>
      </c>
      <c r="H10227" s="60">
        <v>0.0</v>
      </c>
      <c r="I10227" s="60">
        <v>171.497332</v>
      </c>
      <c r="J10227" s="59">
        <v>8.0</v>
      </c>
      <c r="K10227" s="61">
        <f t="shared" si="1"/>
        <v>1</v>
      </c>
      <c r="L10227" s="62">
        <f t="shared" si="2"/>
        <v>8</v>
      </c>
    </row>
    <row r="10228">
      <c r="A10228" s="58">
        <v>45139.0</v>
      </c>
      <c r="B10228" s="24" t="s">
        <v>6789</v>
      </c>
      <c r="C10228" s="24" t="s">
        <v>6992</v>
      </c>
      <c r="D10228" s="59">
        <v>1.0</v>
      </c>
      <c r="E10228" s="59">
        <v>2.0</v>
      </c>
      <c r="F10228" s="59">
        <v>0.0</v>
      </c>
      <c r="G10228" s="60">
        <v>2.0</v>
      </c>
      <c r="H10228" s="60">
        <v>0.0</v>
      </c>
      <c r="I10228" s="60">
        <v>3.173407</v>
      </c>
      <c r="J10228" s="59">
        <v>4.0</v>
      </c>
      <c r="K10228" s="61">
        <f t="shared" si="1"/>
        <v>0</v>
      </c>
      <c r="L10228" s="62">
        <f t="shared" si="2"/>
        <v>2</v>
      </c>
    </row>
    <row r="10229">
      <c r="A10229" s="58">
        <v>45139.0</v>
      </c>
      <c r="B10229" s="24" t="s">
        <v>6794</v>
      </c>
      <c r="C10229" s="24" t="s">
        <v>6992</v>
      </c>
      <c r="D10229" s="59">
        <v>1.0</v>
      </c>
      <c r="E10229" s="59">
        <v>1.0</v>
      </c>
      <c r="F10229" s="59">
        <v>0.0</v>
      </c>
      <c r="G10229" s="60">
        <v>1.0</v>
      </c>
      <c r="H10229" s="60">
        <v>0.0</v>
      </c>
      <c r="I10229" s="60">
        <v>2.292572</v>
      </c>
      <c r="J10229" s="59">
        <v>2.0</v>
      </c>
      <c r="K10229" s="61">
        <f t="shared" si="1"/>
        <v>0</v>
      </c>
      <c r="L10229" s="62">
        <f t="shared" si="2"/>
        <v>2</v>
      </c>
    </row>
    <row r="10230">
      <c r="A10230" s="58">
        <v>45139.0</v>
      </c>
      <c r="B10230" s="24" t="s">
        <v>6787</v>
      </c>
      <c r="C10230" s="24" t="s">
        <v>6994</v>
      </c>
      <c r="D10230" s="59">
        <v>1.0</v>
      </c>
      <c r="E10230" s="59">
        <v>1.0</v>
      </c>
      <c r="F10230" s="59">
        <v>1.0</v>
      </c>
      <c r="G10230" s="60">
        <v>1.0</v>
      </c>
      <c r="H10230" s="60">
        <v>0.0</v>
      </c>
      <c r="I10230" s="60">
        <v>5.52339</v>
      </c>
      <c r="J10230" s="59">
        <v>2.0</v>
      </c>
      <c r="K10230" s="61">
        <f t="shared" si="1"/>
        <v>1</v>
      </c>
      <c r="L10230" s="62">
        <f t="shared" si="2"/>
        <v>2</v>
      </c>
    </row>
    <row r="10231">
      <c r="A10231" s="58">
        <v>45139.0</v>
      </c>
      <c r="B10231" s="24" t="s">
        <v>6942</v>
      </c>
      <c r="C10231" s="24" t="s">
        <v>6886</v>
      </c>
      <c r="D10231" s="59">
        <v>1.0</v>
      </c>
      <c r="E10231" s="59">
        <v>1.0</v>
      </c>
      <c r="F10231" s="59">
        <v>1.0</v>
      </c>
      <c r="G10231" s="60">
        <v>1.0</v>
      </c>
      <c r="H10231" s="60">
        <v>0.0</v>
      </c>
      <c r="I10231" s="60">
        <v>0.003898</v>
      </c>
      <c r="J10231" s="59">
        <v>2.0</v>
      </c>
      <c r="K10231" s="61">
        <f t="shared" si="1"/>
        <v>1</v>
      </c>
      <c r="L10231" s="62">
        <f t="shared" si="2"/>
        <v>2</v>
      </c>
    </row>
    <row r="10232">
      <c r="A10232" s="58">
        <v>45139.0</v>
      </c>
      <c r="B10232" s="24" t="s">
        <v>6791</v>
      </c>
      <c r="C10232" s="24" t="s">
        <v>6886</v>
      </c>
      <c r="D10232" s="59">
        <v>1.0</v>
      </c>
      <c r="E10232" s="59">
        <v>1.0</v>
      </c>
      <c r="F10232" s="59">
        <v>1.0</v>
      </c>
      <c r="G10232" s="60">
        <v>1.0</v>
      </c>
      <c r="H10232" s="60">
        <v>0.0</v>
      </c>
      <c r="I10232" s="60">
        <v>65.409218</v>
      </c>
      <c r="J10232" s="59">
        <v>2.0</v>
      </c>
      <c r="K10232" s="61">
        <f t="shared" si="1"/>
        <v>1</v>
      </c>
      <c r="L10232" s="62">
        <f t="shared" si="2"/>
        <v>2</v>
      </c>
    </row>
    <row r="10233">
      <c r="A10233" s="58">
        <v>45139.0</v>
      </c>
      <c r="B10233" s="24" t="s">
        <v>155</v>
      </c>
      <c r="C10233" s="24" t="s">
        <v>6886</v>
      </c>
      <c r="D10233" s="59">
        <v>1.0</v>
      </c>
      <c r="E10233" s="59">
        <v>1.0</v>
      </c>
      <c r="F10233" s="59">
        <v>0.0</v>
      </c>
      <c r="G10233" s="60">
        <v>1.0</v>
      </c>
      <c r="H10233" s="60">
        <v>0.0</v>
      </c>
      <c r="I10233" s="60">
        <v>5020.292924</v>
      </c>
      <c r="J10233" s="59">
        <v>36.0</v>
      </c>
      <c r="K10233" s="61">
        <f t="shared" si="1"/>
        <v>0</v>
      </c>
      <c r="L10233" s="62">
        <f t="shared" si="2"/>
        <v>36</v>
      </c>
    </row>
    <row r="10234">
      <c r="A10234" s="58">
        <v>45139.0</v>
      </c>
      <c r="B10234" s="24" t="s">
        <v>6794</v>
      </c>
      <c r="C10234" s="24" t="s">
        <v>6799</v>
      </c>
      <c r="D10234" s="59">
        <v>1.0</v>
      </c>
      <c r="E10234" s="59">
        <v>1.0</v>
      </c>
      <c r="F10234" s="59">
        <v>0.0</v>
      </c>
      <c r="G10234" s="60">
        <v>1.0</v>
      </c>
      <c r="H10234" s="60">
        <v>0.0</v>
      </c>
      <c r="I10234" s="60">
        <v>68.147572</v>
      </c>
      <c r="J10234" s="59">
        <v>8.0</v>
      </c>
      <c r="K10234" s="61">
        <f t="shared" si="1"/>
        <v>0</v>
      </c>
      <c r="L10234" s="62">
        <f t="shared" si="2"/>
        <v>8</v>
      </c>
    </row>
    <row r="10235">
      <c r="A10235" s="58">
        <v>45139.0</v>
      </c>
      <c r="B10235" s="24" t="s">
        <v>6790</v>
      </c>
      <c r="C10235" s="24" t="s">
        <v>6799</v>
      </c>
      <c r="D10235" s="59">
        <v>1.0</v>
      </c>
      <c r="E10235" s="59">
        <v>1.0</v>
      </c>
      <c r="F10235" s="59">
        <v>0.0</v>
      </c>
      <c r="G10235" s="60">
        <v>1.0</v>
      </c>
      <c r="H10235" s="60">
        <v>0.0</v>
      </c>
      <c r="I10235" s="60">
        <v>8.464229</v>
      </c>
      <c r="J10235" s="59">
        <v>2.0</v>
      </c>
      <c r="K10235" s="61">
        <f t="shared" si="1"/>
        <v>0</v>
      </c>
      <c r="L10235" s="62">
        <f t="shared" si="2"/>
        <v>2</v>
      </c>
    </row>
    <row r="10236">
      <c r="A10236" s="58">
        <v>45139.0</v>
      </c>
      <c r="B10236" s="24" t="s">
        <v>155</v>
      </c>
      <c r="C10236" s="24" t="s">
        <v>6820</v>
      </c>
      <c r="D10236" s="59">
        <v>1.0</v>
      </c>
      <c r="E10236" s="59">
        <v>1.0</v>
      </c>
      <c r="F10236" s="59">
        <v>0.0</v>
      </c>
      <c r="G10236" s="60">
        <v>1.0</v>
      </c>
      <c r="H10236" s="60">
        <v>0.0</v>
      </c>
      <c r="I10236" s="60">
        <v>511.550352</v>
      </c>
      <c r="J10236" s="59">
        <v>11.0</v>
      </c>
      <c r="K10236" s="61">
        <f t="shared" si="1"/>
        <v>0</v>
      </c>
      <c r="L10236" s="62">
        <f t="shared" si="2"/>
        <v>11</v>
      </c>
    </row>
    <row r="10237">
      <c r="A10237" s="58">
        <v>45139.0</v>
      </c>
      <c r="B10237" s="24" t="s">
        <v>6787</v>
      </c>
      <c r="C10237" s="24" t="s">
        <v>7618</v>
      </c>
      <c r="D10237" s="59">
        <v>1.0</v>
      </c>
      <c r="E10237" s="59">
        <v>1.0</v>
      </c>
      <c r="F10237" s="59">
        <v>0.0</v>
      </c>
      <c r="G10237" s="60">
        <v>1.0</v>
      </c>
      <c r="H10237" s="60">
        <v>0.0</v>
      </c>
      <c r="I10237" s="60">
        <v>5.360119</v>
      </c>
      <c r="J10237" s="59">
        <v>2.0</v>
      </c>
      <c r="K10237" s="61">
        <f t="shared" si="1"/>
        <v>0</v>
      </c>
      <c r="L10237" s="62">
        <f t="shared" si="2"/>
        <v>2</v>
      </c>
    </row>
    <row r="10238">
      <c r="A10238" s="58">
        <v>45139.0</v>
      </c>
      <c r="B10238" s="24" t="s">
        <v>6787</v>
      </c>
      <c r="C10238" s="24" t="s">
        <v>6896</v>
      </c>
      <c r="D10238" s="59">
        <v>1.0</v>
      </c>
      <c r="E10238" s="59">
        <v>1.0</v>
      </c>
      <c r="F10238" s="59">
        <v>1.0</v>
      </c>
      <c r="G10238" s="60">
        <v>1.0</v>
      </c>
      <c r="H10238" s="60">
        <v>0.0</v>
      </c>
      <c r="I10238" s="60">
        <v>0.001091</v>
      </c>
      <c r="J10238" s="59">
        <v>2.0</v>
      </c>
      <c r="K10238" s="61">
        <f t="shared" si="1"/>
        <v>1</v>
      </c>
      <c r="L10238" s="62">
        <f t="shared" si="2"/>
        <v>2</v>
      </c>
    </row>
    <row r="10239">
      <c r="A10239" s="58">
        <v>45139.0</v>
      </c>
      <c r="B10239" s="24" t="s">
        <v>6789</v>
      </c>
      <c r="C10239" s="24" t="s">
        <v>6896</v>
      </c>
      <c r="D10239" s="59">
        <v>1.0</v>
      </c>
      <c r="E10239" s="59">
        <v>1.0</v>
      </c>
      <c r="F10239" s="59">
        <v>1.0</v>
      </c>
      <c r="G10239" s="60">
        <v>1.0</v>
      </c>
      <c r="H10239" s="60">
        <v>0.0</v>
      </c>
      <c r="I10239" s="60">
        <v>41.280485</v>
      </c>
      <c r="J10239" s="59">
        <v>2.0</v>
      </c>
      <c r="K10239" s="61">
        <f t="shared" si="1"/>
        <v>1</v>
      </c>
      <c r="L10239" s="62">
        <f t="shared" si="2"/>
        <v>2</v>
      </c>
    </row>
    <row r="10240">
      <c r="A10240" s="58">
        <v>45139.0</v>
      </c>
      <c r="B10240" s="24" t="s">
        <v>6794</v>
      </c>
      <c r="C10240" s="24" t="s">
        <v>6896</v>
      </c>
      <c r="D10240" s="59">
        <v>1.0</v>
      </c>
      <c r="E10240" s="59">
        <v>1.0</v>
      </c>
      <c r="F10240" s="59">
        <v>0.0</v>
      </c>
      <c r="G10240" s="60">
        <v>1.0</v>
      </c>
      <c r="H10240" s="60">
        <v>0.0</v>
      </c>
      <c r="I10240" s="60">
        <v>2744.554798</v>
      </c>
      <c r="J10240" s="59">
        <v>16.0</v>
      </c>
      <c r="K10240" s="61">
        <f t="shared" si="1"/>
        <v>0</v>
      </c>
      <c r="L10240" s="62">
        <f t="shared" si="2"/>
        <v>16</v>
      </c>
    </row>
    <row r="10241">
      <c r="A10241" s="58">
        <v>45139.0</v>
      </c>
      <c r="B10241" s="24" t="s">
        <v>6787</v>
      </c>
      <c r="C10241" s="24" t="s">
        <v>7619</v>
      </c>
      <c r="D10241" s="59">
        <v>1.0</v>
      </c>
      <c r="E10241" s="59">
        <v>1.0</v>
      </c>
      <c r="F10241" s="59">
        <v>1.0</v>
      </c>
      <c r="G10241" s="60">
        <v>1.0</v>
      </c>
      <c r="H10241" s="60">
        <v>0.0</v>
      </c>
      <c r="I10241" s="60">
        <v>5.251917</v>
      </c>
      <c r="J10241" s="59">
        <v>2.0</v>
      </c>
      <c r="K10241" s="61">
        <f t="shared" si="1"/>
        <v>1</v>
      </c>
      <c r="L10241" s="62">
        <f t="shared" si="2"/>
        <v>2</v>
      </c>
    </row>
    <row r="10242">
      <c r="A10242" s="58">
        <v>45139.0</v>
      </c>
      <c r="B10242" s="24" t="s">
        <v>6789</v>
      </c>
      <c r="C10242" s="24" t="s">
        <v>6897</v>
      </c>
      <c r="D10242" s="59">
        <v>1.0</v>
      </c>
      <c r="E10242" s="59">
        <v>1.0</v>
      </c>
      <c r="F10242" s="59">
        <v>0.0</v>
      </c>
      <c r="G10242" s="60">
        <v>1.0</v>
      </c>
      <c r="H10242" s="60">
        <v>0.0</v>
      </c>
      <c r="I10242" s="60">
        <v>5.648834</v>
      </c>
      <c r="J10242" s="59">
        <v>2.0</v>
      </c>
      <c r="K10242" s="61">
        <f t="shared" si="1"/>
        <v>0</v>
      </c>
      <c r="L10242" s="62">
        <f t="shared" si="2"/>
        <v>2</v>
      </c>
    </row>
    <row r="10243">
      <c r="A10243" s="58">
        <v>45139.0</v>
      </c>
      <c r="B10243" s="24" t="s">
        <v>6787</v>
      </c>
      <c r="C10243" s="24" t="s">
        <v>7620</v>
      </c>
      <c r="D10243" s="59">
        <v>1.0</v>
      </c>
      <c r="E10243" s="59">
        <v>1.0</v>
      </c>
      <c r="F10243" s="59">
        <v>0.0</v>
      </c>
      <c r="G10243" s="60">
        <v>1.0</v>
      </c>
      <c r="H10243" s="60">
        <v>0.0</v>
      </c>
      <c r="I10243" s="60">
        <v>99.510526</v>
      </c>
      <c r="J10243" s="59">
        <v>6.0</v>
      </c>
      <c r="K10243" s="61">
        <f t="shared" si="1"/>
        <v>0</v>
      </c>
      <c r="L10243" s="62">
        <f t="shared" si="2"/>
        <v>6</v>
      </c>
    </row>
    <row r="10244">
      <c r="A10244" s="58">
        <v>45139.0</v>
      </c>
      <c r="B10244" s="24" t="s">
        <v>6787</v>
      </c>
      <c r="C10244" s="24" t="s">
        <v>6905</v>
      </c>
      <c r="D10244" s="59">
        <v>1.0</v>
      </c>
      <c r="E10244" s="59">
        <v>1.0</v>
      </c>
      <c r="F10244" s="59">
        <v>0.0</v>
      </c>
      <c r="G10244" s="60">
        <v>1.0</v>
      </c>
      <c r="H10244" s="60">
        <v>0.0</v>
      </c>
      <c r="I10244" s="60">
        <v>5.787288</v>
      </c>
      <c r="J10244" s="59">
        <v>2.0</v>
      </c>
      <c r="K10244" s="61">
        <f t="shared" si="1"/>
        <v>0</v>
      </c>
      <c r="L10244" s="62">
        <f t="shared" si="2"/>
        <v>2</v>
      </c>
    </row>
    <row r="10245">
      <c r="A10245" s="58">
        <v>45139.0</v>
      </c>
      <c r="B10245" s="24" t="s">
        <v>6789</v>
      </c>
      <c r="C10245" s="24" t="s">
        <v>6905</v>
      </c>
      <c r="D10245" s="59">
        <v>1.0</v>
      </c>
      <c r="E10245" s="59">
        <v>1.0</v>
      </c>
      <c r="F10245" s="59">
        <v>0.0</v>
      </c>
      <c r="G10245" s="60">
        <v>1.0</v>
      </c>
      <c r="H10245" s="60">
        <v>0.0</v>
      </c>
      <c r="I10245" s="60">
        <v>180.93737</v>
      </c>
      <c r="J10245" s="59">
        <v>4.0</v>
      </c>
      <c r="K10245" s="61">
        <f t="shared" si="1"/>
        <v>0</v>
      </c>
      <c r="L10245" s="62">
        <f t="shared" si="2"/>
        <v>4</v>
      </c>
    </row>
    <row r="10246">
      <c r="A10246" s="58">
        <v>45139.0</v>
      </c>
      <c r="B10246" s="24" t="s">
        <v>6791</v>
      </c>
      <c r="C10246" s="24" t="s">
        <v>7242</v>
      </c>
      <c r="D10246" s="59">
        <v>1.0</v>
      </c>
      <c r="E10246" s="59">
        <v>1.0</v>
      </c>
      <c r="F10246" s="59">
        <v>0.0</v>
      </c>
      <c r="G10246" s="60">
        <v>1.0</v>
      </c>
      <c r="H10246" s="60">
        <v>0.0</v>
      </c>
      <c r="I10246" s="60">
        <v>1.369049</v>
      </c>
      <c r="J10246" s="59">
        <v>2.0</v>
      </c>
      <c r="K10246" s="61">
        <f t="shared" si="1"/>
        <v>0</v>
      </c>
      <c r="L10246" s="62">
        <f t="shared" si="2"/>
        <v>2</v>
      </c>
    </row>
    <row r="10247">
      <c r="A10247" s="58">
        <v>45139.0</v>
      </c>
      <c r="B10247" s="24" t="s">
        <v>6794</v>
      </c>
      <c r="C10247" s="24" t="s">
        <v>7034</v>
      </c>
      <c r="D10247" s="59">
        <v>1.0</v>
      </c>
      <c r="E10247" s="59">
        <v>1.0</v>
      </c>
      <c r="F10247" s="59">
        <v>0.0</v>
      </c>
      <c r="G10247" s="60">
        <v>1.0</v>
      </c>
      <c r="H10247" s="60">
        <v>0.0</v>
      </c>
      <c r="I10247" s="60">
        <v>47.571187</v>
      </c>
      <c r="J10247" s="59">
        <v>2.0</v>
      </c>
      <c r="K10247" s="61">
        <f t="shared" si="1"/>
        <v>0</v>
      </c>
      <c r="L10247" s="62">
        <f t="shared" si="2"/>
        <v>2</v>
      </c>
    </row>
    <row r="10248">
      <c r="A10248" s="58">
        <v>45139.0</v>
      </c>
      <c r="B10248" s="24" t="s">
        <v>155</v>
      </c>
      <c r="C10248" s="24" t="s">
        <v>7034</v>
      </c>
      <c r="D10248" s="59">
        <v>1.0</v>
      </c>
      <c r="E10248" s="59">
        <v>4.0</v>
      </c>
      <c r="F10248" s="59">
        <v>0.0</v>
      </c>
      <c r="G10248" s="60">
        <v>4.0</v>
      </c>
      <c r="H10248" s="60">
        <v>0.0</v>
      </c>
      <c r="I10248" s="60">
        <v>2128.6072325</v>
      </c>
      <c r="J10248" s="59">
        <v>71.0</v>
      </c>
      <c r="K10248" s="61">
        <f t="shared" si="1"/>
        <v>0</v>
      </c>
      <c r="L10248" s="62">
        <f t="shared" si="2"/>
        <v>17.75</v>
      </c>
    </row>
    <row r="10249">
      <c r="A10249" s="58">
        <v>45139.0</v>
      </c>
      <c r="B10249" s="24" t="s">
        <v>6789</v>
      </c>
      <c r="C10249" s="24" t="s">
        <v>7573</v>
      </c>
      <c r="D10249" s="59">
        <v>1.0</v>
      </c>
      <c r="E10249" s="59">
        <v>1.0</v>
      </c>
      <c r="F10249" s="59">
        <v>1.0</v>
      </c>
      <c r="G10249" s="60">
        <v>1.0</v>
      </c>
      <c r="H10249" s="60">
        <v>0.0</v>
      </c>
      <c r="I10249" s="60">
        <v>1609.507325</v>
      </c>
      <c r="J10249" s="59">
        <v>4.0</v>
      </c>
      <c r="K10249" s="61">
        <f t="shared" si="1"/>
        <v>1</v>
      </c>
      <c r="L10249" s="62">
        <f t="shared" si="2"/>
        <v>4</v>
      </c>
    </row>
    <row r="10250">
      <c r="A10250" s="58">
        <v>45139.0</v>
      </c>
      <c r="B10250" s="24" t="s">
        <v>6787</v>
      </c>
      <c r="C10250" s="24" t="s">
        <v>7585</v>
      </c>
      <c r="D10250" s="59">
        <v>1.0</v>
      </c>
      <c r="E10250" s="59">
        <v>3.0</v>
      </c>
      <c r="F10250" s="59">
        <v>0.0</v>
      </c>
      <c r="G10250" s="60">
        <v>3.0</v>
      </c>
      <c r="H10250" s="60">
        <v>0.0</v>
      </c>
      <c r="I10250" s="60">
        <v>64.242123</v>
      </c>
      <c r="J10250" s="59">
        <v>6.0</v>
      </c>
      <c r="K10250" s="61">
        <f t="shared" si="1"/>
        <v>0</v>
      </c>
      <c r="L10250" s="62">
        <f t="shared" si="2"/>
        <v>2</v>
      </c>
    </row>
    <row r="10251">
      <c r="A10251" s="58">
        <v>45139.0</v>
      </c>
      <c r="B10251" s="24" t="s">
        <v>6789</v>
      </c>
      <c r="C10251" s="24" t="s">
        <v>7585</v>
      </c>
      <c r="D10251" s="59">
        <v>1.0</v>
      </c>
      <c r="E10251" s="59">
        <v>1.0</v>
      </c>
      <c r="F10251" s="59">
        <v>0.0</v>
      </c>
      <c r="G10251" s="60">
        <v>1.0</v>
      </c>
      <c r="H10251" s="60">
        <v>0.0</v>
      </c>
      <c r="I10251" s="60">
        <v>344.877573</v>
      </c>
      <c r="J10251" s="59">
        <v>4.0</v>
      </c>
      <c r="K10251" s="61">
        <f t="shared" si="1"/>
        <v>0</v>
      </c>
      <c r="L10251" s="62">
        <f t="shared" si="2"/>
        <v>4</v>
      </c>
    </row>
    <row r="10252">
      <c r="A10252" s="58">
        <v>45139.0</v>
      </c>
      <c r="B10252" s="24" t="s">
        <v>6787</v>
      </c>
      <c r="C10252" s="24" t="s">
        <v>7621</v>
      </c>
      <c r="D10252" s="59">
        <v>1.0</v>
      </c>
      <c r="E10252" s="59">
        <v>3.0</v>
      </c>
      <c r="F10252" s="59">
        <v>0.0</v>
      </c>
      <c r="G10252" s="60">
        <v>3.0</v>
      </c>
      <c r="H10252" s="60">
        <v>0.0</v>
      </c>
      <c r="I10252" s="60">
        <v>221.504604666666</v>
      </c>
      <c r="J10252" s="59">
        <v>6.0</v>
      </c>
      <c r="K10252" s="61">
        <f t="shared" si="1"/>
        <v>0</v>
      </c>
      <c r="L10252" s="62">
        <f t="shared" si="2"/>
        <v>2</v>
      </c>
    </row>
    <row r="10253">
      <c r="A10253" s="58">
        <v>45139.0</v>
      </c>
      <c r="B10253" s="24" t="s">
        <v>6789</v>
      </c>
      <c r="C10253" s="24" t="s">
        <v>7621</v>
      </c>
      <c r="D10253" s="59">
        <v>1.0</v>
      </c>
      <c r="E10253" s="59">
        <v>3.0</v>
      </c>
      <c r="F10253" s="59">
        <v>0.0</v>
      </c>
      <c r="G10253" s="60">
        <v>3.0</v>
      </c>
      <c r="H10253" s="60">
        <v>0.0</v>
      </c>
      <c r="I10253" s="60">
        <v>7.57823333333333</v>
      </c>
      <c r="J10253" s="59">
        <v>6.0</v>
      </c>
      <c r="K10253" s="61">
        <f t="shared" si="1"/>
        <v>0</v>
      </c>
      <c r="L10253" s="62">
        <f t="shared" si="2"/>
        <v>2</v>
      </c>
    </row>
    <row r="10254">
      <c r="A10254" s="58">
        <v>45139.0</v>
      </c>
      <c r="B10254" s="24" t="s">
        <v>6790</v>
      </c>
      <c r="C10254" s="24" t="s">
        <v>7621</v>
      </c>
      <c r="D10254" s="59">
        <v>1.0</v>
      </c>
      <c r="E10254" s="59">
        <v>1.0</v>
      </c>
      <c r="F10254" s="59">
        <v>0.0</v>
      </c>
      <c r="G10254" s="60">
        <v>1.0</v>
      </c>
      <c r="H10254" s="60">
        <v>0.0</v>
      </c>
      <c r="I10254" s="60">
        <v>687.773159</v>
      </c>
      <c r="J10254" s="59">
        <v>6.0</v>
      </c>
      <c r="K10254" s="61">
        <f t="shared" si="1"/>
        <v>0</v>
      </c>
      <c r="L10254" s="62">
        <f t="shared" si="2"/>
        <v>6</v>
      </c>
    </row>
    <row r="10255">
      <c r="A10255" s="58">
        <v>45139.0</v>
      </c>
      <c r="B10255" s="24" t="s">
        <v>6787</v>
      </c>
      <c r="C10255" s="24" t="s">
        <v>7622</v>
      </c>
      <c r="D10255" s="59">
        <v>1.0</v>
      </c>
      <c r="E10255" s="59">
        <v>1.0</v>
      </c>
      <c r="F10255" s="59">
        <v>0.0</v>
      </c>
      <c r="G10255" s="60">
        <v>1.0</v>
      </c>
      <c r="H10255" s="60">
        <v>0.0</v>
      </c>
      <c r="I10255" s="60">
        <v>2205.172368</v>
      </c>
      <c r="J10255" s="59">
        <v>18.0</v>
      </c>
      <c r="K10255" s="61">
        <f t="shared" si="1"/>
        <v>0</v>
      </c>
      <c r="L10255" s="62">
        <f t="shared" si="2"/>
        <v>18</v>
      </c>
    </row>
    <row r="10256">
      <c r="A10256" s="58">
        <v>45139.0</v>
      </c>
      <c r="B10256" s="24" t="s">
        <v>6789</v>
      </c>
      <c r="C10256" s="24" t="s">
        <v>7592</v>
      </c>
      <c r="D10256" s="59">
        <v>1.0</v>
      </c>
      <c r="E10256" s="59">
        <v>1.0</v>
      </c>
      <c r="F10256" s="59">
        <v>1.0</v>
      </c>
      <c r="G10256" s="60">
        <v>1.0</v>
      </c>
      <c r="H10256" s="60">
        <v>0.0</v>
      </c>
      <c r="I10256" s="60">
        <v>5.791011</v>
      </c>
      <c r="J10256" s="59">
        <v>2.0</v>
      </c>
      <c r="K10256" s="61">
        <f t="shared" si="1"/>
        <v>1</v>
      </c>
      <c r="L10256" s="62">
        <f t="shared" si="2"/>
        <v>2</v>
      </c>
    </row>
    <row r="10257">
      <c r="A10257" s="58">
        <v>45139.0</v>
      </c>
      <c r="B10257" s="24" t="s">
        <v>6787</v>
      </c>
      <c r="C10257" s="24" t="s">
        <v>7616</v>
      </c>
      <c r="D10257" s="59">
        <v>1.0</v>
      </c>
      <c r="E10257" s="59">
        <v>1.0</v>
      </c>
      <c r="F10257" s="59">
        <v>1.0</v>
      </c>
      <c r="G10257" s="60">
        <v>1.0</v>
      </c>
      <c r="H10257" s="60">
        <v>0.0</v>
      </c>
      <c r="I10257" s="60">
        <v>5.624105</v>
      </c>
      <c r="J10257" s="59">
        <v>2.0</v>
      </c>
      <c r="K10257" s="61">
        <f t="shared" si="1"/>
        <v>1</v>
      </c>
      <c r="L10257" s="62">
        <f t="shared" si="2"/>
        <v>2</v>
      </c>
    </row>
    <row r="10258">
      <c r="A10258" s="58">
        <v>45139.0</v>
      </c>
      <c r="B10258" s="24" t="s">
        <v>6787</v>
      </c>
      <c r="C10258" s="24" t="s">
        <v>7258</v>
      </c>
      <c r="D10258" s="59">
        <v>1.0</v>
      </c>
      <c r="E10258" s="59">
        <v>1.0</v>
      </c>
      <c r="F10258" s="59">
        <v>1.0</v>
      </c>
      <c r="G10258" s="60">
        <v>1.0</v>
      </c>
      <c r="H10258" s="60">
        <v>0.0</v>
      </c>
      <c r="I10258" s="60">
        <v>3.226653</v>
      </c>
      <c r="J10258" s="59">
        <v>2.0</v>
      </c>
      <c r="K10258" s="61">
        <f t="shared" si="1"/>
        <v>1</v>
      </c>
      <c r="L10258" s="62">
        <f t="shared" si="2"/>
        <v>2</v>
      </c>
    </row>
    <row r="10259">
      <c r="A10259" s="58">
        <v>45139.0</v>
      </c>
      <c r="B10259" s="24" t="s">
        <v>6789</v>
      </c>
      <c r="C10259" s="24" t="s">
        <v>7258</v>
      </c>
      <c r="D10259" s="59">
        <v>1.0</v>
      </c>
      <c r="E10259" s="59">
        <v>1.0</v>
      </c>
      <c r="F10259" s="59">
        <v>1.0</v>
      </c>
      <c r="G10259" s="60">
        <v>1.0</v>
      </c>
      <c r="H10259" s="60">
        <v>0.0</v>
      </c>
      <c r="I10259" s="60">
        <v>16.999315</v>
      </c>
      <c r="J10259" s="59">
        <v>2.0</v>
      </c>
      <c r="K10259" s="61">
        <f t="shared" si="1"/>
        <v>1</v>
      </c>
      <c r="L10259" s="62">
        <f t="shared" si="2"/>
        <v>2</v>
      </c>
    </row>
    <row r="10260">
      <c r="A10260" s="58">
        <v>45139.0</v>
      </c>
      <c r="B10260" s="24" t="s">
        <v>6787</v>
      </c>
      <c r="C10260" s="24" t="s">
        <v>7566</v>
      </c>
      <c r="D10260" s="59">
        <v>1.0</v>
      </c>
      <c r="E10260" s="59">
        <v>1.0</v>
      </c>
      <c r="F10260" s="59">
        <v>1.0</v>
      </c>
      <c r="G10260" s="60">
        <v>1.0</v>
      </c>
      <c r="H10260" s="60">
        <v>0.0</v>
      </c>
      <c r="I10260" s="60">
        <v>0.141537</v>
      </c>
      <c r="J10260" s="59">
        <v>2.0</v>
      </c>
      <c r="K10260" s="61">
        <f t="shared" si="1"/>
        <v>1</v>
      </c>
      <c r="L10260" s="62">
        <f t="shared" si="2"/>
        <v>2</v>
      </c>
    </row>
    <row r="10261">
      <c r="A10261" s="58">
        <v>45139.0</v>
      </c>
      <c r="B10261" s="24" t="s">
        <v>6794</v>
      </c>
      <c r="C10261" s="24" t="s">
        <v>7530</v>
      </c>
      <c r="D10261" s="59">
        <v>1.0</v>
      </c>
      <c r="E10261" s="59">
        <v>2.0</v>
      </c>
      <c r="F10261" s="59">
        <v>0.0</v>
      </c>
      <c r="G10261" s="60">
        <v>2.0</v>
      </c>
      <c r="H10261" s="60">
        <v>0.0</v>
      </c>
      <c r="I10261" s="60">
        <v>4.9306395</v>
      </c>
      <c r="J10261" s="59">
        <v>4.0</v>
      </c>
      <c r="K10261" s="61">
        <f t="shared" si="1"/>
        <v>0</v>
      </c>
      <c r="L10261" s="62">
        <f t="shared" si="2"/>
        <v>2</v>
      </c>
    </row>
    <row r="10262">
      <c r="A10262" s="58">
        <v>45139.0</v>
      </c>
      <c r="B10262" s="24" t="s">
        <v>7100</v>
      </c>
      <c r="C10262" s="24" t="s">
        <v>7530</v>
      </c>
      <c r="D10262" s="59">
        <v>1.0</v>
      </c>
      <c r="E10262" s="59">
        <v>2.0</v>
      </c>
      <c r="F10262" s="59">
        <v>0.0</v>
      </c>
      <c r="G10262" s="60">
        <v>2.0</v>
      </c>
      <c r="H10262" s="60">
        <v>0.0</v>
      </c>
      <c r="I10262" s="60">
        <v>5.383317</v>
      </c>
      <c r="J10262" s="59">
        <v>4.0</v>
      </c>
      <c r="K10262" s="61">
        <f t="shared" si="1"/>
        <v>0</v>
      </c>
      <c r="L10262" s="62">
        <f t="shared" si="2"/>
        <v>2</v>
      </c>
    </row>
    <row r="10263">
      <c r="A10263" s="58">
        <v>45139.0</v>
      </c>
      <c r="B10263" s="24" t="s">
        <v>155</v>
      </c>
      <c r="C10263" s="24" t="s">
        <v>7227</v>
      </c>
      <c r="D10263" s="59">
        <v>1.0</v>
      </c>
      <c r="E10263" s="59">
        <v>1.0</v>
      </c>
      <c r="F10263" s="59">
        <v>0.0</v>
      </c>
      <c r="G10263" s="60">
        <v>1.0</v>
      </c>
      <c r="H10263" s="60">
        <v>0.0</v>
      </c>
      <c r="I10263" s="60">
        <v>20.183846</v>
      </c>
      <c r="J10263" s="59">
        <v>4.0</v>
      </c>
      <c r="K10263" s="61">
        <f t="shared" si="1"/>
        <v>0</v>
      </c>
      <c r="L10263" s="62">
        <f t="shared" si="2"/>
        <v>4</v>
      </c>
    </row>
    <row r="10264">
      <c r="A10264" s="58">
        <v>45139.0</v>
      </c>
      <c r="B10264" s="24" t="s">
        <v>6789</v>
      </c>
      <c r="C10264" s="24" t="s">
        <v>7554</v>
      </c>
      <c r="D10264" s="59">
        <v>1.0</v>
      </c>
      <c r="E10264" s="59">
        <v>1.0</v>
      </c>
      <c r="F10264" s="59">
        <v>0.0</v>
      </c>
      <c r="G10264" s="60">
        <v>1.0</v>
      </c>
      <c r="H10264" s="60">
        <v>0.0</v>
      </c>
      <c r="I10264" s="60">
        <v>661.739059</v>
      </c>
      <c r="J10264" s="59">
        <v>10.0</v>
      </c>
      <c r="K10264" s="61">
        <f t="shared" si="1"/>
        <v>0</v>
      </c>
      <c r="L10264" s="62">
        <f t="shared" si="2"/>
        <v>10</v>
      </c>
    </row>
    <row r="10265">
      <c r="A10265" s="58">
        <v>45139.0</v>
      </c>
      <c r="B10265" s="24" t="s">
        <v>7100</v>
      </c>
      <c r="C10265" s="24" t="s">
        <v>7554</v>
      </c>
      <c r="D10265" s="59">
        <v>1.0</v>
      </c>
      <c r="E10265" s="59">
        <v>1.0</v>
      </c>
      <c r="F10265" s="59">
        <v>0.0</v>
      </c>
      <c r="G10265" s="60">
        <v>1.0</v>
      </c>
      <c r="H10265" s="60">
        <v>0.0</v>
      </c>
      <c r="I10265" s="60">
        <v>9.479011</v>
      </c>
      <c r="J10265" s="59">
        <v>2.0</v>
      </c>
      <c r="K10265" s="61">
        <f t="shared" si="1"/>
        <v>0</v>
      </c>
      <c r="L10265" s="62">
        <f t="shared" si="2"/>
        <v>2</v>
      </c>
    </row>
    <row r="10266">
      <c r="A10266" s="58">
        <v>45139.0</v>
      </c>
      <c r="B10266" s="24" t="s">
        <v>6789</v>
      </c>
      <c r="C10266" s="24" t="s">
        <v>7261</v>
      </c>
      <c r="D10266" s="59">
        <v>1.0</v>
      </c>
      <c r="E10266" s="59">
        <v>1.0</v>
      </c>
      <c r="F10266" s="59">
        <v>1.0</v>
      </c>
      <c r="G10266" s="60">
        <v>1.0</v>
      </c>
      <c r="H10266" s="60">
        <v>0.0</v>
      </c>
      <c r="I10266" s="60">
        <v>0.590856</v>
      </c>
      <c r="J10266" s="59">
        <v>2.0</v>
      </c>
      <c r="K10266" s="61">
        <f t="shared" si="1"/>
        <v>1</v>
      </c>
      <c r="L10266" s="62">
        <f t="shared" si="2"/>
        <v>2</v>
      </c>
    </row>
    <row r="10267">
      <c r="A10267" s="58">
        <v>45139.0</v>
      </c>
      <c r="B10267" s="24" t="s">
        <v>6787</v>
      </c>
      <c r="C10267" s="24" t="s">
        <v>6907</v>
      </c>
      <c r="D10267" s="59">
        <v>1.0</v>
      </c>
      <c r="E10267" s="59">
        <v>1.0</v>
      </c>
      <c r="F10267" s="59">
        <v>0.0</v>
      </c>
      <c r="G10267" s="60">
        <v>1.0</v>
      </c>
      <c r="H10267" s="60">
        <v>0.0</v>
      </c>
      <c r="I10267" s="60">
        <v>0.160148</v>
      </c>
      <c r="J10267" s="59">
        <v>2.0</v>
      </c>
      <c r="K10267" s="61">
        <f t="shared" si="1"/>
        <v>0</v>
      </c>
      <c r="L10267" s="62">
        <f t="shared" si="2"/>
        <v>2</v>
      </c>
    </row>
    <row r="10268">
      <c r="A10268" s="58">
        <v>45139.0</v>
      </c>
      <c r="B10268" s="24" t="s">
        <v>155</v>
      </c>
      <c r="C10268" s="24" t="s">
        <v>6907</v>
      </c>
      <c r="D10268" s="59">
        <v>1.0</v>
      </c>
      <c r="E10268" s="59">
        <v>1.0</v>
      </c>
      <c r="F10268" s="59">
        <v>0.0</v>
      </c>
      <c r="G10268" s="60">
        <v>1.0</v>
      </c>
      <c r="H10268" s="60">
        <v>0.0</v>
      </c>
      <c r="I10268" s="60">
        <v>60.385405</v>
      </c>
      <c r="J10268" s="59">
        <v>2.0</v>
      </c>
      <c r="K10268" s="61">
        <f t="shared" si="1"/>
        <v>0</v>
      </c>
      <c r="L10268" s="62">
        <f t="shared" si="2"/>
        <v>2</v>
      </c>
    </row>
    <row r="10269">
      <c r="A10269" s="58">
        <v>45139.0</v>
      </c>
      <c r="B10269" s="24" t="s">
        <v>6794</v>
      </c>
      <c r="C10269" s="24" t="s">
        <v>6808</v>
      </c>
      <c r="D10269" s="59">
        <v>1.0</v>
      </c>
      <c r="E10269" s="59">
        <v>1.0</v>
      </c>
      <c r="F10269" s="59">
        <v>0.0</v>
      </c>
      <c r="G10269" s="60">
        <v>1.0</v>
      </c>
      <c r="H10269" s="60">
        <v>0.0</v>
      </c>
      <c r="I10269" s="60">
        <v>260.107311</v>
      </c>
      <c r="J10269" s="59">
        <v>12.0</v>
      </c>
      <c r="K10269" s="61">
        <f t="shared" si="1"/>
        <v>0</v>
      </c>
      <c r="L10269" s="62">
        <f t="shared" si="2"/>
        <v>12</v>
      </c>
    </row>
    <row r="10270">
      <c r="A10270" s="58">
        <v>45139.0</v>
      </c>
      <c r="B10270" s="24" t="s">
        <v>155</v>
      </c>
      <c r="C10270" s="24" t="s">
        <v>6808</v>
      </c>
      <c r="D10270" s="59">
        <v>1.0</v>
      </c>
      <c r="E10270" s="59">
        <v>1.0</v>
      </c>
      <c r="F10270" s="59">
        <v>0.0</v>
      </c>
      <c r="G10270" s="60">
        <v>1.0</v>
      </c>
      <c r="H10270" s="60">
        <v>0.0</v>
      </c>
      <c r="I10270" s="60">
        <v>267.662973</v>
      </c>
      <c r="J10270" s="59">
        <v>8.0</v>
      </c>
      <c r="K10270" s="61">
        <f t="shared" si="1"/>
        <v>0</v>
      </c>
      <c r="L10270" s="62">
        <f t="shared" si="2"/>
        <v>8</v>
      </c>
    </row>
    <row r="10271">
      <c r="A10271" s="58">
        <v>45139.0</v>
      </c>
      <c r="B10271" s="24" t="s">
        <v>6794</v>
      </c>
      <c r="C10271" s="24" t="s">
        <v>6800</v>
      </c>
      <c r="D10271" s="59">
        <v>1.0</v>
      </c>
      <c r="E10271" s="59">
        <v>1.0</v>
      </c>
      <c r="F10271" s="59">
        <v>0.0</v>
      </c>
      <c r="G10271" s="60">
        <v>1.0</v>
      </c>
      <c r="H10271" s="60">
        <v>0.0</v>
      </c>
      <c r="I10271" s="60">
        <v>130.309287</v>
      </c>
      <c r="J10271" s="59">
        <v>4.0</v>
      </c>
      <c r="K10271" s="61">
        <f t="shared" si="1"/>
        <v>0</v>
      </c>
      <c r="L10271" s="62">
        <f t="shared" si="2"/>
        <v>4</v>
      </c>
    </row>
    <row r="10272">
      <c r="A10272" s="58">
        <v>45139.0</v>
      </c>
      <c r="B10272" s="24" t="s">
        <v>155</v>
      </c>
      <c r="C10272" s="24" t="s">
        <v>7013</v>
      </c>
      <c r="D10272" s="59">
        <v>1.0</v>
      </c>
      <c r="E10272" s="59">
        <v>1.0</v>
      </c>
      <c r="F10272" s="59">
        <v>0.0</v>
      </c>
      <c r="G10272" s="60">
        <v>1.0</v>
      </c>
      <c r="H10272" s="60">
        <v>0.0</v>
      </c>
      <c r="I10272" s="60">
        <v>6.802093</v>
      </c>
      <c r="J10272" s="59">
        <v>2.0</v>
      </c>
      <c r="K10272" s="61">
        <f t="shared" si="1"/>
        <v>0</v>
      </c>
      <c r="L10272" s="62">
        <f t="shared" si="2"/>
        <v>2</v>
      </c>
    </row>
    <row r="10273">
      <c r="A10273" s="58">
        <v>45139.0</v>
      </c>
      <c r="B10273" s="24" t="s">
        <v>7100</v>
      </c>
      <c r="C10273" s="24" t="s">
        <v>7101</v>
      </c>
      <c r="D10273" s="59">
        <v>1.0</v>
      </c>
      <c r="E10273" s="59">
        <v>1.0</v>
      </c>
      <c r="F10273" s="59">
        <v>1.0</v>
      </c>
      <c r="G10273" s="60">
        <v>1.0</v>
      </c>
      <c r="H10273" s="60">
        <v>0.0</v>
      </c>
      <c r="I10273" s="60">
        <v>164.49359</v>
      </c>
      <c r="J10273" s="59">
        <v>4.0</v>
      </c>
      <c r="K10273" s="61">
        <f t="shared" si="1"/>
        <v>1</v>
      </c>
      <c r="L10273" s="62">
        <f t="shared" si="2"/>
        <v>4</v>
      </c>
    </row>
    <row r="10274">
      <c r="A10274" s="58">
        <v>45139.0</v>
      </c>
      <c r="B10274" s="24" t="s">
        <v>6790</v>
      </c>
      <c r="C10274" s="24" t="s">
        <v>7101</v>
      </c>
      <c r="D10274" s="59">
        <v>1.0</v>
      </c>
      <c r="E10274" s="59">
        <v>1.0</v>
      </c>
      <c r="F10274" s="59">
        <v>0.0</v>
      </c>
      <c r="G10274" s="60">
        <v>1.0</v>
      </c>
      <c r="H10274" s="60">
        <v>0.0</v>
      </c>
      <c r="I10274" s="60">
        <v>1.838916</v>
      </c>
      <c r="J10274" s="59">
        <v>2.0</v>
      </c>
      <c r="K10274" s="61">
        <f t="shared" si="1"/>
        <v>0</v>
      </c>
      <c r="L10274" s="62">
        <f t="shared" si="2"/>
        <v>2</v>
      </c>
    </row>
    <row r="10275">
      <c r="A10275" s="58">
        <v>45139.0</v>
      </c>
      <c r="B10275" s="24" t="s">
        <v>155</v>
      </c>
      <c r="C10275" s="24" t="s">
        <v>7172</v>
      </c>
      <c r="D10275" s="59">
        <v>1.0</v>
      </c>
      <c r="E10275" s="59">
        <v>1.0</v>
      </c>
      <c r="F10275" s="59">
        <v>0.0</v>
      </c>
      <c r="G10275" s="60">
        <v>1.0</v>
      </c>
      <c r="H10275" s="60">
        <v>0.0</v>
      </c>
      <c r="I10275" s="60">
        <v>6.924006</v>
      </c>
      <c r="J10275" s="59">
        <v>2.0</v>
      </c>
      <c r="K10275" s="61">
        <f t="shared" si="1"/>
        <v>0</v>
      </c>
      <c r="L10275" s="62">
        <f t="shared" si="2"/>
        <v>2</v>
      </c>
    </row>
    <row r="10276">
      <c r="A10276" s="58">
        <v>45139.0</v>
      </c>
      <c r="B10276" s="24" t="s">
        <v>6794</v>
      </c>
      <c r="C10276" s="24" t="s">
        <v>7313</v>
      </c>
      <c r="D10276" s="59">
        <v>1.0</v>
      </c>
      <c r="E10276" s="59">
        <v>2.0</v>
      </c>
      <c r="F10276" s="59">
        <v>0.0</v>
      </c>
      <c r="G10276" s="60">
        <v>2.0</v>
      </c>
      <c r="H10276" s="60">
        <v>0.0</v>
      </c>
      <c r="I10276" s="60">
        <v>672.160988</v>
      </c>
      <c r="J10276" s="59">
        <v>13.0</v>
      </c>
      <c r="K10276" s="61">
        <f t="shared" si="1"/>
        <v>0</v>
      </c>
      <c r="L10276" s="62">
        <f t="shared" si="2"/>
        <v>6.5</v>
      </c>
    </row>
    <row r="10277">
      <c r="A10277" s="58">
        <v>45139.0</v>
      </c>
      <c r="B10277" s="24" t="s">
        <v>6790</v>
      </c>
      <c r="C10277" s="24" t="s">
        <v>7313</v>
      </c>
      <c r="D10277" s="59">
        <v>1.0</v>
      </c>
      <c r="E10277" s="59">
        <v>1.0</v>
      </c>
      <c r="F10277" s="59">
        <v>0.0</v>
      </c>
      <c r="G10277" s="60">
        <v>1.0</v>
      </c>
      <c r="H10277" s="60">
        <v>0.0</v>
      </c>
      <c r="I10277" s="60">
        <v>118.999477</v>
      </c>
      <c r="J10277" s="59">
        <v>4.0</v>
      </c>
      <c r="K10277" s="61">
        <f t="shared" si="1"/>
        <v>0</v>
      </c>
      <c r="L10277" s="62">
        <f t="shared" si="2"/>
        <v>4</v>
      </c>
    </row>
    <row r="10278">
      <c r="A10278" s="58">
        <v>45139.0</v>
      </c>
      <c r="B10278" s="24" t="s">
        <v>6790</v>
      </c>
      <c r="C10278" s="24" t="s">
        <v>7102</v>
      </c>
      <c r="D10278" s="59">
        <v>1.0</v>
      </c>
      <c r="E10278" s="59">
        <v>1.0</v>
      </c>
      <c r="F10278" s="59">
        <v>0.0</v>
      </c>
      <c r="G10278" s="60">
        <v>1.0</v>
      </c>
      <c r="H10278" s="60">
        <v>0.0</v>
      </c>
      <c r="I10278" s="60">
        <v>1.396847</v>
      </c>
      <c r="J10278" s="59">
        <v>2.0</v>
      </c>
      <c r="K10278" s="61">
        <f t="shared" si="1"/>
        <v>0</v>
      </c>
      <c r="L10278" s="62">
        <f t="shared" si="2"/>
        <v>2</v>
      </c>
    </row>
    <row r="10279">
      <c r="A10279" s="58">
        <v>45139.0</v>
      </c>
      <c r="B10279" s="24" t="s">
        <v>6787</v>
      </c>
      <c r="C10279" s="24" t="s">
        <v>7104</v>
      </c>
      <c r="D10279" s="59">
        <v>1.0</v>
      </c>
      <c r="E10279" s="59">
        <v>2.0</v>
      </c>
      <c r="F10279" s="59">
        <v>1.0</v>
      </c>
      <c r="G10279" s="60">
        <v>2.0</v>
      </c>
      <c r="H10279" s="60">
        <v>0.0</v>
      </c>
      <c r="I10279" s="60">
        <v>5.1054115</v>
      </c>
      <c r="J10279" s="59">
        <v>4.0</v>
      </c>
      <c r="K10279" s="61">
        <f t="shared" si="1"/>
        <v>0.5</v>
      </c>
      <c r="L10279" s="62">
        <f t="shared" si="2"/>
        <v>2</v>
      </c>
    </row>
    <row r="10280">
      <c r="A10280" s="58">
        <v>45139.0</v>
      </c>
      <c r="B10280" s="24" t="s">
        <v>155</v>
      </c>
      <c r="C10280" s="24" t="s">
        <v>7104</v>
      </c>
      <c r="D10280" s="59">
        <v>1.0</v>
      </c>
      <c r="E10280" s="59">
        <v>1.0</v>
      </c>
      <c r="F10280" s="59">
        <v>0.0</v>
      </c>
      <c r="G10280" s="60">
        <v>1.0</v>
      </c>
      <c r="H10280" s="60">
        <v>0.0</v>
      </c>
      <c r="I10280" s="60">
        <v>363.809061</v>
      </c>
      <c r="J10280" s="59">
        <v>10.0</v>
      </c>
      <c r="K10280" s="61">
        <f t="shared" si="1"/>
        <v>0</v>
      </c>
      <c r="L10280" s="62">
        <f t="shared" si="2"/>
        <v>10</v>
      </c>
    </row>
    <row r="10281">
      <c r="A10281" s="58">
        <v>45139.0</v>
      </c>
      <c r="B10281" s="24" t="s">
        <v>6790</v>
      </c>
      <c r="C10281" s="24" t="s">
        <v>7104</v>
      </c>
      <c r="D10281" s="59">
        <v>1.0</v>
      </c>
      <c r="E10281" s="59">
        <v>1.0</v>
      </c>
      <c r="F10281" s="59">
        <v>0.0</v>
      </c>
      <c r="G10281" s="60">
        <v>1.0</v>
      </c>
      <c r="H10281" s="60">
        <v>0.0</v>
      </c>
      <c r="I10281" s="60">
        <v>655.91501</v>
      </c>
      <c r="J10281" s="59">
        <v>18.0</v>
      </c>
      <c r="K10281" s="61">
        <f t="shared" si="1"/>
        <v>0</v>
      </c>
      <c r="L10281" s="62">
        <f t="shared" si="2"/>
        <v>18</v>
      </c>
    </row>
    <row r="10282">
      <c r="A10282" s="58">
        <v>45139.0</v>
      </c>
      <c r="B10282" s="24" t="s">
        <v>6787</v>
      </c>
      <c r="C10282" s="24" t="s">
        <v>7023</v>
      </c>
      <c r="D10282" s="59">
        <v>1.0</v>
      </c>
      <c r="E10282" s="59">
        <v>1.0</v>
      </c>
      <c r="F10282" s="59">
        <v>1.0</v>
      </c>
      <c r="G10282" s="60">
        <v>1.0</v>
      </c>
      <c r="H10282" s="60">
        <v>0.0</v>
      </c>
      <c r="I10282" s="60">
        <v>1341.911408</v>
      </c>
      <c r="J10282" s="59">
        <v>4.0</v>
      </c>
      <c r="K10282" s="61">
        <f t="shared" si="1"/>
        <v>1</v>
      </c>
      <c r="L10282" s="62">
        <f t="shared" si="2"/>
        <v>4</v>
      </c>
    </row>
    <row r="10283">
      <c r="A10283" s="58">
        <v>45139.0</v>
      </c>
      <c r="B10283" s="24" t="s">
        <v>6789</v>
      </c>
      <c r="C10283" s="24" t="s">
        <v>7023</v>
      </c>
      <c r="D10283" s="59">
        <v>1.0</v>
      </c>
      <c r="E10283" s="59">
        <v>1.0</v>
      </c>
      <c r="F10283" s="59">
        <v>0.0</v>
      </c>
      <c r="G10283" s="60">
        <v>1.0</v>
      </c>
      <c r="H10283" s="60">
        <v>0.0</v>
      </c>
      <c r="I10283" s="60">
        <v>18.488296</v>
      </c>
      <c r="J10283" s="59">
        <v>2.0</v>
      </c>
      <c r="K10283" s="61">
        <f t="shared" si="1"/>
        <v>0</v>
      </c>
      <c r="L10283" s="62">
        <f t="shared" si="2"/>
        <v>2</v>
      </c>
    </row>
    <row r="10284">
      <c r="A10284" s="58">
        <v>45139.0</v>
      </c>
      <c r="B10284" s="24" t="s">
        <v>6787</v>
      </c>
      <c r="C10284" s="24" t="s">
        <v>7174</v>
      </c>
      <c r="D10284" s="59">
        <v>1.0</v>
      </c>
      <c r="E10284" s="59">
        <v>1.0</v>
      </c>
      <c r="F10284" s="59">
        <v>0.0</v>
      </c>
      <c r="G10284" s="60">
        <v>1.0</v>
      </c>
      <c r="H10284" s="60">
        <v>0.0</v>
      </c>
      <c r="I10284" s="60">
        <v>6.041189</v>
      </c>
      <c r="J10284" s="59">
        <v>2.0</v>
      </c>
      <c r="K10284" s="61">
        <f t="shared" si="1"/>
        <v>0</v>
      </c>
      <c r="L10284" s="62">
        <f t="shared" si="2"/>
        <v>2</v>
      </c>
    </row>
    <row r="10285">
      <c r="A10285" s="58">
        <v>45139.0</v>
      </c>
      <c r="B10285" s="24" t="s">
        <v>6794</v>
      </c>
      <c r="C10285" s="24" t="s">
        <v>7174</v>
      </c>
      <c r="D10285" s="59">
        <v>1.0</v>
      </c>
      <c r="E10285" s="59">
        <v>1.0</v>
      </c>
      <c r="F10285" s="59">
        <v>1.0</v>
      </c>
      <c r="G10285" s="60">
        <v>1.0</v>
      </c>
      <c r="H10285" s="60">
        <v>0.0</v>
      </c>
      <c r="I10285" s="60">
        <v>11.118793</v>
      </c>
      <c r="J10285" s="59">
        <v>4.0</v>
      </c>
      <c r="K10285" s="61">
        <f t="shared" si="1"/>
        <v>1</v>
      </c>
      <c r="L10285" s="62">
        <f t="shared" si="2"/>
        <v>4</v>
      </c>
    </row>
    <row r="10286">
      <c r="A10286" s="58">
        <v>45139.0</v>
      </c>
      <c r="B10286" s="24" t="s">
        <v>3216</v>
      </c>
      <c r="C10286" s="24" t="s">
        <v>7403</v>
      </c>
      <c r="D10286" s="59">
        <v>1.0</v>
      </c>
      <c r="E10286" s="59">
        <v>3.0</v>
      </c>
      <c r="F10286" s="59">
        <v>0.0</v>
      </c>
      <c r="G10286" s="60">
        <v>3.0</v>
      </c>
      <c r="H10286" s="60">
        <v>0.0</v>
      </c>
      <c r="I10286" s="60">
        <v>640.720512</v>
      </c>
      <c r="J10286" s="59">
        <v>12.0</v>
      </c>
      <c r="K10286" s="61">
        <f t="shared" si="1"/>
        <v>0</v>
      </c>
      <c r="L10286" s="62">
        <f t="shared" si="2"/>
        <v>4</v>
      </c>
    </row>
    <row r="10287">
      <c r="A10287" s="58">
        <v>45139.0</v>
      </c>
      <c r="B10287" s="24" t="s">
        <v>6794</v>
      </c>
      <c r="C10287" s="24" t="s">
        <v>7403</v>
      </c>
      <c r="D10287" s="59">
        <v>1.0</v>
      </c>
      <c r="E10287" s="59">
        <v>1.0</v>
      </c>
      <c r="F10287" s="59">
        <v>0.0</v>
      </c>
      <c r="G10287" s="60">
        <v>1.0</v>
      </c>
      <c r="H10287" s="60">
        <v>0.0</v>
      </c>
      <c r="I10287" s="60">
        <v>13.8512</v>
      </c>
      <c r="J10287" s="59">
        <v>2.0</v>
      </c>
      <c r="K10287" s="61">
        <f t="shared" si="1"/>
        <v>0</v>
      </c>
      <c r="L10287" s="62">
        <f t="shared" si="2"/>
        <v>2</v>
      </c>
    </row>
    <row r="10288">
      <c r="A10288" s="58">
        <v>45139.0</v>
      </c>
      <c r="B10288" s="24" t="s">
        <v>6794</v>
      </c>
      <c r="C10288" s="24" t="s">
        <v>7192</v>
      </c>
      <c r="D10288" s="59">
        <v>1.0</v>
      </c>
      <c r="E10288" s="59">
        <v>1.0</v>
      </c>
      <c r="F10288" s="59">
        <v>0.0</v>
      </c>
      <c r="G10288" s="60">
        <v>1.0</v>
      </c>
      <c r="H10288" s="60">
        <v>0.0</v>
      </c>
      <c r="I10288" s="60">
        <v>14.559598</v>
      </c>
      <c r="J10288" s="59">
        <v>2.0</v>
      </c>
      <c r="K10288" s="61">
        <f t="shared" si="1"/>
        <v>0</v>
      </c>
      <c r="L10288" s="62">
        <f t="shared" si="2"/>
        <v>2</v>
      </c>
    </row>
    <row r="10289">
      <c r="A10289" s="58">
        <v>45139.0</v>
      </c>
      <c r="B10289" s="24" t="s">
        <v>155</v>
      </c>
      <c r="C10289" s="24" t="s">
        <v>7192</v>
      </c>
      <c r="D10289" s="59">
        <v>1.0</v>
      </c>
      <c r="E10289" s="59">
        <v>1.0</v>
      </c>
      <c r="F10289" s="59">
        <v>0.0</v>
      </c>
      <c r="G10289" s="60">
        <v>1.0</v>
      </c>
      <c r="H10289" s="60">
        <v>0.0</v>
      </c>
      <c r="I10289" s="60">
        <v>102.856479999999</v>
      </c>
      <c r="J10289" s="59">
        <v>16.0</v>
      </c>
      <c r="K10289" s="61">
        <f t="shared" si="1"/>
        <v>0</v>
      </c>
      <c r="L10289" s="62">
        <f t="shared" si="2"/>
        <v>16</v>
      </c>
    </row>
    <row r="10290">
      <c r="A10290" s="58">
        <v>45139.0</v>
      </c>
      <c r="B10290" s="24" t="s">
        <v>6789</v>
      </c>
      <c r="C10290" s="24" t="s">
        <v>7027</v>
      </c>
      <c r="D10290" s="59">
        <v>1.0</v>
      </c>
      <c r="E10290" s="59">
        <v>1.0</v>
      </c>
      <c r="F10290" s="59">
        <v>1.0</v>
      </c>
      <c r="G10290" s="60">
        <v>1.0</v>
      </c>
      <c r="H10290" s="60">
        <v>0.0</v>
      </c>
      <c r="I10290" s="60">
        <v>5.772072</v>
      </c>
      <c r="J10290" s="59">
        <v>2.0</v>
      </c>
      <c r="K10290" s="61">
        <f t="shared" si="1"/>
        <v>1</v>
      </c>
      <c r="L10290" s="62">
        <f t="shared" si="2"/>
        <v>2</v>
      </c>
    </row>
    <row r="10291">
      <c r="A10291" s="58">
        <v>45139.0</v>
      </c>
      <c r="B10291" s="24" t="s">
        <v>6791</v>
      </c>
      <c r="C10291" s="24" t="s">
        <v>7027</v>
      </c>
      <c r="D10291" s="59">
        <v>1.0</v>
      </c>
      <c r="E10291" s="59">
        <v>1.0</v>
      </c>
      <c r="F10291" s="59">
        <v>0.0</v>
      </c>
      <c r="G10291" s="60">
        <v>1.0</v>
      </c>
      <c r="H10291" s="60">
        <v>0.0</v>
      </c>
      <c r="I10291" s="60">
        <v>6.472897</v>
      </c>
      <c r="J10291" s="59">
        <v>2.0</v>
      </c>
      <c r="K10291" s="61">
        <f t="shared" si="1"/>
        <v>0</v>
      </c>
      <c r="L10291" s="62">
        <f t="shared" si="2"/>
        <v>2</v>
      </c>
    </row>
    <row r="10292">
      <c r="A10292" s="58">
        <v>45139.0</v>
      </c>
      <c r="B10292" s="24" t="s">
        <v>6787</v>
      </c>
      <c r="C10292" s="24" t="s">
        <v>7180</v>
      </c>
      <c r="D10292" s="59">
        <v>1.0</v>
      </c>
      <c r="E10292" s="59">
        <v>1.0</v>
      </c>
      <c r="F10292" s="59">
        <v>0.0</v>
      </c>
      <c r="G10292" s="60">
        <v>1.0</v>
      </c>
      <c r="H10292" s="60">
        <v>0.0</v>
      </c>
      <c r="I10292" s="60">
        <v>5.984942</v>
      </c>
      <c r="J10292" s="59">
        <v>2.0</v>
      </c>
      <c r="K10292" s="61">
        <f t="shared" si="1"/>
        <v>0</v>
      </c>
      <c r="L10292" s="62">
        <f t="shared" si="2"/>
        <v>2</v>
      </c>
    </row>
    <row r="10293">
      <c r="A10293" s="58">
        <v>45139.0</v>
      </c>
      <c r="B10293" s="24" t="s">
        <v>6794</v>
      </c>
      <c r="C10293" s="24" t="s">
        <v>7180</v>
      </c>
      <c r="D10293" s="59">
        <v>1.0</v>
      </c>
      <c r="E10293" s="59">
        <v>1.0</v>
      </c>
      <c r="F10293" s="59">
        <v>0.0</v>
      </c>
      <c r="G10293" s="60">
        <v>1.0</v>
      </c>
      <c r="H10293" s="60">
        <v>0.0</v>
      </c>
      <c r="I10293" s="60">
        <v>81.342785</v>
      </c>
      <c r="J10293" s="59">
        <v>2.0</v>
      </c>
      <c r="K10293" s="61">
        <f t="shared" si="1"/>
        <v>0</v>
      </c>
      <c r="L10293" s="62">
        <f t="shared" si="2"/>
        <v>2</v>
      </c>
    </row>
    <row r="10294">
      <c r="A10294" s="58">
        <v>45139.0</v>
      </c>
      <c r="B10294" s="24" t="s">
        <v>155</v>
      </c>
      <c r="C10294" s="24" t="s">
        <v>7180</v>
      </c>
      <c r="D10294" s="59">
        <v>1.0</v>
      </c>
      <c r="E10294" s="59">
        <v>1.0</v>
      </c>
      <c r="F10294" s="59">
        <v>0.0</v>
      </c>
      <c r="G10294" s="60">
        <v>1.0</v>
      </c>
      <c r="H10294" s="60">
        <v>0.0</v>
      </c>
      <c r="I10294" s="60">
        <v>26.430443</v>
      </c>
      <c r="J10294" s="59">
        <v>2.0</v>
      </c>
      <c r="K10294" s="61">
        <f t="shared" si="1"/>
        <v>0</v>
      </c>
      <c r="L10294" s="62">
        <f t="shared" si="2"/>
        <v>2</v>
      </c>
    </row>
    <row r="10295">
      <c r="A10295" s="58">
        <v>45139.0</v>
      </c>
      <c r="B10295" s="24" t="s">
        <v>6787</v>
      </c>
      <c r="C10295" s="24" t="s">
        <v>7588</v>
      </c>
      <c r="D10295" s="59">
        <v>1.0</v>
      </c>
      <c r="E10295" s="59">
        <v>1.0</v>
      </c>
      <c r="F10295" s="59">
        <v>1.0</v>
      </c>
      <c r="G10295" s="60">
        <v>1.0</v>
      </c>
      <c r="H10295" s="60">
        <v>0.0</v>
      </c>
      <c r="I10295" s="60">
        <v>4.86958</v>
      </c>
      <c r="J10295" s="59">
        <v>2.0</v>
      </c>
      <c r="K10295" s="61">
        <f t="shared" si="1"/>
        <v>1</v>
      </c>
      <c r="L10295" s="62">
        <f t="shared" si="2"/>
        <v>2</v>
      </c>
    </row>
    <row r="10296">
      <c r="A10296" s="58">
        <v>45139.0</v>
      </c>
      <c r="B10296" s="24" t="s">
        <v>7100</v>
      </c>
      <c r="C10296" s="24" t="s">
        <v>6921</v>
      </c>
      <c r="D10296" s="59">
        <v>1.0</v>
      </c>
      <c r="E10296" s="59">
        <v>3.0</v>
      </c>
      <c r="F10296" s="59">
        <v>0.0</v>
      </c>
      <c r="G10296" s="60">
        <v>3.0</v>
      </c>
      <c r="H10296" s="60">
        <v>0.0</v>
      </c>
      <c r="I10296" s="60">
        <v>37.6112913333333</v>
      </c>
      <c r="J10296" s="59">
        <v>14.0</v>
      </c>
      <c r="K10296" s="61">
        <f t="shared" si="1"/>
        <v>0</v>
      </c>
      <c r="L10296" s="62">
        <f t="shared" si="2"/>
        <v>4.666666667</v>
      </c>
    </row>
    <row r="10297">
      <c r="A10297" s="58">
        <v>45139.0</v>
      </c>
      <c r="B10297" s="24" t="s">
        <v>6794</v>
      </c>
      <c r="C10297" s="24" t="s">
        <v>6797</v>
      </c>
      <c r="D10297" s="59">
        <v>1.0</v>
      </c>
      <c r="E10297" s="59">
        <v>1.0</v>
      </c>
      <c r="F10297" s="59">
        <v>0.0</v>
      </c>
      <c r="G10297" s="60">
        <v>1.0</v>
      </c>
      <c r="H10297" s="60">
        <v>0.0</v>
      </c>
      <c r="I10297" s="60">
        <v>84.122246</v>
      </c>
      <c r="J10297" s="59">
        <v>4.0</v>
      </c>
      <c r="K10297" s="61">
        <f t="shared" si="1"/>
        <v>0</v>
      </c>
      <c r="L10297" s="62">
        <f t="shared" si="2"/>
        <v>4</v>
      </c>
    </row>
    <row r="10298">
      <c r="A10298" s="58">
        <v>45139.0</v>
      </c>
      <c r="B10298" s="24" t="s">
        <v>6787</v>
      </c>
      <c r="C10298" s="24" t="s">
        <v>6931</v>
      </c>
      <c r="D10298" s="59">
        <v>1.0</v>
      </c>
      <c r="E10298" s="59">
        <v>1.0</v>
      </c>
      <c r="F10298" s="59">
        <v>1.0</v>
      </c>
      <c r="G10298" s="60">
        <v>1.0</v>
      </c>
      <c r="H10298" s="60">
        <v>0.0</v>
      </c>
      <c r="I10298" s="60">
        <v>4.603438</v>
      </c>
      <c r="J10298" s="59">
        <v>2.0</v>
      </c>
      <c r="K10298" s="61">
        <f t="shared" si="1"/>
        <v>1</v>
      </c>
      <c r="L10298" s="62">
        <f t="shared" si="2"/>
        <v>2</v>
      </c>
    </row>
    <row r="10299">
      <c r="A10299" s="58">
        <v>45139.0</v>
      </c>
      <c r="B10299" s="24" t="s">
        <v>155</v>
      </c>
      <c r="C10299" s="24" t="s">
        <v>6962</v>
      </c>
      <c r="D10299" s="59">
        <v>1.0</v>
      </c>
      <c r="E10299" s="59">
        <v>1.0</v>
      </c>
      <c r="F10299" s="59">
        <v>0.0</v>
      </c>
      <c r="G10299" s="60">
        <v>1.0</v>
      </c>
      <c r="H10299" s="60">
        <v>0.0</v>
      </c>
      <c r="I10299" s="60">
        <v>8633.394083</v>
      </c>
      <c r="J10299" s="59">
        <v>54.0</v>
      </c>
      <c r="K10299" s="61">
        <f t="shared" si="1"/>
        <v>0</v>
      </c>
      <c r="L10299" s="62">
        <f t="shared" si="2"/>
        <v>54</v>
      </c>
    </row>
    <row r="10300">
      <c r="A10300" s="58">
        <v>45139.0</v>
      </c>
      <c r="B10300" s="24" t="s">
        <v>155</v>
      </c>
      <c r="C10300" s="24" t="s">
        <v>7118</v>
      </c>
      <c r="D10300" s="59">
        <v>1.0</v>
      </c>
      <c r="E10300" s="59">
        <v>1.0</v>
      </c>
      <c r="F10300" s="59">
        <v>0.0</v>
      </c>
      <c r="G10300" s="60">
        <v>1.0</v>
      </c>
      <c r="H10300" s="60">
        <v>0.0</v>
      </c>
      <c r="I10300" s="60">
        <v>52.102376</v>
      </c>
      <c r="J10300" s="59">
        <v>10.0</v>
      </c>
      <c r="K10300" s="61">
        <f t="shared" si="1"/>
        <v>0</v>
      </c>
      <c r="L10300" s="62">
        <f t="shared" si="2"/>
        <v>10</v>
      </c>
    </row>
    <row r="10301">
      <c r="A10301" s="58">
        <v>45139.0</v>
      </c>
      <c r="B10301" s="24" t="s">
        <v>6789</v>
      </c>
      <c r="C10301" s="24" t="s">
        <v>7623</v>
      </c>
      <c r="D10301" s="59">
        <v>1.0</v>
      </c>
      <c r="E10301" s="59">
        <v>1.0</v>
      </c>
      <c r="F10301" s="59">
        <v>0.0</v>
      </c>
      <c r="G10301" s="60">
        <v>1.0</v>
      </c>
      <c r="H10301" s="60">
        <v>0.0</v>
      </c>
      <c r="I10301" s="60">
        <v>5.116273</v>
      </c>
      <c r="J10301" s="59">
        <v>2.0</v>
      </c>
      <c r="K10301" s="61">
        <f t="shared" si="1"/>
        <v>0</v>
      </c>
      <c r="L10301" s="62">
        <f t="shared" si="2"/>
        <v>2</v>
      </c>
    </row>
    <row r="10302">
      <c r="A10302" s="58">
        <v>45139.0</v>
      </c>
      <c r="B10302" s="24" t="s">
        <v>6794</v>
      </c>
      <c r="C10302" s="24" t="s">
        <v>6802</v>
      </c>
      <c r="D10302" s="59">
        <v>1.0</v>
      </c>
      <c r="E10302" s="59">
        <v>1.0</v>
      </c>
      <c r="F10302" s="59">
        <v>0.0</v>
      </c>
      <c r="G10302" s="60">
        <v>1.0</v>
      </c>
      <c r="H10302" s="60">
        <v>0.0</v>
      </c>
      <c r="I10302" s="60">
        <v>74.522984</v>
      </c>
      <c r="J10302" s="59">
        <v>4.0</v>
      </c>
      <c r="K10302" s="61">
        <f t="shared" si="1"/>
        <v>0</v>
      </c>
      <c r="L10302" s="62">
        <f t="shared" si="2"/>
        <v>4</v>
      </c>
    </row>
    <row r="10303">
      <c r="A10303" s="58">
        <v>45139.0</v>
      </c>
      <c r="B10303" s="24" t="s">
        <v>155</v>
      </c>
      <c r="C10303" s="24" t="s">
        <v>6802</v>
      </c>
      <c r="D10303" s="59">
        <v>1.0</v>
      </c>
      <c r="E10303" s="59">
        <v>1.0</v>
      </c>
      <c r="F10303" s="59">
        <v>0.0</v>
      </c>
      <c r="G10303" s="60">
        <v>1.0</v>
      </c>
      <c r="H10303" s="60">
        <v>0.0</v>
      </c>
      <c r="I10303" s="60">
        <v>1103.497649</v>
      </c>
      <c r="J10303" s="59">
        <v>10.0</v>
      </c>
      <c r="K10303" s="61">
        <f t="shared" si="1"/>
        <v>0</v>
      </c>
      <c r="L10303" s="62">
        <f t="shared" si="2"/>
        <v>10</v>
      </c>
    </row>
    <row r="10304">
      <c r="A10304" s="58">
        <v>45108.0</v>
      </c>
      <c r="B10304" s="24" t="s">
        <v>6789</v>
      </c>
      <c r="C10304" s="24" t="s">
        <v>6788</v>
      </c>
      <c r="D10304" s="59">
        <v>517.0</v>
      </c>
      <c r="E10304" s="59">
        <v>707.0</v>
      </c>
      <c r="F10304" s="59">
        <v>432.0</v>
      </c>
      <c r="G10304" s="60">
        <v>1.36750483558994</v>
      </c>
      <c r="H10304" s="60">
        <v>0.00707213578500707</v>
      </c>
      <c r="I10304" s="60">
        <v>277.537517272984</v>
      </c>
      <c r="J10304" s="59">
        <v>2770.0</v>
      </c>
      <c r="K10304" s="61">
        <f t="shared" si="1"/>
        <v>0.6110325318</v>
      </c>
      <c r="L10304" s="62">
        <f t="shared" si="2"/>
        <v>3.917963225</v>
      </c>
    </row>
    <row r="10305">
      <c r="A10305" s="58">
        <v>45108.0</v>
      </c>
      <c r="B10305" s="24" t="s">
        <v>6787</v>
      </c>
      <c r="C10305" s="24" t="s">
        <v>6788</v>
      </c>
      <c r="D10305" s="59">
        <v>342.0</v>
      </c>
      <c r="E10305" s="59">
        <v>452.0</v>
      </c>
      <c r="F10305" s="59">
        <v>307.0</v>
      </c>
      <c r="G10305" s="60">
        <v>1.32163742690058</v>
      </c>
      <c r="H10305" s="60">
        <v>0.0597345132743362</v>
      </c>
      <c r="I10305" s="60">
        <v>98.7221648915929</v>
      </c>
      <c r="J10305" s="59">
        <v>1385.0</v>
      </c>
      <c r="K10305" s="61">
        <f t="shared" si="1"/>
        <v>0.6792035398</v>
      </c>
      <c r="L10305" s="62">
        <f t="shared" si="2"/>
        <v>3.064159292</v>
      </c>
    </row>
    <row r="10306">
      <c r="A10306" s="58">
        <v>45108.0</v>
      </c>
      <c r="B10306" s="24" t="s">
        <v>6789</v>
      </c>
      <c r="C10306" s="24" t="s">
        <v>6792</v>
      </c>
      <c r="D10306" s="59">
        <v>302.0</v>
      </c>
      <c r="E10306" s="59">
        <v>376.0</v>
      </c>
      <c r="F10306" s="59">
        <v>139.0</v>
      </c>
      <c r="G10306" s="60">
        <v>1.504</v>
      </c>
      <c r="H10306" s="60">
        <v>0.76595744680851</v>
      </c>
      <c r="I10306" s="60">
        <v>85.9278416569148</v>
      </c>
      <c r="J10306" s="59">
        <v>0.0</v>
      </c>
      <c r="K10306" s="61">
        <f t="shared" si="1"/>
        <v>0.3696808511</v>
      </c>
      <c r="L10306" s="62">
        <f t="shared" si="2"/>
        <v>0</v>
      </c>
    </row>
    <row r="10307">
      <c r="A10307" s="58">
        <v>45108.0</v>
      </c>
      <c r="B10307" s="24" t="s">
        <v>6794</v>
      </c>
      <c r="C10307" s="24" t="s">
        <v>6815</v>
      </c>
      <c r="D10307" s="59">
        <v>206.0</v>
      </c>
      <c r="E10307" s="59">
        <v>257.0</v>
      </c>
      <c r="F10307" s="59">
        <v>165.0</v>
      </c>
      <c r="G10307" s="60">
        <v>1.24757281553398</v>
      </c>
      <c r="H10307" s="60">
        <v>0.0233463035019455</v>
      </c>
      <c r="I10307" s="60">
        <v>182.388361210116</v>
      </c>
      <c r="J10307" s="59">
        <v>651.0</v>
      </c>
      <c r="K10307" s="61">
        <f t="shared" si="1"/>
        <v>0.6420233463</v>
      </c>
      <c r="L10307" s="62">
        <f t="shared" si="2"/>
        <v>2.53307393</v>
      </c>
    </row>
    <row r="10308">
      <c r="A10308" s="58">
        <v>45108.0</v>
      </c>
      <c r="B10308" s="24" t="s">
        <v>6787</v>
      </c>
      <c r="C10308" s="24" t="s">
        <v>6792</v>
      </c>
      <c r="D10308" s="59">
        <v>185.0</v>
      </c>
      <c r="E10308" s="59">
        <v>244.0</v>
      </c>
      <c r="F10308" s="59">
        <v>120.0</v>
      </c>
      <c r="G10308" s="60">
        <v>1.40229885057471</v>
      </c>
      <c r="H10308" s="60">
        <v>0.868852459016393</v>
      </c>
      <c r="I10308" s="60">
        <v>78.2842611188524</v>
      </c>
      <c r="J10308" s="59">
        <v>0.0</v>
      </c>
      <c r="K10308" s="61">
        <f t="shared" si="1"/>
        <v>0.4918032787</v>
      </c>
      <c r="L10308" s="62">
        <f t="shared" si="2"/>
        <v>0</v>
      </c>
    </row>
    <row r="10309">
      <c r="A10309" s="58">
        <v>45108.0</v>
      </c>
      <c r="B10309" s="24" t="s">
        <v>7100</v>
      </c>
      <c r="C10309" s="24" t="s">
        <v>7172</v>
      </c>
      <c r="D10309" s="59">
        <v>184.0</v>
      </c>
      <c r="E10309" s="59">
        <v>252.0</v>
      </c>
      <c r="F10309" s="59">
        <v>166.0</v>
      </c>
      <c r="G10309" s="60">
        <v>1.3695652173913</v>
      </c>
      <c r="H10309" s="60">
        <v>0.0198412698412698</v>
      </c>
      <c r="I10309" s="60">
        <v>32.2416246349206</v>
      </c>
      <c r="J10309" s="59">
        <v>535.0</v>
      </c>
      <c r="K10309" s="61">
        <f t="shared" si="1"/>
        <v>0.6587301587</v>
      </c>
      <c r="L10309" s="62">
        <f t="shared" si="2"/>
        <v>2.123015873</v>
      </c>
    </row>
    <row r="10310">
      <c r="A10310" s="58">
        <v>45108.0</v>
      </c>
      <c r="B10310" s="24" t="s">
        <v>7100</v>
      </c>
      <c r="C10310" s="24" t="s">
        <v>6788</v>
      </c>
      <c r="D10310" s="59">
        <v>160.0</v>
      </c>
      <c r="E10310" s="59">
        <v>216.0</v>
      </c>
      <c r="F10310" s="59">
        <v>148.0</v>
      </c>
      <c r="G10310" s="60">
        <v>1.35</v>
      </c>
      <c r="H10310" s="60">
        <v>0.0694444444444444</v>
      </c>
      <c r="I10310" s="60">
        <v>44.6685668703703</v>
      </c>
      <c r="J10310" s="59">
        <v>500.0</v>
      </c>
      <c r="K10310" s="61">
        <f t="shared" si="1"/>
        <v>0.6851851852</v>
      </c>
      <c r="L10310" s="62">
        <f t="shared" si="2"/>
        <v>2.314814815</v>
      </c>
    </row>
    <row r="10311">
      <c r="A10311" s="58">
        <v>45108.0</v>
      </c>
      <c r="B10311" s="24" t="s">
        <v>6789</v>
      </c>
      <c r="C10311" s="24" t="s">
        <v>7068</v>
      </c>
      <c r="D10311" s="59">
        <v>158.0</v>
      </c>
      <c r="E10311" s="59">
        <v>167.0</v>
      </c>
      <c r="F10311" s="59">
        <v>153.0</v>
      </c>
      <c r="G10311" s="60">
        <v>1.05696202531645</v>
      </c>
      <c r="H10311" s="60">
        <v>0.0059880239520958</v>
      </c>
      <c r="I10311" s="60">
        <v>285.883965784431</v>
      </c>
      <c r="J10311" s="59">
        <v>389.0</v>
      </c>
      <c r="K10311" s="61">
        <f t="shared" si="1"/>
        <v>0.9161676647</v>
      </c>
      <c r="L10311" s="62">
        <f t="shared" si="2"/>
        <v>2.329341317</v>
      </c>
    </row>
    <row r="10312">
      <c r="A10312" s="58">
        <v>45108.0</v>
      </c>
      <c r="B10312" s="24" t="s">
        <v>7100</v>
      </c>
      <c r="C10312" s="24" t="s">
        <v>6792</v>
      </c>
      <c r="D10312" s="59">
        <v>118.0</v>
      </c>
      <c r="E10312" s="59">
        <v>121.0</v>
      </c>
      <c r="F10312" s="59">
        <v>107.0</v>
      </c>
      <c r="G10312" s="60">
        <v>1.05217391304347</v>
      </c>
      <c r="H10312" s="60">
        <v>0.983471074380165</v>
      </c>
      <c r="I10312" s="60">
        <v>9.46880409917355</v>
      </c>
      <c r="J10312" s="59">
        <v>0.0</v>
      </c>
      <c r="K10312" s="61">
        <f t="shared" si="1"/>
        <v>0.8842975207</v>
      </c>
      <c r="L10312" s="62">
        <f t="shared" si="2"/>
        <v>0</v>
      </c>
    </row>
    <row r="10313">
      <c r="A10313" s="58">
        <v>45108.0</v>
      </c>
      <c r="B10313" s="24" t="s">
        <v>6794</v>
      </c>
      <c r="C10313" s="24" t="s">
        <v>6788</v>
      </c>
      <c r="D10313" s="59">
        <v>102.0</v>
      </c>
      <c r="E10313" s="59">
        <v>121.0</v>
      </c>
      <c r="F10313" s="59">
        <v>93.0</v>
      </c>
      <c r="G10313" s="60">
        <v>1.18627450980392</v>
      </c>
      <c r="H10313" s="60">
        <v>0.0</v>
      </c>
      <c r="I10313" s="60">
        <v>137.495399</v>
      </c>
      <c r="J10313" s="59">
        <v>388.0</v>
      </c>
      <c r="K10313" s="61">
        <f t="shared" si="1"/>
        <v>0.7685950413</v>
      </c>
      <c r="L10313" s="62">
        <f t="shared" si="2"/>
        <v>3.20661157</v>
      </c>
    </row>
    <row r="10314">
      <c r="A10314" s="58">
        <v>45108.0</v>
      </c>
      <c r="B10314" s="24" t="s">
        <v>6790</v>
      </c>
      <c r="C10314" s="24" t="s">
        <v>6815</v>
      </c>
      <c r="D10314" s="59">
        <v>97.0</v>
      </c>
      <c r="E10314" s="59">
        <v>129.0</v>
      </c>
      <c r="F10314" s="59">
        <v>74.0</v>
      </c>
      <c r="G10314" s="60">
        <v>1.32989690721649</v>
      </c>
      <c r="H10314" s="60">
        <v>0.0232558139534883</v>
      </c>
      <c r="I10314" s="60">
        <v>137.368647209302</v>
      </c>
      <c r="J10314" s="59">
        <v>346.0</v>
      </c>
      <c r="K10314" s="61">
        <f t="shared" si="1"/>
        <v>0.5736434109</v>
      </c>
      <c r="L10314" s="62">
        <f t="shared" si="2"/>
        <v>2.682170543</v>
      </c>
    </row>
    <row r="10315">
      <c r="A10315" s="58">
        <v>45108.0</v>
      </c>
      <c r="B10315" s="24" t="s">
        <v>6794</v>
      </c>
      <c r="C10315" s="24" t="s">
        <v>6792</v>
      </c>
      <c r="D10315" s="59">
        <v>83.0</v>
      </c>
      <c r="E10315" s="59">
        <v>95.0</v>
      </c>
      <c r="F10315" s="59">
        <v>29.0</v>
      </c>
      <c r="G10315" s="60">
        <v>1.55737704918032</v>
      </c>
      <c r="H10315" s="60">
        <v>0.789473684210526</v>
      </c>
      <c r="I10315" s="60">
        <v>43.4119979894736</v>
      </c>
      <c r="J10315" s="59">
        <v>0.0</v>
      </c>
      <c r="K10315" s="61">
        <f t="shared" si="1"/>
        <v>0.3052631579</v>
      </c>
      <c r="L10315" s="62">
        <f t="shared" si="2"/>
        <v>0</v>
      </c>
    </row>
    <row r="10316">
      <c r="A10316" s="58">
        <v>45108.0</v>
      </c>
      <c r="B10316" s="24" t="s">
        <v>155</v>
      </c>
      <c r="C10316" s="24" t="s">
        <v>6788</v>
      </c>
      <c r="D10316" s="59">
        <v>76.0</v>
      </c>
      <c r="E10316" s="59">
        <v>160.0</v>
      </c>
      <c r="F10316" s="59">
        <v>56.0</v>
      </c>
      <c r="G10316" s="60">
        <v>2.10526315789473</v>
      </c>
      <c r="H10316" s="60">
        <v>0.0</v>
      </c>
      <c r="I10316" s="60">
        <v>239.21141926875</v>
      </c>
      <c r="J10316" s="59">
        <v>525.0</v>
      </c>
      <c r="K10316" s="61">
        <f t="shared" si="1"/>
        <v>0.35</v>
      </c>
      <c r="L10316" s="62">
        <f t="shared" si="2"/>
        <v>3.28125</v>
      </c>
    </row>
    <row r="10317">
      <c r="A10317" s="58">
        <v>45108.0</v>
      </c>
      <c r="B10317" s="24" t="s">
        <v>6789</v>
      </c>
      <c r="C10317" s="27"/>
      <c r="D10317" s="59">
        <v>58.0</v>
      </c>
      <c r="E10317" s="59">
        <v>64.0</v>
      </c>
      <c r="F10317" s="59">
        <v>43.0</v>
      </c>
      <c r="G10317" s="60">
        <v>1.10344827586206</v>
      </c>
      <c r="H10317" s="60">
        <v>0.0</v>
      </c>
      <c r="I10317" s="60">
        <v>299.2135218125</v>
      </c>
      <c r="J10317" s="59">
        <v>269.0</v>
      </c>
      <c r="K10317" s="61">
        <f t="shared" si="1"/>
        <v>0.671875</v>
      </c>
      <c r="L10317" s="62">
        <f t="shared" si="2"/>
        <v>4.203125</v>
      </c>
    </row>
    <row r="10318">
      <c r="A10318" s="58">
        <v>45108.0</v>
      </c>
      <c r="B10318" s="24" t="s">
        <v>6790</v>
      </c>
      <c r="C10318" s="24" t="s">
        <v>6792</v>
      </c>
      <c r="D10318" s="59">
        <v>51.0</v>
      </c>
      <c r="E10318" s="59">
        <v>72.0</v>
      </c>
      <c r="F10318" s="59">
        <v>21.0</v>
      </c>
      <c r="G10318" s="60">
        <v>1.71428571428571</v>
      </c>
      <c r="H10318" s="60">
        <v>0.833333333333333</v>
      </c>
      <c r="I10318" s="60">
        <v>35.0161396944444</v>
      </c>
      <c r="J10318" s="59">
        <v>0.0</v>
      </c>
      <c r="K10318" s="61">
        <f t="shared" si="1"/>
        <v>0.2916666667</v>
      </c>
      <c r="L10318" s="62">
        <f t="shared" si="2"/>
        <v>0</v>
      </c>
    </row>
    <row r="10319">
      <c r="A10319" s="58">
        <v>45108.0</v>
      </c>
      <c r="B10319" s="24" t="s">
        <v>7100</v>
      </c>
      <c r="C10319" s="24" t="s">
        <v>7174</v>
      </c>
      <c r="D10319" s="59">
        <v>46.0</v>
      </c>
      <c r="E10319" s="59">
        <v>49.0</v>
      </c>
      <c r="F10319" s="59">
        <v>45.0</v>
      </c>
      <c r="G10319" s="60">
        <v>1.06521739130434</v>
      </c>
      <c r="H10319" s="60">
        <v>0.0816326530612244</v>
      </c>
      <c r="I10319" s="60">
        <v>17.3280740816326</v>
      </c>
      <c r="J10319" s="59">
        <v>100.0</v>
      </c>
      <c r="K10319" s="61">
        <f t="shared" si="1"/>
        <v>0.9183673469</v>
      </c>
      <c r="L10319" s="62">
        <f t="shared" si="2"/>
        <v>2.040816327</v>
      </c>
    </row>
    <row r="10320">
      <c r="A10320" s="58">
        <v>45108.0</v>
      </c>
      <c r="B10320" s="24" t="s">
        <v>6787</v>
      </c>
      <c r="C10320" s="27"/>
      <c r="D10320" s="59">
        <v>41.0</v>
      </c>
      <c r="E10320" s="59">
        <v>45.0</v>
      </c>
      <c r="F10320" s="59">
        <v>35.0</v>
      </c>
      <c r="G10320" s="60">
        <v>1.09756097560975</v>
      </c>
      <c r="H10320" s="60">
        <v>0.133333333333333</v>
      </c>
      <c r="I10320" s="60">
        <v>155.023866044444</v>
      </c>
      <c r="J10320" s="59">
        <v>229.0</v>
      </c>
      <c r="K10320" s="61">
        <f t="shared" si="1"/>
        <v>0.7777777778</v>
      </c>
      <c r="L10320" s="62">
        <f t="shared" si="2"/>
        <v>5.088888889</v>
      </c>
    </row>
    <row r="10321">
      <c r="A10321" s="58">
        <v>45108.0</v>
      </c>
      <c r="B10321" s="24" t="s">
        <v>155</v>
      </c>
      <c r="C10321" s="24" t="s">
        <v>6792</v>
      </c>
      <c r="D10321" s="59">
        <v>37.0</v>
      </c>
      <c r="E10321" s="59">
        <v>68.0</v>
      </c>
      <c r="F10321" s="59">
        <v>23.0</v>
      </c>
      <c r="G10321" s="60">
        <v>2.06060606060606</v>
      </c>
      <c r="H10321" s="60">
        <v>0.588235294117647</v>
      </c>
      <c r="I10321" s="60">
        <v>248.299788573529</v>
      </c>
      <c r="J10321" s="59">
        <v>0.0</v>
      </c>
      <c r="K10321" s="61">
        <f t="shared" si="1"/>
        <v>0.3382352941</v>
      </c>
      <c r="L10321" s="62">
        <f t="shared" si="2"/>
        <v>0</v>
      </c>
    </row>
    <row r="10322">
      <c r="A10322" s="58">
        <v>45108.0</v>
      </c>
      <c r="B10322" s="24" t="s">
        <v>6791</v>
      </c>
      <c r="C10322" s="24" t="s">
        <v>6802</v>
      </c>
      <c r="D10322" s="59">
        <v>36.0</v>
      </c>
      <c r="E10322" s="59">
        <v>36.0</v>
      </c>
      <c r="F10322" s="59">
        <v>34.0</v>
      </c>
      <c r="G10322" s="60">
        <v>1.0</v>
      </c>
      <c r="H10322" s="60">
        <v>0.0</v>
      </c>
      <c r="I10322" s="60">
        <v>48.7253655833333</v>
      </c>
      <c r="J10322" s="59">
        <v>96.0</v>
      </c>
      <c r="K10322" s="61">
        <f t="shared" si="1"/>
        <v>0.9444444444</v>
      </c>
      <c r="L10322" s="62">
        <f t="shared" si="2"/>
        <v>2.666666667</v>
      </c>
    </row>
    <row r="10323">
      <c r="A10323" s="58">
        <v>45108.0</v>
      </c>
      <c r="B10323" s="24" t="s">
        <v>6789</v>
      </c>
      <c r="C10323" s="24" t="s">
        <v>6815</v>
      </c>
      <c r="D10323" s="59">
        <v>33.0</v>
      </c>
      <c r="E10323" s="59">
        <v>43.0</v>
      </c>
      <c r="F10323" s="59">
        <v>26.0</v>
      </c>
      <c r="G10323" s="60">
        <v>1.3030303030303</v>
      </c>
      <c r="H10323" s="60">
        <v>0.0232558139534883</v>
      </c>
      <c r="I10323" s="60">
        <v>241.155052418604</v>
      </c>
      <c r="J10323" s="59">
        <v>147.0</v>
      </c>
      <c r="K10323" s="61">
        <f t="shared" si="1"/>
        <v>0.6046511628</v>
      </c>
      <c r="L10323" s="62">
        <f t="shared" si="2"/>
        <v>3.418604651</v>
      </c>
    </row>
    <row r="10324">
      <c r="A10324" s="58">
        <v>45108.0</v>
      </c>
      <c r="B10324" s="24" t="s">
        <v>6791</v>
      </c>
      <c r="C10324" s="24" t="s">
        <v>6792</v>
      </c>
      <c r="D10324" s="59">
        <v>31.0</v>
      </c>
      <c r="E10324" s="59">
        <v>32.0</v>
      </c>
      <c r="F10324" s="59">
        <v>18.0</v>
      </c>
      <c r="G10324" s="60">
        <v>1.14285714285714</v>
      </c>
      <c r="H10324" s="60">
        <v>0.65625</v>
      </c>
      <c r="I10324" s="60">
        <v>49.25252115625</v>
      </c>
      <c r="J10324" s="59">
        <v>0.0</v>
      </c>
      <c r="K10324" s="61">
        <f t="shared" si="1"/>
        <v>0.5625</v>
      </c>
      <c r="L10324" s="62">
        <f t="shared" si="2"/>
        <v>0</v>
      </c>
    </row>
    <row r="10325">
      <c r="A10325" s="58">
        <v>45108.0</v>
      </c>
      <c r="B10325" s="24" t="s">
        <v>6791</v>
      </c>
      <c r="C10325" s="24" t="s">
        <v>7530</v>
      </c>
      <c r="D10325" s="59">
        <v>27.0</v>
      </c>
      <c r="E10325" s="59">
        <v>28.0</v>
      </c>
      <c r="F10325" s="59">
        <v>25.0</v>
      </c>
      <c r="G10325" s="60">
        <v>1.03703703703703</v>
      </c>
      <c r="H10325" s="60">
        <v>0.0</v>
      </c>
      <c r="I10325" s="60">
        <v>114.220324571428</v>
      </c>
      <c r="J10325" s="59">
        <v>91.0</v>
      </c>
      <c r="K10325" s="61">
        <f t="shared" si="1"/>
        <v>0.8928571429</v>
      </c>
      <c r="L10325" s="62">
        <f t="shared" si="2"/>
        <v>3.25</v>
      </c>
    </row>
    <row r="10326">
      <c r="A10326" s="58">
        <v>45108.0</v>
      </c>
      <c r="B10326" s="24" t="s">
        <v>6791</v>
      </c>
      <c r="C10326" s="24" t="s">
        <v>7206</v>
      </c>
      <c r="D10326" s="59">
        <v>24.0</v>
      </c>
      <c r="E10326" s="59">
        <v>27.0</v>
      </c>
      <c r="F10326" s="59">
        <v>23.0</v>
      </c>
      <c r="G10326" s="60">
        <v>1.125</v>
      </c>
      <c r="H10326" s="60">
        <v>0.0</v>
      </c>
      <c r="I10326" s="60">
        <v>175.021910666666</v>
      </c>
      <c r="J10326" s="59">
        <v>88.0</v>
      </c>
      <c r="K10326" s="61">
        <f t="shared" si="1"/>
        <v>0.8518518519</v>
      </c>
      <c r="L10326" s="62">
        <f t="shared" si="2"/>
        <v>3.259259259</v>
      </c>
    </row>
    <row r="10327">
      <c r="A10327" s="58">
        <v>45108.0</v>
      </c>
      <c r="B10327" s="24" t="s">
        <v>6787</v>
      </c>
      <c r="C10327" s="24" t="s">
        <v>6815</v>
      </c>
      <c r="D10327" s="59">
        <v>22.0</v>
      </c>
      <c r="E10327" s="59">
        <v>32.0</v>
      </c>
      <c r="F10327" s="59">
        <v>19.0</v>
      </c>
      <c r="G10327" s="60">
        <v>1.45454545454545</v>
      </c>
      <c r="H10327" s="60">
        <v>0.03125</v>
      </c>
      <c r="I10327" s="60">
        <v>152.4914574375</v>
      </c>
      <c r="J10327" s="59">
        <v>85.0</v>
      </c>
      <c r="K10327" s="61">
        <f t="shared" si="1"/>
        <v>0.59375</v>
      </c>
      <c r="L10327" s="62">
        <f t="shared" si="2"/>
        <v>2.65625</v>
      </c>
    </row>
    <row r="10328">
      <c r="A10328" s="58">
        <v>45108.0</v>
      </c>
      <c r="B10328" s="24" t="s">
        <v>7100</v>
      </c>
      <c r="C10328" s="24" t="s">
        <v>6892</v>
      </c>
      <c r="D10328" s="59">
        <v>19.0</v>
      </c>
      <c r="E10328" s="59">
        <v>19.0</v>
      </c>
      <c r="F10328" s="59">
        <v>19.0</v>
      </c>
      <c r="G10328" s="60">
        <v>1.0</v>
      </c>
      <c r="H10328" s="60">
        <v>0.0</v>
      </c>
      <c r="I10328" s="60">
        <v>31.5817442631578</v>
      </c>
      <c r="J10328" s="59">
        <v>43.0</v>
      </c>
      <c r="K10328" s="61">
        <f t="shared" si="1"/>
        <v>1</v>
      </c>
      <c r="L10328" s="62">
        <f t="shared" si="2"/>
        <v>2.263157895</v>
      </c>
    </row>
    <row r="10329">
      <c r="A10329" s="58">
        <v>45108.0</v>
      </c>
      <c r="B10329" s="24" t="s">
        <v>6791</v>
      </c>
      <c r="C10329" s="24" t="s">
        <v>7227</v>
      </c>
      <c r="D10329" s="59">
        <v>19.0</v>
      </c>
      <c r="E10329" s="59">
        <v>20.0</v>
      </c>
      <c r="F10329" s="59">
        <v>18.0</v>
      </c>
      <c r="G10329" s="60">
        <v>1.05263157894736</v>
      </c>
      <c r="H10329" s="60">
        <v>0.05</v>
      </c>
      <c r="I10329" s="60">
        <v>135.399402299999</v>
      </c>
      <c r="J10329" s="59">
        <v>45.0</v>
      </c>
      <c r="K10329" s="61">
        <f t="shared" si="1"/>
        <v>0.9</v>
      </c>
      <c r="L10329" s="62">
        <f t="shared" si="2"/>
        <v>2.25</v>
      </c>
    </row>
    <row r="10330">
      <c r="A10330" s="58">
        <v>45108.0</v>
      </c>
      <c r="B10330" s="24" t="s">
        <v>6787</v>
      </c>
      <c r="C10330" s="24" t="s">
        <v>6800</v>
      </c>
      <c r="D10330" s="59">
        <v>19.0</v>
      </c>
      <c r="E10330" s="59">
        <v>20.0</v>
      </c>
      <c r="F10330" s="59">
        <v>17.0</v>
      </c>
      <c r="G10330" s="60">
        <v>1.05263157894736</v>
      </c>
      <c r="H10330" s="60">
        <v>0.1</v>
      </c>
      <c r="I10330" s="60">
        <v>128.0955914</v>
      </c>
      <c r="J10330" s="59">
        <v>54.0</v>
      </c>
      <c r="K10330" s="61">
        <f t="shared" si="1"/>
        <v>0.85</v>
      </c>
      <c r="L10330" s="62">
        <f t="shared" si="2"/>
        <v>2.7</v>
      </c>
    </row>
    <row r="10331">
      <c r="A10331" s="58">
        <v>45108.0</v>
      </c>
      <c r="B10331" s="24" t="s">
        <v>6789</v>
      </c>
      <c r="C10331" s="24" t="s">
        <v>6799</v>
      </c>
      <c r="D10331" s="59">
        <v>18.0</v>
      </c>
      <c r="E10331" s="59">
        <v>19.0</v>
      </c>
      <c r="F10331" s="59">
        <v>13.0</v>
      </c>
      <c r="G10331" s="60">
        <v>1.05555555555555</v>
      </c>
      <c r="H10331" s="60">
        <v>0.0</v>
      </c>
      <c r="I10331" s="60">
        <v>176.460546631578</v>
      </c>
      <c r="J10331" s="59">
        <v>42.0</v>
      </c>
      <c r="K10331" s="61">
        <f t="shared" si="1"/>
        <v>0.6842105263</v>
      </c>
      <c r="L10331" s="62">
        <f t="shared" si="2"/>
        <v>2.210526316</v>
      </c>
    </row>
    <row r="10332">
      <c r="A10332" s="58">
        <v>45108.0</v>
      </c>
      <c r="B10332" s="24" t="s">
        <v>6787</v>
      </c>
      <c r="C10332" s="24" t="s">
        <v>7613</v>
      </c>
      <c r="D10332" s="59">
        <v>18.0</v>
      </c>
      <c r="E10332" s="59">
        <v>28.0</v>
      </c>
      <c r="F10332" s="59">
        <v>13.0</v>
      </c>
      <c r="G10332" s="60">
        <v>1.55555555555555</v>
      </c>
      <c r="H10332" s="60">
        <v>0.0</v>
      </c>
      <c r="I10332" s="60">
        <v>456.233118</v>
      </c>
      <c r="J10332" s="59">
        <v>77.0</v>
      </c>
      <c r="K10332" s="61">
        <f t="shared" si="1"/>
        <v>0.4642857143</v>
      </c>
      <c r="L10332" s="62">
        <f t="shared" si="2"/>
        <v>2.75</v>
      </c>
    </row>
    <row r="10333">
      <c r="A10333" s="58">
        <v>45108.0</v>
      </c>
      <c r="B10333" s="24" t="s">
        <v>7100</v>
      </c>
      <c r="C10333" s="27"/>
      <c r="D10333" s="59">
        <v>17.0</v>
      </c>
      <c r="E10333" s="59">
        <v>18.0</v>
      </c>
      <c r="F10333" s="59">
        <v>16.0</v>
      </c>
      <c r="G10333" s="60">
        <v>1.05882352941176</v>
      </c>
      <c r="H10333" s="60">
        <v>0.0</v>
      </c>
      <c r="I10333" s="60">
        <v>5.02477005555555</v>
      </c>
      <c r="J10333" s="59">
        <v>36.0</v>
      </c>
      <c r="K10333" s="61">
        <f t="shared" si="1"/>
        <v>0.8888888889</v>
      </c>
      <c r="L10333" s="62">
        <f t="shared" si="2"/>
        <v>2</v>
      </c>
    </row>
    <row r="10334">
      <c r="A10334" s="58">
        <v>45108.0</v>
      </c>
      <c r="B10334" s="24" t="s">
        <v>6789</v>
      </c>
      <c r="C10334" s="24" t="s">
        <v>6892</v>
      </c>
      <c r="D10334" s="59">
        <v>17.0</v>
      </c>
      <c r="E10334" s="59">
        <v>18.0</v>
      </c>
      <c r="F10334" s="59">
        <v>14.0</v>
      </c>
      <c r="G10334" s="60">
        <v>1.05882352941176</v>
      </c>
      <c r="H10334" s="60">
        <v>0.0555555555555555</v>
      </c>
      <c r="I10334" s="60">
        <v>95.2561970555555</v>
      </c>
      <c r="J10334" s="59">
        <v>43.0</v>
      </c>
      <c r="K10334" s="61">
        <f t="shared" si="1"/>
        <v>0.7777777778</v>
      </c>
      <c r="L10334" s="62">
        <f t="shared" si="2"/>
        <v>2.388888889</v>
      </c>
    </row>
    <row r="10335">
      <c r="A10335" s="58">
        <v>45108.0</v>
      </c>
      <c r="B10335" s="24" t="s">
        <v>6790</v>
      </c>
      <c r="C10335" s="24" t="s">
        <v>6788</v>
      </c>
      <c r="D10335" s="59">
        <v>16.0</v>
      </c>
      <c r="E10335" s="59">
        <v>36.0</v>
      </c>
      <c r="F10335" s="59">
        <v>7.0</v>
      </c>
      <c r="G10335" s="60">
        <v>2.25</v>
      </c>
      <c r="H10335" s="60">
        <v>0.0277777777777777</v>
      </c>
      <c r="I10335" s="60">
        <v>283.286252305555</v>
      </c>
      <c r="J10335" s="59">
        <v>107.0</v>
      </c>
      <c r="K10335" s="61">
        <f t="shared" si="1"/>
        <v>0.1944444444</v>
      </c>
      <c r="L10335" s="62">
        <f t="shared" si="2"/>
        <v>2.972222222</v>
      </c>
    </row>
    <row r="10336">
      <c r="A10336" s="58">
        <v>45108.0</v>
      </c>
      <c r="B10336" s="24" t="s">
        <v>6789</v>
      </c>
      <c r="C10336" s="24" t="s">
        <v>6819</v>
      </c>
      <c r="D10336" s="59">
        <v>16.0</v>
      </c>
      <c r="E10336" s="59">
        <v>16.0</v>
      </c>
      <c r="F10336" s="59">
        <v>14.0</v>
      </c>
      <c r="G10336" s="60">
        <v>1.0</v>
      </c>
      <c r="H10336" s="60">
        <v>0.0</v>
      </c>
      <c r="I10336" s="60">
        <v>178.30397275</v>
      </c>
      <c r="J10336" s="59">
        <v>35.0</v>
      </c>
      <c r="K10336" s="61">
        <f t="shared" si="1"/>
        <v>0.875</v>
      </c>
      <c r="L10336" s="62">
        <f t="shared" si="2"/>
        <v>2.1875</v>
      </c>
    </row>
    <row r="10337">
      <c r="A10337" s="58">
        <v>45108.0</v>
      </c>
      <c r="B10337" s="24" t="s">
        <v>6789</v>
      </c>
      <c r="C10337" s="24" t="s">
        <v>6835</v>
      </c>
      <c r="D10337" s="59">
        <v>15.0</v>
      </c>
      <c r="E10337" s="59">
        <v>24.0</v>
      </c>
      <c r="F10337" s="59">
        <v>15.0</v>
      </c>
      <c r="G10337" s="60">
        <v>1.6</v>
      </c>
      <c r="H10337" s="60">
        <v>0.0</v>
      </c>
      <c r="I10337" s="60">
        <v>124.228820541666</v>
      </c>
      <c r="J10337" s="59">
        <v>61.0</v>
      </c>
      <c r="K10337" s="61">
        <f t="shared" si="1"/>
        <v>0.625</v>
      </c>
      <c r="L10337" s="62">
        <f t="shared" si="2"/>
        <v>2.541666667</v>
      </c>
    </row>
    <row r="10338">
      <c r="A10338" s="58">
        <v>45108.0</v>
      </c>
      <c r="B10338" s="24" t="s">
        <v>6794</v>
      </c>
      <c r="C10338" s="24" t="s">
        <v>6799</v>
      </c>
      <c r="D10338" s="59">
        <v>15.0</v>
      </c>
      <c r="E10338" s="59">
        <v>16.0</v>
      </c>
      <c r="F10338" s="59">
        <v>14.0</v>
      </c>
      <c r="G10338" s="60">
        <v>1.06666666666666</v>
      </c>
      <c r="H10338" s="60">
        <v>0.25</v>
      </c>
      <c r="I10338" s="60">
        <v>91.928560625</v>
      </c>
      <c r="J10338" s="59">
        <v>40.0</v>
      </c>
      <c r="K10338" s="61">
        <f t="shared" si="1"/>
        <v>0.875</v>
      </c>
      <c r="L10338" s="62">
        <f t="shared" si="2"/>
        <v>2.5</v>
      </c>
    </row>
    <row r="10339">
      <c r="A10339" s="58">
        <v>45108.0</v>
      </c>
      <c r="B10339" s="24" t="s">
        <v>6789</v>
      </c>
      <c r="C10339" s="24" t="s">
        <v>6803</v>
      </c>
      <c r="D10339" s="59">
        <v>14.0</v>
      </c>
      <c r="E10339" s="59">
        <v>15.0</v>
      </c>
      <c r="F10339" s="59">
        <v>12.0</v>
      </c>
      <c r="G10339" s="60">
        <v>1.07142857142857</v>
      </c>
      <c r="H10339" s="60">
        <v>0.0</v>
      </c>
      <c r="I10339" s="60">
        <v>427.362836666666</v>
      </c>
      <c r="J10339" s="59">
        <v>53.0</v>
      </c>
      <c r="K10339" s="61">
        <f t="shared" si="1"/>
        <v>0.8</v>
      </c>
      <c r="L10339" s="62">
        <f t="shared" si="2"/>
        <v>3.533333333</v>
      </c>
    </row>
    <row r="10340">
      <c r="A10340" s="58">
        <v>45108.0</v>
      </c>
      <c r="B10340" s="24" t="s">
        <v>6791</v>
      </c>
      <c r="C10340" s="24" t="s">
        <v>7624</v>
      </c>
      <c r="D10340" s="59">
        <v>14.0</v>
      </c>
      <c r="E10340" s="59">
        <v>15.0</v>
      </c>
      <c r="F10340" s="59">
        <v>12.0</v>
      </c>
      <c r="G10340" s="60">
        <v>1.07142857142857</v>
      </c>
      <c r="H10340" s="60">
        <v>0.0</v>
      </c>
      <c r="I10340" s="60">
        <v>235.3110754</v>
      </c>
      <c r="J10340" s="59">
        <v>42.0</v>
      </c>
      <c r="K10340" s="61">
        <f t="shared" si="1"/>
        <v>0.8</v>
      </c>
      <c r="L10340" s="62">
        <f t="shared" si="2"/>
        <v>2.8</v>
      </c>
    </row>
    <row r="10341">
      <c r="A10341" s="58">
        <v>45108.0</v>
      </c>
      <c r="B10341" s="24" t="s">
        <v>6787</v>
      </c>
      <c r="C10341" s="24" t="s">
        <v>6886</v>
      </c>
      <c r="D10341" s="59">
        <v>13.0</v>
      </c>
      <c r="E10341" s="59">
        <v>15.0</v>
      </c>
      <c r="F10341" s="59">
        <v>11.0</v>
      </c>
      <c r="G10341" s="60">
        <v>1.15384615384615</v>
      </c>
      <c r="H10341" s="60">
        <v>0.0</v>
      </c>
      <c r="I10341" s="60">
        <v>266.948129666666</v>
      </c>
      <c r="J10341" s="59">
        <v>68.0</v>
      </c>
      <c r="K10341" s="61">
        <f t="shared" si="1"/>
        <v>0.7333333333</v>
      </c>
      <c r="L10341" s="62">
        <f t="shared" si="2"/>
        <v>4.533333333</v>
      </c>
    </row>
    <row r="10342">
      <c r="A10342" s="58">
        <v>45108.0</v>
      </c>
      <c r="B10342" s="24" t="s">
        <v>155</v>
      </c>
      <c r="C10342" s="27"/>
      <c r="D10342" s="59">
        <v>12.0</v>
      </c>
      <c r="E10342" s="59">
        <v>16.0</v>
      </c>
      <c r="F10342" s="59">
        <v>9.0</v>
      </c>
      <c r="G10342" s="60">
        <v>1.33333333333333</v>
      </c>
      <c r="H10342" s="60">
        <v>0.0</v>
      </c>
      <c r="I10342" s="60">
        <v>224.169901999999</v>
      </c>
      <c r="J10342" s="59">
        <v>43.0</v>
      </c>
      <c r="K10342" s="61">
        <f t="shared" si="1"/>
        <v>0.5625</v>
      </c>
      <c r="L10342" s="62">
        <f t="shared" si="2"/>
        <v>2.6875</v>
      </c>
    </row>
    <row r="10343">
      <c r="A10343" s="58">
        <v>45108.0</v>
      </c>
      <c r="B10343" s="24" t="s">
        <v>6791</v>
      </c>
      <c r="C10343" s="24" t="s">
        <v>7261</v>
      </c>
      <c r="D10343" s="59">
        <v>12.0</v>
      </c>
      <c r="E10343" s="59">
        <v>12.0</v>
      </c>
      <c r="F10343" s="59">
        <v>11.0</v>
      </c>
      <c r="G10343" s="60">
        <v>1.0</v>
      </c>
      <c r="H10343" s="60">
        <v>0.0</v>
      </c>
      <c r="I10343" s="60">
        <v>129.125964666666</v>
      </c>
      <c r="J10343" s="59">
        <v>26.0</v>
      </c>
      <c r="K10343" s="61">
        <f t="shared" si="1"/>
        <v>0.9166666667</v>
      </c>
      <c r="L10343" s="62">
        <f t="shared" si="2"/>
        <v>2.166666667</v>
      </c>
    </row>
    <row r="10344">
      <c r="A10344" s="58">
        <v>45108.0</v>
      </c>
      <c r="B10344" s="24" t="s">
        <v>155</v>
      </c>
      <c r="C10344" s="24" t="s">
        <v>6800</v>
      </c>
      <c r="D10344" s="59">
        <v>12.0</v>
      </c>
      <c r="E10344" s="59">
        <v>12.0</v>
      </c>
      <c r="F10344" s="59">
        <v>11.0</v>
      </c>
      <c r="G10344" s="60">
        <v>1.0</v>
      </c>
      <c r="H10344" s="60">
        <v>0.0</v>
      </c>
      <c r="I10344" s="60">
        <v>30.4211225</v>
      </c>
      <c r="J10344" s="59">
        <v>44.0</v>
      </c>
      <c r="K10344" s="61">
        <f t="shared" si="1"/>
        <v>0.9166666667</v>
      </c>
      <c r="L10344" s="62">
        <f t="shared" si="2"/>
        <v>3.666666667</v>
      </c>
    </row>
    <row r="10345">
      <c r="A10345" s="58">
        <v>45108.0</v>
      </c>
      <c r="B10345" s="24" t="s">
        <v>6787</v>
      </c>
      <c r="C10345" s="24" t="s">
        <v>6803</v>
      </c>
      <c r="D10345" s="59">
        <v>11.0</v>
      </c>
      <c r="E10345" s="59">
        <v>12.0</v>
      </c>
      <c r="F10345" s="59">
        <v>7.0</v>
      </c>
      <c r="G10345" s="60">
        <v>1.09090909090909</v>
      </c>
      <c r="H10345" s="60">
        <v>0.0</v>
      </c>
      <c r="I10345" s="60">
        <v>155.186718333333</v>
      </c>
      <c r="J10345" s="59">
        <v>34.0</v>
      </c>
      <c r="K10345" s="61">
        <f t="shared" si="1"/>
        <v>0.5833333333</v>
      </c>
      <c r="L10345" s="62">
        <f t="shared" si="2"/>
        <v>2.833333333</v>
      </c>
    </row>
    <row r="10346">
      <c r="A10346" s="58">
        <v>45108.0</v>
      </c>
      <c r="B10346" s="24" t="s">
        <v>6789</v>
      </c>
      <c r="C10346" s="24" t="s">
        <v>7013</v>
      </c>
      <c r="D10346" s="59">
        <v>11.0</v>
      </c>
      <c r="E10346" s="59">
        <v>13.0</v>
      </c>
      <c r="F10346" s="59">
        <v>9.0</v>
      </c>
      <c r="G10346" s="60">
        <v>1.18181818181818</v>
      </c>
      <c r="H10346" s="60">
        <v>0.0</v>
      </c>
      <c r="I10346" s="60">
        <v>198.903455076923</v>
      </c>
      <c r="J10346" s="59">
        <v>36.0</v>
      </c>
      <c r="K10346" s="61">
        <f t="shared" si="1"/>
        <v>0.6923076923</v>
      </c>
      <c r="L10346" s="62">
        <f t="shared" si="2"/>
        <v>2.769230769</v>
      </c>
    </row>
    <row r="10347">
      <c r="A10347" s="58">
        <v>45108.0</v>
      </c>
      <c r="B10347" s="24" t="s">
        <v>6794</v>
      </c>
      <c r="C10347" s="27"/>
      <c r="D10347" s="59">
        <v>10.0</v>
      </c>
      <c r="E10347" s="59">
        <v>13.0</v>
      </c>
      <c r="F10347" s="59">
        <v>8.0</v>
      </c>
      <c r="G10347" s="60">
        <v>1.3</v>
      </c>
      <c r="H10347" s="60">
        <v>0.0769230769230769</v>
      </c>
      <c r="I10347" s="60">
        <v>188.304544384615</v>
      </c>
      <c r="J10347" s="59">
        <v>47.0</v>
      </c>
      <c r="K10347" s="61">
        <f t="shared" si="1"/>
        <v>0.6153846154</v>
      </c>
      <c r="L10347" s="62">
        <f t="shared" si="2"/>
        <v>3.615384615</v>
      </c>
    </row>
    <row r="10348">
      <c r="A10348" s="58">
        <v>45108.0</v>
      </c>
      <c r="B10348" s="24" t="s">
        <v>6791</v>
      </c>
      <c r="C10348" s="24" t="s">
        <v>7554</v>
      </c>
      <c r="D10348" s="59">
        <v>10.0</v>
      </c>
      <c r="E10348" s="59">
        <v>10.0</v>
      </c>
      <c r="F10348" s="59">
        <v>9.0</v>
      </c>
      <c r="G10348" s="60">
        <v>1.0</v>
      </c>
      <c r="H10348" s="60">
        <v>0.0</v>
      </c>
      <c r="I10348" s="60">
        <v>144.2091365</v>
      </c>
      <c r="J10348" s="59">
        <v>56.0</v>
      </c>
      <c r="K10348" s="61">
        <f t="shared" si="1"/>
        <v>0.9</v>
      </c>
      <c r="L10348" s="62">
        <f t="shared" si="2"/>
        <v>5.6</v>
      </c>
    </row>
    <row r="10349">
      <c r="A10349" s="58">
        <v>45108.0</v>
      </c>
      <c r="B10349" s="24" t="s">
        <v>6787</v>
      </c>
      <c r="C10349" s="24" t="s">
        <v>6802</v>
      </c>
      <c r="D10349" s="59">
        <v>10.0</v>
      </c>
      <c r="E10349" s="59">
        <v>12.0</v>
      </c>
      <c r="F10349" s="59">
        <v>9.0</v>
      </c>
      <c r="G10349" s="60">
        <v>1.2</v>
      </c>
      <c r="H10349" s="60">
        <v>0.0</v>
      </c>
      <c r="I10349" s="60">
        <v>159.45076625</v>
      </c>
      <c r="J10349" s="59">
        <v>60.0</v>
      </c>
      <c r="K10349" s="61">
        <f t="shared" si="1"/>
        <v>0.75</v>
      </c>
      <c r="L10349" s="62">
        <f t="shared" si="2"/>
        <v>5</v>
      </c>
    </row>
    <row r="10350">
      <c r="A10350" s="58">
        <v>45108.0</v>
      </c>
      <c r="B10350" s="24" t="s">
        <v>6789</v>
      </c>
      <c r="C10350" s="24" t="s">
        <v>6802</v>
      </c>
      <c r="D10350" s="59">
        <v>10.0</v>
      </c>
      <c r="E10350" s="59">
        <v>12.0</v>
      </c>
      <c r="F10350" s="59">
        <v>3.0</v>
      </c>
      <c r="G10350" s="60">
        <v>1.2</v>
      </c>
      <c r="H10350" s="60">
        <v>0.0</v>
      </c>
      <c r="I10350" s="60">
        <v>18.7354128333333</v>
      </c>
      <c r="J10350" s="59">
        <v>30.0</v>
      </c>
      <c r="K10350" s="61">
        <f t="shared" si="1"/>
        <v>0.25</v>
      </c>
      <c r="L10350" s="62">
        <f t="shared" si="2"/>
        <v>2.5</v>
      </c>
    </row>
    <row r="10351">
      <c r="A10351" s="58">
        <v>45108.0</v>
      </c>
      <c r="B10351" s="24" t="s">
        <v>6942</v>
      </c>
      <c r="C10351" s="24" t="s">
        <v>6792</v>
      </c>
      <c r="D10351" s="59">
        <v>9.0</v>
      </c>
      <c r="E10351" s="59">
        <v>9.0</v>
      </c>
      <c r="F10351" s="59">
        <v>8.0</v>
      </c>
      <c r="G10351" s="60">
        <v>1.0</v>
      </c>
      <c r="H10351" s="60">
        <v>1.0</v>
      </c>
      <c r="I10351" s="60">
        <v>0.0</v>
      </c>
      <c r="J10351" s="59">
        <v>0.0</v>
      </c>
      <c r="K10351" s="61">
        <f t="shared" si="1"/>
        <v>0.8888888889</v>
      </c>
      <c r="L10351" s="62">
        <f t="shared" si="2"/>
        <v>0</v>
      </c>
    </row>
    <row r="10352">
      <c r="A10352" s="58">
        <v>45108.0</v>
      </c>
      <c r="B10352" s="24" t="s">
        <v>6789</v>
      </c>
      <c r="C10352" s="24" t="s">
        <v>7058</v>
      </c>
      <c r="D10352" s="59">
        <v>9.0</v>
      </c>
      <c r="E10352" s="59">
        <v>11.0</v>
      </c>
      <c r="F10352" s="59">
        <v>9.0</v>
      </c>
      <c r="G10352" s="60">
        <v>1.22222222222222</v>
      </c>
      <c r="H10352" s="60">
        <v>0.0</v>
      </c>
      <c r="I10352" s="60">
        <v>122.388634636363</v>
      </c>
      <c r="J10352" s="59">
        <v>24.0</v>
      </c>
      <c r="K10352" s="61">
        <f t="shared" si="1"/>
        <v>0.8181818182</v>
      </c>
      <c r="L10352" s="62">
        <f t="shared" si="2"/>
        <v>2.181818182</v>
      </c>
    </row>
    <row r="10353">
      <c r="A10353" s="58">
        <v>45108.0</v>
      </c>
      <c r="B10353" s="24" t="s">
        <v>6789</v>
      </c>
      <c r="C10353" s="24" t="s">
        <v>6808</v>
      </c>
      <c r="D10353" s="59">
        <v>9.0</v>
      </c>
      <c r="E10353" s="59">
        <v>12.0</v>
      </c>
      <c r="F10353" s="59">
        <v>7.0</v>
      </c>
      <c r="G10353" s="60">
        <v>1.33333333333333</v>
      </c>
      <c r="H10353" s="60">
        <v>0.0</v>
      </c>
      <c r="I10353" s="60">
        <v>578.839891333333</v>
      </c>
      <c r="J10353" s="59">
        <v>44.0</v>
      </c>
      <c r="K10353" s="61">
        <f t="shared" si="1"/>
        <v>0.5833333333</v>
      </c>
      <c r="L10353" s="62">
        <f t="shared" si="2"/>
        <v>3.666666667</v>
      </c>
    </row>
    <row r="10354">
      <c r="A10354" s="58">
        <v>45108.0</v>
      </c>
      <c r="B10354" s="24" t="s">
        <v>7100</v>
      </c>
      <c r="C10354" s="24" t="s">
        <v>6989</v>
      </c>
      <c r="D10354" s="59">
        <v>8.0</v>
      </c>
      <c r="E10354" s="59">
        <v>8.0</v>
      </c>
      <c r="F10354" s="59">
        <v>8.0</v>
      </c>
      <c r="G10354" s="60">
        <v>1.0</v>
      </c>
      <c r="H10354" s="60">
        <v>0.0</v>
      </c>
      <c r="I10354" s="60">
        <v>5.774565875</v>
      </c>
      <c r="J10354" s="59">
        <v>16.0</v>
      </c>
      <c r="K10354" s="61">
        <f t="shared" si="1"/>
        <v>1</v>
      </c>
      <c r="L10354" s="62">
        <f t="shared" si="2"/>
        <v>2</v>
      </c>
    </row>
    <row r="10355">
      <c r="A10355" s="58">
        <v>45108.0</v>
      </c>
      <c r="B10355" s="24" t="s">
        <v>6787</v>
      </c>
      <c r="C10355" s="24" t="s">
        <v>6835</v>
      </c>
      <c r="D10355" s="59">
        <v>8.0</v>
      </c>
      <c r="E10355" s="59">
        <v>14.0</v>
      </c>
      <c r="F10355" s="59">
        <v>7.0</v>
      </c>
      <c r="G10355" s="60">
        <v>1.75</v>
      </c>
      <c r="H10355" s="60">
        <v>0.0</v>
      </c>
      <c r="I10355" s="60">
        <v>5.82235871428571</v>
      </c>
      <c r="J10355" s="59">
        <v>28.0</v>
      </c>
      <c r="K10355" s="61">
        <f t="shared" si="1"/>
        <v>0.5</v>
      </c>
      <c r="L10355" s="62">
        <f t="shared" si="2"/>
        <v>2</v>
      </c>
    </row>
    <row r="10356">
      <c r="A10356" s="58">
        <v>45108.0</v>
      </c>
      <c r="B10356" s="24" t="s">
        <v>6787</v>
      </c>
      <c r="C10356" s="24" t="s">
        <v>6799</v>
      </c>
      <c r="D10356" s="59">
        <v>8.0</v>
      </c>
      <c r="E10356" s="59">
        <v>9.0</v>
      </c>
      <c r="F10356" s="59">
        <v>6.0</v>
      </c>
      <c r="G10356" s="60">
        <v>1.125</v>
      </c>
      <c r="H10356" s="60">
        <v>0.0</v>
      </c>
      <c r="I10356" s="60">
        <v>76.6006819999999</v>
      </c>
      <c r="J10356" s="59">
        <v>22.0</v>
      </c>
      <c r="K10356" s="61">
        <f t="shared" si="1"/>
        <v>0.6666666667</v>
      </c>
      <c r="L10356" s="62">
        <f t="shared" si="2"/>
        <v>2.444444444</v>
      </c>
    </row>
    <row r="10357">
      <c r="A10357" s="58">
        <v>45108.0</v>
      </c>
      <c r="B10357" s="24" t="s">
        <v>6787</v>
      </c>
      <c r="C10357" s="24" t="s">
        <v>7034</v>
      </c>
      <c r="D10357" s="59">
        <v>8.0</v>
      </c>
      <c r="E10357" s="59">
        <v>21.0</v>
      </c>
      <c r="F10357" s="59">
        <v>5.0</v>
      </c>
      <c r="G10357" s="60">
        <v>2.625</v>
      </c>
      <c r="H10357" s="60">
        <v>0.0</v>
      </c>
      <c r="I10357" s="60">
        <v>875.357201095238</v>
      </c>
      <c r="J10357" s="59">
        <v>242.0</v>
      </c>
      <c r="K10357" s="61">
        <f t="shared" si="1"/>
        <v>0.2380952381</v>
      </c>
      <c r="L10357" s="62">
        <f t="shared" si="2"/>
        <v>11.52380952</v>
      </c>
    </row>
    <row r="10358">
      <c r="A10358" s="58">
        <v>45108.0</v>
      </c>
      <c r="B10358" s="24" t="s">
        <v>6789</v>
      </c>
      <c r="C10358" s="24" t="s">
        <v>7530</v>
      </c>
      <c r="D10358" s="59">
        <v>8.0</v>
      </c>
      <c r="E10358" s="59">
        <v>12.0</v>
      </c>
      <c r="F10358" s="59">
        <v>6.0</v>
      </c>
      <c r="G10358" s="60">
        <v>1.5</v>
      </c>
      <c r="H10358" s="60">
        <v>0.0</v>
      </c>
      <c r="I10358" s="60">
        <v>182.997386416666</v>
      </c>
      <c r="J10358" s="59">
        <v>26.0</v>
      </c>
      <c r="K10358" s="61">
        <f t="shared" si="1"/>
        <v>0.5</v>
      </c>
      <c r="L10358" s="62">
        <f t="shared" si="2"/>
        <v>2.166666667</v>
      </c>
    </row>
    <row r="10359">
      <c r="A10359" s="58">
        <v>45108.0</v>
      </c>
      <c r="B10359" s="24" t="s">
        <v>6787</v>
      </c>
      <c r="C10359" s="24" t="s">
        <v>7068</v>
      </c>
      <c r="D10359" s="59">
        <v>7.0</v>
      </c>
      <c r="E10359" s="59">
        <v>9.0</v>
      </c>
      <c r="F10359" s="59">
        <v>7.0</v>
      </c>
      <c r="G10359" s="60">
        <v>1.28571428571428</v>
      </c>
      <c r="H10359" s="60">
        <v>0.111111111111111</v>
      </c>
      <c r="I10359" s="60">
        <v>77.8212561111111</v>
      </c>
      <c r="J10359" s="59">
        <v>19.0</v>
      </c>
      <c r="K10359" s="61">
        <f t="shared" si="1"/>
        <v>0.7777777778</v>
      </c>
      <c r="L10359" s="62">
        <f t="shared" si="2"/>
        <v>2.111111111</v>
      </c>
    </row>
    <row r="10360">
      <c r="A10360" s="58">
        <v>45108.0</v>
      </c>
      <c r="B10360" s="24" t="s">
        <v>6789</v>
      </c>
      <c r="C10360" s="24" t="s">
        <v>6997</v>
      </c>
      <c r="D10360" s="59">
        <v>7.0</v>
      </c>
      <c r="E10360" s="59">
        <v>8.0</v>
      </c>
      <c r="F10360" s="59">
        <v>4.0</v>
      </c>
      <c r="G10360" s="60">
        <v>1.14285714285714</v>
      </c>
      <c r="H10360" s="60">
        <v>0.0</v>
      </c>
      <c r="I10360" s="60">
        <v>257.51968175</v>
      </c>
      <c r="J10360" s="59">
        <v>20.0</v>
      </c>
      <c r="K10360" s="61">
        <f t="shared" si="1"/>
        <v>0.5</v>
      </c>
      <c r="L10360" s="62">
        <f t="shared" si="2"/>
        <v>2.5</v>
      </c>
    </row>
    <row r="10361">
      <c r="A10361" s="58">
        <v>45108.0</v>
      </c>
      <c r="B10361" s="24" t="s">
        <v>6794</v>
      </c>
      <c r="C10361" s="24" t="s">
        <v>6997</v>
      </c>
      <c r="D10361" s="59">
        <v>7.0</v>
      </c>
      <c r="E10361" s="59">
        <v>9.0</v>
      </c>
      <c r="F10361" s="59">
        <v>3.0</v>
      </c>
      <c r="G10361" s="60">
        <v>1.28571428571428</v>
      </c>
      <c r="H10361" s="60">
        <v>0.0</v>
      </c>
      <c r="I10361" s="60">
        <v>9.323554</v>
      </c>
      <c r="J10361" s="59">
        <v>19.0</v>
      </c>
      <c r="K10361" s="61">
        <f t="shared" si="1"/>
        <v>0.3333333333</v>
      </c>
      <c r="L10361" s="62">
        <f t="shared" si="2"/>
        <v>2.111111111</v>
      </c>
    </row>
    <row r="10362">
      <c r="A10362" s="58">
        <v>45108.0</v>
      </c>
      <c r="B10362" s="24" t="s">
        <v>6789</v>
      </c>
      <c r="C10362" s="24" t="s">
        <v>7313</v>
      </c>
      <c r="D10362" s="59">
        <v>7.0</v>
      </c>
      <c r="E10362" s="59">
        <v>8.0</v>
      </c>
      <c r="F10362" s="59">
        <v>0.0</v>
      </c>
      <c r="G10362" s="60">
        <v>1.14285714285714</v>
      </c>
      <c r="H10362" s="60">
        <v>0.0</v>
      </c>
      <c r="I10362" s="60">
        <v>147.63086425</v>
      </c>
      <c r="J10362" s="59">
        <v>28.0</v>
      </c>
      <c r="K10362" s="61">
        <f t="shared" si="1"/>
        <v>0</v>
      </c>
      <c r="L10362" s="62">
        <f t="shared" si="2"/>
        <v>3.5</v>
      </c>
    </row>
    <row r="10363">
      <c r="A10363" s="58">
        <v>45108.0</v>
      </c>
      <c r="B10363" s="24" t="s">
        <v>6787</v>
      </c>
      <c r="C10363" s="24" t="s">
        <v>6962</v>
      </c>
      <c r="D10363" s="59">
        <v>7.0</v>
      </c>
      <c r="E10363" s="59">
        <v>9.0</v>
      </c>
      <c r="F10363" s="59">
        <v>2.0</v>
      </c>
      <c r="G10363" s="60">
        <v>1.28571428571428</v>
      </c>
      <c r="H10363" s="60">
        <v>0.0</v>
      </c>
      <c r="I10363" s="60">
        <v>951.952498666666</v>
      </c>
      <c r="J10363" s="59">
        <v>28.0</v>
      </c>
      <c r="K10363" s="61">
        <f t="shared" si="1"/>
        <v>0.2222222222</v>
      </c>
      <c r="L10363" s="62">
        <f t="shared" si="2"/>
        <v>3.111111111</v>
      </c>
    </row>
    <row r="10364">
      <c r="A10364" s="58">
        <v>45108.0</v>
      </c>
      <c r="B10364" s="24" t="s">
        <v>6789</v>
      </c>
      <c r="C10364" s="24" t="s">
        <v>6817</v>
      </c>
      <c r="D10364" s="59">
        <v>6.0</v>
      </c>
      <c r="E10364" s="59">
        <v>12.0</v>
      </c>
      <c r="F10364" s="59">
        <v>2.0</v>
      </c>
      <c r="G10364" s="60">
        <v>2.0</v>
      </c>
      <c r="H10364" s="60">
        <v>0.0</v>
      </c>
      <c r="I10364" s="60">
        <v>354.217738583333</v>
      </c>
      <c r="J10364" s="59">
        <v>73.0</v>
      </c>
      <c r="K10364" s="61">
        <f t="shared" si="1"/>
        <v>0.1666666667</v>
      </c>
      <c r="L10364" s="62">
        <f t="shared" si="2"/>
        <v>6.083333333</v>
      </c>
    </row>
    <row r="10365">
      <c r="A10365" s="58">
        <v>45108.0</v>
      </c>
      <c r="B10365" s="24" t="s">
        <v>6787</v>
      </c>
      <c r="C10365" s="24" t="s">
        <v>7530</v>
      </c>
      <c r="D10365" s="59">
        <v>6.0</v>
      </c>
      <c r="E10365" s="59">
        <v>6.0</v>
      </c>
      <c r="F10365" s="59">
        <v>5.0</v>
      </c>
      <c r="G10365" s="60">
        <v>1.0</v>
      </c>
      <c r="H10365" s="60">
        <v>0.166666666666666</v>
      </c>
      <c r="I10365" s="60">
        <v>74.5864818333333</v>
      </c>
      <c r="J10365" s="59">
        <v>27.0</v>
      </c>
      <c r="K10365" s="61">
        <f t="shared" si="1"/>
        <v>0.8333333333</v>
      </c>
      <c r="L10365" s="62">
        <f t="shared" si="2"/>
        <v>4.5</v>
      </c>
    </row>
    <row r="10366">
      <c r="A10366" s="58">
        <v>45108.0</v>
      </c>
      <c r="B10366" s="24" t="s">
        <v>6942</v>
      </c>
      <c r="C10366" s="24" t="s">
        <v>7261</v>
      </c>
      <c r="D10366" s="59">
        <v>6.0</v>
      </c>
      <c r="E10366" s="59">
        <v>6.0</v>
      </c>
      <c r="F10366" s="59">
        <v>6.0</v>
      </c>
      <c r="G10366" s="60">
        <v>1.0</v>
      </c>
      <c r="H10366" s="60">
        <v>0.0</v>
      </c>
      <c r="I10366" s="60">
        <v>2.205809</v>
      </c>
      <c r="J10366" s="59">
        <v>12.0</v>
      </c>
      <c r="K10366" s="61">
        <f t="shared" si="1"/>
        <v>1</v>
      </c>
      <c r="L10366" s="62">
        <f t="shared" si="2"/>
        <v>2</v>
      </c>
    </row>
    <row r="10367">
      <c r="A10367" s="58">
        <v>45108.0</v>
      </c>
      <c r="B10367" s="24" t="s">
        <v>6787</v>
      </c>
      <c r="C10367" s="24" t="s">
        <v>6808</v>
      </c>
      <c r="D10367" s="59">
        <v>6.0</v>
      </c>
      <c r="E10367" s="59">
        <v>6.0</v>
      </c>
      <c r="F10367" s="59">
        <v>3.0</v>
      </c>
      <c r="G10367" s="60">
        <v>1.0</v>
      </c>
      <c r="H10367" s="60">
        <v>0.0</v>
      </c>
      <c r="I10367" s="60">
        <v>12.8277131666666</v>
      </c>
      <c r="J10367" s="59">
        <v>16.0</v>
      </c>
      <c r="K10367" s="61">
        <f t="shared" si="1"/>
        <v>0.5</v>
      </c>
      <c r="L10367" s="62">
        <f t="shared" si="2"/>
        <v>2.666666667</v>
      </c>
    </row>
    <row r="10368">
      <c r="A10368" s="58">
        <v>45108.0</v>
      </c>
      <c r="B10368" s="24" t="s">
        <v>6790</v>
      </c>
      <c r="C10368" s="24" t="s">
        <v>7013</v>
      </c>
      <c r="D10368" s="59">
        <v>6.0</v>
      </c>
      <c r="E10368" s="59">
        <v>11.0</v>
      </c>
      <c r="F10368" s="59">
        <v>0.0</v>
      </c>
      <c r="G10368" s="60">
        <v>1.83333333333333</v>
      </c>
      <c r="H10368" s="60">
        <v>0.0</v>
      </c>
      <c r="I10368" s="60">
        <v>584.808911</v>
      </c>
      <c r="J10368" s="59">
        <v>42.0</v>
      </c>
      <c r="K10368" s="61">
        <f t="shared" si="1"/>
        <v>0</v>
      </c>
      <c r="L10368" s="62">
        <f t="shared" si="2"/>
        <v>3.818181818</v>
      </c>
    </row>
    <row r="10369">
      <c r="A10369" s="58">
        <v>45108.0</v>
      </c>
      <c r="B10369" s="24" t="s">
        <v>6787</v>
      </c>
      <c r="C10369" s="24" t="s">
        <v>6931</v>
      </c>
      <c r="D10369" s="59">
        <v>6.0</v>
      </c>
      <c r="E10369" s="59">
        <v>6.0</v>
      </c>
      <c r="F10369" s="59">
        <v>6.0</v>
      </c>
      <c r="G10369" s="60">
        <v>1.0</v>
      </c>
      <c r="H10369" s="60">
        <v>0.5</v>
      </c>
      <c r="I10369" s="60">
        <v>64.3761793333333</v>
      </c>
      <c r="J10369" s="59">
        <v>11.0</v>
      </c>
      <c r="K10369" s="61">
        <f t="shared" si="1"/>
        <v>1</v>
      </c>
      <c r="L10369" s="62">
        <f t="shared" si="2"/>
        <v>1.833333333</v>
      </c>
    </row>
    <row r="10370">
      <c r="A10370" s="58">
        <v>45108.0</v>
      </c>
      <c r="B10370" s="24" t="s">
        <v>6794</v>
      </c>
      <c r="C10370" s="24" t="s">
        <v>7625</v>
      </c>
      <c r="D10370" s="59">
        <v>5.0</v>
      </c>
      <c r="E10370" s="59">
        <v>5.0</v>
      </c>
      <c r="F10370" s="59">
        <v>4.0</v>
      </c>
      <c r="G10370" s="60">
        <v>1.0</v>
      </c>
      <c r="H10370" s="60">
        <v>0.0</v>
      </c>
      <c r="I10370" s="60">
        <v>39.1818964</v>
      </c>
      <c r="J10370" s="59">
        <v>12.0</v>
      </c>
      <c r="K10370" s="61">
        <f t="shared" si="1"/>
        <v>0.8</v>
      </c>
      <c r="L10370" s="62">
        <f t="shared" si="2"/>
        <v>2.4</v>
      </c>
    </row>
    <row r="10371">
      <c r="A10371" s="58">
        <v>45108.0</v>
      </c>
      <c r="B10371" s="24" t="s">
        <v>6789</v>
      </c>
      <c r="C10371" s="24" t="s">
        <v>6886</v>
      </c>
      <c r="D10371" s="59">
        <v>5.0</v>
      </c>
      <c r="E10371" s="59">
        <v>6.0</v>
      </c>
      <c r="F10371" s="59">
        <v>1.0</v>
      </c>
      <c r="G10371" s="60">
        <v>1.2</v>
      </c>
      <c r="H10371" s="60">
        <v>0.0</v>
      </c>
      <c r="I10371" s="60">
        <v>7.181406</v>
      </c>
      <c r="J10371" s="59">
        <v>15.0</v>
      </c>
      <c r="K10371" s="61">
        <f t="shared" si="1"/>
        <v>0.1666666667</v>
      </c>
      <c r="L10371" s="62">
        <f t="shared" si="2"/>
        <v>2.5</v>
      </c>
    </row>
    <row r="10372">
      <c r="A10372" s="58">
        <v>45108.0</v>
      </c>
      <c r="B10372" s="24" t="s">
        <v>6787</v>
      </c>
      <c r="C10372" s="24" t="s">
        <v>6908</v>
      </c>
      <c r="D10372" s="59">
        <v>5.0</v>
      </c>
      <c r="E10372" s="59">
        <v>5.0</v>
      </c>
      <c r="F10372" s="59">
        <v>5.0</v>
      </c>
      <c r="G10372" s="60">
        <v>1.0</v>
      </c>
      <c r="H10372" s="60">
        <v>0.0</v>
      </c>
      <c r="I10372" s="60">
        <v>3.6976828</v>
      </c>
      <c r="J10372" s="59">
        <v>10.0</v>
      </c>
      <c r="K10372" s="61">
        <f t="shared" si="1"/>
        <v>1</v>
      </c>
      <c r="L10372" s="62">
        <f t="shared" si="2"/>
        <v>2</v>
      </c>
    </row>
    <row r="10373">
      <c r="A10373" s="58">
        <v>45108.0</v>
      </c>
      <c r="B10373" s="24" t="s">
        <v>7100</v>
      </c>
      <c r="C10373" s="24" t="s">
        <v>7102</v>
      </c>
      <c r="D10373" s="59">
        <v>5.0</v>
      </c>
      <c r="E10373" s="59">
        <v>8.0</v>
      </c>
      <c r="F10373" s="59">
        <v>3.0</v>
      </c>
      <c r="G10373" s="60">
        <v>1.6</v>
      </c>
      <c r="H10373" s="60">
        <v>0.0</v>
      </c>
      <c r="I10373" s="60">
        <v>5.330270875</v>
      </c>
      <c r="J10373" s="59">
        <v>16.0</v>
      </c>
      <c r="K10373" s="61">
        <f t="shared" si="1"/>
        <v>0.375</v>
      </c>
      <c r="L10373" s="62">
        <f t="shared" si="2"/>
        <v>2</v>
      </c>
    </row>
    <row r="10374">
      <c r="A10374" s="58">
        <v>45108.0</v>
      </c>
      <c r="B10374" s="24" t="s">
        <v>6787</v>
      </c>
      <c r="C10374" s="24" t="s">
        <v>6921</v>
      </c>
      <c r="D10374" s="59">
        <v>5.0</v>
      </c>
      <c r="E10374" s="59">
        <v>5.0</v>
      </c>
      <c r="F10374" s="59">
        <v>5.0</v>
      </c>
      <c r="G10374" s="60">
        <v>1.0</v>
      </c>
      <c r="H10374" s="60">
        <v>0.0</v>
      </c>
      <c r="I10374" s="60">
        <v>9.7144542</v>
      </c>
      <c r="J10374" s="59">
        <v>10.0</v>
      </c>
      <c r="K10374" s="61">
        <f t="shared" si="1"/>
        <v>1</v>
      </c>
      <c r="L10374" s="62">
        <f t="shared" si="2"/>
        <v>2</v>
      </c>
    </row>
    <row r="10375">
      <c r="A10375" s="58">
        <v>45108.0</v>
      </c>
      <c r="B10375" s="24" t="s">
        <v>6789</v>
      </c>
      <c r="C10375" s="24" t="s">
        <v>6797</v>
      </c>
      <c r="D10375" s="59">
        <v>5.0</v>
      </c>
      <c r="E10375" s="59">
        <v>7.0</v>
      </c>
      <c r="F10375" s="59">
        <v>2.0</v>
      </c>
      <c r="G10375" s="60">
        <v>1.4</v>
      </c>
      <c r="H10375" s="60">
        <v>0.142857142857142</v>
      </c>
      <c r="I10375" s="60">
        <v>4.60376614285714</v>
      </c>
      <c r="J10375" s="59">
        <v>13.0</v>
      </c>
      <c r="K10375" s="61">
        <f t="shared" si="1"/>
        <v>0.2857142857</v>
      </c>
      <c r="L10375" s="62">
        <f t="shared" si="2"/>
        <v>1.857142857</v>
      </c>
    </row>
    <row r="10376">
      <c r="A10376" s="58">
        <v>45108.0</v>
      </c>
      <c r="B10376" s="24" t="s">
        <v>6791</v>
      </c>
      <c r="C10376" s="24" t="s">
        <v>6788</v>
      </c>
      <c r="D10376" s="59">
        <v>4.0</v>
      </c>
      <c r="E10376" s="59">
        <v>6.0</v>
      </c>
      <c r="F10376" s="59">
        <v>1.0</v>
      </c>
      <c r="G10376" s="60">
        <v>1.5</v>
      </c>
      <c r="H10376" s="60">
        <v>0.0</v>
      </c>
      <c r="I10376" s="60">
        <v>47.1283408333333</v>
      </c>
      <c r="J10376" s="59">
        <v>26.0</v>
      </c>
      <c r="K10376" s="61">
        <f t="shared" si="1"/>
        <v>0.1666666667</v>
      </c>
      <c r="L10376" s="62">
        <f t="shared" si="2"/>
        <v>4.333333333</v>
      </c>
    </row>
    <row r="10377">
      <c r="A10377" s="58">
        <v>45108.0</v>
      </c>
      <c r="B10377" s="24" t="s">
        <v>6789</v>
      </c>
      <c r="C10377" s="24" t="s">
        <v>6953</v>
      </c>
      <c r="D10377" s="59">
        <v>4.0</v>
      </c>
      <c r="E10377" s="59">
        <v>4.0</v>
      </c>
      <c r="F10377" s="59">
        <v>4.0</v>
      </c>
      <c r="G10377" s="60">
        <v>1.0</v>
      </c>
      <c r="H10377" s="60">
        <v>0.0</v>
      </c>
      <c r="I10377" s="60">
        <v>45.10379125</v>
      </c>
      <c r="J10377" s="59">
        <v>8.0</v>
      </c>
      <c r="K10377" s="61">
        <f t="shared" si="1"/>
        <v>1</v>
      </c>
      <c r="L10377" s="62">
        <f t="shared" si="2"/>
        <v>2</v>
      </c>
    </row>
    <row r="10378">
      <c r="A10378" s="58">
        <v>45108.0</v>
      </c>
      <c r="B10378" s="24" t="s">
        <v>6794</v>
      </c>
      <c r="C10378" s="24" t="s">
        <v>6953</v>
      </c>
      <c r="D10378" s="59">
        <v>4.0</v>
      </c>
      <c r="E10378" s="59">
        <v>5.0</v>
      </c>
      <c r="F10378" s="59">
        <v>1.0</v>
      </c>
      <c r="G10378" s="60">
        <v>1.25</v>
      </c>
      <c r="H10378" s="60">
        <v>0.0</v>
      </c>
      <c r="I10378" s="60">
        <v>411.324347599999</v>
      </c>
      <c r="J10378" s="59">
        <v>18.0</v>
      </c>
      <c r="K10378" s="61">
        <f t="shared" si="1"/>
        <v>0.2</v>
      </c>
      <c r="L10378" s="62">
        <f t="shared" si="2"/>
        <v>3.6</v>
      </c>
    </row>
    <row r="10379">
      <c r="A10379" s="58">
        <v>45108.0</v>
      </c>
      <c r="B10379" s="24" t="s">
        <v>6789</v>
      </c>
      <c r="C10379" s="24" t="s">
        <v>6994</v>
      </c>
      <c r="D10379" s="59">
        <v>4.0</v>
      </c>
      <c r="E10379" s="59">
        <v>4.0</v>
      </c>
      <c r="F10379" s="59">
        <v>4.0</v>
      </c>
      <c r="G10379" s="60">
        <v>1.0</v>
      </c>
      <c r="H10379" s="60">
        <v>0.0</v>
      </c>
      <c r="I10379" s="60">
        <v>188.0571695</v>
      </c>
      <c r="J10379" s="59">
        <v>28.0</v>
      </c>
      <c r="K10379" s="61">
        <f t="shared" si="1"/>
        <v>1</v>
      </c>
      <c r="L10379" s="62">
        <f t="shared" si="2"/>
        <v>7</v>
      </c>
    </row>
    <row r="10380">
      <c r="A10380" s="58">
        <v>45108.0</v>
      </c>
      <c r="B10380" s="24" t="s">
        <v>155</v>
      </c>
      <c r="C10380" s="24" t="s">
        <v>6886</v>
      </c>
      <c r="D10380" s="59">
        <v>4.0</v>
      </c>
      <c r="E10380" s="59">
        <v>5.0</v>
      </c>
      <c r="F10380" s="59">
        <v>0.0</v>
      </c>
      <c r="G10380" s="60">
        <v>1.25</v>
      </c>
      <c r="H10380" s="60">
        <v>0.0</v>
      </c>
      <c r="I10380" s="60">
        <v>211.184792599999</v>
      </c>
      <c r="J10380" s="59">
        <v>24.0</v>
      </c>
      <c r="K10380" s="61">
        <f t="shared" si="1"/>
        <v>0</v>
      </c>
      <c r="L10380" s="62">
        <f t="shared" si="2"/>
        <v>4.8</v>
      </c>
    </row>
    <row r="10381">
      <c r="A10381" s="58">
        <v>45108.0</v>
      </c>
      <c r="B10381" s="24" t="s">
        <v>6787</v>
      </c>
      <c r="C10381" s="24" t="s">
        <v>7626</v>
      </c>
      <c r="D10381" s="59">
        <v>4.0</v>
      </c>
      <c r="E10381" s="59">
        <v>8.0</v>
      </c>
      <c r="F10381" s="59">
        <v>0.0</v>
      </c>
      <c r="G10381" s="60">
        <v>2.0</v>
      </c>
      <c r="H10381" s="60">
        <v>0.0</v>
      </c>
      <c r="I10381" s="60">
        <v>345.747517124999</v>
      </c>
      <c r="J10381" s="59">
        <v>48.0</v>
      </c>
      <c r="K10381" s="61">
        <f t="shared" si="1"/>
        <v>0</v>
      </c>
      <c r="L10381" s="62">
        <f t="shared" si="2"/>
        <v>6</v>
      </c>
    </row>
    <row r="10382">
      <c r="A10382" s="58">
        <v>45108.0</v>
      </c>
      <c r="B10382" s="24" t="s">
        <v>6787</v>
      </c>
      <c r="C10382" s="24" t="s">
        <v>7207</v>
      </c>
      <c r="D10382" s="59">
        <v>4.0</v>
      </c>
      <c r="E10382" s="59">
        <v>7.0</v>
      </c>
      <c r="F10382" s="59">
        <v>1.0</v>
      </c>
      <c r="G10382" s="60">
        <v>1.75</v>
      </c>
      <c r="H10382" s="60">
        <v>0.0</v>
      </c>
      <c r="I10382" s="60">
        <v>361.470970714285</v>
      </c>
      <c r="J10382" s="59">
        <v>22.0</v>
      </c>
      <c r="K10382" s="61">
        <f t="shared" si="1"/>
        <v>0.1428571429</v>
      </c>
      <c r="L10382" s="62">
        <f t="shared" si="2"/>
        <v>3.142857143</v>
      </c>
    </row>
    <row r="10383">
      <c r="A10383" s="58">
        <v>45108.0</v>
      </c>
      <c r="B10383" s="24" t="s">
        <v>6789</v>
      </c>
      <c r="C10383" s="24" t="s">
        <v>6908</v>
      </c>
      <c r="D10383" s="59">
        <v>4.0</v>
      </c>
      <c r="E10383" s="59">
        <v>5.0</v>
      </c>
      <c r="F10383" s="59">
        <v>0.0</v>
      </c>
      <c r="G10383" s="60">
        <v>1.25</v>
      </c>
      <c r="H10383" s="60">
        <v>0.0</v>
      </c>
      <c r="I10383" s="60">
        <v>429.0779694</v>
      </c>
      <c r="J10383" s="59">
        <v>22.0</v>
      </c>
      <c r="K10383" s="61">
        <f t="shared" si="1"/>
        <v>0</v>
      </c>
      <c r="L10383" s="62">
        <f t="shared" si="2"/>
        <v>4.4</v>
      </c>
    </row>
    <row r="10384">
      <c r="A10384" s="58">
        <v>45108.0</v>
      </c>
      <c r="B10384" s="24" t="s">
        <v>6787</v>
      </c>
      <c r="C10384" s="24" t="s">
        <v>7172</v>
      </c>
      <c r="D10384" s="59">
        <v>4.0</v>
      </c>
      <c r="E10384" s="59">
        <v>4.0</v>
      </c>
      <c r="F10384" s="59">
        <v>2.0</v>
      </c>
      <c r="G10384" s="60">
        <v>1.0</v>
      </c>
      <c r="H10384" s="60">
        <v>0.25</v>
      </c>
      <c r="I10384" s="60">
        <v>18.8939825</v>
      </c>
      <c r="J10384" s="59">
        <v>14.0</v>
      </c>
      <c r="K10384" s="61">
        <f t="shared" si="1"/>
        <v>0.5</v>
      </c>
      <c r="L10384" s="62">
        <f t="shared" si="2"/>
        <v>3.5</v>
      </c>
    </row>
    <row r="10385">
      <c r="A10385" s="58">
        <v>45108.0</v>
      </c>
      <c r="B10385" s="24" t="s">
        <v>6787</v>
      </c>
      <c r="C10385" s="24" t="s">
        <v>6910</v>
      </c>
      <c r="D10385" s="59">
        <v>4.0</v>
      </c>
      <c r="E10385" s="59">
        <v>7.0</v>
      </c>
      <c r="F10385" s="59">
        <v>4.0</v>
      </c>
      <c r="G10385" s="60">
        <v>1.75</v>
      </c>
      <c r="H10385" s="60">
        <v>0.285714285714285</v>
      </c>
      <c r="I10385" s="60">
        <v>2.21136885714285</v>
      </c>
      <c r="J10385" s="59">
        <v>12.0</v>
      </c>
      <c r="K10385" s="61">
        <f t="shared" si="1"/>
        <v>0.5714285714</v>
      </c>
      <c r="L10385" s="62">
        <f t="shared" si="2"/>
        <v>1.714285714</v>
      </c>
    </row>
    <row r="10386">
      <c r="A10386" s="58">
        <v>45108.0</v>
      </c>
      <c r="B10386" s="24" t="s">
        <v>6789</v>
      </c>
      <c r="C10386" s="24" t="s">
        <v>7102</v>
      </c>
      <c r="D10386" s="59">
        <v>4.0</v>
      </c>
      <c r="E10386" s="59">
        <v>4.0</v>
      </c>
      <c r="F10386" s="59">
        <v>0.0</v>
      </c>
      <c r="G10386" s="60">
        <v>1.0</v>
      </c>
      <c r="H10386" s="60">
        <v>0.0</v>
      </c>
      <c r="I10386" s="60">
        <v>128.976838749999</v>
      </c>
      <c r="J10386" s="59">
        <v>20.0</v>
      </c>
      <c r="K10386" s="61">
        <f t="shared" si="1"/>
        <v>0</v>
      </c>
      <c r="L10386" s="62">
        <f t="shared" si="2"/>
        <v>5</v>
      </c>
    </row>
    <row r="10387">
      <c r="A10387" s="58">
        <v>45108.0</v>
      </c>
      <c r="B10387" s="24" t="s">
        <v>6787</v>
      </c>
      <c r="C10387" s="24" t="s">
        <v>7027</v>
      </c>
      <c r="D10387" s="59">
        <v>4.0</v>
      </c>
      <c r="E10387" s="59">
        <v>4.0</v>
      </c>
      <c r="F10387" s="59">
        <v>4.0</v>
      </c>
      <c r="G10387" s="60">
        <v>1.0</v>
      </c>
      <c r="H10387" s="60">
        <v>0.0</v>
      </c>
      <c r="I10387" s="60">
        <v>4.775274</v>
      </c>
      <c r="J10387" s="59">
        <v>8.0</v>
      </c>
      <c r="K10387" s="61">
        <f t="shared" si="1"/>
        <v>1</v>
      </c>
      <c r="L10387" s="62">
        <f t="shared" si="2"/>
        <v>2</v>
      </c>
    </row>
    <row r="10388">
      <c r="A10388" s="58">
        <v>45108.0</v>
      </c>
      <c r="B10388" s="24" t="s">
        <v>6789</v>
      </c>
      <c r="C10388" s="24" t="s">
        <v>6922</v>
      </c>
      <c r="D10388" s="59">
        <v>4.0</v>
      </c>
      <c r="E10388" s="59">
        <v>4.0</v>
      </c>
      <c r="F10388" s="59">
        <v>2.0</v>
      </c>
      <c r="G10388" s="60">
        <v>1.0</v>
      </c>
      <c r="H10388" s="60">
        <v>0.0</v>
      </c>
      <c r="I10388" s="60">
        <v>63.7727455</v>
      </c>
      <c r="J10388" s="59">
        <v>17.0</v>
      </c>
      <c r="K10388" s="61">
        <f t="shared" si="1"/>
        <v>0.5</v>
      </c>
      <c r="L10388" s="62">
        <f t="shared" si="2"/>
        <v>4.25</v>
      </c>
    </row>
    <row r="10389">
      <c r="A10389" s="58">
        <v>45108.0</v>
      </c>
      <c r="B10389" s="24" t="s">
        <v>6787</v>
      </c>
      <c r="C10389" s="24" t="s">
        <v>6810</v>
      </c>
      <c r="D10389" s="59">
        <v>4.0</v>
      </c>
      <c r="E10389" s="59">
        <v>5.0</v>
      </c>
      <c r="F10389" s="59">
        <v>3.0</v>
      </c>
      <c r="G10389" s="60">
        <v>1.25</v>
      </c>
      <c r="H10389" s="60">
        <v>0.2</v>
      </c>
      <c r="I10389" s="60">
        <v>78.041026</v>
      </c>
      <c r="J10389" s="59">
        <v>19.0</v>
      </c>
      <c r="K10389" s="61">
        <f t="shared" si="1"/>
        <v>0.6</v>
      </c>
      <c r="L10389" s="62">
        <f t="shared" si="2"/>
        <v>3.8</v>
      </c>
    </row>
    <row r="10390">
      <c r="A10390" s="58">
        <v>45108.0</v>
      </c>
      <c r="B10390" s="24" t="s">
        <v>6790</v>
      </c>
      <c r="C10390" s="24" t="s">
        <v>6802</v>
      </c>
      <c r="D10390" s="59">
        <v>4.0</v>
      </c>
      <c r="E10390" s="59">
        <v>11.0</v>
      </c>
      <c r="F10390" s="59">
        <v>0.0</v>
      </c>
      <c r="G10390" s="60">
        <v>2.75</v>
      </c>
      <c r="H10390" s="60">
        <v>0.0</v>
      </c>
      <c r="I10390" s="60">
        <v>439.716735363636</v>
      </c>
      <c r="J10390" s="59">
        <v>42.0</v>
      </c>
      <c r="K10390" s="61">
        <f t="shared" si="1"/>
        <v>0</v>
      </c>
      <c r="L10390" s="62">
        <f t="shared" si="2"/>
        <v>3.818181818</v>
      </c>
    </row>
    <row r="10391">
      <c r="A10391" s="58">
        <v>45108.0</v>
      </c>
      <c r="B10391" s="24" t="s">
        <v>6790</v>
      </c>
      <c r="C10391" s="27"/>
      <c r="D10391" s="59">
        <v>3.0</v>
      </c>
      <c r="E10391" s="59">
        <v>4.0</v>
      </c>
      <c r="F10391" s="59">
        <v>0.0</v>
      </c>
      <c r="G10391" s="60">
        <v>1.33333333333333</v>
      </c>
      <c r="H10391" s="60">
        <v>0.0</v>
      </c>
      <c r="I10391" s="60">
        <v>41.93754075</v>
      </c>
      <c r="J10391" s="59">
        <v>16.0</v>
      </c>
      <c r="K10391" s="61">
        <f t="shared" si="1"/>
        <v>0</v>
      </c>
      <c r="L10391" s="62">
        <f t="shared" si="2"/>
        <v>4</v>
      </c>
    </row>
    <row r="10392">
      <c r="A10392" s="58">
        <v>45108.0</v>
      </c>
      <c r="B10392" s="24" t="s">
        <v>6787</v>
      </c>
      <c r="C10392" s="24" t="s">
        <v>6817</v>
      </c>
      <c r="D10392" s="59">
        <v>3.0</v>
      </c>
      <c r="E10392" s="59">
        <v>3.0</v>
      </c>
      <c r="F10392" s="59">
        <v>3.0</v>
      </c>
      <c r="G10392" s="60">
        <v>1.0</v>
      </c>
      <c r="H10392" s="60">
        <v>0.0</v>
      </c>
      <c r="I10392" s="60">
        <v>22.833031</v>
      </c>
      <c r="J10392" s="59">
        <v>6.0</v>
      </c>
      <c r="K10392" s="61">
        <f t="shared" si="1"/>
        <v>1</v>
      </c>
      <c r="L10392" s="62">
        <f t="shared" si="2"/>
        <v>2</v>
      </c>
    </row>
    <row r="10393">
      <c r="A10393" s="58">
        <v>45108.0</v>
      </c>
      <c r="B10393" s="24" t="s">
        <v>6789</v>
      </c>
      <c r="C10393" s="24" t="s">
        <v>7057</v>
      </c>
      <c r="D10393" s="59">
        <v>3.0</v>
      </c>
      <c r="E10393" s="59">
        <v>3.0</v>
      </c>
      <c r="F10393" s="59">
        <v>3.0</v>
      </c>
      <c r="G10393" s="60">
        <v>1.0</v>
      </c>
      <c r="H10393" s="60">
        <v>0.0</v>
      </c>
      <c r="I10393" s="60">
        <v>211.988367333333</v>
      </c>
      <c r="J10393" s="59">
        <v>7.0</v>
      </c>
      <c r="K10393" s="61">
        <f t="shared" si="1"/>
        <v>1</v>
      </c>
      <c r="L10393" s="62">
        <f t="shared" si="2"/>
        <v>2.333333333</v>
      </c>
    </row>
    <row r="10394">
      <c r="A10394" s="58">
        <v>45108.0</v>
      </c>
      <c r="B10394" s="24" t="s">
        <v>6789</v>
      </c>
      <c r="C10394" s="24" t="s">
        <v>6861</v>
      </c>
      <c r="D10394" s="59">
        <v>3.0</v>
      </c>
      <c r="E10394" s="59">
        <v>4.0</v>
      </c>
      <c r="F10394" s="59">
        <v>3.0</v>
      </c>
      <c r="G10394" s="60">
        <v>1.33333333333333</v>
      </c>
      <c r="H10394" s="60">
        <v>0.0</v>
      </c>
      <c r="I10394" s="60">
        <v>11.76034225</v>
      </c>
      <c r="J10394" s="59">
        <v>8.0</v>
      </c>
      <c r="K10394" s="61">
        <f t="shared" si="1"/>
        <v>0.75</v>
      </c>
      <c r="L10394" s="62">
        <f t="shared" si="2"/>
        <v>2</v>
      </c>
    </row>
    <row r="10395">
      <c r="A10395" s="58">
        <v>45108.0</v>
      </c>
      <c r="B10395" s="24" t="s">
        <v>6787</v>
      </c>
      <c r="C10395" s="24" t="s">
        <v>6833</v>
      </c>
      <c r="D10395" s="59">
        <v>3.0</v>
      </c>
      <c r="E10395" s="59">
        <v>3.0</v>
      </c>
      <c r="F10395" s="59">
        <v>3.0</v>
      </c>
      <c r="G10395" s="60">
        <v>1.0</v>
      </c>
      <c r="H10395" s="60">
        <v>0.0</v>
      </c>
      <c r="I10395" s="60">
        <v>3.92597666666666</v>
      </c>
      <c r="J10395" s="59">
        <v>6.0</v>
      </c>
      <c r="K10395" s="61">
        <f t="shared" si="1"/>
        <v>1</v>
      </c>
      <c r="L10395" s="62">
        <f t="shared" si="2"/>
        <v>2</v>
      </c>
    </row>
    <row r="10396">
      <c r="A10396" s="58">
        <v>45108.0</v>
      </c>
      <c r="B10396" s="24" t="s">
        <v>6789</v>
      </c>
      <c r="C10396" s="24" t="s">
        <v>6989</v>
      </c>
      <c r="D10396" s="59">
        <v>3.0</v>
      </c>
      <c r="E10396" s="59">
        <v>5.0</v>
      </c>
      <c r="F10396" s="59">
        <v>2.0</v>
      </c>
      <c r="G10396" s="60">
        <v>1.66666666666666</v>
      </c>
      <c r="H10396" s="60">
        <v>0.2</v>
      </c>
      <c r="I10396" s="60">
        <v>492.2071726</v>
      </c>
      <c r="J10396" s="59">
        <v>25.0</v>
      </c>
      <c r="K10396" s="61">
        <f t="shared" si="1"/>
        <v>0.4</v>
      </c>
      <c r="L10396" s="62">
        <f t="shared" si="2"/>
        <v>5</v>
      </c>
    </row>
    <row r="10397">
      <c r="A10397" s="58">
        <v>45108.0</v>
      </c>
      <c r="B10397" s="24" t="s">
        <v>6789</v>
      </c>
      <c r="C10397" s="24" t="s">
        <v>7074</v>
      </c>
      <c r="D10397" s="59">
        <v>3.0</v>
      </c>
      <c r="E10397" s="59">
        <v>3.0</v>
      </c>
      <c r="F10397" s="59">
        <v>3.0</v>
      </c>
      <c r="G10397" s="60">
        <v>1.0</v>
      </c>
      <c r="H10397" s="60">
        <v>0.0</v>
      </c>
      <c r="I10397" s="60">
        <v>24.9505243333333</v>
      </c>
      <c r="J10397" s="59">
        <v>6.0</v>
      </c>
      <c r="K10397" s="61">
        <f t="shared" si="1"/>
        <v>1</v>
      </c>
      <c r="L10397" s="62">
        <f t="shared" si="2"/>
        <v>2</v>
      </c>
    </row>
    <row r="10398">
      <c r="A10398" s="58">
        <v>45108.0</v>
      </c>
      <c r="B10398" s="24" t="s">
        <v>6942</v>
      </c>
      <c r="C10398" s="24" t="s">
        <v>6886</v>
      </c>
      <c r="D10398" s="59">
        <v>3.0</v>
      </c>
      <c r="E10398" s="59">
        <v>3.0</v>
      </c>
      <c r="F10398" s="59">
        <v>3.0</v>
      </c>
      <c r="G10398" s="60">
        <v>1.0</v>
      </c>
      <c r="H10398" s="60">
        <v>0.0</v>
      </c>
      <c r="I10398" s="60">
        <v>0.453446666666666</v>
      </c>
      <c r="J10398" s="59">
        <v>6.0</v>
      </c>
      <c r="K10398" s="61">
        <f t="shared" si="1"/>
        <v>1</v>
      </c>
      <c r="L10398" s="62">
        <f t="shared" si="2"/>
        <v>2</v>
      </c>
    </row>
    <row r="10399">
      <c r="A10399" s="58">
        <v>45108.0</v>
      </c>
      <c r="B10399" s="24" t="s">
        <v>6789</v>
      </c>
      <c r="C10399" s="24" t="s">
        <v>6897</v>
      </c>
      <c r="D10399" s="59">
        <v>3.0</v>
      </c>
      <c r="E10399" s="59">
        <v>4.0</v>
      </c>
      <c r="F10399" s="59">
        <v>3.0</v>
      </c>
      <c r="G10399" s="60">
        <v>1.33333333333333</v>
      </c>
      <c r="H10399" s="60">
        <v>0.0</v>
      </c>
      <c r="I10399" s="60">
        <v>68.2948067499999</v>
      </c>
      <c r="J10399" s="59">
        <v>10.0</v>
      </c>
      <c r="K10399" s="61">
        <f t="shared" si="1"/>
        <v>0.75</v>
      </c>
      <c r="L10399" s="62">
        <f t="shared" si="2"/>
        <v>2.5</v>
      </c>
    </row>
    <row r="10400">
      <c r="A10400" s="58">
        <v>45108.0</v>
      </c>
      <c r="B10400" s="24" t="s">
        <v>6787</v>
      </c>
      <c r="C10400" s="24" t="s">
        <v>7009</v>
      </c>
      <c r="D10400" s="59">
        <v>3.0</v>
      </c>
      <c r="E10400" s="59">
        <v>7.0</v>
      </c>
      <c r="F10400" s="59">
        <v>2.0</v>
      </c>
      <c r="G10400" s="60">
        <v>2.33333333333333</v>
      </c>
      <c r="H10400" s="60">
        <v>0.0</v>
      </c>
      <c r="I10400" s="60">
        <v>175.040043571428</v>
      </c>
      <c r="J10400" s="59">
        <v>16.0</v>
      </c>
      <c r="K10400" s="61">
        <f t="shared" si="1"/>
        <v>0.2857142857</v>
      </c>
      <c r="L10400" s="62">
        <f t="shared" si="2"/>
        <v>2.285714286</v>
      </c>
    </row>
    <row r="10401">
      <c r="A10401" s="58">
        <v>45108.0</v>
      </c>
      <c r="B10401" s="24" t="s">
        <v>6787</v>
      </c>
      <c r="C10401" s="24" t="s">
        <v>7227</v>
      </c>
      <c r="D10401" s="59">
        <v>3.0</v>
      </c>
      <c r="E10401" s="59">
        <v>3.0</v>
      </c>
      <c r="F10401" s="59">
        <v>2.0</v>
      </c>
      <c r="G10401" s="60">
        <v>1.0</v>
      </c>
      <c r="H10401" s="60">
        <v>0.0</v>
      </c>
      <c r="I10401" s="60">
        <v>50.809711</v>
      </c>
      <c r="J10401" s="59">
        <v>10.0</v>
      </c>
      <c r="K10401" s="61">
        <f t="shared" si="1"/>
        <v>0.6666666667</v>
      </c>
      <c r="L10401" s="62">
        <f t="shared" si="2"/>
        <v>3.333333333</v>
      </c>
    </row>
    <row r="10402">
      <c r="A10402" s="58">
        <v>45108.0</v>
      </c>
      <c r="B10402" s="24" t="s">
        <v>6789</v>
      </c>
      <c r="C10402" s="24" t="s">
        <v>7261</v>
      </c>
      <c r="D10402" s="59">
        <v>3.0</v>
      </c>
      <c r="E10402" s="59">
        <v>3.0</v>
      </c>
      <c r="F10402" s="59">
        <v>3.0</v>
      </c>
      <c r="G10402" s="60">
        <v>1.0</v>
      </c>
      <c r="H10402" s="60">
        <v>0.0</v>
      </c>
      <c r="I10402" s="60">
        <v>71.0119436666666</v>
      </c>
      <c r="J10402" s="59">
        <v>8.0</v>
      </c>
      <c r="K10402" s="61">
        <f t="shared" si="1"/>
        <v>1</v>
      </c>
      <c r="L10402" s="62">
        <f t="shared" si="2"/>
        <v>2.666666667</v>
      </c>
    </row>
    <row r="10403">
      <c r="A10403" s="58">
        <v>45108.0</v>
      </c>
      <c r="B10403" s="24" t="s">
        <v>155</v>
      </c>
      <c r="C10403" s="24" t="s">
        <v>6908</v>
      </c>
      <c r="D10403" s="59">
        <v>3.0</v>
      </c>
      <c r="E10403" s="59">
        <v>3.0</v>
      </c>
      <c r="F10403" s="59">
        <v>3.0</v>
      </c>
      <c r="G10403" s="60">
        <v>1.0</v>
      </c>
      <c r="H10403" s="60">
        <v>0.0</v>
      </c>
      <c r="I10403" s="60">
        <v>9.94976933333333</v>
      </c>
      <c r="J10403" s="59">
        <v>6.0</v>
      </c>
      <c r="K10403" s="61">
        <f t="shared" si="1"/>
        <v>1</v>
      </c>
      <c r="L10403" s="62">
        <f t="shared" si="2"/>
        <v>2</v>
      </c>
    </row>
    <row r="10404">
      <c r="A10404" s="58">
        <v>45108.0</v>
      </c>
      <c r="B10404" s="24" t="s">
        <v>6787</v>
      </c>
      <c r="C10404" s="24" t="s">
        <v>7313</v>
      </c>
      <c r="D10404" s="59">
        <v>3.0</v>
      </c>
      <c r="E10404" s="59">
        <v>3.0</v>
      </c>
      <c r="F10404" s="59">
        <v>1.0</v>
      </c>
      <c r="G10404" s="60">
        <v>1.0</v>
      </c>
      <c r="H10404" s="60">
        <v>0.0</v>
      </c>
      <c r="I10404" s="60">
        <v>175.691823</v>
      </c>
      <c r="J10404" s="59">
        <v>21.0</v>
      </c>
      <c r="K10404" s="61">
        <f t="shared" si="1"/>
        <v>0.3333333333</v>
      </c>
      <c r="L10404" s="62">
        <f t="shared" si="2"/>
        <v>7</v>
      </c>
    </row>
    <row r="10405">
      <c r="A10405" s="58">
        <v>45108.0</v>
      </c>
      <c r="B10405" s="24" t="s">
        <v>6789</v>
      </c>
      <c r="C10405" s="24" t="s">
        <v>6910</v>
      </c>
      <c r="D10405" s="59">
        <v>3.0</v>
      </c>
      <c r="E10405" s="59">
        <v>3.0</v>
      </c>
      <c r="F10405" s="59">
        <v>2.0</v>
      </c>
      <c r="G10405" s="60">
        <v>1.0</v>
      </c>
      <c r="H10405" s="60">
        <v>0.0</v>
      </c>
      <c r="I10405" s="60">
        <v>93.2602013333333</v>
      </c>
      <c r="J10405" s="59">
        <v>5.0</v>
      </c>
      <c r="K10405" s="61">
        <f t="shared" si="1"/>
        <v>0.6666666667</v>
      </c>
      <c r="L10405" s="62">
        <f t="shared" si="2"/>
        <v>1.666666667</v>
      </c>
    </row>
    <row r="10406">
      <c r="A10406" s="58">
        <v>45108.0</v>
      </c>
      <c r="B10406" s="24" t="s">
        <v>6787</v>
      </c>
      <c r="C10406" s="24" t="s">
        <v>7102</v>
      </c>
      <c r="D10406" s="59">
        <v>3.0</v>
      </c>
      <c r="E10406" s="59">
        <v>3.0</v>
      </c>
      <c r="F10406" s="59">
        <v>1.0</v>
      </c>
      <c r="G10406" s="60">
        <v>1.0</v>
      </c>
      <c r="H10406" s="60">
        <v>0.0</v>
      </c>
      <c r="I10406" s="60">
        <v>146.759124666666</v>
      </c>
      <c r="J10406" s="59">
        <v>18.0</v>
      </c>
      <c r="K10406" s="61">
        <f t="shared" si="1"/>
        <v>0.3333333333</v>
      </c>
      <c r="L10406" s="62">
        <f t="shared" si="2"/>
        <v>6</v>
      </c>
    </row>
    <row r="10407">
      <c r="A10407" s="58">
        <v>45108.0</v>
      </c>
      <c r="B10407" s="24" t="s">
        <v>6790</v>
      </c>
      <c r="C10407" s="24" t="s">
        <v>7102</v>
      </c>
      <c r="D10407" s="59">
        <v>3.0</v>
      </c>
      <c r="E10407" s="59">
        <v>3.0</v>
      </c>
      <c r="F10407" s="59">
        <v>0.0</v>
      </c>
      <c r="G10407" s="60">
        <v>1.0</v>
      </c>
      <c r="H10407" s="60">
        <v>0.333333333333333</v>
      </c>
      <c r="I10407" s="60">
        <v>247.303444666666</v>
      </c>
      <c r="J10407" s="59">
        <v>6.0</v>
      </c>
      <c r="K10407" s="61">
        <f t="shared" si="1"/>
        <v>0</v>
      </c>
      <c r="L10407" s="62">
        <f t="shared" si="2"/>
        <v>2</v>
      </c>
    </row>
    <row r="10408">
      <c r="A10408" s="58">
        <v>45108.0</v>
      </c>
      <c r="B10408" s="24" t="s">
        <v>6794</v>
      </c>
      <c r="C10408" s="24" t="s">
        <v>7174</v>
      </c>
      <c r="D10408" s="59">
        <v>3.0</v>
      </c>
      <c r="E10408" s="59">
        <v>3.0</v>
      </c>
      <c r="F10408" s="59">
        <v>3.0</v>
      </c>
      <c r="G10408" s="60">
        <v>1.0</v>
      </c>
      <c r="H10408" s="60">
        <v>0.0</v>
      </c>
      <c r="I10408" s="60">
        <v>118.371490666666</v>
      </c>
      <c r="J10408" s="59">
        <v>8.0</v>
      </c>
      <c r="K10408" s="61">
        <f t="shared" si="1"/>
        <v>1</v>
      </c>
      <c r="L10408" s="62">
        <f t="shared" si="2"/>
        <v>2.666666667</v>
      </c>
    </row>
    <row r="10409">
      <c r="A10409" s="58">
        <v>45108.0</v>
      </c>
      <c r="B10409" s="24" t="s">
        <v>6789</v>
      </c>
      <c r="C10409" s="24" t="s">
        <v>7180</v>
      </c>
      <c r="D10409" s="59">
        <v>3.0</v>
      </c>
      <c r="E10409" s="59">
        <v>3.0</v>
      </c>
      <c r="F10409" s="59">
        <v>3.0</v>
      </c>
      <c r="G10409" s="60">
        <v>1.0</v>
      </c>
      <c r="H10409" s="60">
        <v>0.0</v>
      </c>
      <c r="I10409" s="60">
        <v>60.850356</v>
      </c>
      <c r="J10409" s="59">
        <v>6.0</v>
      </c>
      <c r="K10409" s="61">
        <f t="shared" si="1"/>
        <v>1</v>
      </c>
      <c r="L10409" s="62">
        <f t="shared" si="2"/>
        <v>2</v>
      </c>
    </row>
    <row r="10410">
      <c r="A10410" s="58">
        <v>45108.0</v>
      </c>
      <c r="B10410" s="24" t="s">
        <v>3216</v>
      </c>
      <c r="C10410" s="24" t="s">
        <v>6815</v>
      </c>
      <c r="D10410" s="59">
        <v>3.0</v>
      </c>
      <c r="E10410" s="59">
        <v>4.0</v>
      </c>
      <c r="F10410" s="59">
        <v>2.0</v>
      </c>
      <c r="G10410" s="60">
        <v>1.33333333333333</v>
      </c>
      <c r="H10410" s="60">
        <v>0.25</v>
      </c>
      <c r="I10410" s="60">
        <v>173.79650275</v>
      </c>
      <c r="J10410" s="59">
        <v>9.0</v>
      </c>
      <c r="K10410" s="61">
        <f t="shared" si="1"/>
        <v>0.5</v>
      </c>
      <c r="L10410" s="62">
        <f t="shared" si="2"/>
        <v>2.25</v>
      </c>
    </row>
    <row r="10411">
      <c r="A10411" s="58">
        <v>45108.0</v>
      </c>
      <c r="B10411" s="24" t="s">
        <v>155</v>
      </c>
      <c r="C10411" s="24" t="s">
        <v>6815</v>
      </c>
      <c r="D10411" s="59">
        <v>3.0</v>
      </c>
      <c r="E10411" s="59">
        <v>3.0</v>
      </c>
      <c r="F10411" s="59">
        <v>3.0</v>
      </c>
      <c r="G10411" s="60">
        <v>1.0</v>
      </c>
      <c r="H10411" s="60">
        <v>0.0</v>
      </c>
      <c r="I10411" s="60">
        <v>467.619012</v>
      </c>
      <c r="J10411" s="59">
        <v>8.0</v>
      </c>
      <c r="K10411" s="61">
        <f t="shared" si="1"/>
        <v>1</v>
      </c>
      <c r="L10411" s="62">
        <f t="shared" si="2"/>
        <v>2.666666667</v>
      </c>
    </row>
    <row r="10412">
      <c r="A10412" s="58">
        <v>45108.0</v>
      </c>
      <c r="B10412" s="24" t="s">
        <v>6789</v>
      </c>
      <c r="C10412" s="24" t="s">
        <v>6921</v>
      </c>
      <c r="D10412" s="59">
        <v>3.0</v>
      </c>
      <c r="E10412" s="59">
        <v>7.0</v>
      </c>
      <c r="F10412" s="59">
        <v>1.0</v>
      </c>
      <c r="G10412" s="60">
        <v>2.33333333333333</v>
      </c>
      <c r="H10412" s="60">
        <v>0.0</v>
      </c>
      <c r="I10412" s="60">
        <v>12.3653437142857</v>
      </c>
      <c r="J10412" s="59">
        <v>14.0</v>
      </c>
      <c r="K10412" s="61">
        <f t="shared" si="1"/>
        <v>0.1428571429</v>
      </c>
      <c r="L10412" s="62">
        <f t="shared" si="2"/>
        <v>2</v>
      </c>
    </row>
    <row r="10413">
      <c r="A10413" s="58">
        <v>45108.0</v>
      </c>
      <c r="B10413" s="24" t="s">
        <v>6789</v>
      </c>
      <c r="C10413" s="24" t="s">
        <v>7047</v>
      </c>
      <c r="D10413" s="59">
        <v>3.0</v>
      </c>
      <c r="E10413" s="59">
        <v>4.0</v>
      </c>
      <c r="F10413" s="59">
        <v>0.0</v>
      </c>
      <c r="G10413" s="60">
        <v>1.33333333333333</v>
      </c>
      <c r="H10413" s="60">
        <v>0.0</v>
      </c>
      <c r="I10413" s="60">
        <v>813.9711345</v>
      </c>
      <c r="J10413" s="59">
        <v>34.0</v>
      </c>
      <c r="K10413" s="61">
        <f t="shared" si="1"/>
        <v>0</v>
      </c>
      <c r="L10413" s="62">
        <f t="shared" si="2"/>
        <v>8.5</v>
      </c>
    </row>
    <row r="10414">
      <c r="A10414" s="58">
        <v>45108.0</v>
      </c>
      <c r="B10414" s="24" t="s">
        <v>6787</v>
      </c>
      <c r="C10414" s="24" t="s">
        <v>6797</v>
      </c>
      <c r="D10414" s="59">
        <v>3.0</v>
      </c>
      <c r="E10414" s="59">
        <v>3.0</v>
      </c>
      <c r="F10414" s="59">
        <v>3.0</v>
      </c>
      <c r="G10414" s="60">
        <v>1.0</v>
      </c>
      <c r="H10414" s="60">
        <v>0.0</v>
      </c>
      <c r="I10414" s="60">
        <v>87.5986973333333</v>
      </c>
      <c r="J10414" s="59">
        <v>8.0</v>
      </c>
      <c r="K10414" s="61">
        <f t="shared" si="1"/>
        <v>1</v>
      </c>
      <c r="L10414" s="62">
        <f t="shared" si="2"/>
        <v>2.666666667</v>
      </c>
    </row>
    <row r="10415">
      <c r="A10415" s="58">
        <v>45108.0</v>
      </c>
      <c r="B10415" s="24" t="s">
        <v>6789</v>
      </c>
      <c r="C10415" s="24" t="s">
        <v>6810</v>
      </c>
      <c r="D10415" s="59">
        <v>3.0</v>
      </c>
      <c r="E10415" s="59">
        <v>3.0</v>
      </c>
      <c r="F10415" s="59">
        <v>0.0</v>
      </c>
      <c r="G10415" s="60">
        <v>1.0</v>
      </c>
      <c r="H10415" s="60">
        <v>0.0</v>
      </c>
      <c r="I10415" s="60">
        <v>520.394138</v>
      </c>
      <c r="J10415" s="59">
        <v>8.0</v>
      </c>
      <c r="K10415" s="61">
        <f t="shared" si="1"/>
        <v>0</v>
      </c>
      <c r="L10415" s="62">
        <f t="shared" si="2"/>
        <v>2.666666667</v>
      </c>
    </row>
    <row r="10416">
      <c r="A10416" s="58">
        <v>45108.0</v>
      </c>
      <c r="B10416" s="24" t="s">
        <v>6787</v>
      </c>
      <c r="C10416" s="24" t="s">
        <v>7623</v>
      </c>
      <c r="D10416" s="59">
        <v>3.0</v>
      </c>
      <c r="E10416" s="59">
        <v>3.0</v>
      </c>
      <c r="F10416" s="59">
        <v>2.0</v>
      </c>
      <c r="G10416" s="60">
        <v>1.0</v>
      </c>
      <c r="H10416" s="60">
        <v>0.0</v>
      </c>
      <c r="I10416" s="60">
        <v>407.970437</v>
      </c>
      <c r="J10416" s="59">
        <v>8.0</v>
      </c>
      <c r="K10416" s="61">
        <f t="shared" si="1"/>
        <v>0.6666666667</v>
      </c>
      <c r="L10416" s="62">
        <f t="shared" si="2"/>
        <v>2.666666667</v>
      </c>
    </row>
    <row r="10417">
      <c r="A10417" s="58">
        <v>45108.0</v>
      </c>
      <c r="B10417" s="24" t="s">
        <v>6942</v>
      </c>
      <c r="C10417" s="24" t="s">
        <v>6802</v>
      </c>
      <c r="D10417" s="59">
        <v>3.0</v>
      </c>
      <c r="E10417" s="59">
        <v>3.0</v>
      </c>
      <c r="F10417" s="59">
        <v>3.0</v>
      </c>
      <c r="G10417" s="60">
        <v>1.0</v>
      </c>
      <c r="H10417" s="60">
        <v>0.0</v>
      </c>
      <c r="I10417" s="60">
        <v>0.565070666666666</v>
      </c>
      <c r="J10417" s="59">
        <v>6.0</v>
      </c>
      <c r="K10417" s="61">
        <f t="shared" si="1"/>
        <v>1</v>
      </c>
      <c r="L10417" s="62">
        <f t="shared" si="2"/>
        <v>2</v>
      </c>
    </row>
    <row r="10418">
      <c r="A10418" s="58">
        <v>45108.0</v>
      </c>
      <c r="B10418" s="24" t="s">
        <v>7100</v>
      </c>
      <c r="C10418" s="24" t="s">
        <v>6802</v>
      </c>
      <c r="D10418" s="59">
        <v>3.0</v>
      </c>
      <c r="E10418" s="59">
        <v>3.0</v>
      </c>
      <c r="F10418" s="59">
        <v>3.0</v>
      </c>
      <c r="G10418" s="60">
        <v>1.0</v>
      </c>
      <c r="H10418" s="60">
        <v>0.0</v>
      </c>
      <c r="I10418" s="60">
        <v>4.054181</v>
      </c>
      <c r="J10418" s="59">
        <v>6.0</v>
      </c>
      <c r="K10418" s="61">
        <f t="shared" si="1"/>
        <v>1</v>
      </c>
      <c r="L10418" s="62">
        <f t="shared" si="2"/>
        <v>2</v>
      </c>
    </row>
    <row r="10419">
      <c r="A10419" s="58">
        <v>45108.0</v>
      </c>
      <c r="B10419" s="24" t="s">
        <v>3216</v>
      </c>
      <c r="C10419" s="24" t="s">
        <v>6792</v>
      </c>
      <c r="D10419" s="59">
        <v>2.0</v>
      </c>
      <c r="E10419" s="59">
        <v>3.0</v>
      </c>
      <c r="F10419" s="59">
        <v>0.0</v>
      </c>
      <c r="G10419" s="60">
        <v>1.5</v>
      </c>
      <c r="H10419" s="60">
        <v>1.0</v>
      </c>
      <c r="I10419" s="60">
        <v>0.0</v>
      </c>
      <c r="J10419" s="59">
        <v>0.0</v>
      </c>
      <c r="K10419" s="61">
        <f t="shared" si="1"/>
        <v>0</v>
      </c>
      <c r="L10419" s="62">
        <f t="shared" si="2"/>
        <v>0</v>
      </c>
    </row>
    <row r="10420">
      <c r="A10420" s="58">
        <v>45108.0</v>
      </c>
      <c r="B10420" s="24" t="s">
        <v>7606</v>
      </c>
      <c r="C10420" s="24" t="s">
        <v>6788</v>
      </c>
      <c r="D10420" s="59">
        <v>2.0</v>
      </c>
      <c r="E10420" s="59">
        <v>3.0</v>
      </c>
      <c r="F10420" s="59">
        <v>1.0</v>
      </c>
      <c r="G10420" s="60">
        <v>1.5</v>
      </c>
      <c r="H10420" s="60">
        <v>0.0</v>
      </c>
      <c r="I10420" s="60">
        <v>8.196585</v>
      </c>
      <c r="J10420" s="59">
        <v>6.0</v>
      </c>
      <c r="K10420" s="61">
        <f t="shared" si="1"/>
        <v>0.3333333333</v>
      </c>
      <c r="L10420" s="62">
        <f t="shared" si="2"/>
        <v>2</v>
      </c>
    </row>
    <row r="10421">
      <c r="A10421" s="58">
        <v>45108.0</v>
      </c>
      <c r="B10421" s="24" t="s">
        <v>3216</v>
      </c>
      <c r="C10421" s="24" t="s">
        <v>6788</v>
      </c>
      <c r="D10421" s="59">
        <v>2.0</v>
      </c>
      <c r="E10421" s="59">
        <v>6.0</v>
      </c>
      <c r="F10421" s="59">
        <v>0.0</v>
      </c>
      <c r="G10421" s="60">
        <v>3.0</v>
      </c>
      <c r="H10421" s="60">
        <v>0.0</v>
      </c>
      <c r="I10421" s="60">
        <v>344.887125833333</v>
      </c>
      <c r="J10421" s="59">
        <v>32.0</v>
      </c>
      <c r="K10421" s="61">
        <f t="shared" si="1"/>
        <v>0</v>
      </c>
      <c r="L10421" s="62">
        <f t="shared" si="2"/>
        <v>5.333333333</v>
      </c>
    </row>
    <row r="10422">
      <c r="A10422" s="58">
        <v>45108.0</v>
      </c>
      <c r="B10422" s="24" t="s">
        <v>3216</v>
      </c>
      <c r="C10422" s="24" t="s">
        <v>6817</v>
      </c>
      <c r="D10422" s="59">
        <v>2.0</v>
      </c>
      <c r="E10422" s="59">
        <v>2.0</v>
      </c>
      <c r="F10422" s="59">
        <v>0.0</v>
      </c>
      <c r="G10422" s="60">
        <v>1.0</v>
      </c>
      <c r="H10422" s="60">
        <v>0.0</v>
      </c>
      <c r="I10422" s="60">
        <v>7.4685025</v>
      </c>
      <c r="J10422" s="59">
        <v>4.0</v>
      </c>
      <c r="K10422" s="61">
        <f t="shared" si="1"/>
        <v>0</v>
      </c>
      <c r="L10422" s="62">
        <f t="shared" si="2"/>
        <v>2</v>
      </c>
    </row>
    <row r="10423">
      <c r="A10423" s="58">
        <v>45108.0</v>
      </c>
      <c r="B10423" s="24" t="s">
        <v>6794</v>
      </c>
      <c r="C10423" s="24" t="s">
        <v>6817</v>
      </c>
      <c r="D10423" s="59">
        <v>2.0</v>
      </c>
      <c r="E10423" s="59">
        <v>2.0</v>
      </c>
      <c r="F10423" s="59">
        <v>0.0</v>
      </c>
      <c r="G10423" s="60">
        <v>1.0</v>
      </c>
      <c r="H10423" s="60">
        <v>0.0</v>
      </c>
      <c r="I10423" s="60">
        <v>600.764323499999</v>
      </c>
      <c r="J10423" s="59">
        <v>5.0</v>
      </c>
      <c r="K10423" s="61">
        <f t="shared" si="1"/>
        <v>0</v>
      </c>
      <c r="L10423" s="62">
        <f t="shared" si="2"/>
        <v>2.5</v>
      </c>
    </row>
    <row r="10424">
      <c r="A10424" s="58">
        <v>45108.0</v>
      </c>
      <c r="B10424" s="24" t="s">
        <v>6789</v>
      </c>
      <c r="C10424" s="24" t="s">
        <v>7059</v>
      </c>
      <c r="D10424" s="59">
        <v>2.0</v>
      </c>
      <c r="E10424" s="59">
        <v>4.0</v>
      </c>
      <c r="F10424" s="59">
        <v>2.0</v>
      </c>
      <c r="G10424" s="60">
        <v>2.0</v>
      </c>
      <c r="H10424" s="60">
        <v>0.0</v>
      </c>
      <c r="I10424" s="60">
        <v>58.20101725</v>
      </c>
      <c r="J10424" s="59">
        <v>10.0</v>
      </c>
      <c r="K10424" s="61">
        <f t="shared" si="1"/>
        <v>0.5</v>
      </c>
      <c r="L10424" s="62">
        <f t="shared" si="2"/>
        <v>2.5</v>
      </c>
    </row>
    <row r="10425">
      <c r="A10425" s="58">
        <v>45108.0</v>
      </c>
      <c r="B10425" s="24" t="s">
        <v>6787</v>
      </c>
      <c r="C10425" s="24" t="s">
        <v>6990</v>
      </c>
      <c r="D10425" s="59">
        <v>2.0</v>
      </c>
      <c r="E10425" s="59">
        <v>2.0</v>
      </c>
      <c r="F10425" s="59">
        <v>2.0</v>
      </c>
      <c r="G10425" s="60">
        <v>1.0</v>
      </c>
      <c r="H10425" s="60">
        <v>0.0</v>
      </c>
      <c r="I10425" s="60">
        <v>16.7933845</v>
      </c>
      <c r="J10425" s="59">
        <v>6.0</v>
      </c>
      <c r="K10425" s="61">
        <f t="shared" si="1"/>
        <v>1</v>
      </c>
      <c r="L10425" s="62">
        <f t="shared" si="2"/>
        <v>3</v>
      </c>
    </row>
    <row r="10426">
      <c r="A10426" s="58">
        <v>45108.0</v>
      </c>
      <c r="B10426" s="24" t="s">
        <v>3216</v>
      </c>
      <c r="C10426" s="24" t="s">
        <v>6992</v>
      </c>
      <c r="D10426" s="59">
        <v>2.0</v>
      </c>
      <c r="E10426" s="59">
        <v>2.0</v>
      </c>
      <c r="F10426" s="59">
        <v>0.0</v>
      </c>
      <c r="G10426" s="60">
        <v>1.0</v>
      </c>
      <c r="H10426" s="60">
        <v>0.0</v>
      </c>
      <c r="I10426" s="60">
        <v>9.032185</v>
      </c>
      <c r="J10426" s="59">
        <v>4.0</v>
      </c>
      <c r="K10426" s="61">
        <f t="shared" si="1"/>
        <v>0</v>
      </c>
      <c r="L10426" s="62">
        <f t="shared" si="2"/>
        <v>2</v>
      </c>
    </row>
    <row r="10427">
      <c r="A10427" s="58">
        <v>45108.0</v>
      </c>
      <c r="B10427" s="24" t="s">
        <v>6794</v>
      </c>
      <c r="C10427" s="24" t="s">
        <v>7627</v>
      </c>
      <c r="D10427" s="59">
        <v>2.0</v>
      </c>
      <c r="E10427" s="59">
        <v>2.0</v>
      </c>
      <c r="F10427" s="59">
        <v>1.0</v>
      </c>
      <c r="G10427" s="60">
        <v>1.0</v>
      </c>
      <c r="H10427" s="60">
        <v>0.0</v>
      </c>
      <c r="I10427" s="60">
        <v>37.3329645</v>
      </c>
      <c r="J10427" s="59">
        <v>4.0</v>
      </c>
      <c r="K10427" s="61">
        <f t="shared" si="1"/>
        <v>0.5</v>
      </c>
      <c r="L10427" s="62">
        <f t="shared" si="2"/>
        <v>2</v>
      </c>
    </row>
    <row r="10428">
      <c r="A10428" s="58">
        <v>45108.0</v>
      </c>
      <c r="B10428" s="24" t="s">
        <v>6789</v>
      </c>
      <c r="C10428" s="24" t="s">
        <v>7628</v>
      </c>
      <c r="D10428" s="59">
        <v>2.0</v>
      </c>
      <c r="E10428" s="59">
        <v>2.0</v>
      </c>
      <c r="F10428" s="59">
        <v>0.0</v>
      </c>
      <c r="G10428" s="60">
        <v>1.0</v>
      </c>
      <c r="H10428" s="60">
        <v>0.0</v>
      </c>
      <c r="I10428" s="60">
        <v>2177.3936665</v>
      </c>
      <c r="J10428" s="59">
        <v>18.0</v>
      </c>
      <c r="K10428" s="61">
        <f t="shared" si="1"/>
        <v>0</v>
      </c>
      <c r="L10428" s="62">
        <f t="shared" si="2"/>
        <v>9</v>
      </c>
    </row>
    <row r="10429">
      <c r="A10429" s="58">
        <v>45108.0</v>
      </c>
      <c r="B10429" s="24" t="s">
        <v>6789</v>
      </c>
      <c r="C10429" s="24" t="s">
        <v>7629</v>
      </c>
      <c r="D10429" s="59">
        <v>2.0</v>
      </c>
      <c r="E10429" s="59">
        <v>5.0</v>
      </c>
      <c r="F10429" s="59">
        <v>0.0</v>
      </c>
      <c r="G10429" s="60">
        <v>2.5</v>
      </c>
      <c r="H10429" s="60">
        <v>0.0</v>
      </c>
      <c r="I10429" s="60">
        <v>1234.6355112</v>
      </c>
      <c r="J10429" s="59">
        <v>36.0</v>
      </c>
      <c r="K10429" s="61">
        <f t="shared" si="1"/>
        <v>0</v>
      </c>
      <c r="L10429" s="62">
        <f t="shared" si="2"/>
        <v>7.2</v>
      </c>
    </row>
    <row r="10430">
      <c r="A10430" s="58">
        <v>45108.0</v>
      </c>
      <c r="B10430" s="24" t="s">
        <v>6789</v>
      </c>
      <c r="C10430" s="24" t="s">
        <v>7630</v>
      </c>
      <c r="D10430" s="59">
        <v>2.0</v>
      </c>
      <c r="E10430" s="59">
        <v>3.0</v>
      </c>
      <c r="F10430" s="59">
        <v>1.0</v>
      </c>
      <c r="G10430" s="60">
        <v>1.5</v>
      </c>
      <c r="H10430" s="60">
        <v>0.0</v>
      </c>
      <c r="I10430" s="60">
        <v>498.772805</v>
      </c>
      <c r="J10430" s="59">
        <v>12.0</v>
      </c>
      <c r="K10430" s="61">
        <f t="shared" si="1"/>
        <v>0.3333333333</v>
      </c>
      <c r="L10430" s="62">
        <f t="shared" si="2"/>
        <v>4</v>
      </c>
    </row>
    <row r="10431">
      <c r="A10431" s="58">
        <v>45108.0</v>
      </c>
      <c r="B10431" s="24" t="s">
        <v>6789</v>
      </c>
      <c r="C10431" s="24" t="s">
        <v>7072</v>
      </c>
      <c r="D10431" s="59">
        <v>2.0</v>
      </c>
      <c r="E10431" s="59">
        <v>2.0</v>
      </c>
      <c r="F10431" s="59">
        <v>1.0</v>
      </c>
      <c r="G10431" s="60">
        <v>1.0</v>
      </c>
      <c r="H10431" s="60">
        <v>0.0</v>
      </c>
      <c r="I10431" s="60">
        <v>1459.0490745</v>
      </c>
      <c r="J10431" s="59">
        <v>16.0</v>
      </c>
      <c r="K10431" s="61">
        <f t="shared" si="1"/>
        <v>0.5</v>
      </c>
      <c r="L10431" s="62">
        <f t="shared" si="2"/>
        <v>8</v>
      </c>
    </row>
    <row r="10432">
      <c r="A10432" s="58">
        <v>45108.0</v>
      </c>
      <c r="B10432" s="24" t="s">
        <v>155</v>
      </c>
      <c r="C10432" s="24" t="s">
        <v>6799</v>
      </c>
      <c r="D10432" s="59">
        <v>2.0</v>
      </c>
      <c r="E10432" s="59">
        <v>3.0</v>
      </c>
      <c r="F10432" s="59">
        <v>0.0</v>
      </c>
      <c r="G10432" s="60">
        <v>1.5</v>
      </c>
      <c r="H10432" s="60">
        <v>0.0</v>
      </c>
      <c r="I10432" s="60">
        <v>27.184051</v>
      </c>
      <c r="J10432" s="59">
        <v>12.0</v>
      </c>
      <c r="K10432" s="61">
        <f t="shared" si="1"/>
        <v>0</v>
      </c>
      <c r="L10432" s="62">
        <f t="shared" si="2"/>
        <v>4</v>
      </c>
    </row>
    <row r="10433">
      <c r="A10433" s="58">
        <v>45108.0</v>
      </c>
      <c r="B10433" s="24" t="s">
        <v>6787</v>
      </c>
      <c r="C10433" s="24" t="s">
        <v>6997</v>
      </c>
      <c r="D10433" s="59">
        <v>2.0</v>
      </c>
      <c r="E10433" s="59">
        <v>2.0</v>
      </c>
      <c r="F10433" s="59">
        <v>2.0</v>
      </c>
      <c r="G10433" s="60">
        <v>1.0</v>
      </c>
      <c r="H10433" s="60">
        <v>0.0</v>
      </c>
      <c r="I10433" s="60">
        <v>45.417206</v>
      </c>
      <c r="J10433" s="59">
        <v>4.0</v>
      </c>
      <c r="K10433" s="61">
        <f t="shared" si="1"/>
        <v>1</v>
      </c>
      <c r="L10433" s="62">
        <f t="shared" si="2"/>
        <v>2</v>
      </c>
    </row>
    <row r="10434">
      <c r="A10434" s="58">
        <v>45108.0</v>
      </c>
      <c r="B10434" s="24" t="s">
        <v>6787</v>
      </c>
      <c r="C10434" s="24" t="s">
        <v>6896</v>
      </c>
      <c r="D10434" s="59">
        <v>2.0</v>
      </c>
      <c r="E10434" s="59">
        <v>2.0</v>
      </c>
      <c r="F10434" s="59">
        <v>1.0</v>
      </c>
      <c r="G10434" s="60">
        <v>1.0</v>
      </c>
      <c r="H10434" s="60">
        <v>0.5</v>
      </c>
      <c r="I10434" s="60">
        <v>2.933076</v>
      </c>
      <c r="J10434" s="59">
        <v>3.0</v>
      </c>
      <c r="K10434" s="61">
        <f t="shared" si="1"/>
        <v>0.5</v>
      </c>
      <c r="L10434" s="62">
        <f t="shared" si="2"/>
        <v>1.5</v>
      </c>
    </row>
    <row r="10435">
      <c r="A10435" s="58">
        <v>45108.0</v>
      </c>
      <c r="B10435" s="24" t="s">
        <v>3216</v>
      </c>
      <c r="C10435" s="24" t="s">
        <v>6896</v>
      </c>
      <c r="D10435" s="59">
        <v>2.0</v>
      </c>
      <c r="E10435" s="59">
        <v>2.0</v>
      </c>
      <c r="F10435" s="59">
        <v>0.0</v>
      </c>
      <c r="G10435" s="60">
        <v>1.0</v>
      </c>
      <c r="H10435" s="60">
        <v>0.0</v>
      </c>
      <c r="I10435" s="60">
        <v>18.477866</v>
      </c>
      <c r="J10435" s="59">
        <v>4.0</v>
      </c>
      <c r="K10435" s="61">
        <f t="shared" si="1"/>
        <v>0</v>
      </c>
      <c r="L10435" s="62">
        <f t="shared" si="2"/>
        <v>2</v>
      </c>
    </row>
    <row r="10436">
      <c r="A10436" s="58">
        <v>45108.0</v>
      </c>
      <c r="B10436" s="24" t="s">
        <v>6789</v>
      </c>
      <c r="C10436" s="24" t="s">
        <v>6896</v>
      </c>
      <c r="D10436" s="59">
        <v>2.0</v>
      </c>
      <c r="E10436" s="59">
        <v>2.0</v>
      </c>
      <c r="F10436" s="59">
        <v>1.0</v>
      </c>
      <c r="G10436" s="60">
        <v>1.0</v>
      </c>
      <c r="H10436" s="60">
        <v>0.0</v>
      </c>
      <c r="I10436" s="60">
        <v>149.050433</v>
      </c>
      <c r="J10436" s="59">
        <v>4.0</v>
      </c>
      <c r="K10436" s="61">
        <f t="shared" si="1"/>
        <v>0.5</v>
      </c>
      <c r="L10436" s="62">
        <f t="shared" si="2"/>
        <v>2</v>
      </c>
    </row>
    <row r="10437">
      <c r="A10437" s="58">
        <v>45108.0</v>
      </c>
      <c r="B10437" s="24" t="s">
        <v>6787</v>
      </c>
      <c r="C10437" s="24" t="s">
        <v>7439</v>
      </c>
      <c r="D10437" s="59">
        <v>2.0</v>
      </c>
      <c r="E10437" s="59">
        <v>2.0</v>
      </c>
      <c r="F10437" s="59">
        <v>2.0</v>
      </c>
      <c r="G10437" s="60">
        <v>1.0</v>
      </c>
      <c r="H10437" s="60">
        <v>0.0</v>
      </c>
      <c r="I10437" s="60">
        <v>16.468349</v>
      </c>
      <c r="J10437" s="59">
        <v>4.0</v>
      </c>
      <c r="K10437" s="61">
        <f t="shared" si="1"/>
        <v>1</v>
      </c>
      <c r="L10437" s="62">
        <f t="shared" si="2"/>
        <v>2</v>
      </c>
    </row>
    <row r="10438">
      <c r="A10438" s="58">
        <v>45108.0</v>
      </c>
      <c r="B10438" s="24" t="s">
        <v>6787</v>
      </c>
      <c r="C10438" s="24" t="s">
        <v>7562</v>
      </c>
      <c r="D10438" s="59">
        <v>2.0</v>
      </c>
      <c r="E10438" s="59">
        <v>2.0</v>
      </c>
      <c r="F10438" s="59">
        <v>0.0</v>
      </c>
      <c r="G10438" s="60">
        <v>1.0</v>
      </c>
      <c r="H10438" s="60">
        <v>0.0</v>
      </c>
      <c r="I10438" s="60">
        <v>851.4660015</v>
      </c>
      <c r="J10438" s="59">
        <v>53.0</v>
      </c>
      <c r="K10438" s="61">
        <f t="shared" si="1"/>
        <v>0</v>
      </c>
      <c r="L10438" s="62">
        <f t="shared" si="2"/>
        <v>26.5</v>
      </c>
    </row>
    <row r="10439">
      <c r="A10439" s="58">
        <v>45108.0</v>
      </c>
      <c r="B10439" s="24" t="s">
        <v>6942</v>
      </c>
      <c r="C10439" s="24" t="s">
        <v>7530</v>
      </c>
      <c r="D10439" s="59">
        <v>2.0</v>
      </c>
      <c r="E10439" s="59">
        <v>2.0</v>
      </c>
      <c r="F10439" s="59">
        <v>2.0</v>
      </c>
      <c r="G10439" s="60">
        <v>1.0</v>
      </c>
      <c r="H10439" s="60">
        <v>0.0</v>
      </c>
      <c r="I10439" s="60">
        <v>0.3028595</v>
      </c>
      <c r="J10439" s="59">
        <v>4.0</v>
      </c>
      <c r="K10439" s="61">
        <f t="shared" si="1"/>
        <v>1</v>
      </c>
      <c r="L10439" s="62">
        <f t="shared" si="2"/>
        <v>2</v>
      </c>
    </row>
    <row r="10440">
      <c r="A10440" s="58">
        <v>45108.0</v>
      </c>
      <c r="B10440" s="24" t="s">
        <v>6789</v>
      </c>
      <c r="C10440" s="24" t="s">
        <v>7227</v>
      </c>
      <c r="D10440" s="59">
        <v>2.0</v>
      </c>
      <c r="E10440" s="59">
        <v>2.0</v>
      </c>
      <c r="F10440" s="59">
        <v>0.0</v>
      </c>
      <c r="G10440" s="60">
        <v>1.0</v>
      </c>
      <c r="H10440" s="60">
        <v>0.0</v>
      </c>
      <c r="I10440" s="60">
        <v>189.640159999999</v>
      </c>
      <c r="J10440" s="59">
        <v>4.0</v>
      </c>
      <c r="K10440" s="61">
        <f t="shared" si="1"/>
        <v>0</v>
      </c>
      <c r="L10440" s="62">
        <f t="shared" si="2"/>
        <v>2</v>
      </c>
    </row>
    <row r="10441">
      <c r="A10441" s="58">
        <v>45108.0</v>
      </c>
      <c r="B10441" s="24" t="s">
        <v>6789</v>
      </c>
      <c r="C10441" s="24" t="s">
        <v>7087</v>
      </c>
      <c r="D10441" s="59">
        <v>2.0</v>
      </c>
      <c r="E10441" s="59">
        <v>3.0</v>
      </c>
      <c r="F10441" s="59">
        <v>1.0</v>
      </c>
      <c r="G10441" s="60">
        <v>1.5</v>
      </c>
      <c r="H10441" s="60">
        <v>0.0</v>
      </c>
      <c r="I10441" s="60">
        <v>8.47536833333333</v>
      </c>
      <c r="J10441" s="59">
        <v>6.0</v>
      </c>
      <c r="K10441" s="61">
        <f t="shared" si="1"/>
        <v>0.3333333333</v>
      </c>
      <c r="L10441" s="62">
        <f t="shared" si="2"/>
        <v>2</v>
      </c>
    </row>
    <row r="10442">
      <c r="A10442" s="58">
        <v>45108.0</v>
      </c>
      <c r="B10442" s="24" t="s">
        <v>6789</v>
      </c>
      <c r="C10442" s="24" t="s">
        <v>6800</v>
      </c>
      <c r="D10442" s="59">
        <v>2.0</v>
      </c>
      <c r="E10442" s="59">
        <v>2.0</v>
      </c>
      <c r="F10442" s="59">
        <v>2.0</v>
      </c>
      <c r="G10442" s="60">
        <v>1.0</v>
      </c>
      <c r="H10442" s="60">
        <v>0.0</v>
      </c>
      <c r="I10442" s="60">
        <v>274.751578</v>
      </c>
      <c r="J10442" s="59">
        <v>10.0</v>
      </c>
      <c r="K10442" s="61">
        <f t="shared" si="1"/>
        <v>1</v>
      </c>
      <c r="L10442" s="62">
        <f t="shared" si="2"/>
        <v>5</v>
      </c>
    </row>
    <row r="10443">
      <c r="A10443" s="58">
        <v>45108.0</v>
      </c>
      <c r="B10443" s="24" t="s">
        <v>6787</v>
      </c>
      <c r="C10443" s="24" t="s">
        <v>7013</v>
      </c>
      <c r="D10443" s="59">
        <v>2.0</v>
      </c>
      <c r="E10443" s="59">
        <v>5.0</v>
      </c>
      <c r="F10443" s="59">
        <v>1.0</v>
      </c>
      <c r="G10443" s="60">
        <v>2.5</v>
      </c>
      <c r="H10443" s="60">
        <v>0.0</v>
      </c>
      <c r="I10443" s="60">
        <v>408.522745</v>
      </c>
      <c r="J10443" s="59">
        <v>46.0</v>
      </c>
      <c r="K10443" s="61">
        <f t="shared" si="1"/>
        <v>0.2</v>
      </c>
      <c r="L10443" s="62">
        <f t="shared" si="2"/>
        <v>9.2</v>
      </c>
    </row>
    <row r="10444">
      <c r="A10444" s="58">
        <v>45108.0</v>
      </c>
      <c r="B10444" s="24" t="s">
        <v>6787</v>
      </c>
      <c r="C10444" s="24" t="s">
        <v>7101</v>
      </c>
      <c r="D10444" s="59">
        <v>2.0</v>
      </c>
      <c r="E10444" s="59">
        <v>3.0</v>
      </c>
      <c r="F10444" s="59">
        <v>2.0</v>
      </c>
      <c r="G10444" s="60">
        <v>1.5</v>
      </c>
      <c r="H10444" s="60">
        <v>0.0</v>
      </c>
      <c r="I10444" s="60">
        <v>58.1960019999999</v>
      </c>
      <c r="J10444" s="59">
        <v>14.0</v>
      </c>
      <c r="K10444" s="61">
        <f t="shared" si="1"/>
        <v>0.6666666667</v>
      </c>
      <c r="L10444" s="62">
        <f t="shared" si="2"/>
        <v>4.666666667</v>
      </c>
    </row>
    <row r="10445">
      <c r="A10445" s="58">
        <v>45108.0</v>
      </c>
      <c r="B10445" s="24" t="s">
        <v>6789</v>
      </c>
      <c r="C10445" s="24" t="s">
        <v>7101</v>
      </c>
      <c r="D10445" s="59">
        <v>2.0</v>
      </c>
      <c r="E10445" s="59">
        <v>2.0</v>
      </c>
      <c r="F10445" s="59">
        <v>0.0</v>
      </c>
      <c r="G10445" s="60">
        <v>1.0</v>
      </c>
      <c r="H10445" s="60">
        <v>0.0</v>
      </c>
      <c r="I10445" s="60">
        <v>365.928972</v>
      </c>
      <c r="J10445" s="59">
        <v>6.0</v>
      </c>
      <c r="K10445" s="61">
        <f t="shared" si="1"/>
        <v>0</v>
      </c>
      <c r="L10445" s="62">
        <f t="shared" si="2"/>
        <v>3</v>
      </c>
    </row>
    <row r="10446">
      <c r="A10446" s="58">
        <v>45108.0</v>
      </c>
      <c r="B10446" s="24" t="s">
        <v>6790</v>
      </c>
      <c r="C10446" s="24" t="s">
        <v>7044</v>
      </c>
      <c r="D10446" s="59">
        <v>2.0</v>
      </c>
      <c r="E10446" s="59">
        <v>2.0</v>
      </c>
      <c r="F10446" s="59">
        <v>0.0</v>
      </c>
      <c r="G10446" s="60">
        <v>1.0</v>
      </c>
      <c r="H10446" s="60">
        <v>0.0</v>
      </c>
      <c r="I10446" s="60">
        <v>358.146377999999</v>
      </c>
      <c r="J10446" s="59">
        <v>6.0</v>
      </c>
      <c r="K10446" s="61">
        <f t="shared" si="1"/>
        <v>0</v>
      </c>
      <c r="L10446" s="62">
        <f t="shared" si="2"/>
        <v>3</v>
      </c>
    </row>
    <row r="10447">
      <c r="A10447" s="58">
        <v>45108.0</v>
      </c>
      <c r="B10447" s="24" t="s">
        <v>6789</v>
      </c>
      <c r="C10447" s="24" t="s">
        <v>7172</v>
      </c>
      <c r="D10447" s="59">
        <v>2.0</v>
      </c>
      <c r="E10447" s="59">
        <v>2.0</v>
      </c>
      <c r="F10447" s="59">
        <v>2.0</v>
      </c>
      <c r="G10447" s="60">
        <v>1.0</v>
      </c>
      <c r="H10447" s="60">
        <v>0.0</v>
      </c>
      <c r="I10447" s="60">
        <v>15.2888485</v>
      </c>
      <c r="J10447" s="59">
        <v>5.0</v>
      </c>
      <c r="K10447" s="61">
        <f t="shared" si="1"/>
        <v>1</v>
      </c>
      <c r="L10447" s="62">
        <f t="shared" si="2"/>
        <v>2.5</v>
      </c>
    </row>
    <row r="10448">
      <c r="A10448" s="58">
        <v>45108.0</v>
      </c>
      <c r="B10448" s="24" t="s">
        <v>6791</v>
      </c>
      <c r="C10448" s="24" t="s">
        <v>7313</v>
      </c>
      <c r="D10448" s="59">
        <v>2.0</v>
      </c>
      <c r="E10448" s="59">
        <v>2.0</v>
      </c>
      <c r="F10448" s="59">
        <v>1.0</v>
      </c>
      <c r="G10448" s="60">
        <v>1.0</v>
      </c>
      <c r="H10448" s="60">
        <v>0.5</v>
      </c>
      <c r="I10448" s="60">
        <v>3.050488</v>
      </c>
      <c r="J10448" s="59">
        <v>3.0</v>
      </c>
      <c r="K10448" s="61">
        <f t="shared" si="1"/>
        <v>0.5</v>
      </c>
      <c r="L10448" s="62">
        <f t="shared" si="2"/>
        <v>1.5</v>
      </c>
    </row>
    <row r="10449">
      <c r="A10449" s="58">
        <v>45108.0</v>
      </c>
      <c r="B10449" s="24" t="s">
        <v>155</v>
      </c>
      <c r="C10449" s="24" t="s">
        <v>7313</v>
      </c>
      <c r="D10449" s="59">
        <v>2.0</v>
      </c>
      <c r="E10449" s="59">
        <v>2.0</v>
      </c>
      <c r="F10449" s="59">
        <v>1.0</v>
      </c>
      <c r="G10449" s="60">
        <v>1.0</v>
      </c>
      <c r="H10449" s="60">
        <v>0.0</v>
      </c>
      <c r="I10449" s="60">
        <v>78.7856125</v>
      </c>
      <c r="J10449" s="59">
        <v>43.0</v>
      </c>
      <c r="K10449" s="61">
        <f t="shared" si="1"/>
        <v>0.5</v>
      </c>
      <c r="L10449" s="62">
        <f t="shared" si="2"/>
        <v>21.5</v>
      </c>
    </row>
    <row r="10450">
      <c r="A10450" s="58">
        <v>45108.0</v>
      </c>
      <c r="B10450" s="24" t="s">
        <v>6790</v>
      </c>
      <c r="C10450" s="24" t="s">
        <v>6910</v>
      </c>
      <c r="D10450" s="59">
        <v>2.0</v>
      </c>
      <c r="E10450" s="59">
        <v>3.0</v>
      </c>
      <c r="F10450" s="59">
        <v>0.0</v>
      </c>
      <c r="G10450" s="60">
        <v>1.5</v>
      </c>
      <c r="H10450" s="60">
        <v>0.0</v>
      </c>
      <c r="I10450" s="60">
        <v>498.731235333333</v>
      </c>
      <c r="J10450" s="59">
        <v>26.0</v>
      </c>
      <c r="K10450" s="61">
        <f t="shared" si="1"/>
        <v>0</v>
      </c>
      <c r="L10450" s="62">
        <f t="shared" si="2"/>
        <v>8.666666667</v>
      </c>
    </row>
    <row r="10451">
      <c r="A10451" s="58">
        <v>45108.0</v>
      </c>
      <c r="B10451" s="24" t="s">
        <v>6789</v>
      </c>
      <c r="C10451" s="24" t="s">
        <v>7104</v>
      </c>
      <c r="D10451" s="59">
        <v>2.0</v>
      </c>
      <c r="E10451" s="59">
        <v>2.0</v>
      </c>
      <c r="F10451" s="59">
        <v>0.0</v>
      </c>
      <c r="G10451" s="60">
        <v>1.0</v>
      </c>
      <c r="H10451" s="60">
        <v>0.0</v>
      </c>
      <c r="I10451" s="60">
        <v>362.344346999999</v>
      </c>
      <c r="J10451" s="59">
        <v>6.0</v>
      </c>
      <c r="K10451" s="61">
        <f t="shared" si="1"/>
        <v>0</v>
      </c>
      <c r="L10451" s="62">
        <f t="shared" si="2"/>
        <v>3</v>
      </c>
    </row>
    <row r="10452">
      <c r="A10452" s="58">
        <v>45108.0</v>
      </c>
      <c r="B10452" s="24" t="s">
        <v>6789</v>
      </c>
      <c r="C10452" s="24" t="s">
        <v>7027</v>
      </c>
      <c r="D10452" s="59">
        <v>2.0</v>
      </c>
      <c r="E10452" s="59">
        <v>2.0</v>
      </c>
      <c r="F10452" s="59">
        <v>1.0</v>
      </c>
      <c r="G10452" s="60">
        <v>1.0</v>
      </c>
      <c r="H10452" s="60">
        <v>0.0</v>
      </c>
      <c r="I10452" s="60">
        <v>3.5994535</v>
      </c>
      <c r="J10452" s="59">
        <v>4.0</v>
      </c>
      <c r="K10452" s="61">
        <f t="shared" si="1"/>
        <v>0.5</v>
      </c>
      <c r="L10452" s="62">
        <f t="shared" si="2"/>
        <v>2</v>
      </c>
    </row>
    <row r="10453">
      <c r="A10453" s="58">
        <v>45108.0</v>
      </c>
      <c r="B10453" s="24" t="s">
        <v>6787</v>
      </c>
      <c r="C10453" s="24" t="s">
        <v>7180</v>
      </c>
      <c r="D10453" s="59">
        <v>2.0</v>
      </c>
      <c r="E10453" s="59">
        <v>2.0</v>
      </c>
      <c r="F10453" s="59">
        <v>2.0</v>
      </c>
      <c r="G10453" s="60">
        <v>1.0</v>
      </c>
      <c r="H10453" s="60">
        <v>0.0</v>
      </c>
      <c r="I10453" s="60">
        <v>94.4621789999999</v>
      </c>
      <c r="J10453" s="59">
        <v>5.0</v>
      </c>
      <c r="K10453" s="61">
        <f t="shared" si="1"/>
        <v>1</v>
      </c>
      <c r="L10453" s="62">
        <f t="shared" si="2"/>
        <v>2.5</v>
      </c>
    </row>
    <row r="10454">
      <c r="A10454" s="58">
        <v>45108.0</v>
      </c>
      <c r="B10454" s="24" t="s">
        <v>6787</v>
      </c>
      <c r="C10454" s="24" t="s">
        <v>6922</v>
      </c>
      <c r="D10454" s="59">
        <v>2.0</v>
      </c>
      <c r="E10454" s="59">
        <v>2.0</v>
      </c>
      <c r="F10454" s="59">
        <v>2.0</v>
      </c>
      <c r="G10454" s="60">
        <v>1.0</v>
      </c>
      <c r="H10454" s="60">
        <v>0.0</v>
      </c>
      <c r="I10454" s="60">
        <v>3.1394385</v>
      </c>
      <c r="J10454" s="59">
        <v>4.0</v>
      </c>
      <c r="K10454" s="61">
        <f t="shared" si="1"/>
        <v>1</v>
      </c>
      <c r="L10454" s="62">
        <f t="shared" si="2"/>
        <v>2</v>
      </c>
    </row>
    <row r="10455">
      <c r="A10455" s="58">
        <v>45108.0</v>
      </c>
      <c r="B10455" s="24" t="s">
        <v>6791</v>
      </c>
      <c r="C10455" s="24" t="s">
        <v>6797</v>
      </c>
      <c r="D10455" s="59">
        <v>2.0</v>
      </c>
      <c r="E10455" s="59">
        <v>3.0</v>
      </c>
      <c r="F10455" s="59">
        <v>0.0</v>
      </c>
      <c r="G10455" s="60">
        <v>1.5</v>
      </c>
      <c r="H10455" s="60">
        <v>0.0</v>
      </c>
      <c r="I10455" s="60">
        <v>22.2883963333333</v>
      </c>
      <c r="J10455" s="59">
        <v>8.0</v>
      </c>
      <c r="K10455" s="61">
        <f t="shared" si="1"/>
        <v>0</v>
      </c>
      <c r="L10455" s="62">
        <f t="shared" si="2"/>
        <v>2.666666667</v>
      </c>
    </row>
    <row r="10456">
      <c r="A10456" s="58">
        <v>45108.0</v>
      </c>
      <c r="B10456" s="24" t="s">
        <v>7606</v>
      </c>
      <c r="C10456" s="27"/>
      <c r="D10456" s="59">
        <v>1.0</v>
      </c>
      <c r="E10456" s="59">
        <v>1.0</v>
      </c>
      <c r="F10456" s="59">
        <v>1.0</v>
      </c>
      <c r="G10456" s="60">
        <v>1.0</v>
      </c>
      <c r="H10456" s="60">
        <v>0.0</v>
      </c>
      <c r="I10456" s="60">
        <v>4.97316</v>
      </c>
      <c r="J10456" s="59">
        <v>2.0</v>
      </c>
      <c r="K10456" s="61">
        <f t="shared" si="1"/>
        <v>1</v>
      </c>
      <c r="L10456" s="62">
        <f t="shared" si="2"/>
        <v>2</v>
      </c>
    </row>
    <row r="10457">
      <c r="A10457" s="58">
        <v>45108.0</v>
      </c>
      <c r="B10457" s="24" t="s">
        <v>3216</v>
      </c>
      <c r="C10457" s="27"/>
      <c r="D10457" s="59">
        <v>1.0</v>
      </c>
      <c r="E10457" s="59">
        <v>1.0</v>
      </c>
      <c r="F10457" s="59">
        <v>0.0</v>
      </c>
      <c r="G10457" s="60">
        <v>1.0</v>
      </c>
      <c r="H10457" s="60">
        <v>0.0</v>
      </c>
      <c r="I10457" s="60">
        <v>11.884244</v>
      </c>
      <c r="J10457" s="59">
        <v>6.0</v>
      </c>
      <c r="K10457" s="61">
        <f t="shared" si="1"/>
        <v>0</v>
      </c>
      <c r="L10457" s="62">
        <f t="shared" si="2"/>
        <v>6</v>
      </c>
    </row>
    <row r="10458">
      <c r="A10458" s="58">
        <v>45108.0</v>
      </c>
      <c r="B10458" s="24" t="s">
        <v>6791</v>
      </c>
      <c r="C10458" s="27"/>
      <c r="D10458" s="59">
        <v>1.0</v>
      </c>
      <c r="E10458" s="59">
        <v>1.0</v>
      </c>
      <c r="F10458" s="59">
        <v>0.0</v>
      </c>
      <c r="G10458" s="60">
        <v>1.0</v>
      </c>
      <c r="H10458" s="60">
        <v>0.0</v>
      </c>
      <c r="I10458" s="60">
        <v>6.871241</v>
      </c>
      <c r="J10458" s="59">
        <v>2.0</v>
      </c>
      <c r="K10458" s="61">
        <f t="shared" si="1"/>
        <v>0</v>
      </c>
      <c r="L10458" s="62">
        <f t="shared" si="2"/>
        <v>2</v>
      </c>
    </row>
    <row r="10459">
      <c r="A10459" s="58">
        <v>45108.0</v>
      </c>
      <c r="B10459" s="24" t="s">
        <v>3216</v>
      </c>
      <c r="C10459" s="24" t="s">
        <v>7631</v>
      </c>
      <c r="D10459" s="59">
        <v>1.0</v>
      </c>
      <c r="E10459" s="59">
        <v>1.0</v>
      </c>
      <c r="F10459" s="59">
        <v>0.0</v>
      </c>
      <c r="G10459" s="60">
        <v>1.0</v>
      </c>
      <c r="H10459" s="60">
        <v>0.0</v>
      </c>
      <c r="I10459" s="60">
        <v>56.138695</v>
      </c>
      <c r="J10459" s="59">
        <v>2.0</v>
      </c>
      <c r="K10459" s="61">
        <f t="shared" si="1"/>
        <v>0</v>
      </c>
      <c r="L10459" s="62">
        <f t="shared" si="2"/>
        <v>2</v>
      </c>
    </row>
    <row r="10460">
      <c r="A10460" s="58">
        <v>45108.0</v>
      </c>
      <c r="B10460" s="24" t="s">
        <v>155</v>
      </c>
      <c r="C10460" s="24" t="s">
        <v>6803</v>
      </c>
      <c r="D10460" s="59">
        <v>1.0</v>
      </c>
      <c r="E10460" s="59">
        <v>1.0</v>
      </c>
      <c r="F10460" s="59">
        <v>0.0</v>
      </c>
      <c r="G10460" s="60">
        <v>1.0</v>
      </c>
      <c r="H10460" s="60">
        <v>0.0</v>
      </c>
      <c r="I10460" s="60">
        <v>5.231701</v>
      </c>
      <c r="J10460" s="59">
        <v>2.0</v>
      </c>
      <c r="K10460" s="61">
        <f t="shared" si="1"/>
        <v>0</v>
      </c>
      <c r="L10460" s="62">
        <f t="shared" si="2"/>
        <v>2</v>
      </c>
    </row>
    <row r="10461">
      <c r="A10461" s="58">
        <v>45108.0</v>
      </c>
      <c r="B10461" s="24" t="s">
        <v>7100</v>
      </c>
      <c r="C10461" s="24" t="s">
        <v>6817</v>
      </c>
      <c r="D10461" s="59">
        <v>1.0</v>
      </c>
      <c r="E10461" s="59">
        <v>3.0</v>
      </c>
      <c r="F10461" s="59">
        <v>0.0</v>
      </c>
      <c r="G10461" s="60">
        <v>3.0</v>
      </c>
      <c r="H10461" s="60">
        <v>0.0</v>
      </c>
      <c r="I10461" s="60">
        <v>969.502575</v>
      </c>
      <c r="J10461" s="59">
        <v>14.0</v>
      </c>
      <c r="K10461" s="61">
        <f t="shared" si="1"/>
        <v>0</v>
      </c>
      <c r="L10461" s="62">
        <f t="shared" si="2"/>
        <v>4.666666667</v>
      </c>
    </row>
    <row r="10462">
      <c r="A10462" s="58">
        <v>45108.0</v>
      </c>
      <c r="B10462" s="24" t="s">
        <v>155</v>
      </c>
      <c r="C10462" s="24" t="s">
        <v>6817</v>
      </c>
      <c r="D10462" s="59">
        <v>1.0</v>
      </c>
      <c r="E10462" s="59">
        <v>1.0</v>
      </c>
      <c r="F10462" s="59">
        <v>0.0</v>
      </c>
      <c r="G10462" s="60">
        <v>1.0</v>
      </c>
      <c r="H10462" s="60">
        <v>0.0</v>
      </c>
      <c r="I10462" s="60">
        <v>1198.350369</v>
      </c>
      <c r="J10462" s="59">
        <v>6.0</v>
      </c>
      <c r="K10462" s="61">
        <f t="shared" si="1"/>
        <v>0</v>
      </c>
      <c r="L10462" s="62">
        <f t="shared" si="2"/>
        <v>6</v>
      </c>
    </row>
    <row r="10463">
      <c r="A10463" s="58">
        <v>45108.0</v>
      </c>
      <c r="B10463" s="24" t="s">
        <v>6787</v>
      </c>
      <c r="C10463" s="24" t="s">
        <v>6861</v>
      </c>
      <c r="D10463" s="59">
        <v>1.0</v>
      </c>
      <c r="E10463" s="59">
        <v>1.0</v>
      </c>
      <c r="F10463" s="59">
        <v>1.0</v>
      </c>
      <c r="G10463" s="60">
        <v>1.0</v>
      </c>
      <c r="H10463" s="60">
        <v>0.0</v>
      </c>
      <c r="I10463" s="60">
        <v>0.080449</v>
      </c>
      <c r="J10463" s="59">
        <v>2.0</v>
      </c>
      <c r="K10463" s="61">
        <f t="shared" si="1"/>
        <v>1</v>
      </c>
      <c r="L10463" s="62">
        <f t="shared" si="2"/>
        <v>2</v>
      </c>
    </row>
    <row r="10464">
      <c r="A10464" s="58">
        <v>45108.0</v>
      </c>
      <c r="B10464" s="24" t="s">
        <v>6787</v>
      </c>
      <c r="C10464" s="24" t="s">
        <v>6985</v>
      </c>
      <c r="D10464" s="59">
        <v>1.0</v>
      </c>
      <c r="E10464" s="59">
        <v>1.0</v>
      </c>
      <c r="F10464" s="59">
        <v>1.0</v>
      </c>
      <c r="G10464" s="60">
        <v>1.0</v>
      </c>
      <c r="H10464" s="60">
        <v>0.0</v>
      </c>
      <c r="I10464" s="60">
        <v>0.054042</v>
      </c>
      <c r="J10464" s="59">
        <v>2.0</v>
      </c>
      <c r="K10464" s="61">
        <f t="shared" si="1"/>
        <v>1</v>
      </c>
      <c r="L10464" s="62">
        <f t="shared" si="2"/>
        <v>2</v>
      </c>
    </row>
    <row r="10465">
      <c r="A10465" s="58">
        <v>45108.0</v>
      </c>
      <c r="B10465" s="24" t="s">
        <v>6789</v>
      </c>
      <c r="C10465" s="24" t="s">
        <v>6985</v>
      </c>
      <c r="D10465" s="59">
        <v>1.0</v>
      </c>
      <c r="E10465" s="59">
        <v>1.0</v>
      </c>
      <c r="F10465" s="59">
        <v>1.0</v>
      </c>
      <c r="G10465" s="60">
        <v>1.0</v>
      </c>
      <c r="H10465" s="60">
        <v>0.0</v>
      </c>
      <c r="I10465" s="60">
        <v>36.916855</v>
      </c>
      <c r="J10465" s="59">
        <v>4.0</v>
      </c>
      <c r="K10465" s="61">
        <f t="shared" si="1"/>
        <v>1</v>
      </c>
      <c r="L10465" s="62">
        <f t="shared" si="2"/>
        <v>4</v>
      </c>
    </row>
    <row r="10466">
      <c r="A10466" s="58">
        <v>45108.0</v>
      </c>
      <c r="B10466" s="24" t="s">
        <v>3216</v>
      </c>
      <c r="C10466" s="24" t="s">
        <v>6833</v>
      </c>
      <c r="D10466" s="59">
        <v>1.0</v>
      </c>
      <c r="E10466" s="59">
        <v>1.0</v>
      </c>
      <c r="F10466" s="59">
        <v>1.0</v>
      </c>
      <c r="G10466" s="60">
        <v>1.0</v>
      </c>
      <c r="H10466" s="60">
        <v>0.0</v>
      </c>
      <c r="I10466" s="60">
        <v>5.850819</v>
      </c>
      <c r="J10466" s="59">
        <v>2.0</v>
      </c>
      <c r="K10466" s="61">
        <f t="shared" si="1"/>
        <v>1</v>
      </c>
      <c r="L10466" s="62">
        <f t="shared" si="2"/>
        <v>2</v>
      </c>
    </row>
    <row r="10467">
      <c r="A10467" s="58">
        <v>45108.0</v>
      </c>
      <c r="B10467" s="24" t="s">
        <v>6789</v>
      </c>
      <c r="C10467" s="24" t="s">
        <v>7063</v>
      </c>
      <c r="D10467" s="59">
        <v>1.0</v>
      </c>
      <c r="E10467" s="59">
        <v>1.0</v>
      </c>
      <c r="F10467" s="59">
        <v>1.0</v>
      </c>
      <c r="G10467" s="60">
        <v>1.0</v>
      </c>
      <c r="H10467" s="60">
        <v>0.0</v>
      </c>
      <c r="I10467" s="60">
        <v>5.482396</v>
      </c>
      <c r="J10467" s="59">
        <v>2.0</v>
      </c>
      <c r="K10467" s="61">
        <f t="shared" si="1"/>
        <v>1</v>
      </c>
      <c r="L10467" s="62">
        <f t="shared" si="2"/>
        <v>2</v>
      </c>
    </row>
    <row r="10468">
      <c r="A10468" s="58">
        <v>45108.0</v>
      </c>
      <c r="B10468" s="24" t="s">
        <v>6794</v>
      </c>
      <c r="C10468" s="24" t="s">
        <v>7063</v>
      </c>
      <c r="D10468" s="59">
        <v>1.0</v>
      </c>
      <c r="E10468" s="59">
        <v>1.0</v>
      </c>
      <c r="F10468" s="59">
        <v>1.0</v>
      </c>
      <c r="G10468" s="60">
        <v>1.0</v>
      </c>
      <c r="H10468" s="60">
        <v>0.0</v>
      </c>
      <c r="I10468" s="60">
        <v>4.530555</v>
      </c>
      <c r="J10468" s="59">
        <v>2.0</v>
      </c>
      <c r="K10468" s="61">
        <f t="shared" si="1"/>
        <v>1</v>
      </c>
      <c r="L10468" s="62">
        <f t="shared" si="2"/>
        <v>2</v>
      </c>
    </row>
    <row r="10469">
      <c r="A10469" s="58">
        <v>45108.0</v>
      </c>
      <c r="B10469" s="24" t="s">
        <v>155</v>
      </c>
      <c r="C10469" s="24" t="s">
        <v>7063</v>
      </c>
      <c r="D10469" s="59">
        <v>1.0</v>
      </c>
      <c r="E10469" s="59">
        <v>1.0</v>
      </c>
      <c r="F10469" s="59">
        <v>0.0</v>
      </c>
      <c r="G10469" s="60">
        <v>1.0</v>
      </c>
      <c r="H10469" s="60">
        <v>0.0</v>
      </c>
      <c r="I10469" s="60">
        <v>1.221878</v>
      </c>
      <c r="J10469" s="59">
        <v>2.0</v>
      </c>
      <c r="K10469" s="61">
        <f t="shared" si="1"/>
        <v>0</v>
      </c>
      <c r="L10469" s="62">
        <f t="shared" si="2"/>
        <v>2</v>
      </c>
    </row>
    <row r="10470">
      <c r="A10470" s="58">
        <v>45108.0</v>
      </c>
      <c r="B10470" s="24" t="s">
        <v>6787</v>
      </c>
      <c r="C10470" s="24" t="s">
        <v>7065</v>
      </c>
      <c r="D10470" s="59">
        <v>1.0</v>
      </c>
      <c r="E10470" s="59">
        <v>1.0</v>
      </c>
      <c r="F10470" s="59">
        <v>1.0</v>
      </c>
      <c r="G10470" s="60">
        <v>1.0</v>
      </c>
      <c r="H10470" s="60">
        <v>0.0</v>
      </c>
      <c r="I10470" s="60">
        <v>0.196656</v>
      </c>
      <c r="J10470" s="59">
        <v>2.0</v>
      </c>
      <c r="K10470" s="61">
        <f t="shared" si="1"/>
        <v>1</v>
      </c>
      <c r="L10470" s="62">
        <f t="shared" si="2"/>
        <v>2</v>
      </c>
    </row>
    <row r="10471">
      <c r="A10471" s="58">
        <v>45108.0</v>
      </c>
      <c r="B10471" s="24" t="s">
        <v>155</v>
      </c>
      <c r="C10471" s="24" t="s">
        <v>7065</v>
      </c>
      <c r="D10471" s="59">
        <v>1.0</v>
      </c>
      <c r="E10471" s="59">
        <v>1.0</v>
      </c>
      <c r="F10471" s="59">
        <v>0.0</v>
      </c>
      <c r="G10471" s="60">
        <v>1.0</v>
      </c>
      <c r="H10471" s="60">
        <v>0.0</v>
      </c>
      <c r="I10471" s="60">
        <v>5225.415827</v>
      </c>
      <c r="J10471" s="59">
        <v>22.0</v>
      </c>
      <c r="K10471" s="61">
        <f t="shared" si="1"/>
        <v>0</v>
      </c>
      <c r="L10471" s="62">
        <f t="shared" si="2"/>
        <v>22</v>
      </c>
    </row>
    <row r="10472">
      <c r="A10472" s="58">
        <v>45108.0</v>
      </c>
      <c r="B10472" s="24" t="s">
        <v>6789</v>
      </c>
      <c r="C10472" s="24" t="s">
        <v>6990</v>
      </c>
      <c r="D10472" s="59">
        <v>1.0</v>
      </c>
      <c r="E10472" s="59">
        <v>1.0</v>
      </c>
      <c r="F10472" s="59">
        <v>1.0</v>
      </c>
      <c r="G10472" s="60">
        <v>1.0</v>
      </c>
      <c r="H10472" s="60">
        <v>0.0</v>
      </c>
      <c r="I10472" s="60">
        <v>7.882456</v>
      </c>
      <c r="J10472" s="59">
        <v>2.0</v>
      </c>
      <c r="K10472" s="61">
        <f t="shared" si="1"/>
        <v>1</v>
      </c>
      <c r="L10472" s="62">
        <f t="shared" si="2"/>
        <v>2</v>
      </c>
    </row>
    <row r="10473">
      <c r="A10473" s="58">
        <v>45108.0</v>
      </c>
      <c r="B10473" s="24" t="s">
        <v>6794</v>
      </c>
      <c r="C10473" s="24" t="s">
        <v>7068</v>
      </c>
      <c r="D10473" s="59">
        <v>1.0</v>
      </c>
      <c r="E10473" s="59">
        <v>1.0</v>
      </c>
      <c r="F10473" s="59">
        <v>1.0</v>
      </c>
      <c r="G10473" s="60">
        <v>1.0</v>
      </c>
      <c r="H10473" s="60">
        <v>0.0</v>
      </c>
      <c r="I10473" s="60">
        <v>5.55116</v>
      </c>
      <c r="J10473" s="59">
        <v>2.0</v>
      </c>
      <c r="K10473" s="61">
        <f t="shared" si="1"/>
        <v>1</v>
      </c>
      <c r="L10473" s="62">
        <f t="shared" si="2"/>
        <v>2</v>
      </c>
    </row>
    <row r="10474">
      <c r="A10474" s="58">
        <v>45108.0</v>
      </c>
      <c r="B10474" s="24" t="s">
        <v>6789</v>
      </c>
      <c r="C10474" s="24" t="s">
        <v>6991</v>
      </c>
      <c r="D10474" s="59">
        <v>1.0</v>
      </c>
      <c r="E10474" s="59">
        <v>2.0</v>
      </c>
      <c r="F10474" s="59">
        <v>0.0</v>
      </c>
      <c r="G10474" s="60">
        <v>2.0</v>
      </c>
      <c r="H10474" s="60">
        <v>0.0</v>
      </c>
      <c r="I10474" s="60">
        <v>384.711468499999</v>
      </c>
      <c r="J10474" s="59">
        <v>4.0</v>
      </c>
      <c r="K10474" s="61">
        <f t="shared" si="1"/>
        <v>0</v>
      </c>
      <c r="L10474" s="62">
        <f t="shared" si="2"/>
        <v>2</v>
      </c>
    </row>
    <row r="10475">
      <c r="A10475" s="58">
        <v>45108.0</v>
      </c>
      <c r="B10475" s="24" t="s">
        <v>6789</v>
      </c>
      <c r="C10475" s="24" t="s">
        <v>7632</v>
      </c>
      <c r="D10475" s="59">
        <v>1.0</v>
      </c>
      <c r="E10475" s="59">
        <v>1.0</v>
      </c>
      <c r="F10475" s="59">
        <v>0.0</v>
      </c>
      <c r="G10475" s="60">
        <v>1.0</v>
      </c>
      <c r="H10475" s="60">
        <v>0.0</v>
      </c>
      <c r="I10475" s="60">
        <v>45.6137079999999</v>
      </c>
      <c r="J10475" s="59">
        <v>4.0</v>
      </c>
      <c r="K10475" s="61">
        <f t="shared" si="1"/>
        <v>0</v>
      </c>
      <c r="L10475" s="62">
        <f t="shared" si="2"/>
        <v>4</v>
      </c>
    </row>
    <row r="10476">
      <c r="A10476" s="58">
        <v>45108.0</v>
      </c>
      <c r="B10476" s="24" t="s">
        <v>6790</v>
      </c>
      <c r="C10476" s="24" t="s">
        <v>7632</v>
      </c>
      <c r="D10476" s="59">
        <v>1.0</v>
      </c>
      <c r="E10476" s="59">
        <v>14.0</v>
      </c>
      <c r="F10476" s="59">
        <v>0.0</v>
      </c>
      <c r="G10476" s="60">
        <v>14.0</v>
      </c>
      <c r="H10476" s="60">
        <v>0.0</v>
      </c>
      <c r="I10476" s="60">
        <v>1052.05317135714</v>
      </c>
      <c r="J10476" s="59">
        <v>46.0</v>
      </c>
      <c r="K10476" s="61">
        <f t="shared" si="1"/>
        <v>0</v>
      </c>
      <c r="L10476" s="62">
        <f t="shared" si="2"/>
        <v>3.285714286</v>
      </c>
    </row>
    <row r="10477">
      <c r="A10477" s="58">
        <v>45108.0</v>
      </c>
      <c r="B10477" s="24" t="s">
        <v>6787</v>
      </c>
      <c r="C10477" s="24" t="s">
        <v>7628</v>
      </c>
      <c r="D10477" s="59">
        <v>1.0</v>
      </c>
      <c r="E10477" s="59">
        <v>1.0</v>
      </c>
      <c r="F10477" s="59">
        <v>0.0</v>
      </c>
      <c r="G10477" s="60">
        <v>1.0</v>
      </c>
      <c r="H10477" s="60">
        <v>0.0</v>
      </c>
      <c r="I10477" s="60">
        <v>63.001416</v>
      </c>
      <c r="J10477" s="59">
        <v>2.0</v>
      </c>
      <c r="K10477" s="61">
        <f t="shared" si="1"/>
        <v>0</v>
      </c>
      <c r="L10477" s="62">
        <f t="shared" si="2"/>
        <v>2</v>
      </c>
    </row>
    <row r="10478">
      <c r="A10478" s="58">
        <v>45108.0</v>
      </c>
      <c r="B10478" s="24" t="s">
        <v>6787</v>
      </c>
      <c r="C10478" s="24" t="s">
        <v>7629</v>
      </c>
      <c r="D10478" s="59">
        <v>1.0</v>
      </c>
      <c r="E10478" s="59">
        <v>1.0</v>
      </c>
      <c r="F10478" s="59">
        <v>0.0</v>
      </c>
      <c r="G10478" s="60">
        <v>1.0</v>
      </c>
      <c r="H10478" s="60">
        <v>0.0</v>
      </c>
      <c r="I10478" s="60">
        <v>5.104719</v>
      </c>
      <c r="J10478" s="59">
        <v>2.0</v>
      </c>
      <c r="K10478" s="61">
        <f t="shared" si="1"/>
        <v>0</v>
      </c>
      <c r="L10478" s="62">
        <f t="shared" si="2"/>
        <v>2</v>
      </c>
    </row>
    <row r="10479">
      <c r="A10479" s="58">
        <v>45108.0</v>
      </c>
      <c r="B10479" s="24" t="s">
        <v>6794</v>
      </c>
      <c r="C10479" s="24" t="s">
        <v>7629</v>
      </c>
      <c r="D10479" s="59">
        <v>1.0</v>
      </c>
      <c r="E10479" s="59">
        <v>1.0</v>
      </c>
      <c r="F10479" s="59">
        <v>0.0</v>
      </c>
      <c r="G10479" s="60">
        <v>1.0</v>
      </c>
      <c r="H10479" s="60">
        <v>0.0</v>
      </c>
      <c r="I10479" s="60">
        <v>6.302986</v>
      </c>
      <c r="J10479" s="59">
        <v>2.0</v>
      </c>
      <c r="K10479" s="61">
        <f t="shared" si="1"/>
        <v>0</v>
      </c>
      <c r="L10479" s="62">
        <f t="shared" si="2"/>
        <v>2</v>
      </c>
    </row>
    <row r="10480">
      <c r="A10480" s="58">
        <v>45108.0</v>
      </c>
      <c r="B10480" s="24" t="s">
        <v>6789</v>
      </c>
      <c r="C10480" s="24" t="s">
        <v>7625</v>
      </c>
      <c r="D10480" s="59">
        <v>1.0</v>
      </c>
      <c r="E10480" s="59">
        <v>1.0</v>
      </c>
      <c r="F10480" s="59">
        <v>0.0</v>
      </c>
      <c r="G10480" s="60">
        <v>1.0</v>
      </c>
      <c r="H10480" s="60">
        <v>0.0</v>
      </c>
      <c r="I10480" s="60">
        <v>6.95702</v>
      </c>
      <c r="J10480" s="59">
        <v>4.0</v>
      </c>
      <c r="K10480" s="61">
        <f t="shared" si="1"/>
        <v>0</v>
      </c>
      <c r="L10480" s="62">
        <f t="shared" si="2"/>
        <v>4</v>
      </c>
    </row>
    <row r="10481">
      <c r="A10481" s="58">
        <v>45108.0</v>
      </c>
      <c r="B10481" s="24" t="s">
        <v>6790</v>
      </c>
      <c r="C10481" s="24" t="s">
        <v>7625</v>
      </c>
      <c r="D10481" s="59">
        <v>1.0</v>
      </c>
      <c r="E10481" s="59">
        <v>1.0</v>
      </c>
      <c r="F10481" s="59">
        <v>1.0</v>
      </c>
      <c r="G10481" s="60">
        <v>1.0</v>
      </c>
      <c r="H10481" s="60">
        <v>0.0</v>
      </c>
      <c r="I10481" s="60">
        <v>4.931931</v>
      </c>
      <c r="J10481" s="59">
        <v>2.0</v>
      </c>
      <c r="K10481" s="61">
        <f t="shared" si="1"/>
        <v>1</v>
      </c>
      <c r="L10481" s="62">
        <f t="shared" si="2"/>
        <v>2</v>
      </c>
    </row>
    <row r="10482">
      <c r="A10482" s="58">
        <v>45108.0</v>
      </c>
      <c r="B10482" s="24" t="s">
        <v>6787</v>
      </c>
      <c r="C10482" s="24" t="s">
        <v>7633</v>
      </c>
      <c r="D10482" s="59">
        <v>1.0</v>
      </c>
      <c r="E10482" s="59">
        <v>1.0</v>
      </c>
      <c r="F10482" s="59">
        <v>0.0</v>
      </c>
      <c r="G10482" s="60">
        <v>1.0</v>
      </c>
      <c r="H10482" s="60">
        <v>0.0</v>
      </c>
      <c r="I10482" s="60">
        <v>5.343035</v>
      </c>
      <c r="J10482" s="59">
        <v>2.0</v>
      </c>
      <c r="K10482" s="61">
        <f t="shared" si="1"/>
        <v>0</v>
      </c>
      <c r="L10482" s="62">
        <f t="shared" si="2"/>
        <v>2</v>
      </c>
    </row>
    <row r="10483">
      <c r="A10483" s="58">
        <v>45108.0</v>
      </c>
      <c r="B10483" s="24" t="s">
        <v>6789</v>
      </c>
      <c r="C10483" s="24" t="s">
        <v>7633</v>
      </c>
      <c r="D10483" s="59">
        <v>1.0</v>
      </c>
      <c r="E10483" s="59">
        <v>1.0</v>
      </c>
      <c r="F10483" s="59">
        <v>0.0</v>
      </c>
      <c r="G10483" s="60">
        <v>1.0</v>
      </c>
      <c r="H10483" s="60">
        <v>0.0</v>
      </c>
      <c r="I10483" s="60">
        <v>8.735801</v>
      </c>
      <c r="J10483" s="59">
        <v>2.0</v>
      </c>
      <c r="K10483" s="61">
        <f t="shared" si="1"/>
        <v>0</v>
      </c>
      <c r="L10483" s="62">
        <f t="shared" si="2"/>
        <v>2</v>
      </c>
    </row>
    <row r="10484">
      <c r="A10484" s="58">
        <v>45108.0</v>
      </c>
      <c r="B10484" s="24" t="s">
        <v>155</v>
      </c>
      <c r="C10484" s="24" t="s">
        <v>7633</v>
      </c>
      <c r="D10484" s="59">
        <v>1.0</v>
      </c>
      <c r="E10484" s="59">
        <v>1.0</v>
      </c>
      <c r="F10484" s="59">
        <v>0.0</v>
      </c>
      <c r="G10484" s="60">
        <v>1.0</v>
      </c>
      <c r="H10484" s="60">
        <v>0.0</v>
      </c>
      <c r="I10484" s="60">
        <v>154.601498</v>
      </c>
      <c r="J10484" s="59">
        <v>2.0</v>
      </c>
      <c r="K10484" s="61">
        <f t="shared" si="1"/>
        <v>0</v>
      </c>
      <c r="L10484" s="62">
        <f t="shared" si="2"/>
        <v>2</v>
      </c>
    </row>
    <row r="10485">
      <c r="A10485" s="58">
        <v>45108.0</v>
      </c>
      <c r="B10485" s="24" t="s">
        <v>6787</v>
      </c>
      <c r="C10485" s="24" t="s">
        <v>7634</v>
      </c>
      <c r="D10485" s="59">
        <v>1.0</v>
      </c>
      <c r="E10485" s="59">
        <v>4.0</v>
      </c>
      <c r="F10485" s="59">
        <v>0.0</v>
      </c>
      <c r="G10485" s="60">
        <v>4.0</v>
      </c>
      <c r="H10485" s="60">
        <v>0.0</v>
      </c>
      <c r="I10485" s="60">
        <v>5.49947849999999</v>
      </c>
      <c r="J10485" s="59">
        <v>10.0</v>
      </c>
      <c r="K10485" s="61">
        <f t="shared" si="1"/>
        <v>0</v>
      </c>
      <c r="L10485" s="62">
        <f t="shared" si="2"/>
        <v>2.5</v>
      </c>
    </row>
    <row r="10486">
      <c r="A10486" s="58">
        <v>45108.0</v>
      </c>
      <c r="B10486" s="24" t="s">
        <v>6789</v>
      </c>
      <c r="C10486" s="24" t="s">
        <v>7464</v>
      </c>
      <c r="D10486" s="59">
        <v>1.0</v>
      </c>
      <c r="E10486" s="59">
        <v>2.0</v>
      </c>
      <c r="F10486" s="59">
        <v>0.0</v>
      </c>
      <c r="G10486" s="60">
        <v>2.0</v>
      </c>
      <c r="H10486" s="60">
        <v>0.0</v>
      </c>
      <c r="I10486" s="60">
        <v>2372.40757</v>
      </c>
      <c r="J10486" s="59">
        <v>30.0</v>
      </c>
      <c r="K10486" s="61">
        <f t="shared" si="1"/>
        <v>0</v>
      </c>
      <c r="L10486" s="62">
        <f t="shared" si="2"/>
        <v>15</v>
      </c>
    </row>
    <row r="10487">
      <c r="A10487" s="58">
        <v>45108.0</v>
      </c>
      <c r="B10487" s="24" t="s">
        <v>3216</v>
      </c>
      <c r="C10487" s="24" t="s">
        <v>6886</v>
      </c>
      <c r="D10487" s="59">
        <v>1.0</v>
      </c>
      <c r="E10487" s="59">
        <v>1.0</v>
      </c>
      <c r="F10487" s="59">
        <v>0.0</v>
      </c>
      <c r="G10487" s="60">
        <v>1.0</v>
      </c>
      <c r="H10487" s="60">
        <v>0.0</v>
      </c>
      <c r="I10487" s="60">
        <v>7.959902</v>
      </c>
      <c r="J10487" s="59">
        <v>2.0</v>
      </c>
      <c r="K10487" s="61">
        <f t="shared" si="1"/>
        <v>0</v>
      </c>
      <c r="L10487" s="62">
        <f t="shared" si="2"/>
        <v>2</v>
      </c>
    </row>
    <row r="10488">
      <c r="A10488" s="58">
        <v>45108.0</v>
      </c>
      <c r="B10488" s="24" t="s">
        <v>6794</v>
      </c>
      <c r="C10488" s="24" t="s">
        <v>6886</v>
      </c>
      <c r="D10488" s="59">
        <v>1.0</v>
      </c>
      <c r="E10488" s="59">
        <v>1.0</v>
      </c>
      <c r="F10488" s="59">
        <v>1.0</v>
      </c>
      <c r="G10488" s="60">
        <v>1.0</v>
      </c>
      <c r="H10488" s="60">
        <v>0.0</v>
      </c>
      <c r="I10488" s="60">
        <v>35.435161</v>
      </c>
      <c r="J10488" s="59">
        <v>2.0</v>
      </c>
      <c r="K10488" s="61">
        <f t="shared" si="1"/>
        <v>1</v>
      </c>
      <c r="L10488" s="62">
        <f t="shared" si="2"/>
        <v>2</v>
      </c>
    </row>
    <row r="10489">
      <c r="A10489" s="58">
        <v>45108.0</v>
      </c>
      <c r="B10489" s="24" t="s">
        <v>6790</v>
      </c>
      <c r="C10489" s="24" t="s">
        <v>6886</v>
      </c>
      <c r="D10489" s="59">
        <v>1.0</v>
      </c>
      <c r="E10489" s="59">
        <v>1.0</v>
      </c>
      <c r="F10489" s="59">
        <v>0.0</v>
      </c>
      <c r="G10489" s="60">
        <v>1.0</v>
      </c>
      <c r="H10489" s="60">
        <v>1.0</v>
      </c>
      <c r="I10489" s="60">
        <v>12.152267</v>
      </c>
      <c r="J10489" s="59">
        <v>2.0</v>
      </c>
      <c r="K10489" s="61">
        <f t="shared" si="1"/>
        <v>0</v>
      </c>
      <c r="L10489" s="62">
        <f t="shared" si="2"/>
        <v>2</v>
      </c>
    </row>
    <row r="10490">
      <c r="A10490" s="58">
        <v>45108.0</v>
      </c>
      <c r="B10490" s="24" t="s">
        <v>6791</v>
      </c>
      <c r="C10490" s="24" t="s">
        <v>6799</v>
      </c>
      <c r="D10490" s="59">
        <v>1.0</v>
      </c>
      <c r="E10490" s="59">
        <v>1.0</v>
      </c>
      <c r="F10490" s="59">
        <v>1.0</v>
      </c>
      <c r="G10490" s="60">
        <v>1.0</v>
      </c>
      <c r="H10490" s="60">
        <v>0.0</v>
      </c>
      <c r="I10490" s="60">
        <v>596.877094</v>
      </c>
      <c r="J10490" s="59">
        <v>1.0</v>
      </c>
      <c r="K10490" s="61">
        <f t="shared" si="1"/>
        <v>1</v>
      </c>
      <c r="L10490" s="62">
        <f t="shared" si="2"/>
        <v>1</v>
      </c>
    </row>
    <row r="10491">
      <c r="A10491" s="58">
        <v>45108.0</v>
      </c>
      <c r="B10491" s="24" t="s">
        <v>6790</v>
      </c>
      <c r="C10491" s="24" t="s">
        <v>6799</v>
      </c>
      <c r="D10491" s="59">
        <v>1.0</v>
      </c>
      <c r="E10491" s="59">
        <v>1.0</v>
      </c>
      <c r="F10491" s="59">
        <v>0.0</v>
      </c>
      <c r="G10491" s="60">
        <v>1.0</v>
      </c>
      <c r="H10491" s="60">
        <v>0.0</v>
      </c>
      <c r="I10491" s="60">
        <v>13.112312</v>
      </c>
      <c r="J10491" s="59">
        <v>4.0</v>
      </c>
      <c r="K10491" s="61">
        <f t="shared" si="1"/>
        <v>0</v>
      </c>
      <c r="L10491" s="62">
        <f t="shared" si="2"/>
        <v>4</v>
      </c>
    </row>
    <row r="10492">
      <c r="A10492" s="58">
        <v>45108.0</v>
      </c>
      <c r="B10492" s="24" t="s">
        <v>6787</v>
      </c>
      <c r="C10492" s="24" t="s">
        <v>6892</v>
      </c>
      <c r="D10492" s="59">
        <v>1.0</v>
      </c>
      <c r="E10492" s="59">
        <v>1.0</v>
      </c>
      <c r="F10492" s="59">
        <v>1.0</v>
      </c>
      <c r="G10492" s="60">
        <v>1.0</v>
      </c>
      <c r="H10492" s="60">
        <v>0.0</v>
      </c>
      <c r="I10492" s="60">
        <v>11.567297</v>
      </c>
      <c r="J10492" s="59">
        <v>2.0</v>
      </c>
      <c r="K10492" s="61">
        <f t="shared" si="1"/>
        <v>1</v>
      </c>
      <c r="L10492" s="62">
        <f t="shared" si="2"/>
        <v>2</v>
      </c>
    </row>
    <row r="10493">
      <c r="A10493" s="58">
        <v>45108.0</v>
      </c>
      <c r="B10493" s="24" t="s">
        <v>6794</v>
      </c>
      <c r="C10493" s="24" t="s">
        <v>6892</v>
      </c>
      <c r="D10493" s="59">
        <v>1.0</v>
      </c>
      <c r="E10493" s="59">
        <v>1.0</v>
      </c>
      <c r="F10493" s="59">
        <v>1.0</v>
      </c>
      <c r="G10493" s="60">
        <v>1.0</v>
      </c>
      <c r="H10493" s="60">
        <v>0.0</v>
      </c>
      <c r="I10493" s="60">
        <v>318.669627</v>
      </c>
      <c r="J10493" s="59">
        <v>2.0</v>
      </c>
      <c r="K10493" s="61">
        <f t="shared" si="1"/>
        <v>1</v>
      </c>
      <c r="L10493" s="62">
        <f t="shared" si="2"/>
        <v>2</v>
      </c>
    </row>
    <row r="10494">
      <c r="A10494" s="58">
        <v>45108.0</v>
      </c>
      <c r="B10494" s="24" t="s">
        <v>6794</v>
      </c>
      <c r="C10494" s="24" t="s">
        <v>6896</v>
      </c>
      <c r="D10494" s="59">
        <v>1.0</v>
      </c>
      <c r="E10494" s="59">
        <v>1.0</v>
      </c>
      <c r="F10494" s="59">
        <v>0.0</v>
      </c>
      <c r="G10494" s="60">
        <v>1.0</v>
      </c>
      <c r="H10494" s="60">
        <v>0.0</v>
      </c>
      <c r="I10494" s="60">
        <v>62.527739</v>
      </c>
      <c r="J10494" s="59">
        <v>2.0</v>
      </c>
      <c r="K10494" s="61">
        <f t="shared" si="1"/>
        <v>0</v>
      </c>
      <c r="L10494" s="62">
        <f t="shared" si="2"/>
        <v>2</v>
      </c>
    </row>
    <row r="10495">
      <c r="A10495" s="58">
        <v>45108.0</v>
      </c>
      <c r="B10495" s="24" t="s">
        <v>6790</v>
      </c>
      <c r="C10495" s="24" t="s">
        <v>7439</v>
      </c>
      <c r="D10495" s="59">
        <v>1.0</v>
      </c>
      <c r="E10495" s="59">
        <v>1.0</v>
      </c>
      <c r="F10495" s="59">
        <v>1.0</v>
      </c>
      <c r="G10495" s="60">
        <v>1.0</v>
      </c>
      <c r="H10495" s="60">
        <v>0.0</v>
      </c>
      <c r="I10495" s="60">
        <v>17.386296</v>
      </c>
      <c r="J10495" s="59">
        <v>2.0</v>
      </c>
      <c r="K10495" s="61">
        <f t="shared" si="1"/>
        <v>1</v>
      </c>
      <c r="L10495" s="62">
        <f t="shared" si="2"/>
        <v>2</v>
      </c>
    </row>
    <row r="10496">
      <c r="A10496" s="58">
        <v>45108.0</v>
      </c>
      <c r="B10496" s="24" t="s">
        <v>155</v>
      </c>
      <c r="C10496" s="24" t="s">
        <v>7635</v>
      </c>
      <c r="D10496" s="59">
        <v>1.0</v>
      </c>
      <c r="E10496" s="59">
        <v>1.0</v>
      </c>
      <c r="F10496" s="59">
        <v>0.0</v>
      </c>
      <c r="G10496" s="60">
        <v>1.0</v>
      </c>
      <c r="H10496" s="60">
        <v>0.0</v>
      </c>
      <c r="I10496" s="60">
        <v>0.429441</v>
      </c>
      <c r="J10496" s="59">
        <v>2.0</v>
      </c>
      <c r="K10496" s="61">
        <f t="shared" si="1"/>
        <v>0</v>
      </c>
      <c r="L10496" s="62">
        <f t="shared" si="2"/>
        <v>2</v>
      </c>
    </row>
    <row r="10497">
      <c r="A10497" s="58">
        <v>45108.0</v>
      </c>
      <c r="B10497" s="24" t="s">
        <v>3216</v>
      </c>
      <c r="C10497" s="24" t="s">
        <v>7008</v>
      </c>
      <c r="D10497" s="59">
        <v>1.0</v>
      </c>
      <c r="E10497" s="59">
        <v>1.0</v>
      </c>
      <c r="F10497" s="59">
        <v>0.0</v>
      </c>
      <c r="G10497" s="60">
        <v>1.0</v>
      </c>
      <c r="H10497" s="60">
        <v>0.0</v>
      </c>
      <c r="I10497" s="60">
        <v>1391.423729</v>
      </c>
      <c r="J10497" s="59">
        <v>8.0</v>
      </c>
      <c r="K10497" s="61">
        <f t="shared" si="1"/>
        <v>0</v>
      </c>
      <c r="L10497" s="62">
        <f t="shared" si="2"/>
        <v>8</v>
      </c>
    </row>
    <row r="10498">
      <c r="A10498" s="58">
        <v>45108.0</v>
      </c>
      <c r="B10498" s="24" t="s">
        <v>3216</v>
      </c>
      <c r="C10498" s="24" t="s">
        <v>7009</v>
      </c>
      <c r="D10498" s="59">
        <v>1.0</v>
      </c>
      <c r="E10498" s="59">
        <v>2.0</v>
      </c>
      <c r="F10498" s="59">
        <v>0.0</v>
      </c>
      <c r="G10498" s="60">
        <v>2.0</v>
      </c>
      <c r="H10498" s="60">
        <v>0.0</v>
      </c>
      <c r="I10498" s="60">
        <v>9.5901615</v>
      </c>
      <c r="J10498" s="59">
        <v>4.0</v>
      </c>
      <c r="K10498" s="61">
        <f t="shared" si="1"/>
        <v>0</v>
      </c>
      <c r="L10498" s="62">
        <f t="shared" si="2"/>
        <v>2</v>
      </c>
    </row>
    <row r="10499">
      <c r="A10499" s="58">
        <v>45108.0</v>
      </c>
      <c r="B10499" s="24" t="s">
        <v>6789</v>
      </c>
      <c r="C10499" s="24" t="s">
        <v>7009</v>
      </c>
      <c r="D10499" s="59">
        <v>1.0</v>
      </c>
      <c r="E10499" s="59">
        <v>3.0</v>
      </c>
      <c r="F10499" s="59">
        <v>0.0</v>
      </c>
      <c r="G10499" s="60">
        <v>3.0</v>
      </c>
      <c r="H10499" s="60">
        <v>0.0</v>
      </c>
      <c r="I10499" s="60">
        <v>214.75983</v>
      </c>
      <c r="J10499" s="59">
        <v>20.0</v>
      </c>
      <c r="K10499" s="61">
        <f t="shared" si="1"/>
        <v>0</v>
      </c>
      <c r="L10499" s="62">
        <f t="shared" si="2"/>
        <v>6.666666667</v>
      </c>
    </row>
    <row r="10500">
      <c r="A10500" s="58">
        <v>45108.0</v>
      </c>
      <c r="B10500" s="24" t="s">
        <v>6787</v>
      </c>
      <c r="C10500" s="24" t="s">
        <v>6904</v>
      </c>
      <c r="D10500" s="59">
        <v>1.0</v>
      </c>
      <c r="E10500" s="59">
        <v>1.0</v>
      </c>
      <c r="F10500" s="59">
        <v>1.0</v>
      </c>
      <c r="G10500" s="60">
        <v>1.0</v>
      </c>
      <c r="H10500" s="60">
        <v>0.0</v>
      </c>
      <c r="I10500" s="60">
        <v>8.870037</v>
      </c>
      <c r="J10500" s="59">
        <v>4.0</v>
      </c>
      <c r="K10500" s="61">
        <f t="shared" si="1"/>
        <v>1</v>
      </c>
      <c r="L10500" s="62">
        <f t="shared" si="2"/>
        <v>4</v>
      </c>
    </row>
    <row r="10501">
      <c r="A10501" s="58">
        <v>45108.0</v>
      </c>
      <c r="B10501" s="24" t="s">
        <v>6789</v>
      </c>
      <c r="C10501" s="24" t="s">
        <v>7034</v>
      </c>
      <c r="D10501" s="59">
        <v>1.0</v>
      </c>
      <c r="E10501" s="59">
        <v>1.0</v>
      </c>
      <c r="F10501" s="59">
        <v>0.0</v>
      </c>
      <c r="G10501" s="60">
        <v>1.0</v>
      </c>
      <c r="H10501" s="60">
        <v>0.0</v>
      </c>
      <c r="I10501" s="60">
        <v>868.52861</v>
      </c>
      <c r="J10501" s="59">
        <v>2.0</v>
      </c>
      <c r="K10501" s="61">
        <f t="shared" si="1"/>
        <v>0</v>
      </c>
      <c r="L10501" s="62">
        <f t="shared" si="2"/>
        <v>2</v>
      </c>
    </row>
    <row r="10502">
      <c r="A10502" s="58">
        <v>45108.0</v>
      </c>
      <c r="B10502" s="24" t="s">
        <v>155</v>
      </c>
      <c r="C10502" s="24" t="s">
        <v>7034</v>
      </c>
      <c r="D10502" s="59">
        <v>1.0</v>
      </c>
      <c r="E10502" s="59">
        <v>1.0</v>
      </c>
      <c r="F10502" s="59">
        <v>0.0</v>
      </c>
      <c r="G10502" s="60">
        <v>1.0</v>
      </c>
      <c r="H10502" s="60">
        <v>0.0</v>
      </c>
      <c r="I10502" s="60">
        <v>2882.818771</v>
      </c>
      <c r="J10502" s="59">
        <v>51.0</v>
      </c>
      <c r="K10502" s="61">
        <f t="shared" si="1"/>
        <v>0</v>
      </c>
      <c r="L10502" s="62">
        <f t="shared" si="2"/>
        <v>51</v>
      </c>
    </row>
    <row r="10503">
      <c r="A10503" s="58">
        <v>45108.0</v>
      </c>
      <c r="B10503" s="24" t="s">
        <v>6787</v>
      </c>
      <c r="C10503" s="24" t="s">
        <v>7258</v>
      </c>
      <c r="D10503" s="59">
        <v>1.0</v>
      </c>
      <c r="E10503" s="59">
        <v>1.0</v>
      </c>
      <c r="F10503" s="59">
        <v>1.0</v>
      </c>
      <c r="G10503" s="60">
        <v>1.0</v>
      </c>
      <c r="H10503" s="60">
        <v>0.0</v>
      </c>
      <c r="I10503" s="60">
        <v>223.996098</v>
      </c>
      <c r="J10503" s="59">
        <v>4.0</v>
      </c>
      <c r="K10503" s="61">
        <f t="shared" si="1"/>
        <v>1</v>
      </c>
      <c r="L10503" s="62">
        <f t="shared" si="2"/>
        <v>4</v>
      </c>
    </row>
    <row r="10504">
      <c r="A10504" s="58">
        <v>45108.0</v>
      </c>
      <c r="B10504" s="24" t="s">
        <v>6787</v>
      </c>
      <c r="C10504" s="24" t="s">
        <v>7636</v>
      </c>
      <c r="D10504" s="59">
        <v>1.0</v>
      </c>
      <c r="E10504" s="59">
        <v>1.0</v>
      </c>
      <c r="F10504" s="59">
        <v>0.0</v>
      </c>
      <c r="G10504" s="60">
        <v>1.0</v>
      </c>
      <c r="H10504" s="60">
        <v>0.0</v>
      </c>
      <c r="I10504" s="60">
        <v>555.196139</v>
      </c>
      <c r="J10504" s="59">
        <v>6.0</v>
      </c>
      <c r="K10504" s="61">
        <f t="shared" si="1"/>
        <v>0</v>
      </c>
      <c r="L10504" s="62">
        <f t="shared" si="2"/>
        <v>6</v>
      </c>
    </row>
    <row r="10505">
      <c r="A10505" s="58">
        <v>45108.0</v>
      </c>
      <c r="B10505" s="24" t="s">
        <v>6787</v>
      </c>
      <c r="C10505" s="24" t="s">
        <v>7637</v>
      </c>
      <c r="D10505" s="59">
        <v>1.0</v>
      </c>
      <c r="E10505" s="59">
        <v>1.0</v>
      </c>
      <c r="F10505" s="59">
        <v>0.0</v>
      </c>
      <c r="G10505" s="60">
        <v>1.0</v>
      </c>
      <c r="H10505" s="60">
        <v>0.0</v>
      </c>
      <c r="I10505" s="60">
        <v>1585.774106</v>
      </c>
      <c r="J10505" s="59">
        <v>6.0</v>
      </c>
      <c r="K10505" s="61">
        <f t="shared" si="1"/>
        <v>0</v>
      </c>
      <c r="L10505" s="62">
        <f t="shared" si="2"/>
        <v>6</v>
      </c>
    </row>
    <row r="10506">
      <c r="A10506" s="58">
        <v>45108.0</v>
      </c>
      <c r="B10506" s="24" t="s">
        <v>6794</v>
      </c>
      <c r="C10506" s="24" t="s">
        <v>7624</v>
      </c>
      <c r="D10506" s="59">
        <v>1.0</v>
      </c>
      <c r="E10506" s="59">
        <v>1.0</v>
      </c>
      <c r="F10506" s="59">
        <v>1.0</v>
      </c>
      <c r="G10506" s="60">
        <v>1.0</v>
      </c>
      <c r="H10506" s="60">
        <v>0.0</v>
      </c>
      <c r="I10506" s="60">
        <v>31.531377</v>
      </c>
      <c r="J10506" s="59">
        <v>2.0</v>
      </c>
      <c r="K10506" s="61">
        <f t="shared" si="1"/>
        <v>1</v>
      </c>
      <c r="L10506" s="62">
        <f t="shared" si="2"/>
        <v>2</v>
      </c>
    </row>
    <row r="10507">
      <c r="A10507" s="58">
        <v>45108.0</v>
      </c>
      <c r="B10507" s="24" t="s">
        <v>7100</v>
      </c>
      <c r="C10507" s="24" t="s">
        <v>7624</v>
      </c>
      <c r="D10507" s="59">
        <v>1.0</v>
      </c>
      <c r="E10507" s="59">
        <v>2.0</v>
      </c>
      <c r="F10507" s="59">
        <v>0.0</v>
      </c>
      <c r="G10507" s="60">
        <v>2.0</v>
      </c>
      <c r="H10507" s="60">
        <v>0.0</v>
      </c>
      <c r="I10507" s="60">
        <v>3.6412825</v>
      </c>
      <c r="J10507" s="59">
        <v>4.0</v>
      </c>
      <c r="K10507" s="61">
        <f t="shared" si="1"/>
        <v>0</v>
      </c>
      <c r="L10507" s="62">
        <f t="shared" si="2"/>
        <v>2</v>
      </c>
    </row>
    <row r="10508">
      <c r="A10508" s="58">
        <v>45108.0</v>
      </c>
      <c r="B10508" s="24" t="s">
        <v>155</v>
      </c>
      <c r="C10508" s="24" t="s">
        <v>7624</v>
      </c>
      <c r="D10508" s="59">
        <v>1.0</v>
      </c>
      <c r="E10508" s="59">
        <v>1.0</v>
      </c>
      <c r="F10508" s="59">
        <v>0.0</v>
      </c>
      <c r="G10508" s="60">
        <v>1.0</v>
      </c>
      <c r="H10508" s="60">
        <v>0.0</v>
      </c>
      <c r="I10508" s="60">
        <v>5.513724</v>
      </c>
      <c r="J10508" s="59">
        <v>2.0</v>
      </c>
      <c r="K10508" s="61">
        <f t="shared" si="1"/>
        <v>0</v>
      </c>
      <c r="L10508" s="62">
        <f t="shared" si="2"/>
        <v>2</v>
      </c>
    </row>
    <row r="10509">
      <c r="A10509" s="58">
        <v>45108.0</v>
      </c>
      <c r="B10509" s="24" t="s">
        <v>7100</v>
      </c>
      <c r="C10509" s="24" t="s">
        <v>7530</v>
      </c>
      <c r="D10509" s="59">
        <v>1.0</v>
      </c>
      <c r="E10509" s="59">
        <v>3.0</v>
      </c>
      <c r="F10509" s="59">
        <v>0.0</v>
      </c>
      <c r="G10509" s="60">
        <v>3.0</v>
      </c>
      <c r="H10509" s="60">
        <v>0.0</v>
      </c>
      <c r="I10509" s="60">
        <v>17.7337199999999</v>
      </c>
      <c r="J10509" s="59">
        <v>6.0</v>
      </c>
      <c r="K10509" s="61">
        <f t="shared" si="1"/>
        <v>0</v>
      </c>
      <c r="L10509" s="62">
        <f t="shared" si="2"/>
        <v>2</v>
      </c>
    </row>
    <row r="10510">
      <c r="A10510" s="58">
        <v>45108.0</v>
      </c>
      <c r="B10510" s="24" t="s">
        <v>155</v>
      </c>
      <c r="C10510" s="24" t="s">
        <v>7530</v>
      </c>
      <c r="D10510" s="59">
        <v>1.0</v>
      </c>
      <c r="E10510" s="59">
        <v>3.0</v>
      </c>
      <c r="F10510" s="59">
        <v>0.0</v>
      </c>
      <c r="G10510" s="60">
        <v>3.0</v>
      </c>
      <c r="H10510" s="60">
        <v>0.0</v>
      </c>
      <c r="I10510" s="60">
        <v>953.955253333333</v>
      </c>
      <c r="J10510" s="59">
        <v>18.0</v>
      </c>
      <c r="K10510" s="61">
        <f t="shared" si="1"/>
        <v>0</v>
      </c>
      <c r="L10510" s="62">
        <f t="shared" si="2"/>
        <v>6</v>
      </c>
    </row>
    <row r="10511">
      <c r="A10511" s="58">
        <v>45108.0</v>
      </c>
      <c r="B10511" s="24" t="s">
        <v>6789</v>
      </c>
      <c r="C10511" s="24" t="s">
        <v>7206</v>
      </c>
      <c r="D10511" s="59">
        <v>1.0</v>
      </c>
      <c r="E10511" s="59">
        <v>2.0</v>
      </c>
      <c r="F10511" s="59">
        <v>0.0</v>
      </c>
      <c r="G10511" s="60">
        <v>2.0</v>
      </c>
      <c r="H10511" s="60">
        <v>0.0</v>
      </c>
      <c r="I10511" s="60">
        <v>31.0878615</v>
      </c>
      <c r="J10511" s="59">
        <v>8.0</v>
      </c>
      <c r="K10511" s="61">
        <f t="shared" si="1"/>
        <v>0</v>
      </c>
      <c r="L10511" s="62">
        <f t="shared" si="2"/>
        <v>4</v>
      </c>
    </row>
    <row r="10512">
      <c r="A10512" s="58">
        <v>45108.0</v>
      </c>
      <c r="B10512" s="24" t="s">
        <v>6794</v>
      </c>
      <c r="C10512" s="24" t="s">
        <v>7206</v>
      </c>
      <c r="D10512" s="59">
        <v>1.0</v>
      </c>
      <c r="E10512" s="59">
        <v>1.0</v>
      </c>
      <c r="F10512" s="59">
        <v>0.0</v>
      </c>
      <c r="G10512" s="60">
        <v>1.0</v>
      </c>
      <c r="H10512" s="60">
        <v>0.0</v>
      </c>
      <c r="I10512" s="60">
        <v>1360.530267</v>
      </c>
      <c r="J10512" s="59">
        <v>2.0</v>
      </c>
      <c r="K10512" s="61">
        <f t="shared" si="1"/>
        <v>0</v>
      </c>
      <c r="L10512" s="62">
        <f t="shared" si="2"/>
        <v>2</v>
      </c>
    </row>
    <row r="10513">
      <c r="A10513" s="58">
        <v>45108.0</v>
      </c>
      <c r="B10513" s="24" t="s">
        <v>155</v>
      </c>
      <c r="C10513" s="24" t="s">
        <v>7206</v>
      </c>
      <c r="D10513" s="59">
        <v>1.0</v>
      </c>
      <c r="E10513" s="59">
        <v>1.0</v>
      </c>
      <c r="F10513" s="59">
        <v>0.0</v>
      </c>
      <c r="G10513" s="60">
        <v>1.0</v>
      </c>
      <c r="H10513" s="60">
        <v>0.0</v>
      </c>
      <c r="I10513" s="60">
        <v>12.0544929999999</v>
      </c>
      <c r="J10513" s="59">
        <v>6.0</v>
      </c>
      <c r="K10513" s="61">
        <f t="shared" si="1"/>
        <v>0</v>
      </c>
      <c r="L10513" s="62">
        <f t="shared" si="2"/>
        <v>6</v>
      </c>
    </row>
    <row r="10514">
      <c r="A10514" s="58">
        <v>45108.0</v>
      </c>
      <c r="B10514" s="24" t="s">
        <v>3216</v>
      </c>
      <c r="C10514" s="24" t="s">
        <v>7227</v>
      </c>
      <c r="D10514" s="59">
        <v>1.0</v>
      </c>
      <c r="E10514" s="59">
        <v>2.0</v>
      </c>
      <c r="F10514" s="59">
        <v>0.0</v>
      </c>
      <c r="G10514" s="60">
        <v>2.0</v>
      </c>
      <c r="H10514" s="60">
        <v>0.0</v>
      </c>
      <c r="I10514" s="60">
        <v>4.0159685</v>
      </c>
      <c r="J10514" s="59">
        <v>4.0</v>
      </c>
      <c r="K10514" s="61">
        <f t="shared" si="1"/>
        <v>0</v>
      </c>
      <c r="L10514" s="62">
        <f t="shared" si="2"/>
        <v>2</v>
      </c>
    </row>
    <row r="10515">
      <c r="A10515" s="58">
        <v>45108.0</v>
      </c>
      <c r="B10515" s="24" t="s">
        <v>6942</v>
      </c>
      <c r="C10515" s="24" t="s">
        <v>7227</v>
      </c>
      <c r="D10515" s="59">
        <v>1.0</v>
      </c>
      <c r="E10515" s="59">
        <v>1.0</v>
      </c>
      <c r="F10515" s="59">
        <v>1.0</v>
      </c>
      <c r="G10515" s="60">
        <v>1.0</v>
      </c>
      <c r="H10515" s="60">
        <v>0.0</v>
      </c>
      <c r="I10515" s="60">
        <v>154.715454</v>
      </c>
      <c r="J10515" s="59">
        <v>3.0</v>
      </c>
      <c r="K10515" s="61">
        <f t="shared" si="1"/>
        <v>1</v>
      </c>
      <c r="L10515" s="62">
        <f t="shared" si="2"/>
        <v>3</v>
      </c>
    </row>
    <row r="10516">
      <c r="A10516" s="58">
        <v>45108.0</v>
      </c>
      <c r="B10516" s="24" t="s">
        <v>7100</v>
      </c>
      <c r="C10516" s="24" t="s">
        <v>7227</v>
      </c>
      <c r="D10516" s="59">
        <v>1.0</v>
      </c>
      <c r="E10516" s="59">
        <v>1.0</v>
      </c>
      <c r="F10516" s="59">
        <v>0.0</v>
      </c>
      <c r="G10516" s="60">
        <v>1.0</v>
      </c>
      <c r="H10516" s="60">
        <v>0.0</v>
      </c>
      <c r="I10516" s="60">
        <v>646.081401</v>
      </c>
      <c r="J10516" s="59">
        <v>2.0</v>
      </c>
      <c r="K10516" s="61">
        <f t="shared" si="1"/>
        <v>0</v>
      </c>
      <c r="L10516" s="62">
        <f t="shared" si="2"/>
        <v>2</v>
      </c>
    </row>
    <row r="10517">
      <c r="A10517" s="58">
        <v>45108.0</v>
      </c>
      <c r="B10517" s="24" t="s">
        <v>6787</v>
      </c>
      <c r="C10517" s="24" t="s">
        <v>7261</v>
      </c>
      <c r="D10517" s="59">
        <v>1.0</v>
      </c>
      <c r="E10517" s="59">
        <v>1.0</v>
      </c>
      <c r="F10517" s="59">
        <v>1.0</v>
      </c>
      <c r="G10517" s="60">
        <v>1.0</v>
      </c>
      <c r="H10517" s="60">
        <v>0.0</v>
      </c>
      <c r="I10517" s="60">
        <v>298.096619</v>
      </c>
      <c r="J10517" s="59">
        <v>8.0</v>
      </c>
      <c r="K10517" s="61">
        <f t="shared" si="1"/>
        <v>1</v>
      </c>
      <c r="L10517" s="62">
        <f t="shared" si="2"/>
        <v>8</v>
      </c>
    </row>
    <row r="10518">
      <c r="A10518" s="58">
        <v>45108.0</v>
      </c>
      <c r="B10518" s="24" t="s">
        <v>155</v>
      </c>
      <c r="C10518" s="24" t="s">
        <v>7261</v>
      </c>
      <c r="D10518" s="59">
        <v>1.0</v>
      </c>
      <c r="E10518" s="59">
        <v>1.0</v>
      </c>
      <c r="F10518" s="59">
        <v>0.0</v>
      </c>
      <c r="G10518" s="60">
        <v>1.0</v>
      </c>
      <c r="H10518" s="60">
        <v>0.0</v>
      </c>
      <c r="I10518" s="60">
        <v>633.29124</v>
      </c>
      <c r="J10518" s="59">
        <v>2.0</v>
      </c>
      <c r="K10518" s="61">
        <f t="shared" si="1"/>
        <v>0</v>
      </c>
      <c r="L10518" s="62">
        <f t="shared" si="2"/>
        <v>2</v>
      </c>
    </row>
    <row r="10519">
      <c r="A10519" s="58">
        <v>45108.0</v>
      </c>
      <c r="B10519" s="24" t="s">
        <v>6787</v>
      </c>
      <c r="C10519" s="24" t="s">
        <v>6907</v>
      </c>
      <c r="D10519" s="59">
        <v>1.0</v>
      </c>
      <c r="E10519" s="59">
        <v>1.0</v>
      </c>
      <c r="F10519" s="59">
        <v>0.0</v>
      </c>
      <c r="G10519" s="60">
        <v>1.0</v>
      </c>
      <c r="H10519" s="60">
        <v>0.0</v>
      </c>
      <c r="I10519" s="60">
        <v>5.172575</v>
      </c>
      <c r="J10519" s="59">
        <v>2.0</v>
      </c>
      <c r="K10519" s="61">
        <f t="shared" si="1"/>
        <v>0</v>
      </c>
      <c r="L10519" s="62">
        <f t="shared" si="2"/>
        <v>2</v>
      </c>
    </row>
    <row r="10520">
      <c r="A10520" s="58">
        <v>45108.0</v>
      </c>
      <c r="B10520" s="24" t="s">
        <v>7100</v>
      </c>
      <c r="C10520" s="24" t="s">
        <v>6800</v>
      </c>
      <c r="D10520" s="59">
        <v>1.0</v>
      </c>
      <c r="E10520" s="59">
        <v>1.0</v>
      </c>
      <c r="F10520" s="59">
        <v>1.0</v>
      </c>
      <c r="G10520" s="60">
        <v>1.0</v>
      </c>
      <c r="H10520" s="60">
        <v>0.0</v>
      </c>
      <c r="I10520" s="60">
        <v>75.585553</v>
      </c>
      <c r="J10520" s="59">
        <v>2.0</v>
      </c>
      <c r="K10520" s="61">
        <f t="shared" si="1"/>
        <v>1</v>
      </c>
      <c r="L10520" s="62">
        <f t="shared" si="2"/>
        <v>2</v>
      </c>
    </row>
    <row r="10521">
      <c r="A10521" s="58">
        <v>45108.0</v>
      </c>
      <c r="B10521" s="24" t="s">
        <v>7100</v>
      </c>
      <c r="C10521" s="24" t="s">
        <v>7013</v>
      </c>
      <c r="D10521" s="59">
        <v>1.0</v>
      </c>
      <c r="E10521" s="59">
        <v>1.0</v>
      </c>
      <c r="F10521" s="59">
        <v>0.0</v>
      </c>
      <c r="G10521" s="60">
        <v>1.0</v>
      </c>
      <c r="H10521" s="60">
        <v>0.0</v>
      </c>
      <c r="I10521" s="60">
        <v>12077.606408</v>
      </c>
      <c r="J10521" s="59">
        <v>88.0</v>
      </c>
      <c r="K10521" s="61">
        <f t="shared" si="1"/>
        <v>0</v>
      </c>
      <c r="L10521" s="62">
        <f t="shared" si="2"/>
        <v>88</v>
      </c>
    </row>
    <row r="10522">
      <c r="A10522" s="58">
        <v>45108.0</v>
      </c>
      <c r="B10522" s="24" t="s">
        <v>155</v>
      </c>
      <c r="C10522" s="24" t="s">
        <v>7013</v>
      </c>
      <c r="D10522" s="59">
        <v>1.0</v>
      </c>
      <c r="E10522" s="59">
        <v>1.0</v>
      </c>
      <c r="F10522" s="59">
        <v>0.0</v>
      </c>
      <c r="G10522" s="60">
        <v>1.0</v>
      </c>
      <c r="H10522" s="60">
        <v>0.0</v>
      </c>
      <c r="I10522" s="60">
        <v>255.137762</v>
      </c>
      <c r="J10522" s="59">
        <v>4.0</v>
      </c>
      <c r="K10522" s="61">
        <f t="shared" si="1"/>
        <v>0</v>
      </c>
      <c r="L10522" s="62">
        <f t="shared" si="2"/>
        <v>4</v>
      </c>
    </row>
    <row r="10523">
      <c r="A10523" s="58">
        <v>45108.0</v>
      </c>
      <c r="B10523" s="24" t="s">
        <v>6794</v>
      </c>
      <c r="C10523" s="24" t="s">
        <v>7101</v>
      </c>
      <c r="D10523" s="59">
        <v>1.0</v>
      </c>
      <c r="E10523" s="59">
        <v>1.0</v>
      </c>
      <c r="F10523" s="59">
        <v>1.0</v>
      </c>
      <c r="G10523" s="60">
        <v>1.0</v>
      </c>
      <c r="H10523" s="60">
        <v>0.0</v>
      </c>
      <c r="I10523" s="60">
        <v>266.352398</v>
      </c>
      <c r="J10523" s="59">
        <v>12.0</v>
      </c>
      <c r="K10523" s="61">
        <f t="shared" si="1"/>
        <v>1</v>
      </c>
      <c r="L10523" s="62">
        <f t="shared" si="2"/>
        <v>12</v>
      </c>
    </row>
    <row r="10524">
      <c r="A10524" s="58">
        <v>45108.0</v>
      </c>
      <c r="B10524" s="24" t="s">
        <v>7100</v>
      </c>
      <c r="C10524" s="24" t="s">
        <v>7101</v>
      </c>
      <c r="D10524" s="59">
        <v>1.0</v>
      </c>
      <c r="E10524" s="59">
        <v>1.0</v>
      </c>
      <c r="F10524" s="59">
        <v>0.0</v>
      </c>
      <c r="G10524" s="60">
        <v>1.0</v>
      </c>
      <c r="H10524" s="60">
        <v>0.0</v>
      </c>
      <c r="I10524" s="60">
        <v>88.211739</v>
      </c>
      <c r="J10524" s="59">
        <v>4.0</v>
      </c>
      <c r="K10524" s="61">
        <f t="shared" si="1"/>
        <v>0</v>
      </c>
      <c r="L10524" s="62">
        <f t="shared" si="2"/>
        <v>4</v>
      </c>
    </row>
    <row r="10525">
      <c r="A10525" s="58">
        <v>45108.0</v>
      </c>
      <c r="B10525" s="24" t="s">
        <v>6790</v>
      </c>
      <c r="C10525" s="24" t="s">
        <v>7101</v>
      </c>
      <c r="D10525" s="59">
        <v>1.0</v>
      </c>
      <c r="E10525" s="59">
        <v>1.0</v>
      </c>
      <c r="F10525" s="59">
        <v>0.0</v>
      </c>
      <c r="G10525" s="60">
        <v>1.0</v>
      </c>
      <c r="H10525" s="60">
        <v>0.0</v>
      </c>
      <c r="I10525" s="60">
        <v>1726.346022</v>
      </c>
      <c r="J10525" s="59">
        <v>8.0</v>
      </c>
      <c r="K10525" s="61">
        <f t="shared" si="1"/>
        <v>0</v>
      </c>
      <c r="L10525" s="62">
        <f t="shared" si="2"/>
        <v>8</v>
      </c>
    </row>
    <row r="10526">
      <c r="A10526" s="58">
        <v>45108.0</v>
      </c>
      <c r="B10526" s="24" t="s">
        <v>6789</v>
      </c>
      <c r="C10526" s="24" t="s">
        <v>7044</v>
      </c>
      <c r="D10526" s="59">
        <v>1.0</v>
      </c>
      <c r="E10526" s="59">
        <v>4.0</v>
      </c>
      <c r="F10526" s="59">
        <v>0.0</v>
      </c>
      <c r="G10526" s="60">
        <v>4.0</v>
      </c>
      <c r="H10526" s="60">
        <v>0.0</v>
      </c>
      <c r="I10526" s="60">
        <v>11.8438495</v>
      </c>
      <c r="J10526" s="59">
        <v>10.0</v>
      </c>
      <c r="K10526" s="61">
        <f t="shared" si="1"/>
        <v>0</v>
      </c>
      <c r="L10526" s="62">
        <f t="shared" si="2"/>
        <v>2.5</v>
      </c>
    </row>
    <row r="10527">
      <c r="A10527" s="58">
        <v>45108.0</v>
      </c>
      <c r="B10527" s="24" t="s">
        <v>6791</v>
      </c>
      <c r="C10527" s="24" t="s">
        <v>7044</v>
      </c>
      <c r="D10527" s="59">
        <v>1.0</v>
      </c>
      <c r="E10527" s="59">
        <v>1.0</v>
      </c>
      <c r="F10527" s="59">
        <v>0.0</v>
      </c>
      <c r="G10527" s="60">
        <v>1.0</v>
      </c>
      <c r="H10527" s="60">
        <v>0.0</v>
      </c>
      <c r="I10527" s="60">
        <v>5.419347</v>
      </c>
      <c r="J10527" s="59">
        <v>2.0</v>
      </c>
      <c r="K10527" s="61">
        <f t="shared" si="1"/>
        <v>0</v>
      </c>
      <c r="L10527" s="62">
        <f t="shared" si="2"/>
        <v>2</v>
      </c>
    </row>
    <row r="10528">
      <c r="A10528" s="58">
        <v>45108.0</v>
      </c>
      <c r="B10528" s="24" t="s">
        <v>6794</v>
      </c>
      <c r="C10528" s="24" t="s">
        <v>6908</v>
      </c>
      <c r="D10528" s="59">
        <v>1.0</v>
      </c>
      <c r="E10528" s="59">
        <v>1.0</v>
      </c>
      <c r="F10528" s="59">
        <v>1.0</v>
      </c>
      <c r="G10528" s="60">
        <v>1.0</v>
      </c>
      <c r="H10528" s="60">
        <v>0.0</v>
      </c>
      <c r="I10528" s="60">
        <v>4.649001</v>
      </c>
      <c r="J10528" s="59">
        <v>2.0</v>
      </c>
      <c r="K10528" s="61">
        <f t="shared" si="1"/>
        <v>1</v>
      </c>
      <c r="L10528" s="62">
        <f t="shared" si="2"/>
        <v>2</v>
      </c>
    </row>
    <row r="10529">
      <c r="A10529" s="58">
        <v>45108.0</v>
      </c>
      <c r="B10529" s="24" t="s">
        <v>6791</v>
      </c>
      <c r="C10529" s="24" t="s">
        <v>6908</v>
      </c>
      <c r="D10529" s="59">
        <v>1.0</v>
      </c>
      <c r="E10529" s="59">
        <v>1.0</v>
      </c>
      <c r="F10529" s="59">
        <v>0.0</v>
      </c>
      <c r="G10529" s="60">
        <v>1.0</v>
      </c>
      <c r="H10529" s="60">
        <v>0.0</v>
      </c>
      <c r="I10529" s="60">
        <v>0.227521</v>
      </c>
      <c r="J10529" s="59">
        <v>2.0</v>
      </c>
      <c r="K10529" s="61">
        <f t="shared" si="1"/>
        <v>0</v>
      </c>
      <c r="L10529" s="62">
        <f t="shared" si="2"/>
        <v>2</v>
      </c>
    </row>
    <row r="10530">
      <c r="A10530" s="58">
        <v>45108.0</v>
      </c>
      <c r="B10530" s="24" t="s">
        <v>6790</v>
      </c>
      <c r="C10530" s="24" t="s">
        <v>6908</v>
      </c>
      <c r="D10530" s="59">
        <v>1.0</v>
      </c>
      <c r="E10530" s="59">
        <v>1.0</v>
      </c>
      <c r="F10530" s="59">
        <v>0.0</v>
      </c>
      <c r="G10530" s="60">
        <v>1.0</v>
      </c>
      <c r="H10530" s="60">
        <v>0.0</v>
      </c>
      <c r="I10530" s="60">
        <v>35.052814</v>
      </c>
      <c r="J10530" s="59">
        <v>2.0</v>
      </c>
      <c r="K10530" s="61">
        <f t="shared" si="1"/>
        <v>0</v>
      </c>
      <c r="L10530" s="62">
        <f t="shared" si="2"/>
        <v>2</v>
      </c>
    </row>
    <row r="10531">
      <c r="A10531" s="58">
        <v>45108.0</v>
      </c>
      <c r="B10531" s="24" t="s">
        <v>6787</v>
      </c>
      <c r="C10531" s="24" t="s">
        <v>6801</v>
      </c>
      <c r="D10531" s="59">
        <v>1.0</v>
      </c>
      <c r="E10531" s="59">
        <v>1.0</v>
      </c>
      <c r="F10531" s="59">
        <v>0.0</v>
      </c>
      <c r="G10531" s="60">
        <v>1.0</v>
      </c>
      <c r="H10531" s="60">
        <v>0.0</v>
      </c>
      <c r="I10531" s="60">
        <v>290.457443</v>
      </c>
      <c r="J10531" s="59">
        <v>4.0</v>
      </c>
      <c r="K10531" s="61">
        <f t="shared" si="1"/>
        <v>0</v>
      </c>
      <c r="L10531" s="62">
        <f t="shared" si="2"/>
        <v>4</v>
      </c>
    </row>
    <row r="10532">
      <c r="A10532" s="58">
        <v>45108.0</v>
      </c>
      <c r="B10532" s="24" t="s">
        <v>6791</v>
      </c>
      <c r="C10532" s="24" t="s">
        <v>7102</v>
      </c>
      <c r="D10532" s="59">
        <v>1.0</v>
      </c>
      <c r="E10532" s="59">
        <v>2.0</v>
      </c>
      <c r="F10532" s="59">
        <v>0.0</v>
      </c>
      <c r="G10532" s="60">
        <v>2.0</v>
      </c>
      <c r="H10532" s="60">
        <v>0.0</v>
      </c>
      <c r="I10532" s="60">
        <v>101.8115025</v>
      </c>
      <c r="J10532" s="59">
        <v>6.0</v>
      </c>
      <c r="K10532" s="61">
        <f t="shared" si="1"/>
        <v>0</v>
      </c>
      <c r="L10532" s="62">
        <f t="shared" si="2"/>
        <v>3</v>
      </c>
    </row>
    <row r="10533">
      <c r="A10533" s="58">
        <v>45108.0</v>
      </c>
      <c r="B10533" s="24" t="s">
        <v>155</v>
      </c>
      <c r="C10533" s="24" t="s">
        <v>7102</v>
      </c>
      <c r="D10533" s="59">
        <v>1.0</v>
      </c>
      <c r="E10533" s="59">
        <v>1.0</v>
      </c>
      <c r="F10533" s="59">
        <v>0.0</v>
      </c>
      <c r="G10533" s="60">
        <v>1.0</v>
      </c>
      <c r="H10533" s="60">
        <v>0.0</v>
      </c>
      <c r="I10533" s="60">
        <v>4.361382</v>
      </c>
      <c r="J10533" s="59">
        <v>2.0</v>
      </c>
      <c r="K10533" s="61">
        <f t="shared" si="1"/>
        <v>0</v>
      </c>
      <c r="L10533" s="62">
        <f t="shared" si="2"/>
        <v>2</v>
      </c>
    </row>
    <row r="10534">
      <c r="A10534" s="58">
        <v>45108.0</v>
      </c>
      <c r="B10534" s="24" t="s">
        <v>6789</v>
      </c>
      <c r="C10534" s="24" t="s">
        <v>7023</v>
      </c>
      <c r="D10534" s="59">
        <v>1.0</v>
      </c>
      <c r="E10534" s="59">
        <v>1.0</v>
      </c>
      <c r="F10534" s="59">
        <v>0.0</v>
      </c>
      <c r="G10534" s="60">
        <v>1.0</v>
      </c>
      <c r="H10534" s="60">
        <v>0.0</v>
      </c>
      <c r="I10534" s="60">
        <v>53.981277</v>
      </c>
      <c r="J10534" s="59">
        <v>4.0</v>
      </c>
      <c r="K10534" s="61">
        <f t="shared" si="1"/>
        <v>0</v>
      </c>
      <c r="L10534" s="62">
        <f t="shared" si="2"/>
        <v>4</v>
      </c>
    </row>
    <row r="10535">
      <c r="A10535" s="58">
        <v>45108.0</v>
      </c>
      <c r="B10535" s="24" t="s">
        <v>6791</v>
      </c>
      <c r="C10535" s="24" t="s">
        <v>7023</v>
      </c>
      <c r="D10535" s="59">
        <v>1.0</v>
      </c>
      <c r="E10535" s="59">
        <v>1.0</v>
      </c>
      <c r="F10535" s="59">
        <v>0.0</v>
      </c>
      <c r="G10535" s="60">
        <v>1.0</v>
      </c>
      <c r="H10535" s="60">
        <v>0.0</v>
      </c>
      <c r="I10535" s="60">
        <v>0.987741</v>
      </c>
      <c r="J10535" s="59">
        <v>2.0</v>
      </c>
      <c r="K10535" s="61">
        <f t="shared" si="1"/>
        <v>0</v>
      </c>
      <c r="L10535" s="62">
        <f t="shared" si="2"/>
        <v>2</v>
      </c>
    </row>
    <row r="10536">
      <c r="A10536" s="58">
        <v>45108.0</v>
      </c>
      <c r="B10536" s="24" t="s">
        <v>3216</v>
      </c>
      <c r="C10536" s="24" t="s">
        <v>7174</v>
      </c>
      <c r="D10536" s="59">
        <v>1.0</v>
      </c>
      <c r="E10536" s="59">
        <v>1.0</v>
      </c>
      <c r="F10536" s="59">
        <v>0.0</v>
      </c>
      <c r="G10536" s="60">
        <v>1.0</v>
      </c>
      <c r="H10536" s="60">
        <v>0.0</v>
      </c>
      <c r="I10536" s="60">
        <v>1173.019233</v>
      </c>
      <c r="J10536" s="59">
        <v>2.0</v>
      </c>
      <c r="K10536" s="61">
        <f t="shared" si="1"/>
        <v>0</v>
      </c>
      <c r="L10536" s="62">
        <f t="shared" si="2"/>
        <v>2</v>
      </c>
    </row>
    <row r="10537">
      <c r="A10537" s="58">
        <v>45108.0</v>
      </c>
      <c r="B10537" s="24" t="s">
        <v>6787</v>
      </c>
      <c r="C10537" s="24" t="s">
        <v>7448</v>
      </c>
      <c r="D10537" s="59">
        <v>1.0</v>
      </c>
      <c r="E10537" s="59">
        <v>1.0</v>
      </c>
      <c r="F10537" s="59">
        <v>1.0</v>
      </c>
      <c r="G10537" s="60">
        <v>1.0</v>
      </c>
      <c r="H10537" s="60">
        <v>0.0</v>
      </c>
      <c r="I10537" s="60">
        <v>19.301022</v>
      </c>
      <c r="J10537" s="59">
        <v>2.0</v>
      </c>
      <c r="K10537" s="61">
        <f t="shared" si="1"/>
        <v>1</v>
      </c>
      <c r="L10537" s="62">
        <f t="shared" si="2"/>
        <v>2</v>
      </c>
    </row>
    <row r="10538">
      <c r="A10538" s="58">
        <v>45108.0</v>
      </c>
      <c r="B10538" s="24" t="s">
        <v>6794</v>
      </c>
      <c r="C10538" s="24" t="s">
        <v>7559</v>
      </c>
      <c r="D10538" s="59">
        <v>1.0</v>
      </c>
      <c r="E10538" s="59">
        <v>1.0</v>
      </c>
      <c r="F10538" s="59">
        <v>1.0</v>
      </c>
      <c r="G10538" s="60">
        <v>1.0</v>
      </c>
      <c r="H10538" s="60">
        <v>0.0</v>
      </c>
      <c r="I10538" s="60">
        <v>35.817315</v>
      </c>
      <c r="J10538" s="59">
        <v>8.0</v>
      </c>
      <c r="K10538" s="61">
        <f t="shared" si="1"/>
        <v>1</v>
      </c>
      <c r="L10538" s="62">
        <f t="shared" si="2"/>
        <v>8</v>
      </c>
    </row>
    <row r="10539">
      <c r="A10539" s="58">
        <v>45108.0</v>
      </c>
      <c r="B10539" s="24" t="s">
        <v>155</v>
      </c>
      <c r="C10539" s="24" t="s">
        <v>7027</v>
      </c>
      <c r="D10539" s="59">
        <v>1.0</v>
      </c>
      <c r="E10539" s="59">
        <v>1.0</v>
      </c>
      <c r="F10539" s="59">
        <v>0.0</v>
      </c>
      <c r="G10539" s="60">
        <v>1.0</v>
      </c>
      <c r="H10539" s="60">
        <v>0.0</v>
      </c>
      <c r="I10539" s="60">
        <v>38.106104</v>
      </c>
      <c r="J10539" s="59">
        <v>6.0</v>
      </c>
      <c r="K10539" s="61">
        <f t="shared" si="1"/>
        <v>0</v>
      </c>
      <c r="L10539" s="62">
        <f t="shared" si="2"/>
        <v>6</v>
      </c>
    </row>
    <row r="10540">
      <c r="A10540" s="58">
        <v>45108.0</v>
      </c>
      <c r="B10540" s="24" t="s">
        <v>6794</v>
      </c>
      <c r="C10540" s="24" t="s">
        <v>7180</v>
      </c>
      <c r="D10540" s="59">
        <v>1.0</v>
      </c>
      <c r="E10540" s="59">
        <v>1.0</v>
      </c>
      <c r="F10540" s="59">
        <v>1.0</v>
      </c>
      <c r="G10540" s="60">
        <v>1.0</v>
      </c>
      <c r="H10540" s="60">
        <v>0.0</v>
      </c>
      <c r="I10540" s="60">
        <v>288.079615</v>
      </c>
      <c r="J10540" s="59">
        <v>2.0</v>
      </c>
      <c r="K10540" s="61">
        <f t="shared" si="1"/>
        <v>1</v>
      </c>
      <c r="L10540" s="62">
        <f t="shared" si="2"/>
        <v>2</v>
      </c>
    </row>
    <row r="10541">
      <c r="A10541" s="58">
        <v>45108.0</v>
      </c>
      <c r="B10541" s="24" t="s">
        <v>6794</v>
      </c>
      <c r="C10541" s="24" t="s">
        <v>6921</v>
      </c>
      <c r="D10541" s="59">
        <v>1.0</v>
      </c>
      <c r="E10541" s="59">
        <v>1.0</v>
      </c>
      <c r="F10541" s="59">
        <v>0.0</v>
      </c>
      <c r="G10541" s="60">
        <v>1.0</v>
      </c>
      <c r="H10541" s="60">
        <v>0.0</v>
      </c>
      <c r="I10541" s="60">
        <v>30.294468</v>
      </c>
      <c r="J10541" s="59">
        <v>2.0</v>
      </c>
      <c r="K10541" s="61">
        <f t="shared" si="1"/>
        <v>0</v>
      </c>
      <c r="L10541" s="62">
        <f t="shared" si="2"/>
        <v>2</v>
      </c>
    </row>
    <row r="10542">
      <c r="A10542" s="58">
        <v>45108.0</v>
      </c>
      <c r="B10542" s="24" t="s">
        <v>7100</v>
      </c>
      <c r="C10542" s="24" t="s">
        <v>6921</v>
      </c>
      <c r="D10542" s="59">
        <v>1.0</v>
      </c>
      <c r="E10542" s="59">
        <v>7.0</v>
      </c>
      <c r="F10542" s="59">
        <v>1.0</v>
      </c>
      <c r="G10542" s="60">
        <v>7.0</v>
      </c>
      <c r="H10542" s="60">
        <v>0.285714285714285</v>
      </c>
      <c r="I10542" s="60">
        <v>148.250517285714</v>
      </c>
      <c r="J10542" s="59">
        <v>20.0</v>
      </c>
      <c r="K10542" s="61">
        <f t="shared" si="1"/>
        <v>0.1428571429</v>
      </c>
      <c r="L10542" s="62">
        <f t="shared" si="2"/>
        <v>2.857142857</v>
      </c>
    </row>
    <row r="10543">
      <c r="A10543" s="58">
        <v>45108.0</v>
      </c>
      <c r="B10543" s="24" t="s">
        <v>155</v>
      </c>
      <c r="C10543" s="24" t="s">
        <v>6921</v>
      </c>
      <c r="D10543" s="59">
        <v>1.0</v>
      </c>
      <c r="E10543" s="59">
        <v>1.0</v>
      </c>
      <c r="F10543" s="59">
        <v>0.0</v>
      </c>
      <c r="G10543" s="60">
        <v>1.0</v>
      </c>
      <c r="H10543" s="60">
        <v>0.0</v>
      </c>
      <c r="I10543" s="60">
        <v>1374.648816</v>
      </c>
      <c r="J10543" s="59">
        <v>14.0</v>
      </c>
      <c r="K10543" s="61">
        <f t="shared" si="1"/>
        <v>0</v>
      </c>
      <c r="L10543" s="62">
        <f t="shared" si="2"/>
        <v>14</v>
      </c>
    </row>
    <row r="10544">
      <c r="A10544" s="58">
        <v>45108.0</v>
      </c>
      <c r="B10544" s="24" t="s">
        <v>7100</v>
      </c>
      <c r="C10544" s="24" t="s">
        <v>6922</v>
      </c>
      <c r="D10544" s="59">
        <v>1.0</v>
      </c>
      <c r="E10544" s="59">
        <v>1.0</v>
      </c>
      <c r="F10544" s="59">
        <v>1.0</v>
      </c>
      <c r="G10544" s="60">
        <v>1.0</v>
      </c>
      <c r="H10544" s="60">
        <v>0.0</v>
      </c>
      <c r="I10544" s="60">
        <v>4.956745</v>
      </c>
      <c r="J10544" s="59">
        <v>2.0</v>
      </c>
      <c r="K10544" s="61">
        <f t="shared" si="1"/>
        <v>1</v>
      </c>
      <c r="L10544" s="62">
        <f t="shared" si="2"/>
        <v>2</v>
      </c>
    </row>
    <row r="10545">
      <c r="A10545" s="58">
        <v>45108.0</v>
      </c>
      <c r="B10545" s="24" t="s">
        <v>6790</v>
      </c>
      <c r="C10545" s="24" t="s">
        <v>6922</v>
      </c>
      <c r="D10545" s="59">
        <v>1.0</v>
      </c>
      <c r="E10545" s="59">
        <v>1.0</v>
      </c>
      <c r="F10545" s="59">
        <v>0.0</v>
      </c>
      <c r="G10545" s="60">
        <v>1.0</v>
      </c>
      <c r="H10545" s="60">
        <v>0.0</v>
      </c>
      <c r="I10545" s="60">
        <v>396.883707</v>
      </c>
      <c r="J10545" s="59">
        <v>6.0</v>
      </c>
      <c r="K10545" s="61">
        <f t="shared" si="1"/>
        <v>0</v>
      </c>
      <c r="L10545" s="62">
        <f t="shared" si="2"/>
        <v>6</v>
      </c>
    </row>
    <row r="10546">
      <c r="A10546" s="58">
        <v>45108.0</v>
      </c>
      <c r="B10546" s="24" t="s">
        <v>6789</v>
      </c>
      <c r="C10546" s="24" t="s">
        <v>6931</v>
      </c>
      <c r="D10546" s="59">
        <v>1.0</v>
      </c>
      <c r="E10546" s="59">
        <v>2.0</v>
      </c>
      <c r="F10546" s="59">
        <v>0.0</v>
      </c>
      <c r="G10546" s="60">
        <v>2.0</v>
      </c>
      <c r="H10546" s="60">
        <v>0.0</v>
      </c>
      <c r="I10546" s="60">
        <v>263.289412</v>
      </c>
      <c r="J10546" s="59">
        <v>6.0</v>
      </c>
      <c r="K10546" s="61">
        <f t="shared" si="1"/>
        <v>0</v>
      </c>
      <c r="L10546" s="62">
        <f t="shared" si="2"/>
        <v>3</v>
      </c>
    </row>
    <row r="10547">
      <c r="A10547" s="58">
        <v>45108.0</v>
      </c>
      <c r="B10547" s="24" t="s">
        <v>6789</v>
      </c>
      <c r="C10547" s="24" t="s">
        <v>6962</v>
      </c>
      <c r="D10547" s="59">
        <v>1.0</v>
      </c>
      <c r="E10547" s="59">
        <v>3.0</v>
      </c>
      <c r="F10547" s="59">
        <v>0.0</v>
      </c>
      <c r="G10547" s="60">
        <v>3.0</v>
      </c>
      <c r="H10547" s="60">
        <v>0.0</v>
      </c>
      <c r="I10547" s="60">
        <v>5.67441966666666</v>
      </c>
      <c r="J10547" s="59">
        <v>6.0</v>
      </c>
      <c r="K10547" s="61">
        <f t="shared" si="1"/>
        <v>0</v>
      </c>
      <c r="L10547" s="62">
        <f t="shared" si="2"/>
        <v>2</v>
      </c>
    </row>
    <row r="10548">
      <c r="A10548" s="58">
        <v>45108.0</v>
      </c>
      <c r="B10548" s="24" t="s">
        <v>7100</v>
      </c>
      <c r="C10548" s="24" t="s">
        <v>6962</v>
      </c>
      <c r="D10548" s="59">
        <v>1.0</v>
      </c>
      <c r="E10548" s="59">
        <v>1.0</v>
      </c>
      <c r="F10548" s="59">
        <v>0.0</v>
      </c>
      <c r="G10548" s="60">
        <v>1.0</v>
      </c>
      <c r="H10548" s="60">
        <v>0.0</v>
      </c>
      <c r="I10548" s="60">
        <v>878.400165</v>
      </c>
      <c r="J10548" s="59">
        <v>4.0</v>
      </c>
      <c r="K10548" s="61">
        <f t="shared" si="1"/>
        <v>0</v>
      </c>
      <c r="L10548" s="62">
        <f t="shared" si="2"/>
        <v>4</v>
      </c>
    </row>
    <row r="10549">
      <c r="A10549" s="58">
        <v>45108.0</v>
      </c>
      <c r="B10549" s="24" t="s">
        <v>155</v>
      </c>
      <c r="C10549" s="24" t="s">
        <v>6962</v>
      </c>
      <c r="D10549" s="59">
        <v>1.0</v>
      </c>
      <c r="E10549" s="59">
        <v>3.0</v>
      </c>
      <c r="F10549" s="59">
        <v>0.0</v>
      </c>
      <c r="G10549" s="60">
        <v>3.0</v>
      </c>
      <c r="H10549" s="60">
        <v>0.0</v>
      </c>
      <c r="I10549" s="60">
        <v>442.843949333333</v>
      </c>
      <c r="J10549" s="59">
        <v>12.0</v>
      </c>
      <c r="K10549" s="61">
        <f t="shared" si="1"/>
        <v>0</v>
      </c>
      <c r="L10549" s="62">
        <f t="shared" si="2"/>
        <v>4</v>
      </c>
    </row>
    <row r="10550">
      <c r="A10550" s="58">
        <v>45108.0</v>
      </c>
      <c r="B10550" s="24" t="s">
        <v>6787</v>
      </c>
      <c r="C10550" s="24" t="s">
        <v>7508</v>
      </c>
      <c r="D10550" s="59">
        <v>1.0</v>
      </c>
      <c r="E10550" s="59">
        <v>1.0</v>
      </c>
      <c r="F10550" s="59">
        <v>0.0</v>
      </c>
      <c r="G10550" s="60">
        <v>1.0</v>
      </c>
      <c r="H10550" s="60">
        <v>0.0</v>
      </c>
      <c r="I10550" s="60">
        <v>2.948119</v>
      </c>
      <c r="J10550" s="59">
        <v>2.0</v>
      </c>
      <c r="K10550" s="61">
        <f t="shared" si="1"/>
        <v>0</v>
      </c>
      <c r="L10550" s="62">
        <f t="shared" si="2"/>
        <v>2</v>
      </c>
    </row>
    <row r="10551">
      <c r="A10551" s="58">
        <v>45078.0</v>
      </c>
      <c r="B10551" s="24" t="s">
        <v>6787</v>
      </c>
      <c r="C10551" s="27"/>
      <c r="D10551" s="59">
        <v>673.0</v>
      </c>
      <c r="E10551" s="59">
        <v>789.0</v>
      </c>
      <c r="F10551" s="59">
        <v>640.0</v>
      </c>
      <c r="G10551" s="60">
        <v>1.17236255572065</v>
      </c>
      <c r="H10551" s="60">
        <v>0.0722433460076045</v>
      </c>
      <c r="I10551" s="60">
        <v>61.2032246223067</v>
      </c>
      <c r="J10551" s="59">
        <v>1941.0</v>
      </c>
      <c r="K10551" s="61">
        <f t="shared" si="1"/>
        <v>0.8111533587</v>
      </c>
      <c r="L10551" s="62">
        <f t="shared" si="2"/>
        <v>2.460076046</v>
      </c>
    </row>
    <row r="10552">
      <c r="A10552" s="58">
        <v>45078.0</v>
      </c>
      <c r="B10552" s="24" t="s">
        <v>6789</v>
      </c>
      <c r="C10552" s="27"/>
      <c r="D10552" s="59">
        <v>553.0</v>
      </c>
      <c r="E10552" s="59">
        <v>788.0</v>
      </c>
      <c r="F10552" s="59">
        <v>450.0</v>
      </c>
      <c r="G10552" s="60">
        <v>1.42495479204339</v>
      </c>
      <c r="H10552" s="60">
        <v>0.00507614213197969</v>
      </c>
      <c r="I10552" s="60">
        <v>215.567660401015</v>
      </c>
      <c r="J10552" s="59">
        <v>2964.0</v>
      </c>
      <c r="K10552" s="61">
        <f t="shared" si="1"/>
        <v>0.5710659898</v>
      </c>
      <c r="L10552" s="62">
        <f t="shared" si="2"/>
        <v>3.76142132</v>
      </c>
    </row>
    <row r="10553">
      <c r="A10553" s="58">
        <v>45078.0</v>
      </c>
      <c r="B10553" s="24" t="s">
        <v>6794</v>
      </c>
      <c r="C10553" s="24" t="s">
        <v>6815</v>
      </c>
      <c r="D10553" s="59">
        <v>225.0</v>
      </c>
      <c r="E10553" s="59">
        <v>290.0</v>
      </c>
      <c r="F10553" s="59">
        <v>205.0</v>
      </c>
      <c r="G10553" s="60">
        <v>1.28888888888888</v>
      </c>
      <c r="H10553" s="60">
        <v>0.0172413793103448</v>
      </c>
      <c r="I10553" s="60">
        <v>147.205197275862</v>
      </c>
      <c r="J10553" s="59">
        <v>724.0</v>
      </c>
      <c r="K10553" s="61">
        <f t="shared" si="1"/>
        <v>0.7068965517</v>
      </c>
      <c r="L10553" s="62">
        <f t="shared" si="2"/>
        <v>2.496551724</v>
      </c>
    </row>
    <row r="10554">
      <c r="A10554" s="58">
        <v>45078.0</v>
      </c>
      <c r="B10554" s="24" t="s">
        <v>7100</v>
      </c>
      <c r="C10554" s="27"/>
      <c r="D10554" s="59">
        <v>170.0</v>
      </c>
      <c r="E10554" s="59">
        <v>200.0</v>
      </c>
      <c r="F10554" s="59">
        <v>150.0</v>
      </c>
      <c r="G10554" s="60">
        <v>1.18343195266272</v>
      </c>
      <c r="H10554" s="60">
        <v>0.025</v>
      </c>
      <c r="I10554" s="60">
        <v>21.906506295</v>
      </c>
      <c r="J10554" s="59">
        <v>401.0</v>
      </c>
      <c r="K10554" s="61">
        <f t="shared" si="1"/>
        <v>0.75</v>
      </c>
      <c r="L10554" s="62">
        <f t="shared" si="2"/>
        <v>2.005</v>
      </c>
    </row>
    <row r="10555">
      <c r="A10555" s="58">
        <v>45078.0</v>
      </c>
      <c r="B10555" s="24" t="s">
        <v>6787</v>
      </c>
      <c r="C10555" s="24" t="s">
        <v>6908</v>
      </c>
      <c r="D10555" s="59">
        <v>163.0</v>
      </c>
      <c r="E10555" s="59">
        <v>163.0</v>
      </c>
      <c r="F10555" s="59">
        <v>163.0</v>
      </c>
      <c r="G10555" s="60">
        <v>1.0</v>
      </c>
      <c r="H10555" s="60">
        <v>0.0736196319018405</v>
      </c>
      <c r="I10555" s="60">
        <v>22.2248509202453</v>
      </c>
      <c r="J10555" s="59">
        <v>321.0</v>
      </c>
      <c r="K10555" s="61">
        <f t="shared" si="1"/>
        <v>1</v>
      </c>
      <c r="L10555" s="62">
        <f t="shared" si="2"/>
        <v>1.969325153</v>
      </c>
    </row>
    <row r="10556">
      <c r="A10556" s="58">
        <v>45078.0</v>
      </c>
      <c r="B10556" s="24" t="s">
        <v>7100</v>
      </c>
      <c r="C10556" s="24" t="s">
        <v>7172</v>
      </c>
      <c r="D10556" s="59">
        <v>162.0</v>
      </c>
      <c r="E10556" s="59">
        <v>199.0</v>
      </c>
      <c r="F10556" s="59">
        <v>144.0</v>
      </c>
      <c r="G10556" s="60">
        <v>1.23602484472049</v>
      </c>
      <c r="H10556" s="60">
        <v>0.0351758793969849</v>
      </c>
      <c r="I10556" s="60">
        <v>19.6121232160804</v>
      </c>
      <c r="J10556" s="59">
        <v>410.0</v>
      </c>
      <c r="K10556" s="61">
        <f t="shared" si="1"/>
        <v>0.7236180905</v>
      </c>
      <c r="L10556" s="62">
        <f t="shared" si="2"/>
        <v>2.060301508</v>
      </c>
    </row>
    <row r="10557">
      <c r="A10557" s="58">
        <v>45078.0</v>
      </c>
      <c r="B10557" s="24" t="s">
        <v>6789</v>
      </c>
      <c r="C10557" s="24" t="s">
        <v>7068</v>
      </c>
      <c r="D10557" s="59">
        <v>153.0</v>
      </c>
      <c r="E10557" s="59">
        <v>179.0</v>
      </c>
      <c r="F10557" s="59">
        <v>145.0</v>
      </c>
      <c r="G10557" s="60">
        <v>1.16993464052287</v>
      </c>
      <c r="H10557" s="60">
        <v>0.0167597765363128</v>
      </c>
      <c r="I10557" s="60">
        <v>160.333459597765</v>
      </c>
      <c r="J10557" s="59">
        <v>407.0</v>
      </c>
      <c r="K10557" s="61">
        <f t="shared" si="1"/>
        <v>0.8100558659</v>
      </c>
      <c r="L10557" s="62">
        <f t="shared" si="2"/>
        <v>2.273743017</v>
      </c>
    </row>
    <row r="10558">
      <c r="A10558" s="58">
        <v>45078.0</v>
      </c>
      <c r="B10558" s="24" t="s">
        <v>6789</v>
      </c>
      <c r="C10558" s="24" t="s">
        <v>6792</v>
      </c>
      <c r="D10558" s="59">
        <v>148.0</v>
      </c>
      <c r="E10558" s="59">
        <v>177.0</v>
      </c>
      <c r="F10558" s="59">
        <v>0.0</v>
      </c>
      <c r="G10558" s="60">
        <v>1.80612244897959</v>
      </c>
      <c r="H10558" s="60">
        <v>0.966101694915254</v>
      </c>
      <c r="I10558" s="60">
        <v>7.92446958757062</v>
      </c>
      <c r="J10558" s="59">
        <v>0.0</v>
      </c>
      <c r="K10558" s="61">
        <f t="shared" si="1"/>
        <v>0</v>
      </c>
      <c r="L10558" s="62">
        <f t="shared" si="2"/>
        <v>0</v>
      </c>
    </row>
    <row r="10559">
      <c r="A10559" s="58">
        <v>45078.0</v>
      </c>
      <c r="B10559" s="24" t="s">
        <v>6794</v>
      </c>
      <c r="C10559" s="27"/>
      <c r="D10559" s="59">
        <v>114.0</v>
      </c>
      <c r="E10559" s="59">
        <v>150.0</v>
      </c>
      <c r="F10559" s="59">
        <v>97.0</v>
      </c>
      <c r="G10559" s="60">
        <v>1.31578947368421</v>
      </c>
      <c r="H10559" s="60">
        <v>0.0266666666666666</v>
      </c>
      <c r="I10559" s="60">
        <v>173.625016833333</v>
      </c>
      <c r="J10559" s="59">
        <v>580.0</v>
      </c>
      <c r="K10559" s="61">
        <f t="shared" si="1"/>
        <v>0.6466666667</v>
      </c>
      <c r="L10559" s="62">
        <f t="shared" si="2"/>
        <v>3.866666667</v>
      </c>
    </row>
    <row r="10560">
      <c r="A10560" s="58">
        <v>45078.0</v>
      </c>
      <c r="B10560" s="24" t="s">
        <v>155</v>
      </c>
      <c r="C10560" s="27"/>
      <c r="D10560" s="59">
        <v>93.0</v>
      </c>
      <c r="E10560" s="59">
        <v>153.0</v>
      </c>
      <c r="F10560" s="59">
        <v>80.0</v>
      </c>
      <c r="G10560" s="60">
        <v>1.64516129032258</v>
      </c>
      <c r="H10560" s="60">
        <v>0.0130718954248366</v>
      </c>
      <c r="I10560" s="60">
        <v>204.266806843137</v>
      </c>
      <c r="J10560" s="59">
        <v>520.0</v>
      </c>
      <c r="K10560" s="61">
        <f t="shared" si="1"/>
        <v>0.522875817</v>
      </c>
      <c r="L10560" s="62">
        <f t="shared" si="2"/>
        <v>3.39869281</v>
      </c>
    </row>
    <row r="10561">
      <c r="A10561" s="58">
        <v>45078.0</v>
      </c>
      <c r="B10561" s="24" t="s">
        <v>6794</v>
      </c>
      <c r="C10561" s="24" t="s">
        <v>6792</v>
      </c>
      <c r="D10561" s="59">
        <v>54.0</v>
      </c>
      <c r="E10561" s="59">
        <v>61.0</v>
      </c>
      <c r="F10561" s="59">
        <v>0.0</v>
      </c>
      <c r="G10561" s="60">
        <v>1.69444444444444</v>
      </c>
      <c r="H10561" s="60">
        <v>0.950819672131147</v>
      </c>
      <c r="I10561" s="60">
        <v>3.77370309836065</v>
      </c>
      <c r="J10561" s="59">
        <v>0.0</v>
      </c>
      <c r="K10561" s="61">
        <f t="shared" si="1"/>
        <v>0</v>
      </c>
      <c r="L10561" s="62">
        <f t="shared" si="2"/>
        <v>0</v>
      </c>
    </row>
    <row r="10562">
      <c r="A10562" s="58">
        <v>45078.0</v>
      </c>
      <c r="B10562" s="24" t="s">
        <v>7100</v>
      </c>
      <c r="C10562" s="24" t="s">
        <v>7174</v>
      </c>
      <c r="D10562" s="59">
        <v>54.0</v>
      </c>
      <c r="E10562" s="59">
        <v>56.0</v>
      </c>
      <c r="F10562" s="59">
        <v>52.0</v>
      </c>
      <c r="G10562" s="60">
        <v>1.0566037735849</v>
      </c>
      <c r="H10562" s="60">
        <v>0.214285714285714</v>
      </c>
      <c r="I10562" s="60">
        <v>47.6213643928571</v>
      </c>
      <c r="J10562" s="59">
        <v>103.0</v>
      </c>
      <c r="K10562" s="61">
        <f t="shared" si="1"/>
        <v>0.9285714286</v>
      </c>
      <c r="L10562" s="62">
        <f t="shared" si="2"/>
        <v>1.839285714</v>
      </c>
    </row>
    <row r="10563">
      <c r="A10563" s="58">
        <v>45078.0</v>
      </c>
      <c r="B10563" s="24" t="s">
        <v>7606</v>
      </c>
      <c r="C10563" s="27"/>
      <c r="D10563" s="59">
        <v>45.0</v>
      </c>
      <c r="E10563" s="59">
        <v>47.0</v>
      </c>
      <c r="F10563" s="59">
        <v>42.0</v>
      </c>
      <c r="G10563" s="60">
        <v>1.04444444444444</v>
      </c>
      <c r="H10563" s="60">
        <v>0.127659574468085</v>
      </c>
      <c r="I10563" s="60">
        <v>34.576287680851</v>
      </c>
      <c r="J10563" s="59">
        <v>96.0</v>
      </c>
      <c r="K10563" s="61">
        <f t="shared" si="1"/>
        <v>0.8936170213</v>
      </c>
      <c r="L10563" s="62">
        <f t="shared" si="2"/>
        <v>2.042553191</v>
      </c>
    </row>
    <row r="10564">
      <c r="A10564" s="58">
        <v>45078.0</v>
      </c>
      <c r="B10564" s="24" t="s">
        <v>6791</v>
      </c>
      <c r="C10564" s="24" t="s">
        <v>7624</v>
      </c>
      <c r="D10564" s="59">
        <v>45.0</v>
      </c>
      <c r="E10564" s="59">
        <v>50.0</v>
      </c>
      <c r="F10564" s="59">
        <v>41.0</v>
      </c>
      <c r="G10564" s="60">
        <v>1.11111111111111</v>
      </c>
      <c r="H10564" s="60">
        <v>0.0</v>
      </c>
      <c r="I10564" s="60">
        <v>146.43237624</v>
      </c>
      <c r="J10564" s="59">
        <v>129.0</v>
      </c>
      <c r="K10564" s="61">
        <f t="shared" si="1"/>
        <v>0.82</v>
      </c>
      <c r="L10564" s="62">
        <f t="shared" si="2"/>
        <v>2.58</v>
      </c>
    </row>
    <row r="10565">
      <c r="A10565" s="58">
        <v>45078.0</v>
      </c>
      <c r="B10565" s="24" t="s">
        <v>6787</v>
      </c>
      <c r="C10565" s="24" t="s">
        <v>6792</v>
      </c>
      <c r="D10565" s="59">
        <v>44.0</v>
      </c>
      <c r="E10565" s="59">
        <v>50.0</v>
      </c>
      <c r="F10565" s="59">
        <v>0.0</v>
      </c>
      <c r="G10565" s="60">
        <v>1.47058823529411</v>
      </c>
      <c r="H10565" s="60">
        <v>1.0</v>
      </c>
      <c r="I10565" s="60">
        <v>4.078E-5</v>
      </c>
      <c r="J10565" s="59">
        <v>0.0</v>
      </c>
      <c r="K10565" s="61">
        <f t="shared" si="1"/>
        <v>0</v>
      </c>
      <c r="L10565" s="62">
        <f t="shared" si="2"/>
        <v>0</v>
      </c>
    </row>
    <row r="10566">
      <c r="A10566" s="58">
        <v>45078.0</v>
      </c>
      <c r="B10566" s="24" t="s">
        <v>6794</v>
      </c>
      <c r="C10566" s="24" t="s">
        <v>6997</v>
      </c>
      <c r="D10566" s="59">
        <v>42.0</v>
      </c>
      <c r="E10566" s="59">
        <v>49.0</v>
      </c>
      <c r="F10566" s="59">
        <v>37.0</v>
      </c>
      <c r="G10566" s="60">
        <v>1.16666666666666</v>
      </c>
      <c r="H10566" s="60">
        <v>0.0612244897959183</v>
      </c>
      <c r="I10566" s="60">
        <v>88.0638475918367</v>
      </c>
      <c r="J10566" s="59">
        <v>133.0</v>
      </c>
      <c r="K10566" s="61">
        <f t="shared" si="1"/>
        <v>0.7551020408</v>
      </c>
      <c r="L10566" s="62">
        <f t="shared" si="2"/>
        <v>2.714285714</v>
      </c>
    </row>
    <row r="10567">
      <c r="A10567" s="58">
        <v>45078.0</v>
      </c>
      <c r="B10567" s="24" t="s">
        <v>6790</v>
      </c>
      <c r="C10567" s="27"/>
      <c r="D10567" s="59">
        <v>34.0</v>
      </c>
      <c r="E10567" s="59">
        <v>57.0</v>
      </c>
      <c r="F10567" s="59">
        <v>26.0</v>
      </c>
      <c r="G10567" s="60">
        <v>1.67647058823529</v>
      </c>
      <c r="H10567" s="60">
        <v>0.0</v>
      </c>
      <c r="I10567" s="60">
        <v>255.027912403508</v>
      </c>
      <c r="J10567" s="59">
        <v>234.0</v>
      </c>
      <c r="K10567" s="61">
        <f t="shared" si="1"/>
        <v>0.4561403509</v>
      </c>
      <c r="L10567" s="62">
        <f t="shared" si="2"/>
        <v>4.105263158</v>
      </c>
    </row>
    <row r="10568">
      <c r="A10568" s="58">
        <v>45078.0</v>
      </c>
      <c r="B10568" s="24" t="s">
        <v>6791</v>
      </c>
      <c r="C10568" s="24" t="s">
        <v>6802</v>
      </c>
      <c r="D10568" s="59">
        <v>32.0</v>
      </c>
      <c r="E10568" s="59">
        <v>35.0</v>
      </c>
      <c r="F10568" s="59">
        <v>32.0</v>
      </c>
      <c r="G10568" s="60">
        <v>1.09375</v>
      </c>
      <c r="H10568" s="60">
        <v>0.0</v>
      </c>
      <c r="I10568" s="60">
        <v>46.3479511142857</v>
      </c>
      <c r="J10568" s="59">
        <v>90.0</v>
      </c>
      <c r="K10568" s="61">
        <f t="shared" si="1"/>
        <v>0.9142857143</v>
      </c>
      <c r="L10568" s="62">
        <f t="shared" si="2"/>
        <v>2.571428571</v>
      </c>
    </row>
    <row r="10569">
      <c r="A10569" s="58">
        <v>45078.0</v>
      </c>
      <c r="B10569" s="24" t="s">
        <v>6787</v>
      </c>
      <c r="C10569" s="24" t="s">
        <v>6815</v>
      </c>
      <c r="D10569" s="59">
        <v>31.0</v>
      </c>
      <c r="E10569" s="59">
        <v>46.0</v>
      </c>
      <c r="F10569" s="59">
        <v>27.0</v>
      </c>
      <c r="G10569" s="60">
        <v>1.48387096774193</v>
      </c>
      <c r="H10569" s="60">
        <v>0.0652173913043478</v>
      </c>
      <c r="I10569" s="60">
        <v>100.405377304347</v>
      </c>
      <c r="J10569" s="59">
        <v>118.0</v>
      </c>
      <c r="K10569" s="61">
        <f t="shared" si="1"/>
        <v>0.5869565217</v>
      </c>
      <c r="L10569" s="62">
        <f t="shared" si="2"/>
        <v>2.565217391</v>
      </c>
    </row>
    <row r="10570">
      <c r="A10570" s="58">
        <v>45078.0</v>
      </c>
      <c r="B10570" s="24" t="s">
        <v>6787</v>
      </c>
      <c r="C10570" s="24" t="s">
        <v>7624</v>
      </c>
      <c r="D10570" s="59">
        <v>29.0</v>
      </c>
      <c r="E10570" s="59">
        <v>32.0</v>
      </c>
      <c r="F10570" s="59">
        <v>26.0</v>
      </c>
      <c r="G10570" s="60">
        <v>1.10344827586206</v>
      </c>
      <c r="H10570" s="60">
        <v>0.0</v>
      </c>
      <c r="I10570" s="60">
        <v>270.1710700625</v>
      </c>
      <c r="J10570" s="59">
        <v>182.0</v>
      </c>
      <c r="K10570" s="61">
        <f t="shared" si="1"/>
        <v>0.8125</v>
      </c>
      <c r="L10570" s="62">
        <f t="shared" si="2"/>
        <v>5.6875</v>
      </c>
    </row>
    <row r="10571">
      <c r="A10571" s="58">
        <v>45078.0</v>
      </c>
      <c r="B10571" s="24" t="s">
        <v>155</v>
      </c>
      <c r="C10571" s="24" t="s">
        <v>6908</v>
      </c>
      <c r="D10571" s="59">
        <v>27.0</v>
      </c>
      <c r="E10571" s="59">
        <v>27.0</v>
      </c>
      <c r="F10571" s="59">
        <v>27.0</v>
      </c>
      <c r="G10571" s="60">
        <v>1.0</v>
      </c>
      <c r="H10571" s="60">
        <v>0.0</v>
      </c>
      <c r="I10571" s="60">
        <v>9.36369703703703</v>
      </c>
      <c r="J10571" s="59">
        <v>54.0</v>
      </c>
      <c r="K10571" s="61">
        <f t="shared" si="1"/>
        <v>1</v>
      </c>
      <c r="L10571" s="62">
        <f t="shared" si="2"/>
        <v>2</v>
      </c>
    </row>
    <row r="10572">
      <c r="A10572" s="58">
        <v>45078.0</v>
      </c>
      <c r="B10572" s="24" t="s">
        <v>6789</v>
      </c>
      <c r="C10572" s="24" t="s">
        <v>6815</v>
      </c>
      <c r="D10572" s="59">
        <v>27.0</v>
      </c>
      <c r="E10572" s="59">
        <v>39.0</v>
      </c>
      <c r="F10572" s="59">
        <v>17.0</v>
      </c>
      <c r="G10572" s="60">
        <v>1.44444444444444</v>
      </c>
      <c r="H10572" s="60">
        <v>0.0</v>
      </c>
      <c r="I10572" s="60">
        <v>127.655101794871</v>
      </c>
      <c r="J10572" s="59">
        <v>111.0</v>
      </c>
      <c r="K10572" s="61">
        <f t="shared" si="1"/>
        <v>0.4358974359</v>
      </c>
      <c r="L10572" s="62">
        <f t="shared" si="2"/>
        <v>2.846153846</v>
      </c>
    </row>
    <row r="10573">
      <c r="A10573" s="58">
        <v>45078.0</v>
      </c>
      <c r="B10573" s="24" t="s">
        <v>7606</v>
      </c>
      <c r="C10573" s="24" t="s">
        <v>6908</v>
      </c>
      <c r="D10573" s="59">
        <v>22.0</v>
      </c>
      <c r="E10573" s="59">
        <v>24.0</v>
      </c>
      <c r="F10573" s="59">
        <v>21.0</v>
      </c>
      <c r="G10573" s="60">
        <v>1.09090909090909</v>
      </c>
      <c r="H10573" s="60">
        <v>0.0833333333333333</v>
      </c>
      <c r="I10573" s="60">
        <v>66.109539625</v>
      </c>
      <c r="J10573" s="59">
        <v>47.0</v>
      </c>
      <c r="K10573" s="61">
        <f t="shared" si="1"/>
        <v>0.875</v>
      </c>
      <c r="L10573" s="62">
        <f t="shared" si="2"/>
        <v>1.958333333</v>
      </c>
    </row>
    <row r="10574">
      <c r="A10574" s="58">
        <v>45078.0</v>
      </c>
      <c r="B10574" s="24" t="s">
        <v>6789</v>
      </c>
      <c r="C10574" s="24" t="s">
        <v>6799</v>
      </c>
      <c r="D10574" s="59">
        <v>21.0</v>
      </c>
      <c r="E10574" s="59">
        <v>22.0</v>
      </c>
      <c r="F10574" s="59">
        <v>14.0</v>
      </c>
      <c r="G10574" s="60">
        <v>1.04761904761904</v>
      </c>
      <c r="H10574" s="60">
        <v>0.0</v>
      </c>
      <c r="I10574" s="60">
        <v>188.447350227272</v>
      </c>
      <c r="J10574" s="59">
        <v>91.0</v>
      </c>
      <c r="K10574" s="61">
        <f t="shared" si="1"/>
        <v>0.6363636364</v>
      </c>
      <c r="L10574" s="62">
        <f t="shared" si="2"/>
        <v>4.136363636</v>
      </c>
    </row>
    <row r="10575">
      <c r="A10575" s="58">
        <v>45078.0</v>
      </c>
      <c r="B10575" s="24" t="s">
        <v>6790</v>
      </c>
      <c r="C10575" s="24" t="s">
        <v>6815</v>
      </c>
      <c r="D10575" s="59">
        <v>21.0</v>
      </c>
      <c r="E10575" s="59">
        <v>38.0</v>
      </c>
      <c r="F10575" s="59">
        <v>10.0</v>
      </c>
      <c r="G10575" s="60">
        <v>1.8095238095238</v>
      </c>
      <c r="H10575" s="60">
        <v>0.0</v>
      </c>
      <c r="I10575" s="60">
        <v>125.316825052631</v>
      </c>
      <c r="J10575" s="59">
        <v>93.0</v>
      </c>
      <c r="K10575" s="61">
        <f t="shared" si="1"/>
        <v>0.2631578947</v>
      </c>
      <c r="L10575" s="62">
        <f t="shared" si="2"/>
        <v>2.447368421</v>
      </c>
    </row>
    <row r="10576">
      <c r="A10576" s="58">
        <v>45078.0</v>
      </c>
      <c r="B10576" s="24" t="s">
        <v>6787</v>
      </c>
      <c r="C10576" s="24" t="s">
        <v>6803</v>
      </c>
      <c r="D10576" s="59">
        <v>20.0</v>
      </c>
      <c r="E10576" s="59">
        <v>23.0</v>
      </c>
      <c r="F10576" s="59">
        <v>16.0</v>
      </c>
      <c r="G10576" s="60">
        <v>1.15</v>
      </c>
      <c r="H10576" s="60">
        <v>0.0434782608695652</v>
      </c>
      <c r="I10576" s="60">
        <v>182.404221521739</v>
      </c>
      <c r="J10576" s="59">
        <v>56.0</v>
      </c>
      <c r="K10576" s="61">
        <f t="shared" si="1"/>
        <v>0.6956521739</v>
      </c>
      <c r="L10576" s="62">
        <f t="shared" si="2"/>
        <v>2.434782609</v>
      </c>
    </row>
    <row r="10577">
      <c r="A10577" s="58">
        <v>45078.0</v>
      </c>
      <c r="B10577" s="24" t="s">
        <v>6789</v>
      </c>
      <c r="C10577" s="24" t="s">
        <v>6803</v>
      </c>
      <c r="D10577" s="59">
        <v>20.0</v>
      </c>
      <c r="E10577" s="59">
        <v>27.0</v>
      </c>
      <c r="F10577" s="59">
        <v>18.0</v>
      </c>
      <c r="G10577" s="60">
        <v>1.35</v>
      </c>
      <c r="H10577" s="60">
        <v>0.037037037037037</v>
      </c>
      <c r="I10577" s="60">
        <v>337.053854888888</v>
      </c>
      <c r="J10577" s="59">
        <v>73.0</v>
      </c>
      <c r="K10577" s="61">
        <f t="shared" si="1"/>
        <v>0.6666666667</v>
      </c>
      <c r="L10577" s="62">
        <f t="shared" si="2"/>
        <v>2.703703704</v>
      </c>
    </row>
    <row r="10578">
      <c r="A10578" s="58">
        <v>45078.0</v>
      </c>
      <c r="B10578" s="24" t="s">
        <v>7100</v>
      </c>
      <c r="C10578" s="24" t="s">
        <v>6892</v>
      </c>
      <c r="D10578" s="59">
        <v>20.0</v>
      </c>
      <c r="E10578" s="59">
        <v>20.0</v>
      </c>
      <c r="F10578" s="59">
        <v>20.0</v>
      </c>
      <c r="G10578" s="60">
        <v>1.0</v>
      </c>
      <c r="H10578" s="60">
        <v>0.05</v>
      </c>
      <c r="I10578" s="60">
        <v>15.01300415</v>
      </c>
      <c r="J10578" s="59">
        <v>41.0</v>
      </c>
      <c r="K10578" s="61">
        <f t="shared" si="1"/>
        <v>1</v>
      </c>
      <c r="L10578" s="62">
        <f t="shared" si="2"/>
        <v>2.05</v>
      </c>
    </row>
    <row r="10579">
      <c r="A10579" s="58">
        <v>45078.0</v>
      </c>
      <c r="B10579" s="24" t="s">
        <v>6791</v>
      </c>
      <c r="C10579" s="24" t="s">
        <v>7206</v>
      </c>
      <c r="D10579" s="59">
        <v>20.0</v>
      </c>
      <c r="E10579" s="59">
        <v>20.0</v>
      </c>
      <c r="F10579" s="59">
        <v>18.0</v>
      </c>
      <c r="G10579" s="60">
        <v>1.0</v>
      </c>
      <c r="H10579" s="60">
        <v>0.05</v>
      </c>
      <c r="I10579" s="60">
        <v>215.066584999999</v>
      </c>
      <c r="J10579" s="59">
        <v>90.0</v>
      </c>
      <c r="K10579" s="61">
        <f t="shared" si="1"/>
        <v>0.9</v>
      </c>
      <c r="L10579" s="62">
        <f t="shared" si="2"/>
        <v>4.5</v>
      </c>
    </row>
    <row r="10580">
      <c r="A10580" s="58">
        <v>45078.0</v>
      </c>
      <c r="B10580" s="24" t="s">
        <v>155</v>
      </c>
      <c r="C10580" s="24" t="s">
        <v>6800</v>
      </c>
      <c r="D10580" s="59">
        <v>19.0</v>
      </c>
      <c r="E10580" s="59">
        <v>19.0</v>
      </c>
      <c r="F10580" s="59">
        <v>19.0</v>
      </c>
      <c r="G10580" s="60">
        <v>1.0</v>
      </c>
      <c r="H10580" s="60">
        <v>0.0</v>
      </c>
      <c r="I10580" s="60">
        <v>30.3414957894736</v>
      </c>
      <c r="J10580" s="59">
        <v>63.0</v>
      </c>
      <c r="K10580" s="61">
        <f t="shared" si="1"/>
        <v>1</v>
      </c>
      <c r="L10580" s="62">
        <f t="shared" si="2"/>
        <v>3.315789474</v>
      </c>
    </row>
    <row r="10581">
      <c r="A10581" s="58">
        <v>45078.0</v>
      </c>
      <c r="B10581" s="24" t="s">
        <v>6787</v>
      </c>
      <c r="C10581" s="24" t="s">
        <v>6892</v>
      </c>
      <c r="D10581" s="59">
        <v>18.0</v>
      </c>
      <c r="E10581" s="59">
        <v>18.0</v>
      </c>
      <c r="F10581" s="59">
        <v>18.0</v>
      </c>
      <c r="G10581" s="60">
        <v>1.0</v>
      </c>
      <c r="H10581" s="60">
        <v>0.0</v>
      </c>
      <c r="I10581" s="60">
        <v>6.58465044444444</v>
      </c>
      <c r="J10581" s="59">
        <v>36.0</v>
      </c>
      <c r="K10581" s="61">
        <f t="shared" si="1"/>
        <v>1</v>
      </c>
      <c r="L10581" s="62">
        <f t="shared" si="2"/>
        <v>2</v>
      </c>
    </row>
    <row r="10582">
      <c r="A10582" s="58">
        <v>45078.0</v>
      </c>
      <c r="B10582" s="24" t="s">
        <v>6790</v>
      </c>
      <c r="C10582" s="24" t="s">
        <v>6792</v>
      </c>
      <c r="D10582" s="59">
        <v>17.0</v>
      </c>
      <c r="E10582" s="59">
        <v>22.0</v>
      </c>
      <c r="F10582" s="59">
        <v>0.0</v>
      </c>
      <c r="G10582" s="60">
        <v>1.46666666666666</v>
      </c>
      <c r="H10582" s="60">
        <v>0.954545454545454</v>
      </c>
      <c r="I10582" s="60">
        <v>28.3896068181818</v>
      </c>
      <c r="J10582" s="59">
        <v>0.0</v>
      </c>
      <c r="K10582" s="61">
        <f t="shared" si="1"/>
        <v>0</v>
      </c>
      <c r="L10582" s="62">
        <f t="shared" si="2"/>
        <v>0</v>
      </c>
    </row>
    <row r="10583">
      <c r="A10583" s="58">
        <v>45078.0</v>
      </c>
      <c r="B10583" s="24" t="s">
        <v>6791</v>
      </c>
      <c r="C10583" s="24" t="s">
        <v>7227</v>
      </c>
      <c r="D10583" s="59">
        <v>16.0</v>
      </c>
      <c r="E10583" s="59">
        <v>16.0</v>
      </c>
      <c r="F10583" s="59">
        <v>14.0</v>
      </c>
      <c r="G10583" s="60">
        <v>1.0</v>
      </c>
      <c r="H10583" s="60">
        <v>0.0</v>
      </c>
      <c r="I10583" s="60">
        <v>85.5877495625</v>
      </c>
      <c r="J10583" s="59">
        <v>42.0</v>
      </c>
      <c r="K10583" s="61">
        <f t="shared" si="1"/>
        <v>0.875</v>
      </c>
      <c r="L10583" s="62">
        <f t="shared" si="2"/>
        <v>2.625</v>
      </c>
    </row>
    <row r="10584">
      <c r="A10584" s="58">
        <v>45078.0</v>
      </c>
      <c r="B10584" s="24" t="s">
        <v>6787</v>
      </c>
      <c r="C10584" s="24" t="s">
        <v>6921</v>
      </c>
      <c r="D10584" s="59">
        <v>16.0</v>
      </c>
      <c r="E10584" s="59">
        <v>16.0</v>
      </c>
      <c r="F10584" s="59">
        <v>16.0</v>
      </c>
      <c r="G10584" s="60">
        <v>1.0</v>
      </c>
      <c r="H10584" s="60">
        <v>0.0625</v>
      </c>
      <c r="I10584" s="60">
        <v>5.5632166875</v>
      </c>
      <c r="J10584" s="59">
        <v>36.0</v>
      </c>
      <c r="K10584" s="61">
        <f t="shared" si="1"/>
        <v>1</v>
      </c>
      <c r="L10584" s="62">
        <f t="shared" si="2"/>
        <v>2.25</v>
      </c>
    </row>
    <row r="10585">
      <c r="A10585" s="58">
        <v>45078.0</v>
      </c>
      <c r="B10585" s="24" t="s">
        <v>6791</v>
      </c>
      <c r="C10585" s="24" t="s">
        <v>6792</v>
      </c>
      <c r="D10585" s="59">
        <v>14.0</v>
      </c>
      <c r="E10585" s="59">
        <v>15.0</v>
      </c>
      <c r="F10585" s="59">
        <v>0.0</v>
      </c>
      <c r="G10585" s="60">
        <v>1.36363636363636</v>
      </c>
      <c r="H10585" s="60">
        <v>0.933333333333333</v>
      </c>
      <c r="I10585" s="60">
        <v>0.793108</v>
      </c>
      <c r="J10585" s="59">
        <v>0.0</v>
      </c>
      <c r="K10585" s="61">
        <f t="shared" si="1"/>
        <v>0</v>
      </c>
      <c r="L10585" s="62">
        <f t="shared" si="2"/>
        <v>0</v>
      </c>
    </row>
    <row r="10586">
      <c r="A10586" s="58">
        <v>45078.0</v>
      </c>
      <c r="B10586" s="24" t="s">
        <v>6787</v>
      </c>
      <c r="C10586" s="24" t="s">
        <v>7068</v>
      </c>
      <c r="D10586" s="59">
        <v>14.0</v>
      </c>
      <c r="E10586" s="59">
        <v>16.0</v>
      </c>
      <c r="F10586" s="59">
        <v>12.0</v>
      </c>
      <c r="G10586" s="60">
        <v>1.14285714285714</v>
      </c>
      <c r="H10586" s="60">
        <v>0.0</v>
      </c>
      <c r="I10586" s="60">
        <v>33.9732685625</v>
      </c>
      <c r="J10586" s="59">
        <v>38.0</v>
      </c>
      <c r="K10586" s="61">
        <f t="shared" si="1"/>
        <v>0.75</v>
      </c>
      <c r="L10586" s="62">
        <f t="shared" si="2"/>
        <v>2.375</v>
      </c>
    </row>
    <row r="10587">
      <c r="A10587" s="58">
        <v>45078.0</v>
      </c>
      <c r="B10587" s="24" t="s">
        <v>6789</v>
      </c>
      <c r="C10587" s="24" t="s">
        <v>6835</v>
      </c>
      <c r="D10587" s="59">
        <v>14.0</v>
      </c>
      <c r="E10587" s="59">
        <v>17.0</v>
      </c>
      <c r="F10587" s="59">
        <v>13.0</v>
      </c>
      <c r="G10587" s="60">
        <v>1.21428571428571</v>
      </c>
      <c r="H10587" s="60">
        <v>0.0</v>
      </c>
      <c r="I10587" s="60">
        <v>254.833864941176</v>
      </c>
      <c r="J10587" s="59">
        <v>43.0</v>
      </c>
      <c r="K10587" s="61">
        <f t="shared" si="1"/>
        <v>0.7647058824</v>
      </c>
      <c r="L10587" s="62">
        <f t="shared" si="2"/>
        <v>2.529411765</v>
      </c>
    </row>
    <row r="10588">
      <c r="A10588" s="58">
        <v>45078.0</v>
      </c>
      <c r="B10588" s="24" t="s">
        <v>6794</v>
      </c>
      <c r="C10588" s="24" t="s">
        <v>6992</v>
      </c>
      <c r="D10588" s="59">
        <v>14.0</v>
      </c>
      <c r="E10588" s="59">
        <v>14.0</v>
      </c>
      <c r="F10588" s="59">
        <v>7.0</v>
      </c>
      <c r="G10588" s="60">
        <v>1.0</v>
      </c>
      <c r="H10588" s="60">
        <v>0.0</v>
      </c>
      <c r="I10588" s="60">
        <v>112.803972642857</v>
      </c>
      <c r="J10588" s="59">
        <v>47.0</v>
      </c>
      <c r="K10588" s="61">
        <f t="shared" si="1"/>
        <v>0.5</v>
      </c>
      <c r="L10588" s="62">
        <f t="shared" si="2"/>
        <v>3.357142857</v>
      </c>
    </row>
    <row r="10589">
      <c r="A10589" s="58">
        <v>45078.0</v>
      </c>
      <c r="B10589" s="24" t="s">
        <v>6787</v>
      </c>
      <c r="C10589" s="24" t="s">
        <v>6997</v>
      </c>
      <c r="D10589" s="59">
        <v>14.0</v>
      </c>
      <c r="E10589" s="59">
        <v>14.0</v>
      </c>
      <c r="F10589" s="59">
        <v>13.0</v>
      </c>
      <c r="G10589" s="60">
        <v>1.0</v>
      </c>
      <c r="H10589" s="60">
        <v>0.0</v>
      </c>
      <c r="I10589" s="60">
        <v>55.972906</v>
      </c>
      <c r="J10589" s="59">
        <v>44.0</v>
      </c>
      <c r="K10589" s="61">
        <f t="shared" si="1"/>
        <v>0.9285714286</v>
      </c>
      <c r="L10589" s="62">
        <f t="shared" si="2"/>
        <v>3.142857143</v>
      </c>
    </row>
    <row r="10590">
      <c r="A10590" s="58">
        <v>45078.0</v>
      </c>
      <c r="B10590" s="24" t="s">
        <v>6789</v>
      </c>
      <c r="C10590" s="24" t="s">
        <v>6808</v>
      </c>
      <c r="D10590" s="59">
        <v>14.0</v>
      </c>
      <c r="E10590" s="59">
        <v>17.0</v>
      </c>
      <c r="F10590" s="59">
        <v>10.0</v>
      </c>
      <c r="G10590" s="60">
        <v>1.21428571428571</v>
      </c>
      <c r="H10590" s="60">
        <v>0.0</v>
      </c>
      <c r="I10590" s="60">
        <v>22.5183081764705</v>
      </c>
      <c r="J10590" s="59">
        <v>42.0</v>
      </c>
      <c r="K10590" s="61">
        <f t="shared" si="1"/>
        <v>0.5882352941</v>
      </c>
      <c r="L10590" s="62">
        <f t="shared" si="2"/>
        <v>2.470588235</v>
      </c>
    </row>
    <row r="10591">
      <c r="A10591" s="58">
        <v>45078.0</v>
      </c>
      <c r="B10591" s="24" t="s">
        <v>7100</v>
      </c>
      <c r="C10591" s="24" t="s">
        <v>6802</v>
      </c>
      <c r="D10591" s="59">
        <v>14.0</v>
      </c>
      <c r="E10591" s="59">
        <v>14.0</v>
      </c>
      <c r="F10591" s="59">
        <v>12.0</v>
      </c>
      <c r="G10591" s="60">
        <v>1.0</v>
      </c>
      <c r="H10591" s="60">
        <v>0.0</v>
      </c>
      <c r="I10591" s="60">
        <v>4.64964299999999</v>
      </c>
      <c r="J10591" s="59">
        <v>28.0</v>
      </c>
      <c r="K10591" s="61">
        <f t="shared" si="1"/>
        <v>0.8571428571</v>
      </c>
      <c r="L10591" s="62">
        <f t="shared" si="2"/>
        <v>2</v>
      </c>
    </row>
    <row r="10592">
      <c r="A10592" s="58">
        <v>45078.0</v>
      </c>
      <c r="B10592" s="24" t="s">
        <v>7100</v>
      </c>
      <c r="C10592" s="24" t="s">
        <v>6989</v>
      </c>
      <c r="D10592" s="59">
        <v>13.0</v>
      </c>
      <c r="E10592" s="59">
        <v>16.0</v>
      </c>
      <c r="F10592" s="59">
        <v>12.0</v>
      </c>
      <c r="G10592" s="60">
        <v>1.23076923076923</v>
      </c>
      <c r="H10592" s="60">
        <v>0.125</v>
      </c>
      <c r="I10592" s="60">
        <v>4.9658195</v>
      </c>
      <c r="J10592" s="59">
        <v>30.0</v>
      </c>
      <c r="K10592" s="61">
        <f t="shared" si="1"/>
        <v>0.75</v>
      </c>
      <c r="L10592" s="62">
        <f t="shared" si="2"/>
        <v>1.875</v>
      </c>
    </row>
    <row r="10593">
      <c r="A10593" s="58">
        <v>45078.0</v>
      </c>
      <c r="B10593" s="24" t="s">
        <v>3216</v>
      </c>
      <c r="C10593" s="24" t="s">
        <v>6815</v>
      </c>
      <c r="D10593" s="59">
        <v>12.0</v>
      </c>
      <c r="E10593" s="59">
        <v>15.0</v>
      </c>
      <c r="F10593" s="59">
        <v>9.0</v>
      </c>
      <c r="G10593" s="60">
        <v>1.25</v>
      </c>
      <c r="H10593" s="60">
        <v>0.266666666666666</v>
      </c>
      <c r="I10593" s="60">
        <v>14.9374652</v>
      </c>
      <c r="J10593" s="59">
        <v>36.0</v>
      </c>
      <c r="K10593" s="61">
        <f t="shared" si="1"/>
        <v>0.6</v>
      </c>
      <c r="L10593" s="62">
        <f t="shared" si="2"/>
        <v>2.4</v>
      </c>
    </row>
    <row r="10594">
      <c r="A10594" s="58">
        <v>45078.0</v>
      </c>
      <c r="B10594" s="24" t="s">
        <v>6787</v>
      </c>
      <c r="C10594" s="24" t="s">
        <v>6802</v>
      </c>
      <c r="D10594" s="59">
        <v>12.0</v>
      </c>
      <c r="E10594" s="59">
        <v>12.0</v>
      </c>
      <c r="F10594" s="59">
        <v>12.0</v>
      </c>
      <c r="G10594" s="60">
        <v>1.0</v>
      </c>
      <c r="H10594" s="60">
        <v>0.0833333333333333</v>
      </c>
      <c r="I10594" s="60">
        <v>178.398718249999</v>
      </c>
      <c r="J10594" s="59">
        <v>61.0</v>
      </c>
      <c r="K10594" s="61">
        <f t="shared" si="1"/>
        <v>1</v>
      </c>
      <c r="L10594" s="62">
        <f t="shared" si="2"/>
        <v>5.083333333</v>
      </c>
    </row>
    <row r="10595">
      <c r="A10595" s="58">
        <v>45078.0</v>
      </c>
      <c r="B10595" s="24" t="s">
        <v>6787</v>
      </c>
      <c r="C10595" s="24" t="s">
        <v>7227</v>
      </c>
      <c r="D10595" s="59">
        <v>11.0</v>
      </c>
      <c r="E10595" s="59">
        <v>11.0</v>
      </c>
      <c r="F10595" s="59">
        <v>11.0</v>
      </c>
      <c r="G10595" s="60">
        <v>1.0</v>
      </c>
      <c r="H10595" s="60">
        <v>0.0</v>
      </c>
      <c r="I10595" s="60">
        <v>162.940811727272</v>
      </c>
      <c r="J10595" s="59">
        <v>33.0</v>
      </c>
      <c r="K10595" s="61">
        <f t="shared" si="1"/>
        <v>1</v>
      </c>
      <c r="L10595" s="62">
        <f t="shared" si="2"/>
        <v>3</v>
      </c>
    </row>
    <row r="10596">
      <c r="A10596" s="58">
        <v>45078.0</v>
      </c>
      <c r="B10596" s="24" t="s">
        <v>6789</v>
      </c>
      <c r="C10596" s="24" t="s">
        <v>6910</v>
      </c>
      <c r="D10596" s="59">
        <v>11.0</v>
      </c>
      <c r="E10596" s="59">
        <v>12.0</v>
      </c>
      <c r="F10596" s="59">
        <v>4.0</v>
      </c>
      <c r="G10596" s="60">
        <v>1.09090909090909</v>
      </c>
      <c r="H10596" s="60">
        <v>0.0</v>
      </c>
      <c r="I10596" s="60">
        <v>373.981585916666</v>
      </c>
      <c r="J10596" s="59">
        <v>30.0</v>
      </c>
      <c r="K10596" s="61">
        <f t="shared" si="1"/>
        <v>0.3333333333</v>
      </c>
      <c r="L10596" s="62">
        <f t="shared" si="2"/>
        <v>2.5</v>
      </c>
    </row>
    <row r="10597">
      <c r="A10597" s="58">
        <v>45078.0</v>
      </c>
      <c r="B10597" s="24" t="s">
        <v>6787</v>
      </c>
      <c r="C10597" s="24" t="s">
        <v>6886</v>
      </c>
      <c r="D10597" s="59">
        <v>10.0</v>
      </c>
      <c r="E10597" s="59">
        <v>10.0</v>
      </c>
      <c r="F10597" s="59">
        <v>9.0</v>
      </c>
      <c r="G10597" s="60">
        <v>1.0</v>
      </c>
      <c r="H10597" s="60">
        <v>0.0</v>
      </c>
      <c r="I10597" s="60">
        <v>180.0251604</v>
      </c>
      <c r="J10597" s="59">
        <v>32.0</v>
      </c>
      <c r="K10597" s="61">
        <f t="shared" si="1"/>
        <v>0.9</v>
      </c>
      <c r="L10597" s="62">
        <f t="shared" si="2"/>
        <v>3.2</v>
      </c>
    </row>
    <row r="10598">
      <c r="A10598" s="58">
        <v>45078.0</v>
      </c>
      <c r="B10598" s="24" t="s">
        <v>6789</v>
      </c>
      <c r="C10598" s="24" t="s">
        <v>6997</v>
      </c>
      <c r="D10598" s="59">
        <v>10.0</v>
      </c>
      <c r="E10598" s="59">
        <v>13.0</v>
      </c>
      <c r="F10598" s="59">
        <v>5.0</v>
      </c>
      <c r="G10598" s="60">
        <v>1.3</v>
      </c>
      <c r="H10598" s="60">
        <v>0.0</v>
      </c>
      <c r="I10598" s="60">
        <v>552.062641153846</v>
      </c>
      <c r="J10598" s="59">
        <v>48.0</v>
      </c>
      <c r="K10598" s="61">
        <f t="shared" si="1"/>
        <v>0.3846153846</v>
      </c>
      <c r="L10598" s="62">
        <f t="shared" si="2"/>
        <v>3.692307692</v>
      </c>
    </row>
    <row r="10599">
      <c r="A10599" s="58">
        <v>45078.0</v>
      </c>
      <c r="B10599" s="24" t="s">
        <v>6789</v>
      </c>
      <c r="C10599" s="24" t="s">
        <v>6819</v>
      </c>
      <c r="D10599" s="59">
        <v>9.0</v>
      </c>
      <c r="E10599" s="59">
        <v>9.0</v>
      </c>
      <c r="F10599" s="59">
        <v>9.0</v>
      </c>
      <c r="G10599" s="60">
        <v>1.0</v>
      </c>
      <c r="H10599" s="60">
        <v>0.0</v>
      </c>
      <c r="I10599" s="60">
        <v>85.3287448888888</v>
      </c>
      <c r="J10599" s="59">
        <v>22.0</v>
      </c>
      <c r="K10599" s="61">
        <f t="shared" si="1"/>
        <v>1</v>
      </c>
      <c r="L10599" s="62">
        <f t="shared" si="2"/>
        <v>2.444444444</v>
      </c>
    </row>
    <row r="10600">
      <c r="A10600" s="58">
        <v>45078.0</v>
      </c>
      <c r="B10600" s="24" t="s">
        <v>6789</v>
      </c>
      <c r="C10600" s="24" t="s">
        <v>7013</v>
      </c>
      <c r="D10600" s="59">
        <v>9.0</v>
      </c>
      <c r="E10600" s="59">
        <v>9.0</v>
      </c>
      <c r="F10600" s="59">
        <v>3.0</v>
      </c>
      <c r="G10600" s="60">
        <v>1.0</v>
      </c>
      <c r="H10600" s="60">
        <v>0.0</v>
      </c>
      <c r="I10600" s="60">
        <v>279.647238555555</v>
      </c>
      <c r="J10600" s="59">
        <v>26.0</v>
      </c>
      <c r="K10600" s="61">
        <f t="shared" si="1"/>
        <v>0.3333333333</v>
      </c>
      <c r="L10600" s="62">
        <f t="shared" si="2"/>
        <v>2.888888889</v>
      </c>
    </row>
    <row r="10601">
      <c r="A10601" s="58">
        <v>45078.0</v>
      </c>
      <c r="B10601" s="24" t="s">
        <v>155</v>
      </c>
      <c r="C10601" s="24" t="s">
        <v>6962</v>
      </c>
      <c r="D10601" s="59">
        <v>9.0</v>
      </c>
      <c r="E10601" s="59">
        <v>11.0</v>
      </c>
      <c r="F10601" s="59">
        <v>8.0</v>
      </c>
      <c r="G10601" s="60">
        <v>1.22222222222222</v>
      </c>
      <c r="H10601" s="60">
        <v>0.0</v>
      </c>
      <c r="I10601" s="60">
        <v>759.166539</v>
      </c>
      <c r="J10601" s="59">
        <v>58.0</v>
      </c>
      <c r="K10601" s="61">
        <f t="shared" si="1"/>
        <v>0.7272727273</v>
      </c>
      <c r="L10601" s="62">
        <f t="shared" si="2"/>
        <v>5.272727273</v>
      </c>
    </row>
    <row r="10602">
      <c r="A10602" s="58">
        <v>45078.0</v>
      </c>
      <c r="B10602" s="24" t="s">
        <v>155</v>
      </c>
      <c r="C10602" s="24" t="s">
        <v>6792</v>
      </c>
      <c r="D10602" s="59">
        <v>8.0</v>
      </c>
      <c r="E10602" s="59">
        <v>9.0</v>
      </c>
      <c r="F10602" s="59">
        <v>0.0</v>
      </c>
      <c r="G10602" s="60">
        <v>1.28571428571428</v>
      </c>
      <c r="H10602" s="60">
        <v>1.0</v>
      </c>
      <c r="I10602" s="60">
        <v>0.0</v>
      </c>
      <c r="J10602" s="59">
        <v>0.0</v>
      </c>
      <c r="K10602" s="61">
        <f t="shared" si="1"/>
        <v>0</v>
      </c>
      <c r="L10602" s="62">
        <f t="shared" si="2"/>
        <v>0</v>
      </c>
    </row>
    <row r="10603">
      <c r="A10603" s="58">
        <v>45078.0</v>
      </c>
      <c r="B10603" s="24" t="s">
        <v>6787</v>
      </c>
      <c r="C10603" s="24" t="s">
        <v>6799</v>
      </c>
      <c r="D10603" s="59">
        <v>8.0</v>
      </c>
      <c r="E10603" s="59">
        <v>8.0</v>
      </c>
      <c r="F10603" s="59">
        <v>5.0</v>
      </c>
      <c r="G10603" s="60">
        <v>1.0</v>
      </c>
      <c r="H10603" s="60">
        <v>0.125</v>
      </c>
      <c r="I10603" s="60">
        <v>128.93610525</v>
      </c>
      <c r="J10603" s="59">
        <v>26.0</v>
      </c>
      <c r="K10603" s="61">
        <f t="shared" si="1"/>
        <v>0.625</v>
      </c>
      <c r="L10603" s="62">
        <f t="shared" si="2"/>
        <v>3.25</v>
      </c>
    </row>
    <row r="10604">
      <c r="A10604" s="58">
        <v>45078.0</v>
      </c>
      <c r="B10604" s="24" t="s">
        <v>6787</v>
      </c>
      <c r="C10604" s="24" t="s">
        <v>6800</v>
      </c>
      <c r="D10604" s="59">
        <v>8.0</v>
      </c>
      <c r="E10604" s="59">
        <v>8.0</v>
      </c>
      <c r="F10604" s="59">
        <v>8.0</v>
      </c>
      <c r="G10604" s="60">
        <v>1.0</v>
      </c>
      <c r="H10604" s="60">
        <v>0.25</v>
      </c>
      <c r="I10604" s="60">
        <v>18.649925375</v>
      </c>
      <c r="J10604" s="59">
        <v>15.0</v>
      </c>
      <c r="K10604" s="61">
        <f t="shared" si="1"/>
        <v>1</v>
      </c>
      <c r="L10604" s="62">
        <f t="shared" si="2"/>
        <v>1.875</v>
      </c>
    </row>
    <row r="10605">
      <c r="A10605" s="58">
        <v>45078.0</v>
      </c>
      <c r="B10605" s="24" t="s">
        <v>6787</v>
      </c>
      <c r="C10605" s="24" t="s">
        <v>7313</v>
      </c>
      <c r="D10605" s="59">
        <v>8.0</v>
      </c>
      <c r="E10605" s="59">
        <v>10.0</v>
      </c>
      <c r="F10605" s="59">
        <v>6.0</v>
      </c>
      <c r="G10605" s="60">
        <v>1.25</v>
      </c>
      <c r="H10605" s="60">
        <v>0.1</v>
      </c>
      <c r="I10605" s="60">
        <v>257.357079</v>
      </c>
      <c r="J10605" s="59">
        <v>52.0</v>
      </c>
      <c r="K10605" s="61">
        <f t="shared" si="1"/>
        <v>0.6</v>
      </c>
      <c r="L10605" s="62">
        <f t="shared" si="2"/>
        <v>5.2</v>
      </c>
    </row>
    <row r="10606">
      <c r="A10606" s="58">
        <v>45078.0</v>
      </c>
      <c r="B10606" s="24" t="s">
        <v>6791</v>
      </c>
      <c r="C10606" s="27"/>
      <c r="D10606" s="59">
        <v>7.0</v>
      </c>
      <c r="E10606" s="59">
        <v>13.0</v>
      </c>
      <c r="F10606" s="59">
        <v>0.0</v>
      </c>
      <c r="G10606" s="60">
        <v>1.85714285714285</v>
      </c>
      <c r="H10606" s="60">
        <v>0.0</v>
      </c>
      <c r="I10606" s="60">
        <v>329.166015230769</v>
      </c>
      <c r="J10606" s="59">
        <v>106.0</v>
      </c>
      <c r="K10606" s="61">
        <f t="shared" si="1"/>
        <v>0</v>
      </c>
      <c r="L10606" s="62">
        <f t="shared" si="2"/>
        <v>8.153846154</v>
      </c>
    </row>
    <row r="10607">
      <c r="A10607" s="58">
        <v>45078.0</v>
      </c>
      <c r="B10607" s="24" t="s">
        <v>6789</v>
      </c>
      <c r="C10607" s="24" t="s">
        <v>6953</v>
      </c>
      <c r="D10607" s="59">
        <v>7.0</v>
      </c>
      <c r="E10607" s="59">
        <v>9.0</v>
      </c>
      <c r="F10607" s="59">
        <v>6.0</v>
      </c>
      <c r="G10607" s="60">
        <v>1.28571428571428</v>
      </c>
      <c r="H10607" s="60">
        <v>0.0</v>
      </c>
      <c r="I10607" s="60">
        <v>64.0372964444444</v>
      </c>
      <c r="J10607" s="59">
        <v>22.0</v>
      </c>
      <c r="K10607" s="61">
        <f t="shared" si="1"/>
        <v>0.6666666667</v>
      </c>
      <c r="L10607" s="62">
        <f t="shared" si="2"/>
        <v>2.444444444</v>
      </c>
    </row>
    <row r="10608">
      <c r="A10608" s="58">
        <v>45078.0</v>
      </c>
      <c r="B10608" s="24" t="s">
        <v>6789</v>
      </c>
      <c r="C10608" s="24" t="s">
        <v>7058</v>
      </c>
      <c r="D10608" s="59">
        <v>7.0</v>
      </c>
      <c r="E10608" s="59">
        <v>12.0</v>
      </c>
      <c r="F10608" s="59">
        <v>5.0</v>
      </c>
      <c r="G10608" s="60">
        <v>1.71428571428571</v>
      </c>
      <c r="H10608" s="60">
        <v>0.0</v>
      </c>
      <c r="I10608" s="60">
        <v>218.590857916666</v>
      </c>
      <c r="J10608" s="59">
        <v>34.0</v>
      </c>
      <c r="K10608" s="61">
        <f t="shared" si="1"/>
        <v>0.4166666667</v>
      </c>
      <c r="L10608" s="62">
        <f t="shared" si="2"/>
        <v>2.833333333</v>
      </c>
    </row>
    <row r="10609">
      <c r="A10609" s="58">
        <v>45078.0</v>
      </c>
      <c r="B10609" s="24" t="s">
        <v>6789</v>
      </c>
      <c r="C10609" s="24" t="s">
        <v>6994</v>
      </c>
      <c r="D10609" s="59">
        <v>7.0</v>
      </c>
      <c r="E10609" s="59">
        <v>7.0</v>
      </c>
      <c r="F10609" s="59">
        <v>7.0</v>
      </c>
      <c r="G10609" s="60">
        <v>1.0</v>
      </c>
      <c r="H10609" s="60">
        <v>0.142857142857142</v>
      </c>
      <c r="I10609" s="60">
        <v>45.2729318571428</v>
      </c>
      <c r="J10609" s="59">
        <v>13.0</v>
      </c>
      <c r="K10609" s="61">
        <f t="shared" si="1"/>
        <v>1</v>
      </c>
      <c r="L10609" s="62">
        <f t="shared" si="2"/>
        <v>1.857142857</v>
      </c>
    </row>
    <row r="10610">
      <c r="A10610" s="58">
        <v>45078.0</v>
      </c>
      <c r="B10610" s="24" t="s">
        <v>6789</v>
      </c>
      <c r="C10610" s="24" t="s">
        <v>6892</v>
      </c>
      <c r="D10610" s="59">
        <v>7.0</v>
      </c>
      <c r="E10610" s="59">
        <v>7.0</v>
      </c>
      <c r="F10610" s="59">
        <v>5.0</v>
      </c>
      <c r="G10610" s="60">
        <v>1.0</v>
      </c>
      <c r="H10610" s="60">
        <v>0.0</v>
      </c>
      <c r="I10610" s="60">
        <v>444.931267714285</v>
      </c>
      <c r="J10610" s="59">
        <v>22.0</v>
      </c>
      <c r="K10610" s="61">
        <f t="shared" si="1"/>
        <v>0.7142857143</v>
      </c>
      <c r="L10610" s="62">
        <f t="shared" si="2"/>
        <v>3.142857143</v>
      </c>
    </row>
    <row r="10611">
      <c r="A10611" s="58">
        <v>45078.0</v>
      </c>
      <c r="B10611" s="24" t="s">
        <v>6787</v>
      </c>
      <c r="C10611" s="24" t="s">
        <v>6808</v>
      </c>
      <c r="D10611" s="59">
        <v>7.0</v>
      </c>
      <c r="E10611" s="59">
        <v>7.0</v>
      </c>
      <c r="F10611" s="59">
        <v>6.0</v>
      </c>
      <c r="G10611" s="60">
        <v>1.0</v>
      </c>
      <c r="H10611" s="60">
        <v>0.0</v>
      </c>
      <c r="I10611" s="60">
        <v>17.1203408571428</v>
      </c>
      <c r="J10611" s="59">
        <v>14.0</v>
      </c>
      <c r="K10611" s="61">
        <f t="shared" si="1"/>
        <v>0.8571428571</v>
      </c>
      <c r="L10611" s="62">
        <f t="shared" si="2"/>
        <v>2</v>
      </c>
    </row>
    <row r="10612">
      <c r="A10612" s="58">
        <v>45078.0</v>
      </c>
      <c r="B10612" s="24" t="s">
        <v>6787</v>
      </c>
      <c r="C10612" s="24" t="s">
        <v>6910</v>
      </c>
      <c r="D10612" s="59">
        <v>7.0</v>
      </c>
      <c r="E10612" s="59">
        <v>8.0</v>
      </c>
      <c r="F10612" s="59">
        <v>7.0</v>
      </c>
      <c r="G10612" s="60">
        <v>1.14285714285714</v>
      </c>
      <c r="H10612" s="60">
        <v>0.125</v>
      </c>
      <c r="I10612" s="60">
        <v>235.404276749999</v>
      </c>
      <c r="J10612" s="59">
        <v>25.0</v>
      </c>
      <c r="K10612" s="61">
        <f t="shared" si="1"/>
        <v>0.875</v>
      </c>
      <c r="L10612" s="62">
        <f t="shared" si="2"/>
        <v>3.125</v>
      </c>
    </row>
    <row r="10613">
      <c r="A10613" s="58">
        <v>45078.0</v>
      </c>
      <c r="B10613" s="24" t="s">
        <v>6789</v>
      </c>
      <c r="C10613" s="24" t="s">
        <v>6922</v>
      </c>
      <c r="D10613" s="59">
        <v>7.0</v>
      </c>
      <c r="E10613" s="59">
        <v>8.0</v>
      </c>
      <c r="F10613" s="59">
        <v>5.0</v>
      </c>
      <c r="G10613" s="60">
        <v>1.14285714285714</v>
      </c>
      <c r="H10613" s="60">
        <v>0.0</v>
      </c>
      <c r="I10613" s="60">
        <v>302.790766875</v>
      </c>
      <c r="J10613" s="59">
        <v>78.0</v>
      </c>
      <c r="K10613" s="61">
        <f t="shared" si="1"/>
        <v>0.625</v>
      </c>
      <c r="L10613" s="62">
        <f t="shared" si="2"/>
        <v>9.75</v>
      </c>
    </row>
    <row r="10614">
      <c r="A10614" s="58">
        <v>45078.0</v>
      </c>
      <c r="B10614" s="24" t="s">
        <v>6789</v>
      </c>
      <c r="C10614" s="24" t="s">
        <v>7074</v>
      </c>
      <c r="D10614" s="59">
        <v>6.0</v>
      </c>
      <c r="E10614" s="59">
        <v>6.0</v>
      </c>
      <c r="F10614" s="59">
        <v>5.0</v>
      </c>
      <c r="G10614" s="60">
        <v>1.0</v>
      </c>
      <c r="H10614" s="60">
        <v>0.0</v>
      </c>
      <c r="I10614" s="60">
        <v>168.046301333333</v>
      </c>
      <c r="J10614" s="59">
        <v>22.0</v>
      </c>
      <c r="K10614" s="61">
        <f t="shared" si="1"/>
        <v>0.8333333333</v>
      </c>
      <c r="L10614" s="62">
        <f t="shared" si="2"/>
        <v>3.666666667</v>
      </c>
    </row>
    <row r="10615">
      <c r="A10615" s="58">
        <v>45078.0</v>
      </c>
      <c r="B10615" s="24" t="s">
        <v>6942</v>
      </c>
      <c r="C10615" s="24" t="s">
        <v>7624</v>
      </c>
      <c r="D10615" s="59">
        <v>6.0</v>
      </c>
      <c r="E10615" s="59">
        <v>6.0</v>
      </c>
      <c r="F10615" s="59">
        <v>6.0</v>
      </c>
      <c r="G10615" s="60">
        <v>1.0</v>
      </c>
      <c r="H10615" s="60">
        <v>0.5</v>
      </c>
      <c r="I10615" s="60">
        <v>13.0903965</v>
      </c>
      <c r="J10615" s="59">
        <v>9.0</v>
      </c>
      <c r="K10615" s="61">
        <f t="shared" si="1"/>
        <v>1</v>
      </c>
      <c r="L10615" s="62">
        <f t="shared" si="2"/>
        <v>1.5</v>
      </c>
    </row>
    <row r="10616">
      <c r="A10616" s="58">
        <v>45078.0</v>
      </c>
      <c r="B10616" s="24" t="s">
        <v>6791</v>
      </c>
      <c r="C10616" s="24" t="s">
        <v>7554</v>
      </c>
      <c r="D10616" s="59">
        <v>6.0</v>
      </c>
      <c r="E10616" s="59">
        <v>7.0</v>
      </c>
      <c r="F10616" s="59">
        <v>4.0</v>
      </c>
      <c r="G10616" s="60">
        <v>1.16666666666666</v>
      </c>
      <c r="H10616" s="60">
        <v>0.0</v>
      </c>
      <c r="I10616" s="60">
        <v>94.8235731428571</v>
      </c>
      <c r="J10616" s="59">
        <v>40.0</v>
      </c>
      <c r="K10616" s="61">
        <f t="shared" si="1"/>
        <v>0.5714285714</v>
      </c>
      <c r="L10616" s="62">
        <f t="shared" si="2"/>
        <v>5.714285714</v>
      </c>
    </row>
    <row r="10617">
      <c r="A10617" s="58">
        <v>45078.0</v>
      </c>
      <c r="B10617" s="24" t="s">
        <v>6791</v>
      </c>
      <c r="C10617" s="24" t="s">
        <v>7261</v>
      </c>
      <c r="D10617" s="59">
        <v>6.0</v>
      </c>
      <c r="E10617" s="59">
        <v>7.0</v>
      </c>
      <c r="F10617" s="59">
        <v>6.0</v>
      </c>
      <c r="G10617" s="60">
        <v>1.16666666666666</v>
      </c>
      <c r="H10617" s="60">
        <v>0.0</v>
      </c>
      <c r="I10617" s="60">
        <v>48.3760218571428</v>
      </c>
      <c r="J10617" s="59">
        <v>22.0</v>
      </c>
      <c r="K10617" s="61">
        <f t="shared" si="1"/>
        <v>0.8571428571</v>
      </c>
      <c r="L10617" s="62">
        <f t="shared" si="2"/>
        <v>3.142857143</v>
      </c>
    </row>
    <row r="10618">
      <c r="A10618" s="58">
        <v>45078.0</v>
      </c>
      <c r="B10618" s="24" t="s">
        <v>155</v>
      </c>
      <c r="C10618" s="24" t="s">
        <v>7013</v>
      </c>
      <c r="D10618" s="59">
        <v>6.0</v>
      </c>
      <c r="E10618" s="59">
        <v>6.0</v>
      </c>
      <c r="F10618" s="59">
        <v>4.0</v>
      </c>
      <c r="G10618" s="60">
        <v>1.0</v>
      </c>
      <c r="H10618" s="60">
        <v>0.0</v>
      </c>
      <c r="I10618" s="60">
        <v>84.2396046666666</v>
      </c>
      <c r="J10618" s="59">
        <v>19.0</v>
      </c>
      <c r="K10618" s="61">
        <f t="shared" si="1"/>
        <v>0.6666666667</v>
      </c>
      <c r="L10618" s="62">
        <f t="shared" si="2"/>
        <v>3.166666667</v>
      </c>
    </row>
    <row r="10619">
      <c r="A10619" s="58">
        <v>45078.0</v>
      </c>
      <c r="B10619" s="24" t="s">
        <v>6789</v>
      </c>
      <c r="C10619" s="24" t="s">
        <v>7172</v>
      </c>
      <c r="D10619" s="59">
        <v>6.0</v>
      </c>
      <c r="E10619" s="59">
        <v>8.0</v>
      </c>
      <c r="F10619" s="59">
        <v>1.0</v>
      </c>
      <c r="G10619" s="60">
        <v>1.33333333333333</v>
      </c>
      <c r="H10619" s="60">
        <v>0.0</v>
      </c>
      <c r="I10619" s="60">
        <v>585.01912775</v>
      </c>
      <c r="J10619" s="59">
        <v>32.0</v>
      </c>
      <c r="K10619" s="61">
        <f t="shared" si="1"/>
        <v>0.125</v>
      </c>
      <c r="L10619" s="62">
        <f t="shared" si="2"/>
        <v>4</v>
      </c>
    </row>
    <row r="10620">
      <c r="A10620" s="58">
        <v>45078.0</v>
      </c>
      <c r="B10620" s="24" t="s">
        <v>6787</v>
      </c>
      <c r="C10620" s="24" t="s">
        <v>6797</v>
      </c>
      <c r="D10620" s="59">
        <v>6.0</v>
      </c>
      <c r="E10620" s="59">
        <v>6.0</v>
      </c>
      <c r="F10620" s="59">
        <v>4.0</v>
      </c>
      <c r="G10620" s="60">
        <v>1.0</v>
      </c>
      <c r="H10620" s="60">
        <v>0.166666666666666</v>
      </c>
      <c r="I10620" s="60">
        <v>30.257151</v>
      </c>
      <c r="J10620" s="59">
        <v>13.0</v>
      </c>
      <c r="K10620" s="61">
        <f t="shared" si="1"/>
        <v>0.6666666667</v>
      </c>
      <c r="L10620" s="62">
        <f t="shared" si="2"/>
        <v>2.166666667</v>
      </c>
    </row>
    <row r="10621">
      <c r="A10621" s="58">
        <v>45078.0</v>
      </c>
      <c r="B10621" s="24" t="s">
        <v>6789</v>
      </c>
      <c r="C10621" s="24" t="s">
        <v>6810</v>
      </c>
      <c r="D10621" s="59">
        <v>6.0</v>
      </c>
      <c r="E10621" s="59">
        <v>6.0</v>
      </c>
      <c r="F10621" s="59">
        <v>2.0</v>
      </c>
      <c r="G10621" s="60">
        <v>1.0</v>
      </c>
      <c r="H10621" s="60">
        <v>0.0</v>
      </c>
      <c r="I10621" s="60">
        <v>55.8586203333333</v>
      </c>
      <c r="J10621" s="59">
        <v>22.0</v>
      </c>
      <c r="K10621" s="61">
        <f t="shared" si="1"/>
        <v>0.3333333333</v>
      </c>
      <c r="L10621" s="62">
        <f t="shared" si="2"/>
        <v>3.666666667</v>
      </c>
    </row>
    <row r="10622">
      <c r="A10622" s="58">
        <v>45078.0</v>
      </c>
      <c r="B10622" s="24" t="s">
        <v>6789</v>
      </c>
      <c r="C10622" s="24" t="s">
        <v>6802</v>
      </c>
      <c r="D10622" s="59">
        <v>6.0</v>
      </c>
      <c r="E10622" s="59">
        <v>9.0</v>
      </c>
      <c r="F10622" s="59">
        <v>2.0</v>
      </c>
      <c r="G10622" s="60">
        <v>1.5</v>
      </c>
      <c r="H10622" s="60">
        <v>0.0</v>
      </c>
      <c r="I10622" s="60">
        <v>30.8302288888888</v>
      </c>
      <c r="J10622" s="59">
        <v>24.0</v>
      </c>
      <c r="K10622" s="61">
        <f t="shared" si="1"/>
        <v>0.2222222222</v>
      </c>
      <c r="L10622" s="62">
        <f t="shared" si="2"/>
        <v>2.666666667</v>
      </c>
    </row>
    <row r="10623">
      <c r="A10623" s="58">
        <v>45078.0</v>
      </c>
      <c r="B10623" s="24" t="s">
        <v>7100</v>
      </c>
      <c r="C10623" s="24" t="s">
        <v>6792</v>
      </c>
      <c r="D10623" s="59">
        <v>5.0</v>
      </c>
      <c r="E10623" s="59">
        <v>5.0</v>
      </c>
      <c r="F10623" s="59">
        <v>0.0</v>
      </c>
      <c r="G10623" s="60">
        <v>1.25</v>
      </c>
      <c r="H10623" s="60">
        <v>1.0</v>
      </c>
      <c r="I10623" s="60">
        <v>0.0</v>
      </c>
      <c r="J10623" s="59">
        <v>0.0</v>
      </c>
      <c r="K10623" s="61">
        <f t="shared" si="1"/>
        <v>0</v>
      </c>
      <c r="L10623" s="62">
        <f t="shared" si="2"/>
        <v>0</v>
      </c>
    </row>
    <row r="10624">
      <c r="A10624" s="58">
        <v>45078.0</v>
      </c>
      <c r="B10624" s="24" t="s">
        <v>6789</v>
      </c>
      <c r="C10624" s="24" t="s">
        <v>6861</v>
      </c>
      <c r="D10624" s="59">
        <v>5.0</v>
      </c>
      <c r="E10624" s="59">
        <v>5.0</v>
      </c>
      <c r="F10624" s="59">
        <v>4.0</v>
      </c>
      <c r="G10624" s="60">
        <v>1.0</v>
      </c>
      <c r="H10624" s="60">
        <v>0.0</v>
      </c>
      <c r="I10624" s="60">
        <v>1427.2523082</v>
      </c>
      <c r="J10624" s="59">
        <v>48.0</v>
      </c>
      <c r="K10624" s="61">
        <f t="shared" si="1"/>
        <v>0.8</v>
      </c>
      <c r="L10624" s="62">
        <f t="shared" si="2"/>
        <v>9.6</v>
      </c>
    </row>
    <row r="10625">
      <c r="A10625" s="58">
        <v>45078.0</v>
      </c>
      <c r="B10625" s="24" t="s">
        <v>6789</v>
      </c>
      <c r="C10625" s="24" t="s">
        <v>6990</v>
      </c>
      <c r="D10625" s="59">
        <v>5.0</v>
      </c>
      <c r="E10625" s="59">
        <v>5.0</v>
      </c>
      <c r="F10625" s="59">
        <v>5.0</v>
      </c>
      <c r="G10625" s="60">
        <v>1.0</v>
      </c>
      <c r="H10625" s="60">
        <v>0.0</v>
      </c>
      <c r="I10625" s="60">
        <v>317.254141</v>
      </c>
      <c r="J10625" s="59">
        <v>15.0</v>
      </c>
      <c r="K10625" s="61">
        <f t="shared" si="1"/>
        <v>1</v>
      </c>
      <c r="L10625" s="62">
        <f t="shared" si="2"/>
        <v>3</v>
      </c>
    </row>
    <row r="10626">
      <c r="A10626" s="58">
        <v>45078.0</v>
      </c>
      <c r="B10626" s="24" t="s">
        <v>6942</v>
      </c>
      <c r="C10626" s="24" t="s">
        <v>6886</v>
      </c>
      <c r="D10626" s="59">
        <v>5.0</v>
      </c>
      <c r="E10626" s="59">
        <v>5.0</v>
      </c>
      <c r="F10626" s="59">
        <v>5.0</v>
      </c>
      <c r="G10626" s="60">
        <v>1.0</v>
      </c>
      <c r="H10626" s="60">
        <v>0.6</v>
      </c>
      <c r="I10626" s="60">
        <v>12.3202332</v>
      </c>
      <c r="J10626" s="59">
        <v>7.0</v>
      </c>
      <c r="K10626" s="61">
        <f t="shared" si="1"/>
        <v>1</v>
      </c>
      <c r="L10626" s="62">
        <f t="shared" si="2"/>
        <v>1.4</v>
      </c>
    </row>
    <row r="10627">
      <c r="A10627" s="58">
        <v>45078.0</v>
      </c>
      <c r="B10627" s="24" t="s">
        <v>7606</v>
      </c>
      <c r="C10627" s="24" t="s">
        <v>6892</v>
      </c>
      <c r="D10627" s="59">
        <v>5.0</v>
      </c>
      <c r="E10627" s="59">
        <v>6.0</v>
      </c>
      <c r="F10627" s="59">
        <v>2.0</v>
      </c>
      <c r="G10627" s="60">
        <v>1.2</v>
      </c>
      <c r="H10627" s="60">
        <v>0.0</v>
      </c>
      <c r="I10627" s="60">
        <v>17.764313</v>
      </c>
      <c r="J10627" s="59">
        <v>12.0</v>
      </c>
      <c r="K10627" s="61">
        <f t="shared" si="1"/>
        <v>0.3333333333</v>
      </c>
      <c r="L10627" s="62">
        <f t="shared" si="2"/>
        <v>2</v>
      </c>
    </row>
    <row r="10628">
      <c r="A10628" s="58">
        <v>45078.0</v>
      </c>
      <c r="B10628" s="24" t="s">
        <v>6789</v>
      </c>
      <c r="C10628" s="24" t="s">
        <v>6896</v>
      </c>
      <c r="D10628" s="59">
        <v>5.0</v>
      </c>
      <c r="E10628" s="59">
        <v>5.0</v>
      </c>
      <c r="F10628" s="59">
        <v>5.0</v>
      </c>
      <c r="G10628" s="60">
        <v>1.0</v>
      </c>
      <c r="H10628" s="60">
        <v>0.0</v>
      </c>
      <c r="I10628" s="60">
        <v>503.808095</v>
      </c>
      <c r="J10628" s="59">
        <v>35.0</v>
      </c>
      <c r="K10628" s="61">
        <f t="shared" si="1"/>
        <v>1</v>
      </c>
      <c r="L10628" s="62">
        <f t="shared" si="2"/>
        <v>7</v>
      </c>
    </row>
    <row r="10629">
      <c r="A10629" s="58">
        <v>45078.0</v>
      </c>
      <c r="B10629" s="24" t="s">
        <v>6789</v>
      </c>
      <c r="C10629" s="24" t="s">
        <v>6897</v>
      </c>
      <c r="D10629" s="59">
        <v>5.0</v>
      </c>
      <c r="E10629" s="59">
        <v>9.0</v>
      </c>
      <c r="F10629" s="59">
        <v>3.0</v>
      </c>
      <c r="G10629" s="60">
        <v>1.8</v>
      </c>
      <c r="H10629" s="60">
        <v>0.0</v>
      </c>
      <c r="I10629" s="60">
        <v>173.019672555555</v>
      </c>
      <c r="J10629" s="59">
        <v>28.0</v>
      </c>
      <c r="K10629" s="61">
        <f t="shared" si="1"/>
        <v>0.3333333333</v>
      </c>
      <c r="L10629" s="62">
        <f t="shared" si="2"/>
        <v>3.111111111</v>
      </c>
    </row>
    <row r="10630">
      <c r="A10630" s="58">
        <v>45078.0</v>
      </c>
      <c r="B10630" s="24" t="s">
        <v>7606</v>
      </c>
      <c r="C10630" s="24" t="s">
        <v>7624</v>
      </c>
      <c r="D10630" s="59">
        <v>5.0</v>
      </c>
      <c r="E10630" s="59">
        <v>5.0</v>
      </c>
      <c r="F10630" s="59">
        <v>5.0</v>
      </c>
      <c r="G10630" s="60">
        <v>1.0</v>
      </c>
      <c r="H10630" s="60">
        <v>0.2</v>
      </c>
      <c r="I10630" s="60">
        <v>7.172115</v>
      </c>
      <c r="J10630" s="59">
        <v>11.0</v>
      </c>
      <c r="K10630" s="61">
        <f t="shared" si="1"/>
        <v>1</v>
      </c>
      <c r="L10630" s="62">
        <f t="shared" si="2"/>
        <v>2.2</v>
      </c>
    </row>
    <row r="10631">
      <c r="A10631" s="58">
        <v>45078.0</v>
      </c>
      <c r="B10631" s="24" t="s">
        <v>6794</v>
      </c>
      <c r="C10631" s="24" t="s">
        <v>7013</v>
      </c>
      <c r="D10631" s="59">
        <v>5.0</v>
      </c>
      <c r="E10631" s="59">
        <v>8.0</v>
      </c>
      <c r="F10631" s="59">
        <v>3.0</v>
      </c>
      <c r="G10631" s="60">
        <v>1.6</v>
      </c>
      <c r="H10631" s="60">
        <v>0.0</v>
      </c>
      <c r="I10631" s="60">
        <v>81.55604775</v>
      </c>
      <c r="J10631" s="59">
        <v>26.0</v>
      </c>
      <c r="K10631" s="61">
        <f t="shared" si="1"/>
        <v>0.375</v>
      </c>
      <c r="L10631" s="62">
        <f t="shared" si="2"/>
        <v>3.25</v>
      </c>
    </row>
    <row r="10632">
      <c r="A10632" s="58">
        <v>45078.0</v>
      </c>
      <c r="B10632" s="24" t="s">
        <v>6789</v>
      </c>
      <c r="C10632" s="24" t="s">
        <v>7313</v>
      </c>
      <c r="D10632" s="59">
        <v>5.0</v>
      </c>
      <c r="E10632" s="59">
        <v>6.0</v>
      </c>
      <c r="F10632" s="59">
        <v>0.0</v>
      </c>
      <c r="G10632" s="60">
        <v>1.2</v>
      </c>
      <c r="H10632" s="60">
        <v>0.0</v>
      </c>
      <c r="I10632" s="60">
        <v>416.860489833333</v>
      </c>
      <c r="J10632" s="59">
        <v>24.0</v>
      </c>
      <c r="K10632" s="61">
        <f t="shared" si="1"/>
        <v>0</v>
      </c>
      <c r="L10632" s="62">
        <f t="shared" si="2"/>
        <v>4</v>
      </c>
    </row>
    <row r="10633">
      <c r="A10633" s="58">
        <v>45078.0</v>
      </c>
      <c r="B10633" s="24" t="s">
        <v>6789</v>
      </c>
      <c r="C10633" s="24" t="s">
        <v>7180</v>
      </c>
      <c r="D10633" s="59">
        <v>5.0</v>
      </c>
      <c r="E10633" s="59">
        <v>9.0</v>
      </c>
      <c r="F10633" s="59">
        <v>3.0</v>
      </c>
      <c r="G10633" s="60">
        <v>1.8</v>
      </c>
      <c r="H10633" s="60">
        <v>0.0</v>
      </c>
      <c r="I10633" s="60">
        <v>299.467201777777</v>
      </c>
      <c r="J10633" s="59">
        <v>30.0</v>
      </c>
      <c r="K10633" s="61">
        <f t="shared" si="1"/>
        <v>0.3333333333</v>
      </c>
      <c r="L10633" s="62">
        <f t="shared" si="2"/>
        <v>3.333333333</v>
      </c>
    </row>
    <row r="10634">
      <c r="A10634" s="58">
        <v>45078.0</v>
      </c>
      <c r="B10634" s="24" t="s">
        <v>6789</v>
      </c>
      <c r="C10634" s="24" t="s">
        <v>6797</v>
      </c>
      <c r="D10634" s="59">
        <v>5.0</v>
      </c>
      <c r="E10634" s="59">
        <v>5.0</v>
      </c>
      <c r="F10634" s="59">
        <v>2.0</v>
      </c>
      <c r="G10634" s="60">
        <v>1.0</v>
      </c>
      <c r="H10634" s="60">
        <v>0.0</v>
      </c>
      <c r="I10634" s="60">
        <v>792.527238599999</v>
      </c>
      <c r="J10634" s="59">
        <v>20.0</v>
      </c>
      <c r="K10634" s="61">
        <f t="shared" si="1"/>
        <v>0.4</v>
      </c>
      <c r="L10634" s="62">
        <f t="shared" si="2"/>
        <v>4</v>
      </c>
    </row>
    <row r="10635">
      <c r="A10635" s="58">
        <v>45078.0</v>
      </c>
      <c r="B10635" s="24" t="s">
        <v>6787</v>
      </c>
      <c r="C10635" s="24" t="s">
        <v>7638</v>
      </c>
      <c r="D10635" s="59">
        <v>4.0</v>
      </c>
      <c r="E10635" s="59">
        <v>6.0</v>
      </c>
      <c r="F10635" s="59">
        <v>2.0</v>
      </c>
      <c r="G10635" s="60">
        <v>1.5</v>
      </c>
      <c r="H10635" s="60">
        <v>0.0</v>
      </c>
      <c r="I10635" s="60">
        <v>835.748967166666</v>
      </c>
      <c r="J10635" s="59">
        <v>26.0</v>
      </c>
      <c r="K10635" s="61">
        <f t="shared" si="1"/>
        <v>0.3333333333</v>
      </c>
      <c r="L10635" s="62">
        <f t="shared" si="2"/>
        <v>4.333333333</v>
      </c>
    </row>
    <row r="10636">
      <c r="A10636" s="58">
        <v>45078.0</v>
      </c>
      <c r="B10636" s="24" t="s">
        <v>6787</v>
      </c>
      <c r="C10636" s="24" t="s">
        <v>6992</v>
      </c>
      <c r="D10636" s="59">
        <v>4.0</v>
      </c>
      <c r="E10636" s="59">
        <v>4.0</v>
      </c>
      <c r="F10636" s="59">
        <v>4.0</v>
      </c>
      <c r="G10636" s="60">
        <v>1.0</v>
      </c>
      <c r="H10636" s="60">
        <v>0.25</v>
      </c>
      <c r="I10636" s="60">
        <v>9.05803375</v>
      </c>
      <c r="J10636" s="59">
        <v>7.0</v>
      </c>
      <c r="K10636" s="61">
        <f t="shared" si="1"/>
        <v>1</v>
      </c>
      <c r="L10636" s="62">
        <f t="shared" si="2"/>
        <v>1.75</v>
      </c>
    </row>
    <row r="10637">
      <c r="A10637" s="58">
        <v>45078.0</v>
      </c>
      <c r="B10637" s="24" t="s">
        <v>155</v>
      </c>
      <c r="C10637" s="24" t="s">
        <v>7624</v>
      </c>
      <c r="D10637" s="59">
        <v>4.0</v>
      </c>
      <c r="E10637" s="59">
        <v>5.0</v>
      </c>
      <c r="F10637" s="59">
        <v>3.0</v>
      </c>
      <c r="G10637" s="60">
        <v>1.25</v>
      </c>
      <c r="H10637" s="60">
        <v>0.0</v>
      </c>
      <c r="I10637" s="60">
        <v>105.5179602</v>
      </c>
      <c r="J10637" s="59">
        <v>36.0</v>
      </c>
      <c r="K10637" s="61">
        <f t="shared" si="1"/>
        <v>0.6</v>
      </c>
      <c r="L10637" s="62">
        <f t="shared" si="2"/>
        <v>7.2</v>
      </c>
    </row>
    <row r="10638">
      <c r="A10638" s="58">
        <v>45078.0</v>
      </c>
      <c r="B10638" s="24" t="s">
        <v>7606</v>
      </c>
      <c r="C10638" s="24" t="s">
        <v>7227</v>
      </c>
      <c r="D10638" s="59">
        <v>4.0</v>
      </c>
      <c r="E10638" s="59">
        <v>4.0</v>
      </c>
      <c r="F10638" s="59">
        <v>4.0</v>
      </c>
      <c r="G10638" s="60">
        <v>1.0</v>
      </c>
      <c r="H10638" s="60">
        <v>0.0</v>
      </c>
      <c r="I10638" s="60">
        <v>8.3096575</v>
      </c>
      <c r="J10638" s="59">
        <v>10.0</v>
      </c>
      <c r="K10638" s="61">
        <f t="shared" si="1"/>
        <v>1</v>
      </c>
      <c r="L10638" s="62">
        <f t="shared" si="2"/>
        <v>2.5</v>
      </c>
    </row>
    <row r="10639">
      <c r="A10639" s="58">
        <v>45078.0</v>
      </c>
      <c r="B10639" s="24" t="s">
        <v>6787</v>
      </c>
      <c r="C10639" s="24" t="s">
        <v>7044</v>
      </c>
      <c r="D10639" s="59">
        <v>4.0</v>
      </c>
      <c r="E10639" s="59">
        <v>4.0</v>
      </c>
      <c r="F10639" s="59">
        <v>2.0</v>
      </c>
      <c r="G10639" s="60">
        <v>1.0</v>
      </c>
      <c r="H10639" s="60">
        <v>0.0</v>
      </c>
      <c r="I10639" s="60">
        <v>397.5412845</v>
      </c>
      <c r="J10639" s="59">
        <v>12.0</v>
      </c>
      <c r="K10639" s="61">
        <f t="shared" si="1"/>
        <v>0.5</v>
      </c>
      <c r="L10639" s="62">
        <f t="shared" si="2"/>
        <v>3</v>
      </c>
    </row>
    <row r="10640">
      <c r="A10640" s="58">
        <v>45078.0</v>
      </c>
      <c r="B10640" s="24" t="s">
        <v>6789</v>
      </c>
      <c r="C10640" s="24" t="s">
        <v>7102</v>
      </c>
      <c r="D10640" s="59">
        <v>4.0</v>
      </c>
      <c r="E10640" s="59">
        <v>4.0</v>
      </c>
      <c r="F10640" s="59">
        <v>2.0</v>
      </c>
      <c r="G10640" s="60">
        <v>1.0</v>
      </c>
      <c r="H10640" s="60">
        <v>0.0</v>
      </c>
      <c r="I10640" s="60">
        <v>412.704306</v>
      </c>
      <c r="J10640" s="59">
        <v>8.0</v>
      </c>
      <c r="K10640" s="61">
        <f t="shared" si="1"/>
        <v>0.5</v>
      </c>
      <c r="L10640" s="62">
        <f t="shared" si="2"/>
        <v>2</v>
      </c>
    </row>
    <row r="10641">
      <c r="A10641" s="58">
        <v>45078.0</v>
      </c>
      <c r="B10641" s="24" t="s">
        <v>6787</v>
      </c>
      <c r="C10641" s="24" t="s">
        <v>7027</v>
      </c>
      <c r="D10641" s="59">
        <v>4.0</v>
      </c>
      <c r="E10641" s="59">
        <v>4.0</v>
      </c>
      <c r="F10641" s="59">
        <v>4.0</v>
      </c>
      <c r="G10641" s="60">
        <v>1.0</v>
      </c>
      <c r="H10641" s="60">
        <v>0.0</v>
      </c>
      <c r="I10641" s="60">
        <v>4.11996825</v>
      </c>
      <c r="J10641" s="59">
        <v>8.0</v>
      </c>
      <c r="K10641" s="61">
        <f t="shared" si="1"/>
        <v>1</v>
      </c>
      <c r="L10641" s="62">
        <f t="shared" si="2"/>
        <v>2</v>
      </c>
    </row>
    <row r="10642">
      <c r="A10642" s="58">
        <v>45078.0</v>
      </c>
      <c r="B10642" s="24" t="s">
        <v>6789</v>
      </c>
      <c r="C10642" s="24" t="s">
        <v>7027</v>
      </c>
      <c r="D10642" s="59">
        <v>4.0</v>
      </c>
      <c r="E10642" s="59">
        <v>4.0</v>
      </c>
      <c r="F10642" s="59">
        <v>4.0</v>
      </c>
      <c r="G10642" s="60">
        <v>1.0</v>
      </c>
      <c r="H10642" s="60">
        <v>0.0</v>
      </c>
      <c r="I10642" s="60">
        <v>244.677263</v>
      </c>
      <c r="J10642" s="59">
        <v>10.0</v>
      </c>
      <c r="K10642" s="61">
        <f t="shared" si="1"/>
        <v>1</v>
      </c>
      <c r="L10642" s="62">
        <f t="shared" si="2"/>
        <v>2.5</v>
      </c>
    </row>
    <row r="10643">
      <c r="A10643" s="58">
        <v>45078.0</v>
      </c>
      <c r="B10643" s="24" t="s">
        <v>6787</v>
      </c>
      <c r="C10643" s="24" t="s">
        <v>6817</v>
      </c>
      <c r="D10643" s="59">
        <v>3.0</v>
      </c>
      <c r="E10643" s="59">
        <v>3.0</v>
      </c>
      <c r="F10643" s="59">
        <v>2.0</v>
      </c>
      <c r="G10643" s="60">
        <v>1.0</v>
      </c>
      <c r="H10643" s="60">
        <v>0.333333333333333</v>
      </c>
      <c r="I10643" s="60">
        <v>100.800752666666</v>
      </c>
      <c r="J10643" s="59">
        <v>9.0</v>
      </c>
      <c r="K10643" s="61">
        <f t="shared" si="1"/>
        <v>0.6666666667</v>
      </c>
      <c r="L10643" s="62">
        <f t="shared" si="2"/>
        <v>3</v>
      </c>
    </row>
    <row r="10644">
      <c r="A10644" s="58">
        <v>45078.0</v>
      </c>
      <c r="B10644" s="24" t="s">
        <v>6789</v>
      </c>
      <c r="C10644" s="24" t="s">
        <v>6985</v>
      </c>
      <c r="D10644" s="59">
        <v>3.0</v>
      </c>
      <c r="E10644" s="59">
        <v>4.0</v>
      </c>
      <c r="F10644" s="59">
        <v>3.0</v>
      </c>
      <c r="G10644" s="60">
        <v>1.33333333333333</v>
      </c>
      <c r="H10644" s="60">
        <v>0.0</v>
      </c>
      <c r="I10644" s="60">
        <v>28.4877245</v>
      </c>
      <c r="J10644" s="59">
        <v>7.0</v>
      </c>
      <c r="K10644" s="61">
        <f t="shared" si="1"/>
        <v>0.75</v>
      </c>
      <c r="L10644" s="62">
        <f t="shared" si="2"/>
        <v>1.75</v>
      </c>
    </row>
    <row r="10645">
      <c r="A10645" s="58">
        <v>45078.0</v>
      </c>
      <c r="B10645" s="24" t="s">
        <v>6789</v>
      </c>
      <c r="C10645" s="24" t="s">
        <v>7065</v>
      </c>
      <c r="D10645" s="59">
        <v>3.0</v>
      </c>
      <c r="E10645" s="59">
        <v>3.0</v>
      </c>
      <c r="F10645" s="59">
        <v>2.0</v>
      </c>
      <c r="G10645" s="60">
        <v>1.0</v>
      </c>
      <c r="H10645" s="60">
        <v>0.0</v>
      </c>
      <c r="I10645" s="60">
        <v>2.829708</v>
      </c>
      <c r="J10645" s="59">
        <v>6.0</v>
      </c>
      <c r="K10645" s="61">
        <f t="shared" si="1"/>
        <v>0.6666666667</v>
      </c>
      <c r="L10645" s="62">
        <f t="shared" si="2"/>
        <v>2</v>
      </c>
    </row>
    <row r="10646">
      <c r="A10646" s="58">
        <v>45078.0</v>
      </c>
      <c r="B10646" s="24" t="s">
        <v>6787</v>
      </c>
      <c r="C10646" s="24" t="s">
        <v>6835</v>
      </c>
      <c r="D10646" s="59">
        <v>3.0</v>
      </c>
      <c r="E10646" s="59">
        <v>3.0</v>
      </c>
      <c r="F10646" s="59">
        <v>3.0</v>
      </c>
      <c r="G10646" s="60">
        <v>1.0</v>
      </c>
      <c r="H10646" s="60">
        <v>0.0</v>
      </c>
      <c r="I10646" s="60">
        <v>965.519179</v>
      </c>
      <c r="J10646" s="59">
        <v>8.0</v>
      </c>
      <c r="K10646" s="61">
        <f t="shared" si="1"/>
        <v>1</v>
      </c>
      <c r="L10646" s="62">
        <f t="shared" si="2"/>
        <v>2.666666667</v>
      </c>
    </row>
    <row r="10647">
      <c r="A10647" s="58">
        <v>45078.0</v>
      </c>
      <c r="B10647" s="24" t="s">
        <v>6790</v>
      </c>
      <c r="C10647" s="24" t="s">
        <v>6992</v>
      </c>
      <c r="D10647" s="59">
        <v>3.0</v>
      </c>
      <c r="E10647" s="59">
        <v>3.0</v>
      </c>
      <c r="F10647" s="59">
        <v>0.0</v>
      </c>
      <c r="G10647" s="60">
        <v>1.0</v>
      </c>
      <c r="H10647" s="60">
        <v>0.0</v>
      </c>
      <c r="I10647" s="60">
        <v>248.409920666666</v>
      </c>
      <c r="J10647" s="59">
        <v>12.0</v>
      </c>
      <c r="K10647" s="61">
        <f t="shared" si="1"/>
        <v>0</v>
      </c>
      <c r="L10647" s="62">
        <f t="shared" si="2"/>
        <v>4</v>
      </c>
    </row>
    <row r="10648">
      <c r="A10648" s="58">
        <v>45078.0</v>
      </c>
      <c r="B10648" s="24" t="s">
        <v>6787</v>
      </c>
      <c r="C10648" s="24" t="s">
        <v>7625</v>
      </c>
      <c r="D10648" s="59">
        <v>3.0</v>
      </c>
      <c r="E10648" s="59">
        <v>3.0</v>
      </c>
      <c r="F10648" s="59">
        <v>1.0</v>
      </c>
      <c r="G10648" s="60">
        <v>1.0</v>
      </c>
      <c r="H10648" s="60">
        <v>0.0</v>
      </c>
      <c r="I10648" s="60">
        <v>242.576066333333</v>
      </c>
      <c r="J10648" s="59">
        <v>6.0</v>
      </c>
      <c r="K10648" s="61">
        <f t="shared" si="1"/>
        <v>0.3333333333</v>
      </c>
      <c r="L10648" s="62">
        <f t="shared" si="2"/>
        <v>2</v>
      </c>
    </row>
    <row r="10649">
      <c r="A10649" s="58">
        <v>45078.0</v>
      </c>
      <c r="B10649" s="24" t="s">
        <v>6789</v>
      </c>
      <c r="C10649" s="24" t="s">
        <v>7072</v>
      </c>
      <c r="D10649" s="59">
        <v>3.0</v>
      </c>
      <c r="E10649" s="59">
        <v>3.0</v>
      </c>
      <c r="F10649" s="59">
        <v>3.0</v>
      </c>
      <c r="G10649" s="60">
        <v>1.0</v>
      </c>
      <c r="H10649" s="60">
        <v>0.0</v>
      </c>
      <c r="I10649" s="60">
        <v>96.8213413333333</v>
      </c>
      <c r="J10649" s="59">
        <v>6.0</v>
      </c>
      <c r="K10649" s="61">
        <f t="shared" si="1"/>
        <v>1</v>
      </c>
      <c r="L10649" s="62">
        <f t="shared" si="2"/>
        <v>2</v>
      </c>
    </row>
    <row r="10650">
      <c r="A10650" s="58">
        <v>45078.0</v>
      </c>
      <c r="B10650" s="24" t="s">
        <v>6787</v>
      </c>
      <c r="C10650" s="24" t="s">
        <v>6897</v>
      </c>
      <c r="D10650" s="59">
        <v>3.0</v>
      </c>
      <c r="E10650" s="59">
        <v>3.0</v>
      </c>
      <c r="F10650" s="59">
        <v>3.0</v>
      </c>
      <c r="G10650" s="60">
        <v>1.0</v>
      </c>
      <c r="H10650" s="60">
        <v>0.0</v>
      </c>
      <c r="I10650" s="60">
        <v>34.9588916666666</v>
      </c>
      <c r="J10650" s="59">
        <v>6.0</v>
      </c>
      <c r="K10650" s="61">
        <f t="shared" si="1"/>
        <v>1</v>
      </c>
      <c r="L10650" s="62">
        <f t="shared" si="2"/>
        <v>2</v>
      </c>
    </row>
    <row r="10651">
      <c r="A10651" s="58">
        <v>45078.0</v>
      </c>
      <c r="B10651" s="24" t="s">
        <v>6789</v>
      </c>
      <c r="C10651" s="24" t="s">
        <v>6800</v>
      </c>
      <c r="D10651" s="59">
        <v>3.0</v>
      </c>
      <c r="E10651" s="59">
        <v>5.0</v>
      </c>
      <c r="F10651" s="59">
        <v>1.0</v>
      </c>
      <c r="G10651" s="60">
        <v>1.66666666666666</v>
      </c>
      <c r="H10651" s="60">
        <v>0.0</v>
      </c>
      <c r="I10651" s="60">
        <v>627.6138984</v>
      </c>
      <c r="J10651" s="59">
        <v>45.0</v>
      </c>
      <c r="K10651" s="61">
        <f t="shared" si="1"/>
        <v>0.2</v>
      </c>
      <c r="L10651" s="62">
        <f t="shared" si="2"/>
        <v>9</v>
      </c>
    </row>
    <row r="10652">
      <c r="A10652" s="58">
        <v>45078.0</v>
      </c>
      <c r="B10652" s="24" t="s">
        <v>6787</v>
      </c>
      <c r="C10652" s="24" t="s">
        <v>7013</v>
      </c>
      <c r="D10652" s="59">
        <v>3.0</v>
      </c>
      <c r="E10652" s="59">
        <v>3.0</v>
      </c>
      <c r="F10652" s="59">
        <v>3.0</v>
      </c>
      <c r="G10652" s="60">
        <v>1.0</v>
      </c>
      <c r="H10652" s="60">
        <v>0.333333333333333</v>
      </c>
      <c r="I10652" s="60">
        <v>62.1276323333333</v>
      </c>
      <c r="J10652" s="59">
        <v>8.0</v>
      </c>
      <c r="K10652" s="61">
        <f t="shared" si="1"/>
        <v>1</v>
      </c>
      <c r="L10652" s="62">
        <f t="shared" si="2"/>
        <v>2.666666667</v>
      </c>
    </row>
    <row r="10653">
      <c r="A10653" s="58">
        <v>45078.0</v>
      </c>
      <c r="B10653" s="24" t="s">
        <v>6789</v>
      </c>
      <c r="C10653" s="24" t="s">
        <v>7101</v>
      </c>
      <c r="D10653" s="59">
        <v>3.0</v>
      </c>
      <c r="E10653" s="59">
        <v>3.0</v>
      </c>
      <c r="F10653" s="59">
        <v>0.0</v>
      </c>
      <c r="G10653" s="60">
        <v>1.0</v>
      </c>
      <c r="H10653" s="60">
        <v>0.0</v>
      </c>
      <c r="I10653" s="60">
        <v>1411.86185233333</v>
      </c>
      <c r="J10653" s="59">
        <v>45.0</v>
      </c>
      <c r="K10653" s="61">
        <f t="shared" si="1"/>
        <v>0</v>
      </c>
      <c r="L10653" s="62">
        <f t="shared" si="2"/>
        <v>15</v>
      </c>
    </row>
    <row r="10654">
      <c r="A10654" s="58">
        <v>45078.0</v>
      </c>
      <c r="B10654" s="24" t="s">
        <v>6787</v>
      </c>
      <c r="C10654" s="24" t="s">
        <v>6801</v>
      </c>
      <c r="D10654" s="59">
        <v>3.0</v>
      </c>
      <c r="E10654" s="59">
        <v>5.0</v>
      </c>
      <c r="F10654" s="59">
        <v>3.0</v>
      </c>
      <c r="G10654" s="60">
        <v>1.66666666666666</v>
      </c>
      <c r="H10654" s="60">
        <v>0.0</v>
      </c>
      <c r="I10654" s="60">
        <v>229.237166</v>
      </c>
      <c r="J10654" s="59">
        <v>24.0</v>
      </c>
      <c r="K10654" s="61">
        <f t="shared" si="1"/>
        <v>0.6</v>
      </c>
      <c r="L10654" s="62">
        <f t="shared" si="2"/>
        <v>4.8</v>
      </c>
    </row>
    <row r="10655">
      <c r="A10655" s="58">
        <v>45078.0</v>
      </c>
      <c r="B10655" s="24" t="s">
        <v>6787</v>
      </c>
      <c r="C10655" s="24" t="s">
        <v>7102</v>
      </c>
      <c r="D10655" s="59">
        <v>3.0</v>
      </c>
      <c r="E10655" s="59">
        <v>3.0</v>
      </c>
      <c r="F10655" s="59">
        <v>2.0</v>
      </c>
      <c r="G10655" s="60">
        <v>1.0</v>
      </c>
      <c r="H10655" s="60">
        <v>0.333333333333333</v>
      </c>
      <c r="I10655" s="60">
        <v>993.772818333333</v>
      </c>
      <c r="J10655" s="59">
        <v>7.0</v>
      </c>
      <c r="K10655" s="61">
        <f t="shared" si="1"/>
        <v>0.6666666667</v>
      </c>
      <c r="L10655" s="62">
        <f t="shared" si="2"/>
        <v>2.333333333</v>
      </c>
    </row>
    <row r="10656">
      <c r="A10656" s="58">
        <v>45078.0</v>
      </c>
      <c r="B10656" s="24" t="s">
        <v>6789</v>
      </c>
      <c r="C10656" s="24" t="s">
        <v>7104</v>
      </c>
      <c r="D10656" s="59">
        <v>3.0</v>
      </c>
      <c r="E10656" s="59">
        <v>3.0</v>
      </c>
      <c r="F10656" s="59">
        <v>2.0</v>
      </c>
      <c r="G10656" s="60">
        <v>1.0</v>
      </c>
      <c r="H10656" s="60">
        <v>0.0</v>
      </c>
      <c r="I10656" s="60">
        <v>16.0089666666666</v>
      </c>
      <c r="J10656" s="59">
        <v>6.0</v>
      </c>
      <c r="K10656" s="61">
        <f t="shared" si="1"/>
        <v>0.6666666667</v>
      </c>
      <c r="L10656" s="62">
        <f t="shared" si="2"/>
        <v>2</v>
      </c>
    </row>
    <row r="10657">
      <c r="A10657" s="58">
        <v>45078.0</v>
      </c>
      <c r="B10657" s="24" t="s">
        <v>6789</v>
      </c>
      <c r="C10657" s="24" t="s">
        <v>7174</v>
      </c>
      <c r="D10657" s="59">
        <v>3.0</v>
      </c>
      <c r="E10657" s="59">
        <v>5.0</v>
      </c>
      <c r="F10657" s="59">
        <v>0.0</v>
      </c>
      <c r="G10657" s="60">
        <v>1.66666666666666</v>
      </c>
      <c r="H10657" s="60">
        <v>0.0</v>
      </c>
      <c r="I10657" s="60">
        <v>91.4856524</v>
      </c>
      <c r="J10657" s="59">
        <v>20.0</v>
      </c>
      <c r="K10657" s="61">
        <f t="shared" si="1"/>
        <v>0</v>
      </c>
      <c r="L10657" s="62">
        <f t="shared" si="2"/>
        <v>4</v>
      </c>
    </row>
    <row r="10658">
      <c r="A10658" s="58">
        <v>45078.0</v>
      </c>
      <c r="B10658" s="24" t="s">
        <v>155</v>
      </c>
      <c r="C10658" s="24" t="s">
        <v>6815</v>
      </c>
      <c r="D10658" s="59">
        <v>3.0</v>
      </c>
      <c r="E10658" s="59">
        <v>3.0</v>
      </c>
      <c r="F10658" s="59">
        <v>3.0</v>
      </c>
      <c r="G10658" s="60">
        <v>1.0</v>
      </c>
      <c r="H10658" s="60">
        <v>0.0</v>
      </c>
      <c r="I10658" s="60">
        <v>4.293786</v>
      </c>
      <c r="J10658" s="59">
        <v>6.0</v>
      </c>
      <c r="K10658" s="61">
        <f t="shared" si="1"/>
        <v>1</v>
      </c>
      <c r="L10658" s="62">
        <f t="shared" si="2"/>
        <v>2</v>
      </c>
    </row>
    <row r="10659">
      <c r="A10659" s="58">
        <v>45078.0</v>
      </c>
      <c r="B10659" s="24" t="s">
        <v>6942</v>
      </c>
      <c r="C10659" s="24" t="s">
        <v>6802</v>
      </c>
      <c r="D10659" s="59">
        <v>3.0</v>
      </c>
      <c r="E10659" s="59">
        <v>3.0</v>
      </c>
      <c r="F10659" s="59">
        <v>3.0</v>
      </c>
      <c r="G10659" s="60">
        <v>1.0</v>
      </c>
      <c r="H10659" s="60">
        <v>0.333333333333333</v>
      </c>
      <c r="I10659" s="60">
        <v>24.475063</v>
      </c>
      <c r="J10659" s="59">
        <v>5.0</v>
      </c>
      <c r="K10659" s="61">
        <f t="shared" si="1"/>
        <v>1</v>
      </c>
      <c r="L10659" s="62">
        <f t="shared" si="2"/>
        <v>1.666666667</v>
      </c>
    </row>
    <row r="10660">
      <c r="A10660" s="58">
        <v>45078.0</v>
      </c>
      <c r="B10660" s="24" t="s">
        <v>3216</v>
      </c>
      <c r="C10660" s="27"/>
      <c r="D10660" s="59">
        <v>2.0</v>
      </c>
      <c r="E10660" s="59">
        <v>6.0</v>
      </c>
      <c r="F10660" s="59">
        <v>0.0</v>
      </c>
      <c r="G10660" s="60">
        <v>3.0</v>
      </c>
      <c r="H10660" s="60">
        <v>0.0</v>
      </c>
      <c r="I10660" s="60">
        <v>278.270370666666</v>
      </c>
      <c r="J10660" s="59">
        <v>22.0</v>
      </c>
      <c r="K10660" s="61">
        <f t="shared" si="1"/>
        <v>0</v>
      </c>
      <c r="L10660" s="62">
        <f t="shared" si="2"/>
        <v>3.666666667</v>
      </c>
    </row>
    <row r="10661">
      <c r="A10661" s="58">
        <v>45078.0</v>
      </c>
      <c r="B10661" s="24" t="s">
        <v>3216</v>
      </c>
      <c r="C10661" s="24" t="s">
        <v>6792</v>
      </c>
      <c r="D10661" s="59">
        <v>2.0</v>
      </c>
      <c r="E10661" s="59">
        <v>4.0</v>
      </c>
      <c r="F10661" s="59">
        <v>0.0</v>
      </c>
      <c r="G10661" s="60">
        <v>4.0</v>
      </c>
      <c r="H10661" s="60">
        <v>1.0</v>
      </c>
      <c r="I10661" s="60">
        <v>0.0</v>
      </c>
      <c r="J10661" s="59">
        <v>0.0</v>
      </c>
      <c r="K10661" s="61">
        <f t="shared" si="1"/>
        <v>0</v>
      </c>
      <c r="L10661" s="62">
        <f t="shared" si="2"/>
        <v>0</v>
      </c>
    </row>
    <row r="10662">
      <c r="A10662" s="58">
        <v>45078.0</v>
      </c>
      <c r="B10662" s="24" t="s">
        <v>6789</v>
      </c>
      <c r="C10662" s="24" t="s">
        <v>6817</v>
      </c>
      <c r="D10662" s="59">
        <v>2.0</v>
      </c>
      <c r="E10662" s="59">
        <v>3.0</v>
      </c>
      <c r="F10662" s="59">
        <v>1.0</v>
      </c>
      <c r="G10662" s="60">
        <v>1.5</v>
      </c>
      <c r="H10662" s="60">
        <v>0.0</v>
      </c>
      <c r="I10662" s="60">
        <v>19.726552</v>
      </c>
      <c r="J10662" s="59">
        <v>16.0</v>
      </c>
      <c r="K10662" s="61">
        <f t="shared" si="1"/>
        <v>0.3333333333</v>
      </c>
      <c r="L10662" s="62">
        <f t="shared" si="2"/>
        <v>5.333333333</v>
      </c>
    </row>
    <row r="10663">
      <c r="A10663" s="58">
        <v>45078.0</v>
      </c>
      <c r="B10663" s="24" t="s">
        <v>6794</v>
      </c>
      <c r="C10663" s="24" t="s">
        <v>6817</v>
      </c>
      <c r="D10663" s="59">
        <v>2.0</v>
      </c>
      <c r="E10663" s="59">
        <v>3.0</v>
      </c>
      <c r="F10663" s="59">
        <v>0.0</v>
      </c>
      <c r="G10663" s="60">
        <v>1.5</v>
      </c>
      <c r="H10663" s="60">
        <v>0.0</v>
      </c>
      <c r="I10663" s="60">
        <v>473.749058666666</v>
      </c>
      <c r="J10663" s="59">
        <v>14.0</v>
      </c>
      <c r="K10663" s="61">
        <f t="shared" si="1"/>
        <v>0</v>
      </c>
      <c r="L10663" s="62">
        <f t="shared" si="2"/>
        <v>4.666666667</v>
      </c>
    </row>
    <row r="10664">
      <c r="A10664" s="58">
        <v>45078.0</v>
      </c>
      <c r="B10664" s="24" t="s">
        <v>6794</v>
      </c>
      <c r="C10664" s="24" t="s">
        <v>6953</v>
      </c>
      <c r="D10664" s="59">
        <v>2.0</v>
      </c>
      <c r="E10664" s="59">
        <v>2.0</v>
      </c>
      <c r="F10664" s="59">
        <v>2.0</v>
      </c>
      <c r="G10664" s="60">
        <v>1.0</v>
      </c>
      <c r="H10664" s="60">
        <v>0.0</v>
      </c>
      <c r="I10664" s="60">
        <v>332.0118645</v>
      </c>
      <c r="J10664" s="59">
        <v>6.0</v>
      </c>
      <c r="K10664" s="61">
        <f t="shared" si="1"/>
        <v>1</v>
      </c>
      <c r="L10664" s="62">
        <f t="shared" si="2"/>
        <v>3</v>
      </c>
    </row>
    <row r="10665">
      <c r="A10665" s="58">
        <v>45078.0</v>
      </c>
      <c r="B10665" s="24" t="s">
        <v>3216</v>
      </c>
      <c r="C10665" s="24" t="s">
        <v>6861</v>
      </c>
      <c r="D10665" s="59">
        <v>2.0</v>
      </c>
      <c r="E10665" s="59">
        <v>2.0</v>
      </c>
      <c r="F10665" s="59">
        <v>1.0</v>
      </c>
      <c r="G10665" s="60">
        <v>1.0</v>
      </c>
      <c r="H10665" s="60">
        <v>0.0</v>
      </c>
      <c r="I10665" s="60">
        <v>325.4011665</v>
      </c>
      <c r="J10665" s="59">
        <v>8.0</v>
      </c>
      <c r="K10665" s="61">
        <f t="shared" si="1"/>
        <v>0.5</v>
      </c>
      <c r="L10665" s="62">
        <f t="shared" si="2"/>
        <v>4</v>
      </c>
    </row>
    <row r="10666">
      <c r="A10666" s="58">
        <v>45078.0</v>
      </c>
      <c r="B10666" s="24" t="s">
        <v>6789</v>
      </c>
      <c r="C10666" s="24" t="s">
        <v>6833</v>
      </c>
      <c r="D10666" s="59">
        <v>2.0</v>
      </c>
      <c r="E10666" s="59">
        <v>2.0</v>
      </c>
      <c r="F10666" s="59">
        <v>1.0</v>
      </c>
      <c r="G10666" s="60">
        <v>1.0</v>
      </c>
      <c r="H10666" s="60">
        <v>0.0</v>
      </c>
      <c r="I10666" s="60">
        <v>126.8480245</v>
      </c>
      <c r="J10666" s="59">
        <v>4.0</v>
      </c>
      <c r="K10666" s="61">
        <f t="shared" si="1"/>
        <v>0.5</v>
      </c>
      <c r="L10666" s="62">
        <f t="shared" si="2"/>
        <v>2</v>
      </c>
    </row>
    <row r="10667">
      <c r="A10667" s="58">
        <v>45078.0</v>
      </c>
      <c r="B10667" s="24" t="s">
        <v>6787</v>
      </c>
      <c r="C10667" s="24" t="s">
        <v>6819</v>
      </c>
      <c r="D10667" s="59">
        <v>2.0</v>
      </c>
      <c r="E10667" s="59">
        <v>4.0</v>
      </c>
      <c r="F10667" s="59">
        <v>2.0</v>
      </c>
      <c r="G10667" s="60">
        <v>2.0</v>
      </c>
      <c r="H10667" s="60">
        <v>0.0</v>
      </c>
      <c r="I10667" s="60">
        <v>269.74458125</v>
      </c>
      <c r="J10667" s="59">
        <v>8.0</v>
      </c>
      <c r="K10667" s="61">
        <f t="shared" si="1"/>
        <v>0.5</v>
      </c>
      <c r="L10667" s="62">
        <f t="shared" si="2"/>
        <v>2</v>
      </c>
    </row>
    <row r="10668">
      <c r="A10668" s="58">
        <v>45078.0</v>
      </c>
      <c r="B10668" s="24" t="s">
        <v>6794</v>
      </c>
      <c r="C10668" s="24" t="s">
        <v>7063</v>
      </c>
      <c r="D10668" s="59">
        <v>2.0</v>
      </c>
      <c r="E10668" s="59">
        <v>5.0</v>
      </c>
      <c r="F10668" s="59">
        <v>1.0</v>
      </c>
      <c r="G10668" s="60">
        <v>2.5</v>
      </c>
      <c r="H10668" s="60">
        <v>0.0</v>
      </c>
      <c r="I10668" s="60">
        <v>441.9705674</v>
      </c>
      <c r="J10668" s="59">
        <v>37.0</v>
      </c>
      <c r="K10668" s="61">
        <f t="shared" si="1"/>
        <v>0.2</v>
      </c>
      <c r="L10668" s="62">
        <f t="shared" si="2"/>
        <v>7.4</v>
      </c>
    </row>
    <row r="10669">
      <c r="A10669" s="58">
        <v>45078.0</v>
      </c>
      <c r="B10669" s="24" t="s">
        <v>155</v>
      </c>
      <c r="C10669" s="24" t="s">
        <v>6835</v>
      </c>
      <c r="D10669" s="59">
        <v>2.0</v>
      </c>
      <c r="E10669" s="59">
        <v>2.0</v>
      </c>
      <c r="F10669" s="59">
        <v>1.0</v>
      </c>
      <c r="G10669" s="60">
        <v>1.0</v>
      </c>
      <c r="H10669" s="60">
        <v>0.0</v>
      </c>
      <c r="I10669" s="60">
        <v>490.0655875</v>
      </c>
      <c r="J10669" s="59">
        <v>4.0</v>
      </c>
      <c r="K10669" s="61">
        <f t="shared" si="1"/>
        <v>0.5</v>
      </c>
      <c r="L10669" s="62">
        <f t="shared" si="2"/>
        <v>2</v>
      </c>
    </row>
    <row r="10670">
      <c r="A10670" s="58">
        <v>45078.0</v>
      </c>
      <c r="B10670" s="24" t="s">
        <v>6789</v>
      </c>
      <c r="C10670" s="24" t="s">
        <v>6992</v>
      </c>
      <c r="D10670" s="59">
        <v>2.0</v>
      </c>
      <c r="E10670" s="59">
        <v>2.0</v>
      </c>
      <c r="F10670" s="59">
        <v>0.0</v>
      </c>
      <c r="G10670" s="60">
        <v>1.0</v>
      </c>
      <c r="H10670" s="60">
        <v>0.0</v>
      </c>
      <c r="I10670" s="60">
        <v>14.9758475</v>
      </c>
      <c r="J10670" s="59">
        <v>4.0</v>
      </c>
      <c r="K10670" s="61">
        <f t="shared" si="1"/>
        <v>0</v>
      </c>
      <c r="L10670" s="62">
        <f t="shared" si="2"/>
        <v>2</v>
      </c>
    </row>
    <row r="10671">
      <c r="A10671" s="58">
        <v>45078.0</v>
      </c>
      <c r="B10671" s="24" t="s">
        <v>6787</v>
      </c>
      <c r="C10671" s="24" t="s">
        <v>7632</v>
      </c>
      <c r="D10671" s="59">
        <v>2.0</v>
      </c>
      <c r="E10671" s="59">
        <v>2.0</v>
      </c>
      <c r="F10671" s="59">
        <v>0.0</v>
      </c>
      <c r="G10671" s="60">
        <v>1.0</v>
      </c>
      <c r="H10671" s="60">
        <v>0.0</v>
      </c>
      <c r="I10671" s="60">
        <v>2120.792368</v>
      </c>
      <c r="J10671" s="59">
        <v>46.0</v>
      </c>
      <c r="K10671" s="61">
        <f t="shared" si="1"/>
        <v>0</v>
      </c>
      <c r="L10671" s="62">
        <f t="shared" si="2"/>
        <v>23</v>
      </c>
    </row>
    <row r="10672">
      <c r="A10672" s="58">
        <v>45078.0</v>
      </c>
      <c r="B10672" s="24" t="s">
        <v>6789</v>
      </c>
      <c r="C10672" s="24" t="s">
        <v>7625</v>
      </c>
      <c r="D10672" s="59">
        <v>2.0</v>
      </c>
      <c r="E10672" s="59">
        <v>2.0</v>
      </c>
      <c r="F10672" s="59">
        <v>0.0</v>
      </c>
      <c r="G10672" s="60">
        <v>1.0</v>
      </c>
      <c r="H10672" s="60">
        <v>0.0</v>
      </c>
      <c r="I10672" s="60">
        <v>1978.582809</v>
      </c>
      <c r="J10672" s="59">
        <v>8.0</v>
      </c>
      <c r="K10672" s="61">
        <f t="shared" si="1"/>
        <v>0</v>
      </c>
      <c r="L10672" s="62">
        <f t="shared" si="2"/>
        <v>4</v>
      </c>
    </row>
    <row r="10673">
      <c r="A10673" s="58">
        <v>45078.0</v>
      </c>
      <c r="B10673" s="24" t="s">
        <v>6789</v>
      </c>
      <c r="C10673" s="24" t="s">
        <v>7464</v>
      </c>
      <c r="D10673" s="59">
        <v>2.0</v>
      </c>
      <c r="E10673" s="59">
        <v>2.0</v>
      </c>
      <c r="F10673" s="59">
        <v>1.0</v>
      </c>
      <c r="G10673" s="60">
        <v>1.0</v>
      </c>
      <c r="H10673" s="60">
        <v>0.0</v>
      </c>
      <c r="I10673" s="60">
        <v>617.202943</v>
      </c>
      <c r="J10673" s="59">
        <v>10.0</v>
      </c>
      <c r="K10673" s="61">
        <f t="shared" si="1"/>
        <v>0.5</v>
      </c>
      <c r="L10673" s="62">
        <f t="shared" si="2"/>
        <v>5</v>
      </c>
    </row>
    <row r="10674">
      <c r="A10674" s="58">
        <v>45078.0</v>
      </c>
      <c r="B10674" s="24" t="s">
        <v>6789</v>
      </c>
      <c r="C10674" s="24" t="s">
        <v>6886</v>
      </c>
      <c r="D10674" s="59">
        <v>2.0</v>
      </c>
      <c r="E10674" s="59">
        <v>2.0</v>
      </c>
      <c r="F10674" s="59">
        <v>1.0</v>
      </c>
      <c r="G10674" s="60">
        <v>1.0</v>
      </c>
      <c r="H10674" s="60">
        <v>0.5</v>
      </c>
      <c r="I10674" s="60">
        <v>54.789643</v>
      </c>
      <c r="J10674" s="59">
        <v>3.0</v>
      </c>
      <c r="K10674" s="61">
        <f t="shared" si="1"/>
        <v>0.5</v>
      </c>
      <c r="L10674" s="62">
        <f t="shared" si="2"/>
        <v>1.5</v>
      </c>
    </row>
    <row r="10675">
      <c r="A10675" s="58">
        <v>45078.0</v>
      </c>
      <c r="B10675" s="24" t="s">
        <v>7100</v>
      </c>
      <c r="C10675" s="24" t="s">
        <v>6886</v>
      </c>
      <c r="D10675" s="59">
        <v>2.0</v>
      </c>
      <c r="E10675" s="59">
        <v>4.0</v>
      </c>
      <c r="F10675" s="59">
        <v>0.0</v>
      </c>
      <c r="G10675" s="60">
        <v>2.0</v>
      </c>
      <c r="H10675" s="60">
        <v>0.0</v>
      </c>
      <c r="I10675" s="60">
        <v>29.13247725</v>
      </c>
      <c r="J10675" s="59">
        <v>16.0</v>
      </c>
      <c r="K10675" s="61">
        <f t="shared" si="1"/>
        <v>0</v>
      </c>
      <c r="L10675" s="62">
        <f t="shared" si="2"/>
        <v>4</v>
      </c>
    </row>
    <row r="10676">
      <c r="A10676" s="58">
        <v>45078.0</v>
      </c>
      <c r="B10676" s="24" t="s">
        <v>155</v>
      </c>
      <c r="C10676" s="24" t="s">
        <v>6886</v>
      </c>
      <c r="D10676" s="59">
        <v>2.0</v>
      </c>
      <c r="E10676" s="59">
        <v>4.0</v>
      </c>
      <c r="F10676" s="59">
        <v>1.0</v>
      </c>
      <c r="G10676" s="60">
        <v>2.0</v>
      </c>
      <c r="H10676" s="60">
        <v>0.0</v>
      </c>
      <c r="I10676" s="60">
        <v>486.49705325</v>
      </c>
      <c r="J10676" s="59">
        <v>20.0</v>
      </c>
      <c r="K10676" s="61">
        <f t="shared" si="1"/>
        <v>0.25</v>
      </c>
      <c r="L10676" s="62">
        <f t="shared" si="2"/>
        <v>5</v>
      </c>
    </row>
    <row r="10677">
      <c r="A10677" s="58">
        <v>45078.0</v>
      </c>
      <c r="B10677" s="24" t="s">
        <v>6791</v>
      </c>
      <c r="C10677" s="24" t="s">
        <v>6892</v>
      </c>
      <c r="D10677" s="59">
        <v>2.0</v>
      </c>
      <c r="E10677" s="59">
        <v>2.0</v>
      </c>
      <c r="F10677" s="59">
        <v>2.0</v>
      </c>
      <c r="G10677" s="60">
        <v>1.0</v>
      </c>
      <c r="H10677" s="60">
        <v>0.0</v>
      </c>
      <c r="I10677" s="60">
        <v>629.6191075</v>
      </c>
      <c r="J10677" s="59">
        <v>4.0</v>
      </c>
      <c r="K10677" s="61">
        <f t="shared" si="1"/>
        <v>1</v>
      </c>
      <c r="L10677" s="62">
        <f t="shared" si="2"/>
        <v>2</v>
      </c>
    </row>
    <row r="10678">
      <c r="A10678" s="58">
        <v>45078.0</v>
      </c>
      <c r="B10678" s="24" t="s">
        <v>155</v>
      </c>
      <c r="C10678" s="24" t="s">
        <v>6892</v>
      </c>
      <c r="D10678" s="59">
        <v>2.0</v>
      </c>
      <c r="E10678" s="59">
        <v>2.0</v>
      </c>
      <c r="F10678" s="59">
        <v>2.0</v>
      </c>
      <c r="G10678" s="60">
        <v>1.0</v>
      </c>
      <c r="H10678" s="60">
        <v>0.5</v>
      </c>
      <c r="I10678" s="60">
        <v>2.490607</v>
      </c>
      <c r="J10678" s="59">
        <v>3.0</v>
      </c>
      <c r="K10678" s="61">
        <f t="shared" si="1"/>
        <v>1</v>
      </c>
      <c r="L10678" s="62">
        <f t="shared" si="2"/>
        <v>1.5</v>
      </c>
    </row>
    <row r="10679">
      <c r="A10679" s="58">
        <v>45078.0</v>
      </c>
      <c r="B10679" s="24" t="s">
        <v>6789</v>
      </c>
      <c r="C10679" s="24" t="s">
        <v>7624</v>
      </c>
      <c r="D10679" s="59">
        <v>2.0</v>
      </c>
      <c r="E10679" s="59">
        <v>2.0</v>
      </c>
      <c r="F10679" s="59">
        <v>1.0</v>
      </c>
      <c r="G10679" s="60">
        <v>1.0</v>
      </c>
      <c r="H10679" s="60">
        <v>0.5</v>
      </c>
      <c r="I10679" s="60">
        <v>392.5210745</v>
      </c>
      <c r="J10679" s="59">
        <v>5.0</v>
      </c>
      <c r="K10679" s="61">
        <f t="shared" si="1"/>
        <v>0.5</v>
      </c>
      <c r="L10679" s="62">
        <f t="shared" si="2"/>
        <v>2.5</v>
      </c>
    </row>
    <row r="10680">
      <c r="A10680" s="58">
        <v>45078.0</v>
      </c>
      <c r="B10680" s="24" t="s">
        <v>6789</v>
      </c>
      <c r="C10680" s="24" t="s">
        <v>7206</v>
      </c>
      <c r="D10680" s="59">
        <v>2.0</v>
      </c>
      <c r="E10680" s="59">
        <v>3.0</v>
      </c>
      <c r="F10680" s="59">
        <v>0.0</v>
      </c>
      <c r="G10680" s="60">
        <v>1.5</v>
      </c>
      <c r="H10680" s="60">
        <v>0.0</v>
      </c>
      <c r="I10680" s="60">
        <v>731.670448666666</v>
      </c>
      <c r="J10680" s="59">
        <v>10.0</v>
      </c>
      <c r="K10680" s="61">
        <f t="shared" si="1"/>
        <v>0</v>
      </c>
      <c r="L10680" s="62">
        <f t="shared" si="2"/>
        <v>3.333333333</v>
      </c>
    </row>
    <row r="10681">
      <c r="A10681" s="58">
        <v>45078.0</v>
      </c>
      <c r="B10681" s="24" t="s">
        <v>6790</v>
      </c>
      <c r="C10681" s="24" t="s">
        <v>7013</v>
      </c>
      <c r="D10681" s="59">
        <v>2.0</v>
      </c>
      <c r="E10681" s="59">
        <v>3.0</v>
      </c>
      <c r="F10681" s="59">
        <v>0.0</v>
      </c>
      <c r="G10681" s="60">
        <v>1.5</v>
      </c>
      <c r="H10681" s="60">
        <v>0.0</v>
      </c>
      <c r="I10681" s="60">
        <v>6.98643133333333</v>
      </c>
      <c r="J10681" s="59">
        <v>6.0</v>
      </c>
      <c r="K10681" s="61">
        <f t="shared" si="1"/>
        <v>0</v>
      </c>
      <c r="L10681" s="62">
        <f t="shared" si="2"/>
        <v>2</v>
      </c>
    </row>
    <row r="10682">
      <c r="A10682" s="58">
        <v>45078.0</v>
      </c>
      <c r="B10682" s="24" t="s">
        <v>6789</v>
      </c>
      <c r="C10682" s="24" t="s">
        <v>6908</v>
      </c>
      <c r="D10682" s="59">
        <v>2.0</v>
      </c>
      <c r="E10682" s="59">
        <v>2.0</v>
      </c>
      <c r="F10682" s="59">
        <v>2.0</v>
      </c>
      <c r="G10682" s="60">
        <v>1.0</v>
      </c>
      <c r="H10682" s="60">
        <v>0.0</v>
      </c>
      <c r="I10682" s="60">
        <v>2.40677</v>
      </c>
      <c r="J10682" s="59">
        <v>4.0</v>
      </c>
      <c r="K10682" s="61">
        <f t="shared" si="1"/>
        <v>1</v>
      </c>
      <c r="L10682" s="62">
        <f t="shared" si="2"/>
        <v>2</v>
      </c>
    </row>
    <row r="10683">
      <c r="A10683" s="58">
        <v>45078.0</v>
      </c>
      <c r="B10683" s="24" t="s">
        <v>6791</v>
      </c>
      <c r="C10683" s="24" t="s">
        <v>7313</v>
      </c>
      <c r="D10683" s="59">
        <v>2.0</v>
      </c>
      <c r="E10683" s="59">
        <v>2.0</v>
      </c>
      <c r="F10683" s="59">
        <v>1.0</v>
      </c>
      <c r="G10683" s="60">
        <v>1.0</v>
      </c>
      <c r="H10683" s="60">
        <v>0.0</v>
      </c>
      <c r="I10683" s="60">
        <v>704.4378955</v>
      </c>
      <c r="J10683" s="59">
        <v>6.0</v>
      </c>
      <c r="K10683" s="61">
        <f t="shared" si="1"/>
        <v>0.5</v>
      </c>
      <c r="L10683" s="62">
        <f t="shared" si="2"/>
        <v>3</v>
      </c>
    </row>
    <row r="10684">
      <c r="A10684" s="58">
        <v>45078.0</v>
      </c>
      <c r="B10684" s="24" t="s">
        <v>6790</v>
      </c>
      <c r="C10684" s="24" t="s">
        <v>7102</v>
      </c>
      <c r="D10684" s="59">
        <v>2.0</v>
      </c>
      <c r="E10684" s="59">
        <v>2.0</v>
      </c>
      <c r="F10684" s="59">
        <v>0.0</v>
      </c>
      <c r="G10684" s="60">
        <v>1.0</v>
      </c>
      <c r="H10684" s="60">
        <v>0.5</v>
      </c>
      <c r="I10684" s="60">
        <v>20.5672625</v>
      </c>
      <c r="J10684" s="59">
        <v>9.0</v>
      </c>
      <c r="K10684" s="61">
        <f t="shared" si="1"/>
        <v>0</v>
      </c>
      <c r="L10684" s="62">
        <f t="shared" si="2"/>
        <v>4.5</v>
      </c>
    </row>
    <row r="10685">
      <c r="A10685" s="58">
        <v>45078.0</v>
      </c>
      <c r="B10685" s="24" t="s">
        <v>6787</v>
      </c>
      <c r="C10685" s="24" t="s">
        <v>7180</v>
      </c>
      <c r="D10685" s="59">
        <v>2.0</v>
      </c>
      <c r="E10685" s="59">
        <v>2.0</v>
      </c>
      <c r="F10685" s="59">
        <v>2.0</v>
      </c>
      <c r="G10685" s="60">
        <v>1.0</v>
      </c>
      <c r="H10685" s="60">
        <v>0.0</v>
      </c>
      <c r="I10685" s="60">
        <v>4.87003649999999</v>
      </c>
      <c r="J10685" s="59">
        <v>4.0</v>
      </c>
      <c r="K10685" s="61">
        <f t="shared" si="1"/>
        <v>1</v>
      </c>
      <c r="L10685" s="62">
        <f t="shared" si="2"/>
        <v>2</v>
      </c>
    </row>
    <row r="10686">
      <c r="A10686" s="58">
        <v>45078.0</v>
      </c>
      <c r="B10686" s="24" t="s">
        <v>7606</v>
      </c>
      <c r="C10686" s="24" t="s">
        <v>6921</v>
      </c>
      <c r="D10686" s="59">
        <v>2.0</v>
      </c>
      <c r="E10686" s="59">
        <v>2.0</v>
      </c>
      <c r="F10686" s="59">
        <v>2.0</v>
      </c>
      <c r="G10686" s="60">
        <v>1.0</v>
      </c>
      <c r="H10686" s="60">
        <v>0.0</v>
      </c>
      <c r="I10686" s="60">
        <v>7.1088815</v>
      </c>
      <c r="J10686" s="59">
        <v>4.0</v>
      </c>
      <c r="K10686" s="61">
        <f t="shared" si="1"/>
        <v>1</v>
      </c>
      <c r="L10686" s="62">
        <f t="shared" si="2"/>
        <v>2</v>
      </c>
    </row>
    <row r="10687">
      <c r="A10687" s="58">
        <v>45078.0</v>
      </c>
      <c r="B10687" s="24" t="s">
        <v>6789</v>
      </c>
      <c r="C10687" s="24" t="s">
        <v>6921</v>
      </c>
      <c r="D10687" s="59">
        <v>2.0</v>
      </c>
      <c r="E10687" s="59">
        <v>10.0</v>
      </c>
      <c r="F10687" s="59">
        <v>1.0</v>
      </c>
      <c r="G10687" s="60">
        <v>5.0</v>
      </c>
      <c r="H10687" s="60">
        <v>0.0</v>
      </c>
      <c r="I10687" s="60">
        <v>54.1553122999999</v>
      </c>
      <c r="J10687" s="59">
        <v>20.0</v>
      </c>
      <c r="K10687" s="61">
        <f t="shared" si="1"/>
        <v>0.1</v>
      </c>
      <c r="L10687" s="62">
        <f t="shared" si="2"/>
        <v>2</v>
      </c>
    </row>
    <row r="10688">
      <c r="A10688" s="58">
        <v>45078.0</v>
      </c>
      <c r="B10688" s="24" t="s">
        <v>6787</v>
      </c>
      <c r="C10688" s="24" t="s">
        <v>6922</v>
      </c>
      <c r="D10688" s="59">
        <v>2.0</v>
      </c>
      <c r="E10688" s="59">
        <v>3.0</v>
      </c>
      <c r="F10688" s="59">
        <v>2.0</v>
      </c>
      <c r="G10688" s="60">
        <v>1.5</v>
      </c>
      <c r="H10688" s="60">
        <v>0.333333333333333</v>
      </c>
      <c r="I10688" s="60">
        <v>14.5611246666666</v>
      </c>
      <c r="J10688" s="59">
        <v>7.0</v>
      </c>
      <c r="K10688" s="61">
        <f t="shared" si="1"/>
        <v>0.6666666667</v>
      </c>
      <c r="L10688" s="62">
        <f t="shared" si="2"/>
        <v>2.333333333</v>
      </c>
    </row>
    <row r="10689">
      <c r="A10689" s="58">
        <v>45078.0</v>
      </c>
      <c r="B10689" s="24" t="s">
        <v>6787</v>
      </c>
      <c r="C10689" s="24" t="s">
        <v>7047</v>
      </c>
      <c r="D10689" s="59">
        <v>2.0</v>
      </c>
      <c r="E10689" s="59">
        <v>2.0</v>
      </c>
      <c r="F10689" s="59">
        <v>2.0</v>
      </c>
      <c r="G10689" s="60">
        <v>1.0</v>
      </c>
      <c r="H10689" s="60">
        <v>0.0</v>
      </c>
      <c r="I10689" s="60">
        <v>4.7719135</v>
      </c>
      <c r="J10689" s="59">
        <v>4.0</v>
      </c>
      <c r="K10689" s="61">
        <f t="shared" si="1"/>
        <v>1</v>
      </c>
      <c r="L10689" s="62">
        <f t="shared" si="2"/>
        <v>2</v>
      </c>
    </row>
    <row r="10690">
      <c r="A10690" s="58">
        <v>45078.0</v>
      </c>
      <c r="B10690" s="24" t="s">
        <v>6787</v>
      </c>
      <c r="C10690" s="24" t="s">
        <v>6931</v>
      </c>
      <c r="D10690" s="59">
        <v>2.0</v>
      </c>
      <c r="E10690" s="59">
        <v>2.0</v>
      </c>
      <c r="F10690" s="59">
        <v>2.0</v>
      </c>
      <c r="G10690" s="60">
        <v>1.0</v>
      </c>
      <c r="H10690" s="60">
        <v>0.5</v>
      </c>
      <c r="I10690" s="60">
        <v>11.3139745</v>
      </c>
      <c r="J10690" s="59">
        <v>4.0</v>
      </c>
      <c r="K10690" s="61">
        <f t="shared" si="1"/>
        <v>1</v>
      </c>
      <c r="L10690" s="62">
        <f t="shared" si="2"/>
        <v>2</v>
      </c>
    </row>
    <row r="10691">
      <c r="A10691" s="58">
        <v>45078.0</v>
      </c>
      <c r="B10691" s="24" t="s">
        <v>6789</v>
      </c>
      <c r="C10691" s="24" t="s">
        <v>6931</v>
      </c>
      <c r="D10691" s="59">
        <v>2.0</v>
      </c>
      <c r="E10691" s="59">
        <v>3.0</v>
      </c>
      <c r="F10691" s="59">
        <v>1.0</v>
      </c>
      <c r="G10691" s="60">
        <v>1.5</v>
      </c>
      <c r="H10691" s="60">
        <v>0.0</v>
      </c>
      <c r="I10691" s="60">
        <v>6.60496366666666</v>
      </c>
      <c r="J10691" s="59">
        <v>7.0</v>
      </c>
      <c r="K10691" s="61">
        <f t="shared" si="1"/>
        <v>0.3333333333</v>
      </c>
      <c r="L10691" s="62">
        <f t="shared" si="2"/>
        <v>2.333333333</v>
      </c>
    </row>
    <row r="10692">
      <c r="A10692" s="58">
        <v>45078.0</v>
      </c>
      <c r="B10692" s="24" t="s">
        <v>6794</v>
      </c>
      <c r="C10692" s="24" t="s">
        <v>6803</v>
      </c>
      <c r="D10692" s="59">
        <v>1.0</v>
      </c>
      <c r="E10692" s="59">
        <v>1.0</v>
      </c>
      <c r="F10692" s="59">
        <v>0.0</v>
      </c>
      <c r="G10692" s="60">
        <v>1.0</v>
      </c>
      <c r="H10692" s="60">
        <v>0.0</v>
      </c>
      <c r="I10692" s="60">
        <v>1733.336278</v>
      </c>
      <c r="J10692" s="59">
        <v>8.0</v>
      </c>
      <c r="K10692" s="61">
        <f t="shared" si="1"/>
        <v>0</v>
      </c>
      <c r="L10692" s="62">
        <f t="shared" si="2"/>
        <v>8</v>
      </c>
    </row>
    <row r="10693">
      <c r="A10693" s="58">
        <v>45078.0</v>
      </c>
      <c r="B10693" s="24" t="s">
        <v>155</v>
      </c>
      <c r="C10693" s="24" t="s">
        <v>6803</v>
      </c>
      <c r="D10693" s="59">
        <v>1.0</v>
      </c>
      <c r="E10693" s="59">
        <v>2.0</v>
      </c>
      <c r="F10693" s="59">
        <v>0.0</v>
      </c>
      <c r="G10693" s="60">
        <v>2.0</v>
      </c>
      <c r="H10693" s="60">
        <v>0.0</v>
      </c>
      <c r="I10693" s="60">
        <v>214.39013</v>
      </c>
      <c r="J10693" s="59">
        <v>4.0</v>
      </c>
      <c r="K10693" s="61">
        <f t="shared" si="1"/>
        <v>0</v>
      </c>
      <c r="L10693" s="62">
        <f t="shared" si="2"/>
        <v>2</v>
      </c>
    </row>
    <row r="10694">
      <c r="A10694" s="58">
        <v>45078.0</v>
      </c>
      <c r="B10694" s="24" t="s">
        <v>6790</v>
      </c>
      <c r="C10694" s="24" t="s">
        <v>6803</v>
      </c>
      <c r="D10694" s="59">
        <v>1.0</v>
      </c>
      <c r="E10694" s="59">
        <v>3.0</v>
      </c>
      <c r="F10694" s="59">
        <v>0.0</v>
      </c>
      <c r="G10694" s="60">
        <v>3.0</v>
      </c>
      <c r="H10694" s="60">
        <v>0.0</v>
      </c>
      <c r="I10694" s="60">
        <v>1445.59639233333</v>
      </c>
      <c r="J10694" s="59">
        <v>28.0</v>
      </c>
      <c r="K10694" s="61">
        <f t="shared" si="1"/>
        <v>0</v>
      </c>
      <c r="L10694" s="62">
        <f t="shared" si="2"/>
        <v>9.333333333</v>
      </c>
    </row>
    <row r="10695">
      <c r="A10695" s="58">
        <v>45078.0</v>
      </c>
      <c r="B10695" s="24" t="s">
        <v>6789</v>
      </c>
      <c r="C10695" s="24" t="s">
        <v>7564</v>
      </c>
      <c r="D10695" s="59">
        <v>1.0</v>
      </c>
      <c r="E10695" s="59">
        <v>1.0</v>
      </c>
      <c r="F10695" s="59">
        <v>0.0</v>
      </c>
      <c r="G10695" s="60">
        <v>1.0</v>
      </c>
      <c r="H10695" s="60">
        <v>0.0</v>
      </c>
      <c r="I10695" s="60">
        <v>0.002836</v>
      </c>
      <c r="J10695" s="59">
        <v>2.0</v>
      </c>
      <c r="K10695" s="61">
        <f t="shared" si="1"/>
        <v>0</v>
      </c>
      <c r="L10695" s="62">
        <f t="shared" si="2"/>
        <v>2</v>
      </c>
    </row>
    <row r="10696">
      <c r="A10696" s="58">
        <v>45078.0</v>
      </c>
      <c r="B10696" s="24" t="s">
        <v>155</v>
      </c>
      <c r="C10696" s="24" t="s">
        <v>6817</v>
      </c>
      <c r="D10696" s="59">
        <v>1.0</v>
      </c>
      <c r="E10696" s="59">
        <v>1.0</v>
      </c>
      <c r="F10696" s="59">
        <v>0.0</v>
      </c>
      <c r="G10696" s="60">
        <v>1.0</v>
      </c>
      <c r="H10696" s="60">
        <v>0.0</v>
      </c>
      <c r="I10696" s="60">
        <v>4.141562</v>
      </c>
      <c r="J10696" s="59">
        <v>2.0</v>
      </c>
      <c r="K10696" s="61">
        <f t="shared" si="1"/>
        <v>0</v>
      </c>
      <c r="L10696" s="62">
        <f t="shared" si="2"/>
        <v>2</v>
      </c>
    </row>
    <row r="10697">
      <c r="A10697" s="58">
        <v>45078.0</v>
      </c>
      <c r="B10697" s="24" t="s">
        <v>6790</v>
      </c>
      <c r="C10697" s="24" t="s">
        <v>6817</v>
      </c>
      <c r="D10697" s="59">
        <v>1.0</v>
      </c>
      <c r="E10697" s="59">
        <v>1.0</v>
      </c>
      <c r="F10697" s="59">
        <v>0.0</v>
      </c>
      <c r="G10697" s="60">
        <v>1.0</v>
      </c>
      <c r="H10697" s="60">
        <v>0.0</v>
      </c>
      <c r="I10697" s="60">
        <v>5.705977</v>
      </c>
      <c r="J10697" s="59">
        <v>2.0</v>
      </c>
      <c r="K10697" s="61">
        <f t="shared" si="1"/>
        <v>0</v>
      </c>
      <c r="L10697" s="62">
        <f t="shared" si="2"/>
        <v>2</v>
      </c>
    </row>
    <row r="10698">
      <c r="A10698" s="58">
        <v>45078.0</v>
      </c>
      <c r="B10698" s="24" t="s">
        <v>6787</v>
      </c>
      <c r="C10698" s="24" t="s">
        <v>6953</v>
      </c>
      <c r="D10698" s="59">
        <v>1.0</v>
      </c>
      <c r="E10698" s="59">
        <v>1.0</v>
      </c>
      <c r="F10698" s="59">
        <v>1.0</v>
      </c>
      <c r="G10698" s="60">
        <v>1.0</v>
      </c>
      <c r="H10698" s="60">
        <v>0.0</v>
      </c>
      <c r="I10698" s="60">
        <v>28.101486</v>
      </c>
      <c r="J10698" s="59">
        <v>7.0</v>
      </c>
      <c r="K10698" s="61">
        <f t="shared" si="1"/>
        <v>1</v>
      </c>
      <c r="L10698" s="62">
        <f t="shared" si="2"/>
        <v>7</v>
      </c>
    </row>
    <row r="10699">
      <c r="A10699" s="58">
        <v>45078.0</v>
      </c>
      <c r="B10699" s="24" t="s">
        <v>6787</v>
      </c>
      <c r="C10699" s="24" t="s">
        <v>7057</v>
      </c>
      <c r="D10699" s="59">
        <v>1.0</v>
      </c>
      <c r="E10699" s="59">
        <v>1.0</v>
      </c>
      <c r="F10699" s="59">
        <v>1.0</v>
      </c>
      <c r="G10699" s="60">
        <v>1.0</v>
      </c>
      <c r="H10699" s="60">
        <v>0.0</v>
      </c>
      <c r="I10699" s="60">
        <v>28.14351</v>
      </c>
      <c r="J10699" s="59">
        <v>7.0</v>
      </c>
      <c r="K10699" s="61">
        <f t="shared" si="1"/>
        <v>1</v>
      </c>
      <c r="L10699" s="62">
        <f t="shared" si="2"/>
        <v>7</v>
      </c>
    </row>
    <row r="10700">
      <c r="A10700" s="58">
        <v>45078.0</v>
      </c>
      <c r="B10700" s="24" t="s">
        <v>6790</v>
      </c>
      <c r="C10700" s="24" t="s">
        <v>7057</v>
      </c>
      <c r="D10700" s="59">
        <v>1.0</v>
      </c>
      <c r="E10700" s="59">
        <v>1.0</v>
      </c>
      <c r="F10700" s="59">
        <v>0.0</v>
      </c>
      <c r="G10700" s="60">
        <v>1.0</v>
      </c>
      <c r="H10700" s="60">
        <v>0.0</v>
      </c>
      <c r="I10700" s="60">
        <v>531.320409</v>
      </c>
      <c r="J10700" s="59">
        <v>12.0</v>
      </c>
      <c r="K10700" s="61">
        <f t="shared" si="1"/>
        <v>0</v>
      </c>
      <c r="L10700" s="62">
        <f t="shared" si="2"/>
        <v>12</v>
      </c>
    </row>
    <row r="10701">
      <c r="A10701" s="58">
        <v>45078.0</v>
      </c>
      <c r="B10701" s="24" t="s">
        <v>6787</v>
      </c>
      <c r="C10701" s="24" t="s">
        <v>7058</v>
      </c>
      <c r="D10701" s="59">
        <v>1.0</v>
      </c>
      <c r="E10701" s="59">
        <v>2.0</v>
      </c>
      <c r="F10701" s="59">
        <v>1.0</v>
      </c>
      <c r="G10701" s="60">
        <v>2.0</v>
      </c>
      <c r="H10701" s="60">
        <v>0.0</v>
      </c>
      <c r="I10701" s="60">
        <v>868.5337505</v>
      </c>
      <c r="J10701" s="59">
        <v>6.0</v>
      </c>
      <c r="K10701" s="61">
        <f t="shared" si="1"/>
        <v>0.5</v>
      </c>
      <c r="L10701" s="62">
        <f t="shared" si="2"/>
        <v>3</v>
      </c>
    </row>
    <row r="10702">
      <c r="A10702" s="58">
        <v>45078.0</v>
      </c>
      <c r="B10702" s="24" t="s">
        <v>155</v>
      </c>
      <c r="C10702" s="24" t="s">
        <v>7058</v>
      </c>
      <c r="D10702" s="59">
        <v>1.0</v>
      </c>
      <c r="E10702" s="59">
        <v>1.0</v>
      </c>
      <c r="F10702" s="59">
        <v>0.0</v>
      </c>
      <c r="G10702" s="60">
        <v>1.0</v>
      </c>
      <c r="H10702" s="60">
        <v>0.0</v>
      </c>
      <c r="I10702" s="60">
        <v>4.756344</v>
      </c>
      <c r="J10702" s="59">
        <v>2.0</v>
      </c>
      <c r="K10702" s="61">
        <f t="shared" si="1"/>
        <v>0</v>
      </c>
      <c r="L10702" s="62">
        <f t="shared" si="2"/>
        <v>2</v>
      </c>
    </row>
    <row r="10703">
      <c r="A10703" s="58">
        <v>45078.0</v>
      </c>
      <c r="B10703" s="24" t="s">
        <v>6787</v>
      </c>
      <c r="C10703" s="24" t="s">
        <v>6861</v>
      </c>
      <c r="D10703" s="59">
        <v>1.0</v>
      </c>
      <c r="E10703" s="59">
        <v>1.0</v>
      </c>
      <c r="F10703" s="59">
        <v>1.0</v>
      </c>
      <c r="G10703" s="60">
        <v>1.0</v>
      </c>
      <c r="H10703" s="60">
        <v>0.0</v>
      </c>
      <c r="I10703" s="60">
        <v>29.683902</v>
      </c>
      <c r="J10703" s="59">
        <v>7.0</v>
      </c>
      <c r="K10703" s="61">
        <f t="shared" si="1"/>
        <v>1</v>
      </c>
      <c r="L10703" s="62">
        <f t="shared" si="2"/>
        <v>7</v>
      </c>
    </row>
    <row r="10704">
      <c r="A10704" s="58">
        <v>45078.0</v>
      </c>
      <c r="B10704" s="24" t="s">
        <v>155</v>
      </c>
      <c r="C10704" s="24" t="s">
        <v>7060</v>
      </c>
      <c r="D10704" s="59">
        <v>1.0</v>
      </c>
      <c r="E10704" s="59">
        <v>1.0</v>
      </c>
      <c r="F10704" s="59">
        <v>0.0</v>
      </c>
      <c r="G10704" s="60">
        <v>1.0</v>
      </c>
      <c r="H10704" s="60">
        <v>0.0</v>
      </c>
      <c r="I10704" s="60">
        <v>1291.724461</v>
      </c>
      <c r="J10704" s="59">
        <v>12.0</v>
      </c>
      <c r="K10704" s="61">
        <f t="shared" si="1"/>
        <v>0</v>
      </c>
      <c r="L10704" s="62">
        <f t="shared" si="2"/>
        <v>12</v>
      </c>
    </row>
    <row r="10705">
      <c r="A10705" s="58">
        <v>45078.0</v>
      </c>
      <c r="B10705" s="24" t="s">
        <v>6787</v>
      </c>
      <c r="C10705" s="24" t="s">
        <v>6985</v>
      </c>
      <c r="D10705" s="59">
        <v>1.0</v>
      </c>
      <c r="E10705" s="59">
        <v>1.0</v>
      </c>
      <c r="F10705" s="59">
        <v>1.0</v>
      </c>
      <c r="G10705" s="60">
        <v>1.0</v>
      </c>
      <c r="H10705" s="60">
        <v>0.0</v>
      </c>
      <c r="I10705" s="60">
        <v>25.399105</v>
      </c>
      <c r="J10705" s="59">
        <v>5.0</v>
      </c>
      <c r="K10705" s="61">
        <f t="shared" si="1"/>
        <v>1</v>
      </c>
      <c r="L10705" s="62">
        <f t="shared" si="2"/>
        <v>5</v>
      </c>
    </row>
    <row r="10706">
      <c r="A10706" s="58">
        <v>45078.0</v>
      </c>
      <c r="B10706" s="24" t="s">
        <v>6787</v>
      </c>
      <c r="C10706" s="24" t="s">
        <v>6833</v>
      </c>
      <c r="D10706" s="59">
        <v>1.0</v>
      </c>
      <c r="E10706" s="59">
        <v>1.0</v>
      </c>
      <c r="F10706" s="59">
        <v>1.0</v>
      </c>
      <c r="G10706" s="60">
        <v>1.0</v>
      </c>
      <c r="H10706" s="60">
        <v>0.0</v>
      </c>
      <c r="I10706" s="60">
        <v>281.48426</v>
      </c>
      <c r="J10706" s="59">
        <v>4.0</v>
      </c>
      <c r="K10706" s="61">
        <f t="shared" si="1"/>
        <v>1</v>
      </c>
      <c r="L10706" s="62">
        <f t="shared" si="2"/>
        <v>4</v>
      </c>
    </row>
    <row r="10707">
      <c r="A10707" s="58">
        <v>45078.0</v>
      </c>
      <c r="B10707" s="24" t="s">
        <v>6789</v>
      </c>
      <c r="C10707" s="24" t="s">
        <v>7062</v>
      </c>
      <c r="D10707" s="59">
        <v>1.0</v>
      </c>
      <c r="E10707" s="59">
        <v>1.0</v>
      </c>
      <c r="F10707" s="59">
        <v>0.0</v>
      </c>
      <c r="G10707" s="60">
        <v>1.0</v>
      </c>
      <c r="H10707" s="60">
        <v>0.0</v>
      </c>
      <c r="I10707" s="60">
        <v>0.330295</v>
      </c>
      <c r="J10707" s="59">
        <v>2.0</v>
      </c>
      <c r="K10707" s="61">
        <f t="shared" si="1"/>
        <v>0</v>
      </c>
      <c r="L10707" s="62">
        <f t="shared" si="2"/>
        <v>2</v>
      </c>
    </row>
    <row r="10708">
      <c r="A10708" s="58">
        <v>45078.0</v>
      </c>
      <c r="B10708" s="24" t="s">
        <v>6787</v>
      </c>
      <c r="C10708" s="24" t="s">
        <v>7063</v>
      </c>
      <c r="D10708" s="59">
        <v>1.0</v>
      </c>
      <c r="E10708" s="59">
        <v>1.0</v>
      </c>
      <c r="F10708" s="59">
        <v>1.0</v>
      </c>
      <c r="G10708" s="60">
        <v>1.0</v>
      </c>
      <c r="H10708" s="60">
        <v>0.0</v>
      </c>
      <c r="I10708" s="60">
        <v>4.679881</v>
      </c>
      <c r="J10708" s="59">
        <v>2.0</v>
      </c>
      <c r="K10708" s="61">
        <f t="shared" si="1"/>
        <v>1</v>
      </c>
      <c r="L10708" s="62">
        <f t="shared" si="2"/>
        <v>2</v>
      </c>
    </row>
    <row r="10709">
      <c r="A10709" s="58">
        <v>45078.0</v>
      </c>
      <c r="B10709" s="24" t="s">
        <v>6789</v>
      </c>
      <c r="C10709" s="24" t="s">
        <v>7063</v>
      </c>
      <c r="D10709" s="59">
        <v>1.0</v>
      </c>
      <c r="E10709" s="59">
        <v>1.0</v>
      </c>
      <c r="F10709" s="59">
        <v>0.0</v>
      </c>
      <c r="G10709" s="60">
        <v>1.0</v>
      </c>
      <c r="H10709" s="60">
        <v>0.0</v>
      </c>
      <c r="I10709" s="60">
        <v>5.051676</v>
      </c>
      <c r="J10709" s="59">
        <v>2.0</v>
      </c>
      <c r="K10709" s="61">
        <f t="shared" si="1"/>
        <v>0</v>
      </c>
      <c r="L10709" s="62">
        <f t="shared" si="2"/>
        <v>2</v>
      </c>
    </row>
    <row r="10710">
      <c r="A10710" s="58">
        <v>45078.0</v>
      </c>
      <c r="B10710" s="24" t="s">
        <v>155</v>
      </c>
      <c r="C10710" s="24" t="s">
        <v>7063</v>
      </c>
      <c r="D10710" s="59">
        <v>1.0</v>
      </c>
      <c r="E10710" s="59">
        <v>1.0</v>
      </c>
      <c r="F10710" s="59">
        <v>0.0</v>
      </c>
      <c r="G10710" s="60">
        <v>1.0</v>
      </c>
      <c r="H10710" s="60">
        <v>0.0</v>
      </c>
      <c r="I10710" s="60">
        <v>10.361631</v>
      </c>
      <c r="J10710" s="59">
        <v>2.0</v>
      </c>
      <c r="K10710" s="61">
        <f t="shared" si="1"/>
        <v>0</v>
      </c>
      <c r="L10710" s="62">
        <f t="shared" si="2"/>
        <v>2</v>
      </c>
    </row>
    <row r="10711">
      <c r="A10711" s="58">
        <v>45078.0</v>
      </c>
      <c r="B10711" s="24" t="s">
        <v>3216</v>
      </c>
      <c r="C10711" s="24" t="s">
        <v>7065</v>
      </c>
      <c r="D10711" s="59">
        <v>1.0</v>
      </c>
      <c r="E10711" s="59">
        <v>1.0</v>
      </c>
      <c r="F10711" s="59">
        <v>0.0</v>
      </c>
      <c r="G10711" s="60">
        <v>1.0</v>
      </c>
      <c r="H10711" s="60">
        <v>0.0</v>
      </c>
      <c r="I10711" s="60">
        <v>106.182544</v>
      </c>
      <c r="J10711" s="59">
        <v>6.0</v>
      </c>
      <c r="K10711" s="61">
        <f t="shared" si="1"/>
        <v>0</v>
      </c>
      <c r="L10711" s="62">
        <f t="shared" si="2"/>
        <v>6</v>
      </c>
    </row>
    <row r="10712">
      <c r="A10712" s="58">
        <v>45078.0</v>
      </c>
      <c r="B10712" s="24" t="s">
        <v>155</v>
      </c>
      <c r="C10712" s="24" t="s">
        <v>7638</v>
      </c>
      <c r="D10712" s="59">
        <v>1.0</v>
      </c>
      <c r="E10712" s="59">
        <v>1.0</v>
      </c>
      <c r="F10712" s="59">
        <v>0.0</v>
      </c>
      <c r="G10712" s="60">
        <v>1.0</v>
      </c>
      <c r="H10712" s="60">
        <v>0.0</v>
      </c>
      <c r="I10712" s="60">
        <v>36.506635</v>
      </c>
      <c r="J10712" s="59">
        <v>2.0</v>
      </c>
      <c r="K10712" s="61">
        <f t="shared" si="1"/>
        <v>0</v>
      </c>
      <c r="L10712" s="62">
        <f t="shared" si="2"/>
        <v>2</v>
      </c>
    </row>
    <row r="10713">
      <c r="A10713" s="58">
        <v>45078.0</v>
      </c>
      <c r="B10713" s="24" t="s">
        <v>6794</v>
      </c>
      <c r="C10713" s="24" t="s">
        <v>7068</v>
      </c>
      <c r="D10713" s="59">
        <v>1.0</v>
      </c>
      <c r="E10713" s="59">
        <v>2.0</v>
      </c>
      <c r="F10713" s="59">
        <v>1.0</v>
      </c>
      <c r="G10713" s="60">
        <v>2.0</v>
      </c>
      <c r="H10713" s="60">
        <v>0.0</v>
      </c>
      <c r="I10713" s="60">
        <v>88.2592905</v>
      </c>
      <c r="J10713" s="59">
        <v>4.0</v>
      </c>
      <c r="K10713" s="61">
        <f t="shared" si="1"/>
        <v>0.5</v>
      </c>
      <c r="L10713" s="62">
        <f t="shared" si="2"/>
        <v>2</v>
      </c>
    </row>
    <row r="10714">
      <c r="A10714" s="58">
        <v>45078.0</v>
      </c>
      <c r="B10714" s="24" t="s">
        <v>6791</v>
      </c>
      <c r="C10714" s="24" t="s">
        <v>7068</v>
      </c>
      <c r="D10714" s="59">
        <v>1.0</v>
      </c>
      <c r="E10714" s="59">
        <v>1.0</v>
      </c>
      <c r="F10714" s="59">
        <v>0.0</v>
      </c>
      <c r="G10714" s="60">
        <v>1.0</v>
      </c>
      <c r="H10714" s="60">
        <v>0.0</v>
      </c>
      <c r="I10714" s="60">
        <v>1850.677333</v>
      </c>
      <c r="J10714" s="59">
        <v>16.0</v>
      </c>
      <c r="K10714" s="61">
        <f t="shared" si="1"/>
        <v>0</v>
      </c>
      <c r="L10714" s="62">
        <f t="shared" si="2"/>
        <v>16</v>
      </c>
    </row>
    <row r="10715">
      <c r="A10715" s="58">
        <v>45078.0</v>
      </c>
      <c r="B10715" s="24" t="s">
        <v>6790</v>
      </c>
      <c r="C10715" s="24" t="s">
        <v>7068</v>
      </c>
      <c r="D10715" s="59">
        <v>1.0</v>
      </c>
      <c r="E10715" s="59">
        <v>1.0</v>
      </c>
      <c r="F10715" s="59">
        <v>0.0</v>
      </c>
      <c r="G10715" s="60">
        <v>1.0</v>
      </c>
      <c r="H10715" s="60">
        <v>1.0</v>
      </c>
      <c r="I10715" s="60">
        <v>19.360037</v>
      </c>
      <c r="J10715" s="59">
        <v>1.0</v>
      </c>
      <c r="K10715" s="61">
        <f t="shared" si="1"/>
        <v>0</v>
      </c>
      <c r="L10715" s="62">
        <f t="shared" si="2"/>
        <v>1</v>
      </c>
    </row>
    <row r="10716">
      <c r="A10716" s="58">
        <v>45078.0</v>
      </c>
      <c r="B10716" s="24" t="s">
        <v>6794</v>
      </c>
      <c r="C10716" s="24" t="s">
        <v>6835</v>
      </c>
      <c r="D10716" s="59">
        <v>1.0</v>
      </c>
      <c r="E10716" s="59">
        <v>1.0</v>
      </c>
      <c r="F10716" s="59">
        <v>1.0</v>
      </c>
      <c r="G10716" s="60">
        <v>1.0</v>
      </c>
      <c r="H10716" s="60">
        <v>0.0</v>
      </c>
      <c r="I10716" s="60">
        <v>38.260214</v>
      </c>
      <c r="J10716" s="59">
        <v>2.0</v>
      </c>
      <c r="K10716" s="61">
        <f t="shared" si="1"/>
        <v>1</v>
      </c>
      <c r="L10716" s="62">
        <f t="shared" si="2"/>
        <v>2</v>
      </c>
    </row>
    <row r="10717">
      <c r="A10717" s="58">
        <v>45078.0</v>
      </c>
      <c r="B10717" s="24" t="s">
        <v>6790</v>
      </c>
      <c r="C10717" s="24" t="s">
        <v>6835</v>
      </c>
      <c r="D10717" s="59">
        <v>1.0</v>
      </c>
      <c r="E10717" s="59">
        <v>1.0</v>
      </c>
      <c r="F10717" s="59">
        <v>1.0</v>
      </c>
      <c r="G10717" s="60">
        <v>1.0</v>
      </c>
      <c r="H10717" s="60">
        <v>0.0</v>
      </c>
      <c r="I10717" s="60">
        <v>118.652426</v>
      </c>
      <c r="J10717" s="59">
        <v>2.0</v>
      </c>
      <c r="K10717" s="61">
        <f t="shared" si="1"/>
        <v>1</v>
      </c>
      <c r="L10717" s="62">
        <f t="shared" si="2"/>
        <v>2</v>
      </c>
    </row>
    <row r="10718">
      <c r="A10718" s="58">
        <v>45078.0</v>
      </c>
      <c r="B10718" s="24" t="s">
        <v>6794</v>
      </c>
      <c r="C10718" s="24" t="s">
        <v>6991</v>
      </c>
      <c r="D10718" s="59">
        <v>1.0</v>
      </c>
      <c r="E10718" s="59">
        <v>1.0</v>
      </c>
      <c r="F10718" s="59">
        <v>0.0</v>
      </c>
      <c r="G10718" s="60">
        <v>1.0</v>
      </c>
      <c r="H10718" s="60">
        <v>0.0</v>
      </c>
      <c r="I10718" s="60">
        <v>4.917756</v>
      </c>
      <c r="J10718" s="59">
        <v>2.0</v>
      </c>
      <c r="K10718" s="61">
        <f t="shared" si="1"/>
        <v>0</v>
      </c>
      <c r="L10718" s="62">
        <f t="shared" si="2"/>
        <v>2</v>
      </c>
    </row>
    <row r="10719">
      <c r="A10719" s="58">
        <v>45078.0</v>
      </c>
      <c r="B10719" s="24" t="s">
        <v>155</v>
      </c>
      <c r="C10719" s="24" t="s">
        <v>6992</v>
      </c>
      <c r="D10719" s="59">
        <v>1.0</v>
      </c>
      <c r="E10719" s="59">
        <v>1.0</v>
      </c>
      <c r="F10719" s="59">
        <v>0.0</v>
      </c>
      <c r="G10719" s="60">
        <v>1.0</v>
      </c>
      <c r="H10719" s="60">
        <v>0.0</v>
      </c>
      <c r="I10719" s="60">
        <v>5.496087</v>
      </c>
      <c r="J10719" s="59">
        <v>2.0</v>
      </c>
      <c r="K10719" s="61">
        <f t="shared" si="1"/>
        <v>0</v>
      </c>
      <c r="L10719" s="62">
        <f t="shared" si="2"/>
        <v>2</v>
      </c>
    </row>
    <row r="10720">
      <c r="A10720" s="58">
        <v>45078.0</v>
      </c>
      <c r="B10720" s="24" t="s">
        <v>6794</v>
      </c>
      <c r="C10720" s="24" t="s">
        <v>7632</v>
      </c>
      <c r="D10720" s="59">
        <v>1.0</v>
      </c>
      <c r="E10720" s="59">
        <v>1.0</v>
      </c>
      <c r="F10720" s="59">
        <v>0.0</v>
      </c>
      <c r="G10720" s="60">
        <v>1.0</v>
      </c>
      <c r="H10720" s="60">
        <v>0.0</v>
      </c>
      <c r="I10720" s="60">
        <v>629.854089</v>
      </c>
      <c r="J10720" s="59">
        <v>2.0</v>
      </c>
      <c r="K10720" s="61">
        <f t="shared" si="1"/>
        <v>0</v>
      </c>
      <c r="L10720" s="62">
        <f t="shared" si="2"/>
        <v>2</v>
      </c>
    </row>
    <row r="10721">
      <c r="A10721" s="58">
        <v>45078.0</v>
      </c>
      <c r="B10721" s="24" t="s">
        <v>155</v>
      </c>
      <c r="C10721" s="24" t="s">
        <v>7632</v>
      </c>
      <c r="D10721" s="59">
        <v>1.0</v>
      </c>
      <c r="E10721" s="59">
        <v>2.0</v>
      </c>
      <c r="F10721" s="59">
        <v>0.0</v>
      </c>
      <c r="G10721" s="60">
        <v>2.0</v>
      </c>
      <c r="H10721" s="60">
        <v>0.0</v>
      </c>
      <c r="I10721" s="60">
        <v>267.553177</v>
      </c>
      <c r="J10721" s="59">
        <v>12.0</v>
      </c>
      <c r="K10721" s="61">
        <f t="shared" si="1"/>
        <v>0</v>
      </c>
      <c r="L10721" s="62">
        <f t="shared" si="2"/>
        <v>6</v>
      </c>
    </row>
    <row r="10722">
      <c r="A10722" s="58">
        <v>45078.0</v>
      </c>
      <c r="B10722" s="24" t="s">
        <v>6787</v>
      </c>
      <c r="C10722" s="24" t="s">
        <v>6994</v>
      </c>
      <c r="D10722" s="59">
        <v>1.0</v>
      </c>
      <c r="E10722" s="59">
        <v>1.0</v>
      </c>
      <c r="F10722" s="59">
        <v>1.0</v>
      </c>
      <c r="G10722" s="60">
        <v>1.0</v>
      </c>
      <c r="H10722" s="60">
        <v>0.0</v>
      </c>
      <c r="I10722" s="60">
        <v>24.932589</v>
      </c>
      <c r="J10722" s="59">
        <v>2.0</v>
      </c>
      <c r="K10722" s="61">
        <f t="shared" si="1"/>
        <v>1</v>
      </c>
      <c r="L10722" s="62">
        <f t="shared" si="2"/>
        <v>2</v>
      </c>
    </row>
    <row r="10723">
      <c r="A10723" s="58">
        <v>45078.0</v>
      </c>
      <c r="B10723" s="24" t="s">
        <v>6787</v>
      </c>
      <c r="C10723" s="24" t="s">
        <v>7072</v>
      </c>
      <c r="D10723" s="59">
        <v>1.0</v>
      </c>
      <c r="E10723" s="59">
        <v>1.0</v>
      </c>
      <c r="F10723" s="59">
        <v>1.0</v>
      </c>
      <c r="G10723" s="60">
        <v>1.0</v>
      </c>
      <c r="H10723" s="60">
        <v>0.0</v>
      </c>
      <c r="I10723" s="60">
        <v>9.115187</v>
      </c>
      <c r="J10723" s="59">
        <v>2.0</v>
      </c>
      <c r="K10723" s="61">
        <f t="shared" si="1"/>
        <v>1</v>
      </c>
      <c r="L10723" s="62">
        <f t="shared" si="2"/>
        <v>2</v>
      </c>
    </row>
    <row r="10724">
      <c r="A10724" s="58">
        <v>45078.0</v>
      </c>
      <c r="B10724" s="24" t="s">
        <v>6794</v>
      </c>
      <c r="C10724" s="24" t="s">
        <v>6886</v>
      </c>
      <c r="D10724" s="59">
        <v>1.0</v>
      </c>
      <c r="E10724" s="59">
        <v>1.0</v>
      </c>
      <c r="F10724" s="59">
        <v>1.0</v>
      </c>
      <c r="G10724" s="60">
        <v>1.0</v>
      </c>
      <c r="H10724" s="60">
        <v>0.0</v>
      </c>
      <c r="I10724" s="60">
        <v>29.94744</v>
      </c>
      <c r="J10724" s="59">
        <v>4.0</v>
      </c>
      <c r="K10724" s="61">
        <f t="shared" si="1"/>
        <v>1</v>
      </c>
      <c r="L10724" s="62">
        <f t="shared" si="2"/>
        <v>4</v>
      </c>
    </row>
    <row r="10725">
      <c r="A10725" s="58">
        <v>45078.0</v>
      </c>
      <c r="B10725" s="24" t="s">
        <v>6794</v>
      </c>
      <c r="C10725" s="24" t="s">
        <v>6799</v>
      </c>
      <c r="D10725" s="59">
        <v>1.0</v>
      </c>
      <c r="E10725" s="59">
        <v>1.0</v>
      </c>
      <c r="F10725" s="59">
        <v>0.0</v>
      </c>
      <c r="G10725" s="60">
        <v>1.0</v>
      </c>
      <c r="H10725" s="60">
        <v>0.0</v>
      </c>
      <c r="I10725" s="60">
        <v>3.198128</v>
      </c>
      <c r="J10725" s="59">
        <v>2.0</v>
      </c>
      <c r="K10725" s="61">
        <f t="shared" si="1"/>
        <v>0</v>
      </c>
      <c r="L10725" s="62">
        <f t="shared" si="2"/>
        <v>2</v>
      </c>
    </row>
    <row r="10726">
      <c r="A10726" s="58">
        <v>45078.0</v>
      </c>
      <c r="B10726" s="24" t="s">
        <v>6791</v>
      </c>
      <c r="C10726" s="24" t="s">
        <v>6799</v>
      </c>
      <c r="D10726" s="59">
        <v>1.0</v>
      </c>
      <c r="E10726" s="59">
        <v>1.0</v>
      </c>
      <c r="F10726" s="59">
        <v>0.0</v>
      </c>
      <c r="G10726" s="60">
        <v>1.0</v>
      </c>
      <c r="H10726" s="60">
        <v>0.0</v>
      </c>
      <c r="I10726" s="60">
        <v>6194.716359</v>
      </c>
      <c r="J10726" s="59">
        <v>58.0</v>
      </c>
      <c r="K10726" s="61">
        <f t="shared" si="1"/>
        <v>0</v>
      </c>
      <c r="L10726" s="62">
        <f t="shared" si="2"/>
        <v>58</v>
      </c>
    </row>
    <row r="10727">
      <c r="A10727" s="58">
        <v>45078.0</v>
      </c>
      <c r="B10727" s="24" t="s">
        <v>155</v>
      </c>
      <c r="C10727" s="24" t="s">
        <v>6799</v>
      </c>
      <c r="D10727" s="59">
        <v>1.0</v>
      </c>
      <c r="E10727" s="59">
        <v>1.0</v>
      </c>
      <c r="F10727" s="59">
        <v>0.0</v>
      </c>
      <c r="G10727" s="60">
        <v>1.0</v>
      </c>
      <c r="H10727" s="60">
        <v>0.0</v>
      </c>
      <c r="I10727" s="60">
        <v>34.383734</v>
      </c>
      <c r="J10727" s="59">
        <v>4.0</v>
      </c>
      <c r="K10727" s="61">
        <f t="shared" si="1"/>
        <v>0</v>
      </c>
      <c r="L10727" s="62">
        <f t="shared" si="2"/>
        <v>4</v>
      </c>
    </row>
    <row r="10728">
      <c r="A10728" s="58">
        <v>45078.0</v>
      </c>
      <c r="B10728" s="24" t="s">
        <v>6790</v>
      </c>
      <c r="C10728" s="24" t="s">
        <v>6799</v>
      </c>
      <c r="D10728" s="59">
        <v>1.0</v>
      </c>
      <c r="E10728" s="59">
        <v>1.0</v>
      </c>
      <c r="F10728" s="59">
        <v>0.0</v>
      </c>
      <c r="G10728" s="60">
        <v>1.0</v>
      </c>
      <c r="H10728" s="60">
        <v>0.0</v>
      </c>
      <c r="I10728" s="60">
        <v>3708.179944</v>
      </c>
      <c r="J10728" s="59">
        <v>14.0</v>
      </c>
      <c r="K10728" s="61">
        <f t="shared" si="1"/>
        <v>0</v>
      </c>
      <c r="L10728" s="62">
        <f t="shared" si="2"/>
        <v>14</v>
      </c>
    </row>
    <row r="10729">
      <c r="A10729" s="58">
        <v>45078.0</v>
      </c>
      <c r="B10729" s="24" t="s">
        <v>6787</v>
      </c>
      <c r="C10729" s="24" t="s">
        <v>6820</v>
      </c>
      <c r="D10729" s="59">
        <v>1.0</v>
      </c>
      <c r="E10729" s="59">
        <v>1.0</v>
      </c>
      <c r="F10729" s="59">
        <v>1.0</v>
      </c>
      <c r="G10729" s="60">
        <v>1.0</v>
      </c>
      <c r="H10729" s="60">
        <v>0.0</v>
      </c>
      <c r="I10729" s="60">
        <v>4.032895</v>
      </c>
      <c r="J10729" s="59">
        <v>2.0</v>
      </c>
      <c r="K10729" s="61">
        <f t="shared" si="1"/>
        <v>1</v>
      </c>
      <c r="L10729" s="62">
        <f t="shared" si="2"/>
        <v>2</v>
      </c>
    </row>
    <row r="10730">
      <c r="A10730" s="58">
        <v>45078.0</v>
      </c>
      <c r="B10730" s="24" t="s">
        <v>6790</v>
      </c>
      <c r="C10730" s="24" t="s">
        <v>6820</v>
      </c>
      <c r="D10730" s="59">
        <v>1.0</v>
      </c>
      <c r="E10730" s="59">
        <v>1.0</v>
      </c>
      <c r="F10730" s="59">
        <v>0.0</v>
      </c>
      <c r="G10730" s="60">
        <v>1.0</v>
      </c>
      <c r="H10730" s="60">
        <v>0.0</v>
      </c>
      <c r="I10730" s="60">
        <v>27.70066</v>
      </c>
      <c r="J10730" s="59">
        <v>4.0</v>
      </c>
      <c r="K10730" s="61">
        <f t="shared" si="1"/>
        <v>0</v>
      </c>
      <c r="L10730" s="62">
        <f t="shared" si="2"/>
        <v>4</v>
      </c>
    </row>
    <row r="10731">
      <c r="A10731" s="58">
        <v>45078.0</v>
      </c>
      <c r="B10731" s="24" t="s">
        <v>6791</v>
      </c>
      <c r="C10731" s="24" t="s">
        <v>6997</v>
      </c>
      <c r="D10731" s="59">
        <v>1.0</v>
      </c>
      <c r="E10731" s="59">
        <v>1.0</v>
      </c>
      <c r="F10731" s="59">
        <v>0.0</v>
      </c>
      <c r="G10731" s="60">
        <v>1.0</v>
      </c>
      <c r="H10731" s="60">
        <v>0.0</v>
      </c>
      <c r="I10731" s="60">
        <v>0.67132</v>
      </c>
      <c r="J10731" s="59">
        <v>2.0</v>
      </c>
      <c r="K10731" s="61">
        <f t="shared" si="1"/>
        <v>0</v>
      </c>
      <c r="L10731" s="62">
        <f t="shared" si="2"/>
        <v>2</v>
      </c>
    </row>
    <row r="10732">
      <c r="A10732" s="58">
        <v>45078.0</v>
      </c>
      <c r="B10732" s="24" t="s">
        <v>6794</v>
      </c>
      <c r="C10732" s="24" t="s">
        <v>6892</v>
      </c>
      <c r="D10732" s="59">
        <v>1.0</v>
      </c>
      <c r="E10732" s="59">
        <v>2.0</v>
      </c>
      <c r="F10732" s="59">
        <v>0.0</v>
      </c>
      <c r="G10732" s="60">
        <v>2.0</v>
      </c>
      <c r="H10732" s="60">
        <v>0.0</v>
      </c>
      <c r="I10732" s="60">
        <v>434.661096</v>
      </c>
      <c r="J10732" s="59">
        <v>8.0</v>
      </c>
      <c r="K10732" s="61">
        <f t="shared" si="1"/>
        <v>0</v>
      </c>
      <c r="L10732" s="62">
        <f t="shared" si="2"/>
        <v>4</v>
      </c>
    </row>
    <row r="10733">
      <c r="A10733" s="58">
        <v>45078.0</v>
      </c>
      <c r="B10733" s="24" t="s">
        <v>6790</v>
      </c>
      <c r="C10733" s="24" t="s">
        <v>7439</v>
      </c>
      <c r="D10733" s="59">
        <v>1.0</v>
      </c>
      <c r="E10733" s="59">
        <v>1.0</v>
      </c>
      <c r="F10733" s="59">
        <v>1.0</v>
      </c>
      <c r="G10733" s="60">
        <v>1.0</v>
      </c>
      <c r="H10733" s="60">
        <v>0.0</v>
      </c>
      <c r="I10733" s="60">
        <v>192.385383</v>
      </c>
      <c r="J10733" s="59">
        <v>8.0</v>
      </c>
      <c r="K10733" s="61">
        <f t="shared" si="1"/>
        <v>1</v>
      </c>
      <c r="L10733" s="62">
        <f t="shared" si="2"/>
        <v>8</v>
      </c>
    </row>
    <row r="10734">
      <c r="A10734" s="58">
        <v>45078.0</v>
      </c>
      <c r="B10734" s="24" t="s">
        <v>6787</v>
      </c>
      <c r="C10734" s="24" t="s">
        <v>6904</v>
      </c>
      <c r="D10734" s="59">
        <v>1.0</v>
      </c>
      <c r="E10734" s="59">
        <v>2.0</v>
      </c>
      <c r="F10734" s="59">
        <v>1.0</v>
      </c>
      <c r="G10734" s="60">
        <v>2.0</v>
      </c>
      <c r="H10734" s="60">
        <v>0.0</v>
      </c>
      <c r="I10734" s="60">
        <v>185.511287</v>
      </c>
      <c r="J10734" s="59">
        <v>10.0</v>
      </c>
      <c r="K10734" s="61">
        <f t="shared" si="1"/>
        <v>0.5</v>
      </c>
      <c r="L10734" s="62">
        <f t="shared" si="2"/>
        <v>5</v>
      </c>
    </row>
    <row r="10735">
      <c r="A10735" s="58">
        <v>45078.0</v>
      </c>
      <c r="B10735" s="24" t="s">
        <v>155</v>
      </c>
      <c r="C10735" s="24" t="s">
        <v>6904</v>
      </c>
      <c r="D10735" s="59">
        <v>1.0</v>
      </c>
      <c r="E10735" s="59">
        <v>1.0</v>
      </c>
      <c r="F10735" s="59">
        <v>0.0</v>
      </c>
      <c r="G10735" s="60">
        <v>1.0</v>
      </c>
      <c r="H10735" s="60">
        <v>0.0</v>
      </c>
      <c r="I10735" s="60">
        <v>364.24393</v>
      </c>
      <c r="J10735" s="59">
        <v>7.0</v>
      </c>
      <c r="K10735" s="61">
        <f t="shared" si="1"/>
        <v>0</v>
      </c>
      <c r="L10735" s="62">
        <f t="shared" si="2"/>
        <v>7</v>
      </c>
    </row>
    <row r="10736">
      <c r="A10736" s="58">
        <v>45078.0</v>
      </c>
      <c r="B10736" s="24" t="s">
        <v>6787</v>
      </c>
      <c r="C10736" s="24" t="s">
        <v>6905</v>
      </c>
      <c r="D10736" s="59">
        <v>1.0</v>
      </c>
      <c r="E10736" s="59">
        <v>1.0</v>
      </c>
      <c r="F10736" s="59">
        <v>0.0</v>
      </c>
      <c r="G10736" s="60">
        <v>1.0</v>
      </c>
      <c r="H10736" s="60">
        <v>0.0</v>
      </c>
      <c r="I10736" s="60">
        <v>2.81584</v>
      </c>
      <c r="J10736" s="59">
        <v>2.0</v>
      </c>
      <c r="K10736" s="61">
        <f t="shared" si="1"/>
        <v>0</v>
      </c>
      <c r="L10736" s="62">
        <f t="shared" si="2"/>
        <v>2</v>
      </c>
    </row>
    <row r="10737">
      <c r="A10737" s="58">
        <v>45078.0</v>
      </c>
      <c r="B10737" s="24" t="s">
        <v>3216</v>
      </c>
      <c r="C10737" s="24" t="s">
        <v>7624</v>
      </c>
      <c r="D10737" s="59">
        <v>1.0</v>
      </c>
      <c r="E10737" s="59">
        <v>1.0</v>
      </c>
      <c r="F10737" s="59">
        <v>0.0</v>
      </c>
      <c r="G10737" s="60">
        <v>1.0</v>
      </c>
      <c r="H10737" s="60">
        <v>0.0</v>
      </c>
      <c r="I10737" s="60">
        <v>334.607269</v>
      </c>
      <c r="J10737" s="59">
        <v>4.0</v>
      </c>
      <c r="K10737" s="61">
        <f t="shared" si="1"/>
        <v>0</v>
      </c>
      <c r="L10737" s="62">
        <f t="shared" si="2"/>
        <v>4</v>
      </c>
    </row>
    <row r="10738">
      <c r="A10738" s="58">
        <v>45078.0</v>
      </c>
      <c r="B10738" s="24" t="s">
        <v>6787</v>
      </c>
      <c r="C10738" s="24" t="s">
        <v>7206</v>
      </c>
      <c r="D10738" s="59">
        <v>1.0</v>
      </c>
      <c r="E10738" s="59">
        <v>1.0</v>
      </c>
      <c r="F10738" s="59">
        <v>1.0</v>
      </c>
      <c r="G10738" s="60">
        <v>1.0</v>
      </c>
      <c r="H10738" s="60">
        <v>0.0</v>
      </c>
      <c r="I10738" s="60">
        <v>48.017154</v>
      </c>
      <c r="J10738" s="59">
        <v>2.0</v>
      </c>
      <c r="K10738" s="61">
        <f t="shared" si="1"/>
        <v>1</v>
      </c>
      <c r="L10738" s="62">
        <f t="shared" si="2"/>
        <v>2</v>
      </c>
    </row>
    <row r="10739">
      <c r="A10739" s="58">
        <v>45078.0</v>
      </c>
      <c r="B10739" s="24" t="s">
        <v>155</v>
      </c>
      <c r="C10739" s="24" t="s">
        <v>7206</v>
      </c>
      <c r="D10739" s="59">
        <v>1.0</v>
      </c>
      <c r="E10739" s="59">
        <v>1.0</v>
      </c>
      <c r="F10739" s="59">
        <v>0.0</v>
      </c>
      <c r="G10739" s="60">
        <v>1.0</v>
      </c>
      <c r="H10739" s="60">
        <v>0.0</v>
      </c>
      <c r="I10739" s="60">
        <v>937.052092</v>
      </c>
      <c r="J10739" s="59">
        <v>8.0</v>
      </c>
      <c r="K10739" s="61">
        <f t="shared" si="1"/>
        <v>0</v>
      </c>
      <c r="L10739" s="62">
        <f t="shared" si="2"/>
        <v>8</v>
      </c>
    </row>
    <row r="10740">
      <c r="A10740" s="58">
        <v>45078.0</v>
      </c>
      <c r="B10740" s="24" t="s">
        <v>6789</v>
      </c>
      <c r="C10740" s="24" t="s">
        <v>7227</v>
      </c>
      <c r="D10740" s="59">
        <v>1.0</v>
      </c>
      <c r="E10740" s="59">
        <v>1.0</v>
      </c>
      <c r="F10740" s="59">
        <v>1.0</v>
      </c>
      <c r="G10740" s="60">
        <v>1.0</v>
      </c>
      <c r="H10740" s="60">
        <v>1.0</v>
      </c>
      <c r="I10740" s="60">
        <v>0.0</v>
      </c>
      <c r="J10740" s="59">
        <v>1.0</v>
      </c>
      <c r="K10740" s="61">
        <f t="shared" si="1"/>
        <v>1</v>
      </c>
      <c r="L10740" s="62">
        <f t="shared" si="2"/>
        <v>1</v>
      </c>
    </row>
    <row r="10741">
      <c r="A10741" s="58">
        <v>45078.0</v>
      </c>
      <c r="B10741" s="24" t="s">
        <v>155</v>
      </c>
      <c r="C10741" s="24" t="s">
        <v>7554</v>
      </c>
      <c r="D10741" s="59">
        <v>1.0</v>
      </c>
      <c r="E10741" s="59">
        <v>1.0</v>
      </c>
      <c r="F10741" s="59">
        <v>0.0</v>
      </c>
      <c r="G10741" s="60">
        <v>1.0</v>
      </c>
      <c r="H10741" s="60">
        <v>0.0</v>
      </c>
      <c r="I10741" s="60">
        <v>2124.114316</v>
      </c>
      <c r="J10741" s="59">
        <v>4.0</v>
      </c>
      <c r="K10741" s="61">
        <f t="shared" si="1"/>
        <v>0</v>
      </c>
      <c r="L10741" s="62">
        <f t="shared" si="2"/>
        <v>4</v>
      </c>
    </row>
    <row r="10742">
      <c r="A10742" s="58">
        <v>45078.0</v>
      </c>
      <c r="B10742" s="24" t="s">
        <v>6787</v>
      </c>
      <c r="C10742" s="24" t="s">
        <v>7261</v>
      </c>
      <c r="D10742" s="59">
        <v>1.0</v>
      </c>
      <c r="E10742" s="59">
        <v>1.0</v>
      </c>
      <c r="F10742" s="59">
        <v>1.0</v>
      </c>
      <c r="G10742" s="60">
        <v>1.0</v>
      </c>
      <c r="H10742" s="60">
        <v>0.0</v>
      </c>
      <c r="I10742" s="60">
        <v>8.974682</v>
      </c>
      <c r="J10742" s="59">
        <v>4.0</v>
      </c>
      <c r="K10742" s="61">
        <f t="shared" si="1"/>
        <v>1</v>
      </c>
      <c r="L10742" s="62">
        <f t="shared" si="2"/>
        <v>4</v>
      </c>
    </row>
    <row r="10743">
      <c r="A10743" s="58">
        <v>45078.0</v>
      </c>
      <c r="B10743" s="24" t="s">
        <v>155</v>
      </c>
      <c r="C10743" s="24" t="s">
        <v>6808</v>
      </c>
      <c r="D10743" s="59">
        <v>1.0</v>
      </c>
      <c r="E10743" s="59">
        <v>1.0</v>
      </c>
      <c r="F10743" s="59">
        <v>0.0</v>
      </c>
      <c r="G10743" s="60">
        <v>1.0</v>
      </c>
      <c r="H10743" s="60">
        <v>0.0</v>
      </c>
      <c r="I10743" s="60">
        <v>33.161365</v>
      </c>
      <c r="J10743" s="59">
        <v>4.0</v>
      </c>
      <c r="K10743" s="61">
        <f t="shared" si="1"/>
        <v>0</v>
      </c>
      <c r="L10743" s="62">
        <f t="shared" si="2"/>
        <v>4</v>
      </c>
    </row>
    <row r="10744">
      <c r="A10744" s="58">
        <v>45078.0</v>
      </c>
      <c r="B10744" s="24" t="s">
        <v>6790</v>
      </c>
      <c r="C10744" s="24" t="s">
        <v>6808</v>
      </c>
      <c r="D10744" s="59">
        <v>1.0</v>
      </c>
      <c r="E10744" s="59">
        <v>1.0</v>
      </c>
      <c r="F10744" s="59">
        <v>0.0</v>
      </c>
      <c r="G10744" s="60">
        <v>1.0</v>
      </c>
      <c r="H10744" s="60">
        <v>0.0</v>
      </c>
      <c r="I10744" s="60">
        <v>226.718159</v>
      </c>
      <c r="J10744" s="59">
        <v>2.0</v>
      </c>
      <c r="K10744" s="61">
        <f t="shared" si="1"/>
        <v>0</v>
      </c>
      <c r="L10744" s="62">
        <f t="shared" si="2"/>
        <v>2</v>
      </c>
    </row>
    <row r="10745">
      <c r="A10745" s="58">
        <v>45078.0</v>
      </c>
      <c r="B10745" s="24" t="s">
        <v>6789</v>
      </c>
      <c r="C10745" s="24" t="s">
        <v>7087</v>
      </c>
      <c r="D10745" s="59">
        <v>1.0</v>
      </c>
      <c r="E10745" s="59">
        <v>1.0</v>
      </c>
      <c r="F10745" s="59">
        <v>1.0</v>
      </c>
      <c r="G10745" s="60">
        <v>1.0</v>
      </c>
      <c r="H10745" s="60">
        <v>0.0</v>
      </c>
      <c r="I10745" s="60">
        <v>59.683206</v>
      </c>
      <c r="J10745" s="59">
        <v>2.0</v>
      </c>
      <c r="K10745" s="61">
        <f t="shared" si="1"/>
        <v>1</v>
      </c>
      <c r="L10745" s="62">
        <f t="shared" si="2"/>
        <v>2</v>
      </c>
    </row>
    <row r="10746">
      <c r="A10746" s="58">
        <v>45078.0</v>
      </c>
      <c r="B10746" s="24" t="s">
        <v>6789</v>
      </c>
      <c r="C10746" s="24" t="s">
        <v>7267</v>
      </c>
      <c r="D10746" s="59">
        <v>1.0</v>
      </c>
      <c r="E10746" s="59">
        <v>1.0</v>
      </c>
      <c r="F10746" s="59">
        <v>0.0</v>
      </c>
      <c r="G10746" s="60">
        <v>1.0</v>
      </c>
      <c r="H10746" s="60">
        <v>0.0</v>
      </c>
      <c r="I10746" s="60">
        <v>36.685932</v>
      </c>
      <c r="J10746" s="59">
        <v>8.0</v>
      </c>
      <c r="K10746" s="61">
        <f t="shared" si="1"/>
        <v>0</v>
      </c>
      <c r="L10746" s="62">
        <f t="shared" si="2"/>
        <v>8</v>
      </c>
    </row>
    <row r="10747">
      <c r="A10747" s="58">
        <v>45078.0</v>
      </c>
      <c r="B10747" s="24" t="s">
        <v>6787</v>
      </c>
      <c r="C10747" s="24" t="s">
        <v>7596</v>
      </c>
      <c r="D10747" s="59">
        <v>1.0</v>
      </c>
      <c r="E10747" s="59">
        <v>1.0</v>
      </c>
      <c r="F10747" s="59">
        <v>1.0</v>
      </c>
      <c r="G10747" s="60">
        <v>1.0</v>
      </c>
      <c r="H10747" s="60">
        <v>0.0</v>
      </c>
      <c r="I10747" s="60">
        <v>26.797165</v>
      </c>
      <c r="J10747" s="59">
        <v>7.0</v>
      </c>
      <c r="K10747" s="61">
        <f t="shared" si="1"/>
        <v>1</v>
      </c>
      <c r="L10747" s="62">
        <f t="shared" si="2"/>
        <v>7</v>
      </c>
    </row>
    <row r="10748">
      <c r="A10748" s="58">
        <v>45078.0</v>
      </c>
      <c r="B10748" s="24" t="s">
        <v>3216</v>
      </c>
      <c r="C10748" s="24" t="s">
        <v>7013</v>
      </c>
      <c r="D10748" s="59">
        <v>1.0</v>
      </c>
      <c r="E10748" s="59">
        <v>1.0</v>
      </c>
      <c r="F10748" s="59">
        <v>0.0</v>
      </c>
      <c r="G10748" s="60">
        <v>1.0</v>
      </c>
      <c r="H10748" s="60">
        <v>0.0</v>
      </c>
      <c r="I10748" s="60">
        <v>21.94946</v>
      </c>
      <c r="J10748" s="59">
        <v>4.0</v>
      </c>
      <c r="K10748" s="61">
        <f t="shared" si="1"/>
        <v>0</v>
      </c>
      <c r="L10748" s="62">
        <f t="shared" si="2"/>
        <v>4</v>
      </c>
    </row>
    <row r="10749">
      <c r="A10749" s="58">
        <v>45078.0</v>
      </c>
      <c r="B10749" s="24" t="s">
        <v>6791</v>
      </c>
      <c r="C10749" s="24" t="s">
        <v>7013</v>
      </c>
      <c r="D10749" s="59">
        <v>1.0</v>
      </c>
      <c r="E10749" s="59">
        <v>1.0</v>
      </c>
      <c r="F10749" s="59">
        <v>0.0</v>
      </c>
      <c r="G10749" s="60">
        <v>1.0</v>
      </c>
      <c r="H10749" s="60">
        <v>0.0</v>
      </c>
      <c r="I10749" s="60">
        <v>3710.561932</v>
      </c>
      <c r="J10749" s="59">
        <v>12.0</v>
      </c>
      <c r="K10749" s="61">
        <f t="shared" si="1"/>
        <v>0</v>
      </c>
      <c r="L10749" s="62">
        <f t="shared" si="2"/>
        <v>12</v>
      </c>
    </row>
    <row r="10750">
      <c r="A10750" s="58">
        <v>45078.0</v>
      </c>
      <c r="B10750" s="24" t="s">
        <v>6787</v>
      </c>
      <c r="C10750" s="24" t="s">
        <v>7101</v>
      </c>
      <c r="D10750" s="59">
        <v>1.0</v>
      </c>
      <c r="E10750" s="59">
        <v>1.0</v>
      </c>
      <c r="F10750" s="59">
        <v>1.0</v>
      </c>
      <c r="G10750" s="60">
        <v>1.0</v>
      </c>
      <c r="H10750" s="60">
        <v>1.0</v>
      </c>
      <c r="I10750" s="60">
        <v>0.0</v>
      </c>
      <c r="J10750" s="59">
        <v>1.0</v>
      </c>
      <c r="K10750" s="61">
        <f t="shared" si="1"/>
        <v>1</v>
      </c>
      <c r="L10750" s="62">
        <f t="shared" si="2"/>
        <v>1</v>
      </c>
    </row>
    <row r="10751">
      <c r="A10751" s="58">
        <v>45078.0</v>
      </c>
      <c r="B10751" s="24" t="s">
        <v>6794</v>
      </c>
      <c r="C10751" s="24" t="s">
        <v>7101</v>
      </c>
      <c r="D10751" s="59">
        <v>1.0</v>
      </c>
      <c r="E10751" s="59">
        <v>2.0</v>
      </c>
      <c r="F10751" s="59">
        <v>0.0</v>
      </c>
      <c r="G10751" s="60">
        <v>2.0</v>
      </c>
      <c r="H10751" s="60">
        <v>0.0</v>
      </c>
      <c r="I10751" s="60">
        <v>49.506903</v>
      </c>
      <c r="J10751" s="59">
        <v>10.0</v>
      </c>
      <c r="K10751" s="61">
        <f t="shared" si="1"/>
        <v>0</v>
      </c>
      <c r="L10751" s="62">
        <f t="shared" si="2"/>
        <v>5</v>
      </c>
    </row>
    <row r="10752">
      <c r="A10752" s="58">
        <v>45078.0</v>
      </c>
      <c r="B10752" s="24" t="s">
        <v>6794</v>
      </c>
      <c r="C10752" s="24" t="s">
        <v>6908</v>
      </c>
      <c r="D10752" s="59">
        <v>1.0</v>
      </c>
      <c r="E10752" s="59">
        <v>1.0</v>
      </c>
      <c r="F10752" s="59">
        <v>1.0</v>
      </c>
      <c r="G10752" s="60">
        <v>1.0</v>
      </c>
      <c r="H10752" s="60">
        <v>0.0</v>
      </c>
      <c r="I10752" s="60">
        <v>4.757153</v>
      </c>
      <c r="J10752" s="59">
        <v>2.0</v>
      </c>
      <c r="K10752" s="61">
        <f t="shared" si="1"/>
        <v>1</v>
      </c>
      <c r="L10752" s="62">
        <f t="shared" si="2"/>
        <v>2</v>
      </c>
    </row>
    <row r="10753">
      <c r="A10753" s="58">
        <v>45078.0</v>
      </c>
      <c r="B10753" s="24" t="s">
        <v>6787</v>
      </c>
      <c r="C10753" s="24" t="s">
        <v>7172</v>
      </c>
      <c r="D10753" s="59">
        <v>1.0</v>
      </c>
      <c r="E10753" s="59">
        <v>1.0</v>
      </c>
      <c r="F10753" s="59">
        <v>1.0</v>
      </c>
      <c r="G10753" s="60">
        <v>1.0</v>
      </c>
      <c r="H10753" s="60">
        <v>1.0</v>
      </c>
      <c r="I10753" s="60">
        <v>0.0</v>
      </c>
      <c r="J10753" s="59">
        <v>1.0</v>
      </c>
      <c r="K10753" s="61">
        <f t="shared" si="1"/>
        <v>1</v>
      </c>
      <c r="L10753" s="62">
        <f t="shared" si="2"/>
        <v>1</v>
      </c>
    </row>
    <row r="10754">
      <c r="A10754" s="58">
        <v>45078.0</v>
      </c>
      <c r="B10754" s="24" t="s">
        <v>6789</v>
      </c>
      <c r="C10754" s="24" t="s">
        <v>6801</v>
      </c>
      <c r="D10754" s="59">
        <v>1.0</v>
      </c>
      <c r="E10754" s="59">
        <v>1.0</v>
      </c>
      <c r="F10754" s="59">
        <v>1.0</v>
      </c>
      <c r="G10754" s="60">
        <v>1.0</v>
      </c>
      <c r="H10754" s="60">
        <v>0.0</v>
      </c>
      <c r="I10754" s="60">
        <v>176.580863</v>
      </c>
      <c r="J10754" s="59">
        <v>4.0</v>
      </c>
      <c r="K10754" s="61">
        <f t="shared" si="1"/>
        <v>1</v>
      </c>
      <c r="L10754" s="62">
        <f t="shared" si="2"/>
        <v>4</v>
      </c>
    </row>
    <row r="10755">
      <c r="A10755" s="58">
        <v>45078.0</v>
      </c>
      <c r="B10755" s="24" t="s">
        <v>6791</v>
      </c>
      <c r="C10755" s="24" t="s">
        <v>6801</v>
      </c>
      <c r="D10755" s="59">
        <v>1.0</v>
      </c>
      <c r="E10755" s="59">
        <v>1.0</v>
      </c>
      <c r="F10755" s="59">
        <v>0.0</v>
      </c>
      <c r="G10755" s="60">
        <v>1.0</v>
      </c>
      <c r="H10755" s="60">
        <v>0.0</v>
      </c>
      <c r="I10755" s="60">
        <v>5.397949</v>
      </c>
      <c r="J10755" s="59">
        <v>2.0</v>
      </c>
      <c r="K10755" s="61">
        <f t="shared" si="1"/>
        <v>0</v>
      </c>
      <c r="L10755" s="62">
        <f t="shared" si="2"/>
        <v>2</v>
      </c>
    </row>
    <row r="10756">
      <c r="A10756" s="58">
        <v>45078.0</v>
      </c>
      <c r="B10756" s="24" t="s">
        <v>6790</v>
      </c>
      <c r="C10756" s="24" t="s">
        <v>6801</v>
      </c>
      <c r="D10756" s="59">
        <v>1.0</v>
      </c>
      <c r="E10756" s="59">
        <v>1.0</v>
      </c>
      <c r="F10756" s="59">
        <v>0.0</v>
      </c>
      <c r="G10756" s="60">
        <v>1.0</v>
      </c>
      <c r="H10756" s="60">
        <v>0.0</v>
      </c>
      <c r="I10756" s="60">
        <v>3884.01728</v>
      </c>
      <c r="J10756" s="59">
        <v>20.0</v>
      </c>
      <c r="K10756" s="61">
        <f t="shared" si="1"/>
        <v>0</v>
      </c>
      <c r="L10756" s="62">
        <f t="shared" si="2"/>
        <v>20</v>
      </c>
    </row>
    <row r="10757">
      <c r="A10757" s="58">
        <v>45078.0</v>
      </c>
      <c r="B10757" s="24" t="s">
        <v>7100</v>
      </c>
      <c r="C10757" s="24" t="s">
        <v>7102</v>
      </c>
      <c r="D10757" s="59">
        <v>1.0</v>
      </c>
      <c r="E10757" s="59">
        <v>3.0</v>
      </c>
      <c r="F10757" s="59">
        <v>0.0</v>
      </c>
      <c r="G10757" s="60">
        <v>3.0</v>
      </c>
      <c r="H10757" s="60">
        <v>0.0</v>
      </c>
      <c r="I10757" s="60">
        <v>203.481961999999</v>
      </c>
      <c r="J10757" s="59">
        <v>8.0</v>
      </c>
      <c r="K10757" s="61">
        <f t="shared" si="1"/>
        <v>0</v>
      </c>
      <c r="L10757" s="62">
        <f t="shared" si="2"/>
        <v>2.666666667</v>
      </c>
    </row>
    <row r="10758">
      <c r="A10758" s="58">
        <v>45078.0</v>
      </c>
      <c r="B10758" s="24" t="s">
        <v>155</v>
      </c>
      <c r="C10758" s="24" t="s">
        <v>7102</v>
      </c>
      <c r="D10758" s="59">
        <v>1.0</v>
      </c>
      <c r="E10758" s="59">
        <v>1.0</v>
      </c>
      <c r="F10758" s="59">
        <v>0.0</v>
      </c>
      <c r="G10758" s="60">
        <v>1.0</v>
      </c>
      <c r="H10758" s="60">
        <v>0.0</v>
      </c>
      <c r="I10758" s="60">
        <v>8946.204802</v>
      </c>
      <c r="J10758" s="59">
        <v>28.0</v>
      </c>
      <c r="K10758" s="61">
        <f t="shared" si="1"/>
        <v>0</v>
      </c>
      <c r="L10758" s="62">
        <f t="shared" si="2"/>
        <v>28</v>
      </c>
    </row>
    <row r="10759">
      <c r="A10759" s="58">
        <v>45078.0</v>
      </c>
      <c r="B10759" s="24" t="s">
        <v>6790</v>
      </c>
      <c r="C10759" s="24" t="s">
        <v>7104</v>
      </c>
      <c r="D10759" s="59">
        <v>1.0</v>
      </c>
      <c r="E10759" s="59">
        <v>2.0</v>
      </c>
      <c r="F10759" s="59">
        <v>0.0</v>
      </c>
      <c r="G10759" s="60">
        <v>2.0</v>
      </c>
      <c r="H10759" s="60">
        <v>0.0</v>
      </c>
      <c r="I10759" s="60">
        <v>345.4586355</v>
      </c>
      <c r="J10759" s="59">
        <v>16.0</v>
      </c>
      <c r="K10759" s="61">
        <f t="shared" si="1"/>
        <v>0</v>
      </c>
      <c r="L10759" s="62">
        <f t="shared" si="2"/>
        <v>8</v>
      </c>
    </row>
    <row r="10760">
      <c r="A10760" s="58">
        <v>45078.0</v>
      </c>
      <c r="B10760" s="24" t="s">
        <v>6790</v>
      </c>
      <c r="C10760" s="24" t="s">
        <v>7174</v>
      </c>
      <c r="D10760" s="59">
        <v>1.0</v>
      </c>
      <c r="E10760" s="59">
        <v>2.0</v>
      </c>
      <c r="F10760" s="59">
        <v>0.0</v>
      </c>
      <c r="G10760" s="60">
        <v>2.0</v>
      </c>
      <c r="H10760" s="60">
        <v>0.0</v>
      </c>
      <c r="I10760" s="60">
        <v>1545.475779</v>
      </c>
      <c r="J10760" s="59">
        <v>24.0</v>
      </c>
      <c r="K10760" s="61">
        <f t="shared" si="1"/>
        <v>0</v>
      </c>
      <c r="L10760" s="62">
        <f t="shared" si="2"/>
        <v>12</v>
      </c>
    </row>
    <row r="10761">
      <c r="A10761" s="58">
        <v>45078.0</v>
      </c>
      <c r="B10761" s="24" t="s">
        <v>6794</v>
      </c>
      <c r="C10761" s="24" t="s">
        <v>7559</v>
      </c>
      <c r="D10761" s="59">
        <v>1.0</v>
      </c>
      <c r="E10761" s="59">
        <v>1.0</v>
      </c>
      <c r="F10761" s="59">
        <v>1.0</v>
      </c>
      <c r="G10761" s="60">
        <v>1.0</v>
      </c>
      <c r="H10761" s="60">
        <v>0.0</v>
      </c>
      <c r="I10761" s="60">
        <v>95.099003</v>
      </c>
      <c r="J10761" s="59">
        <v>4.0</v>
      </c>
      <c r="K10761" s="61">
        <f t="shared" si="1"/>
        <v>1</v>
      </c>
      <c r="L10761" s="62">
        <f t="shared" si="2"/>
        <v>4</v>
      </c>
    </row>
    <row r="10762">
      <c r="A10762" s="58">
        <v>45078.0</v>
      </c>
      <c r="B10762" s="24" t="s">
        <v>6787</v>
      </c>
      <c r="C10762" s="24" t="s">
        <v>7276</v>
      </c>
      <c r="D10762" s="59">
        <v>1.0</v>
      </c>
      <c r="E10762" s="59">
        <v>1.0</v>
      </c>
      <c r="F10762" s="59">
        <v>1.0</v>
      </c>
      <c r="G10762" s="60">
        <v>1.0</v>
      </c>
      <c r="H10762" s="60">
        <v>0.0</v>
      </c>
      <c r="I10762" s="60">
        <v>8.743002</v>
      </c>
      <c r="J10762" s="59">
        <v>5.0</v>
      </c>
      <c r="K10762" s="61">
        <f t="shared" si="1"/>
        <v>1</v>
      </c>
      <c r="L10762" s="62">
        <f t="shared" si="2"/>
        <v>5</v>
      </c>
    </row>
    <row r="10763">
      <c r="A10763" s="58">
        <v>45078.0</v>
      </c>
      <c r="B10763" s="24" t="s">
        <v>6789</v>
      </c>
      <c r="C10763" s="24" t="s">
        <v>7639</v>
      </c>
      <c r="D10763" s="59">
        <v>1.0</v>
      </c>
      <c r="E10763" s="59">
        <v>1.0</v>
      </c>
      <c r="F10763" s="59">
        <v>1.0</v>
      </c>
      <c r="G10763" s="60">
        <v>1.0</v>
      </c>
      <c r="H10763" s="60">
        <v>0.0</v>
      </c>
      <c r="I10763" s="60">
        <v>1502.749731</v>
      </c>
      <c r="J10763" s="59">
        <v>6.0</v>
      </c>
      <c r="K10763" s="61">
        <f t="shared" si="1"/>
        <v>1</v>
      </c>
      <c r="L10763" s="62">
        <f t="shared" si="2"/>
        <v>6</v>
      </c>
    </row>
    <row r="10764">
      <c r="A10764" s="58">
        <v>45078.0</v>
      </c>
      <c r="B10764" s="24" t="s">
        <v>6787</v>
      </c>
      <c r="C10764" s="24" t="s">
        <v>7481</v>
      </c>
      <c r="D10764" s="59">
        <v>1.0</v>
      </c>
      <c r="E10764" s="59">
        <v>1.0</v>
      </c>
      <c r="F10764" s="59">
        <v>1.0</v>
      </c>
      <c r="G10764" s="60">
        <v>1.0</v>
      </c>
      <c r="H10764" s="60">
        <v>0.0</v>
      </c>
      <c r="I10764" s="60">
        <v>27.16499</v>
      </c>
      <c r="J10764" s="59">
        <v>2.0</v>
      </c>
      <c r="K10764" s="61">
        <f t="shared" si="1"/>
        <v>1</v>
      </c>
      <c r="L10764" s="62">
        <f t="shared" si="2"/>
        <v>2</v>
      </c>
    </row>
    <row r="10765">
      <c r="A10765" s="58">
        <v>45078.0</v>
      </c>
      <c r="B10765" s="24" t="s">
        <v>6790</v>
      </c>
      <c r="C10765" s="24" t="s">
        <v>6922</v>
      </c>
      <c r="D10765" s="59">
        <v>1.0</v>
      </c>
      <c r="E10765" s="59">
        <v>1.0</v>
      </c>
      <c r="F10765" s="59">
        <v>0.0</v>
      </c>
      <c r="G10765" s="60">
        <v>1.0</v>
      </c>
      <c r="H10765" s="60">
        <v>0.0</v>
      </c>
      <c r="I10765" s="60">
        <v>566.488144</v>
      </c>
      <c r="J10765" s="59">
        <v>16.0</v>
      </c>
      <c r="K10765" s="61">
        <f t="shared" si="1"/>
        <v>0</v>
      </c>
      <c r="L10765" s="62">
        <f t="shared" si="2"/>
        <v>16</v>
      </c>
    </row>
    <row r="10766">
      <c r="A10766" s="58">
        <v>45078.0</v>
      </c>
      <c r="B10766" s="24" t="s">
        <v>6789</v>
      </c>
      <c r="C10766" s="24" t="s">
        <v>7047</v>
      </c>
      <c r="D10766" s="59">
        <v>1.0</v>
      </c>
      <c r="E10766" s="59">
        <v>1.0</v>
      </c>
      <c r="F10766" s="59">
        <v>0.0</v>
      </c>
      <c r="G10766" s="60">
        <v>1.0</v>
      </c>
      <c r="H10766" s="60">
        <v>0.0</v>
      </c>
      <c r="I10766" s="60">
        <v>5.414238</v>
      </c>
      <c r="J10766" s="59">
        <v>2.0</v>
      </c>
      <c r="K10766" s="61">
        <f t="shared" si="1"/>
        <v>0</v>
      </c>
      <c r="L10766" s="62">
        <f t="shared" si="2"/>
        <v>2</v>
      </c>
    </row>
    <row r="10767">
      <c r="A10767" s="58">
        <v>45078.0</v>
      </c>
      <c r="B10767" s="24" t="s">
        <v>6790</v>
      </c>
      <c r="C10767" s="24" t="s">
        <v>6797</v>
      </c>
      <c r="D10767" s="59">
        <v>1.0</v>
      </c>
      <c r="E10767" s="59">
        <v>1.0</v>
      </c>
      <c r="F10767" s="59">
        <v>0.0</v>
      </c>
      <c r="G10767" s="60">
        <v>1.0</v>
      </c>
      <c r="H10767" s="60">
        <v>0.0</v>
      </c>
      <c r="I10767" s="60">
        <v>5.017337</v>
      </c>
      <c r="J10767" s="59">
        <v>2.0</v>
      </c>
      <c r="K10767" s="61">
        <f t="shared" si="1"/>
        <v>0</v>
      </c>
      <c r="L10767" s="62">
        <f t="shared" si="2"/>
        <v>2</v>
      </c>
    </row>
    <row r="10768">
      <c r="A10768" s="58">
        <v>45078.0</v>
      </c>
      <c r="B10768" s="24" t="s">
        <v>6787</v>
      </c>
      <c r="C10768" s="24" t="s">
        <v>6810</v>
      </c>
      <c r="D10768" s="59">
        <v>1.0</v>
      </c>
      <c r="E10768" s="59">
        <v>1.0</v>
      </c>
      <c r="F10768" s="59">
        <v>1.0</v>
      </c>
      <c r="G10768" s="60">
        <v>1.0</v>
      </c>
      <c r="H10768" s="60">
        <v>0.0</v>
      </c>
      <c r="I10768" s="60">
        <v>795.834495</v>
      </c>
      <c r="J10768" s="59">
        <v>6.0</v>
      </c>
      <c r="K10768" s="61">
        <f t="shared" si="1"/>
        <v>1</v>
      </c>
      <c r="L10768" s="62">
        <f t="shared" si="2"/>
        <v>6</v>
      </c>
    </row>
    <row r="10769">
      <c r="A10769" s="58">
        <v>45078.0</v>
      </c>
      <c r="B10769" s="24" t="s">
        <v>155</v>
      </c>
      <c r="C10769" s="24" t="s">
        <v>6931</v>
      </c>
      <c r="D10769" s="59">
        <v>1.0</v>
      </c>
      <c r="E10769" s="59">
        <v>1.0</v>
      </c>
      <c r="F10769" s="59">
        <v>1.0</v>
      </c>
      <c r="G10769" s="60">
        <v>1.0</v>
      </c>
      <c r="H10769" s="60">
        <v>0.0</v>
      </c>
      <c r="I10769" s="60">
        <v>213.137212</v>
      </c>
      <c r="J10769" s="59">
        <v>4.0</v>
      </c>
      <c r="K10769" s="61">
        <f t="shared" si="1"/>
        <v>1</v>
      </c>
      <c r="L10769" s="62">
        <f t="shared" si="2"/>
        <v>4</v>
      </c>
    </row>
    <row r="10770">
      <c r="A10770" s="58">
        <v>45078.0</v>
      </c>
      <c r="B10770" s="24" t="s">
        <v>6787</v>
      </c>
      <c r="C10770" s="24" t="s">
        <v>6962</v>
      </c>
      <c r="D10770" s="59">
        <v>1.0</v>
      </c>
      <c r="E10770" s="59">
        <v>1.0</v>
      </c>
      <c r="F10770" s="59">
        <v>1.0</v>
      </c>
      <c r="G10770" s="60">
        <v>1.0</v>
      </c>
      <c r="H10770" s="60">
        <v>0.0</v>
      </c>
      <c r="I10770" s="60">
        <v>740.541291</v>
      </c>
      <c r="J10770" s="59">
        <v>21.0</v>
      </c>
      <c r="K10770" s="61">
        <f t="shared" si="1"/>
        <v>1</v>
      </c>
      <c r="L10770" s="62">
        <f t="shared" si="2"/>
        <v>21</v>
      </c>
    </row>
    <row r="10771">
      <c r="A10771" s="58">
        <v>45078.0</v>
      </c>
      <c r="B10771" s="24" t="s">
        <v>6789</v>
      </c>
      <c r="C10771" s="24" t="s">
        <v>6962</v>
      </c>
      <c r="D10771" s="59">
        <v>1.0</v>
      </c>
      <c r="E10771" s="59">
        <v>1.0</v>
      </c>
      <c r="F10771" s="59">
        <v>0.0</v>
      </c>
      <c r="G10771" s="60">
        <v>1.0</v>
      </c>
      <c r="H10771" s="60">
        <v>0.0</v>
      </c>
      <c r="I10771" s="60">
        <v>156.805672</v>
      </c>
      <c r="J10771" s="59">
        <v>4.0</v>
      </c>
      <c r="K10771" s="61">
        <f t="shared" si="1"/>
        <v>0</v>
      </c>
      <c r="L10771" s="62">
        <f t="shared" si="2"/>
        <v>4</v>
      </c>
    </row>
    <row r="10772">
      <c r="A10772" s="58">
        <v>45078.0</v>
      </c>
      <c r="B10772" s="24" t="s">
        <v>6794</v>
      </c>
      <c r="C10772" s="24" t="s">
        <v>6802</v>
      </c>
      <c r="D10772" s="59">
        <v>1.0</v>
      </c>
      <c r="E10772" s="59">
        <v>2.0</v>
      </c>
      <c r="F10772" s="59">
        <v>0.0</v>
      </c>
      <c r="G10772" s="60">
        <v>2.0</v>
      </c>
      <c r="H10772" s="60">
        <v>0.0</v>
      </c>
      <c r="I10772" s="60">
        <v>6.1848965</v>
      </c>
      <c r="J10772" s="59">
        <v>4.0</v>
      </c>
      <c r="K10772" s="61">
        <f t="shared" si="1"/>
        <v>0</v>
      </c>
      <c r="L10772" s="62">
        <f t="shared" si="2"/>
        <v>2</v>
      </c>
    </row>
    <row r="10773">
      <c r="A10773" s="58">
        <v>45078.0</v>
      </c>
      <c r="B10773" s="24" t="s">
        <v>155</v>
      </c>
      <c r="C10773" s="24" t="s">
        <v>6802</v>
      </c>
      <c r="D10773" s="59">
        <v>1.0</v>
      </c>
      <c r="E10773" s="59">
        <v>2.0</v>
      </c>
      <c r="F10773" s="59">
        <v>0.0</v>
      </c>
      <c r="G10773" s="60">
        <v>2.0</v>
      </c>
      <c r="H10773" s="60">
        <v>0.0</v>
      </c>
      <c r="I10773" s="60">
        <v>3481.838129</v>
      </c>
      <c r="J10773" s="59">
        <v>24.0</v>
      </c>
      <c r="K10773" s="61">
        <f t="shared" si="1"/>
        <v>0</v>
      </c>
      <c r="L10773" s="62">
        <f t="shared" si="2"/>
        <v>12</v>
      </c>
    </row>
    <row r="10774">
      <c r="A10774" s="58">
        <v>45078.0</v>
      </c>
      <c r="B10774" s="24" t="s">
        <v>6790</v>
      </c>
      <c r="C10774" s="24" t="s">
        <v>6802</v>
      </c>
      <c r="D10774" s="59">
        <v>1.0</v>
      </c>
      <c r="E10774" s="59">
        <v>2.0</v>
      </c>
      <c r="F10774" s="59">
        <v>0.0</v>
      </c>
      <c r="G10774" s="60">
        <v>2.0</v>
      </c>
      <c r="H10774" s="60">
        <v>0.0</v>
      </c>
      <c r="I10774" s="60">
        <v>90.2914645</v>
      </c>
      <c r="J10774" s="59">
        <v>6.0</v>
      </c>
      <c r="K10774" s="61">
        <f t="shared" si="1"/>
        <v>0</v>
      </c>
      <c r="L10774" s="62">
        <f t="shared" si="2"/>
        <v>3</v>
      </c>
    </row>
    <row r="10775">
      <c r="A10775" s="58">
        <v>45047.0</v>
      </c>
      <c r="B10775" s="24" t="s">
        <v>6789</v>
      </c>
      <c r="C10775" s="27"/>
      <c r="D10775" s="59">
        <v>578.0</v>
      </c>
      <c r="E10775" s="59">
        <v>867.0</v>
      </c>
      <c r="F10775" s="59">
        <v>472.0</v>
      </c>
      <c r="G10775" s="60">
        <v>1.50259965337954</v>
      </c>
      <c r="H10775" s="60">
        <v>0.0115340253748558</v>
      </c>
      <c r="I10775" s="60">
        <v>247.402783192618</v>
      </c>
      <c r="J10775" s="59">
        <v>3371.0</v>
      </c>
      <c r="K10775" s="61">
        <f t="shared" si="1"/>
        <v>0.5444059977</v>
      </c>
      <c r="L10775" s="62">
        <f t="shared" si="2"/>
        <v>3.888119954</v>
      </c>
    </row>
    <row r="10776">
      <c r="A10776" s="58">
        <v>45047.0</v>
      </c>
      <c r="B10776" s="24" t="s">
        <v>6787</v>
      </c>
      <c r="C10776" s="27"/>
      <c r="D10776" s="59">
        <v>539.0</v>
      </c>
      <c r="E10776" s="59">
        <v>656.0</v>
      </c>
      <c r="F10776" s="59">
        <v>501.0</v>
      </c>
      <c r="G10776" s="60">
        <v>1.21706864564007</v>
      </c>
      <c r="H10776" s="60">
        <v>0.0853658536585365</v>
      </c>
      <c r="I10776" s="60">
        <v>76.3238341905487</v>
      </c>
      <c r="J10776" s="59">
        <v>1772.0</v>
      </c>
      <c r="K10776" s="61">
        <f t="shared" si="1"/>
        <v>0.7637195122</v>
      </c>
      <c r="L10776" s="62">
        <f t="shared" si="2"/>
        <v>2.701219512</v>
      </c>
    </row>
    <row r="10777">
      <c r="A10777" s="58">
        <v>45047.0</v>
      </c>
      <c r="B10777" s="24" t="s">
        <v>6787</v>
      </c>
      <c r="C10777" s="24" t="s">
        <v>6908</v>
      </c>
      <c r="D10777" s="59">
        <v>224.0</v>
      </c>
      <c r="E10777" s="59">
        <v>224.0</v>
      </c>
      <c r="F10777" s="59">
        <v>224.0</v>
      </c>
      <c r="G10777" s="60">
        <v>1.0</v>
      </c>
      <c r="H10777" s="60">
        <v>0.133928571428571</v>
      </c>
      <c r="I10777" s="60">
        <v>2.78140769642857</v>
      </c>
      <c r="J10777" s="59">
        <v>418.0</v>
      </c>
      <c r="K10777" s="61">
        <f t="shared" si="1"/>
        <v>1</v>
      </c>
      <c r="L10777" s="62">
        <f t="shared" si="2"/>
        <v>1.866071429</v>
      </c>
    </row>
    <row r="10778">
      <c r="A10778" s="58">
        <v>45047.0</v>
      </c>
      <c r="B10778" s="24" t="s">
        <v>6789</v>
      </c>
      <c r="C10778" s="24" t="s">
        <v>6792</v>
      </c>
      <c r="D10778" s="59">
        <v>189.0</v>
      </c>
      <c r="E10778" s="59">
        <v>241.0</v>
      </c>
      <c r="F10778" s="59">
        <v>0.0</v>
      </c>
      <c r="G10778" s="60">
        <v>1.66206896551724</v>
      </c>
      <c r="H10778" s="60">
        <v>0.946058091286307</v>
      </c>
      <c r="I10778" s="60">
        <v>26.5345091078838</v>
      </c>
      <c r="J10778" s="59">
        <v>0.0</v>
      </c>
      <c r="K10778" s="61">
        <f t="shared" si="1"/>
        <v>0</v>
      </c>
      <c r="L10778" s="62">
        <f t="shared" si="2"/>
        <v>0</v>
      </c>
    </row>
    <row r="10779">
      <c r="A10779" s="58">
        <v>45047.0</v>
      </c>
      <c r="B10779" s="24" t="s">
        <v>7100</v>
      </c>
      <c r="C10779" s="24" t="s">
        <v>7172</v>
      </c>
      <c r="D10779" s="59">
        <v>184.0</v>
      </c>
      <c r="E10779" s="59">
        <v>250.0</v>
      </c>
      <c r="F10779" s="59">
        <v>165.0</v>
      </c>
      <c r="G10779" s="60">
        <v>1.36612021857923</v>
      </c>
      <c r="H10779" s="60">
        <v>0.028</v>
      </c>
      <c r="I10779" s="60">
        <v>50.800406036</v>
      </c>
      <c r="J10779" s="59">
        <v>515.0</v>
      </c>
      <c r="K10779" s="61">
        <f t="shared" si="1"/>
        <v>0.66</v>
      </c>
      <c r="L10779" s="62">
        <f t="shared" si="2"/>
        <v>2.06</v>
      </c>
    </row>
    <row r="10780">
      <c r="A10780" s="58">
        <v>45047.0</v>
      </c>
      <c r="B10780" s="24" t="s">
        <v>6789</v>
      </c>
      <c r="C10780" s="24" t="s">
        <v>7068</v>
      </c>
      <c r="D10780" s="59">
        <v>180.0</v>
      </c>
      <c r="E10780" s="59">
        <v>206.0</v>
      </c>
      <c r="F10780" s="59">
        <v>173.0</v>
      </c>
      <c r="G10780" s="60">
        <v>1.14444444444444</v>
      </c>
      <c r="H10780" s="60">
        <v>0.00970873786407766</v>
      </c>
      <c r="I10780" s="60">
        <v>187.51593961165</v>
      </c>
      <c r="J10780" s="59">
        <v>477.0</v>
      </c>
      <c r="K10780" s="61">
        <f t="shared" si="1"/>
        <v>0.8398058252</v>
      </c>
      <c r="L10780" s="62">
        <f t="shared" si="2"/>
        <v>2.315533981</v>
      </c>
    </row>
    <row r="10781">
      <c r="A10781" s="58">
        <v>45047.0</v>
      </c>
      <c r="B10781" s="24" t="s">
        <v>7100</v>
      </c>
      <c r="C10781" s="27"/>
      <c r="D10781" s="59">
        <v>175.0</v>
      </c>
      <c r="E10781" s="59">
        <v>235.0</v>
      </c>
      <c r="F10781" s="59">
        <v>158.0</v>
      </c>
      <c r="G10781" s="60">
        <v>1.35057471264367</v>
      </c>
      <c r="H10781" s="60">
        <v>0.0212765957446808</v>
      </c>
      <c r="I10781" s="60">
        <v>87.089616974468</v>
      </c>
      <c r="J10781" s="59">
        <v>583.0</v>
      </c>
      <c r="K10781" s="61">
        <f t="shared" si="1"/>
        <v>0.6723404255</v>
      </c>
      <c r="L10781" s="62">
        <f t="shared" si="2"/>
        <v>2.480851064</v>
      </c>
    </row>
    <row r="10782">
      <c r="A10782" s="58">
        <v>45047.0</v>
      </c>
      <c r="B10782" s="24" t="s">
        <v>6794</v>
      </c>
      <c r="C10782" s="27"/>
      <c r="D10782" s="59">
        <v>146.0</v>
      </c>
      <c r="E10782" s="59">
        <v>180.0</v>
      </c>
      <c r="F10782" s="59">
        <v>134.0</v>
      </c>
      <c r="G10782" s="60">
        <v>1.23287671232876</v>
      </c>
      <c r="H10782" s="60">
        <v>0.00555555555555555</v>
      </c>
      <c r="I10782" s="60">
        <v>166.766805622222</v>
      </c>
      <c r="J10782" s="59">
        <v>712.0</v>
      </c>
      <c r="K10782" s="61">
        <f t="shared" si="1"/>
        <v>0.7444444444</v>
      </c>
      <c r="L10782" s="62">
        <f t="shared" si="2"/>
        <v>3.955555556</v>
      </c>
    </row>
    <row r="10783">
      <c r="A10783" s="58">
        <v>45047.0</v>
      </c>
      <c r="B10783" s="24" t="s">
        <v>155</v>
      </c>
      <c r="C10783" s="27"/>
      <c r="D10783" s="59">
        <v>75.0</v>
      </c>
      <c r="E10783" s="59">
        <v>126.0</v>
      </c>
      <c r="F10783" s="59">
        <v>67.0</v>
      </c>
      <c r="G10783" s="60">
        <v>1.68</v>
      </c>
      <c r="H10783" s="60">
        <v>0.0158730158730158</v>
      </c>
      <c r="I10783" s="60">
        <v>137.35381231746</v>
      </c>
      <c r="J10783" s="59">
        <v>432.0</v>
      </c>
      <c r="K10783" s="61">
        <f t="shared" si="1"/>
        <v>0.5317460317</v>
      </c>
      <c r="L10783" s="62">
        <f t="shared" si="2"/>
        <v>3.428571429</v>
      </c>
    </row>
    <row r="10784">
      <c r="A10784" s="58">
        <v>45047.0</v>
      </c>
      <c r="B10784" s="24" t="s">
        <v>6791</v>
      </c>
      <c r="C10784" s="24" t="s">
        <v>7624</v>
      </c>
      <c r="D10784" s="59">
        <v>59.0</v>
      </c>
      <c r="E10784" s="59">
        <v>68.0</v>
      </c>
      <c r="F10784" s="59">
        <v>54.0</v>
      </c>
      <c r="G10784" s="60">
        <v>1.15254237288135</v>
      </c>
      <c r="H10784" s="60">
        <v>0.0147058823529411</v>
      </c>
      <c r="I10784" s="60">
        <v>107.965488602941</v>
      </c>
      <c r="J10784" s="59">
        <v>201.0</v>
      </c>
      <c r="K10784" s="61">
        <f t="shared" si="1"/>
        <v>0.7941176471</v>
      </c>
      <c r="L10784" s="62">
        <f t="shared" si="2"/>
        <v>2.955882353</v>
      </c>
    </row>
    <row r="10785">
      <c r="A10785" s="58">
        <v>45047.0</v>
      </c>
      <c r="B10785" s="24" t="s">
        <v>7100</v>
      </c>
      <c r="C10785" s="24" t="s">
        <v>7174</v>
      </c>
      <c r="D10785" s="59">
        <v>53.0</v>
      </c>
      <c r="E10785" s="59">
        <v>54.0</v>
      </c>
      <c r="F10785" s="59">
        <v>52.0</v>
      </c>
      <c r="G10785" s="60">
        <v>1.0188679245283</v>
      </c>
      <c r="H10785" s="60">
        <v>0.351851851851851</v>
      </c>
      <c r="I10785" s="60">
        <v>78.3784854259259</v>
      </c>
      <c r="J10785" s="59">
        <v>100.0</v>
      </c>
      <c r="K10785" s="61">
        <f t="shared" si="1"/>
        <v>0.962962963</v>
      </c>
      <c r="L10785" s="62">
        <f t="shared" si="2"/>
        <v>1.851851852</v>
      </c>
    </row>
    <row r="10786">
      <c r="A10786" s="58">
        <v>45047.0</v>
      </c>
      <c r="B10786" s="24" t="s">
        <v>6787</v>
      </c>
      <c r="C10786" s="24" t="s">
        <v>6792</v>
      </c>
      <c r="D10786" s="59">
        <v>52.0</v>
      </c>
      <c r="E10786" s="59">
        <v>61.0</v>
      </c>
      <c r="F10786" s="59">
        <v>0.0</v>
      </c>
      <c r="G10786" s="60">
        <v>1.74285714285714</v>
      </c>
      <c r="H10786" s="60">
        <v>0.967213114754098</v>
      </c>
      <c r="I10786" s="60">
        <v>30.7607923606557</v>
      </c>
      <c r="J10786" s="59">
        <v>0.0</v>
      </c>
      <c r="K10786" s="61">
        <f t="shared" si="1"/>
        <v>0</v>
      </c>
      <c r="L10786" s="62">
        <f t="shared" si="2"/>
        <v>0</v>
      </c>
    </row>
    <row r="10787">
      <c r="A10787" s="58">
        <v>45047.0</v>
      </c>
      <c r="B10787" s="24" t="s">
        <v>7100</v>
      </c>
      <c r="C10787" s="24" t="s">
        <v>6802</v>
      </c>
      <c r="D10787" s="59">
        <v>51.0</v>
      </c>
      <c r="E10787" s="59">
        <v>60.0</v>
      </c>
      <c r="F10787" s="59">
        <v>49.0</v>
      </c>
      <c r="G10787" s="60">
        <v>1.17647058823529</v>
      </c>
      <c r="H10787" s="60">
        <v>0.0</v>
      </c>
      <c r="I10787" s="60">
        <v>64.5594860999999</v>
      </c>
      <c r="J10787" s="59">
        <v>128.0</v>
      </c>
      <c r="K10787" s="61">
        <f t="shared" si="1"/>
        <v>0.8166666667</v>
      </c>
      <c r="L10787" s="62">
        <f t="shared" si="2"/>
        <v>2.133333333</v>
      </c>
    </row>
    <row r="10788">
      <c r="A10788" s="58">
        <v>45047.0</v>
      </c>
      <c r="B10788" s="24" t="s">
        <v>6790</v>
      </c>
      <c r="C10788" s="24" t="s">
        <v>6815</v>
      </c>
      <c r="D10788" s="59">
        <v>50.0</v>
      </c>
      <c r="E10788" s="59">
        <v>74.0</v>
      </c>
      <c r="F10788" s="59">
        <v>35.0</v>
      </c>
      <c r="G10788" s="60">
        <v>1.48</v>
      </c>
      <c r="H10788" s="60">
        <v>0.0405405405405405</v>
      </c>
      <c r="I10788" s="60">
        <v>192.393725027027</v>
      </c>
      <c r="J10788" s="59">
        <v>188.0</v>
      </c>
      <c r="K10788" s="61">
        <f t="shared" si="1"/>
        <v>0.472972973</v>
      </c>
      <c r="L10788" s="62">
        <f t="shared" si="2"/>
        <v>2.540540541</v>
      </c>
    </row>
    <row r="10789">
      <c r="A10789" s="58">
        <v>45047.0</v>
      </c>
      <c r="B10789" s="24" t="s">
        <v>155</v>
      </c>
      <c r="C10789" s="24" t="s">
        <v>6908</v>
      </c>
      <c r="D10789" s="59">
        <v>45.0</v>
      </c>
      <c r="E10789" s="59">
        <v>45.0</v>
      </c>
      <c r="F10789" s="59">
        <v>45.0</v>
      </c>
      <c r="G10789" s="60">
        <v>1.0</v>
      </c>
      <c r="H10789" s="60">
        <v>0.0</v>
      </c>
      <c r="I10789" s="60">
        <v>7.37815653333333</v>
      </c>
      <c r="J10789" s="59">
        <v>90.0</v>
      </c>
      <c r="K10789" s="61">
        <f t="shared" si="1"/>
        <v>1</v>
      </c>
      <c r="L10789" s="62">
        <f t="shared" si="2"/>
        <v>2</v>
      </c>
    </row>
    <row r="10790">
      <c r="A10790" s="58">
        <v>45047.0</v>
      </c>
      <c r="B10790" s="24" t="s">
        <v>6791</v>
      </c>
      <c r="C10790" s="24" t="s">
        <v>6802</v>
      </c>
      <c r="D10790" s="59">
        <v>43.0</v>
      </c>
      <c r="E10790" s="59">
        <v>48.0</v>
      </c>
      <c r="F10790" s="59">
        <v>43.0</v>
      </c>
      <c r="G10790" s="60">
        <v>1.11627906976744</v>
      </c>
      <c r="H10790" s="60">
        <v>0.0</v>
      </c>
      <c r="I10790" s="60">
        <v>65.7046468958333</v>
      </c>
      <c r="J10790" s="59">
        <v>124.0</v>
      </c>
      <c r="K10790" s="61">
        <f t="shared" si="1"/>
        <v>0.8958333333</v>
      </c>
      <c r="L10790" s="62">
        <f t="shared" si="2"/>
        <v>2.583333333</v>
      </c>
    </row>
    <row r="10791">
      <c r="A10791" s="58">
        <v>45047.0</v>
      </c>
      <c r="B10791" s="24" t="s">
        <v>7100</v>
      </c>
      <c r="C10791" s="24" t="s">
        <v>6892</v>
      </c>
      <c r="D10791" s="59">
        <v>40.0</v>
      </c>
      <c r="E10791" s="59">
        <v>42.0</v>
      </c>
      <c r="F10791" s="59">
        <v>39.0</v>
      </c>
      <c r="G10791" s="60">
        <v>1.05</v>
      </c>
      <c r="H10791" s="60">
        <v>0.238095238095238</v>
      </c>
      <c r="I10791" s="60">
        <v>21.4817795</v>
      </c>
      <c r="J10791" s="59">
        <v>80.0</v>
      </c>
      <c r="K10791" s="61">
        <f t="shared" si="1"/>
        <v>0.9285714286</v>
      </c>
      <c r="L10791" s="62">
        <f t="shared" si="2"/>
        <v>1.904761905</v>
      </c>
    </row>
    <row r="10792">
      <c r="A10792" s="58">
        <v>45047.0</v>
      </c>
      <c r="B10792" s="24" t="s">
        <v>6794</v>
      </c>
      <c r="C10792" s="24" t="s">
        <v>6792</v>
      </c>
      <c r="D10792" s="59">
        <v>33.0</v>
      </c>
      <c r="E10792" s="59">
        <v>43.0</v>
      </c>
      <c r="F10792" s="59">
        <v>0.0</v>
      </c>
      <c r="G10792" s="60">
        <v>1.72</v>
      </c>
      <c r="H10792" s="60">
        <v>0.976744186046511</v>
      </c>
      <c r="I10792" s="60">
        <v>12.6986697674418</v>
      </c>
      <c r="J10792" s="59">
        <v>0.0</v>
      </c>
      <c r="K10792" s="61">
        <f t="shared" si="1"/>
        <v>0</v>
      </c>
      <c r="L10792" s="62">
        <f t="shared" si="2"/>
        <v>0</v>
      </c>
    </row>
    <row r="10793">
      <c r="A10793" s="58">
        <v>45047.0</v>
      </c>
      <c r="B10793" s="24" t="s">
        <v>6794</v>
      </c>
      <c r="C10793" s="24" t="s">
        <v>6815</v>
      </c>
      <c r="D10793" s="59">
        <v>33.0</v>
      </c>
      <c r="E10793" s="59">
        <v>41.0</v>
      </c>
      <c r="F10793" s="59">
        <v>25.0</v>
      </c>
      <c r="G10793" s="60">
        <v>1.24242424242424</v>
      </c>
      <c r="H10793" s="60">
        <v>0.048780487804878</v>
      </c>
      <c r="I10793" s="60">
        <v>83.3892270975609</v>
      </c>
      <c r="J10793" s="59">
        <v>92.0</v>
      </c>
      <c r="K10793" s="61">
        <f t="shared" si="1"/>
        <v>0.6097560976</v>
      </c>
      <c r="L10793" s="62">
        <f t="shared" si="2"/>
        <v>2.243902439</v>
      </c>
    </row>
    <row r="10794">
      <c r="A10794" s="58">
        <v>45047.0</v>
      </c>
      <c r="B10794" s="24" t="s">
        <v>7606</v>
      </c>
      <c r="C10794" s="27"/>
      <c r="D10794" s="59">
        <v>27.0</v>
      </c>
      <c r="E10794" s="59">
        <v>27.0</v>
      </c>
      <c r="F10794" s="59">
        <v>26.0</v>
      </c>
      <c r="G10794" s="60">
        <v>1.0</v>
      </c>
      <c r="H10794" s="60">
        <v>0.037037037037037</v>
      </c>
      <c r="I10794" s="60">
        <v>14.5821023703703</v>
      </c>
      <c r="J10794" s="59">
        <v>56.0</v>
      </c>
      <c r="K10794" s="61">
        <f t="shared" si="1"/>
        <v>0.962962963</v>
      </c>
      <c r="L10794" s="62">
        <f t="shared" si="2"/>
        <v>2.074074074</v>
      </c>
    </row>
    <row r="10795">
      <c r="A10795" s="58">
        <v>45047.0</v>
      </c>
      <c r="B10795" s="24" t="s">
        <v>7100</v>
      </c>
      <c r="C10795" s="24" t="s">
        <v>6989</v>
      </c>
      <c r="D10795" s="59">
        <v>27.0</v>
      </c>
      <c r="E10795" s="59">
        <v>27.0</v>
      </c>
      <c r="F10795" s="59">
        <v>26.0</v>
      </c>
      <c r="G10795" s="60">
        <v>1.0</v>
      </c>
      <c r="H10795" s="60">
        <v>0.111111111111111</v>
      </c>
      <c r="I10795" s="60">
        <v>16.108289</v>
      </c>
      <c r="J10795" s="59">
        <v>61.0</v>
      </c>
      <c r="K10795" s="61">
        <f t="shared" si="1"/>
        <v>0.962962963</v>
      </c>
      <c r="L10795" s="62">
        <f t="shared" si="2"/>
        <v>2.259259259</v>
      </c>
    </row>
    <row r="10796">
      <c r="A10796" s="58">
        <v>45047.0</v>
      </c>
      <c r="B10796" s="24" t="s">
        <v>6789</v>
      </c>
      <c r="C10796" s="24" t="s">
        <v>6799</v>
      </c>
      <c r="D10796" s="59">
        <v>26.0</v>
      </c>
      <c r="E10796" s="59">
        <v>28.0</v>
      </c>
      <c r="F10796" s="59">
        <v>12.0</v>
      </c>
      <c r="G10796" s="60">
        <v>1.12</v>
      </c>
      <c r="H10796" s="60">
        <v>0.0357142857142857</v>
      </c>
      <c r="I10796" s="60">
        <v>169.561918285714</v>
      </c>
      <c r="J10796" s="59">
        <v>101.0</v>
      </c>
      <c r="K10796" s="61">
        <f t="shared" si="1"/>
        <v>0.4285714286</v>
      </c>
      <c r="L10796" s="62">
        <f t="shared" si="2"/>
        <v>3.607142857</v>
      </c>
    </row>
    <row r="10797">
      <c r="A10797" s="58">
        <v>45047.0</v>
      </c>
      <c r="B10797" s="24" t="s">
        <v>6789</v>
      </c>
      <c r="C10797" s="24" t="s">
        <v>6815</v>
      </c>
      <c r="D10797" s="59">
        <v>23.0</v>
      </c>
      <c r="E10797" s="59">
        <v>45.0</v>
      </c>
      <c r="F10797" s="59">
        <v>13.0</v>
      </c>
      <c r="G10797" s="60">
        <v>1.95652173913043</v>
      </c>
      <c r="H10797" s="60">
        <v>0.0</v>
      </c>
      <c r="I10797" s="60">
        <v>133.208587266666</v>
      </c>
      <c r="J10797" s="59">
        <v>112.0</v>
      </c>
      <c r="K10797" s="61">
        <f t="shared" si="1"/>
        <v>0.2888888889</v>
      </c>
      <c r="L10797" s="62">
        <f t="shared" si="2"/>
        <v>2.488888889</v>
      </c>
    </row>
    <row r="10798">
      <c r="A10798" s="58">
        <v>45047.0</v>
      </c>
      <c r="B10798" s="24" t="s">
        <v>6790</v>
      </c>
      <c r="C10798" s="24" t="s">
        <v>6792</v>
      </c>
      <c r="D10798" s="59">
        <v>21.0</v>
      </c>
      <c r="E10798" s="59">
        <v>25.0</v>
      </c>
      <c r="F10798" s="59">
        <v>0.0</v>
      </c>
      <c r="G10798" s="60">
        <v>1.92307692307692</v>
      </c>
      <c r="H10798" s="60">
        <v>0.92</v>
      </c>
      <c r="I10798" s="60">
        <v>42.98001424</v>
      </c>
      <c r="J10798" s="59">
        <v>0.0</v>
      </c>
      <c r="K10798" s="61">
        <f t="shared" si="1"/>
        <v>0</v>
      </c>
      <c r="L10798" s="62">
        <f t="shared" si="2"/>
        <v>0</v>
      </c>
    </row>
    <row r="10799">
      <c r="A10799" s="58">
        <v>45047.0</v>
      </c>
      <c r="B10799" s="24" t="s">
        <v>6790</v>
      </c>
      <c r="C10799" s="24" t="s">
        <v>7439</v>
      </c>
      <c r="D10799" s="59">
        <v>21.0</v>
      </c>
      <c r="E10799" s="59">
        <v>22.0</v>
      </c>
      <c r="F10799" s="59">
        <v>14.0</v>
      </c>
      <c r="G10799" s="60">
        <v>1.04761904761904</v>
      </c>
      <c r="H10799" s="60">
        <v>0.0</v>
      </c>
      <c r="I10799" s="60">
        <v>151.200604681818</v>
      </c>
      <c r="J10799" s="59">
        <v>55.0</v>
      </c>
      <c r="K10799" s="61">
        <f t="shared" si="1"/>
        <v>0.6363636364</v>
      </c>
      <c r="L10799" s="62">
        <f t="shared" si="2"/>
        <v>2.5</v>
      </c>
    </row>
    <row r="10800">
      <c r="A10800" s="58">
        <v>45047.0</v>
      </c>
      <c r="B10800" s="24" t="s">
        <v>6787</v>
      </c>
      <c r="C10800" s="24" t="s">
        <v>7624</v>
      </c>
      <c r="D10800" s="59">
        <v>21.0</v>
      </c>
      <c r="E10800" s="59">
        <v>21.0</v>
      </c>
      <c r="F10800" s="59">
        <v>19.0</v>
      </c>
      <c r="G10800" s="60">
        <v>1.0</v>
      </c>
      <c r="H10800" s="60">
        <v>0.0</v>
      </c>
      <c r="I10800" s="60">
        <v>5.17205928571428</v>
      </c>
      <c r="J10800" s="59">
        <v>42.0</v>
      </c>
      <c r="K10800" s="61">
        <f t="shared" si="1"/>
        <v>0.9047619048</v>
      </c>
      <c r="L10800" s="62">
        <f t="shared" si="2"/>
        <v>2</v>
      </c>
    </row>
    <row r="10801">
      <c r="A10801" s="58">
        <v>45047.0</v>
      </c>
      <c r="B10801" s="24" t="s">
        <v>6790</v>
      </c>
      <c r="C10801" s="27"/>
      <c r="D10801" s="59">
        <v>19.0</v>
      </c>
      <c r="E10801" s="59">
        <v>63.0</v>
      </c>
      <c r="F10801" s="59">
        <v>12.0</v>
      </c>
      <c r="G10801" s="60">
        <v>3.31578947368421</v>
      </c>
      <c r="H10801" s="60">
        <v>0.0158730158730158</v>
      </c>
      <c r="I10801" s="60">
        <v>196.360480460317</v>
      </c>
      <c r="J10801" s="59">
        <v>184.0</v>
      </c>
      <c r="K10801" s="61">
        <f t="shared" si="1"/>
        <v>0.1904761905</v>
      </c>
      <c r="L10801" s="62">
        <f t="shared" si="2"/>
        <v>2.920634921</v>
      </c>
    </row>
    <row r="10802">
      <c r="A10802" s="58">
        <v>45047.0</v>
      </c>
      <c r="B10802" s="24" t="s">
        <v>6789</v>
      </c>
      <c r="C10802" s="24" t="s">
        <v>6819</v>
      </c>
      <c r="D10802" s="59">
        <v>19.0</v>
      </c>
      <c r="E10802" s="59">
        <v>19.0</v>
      </c>
      <c r="F10802" s="59">
        <v>18.0</v>
      </c>
      <c r="G10802" s="60">
        <v>1.0</v>
      </c>
      <c r="H10802" s="60">
        <v>0.0</v>
      </c>
      <c r="I10802" s="60">
        <v>67.9105355263157</v>
      </c>
      <c r="J10802" s="59">
        <v>47.0</v>
      </c>
      <c r="K10802" s="61">
        <f t="shared" si="1"/>
        <v>0.9473684211</v>
      </c>
      <c r="L10802" s="62">
        <f t="shared" si="2"/>
        <v>2.473684211</v>
      </c>
    </row>
    <row r="10803">
      <c r="A10803" s="58">
        <v>45047.0</v>
      </c>
      <c r="B10803" s="24" t="s">
        <v>6791</v>
      </c>
      <c r="C10803" s="24" t="s">
        <v>7206</v>
      </c>
      <c r="D10803" s="59">
        <v>19.0</v>
      </c>
      <c r="E10803" s="59">
        <v>21.0</v>
      </c>
      <c r="F10803" s="59">
        <v>18.0</v>
      </c>
      <c r="G10803" s="60">
        <v>1.10526315789473</v>
      </c>
      <c r="H10803" s="60">
        <v>0.0</v>
      </c>
      <c r="I10803" s="60">
        <v>267.632888238095</v>
      </c>
      <c r="J10803" s="59">
        <v>77.0</v>
      </c>
      <c r="K10803" s="61">
        <f t="shared" si="1"/>
        <v>0.8571428571</v>
      </c>
      <c r="L10803" s="62">
        <f t="shared" si="2"/>
        <v>3.666666667</v>
      </c>
    </row>
    <row r="10804">
      <c r="A10804" s="58">
        <v>45047.0</v>
      </c>
      <c r="B10804" s="24" t="s">
        <v>6789</v>
      </c>
      <c r="C10804" s="24" t="s">
        <v>6803</v>
      </c>
      <c r="D10804" s="59">
        <v>18.0</v>
      </c>
      <c r="E10804" s="59">
        <v>20.0</v>
      </c>
      <c r="F10804" s="59">
        <v>14.0</v>
      </c>
      <c r="G10804" s="60">
        <v>1.11111111111111</v>
      </c>
      <c r="H10804" s="60">
        <v>0.0</v>
      </c>
      <c r="I10804" s="60">
        <v>424.2969733</v>
      </c>
      <c r="J10804" s="59">
        <v>81.0</v>
      </c>
      <c r="K10804" s="61">
        <f t="shared" si="1"/>
        <v>0.7</v>
      </c>
      <c r="L10804" s="62">
        <f t="shared" si="2"/>
        <v>4.05</v>
      </c>
    </row>
    <row r="10805">
      <c r="A10805" s="58">
        <v>45047.0</v>
      </c>
      <c r="B10805" s="24" t="s">
        <v>6787</v>
      </c>
      <c r="C10805" s="24" t="s">
        <v>6892</v>
      </c>
      <c r="D10805" s="59">
        <v>18.0</v>
      </c>
      <c r="E10805" s="59">
        <v>18.0</v>
      </c>
      <c r="F10805" s="59">
        <v>17.0</v>
      </c>
      <c r="G10805" s="60">
        <v>1.0</v>
      </c>
      <c r="H10805" s="60">
        <v>0.0555555555555555</v>
      </c>
      <c r="I10805" s="60">
        <v>5.49950466666666</v>
      </c>
      <c r="J10805" s="59">
        <v>35.0</v>
      </c>
      <c r="K10805" s="61">
        <f t="shared" si="1"/>
        <v>0.9444444444</v>
      </c>
      <c r="L10805" s="62">
        <f t="shared" si="2"/>
        <v>1.944444444</v>
      </c>
    </row>
    <row r="10806">
      <c r="A10806" s="58">
        <v>45047.0</v>
      </c>
      <c r="B10806" s="24" t="s">
        <v>6787</v>
      </c>
      <c r="C10806" s="24" t="s">
        <v>6800</v>
      </c>
      <c r="D10806" s="59">
        <v>18.0</v>
      </c>
      <c r="E10806" s="59">
        <v>18.0</v>
      </c>
      <c r="F10806" s="59">
        <v>18.0</v>
      </c>
      <c r="G10806" s="60">
        <v>1.0</v>
      </c>
      <c r="H10806" s="60">
        <v>0.277777777777777</v>
      </c>
      <c r="I10806" s="60">
        <v>30.8319701111111</v>
      </c>
      <c r="J10806" s="59">
        <v>33.0</v>
      </c>
      <c r="K10806" s="61">
        <f t="shared" si="1"/>
        <v>1</v>
      </c>
      <c r="L10806" s="62">
        <f t="shared" si="2"/>
        <v>1.833333333</v>
      </c>
    </row>
    <row r="10807">
      <c r="A10807" s="58">
        <v>45047.0</v>
      </c>
      <c r="B10807" s="24" t="s">
        <v>6787</v>
      </c>
      <c r="C10807" s="24" t="s">
        <v>6815</v>
      </c>
      <c r="D10807" s="59">
        <v>18.0</v>
      </c>
      <c r="E10807" s="59">
        <v>29.0</v>
      </c>
      <c r="F10807" s="59">
        <v>15.0</v>
      </c>
      <c r="G10807" s="60">
        <v>1.61111111111111</v>
      </c>
      <c r="H10807" s="60">
        <v>0.0344827586206896</v>
      </c>
      <c r="I10807" s="60">
        <v>111.599942344827</v>
      </c>
      <c r="J10807" s="59">
        <v>83.0</v>
      </c>
      <c r="K10807" s="61">
        <f t="shared" si="1"/>
        <v>0.5172413793</v>
      </c>
      <c r="L10807" s="62">
        <f t="shared" si="2"/>
        <v>2.862068966</v>
      </c>
    </row>
    <row r="10808">
      <c r="A10808" s="58">
        <v>45047.0</v>
      </c>
      <c r="B10808" s="24" t="s">
        <v>7606</v>
      </c>
      <c r="C10808" s="24" t="s">
        <v>6908</v>
      </c>
      <c r="D10808" s="59">
        <v>17.0</v>
      </c>
      <c r="E10808" s="59">
        <v>18.0</v>
      </c>
      <c r="F10808" s="59">
        <v>17.0</v>
      </c>
      <c r="G10808" s="60">
        <v>1.05882352941176</v>
      </c>
      <c r="H10808" s="60">
        <v>0.0555555555555555</v>
      </c>
      <c r="I10808" s="60">
        <v>12.1391195555555</v>
      </c>
      <c r="J10808" s="59">
        <v>41.0</v>
      </c>
      <c r="K10808" s="61">
        <f t="shared" si="1"/>
        <v>0.9444444444</v>
      </c>
      <c r="L10808" s="62">
        <f t="shared" si="2"/>
        <v>2.277777778</v>
      </c>
    </row>
    <row r="10809">
      <c r="A10809" s="58">
        <v>45047.0</v>
      </c>
      <c r="B10809" s="24" t="s">
        <v>6789</v>
      </c>
      <c r="C10809" s="24" t="s">
        <v>6835</v>
      </c>
      <c r="D10809" s="59">
        <v>16.0</v>
      </c>
      <c r="E10809" s="59">
        <v>16.0</v>
      </c>
      <c r="F10809" s="59">
        <v>15.0</v>
      </c>
      <c r="G10809" s="60">
        <v>1.0</v>
      </c>
      <c r="H10809" s="60">
        <v>0.0</v>
      </c>
      <c r="I10809" s="60">
        <v>208.40312875</v>
      </c>
      <c r="J10809" s="59">
        <v>38.0</v>
      </c>
      <c r="K10809" s="61">
        <f t="shared" si="1"/>
        <v>0.9375</v>
      </c>
      <c r="L10809" s="62">
        <f t="shared" si="2"/>
        <v>2.375</v>
      </c>
    </row>
    <row r="10810">
      <c r="A10810" s="58">
        <v>45047.0</v>
      </c>
      <c r="B10810" s="24" t="s">
        <v>6787</v>
      </c>
      <c r="C10810" s="24" t="s">
        <v>6802</v>
      </c>
      <c r="D10810" s="59">
        <v>15.0</v>
      </c>
      <c r="E10810" s="59">
        <v>16.0</v>
      </c>
      <c r="F10810" s="59">
        <v>13.0</v>
      </c>
      <c r="G10810" s="60">
        <v>1.06666666666666</v>
      </c>
      <c r="H10810" s="60">
        <v>0.0</v>
      </c>
      <c r="I10810" s="60">
        <v>42.900587375</v>
      </c>
      <c r="J10810" s="59">
        <v>40.0</v>
      </c>
      <c r="K10810" s="61">
        <f t="shared" si="1"/>
        <v>0.8125</v>
      </c>
      <c r="L10810" s="62">
        <f t="shared" si="2"/>
        <v>2.5</v>
      </c>
    </row>
    <row r="10811">
      <c r="A10811" s="58">
        <v>45047.0</v>
      </c>
      <c r="B10811" s="24" t="s">
        <v>6787</v>
      </c>
      <c r="C10811" s="24" t="s">
        <v>7068</v>
      </c>
      <c r="D10811" s="59">
        <v>14.0</v>
      </c>
      <c r="E10811" s="59">
        <v>18.0</v>
      </c>
      <c r="F10811" s="59">
        <v>12.0</v>
      </c>
      <c r="G10811" s="60">
        <v>1.28571428571428</v>
      </c>
      <c r="H10811" s="60">
        <v>0.0</v>
      </c>
      <c r="I10811" s="60">
        <v>90.5686468888888</v>
      </c>
      <c r="J10811" s="59">
        <v>37.0</v>
      </c>
      <c r="K10811" s="61">
        <f t="shared" si="1"/>
        <v>0.6666666667</v>
      </c>
      <c r="L10811" s="62">
        <f t="shared" si="2"/>
        <v>2.055555556</v>
      </c>
    </row>
    <row r="10812">
      <c r="A10812" s="58">
        <v>45047.0</v>
      </c>
      <c r="B10812" s="24" t="s">
        <v>6791</v>
      </c>
      <c r="C10812" s="24" t="s">
        <v>7554</v>
      </c>
      <c r="D10812" s="59">
        <v>14.0</v>
      </c>
      <c r="E10812" s="59">
        <v>19.0</v>
      </c>
      <c r="F10812" s="59">
        <v>13.0</v>
      </c>
      <c r="G10812" s="60">
        <v>1.35714285714285</v>
      </c>
      <c r="H10812" s="60">
        <v>0.0</v>
      </c>
      <c r="I10812" s="60">
        <v>115.154193789473</v>
      </c>
      <c r="J10812" s="59">
        <v>54.0</v>
      </c>
      <c r="K10812" s="61">
        <f t="shared" si="1"/>
        <v>0.6842105263</v>
      </c>
      <c r="L10812" s="62">
        <f t="shared" si="2"/>
        <v>2.842105263</v>
      </c>
    </row>
    <row r="10813">
      <c r="A10813" s="58">
        <v>45047.0</v>
      </c>
      <c r="B10813" s="24" t="s">
        <v>6789</v>
      </c>
      <c r="C10813" s="24" t="s">
        <v>6802</v>
      </c>
      <c r="D10813" s="59">
        <v>14.0</v>
      </c>
      <c r="E10813" s="59">
        <v>15.0</v>
      </c>
      <c r="F10813" s="59">
        <v>5.0</v>
      </c>
      <c r="G10813" s="60">
        <v>1.07142857142857</v>
      </c>
      <c r="H10813" s="60">
        <v>0.133333333333333</v>
      </c>
      <c r="I10813" s="60">
        <v>228.561364</v>
      </c>
      <c r="J10813" s="59">
        <v>48.0</v>
      </c>
      <c r="K10813" s="61">
        <f t="shared" si="1"/>
        <v>0.3333333333</v>
      </c>
      <c r="L10813" s="62">
        <f t="shared" si="2"/>
        <v>3.2</v>
      </c>
    </row>
    <row r="10814">
      <c r="A10814" s="58">
        <v>45047.0</v>
      </c>
      <c r="B10814" s="24" t="s">
        <v>7606</v>
      </c>
      <c r="C10814" s="24" t="s">
        <v>7624</v>
      </c>
      <c r="D10814" s="59">
        <v>13.0</v>
      </c>
      <c r="E10814" s="59">
        <v>13.0</v>
      </c>
      <c r="F10814" s="59">
        <v>13.0</v>
      </c>
      <c r="G10814" s="60">
        <v>1.0</v>
      </c>
      <c r="H10814" s="60">
        <v>0.0769230769230769</v>
      </c>
      <c r="I10814" s="60">
        <v>6.41883546153846</v>
      </c>
      <c r="J10814" s="59">
        <v>28.0</v>
      </c>
      <c r="K10814" s="61">
        <f t="shared" si="1"/>
        <v>1</v>
      </c>
      <c r="L10814" s="62">
        <f t="shared" si="2"/>
        <v>2.153846154</v>
      </c>
    </row>
    <row r="10815">
      <c r="A10815" s="58">
        <v>45047.0</v>
      </c>
      <c r="B10815" s="24" t="s">
        <v>6791</v>
      </c>
      <c r="C10815" s="24" t="s">
        <v>6792</v>
      </c>
      <c r="D10815" s="59">
        <v>12.0</v>
      </c>
      <c r="E10815" s="59">
        <v>13.0</v>
      </c>
      <c r="F10815" s="59">
        <v>0.0</v>
      </c>
      <c r="G10815" s="60">
        <v>1.44444444444444</v>
      </c>
      <c r="H10815" s="60">
        <v>1.0</v>
      </c>
      <c r="I10815" s="60">
        <v>0.0700626153846153</v>
      </c>
      <c r="J10815" s="59">
        <v>0.0</v>
      </c>
      <c r="K10815" s="61">
        <f t="shared" si="1"/>
        <v>0</v>
      </c>
      <c r="L10815" s="62">
        <f t="shared" si="2"/>
        <v>0</v>
      </c>
    </row>
    <row r="10816">
      <c r="A10816" s="58">
        <v>45047.0</v>
      </c>
      <c r="B10816" s="24" t="s">
        <v>6789</v>
      </c>
      <c r="C10816" s="24" t="s">
        <v>7058</v>
      </c>
      <c r="D10816" s="59">
        <v>12.0</v>
      </c>
      <c r="E10816" s="59">
        <v>14.0</v>
      </c>
      <c r="F10816" s="59">
        <v>10.0</v>
      </c>
      <c r="G10816" s="60">
        <v>1.16666666666666</v>
      </c>
      <c r="H10816" s="60">
        <v>0.0</v>
      </c>
      <c r="I10816" s="60">
        <v>145.049475642857</v>
      </c>
      <c r="J10816" s="59">
        <v>28.0</v>
      </c>
      <c r="K10816" s="61">
        <f t="shared" si="1"/>
        <v>0.7142857143</v>
      </c>
      <c r="L10816" s="62">
        <f t="shared" si="2"/>
        <v>2</v>
      </c>
    </row>
    <row r="10817">
      <c r="A10817" s="58">
        <v>45047.0</v>
      </c>
      <c r="B10817" s="24" t="s">
        <v>6791</v>
      </c>
      <c r="C10817" s="24" t="s">
        <v>7227</v>
      </c>
      <c r="D10817" s="59">
        <v>12.0</v>
      </c>
      <c r="E10817" s="59">
        <v>12.0</v>
      </c>
      <c r="F10817" s="59">
        <v>12.0</v>
      </c>
      <c r="G10817" s="60">
        <v>1.0</v>
      </c>
      <c r="H10817" s="60">
        <v>0.166666666666666</v>
      </c>
      <c r="I10817" s="60">
        <v>22.4003953333333</v>
      </c>
      <c r="J10817" s="59">
        <v>22.0</v>
      </c>
      <c r="K10817" s="61">
        <f t="shared" si="1"/>
        <v>1</v>
      </c>
      <c r="L10817" s="62">
        <f t="shared" si="2"/>
        <v>1.833333333</v>
      </c>
    </row>
    <row r="10818">
      <c r="A10818" s="58">
        <v>45047.0</v>
      </c>
      <c r="B10818" s="24" t="s">
        <v>6787</v>
      </c>
      <c r="C10818" s="24" t="s">
        <v>7013</v>
      </c>
      <c r="D10818" s="59">
        <v>12.0</v>
      </c>
      <c r="E10818" s="59">
        <v>14.0</v>
      </c>
      <c r="F10818" s="59">
        <v>8.0</v>
      </c>
      <c r="G10818" s="60">
        <v>1.16666666666666</v>
      </c>
      <c r="H10818" s="60">
        <v>0.0</v>
      </c>
      <c r="I10818" s="60">
        <v>259.828607928571</v>
      </c>
      <c r="J10818" s="59">
        <v>55.0</v>
      </c>
      <c r="K10818" s="61">
        <f t="shared" si="1"/>
        <v>0.5714285714</v>
      </c>
      <c r="L10818" s="62">
        <f t="shared" si="2"/>
        <v>3.928571429</v>
      </c>
    </row>
    <row r="10819">
      <c r="A10819" s="58">
        <v>45047.0</v>
      </c>
      <c r="B10819" s="24" t="s">
        <v>6787</v>
      </c>
      <c r="C10819" s="24" t="s">
        <v>6921</v>
      </c>
      <c r="D10819" s="59">
        <v>12.0</v>
      </c>
      <c r="E10819" s="59">
        <v>12.0</v>
      </c>
      <c r="F10819" s="59">
        <v>12.0</v>
      </c>
      <c r="G10819" s="60">
        <v>1.0</v>
      </c>
      <c r="H10819" s="60">
        <v>0.0</v>
      </c>
      <c r="I10819" s="60">
        <v>5.03469066666666</v>
      </c>
      <c r="J10819" s="59">
        <v>24.0</v>
      </c>
      <c r="K10819" s="61">
        <f t="shared" si="1"/>
        <v>1</v>
      </c>
      <c r="L10819" s="62">
        <f t="shared" si="2"/>
        <v>2</v>
      </c>
    </row>
    <row r="10820">
      <c r="A10820" s="58">
        <v>45047.0</v>
      </c>
      <c r="B10820" s="24" t="s">
        <v>6787</v>
      </c>
      <c r="C10820" s="24" t="s">
        <v>6808</v>
      </c>
      <c r="D10820" s="59">
        <v>11.0</v>
      </c>
      <c r="E10820" s="59">
        <v>11.0</v>
      </c>
      <c r="F10820" s="59">
        <v>11.0</v>
      </c>
      <c r="G10820" s="60">
        <v>1.0</v>
      </c>
      <c r="H10820" s="60">
        <v>0.0</v>
      </c>
      <c r="I10820" s="60">
        <v>20.0858634545454</v>
      </c>
      <c r="J10820" s="59">
        <v>22.0</v>
      </c>
      <c r="K10820" s="61">
        <f t="shared" si="1"/>
        <v>1</v>
      </c>
      <c r="L10820" s="62">
        <f t="shared" si="2"/>
        <v>2</v>
      </c>
    </row>
    <row r="10821">
      <c r="A10821" s="58">
        <v>45047.0</v>
      </c>
      <c r="B10821" s="24" t="s">
        <v>155</v>
      </c>
      <c r="C10821" s="24" t="s">
        <v>6800</v>
      </c>
      <c r="D10821" s="59">
        <v>11.0</v>
      </c>
      <c r="E10821" s="59">
        <v>11.0</v>
      </c>
      <c r="F10821" s="59">
        <v>11.0</v>
      </c>
      <c r="G10821" s="60">
        <v>1.0</v>
      </c>
      <c r="H10821" s="60">
        <v>0.0</v>
      </c>
      <c r="I10821" s="60">
        <v>44.201372090909</v>
      </c>
      <c r="J10821" s="59">
        <v>44.0</v>
      </c>
      <c r="K10821" s="61">
        <f t="shared" si="1"/>
        <v>1</v>
      </c>
      <c r="L10821" s="62">
        <f t="shared" si="2"/>
        <v>4</v>
      </c>
    </row>
    <row r="10822">
      <c r="A10822" s="58">
        <v>45047.0</v>
      </c>
      <c r="B10822" s="24" t="s">
        <v>6794</v>
      </c>
      <c r="C10822" s="24" t="s">
        <v>7013</v>
      </c>
      <c r="D10822" s="59">
        <v>11.0</v>
      </c>
      <c r="E10822" s="59">
        <v>11.0</v>
      </c>
      <c r="F10822" s="59">
        <v>8.0</v>
      </c>
      <c r="G10822" s="60">
        <v>1.0</v>
      </c>
      <c r="H10822" s="60">
        <v>0.0</v>
      </c>
      <c r="I10822" s="60">
        <v>122.158064727272</v>
      </c>
      <c r="J10822" s="59">
        <v>36.0</v>
      </c>
      <c r="K10822" s="61">
        <f t="shared" si="1"/>
        <v>0.7272727273</v>
      </c>
      <c r="L10822" s="62">
        <f t="shared" si="2"/>
        <v>3.272727273</v>
      </c>
    </row>
    <row r="10823">
      <c r="A10823" s="58">
        <v>45047.0</v>
      </c>
      <c r="B10823" s="24" t="s">
        <v>6789</v>
      </c>
      <c r="C10823" s="24" t="s">
        <v>7624</v>
      </c>
      <c r="D10823" s="59">
        <v>10.0</v>
      </c>
      <c r="E10823" s="59">
        <v>11.0</v>
      </c>
      <c r="F10823" s="59">
        <v>8.0</v>
      </c>
      <c r="G10823" s="60">
        <v>1.1</v>
      </c>
      <c r="H10823" s="60">
        <v>0.181818181818181</v>
      </c>
      <c r="I10823" s="60">
        <v>20.7527058181818</v>
      </c>
      <c r="J10823" s="59">
        <v>20.0</v>
      </c>
      <c r="K10823" s="61">
        <f t="shared" si="1"/>
        <v>0.7272727273</v>
      </c>
      <c r="L10823" s="62">
        <f t="shared" si="2"/>
        <v>1.818181818</v>
      </c>
    </row>
    <row r="10824">
      <c r="A10824" s="58">
        <v>45047.0</v>
      </c>
      <c r="B10824" s="24" t="s">
        <v>6787</v>
      </c>
      <c r="C10824" s="24" t="s">
        <v>7206</v>
      </c>
      <c r="D10824" s="59">
        <v>10.0</v>
      </c>
      <c r="E10824" s="59">
        <v>10.0</v>
      </c>
      <c r="F10824" s="59">
        <v>9.0</v>
      </c>
      <c r="G10824" s="60">
        <v>1.0</v>
      </c>
      <c r="H10824" s="60">
        <v>0.1</v>
      </c>
      <c r="I10824" s="60">
        <v>228.785578999999</v>
      </c>
      <c r="J10824" s="59">
        <v>37.0</v>
      </c>
      <c r="K10824" s="61">
        <f t="shared" si="1"/>
        <v>0.9</v>
      </c>
      <c r="L10824" s="62">
        <f t="shared" si="2"/>
        <v>3.7</v>
      </c>
    </row>
    <row r="10825">
      <c r="A10825" s="58">
        <v>45047.0</v>
      </c>
      <c r="B10825" s="24" t="s">
        <v>6791</v>
      </c>
      <c r="C10825" s="24" t="s">
        <v>7261</v>
      </c>
      <c r="D10825" s="59">
        <v>10.0</v>
      </c>
      <c r="E10825" s="59">
        <v>10.0</v>
      </c>
      <c r="F10825" s="59">
        <v>9.0</v>
      </c>
      <c r="G10825" s="60">
        <v>1.0</v>
      </c>
      <c r="H10825" s="60">
        <v>0.0</v>
      </c>
      <c r="I10825" s="60">
        <v>132.4095487</v>
      </c>
      <c r="J10825" s="59">
        <v>38.0</v>
      </c>
      <c r="K10825" s="61">
        <f t="shared" si="1"/>
        <v>0.9</v>
      </c>
      <c r="L10825" s="62">
        <f t="shared" si="2"/>
        <v>3.8</v>
      </c>
    </row>
    <row r="10826">
      <c r="A10826" s="58">
        <v>45047.0</v>
      </c>
      <c r="B10826" s="24" t="s">
        <v>6789</v>
      </c>
      <c r="C10826" s="24" t="s">
        <v>6910</v>
      </c>
      <c r="D10826" s="59">
        <v>10.0</v>
      </c>
      <c r="E10826" s="59">
        <v>10.0</v>
      </c>
      <c r="F10826" s="59">
        <v>6.0</v>
      </c>
      <c r="G10826" s="60">
        <v>1.0</v>
      </c>
      <c r="H10826" s="60">
        <v>0.0</v>
      </c>
      <c r="I10826" s="60">
        <v>111.3901706</v>
      </c>
      <c r="J10826" s="59">
        <v>27.0</v>
      </c>
      <c r="K10826" s="61">
        <f t="shared" si="1"/>
        <v>0.6</v>
      </c>
      <c r="L10826" s="62">
        <f t="shared" si="2"/>
        <v>2.7</v>
      </c>
    </row>
    <row r="10827">
      <c r="A10827" s="58">
        <v>45047.0</v>
      </c>
      <c r="B10827" s="24" t="s">
        <v>6787</v>
      </c>
      <c r="C10827" s="24" t="s">
        <v>7063</v>
      </c>
      <c r="D10827" s="59">
        <v>9.0</v>
      </c>
      <c r="E10827" s="59">
        <v>13.0</v>
      </c>
      <c r="F10827" s="59">
        <v>7.0</v>
      </c>
      <c r="G10827" s="60">
        <v>1.44444444444444</v>
      </c>
      <c r="H10827" s="60">
        <v>0.0</v>
      </c>
      <c r="I10827" s="60">
        <v>79.0145913076923</v>
      </c>
      <c r="J10827" s="59">
        <v>44.0</v>
      </c>
      <c r="K10827" s="61">
        <f t="shared" si="1"/>
        <v>0.5384615385</v>
      </c>
      <c r="L10827" s="62">
        <f t="shared" si="2"/>
        <v>3.384615385</v>
      </c>
    </row>
    <row r="10828">
      <c r="A10828" s="58">
        <v>45047.0</v>
      </c>
      <c r="B10828" s="24" t="s">
        <v>6789</v>
      </c>
      <c r="C10828" s="24" t="s">
        <v>6892</v>
      </c>
      <c r="D10828" s="59">
        <v>9.0</v>
      </c>
      <c r="E10828" s="59">
        <v>11.0</v>
      </c>
      <c r="F10828" s="59">
        <v>4.0</v>
      </c>
      <c r="G10828" s="60">
        <v>1.22222222222222</v>
      </c>
      <c r="H10828" s="60">
        <v>0.0</v>
      </c>
      <c r="I10828" s="60">
        <v>436.416012090909</v>
      </c>
      <c r="J10828" s="59">
        <v>48.0</v>
      </c>
      <c r="K10828" s="61">
        <f t="shared" si="1"/>
        <v>0.3636363636</v>
      </c>
      <c r="L10828" s="62">
        <f t="shared" si="2"/>
        <v>4.363636364</v>
      </c>
    </row>
    <row r="10829">
      <c r="A10829" s="58">
        <v>45047.0</v>
      </c>
      <c r="B10829" s="24" t="s">
        <v>6789</v>
      </c>
      <c r="C10829" s="24" t="s">
        <v>7206</v>
      </c>
      <c r="D10829" s="59">
        <v>9.0</v>
      </c>
      <c r="E10829" s="59">
        <v>9.0</v>
      </c>
      <c r="F10829" s="59">
        <v>6.0</v>
      </c>
      <c r="G10829" s="60">
        <v>1.0</v>
      </c>
      <c r="H10829" s="60">
        <v>0.222222222222222</v>
      </c>
      <c r="I10829" s="60">
        <v>68.9049484444444</v>
      </c>
      <c r="J10829" s="59">
        <v>20.0</v>
      </c>
      <c r="K10829" s="61">
        <f t="shared" si="1"/>
        <v>0.6666666667</v>
      </c>
      <c r="L10829" s="62">
        <f t="shared" si="2"/>
        <v>2.222222222</v>
      </c>
    </row>
    <row r="10830">
      <c r="A10830" s="58">
        <v>45047.0</v>
      </c>
      <c r="B10830" s="24" t="s">
        <v>6789</v>
      </c>
      <c r="C10830" s="24" t="s">
        <v>7013</v>
      </c>
      <c r="D10830" s="59">
        <v>9.0</v>
      </c>
      <c r="E10830" s="59">
        <v>11.0</v>
      </c>
      <c r="F10830" s="59">
        <v>0.0</v>
      </c>
      <c r="G10830" s="60">
        <v>1.22222222222222</v>
      </c>
      <c r="H10830" s="60">
        <v>0.0</v>
      </c>
      <c r="I10830" s="60">
        <v>139.10096790909</v>
      </c>
      <c r="J10830" s="59">
        <v>24.0</v>
      </c>
      <c r="K10830" s="61">
        <f t="shared" si="1"/>
        <v>0</v>
      </c>
      <c r="L10830" s="62">
        <f t="shared" si="2"/>
        <v>2.181818182</v>
      </c>
    </row>
    <row r="10831">
      <c r="A10831" s="58">
        <v>45047.0</v>
      </c>
      <c r="B10831" s="24" t="s">
        <v>7100</v>
      </c>
      <c r="C10831" s="24" t="s">
        <v>6792</v>
      </c>
      <c r="D10831" s="59">
        <v>8.0</v>
      </c>
      <c r="E10831" s="59">
        <v>8.0</v>
      </c>
      <c r="F10831" s="59">
        <v>0.0</v>
      </c>
      <c r="G10831" s="60">
        <v>1.14285714285714</v>
      </c>
      <c r="H10831" s="60">
        <v>0.875</v>
      </c>
      <c r="I10831" s="60">
        <v>34.156591625</v>
      </c>
      <c r="J10831" s="59">
        <v>0.0</v>
      </c>
      <c r="K10831" s="61">
        <f t="shared" si="1"/>
        <v>0</v>
      </c>
      <c r="L10831" s="62">
        <f t="shared" si="2"/>
        <v>0</v>
      </c>
    </row>
    <row r="10832">
      <c r="A10832" s="58">
        <v>45047.0</v>
      </c>
      <c r="B10832" s="24" t="s">
        <v>6789</v>
      </c>
      <c r="C10832" s="24" t="s">
        <v>6808</v>
      </c>
      <c r="D10832" s="59">
        <v>8.0</v>
      </c>
      <c r="E10832" s="59">
        <v>8.0</v>
      </c>
      <c r="F10832" s="59">
        <v>4.0</v>
      </c>
      <c r="G10832" s="60">
        <v>1.0</v>
      </c>
      <c r="H10832" s="60">
        <v>0.0</v>
      </c>
      <c r="I10832" s="60">
        <v>247.824787375</v>
      </c>
      <c r="J10832" s="59">
        <v>46.0</v>
      </c>
      <c r="K10832" s="61">
        <f t="shared" si="1"/>
        <v>0.5</v>
      </c>
      <c r="L10832" s="62">
        <f t="shared" si="2"/>
        <v>5.75</v>
      </c>
    </row>
    <row r="10833">
      <c r="A10833" s="58">
        <v>45047.0</v>
      </c>
      <c r="B10833" s="24" t="s">
        <v>6789</v>
      </c>
      <c r="C10833" s="24" t="s">
        <v>7101</v>
      </c>
      <c r="D10833" s="59">
        <v>8.0</v>
      </c>
      <c r="E10833" s="59">
        <v>8.0</v>
      </c>
      <c r="F10833" s="59">
        <v>3.0</v>
      </c>
      <c r="G10833" s="60">
        <v>1.0</v>
      </c>
      <c r="H10833" s="60">
        <v>0.25</v>
      </c>
      <c r="I10833" s="60">
        <v>33.13931475</v>
      </c>
      <c r="J10833" s="59">
        <v>22.0</v>
      </c>
      <c r="K10833" s="61">
        <f t="shared" si="1"/>
        <v>0.375</v>
      </c>
      <c r="L10833" s="62">
        <f t="shared" si="2"/>
        <v>2.75</v>
      </c>
    </row>
    <row r="10834">
      <c r="A10834" s="58">
        <v>45047.0</v>
      </c>
      <c r="B10834" s="24" t="s">
        <v>6787</v>
      </c>
      <c r="C10834" s="24" t="s">
        <v>7027</v>
      </c>
      <c r="D10834" s="59">
        <v>8.0</v>
      </c>
      <c r="E10834" s="59">
        <v>8.0</v>
      </c>
      <c r="F10834" s="59">
        <v>5.0</v>
      </c>
      <c r="G10834" s="60">
        <v>1.0</v>
      </c>
      <c r="H10834" s="60">
        <v>0.0</v>
      </c>
      <c r="I10834" s="60">
        <v>133.636992875</v>
      </c>
      <c r="J10834" s="59">
        <v>19.0</v>
      </c>
      <c r="K10834" s="61">
        <f t="shared" si="1"/>
        <v>0.625</v>
      </c>
      <c r="L10834" s="62">
        <f t="shared" si="2"/>
        <v>2.375</v>
      </c>
    </row>
    <row r="10835">
      <c r="A10835" s="58">
        <v>45047.0</v>
      </c>
      <c r="B10835" s="24" t="s">
        <v>155</v>
      </c>
      <c r="C10835" s="24" t="s">
        <v>6792</v>
      </c>
      <c r="D10835" s="59">
        <v>7.0</v>
      </c>
      <c r="E10835" s="59">
        <v>13.0</v>
      </c>
      <c r="F10835" s="59">
        <v>0.0</v>
      </c>
      <c r="G10835" s="60">
        <v>2.16666666666666</v>
      </c>
      <c r="H10835" s="60">
        <v>1.0</v>
      </c>
      <c r="I10835" s="60">
        <v>0.170916923076923</v>
      </c>
      <c r="J10835" s="59">
        <v>0.0</v>
      </c>
      <c r="K10835" s="61">
        <f t="shared" si="1"/>
        <v>0</v>
      </c>
      <c r="L10835" s="62">
        <f t="shared" si="2"/>
        <v>0</v>
      </c>
    </row>
    <row r="10836">
      <c r="A10836" s="58">
        <v>45047.0</v>
      </c>
      <c r="B10836" s="24" t="s">
        <v>6789</v>
      </c>
      <c r="C10836" s="24" t="s">
        <v>6953</v>
      </c>
      <c r="D10836" s="59">
        <v>7.0</v>
      </c>
      <c r="E10836" s="59">
        <v>7.0</v>
      </c>
      <c r="F10836" s="59">
        <v>7.0</v>
      </c>
      <c r="G10836" s="60">
        <v>1.0</v>
      </c>
      <c r="H10836" s="60">
        <v>0.0</v>
      </c>
      <c r="I10836" s="60">
        <v>92.7625158571428</v>
      </c>
      <c r="J10836" s="59">
        <v>16.0</v>
      </c>
      <c r="K10836" s="61">
        <f t="shared" si="1"/>
        <v>1</v>
      </c>
      <c r="L10836" s="62">
        <f t="shared" si="2"/>
        <v>2.285714286</v>
      </c>
    </row>
    <row r="10837">
      <c r="A10837" s="58">
        <v>45047.0</v>
      </c>
      <c r="B10837" s="24" t="s">
        <v>6787</v>
      </c>
      <c r="C10837" s="24" t="s">
        <v>7630</v>
      </c>
      <c r="D10837" s="59">
        <v>7.0</v>
      </c>
      <c r="E10837" s="59">
        <v>7.0</v>
      </c>
      <c r="F10837" s="59">
        <v>1.0</v>
      </c>
      <c r="G10837" s="60">
        <v>1.0</v>
      </c>
      <c r="H10837" s="60">
        <v>0.142857142857142</v>
      </c>
      <c r="I10837" s="60">
        <v>193.551722285714</v>
      </c>
      <c r="J10837" s="59">
        <v>65.0</v>
      </c>
      <c r="K10837" s="61">
        <f t="shared" si="1"/>
        <v>0.1428571429</v>
      </c>
      <c r="L10837" s="62">
        <f t="shared" si="2"/>
        <v>9.285714286</v>
      </c>
    </row>
    <row r="10838">
      <c r="A10838" s="58">
        <v>45047.0</v>
      </c>
      <c r="B10838" s="24" t="s">
        <v>6787</v>
      </c>
      <c r="C10838" s="24" t="s">
        <v>6886</v>
      </c>
      <c r="D10838" s="59">
        <v>7.0</v>
      </c>
      <c r="E10838" s="59">
        <v>7.0</v>
      </c>
      <c r="F10838" s="59">
        <v>6.0</v>
      </c>
      <c r="G10838" s="60">
        <v>1.0</v>
      </c>
      <c r="H10838" s="60">
        <v>0.0</v>
      </c>
      <c r="I10838" s="60">
        <v>26.0755558571428</v>
      </c>
      <c r="J10838" s="59">
        <v>18.0</v>
      </c>
      <c r="K10838" s="61">
        <f t="shared" si="1"/>
        <v>0.8571428571</v>
      </c>
      <c r="L10838" s="62">
        <f t="shared" si="2"/>
        <v>2.571428571</v>
      </c>
    </row>
    <row r="10839">
      <c r="A10839" s="58">
        <v>45047.0</v>
      </c>
      <c r="B10839" s="24" t="s">
        <v>155</v>
      </c>
      <c r="C10839" s="24" t="s">
        <v>6886</v>
      </c>
      <c r="D10839" s="59">
        <v>7.0</v>
      </c>
      <c r="E10839" s="59">
        <v>9.0</v>
      </c>
      <c r="F10839" s="59">
        <v>5.0</v>
      </c>
      <c r="G10839" s="60">
        <v>1.28571428571428</v>
      </c>
      <c r="H10839" s="60">
        <v>0.0</v>
      </c>
      <c r="I10839" s="60">
        <v>290.938005888888</v>
      </c>
      <c r="J10839" s="59">
        <v>28.0</v>
      </c>
      <c r="K10839" s="61">
        <f t="shared" si="1"/>
        <v>0.5555555556</v>
      </c>
      <c r="L10839" s="62">
        <f t="shared" si="2"/>
        <v>3.111111111</v>
      </c>
    </row>
    <row r="10840">
      <c r="A10840" s="58">
        <v>45047.0</v>
      </c>
      <c r="B10840" s="24" t="s">
        <v>6787</v>
      </c>
      <c r="C10840" s="24" t="s">
        <v>6799</v>
      </c>
      <c r="D10840" s="59">
        <v>7.0</v>
      </c>
      <c r="E10840" s="59">
        <v>7.0</v>
      </c>
      <c r="F10840" s="59">
        <v>5.0</v>
      </c>
      <c r="G10840" s="60">
        <v>1.0</v>
      </c>
      <c r="H10840" s="60">
        <v>0.0</v>
      </c>
      <c r="I10840" s="60">
        <v>148.563113285714</v>
      </c>
      <c r="J10840" s="59">
        <v>16.0</v>
      </c>
      <c r="K10840" s="61">
        <f t="shared" si="1"/>
        <v>0.7142857143</v>
      </c>
      <c r="L10840" s="62">
        <f t="shared" si="2"/>
        <v>2.285714286</v>
      </c>
    </row>
    <row r="10841">
      <c r="A10841" s="58">
        <v>45047.0</v>
      </c>
      <c r="B10841" s="24" t="s">
        <v>6789</v>
      </c>
      <c r="C10841" s="24" t="s">
        <v>6817</v>
      </c>
      <c r="D10841" s="59">
        <v>6.0</v>
      </c>
      <c r="E10841" s="59">
        <v>9.0</v>
      </c>
      <c r="F10841" s="59">
        <v>1.0</v>
      </c>
      <c r="G10841" s="60">
        <v>1.5</v>
      </c>
      <c r="H10841" s="60">
        <v>0.0</v>
      </c>
      <c r="I10841" s="60">
        <v>266.309902222222</v>
      </c>
      <c r="J10841" s="59">
        <v>36.0</v>
      </c>
      <c r="K10841" s="61">
        <f t="shared" si="1"/>
        <v>0.1111111111</v>
      </c>
      <c r="L10841" s="62">
        <f t="shared" si="2"/>
        <v>4</v>
      </c>
    </row>
    <row r="10842">
      <c r="A10842" s="58">
        <v>45047.0</v>
      </c>
      <c r="B10842" s="24" t="s">
        <v>6794</v>
      </c>
      <c r="C10842" s="24" t="s">
        <v>7063</v>
      </c>
      <c r="D10842" s="59">
        <v>6.0</v>
      </c>
      <c r="E10842" s="59">
        <v>7.0</v>
      </c>
      <c r="F10842" s="59">
        <v>5.0</v>
      </c>
      <c r="G10842" s="60">
        <v>1.16666666666666</v>
      </c>
      <c r="H10842" s="60">
        <v>0.0</v>
      </c>
      <c r="I10842" s="60">
        <v>19.4180831428571</v>
      </c>
      <c r="J10842" s="59">
        <v>16.0</v>
      </c>
      <c r="K10842" s="61">
        <f t="shared" si="1"/>
        <v>0.7142857143</v>
      </c>
      <c r="L10842" s="62">
        <f t="shared" si="2"/>
        <v>2.285714286</v>
      </c>
    </row>
    <row r="10843">
      <c r="A10843" s="58">
        <v>45047.0</v>
      </c>
      <c r="B10843" s="24" t="s">
        <v>6789</v>
      </c>
      <c r="C10843" s="24" t="s">
        <v>6800</v>
      </c>
      <c r="D10843" s="59">
        <v>6.0</v>
      </c>
      <c r="E10843" s="59">
        <v>7.0</v>
      </c>
      <c r="F10843" s="59">
        <v>4.0</v>
      </c>
      <c r="G10843" s="60">
        <v>1.16666666666666</v>
      </c>
      <c r="H10843" s="60">
        <v>0.0</v>
      </c>
      <c r="I10843" s="60">
        <v>238.601307571428</v>
      </c>
      <c r="J10843" s="59">
        <v>30.0</v>
      </c>
      <c r="K10843" s="61">
        <f t="shared" si="1"/>
        <v>0.5714285714</v>
      </c>
      <c r="L10843" s="62">
        <f t="shared" si="2"/>
        <v>4.285714286</v>
      </c>
    </row>
    <row r="10844">
      <c r="A10844" s="58">
        <v>45047.0</v>
      </c>
      <c r="B10844" s="24" t="s">
        <v>6789</v>
      </c>
      <c r="C10844" s="24" t="s">
        <v>6908</v>
      </c>
      <c r="D10844" s="59">
        <v>6.0</v>
      </c>
      <c r="E10844" s="59">
        <v>6.0</v>
      </c>
      <c r="F10844" s="59">
        <v>4.0</v>
      </c>
      <c r="G10844" s="60">
        <v>1.0</v>
      </c>
      <c r="H10844" s="60">
        <v>0.0</v>
      </c>
      <c r="I10844" s="60">
        <v>34.2306763333333</v>
      </c>
      <c r="J10844" s="59">
        <v>16.0</v>
      </c>
      <c r="K10844" s="61">
        <f t="shared" si="1"/>
        <v>0.6666666667</v>
      </c>
      <c r="L10844" s="62">
        <f t="shared" si="2"/>
        <v>2.666666667</v>
      </c>
    </row>
    <row r="10845">
      <c r="A10845" s="58">
        <v>45047.0</v>
      </c>
      <c r="B10845" s="24" t="s">
        <v>6789</v>
      </c>
      <c r="C10845" s="24" t="s">
        <v>7102</v>
      </c>
      <c r="D10845" s="59">
        <v>6.0</v>
      </c>
      <c r="E10845" s="59">
        <v>8.0</v>
      </c>
      <c r="F10845" s="59">
        <v>2.0</v>
      </c>
      <c r="G10845" s="60">
        <v>1.33333333333333</v>
      </c>
      <c r="H10845" s="60">
        <v>0.125</v>
      </c>
      <c r="I10845" s="60">
        <v>38.083478625</v>
      </c>
      <c r="J10845" s="59">
        <v>23.0</v>
      </c>
      <c r="K10845" s="61">
        <f t="shared" si="1"/>
        <v>0.25</v>
      </c>
      <c r="L10845" s="62">
        <f t="shared" si="2"/>
        <v>2.875</v>
      </c>
    </row>
    <row r="10846">
      <c r="A10846" s="58">
        <v>45047.0</v>
      </c>
      <c r="B10846" s="24" t="s">
        <v>6789</v>
      </c>
      <c r="C10846" s="24" t="s">
        <v>7059</v>
      </c>
      <c r="D10846" s="59">
        <v>5.0</v>
      </c>
      <c r="E10846" s="59">
        <v>5.0</v>
      </c>
      <c r="F10846" s="59">
        <v>4.0</v>
      </c>
      <c r="G10846" s="60">
        <v>1.0</v>
      </c>
      <c r="H10846" s="60">
        <v>0.0</v>
      </c>
      <c r="I10846" s="60">
        <v>284.906355199999</v>
      </c>
      <c r="J10846" s="59">
        <v>10.0</v>
      </c>
      <c r="K10846" s="61">
        <f t="shared" si="1"/>
        <v>0.8</v>
      </c>
      <c r="L10846" s="62">
        <f t="shared" si="2"/>
        <v>2</v>
      </c>
    </row>
    <row r="10847">
      <c r="A10847" s="58">
        <v>45047.0</v>
      </c>
      <c r="B10847" s="24" t="s">
        <v>6794</v>
      </c>
      <c r="C10847" s="24" t="s">
        <v>7068</v>
      </c>
      <c r="D10847" s="59">
        <v>5.0</v>
      </c>
      <c r="E10847" s="59">
        <v>5.0</v>
      </c>
      <c r="F10847" s="59">
        <v>3.0</v>
      </c>
      <c r="G10847" s="60">
        <v>1.0</v>
      </c>
      <c r="H10847" s="60">
        <v>0.0</v>
      </c>
      <c r="I10847" s="60">
        <v>119.9216588</v>
      </c>
      <c r="J10847" s="59">
        <v>16.0</v>
      </c>
      <c r="K10847" s="61">
        <f t="shared" si="1"/>
        <v>0.6</v>
      </c>
      <c r="L10847" s="62">
        <f t="shared" si="2"/>
        <v>3.2</v>
      </c>
    </row>
    <row r="10848">
      <c r="A10848" s="58">
        <v>45047.0</v>
      </c>
      <c r="B10848" s="24" t="s">
        <v>6789</v>
      </c>
      <c r="C10848" s="24" t="s">
        <v>7464</v>
      </c>
      <c r="D10848" s="59">
        <v>5.0</v>
      </c>
      <c r="E10848" s="59">
        <v>7.0</v>
      </c>
      <c r="F10848" s="59">
        <v>1.0</v>
      </c>
      <c r="G10848" s="60">
        <v>1.4</v>
      </c>
      <c r="H10848" s="60">
        <v>0.0</v>
      </c>
      <c r="I10848" s="60">
        <v>599.854919142857</v>
      </c>
      <c r="J10848" s="59">
        <v>84.0</v>
      </c>
      <c r="K10848" s="61">
        <f t="shared" si="1"/>
        <v>0.1428571429</v>
      </c>
      <c r="L10848" s="62">
        <f t="shared" si="2"/>
        <v>12</v>
      </c>
    </row>
    <row r="10849">
      <c r="A10849" s="58">
        <v>45047.0</v>
      </c>
      <c r="B10849" s="24" t="s">
        <v>6787</v>
      </c>
      <c r="C10849" s="24" t="s">
        <v>6997</v>
      </c>
      <c r="D10849" s="59">
        <v>5.0</v>
      </c>
      <c r="E10849" s="59">
        <v>5.0</v>
      </c>
      <c r="F10849" s="59">
        <v>3.0</v>
      </c>
      <c r="G10849" s="60">
        <v>1.0</v>
      </c>
      <c r="H10849" s="60">
        <v>0.0</v>
      </c>
      <c r="I10849" s="60">
        <v>339.0265344</v>
      </c>
      <c r="J10849" s="59">
        <v>25.0</v>
      </c>
      <c r="K10849" s="61">
        <f t="shared" si="1"/>
        <v>0.6</v>
      </c>
      <c r="L10849" s="62">
        <f t="shared" si="2"/>
        <v>5</v>
      </c>
    </row>
    <row r="10850">
      <c r="A10850" s="58">
        <v>45047.0</v>
      </c>
      <c r="B10850" s="24" t="s">
        <v>6789</v>
      </c>
      <c r="C10850" s="24" t="s">
        <v>6997</v>
      </c>
      <c r="D10850" s="59">
        <v>5.0</v>
      </c>
      <c r="E10850" s="59">
        <v>8.0</v>
      </c>
      <c r="F10850" s="59">
        <v>0.0</v>
      </c>
      <c r="G10850" s="60">
        <v>1.6</v>
      </c>
      <c r="H10850" s="60">
        <v>0.0</v>
      </c>
      <c r="I10850" s="60">
        <v>345.502072249999</v>
      </c>
      <c r="J10850" s="59">
        <v>28.0</v>
      </c>
      <c r="K10850" s="61">
        <f t="shared" si="1"/>
        <v>0</v>
      </c>
      <c r="L10850" s="62">
        <f t="shared" si="2"/>
        <v>3.5</v>
      </c>
    </row>
    <row r="10851">
      <c r="A10851" s="58">
        <v>45047.0</v>
      </c>
      <c r="B10851" s="24" t="s">
        <v>6942</v>
      </c>
      <c r="C10851" s="24" t="s">
        <v>7624</v>
      </c>
      <c r="D10851" s="59">
        <v>5.0</v>
      </c>
      <c r="E10851" s="59">
        <v>5.0</v>
      </c>
      <c r="F10851" s="59">
        <v>5.0</v>
      </c>
      <c r="G10851" s="60">
        <v>1.0</v>
      </c>
      <c r="H10851" s="60">
        <v>0.4</v>
      </c>
      <c r="I10851" s="60">
        <v>28.6353006</v>
      </c>
      <c r="J10851" s="59">
        <v>8.0</v>
      </c>
      <c r="K10851" s="61">
        <f t="shared" si="1"/>
        <v>1</v>
      </c>
      <c r="L10851" s="62">
        <f t="shared" si="2"/>
        <v>1.6</v>
      </c>
    </row>
    <row r="10852">
      <c r="A10852" s="58">
        <v>45047.0</v>
      </c>
      <c r="B10852" s="24" t="s">
        <v>6942</v>
      </c>
      <c r="C10852" s="24" t="s">
        <v>7206</v>
      </c>
      <c r="D10852" s="59">
        <v>5.0</v>
      </c>
      <c r="E10852" s="59">
        <v>5.0</v>
      </c>
      <c r="F10852" s="59">
        <v>5.0</v>
      </c>
      <c r="G10852" s="60">
        <v>1.0</v>
      </c>
      <c r="H10852" s="60">
        <v>0.8</v>
      </c>
      <c r="I10852" s="60">
        <v>0.803928999999999</v>
      </c>
      <c r="J10852" s="59">
        <v>6.0</v>
      </c>
      <c r="K10852" s="61">
        <f t="shared" si="1"/>
        <v>1</v>
      </c>
      <c r="L10852" s="62">
        <f t="shared" si="2"/>
        <v>1.2</v>
      </c>
    </row>
    <row r="10853">
      <c r="A10853" s="58">
        <v>45047.0</v>
      </c>
      <c r="B10853" s="24" t="s">
        <v>6789</v>
      </c>
      <c r="C10853" s="24" t="s">
        <v>7261</v>
      </c>
      <c r="D10853" s="59">
        <v>5.0</v>
      </c>
      <c r="E10853" s="59">
        <v>5.0</v>
      </c>
      <c r="F10853" s="59">
        <v>5.0</v>
      </c>
      <c r="G10853" s="60">
        <v>1.0</v>
      </c>
      <c r="H10853" s="60">
        <v>0.6</v>
      </c>
      <c r="I10853" s="60">
        <v>12.7244676</v>
      </c>
      <c r="J10853" s="59">
        <v>7.0</v>
      </c>
      <c r="K10853" s="61">
        <f t="shared" si="1"/>
        <v>1</v>
      </c>
      <c r="L10853" s="62">
        <f t="shared" si="2"/>
        <v>1.4</v>
      </c>
    </row>
    <row r="10854">
      <c r="A10854" s="58">
        <v>45047.0</v>
      </c>
      <c r="B10854" s="24" t="s">
        <v>6789</v>
      </c>
      <c r="C10854" s="24" t="s">
        <v>7313</v>
      </c>
      <c r="D10854" s="59">
        <v>5.0</v>
      </c>
      <c r="E10854" s="59">
        <v>10.0</v>
      </c>
      <c r="F10854" s="59">
        <v>0.0</v>
      </c>
      <c r="G10854" s="60">
        <v>2.0</v>
      </c>
      <c r="H10854" s="60">
        <v>0.0</v>
      </c>
      <c r="I10854" s="60">
        <v>315.018620799999</v>
      </c>
      <c r="J10854" s="59">
        <v>66.0</v>
      </c>
      <c r="K10854" s="61">
        <f t="shared" si="1"/>
        <v>0</v>
      </c>
      <c r="L10854" s="62">
        <f t="shared" si="2"/>
        <v>6.6</v>
      </c>
    </row>
    <row r="10855">
      <c r="A10855" s="58">
        <v>45047.0</v>
      </c>
      <c r="B10855" s="24" t="s">
        <v>6787</v>
      </c>
      <c r="C10855" s="24" t="s">
        <v>6910</v>
      </c>
      <c r="D10855" s="59">
        <v>5.0</v>
      </c>
      <c r="E10855" s="59">
        <v>5.0</v>
      </c>
      <c r="F10855" s="59">
        <v>5.0</v>
      </c>
      <c r="G10855" s="60">
        <v>1.0</v>
      </c>
      <c r="H10855" s="60">
        <v>0.6</v>
      </c>
      <c r="I10855" s="60">
        <v>10.2998166</v>
      </c>
      <c r="J10855" s="59">
        <v>6.0</v>
      </c>
      <c r="K10855" s="61">
        <f t="shared" si="1"/>
        <v>1</v>
      </c>
      <c r="L10855" s="62">
        <f t="shared" si="2"/>
        <v>1.2</v>
      </c>
    </row>
    <row r="10856">
      <c r="A10856" s="58">
        <v>45047.0</v>
      </c>
      <c r="B10856" s="24" t="s">
        <v>6789</v>
      </c>
      <c r="C10856" s="24" t="s">
        <v>7104</v>
      </c>
      <c r="D10856" s="59">
        <v>5.0</v>
      </c>
      <c r="E10856" s="59">
        <v>5.0</v>
      </c>
      <c r="F10856" s="59">
        <v>1.0</v>
      </c>
      <c r="G10856" s="60">
        <v>1.0</v>
      </c>
      <c r="H10856" s="60">
        <v>0.0</v>
      </c>
      <c r="I10856" s="60">
        <v>152.3747192</v>
      </c>
      <c r="J10856" s="59">
        <v>10.0</v>
      </c>
      <c r="K10856" s="61">
        <f t="shared" si="1"/>
        <v>0.2</v>
      </c>
      <c r="L10856" s="62">
        <f t="shared" si="2"/>
        <v>2</v>
      </c>
    </row>
    <row r="10857">
      <c r="A10857" s="58">
        <v>45047.0</v>
      </c>
      <c r="B10857" s="24" t="s">
        <v>6787</v>
      </c>
      <c r="C10857" s="24" t="s">
        <v>6803</v>
      </c>
      <c r="D10857" s="59">
        <v>4.0</v>
      </c>
      <c r="E10857" s="59">
        <v>4.0</v>
      </c>
      <c r="F10857" s="59">
        <v>2.0</v>
      </c>
      <c r="G10857" s="60">
        <v>1.0</v>
      </c>
      <c r="H10857" s="60">
        <v>0.0</v>
      </c>
      <c r="I10857" s="60">
        <v>266.341663</v>
      </c>
      <c r="J10857" s="59">
        <v>14.0</v>
      </c>
      <c r="K10857" s="61">
        <f t="shared" si="1"/>
        <v>0.5</v>
      </c>
      <c r="L10857" s="62">
        <f t="shared" si="2"/>
        <v>3.5</v>
      </c>
    </row>
    <row r="10858">
      <c r="A10858" s="58">
        <v>45047.0</v>
      </c>
      <c r="B10858" s="24" t="s">
        <v>155</v>
      </c>
      <c r="C10858" s="24" t="s">
        <v>6803</v>
      </c>
      <c r="D10858" s="59">
        <v>4.0</v>
      </c>
      <c r="E10858" s="59">
        <v>4.0</v>
      </c>
      <c r="F10858" s="59">
        <v>1.0</v>
      </c>
      <c r="G10858" s="60">
        <v>1.0</v>
      </c>
      <c r="H10858" s="60">
        <v>0.0</v>
      </c>
      <c r="I10858" s="60">
        <v>2700.06830125</v>
      </c>
      <c r="J10858" s="59">
        <v>111.0</v>
      </c>
      <c r="K10858" s="61">
        <f t="shared" si="1"/>
        <v>0.25</v>
      </c>
      <c r="L10858" s="62">
        <f t="shared" si="2"/>
        <v>27.75</v>
      </c>
    </row>
    <row r="10859">
      <c r="A10859" s="58">
        <v>45047.0</v>
      </c>
      <c r="B10859" s="24" t="s">
        <v>6789</v>
      </c>
      <c r="C10859" s="24" t="s">
        <v>6989</v>
      </c>
      <c r="D10859" s="59">
        <v>4.0</v>
      </c>
      <c r="E10859" s="59">
        <v>4.0</v>
      </c>
      <c r="F10859" s="59">
        <v>1.0</v>
      </c>
      <c r="G10859" s="60">
        <v>1.0</v>
      </c>
      <c r="H10859" s="60">
        <v>0.0</v>
      </c>
      <c r="I10859" s="60">
        <v>170.26106175</v>
      </c>
      <c r="J10859" s="59">
        <v>18.0</v>
      </c>
      <c r="K10859" s="61">
        <f t="shared" si="1"/>
        <v>0.25</v>
      </c>
      <c r="L10859" s="62">
        <f t="shared" si="2"/>
        <v>4.5</v>
      </c>
    </row>
    <row r="10860">
      <c r="A10860" s="58">
        <v>45047.0</v>
      </c>
      <c r="B10860" s="24" t="s">
        <v>3216</v>
      </c>
      <c r="C10860" s="24" t="s">
        <v>7074</v>
      </c>
      <c r="D10860" s="59">
        <v>4.0</v>
      </c>
      <c r="E10860" s="59">
        <v>4.0</v>
      </c>
      <c r="F10860" s="59">
        <v>3.0</v>
      </c>
      <c r="G10860" s="60">
        <v>1.0</v>
      </c>
      <c r="H10860" s="60">
        <v>0.0</v>
      </c>
      <c r="I10860" s="60">
        <v>1132.18835425</v>
      </c>
      <c r="J10860" s="59">
        <v>22.0</v>
      </c>
      <c r="K10860" s="61">
        <f t="shared" si="1"/>
        <v>0.75</v>
      </c>
      <c r="L10860" s="62">
        <f t="shared" si="2"/>
        <v>5.5</v>
      </c>
    </row>
    <row r="10861">
      <c r="A10861" s="58">
        <v>45047.0</v>
      </c>
      <c r="B10861" s="24" t="s">
        <v>6789</v>
      </c>
      <c r="C10861" s="24" t="s">
        <v>6886</v>
      </c>
      <c r="D10861" s="59">
        <v>4.0</v>
      </c>
      <c r="E10861" s="59">
        <v>4.0</v>
      </c>
      <c r="F10861" s="59">
        <v>2.0</v>
      </c>
      <c r="G10861" s="60">
        <v>1.0</v>
      </c>
      <c r="H10861" s="60">
        <v>0.5</v>
      </c>
      <c r="I10861" s="60">
        <v>25.68783925</v>
      </c>
      <c r="J10861" s="59">
        <v>14.0</v>
      </c>
      <c r="K10861" s="61">
        <f t="shared" si="1"/>
        <v>0.5</v>
      </c>
      <c r="L10861" s="62">
        <f t="shared" si="2"/>
        <v>3.5</v>
      </c>
    </row>
    <row r="10862">
      <c r="A10862" s="58">
        <v>45047.0</v>
      </c>
      <c r="B10862" s="24" t="s">
        <v>6794</v>
      </c>
      <c r="C10862" s="24" t="s">
        <v>6997</v>
      </c>
      <c r="D10862" s="59">
        <v>4.0</v>
      </c>
      <c r="E10862" s="59">
        <v>5.0</v>
      </c>
      <c r="F10862" s="59">
        <v>0.0</v>
      </c>
      <c r="G10862" s="60">
        <v>1.25</v>
      </c>
      <c r="H10862" s="60">
        <v>0.0</v>
      </c>
      <c r="I10862" s="60">
        <v>1415.5328396</v>
      </c>
      <c r="J10862" s="59">
        <v>30.0</v>
      </c>
      <c r="K10862" s="61">
        <f t="shared" si="1"/>
        <v>0</v>
      </c>
      <c r="L10862" s="62">
        <f t="shared" si="2"/>
        <v>6</v>
      </c>
    </row>
    <row r="10863">
      <c r="A10863" s="58">
        <v>45047.0</v>
      </c>
      <c r="B10863" s="24" t="s">
        <v>6789</v>
      </c>
      <c r="C10863" s="24" t="s">
        <v>6896</v>
      </c>
      <c r="D10863" s="59">
        <v>4.0</v>
      </c>
      <c r="E10863" s="59">
        <v>4.0</v>
      </c>
      <c r="F10863" s="59">
        <v>2.0</v>
      </c>
      <c r="G10863" s="60">
        <v>1.0</v>
      </c>
      <c r="H10863" s="60">
        <v>0.0</v>
      </c>
      <c r="I10863" s="60">
        <v>29.94515275</v>
      </c>
      <c r="J10863" s="59">
        <v>12.0</v>
      </c>
      <c r="K10863" s="61">
        <f t="shared" si="1"/>
        <v>0.5</v>
      </c>
      <c r="L10863" s="62">
        <f t="shared" si="2"/>
        <v>3</v>
      </c>
    </row>
    <row r="10864">
      <c r="A10864" s="58">
        <v>45047.0</v>
      </c>
      <c r="B10864" s="24" t="s">
        <v>3216</v>
      </c>
      <c r="C10864" s="24" t="s">
        <v>7439</v>
      </c>
      <c r="D10864" s="59">
        <v>4.0</v>
      </c>
      <c r="E10864" s="59">
        <v>6.0</v>
      </c>
      <c r="F10864" s="59">
        <v>2.0</v>
      </c>
      <c r="G10864" s="60">
        <v>1.5</v>
      </c>
      <c r="H10864" s="60">
        <v>0.0</v>
      </c>
      <c r="I10864" s="60">
        <v>149.654942333333</v>
      </c>
      <c r="J10864" s="59">
        <v>14.0</v>
      </c>
      <c r="K10864" s="61">
        <f t="shared" si="1"/>
        <v>0.3333333333</v>
      </c>
      <c r="L10864" s="62">
        <f t="shared" si="2"/>
        <v>2.333333333</v>
      </c>
    </row>
    <row r="10865">
      <c r="A10865" s="58">
        <v>45047.0</v>
      </c>
      <c r="B10865" s="24" t="s">
        <v>6794</v>
      </c>
      <c r="C10865" s="24" t="s">
        <v>7439</v>
      </c>
      <c r="D10865" s="59">
        <v>4.0</v>
      </c>
      <c r="E10865" s="59">
        <v>4.0</v>
      </c>
      <c r="F10865" s="59">
        <v>1.0</v>
      </c>
      <c r="G10865" s="60">
        <v>1.0</v>
      </c>
      <c r="H10865" s="60">
        <v>0.0</v>
      </c>
      <c r="I10865" s="60">
        <v>235.9877905</v>
      </c>
      <c r="J10865" s="59">
        <v>38.0</v>
      </c>
      <c r="K10865" s="61">
        <f t="shared" si="1"/>
        <v>0.25</v>
      </c>
      <c r="L10865" s="62">
        <f t="shared" si="2"/>
        <v>9.5</v>
      </c>
    </row>
    <row r="10866">
      <c r="A10866" s="58">
        <v>45047.0</v>
      </c>
      <c r="B10866" s="24" t="s">
        <v>6787</v>
      </c>
      <c r="C10866" s="24" t="s">
        <v>7227</v>
      </c>
      <c r="D10866" s="59">
        <v>4.0</v>
      </c>
      <c r="E10866" s="59">
        <v>4.0</v>
      </c>
      <c r="F10866" s="59">
        <v>4.0</v>
      </c>
      <c r="G10866" s="60">
        <v>1.0</v>
      </c>
      <c r="H10866" s="60">
        <v>0.0</v>
      </c>
      <c r="I10866" s="60">
        <v>4.98875149999999</v>
      </c>
      <c r="J10866" s="59">
        <v>8.0</v>
      </c>
      <c r="K10866" s="61">
        <f t="shared" si="1"/>
        <v>1</v>
      </c>
      <c r="L10866" s="62">
        <f t="shared" si="2"/>
        <v>2</v>
      </c>
    </row>
    <row r="10867">
      <c r="A10867" s="58">
        <v>45047.0</v>
      </c>
      <c r="B10867" s="24" t="s">
        <v>6787</v>
      </c>
      <c r="C10867" s="24" t="s">
        <v>6801</v>
      </c>
      <c r="D10867" s="59">
        <v>4.0</v>
      </c>
      <c r="E10867" s="59">
        <v>5.0</v>
      </c>
      <c r="F10867" s="59">
        <v>1.0</v>
      </c>
      <c r="G10867" s="60">
        <v>1.25</v>
      </c>
      <c r="H10867" s="60">
        <v>0.0</v>
      </c>
      <c r="I10867" s="60">
        <v>34.854783</v>
      </c>
      <c r="J10867" s="59">
        <v>18.0</v>
      </c>
      <c r="K10867" s="61">
        <f t="shared" si="1"/>
        <v>0.2</v>
      </c>
      <c r="L10867" s="62">
        <f t="shared" si="2"/>
        <v>3.6</v>
      </c>
    </row>
    <row r="10868">
      <c r="A10868" s="58">
        <v>45047.0</v>
      </c>
      <c r="B10868" s="24" t="s">
        <v>155</v>
      </c>
      <c r="C10868" s="24" t="s">
        <v>6815</v>
      </c>
      <c r="D10868" s="59">
        <v>4.0</v>
      </c>
      <c r="E10868" s="59">
        <v>7.0</v>
      </c>
      <c r="F10868" s="59">
        <v>2.0</v>
      </c>
      <c r="G10868" s="60">
        <v>1.75</v>
      </c>
      <c r="H10868" s="60">
        <v>0.0</v>
      </c>
      <c r="I10868" s="60">
        <v>694.158376857142</v>
      </c>
      <c r="J10868" s="59">
        <v>60.0</v>
      </c>
      <c r="K10868" s="61">
        <f t="shared" si="1"/>
        <v>0.2857142857</v>
      </c>
      <c r="L10868" s="62">
        <f t="shared" si="2"/>
        <v>8.571428571</v>
      </c>
    </row>
    <row r="10869">
      <c r="A10869" s="58">
        <v>45047.0</v>
      </c>
      <c r="B10869" s="24" t="s">
        <v>6789</v>
      </c>
      <c r="C10869" s="24" t="s">
        <v>6921</v>
      </c>
      <c r="D10869" s="59">
        <v>4.0</v>
      </c>
      <c r="E10869" s="59">
        <v>5.0</v>
      </c>
      <c r="F10869" s="59">
        <v>1.0</v>
      </c>
      <c r="G10869" s="60">
        <v>1.25</v>
      </c>
      <c r="H10869" s="60">
        <v>0.0</v>
      </c>
      <c r="I10869" s="60">
        <v>669.8806824</v>
      </c>
      <c r="J10869" s="59">
        <v>42.0</v>
      </c>
      <c r="K10869" s="61">
        <f t="shared" si="1"/>
        <v>0.2</v>
      </c>
      <c r="L10869" s="62">
        <f t="shared" si="2"/>
        <v>8.4</v>
      </c>
    </row>
    <row r="10870">
      <c r="A10870" s="58">
        <v>45047.0</v>
      </c>
      <c r="B10870" s="24" t="s">
        <v>6787</v>
      </c>
      <c r="C10870" s="24" t="s">
        <v>6931</v>
      </c>
      <c r="D10870" s="59">
        <v>4.0</v>
      </c>
      <c r="E10870" s="59">
        <v>4.0</v>
      </c>
      <c r="F10870" s="59">
        <v>4.0</v>
      </c>
      <c r="G10870" s="60">
        <v>1.0</v>
      </c>
      <c r="H10870" s="60">
        <v>0.0</v>
      </c>
      <c r="I10870" s="60">
        <v>24.3436212499999</v>
      </c>
      <c r="J10870" s="59">
        <v>8.0</v>
      </c>
      <c r="K10870" s="61">
        <f t="shared" si="1"/>
        <v>1</v>
      </c>
      <c r="L10870" s="62">
        <f t="shared" si="2"/>
        <v>2</v>
      </c>
    </row>
    <row r="10871">
      <c r="A10871" s="58">
        <v>45047.0</v>
      </c>
      <c r="B10871" s="24" t="s">
        <v>6791</v>
      </c>
      <c r="C10871" s="27"/>
      <c r="D10871" s="59">
        <v>3.0</v>
      </c>
      <c r="E10871" s="59">
        <v>4.0</v>
      </c>
      <c r="F10871" s="59">
        <v>0.0</v>
      </c>
      <c r="G10871" s="60">
        <v>1.33333333333333</v>
      </c>
      <c r="H10871" s="60">
        <v>0.0</v>
      </c>
      <c r="I10871" s="60">
        <v>221.80881875</v>
      </c>
      <c r="J10871" s="59">
        <v>12.0</v>
      </c>
      <c r="K10871" s="61">
        <f t="shared" si="1"/>
        <v>0</v>
      </c>
      <c r="L10871" s="62">
        <f t="shared" si="2"/>
        <v>3</v>
      </c>
    </row>
    <row r="10872">
      <c r="A10872" s="58">
        <v>45047.0</v>
      </c>
      <c r="B10872" s="24" t="s">
        <v>7606</v>
      </c>
      <c r="C10872" s="24" t="s">
        <v>6792</v>
      </c>
      <c r="D10872" s="59">
        <v>3.0</v>
      </c>
      <c r="E10872" s="59">
        <v>3.0</v>
      </c>
      <c r="F10872" s="59">
        <v>0.0</v>
      </c>
      <c r="G10872" s="60">
        <v>1.0</v>
      </c>
      <c r="H10872" s="60">
        <v>1.0</v>
      </c>
      <c r="I10872" s="60">
        <v>0.0</v>
      </c>
      <c r="J10872" s="59">
        <v>0.0</v>
      </c>
      <c r="K10872" s="61">
        <f t="shared" si="1"/>
        <v>0</v>
      </c>
      <c r="L10872" s="62">
        <f t="shared" si="2"/>
        <v>0</v>
      </c>
    </row>
    <row r="10873">
      <c r="A10873" s="58">
        <v>45047.0</v>
      </c>
      <c r="B10873" s="24" t="s">
        <v>6790</v>
      </c>
      <c r="C10873" s="24" t="s">
        <v>6803</v>
      </c>
      <c r="D10873" s="59">
        <v>3.0</v>
      </c>
      <c r="E10873" s="59">
        <v>3.0</v>
      </c>
      <c r="F10873" s="59">
        <v>0.0</v>
      </c>
      <c r="G10873" s="60">
        <v>1.0</v>
      </c>
      <c r="H10873" s="60">
        <v>0.333333333333333</v>
      </c>
      <c r="I10873" s="60">
        <v>51.5484266666666</v>
      </c>
      <c r="J10873" s="59">
        <v>7.0</v>
      </c>
      <c r="K10873" s="61">
        <f t="shared" si="1"/>
        <v>0</v>
      </c>
      <c r="L10873" s="62">
        <f t="shared" si="2"/>
        <v>2.333333333</v>
      </c>
    </row>
    <row r="10874">
      <c r="A10874" s="58">
        <v>45047.0</v>
      </c>
      <c r="B10874" s="24" t="s">
        <v>6787</v>
      </c>
      <c r="C10874" s="24" t="s">
        <v>7058</v>
      </c>
      <c r="D10874" s="59">
        <v>3.0</v>
      </c>
      <c r="E10874" s="59">
        <v>3.0</v>
      </c>
      <c r="F10874" s="59">
        <v>1.0</v>
      </c>
      <c r="G10874" s="60">
        <v>1.0</v>
      </c>
      <c r="H10874" s="60">
        <v>0.0</v>
      </c>
      <c r="I10874" s="60">
        <v>1658.11329366666</v>
      </c>
      <c r="J10874" s="59">
        <v>20.0</v>
      </c>
      <c r="K10874" s="61">
        <f t="shared" si="1"/>
        <v>0.3333333333</v>
      </c>
      <c r="L10874" s="62">
        <f t="shared" si="2"/>
        <v>6.666666667</v>
      </c>
    </row>
    <row r="10875">
      <c r="A10875" s="58">
        <v>45047.0</v>
      </c>
      <c r="B10875" s="24" t="s">
        <v>6789</v>
      </c>
      <c r="C10875" s="24" t="s">
        <v>6861</v>
      </c>
      <c r="D10875" s="59">
        <v>3.0</v>
      </c>
      <c r="E10875" s="59">
        <v>3.0</v>
      </c>
      <c r="F10875" s="59">
        <v>3.0</v>
      </c>
      <c r="G10875" s="60">
        <v>1.0</v>
      </c>
      <c r="H10875" s="60">
        <v>0.0</v>
      </c>
      <c r="I10875" s="60">
        <v>53.2379909999999</v>
      </c>
      <c r="J10875" s="59">
        <v>6.0</v>
      </c>
      <c r="K10875" s="61">
        <f t="shared" si="1"/>
        <v>1</v>
      </c>
      <c r="L10875" s="62">
        <f t="shared" si="2"/>
        <v>2</v>
      </c>
    </row>
    <row r="10876">
      <c r="A10876" s="58">
        <v>45047.0</v>
      </c>
      <c r="B10876" s="24" t="s">
        <v>6794</v>
      </c>
      <c r="C10876" s="24" t="s">
        <v>6835</v>
      </c>
      <c r="D10876" s="59">
        <v>3.0</v>
      </c>
      <c r="E10876" s="59">
        <v>3.0</v>
      </c>
      <c r="F10876" s="59">
        <v>3.0</v>
      </c>
      <c r="G10876" s="60">
        <v>1.0</v>
      </c>
      <c r="H10876" s="60">
        <v>0.0</v>
      </c>
      <c r="I10876" s="60">
        <v>60.8592383333333</v>
      </c>
      <c r="J10876" s="59">
        <v>7.0</v>
      </c>
      <c r="K10876" s="61">
        <f t="shared" si="1"/>
        <v>1</v>
      </c>
      <c r="L10876" s="62">
        <f t="shared" si="2"/>
        <v>2.333333333</v>
      </c>
    </row>
    <row r="10877">
      <c r="A10877" s="58">
        <v>45047.0</v>
      </c>
      <c r="B10877" s="24" t="s">
        <v>6789</v>
      </c>
      <c r="C10877" s="24" t="s">
        <v>7630</v>
      </c>
      <c r="D10877" s="59">
        <v>3.0</v>
      </c>
      <c r="E10877" s="59">
        <v>4.0</v>
      </c>
      <c r="F10877" s="59">
        <v>0.0</v>
      </c>
      <c r="G10877" s="60">
        <v>1.33333333333333</v>
      </c>
      <c r="H10877" s="60">
        <v>0.0</v>
      </c>
      <c r="I10877" s="60">
        <v>11.69248425</v>
      </c>
      <c r="J10877" s="59">
        <v>8.0</v>
      </c>
      <c r="K10877" s="61">
        <f t="shared" si="1"/>
        <v>0</v>
      </c>
      <c r="L10877" s="62">
        <f t="shared" si="2"/>
        <v>2</v>
      </c>
    </row>
    <row r="10878">
      <c r="A10878" s="58">
        <v>45047.0</v>
      </c>
      <c r="B10878" s="24" t="s">
        <v>6794</v>
      </c>
      <c r="C10878" s="24" t="s">
        <v>7630</v>
      </c>
      <c r="D10878" s="59">
        <v>3.0</v>
      </c>
      <c r="E10878" s="59">
        <v>4.0</v>
      </c>
      <c r="F10878" s="59">
        <v>0.0</v>
      </c>
      <c r="G10878" s="60">
        <v>1.33333333333333</v>
      </c>
      <c r="H10878" s="60">
        <v>0.0</v>
      </c>
      <c r="I10878" s="60">
        <v>414.49512975</v>
      </c>
      <c r="J10878" s="59">
        <v>16.0</v>
      </c>
      <c r="K10878" s="61">
        <f t="shared" si="1"/>
        <v>0</v>
      </c>
      <c r="L10878" s="62">
        <f t="shared" si="2"/>
        <v>4</v>
      </c>
    </row>
    <row r="10879">
      <c r="A10879" s="58">
        <v>45047.0</v>
      </c>
      <c r="B10879" s="24" t="s">
        <v>6789</v>
      </c>
      <c r="C10879" s="24" t="s">
        <v>6994</v>
      </c>
      <c r="D10879" s="59">
        <v>3.0</v>
      </c>
      <c r="E10879" s="59">
        <v>3.0</v>
      </c>
      <c r="F10879" s="59">
        <v>3.0</v>
      </c>
      <c r="G10879" s="60">
        <v>1.0</v>
      </c>
      <c r="H10879" s="60">
        <v>0.0</v>
      </c>
      <c r="I10879" s="60">
        <v>288.014746666666</v>
      </c>
      <c r="J10879" s="59">
        <v>6.0</v>
      </c>
      <c r="K10879" s="61">
        <f t="shared" si="1"/>
        <v>1</v>
      </c>
      <c r="L10879" s="62">
        <f t="shared" si="2"/>
        <v>2</v>
      </c>
    </row>
    <row r="10880">
      <c r="A10880" s="58">
        <v>45047.0</v>
      </c>
      <c r="B10880" s="24" t="s">
        <v>6789</v>
      </c>
      <c r="C10880" s="24" t="s">
        <v>7074</v>
      </c>
      <c r="D10880" s="59">
        <v>3.0</v>
      </c>
      <c r="E10880" s="59">
        <v>3.0</v>
      </c>
      <c r="F10880" s="59">
        <v>3.0</v>
      </c>
      <c r="G10880" s="60">
        <v>1.0</v>
      </c>
      <c r="H10880" s="60">
        <v>0.0</v>
      </c>
      <c r="I10880" s="60">
        <v>194.531844</v>
      </c>
      <c r="J10880" s="59">
        <v>15.0</v>
      </c>
      <c r="K10880" s="61">
        <f t="shared" si="1"/>
        <v>1</v>
      </c>
      <c r="L10880" s="62">
        <f t="shared" si="2"/>
        <v>5</v>
      </c>
    </row>
    <row r="10881">
      <c r="A10881" s="58">
        <v>45047.0</v>
      </c>
      <c r="B10881" s="24" t="s">
        <v>7606</v>
      </c>
      <c r="C10881" s="24" t="s">
        <v>6892</v>
      </c>
      <c r="D10881" s="59">
        <v>3.0</v>
      </c>
      <c r="E10881" s="59">
        <v>3.0</v>
      </c>
      <c r="F10881" s="59">
        <v>1.0</v>
      </c>
      <c r="G10881" s="60">
        <v>1.0</v>
      </c>
      <c r="H10881" s="60">
        <v>0.0</v>
      </c>
      <c r="I10881" s="60">
        <v>1.08161566666666</v>
      </c>
      <c r="J10881" s="59">
        <v>6.0</v>
      </c>
      <c r="K10881" s="61">
        <f t="shared" si="1"/>
        <v>0.3333333333</v>
      </c>
      <c r="L10881" s="62">
        <f t="shared" si="2"/>
        <v>2</v>
      </c>
    </row>
    <row r="10882">
      <c r="A10882" s="58">
        <v>45047.0</v>
      </c>
      <c r="B10882" s="24" t="s">
        <v>6787</v>
      </c>
      <c r="C10882" s="24" t="s">
        <v>7439</v>
      </c>
      <c r="D10882" s="59">
        <v>3.0</v>
      </c>
      <c r="E10882" s="59">
        <v>3.0</v>
      </c>
      <c r="F10882" s="59">
        <v>2.0</v>
      </c>
      <c r="G10882" s="60">
        <v>1.0</v>
      </c>
      <c r="H10882" s="60">
        <v>0.0</v>
      </c>
      <c r="I10882" s="60">
        <v>374.688808333333</v>
      </c>
      <c r="J10882" s="59">
        <v>18.0</v>
      </c>
      <c r="K10882" s="61">
        <f t="shared" si="1"/>
        <v>0.6666666667</v>
      </c>
      <c r="L10882" s="62">
        <f t="shared" si="2"/>
        <v>6</v>
      </c>
    </row>
    <row r="10883">
      <c r="A10883" s="58">
        <v>45047.0</v>
      </c>
      <c r="B10883" s="24" t="s">
        <v>6789</v>
      </c>
      <c r="C10883" s="24" t="s">
        <v>6905</v>
      </c>
      <c r="D10883" s="59">
        <v>3.0</v>
      </c>
      <c r="E10883" s="59">
        <v>3.0</v>
      </c>
      <c r="F10883" s="59">
        <v>0.0</v>
      </c>
      <c r="G10883" s="60">
        <v>1.0</v>
      </c>
      <c r="H10883" s="60">
        <v>0.0</v>
      </c>
      <c r="I10883" s="60">
        <v>79.5176313333333</v>
      </c>
      <c r="J10883" s="59">
        <v>10.0</v>
      </c>
      <c r="K10883" s="61">
        <f t="shared" si="1"/>
        <v>0</v>
      </c>
      <c r="L10883" s="62">
        <f t="shared" si="2"/>
        <v>3.333333333</v>
      </c>
    </row>
    <row r="10884">
      <c r="A10884" s="58">
        <v>45047.0</v>
      </c>
      <c r="B10884" s="24" t="s">
        <v>155</v>
      </c>
      <c r="C10884" s="24" t="s">
        <v>7013</v>
      </c>
      <c r="D10884" s="59">
        <v>3.0</v>
      </c>
      <c r="E10884" s="59">
        <v>5.0</v>
      </c>
      <c r="F10884" s="59">
        <v>1.0</v>
      </c>
      <c r="G10884" s="60">
        <v>1.66666666666666</v>
      </c>
      <c r="H10884" s="60">
        <v>0.0</v>
      </c>
      <c r="I10884" s="60">
        <v>193.8914466</v>
      </c>
      <c r="J10884" s="59">
        <v>20.0</v>
      </c>
      <c r="K10884" s="61">
        <f t="shared" si="1"/>
        <v>0.2</v>
      </c>
      <c r="L10884" s="62">
        <f t="shared" si="2"/>
        <v>4</v>
      </c>
    </row>
    <row r="10885">
      <c r="A10885" s="58">
        <v>45047.0</v>
      </c>
      <c r="B10885" s="24" t="s">
        <v>6787</v>
      </c>
      <c r="C10885" s="24" t="s">
        <v>7101</v>
      </c>
      <c r="D10885" s="59">
        <v>3.0</v>
      </c>
      <c r="E10885" s="59">
        <v>3.0</v>
      </c>
      <c r="F10885" s="59">
        <v>1.0</v>
      </c>
      <c r="G10885" s="60">
        <v>1.0</v>
      </c>
      <c r="H10885" s="60">
        <v>0.0</v>
      </c>
      <c r="I10885" s="60">
        <v>154.461194333333</v>
      </c>
      <c r="J10885" s="59">
        <v>11.0</v>
      </c>
      <c r="K10885" s="61">
        <f t="shared" si="1"/>
        <v>0.3333333333</v>
      </c>
      <c r="L10885" s="62">
        <f t="shared" si="2"/>
        <v>3.666666667</v>
      </c>
    </row>
    <row r="10886">
      <c r="A10886" s="58">
        <v>45047.0</v>
      </c>
      <c r="B10886" s="24" t="s">
        <v>6794</v>
      </c>
      <c r="C10886" s="24" t="s">
        <v>6908</v>
      </c>
      <c r="D10886" s="59">
        <v>3.0</v>
      </c>
      <c r="E10886" s="59">
        <v>3.0</v>
      </c>
      <c r="F10886" s="59">
        <v>3.0</v>
      </c>
      <c r="G10886" s="60">
        <v>1.0</v>
      </c>
      <c r="H10886" s="60">
        <v>0.0</v>
      </c>
      <c r="I10886" s="60">
        <v>9.052324</v>
      </c>
      <c r="J10886" s="59">
        <v>6.0</v>
      </c>
      <c r="K10886" s="61">
        <f t="shared" si="1"/>
        <v>1</v>
      </c>
      <c r="L10886" s="62">
        <f t="shared" si="2"/>
        <v>2</v>
      </c>
    </row>
    <row r="10887">
      <c r="A10887" s="58">
        <v>45047.0</v>
      </c>
      <c r="B10887" s="24" t="s">
        <v>6787</v>
      </c>
      <c r="C10887" s="24" t="s">
        <v>7172</v>
      </c>
      <c r="D10887" s="59">
        <v>3.0</v>
      </c>
      <c r="E10887" s="59">
        <v>3.0</v>
      </c>
      <c r="F10887" s="59">
        <v>2.0</v>
      </c>
      <c r="G10887" s="60">
        <v>1.0</v>
      </c>
      <c r="H10887" s="60">
        <v>0.0</v>
      </c>
      <c r="I10887" s="60">
        <v>106.360090666666</v>
      </c>
      <c r="J10887" s="59">
        <v>5.0</v>
      </c>
      <c r="K10887" s="61">
        <f t="shared" si="1"/>
        <v>0.6666666667</v>
      </c>
      <c r="L10887" s="62">
        <f t="shared" si="2"/>
        <v>1.666666667</v>
      </c>
    </row>
    <row r="10888">
      <c r="A10888" s="58">
        <v>45047.0</v>
      </c>
      <c r="B10888" s="24" t="s">
        <v>6789</v>
      </c>
      <c r="C10888" s="24" t="s">
        <v>7172</v>
      </c>
      <c r="D10888" s="59">
        <v>3.0</v>
      </c>
      <c r="E10888" s="59">
        <v>5.0</v>
      </c>
      <c r="F10888" s="59">
        <v>1.0</v>
      </c>
      <c r="G10888" s="60">
        <v>1.66666666666666</v>
      </c>
      <c r="H10888" s="60">
        <v>0.0</v>
      </c>
      <c r="I10888" s="60">
        <v>110.1396798</v>
      </c>
      <c r="J10888" s="59">
        <v>10.0</v>
      </c>
      <c r="K10888" s="61">
        <f t="shared" si="1"/>
        <v>0.2</v>
      </c>
      <c r="L10888" s="62">
        <f t="shared" si="2"/>
        <v>2</v>
      </c>
    </row>
    <row r="10889">
      <c r="A10889" s="58">
        <v>45047.0</v>
      </c>
      <c r="B10889" s="24" t="s">
        <v>6789</v>
      </c>
      <c r="C10889" s="24" t="s">
        <v>6801</v>
      </c>
      <c r="D10889" s="59">
        <v>3.0</v>
      </c>
      <c r="E10889" s="59">
        <v>5.0</v>
      </c>
      <c r="F10889" s="59">
        <v>0.0</v>
      </c>
      <c r="G10889" s="60">
        <v>1.66666666666666</v>
      </c>
      <c r="H10889" s="60">
        <v>0.0</v>
      </c>
      <c r="I10889" s="60">
        <v>113.980859599999</v>
      </c>
      <c r="J10889" s="59">
        <v>22.0</v>
      </c>
      <c r="K10889" s="61">
        <f t="shared" si="1"/>
        <v>0</v>
      </c>
      <c r="L10889" s="62">
        <f t="shared" si="2"/>
        <v>4.4</v>
      </c>
    </row>
    <row r="10890">
      <c r="A10890" s="58">
        <v>45047.0</v>
      </c>
      <c r="B10890" s="24" t="s">
        <v>6789</v>
      </c>
      <c r="C10890" s="24" t="s">
        <v>7027</v>
      </c>
      <c r="D10890" s="59">
        <v>3.0</v>
      </c>
      <c r="E10890" s="59">
        <v>3.0</v>
      </c>
      <c r="F10890" s="59">
        <v>0.0</v>
      </c>
      <c r="G10890" s="60">
        <v>1.0</v>
      </c>
      <c r="H10890" s="60">
        <v>0.0</v>
      </c>
      <c r="I10890" s="60">
        <v>607.635449333333</v>
      </c>
      <c r="J10890" s="59">
        <v>12.0</v>
      </c>
      <c r="K10890" s="61">
        <f t="shared" si="1"/>
        <v>0</v>
      </c>
      <c r="L10890" s="62">
        <f t="shared" si="2"/>
        <v>4</v>
      </c>
    </row>
    <row r="10891">
      <c r="A10891" s="58">
        <v>45047.0</v>
      </c>
      <c r="B10891" s="24" t="s">
        <v>6787</v>
      </c>
      <c r="C10891" s="24" t="s">
        <v>7180</v>
      </c>
      <c r="D10891" s="59">
        <v>3.0</v>
      </c>
      <c r="E10891" s="59">
        <v>3.0</v>
      </c>
      <c r="F10891" s="59">
        <v>1.0</v>
      </c>
      <c r="G10891" s="60">
        <v>1.0</v>
      </c>
      <c r="H10891" s="60">
        <v>0.0</v>
      </c>
      <c r="I10891" s="60">
        <v>87.6615393333333</v>
      </c>
      <c r="J10891" s="59">
        <v>12.0</v>
      </c>
      <c r="K10891" s="61">
        <f t="shared" si="1"/>
        <v>0.3333333333</v>
      </c>
      <c r="L10891" s="62">
        <f t="shared" si="2"/>
        <v>4</v>
      </c>
    </row>
    <row r="10892">
      <c r="A10892" s="58">
        <v>45047.0</v>
      </c>
      <c r="B10892" s="24" t="s">
        <v>6789</v>
      </c>
      <c r="C10892" s="24" t="s">
        <v>7180</v>
      </c>
      <c r="D10892" s="59">
        <v>3.0</v>
      </c>
      <c r="E10892" s="59">
        <v>6.0</v>
      </c>
      <c r="F10892" s="59">
        <v>2.0</v>
      </c>
      <c r="G10892" s="60">
        <v>2.0</v>
      </c>
      <c r="H10892" s="60">
        <v>0.0</v>
      </c>
      <c r="I10892" s="60">
        <v>28.4285198333333</v>
      </c>
      <c r="J10892" s="59">
        <v>13.0</v>
      </c>
      <c r="K10892" s="61">
        <f t="shared" si="1"/>
        <v>0.3333333333</v>
      </c>
      <c r="L10892" s="62">
        <f t="shared" si="2"/>
        <v>2.166666667</v>
      </c>
    </row>
    <row r="10893">
      <c r="A10893" s="58">
        <v>45047.0</v>
      </c>
      <c r="B10893" s="24" t="s">
        <v>6787</v>
      </c>
      <c r="C10893" s="24" t="s">
        <v>6922</v>
      </c>
      <c r="D10893" s="59">
        <v>3.0</v>
      </c>
      <c r="E10893" s="59">
        <v>3.0</v>
      </c>
      <c r="F10893" s="59">
        <v>2.0</v>
      </c>
      <c r="G10893" s="60">
        <v>1.0</v>
      </c>
      <c r="H10893" s="60">
        <v>0.333333333333333</v>
      </c>
      <c r="I10893" s="60">
        <v>3.34485899999999</v>
      </c>
      <c r="J10893" s="59">
        <v>5.0</v>
      </c>
      <c r="K10893" s="61">
        <f t="shared" si="1"/>
        <v>0.6666666667</v>
      </c>
      <c r="L10893" s="62">
        <f t="shared" si="2"/>
        <v>1.666666667</v>
      </c>
    </row>
    <row r="10894">
      <c r="A10894" s="58">
        <v>45047.0</v>
      </c>
      <c r="B10894" s="24" t="s">
        <v>6789</v>
      </c>
      <c r="C10894" s="24" t="s">
        <v>6922</v>
      </c>
      <c r="D10894" s="59">
        <v>3.0</v>
      </c>
      <c r="E10894" s="59">
        <v>3.0</v>
      </c>
      <c r="F10894" s="59">
        <v>0.0</v>
      </c>
      <c r="G10894" s="60">
        <v>1.0</v>
      </c>
      <c r="H10894" s="60">
        <v>0.0</v>
      </c>
      <c r="I10894" s="60">
        <v>43.0025296666666</v>
      </c>
      <c r="J10894" s="59">
        <v>7.0</v>
      </c>
      <c r="K10894" s="61">
        <f t="shared" si="1"/>
        <v>0</v>
      </c>
      <c r="L10894" s="62">
        <f t="shared" si="2"/>
        <v>2.333333333</v>
      </c>
    </row>
    <row r="10895">
      <c r="A10895" s="58">
        <v>45047.0</v>
      </c>
      <c r="B10895" s="24" t="s">
        <v>6942</v>
      </c>
      <c r="C10895" s="24" t="s">
        <v>6802</v>
      </c>
      <c r="D10895" s="59">
        <v>3.0</v>
      </c>
      <c r="E10895" s="59">
        <v>3.0</v>
      </c>
      <c r="F10895" s="59">
        <v>3.0</v>
      </c>
      <c r="G10895" s="60">
        <v>1.0</v>
      </c>
      <c r="H10895" s="60">
        <v>0.333333333333333</v>
      </c>
      <c r="I10895" s="60">
        <v>23.56731</v>
      </c>
      <c r="J10895" s="59">
        <v>5.0</v>
      </c>
      <c r="K10895" s="61">
        <f t="shared" si="1"/>
        <v>1</v>
      </c>
      <c r="L10895" s="62">
        <f t="shared" si="2"/>
        <v>1.666666667</v>
      </c>
    </row>
    <row r="10896">
      <c r="A10896" s="58">
        <v>45047.0</v>
      </c>
      <c r="B10896" s="24" t="s">
        <v>3216</v>
      </c>
      <c r="C10896" s="24" t="s">
        <v>6792</v>
      </c>
      <c r="D10896" s="59">
        <v>2.0</v>
      </c>
      <c r="E10896" s="59">
        <v>2.0</v>
      </c>
      <c r="F10896" s="59">
        <v>0.0</v>
      </c>
      <c r="G10896" s="60">
        <v>2.0</v>
      </c>
      <c r="H10896" s="60">
        <v>1.0</v>
      </c>
      <c r="I10896" s="60">
        <v>0.0</v>
      </c>
      <c r="J10896" s="59">
        <v>0.0</v>
      </c>
      <c r="K10896" s="61">
        <f t="shared" si="1"/>
        <v>0</v>
      </c>
      <c r="L10896" s="62">
        <f t="shared" si="2"/>
        <v>0</v>
      </c>
    </row>
    <row r="10897">
      <c r="A10897" s="58">
        <v>45047.0</v>
      </c>
      <c r="B10897" s="24" t="s">
        <v>6794</v>
      </c>
      <c r="C10897" s="24" t="s">
        <v>6803</v>
      </c>
      <c r="D10897" s="59">
        <v>2.0</v>
      </c>
      <c r="E10897" s="59">
        <v>2.0</v>
      </c>
      <c r="F10897" s="59">
        <v>2.0</v>
      </c>
      <c r="G10897" s="60">
        <v>1.0</v>
      </c>
      <c r="H10897" s="60">
        <v>0.0</v>
      </c>
      <c r="I10897" s="60">
        <v>86.173195</v>
      </c>
      <c r="J10897" s="59">
        <v>4.0</v>
      </c>
      <c r="K10897" s="61">
        <f t="shared" si="1"/>
        <v>1</v>
      </c>
      <c r="L10897" s="62">
        <f t="shared" si="2"/>
        <v>2</v>
      </c>
    </row>
    <row r="10898">
      <c r="A10898" s="58">
        <v>45047.0</v>
      </c>
      <c r="B10898" s="24" t="s">
        <v>6787</v>
      </c>
      <c r="C10898" s="24" t="s">
        <v>6817</v>
      </c>
      <c r="D10898" s="59">
        <v>2.0</v>
      </c>
      <c r="E10898" s="59">
        <v>2.0</v>
      </c>
      <c r="F10898" s="59">
        <v>0.0</v>
      </c>
      <c r="G10898" s="60">
        <v>1.0</v>
      </c>
      <c r="H10898" s="60">
        <v>0.0</v>
      </c>
      <c r="I10898" s="60">
        <v>2.0357795</v>
      </c>
      <c r="J10898" s="59">
        <v>5.0</v>
      </c>
      <c r="K10898" s="61">
        <f t="shared" si="1"/>
        <v>0</v>
      </c>
      <c r="L10898" s="62">
        <f t="shared" si="2"/>
        <v>2.5</v>
      </c>
    </row>
    <row r="10899">
      <c r="A10899" s="58">
        <v>45047.0</v>
      </c>
      <c r="B10899" s="24" t="s">
        <v>6789</v>
      </c>
      <c r="C10899" s="24" t="s">
        <v>7057</v>
      </c>
      <c r="D10899" s="59">
        <v>2.0</v>
      </c>
      <c r="E10899" s="59">
        <v>2.0</v>
      </c>
      <c r="F10899" s="59">
        <v>1.0</v>
      </c>
      <c r="G10899" s="60">
        <v>1.0</v>
      </c>
      <c r="H10899" s="60">
        <v>0.0</v>
      </c>
      <c r="I10899" s="60">
        <v>297.1902195</v>
      </c>
      <c r="J10899" s="59">
        <v>5.0</v>
      </c>
      <c r="K10899" s="61">
        <f t="shared" si="1"/>
        <v>0.5</v>
      </c>
      <c r="L10899" s="62">
        <f t="shared" si="2"/>
        <v>2.5</v>
      </c>
    </row>
    <row r="10900">
      <c r="A10900" s="58">
        <v>45047.0</v>
      </c>
      <c r="B10900" s="24" t="s">
        <v>6787</v>
      </c>
      <c r="C10900" s="24" t="s">
        <v>6819</v>
      </c>
      <c r="D10900" s="59">
        <v>2.0</v>
      </c>
      <c r="E10900" s="59">
        <v>2.0</v>
      </c>
      <c r="F10900" s="59">
        <v>2.0</v>
      </c>
      <c r="G10900" s="60">
        <v>1.0</v>
      </c>
      <c r="H10900" s="60">
        <v>0.0</v>
      </c>
      <c r="I10900" s="60">
        <v>169.0165455</v>
      </c>
      <c r="J10900" s="59">
        <v>6.0</v>
      </c>
      <c r="K10900" s="61">
        <f t="shared" si="1"/>
        <v>1</v>
      </c>
      <c r="L10900" s="62">
        <f t="shared" si="2"/>
        <v>3</v>
      </c>
    </row>
    <row r="10901">
      <c r="A10901" s="58">
        <v>45047.0</v>
      </c>
      <c r="B10901" s="24" t="s">
        <v>6789</v>
      </c>
      <c r="C10901" s="24" t="s">
        <v>6990</v>
      </c>
      <c r="D10901" s="59">
        <v>2.0</v>
      </c>
      <c r="E10901" s="59">
        <v>2.0</v>
      </c>
      <c r="F10901" s="59">
        <v>2.0</v>
      </c>
      <c r="G10901" s="60">
        <v>1.0</v>
      </c>
      <c r="H10901" s="60">
        <v>0.0</v>
      </c>
      <c r="I10901" s="60">
        <v>102.0167635</v>
      </c>
      <c r="J10901" s="59">
        <v>4.0</v>
      </c>
      <c r="K10901" s="61">
        <f t="shared" si="1"/>
        <v>1</v>
      </c>
      <c r="L10901" s="62">
        <f t="shared" si="2"/>
        <v>2</v>
      </c>
    </row>
    <row r="10902">
      <c r="A10902" s="58">
        <v>45047.0</v>
      </c>
      <c r="B10902" s="24" t="s">
        <v>6787</v>
      </c>
      <c r="C10902" s="24" t="s">
        <v>7640</v>
      </c>
      <c r="D10902" s="59">
        <v>2.0</v>
      </c>
      <c r="E10902" s="59">
        <v>2.0</v>
      </c>
      <c r="F10902" s="59">
        <v>0.0</v>
      </c>
      <c r="G10902" s="60">
        <v>1.0</v>
      </c>
      <c r="H10902" s="60">
        <v>0.0</v>
      </c>
      <c r="I10902" s="60">
        <v>547.1779675</v>
      </c>
      <c r="J10902" s="59">
        <v>4.0</v>
      </c>
      <c r="K10902" s="61">
        <f t="shared" si="1"/>
        <v>0</v>
      </c>
      <c r="L10902" s="62">
        <f t="shared" si="2"/>
        <v>2</v>
      </c>
    </row>
    <row r="10903">
      <c r="A10903" s="58">
        <v>45047.0</v>
      </c>
      <c r="B10903" s="24" t="s">
        <v>6787</v>
      </c>
      <c r="C10903" s="24" t="s">
        <v>7464</v>
      </c>
      <c r="D10903" s="59">
        <v>2.0</v>
      </c>
      <c r="E10903" s="59">
        <v>2.0</v>
      </c>
      <c r="F10903" s="59">
        <v>0.0</v>
      </c>
      <c r="G10903" s="60">
        <v>1.0</v>
      </c>
      <c r="H10903" s="60">
        <v>0.0</v>
      </c>
      <c r="I10903" s="60">
        <v>15.4879925</v>
      </c>
      <c r="J10903" s="59">
        <v>4.0</v>
      </c>
      <c r="K10903" s="61">
        <f t="shared" si="1"/>
        <v>0</v>
      </c>
      <c r="L10903" s="62">
        <f t="shared" si="2"/>
        <v>2</v>
      </c>
    </row>
    <row r="10904">
      <c r="A10904" s="58">
        <v>45047.0</v>
      </c>
      <c r="B10904" s="24" t="s">
        <v>6787</v>
      </c>
      <c r="C10904" s="24" t="s">
        <v>7074</v>
      </c>
      <c r="D10904" s="59">
        <v>2.0</v>
      </c>
      <c r="E10904" s="59">
        <v>2.0</v>
      </c>
      <c r="F10904" s="59">
        <v>2.0</v>
      </c>
      <c r="G10904" s="60">
        <v>1.0</v>
      </c>
      <c r="H10904" s="60">
        <v>0.0</v>
      </c>
      <c r="I10904" s="60">
        <v>653.3810935</v>
      </c>
      <c r="J10904" s="59">
        <v>10.0</v>
      </c>
      <c r="K10904" s="61">
        <f t="shared" si="1"/>
        <v>1</v>
      </c>
      <c r="L10904" s="62">
        <f t="shared" si="2"/>
        <v>5</v>
      </c>
    </row>
    <row r="10905">
      <c r="A10905" s="58">
        <v>45047.0</v>
      </c>
      <c r="B10905" s="24" t="s">
        <v>6794</v>
      </c>
      <c r="C10905" s="24" t="s">
        <v>6799</v>
      </c>
      <c r="D10905" s="59">
        <v>2.0</v>
      </c>
      <c r="E10905" s="59">
        <v>3.0</v>
      </c>
      <c r="F10905" s="59">
        <v>0.0</v>
      </c>
      <c r="G10905" s="60">
        <v>1.5</v>
      </c>
      <c r="H10905" s="60">
        <v>0.0</v>
      </c>
      <c r="I10905" s="60">
        <v>112.338836</v>
      </c>
      <c r="J10905" s="59">
        <v>12.0</v>
      </c>
      <c r="K10905" s="61">
        <f t="shared" si="1"/>
        <v>0</v>
      </c>
      <c r="L10905" s="62">
        <f t="shared" si="2"/>
        <v>4</v>
      </c>
    </row>
    <row r="10906">
      <c r="A10906" s="58">
        <v>45047.0</v>
      </c>
      <c r="B10906" s="24" t="s">
        <v>6787</v>
      </c>
      <c r="C10906" s="24" t="s">
        <v>7129</v>
      </c>
      <c r="D10906" s="59">
        <v>2.0</v>
      </c>
      <c r="E10906" s="59">
        <v>2.0</v>
      </c>
      <c r="F10906" s="59">
        <v>2.0</v>
      </c>
      <c r="G10906" s="60">
        <v>1.0</v>
      </c>
      <c r="H10906" s="60">
        <v>0.0</v>
      </c>
      <c r="I10906" s="60">
        <v>22.571254</v>
      </c>
      <c r="J10906" s="59">
        <v>4.0</v>
      </c>
      <c r="K10906" s="61">
        <f t="shared" si="1"/>
        <v>1</v>
      </c>
      <c r="L10906" s="62">
        <f t="shared" si="2"/>
        <v>2</v>
      </c>
    </row>
    <row r="10907">
      <c r="A10907" s="58">
        <v>45047.0</v>
      </c>
      <c r="B10907" s="24" t="s">
        <v>6789</v>
      </c>
      <c r="C10907" s="24" t="s">
        <v>6897</v>
      </c>
      <c r="D10907" s="59">
        <v>2.0</v>
      </c>
      <c r="E10907" s="59">
        <v>4.0</v>
      </c>
      <c r="F10907" s="59">
        <v>1.0</v>
      </c>
      <c r="G10907" s="60">
        <v>2.0</v>
      </c>
      <c r="H10907" s="60">
        <v>0.0</v>
      </c>
      <c r="I10907" s="60">
        <v>10.0105455</v>
      </c>
      <c r="J10907" s="59">
        <v>10.0</v>
      </c>
      <c r="K10907" s="61">
        <f t="shared" si="1"/>
        <v>0.25</v>
      </c>
      <c r="L10907" s="62">
        <f t="shared" si="2"/>
        <v>2.5</v>
      </c>
    </row>
    <row r="10908">
      <c r="A10908" s="58">
        <v>45047.0</v>
      </c>
      <c r="B10908" s="24" t="s">
        <v>6787</v>
      </c>
      <c r="C10908" s="24" t="s">
        <v>6904</v>
      </c>
      <c r="D10908" s="59">
        <v>2.0</v>
      </c>
      <c r="E10908" s="59">
        <v>2.0</v>
      </c>
      <c r="F10908" s="59">
        <v>2.0</v>
      </c>
      <c r="G10908" s="60">
        <v>1.0</v>
      </c>
      <c r="H10908" s="60">
        <v>0.0</v>
      </c>
      <c r="I10908" s="60">
        <v>7.55639949999999</v>
      </c>
      <c r="J10908" s="59">
        <v>6.0</v>
      </c>
      <c r="K10908" s="61">
        <f t="shared" si="1"/>
        <v>1</v>
      </c>
      <c r="L10908" s="62">
        <f t="shared" si="2"/>
        <v>3</v>
      </c>
    </row>
    <row r="10909">
      <c r="A10909" s="58">
        <v>45047.0</v>
      </c>
      <c r="B10909" s="24" t="s">
        <v>6790</v>
      </c>
      <c r="C10909" s="24" t="s">
        <v>7624</v>
      </c>
      <c r="D10909" s="59">
        <v>2.0</v>
      </c>
      <c r="E10909" s="59">
        <v>2.0</v>
      </c>
      <c r="F10909" s="59">
        <v>0.0</v>
      </c>
      <c r="G10909" s="60">
        <v>1.0</v>
      </c>
      <c r="H10909" s="60">
        <v>0.0</v>
      </c>
      <c r="I10909" s="60">
        <v>644.2538115</v>
      </c>
      <c r="J10909" s="59">
        <v>6.0</v>
      </c>
      <c r="K10909" s="61">
        <f t="shared" si="1"/>
        <v>0</v>
      </c>
      <c r="L10909" s="62">
        <f t="shared" si="2"/>
        <v>3</v>
      </c>
    </row>
    <row r="10910">
      <c r="A10910" s="58">
        <v>45047.0</v>
      </c>
      <c r="B10910" s="24" t="s">
        <v>6794</v>
      </c>
      <c r="C10910" s="24" t="s">
        <v>7206</v>
      </c>
      <c r="D10910" s="59">
        <v>2.0</v>
      </c>
      <c r="E10910" s="59">
        <v>3.0</v>
      </c>
      <c r="F10910" s="59">
        <v>0.0</v>
      </c>
      <c r="G10910" s="60">
        <v>1.5</v>
      </c>
      <c r="H10910" s="60">
        <v>0.0</v>
      </c>
      <c r="I10910" s="60">
        <v>38.009482</v>
      </c>
      <c r="J10910" s="59">
        <v>8.0</v>
      </c>
      <c r="K10910" s="61">
        <f t="shared" si="1"/>
        <v>0</v>
      </c>
      <c r="L10910" s="62">
        <f t="shared" si="2"/>
        <v>2.666666667</v>
      </c>
    </row>
    <row r="10911">
      <c r="A10911" s="58">
        <v>45047.0</v>
      </c>
      <c r="B10911" s="24" t="s">
        <v>155</v>
      </c>
      <c r="C10911" s="24" t="s">
        <v>7206</v>
      </c>
      <c r="D10911" s="59">
        <v>2.0</v>
      </c>
      <c r="E10911" s="59">
        <v>2.0</v>
      </c>
      <c r="F10911" s="59">
        <v>1.0</v>
      </c>
      <c r="G10911" s="60">
        <v>1.0</v>
      </c>
      <c r="H10911" s="60">
        <v>0.0</v>
      </c>
      <c r="I10911" s="60">
        <v>254.9100045</v>
      </c>
      <c r="J10911" s="59">
        <v>4.0</v>
      </c>
      <c r="K10911" s="61">
        <f t="shared" si="1"/>
        <v>0.5</v>
      </c>
      <c r="L10911" s="62">
        <f t="shared" si="2"/>
        <v>2</v>
      </c>
    </row>
    <row r="10912">
      <c r="A10912" s="58">
        <v>45047.0</v>
      </c>
      <c r="B10912" s="24" t="s">
        <v>6794</v>
      </c>
      <c r="C10912" s="24" t="s">
        <v>6808</v>
      </c>
      <c r="D10912" s="59">
        <v>2.0</v>
      </c>
      <c r="E10912" s="59">
        <v>2.0</v>
      </c>
      <c r="F10912" s="59">
        <v>0.0</v>
      </c>
      <c r="G10912" s="60">
        <v>1.0</v>
      </c>
      <c r="H10912" s="60">
        <v>0.0</v>
      </c>
      <c r="I10912" s="60">
        <v>5.6557075</v>
      </c>
      <c r="J10912" s="59">
        <v>4.0</v>
      </c>
      <c r="K10912" s="61">
        <f t="shared" si="1"/>
        <v>0</v>
      </c>
      <c r="L10912" s="62">
        <f t="shared" si="2"/>
        <v>2</v>
      </c>
    </row>
    <row r="10913">
      <c r="A10913" s="58">
        <v>45047.0</v>
      </c>
      <c r="B10913" s="24" t="s">
        <v>6790</v>
      </c>
      <c r="C10913" s="24" t="s">
        <v>7013</v>
      </c>
      <c r="D10913" s="59">
        <v>2.0</v>
      </c>
      <c r="E10913" s="59">
        <v>3.0</v>
      </c>
      <c r="F10913" s="59">
        <v>1.0</v>
      </c>
      <c r="G10913" s="60">
        <v>1.5</v>
      </c>
      <c r="H10913" s="60">
        <v>0.333333333333333</v>
      </c>
      <c r="I10913" s="60">
        <v>18.6611766666666</v>
      </c>
      <c r="J10913" s="59">
        <v>5.0</v>
      </c>
      <c r="K10913" s="61">
        <f t="shared" si="1"/>
        <v>0.3333333333</v>
      </c>
      <c r="L10913" s="62">
        <f t="shared" si="2"/>
        <v>1.666666667</v>
      </c>
    </row>
    <row r="10914">
      <c r="A10914" s="58">
        <v>45047.0</v>
      </c>
      <c r="B10914" s="24" t="s">
        <v>6787</v>
      </c>
      <c r="C10914" s="24" t="s">
        <v>7313</v>
      </c>
      <c r="D10914" s="59">
        <v>2.0</v>
      </c>
      <c r="E10914" s="59">
        <v>2.0</v>
      </c>
      <c r="F10914" s="59">
        <v>2.0</v>
      </c>
      <c r="G10914" s="60">
        <v>1.0</v>
      </c>
      <c r="H10914" s="60">
        <v>0.0</v>
      </c>
      <c r="I10914" s="60">
        <v>155.221874</v>
      </c>
      <c r="J10914" s="59">
        <v>10.0</v>
      </c>
      <c r="K10914" s="61">
        <f t="shared" si="1"/>
        <v>1</v>
      </c>
      <c r="L10914" s="62">
        <f t="shared" si="2"/>
        <v>5</v>
      </c>
    </row>
    <row r="10915">
      <c r="A10915" s="58">
        <v>45047.0</v>
      </c>
      <c r="B10915" s="24" t="s">
        <v>6790</v>
      </c>
      <c r="C10915" s="24" t="s">
        <v>7313</v>
      </c>
      <c r="D10915" s="59">
        <v>2.0</v>
      </c>
      <c r="E10915" s="59">
        <v>3.0</v>
      </c>
      <c r="F10915" s="59">
        <v>0.0</v>
      </c>
      <c r="G10915" s="60">
        <v>1.5</v>
      </c>
      <c r="H10915" s="60">
        <v>0.0</v>
      </c>
      <c r="I10915" s="60">
        <v>79.337982</v>
      </c>
      <c r="J10915" s="59">
        <v>6.0</v>
      </c>
      <c r="K10915" s="61">
        <f t="shared" si="1"/>
        <v>0</v>
      </c>
      <c r="L10915" s="62">
        <f t="shared" si="2"/>
        <v>2</v>
      </c>
    </row>
    <row r="10916">
      <c r="A10916" s="58">
        <v>45047.0</v>
      </c>
      <c r="B10916" s="24" t="s">
        <v>155</v>
      </c>
      <c r="C10916" s="24" t="s">
        <v>7641</v>
      </c>
      <c r="D10916" s="59">
        <v>2.0</v>
      </c>
      <c r="E10916" s="59">
        <v>2.0</v>
      </c>
      <c r="F10916" s="59">
        <v>2.0</v>
      </c>
      <c r="G10916" s="60">
        <v>1.0</v>
      </c>
      <c r="H10916" s="60">
        <v>0.0</v>
      </c>
      <c r="I10916" s="60">
        <v>637.4573145</v>
      </c>
      <c r="J10916" s="59">
        <v>20.0</v>
      </c>
      <c r="K10916" s="61">
        <f t="shared" si="1"/>
        <v>1</v>
      </c>
      <c r="L10916" s="62">
        <f t="shared" si="2"/>
        <v>10</v>
      </c>
    </row>
    <row r="10917">
      <c r="A10917" s="58">
        <v>45047.0</v>
      </c>
      <c r="B10917" s="24" t="s">
        <v>6790</v>
      </c>
      <c r="C10917" s="24" t="s">
        <v>6801</v>
      </c>
      <c r="D10917" s="59">
        <v>2.0</v>
      </c>
      <c r="E10917" s="59">
        <v>2.0</v>
      </c>
      <c r="F10917" s="59">
        <v>0.0</v>
      </c>
      <c r="G10917" s="60">
        <v>1.0</v>
      </c>
      <c r="H10917" s="60">
        <v>0.0</v>
      </c>
      <c r="I10917" s="60">
        <v>3872.197186</v>
      </c>
      <c r="J10917" s="59">
        <v>40.0</v>
      </c>
      <c r="K10917" s="61">
        <f t="shared" si="1"/>
        <v>0</v>
      </c>
      <c r="L10917" s="62">
        <f t="shared" si="2"/>
        <v>20</v>
      </c>
    </row>
    <row r="10918">
      <c r="A10918" s="58">
        <v>45047.0</v>
      </c>
      <c r="B10918" s="24" t="s">
        <v>6787</v>
      </c>
      <c r="C10918" s="24" t="s">
        <v>7102</v>
      </c>
      <c r="D10918" s="59">
        <v>2.0</v>
      </c>
      <c r="E10918" s="59">
        <v>2.0</v>
      </c>
      <c r="F10918" s="59">
        <v>1.0</v>
      </c>
      <c r="G10918" s="60">
        <v>2.0</v>
      </c>
      <c r="H10918" s="60">
        <v>0.5</v>
      </c>
      <c r="I10918" s="60">
        <v>21.28179</v>
      </c>
      <c r="J10918" s="59">
        <v>2.0</v>
      </c>
      <c r="K10918" s="61">
        <f t="shared" si="1"/>
        <v>0.5</v>
      </c>
      <c r="L10918" s="62">
        <f t="shared" si="2"/>
        <v>1</v>
      </c>
    </row>
    <row r="10919">
      <c r="A10919" s="58">
        <v>45047.0</v>
      </c>
      <c r="B10919" s="24" t="s">
        <v>6789</v>
      </c>
      <c r="C10919" s="24" t="s">
        <v>7174</v>
      </c>
      <c r="D10919" s="59">
        <v>2.0</v>
      </c>
      <c r="E10919" s="59">
        <v>2.0</v>
      </c>
      <c r="F10919" s="59">
        <v>1.0</v>
      </c>
      <c r="G10919" s="60">
        <v>1.0</v>
      </c>
      <c r="H10919" s="60">
        <v>0.0</v>
      </c>
      <c r="I10919" s="60">
        <v>6.514312</v>
      </c>
      <c r="J10919" s="59">
        <v>20.0</v>
      </c>
      <c r="K10919" s="61">
        <f t="shared" si="1"/>
        <v>0.5</v>
      </c>
      <c r="L10919" s="62">
        <f t="shared" si="2"/>
        <v>10</v>
      </c>
    </row>
    <row r="10920">
      <c r="A10920" s="58">
        <v>45047.0</v>
      </c>
      <c r="B10920" s="24" t="s">
        <v>6794</v>
      </c>
      <c r="C10920" s="24" t="s">
        <v>7174</v>
      </c>
      <c r="D10920" s="59">
        <v>2.0</v>
      </c>
      <c r="E10920" s="59">
        <v>2.0</v>
      </c>
      <c r="F10920" s="59">
        <v>1.0</v>
      </c>
      <c r="G10920" s="60">
        <v>1.0</v>
      </c>
      <c r="H10920" s="60">
        <v>0.0</v>
      </c>
      <c r="I10920" s="60">
        <v>5.527425</v>
      </c>
      <c r="J10920" s="59">
        <v>6.0</v>
      </c>
      <c r="K10920" s="61">
        <f t="shared" si="1"/>
        <v>0.5</v>
      </c>
      <c r="L10920" s="62">
        <f t="shared" si="2"/>
        <v>3</v>
      </c>
    </row>
    <row r="10921">
      <c r="A10921" s="58">
        <v>45047.0</v>
      </c>
      <c r="B10921" s="24" t="s">
        <v>7606</v>
      </c>
      <c r="C10921" s="24" t="s">
        <v>6921</v>
      </c>
      <c r="D10921" s="59">
        <v>2.0</v>
      </c>
      <c r="E10921" s="59">
        <v>3.0</v>
      </c>
      <c r="F10921" s="59">
        <v>2.0</v>
      </c>
      <c r="G10921" s="60">
        <v>1.5</v>
      </c>
      <c r="H10921" s="60">
        <v>0.0</v>
      </c>
      <c r="I10921" s="60">
        <v>3.65612999999999</v>
      </c>
      <c r="J10921" s="59">
        <v>6.0</v>
      </c>
      <c r="K10921" s="61">
        <f t="shared" si="1"/>
        <v>0.6666666667</v>
      </c>
      <c r="L10921" s="62">
        <f t="shared" si="2"/>
        <v>2</v>
      </c>
    </row>
    <row r="10922">
      <c r="A10922" s="58">
        <v>45047.0</v>
      </c>
      <c r="B10922" s="24" t="s">
        <v>6794</v>
      </c>
      <c r="C10922" s="24" t="s">
        <v>6922</v>
      </c>
      <c r="D10922" s="59">
        <v>2.0</v>
      </c>
      <c r="E10922" s="59">
        <v>3.0</v>
      </c>
      <c r="F10922" s="59">
        <v>0.0</v>
      </c>
      <c r="G10922" s="60">
        <v>1.5</v>
      </c>
      <c r="H10922" s="60">
        <v>0.0</v>
      </c>
      <c r="I10922" s="60">
        <v>2.51393599999999</v>
      </c>
      <c r="J10922" s="59">
        <v>6.0</v>
      </c>
      <c r="K10922" s="61">
        <f t="shared" si="1"/>
        <v>0</v>
      </c>
      <c r="L10922" s="62">
        <f t="shared" si="2"/>
        <v>2</v>
      </c>
    </row>
    <row r="10923">
      <c r="A10923" s="58">
        <v>45047.0</v>
      </c>
      <c r="B10923" s="24" t="s">
        <v>6942</v>
      </c>
      <c r="C10923" s="24" t="s">
        <v>6922</v>
      </c>
      <c r="D10923" s="59">
        <v>2.0</v>
      </c>
      <c r="E10923" s="59">
        <v>2.0</v>
      </c>
      <c r="F10923" s="59">
        <v>2.0</v>
      </c>
      <c r="G10923" s="60">
        <v>1.0</v>
      </c>
      <c r="H10923" s="60">
        <v>0.0</v>
      </c>
      <c r="I10923" s="60">
        <v>59.72804</v>
      </c>
      <c r="J10923" s="59">
        <v>4.0</v>
      </c>
      <c r="K10923" s="61">
        <f t="shared" si="1"/>
        <v>1</v>
      </c>
      <c r="L10923" s="62">
        <f t="shared" si="2"/>
        <v>2</v>
      </c>
    </row>
    <row r="10924">
      <c r="A10924" s="58">
        <v>45047.0</v>
      </c>
      <c r="B10924" s="24" t="s">
        <v>6787</v>
      </c>
      <c r="C10924" s="24" t="s">
        <v>6797</v>
      </c>
      <c r="D10924" s="59">
        <v>2.0</v>
      </c>
      <c r="E10924" s="59">
        <v>2.0</v>
      </c>
      <c r="F10924" s="59">
        <v>2.0</v>
      </c>
      <c r="G10924" s="60">
        <v>1.0</v>
      </c>
      <c r="H10924" s="60">
        <v>0.0</v>
      </c>
      <c r="I10924" s="60">
        <v>111.8184135</v>
      </c>
      <c r="J10924" s="59">
        <v>4.0</v>
      </c>
      <c r="K10924" s="61">
        <f t="shared" si="1"/>
        <v>1</v>
      </c>
      <c r="L10924" s="62">
        <f t="shared" si="2"/>
        <v>2</v>
      </c>
    </row>
    <row r="10925">
      <c r="A10925" s="58">
        <v>45047.0</v>
      </c>
      <c r="B10925" s="24" t="s">
        <v>6789</v>
      </c>
      <c r="C10925" s="24" t="s">
        <v>6797</v>
      </c>
      <c r="D10925" s="59">
        <v>2.0</v>
      </c>
      <c r="E10925" s="59">
        <v>4.0</v>
      </c>
      <c r="F10925" s="59">
        <v>1.0</v>
      </c>
      <c r="G10925" s="60">
        <v>2.0</v>
      </c>
      <c r="H10925" s="60">
        <v>0.0</v>
      </c>
      <c r="I10925" s="60">
        <v>124.708047</v>
      </c>
      <c r="J10925" s="59">
        <v>8.0</v>
      </c>
      <c r="K10925" s="61">
        <f t="shared" si="1"/>
        <v>0.25</v>
      </c>
      <c r="L10925" s="62">
        <f t="shared" si="2"/>
        <v>2</v>
      </c>
    </row>
    <row r="10926">
      <c r="A10926" s="58">
        <v>45047.0</v>
      </c>
      <c r="B10926" s="24" t="s">
        <v>155</v>
      </c>
      <c r="C10926" s="24" t="s">
        <v>6931</v>
      </c>
      <c r="D10926" s="59">
        <v>2.0</v>
      </c>
      <c r="E10926" s="59">
        <v>2.0</v>
      </c>
      <c r="F10926" s="59">
        <v>1.0</v>
      </c>
      <c r="G10926" s="60">
        <v>1.0</v>
      </c>
      <c r="H10926" s="60">
        <v>0.0</v>
      </c>
      <c r="I10926" s="60">
        <v>87.5553165</v>
      </c>
      <c r="J10926" s="59">
        <v>4.0</v>
      </c>
      <c r="K10926" s="61">
        <f t="shared" si="1"/>
        <v>0.5</v>
      </c>
      <c r="L10926" s="62">
        <f t="shared" si="2"/>
        <v>2</v>
      </c>
    </row>
    <row r="10927">
      <c r="A10927" s="58">
        <v>45047.0</v>
      </c>
      <c r="B10927" s="24" t="s">
        <v>6790</v>
      </c>
      <c r="C10927" s="24" t="s">
        <v>6802</v>
      </c>
      <c r="D10927" s="59">
        <v>2.0</v>
      </c>
      <c r="E10927" s="59">
        <v>2.0</v>
      </c>
      <c r="F10927" s="59">
        <v>0.0</v>
      </c>
      <c r="G10927" s="60">
        <v>1.0</v>
      </c>
      <c r="H10927" s="60">
        <v>0.5</v>
      </c>
      <c r="I10927" s="60">
        <v>5.0532015</v>
      </c>
      <c r="J10927" s="59">
        <v>4.0</v>
      </c>
      <c r="K10927" s="61">
        <f t="shared" si="1"/>
        <v>0</v>
      </c>
      <c r="L10927" s="62">
        <f t="shared" si="2"/>
        <v>2</v>
      </c>
    </row>
    <row r="10928">
      <c r="A10928" s="58">
        <v>45047.0</v>
      </c>
      <c r="B10928" s="24" t="s">
        <v>3216</v>
      </c>
      <c r="C10928" s="27"/>
      <c r="D10928" s="59">
        <v>1.0</v>
      </c>
      <c r="E10928" s="59">
        <v>2.0</v>
      </c>
      <c r="F10928" s="59">
        <v>0.0</v>
      </c>
      <c r="G10928" s="60">
        <v>2.0</v>
      </c>
      <c r="H10928" s="60">
        <v>0.0</v>
      </c>
      <c r="I10928" s="60">
        <v>5.4433325</v>
      </c>
      <c r="J10928" s="59">
        <v>4.0</v>
      </c>
      <c r="K10928" s="61">
        <f t="shared" si="1"/>
        <v>0</v>
      </c>
      <c r="L10928" s="62">
        <f t="shared" si="2"/>
        <v>2</v>
      </c>
    </row>
    <row r="10929">
      <c r="A10929" s="58">
        <v>45047.0</v>
      </c>
      <c r="B10929" s="24" t="s">
        <v>6942</v>
      </c>
      <c r="C10929" s="27"/>
      <c r="D10929" s="59">
        <v>1.0</v>
      </c>
      <c r="E10929" s="59">
        <v>1.0</v>
      </c>
      <c r="F10929" s="59">
        <v>1.0</v>
      </c>
      <c r="G10929" s="60">
        <v>1.0</v>
      </c>
      <c r="H10929" s="60">
        <v>0.0</v>
      </c>
      <c r="I10929" s="60">
        <v>318.633668</v>
      </c>
      <c r="J10929" s="59">
        <v>6.0</v>
      </c>
      <c r="K10929" s="61">
        <f t="shared" si="1"/>
        <v>1</v>
      </c>
      <c r="L10929" s="62">
        <f t="shared" si="2"/>
        <v>6</v>
      </c>
    </row>
    <row r="10930">
      <c r="A10930" s="58">
        <v>45047.0</v>
      </c>
      <c r="B10930" s="24" t="s">
        <v>6787</v>
      </c>
      <c r="C10930" s="24" t="s">
        <v>7642</v>
      </c>
      <c r="D10930" s="59">
        <v>1.0</v>
      </c>
      <c r="E10930" s="59">
        <v>1.0</v>
      </c>
      <c r="F10930" s="59">
        <v>1.0</v>
      </c>
      <c r="G10930" s="60">
        <v>1.0</v>
      </c>
      <c r="H10930" s="60">
        <v>0.0</v>
      </c>
      <c r="I10930" s="60">
        <v>0.848769</v>
      </c>
      <c r="J10930" s="59">
        <v>2.0</v>
      </c>
      <c r="K10930" s="61">
        <f t="shared" si="1"/>
        <v>1</v>
      </c>
      <c r="L10930" s="62">
        <f t="shared" si="2"/>
        <v>2</v>
      </c>
    </row>
    <row r="10931">
      <c r="A10931" s="58">
        <v>45047.0</v>
      </c>
      <c r="B10931" s="24" t="s">
        <v>6787</v>
      </c>
      <c r="C10931" s="24" t="s">
        <v>7643</v>
      </c>
      <c r="D10931" s="59">
        <v>1.0</v>
      </c>
      <c r="E10931" s="59">
        <v>1.0</v>
      </c>
      <c r="F10931" s="59">
        <v>1.0</v>
      </c>
      <c r="G10931" s="60">
        <v>1.0</v>
      </c>
      <c r="H10931" s="60">
        <v>0.0</v>
      </c>
      <c r="I10931" s="60">
        <v>0.723416</v>
      </c>
      <c r="J10931" s="59">
        <v>2.0</v>
      </c>
      <c r="K10931" s="61">
        <f t="shared" si="1"/>
        <v>1</v>
      </c>
      <c r="L10931" s="62">
        <f t="shared" si="2"/>
        <v>2</v>
      </c>
    </row>
    <row r="10932">
      <c r="A10932" s="58">
        <v>45047.0</v>
      </c>
      <c r="B10932" s="24" t="s">
        <v>6787</v>
      </c>
      <c r="C10932" s="24" t="s">
        <v>7644</v>
      </c>
      <c r="D10932" s="59">
        <v>1.0</v>
      </c>
      <c r="E10932" s="59">
        <v>1.0</v>
      </c>
      <c r="F10932" s="59">
        <v>1.0</v>
      </c>
      <c r="G10932" s="60">
        <v>1.0</v>
      </c>
      <c r="H10932" s="60">
        <v>0.0</v>
      </c>
      <c r="I10932" s="60">
        <v>1.123559</v>
      </c>
      <c r="J10932" s="59">
        <v>2.0</v>
      </c>
      <c r="K10932" s="61">
        <f t="shared" si="1"/>
        <v>1</v>
      </c>
      <c r="L10932" s="62">
        <f t="shared" si="2"/>
        <v>2</v>
      </c>
    </row>
    <row r="10933">
      <c r="A10933" s="58">
        <v>45047.0</v>
      </c>
      <c r="B10933" s="24" t="s">
        <v>6787</v>
      </c>
      <c r="C10933" s="24" t="s">
        <v>7645</v>
      </c>
      <c r="D10933" s="59">
        <v>1.0</v>
      </c>
      <c r="E10933" s="59">
        <v>1.0</v>
      </c>
      <c r="F10933" s="59">
        <v>1.0</v>
      </c>
      <c r="G10933" s="60">
        <v>1.0</v>
      </c>
      <c r="H10933" s="60">
        <v>0.0</v>
      </c>
      <c r="I10933" s="60">
        <v>1.362354</v>
      </c>
      <c r="J10933" s="59">
        <v>2.0</v>
      </c>
      <c r="K10933" s="61">
        <f t="shared" si="1"/>
        <v>1</v>
      </c>
      <c r="L10933" s="62">
        <f t="shared" si="2"/>
        <v>2</v>
      </c>
    </row>
    <row r="10934">
      <c r="A10934" s="58">
        <v>45047.0</v>
      </c>
      <c r="B10934" s="24" t="s">
        <v>6787</v>
      </c>
      <c r="C10934" s="24" t="s">
        <v>7646</v>
      </c>
      <c r="D10934" s="59">
        <v>1.0</v>
      </c>
      <c r="E10934" s="59">
        <v>1.0</v>
      </c>
      <c r="F10934" s="59">
        <v>1.0</v>
      </c>
      <c r="G10934" s="60">
        <v>1.0</v>
      </c>
      <c r="H10934" s="60">
        <v>0.0</v>
      </c>
      <c r="I10934" s="60">
        <v>0.828312</v>
      </c>
      <c r="J10934" s="59">
        <v>2.0</v>
      </c>
      <c r="K10934" s="61">
        <f t="shared" si="1"/>
        <v>1</v>
      </c>
      <c r="L10934" s="62">
        <f t="shared" si="2"/>
        <v>2</v>
      </c>
    </row>
    <row r="10935">
      <c r="A10935" s="58">
        <v>45047.0</v>
      </c>
      <c r="B10935" s="24" t="s">
        <v>6787</v>
      </c>
      <c r="C10935" s="24" t="s">
        <v>7647</v>
      </c>
      <c r="D10935" s="59">
        <v>1.0</v>
      </c>
      <c r="E10935" s="59">
        <v>1.0</v>
      </c>
      <c r="F10935" s="59">
        <v>1.0</v>
      </c>
      <c r="G10935" s="60">
        <v>1.0</v>
      </c>
      <c r="H10935" s="60">
        <v>0.0</v>
      </c>
      <c r="I10935" s="60">
        <v>0.8799</v>
      </c>
      <c r="J10935" s="59">
        <v>2.0</v>
      </c>
      <c r="K10935" s="61">
        <f t="shared" si="1"/>
        <v>1</v>
      </c>
      <c r="L10935" s="62">
        <f t="shared" si="2"/>
        <v>2</v>
      </c>
    </row>
    <row r="10936">
      <c r="A10936" s="58">
        <v>45047.0</v>
      </c>
      <c r="B10936" s="24" t="s">
        <v>6794</v>
      </c>
      <c r="C10936" s="24" t="s">
        <v>6817</v>
      </c>
      <c r="D10936" s="59">
        <v>1.0</v>
      </c>
      <c r="E10936" s="59">
        <v>1.0</v>
      </c>
      <c r="F10936" s="59">
        <v>0.0</v>
      </c>
      <c r="G10936" s="60">
        <v>1.0</v>
      </c>
      <c r="H10936" s="60">
        <v>0.0</v>
      </c>
      <c r="I10936" s="60">
        <v>212.887436</v>
      </c>
      <c r="J10936" s="59">
        <v>6.0</v>
      </c>
      <c r="K10936" s="61">
        <f t="shared" si="1"/>
        <v>0</v>
      </c>
      <c r="L10936" s="62">
        <f t="shared" si="2"/>
        <v>6</v>
      </c>
    </row>
    <row r="10937">
      <c r="A10937" s="58">
        <v>45047.0</v>
      </c>
      <c r="B10937" s="24" t="s">
        <v>6790</v>
      </c>
      <c r="C10937" s="24" t="s">
        <v>6817</v>
      </c>
      <c r="D10937" s="59">
        <v>1.0</v>
      </c>
      <c r="E10937" s="59">
        <v>1.0</v>
      </c>
      <c r="F10937" s="59">
        <v>0.0</v>
      </c>
      <c r="G10937" s="60">
        <v>1.0</v>
      </c>
      <c r="H10937" s="60">
        <v>0.0</v>
      </c>
      <c r="I10937" s="60">
        <v>1590.730958</v>
      </c>
      <c r="J10937" s="59">
        <v>2.0</v>
      </c>
      <c r="K10937" s="61">
        <f t="shared" si="1"/>
        <v>0</v>
      </c>
      <c r="L10937" s="62">
        <f t="shared" si="2"/>
        <v>2</v>
      </c>
    </row>
    <row r="10938">
      <c r="A10938" s="58">
        <v>45047.0</v>
      </c>
      <c r="B10938" s="24" t="s">
        <v>3216</v>
      </c>
      <c r="C10938" s="24" t="s">
        <v>7057</v>
      </c>
      <c r="D10938" s="59">
        <v>1.0</v>
      </c>
      <c r="E10938" s="59">
        <v>1.0</v>
      </c>
      <c r="F10938" s="59">
        <v>0.0</v>
      </c>
      <c r="G10938" s="60">
        <v>1.0</v>
      </c>
      <c r="H10938" s="60">
        <v>0.0</v>
      </c>
      <c r="I10938" s="60">
        <v>21.094504</v>
      </c>
      <c r="J10938" s="59">
        <v>2.0</v>
      </c>
      <c r="K10938" s="61">
        <f t="shared" si="1"/>
        <v>0</v>
      </c>
      <c r="L10938" s="62">
        <f t="shared" si="2"/>
        <v>2</v>
      </c>
    </row>
    <row r="10939">
      <c r="A10939" s="58">
        <v>45047.0</v>
      </c>
      <c r="B10939" s="24" t="s">
        <v>6787</v>
      </c>
      <c r="C10939" s="24" t="s">
        <v>6985</v>
      </c>
      <c r="D10939" s="59">
        <v>1.0</v>
      </c>
      <c r="E10939" s="59">
        <v>2.0</v>
      </c>
      <c r="F10939" s="59">
        <v>0.0</v>
      </c>
      <c r="G10939" s="60">
        <v>2.0</v>
      </c>
      <c r="H10939" s="60">
        <v>0.0</v>
      </c>
      <c r="I10939" s="60">
        <v>2147.236218</v>
      </c>
      <c r="J10939" s="59">
        <v>12.0</v>
      </c>
      <c r="K10939" s="61">
        <f t="shared" si="1"/>
        <v>0</v>
      </c>
      <c r="L10939" s="62">
        <f t="shared" si="2"/>
        <v>6</v>
      </c>
    </row>
    <row r="10940">
      <c r="A10940" s="58">
        <v>45047.0</v>
      </c>
      <c r="B10940" s="24" t="s">
        <v>3216</v>
      </c>
      <c r="C10940" s="24" t="s">
        <v>6833</v>
      </c>
      <c r="D10940" s="59">
        <v>1.0</v>
      </c>
      <c r="E10940" s="59">
        <v>1.0</v>
      </c>
      <c r="F10940" s="59">
        <v>1.0</v>
      </c>
      <c r="G10940" s="60">
        <v>1.0</v>
      </c>
      <c r="H10940" s="60">
        <v>0.0</v>
      </c>
      <c r="I10940" s="60">
        <v>4.728944</v>
      </c>
      <c r="J10940" s="59">
        <v>2.0</v>
      </c>
      <c r="K10940" s="61">
        <f t="shared" si="1"/>
        <v>1</v>
      </c>
      <c r="L10940" s="62">
        <f t="shared" si="2"/>
        <v>2</v>
      </c>
    </row>
    <row r="10941">
      <c r="A10941" s="58">
        <v>45047.0</v>
      </c>
      <c r="B10941" s="24" t="s">
        <v>6789</v>
      </c>
      <c r="C10941" s="24" t="s">
        <v>6833</v>
      </c>
      <c r="D10941" s="59">
        <v>1.0</v>
      </c>
      <c r="E10941" s="59">
        <v>1.0</v>
      </c>
      <c r="F10941" s="59">
        <v>1.0</v>
      </c>
      <c r="G10941" s="60">
        <v>1.0</v>
      </c>
      <c r="H10941" s="60">
        <v>0.0</v>
      </c>
      <c r="I10941" s="60">
        <v>65.413991</v>
      </c>
      <c r="J10941" s="59">
        <v>2.0</v>
      </c>
      <c r="K10941" s="61">
        <f t="shared" si="1"/>
        <v>1</v>
      </c>
      <c r="L10941" s="62">
        <f t="shared" si="2"/>
        <v>2</v>
      </c>
    </row>
    <row r="10942">
      <c r="A10942" s="58">
        <v>45047.0</v>
      </c>
      <c r="B10942" s="24" t="s">
        <v>6794</v>
      </c>
      <c r="C10942" s="24" t="s">
        <v>6833</v>
      </c>
      <c r="D10942" s="59">
        <v>1.0</v>
      </c>
      <c r="E10942" s="59">
        <v>1.0</v>
      </c>
      <c r="F10942" s="59">
        <v>1.0</v>
      </c>
      <c r="G10942" s="60">
        <v>1.0</v>
      </c>
      <c r="H10942" s="60">
        <v>0.0</v>
      </c>
      <c r="I10942" s="60">
        <v>4.882087</v>
      </c>
      <c r="J10942" s="59">
        <v>2.0</v>
      </c>
      <c r="K10942" s="61">
        <f t="shared" si="1"/>
        <v>1</v>
      </c>
      <c r="L10942" s="62">
        <f t="shared" si="2"/>
        <v>2</v>
      </c>
    </row>
    <row r="10943">
      <c r="A10943" s="58">
        <v>45047.0</v>
      </c>
      <c r="B10943" s="24" t="s">
        <v>6790</v>
      </c>
      <c r="C10943" s="24" t="s">
        <v>6833</v>
      </c>
      <c r="D10943" s="59">
        <v>1.0</v>
      </c>
      <c r="E10943" s="59">
        <v>1.0</v>
      </c>
      <c r="F10943" s="59">
        <v>1.0</v>
      </c>
      <c r="G10943" s="60">
        <v>1.0</v>
      </c>
      <c r="H10943" s="60">
        <v>0.0</v>
      </c>
      <c r="I10943" s="60">
        <v>16.875413</v>
      </c>
      <c r="J10943" s="59">
        <v>2.0</v>
      </c>
      <c r="K10943" s="61">
        <f t="shared" si="1"/>
        <v>1</v>
      </c>
      <c r="L10943" s="62">
        <f t="shared" si="2"/>
        <v>2</v>
      </c>
    </row>
    <row r="10944">
      <c r="A10944" s="58">
        <v>45047.0</v>
      </c>
      <c r="B10944" s="24" t="s">
        <v>6787</v>
      </c>
      <c r="C10944" s="24" t="s">
        <v>6988</v>
      </c>
      <c r="D10944" s="59">
        <v>1.0</v>
      </c>
      <c r="E10944" s="59">
        <v>1.0</v>
      </c>
      <c r="F10944" s="59">
        <v>0.0</v>
      </c>
      <c r="G10944" s="60">
        <v>1.0</v>
      </c>
      <c r="H10944" s="60">
        <v>0.0</v>
      </c>
      <c r="I10944" s="60">
        <v>923.232151</v>
      </c>
      <c r="J10944" s="59">
        <v>6.0</v>
      </c>
      <c r="K10944" s="61">
        <f t="shared" si="1"/>
        <v>0</v>
      </c>
      <c r="L10944" s="62">
        <f t="shared" si="2"/>
        <v>6</v>
      </c>
    </row>
    <row r="10945">
      <c r="A10945" s="58">
        <v>45047.0</v>
      </c>
      <c r="B10945" s="24" t="s">
        <v>6789</v>
      </c>
      <c r="C10945" s="24" t="s">
        <v>7063</v>
      </c>
      <c r="D10945" s="59">
        <v>1.0</v>
      </c>
      <c r="E10945" s="59">
        <v>2.0</v>
      </c>
      <c r="F10945" s="59">
        <v>0.0</v>
      </c>
      <c r="G10945" s="60">
        <v>2.0</v>
      </c>
      <c r="H10945" s="60">
        <v>0.0</v>
      </c>
      <c r="I10945" s="60">
        <v>224.0096645</v>
      </c>
      <c r="J10945" s="59">
        <v>8.0</v>
      </c>
      <c r="K10945" s="61">
        <f t="shared" si="1"/>
        <v>0</v>
      </c>
      <c r="L10945" s="62">
        <f t="shared" si="2"/>
        <v>4</v>
      </c>
    </row>
    <row r="10946">
      <c r="A10946" s="58">
        <v>45047.0</v>
      </c>
      <c r="B10946" s="24" t="s">
        <v>155</v>
      </c>
      <c r="C10946" s="24" t="s">
        <v>7063</v>
      </c>
      <c r="D10946" s="59">
        <v>1.0</v>
      </c>
      <c r="E10946" s="59">
        <v>1.0</v>
      </c>
      <c r="F10946" s="59">
        <v>0.0</v>
      </c>
      <c r="G10946" s="60">
        <v>1.0</v>
      </c>
      <c r="H10946" s="60">
        <v>0.0</v>
      </c>
      <c r="I10946" s="60">
        <v>1379.053468</v>
      </c>
      <c r="J10946" s="59">
        <v>2.0</v>
      </c>
      <c r="K10946" s="61">
        <f t="shared" si="1"/>
        <v>0</v>
      </c>
      <c r="L10946" s="62">
        <f t="shared" si="2"/>
        <v>2</v>
      </c>
    </row>
    <row r="10947">
      <c r="A10947" s="58">
        <v>45047.0</v>
      </c>
      <c r="B10947" s="24" t="s">
        <v>6789</v>
      </c>
      <c r="C10947" s="24" t="s">
        <v>7064</v>
      </c>
      <c r="D10947" s="59">
        <v>1.0</v>
      </c>
      <c r="E10947" s="59">
        <v>1.0</v>
      </c>
      <c r="F10947" s="59">
        <v>0.0</v>
      </c>
      <c r="G10947" s="60">
        <v>1.0</v>
      </c>
      <c r="H10947" s="60">
        <v>0.0</v>
      </c>
      <c r="I10947" s="60">
        <v>1104.996862</v>
      </c>
      <c r="J10947" s="59">
        <v>4.0</v>
      </c>
      <c r="K10947" s="61">
        <f t="shared" si="1"/>
        <v>0</v>
      </c>
      <c r="L10947" s="62">
        <f t="shared" si="2"/>
        <v>4</v>
      </c>
    </row>
    <row r="10948">
      <c r="A10948" s="58">
        <v>45047.0</v>
      </c>
      <c r="B10948" s="24" t="s">
        <v>6789</v>
      </c>
      <c r="C10948" s="24" t="s">
        <v>7065</v>
      </c>
      <c r="D10948" s="59">
        <v>1.0</v>
      </c>
      <c r="E10948" s="59">
        <v>1.0</v>
      </c>
      <c r="F10948" s="59">
        <v>0.0</v>
      </c>
      <c r="G10948" s="60">
        <v>1.0</v>
      </c>
      <c r="H10948" s="60">
        <v>0.0</v>
      </c>
      <c r="I10948" s="60">
        <v>5.038469</v>
      </c>
      <c r="J10948" s="59">
        <v>2.0</v>
      </c>
      <c r="K10948" s="61">
        <f t="shared" si="1"/>
        <v>0</v>
      </c>
      <c r="L10948" s="62">
        <f t="shared" si="2"/>
        <v>2</v>
      </c>
    </row>
    <row r="10949">
      <c r="A10949" s="58">
        <v>45047.0</v>
      </c>
      <c r="B10949" s="24" t="s">
        <v>6794</v>
      </c>
      <c r="C10949" s="24" t="s">
        <v>7065</v>
      </c>
      <c r="D10949" s="59">
        <v>1.0</v>
      </c>
      <c r="E10949" s="59">
        <v>3.0</v>
      </c>
      <c r="F10949" s="59">
        <v>0.0</v>
      </c>
      <c r="G10949" s="60">
        <v>3.0</v>
      </c>
      <c r="H10949" s="60">
        <v>0.0</v>
      </c>
      <c r="I10949" s="60">
        <v>1.75124766666666</v>
      </c>
      <c r="J10949" s="59">
        <v>6.0</v>
      </c>
      <c r="K10949" s="61">
        <f t="shared" si="1"/>
        <v>0</v>
      </c>
      <c r="L10949" s="62">
        <f t="shared" si="2"/>
        <v>2</v>
      </c>
    </row>
    <row r="10950">
      <c r="A10950" s="58">
        <v>45047.0</v>
      </c>
      <c r="B10950" s="24" t="s">
        <v>6787</v>
      </c>
      <c r="C10950" s="24" t="s">
        <v>6990</v>
      </c>
      <c r="D10950" s="59">
        <v>1.0</v>
      </c>
      <c r="E10950" s="59">
        <v>1.0</v>
      </c>
      <c r="F10950" s="59">
        <v>0.0</v>
      </c>
      <c r="G10950" s="60">
        <v>1.0</v>
      </c>
      <c r="H10950" s="60">
        <v>0.0</v>
      </c>
      <c r="I10950" s="60">
        <v>29.344791</v>
      </c>
      <c r="J10950" s="59">
        <v>4.0</v>
      </c>
      <c r="K10950" s="61">
        <f t="shared" si="1"/>
        <v>0</v>
      </c>
      <c r="L10950" s="62">
        <f t="shared" si="2"/>
        <v>4</v>
      </c>
    </row>
    <row r="10951">
      <c r="A10951" s="58">
        <v>45047.0</v>
      </c>
      <c r="B10951" s="24" t="s">
        <v>6789</v>
      </c>
      <c r="C10951" s="24" t="s">
        <v>7067</v>
      </c>
      <c r="D10951" s="59">
        <v>1.0</v>
      </c>
      <c r="E10951" s="59">
        <v>1.0</v>
      </c>
      <c r="F10951" s="59">
        <v>1.0</v>
      </c>
      <c r="G10951" s="60">
        <v>1.0</v>
      </c>
      <c r="H10951" s="60">
        <v>0.0</v>
      </c>
      <c r="I10951" s="60">
        <v>61.660135</v>
      </c>
      <c r="J10951" s="59">
        <v>2.0</v>
      </c>
      <c r="K10951" s="61">
        <f t="shared" si="1"/>
        <v>1</v>
      </c>
      <c r="L10951" s="62">
        <f t="shared" si="2"/>
        <v>2</v>
      </c>
    </row>
    <row r="10952">
      <c r="A10952" s="58">
        <v>45047.0</v>
      </c>
      <c r="B10952" s="24" t="s">
        <v>155</v>
      </c>
      <c r="C10952" s="24" t="s">
        <v>7068</v>
      </c>
      <c r="D10952" s="59">
        <v>1.0</v>
      </c>
      <c r="E10952" s="59">
        <v>1.0</v>
      </c>
      <c r="F10952" s="59">
        <v>1.0</v>
      </c>
      <c r="G10952" s="60">
        <v>1.0</v>
      </c>
      <c r="H10952" s="60">
        <v>0.0</v>
      </c>
      <c r="I10952" s="60">
        <v>194.106749</v>
      </c>
      <c r="J10952" s="59">
        <v>2.0</v>
      </c>
      <c r="K10952" s="61">
        <f t="shared" si="1"/>
        <v>1</v>
      </c>
      <c r="L10952" s="62">
        <f t="shared" si="2"/>
        <v>2</v>
      </c>
    </row>
    <row r="10953">
      <c r="A10953" s="58">
        <v>45047.0</v>
      </c>
      <c r="B10953" s="24" t="s">
        <v>6790</v>
      </c>
      <c r="C10953" s="24" t="s">
        <v>6835</v>
      </c>
      <c r="D10953" s="59">
        <v>1.0</v>
      </c>
      <c r="E10953" s="59">
        <v>1.0</v>
      </c>
      <c r="F10953" s="59">
        <v>1.0</v>
      </c>
      <c r="G10953" s="60">
        <v>1.0</v>
      </c>
      <c r="H10953" s="60">
        <v>0.0</v>
      </c>
      <c r="I10953" s="60">
        <v>5.718407</v>
      </c>
      <c r="J10953" s="59">
        <v>2.0</v>
      </c>
      <c r="K10953" s="61">
        <f t="shared" si="1"/>
        <v>1</v>
      </c>
      <c r="L10953" s="62">
        <f t="shared" si="2"/>
        <v>2</v>
      </c>
    </row>
    <row r="10954">
      <c r="A10954" s="58">
        <v>45047.0</v>
      </c>
      <c r="B10954" s="24" t="s">
        <v>6787</v>
      </c>
      <c r="C10954" s="24" t="s">
        <v>6991</v>
      </c>
      <c r="D10954" s="59">
        <v>1.0</v>
      </c>
      <c r="E10954" s="59">
        <v>1.0</v>
      </c>
      <c r="F10954" s="59">
        <v>0.0</v>
      </c>
      <c r="G10954" s="60">
        <v>1.0</v>
      </c>
      <c r="H10954" s="60">
        <v>0.0</v>
      </c>
      <c r="I10954" s="60">
        <v>1633.343014</v>
      </c>
      <c r="J10954" s="59">
        <v>2.0</v>
      </c>
      <c r="K10954" s="61">
        <f t="shared" si="1"/>
        <v>0</v>
      </c>
      <c r="L10954" s="62">
        <f t="shared" si="2"/>
        <v>2</v>
      </c>
    </row>
    <row r="10955">
      <c r="A10955" s="58">
        <v>45047.0</v>
      </c>
      <c r="B10955" s="24" t="s">
        <v>6787</v>
      </c>
      <c r="C10955" s="24" t="s">
        <v>7627</v>
      </c>
      <c r="D10955" s="59">
        <v>1.0</v>
      </c>
      <c r="E10955" s="59">
        <v>1.0</v>
      </c>
      <c r="F10955" s="59">
        <v>0.0</v>
      </c>
      <c r="G10955" s="60">
        <v>1.0</v>
      </c>
      <c r="H10955" s="60">
        <v>0.0</v>
      </c>
      <c r="I10955" s="60">
        <v>790.783974</v>
      </c>
      <c r="J10955" s="59">
        <v>2.0</v>
      </c>
      <c r="K10955" s="61">
        <f t="shared" si="1"/>
        <v>0</v>
      </c>
      <c r="L10955" s="62">
        <f t="shared" si="2"/>
        <v>2</v>
      </c>
    </row>
    <row r="10956">
      <c r="A10956" s="58">
        <v>45047.0</v>
      </c>
      <c r="B10956" s="24" t="s">
        <v>3216</v>
      </c>
      <c r="C10956" s="24" t="s">
        <v>7630</v>
      </c>
      <c r="D10956" s="59">
        <v>1.0</v>
      </c>
      <c r="E10956" s="59">
        <v>1.0</v>
      </c>
      <c r="F10956" s="59">
        <v>0.0</v>
      </c>
      <c r="G10956" s="60">
        <v>1.0</v>
      </c>
      <c r="H10956" s="60">
        <v>0.0</v>
      </c>
      <c r="I10956" s="60">
        <v>4.753475</v>
      </c>
      <c r="J10956" s="59">
        <v>2.0</v>
      </c>
      <c r="K10956" s="61">
        <f t="shared" si="1"/>
        <v>0</v>
      </c>
      <c r="L10956" s="62">
        <f t="shared" si="2"/>
        <v>2</v>
      </c>
    </row>
    <row r="10957">
      <c r="A10957" s="58">
        <v>45047.0</v>
      </c>
      <c r="B10957" s="24" t="s">
        <v>6789</v>
      </c>
      <c r="C10957" s="24" t="s">
        <v>7640</v>
      </c>
      <c r="D10957" s="59">
        <v>1.0</v>
      </c>
      <c r="E10957" s="59">
        <v>1.0</v>
      </c>
      <c r="F10957" s="59">
        <v>0.0</v>
      </c>
      <c r="G10957" s="60">
        <v>1.0</v>
      </c>
      <c r="H10957" s="60">
        <v>0.0</v>
      </c>
      <c r="I10957" s="60">
        <v>75.501077</v>
      </c>
      <c r="J10957" s="59">
        <v>4.0</v>
      </c>
      <c r="K10957" s="61">
        <f t="shared" si="1"/>
        <v>0</v>
      </c>
      <c r="L10957" s="62">
        <f t="shared" si="2"/>
        <v>4</v>
      </c>
    </row>
    <row r="10958">
      <c r="A10958" s="58">
        <v>45047.0</v>
      </c>
      <c r="B10958" s="24" t="s">
        <v>6790</v>
      </c>
      <c r="C10958" s="24" t="s">
        <v>7640</v>
      </c>
      <c r="D10958" s="59">
        <v>1.0</v>
      </c>
      <c r="E10958" s="59">
        <v>1.0</v>
      </c>
      <c r="F10958" s="59">
        <v>0.0</v>
      </c>
      <c r="G10958" s="60">
        <v>1.0</v>
      </c>
      <c r="H10958" s="60">
        <v>0.0</v>
      </c>
      <c r="I10958" s="60">
        <v>0.867119</v>
      </c>
      <c r="J10958" s="59">
        <v>2.0</v>
      </c>
      <c r="K10958" s="61">
        <f t="shared" si="1"/>
        <v>0</v>
      </c>
      <c r="L10958" s="62">
        <f t="shared" si="2"/>
        <v>2</v>
      </c>
    </row>
    <row r="10959">
      <c r="A10959" s="58">
        <v>45047.0</v>
      </c>
      <c r="B10959" s="24" t="s">
        <v>6791</v>
      </c>
      <c r="C10959" s="24" t="s">
        <v>7464</v>
      </c>
      <c r="D10959" s="59">
        <v>1.0</v>
      </c>
      <c r="E10959" s="59">
        <v>1.0</v>
      </c>
      <c r="F10959" s="59">
        <v>0.0</v>
      </c>
      <c r="G10959" s="60">
        <v>1.0</v>
      </c>
      <c r="H10959" s="60">
        <v>0.0</v>
      </c>
      <c r="I10959" s="60">
        <v>28.222636</v>
      </c>
      <c r="J10959" s="59">
        <v>2.0</v>
      </c>
      <c r="K10959" s="61">
        <f t="shared" si="1"/>
        <v>0</v>
      </c>
      <c r="L10959" s="62">
        <f t="shared" si="2"/>
        <v>2</v>
      </c>
    </row>
    <row r="10960">
      <c r="A10960" s="58">
        <v>45047.0</v>
      </c>
      <c r="B10960" s="24" t="s">
        <v>6789</v>
      </c>
      <c r="C10960" s="24" t="s">
        <v>7072</v>
      </c>
      <c r="D10960" s="59">
        <v>1.0</v>
      </c>
      <c r="E10960" s="59">
        <v>1.0</v>
      </c>
      <c r="F10960" s="59">
        <v>1.0</v>
      </c>
      <c r="G10960" s="60">
        <v>1.0</v>
      </c>
      <c r="H10960" s="60">
        <v>0.0</v>
      </c>
      <c r="I10960" s="60">
        <v>31.456368</v>
      </c>
      <c r="J10960" s="59">
        <v>2.0</v>
      </c>
      <c r="K10960" s="61">
        <f t="shared" si="1"/>
        <v>1</v>
      </c>
      <c r="L10960" s="62">
        <f t="shared" si="2"/>
        <v>2</v>
      </c>
    </row>
    <row r="10961">
      <c r="A10961" s="58">
        <v>45047.0</v>
      </c>
      <c r="B10961" s="24" t="s">
        <v>6791</v>
      </c>
      <c r="C10961" s="24" t="s">
        <v>6886</v>
      </c>
      <c r="D10961" s="59">
        <v>1.0</v>
      </c>
      <c r="E10961" s="59">
        <v>1.0</v>
      </c>
      <c r="F10961" s="59">
        <v>1.0</v>
      </c>
      <c r="G10961" s="60">
        <v>1.0</v>
      </c>
      <c r="H10961" s="60">
        <v>0.0</v>
      </c>
      <c r="I10961" s="60">
        <v>5.208908</v>
      </c>
      <c r="J10961" s="59">
        <v>2.0</v>
      </c>
      <c r="K10961" s="61">
        <f t="shared" si="1"/>
        <v>1</v>
      </c>
      <c r="L10961" s="62">
        <f t="shared" si="2"/>
        <v>2</v>
      </c>
    </row>
    <row r="10962">
      <c r="A10962" s="58">
        <v>45047.0</v>
      </c>
      <c r="B10962" s="24" t="s">
        <v>7100</v>
      </c>
      <c r="C10962" s="24" t="s">
        <v>6886</v>
      </c>
      <c r="D10962" s="59">
        <v>1.0</v>
      </c>
      <c r="E10962" s="59">
        <v>1.0</v>
      </c>
      <c r="F10962" s="59">
        <v>0.0</v>
      </c>
      <c r="G10962" s="60">
        <v>1.0</v>
      </c>
      <c r="H10962" s="60">
        <v>0.0</v>
      </c>
      <c r="I10962" s="60">
        <v>4.735486</v>
      </c>
      <c r="J10962" s="59">
        <v>2.0</v>
      </c>
      <c r="K10962" s="61">
        <f t="shared" si="1"/>
        <v>0</v>
      </c>
      <c r="L10962" s="62">
        <f t="shared" si="2"/>
        <v>2</v>
      </c>
    </row>
    <row r="10963">
      <c r="A10963" s="58">
        <v>45047.0</v>
      </c>
      <c r="B10963" s="24" t="s">
        <v>6791</v>
      </c>
      <c r="C10963" s="24" t="s">
        <v>6997</v>
      </c>
      <c r="D10963" s="59">
        <v>1.0</v>
      </c>
      <c r="E10963" s="59">
        <v>1.0</v>
      </c>
      <c r="F10963" s="59">
        <v>0.0</v>
      </c>
      <c r="G10963" s="60">
        <v>1.0</v>
      </c>
      <c r="H10963" s="60">
        <v>0.0</v>
      </c>
      <c r="I10963" s="60">
        <v>18.187057</v>
      </c>
      <c r="J10963" s="59">
        <v>2.0</v>
      </c>
      <c r="K10963" s="61">
        <f t="shared" si="1"/>
        <v>0</v>
      </c>
      <c r="L10963" s="62">
        <f t="shared" si="2"/>
        <v>2</v>
      </c>
    </row>
    <row r="10964">
      <c r="A10964" s="58">
        <v>45047.0</v>
      </c>
      <c r="B10964" s="24" t="s">
        <v>155</v>
      </c>
      <c r="C10964" s="24" t="s">
        <v>6997</v>
      </c>
      <c r="D10964" s="59">
        <v>1.0</v>
      </c>
      <c r="E10964" s="59">
        <v>2.0</v>
      </c>
      <c r="F10964" s="59">
        <v>0.0</v>
      </c>
      <c r="G10964" s="60">
        <v>2.0</v>
      </c>
      <c r="H10964" s="60">
        <v>0.0</v>
      </c>
      <c r="I10964" s="60">
        <v>345.4844845</v>
      </c>
      <c r="J10964" s="59">
        <v>18.0</v>
      </c>
      <c r="K10964" s="61">
        <f t="shared" si="1"/>
        <v>0</v>
      </c>
      <c r="L10964" s="62">
        <f t="shared" si="2"/>
        <v>9</v>
      </c>
    </row>
    <row r="10965">
      <c r="A10965" s="58">
        <v>45047.0</v>
      </c>
      <c r="B10965" s="24" t="s">
        <v>6790</v>
      </c>
      <c r="C10965" s="24" t="s">
        <v>6997</v>
      </c>
      <c r="D10965" s="59">
        <v>1.0</v>
      </c>
      <c r="E10965" s="59">
        <v>1.0</v>
      </c>
      <c r="F10965" s="59">
        <v>0.0</v>
      </c>
      <c r="G10965" s="60">
        <v>1.0</v>
      </c>
      <c r="H10965" s="60">
        <v>0.0</v>
      </c>
      <c r="I10965" s="60">
        <v>56.178438</v>
      </c>
      <c r="J10965" s="59">
        <v>4.0</v>
      </c>
      <c r="K10965" s="61">
        <f t="shared" si="1"/>
        <v>0</v>
      </c>
      <c r="L10965" s="62">
        <f t="shared" si="2"/>
        <v>4</v>
      </c>
    </row>
    <row r="10966">
      <c r="A10966" s="58">
        <v>45047.0</v>
      </c>
      <c r="B10966" s="24" t="s">
        <v>155</v>
      </c>
      <c r="C10966" s="24" t="s">
        <v>6892</v>
      </c>
      <c r="D10966" s="59">
        <v>1.0</v>
      </c>
      <c r="E10966" s="59">
        <v>1.0</v>
      </c>
      <c r="F10966" s="59">
        <v>1.0</v>
      </c>
      <c r="G10966" s="60">
        <v>1.0</v>
      </c>
      <c r="H10966" s="60">
        <v>0.0</v>
      </c>
      <c r="I10966" s="60">
        <v>3.780133</v>
      </c>
      <c r="J10966" s="59">
        <v>2.0</v>
      </c>
      <c r="K10966" s="61">
        <f t="shared" si="1"/>
        <v>1</v>
      </c>
      <c r="L10966" s="62">
        <f t="shared" si="2"/>
        <v>2</v>
      </c>
    </row>
    <row r="10967">
      <c r="A10967" s="58">
        <v>45047.0</v>
      </c>
      <c r="B10967" s="24" t="s">
        <v>6790</v>
      </c>
      <c r="C10967" s="24" t="s">
        <v>6892</v>
      </c>
      <c r="D10967" s="59">
        <v>1.0</v>
      </c>
      <c r="E10967" s="59">
        <v>2.0</v>
      </c>
      <c r="F10967" s="59">
        <v>0.0</v>
      </c>
      <c r="G10967" s="60">
        <v>2.0</v>
      </c>
      <c r="H10967" s="60">
        <v>0.0</v>
      </c>
      <c r="I10967" s="60">
        <v>207.5129565</v>
      </c>
      <c r="J10967" s="59">
        <v>4.0</v>
      </c>
      <c r="K10967" s="61">
        <f t="shared" si="1"/>
        <v>0</v>
      </c>
      <c r="L10967" s="62">
        <f t="shared" si="2"/>
        <v>2</v>
      </c>
    </row>
    <row r="10968">
      <c r="A10968" s="58">
        <v>45047.0</v>
      </c>
      <c r="B10968" s="24" t="s">
        <v>6787</v>
      </c>
      <c r="C10968" s="24" t="s">
        <v>6896</v>
      </c>
      <c r="D10968" s="59">
        <v>1.0</v>
      </c>
      <c r="E10968" s="59">
        <v>1.0</v>
      </c>
      <c r="F10968" s="59">
        <v>1.0</v>
      </c>
      <c r="G10968" s="60">
        <v>1.0</v>
      </c>
      <c r="H10968" s="60">
        <v>0.0</v>
      </c>
      <c r="I10968" s="60">
        <v>20.348097</v>
      </c>
      <c r="J10968" s="59">
        <v>2.0</v>
      </c>
      <c r="K10968" s="61">
        <f t="shared" si="1"/>
        <v>1</v>
      </c>
      <c r="L10968" s="62">
        <f t="shared" si="2"/>
        <v>2</v>
      </c>
    </row>
    <row r="10969">
      <c r="A10969" s="58">
        <v>45047.0</v>
      </c>
      <c r="B10969" s="24" t="s">
        <v>6789</v>
      </c>
      <c r="C10969" s="24" t="s">
        <v>7439</v>
      </c>
      <c r="D10969" s="59">
        <v>1.0</v>
      </c>
      <c r="E10969" s="59">
        <v>1.0</v>
      </c>
      <c r="F10969" s="59">
        <v>0.0</v>
      </c>
      <c r="G10969" s="60">
        <v>1.0</v>
      </c>
      <c r="H10969" s="60">
        <v>0.0</v>
      </c>
      <c r="I10969" s="60">
        <v>19.526262</v>
      </c>
      <c r="J10969" s="59">
        <v>2.0</v>
      </c>
      <c r="K10969" s="61">
        <f t="shared" si="1"/>
        <v>0</v>
      </c>
      <c r="L10969" s="62">
        <f t="shared" si="2"/>
        <v>2</v>
      </c>
    </row>
    <row r="10970">
      <c r="A10970" s="58">
        <v>45047.0</v>
      </c>
      <c r="B10970" s="24" t="s">
        <v>155</v>
      </c>
      <c r="C10970" s="24" t="s">
        <v>7439</v>
      </c>
      <c r="D10970" s="59">
        <v>1.0</v>
      </c>
      <c r="E10970" s="59">
        <v>1.0</v>
      </c>
      <c r="F10970" s="59">
        <v>0.0</v>
      </c>
      <c r="G10970" s="60">
        <v>1.0</v>
      </c>
      <c r="H10970" s="60">
        <v>0.0</v>
      </c>
      <c r="I10970" s="60">
        <v>43.551288</v>
      </c>
      <c r="J10970" s="59">
        <v>2.0</v>
      </c>
      <c r="K10970" s="61">
        <f t="shared" si="1"/>
        <v>0</v>
      </c>
      <c r="L10970" s="62">
        <f t="shared" si="2"/>
        <v>2</v>
      </c>
    </row>
    <row r="10971">
      <c r="A10971" s="58">
        <v>45047.0</v>
      </c>
      <c r="B10971" s="24" t="s">
        <v>6789</v>
      </c>
      <c r="C10971" s="24" t="s">
        <v>7002</v>
      </c>
      <c r="D10971" s="59">
        <v>1.0</v>
      </c>
      <c r="E10971" s="59">
        <v>1.0</v>
      </c>
      <c r="F10971" s="59">
        <v>0.0</v>
      </c>
      <c r="G10971" s="60">
        <v>1.0</v>
      </c>
      <c r="H10971" s="60">
        <v>0.0</v>
      </c>
      <c r="I10971" s="60">
        <v>716.322892</v>
      </c>
      <c r="J10971" s="59">
        <v>2.0</v>
      </c>
      <c r="K10971" s="61">
        <f t="shared" si="1"/>
        <v>0</v>
      </c>
      <c r="L10971" s="62">
        <f t="shared" si="2"/>
        <v>2</v>
      </c>
    </row>
    <row r="10972">
      <c r="A10972" s="58">
        <v>45047.0</v>
      </c>
      <c r="B10972" s="24" t="s">
        <v>155</v>
      </c>
      <c r="C10972" s="24" t="s">
        <v>7156</v>
      </c>
      <c r="D10972" s="59">
        <v>1.0</v>
      </c>
      <c r="E10972" s="59">
        <v>1.0</v>
      </c>
      <c r="F10972" s="59">
        <v>0.0</v>
      </c>
      <c r="G10972" s="60">
        <v>1.0</v>
      </c>
      <c r="H10972" s="60">
        <v>0.0</v>
      </c>
      <c r="I10972" s="60">
        <v>4161.193396</v>
      </c>
      <c r="J10972" s="59">
        <v>40.0</v>
      </c>
      <c r="K10972" s="61">
        <f t="shared" si="1"/>
        <v>0</v>
      </c>
      <c r="L10972" s="62">
        <f t="shared" si="2"/>
        <v>40</v>
      </c>
    </row>
    <row r="10973">
      <c r="A10973" s="58">
        <v>45047.0</v>
      </c>
      <c r="B10973" s="24" t="s">
        <v>6789</v>
      </c>
      <c r="C10973" s="24" t="s">
        <v>6904</v>
      </c>
      <c r="D10973" s="59">
        <v>1.0</v>
      </c>
      <c r="E10973" s="59">
        <v>1.0</v>
      </c>
      <c r="F10973" s="59">
        <v>1.0</v>
      </c>
      <c r="G10973" s="60">
        <v>1.0</v>
      </c>
      <c r="H10973" s="60">
        <v>0.0</v>
      </c>
      <c r="I10973" s="60">
        <v>3.08E-4</v>
      </c>
      <c r="J10973" s="59">
        <v>2.0</v>
      </c>
      <c r="K10973" s="61">
        <f t="shared" si="1"/>
        <v>1</v>
      </c>
      <c r="L10973" s="62">
        <f t="shared" si="2"/>
        <v>2</v>
      </c>
    </row>
    <row r="10974">
      <c r="A10974" s="58">
        <v>45047.0</v>
      </c>
      <c r="B10974" s="24" t="s">
        <v>6787</v>
      </c>
      <c r="C10974" s="24" t="s">
        <v>6905</v>
      </c>
      <c r="D10974" s="59">
        <v>1.0</v>
      </c>
      <c r="E10974" s="59">
        <v>1.0</v>
      </c>
      <c r="F10974" s="59">
        <v>1.0</v>
      </c>
      <c r="G10974" s="60">
        <v>1.0</v>
      </c>
      <c r="H10974" s="60">
        <v>0.0</v>
      </c>
      <c r="I10974" s="60">
        <v>78.791586</v>
      </c>
      <c r="J10974" s="59">
        <v>3.0</v>
      </c>
      <c r="K10974" s="61">
        <f t="shared" si="1"/>
        <v>1</v>
      </c>
      <c r="L10974" s="62">
        <f t="shared" si="2"/>
        <v>3</v>
      </c>
    </row>
    <row r="10975">
      <c r="A10975" s="58">
        <v>45047.0</v>
      </c>
      <c r="B10975" s="24" t="s">
        <v>6794</v>
      </c>
      <c r="C10975" s="24" t="s">
        <v>6905</v>
      </c>
      <c r="D10975" s="59">
        <v>1.0</v>
      </c>
      <c r="E10975" s="59">
        <v>1.0</v>
      </c>
      <c r="F10975" s="59">
        <v>0.0</v>
      </c>
      <c r="G10975" s="60">
        <v>1.0</v>
      </c>
      <c r="H10975" s="60">
        <v>0.0</v>
      </c>
      <c r="I10975" s="60">
        <v>7.485788</v>
      </c>
      <c r="J10975" s="59">
        <v>2.0</v>
      </c>
      <c r="K10975" s="61">
        <f t="shared" si="1"/>
        <v>0</v>
      </c>
      <c r="L10975" s="62">
        <f t="shared" si="2"/>
        <v>2</v>
      </c>
    </row>
    <row r="10976">
      <c r="A10976" s="58">
        <v>45047.0</v>
      </c>
      <c r="B10976" s="24" t="s">
        <v>155</v>
      </c>
      <c r="C10976" s="24" t="s">
        <v>7624</v>
      </c>
      <c r="D10976" s="59">
        <v>1.0</v>
      </c>
      <c r="E10976" s="59">
        <v>4.0</v>
      </c>
      <c r="F10976" s="59">
        <v>0.0</v>
      </c>
      <c r="G10976" s="60">
        <v>4.0</v>
      </c>
      <c r="H10976" s="60">
        <v>0.0</v>
      </c>
      <c r="I10976" s="60">
        <v>522.5435295</v>
      </c>
      <c r="J10976" s="59">
        <v>8.0</v>
      </c>
      <c r="K10976" s="61">
        <f t="shared" si="1"/>
        <v>0</v>
      </c>
      <c r="L10976" s="62">
        <f t="shared" si="2"/>
        <v>2</v>
      </c>
    </row>
    <row r="10977">
      <c r="A10977" s="58">
        <v>45047.0</v>
      </c>
      <c r="B10977" s="24" t="s">
        <v>6790</v>
      </c>
      <c r="C10977" s="24" t="s">
        <v>7206</v>
      </c>
      <c r="D10977" s="59">
        <v>1.0</v>
      </c>
      <c r="E10977" s="59">
        <v>1.0</v>
      </c>
      <c r="F10977" s="59">
        <v>0.0</v>
      </c>
      <c r="G10977" s="60">
        <v>1.0</v>
      </c>
      <c r="H10977" s="60">
        <v>0.0</v>
      </c>
      <c r="I10977" s="60">
        <v>20.537704</v>
      </c>
      <c r="J10977" s="59">
        <v>2.0</v>
      </c>
      <c r="K10977" s="61">
        <f t="shared" si="1"/>
        <v>0</v>
      </c>
      <c r="L10977" s="62">
        <f t="shared" si="2"/>
        <v>2</v>
      </c>
    </row>
    <row r="10978">
      <c r="A10978" s="58">
        <v>45047.0</v>
      </c>
      <c r="B10978" s="24" t="s">
        <v>6794</v>
      </c>
      <c r="C10978" s="24" t="s">
        <v>7227</v>
      </c>
      <c r="D10978" s="59">
        <v>1.0</v>
      </c>
      <c r="E10978" s="59">
        <v>1.0</v>
      </c>
      <c r="F10978" s="59">
        <v>0.0</v>
      </c>
      <c r="G10978" s="60">
        <v>1.0</v>
      </c>
      <c r="H10978" s="60">
        <v>0.0</v>
      </c>
      <c r="I10978" s="60">
        <v>23.983106</v>
      </c>
      <c r="J10978" s="59">
        <v>2.0</v>
      </c>
      <c r="K10978" s="61">
        <f t="shared" si="1"/>
        <v>0</v>
      </c>
      <c r="L10978" s="62">
        <f t="shared" si="2"/>
        <v>2</v>
      </c>
    </row>
    <row r="10979">
      <c r="A10979" s="58">
        <v>45047.0</v>
      </c>
      <c r="B10979" s="24" t="s">
        <v>6790</v>
      </c>
      <c r="C10979" s="24" t="s">
        <v>7261</v>
      </c>
      <c r="D10979" s="59">
        <v>1.0</v>
      </c>
      <c r="E10979" s="59">
        <v>1.0</v>
      </c>
      <c r="F10979" s="59">
        <v>0.0</v>
      </c>
      <c r="G10979" s="60">
        <v>1.0</v>
      </c>
      <c r="H10979" s="60">
        <v>1.0</v>
      </c>
      <c r="I10979" s="60">
        <v>2.9609</v>
      </c>
      <c r="J10979" s="59">
        <v>2.0</v>
      </c>
      <c r="K10979" s="61">
        <f t="shared" si="1"/>
        <v>0</v>
      </c>
      <c r="L10979" s="62">
        <f t="shared" si="2"/>
        <v>2</v>
      </c>
    </row>
    <row r="10980">
      <c r="A10980" s="58">
        <v>45047.0</v>
      </c>
      <c r="B10980" s="24" t="s">
        <v>155</v>
      </c>
      <c r="C10980" s="24" t="s">
        <v>7648</v>
      </c>
      <c r="D10980" s="59">
        <v>1.0</v>
      </c>
      <c r="E10980" s="59">
        <v>1.0</v>
      </c>
      <c r="F10980" s="59">
        <v>0.0</v>
      </c>
      <c r="G10980" s="60">
        <v>1.0</v>
      </c>
      <c r="H10980" s="60">
        <v>0.0</v>
      </c>
      <c r="I10980" s="60">
        <v>1251.367008</v>
      </c>
      <c r="J10980" s="59">
        <v>10.0</v>
      </c>
      <c r="K10980" s="61">
        <f t="shared" si="1"/>
        <v>0</v>
      </c>
      <c r="L10980" s="62">
        <f t="shared" si="2"/>
        <v>10</v>
      </c>
    </row>
    <row r="10981">
      <c r="A10981" s="58">
        <v>45047.0</v>
      </c>
      <c r="B10981" s="24" t="s">
        <v>6789</v>
      </c>
      <c r="C10981" s="24" t="s">
        <v>6907</v>
      </c>
      <c r="D10981" s="59">
        <v>1.0</v>
      </c>
      <c r="E10981" s="59">
        <v>1.0</v>
      </c>
      <c r="F10981" s="59">
        <v>0.0</v>
      </c>
      <c r="G10981" s="60">
        <v>1.0</v>
      </c>
      <c r="H10981" s="60">
        <v>0.0</v>
      </c>
      <c r="I10981" s="60">
        <v>61.943551</v>
      </c>
      <c r="J10981" s="59">
        <v>4.0</v>
      </c>
      <c r="K10981" s="61">
        <f t="shared" si="1"/>
        <v>0</v>
      </c>
      <c r="L10981" s="62">
        <f t="shared" si="2"/>
        <v>4</v>
      </c>
    </row>
    <row r="10982">
      <c r="A10982" s="58">
        <v>45047.0</v>
      </c>
      <c r="B10982" s="24" t="s">
        <v>6789</v>
      </c>
      <c r="C10982" s="24" t="s">
        <v>7087</v>
      </c>
      <c r="D10982" s="59">
        <v>1.0</v>
      </c>
      <c r="E10982" s="59">
        <v>1.0</v>
      </c>
      <c r="F10982" s="59">
        <v>1.0</v>
      </c>
      <c r="G10982" s="60">
        <v>1.0</v>
      </c>
      <c r="H10982" s="60">
        <v>0.0</v>
      </c>
      <c r="I10982" s="60">
        <v>7.795117</v>
      </c>
      <c r="J10982" s="59">
        <v>2.0</v>
      </c>
      <c r="K10982" s="61">
        <f t="shared" si="1"/>
        <v>1</v>
      </c>
      <c r="L10982" s="62">
        <f t="shared" si="2"/>
        <v>2</v>
      </c>
    </row>
    <row r="10983">
      <c r="A10983" s="58">
        <v>45047.0</v>
      </c>
      <c r="B10983" s="24" t="s">
        <v>6790</v>
      </c>
      <c r="C10983" s="24" t="s">
        <v>6800</v>
      </c>
      <c r="D10983" s="59">
        <v>1.0</v>
      </c>
      <c r="E10983" s="59">
        <v>1.0</v>
      </c>
      <c r="F10983" s="59">
        <v>0.0</v>
      </c>
      <c r="G10983" s="60">
        <v>1.0</v>
      </c>
      <c r="H10983" s="60">
        <v>1.0</v>
      </c>
      <c r="I10983" s="60">
        <v>109.100347</v>
      </c>
      <c r="J10983" s="59">
        <v>3.0</v>
      </c>
      <c r="K10983" s="61">
        <f t="shared" si="1"/>
        <v>0</v>
      </c>
      <c r="L10983" s="62">
        <f t="shared" si="2"/>
        <v>3</v>
      </c>
    </row>
    <row r="10984">
      <c r="A10984" s="58">
        <v>45047.0</v>
      </c>
      <c r="B10984" s="24" t="s">
        <v>6791</v>
      </c>
      <c r="C10984" s="24" t="s">
        <v>7013</v>
      </c>
      <c r="D10984" s="59">
        <v>1.0</v>
      </c>
      <c r="E10984" s="59">
        <v>1.0</v>
      </c>
      <c r="F10984" s="59">
        <v>0.0</v>
      </c>
      <c r="G10984" s="60">
        <v>1.0</v>
      </c>
      <c r="H10984" s="60">
        <v>0.0</v>
      </c>
      <c r="I10984" s="60">
        <v>213.687739</v>
      </c>
      <c r="J10984" s="59">
        <v>2.0</v>
      </c>
      <c r="K10984" s="61">
        <f t="shared" si="1"/>
        <v>0</v>
      </c>
      <c r="L10984" s="62">
        <f t="shared" si="2"/>
        <v>2</v>
      </c>
    </row>
    <row r="10985">
      <c r="A10985" s="58">
        <v>45047.0</v>
      </c>
      <c r="B10985" s="24" t="s">
        <v>6791</v>
      </c>
      <c r="C10985" s="24" t="s">
        <v>7101</v>
      </c>
      <c r="D10985" s="59">
        <v>1.0</v>
      </c>
      <c r="E10985" s="59">
        <v>1.0</v>
      </c>
      <c r="F10985" s="59">
        <v>0.0</v>
      </c>
      <c r="G10985" s="60">
        <v>1.0</v>
      </c>
      <c r="H10985" s="60">
        <v>0.0</v>
      </c>
      <c r="I10985" s="60">
        <v>1748.962833</v>
      </c>
      <c r="J10985" s="59">
        <v>4.0</v>
      </c>
      <c r="K10985" s="61">
        <f t="shared" si="1"/>
        <v>0</v>
      </c>
      <c r="L10985" s="62">
        <f t="shared" si="2"/>
        <v>4</v>
      </c>
    </row>
    <row r="10986">
      <c r="A10986" s="58">
        <v>45047.0</v>
      </c>
      <c r="B10986" s="24" t="s">
        <v>7100</v>
      </c>
      <c r="C10986" s="24" t="s">
        <v>7101</v>
      </c>
      <c r="D10986" s="59">
        <v>1.0</v>
      </c>
      <c r="E10986" s="59">
        <v>1.0</v>
      </c>
      <c r="F10986" s="59">
        <v>0.0</v>
      </c>
      <c r="G10986" s="60">
        <v>1.0</v>
      </c>
      <c r="H10986" s="60">
        <v>1.0</v>
      </c>
      <c r="I10986" s="60">
        <v>0.0</v>
      </c>
      <c r="J10986" s="59">
        <v>1.0</v>
      </c>
      <c r="K10986" s="61">
        <f t="shared" si="1"/>
        <v>0</v>
      </c>
      <c r="L10986" s="62">
        <f t="shared" si="2"/>
        <v>1</v>
      </c>
    </row>
    <row r="10987">
      <c r="A10987" s="58">
        <v>45047.0</v>
      </c>
      <c r="B10987" s="24" t="s">
        <v>6790</v>
      </c>
      <c r="C10987" s="24" t="s">
        <v>7101</v>
      </c>
      <c r="D10987" s="59">
        <v>1.0</v>
      </c>
      <c r="E10987" s="59">
        <v>1.0</v>
      </c>
      <c r="F10987" s="59">
        <v>0.0</v>
      </c>
      <c r="G10987" s="60">
        <v>1.0</v>
      </c>
      <c r="H10987" s="60">
        <v>0.0</v>
      </c>
      <c r="I10987" s="60">
        <v>642.681886</v>
      </c>
      <c r="J10987" s="59">
        <v>2.0</v>
      </c>
      <c r="K10987" s="61">
        <f t="shared" si="1"/>
        <v>0</v>
      </c>
      <c r="L10987" s="62">
        <f t="shared" si="2"/>
        <v>2</v>
      </c>
    </row>
    <row r="10988">
      <c r="A10988" s="58">
        <v>45047.0</v>
      </c>
      <c r="B10988" s="24" t="s">
        <v>7100</v>
      </c>
      <c r="C10988" s="24" t="s">
        <v>6908</v>
      </c>
      <c r="D10988" s="59">
        <v>1.0</v>
      </c>
      <c r="E10988" s="59">
        <v>1.0</v>
      </c>
      <c r="F10988" s="59">
        <v>0.0</v>
      </c>
      <c r="G10988" s="60">
        <v>1.0</v>
      </c>
      <c r="H10988" s="60">
        <v>0.0</v>
      </c>
      <c r="I10988" s="60">
        <v>7.698236</v>
      </c>
      <c r="J10988" s="59">
        <v>2.0</v>
      </c>
      <c r="K10988" s="61">
        <f t="shared" si="1"/>
        <v>0</v>
      </c>
      <c r="L10988" s="62">
        <f t="shared" si="2"/>
        <v>2</v>
      </c>
    </row>
    <row r="10989">
      <c r="A10989" s="58">
        <v>45047.0</v>
      </c>
      <c r="B10989" s="24" t="s">
        <v>155</v>
      </c>
      <c r="C10989" s="24" t="s">
        <v>7172</v>
      </c>
      <c r="D10989" s="59">
        <v>1.0</v>
      </c>
      <c r="E10989" s="59">
        <v>1.0</v>
      </c>
      <c r="F10989" s="59">
        <v>1.0</v>
      </c>
      <c r="G10989" s="60">
        <v>1.0</v>
      </c>
      <c r="H10989" s="60">
        <v>0.0</v>
      </c>
      <c r="I10989" s="60">
        <v>4.899116</v>
      </c>
      <c r="J10989" s="59">
        <v>2.0</v>
      </c>
      <c r="K10989" s="61">
        <f t="shared" si="1"/>
        <v>1</v>
      </c>
      <c r="L10989" s="62">
        <f t="shared" si="2"/>
        <v>2</v>
      </c>
    </row>
    <row r="10990">
      <c r="A10990" s="58">
        <v>45047.0</v>
      </c>
      <c r="B10990" s="24" t="s">
        <v>6787</v>
      </c>
      <c r="C10990" s="24" t="s">
        <v>7641</v>
      </c>
      <c r="D10990" s="59">
        <v>1.0</v>
      </c>
      <c r="E10990" s="59">
        <v>1.0</v>
      </c>
      <c r="F10990" s="59">
        <v>1.0</v>
      </c>
      <c r="G10990" s="60">
        <v>1.0</v>
      </c>
      <c r="H10990" s="60">
        <v>0.0</v>
      </c>
      <c r="I10990" s="60">
        <v>1186.631044</v>
      </c>
      <c r="J10990" s="59">
        <v>4.0</v>
      </c>
      <c r="K10990" s="61">
        <f t="shared" si="1"/>
        <v>1</v>
      </c>
      <c r="L10990" s="62">
        <f t="shared" si="2"/>
        <v>4</v>
      </c>
    </row>
    <row r="10991">
      <c r="A10991" s="58">
        <v>45047.0</v>
      </c>
      <c r="B10991" s="24" t="s">
        <v>6789</v>
      </c>
      <c r="C10991" s="24" t="s">
        <v>7641</v>
      </c>
      <c r="D10991" s="59">
        <v>1.0</v>
      </c>
      <c r="E10991" s="59">
        <v>1.0</v>
      </c>
      <c r="F10991" s="59">
        <v>0.0</v>
      </c>
      <c r="G10991" s="60">
        <v>1.0</v>
      </c>
      <c r="H10991" s="60">
        <v>0.0</v>
      </c>
      <c r="I10991" s="60">
        <v>15.053655</v>
      </c>
      <c r="J10991" s="59">
        <v>6.0</v>
      </c>
      <c r="K10991" s="61">
        <f t="shared" si="1"/>
        <v>0</v>
      </c>
      <c r="L10991" s="62">
        <f t="shared" si="2"/>
        <v>6</v>
      </c>
    </row>
    <row r="10992">
      <c r="A10992" s="58">
        <v>45047.0</v>
      </c>
      <c r="B10992" s="24" t="s">
        <v>6794</v>
      </c>
      <c r="C10992" s="24" t="s">
        <v>6801</v>
      </c>
      <c r="D10992" s="59">
        <v>1.0</v>
      </c>
      <c r="E10992" s="59">
        <v>1.0</v>
      </c>
      <c r="F10992" s="59">
        <v>0.0</v>
      </c>
      <c r="G10992" s="60">
        <v>1.0</v>
      </c>
      <c r="H10992" s="60">
        <v>0.0</v>
      </c>
      <c r="I10992" s="60">
        <v>39.414469</v>
      </c>
      <c r="J10992" s="59">
        <v>4.0</v>
      </c>
      <c r="K10992" s="61">
        <f t="shared" si="1"/>
        <v>0</v>
      </c>
      <c r="L10992" s="62">
        <f t="shared" si="2"/>
        <v>4</v>
      </c>
    </row>
    <row r="10993">
      <c r="A10993" s="58">
        <v>45047.0</v>
      </c>
      <c r="B10993" s="24" t="s">
        <v>6794</v>
      </c>
      <c r="C10993" s="24" t="s">
        <v>7102</v>
      </c>
      <c r="D10993" s="59">
        <v>1.0</v>
      </c>
      <c r="E10993" s="59">
        <v>1.0</v>
      </c>
      <c r="F10993" s="59">
        <v>0.0</v>
      </c>
      <c r="G10993" s="60">
        <v>1.0</v>
      </c>
      <c r="H10993" s="60">
        <v>0.0</v>
      </c>
      <c r="I10993" s="60">
        <v>3136.33409</v>
      </c>
      <c r="J10993" s="59">
        <v>18.0</v>
      </c>
      <c r="K10993" s="61">
        <f t="shared" si="1"/>
        <v>0</v>
      </c>
      <c r="L10993" s="62">
        <f t="shared" si="2"/>
        <v>18</v>
      </c>
    </row>
    <row r="10994">
      <c r="A10994" s="58">
        <v>45047.0</v>
      </c>
      <c r="B10994" s="24" t="s">
        <v>6791</v>
      </c>
      <c r="C10994" s="24" t="s">
        <v>7102</v>
      </c>
      <c r="D10994" s="59">
        <v>1.0</v>
      </c>
      <c r="E10994" s="59">
        <v>1.0</v>
      </c>
      <c r="F10994" s="59">
        <v>0.0</v>
      </c>
      <c r="G10994" s="60">
        <v>1.0</v>
      </c>
      <c r="H10994" s="60">
        <v>0.0</v>
      </c>
      <c r="I10994" s="60">
        <v>212.397139</v>
      </c>
      <c r="J10994" s="59">
        <v>4.0</v>
      </c>
      <c r="K10994" s="61">
        <f t="shared" si="1"/>
        <v>0</v>
      </c>
      <c r="L10994" s="62">
        <f t="shared" si="2"/>
        <v>4</v>
      </c>
    </row>
    <row r="10995">
      <c r="A10995" s="58">
        <v>45047.0</v>
      </c>
      <c r="B10995" s="24" t="s">
        <v>7100</v>
      </c>
      <c r="C10995" s="24" t="s">
        <v>7102</v>
      </c>
      <c r="D10995" s="59">
        <v>1.0</v>
      </c>
      <c r="E10995" s="59">
        <v>1.0</v>
      </c>
      <c r="F10995" s="59">
        <v>0.0</v>
      </c>
      <c r="G10995" s="60">
        <v>1.0</v>
      </c>
      <c r="H10995" s="60">
        <v>0.0</v>
      </c>
      <c r="I10995" s="60">
        <v>4.547608</v>
      </c>
      <c r="J10995" s="59">
        <v>2.0</v>
      </c>
      <c r="K10995" s="61">
        <f t="shared" si="1"/>
        <v>0</v>
      </c>
      <c r="L10995" s="62">
        <f t="shared" si="2"/>
        <v>2</v>
      </c>
    </row>
    <row r="10996">
      <c r="A10996" s="58">
        <v>45047.0</v>
      </c>
      <c r="B10996" s="24" t="s">
        <v>155</v>
      </c>
      <c r="C10996" s="24" t="s">
        <v>7102</v>
      </c>
      <c r="D10996" s="59">
        <v>1.0</v>
      </c>
      <c r="E10996" s="59">
        <v>1.0</v>
      </c>
      <c r="F10996" s="59">
        <v>0.0</v>
      </c>
      <c r="G10996" s="60">
        <v>1.0</v>
      </c>
      <c r="H10996" s="60">
        <v>0.0</v>
      </c>
      <c r="I10996" s="60">
        <v>743.665529</v>
      </c>
      <c r="J10996" s="59">
        <v>4.0</v>
      </c>
      <c r="K10996" s="61">
        <f t="shared" si="1"/>
        <v>0</v>
      </c>
      <c r="L10996" s="62">
        <f t="shared" si="2"/>
        <v>4</v>
      </c>
    </row>
    <row r="10997">
      <c r="A10997" s="58">
        <v>45047.0</v>
      </c>
      <c r="B10997" s="24" t="s">
        <v>6794</v>
      </c>
      <c r="C10997" s="24" t="s">
        <v>7104</v>
      </c>
      <c r="D10997" s="59">
        <v>1.0</v>
      </c>
      <c r="E10997" s="59">
        <v>1.0</v>
      </c>
      <c r="F10997" s="59">
        <v>0.0</v>
      </c>
      <c r="G10997" s="60">
        <v>1.0</v>
      </c>
      <c r="H10997" s="60">
        <v>0.0</v>
      </c>
      <c r="I10997" s="60">
        <v>7.199084</v>
      </c>
      <c r="J10997" s="59">
        <v>4.0</v>
      </c>
      <c r="K10997" s="61">
        <f t="shared" si="1"/>
        <v>0</v>
      </c>
      <c r="L10997" s="62">
        <f t="shared" si="2"/>
        <v>4</v>
      </c>
    </row>
    <row r="10998">
      <c r="A10998" s="58">
        <v>45047.0</v>
      </c>
      <c r="B10998" s="24" t="s">
        <v>6790</v>
      </c>
      <c r="C10998" s="24" t="s">
        <v>7104</v>
      </c>
      <c r="D10998" s="59">
        <v>1.0</v>
      </c>
      <c r="E10998" s="59">
        <v>1.0</v>
      </c>
      <c r="F10998" s="59">
        <v>0.0</v>
      </c>
      <c r="G10998" s="60">
        <v>1.0</v>
      </c>
      <c r="H10998" s="60">
        <v>1.0</v>
      </c>
      <c r="I10998" s="60">
        <v>3.558582</v>
      </c>
      <c r="J10998" s="59">
        <v>2.0</v>
      </c>
      <c r="K10998" s="61">
        <f t="shared" si="1"/>
        <v>0</v>
      </c>
      <c r="L10998" s="62">
        <f t="shared" si="2"/>
        <v>2</v>
      </c>
    </row>
    <row r="10999">
      <c r="A10999" s="58">
        <v>45047.0</v>
      </c>
      <c r="B10999" s="24" t="s">
        <v>6791</v>
      </c>
      <c r="C10999" s="24" t="s">
        <v>7174</v>
      </c>
      <c r="D10999" s="59">
        <v>1.0</v>
      </c>
      <c r="E10999" s="59">
        <v>1.0</v>
      </c>
      <c r="F10999" s="59">
        <v>1.0</v>
      </c>
      <c r="G10999" s="60">
        <v>1.0</v>
      </c>
      <c r="H10999" s="60">
        <v>0.0</v>
      </c>
      <c r="I10999" s="60">
        <v>79.924866</v>
      </c>
      <c r="J10999" s="59">
        <v>7.0</v>
      </c>
      <c r="K10999" s="61">
        <f t="shared" si="1"/>
        <v>1</v>
      </c>
      <c r="L10999" s="62">
        <f t="shared" si="2"/>
        <v>7</v>
      </c>
    </row>
    <row r="11000">
      <c r="A11000" s="58">
        <v>45047.0</v>
      </c>
      <c r="B11000" s="24" t="s">
        <v>6787</v>
      </c>
      <c r="C11000" s="24" t="s">
        <v>7273</v>
      </c>
      <c r="D11000" s="59">
        <v>1.0</v>
      </c>
      <c r="E11000" s="59">
        <v>1.0</v>
      </c>
      <c r="F11000" s="59">
        <v>0.0</v>
      </c>
      <c r="G11000" s="60">
        <v>1.0</v>
      </c>
      <c r="H11000" s="60">
        <v>0.0</v>
      </c>
      <c r="I11000" s="60">
        <v>35.526972</v>
      </c>
      <c r="J11000" s="59">
        <v>4.0</v>
      </c>
      <c r="K11000" s="61">
        <f t="shared" si="1"/>
        <v>0</v>
      </c>
      <c r="L11000" s="62">
        <f t="shared" si="2"/>
        <v>4</v>
      </c>
    </row>
    <row r="11001">
      <c r="A11001" s="58">
        <v>45047.0</v>
      </c>
      <c r="B11001" s="24" t="s">
        <v>6787</v>
      </c>
      <c r="C11001" s="24" t="s">
        <v>7559</v>
      </c>
      <c r="D11001" s="59">
        <v>1.0</v>
      </c>
      <c r="E11001" s="59">
        <v>1.0</v>
      </c>
      <c r="F11001" s="59">
        <v>1.0</v>
      </c>
      <c r="G11001" s="60">
        <v>1.0</v>
      </c>
      <c r="H11001" s="60">
        <v>0.0</v>
      </c>
      <c r="I11001" s="60">
        <v>18.756344</v>
      </c>
      <c r="J11001" s="59">
        <v>8.0</v>
      </c>
      <c r="K11001" s="61">
        <f t="shared" si="1"/>
        <v>1</v>
      </c>
      <c r="L11001" s="62">
        <f t="shared" si="2"/>
        <v>8</v>
      </c>
    </row>
    <row r="11002">
      <c r="A11002" s="58">
        <v>45047.0</v>
      </c>
      <c r="B11002" s="24" t="s">
        <v>6794</v>
      </c>
      <c r="C11002" s="24" t="s">
        <v>7559</v>
      </c>
      <c r="D11002" s="59">
        <v>1.0</v>
      </c>
      <c r="E11002" s="59">
        <v>1.0</v>
      </c>
      <c r="F11002" s="59">
        <v>0.0</v>
      </c>
      <c r="G11002" s="60">
        <v>1.0</v>
      </c>
      <c r="H11002" s="60">
        <v>0.0</v>
      </c>
      <c r="I11002" s="60">
        <v>108.207504</v>
      </c>
      <c r="J11002" s="59">
        <v>8.0</v>
      </c>
      <c r="K11002" s="61">
        <f t="shared" si="1"/>
        <v>0</v>
      </c>
      <c r="L11002" s="62">
        <f t="shared" si="2"/>
        <v>8</v>
      </c>
    </row>
    <row r="11003">
      <c r="A11003" s="58">
        <v>45047.0</v>
      </c>
      <c r="B11003" s="24" t="s">
        <v>6794</v>
      </c>
      <c r="C11003" s="24" t="s">
        <v>7180</v>
      </c>
      <c r="D11003" s="59">
        <v>1.0</v>
      </c>
      <c r="E11003" s="59">
        <v>2.0</v>
      </c>
      <c r="F11003" s="59">
        <v>1.0</v>
      </c>
      <c r="G11003" s="60">
        <v>2.0</v>
      </c>
      <c r="H11003" s="60">
        <v>0.0</v>
      </c>
      <c r="I11003" s="60">
        <v>12.0783095</v>
      </c>
      <c r="J11003" s="59">
        <v>6.0</v>
      </c>
      <c r="K11003" s="61">
        <f t="shared" si="1"/>
        <v>0.5</v>
      </c>
      <c r="L11003" s="62">
        <f t="shared" si="2"/>
        <v>3</v>
      </c>
    </row>
    <row r="11004">
      <c r="A11004" s="58">
        <v>45047.0</v>
      </c>
      <c r="B11004" s="24" t="s">
        <v>6787</v>
      </c>
      <c r="C11004" s="24" t="s">
        <v>7588</v>
      </c>
      <c r="D11004" s="59">
        <v>1.0</v>
      </c>
      <c r="E11004" s="59">
        <v>1.0</v>
      </c>
      <c r="F11004" s="59">
        <v>1.0</v>
      </c>
      <c r="G11004" s="60">
        <v>1.0</v>
      </c>
      <c r="H11004" s="60">
        <v>0.0</v>
      </c>
      <c r="I11004" s="60">
        <v>5.154771</v>
      </c>
      <c r="J11004" s="59">
        <v>2.0</v>
      </c>
      <c r="K11004" s="61">
        <f t="shared" si="1"/>
        <v>1</v>
      </c>
      <c r="L11004" s="62">
        <f t="shared" si="2"/>
        <v>2</v>
      </c>
    </row>
    <row r="11005">
      <c r="A11005" s="58">
        <v>45047.0</v>
      </c>
      <c r="B11005" s="24" t="s">
        <v>6791</v>
      </c>
      <c r="C11005" s="24" t="s">
        <v>6921</v>
      </c>
      <c r="D11005" s="59">
        <v>1.0</v>
      </c>
      <c r="E11005" s="59">
        <v>1.0</v>
      </c>
      <c r="F11005" s="59">
        <v>1.0</v>
      </c>
      <c r="G11005" s="60">
        <v>1.0</v>
      </c>
      <c r="H11005" s="60">
        <v>0.0</v>
      </c>
      <c r="I11005" s="60">
        <v>363.412268</v>
      </c>
      <c r="J11005" s="59">
        <v>2.0</v>
      </c>
      <c r="K11005" s="61">
        <f t="shared" si="1"/>
        <v>1</v>
      </c>
      <c r="L11005" s="62">
        <f t="shared" si="2"/>
        <v>2</v>
      </c>
    </row>
    <row r="11006">
      <c r="A11006" s="58">
        <v>45047.0</v>
      </c>
      <c r="B11006" s="24" t="s">
        <v>7100</v>
      </c>
      <c r="C11006" s="24" t="s">
        <v>6921</v>
      </c>
      <c r="D11006" s="59">
        <v>1.0</v>
      </c>
      <c r="E11006" s="59">
        <v>10.0</v>
      </c>
      <c r="F11006" s="59">
        <v>0.0</v>
      </c>
      <c r="G11006" s="60">
        <v>10.0</v>
      </c>
      <c r="H11006" s="60">
        <v>0.2</v>
      </c>
      <c r="I11006" s="60">
        <v>25.567484</v>
      </c>
      <c r="J11006" s="59">
        <v>33.0</v>
      </c>
      <c r="K11006" s="61">
        <f t="shared" si="1"/>
        <v>0</v>
      </c>
      <c r="L11006" s="62">
        <f t="shared" si="2"/>
        <v>3.3</v>
      </c>
    </row>
    <row r="11007">
      <c r="A11007" s="58">
        <v>45047.0</v>
      </c>
      <c r="B11007" s="24" t="s">
        <v>155</v>
      </c>
      <c r="C11007" s="24" t="s">
        <v>6921</v>
      </c>
      <c r="D11007" s="59">
        <v>1.0</v>
      </c>
      <c r="E11007" s="59">
        <v>1.0</v>
      </c>
      <c r="F11007" s="59">
        <v>1.0</v>
      </c>
      <c r="G11007" s="60">
        <v>1.0</v>
      </c>
      <c r="H11007" s="60">
        <v>0.0</v>
      </c>
      <c r="I11007" s="60">
        <v>4.946372</v>
      </c>
      <c r="J11007" s="59">
        <v>2.0</v>
      </c>
      <c r="K11007" s="61">
        <f t="shared" si="1"/>
        <v>1</v>
      </c>
      <c r="L11007" s="62">
        <f t="shared" si="2"/>
        <v>2</v>
      </c>
    </row>
    <row r="11008">
      <c r="A11008" s="58">
        <v>45047.0</v>
      </c>
      <c r="B11008" s="24" t="s">
        <v>7100</v>
      </c>
      <c r="C11008" s="24" t="s">
        <v>6922</v>
      </c>
      <c r="D11008" s="59">
        <v>1.0</v>
      </c>
      <c r="E11008" s="59">
        <v>1.0</v>
      </c>
      <c r="F11008" s="59">
        <v>1.0</v>
      </c>
      <c r="G11008" s="60">
        <v>1.0</v>
      </c>
      <c r="H11008" s="60">
        <v>0.0</v>
      </c>
      <c r="I11008" s="60">
        <v>0.016051</v>
      </c>
      <c r="J11008" s="59">
        <v>3.0</v>
      </c>
      <c r="K11008" s="61">
        <f t="shared" si="1"/>
        <v>1</v>
      </c>
      <c r="L11008" s="62">
        <f t="shared" si="2"/>
        <v>3</v>
      </c>
    </row>
    <row r="11009">
      <c r="A11009" s="58">
        <v>45047.0</v>
      </c>
      <c r="B11009" s="24" t="s">
        <v>6794</v>
      </c>
      <c r="C11009" s="24" t="s">
        <v>7047</v>
      </c>
      <c r="D11009" s="59">
        <v>1.0</v>
      </c>
      <c r="E11009" s="59">
        <v>1.0</v>
      </c>
      <c r="F11009" s="59">
        <v>0.0</v>
      </c>
      <c r="G11009" s="60">
        <v>1.0</v>
      </c>
      <c r="H11009" s="60">
        <v>0.0</v>
      </c>
      <c r="I11009" s="60">
        <v>6.44338499999999</v>
      </c>
      <c r="J11009" s="59">
        <v>8.0</v>
      </c>
      <c r="K11009" s="61">
        <f t="shared" si="1"/>
        <v>0</v>
      </c>
      <c r="L11009" s="62">
        <f t="shared" si="2"/>
        <v>8</v>
      </c>
    </row>
    <row r="11010">
      <c r="A11010" s="58">
        <v>45047.0</v>
      </c>
      <c r="B11010" s="24" t="s">
        <v>7100</v>
      </c>
      <c r="C11010" s="24" t="s">
        <v>6797</v>
      </c>
      <c r="D11010" s="59">
        <v>1.0</v>
      </c>
      <c r="E11010" s="59">
        <v>2.0</v>
      </c>
      <c r="F11010" s="59">
        <v>0.0</v>
      </c>
      <c r="G11010" s="60">
        <v>2.0</v>
      </c>
      <c r="H11010" s="60">
        <v>0.0</v>
      </c>
      <c r="I11010" s="60">
        <v>5.262435</v>
      </c>
      <c r="J11010" s="59">
        <v>4.0</v>
      </c>
      <c r="K11010" s="61">
        <f t="shared" si="1"/>
        <v>0</v>
      </c>
      <c r="L11010" s="62">
        <f t="shared" si="2"/>
        <v>2</v>
      </c>
    </row>
    <row r="11011">
      <c r="A11011" s="58">
        <v>45047.0</v>
      </c>
      <c r="B11011" s="24" t="s">
        <v>155</v>
      </c>
      <c r="C11011" s="24" t="s">
        <v>7649</v>
      </c>
      <c r="D11011" s="59">
        <v>1.0</v>
      </c>
      <c r="E11011" s="59">
        <v>1.0</v>
      </c>
      <c r="F11011" s="59">
        <v>0.0</v>
      </c>
      <c r="G11011" s="60">
        <v>1.0</v>
      </c>
      <c r="H11011" s="60">
        <v>0.0</v>
      </c>
      <c r="I11011" s="60">
        <v>2947.220613</v>
      </c>
      <c r="J11011" s="59">
        <v>21.0</v>
      </c>
      <c r="K11011" s="61">
        <f t="shared" si="1"/>
        <v>0</v>
      </c>
      <c r="L11011" s="62">
        <f t="shared" si="2"/>
        <v>21</v>
      </c>
    </row>
    <row r="11012">
      <c r="A11012" s="58">
        <v>45047.0</v>
      </c>
      <c r="B11012" s="24" t="s">
        <v>6787</v>
      </c>
      <c r="C11012" s="24" t="s">
        <v>6810</v>
      </c>
      <c r="D11012" s="59">
        <v>1.0</v>
      </c>
      <c r="E11012" s="59">
        <v>1.0</v>
      </c>
      <c r="F11012" s="59">
        <v>1.0</v>
      </c>
      <c r="G11012" s="60">
        <v>1.0</v>
      </c>
      <c r="H11012" s="60">
        <v>0.0</v>
      </c>
      <c r="I11012" s="60">
        <v>21.238207</v>
      </c>
      <c r="J11012" s="59">
        <v>3.0</v>
      </c>
      <c r="K11012" s="61">
        <f t="shared" si="1"/>
        <v>1</v>
      </c>
      <c r="L11012" s="62">
        <f t="shared" si="2"/>
        <v>3</v>
      </c>
    </row>
    <row r="11013">
      <c r="A11013" s="58">
        <v>45047.0</v>
      </c>
      <c r="B11013" s="24" t="s">
        <v>6789</v>
      </c>
      <c r="C11013" s="24" t="s">
        <v>6810</v>
      </c>
      <c r="D11013" s="59">
        <v>1.0</v>
      </c>
      <c r="E11013" s="59">
        <v>3.0</v>
      </c>
      <c r="F11013" s="59">
        <v>1.0</v>
      </c>
      <c r="G11013" s="60">
        <v>3.0</v>
      </c>
      <c r="H11013" s="60">
        <v>0.0</v>
      </c>
      <c r="I11013" s="60">
        <v>5.66665199999999</v>
      </c>
      <c r="J11013" s="59">
        <v>8.0</v>
      </c>
      <c r="K11013" s="61">
        <f t="shared" si="1"/>
        <v>0.3333333333</v>
      </c>
      <c r="L11013" s="62">
        <f t="shared" si="2"/>
        <v>2.666666667</v>
      </c>
    </row>
    <row r="11014">
      <c r="A11014" s="58">
        <v>45047.0</v>
      </c>
      <c r="B11014" s="24" t="s">
        <v>6789</v>
      </c>
      <c r="C11014" s="24" t="s">
        <v>6962</v>
      </c>
      <c r="D11014" s="59">
        <v>1.0</v>
      </c>
      <c r="E11014" s="59">
        <v>1.0</v>
      </c>
      <c r="F11014" s="59">
        <v>0.0</v>
      </c>
      <c r="G11014" s="60">
        <v>1.0</v>
      </c>
      <c r="H11014" s="60">
        <v>0.0</v>
      </c>
      <c r="I11014" s="60">
        <v>0.001091</v>
      </c>
      <c r="J11014" s="59">
        <v>2.0</v>
      </c>
      <c r="K11014" s="61">
        <f t="shared" si="1"/>
        <v>0</v>
      </c>
      <c r="L11014" s="62">
        <f t="shared" si="2"/>
        <v>2</v>
      </c>
    </row>
    <row r="11015">
      <c r="A11015" s="58">
        <v>45047.0</v>
      </c>
      <c r="B11015" s="24" t="s">
        <v>6942</v>
      </c>
      <c r="C11015" s="24" t="s">
        <v>6962</v>
      </c>
      <c r="D11015" s="59">
        <v>1.0</v>
      </c>
      <c r="E11015" s="59">
        <v>1.0</v>
      </c>
      <c r="F11015" s="59">
        <v>0.0</v>
      </c>
      <c r="G11015" s="60">
        <v>1.0</v>
      </c>
      <c r="H11015" s="60">
        <v>0.0</v>
      </c>
      <c r="I11015" s="60">
        <v>0.235791</v>
      </c>
      <c r="J11015" s="59">
        <v>2.0</v>
      </c>
      <c r="K11015" s="61">
        <f t="shared" si="1"/>
        <v>0</v>
      </c>
      <c r="L11015" s="62">
        <f t="shared" si="2"/>
        <v>2</v>
      </c>
    </row>
    <row r="11016">
      <c r="A11016" s="58">
        <v>45047.0</v>
      </c>
      <c r="B11016" s="24" t="s">
        <v>6794</v>
      </c>
      <c r="C11016" s="24" t="s">
        <v>6802</v>
      </c>
      <c r="D11016" s="59">
        <v>1.0</v>
      </c>
      <c r="E11016" s="59">
        <v>1.0</v>
      </c>
      <c r="F11016" s="59">
        <v>0.0</v>
      </c>
      <c r="G11016" s="60">
        <v>1.0</v>
      </c>
      <c r="H11016" s="60">
        <v>0.0</v>
      </c>
      <c r="I11016" s="60">
        <v>86.860149</v>
      </c>
      <c r="J11016" s="59">
        <v>4.0</v>
      </c>
      <c r="K11016" s="61">
        <f t="shared" si="1"/>
        <v>0</v>
      </c>
      <c r="L11016" s="62">
        <f t="shared" si="2"/>
        <v>4</v>
      </c>
    </row>
    <row r="11017">
      <c r="A11017" s="58">
        <v>45017.0</v>
      </c>
      <c r="B11017" s="24" t="s">
        <v>6787</v>
      </c>
      <c r="C11017" s="27"/>
      <c r="D11017" s="59">
        <v>645.0</v>
      </c>
      <c r="E11017" s="59">
        <v>762.0</v>
      </c>
      <c r="F11017" s="59">
        <v>611.0</v>
      </c>
      <c r="G11017" s="60">
        <v>1.1813953488372</v>
      </c>
      <c r="H11017" s="60">
        <v>0.11023622047244</v>
      </c>
      <c r="I11017" s="60">
        <v>56.1474461338582</v>
      </c>
      <c r="J11017" s="59">
        <v>1887.0</v>
      </c>
      <c r="K11017" s="61">
        <f t="shared" si="1"/>
        <v>0.8018372703</v>
      </c>
      <c r="L11017" s="62">
        <f t="shared" si="2"/>
        <v>2.476377953</v>
      </c>
    </row>
    <row r="11018">
      <c r="A11018" s="58">
        <v>45017.0</v>
      </c>
      <c r="B11018" s="24" t="s">
        <v>6789</v>
      </c>
      <c r="C11018" s="27"/>
      <c r="D11018" s="59">
        <v>550.0</v>
      </c>
      <c r="E11018" s="59">
        <v>762.0</v>
      </c>
      <c r="F11018" s="59">
        <v>441.0</v>
      </c>
      <c r="G11018" s="60">
        <v>1.3879781420765</v>
      </c>
      <c r="H11018" s="60">
        <v>0.0157480314960629</v>
      </c>
      <c r="I11018" s="60">
        <v>212.061165541994</v>
      </c>
      <c r="J11018" s="59">
        <v>2716.0</v>
      </c>
      <c r="K11018" s="61">
        <f t="shared" si="1"/>
        <v>0.5787401575</v>
      </c>
      <c r="L11018" s="62">
        <f t="shared" si="2"/>
        <v>3.564304462</v>
      </c>
    </row>
    <row r="11019">
      <c r="A11019" s="58">
        <v>45017.0</v>
      </c>
      <c r="B11019" s="24" t="s">
        <v>6787</v>
      </c>
      <c r="C11019" s="24" t="s">
        <v>6908</v>
      </c>
      <c r="D11019" s="59">
        <v>232.0</v>
      </c>
      <c r="E11019" s="59">
        <v>231.0</v>
      </c>
      <c r="F11019" s="59">
        <v>231.0</v>
      </c>
      <c r="G11019" s="60">
        <v>0.995689655172413</v>
      </c>
      <c r="H11019" s="60">
        <v>0.0562770562770562</v>
      </c>
      <c r="I11019" s="60">
        <v>2.95439382683982</v>
      </c>
      <c r="J11019" s="59">
        <v>451.0</v>
      </c>
      <c r="K11019" s="61">
        <f t="shared" si="1"/>
        <v>1</v>
      </c>
      <c r="L11019" s="62">
        <f t="shared" si="2"/>
        <v>1.952380952</v>
      </c>
    </row>
    <row r="11020">
      <c r="A11020" s="58">
        <v>45017.0</v>
      </c>
      <c r="B11020" s="24" t="s">
        <v>6789</v>
      </c>
      <c r="C11020" s="24" t="s">
        <v>7068</v>
      </c>
      <c r="D11020" s="59">
        <v>178.0</v>
      </c>
      <c r="E11020" s="59">
        <v>206.0</v>
      </c>
      <c r="F11020" s="59">
        <v>173.0</v>
      </c>
      <c r="G11020" s="60">
        <v>1.15730337078651</v>
      </c>
      <c r="H11020" s="60">
        <v>0.0145631067961165</v>
      </c>
      <c r="I11020" s="60">
        <v>215.932603208737</v>
      </c>
      <c r="J11020" s="59">
        <v>454.0</v>
      </c>
      <c r="K11020" s="61">
        <f t="shared" si="1"/>
        <v>0.8398058252</v>
      </c>
      <c r="L11020" s="62">
        <f t="shared" si="2"/>
        <v>2.203883495</v>
      </c>
    </row>
    <row r="11021">
      <c r="A11021" s="58">
        <v>45017.0</v>
      </c>
      <c r="B11021" s="24" t="s">
        <v>6790</v>
      </c>
      <c r="C11021" s="24" t="s">
        <v>6815</v>
      </c>
      <c r="D11021" s="59">
        <v>174.0</v>
      </c>
      <c r="E11021" s="59">
        <v>265.0</v>
      </c>
      <c r="F11021" s="59">
        <v>143.0</v>
      </c>
      <c r="G11021" s="60">
        <v>1.53179190751445</v>
      </c>
      <c r="H11021" s="60">
        <v>0.0528301886792452</v>
      </c>
      <c r="I11021" s="60">
        <v>277.381742154717</v>
      </c>
      <c r="J11021" s="59">
        <v>636.0</v>
      </c>
      <c r="K11021" s="61">
        <f t="shared" si="1"/>
        <v>0.5396226415</v>
      </c>
      <c r="L11021" s="62">
        <f t="shared" si="2"/>
        <v>2.4</v>
      </c>
    </row>
    <row r="11022">
      <c r="A11022" s="58">
        <v>45017.0</v>
      </c>
      <c r="B11022" s="24" t="s">
        <v>6789</v>
      </c>
      <c r="C11022" s="24" t="s">
        <v>6792</v>
      </c>
      <c r="D11022" s="59">
        <v>159.0</v>
      </c>
      <c r="E11022" s="59">
        <v>198.0</v>
      </c>
      <c r="F11022" s="59">
        <v>0.0</v>
      </c>
      <c r="G11022" s="60">
        <v>1.76785714285714</v>
      </c>
      <c r="H11022" s="60">
        <v>0.964646464646464</v>
      </c>
      <c r="I11022" s="60">
        <v>19.3580066010101</v>
      </c>
      <c r="J11022" s="59">
        <v>0.0</v>
      </c>
      <c r="K11022" s="61">
        <f t="shared" si="1"/>
        <v>0</v>
      </c>
      <c r="L11022" s="62">
        <f t="shared" si="2"/>
        <v>0</v>
      </c>
    </row>
    <row r="11023">
      <c r="A11023" s="58">
        <v>45017.0</v>
      </c>
      <c r="B11023" s="24" t="s">
        <v>7100</v>
      </c>
      <c r="C11023" s="24" t="s">
        <v>7172</v>
      </c>
      <c r="D11023" s="59">
        <v>127.0</v>
      </c>
      <c r="E11023" s="59">
        <v>144.0</v>
      </c>
      <c r="F11023" s="59">
        <v>123.0</v>
      </c>
      <c r="G11023" s="60">
        <v>1.13385826771653</v>
      </c>
      <c r="H11023" s="60">
        <v>0.0208333333333333</v>
      </c>
      <c r="I11023" s="60">
        <v>14.3309303958333</v>
      </c>
      <c r="J11023" s="59">
        <v>290.0</v>
      </c>
      <c r="K11023" s="61">
        <f t="shared" si="1"/>
        <v>0.8541666667</v>
      </c>
      <c r="L11023" s="62">
        <f t="shared" si="2"/>
        <v>2.013888889</v>
      </c>
    </row>
    <row r="11024">
      <c r="A11024" s="58">
        <v>45017.0</v>
      </c>
      <c r="B11024" s="24" t="s">
        <v>6794</v>
      </c>
      <c r="C11024" s="27"/>
      <c r="D11024" s="59">
        <v>107.0</v>
      </c>
      <c r="E11024" s="59">
        <v>124.0</v>
      </c>
      <c r="F11024" s="59">
        <v>88.0</v>
      </c>
      <c r="G11024" s="60">
        <v>1.15887850467289</v>
      </c>
      <c r="H11024" s="60">
        <v>0.0403225806451612</v>
      </c>
      <c r="I11024" s="60">
        <v>204.686478290322</v>
      </c>
      <c r="J11024" s="59">
        <v>482.0</v>
      </c>
      <c r="K11024" s="61">
        <f t="shared" si="1"/>
        <v>0.7096774194</v>
      </c>
      <c r="L11024" s="62">
        <f t="shared" si="2"/>
        <v>3.887096774</v>
      </c>
    </row>
    <row r="11025">
      <c r="A11025" s="58">
        <v>45017.0</v>
      </c>
      <c r="B11025" s="24" t="s">
        <v>7100</v>
      </c>
      <c r="C11025" s="27"/>
      <c r="D11025" s="59">
        <v>91.0</v>
      </c>
      <c r="E11025" s="59">
        <v>106.0</v>
      </c>
      <c r="F11025" s="59">
        <v>89.0</v>
      </c>
      <c r="G11025" s="60">
        <v>1.17777777777777</v>
      </c>
      <c r="H11025" s="60">
        <v>0.0471698113207547</v>
      </c>
      <c r="I11025" s="60">
        <v>14.892482481132</v>
      </c>
      <c r="J11025" s="59">
        <v>241.0</v>
      </c>
      <c r="K11025" s="61">
        <f t="shared" si="1"/>
        <v>0.8396226415</v>
      </c>
      <c r="L11025" s="62">
        <f t="shared" si="2"/>
        <v>2.273584906</v>
      </c>
    </row>
    <row r="11026">
      <c r="A11026" s="58">
        <v>45017.0</v>
      </c>
      <c r="B11026" s="24" t="s">
        <v>155</v>
      </c>
      <c r="C11026" s="27"/>
      <c r="D11026" s="59">
        <v>72.0</v>
      </c>
      <c r="E11026" s="59">
        <v>112.0</v>
      </c>
      <c r="F11026" s="59">
        <v>57.0</v>
      </c>
      <c r="G11026" s="60">
        <v>1.55555555555555</v>
      </c>
      <c r="H11026" s="60">
        <v>0.0</v>
      </c>
      <c r="I11026" s="60">
        <v>233.953684678571</v>
      </c>
      <c r="J11026" s="59">
        <v>410.0</v>
      </c>
      <c r="K11026" s="61">
        <f t="shared" si="1"/>
        <v>0.5089285714</v>
      </c>
      <c r="L11026" s="62">
        <f t="shared" si="2"/>
        <v>3.660714286</v>
      </c>
    </row>
    <row r="11027">
      <c r="A11027" s="58">
        <v>45017.0</v>
      </c>
      <c r="B11027" s="24" t="s">
        <v>7606</v>
      </c>
      <c r="C11027" s="27"/>
      <c r="D11027" s="59">
        <v>60.0</v>
      </c>
      <c r="E11027" s="59">
        <v>64.0</v>
      </c>
      <c r="F11027" s="59">
        <v>60.0</v>
      </c>
      <c r="G11027" s="60">
        <v>1.06666666666666</v>
      </c>
      <c r="H11027" s="60">
        <v>0.125</v>
      </c>
      <c r="I11027" s="60">
        <v>27.0153631562499</v>
      </c>
      <c r="J11027" s="59">
        <v>120.0</v>
      </c>
      <c r="K11027" s="61">
        <f t="shared" si="1"/>
        <v>0.9375</v>
      </c>
      <c r="L11027" s="62">
        <f t="shared" si="2"/>
        <v>1.875</v>
      </c>
    </row>
    <row r="11028">
      <c r="A11028" s="58">
        <v>45017.0</v>
      </c>
      <c r="B11028" s="24" t="s">
        <v>7100</v>
      </c>
      <c r="C11028" s="24" t="s">
        <v>6989</v>
      </c>
      <c r="D11028" s="59">
        <v>56.0</v>
      </c>
      <c r="E11028" s="59">
        <v>56.0</v>
      </c>
      <c r="F11028" s="59">
        <v>55.0</v>
      </c>
      <c r="G11028" s="60">
        <v>1.0</v>
      </c>
      <c r="H11028" s="60">
        <v>0.0357142857142857</v>
      </c>
      <c r="I11028" s="60">
        <v>3.82626651785714</v>
      </c>
      <c r="J11028" s="59">
        <v>112.0</v>
      </c>
      <c r="K11028" s="61">
        <f t="shared" si="1"/>
        <v>0.9821428571</v>
      </c>
      <c r="L11028" s="62">
        <f t="shared" si="2"/>
        <v>2</v>
      </c>
    </row>
    <row r="11029">
      <c r="A11029" s="58">
        <v>45017.0</v>
      </c>
      <c r="B11029" s="24" t="s">
        <v>6787</v>
      </c>
      <c r="C11029" s="24" t="s">
        <v>6792</v>
      </c>
      <c r="D11029" s="59">
        <v>51.0</v>
      </c>
      <c r="E11029" s="59">
        <v>62.0</v>
      </c>
      <c r="F11029" s="59">
        <v>0.0</v>
      </c>
      <c r="G11029" s="60">
        <v>1.72222222222222</v>
      </c>
      <c r="H11029" s="60">
        <v>0.967741935483871</v>
      </c>
      <c r="I11029" s="60">
        <v>3.96405625806451</v>
      </c>
      <c r="J11029" s="59">
        <v>0.0</v>
      </c>
      <c r="K11029" s="61">
        <f t="shared" si="1"/>
        <v>0</v>
      </c>
      <c r="L11029" s="62">
        <f t="shared" si="2"/>
        <v>0</v>
      </c>
    </row>
    <row r="11030">
      <c r="A11030" s="58">
        <v>45017.0</v>
      </c>
      <c r="B11030" s="24" t="s">
        <v>6790</v>
      </c>
      <c r="C11030" s="24" t="s">
        <v>6792</v>
      </c>
      <c r="D11030" s="59">
        <v>48.0</v>
      </c>
      <c r="E11030" s="59">
        <v>57.0</v>
      </c>
      <c r="F11030" s="59">
        <v>0.0</v>
      </c>
      <c r="G11030" s="60">
        <v>2.28</v>
      </c>
      <c r="H11030" s="60">
        <v>1.0</v>
      </c>
      <c r="I11030" s="60">
        <v>0.0</v>
      </c>
      <c r="J11030" s="59">
        <v>0.0</v>
      </c>
      <c r="K11030" s="61">
        <f t="shared" si="1"/>
        <v>0</v>
      </c>
      <c r="L11030" s="62">
        <f t="shared" si="2"/>
        <v>0</v>
      </c>
    </row>
    <row r="11031">
      <c r="A11031" s="58">
        <v>45017.0</v>
      </c>
      <c r="B11031" s="24" t="s">
        <v>6791</v>
      </c>
      <c r="C11031" s="24" t="s">
        <v>7624</v>
      </c>
      <c r="D11031" s="59">
        <v>48.0</v>
      </c>
      <c r="E11031" s="59">
        <v>51.0</v>
      </c>
      <c r="F11031" s="59">
        <v>44.0</v>
      </c>
      <c r="G11031" s="60">
        <v>1.0625</v>
      </c>
      <c r="H11031" s="60">
        <v>0.0196078431372549</v>
      </c>
      <c r="I11031" s="60">
        <v>141.470929882352</v>
      </c>
      <c r="J11031" s="59">
        <v>148.0</v>
      </c>
      <c r="K11031" s="61">
        <f t="shared" si="1"/>
        <v>0.862745098</v>
      </c>
      <c r="L11031" s="62">
        <f t="shared" si="2"/>
        <v>2.901960784</v>
      </c>
    </row>
    <row r="11032">
      <c r="A11032" s="58">
        <v>45017.0</v>
      </c>
      <c r="B11032" s="24" t="s">
        <v>6794</v>
      </c>
      <c r="C11032" s="24" t="s">
        <v>6815</v>
      </c>
      <c r="D11032" s="59">
        <v>48.0</v>
      </c>
      <c r="E11032" s="59">
        <v>74.0</v>
      </c>
      <c r="F11032" s="59">
        <v>36.0</v>
      </c>
      <c r="G11032" s="60">
        <v>1.54166666666666</v>
      </c>
      <c r="H11032" s="60">
        <v>0.0405405405405405</v>
      </c>
      <c r="I11032" s="60">
        <v>123.0887095</v>
      </c>
      <c r="J11032" s="59">
        <v>172.0</v>
      </c>
      <c r="K11032" s="61">
        <f t="shared" si="1"/>
        <v>0.4864864865</v>
      </c>
      <c r="L11032" s="62">
        <f t="shared" si="2"/>
        <v>2.324324324</v>
      </c>
    </row>
    <row r="11033">
      <c r="A11033" s="58">
        <v>45017.0</v>
      </c>
      <c r="B11033" s="24" t="s">
        <v>7100</v>
      </c>
      <c r="C11033" s="24" t="s">
        <v>6892</v>
      </c>
      <c r="D11033" s="59">
        <v>41.0</v>
      </c>
      <c r="E11033" s="59">
        <v>44.0</v>
      </c>
      <c r="F11033" s="59">
        <v>39.0</v>
      </c>
      <c r="G11033" s="60">
        <v>1.07317073170731</v>
      </c>
      <c r="H11033" s="60">
        <v>0.159090909090909</v>
      </c>
      <c r="I11033" s="60">
        <v>29.4921314999999</v>
      </c>
      <c r="J11033" s="59">
        <v>86.0</v>
      </c>
      <c r="K11033" s="61">
        <f t="shared" si="1"/>
        <v>0.8863636364</v>
      </c>
      <c r="L11033" s="62">
        <f t="shared" si="2"/>
        <v>1.954545455</v>
      </c>
    </row>
    <row r="11034">
      <c r="A11034" s="58">
        <v>45017.0</v>
      </c>
      <c r="B11034" s="24" t="s">
        <v>6787</v>
      </c>
      <c r="C11034" s="24" t="s">
        <v>7439</v>
      </c>
      <c r="D11034" s="59">
        <v>35.0</v>
      </c>
      <c r="E11034" s="59">
        <v>48.0</v>
      </c>
      <c r="F11034" s="59">
        <v>28.0</v>
      </c>
      <c r="G11034" s="60">
        <v>1.37142857142857</v>
      </c>
      <c r="H11034" s="60">
        <v>0.0208333333333333</v>
      </c>
      <c r="I11034" s="60">
        <v>205.284274749999</v>
      </c>
      <c r="J11034" s="59">
        <v>170.0</v>
      </c>
      <c r="K11034" s="61">
        <f t="shared" si="1"/>
        <v>0.5833333333</v>
      </c>
      <c r="L11034" s="62">
        <f t="shared" si="2"/>
        <v>3.541666667</v>
      </c>
    </row>
    <row r="11035">
      <c r="A11035" s="58">
        <v>45017.0</v>
      </c>
      <c r="B11035" s="24" t="s">
        <v>6790</v>
      </c>
      <c r="C11035" s="24" t="s">
        <v>7439</v>
      </c>
      <c r="D11035" s="59">
        <v>34.0</v>
      </c>
      <c r="E11035" s="59">
        <v>40.0</v>
      </c>
      <c r="F11035" s="59">
        <v>28.0</v>
      </c>
      <c r="G11035" s="60">
        <v>1.17647058823529</v>
      </c>
      <c r="H11035" s="60">
        <v>0.0</v>
      </c>
      <c r="I11035" s="60">
        <v>53.97786215</v>
      </c>
      <c r="J11035" s="59">
        <v>86.0</v>
      </c>
      <c r="K11035" s="61">
        <f t="shared" si="1"/>
        <v>0.7</v>
      </c>
      <c r="L11035" s="62">
        <f t="shared" si="2"/>
        <v>2.15</v>
      </c>
    </row>
    <row r="11036">
      <c r="A11036" s="58">
        <v>45017.0</v>
      </c>
      <c r="B11036" s="24" t="s">
        <v>6787</v>
      </c>
      <c r="C11036" s="24" t="s">
        <v>6815</v>
      </c>
      <c r="D11036" s="59">
        <v>34.0</v>
      </c>
      <c r="E11036" s="59">
        <v>50.0</v>
      </c>
      <c r="F11036" s="59">
        <v>25.0</v>
      </c>
      <c r="G11036" s="60">
        <v>1.51515151515151</v>
      </c>
      <c r="H11036" s="60">
        <v>0.06</v>
      </c>
      <c r="I11036" s="60">
        <v>112.1424386</v>
      </c>
      <c r="J11036" s="59">
        <v>113.0</v>
      </c>
      <c r="K11036" s="61">
        <f t="shared" si="1"/>
        <v>0.5</v>
      </c>
      <c r="L11036" s="62">
        <f t="shared" si="2"/>
        <v>2.26</v>
      </c>
    </row>
    <row r="11037">
      <c r="A11037" s="58">
        <v>45017.0</v>
      </c>
      <c r="B11037" s="24" t="s">
        <v>7606</v>
      </c>
      <c r="C11037" s="24" t="s">
        <v>6908</v>
      </c>
      <c r="D11037" s="59">
        <v>31.0</v>
      </c>
      <c r="E11037" s="59">
        <v>31.0</v>
      </c>
      <c r="F11037" s="59">
        <v>31.0</v>
      </c>
      <c r="G11037" s="60">
        <v>1.0</v>
      </c>
      <c r="H11037" s="60">
        <v>0.064516129032258</v>
      </c>
      <c r="I11037" s="60">
        <v>5.85287138709677</v>
      </c>
      <c r="J11037" s="59">
        <v>60.0</v>
      </c>
      <c r="K11037" s="61">
        <f t="shared" si="1"/>
        <v>1</v>
      </c>
      <c r="L11037" s="62">
        <f t="shared" si="2"/>
        <v>1.935483871</v>
      </c>
    </row>
    <row r="11038">
      <c r="A11038" s="58">
        <v>45017.0</v>
      </c>
      <c r="B11038" s="24" t="s">
        <v>6791</v>
      </c>
      <c r="C11038" s="24" t="s">
        <v>6802</v>
      </c>
      <c r="D11038" s="59">
        <v>30.0</v>
      </c>
      <c r="E11038" s="59">
        <v>32.0</v>
      </c>
      <c r="F11038" s="59">
        <v>29.0</v>
      </c>
      <c r="G11038" s="60">
        <v>1.06666666666666</v>
      </c>
      <c r="H11038" s="60">
        <v>0.0625</v>
      </c>
      <c r="I11038" s="60">
        <v>155.27691753125</v>
      </c>
      <c r="J11038" s="59">
        <v>83.0</v>
      </c>
      <c r="K11038" s="61">
        <f t="shared" si="1"/>
        <v>0.90625</v>
      </c>
      <c r="L11038" s="62">
        <f t="shared" si="2"/>
        <v>2.59375</v>
      </c>
    </row>
    <row r="11039">
      <c r="A11039" s="58">
        <v>45017.0</v>
      </c>
      <c r="B11039" s="24" t="s">
        <v>7100</v>
      </c>
      <c r="C11039" s="24" t="s">
        <v>6802</v>
      </c>
      <c r="D11039" s="59">
        <v>30.0</v>
      </c>
      <c r="E11039" s="59">
        <v>31.0</v>
      </c>
      <c r="F11039" s="59">
        <v>30.0</v>
      </c>
      <c r="G11039" s="60">
        <v>1.03333333333333</v>
      </c>
      <c r="H11039" s="60">
        <v>0.0</v>
      </c>
      <c r="I11039" s="60">
        <v>4.04306570967741</v>
      </c>
      <c r="J11039" s="59">
        <v>62.0</v>
      </c>
      <c r="K11039" s="61">
        <f t="shared" si="1"/>
        <v>0.9677419355</v>
      </c>
      <c r="L11039" s="62">
        <f t="shared" si="2"/>
        <v>2</v>
      </c>
    </row>
    <row r="11040">
      <c r="A11040" s="58">
        <v>45017.0</v>
      </c>
      <c r="B11040" s="24" t="s">
        <v>3216</v>
      </c>
      <c r="C11040" s="24" t="s">
        <v>7439</v>
      </c>
      <c r="D11040" s="59">
        <v>28.0</v>
      </c>
      <c r="E11040" s="59">
        <v>34.0</v>
      </c>
      <c r="F11040" s="59">
        <v>26.0</v>
      </c>
      <c r="G11040" s="60">
        <v>1.21428571428571</v>
      </c>
      <c r="H11040" s="60">
        <v>0.0</v>
      </c>
      <c r="I11040" s="60">
        <v>173.78488367647</v>
      </c>
      <c r="J11040" s="59">
        <v>76.0</v>
      </c>
      <c r="K11040" s="61">
        <f t="shared" si="1"/>
        <v>0.7647058824</v>
      </c>
      <c r="L11040" s="62">
        <f t="shared" si="2"/>
        <v>2.235294118</v>
      </c>
    </row>
    <row r="11041">
      <c r="A11041" s="58">
        <v>45017.0</v>
      </c>
      <c r="B11041" s="24" t="s">
        <v>6794</v>
      </c>
      <c r="C11041" s="24" t="s">
        <v>6792</v>
      </c>
      <c r="D11041" s="59">
        <v>27.0</v>
      </c>
      <c r="E11041" s="59">
        <v>30.0</v>
      </c>
      <c r="F11041" s="59">
        <v>0.0</v>
      </c>
      <c r="G11041" s="60">
        <v>1.875</v>
      </c>
      <c r="H11041" s="60">
        <v>1.0</v>
      </c>
      <c r="I11041" s="60">
        <v>0.0107200333333333</v>
      </c>
      <c r="J11041" s="59">
        <v>0.0</v>
      </c>
      <c r="K11041" s="61">
        <f t="shared" si="1"/>
        <v>0</v>
      </c>
      <c r="L11041" s="62">
        <f t="shared" si="2"/>
        <v>0</v>
      </c>
    </row>
    <row r="11042">
      <c r="A11042" s="58">
        <v>45017.0</v>
      </c>
      <c r="B11042" s="24" t="s">
        <v>6787</v>
      </c>
      <c r="C11042" s="24" t="s">
        <v>7624</v>
      </c>
      <c r="D11042" s="59">
        <v>27.0</v>
      </c>
      <c r="E11042" s="59">
        <v>27.0</v>
      </c>
      <c r="F11042" s="59">
        <v>26.0</v>
      </c>
      <c r="G11042" s="60">
        <v>1.0</v>
      </c>
      <c r="H11042" s="60">
        <v>0.0</v>
      </c>
      <c r="I11042" s="60">
        <v>38.6719031851851</v>
      </c>
      <c r="J11042" s="59">
        <v>58.0</v>
      </c>
      <c r="K11042" s="61">
        <f t="shared" si="1"/>
        <v>0.962962963</v>
      </c>
      <c r="L11042" s="62">
        <f t="shared" si="2"/>
        <v>2.148148148</v>
      </c>
    </row>
    <row r="11043">
      <c r="A11043" s="58">
        <v>45017.0</v>
      </c>
      <c r="B11043" s="24" t="s">
        <v>6789</v>
      </c>
      <c r="C11043" s="24" t="s">
        <v>6819</v>
      </c>
      <c r="D11043" s="59">
        <v>25.0</v>
      </c>
      <c r="E11043" s="59">
        <v>30.0</v>
      </c>
      <c r="F11043" s="59">
        <v>22.0</v>
      </c>
      <c r="G11043" s="60">
        <v>1.2</v>
      </c>
      <c r="H11043" s="60">
        <v>0.0333333333333333</v>
      </c>
      <c r="I11043" s="60">
        <v>82.7776540333333</v>
      </c>
      <c r="J11043" s="59">
        <v>63.0</v>
      </c>
      <c r="K11043" s="61">
        <f t="shared" si="1"/>
        <v>0.7333333333</v>
      </c>
      <c r="L11043" s="62">
        <f t="shared" si="2"/>
        <v>2.1</v>
      </c>
    </row>
    <row r="11044">
      <c r="A11044" s="58">
        <v>45017.0</v>
      </c>
      <c r="B11044" s="24" t="s">
        <v>155</v>
      </c>
      <c r="C11044" s="24" t="s">
        <v>6908</v>
      </c>
      <c r="D11044" s="59">
        <v>25.0</v>
      </c>
      <c r="E11044" s="59">
        <v>25.0</v>
      </c>
      <c r="F11044" s="59">
        <v>25.0</v>
      </c>
      <c r="G11044" s="60">
        <v>1.0</v>
      </c>
      <c r="H11044" s="60">
        <v>0.0</v>
      </c>
      <c r="I11044" s="60">
        <v>6.19041036</v>
      </c>
      <c r="J11044" s="59">
        <v>50.0</v>
      </c>
      <c r="K11044" s="61">
        <f t="shared" si="1"/>
        <v>1</v>
      </c>
      <c r="L11044" s="62">
        <f t="shared" si="2"/>
        <v>2</v>
      </c>
    </row>
    <row r="11045">
      <c r="A11045" s="58">
        <v>45017.0</v>
      </c>
      <c r="B11045" s="24" t="s">
        <v>6787</v>
      </c>
      <c r="C11045" s="24" t="s">
        <v>6892</v>
      </c>
      <c r="D11045" s="59">
        <v>23.0</v>
      </c>
      <c r="E11045" s="59">
        <v>23.0</v>
      </c>
      <c r="F11045" s="59">
        <v>21.0</v>
      </c>
      <c r="G11045" s="60">
        <v>1.0</v>
      </c>
      <c r="H11045" s="60">
        <v>0.0</v>
      </c>
      <c r="I11045" s="60">
        <v>57.7612365217391</v>
      </c>
      <c r="J11045" s="59">
        <v>65.0</v>
      </c>
      <c r="K11045" s="61">
        <f t="shared" si="1"/>
        <v>0.9130434783</v>
      </c>
      <c r="L11045" s="62">
        <f t="shared" si="2"/>
        <v>2.826086957</v>
      </c>
    </row>
    <row r="11046">
      <c r="A11046" s="58">
        <v>45017.0</v>
      </c>
      <c r="B11046" s="24" t="s">
        <v>7606</v>
      </c>
      <c r="C11046" s="24" t="s">
        <v>7227</v>
      </c>
      <c r="D11046" s="59">
        <v>23.0</v>
      </c>
      <c r="E11046" s="59">
        <v>23.0</v>
      </c>
      <c r="F11046" s="59">
        <v>23.0</v>
      </c>
      <c r="G11046" s="60">
        <v>1.0</v>
      </c>
      <c r="H11046" s="60">
        <v>0.0869565217391304</v>
      </c>
      <c r="I11046" s="60">
        <v>46.7713784782608</v>
      </c>
      <c r="J11046" s="59">
        <v>77.0</v>
      </c>
      <c r="K11046" s="61">
        <f t="shared" si="1"/>
        <v>1</v>
      </c>
      <c r="L11046" s="62">
        <f t="shared" si="2"/>
        <v>3.347826087</v>
      </c>
    </row>
    <row r="11047">
      <c r="A11047" s="58">
        <v>45017.0</v>
      </c>
      <c r="B11047" s="24" t="s">
        <v>6789</v>
      </c>
      <c r="C11047" s="24" t="s">
        <v>6799</v>
      </c>
      <c r="D11047" s="59">
        <v>21.0</v>
      </c>
      <c r="E11047" s="59">
        <v>22.0</v>
      </c>
      <c r="F11047" s="59">
        <v>12.0</v>
      </c>
      <c r="G11047" s="60">
        <v>1.04761904761904</v>
      </c>
      <c r="H11047" s="60">
        <v>0.0454545454545454</v>
      </c>
      <c r="I11047" s="60">
        <v>282.927589454545</v>
      </c>
      <c r="J11047" s="59">
        <v>68.0</v>
      </c>
      <c r="K11047" s="61">
        <f t="shared" si="1"/>
        <v>0.5454545455</v>
      </c>
      <c r="L11047" s="62">
        <f t="shared" si="2"/>
        <v>3.090909091</v>
      </c>
    </row>
    <row r="11048">
      <c r="A11048" s="58">
        <v>45017.0</v>
      </c>
      <c r="B11048" s="24" t="s">
        <v>6787</v>
      </c>
      <c r="C11048" s="24" t="s">
        <v>7227</v>
      </c>
      <c r="D11048" s="59">
        <v>21.0</v>
      </c>
      <c r="E11048" s="59">
        <v>21.0</v>
      </c>
      <c r="F11048" s="59">
        <v>21.0</v>
      </c>
      <c r="G11048" s="60">
        <v>1.0</v>
      </c>
      <c r="H11048" s="60">
        <v>0.0</v>
      </c>
      <c r="I11048" s="60">
        <v>5.971844</v>
      </c>
      <c r="J11048" s="59">
        <v>42.0</v>
      </c>
      <c r="K11048" s="61">
        <f t="shared" si="1"/>
        <v>1</v>
      </c>
      <c r="L11048" s="62">
        <f t="shared" si="2"/>
        <v>2</v>
      </c>
    </row>
    <row r="11049">
      <c r="A11049" s="58">
        <v>45017.0</v>
      </c>
      <c r="B11049" s="24" t="s">
        <v>6787</v>
      </c>
      <c r="C11049" s="24" t="s">
        <v>6802</v>
      </c>
      <c r="D11049" s="59">
        <v>19.0</v>
      </c>
      <c r="E11049" s="59">
        <v>28.0</v>
      </c>
      <c r="F11049" s="59">
        <v>17.0</v>
      </c>
      <c r="G11049" s="60">
        <v>1.47368421052631</v>
      </c>
      <c r="H11049" s="60">
        <v>0.0357142857142857</v>
      </c>
      <c r="I11049" s="60">
        <v>131.988549857142</v>
      </c>
      <c r="J11049" s="59">
        <v>85.0</v>
      </c>
      <c r="K11049" s="61">
        <f t="shared" si="1"/>
        <v>0.6071428571</v>
      </c>
      <c r="L11049" s="62">
        <f t="shared" si="2"/>
        <v>3.035714286</v>
      </c>
    </row>
    <row r="11050">
      <c r="A11050" s="58">
        <v>45017.0</v>
      </c>
      <c r="B11050" s="24" t="s">
        <v>6789</v>
      </c>
      <c r="C11050" s="24" t="s">
        <v>6815</v>
      </c>
      <c r="D11050" s="59">
        <v>18.0</v>
      </c>
      <c r="E11050" s="59">
        <v>23.0</v>
      </c>
      <c r="F11050" s="59">
        <v>14.0</v>
      </c>
      <c r="G11050" s="60">
        <v>1.27777777777777</v>
      </c>
      <c r="H11050" s="60">
        <v>0.0</v>
      </c>
      <c r="I11050" s="60">
        <v>153.723676782608</v>
      </c>
      <c r="J11050" s="59">
        <v>83.0</v>
      </c>
      <c r="K11050" s="61">
        <f t="shared" si="1"/>
        <v>0.6086956522</v>
      </c>
      <c r="L11050" s="62">
        <f t="shared" si="2"/>
        <v>3.608695652</v>
      </c>
    </row>
    <row r="11051">
      <c r="A11051" s="58">
        <v>45017.0</v>
      </c>
      <c r="B11051" s="24" t="s">
        <v>6790</v>
      </c>
      <c r="C11051" s="27"/>
      <c r="D11051" s="59">
        <v>17.0</v>
      </c>
      <c r="E11051" s="59">
        <v>26.0</v>
      </c>
      <c r="F11051" s="59">
        <v>8.0</v>
      </c>
      <c r="G11051" s="60">
        <v>1.52941176470588</v>
      </c>
      <c r="H11051" s="60">
        <v>0.115384615384615</v>
      </c>
      <c r="I11051" s="60">
        <v>305.198265692307</v>
      </c>
      <c r="J11051" s="59">
        <v>126.0</v>
      </c>
      <c r="K11051" s="61">
        <f t="shared" si="1"/>
        <v>0.3076923077</v>
      </c>
      <c r="L11051" s="62">
        <f t="shared" si="2"/>
        <v>4.846153846</v>
      </c>
    </row>
    <row r="11052">
      <c r="A11052" s="58">
        <v>45017.0</v>
      </c>
      <c r="B11052" s="24" t="s">
        <v>6789</v>
      </c>
      <c r="C11052" s="24" t="s">
        <v>6803</v>
      </c>
      <c r="D11052" s="59">
        <v>17.0</v>
      </c>
      <c r="E11052" s="59">
        <v>21.0</v>
      </c>
      <c r="F11052" s="59">
        <v>12.0</v>
      </c>
      <c r="G11052" s="60">
        <v>1.23529411764705</v>
      </c>
      <c r="H11052" s="60">
        <v>0.0</v>
      </c>
      <c r="I11052" s="60">
        <v>264.07977695238</v>
      </c>
      <c r="J11052" s="59">
        <v>60.0</v>
      </c>
      <c r="K11052" s="61">
        <f t="shared" si="1"/>
        <v>0.5714285714</v>
      </c>
      <c r="L11052" s="62">
        <f t="shared" si="2"/>
        <v>2.857142857</v>
      </c>
    </row>
    <row r="11053">
      <c r="A11053" s="58">
        <v>45017.0</v>
      </c>
      <c r="B11053" s="24" t="s">
        <v>7606</v>
      </c>
      <c r="C11053" s="24" t="s">
        <v>7624</v>
      </c>
      <c r="D11053" s="59">
        <v>17.0</v>
      </c>
      <c r="E11053" s="59">
        <v>18.0</v>
      </c>
      <c r="F11053" s="59">
        <v>16.0</v>
      </c>
      <c r="G11053" s="60">
        <v>1.05882352941176</v>
      </c>
      <c r="H11053" s="60">
        <v>0.0555555555555555</v>
      </c>
      <c r="I11053" s="60">
        <v>5.26893205555555</v>
      </c>
      <c r="J11053" s="59">
        <v>40.0</v>
      </c>
      <c r="K11053" s="61">
        <f t="shared" si="1"/>
        <v>0.8888888889</v>
      </c>
      <c r="L11053" s="62">
        <f t="shared" si="2"/>
        <v>2.222222222</v>
      </c>
    </row>
    <row r="11054">
      <c r="A11054" s="58">
        <v>45017.0</v>
      </c>
      <c r="B11054" s="24" t="s">
        <v>6787</v>
      </c>
      <c r="C11054" s="24" t="s">
        <v>6886</v>
      </c>
      <c r="D11054" s="59">
        <v>16.0</v>
      </c>
      <c r="E11054" s="59">
        <v>16.0</v>
      </c>
      <c r="F11054" s="59">
        <v>13.0</v>
      </c>
      <c r="G11054" s="60">
        <v>1.0</v>
      </c>
      <c r="H11054" s="60">
        <v>0.0</v>
      </c>
      <c r="I11054" s="60">
        <v>85.488095625</v>
      </c>
      <c r="J11054" s="59">
        <v>60.0</v>
      </c>
      <c r="K11054" s="61">
        <f t="shared" si="1"/>
        <v>0.8125</v>
      </c>
      <c r="L11054" s="62">
        <f t="shared" si="2"/>
        <v>3.75</v>
      </c>
    </row>
    <row r="11055">
      <c r="A11055" s="58">
        <v>45017.0</v>
      </c>
      <c r="B11055" s="24" t="s">
        <v>6794</v>
      </c>
      <c r="C11055" s="24" t="s">
        <v>7439</v>
      </c>
      <c r="D11055" s="59">
        <v>16.0</v>
      </c>
      <c r="E11055" s="59">
        <v>21.0</v>
      </c>
      <c r="F11055" s="59">
        <v>8.0</v>
      </c>
      <c r="G11055" s="60">
        <v>1.3125</v>
      </c>
      <c r="H11055" s="60">
        <v>0.0</v>
      </c>
      <c r="I11055" s="60">
        <v>310.45152647619</v>
      </c>
      <c r="J11055" s="59">
        <v>53.0</v>
      </c>
      <c r="K11055" s="61">
        <f t="shared" si="1"/>
        <v>0.380952381</v>
      </c>
      <c r="L11055" s="62">
        <f t="shared" si="2"/>
        <v>2.523809524</v>
      </c>
    </row>
    <row r="11056">
      <c r="A11056" s="58">
        <v>45017.0</v>
      </c>
      <c r="B11056" s="24" t="s">
        <v>6789</v>
      </c>
      <c r="C11056" s="24" t="s">
        <v>7058</v>
      </c>
      <c r="D11056" s="59">
        <v>14.0</v>
      </c>
      <c r="E11056" s="59">
        <v>25.0</v>
      </c>
      <c r="F11056" s="59">
        <v>11.0</v>
      </c>
      <c r="G11056" s="60">
        <v>1.78571428571428</v>
      </c>
      <c r="H11056" s="60">
        <v>0.0</v>
      </c>
      <c r="I11056" s="60">
        <v>179.021993719999</v>
      </c>
      <c r="J11056" s="59">
        <v>64.0</v>
      </c>
      <c r="K11056" s="61">
        <f t="shared" si="1"/>
        <v>0.44</v>
      </c>
      <c r="L11056" s="62">
        <f t="shared" si="2"/>
        <v>2.56</v>
      </c>
    </row>
    <row r="11057">
      <c r="A11057" s="58">
        <v>45017.0</v>
      </c>
      <c r="B11057" s="24" t="s">
        <v>6787</v>
      </c>
      <c r="C11057" s="24" t="s">
        <v>7068</v>
      </c>
      <c r="D11057" s="59">
        <v>14.0</v>
      </c>
      <c r="E11057" s="59">
        <v>18.0</v>
      </c>
      <c r="F11057" s="59">
        <v>13.0</v>
      </c>
      <c r="G11057" s="60">
        <v>1.28571428571428</v>
      </c>
      <c r="H11057" s="60">
        <v>0.0</v>
      </c>
      <c r="I11057" s="60">
        <v>157.114132722222</v>
      </c>
      <c r="J11057" s="59">
        <v>36.0</v>
      </c>
      <c r="K11057" s="61">
        <f t="shared" si="1"/>
        <v>0.7222222222</v>
      </c>
      <c r="L11057" s="62">
        <f t="shared" si="2"/>
        <v>2</v>
      </c>
    </row>
    <row r="11058">
      <c r="A11058" s="58">
        <v>45017.0</v>
      </c>
      <c r="B11058" s="24" t="s">
        <v>155</v>
      </c>
      <c r="C11058" s="24" t="s">
        <v>6886</v>
      </c>
      <c r="D11058" s="59">
        <v>14.0</v>
      </c>
      <c r="E11058" s="59">
        <v>15.0</v>
      </c>
      <c r="F11058" s="59">
        <v>9.0</v>
      </c>
      <c r="G11058" s="60">
        <v>1.07142857142857</v>
      </c>
      <c r="H11058" s="60">
        <v>0.133333333333333</v>
      </c>
      <c r="I11058" s="60">
        <v>134.2994816</v>
      </c>
      <c r="J11058" s="59">
        <v>32.0</v>
      </c>
      <c r="K11058" s="61">
        <f t="shared" si="1"/>
        <v>0.6</v>
      </c>
      <c r="L11058" s="62">
        <f t="shared" si="2"/>
        <v>2.133333333</v>
      </c>
    </row>
    <row r="11059">
      <c r="A11059" s="58">
        <v>45017.0</v>
      </c>
      <c r="B11059" s="24" t="s">
        <v>6791</v>
      </c>
      <c r="C11059" s="24" t="s">
        <v>7554</v>
      </c>
      <c r="D11059" s="59">
        <v>14.0</v>
      </c>
      <c r="E11059" s="59">
        <v>15.0</v>
      </c>
      <c r="F11059" s="59">
        <v>13.0</v>
      </c>
      <c r="G11059" s="60">
        <v>1.07142857142857</v>
      </c>
      <c r="H11059" s="60">
        <v>0.0</v>
      </c>
      <c r="I11059" s="60">
        <v>371.5663428</v>
      </c>
      <c r="J11059" s="59">
        <v>43.0</v>
      </c>
      <c r="K11059" s="61">
        <f t="shared" si="1"/>
        <v>0.8666666667</v>
      </c>
      <c r="L11059" s="62">
        <f t="shared" si="2"/>
        <v>2.866666667</v>
      </c>
    </row>
    <row r="11060">
      <c r="A11060" s="58">
        <v>45017.0</v>
      </c>
      <c r="B11060" s="24" t="s">
        <v>6789</v>
      </c>
      <c r="C11060" s="24" t="s">
        <v>6910</v>
      </c>
      <c r="D11060" s="59">
        <v>13.0</v>
      </c>
      <c r="E11060" s="59">
        <v>15.0</v>
      </c>
      <c r="F11060" s="59">
        <v>10.0</v>
      </c>
      <c r="G11060" s="60">
        <v>1.15384615384615</v>
      </c>
      <c r="H11060" s="60">
        <v>0.0666666666666666</v>
      </c>
      <c r="I11060" s="60">
        <v>271.926956533333</v>
      </c>
      <c r="J11060" s="59">
        <v>87.0</v>
      </c>
      <c r="K11060" s="61">
        <f t="shared" si="1"/>
        <v>0.6666666667</v>
      </c>
      <c r="L11060" s="62">
        <f t="shared" si="2"/>
        <v>5.8</v>
      </c>
    </row>
    <row r="11061">
      <c r="A11061" s="58">
        <v>45017.0</v>
      </c>
      <c r="B11061" s="24" t="s">
        <v>6787</v>
      </c>
      <c r="C11061" s="24" t="s">
        <v>6921</v>
      </c>
      <c r="D11061" s="59">
        <v>12.0</v>
      </c>
      <c r="E11061" s="59">
        <v>12.0</v>
      </c>
      <c r="F11061" s="59">
        <v>12.0</v>
      </c>
      <c r="G11061" s="60">
        <v>1.0</v>
      </c>
      <c r="H11061" s="60">
        <v>0.0833333333333333</v>
      </c>
      <c r="I11061" s="60">
        <v>4.31069275</v>
      </c>
      <c r="J11061" s="59">
        <v>23.0</v>
      </c>
      <c r="K11061" s="61">
        <f t="shared" si="1"/>
        <v>1</v>
      </c>
      <c r="L11061" s="62">
        <f t="shared" si="2"/>
        <v>1.916666667</v>
      </c>
    </row>
    <row r="11062">
      <c r="A11062" s="58">
        <v>45017.0</v>
      </c>
      <c r="B11062" s="24" t="s">
        <v>6791</v>
      </c>
      <c r="C11062" s="24" t="s">
        <v>6792</v>
      </c>
      <c r="D11062" s="59">
        <v>11.0</v>
      </c>
      <c r="E11062" s="59">
        <v>13.0</v>
      </c>
      <c r="F11062" s="59">
        <v>0.0</v>
      </c>
      <c r="G11062" s="60">
        <v>1.44444444444444</v>
      </c>
      <c r="H11062" s="60">
        <v>0.846153846153846</v>
      </c>
      <c r="I11062" s="60">
        <v>54.2685762307692</v>
      </c>
      <c r="J11062" s="59">
        <v>0.0</v>
      </c>
      <c r="K11062" s="61">
        <f t="shared" si="1"/>
        <v>0</v>
      </c>
      <c r="L11062" s="62">
        <f t="shared" si="2"/>
        <v>0</v>
      </c>
    </row>
    <row r="11063">
      <c r="A11063" s="58">
        <v>45017.0</v>
      </c>
      <c r="B11063" s="24" t="s">
        <v>155</v>
      </c>
      <c r="C11063" s="24" t="s">
        <v>6792</v>
      </c>
      <c r="D11063" s="59">
        <v>11.0</v>
      </c>
      <c r="E11063" s="59">
        <v>17.0</v>
      </c>
      <c r="F11063" s="59">
        <v>0.0</v>
      </c>
      <c r="G11063" s="60">
        <v>2.125</v>
      </c>
      <c r="H11063" s="60">
        <v>1.0</v>
      </c>
      <c r="I11063" s="60">
        <v>0.0620024705882353</v>
      </c>
      <c r="J11063" s="59">
        <v>0.0</v>
      </c>
      <c r="K11063" s="61">
        <f t="shared" si="1"/>
        <v>0</v>
      </c>
      <c r="L11063" s="62">
        <f t="shared" si="2"/>
        <v>0</v>
      </c>
    </row>
    <row r="11064">
      <c r="A11064" s="58">
        <v>45017.0</v>
      </c>
      <c r="B11064" s="24" t="s">
        <v>6787</v>
      </c>
      <c r="C11064" s="24" t="s">
        <v>6803</v>
      </c>
      <c r="D11064" s="59">
        <v>11.0</v>
      </c>
      <c r="E11064" s="59">
        <v>11.0</v>
      </c>
      <c r="F11064" s="59">
        <v>11.0</v>
      </c>
      <c r="G11064" s="60">
        <v>1.0</v>
      </c>
      <c r="H11064" s="60">
        <v>0.0</v>
      </c>
      <c r="I11064" s="60">
        <v>79.8287658181818</v>
      </c>
      <c r="J11064" s="59">
        <v>40.0</v>
      </c>
      <c r="K11064" s="61">
        <f t="shared" si="1"/>
        <v>1</v>
      </c>
      <c r="L11064" s="62">
        <f t="shared" si="2"/>
        <v>3.636363636</v>
      </c>
    </row>
    <row r="11065">
      <c r="A11065" s="58">
        <v>45017.0</v>
      </c>
      <c r="B11065" s="24" t="s">
        <v>6789</v>
      </c>
      <c r="C11065" s="24" t="s">
        <v>6908</v>
      </c>
      <c r="D11065" s="59">
        <v>11.0</v>
      </c>
      <c r="E11065" s="59">
        <v>11.0</v>
      </c>
      <c r="F11065" s="59">
        <v>10.0</v>
      </c>
      <c r="G11065" s="60">
        <v>1.0</v>
      </c>
      <c r="H11065" s="60">
        <v>0.0</v>
      </c>
      <c r="I11065" s="60">
        <v>200.746594818181</v>
      </c>
      <c r="J11065" s="59">
        <v>24.0</v>
      </c>
      <c r="K11065" s="61">
        <f t="shared" si="1"/>
        <v>0.9090909091</v>
      </c>
      <c r="L11065" s="62">
        <f t="shared" si="2"/>
        <v>2.181818182</v>
      </c>
    </row>
    <row r="11066">
      <c r="A11066" s="58">
        <v>45017.0</v>
      </c>
      <c r="B11066" s="24" t="s">
        <v>6787</v>
      </c>
      <c r="C11066" s="24" t="s">
        <v>7027</v>
      </c>
      <c r="D11066" s="59">
        <v>11.0</v>
      </c>
      <c r="E11066" s="59">
        <v>13.0</v>
      </c>
      <c r="F11066" s="59">
        <v>11.0</v>
      </c>
      <c r="G11066" s="60">
        <v>1.18181818181818</v>
      </c>
      <c r="H11066" s="60">
        <v>0.0</v>
      </c>
      <c r="I11066" s="60">
        <v>15.1132891538461</v>
      </c>
      <c r="J11066" s="59">
        <v>26.0</v>
      </c>
      <c r="K11066" s="61">
        <f t="shared" si="1"/>
        <v>0.8461538462</v>
      </c>
      <c r="L11066" s="62">
        <f t="shared" si="2"/>
        <v>2</v>
      </c>
    </row>
    <row r="11067">
      <c r="A11067" s="58">
        <v>45017.0</v>
      </c>
      <c r="B11067" s="24" t="s">
        <v>6787</v>
      </c>
      <c r="C11067" s="24" t="s">
        <v>7180</v>
      </c>
      <c r="D11067" s="59">
        <v>11.0</v>
      </c>
      <c r="E11067" s="59">
        <v>13.0</v>
      </c>
      <c r="F11067" s="59">
        <v>10.0</v>
      </c>
      <c r="G11067" s="60">
        <v>1.18181818181818</v>
      </c>
      <c r="H11067" s="60">
        <v>0.0</v>
      </c>
      <c r="I11067" s="60">
        <v>405.707410384615</v>
      </c>
      <c r="J11067" s="59">
        <v>35.0</v>
      </c>
      <c r="K11067" s="61">
        <f t="shared" si="1"/>
        <v>0.7692307692</v>
      </c>
      <c r="L11067" s="62">
        <f t="shared" si="2"/>
        <v>2.692307692</v>
      </c>
    </row>
    <row r="11068">
      <c r="A11068" s="58">
        <v>45017.0</v>
      </c>
      <c r="B11068" s="24" t="s">
        <v>6789</v>
      </c>
      <c r="C11068" s="24" t="s">
        <v>6835</v>
      </c>
      <c r="D11068" s="59">
        <v>10.0</v>
      </c>
      <c r="E11068" s="59">
        <v>10.0</v>
      </c>
      <c r="F11068" s="59">
        <v>10.0</v>
      </c>
      <c r="G11068" s="60">
        <v>1.0</v>
      </c>
      <c r="H11068" s="60">
        <v>0.0</v>
      </c>
      <c r="I11068" s="60">
        <v>350.8445199</v>
      </c>
      <c r="J11068" s="59">
        <v>25.0</v>
      </c>
      <c r="K11068" s="61">
        <f t="shared" si="1"/>
        <v>1</v>
      </c>
      <c r="L11068" s="62">
        <f t="shared" si="2"/>
        <v>2.5</v>
      </c>
    </row>
    <row r="11069">
      <c r="A11069" s="58">
        <v>45017.0</v>
      </c>
      <c r="B11069" s="24" t="s">
        <v>6789</v>
      </c>
      <c r="C11069" s="24" t="s">
        <v>6808</v>
      </c>
      <c r="D11069" s="59">
        <v>10.0</v>
      </c>
      <c r="E11069" s="59">
        <v>11.0</v>
      </c>
      <c r="F11069" s="59">
        <v>4.0</v>
      </c>
      <c r="G11069" s="60">
        <v>1.1</v>
      </c>
      <c r="H11069" s="60">
        <v>0.0</v>
      </c>
      <c r="I11069" s="60">
        <v>82.9115018181818</v>
      </c>
      <c r="J11069" s="59">
        <v>34.0</v>
      </c>
      <c r="K11069" s="61">
        <f t="shared" si="1"/>
        <v>0.3636363636</v>
      </c>
      <c r="L11069" s="62">
        <f t="shared" si="2"/>
        <v>3.090909091</v>
      </c>
    </row>
    <row r="11070">
      <c r="A11070" s="58">
        <v>45017.0</v>
      </c>
      <c r="B11070" s="24" t="s">
        <v>6789</v>
      </c>
      <c r="C11070" s="24" t="s">
        <v>6802</v>
      </c>
      <c r="D11070" s="59">
        <v>10.0</v>
      </c>
      <c r="E11070" s="59">
        <v>17.0</v>
      </c>
      <c r="F11070" s="59">
        <v>2.0</v>
      </c>
      <c r="G11070" s="60">
        <v>1.7</v>
      </c>
      <c r="H11070" s="60">
        <v>0.0588235294117647</v>
      </c>
      <c r="I11070" s="60">
        <v>147.566313411764</v>
      </c>
      <c r="J11070" s="59">
        <v>69.0</v>
      </c>
      <c r="K11070" s="61">
        <f t="shared" si="1"/>
        <v>0.1176470588</v>
      </c>
      <c r="L11070" s="62">
        <f t="shared" si="2"/>
        <v>4.058823529</v>
      </c>
    </row>
    <row r="11071">
      <c r="A11071" s="58">
        <v>45017.0</v>
      </c>
      <c r="B11071" s="24" t="s">
        <v>6791</v>
      </c>
      <c r="C11071" s="24" t="s">
        <v>7261</v>
      </c>
      <c r="D11071" s="59">
        <v>9.0</v>
      </c>
      <c r="E11071" s="59">
        <v>11.0</v>
      </c>
      <c r="F11071" s="59">
        <v>8.0</v>
      </c>
      <c r="G11071" s="60">
        <v>1.22222222222222</v>
      </c>
      <c r="H11071" s="60">
        <v>0.0</v>
      </c>
      <c r="I11071" s="60">
        <v>148.90185790909</v>
      </c>
      <c r="J11071" s="59">
        <v>29.0</v>
      </c>
      <c r="K11071" s="61">
        <f t="shared" si="1"/>
        <v>0.7272727273</v>
      </c>
      <c r="L11071" s="62">
        <f t="shared" si="2"/>
        <v>2.636363636</v>
      </c>
    </row>
    <row r="11072">
      <c r="A11072" s="58">
        <v>45017.0</v>
      </c>
      <c r="B11072" s="24" t="s">
        <v>6787</v>
      </c>
      <c r="C11072" s="24" t="s">
        <v>6808</v>
      </c>
      <c r="D11072" s="59">
        <v>9.0</v>
      </c>
      <c r="E11072" s="59">
        <v>9.0</v>
      </c>
      <c r="F11072" s="59">
        <v>8.0</v>
      </c>
      <c r="G11072" s="60">
        <v>1.0</v>
      </c>
      <c r="H11072" s="60">
        <v>0.0</v>
      </c>
      <c r="I11072" s="60">
        <v>28.1239428888888</v>
      </c>
      <c r="J11072" s="59">
        <v>26.0</v>
      </c>
      <c r="K11072" s="61">
        <f t="shared" si="1"/>
        <v>0.8888888889</v>
      </c>
      <c r="L11072" s="62">
        <f t="shared" si="2"/>
        <v>2.888888889</v>
      </c>
    </row>
    <row r="11073">
      <c r="A11073" s="58">
        <v>45017.0</v>
      </c>
      <c r="B11073" s="24" t="s">
        <v>6789</v>
      </c>
      <c r="C11073" s="24" t="s">
        <v>6990</v>
      </c>
      <c r="D11073" s="59">
        <v>8.0</v>
      </c>
      <c r="E11073" s="59">
        <v>12.0</v>
      </c>
      <c r="F11073" s="59">
        <v>6.0</v>
      </c>
      <c r="G11073" s="60">
        <v>1.5</v>
      </c>
      <c r="H11073" s="60">
        <v>0.0833333333333333</v>
      </c>
      <c r="I11073" s="60">
        <v>51.2093704166666</v>
      </c>
      <c r="J11073" s="59">
        <v>23.0</v>
      </c>
      <c r="K11073" s="61">
        <f t="shared" si="1"/>
        <v>0.5</v>
      </c>
      <c r="L11073" s="62">
        <f t="shared" si="2"/>
        <v>1.916666667</v>
      </c>
    </row>
    <row r="11074">
      <c r="A11074" s="58">
        <v>45017.0</v>
      </c>
      <c r="B11074" s="24" t="s">
        <v>6787</v>
      </c>
      <c r="C11074" s="24" t="s">
        <v>6799</v>
      </c>
      <c r="D11074" s="59">
        <v>8.0</v>
      </c>
      <c r="E11074" s="59">
        <v>9.0</v>
      </c>
      <c r="F11074" s="59">
        <v>6.0</v>
      </c>
      <c r="G11074" s="60">
        <v>1.125</v>
      </c>
      <c r="H11074" s="60">
        <v>0.111111111111111</v>
      </c>
      <c r="I11074" s="60">
        <v>434.749496777777</v>
      </c>
      <c r="J11074" s="59">
        <v>45.0</v>
      </c>
      <c r="K11074" s="61">
        <f t="shared" si="1"/>
        <v>0.6666666667</v>
      </c>
      <c r="L11074" s="62">
        <f t="shared" si="2"/>
        <v>5</v>
      </c>
    </row>
    <row r="11075">
      <c r="A11075" s="58">
        <v>45017.0</v>
      </c>
      <c r="B11075" s="24" t="s">
        <v>6789</v>
      </c>
      <c r="C11075" s="24" t="s">
        <v>6892</v>
      </c>
      <c r="D11075" s="59">
        <v>8.0</v>
      </c>
      <c r="E11075" s="59">
        <v>8.0</v>
      </c>
      <c r="F11075" s="59">
        <v>5.0</v>
      </c>
      <c r="G11075" s="60">
        <v>1.0</v>
      </c>
      <c r="H11075" s="60">
        <v>0.125</v>
      </c>
      <c r="I11075" s="60">
        <v>89.058167</v>
      </c>
      <c r="J11075" s="59">
        <v>15.0</v>
      </c>
      <c r="K11075" s="61">
        <f t="shared" si="1"/>
        <v>0.625</v>
      </c>
      <c r="L11075" s="62">
        <f t="shared" si="2"/>
        <v>1.875</v>
      </c>
    </row>
    <row r="11076">
      <c r="A11076" s="58">
        <v>45017.0</v>
      </c>
      <c r="B11076" s="24" t="s">
        <v>6791</v>
      </c>
      <c r="C11076" s="24" t="s">
        <v>7227</v>
      </c>
      <c r="D11076" s="59">
        <v>8.0</v>
      </c>
      <c r="E11076" s="59">
        <v>9.0</v>
      </c>
      <c r="F11076" s="59">
        <v>8.0</v>
      </c>
      <c r="G11076" s="60">
        <v>1.125</v>
      </c>
      <c r="H11076" s="60">
        <v>0.0</v>
      </c>
      <c r="I11076" s="60">
        <v>241.600859666666</v>
      </c>
      <c r="J11076" s="59">
        <v>26.0</v>
      </c>
      <c r="K11076" s="61">
        <f t="shared" si="1"/>
        <v>0.8888888889</v>
      </c>
      <c r="L11076" s="62">
        <f t="shared" si="2"/>
        <v>2.888888889</v>
      </c>
    </row>
    <row r="11077">
      <c r="A11077" s="58">
        <v>45017.0</v>
      </c>
      <c r="B11077" s="24" t="s">
        <v>6787</v>
      </c>
      <c r="C11077" s="24" t="s">
        <v>7101</v>
      </c>
      <c r="D11077" s="59">
        <v>7.0</v>
      </c>
      <c r="E11077" s="59">
        <v>9.0</v>
      </c>
      <c r="F11077" s="59">
        <v>5.0</v>
      </c>
      <c r="G11077" s="60">
        <v>1.28571428571428</v>
      </c>
      <c r="H11077" s="60">
        <v>0.222222222222222</v>
      </c>
      <c r="I11077" s="60">
        <v>157.888208</v>
      </c>
      <c r="J11077" s="59">
        <v>26.0</v>
      </c>
      <c r="K11077" s="61">
        <f t="shared" si="1"/>
        <v>0.5555555556</v>
      </c>
      <c r="L11077" s="62">
        <f t="shared" si="2"/>
        <v>2.888888889</v>
      </c>
    </row>
    <row r="11078">
      <c r="A11078" s="58">
        <v>45017.0</v>
      </c>
      <c r="B11078" s="24" t="s">
        <v>6789</v>
      </c>
      <c r="C11078" s="24" t="s">
        <v>7172</v>
      </c>
      <c r="D11078" s="59">
        <v>7.0</v>
      </c>
      <c r="E11078" s="59">
        <v>8.0</v>
      </c>
      <c r="F11078" s="59">
        <v>0.0</v>
      </c>
      <c r="G11078" s="60">
        <v>1.14285714285714</v>
      </c>
      <c r="H11078" s="60">
        <v>0.0</v>
      </c>
      <c r="I11078" s="60">
        <v>831.623317374999</v>
      </c>
      <c r="J11078" s="59">
        <v>71.0</v>
      </c>
      <c r="K11078" s="61">
        <f t="shared" si="1"/>
        <v>0</v>
      </c>
      <c r="L11078" s="62">
        <f t="shared" si="2"/>
        <v>8.875</v>
      </c>
    </row>
    <row r="11079">
      <c r="A11079" s="58">
        <v>45017.0</v>
      </c>
      <c r="B11079" s="24" t="s">
        <v>6789</v>
      </c>
      <c r="C11079" s="24" t="s">
        <v>7102</v>
      </c>
      <c r="D11079" s="59">
        <v>7.0</v>
      </c>
      <c r="E11079" s="59">
        <v>12.0</v>
      </c>
      <c r="F11079" s="59">
        <v>1.0</v>
      </c>
      <c r="G11079" s="60">
        <v>1.71428571428571</v>
      </c>
      <c r="H11079" s="60">
        <v>0.166666666666666</v>
      </c>
      <c r="I11079" s="60">
        <v>125.117310499999</v>
      </c>
      <c r="J11079" s="59">
        <v>39.0</v>
      </c>
      <c r="K11079" s="61">
        <f t="shared" si="1"/>
        <v>0.08333333333</v>
      </c>
      <c r="L11079" s="62">
        <f t="shared" si="2"/>
        <v>3.25</v>
      </c>
    </row>
    <row r="11080">
      <c r="A11080" s="58">
        <v>45017.0</v>
      </c>
      <c r="B11080" s="24" t="s">
        <v>6787</v>
      </c>
      <c r="C11080" s="24" t="s">
        <v>7174</v>
      </c>
      <c r="D11080" s="59">
        <v>7.0</v>
      </c>
      <c r="E11080" s="59">
        <v>9.0</v>
      </c>
      <c r="F11080" s="59">
        <v>2.0</v>
      </c>
      <c r="G11080" s="60">
        <v>1.28571428571428</v>
      </c>
      <c r="H11080" s="60">
        <v>0.0</v>
      </c>
      <c r="I11080" s="60">
        <v>371.317972222222</v>
      </c>
      <c r="J11080" s="59">
        <v>42.0</v>
      </c>
      <c r="K11080" s="61">
        <f t="shared" si="1"/>
        <v>0.2222222222</v>
      </c>
      <c r="L11080" s="62">
        <f t="shared" si="2"/>
        <v>4.666666667</v>
      </c>
    </row>
    <row r="11081">
      <c r="A11081" s="58">
        <v>45017.0</v>
      </c>
      <c r="B11081" s="24" t="s">
        <v>7100</v>
      </c>
      <c r="C11081" s="24" t="s">
        <v>7174</v>
      </c>
      <c r="D11081" s="59">
        <v>7.0</v>
      </c>
      <c r="E11081" s="59">
        <v>7.0</v>
      </c>
      <c r="F11081" s="59">
        <v>7.0</v>
      </c>
      <c r="G11081" s="60">
        <v>1.0</v>
      </c>
      <c r="H11081" s="60">
        <v>0.142857142857142</v>
      </c>
      <c r="I11081" s="60">
        <v>174.246966428571</v>
      </c>
      <c r="J11081" s="59">
        <v>13.0</v>
      </c>
      <c r="K11081" s="61">
        <f t="shared" si="1"/>
        <v>1</v>
      </c>
      <c r="L11081" s="62">
        <f t="shared" si="2"/>
        <v>1.857142857</v>
      </c>
    </row>
    <row r="11082">
      <c r="A11082" s="58">
        <v>45017.0</v>
      </c>
      <c r="B11082" s="24" t="s">
        <v>6787</v>
      </c>
      <c r="C11082" s="24" t="s">
        <v>6817</v>
      </c>
      <c r="D11082" s="59">
        <v>6.0</v>
      </c>
      <c r="E11082" s="59">
        <v>8.0</v>
      </c>
      <c r="F11082" s="59">
        <v>2.0</v>
      </c>
      <c r="G11082" s="60">
        <v>1.33333333333333</v>
      </c>
      <c r="H11082" s="60">
        <v>0.125</v>
      </c>
      <c r="I11082" s="60">
        <v>898.314134125</v>
      </c>
      <c r="J11082" s="59">
        <v>47.0</v>
      </c>
      <c r="K11082" s="61">
        <f t="shared" si="1"/>
        <v>0.25</v>
      </c>
      <c r="L11082" s="62">
        <f t="shared" si="2"/>
        <v>5.875</v>
      </c>
    </row>
    <row r="11083">
      <c r="A11083" s="58">
        <v>45017.0</v>
      </c>
      <c r="B11083" s="24" t="s">
        <v>6789</v>
      </c>
      <c r="C11083" s="24" t="s">
        <v>6817</v>
      </c>
      <c r="D11083" s="59">
        <v>6.0</v>
      </c>
      <c r="E11083" s="59">
        <v>7.0</v>
      </c>
      <c r="F11083" s="59">
        <v>1.0</v>
      </c>
      <c r="G11083" s="60">
        <v>1.16666666666666</v>
      </c>
      <c r="H11083" s="60">
        <v>0.0</v>
      </c>
      <c r="I11083" s="60">
        <v>402.857681857142</v>
      </c>
      <c r="J11083" s="59">
        <v>28.0</v>
      </c>
      <c r="K11083" s="61">
        <f t="shared" si="1"/>
        <v>0.1428571429</v>
      </c>
      <c r="L11083" s="62">
        <f t="shared" si="2"/>
        <v>4</v>
      </c>
    </row>
    <row r="11084">
      <c r="A11084" s="58">
        <v>45017.0</v>
      </c>
      <c r="B11084" s="24" t="s">
        <v>6787</v>
      </c>
      <c r="C11084" s="24" t="s">
        <v>7002</v>
      </c>
      <c r="D11084" s="59">
        <v>6.0</v>
      </c>
      <c r="E11084" s="59">
        <v>10.0</v>
      </c>
      <c r="F11084" s="59">
        <v>4.0</v>
      </c>
      <c r="G11084" s="60">
        <v>1.66666666666666</v>
      </c>
      <c r="H11084" s="60">
        <v>0.0</v>
      </c>
      <c r="I11084" s="60">
        <v>223.090179</v>
      </c>
      <c r="J11084" s="59">
        <v>32.0</v>
      </c>
      <c r="K11084" s="61">
        <f t="shared" si="1"/>
        <v>0.4</v>
      </c>
      <c r="L11084" s="62">
        <f t="shared" si="2"/>
        <v>3.2</v>
      </c>
    </row>
    <row r="11085">
      <c r="A11085" s="58">
        <v>45017.0</v>
      </c>
      <c r="B11085" s="24" t="s">
        <v>155</v>
      </c>
      <c r="C11085" s="24" t="s">
        <v>7227</v>
      </c>
      <c r="D11085" s="59">
        <v>6.0</v>
      </c>
      <c r="E11085" s="59">
        <v>7.0</v>
      </c>
      <c r="F11085" s="59">
        <v>4.0</v>
      </c>
      <c r="G11085" s="60">
        <v>1.16666666666666</v>
      </c>
      <c r="H11085" s="60">
        <v>0.0</v>
      </c>
      <c r="I11085" s="60">
        <v>771.490941428571</v>
      </c>
      <c r="J11085" s="59">
        <v>36.0</v>
      </c>
      <c r="K11085" s="61">
        <f t="shared" si="1"/>
        <v>0.5714285714</v>
      </c>
      <c r="L11085" s="62">
        <f t="shared" si="2"/>
        <v>5.142857143</v>
      </c>
    </row>
    <row r="11086">
      <c r="A11086" s="58">
        <v>45017.0</v>
      </c>
      <c r="B11086" s="24" t="s">
        <v>6787</v>
      </c>
      <c r="C11086" s="24" t="s">
        <v>6800</v>
      </c>
      <c r="D11086" s="59">
        <v>6.0</v>
      </c>
      <c r="E11086" s="59">
        <v>6.0</v>
      </c>
      <c r="F11086" s="59">
        <v>5.0</v>
      </c>
      <c r="G11086" s="60">
        <v>1.2</v>
      </c>
      <c r="H11086" s="60">
        <v>0.5</v>
      </c>
      <c r="I11086" s="60">
        <v>6.59013699999999</v>
      </c>
      <c r="J11086" s="59">
        <v>13.0</v>
      </c>
      <c r="K11086" s="61">
        <f t="shared" si="1"/>
        <v>0.8333333333</v>
      </c>
      <c r="L11086" s="62">
        <f t="shared" si="2"/>
        <v>2.166666667</v>
      </c>
    </row>
    <row r="11087">
      <c r="A11087" s="58">
        <v>45017.0</v>
      </c>
      <c r="B11087" s="24" t="s">
        <v>6789</v>
      </c>
      <c r="C11087" s="24" t="s">
        <v>7174</v>
      </c>
      <c r="D11087" s="59">
        <v>6.0</v>
      </c>
      <c r="E11087" s="59">
        <v>9.0</v>
      </c>
      <c r="F11087" s="59">
        <v>0.0</v>
      </c>
      <c r="G11087" s="60">
        <v>1.5</v>
      </c>
      <c r="H11087" s="60">
        <v>0.0</v>
      </c>
      <c r="I11087" s="60">
        <v>256.032377222222</v>
      </c>
      <c r="J11087" s="59">
        <v>44.0</v>
      </c>
      <c r="K11087" s="61">
        <f t="shared" si="1"/>
        <v>0</v>
      </c>
      <c r="L11087" s="62">
        <f t="shared" si="2"/>
        <v>4.888888889</v>
      </c>
    </row>
    <row r="11088">
      <c r="A11088" s="58">
        <v>45017.0</v>
      </c>
      <c r="B11088" s="24" t="s">
        <v>6789</v>
      </c>
      <c r="C11088" s="24" t="s">
        <v>7180</v>
      </c>
      <c r="D11088" s="59">
        <v>6.0</v>
      </c>
      <c r="E11088" s="59">
        <v>9.0</v>
      </c>
      <c r="F11088" s="59">
        <v>4.0</v>
      </c>
      <c r="G11088" s="60">
        <v>1.5</v>
      </c>
      <c r="H11088" s="60">
        <v>0.0</v>
      </c>
      <c r="I11088" s="60">
        <v>530.31416111111</v>
      </c>
      <c r="J11088" s="59">
        <v>34.0</v>
      </c>
      <c r="K11088" s="61">
        <f t="shared" si="1"/>
        <v>0.4444444444</v>
      </c>
      <c r="L11088" s="62">
        <f t="shared" si="2"/>
        <v>3.777777778</v>
      </c>
    </row>
    <row r="11089">
      <c r="A11089" s="58">
        <v>45017.0</v>
      </c>
      <c r="B11089" s="24" t="s">
        <v>155</v>
      </c>
      <c r="C11089" s="24" t="s">
        <v>6921</v>
      </c>
      <c r="D11089" s="59">
        <v>6.0</v>
      </c>
      <c r="E11089" s="59">
        <v>6.0</v>
      </c>
      <c r="F11089" s="59">
        <v>6.0</v>
      </c>
      <c r="G11089" s="60">
        <v>1.0</v>
      </c>
      <c r="H11089" s="60">
        <v>0.0</v>
      </c>
      <c r="I11089" s="60">
        <v>15.9835686666666</v>
      </c>
      <c r="J11089" s="59">
        <v>14.0</v>
      </c>
      <c r="K11089" s="61">
        <f t="shared" si="1"/>
        <v>1</v>
      </c>
      <c r="L11089" s="62">
        <f t="shared" si="2"/>
        <v>2.333333333</v>
      </c>
    </row>
    <row r="11090">
      <c r="A11090" s="58">
        <v>45017.0</v>
      </c>
      <c r="B11090" s="24" t="s">
        <v>6787</v>
      </c>
      <c r="C11090" s="24" t="s">
        <v>6797</v>
      </c>
      <c r="D11090" s="59">
        <v>6.0</v>
      </c>
      <c r="E11090" s="59">
        <v>6.0</v>
      </c>
      <c r="F11090" s="59">
        <v>4.0</v>
      </c>
      <c r="G11090" s="60">
        <v>1.0</v>
      </c>
      <c r="H11090" s="60">
        <v>0.166666666666666</v>
      </c>
      <c r="I11090" s="60">
        <v>129.255308833333</v>
      </c>
      <c r="J11090" s="59">
        <v>40.0</v>
      </c>
      <c r="K11090" s="61">
        <f t="shared" si="1"/>
        <v>0.6666666667</v>
      </c>
      <c r="L11090" s="62">
        <f t="shared" si="2"/>
        <v>6.666666667</v>
      </c>
    </row>
    <row r="11091">
      <c r="A11091" s="58">
        <v>45017.0</v>
      </c>
      <c r="B11091" s="24" t="s">
        <v>3216</v>
      </c>
      <c r="C11091" s="24" t="s">
        <v>6792</v>
      </c>
      <c r="D11091" s="59">
        <v>5.0</v>
      </c>
      <c r="E11091" s="59">
        <v>5.0</v>
      </c>
      <c r="F11091" s="59">
        <v>0.0</v>
      </c>
      <c r="G11091" s="60">
        <v>1.66666666666666</v>
      </c>
      <c r="H11091" s="60">
        <v>1.0</v>
      </c>
      <c r="I11091" s="60">
        <v>0.0</v>
      </c>
      <c r="J11091" s="59">
        <v>0.0</v>
      </c>
      <c r="K11091" s="61">
        <f t="shared" si="1"/>
        <v>0</v>
      </c>
      <c r="L11091" s="62">
        <f t="shared" si="2"/>
        <v>0</v>
      </c>
    </row>
    <row r="11092">
      <c r="A11092" s="58">
        <v>45017.0</v>
      </c>
      <c r="B11092" s="24" t="s">
        <v>6789</v>
      </c>
      <c r="C11092" s="24" t="s">
        <v>7057</v>
      </c>
      <c r="D11092" s="59">
        <v>5.0</v>
      </c>
      <c r="E11092" s="59">
        <v>5.0</v>
      </c>
      <c r="F11092" s="59">
        <v>4.0</v>
      </c>
      <c r="G11092" s="60">
        <v>1.0</v>
      </c>
      <c r="H11092" s="60">
        <v>0.0</v>
      </c>
      <c r="I11092" s="60">
        <v>229.3676764</v>
      </c>
      <c r="J11092" s="59">
        <v>10.0</v>
      </c>
      <c r="K11092" s="61">
        <f t="shared" si="1"/>
        <v>0.8</v>
      </c>
      <c r="L11092" s="62">
        <f t="shared" si="2"/>
        <v>2</v>
      </c>
    </row>
    <row r="11093">
      <c r="A11093" s="58">
        <v>45017.0</v>
      </c>
      <c r="B11093" s="24" t="s">
        <v>6789</v>
      </c>
      <c r="C11093" s="24" t="s">
        <v>6985</v>
      </c>
      <c r="D11093" s="59">
        <v>5.0</v>
      </c>
      <c r="E11093" s="59">
        <v>8.0</v>
      </c>
      <c r="F11093" s="59">
        <v>2.0</v>
      </c>
      <c r="G11093" s="60">
        <v>1.6</v>
      </c>
      <c r="H11093" s="60">
        <v>0.0</v>
      </c>
      <c r="I11093" s="60">
        <v>703.0293315</v>
      </c>
      <c r="J11093" s="59">
        <v>39.0</v>
      </c>
      <c r="K11093" s="61">
        <f t="shared" si="1"/>
        <v>0.25</v>
      </c>
      <c r="L11093" s="62">
        <f t="shared" si="2"/>
        <v>4.875</v>
      </c>
    </row>
    <row r="11094">
      <c r="A11094" s="58">
        <v>45017.0</v>
      </c>
      <c r="B11094" s="24" t="s">
        <v>6794</v>
      </c>
      <c r="C11094" s="24" t="s">
        <v>6833</v>
      </c>
      <c r="D11094" s="59">
        <v>5.0</v>
      </c>
      <c r="E11094" s="59">
        <v>5.0</v>
      </c>
      <c r="F11094" s="59">
        <v>2.0</v>
      </c>
      <c r="G11094" s="60">
        <v>1.0</v>
      </c>
      <c r="H11094" s="60">
        <v>0.0</v>
      </c>
      <c r="I11094" s="60">
        <v>92.6043548</v>
      </c>
      <c r="J11094" s="59">
        <v>13.0</v>
      </c>
      <c r="K11094" s="61">
        <f t="shared" si="1"/>
        <v>0.4</v>
      </c>
      <c r="L11094" s="62">
        <f t="shared" si="2"/>
        <v>2.6</v>
      </c>
    </row>
    <row r="11095">
      <c r="A11095" s="58">
        <v>45017.0</v>
      </c>
      <c r="B11095" s="24" t="s">
        <v>6787</v>
      </c>
      <c r="C11095" s="24" t="s">
        <v>6988</v>
      </c>
      <c r="D11095" s="59">
        <v>5.0</v>
      </c>
      <c r="E11095" s="59">
        <v>7.0</v>
      </c>
      <c r="F11095" s="59">
        <v>2.0</v>
      </c>
      <c r="G11095" s="60">
        <v>1.4</v>
      </c>
      <c r="H11095" s="60">
        <v>0.0</v>
      </c>
      <c r="I11095" s="60">
        <v>55.7001374285714</v>
      </c>
      <c r="J11095" s="59">
        <v>24.0</v>
      </c>
      <c r="K11095" s="61">
        <f t="shared" si="1"/>
        <v>0.2857142857</v>
      </c>
      <c r="L11095" s="62">
        <f t="shared" si="2"/>
        <v>3.428571429</v>
      </c>
    </row>
    <row r="11096">
      <c r="A11096" s="58">
        <v>45017.0</v>
      </c>
      <c r="B11096" s="24" t="s">
        <v>6791</v>
      </c>
      <c r="C11096" s="24" t="s">
        <v>6886</v>
      </c>
      <c r="D11096" s="59">
        <v>5.0</v>
      </c>
      <c r="E11096" s="59">
        <v>5.0</v>
      </c>
      <c r="F11096" s="59">
        <v>5.0</v>
      </c>
      <c r="G11096" s="60">
        <v>1.0</v>
      </c>
      <c r="H11096" s="60">
        <v>0.0</v>
      </c>
      <c r="I11096" s="60">
        <v>12.4308592</v>
      </c>
      <c r="J11096" s="59">
        <v>10.0</v>
      </c>
      <c r="K11096" s="61">
        <f t="shared" si="1"/>
        <v>1</v>
      </c>
      <c r="L11096" s="62">
        <f t="shared" si="2"/>
        <v>2</v>
      </c>
    </row>
    <row r="11097">
      <c r="A11097" s="58">
        <v>45017.0</v>
      </c>
      <c r="B11097" s="24" t="s">
        <v>7606</v>
      </c>
      <c r="C11097" s="24" t="s">
        <v>6892</v>
      </c>
      <c r="D11097" s="59">
        <v>5.0</v>
      </c>
      <c r="E11097" s="59">
        <v>6.0</v>
      </c>
      <c r="F11097" s="59">
        <v>3.0</v>
      </c>
      <c r="G11097" s="60">
        <v>1.2</v>
      </c>
      <c r="H11097" s="60">
        <v>0.333333333333333</v>
      </c>
      <c r="I11097" s="60">
        <v>2.733351</v>
      </c>
      <c r="J11097" s="59">
        <v>10.0</v>
      </c>
      <c r="K11097" s="61">
        <f t="shared" si="1"/>
        <v>0.5</v>
      </c>
      <c r="L11097" s="62">
        <f t="shared" si="2"/>
        <v>1.666666667</v>
      </c>
    </row>
    <row r="11098">
      <c r="A11098" s="58">
        <v>45017.0</v>
      </c>
      <c r="B11098" s="24" t="s">
        <v>155</v>
      </c>
      <c r="C11098" s="24" t="s">
        <v>6892</v>
      </c>
      <c r="D11098" s="59">
        <v>5.0</v>
      </c>
      <c r="E11098" s="59">
        <v>5.0</v>
      </c>
      <c r="F11098" s="59">
        <v>5.0</v>
      </c>
      <c r="G11098" s="60">
        <v>1.0</v>
      </c>
      <c r="H11098" s="60">
        <v>0.0</v>
      </c>
      <c r="I11098" s="60">
        <v>4.3402758</v>
      </c>
      <c r="J11098" s="59">
        <v>10.0</v>
      </c>
      <c r="K11098" s="61">
        <f t="shared" si="1"/>
        <v>1</v>
      </c>
      <c r="L11098" s="62">
        <f t="shared" si="2"/>
        <v>2</v>
      </c>
    </row>
    <row r="11099">
      <c r="A11099" s="58">
        <v>45017.0</v>
      </c>
      <c r="B11099" s="24" t="s">
        <v>6789</v>
      </c>
      <c r="C11099" s="24" t="s">
        <v>7439</v>
      </c>
      <c r="D11099" s="59">
        <v>5.0</v>
      </c>
      <c r="E11099" s="59">
        <v>16.0</v>
      </c>
      <c r="F11099" s="59">
        <v>0.0</v>
      </c>
      <c r="G11099" s="60">
        <v>3.2</v>
      </c>
      <c r="H11099" s="60">
        <v>0.0</v>
      </c>
      <c r="I11099" s="60">
        <v>309.1513108125</v>
      </c>
      <c r="J11099" s="59">
        <v>84.0</v>
      </c>
      <c r="K11099" s="61">
        <f t="shared" si="1"/>
        <v>0</v>
      </c>
      <c r="L11099" s="62">
        <f t="shared" si="2"/>
        <v>5.25</v>
      </c>
    </row>
    <row r="11100">
      <c r="A11100" s="58">
        <v>45017.0</v>
      </c>
      <c r="B11100" s="24" t="s">
        <v>6791</v>
      </c>
      <c r="C11100" s="24" t="s">
        <v>7206</v>
      </c>
      <c r="D11100" s="59">
        <v>5.0</v>
      </c>
      <c r="E11100" s="59">
        <v>6.0</v>
      </c>
      <c r="F11100" s="59">
        <v>5.0</v>
      </c>
      <c r="G11100" s="60">
        <v>1.2</v>
      </c>
      <c r="H11100" s="60">
        <v>0.0</v>
      </c>
      <c r="I11100" s="60">
        <v>67.064121</v>
      </c>
      <c r="J11100" s="59">
        <v>13.0</v>
      </c>
      <c r="K11100" s="61">
        <f t="shared" si="1"/>
        <v>0.8333333333</v>
      </c>
      <c r="L11100" s="62">
        <f t="shared" si="2"/>
        <v>2.166666667</v>
      </c>
    </row>
    <row r="11101">
      <c r="A11101" s="58">
        <v>45017.0</v>
      </c>
      <c r="B11101" s="24" t="s">
        <v>6787</v>
      </c>
      <c r="C11101" s="24" t="s">
        <v>7172</v>
      </c>
      <c r="D11101" s="59">
        <v>5.0</v>
      </c>
      <c r="E11101" s="59">
        <v>6.0</v>
      </c>
      <c r="F11101" s="59">
        <v>2.0</v>
      </c>
      <c r="G11101" s="60">
        <v>1.5</v>
      </c>
      <c r="H11101" s="60">
        <v>0.166666666666666</v>
      </c>
      <c r="I11101" s="60">
        <v>412.355115666666</v>
      </c>
      <c r="J11101" s="59">
        <v>21.0</v>
      </c>
      <c r="K11101" s="61">
        <f t="shared" si="1"/>
        <v>0.3333333333</v>
      </c>
      <c r="L11101" s="62">
        <f t="shared" si="2"/>
        <v>3.5</v>
      </c>
    </row>
    <row r="11102">
      <c r="A11102" s="58">
        <v>45017.0</v>
      </c>
      <c r="B11102" s="24" t="s">
        <v>6789</v>
      </c>
      <c r="C11102" s="24" t="s">
        <v>7313</v>
      </c>
      <c r="D11102" s="59">
        <v>5.0</v>
      </c>
      <c r="E11102" s="59">
        <v>12.0</v>
      </c>
      <c r="F11102" s="59">
        <v>2.0</v>
      </c>
      <c r="G11102" s="60">
        <v>2.4</v>
      </c>
      <c r="H11102" s="60">
        <v>0.0</v>
      </c>
      <c r="I11102" s="60">
        <v>241.836315666666</v>
      </c>
      <c r="J11102" s="59">
        <v>38.0</v>
      </c>
      <c r="K11102" s="61">
        <f t="shared" si="1"/>
        <v>0.1666666667</v>
      </c>
      <c r="L11102" s="62">
        <f t="shared" si="2"/>
        <v>3.166666667</v>
      </c>
    </row>
    <row r="11103">
      <c r="A11103" s="58">
        <v>45017.0</v>
      </c>
      <c r="B11103" s="24" t="s">
        <v>155</v>
      </c>
      <c r="C11103" s="24" t="s">
        <v>6815</v>
      </c>
      <c r="D11103" s="59">
        <v>5.0</v>
      </c>
      <c r="E11103" s="59">
        <v>6.0</v>
      </c>
      <c r="F11103" s="59">
        <v>4.0</v>
      </c>
      <c r="G11103" s="60">
        <v>1.2</v>
      </c>
      <c r="H11103" s="60">
        <v>0.0</v>
      </c>
      <c r="I11103" s="60">
        <v>79.2635763333333</v>
      </c>
      <c r="J11103" s="59">
        <v>15.0</v>
      </c>
      <c r="K11103" s="61">
        <f t="shared" si="1"/>
        <v>0.6666666667</v>
      </c>
      <c r="L11103" s="62">
        <f t="shared" si="2"/>
        <v>2.5</v>
      </c>
    </row>
    <row r="11104">
      <c r="A11104" s="58">
        <v>45017.0</v>
      </c>
      <c r="B11104" s="24" t="s">
        <v>7100</v>
      </c>
      <c r="C11104" s="24" t="s">
        <v>6792</v>
      </c>
      <c r="D11104" s="59">
        <v>4.0</v>
      </c>
      <c r="E11104" s="59">
        <v>4.0</v>
      </c>
      <c r="F11104" s="59">
        <v>0.0</v>
      </c>
      <c r="G11104" s="60">
        <v>1.33333333333333</v>
      </c>
      <c r="H11104" s="60">
        <v>1.0</v>
      </c>
      <c r="I11104" s="60">
        <v>0.0</v>
      </c>
      <c r="J11104" s="59">
        <v>0.0</v>
      </c>
      <c r="K11104" s="61">
        <f t="shared" si="1"/>
        <v>0</v>
      </c>
      <c r="L11104" s="62">
        <f t="shared" si="2"/>
        <v>0</v>
      </c>
    </row>
    <row r="11105">
      <c r="A11105" s="58">
        <v>45017.0</v>
      </c>
      <c r="B11105" s="24" t="s">
        <v>6790</v>
      </c>
      <c r="C11105" s="24" t="s">
        <v>6803</v>
      </c>
      <c r="D11105" s="59">
        <v>4.0</v>
      </c>
      <c r="E11105" s="59">
        <v>4.0</v>
      </c>
      <c r="F11105" s="59">
        <v>0.0</v>
      </c>
      <c r="G11105" s="60">
        <v>1.0</v>
      </c>
      <c r="H11105" s="60">
        <v>0.25</v>
      </c>
      <c r="I11105" s="60">
        <v>77.606778</v>
      </c>
      <c r="J11105" s="59">
        <v>16.0</v>
      </c>
      <c r="K11105" s="61">
        <f t="shared" si="1"/>
        <v>0</v>
      </c>
      <c r="L11105" s="62">
        <f t="shared" si="2"/>
        <v>4</v>
      </c>
    </row>
    <row r="11106">
      <c r="A11106" s="58">
        <v>45017.0</v>
      </c>
      <c r="B11106" s="24" t="s">
        <v>6787</v>
      </c>
      <c r="C11106" s="24" t="s">
        <v>7058</v>
      </c>
      <c r="D11106" s="59">
        <v>4.0</v>
      </c>
      <c r="E11106" s="59">
        <v>5.0</v>
      </c>
      <c r="F11106" s="59">
        <v>2.0</v>
      </c>
      <c r="G11106" s="60">
        <v>1.25</v>
      </c>
      <c r="H11106" s="60">
        <v>0.0</v>
      </c>
      <c r="I11106" s="60">
        <v>151.0428376</v>
      </c>
      <c r="J11106" s="59">
        <v>22.0</v>
      </c>
      <c r="K11106" s="61">
        <f t="shared" si="1"/>
        <v>0.4</v>
      </c>
      <c r="L11106" s="62">
        <f t="shared" si="2"/>
        <v>4.4</v>
      </c>
    </row>
    <row r="11107">
      <c r="A11107" s="58">
        <v>45017.0</v>
      </c>
      <c r="B11107" s="24" t="s">
        <v>6789</v>
      </c>
      <c r="C11107" s="24" t="s">
        <v>6988</v>
      </c>
      <c r="D11107" s="59">
        <v>4.0</v>
      </c>
      <c r="E11107" s="59">
        <v>4.0</v>
      </c>
      <c r="F11107" s="59">
        <v>0.0</v>
      </c>
      <c r="G11107" s="60">
        <v>1.0</v>
      </c>
      <c r="H11107" s="60">
        <v>0.0</v>
      </c>
      <c r="I11107" s="60">
        <v>193.26088275</v>
      </c>
      <c r="J11107" s="59">
        <v>16.0</v>
      </c>
      <c r="K11107" s="61">
        <f t="shared" si="1"/>
        <v>0</v>
      </c>
      <c r="L11107" s="62">
        <f t="shared" si="2"/>
        <v>4</v>
      </c>
    </row>
    <row r="11108">
      <c r="A11108" s="58">
        <v>45017.0</v>
      </c>
      <c r="B11108" s="24" t="s">
        <v>6789</v>
      </c>
      <c r="C11108" s="24" t="s">
        <v>7062</v>
      </c>
      <c r="D11108" s="59">
        <v>4.0</v>
      </c>
      <c r="E11108" s="59">
        <v>4.0</v>
      </c>
      <c r="F11108" s="59">
        <v>2.0</v>
      </c>
      <c r="G11108" s="60">
        <v>1.0</v>
      </c>
      <c r="H11108" s="60">
        <v>0.0</v>
      </c>
      <c r="I11108" s="60">
        <v>542.3522375</v>
      </c>
      <c r="J11108" s="59">
        <v>22.0</v>
      </c>
      <c r="K11108" s="61">
        <f t="shared" si="1"/>
        <v>0.5</v>
      </c>
      <c r="L11108" s="62">
        <f t="shared" si="2"/>
        <v>5.5</v>
      </c>
    </row>
    <row r="11109">
      <c r="A11109" s="58">
        <v>45017.0</v>
      </c>
      <c r="B11109" s="24" t="s">
        <v>6789</v>
      </c>
      <c r="C11109" s="24" t="s">
        <v>7065</v>
      </c>
      <c r="D11109" s="59">
        <v>4.0</v>
      </c>
      <c r="E11109" s="59">
        <v>5.0</v>
      </c>
      <c r="F11109" s="59">
        <v>2.0</v>
      </c>
      <c r="G11109" s="60">
        <v>1.25</v>
      </c>
      <c r="H11109" s="60">
        <v>0.0</v>
      </c>
      <c r="I11109" s="60">
        <v>213.6721546</v>
      </c>
      <c r="J11109" s="59">
        <v>18.0</v>
      </c>
      <c r="K11109" s="61">
        <f t="shared" si="1"/>
        <v>0.4</v>
      </c>
      <c r="L11109" s="62">
        <f t="shared" si="2"/>
        <v>3.6</v>
      </c>
    </row>
    <row r="11110">
      <c r="A11110" s="58">
        <v>45017.0</v>
      </c>
      <c r="B11110" s="24" t="s">
        <v>6789</v>
      </c>
      <c r="C11110" s="24" t="s">
        <v>6994</v>
      </c>
      <c r="D11110" s="59">
        <v>4.0</v>
      </c>
      <c r="E11110" s="59">
        <v>4.0</v>
      </c>
      <c r="F11110" s="59">
        <v>4.0</v>
      </c>
      <c r="G11110" s="60">
        <v>1.0</v>
      </c>
      <c r="H11110" s="60">
        <v>0.0</v>
      </c>
      <c r="I11110" s="60">
        <v>136.686571499999</v>
      </c>
      <c r="J11110" s="59">
        <v>8.0</v>
      </c>
      <c r="K11110" s="61">
        <f t="shared" si="1"/>
        <v>1</v>
      </c>
      <c r="L11110" s="62">
        <f t="shared" si="2"/>
        <v>2</v>
      </c>
    </row>
    <row r="11111">
      <c r="A11111" s="58">
        <v>45017.0</v>
      </c>
      <c r="B11111" s="24" t="s">
        <v>6794</v>
      </c>
      <c r="C11111" s="24" t="s">
        <v>6799</v>
      </c>
      <c r="D11111" s="59">
        <v>4.0</v>
      </c>
      <c r="E11111" s="59">
        <v>4.0</v>
      </c>
      <c r="F11111" s="59">
        <v>0.0</v>
      </c>
      <c r="G11111" s="60">
        <v>1.0</v>
      </c>
      <c r="H11111" s="60">
        <v>0.25</v>
      </c>
      <c r="I11111" s="60">
        <v>39.8827357499999</v>
      </c>
      <c r="J11111" s="59">
        <v>11.0</v>
      </c>
      <c r="K11111" s="61">
        <f t="shared" si="1"/>
        <v>0</v>
      </c>
      <c r="L11111" s="62">
        <f t="shared" si="2"/>
        <v>2.75</v>
      </c>
    </row>
    <row r="11112">
      <c r="A11112" s="58">
        <v>45017.0</v>
      </c>
      <c r="B11112" s="24" t="s">
        <v>155</v>
      </c>
      <c r="C11112" s="24" t="s">
        <v>7439</v>
      </c>
      <c r="D11112" s="59">
        <v>4.0</v>
      </c>
      <c r="E11112" s="59">
        <v>7.0</v>
      </c>
      <c r="F11112" s="59">
        <v>0.0</v>
      </c>
      <c r="G11112" s="60">
        <v>1.75</v>
      </c>
      <c r="H11112" s="60">
        <v>0.0</v>
      </c>
      <c r="I11112" s="60">
        <v>509.153561142857</v>
      </c>
      <c r="J11112" s="59">
        <v>36.0</v>
      </c>
      <c r="K11112" s="61">
        <f t="shared" si="1"/>
        <v>0</v>
      </c>
      <c r="L11112" s="62">
        <f t="shared" si="2"/>
        <v>5.142857143</v>
      </c>
    </row>
    <row r="11113">
      <c r="A11113" s="58">
        <v>45017.0</v>
      </c>
      <c r="B11113" s="24" t="s">
        <v>155</v>
      </c>
      <c r="C11113" s="24" t="s">
        <v>7624</v>
      </c>
      <c r="D11113" s="59">
        <v>4.0</v>
      </c>
      <c r="E11113" s="59">
        <v>4.0</v>
      </c>
      <c r="F11113" s="59">
        <v>3.0</v>
      </c>
      <c r="G11113" s="60">
        <v>1.0</v>
      </c>
      <c r="H11113" s="60">
        <v>0.0</v>
      </c>
      <c r="I11113" s="60">
        <v>47.328815</v>
      </c>
      <c r="J11113" s="59">
        <v>8.0</v>
      </c>
      <c r="K11113" s="61">
        <f t="shared" si="1"/>
        <v>0.75</v>
      </c>
      <c r="L11113" s="62">
        <f t="shared" si="2"/>
        <v>2</v>
      </c>
    </row>
    <row r="11114">
      <c r="A11114" s="58">
        <v>45017.0</v>
      </c>
      <c r="B11114" s="24" t="s">
        <v>6787</v>
      </c>
      <c r="C11114" s="24" t="s">
        <v>6910</v>
      </c>
      <c r="D11114" s="59">
        <v>4.0</v>
      </c>
      <c r="E11114" s="59">
        <v>4.0</v>
      </c>
      <c r="F11114" s="59">
        <v>4.0</v>
      </c>
      <c r="G11114" s="60">
        <v>1.0</v>
      </c>
      <c r="H11114" s="60">
        <v>0.25</v>
      </c>
      <c r="I11114" s="60">
        <v>599.5985035</v>
      </c>
      <c r="J11114" s="59">
        <v>26.0</v>
      </c>
      <c r="K11114" s="61">
        <f t="shared" si="1"/>
        <v>1</v>
      </c>
      <c r="L11114" s="62">
        <f t="shared" si="2"/>
        <v>6.5</v>
      </c>
    </row>
    <row r="11115">
      <c r="A11115" s="58">
        <v>45017.0</v>
      </c>
      <c r="B11115" s="24" t="s">
        <v>7100</v>
      </c>
      <c r="C11115" s="24" t="s">
        <v>6922</v>
      </c>
      <c r="D11115" s="59">
        <v>4.0</v>
      </c>
      <c r="E11115" s="59">
        <v>4.0</v>
      </c>
      <c r="F11115" s="59">
        <v>4.0</v>
      </c>
      <c r="G11115" s="60">
        <v>1.0</v>
      </c>
      <c r="H11115" s="60">
        <v>0.0</v>
      </c>
      <c r="I11115" s="60">
        <v>31.158321</v>
      </c>
      <c r="J11115" s="59">
        <v>12.0</v>
      </c>
      <c r="K11115" s="61">
        <f t="shared" si="1"/>
        <v>1</v>
      </c>
      <c r="L11115" s="62">
        <f t="shared" si="2"/>
        <v>3</v>
      </c>
    </row>
    <row r="11116">
      <c r="A11116" s="58">
        <v>45017.0</v>
      </c>
      <c r="B11116" s="24" t="s">
        <v>6789</v>
      </c>
      <c r="C11116" s="24" t="s">
        <v>6797</v>
      </c>
      <c r="D11116" s="59">
        <v>4.0</v>
      </c>
      <c r="E11116" s="59">
        <v>4.0</v>
      </c>
      <c r="F11116" s="59">
        <v>1.0</v>
      </c>
      <c r="G11116" s="60">
        <v>1.33333333333333</v>
      </c>
      <c r="H11116" s="60">
        <v>0.25</v>
      </c>
      <c r="I11116" s="60">
        <v>14.64906825</v>
      </c>
      <c r="J11116" s="59">
        <v>7.0</v>
      </c>
      <c r="K11116" s="61">
        <f t="shared" si="1"/>
        <v>0.25</v>
      </c>
      <c r="L11116" s="62">
        <f t="shared" si="2"/>
        <v>1.75</v>
      </c>
    </row>
    <row r="11117">
      <c r="A11117" s="58">
        <v>45017.0</v>
      </c>
      <c r="B11117" s="24" t="s">
        <v>6942</v>
      </c>
      <c r="C11117" s="24" t="s">
        <v>6802</v>
      </c>
      <c r="D11117" s="59">
        <v>4.0</v>
      </c>
      <c r="E11117" s="59">
        <v>4.0</v>
      </c>
      <c r="F11117" s="59">
        <v>4.0</v>
      </c>
      <c r="G11117" s="60">
        <v>1.0</v>
      </c>
      <c r="H11117" s="60">
        <v>0.25</v>
      </c>
      <c r="I11117" s="60">
        <v>11.092955</v>
      </c>
      <c r="J11117" s="59">
        <v>7.0</v>
      </c>
      <c r="K11117" s="61">
        <f t="shared" si="1"/>
        <v>1</v>
      </c>
      <c r="L11117" s="62">
        <f t="shared" si="2"/>
        <v>1.75</v>
      </c>
    </row>
    <row r="11118">
      <c r="A11118" s="58">
        <v>45017.0</v>
      </c>
      <c r="B11118" s="24" t="s">
        <v>6791</v>
      </c>
      <c r="C11118" s="27"/>
      <c r="D11118" s="59">
        <v>3.0</v>
      </c>
      <c r="E11118" s="59">
        <v>4.0</v>
      </c>
      <c r="F11118" s="59">
        <v>0.0</v>
      </c>
      <c r="G11118" s="60">
        <v>1.33333333333333</v>
      </c>
      <c r="H11118" s="60">
        <v>0.0</v>
      </c>
      <c r="I11118" s="60">
        <v>262.7454905</v>
      </c>
      <c r="J11118" s="59">
        <v>18.0</v>
      </c>
      <c r="K11118" s="61">
        <f t="shared" si="1"/>
        <v>0</v>
      </c>
      <c r="L11118" s="62">
        <f t="shared" si="2"/>
        <v>4.5</v>
      </c>
    </row>
    <row r="11119">
      <c r="A11119" s="58">
        <v>45017.0</v>
      </c>
      <c r="B11119" s="24" t="s">
        <v>6789</v>
      </c>
      <c r="C11119" s="24" t="s">
        <v>6861</v>
      </c>
      <c r="D11119" s="59">
        <v>3.0</v>
      </c>
      <c r="E11119" s="59">
        <v>3.0</v>
      </c>
      <c r="F11119" s="59">
        <v>3.0</v>
      </c>
      <c r="G11119" s="60">
        <v>1.0</v>
      </c>
      <c r="H11119" s="60">
        <v>0.0</v>
      </c>
      <c r="I11119" s="60">
        <v>8.79678933333333</v>
      </c>
      <c r="J11119" s="59">
        <v>6.0</v>
      </c>
      <c r="K11119" s="61">
        <f t="shared" si="1"/>
        <v>1</v>
      </c>
      <c r="L11119" s="62">
        <f t="shared" si="2"/>
        <v>2</v>
      </c>
    </row>
    <row r="11120">
      <c r="A11120" s="58">
        <v>45017.0</v>
      </c>
      <c r="B11120" s="24" t="s">
        <v>6789</v>
      </c>
      <c r="C11120" s="24" t="s">
        <v>7059</v>
      </c>
      <c r="D11120" s="59">
        <v>3.0</v>
      </c>
      <c r="E11120" s="59">
        <v>3.0</v>
      </c>
      <c r="F11120" s="59">
        <v>3.0</v>
      </c>
      <c r="G11120" s="60">
        <v>1.0</v>
      </c>
      <c r="H11120" s="60">
        <v>0.0</v>
      </c>
      <c r="I11120" s="60">
        <v>356.479101333333</v>
      </c>
      <c r="J11120" s="59">
        <v>10.0</v>
      </c>
      <c r="K11120" s="61">
        <f t="shared" si="1"/>
        <v>1</v>
      </c>
      <c r="L11120" s="62">
        <f t="shared" si="2"/>
        <v>3.333333333</v>
      </c>
    </row>
    <row r="11121">
      <c r="A11121" s="58">
        <v>45017.0</v>
      </c>
      <c r="B11121" s="24" t="s">
        <v>6787</v>
      </c>
      <c r="C11121" s="24" t="s">
        <v>6819</v>
      </c>
      <c r="D11121" s="59">
        <v>3.0</v>
      </c>
      <c r="E11121" s="59">
        <v>3.0</v>
      </c>
      <c r="F11121" s="59">
        <v>3.0</v>
      </c>
      <c r="G11121" s="60">
        <v>1.0</v>
      </c>
      <c r="H11121" s="60">
        <v>0.0</v>
      </c>
      <c r="I11121" s="60">
        <v>25.7856633333333</v>
      </c>
      <c r="J11121" s="59">
        <v>7.0</v>
      </c>
      <c r="K11121" s="61">
        <f t="shared" si="1"/>
        <v>1</v>
      </c>
      <c r="L11121" s="62">
        <f t="shared" si="2"/>
        <v>2.333333333</v>
      </c>
    </row>
    <row r="11122">
      <c r="A11122" s="58">
        <v>45017.0</v>
      </c>
      <c r="B11122" s="24" t="s">
        <v>6789</v>
      </c>
      <c r="C11122" s="24" t="s">
        <v>6989</v>
      </c>
      <c r="D11122" s="59">
        <v>3.0</v>
      </c>
      <c r="E11122" s="59">
        <v>4.0</v>
      </c>
      <c r="F11122" s="59">
        <v>0.0</v>
      </c>
      <c r="G11122" s="60">
        <v>1.33333333333333</v>
      </c>
      <c r="H11122" s="60">
        <v>0.0</v>
      </c>
      <c r="I11122" s="60">
        <v>160.289286</v>
      </c>
      <c r="J11122" s="59">
        <v>10.0</v>
      </c>
      <c r="K11122" s="61">
        <f t="shared" si="1"/>
        <v>0</v>
      </c>
      <c r="L11122" s="62">
        <f t="shared" si="2"/>
        <v>2.5</v>
      </c>
    </row>
    <row r="11123">
      <c r="A11123" s="58">
        <v>45017.0</v>
      </c>
      <c r="B11123" s="24" t="s">
        <v>6789</v>
      </c>
      <c r="C11123" s="24" t="s">
        <v>7464</v>
      </c>
      <c r="D11123" s="59">
        <v>3.0</v>
      </c>
      <c r="E11123" s="59">
        <v>4.0</v>
      </c>
      <c r="F11123" s="59">
        <v>1.0</v>
      </c>
      <c r="G11123" s="60">
        <v>1.33333333333333</v>
      </c>
      <c r="H11123" s="60">
        <v>0.0</v>
      </c>
      <c r="I11123" s="60">
        <v>760.0238905</v>
      </c>
      <c r="J11123" s="59">
        <v>56.0</v>
      </c>
      <c r="K11123" s="61">
        <f t="shared" si="1"/>
        <v>0.25</v>
      </c>
      <c r="L11123" s="62">
        <f t="shared" si="2"/>
        <v>14</v>
      </c>
    </row>
    <row r="11124">
      <c r="A11124" s="58">
        <v>45017.0</v>
      </c>
      <c r="B11124" s="24" t="s">
        <v>6789</v>
      </c>
      <c r="C11124" s="24" t="s">
        <v>7074</v>
      </c>
      <c r="D11124" s="59">
        <v>3.0</v>
      </c>
      <c r="E11124" s="59">
        <v>3.0</v>
      </c>
      <c r="F11124" s="59">
        <v>3.0</v>
      </c>
      <c r="G11124" s="60">
        <v>1.0</v>
      </c>
      <c r="H11124" s="60">
        <v>0.0</v>
      </c>
      <c r="I11124" s="60">
        <v>206.700642333333</v>
      </c>
      <c r="J11124" s="59">
        <v>26.0</v>
      </c>
      <c r="K11124" s="61">
        <f t="shared" si="1"/>
        <v>1</v>
      </c>
      <c r="L11124" s="62">
        <f t="shared" si="2"/>
        <v>8.666666667</v>
      </c>
    </row>
    <row r="11125">
      <c r="A11125" s="58">
        <v>45017.0</v>
      </c>
      <c r="B11125" s="24" t="s">
        <v>6789</v>
      </c>
      <c r="C11125" s="24" t="s">
        <v>6886</v>
      </c>
      <c r="D11125" s="59">
        <v>3.0</v>
      </c>
      <c r="E11125" s="59">
        <v>3.0</v>
      </c>
      <c r="F11125" s="59">
        <v>1.0</v>
      </c>
      <c r="G11125" s="60">
        <v>1.0</v>
      </c>
      <c r="H11125" s="60">
        <v>0.0</v>
      </c>
      <c r="I11125" s="60">
        <v>164.646737333333</v>
      </c>
      <c r="J11125" s="59">
        <v>8.0</v>
      </c>
      <c r="K11125" s="61">
        <f t="shared" si="1"/>
        <v>0.3333333333</v>
      </c>
      <c r="L11125" s="62">
        <f t="shared" si="2"/>
        <v>2.666666667</v>
      </c>
    </row>
    <row r="11126">
      <c r="A11126" s="58">
        <v>45017.0</v>
      </c>
      <c r="B11126" s="24" t="s">
        <v>155</v>
      </c>
      <c r="C11126" s="24" t="s">
        <v>7002</v>
      </c>
      <c r="D11126" s="59">
        <v>3.0</v>
      </c>
      <c r="E11126" s="59">
        <v>3.0</v>
      </c>
      <c r="F11126" s="59">
        <v>0.0</v>
      </c>
      <c r="G11126" s="60">
        <v>1.0</v>
      </c>
      <c r="H11126" s="60">
        <v>0.0</v>
      </c>
      <c r="I11126" s="60">
        <v>562.387362666666</v>
      </c>
      <c r="J11126" s="59">
        <v>12.0</v>
      </c>
      <c r="K11126" s="61">
        <f t="shared" si="1"/>
        <v>0</v>
      </c>
      <c r="L11126" s="62">
        <f t="shared" si="2"/>
        <v>4</v>
      </c>
    </row>
    <row r="11127">
      <c r="A11127" s="58">
        <v>45017.0</v>
      </c>
      <c r="B11127" s="24" t="s">
        <v>6942</v>
      </c>
      <c r="C11127" s="24" t="s">
        <v>7624</v>
      </c>
      <c r="D11127" s="59">
        <v>3.0</v>
      </c>
      <c r="E11127" s="59">
        <v>3.0</v>
      </c>
      <c r="F11127" s="59">
        <v>3.0</v>
      </c>
      <c r="G11127" s="60">
        <v>1.0</v>
      </c>
      <c r="H11127" s="60">
        <v>0.666666666666666</v>
      </c>
      <c r="I11127" s="60">
        <v>1.43029533333333</v>
      </c>
      <c r="J11127" s="59">
        <v>4.0</v>
      </c>
      <c r="K11127" s="61">
        <f t="shared" si="1"/>
        <v>1</v>
      </c>
      <c r="L11127" s="62">
        <f t="shared" si="2"/>
        <v>1.333333333</v>
      </c>
    </row>
    <row r="11128">
      <c r="A11128" s="58">
        <v>45017.0</v>
      </c>
      <c r="B11128" s="24" t="s">
        <v>6789</v>
      </c>
      <c r="C11128" s="24" t="s">
        <v>7554</v>
      </c>
      <c r="D11128" s="59">
        <v>3.0</v>
      </c>
      <c r="E11128" s="59">
        <v>3.0</v>
      </c>
      <c r="F11128" s="59">
        <v>3.0</v>
      </c>
      <c r="G11128" s="60">
        <v>1.0</v>
      </c>
      <c r="H11128" s="60">
        <v>0.0</v>
      </c>
      <c r="I11128" s="60">
        <v>94.4971303333333</v>
      </c>
      <c r="J11128" s="59">
        <v>18.0</v>
      </c>
      <c r="K11128" s="61">
        <f t="shared" si="1"/>
        <v>1</v>
      </c>
      <c r="L11128" s="62">
        <f t="shared" si="2"/>
        <v>6</v>
      </c>
    </row>
    <row r="11129">
      <c r="A11129" s="58">
        <v>45017.0</v>
      </c>
      <c r="B11129" s="24" t="s">
        <v>6789</v>
      </c>
      <c r="C11129" s="24" t="s">
        <v>6907</v>
      </c>
      <c r="D11129" s="59">
        <v>3.0</v>
      </c>
      <c r="E11129" s="59">
        <v>6.0</v>
      </c>
      <c r="F11129" s="59">
        <v>1.0</v>
      </c>
      <c r="G11129" s="60">
        <v>2.0</v>
      </c>
      <c r="H11129" s="60">
        <v>0.0</v>
      </c>
      <c r="I11129" s="60">
        <v>139.7387735</v>
      </c>
      <c r="J11129" s="59">
        <v>16.0</v>
      </c>
      <c r="K11129" s="61">
        <f t="shared" si="1"/>
        <v>0.1666666667</v>
      </c>
      <c r="L11129" s="62">
        <f t="shared" si="2"/>
        <v>2.666666667</v>
      </c>
    </row>
    <row r="11130">
      <c r="A11130" s="58">
        <v>45017.0</v>
      </c>
      <c r="B11130" s="24" t="s">
        <v>7100</v>
      </c>
      <c r="C11130" s="24" t="s">
        <v>6800</v>
      </c>
      <c r="D11130" s="59">
        <v>3.0</v>
      </c>
      <c r="E11130" s="59">
        <v>3.0</v>
      </c>
      <c r="F11130" s="59">
        <v>2.0</v>
      </c>
      <c r="G11130" s="60">
        <v>1.0</v>
      </c>
      <c r="H11130" s="60">
        <v>0.0</v>
      </c>
      <c r="I11130" s="60">
        <v>272.066619333333</v>
      </c>
      <c r="J11130" s="59">
        <v>28.0</v>
      </c>
      <c r="K11130" s="61">
        <f t="shared" si="1"/>
        <v>0.6666666667</v>
      </c>
      <c r="L11130" s="62">
        <f t="shared" si="2"/>
        <v>9.333333333</v>
      </c>
    </row>
    <row r="11131">
      <c r="A11131" s="58">
        <v>45017.0</v>
      </c>
      <c r="B11131" s="24" t="s">
        <v>6789</v>
      </c>
      <c r="C11131" s="24" t="s">
        <v>7101</v>
      </c>
      <c r="D11131" s="59">
        <v>3.0</v>
      </c>
      <c r="E11131" s="59">
        <v>4.0</v>
      </c>
      <c r="F11131" s="59">
        <v>0.0</v>
      </c>
      <c r="G11131" s="60">
        <v>1.33333333333333</v>
      </c>
      <c r="H11131" s="60">
        <v>0.0</v>
      </c>
      <c r="I11131" s="60">
        <v>1758.3915675</v>
      </c>
      <c r="J11131" s="59">
        <v>44.0</v>
      </c>
      <c r="K11131" s="61">
        <f t="shared" si="1"/>
        <v>0</v>
      </c>
      <c r="L11131" s="62">
        <f t="shared" si="2"/>
        <v>11</v>
      </c>
    </row>
    <row r="11132">
      <c r="A11132" s="58">
        <v>45017.0</v>
      </c>
      <c r="B11132" s="24" t="s">
        <v>6787</v>
      </c>
      <c r="C11132" s="24" t="s">
        <v>7102</v>
      </c>
      <c r="D11132" s="59">
        <v>3.0</v>
      </c>
      <c r="E11132" s="59">
        <v>6.0</v>
      </c>
      <c r="F11132" s="59">
        <v>1.0</v>
      </c>
      <c r="G11132" s="60">
        <v>2.0</v>
      </c>
      <c r="H11132" s="60">
        <v>0.166666666666666</v>
      </c>
      <c r="I11132" s="60">
        <v>200.804360333333</v>
      </c>
      <c r="J11132" s="59">
        <v>15.0</v>
      </c>
      <c r="K11132" s="61">
        <f t="shared" si="1"/>
        <v>0.1666666667</v>
      </c>
      <c r="L11132" s="62">
        <f t="shared" si="2"/>
        <v>2.5</v>
      </c>
    </row>
    <row r="11133">
      <c r="A11133" s="58">
        <v>45017.0</v>
      </c>
      <c r="B11133" s="24" t="s">
        <v>6787</v>
      </c>
      <c r="C11133" s="24" t="s">
        <v>7650</v>
      </c>
      <c r="D11133" s="59">
        <v>3.0</v>
      </c>
      <c r="E11133" s="59">
        <v>4.0</v>
      </c>
      <c r="F11133" s="59">
        <v>0.0</v>
      </c>
      <c r="G11133" s="60">
        <v>1.33333333333333</v>
      </c>
      <c r="H11133" s="60">
        <v>0.0</v>
      </c>
      <c r="I11133" s="60">
        <v>189.93417825</v>
      </c>
      <c r="J11133" s="59">
        <v>18.0</v>
      </c>
      <c r="K11133" s="61">
        <f t="shared" si="1"/>
        <v>0</v>
      </c>
      <c r="L11133" s="62">
        <f t="shared" si="2"/>
        <v>4.5</v>
      </c>
    </row>
    <row r="11134">
      <c r="A11134" s="58">
        <v>45017.0</v>
      </c>
      <c r="B11134" s="24" t="s">
        <v>6787</v>
      </c>
      <c r="C11134" s="24" t="s">
        <v>7104</v>
      </c>
      <c r="D11134" s="59">
        <v>3.0</v>
      </c>
      <c r="E11134" s="59">
        <v>5.0</v>
      </c>
      <c r="F11134" s="59">
        <v>1.0</v>
      </c>
      <c r="G11134" s="60">
        <v>1.66666666666666</v>
      </c>
      <c r="H11134" s="60">
        <v>0.0</v>
      </c>
      <c r="I11134" s="60">
        <v>4.9881704</v>
      </c>
      <c r="J11134" s="59">
        <v>10.0</v>
      </c>
      <c r="K11134" s="61">
        <f t="shared" si="1"/>
        <v>0.2</v>
      </c>
      <c r="L11134" s="62">
        <f t="shared" si="2"/>
        <v>2</v>
      </c>
    </row>
    <row r="11135">
      <c r="A11135" s="58">
        <v>45017.0</v>
      </c>
      <c r="B11135" s="24" t="s">
        <v>6789</v>
      </c>
      <c r="C11135" s="24" t="s">
        <v>7104</v>
      </c>
      <c r="D11135" s="59">
        <v>3.0</v>
      </c>
      <c r="E11135" s="59">
        <v>6.0</v>
      </c>
      <c r="F11135" s="59">
        <v>0.0</v>
      </c>
      <c r="G11135" s="60">
        <v>2.0</v>
      </c>
      <c r="H11135" s="60">
        <v>0.0</v>
      </c>
      <c r="I11135" s="60">
        <v>816.168443333333</v>
      </c>
      <c r="J11135" s="59">
        <v>53.0</v>
      </c>
      <c r="K11135" s="61">
        <f t="shared" si="1"/>
        <v>0</v>
      </c>
      <c r="L11135" s="62">
        <f t="shared" si="2"/>
        <v>8.833333333</v>
      </c>
    </row>
    <row r="11136">
      <c r="A11136" s="58">
        <v>45017.0</v>
      </c>
      <c r="B11136" s="24" t="s">
        <v>6794</v>
      </c>
      <c r="C11136" s="24" t="s">
        <v>7180</v>
      </c>
      <c r="D11136" s="59">
        <v>3.0</v>
      </c>
      <c r="E11136" s="59">
        <v>7.0</v>
      </c>
      <c r="F11136" s="59">
        <v>0.0</v>
      </c>
      <c r="G11136" s="60">
        <v>2.33333333333333</v>
      </c>
      <c r="H11136" s="60">
        <v>0.0</v>
      </c>
      <c r="I11136" s="60">
        <v>27.8325521428571</v>
      </c>
      <c r="J11136" s="59">
        <v>16.0</v>
      </c>
      <c r="K11136" s="61">
        <f t="shared" si="1"/>
        <v>0</v>
      </c>
      <c r="L11136" s="62">
        <f t="shared" si="2"/>
        <v>2.285714286</v>
      </c>
    </row>
    <row r="11137">
      <c r="A11137" s="58">
        <v>45017.0</v>
      </c>
      <c r="B11137" s="24" t="s">
        <v>6789</v>
      </c>
      <c r="C11137" s="24" t="s">
        <v>6922</v>
      </c>
      <c r="D11137" s="59">
        <v>3.0</v>
      </c>
      <c r="E11137" s="59">
        <v>3.0</v>
      </c>
      <c r="F11137" s="59">
        <v>2.0</v>
      </c>
      <c r="G11137" s="60">
        <v>1.0</v>
      </c>
      <c r="H11137" s="60">
        <v>0.0</v>
      </c>
      <c r="I11137" s="60">
        <v>21.9419806666666</v>
      </c>
      <c r="J11137" s="59">
        <v>10.0</v>
      </c>
      <c r="K11137" s="61">
        <f t="shared" si="1"/>
        <v>0.6666666667</v>
      </c>
      <c r="L11137" s="62">
        <f t="shared" si="2"/>
        <v>3.333333333</v>
      </c>
    </row>
    <row r="11138">
      <c r="A11138" s="58">
        <v>45017.0</v>
      </c>
      <c r="B11138" s="24" t="s">
        <v>6789</v>
      </c>
      <c r="C11138" s="24" t="s">
        <v>6953</v>
      </c>
      <c r="D11138" s="59">
        <v>2.0</v>
      </c>
      <c r="E11138" s="59">
        <v>2.0</v>
      </c>
      <c r="F11138" s="59">
        <v>2.0</v>
      </c>
      <c r="G11138" s="60">
        <v>1.0</v>
      </c>
      <c r="H11138" s="60">
        <v>0.0</v>
      </c>
      <c r="I11138" s="60">
        <v>29.427735</v>
      </c>
      <c r="J11138" s="59">
        <v>4.0</v>
      </c>
      <c r="K11138" s="61">
        <f t="shared" si="1"/>
        <v>1</v>
      </c>
      <c r="L11138" s="62">
        <f t="shared" si="2"/>
        <v>2</v>
      </c>
    </row>
    <row r="11139">
      <c r="A11139" s="58">
        <v>45017.0</v>
      </c>
      <c r="B11139" s="24" t="s">
        <v>6787</v>
      </c>
      <c r="C11139" s="24" t="s">
        <v>6985</v>
      </c>
      <c r="D11139" s="59">
        <v>2.0</v>
      </c>
      <c r="E11139" s="59">
        <v>2.0</v>
      </c>
      <c r="F11139" s="59">
        <v>0.0</v>
      </c>
      <c r="G11139" s="60">
        <v>1.0</v>
      </c>
      <c r="H11139" s="60">
        <v>0.0</v>
      </c>
      <c r="I11139" s="60">
        <v>190.7401805</v>
      </c>
      <c r="J11139" s="59">
        <v>10.0</v>
      </c>
      <c r="K11139" s="61">
        <f t="shared" si="1"/>
        <v>0</v>
      </c>
      <c r="L11139" s="62">
        <f t="shared" si="2"/>
        <v>5</v>
      </c>
    </row>
    <row r="11140">
      <c r="A11140" s="58">
        <v>45017.0</v>
      </c>
      <c r="B11140" s="24" t="s">
        <v>155</v>
      </c>
      <c r="C11140" s="24" t="s">
        <v>6985</v>
      </c>
      <c r="D11140" s="59">
        <v>2.0</v>
      </c>
      <c r="E11140" s="59">
        <v>2.0</v>
      </c>
      <c r="F11140" s="59">
        <v>0.0</v>
      </c>
      <c r="G11140" s="60">
        <v>1.0</v>
      </c>
      <c r="H11140" s="60">
        <v>0.0</v>
      </c>
      <c r="I11140" s="60">
        <v>1685.81278</v>
      </c>
      <c r="J11140" s="59">
        <v>26.0</v>
      </c>
      <c r="K11140" s="61">
        <f t="shared" si="1"/>
        <v>0</v>
      </c>
      <c r="L11140" s="62">
        <f t="shared" si="2"/>
        <v>13</v>
      </c>
    </row>
    <row r="11141">
      <c r="A11141" s="58">
        <v>45017.0</v>
      </c>
      <c r="B11141" s="24" t="s">
        <v>6789</v>
      </c>
      <c r="C11141" s="24" t="s">
        <v>6833</v>
      </c>
      <c r="D11141" s="59">
        <v>2.0</v>
      </c>
      <c r="E11141" s="59">
        <v>3.0</v>
      </c>
      <c r="F11141" s="59">
        <v>1.0</v>
      </c>
      <c r="G11141" s="60">
        <v>1.5</v>
      </c>
      <c r="H11141" s="60">
        <v>0.0</v>
      </c>
      <c r="I11141" s="60">
        <v>3.27082066666666</v>
      </c>
      <c r="J11141" s="59">
        <v>6.0</v>
      </c>
      <c r="K11141" s="61">
        <f t="shared" si="1"/>
        <v>0.3333333333</v>
      </c>
      <c r="L11141" s="62">
        <f t="shared" si="2"/>
        <v>2</v>
      </c>
    </row>
    <row r="11142">
      <c r="A11142" s="58">
        <v>45017.0</v>
      </c>
      <c r="B11142" s="24" t="s">
        <v>6794</v>
      </c>
      <c r="C11142" s="24" t="s">
        <v>6988</v>
      </c>
      <c r="D11142" s="59">
        <v>2.0</v>
      </c>
      <c r="E11142" s="59">
        <v>2.0</v>
      </c>
      <c r="F11142" s="59">
        <v>0.0</v>
      </c>
      <c r="G11142" s="60">
        <v>1.0</v>
      </c>
      <c r="H11142" s="60">
        <v>0.0</v>
      </c>
      <c r="I11142" s="60">
        <v>123.198551</v>
      </c>
      <c r="J11142" s="59">
        <v>16.0</v>
      </c>
      <c r="K11142" s="61">
        <f t="shared" si="1"/>
        <v>0</v>
      </c>
      <c r="L11142" s="62">
        <f t="shared" si="2"/>
        <v>8</v>
      </c>
    </row>
    <row r="11143">
      <c r="A11143" s="58">
        <v>45017.0</v>
      </c>
      <c r="B11143" s="24" t="s">
        <v>155</v>
      </c>
      <c r="C11143" s="24" t="s">
        <v>6988</v>
      </c>
      <c r="D11143" s="59">
        <v>2.0</v>
      </c>
      <c r="E11143" s="59">
        <v>2.0</v>
      </c>
      <c r="F11143" s="59">
        <v>0.0</v>
      </c>
      <c r="G11143" s="60">
        <v>1.0</v>
      </c>
      <c r="H11143" s="60">
        <v>0.0</v>
      </c>
      <c r="I11143" s="60">
        <v>353.6673665</v>
      </c>
      <c r="J11143" s="59">
        <v>4.0</v>
      </c>
      <c r="K11143" s="61">
        <f t="shared" si="1"/>
        <v>0</v>
      </c>
      <c r="L11143" s="62">
        <f t="shared" si="2"/>
        <v>2</v>
      </c>
    </row>
    <row r="11144">
      <c r="A11144" s="58">
        <v>45017.0</v>
      </c>
      <c r="B11144" s="24" t="s">
        <v>6794</v>
      </c>
      <c r="C11144" s="24" t="s">
        <v>7068</v>
      </c>
      <c r="D11144" s="59">
        <v>2.0</v>
      </c>
      <c r="E11144" s="59">
        <v>2.0</v>
      </c>
      <c r="F11144" s="59">
        <v>0.0</v>
      </c>
      <c r="G11144" s="60">
        <v>1.0</v>
      </c>
      <c r="H11144" s="60">
        <v>0.0</v>
      </c>
      <c r="I11144" s="60">
        <v>148.0760555</v>
      </c>
      <c r="J11144" s="59">
        <v>4.0</v>
      </c>
      <c r="K11144" s="61">
        <f t="shared" si="1"/>
        <v>0</v>
      </c>
      <c r="L11144" s="62">
        <f t="shared" si="2"/>
        <v>2</v>
      </c>
    </row>
    <row r="11145">
      <c r="A11145" s="58">
        <v>45017.0</v>
      </c>
      <c r="B11145" s="24" t="s">
        <v>6787</v>
      </c>
      <c r="C11145" s="24" t="s">
        <v>6835</v>
      </c>
      <c r="D11145" s="59">
        <v>2.0</v>
      </c>
      <c r="E11145" s="59">
        <v>3.0</v>
      </c>
      <c r="F11145" s="59">
        <v>2.0</v>
      </c>
      <c r="G11145" s="60">
        <v>1.5</v>
      </c>
      <c r="H11145" s="60">
        <v>0.0</v>
      </c>
      <c r="I11145" s="60">
        <v>219.060434333333</v>
      </c>
      <c r="J11145" s="59">
        <v>8.0</v>
      </c>
      <c r="K11145" s="61">
        <f t="shared" si="1"/>
        <v>0.6666666667</v>
      </c>
      <c r="L11145" s="62">
        <f t="shared" si="2"/>
        <v>2.666666667</v>
      </c>
    </row>
    <row r="11146">
      <c r="A11146" s="58">
        <v>45017.0</v>
      </c>
      <c r="B11146" s="24" t="s">
        <v>6787</v>
      </c>
      <c r="C11146" s="24" t="s">
        <v>6994</v>
      </c>
      <c r="D11146" s="59">
        <v>2.0</v>
      </c>
      <c r="E11146" s="59">
        <v>2.0</v>
      </c>
      <c r="F11146" s="59">
        <v>1.0</v>
      </c>
      <c r="G11146" s="60">
        <v>1.0</v>
      </c>
      <c r="H11146" s="60">
        <v>0.0</v>
      </c>
      <c r="I11146" s="60">
        <v>4.9139385</v>
      </c>
      <c r="J11146" s="59">
        <v>4.0</v>
      </c>
      <c r="K11146" s="61">
        <f t="shared" si="1"/>
        <v>0.5</v>
      </c>
      <c r="L11146" s="62">
        <f t="shared" si="2"/>
        <v>2</v>
      </c>
    </row>
    <row r="11147">
      <c r="A11147" s="58">
        <v>45017.0</v>
      </c>
      <c r="B11147" s="24" t="s">
        <v>6789</v>
      </c>
      <c r="C11147" s="24" t="s">
        <v>7072</v>
      </c>
      <c r="D11147" s="59">
        <v>2.0</v>
      </c>
      <c r="E11147" s="59">
        <v>2.0</v>
      </c>
      <c r="F11147" s="59">
        <v>2.0</v>
      </c>
      <c r="G11147" s="60">
        <v>1.0</v>
      </c>
      <c r="H11147" s="60">
        <v>0.0</v>
      </c>
      <c r="I11147" s="60">
        <v>25.3782685</v>
      </c>
      <c r="J11147" s="59">
        <v>4.0</v>
      </c>
      <c r="K11147" s="61">
        <f t="shared" si="1"/>
        <v>1</v>
      </c>
      <c r="L11147" s="62">
        <f t="shared" si="2"/>
        <v>2</v>
      </c>
    </row>
    <row r="11148">
      <c r="A11148" s="58">
        <v>45017.0</v>
      </c>
      <c r="B11148" s="24" t="s">
        <v>6942</v>
      </c>
      <c r="C11148" s="24" t="s">
        <v>6886</v>
      </c>
      <c r="D11148" s="59">
        <v>2.0</v>
      </c>
      <c r="E11148" s="59">
        <v>2.0</v>
      </c>
      <c r="F11148" s="59">
        <v>2.0</v>
      </c>
      <c r="G11148" s="60">
        <v>1.0</v>
      </c>
      <c r="H11148" s="60">
        <v>0.0</v>
      </c>
      <c r="I11148" s="60">
        <v>52.666132</v>
      </c>
      <c r="J11148" s="59">
        <v>4.0</v>
      </c>
      <c r="K11148" s="61">
        <f t="shared" si="1"/>
        <v>1</v>
      </c>
      <c r="L11148" s="62">
        <f t="shared" si="2"/>
        <v>2</v>
      </c>
    </row>
    <row r="11149">
      <c r="A11149" s="58">
        <v>45017.0</v>
      </c>
      <c r="B11149" s="24" t="s">
        <v>155</v>
      </c>
      <c r="C11149" s="24" t="s">
        <v>6799</v>
      </c>
      <c r="D11149" s="59">
        <v>2.0</v>
      </c>
      <c r="E11149" s="59">
        <v>2.0</v>
      </c>
      <c r="F11149" s="59">
        <v>0.0</v>
      </c>
      <c r="G11149" s="60">
        <v>1.0</v>
      </c>
      <c r="H11149" s="60">
        <v>0.0</v>
      </c>
      <c r="I11149" s="60">
        <v>597.30418</v>
      </c>
      <c r="J11149" s="59">
        <v>10.0</v>
      </c>
      <c r="K11149" s="61">
        <f t="shared" si="1"/>
        <v>0</v>
      </c>
      <c r="L11149" s="62">
        <f t="shared" si="2"/>
        <v>5</v>
      </c>
    </row>
    <row r="11150">
      <c r="A11150" s="58">
        <v>45017.0</v>
      </c>
      <c r="B11150" s="24" t="s">
        <v>6789</v>
      </c>
      <c r="C11150" s="24" t="s">
        <v>7624</v>
      </c>
      <c r="D11150" s="59">
        <v>2.0</v>
      </c>
      <c r="E11150" s="59">
        <v>2.0</v>
      </c>
      <c r="F11150" s="59">
        <v>0.0</v>
      </c>
      <c r="G11150" s="60">
        <v>1.0</v>
      </c>
      <c r="H11150" s="60">
        <v>0.0</v>
      </c>
      <c r="I11150" s="60">
        <v>4.285576</v>
      </c>
      <c r="J11150" s="59">
        <v>4.0</v>
      </c>
      <c r="K11150" s="61">
        <f t="shared" si="1"/>
        <v>0</v>
      </c>
      <c r="L11150" s="62">
        <f t="shared" si="2"/>
        <v>2</v>
      </c>
    </row>
    <row r="11151">
      <c r="A11151" s="58">
        <v>45017.0</v>
      </c>
      <c r="B11151" s="24" t="s">
        <v>6787</v>
      </c>
      <c r="C11151" s="24" t="s">
        <v>7206</v>
      </c>
      <c r="D11151" s="59">
        <v>2.0</v>
      </c>
      <c r="E11151" s="59">
        <v>2.0</v>
      </c>
      <c r="F11151" s="59">
        <v>2.0</v>
      </c>
      <c r="G11151" s="60">
        <v>1.0</v>
      </c>
      <c r="H11151" s="60">
        <v>0.0</v>
      </c>
      <c r="I11151" s="60">
        <v>14.189273</v>
      </c>
      <c r="J11151" s="59">
        <v>8.0</v>
      </c>
      <c r="K11151" s="61">
        <f t="shared" si="1"/>
        <v>1</v>
      </c>
      <c r="L11151" s="62">
        <f t="shared" si="2"/>
        <v>4</v>
      </c>
    </row>
    <row r="11152">
      <c r="A11152" s="58">
        <v>45017.0</v>
      </c>
      <c r="B11152" s="24" t="s">
        <v>6794</v>
      </c>
      <c r="C11152" s="24" t="s">
        <v>7227</v>
      </c>
      <c r="D11152" s="59">
        <v>2.0</v>
      </c>
      <c r="E11152" s="59">
        <v>2.0</v>
      </c>
      <c r="F11152" s="59">
        <v>1.0</v>
      </c>
      <c r="G11152" s="60">
        <v>1.0</v>
      </c>
      <c r="H11152" s="60">
        <v>0.0</v>
      </c>
      <c r="I11152" s="60">
        <v>32.934598</v>
      </c>
      <c r="J11152" s="59">
        <v>4.0</v>
      </c>
      <c r="K11152" s="61">
        <f t="shared" si="1"/>
        <v>0.5</v>
      </c>
      <c r="L11152" s="62">
        <f t="shared" si="2"/>
        <v>2</v>
      </c>
    </row>
    <row r="11153">
      <c r="A11153" s="58">
        <v>45017.0</v>
      </c>
      <c r="B11153" s="24" t="s">
        <v>6942</v>
      </c>
      <c r="C11153" s="24" t="s">
        <v>7554</v>
      </c>
      <c r="D11153" s="59">
        <v>2.0</v>
      </c>
      <c r="E11153" s="59">
        <v>2.0</v>
      </c>
      <c r="F11153" s="59">
        <v>2.0</v>
      </c>
      <c r="G11153" s="60">
        <v>1.0</v>
      </c>
      <c r="H11153" s="60">
        <v>0.0</v>
      </c>
      <c r="I11153" s="60">
        <v>2.857129</v>
      </c>
      <c r="J11153" s="59">
        <v>4.0</v>
      </c>
      <c r="K11153" s="61">
        <f t="shared" si="1"/>
        <v>1</v>
      </c>
      <c r="L11153" s="62">
        <f t="shared" si="2"/>
        <v>2</v>
      </c>
    </row>
    <row r="11154">
      <c r="A11154" s="58">
        <v>45017.0</v>
      </c>
      <c r="B11154" s="24" t="s">
        <v>6942</v>
      </c>
      <c r="C11154" s="24" t="s">
        <v>6800</v>
      </c>
      <c r="D11154" s="59">
        <v>2.0</v>
      </c>
      <c r="E11154" s="59">
        <v>2.0</v>
      </c>
      <c r="F11154" s="59">
        <v>2.0</v>
      </c>
      <c r="G11154" s="60">
        <v>1.0</v>
      </c>
      <c r="H11154" s="60">
        <v>1.0</v>
      </c>
      <c r="I11154" s="60">
        <v>0.0</v>
      </c>
      <c r="J11154" s="59">
        <v>2.0</v>
      </c>
      <c r="K11154" s="61">
        <f t="shared" si="1"/>
        <v>1</v>
      </c>
      <c r="L11154" s="62">
        <f t="shared" si="2"/>
        <v>1</v>
      </c>
    </row>
    <row r="11155">
      <c r="A11155" s="58">
        <v>45017.0</v>
      </c>
      <c r="B11155" s="24" t="s">
        <v>6787</v>
      </c>
      <c r="C11155" s="24" t="s">
        <v>7313</v>
      </c>
      <c r="D11155" s="59">
        <v>2.0</v>
      </c>
      <c r="E11155" s="59">
        <v>2.0</v>
      </c>
      <c r="F11155" s="59">
        <v>2.0</v>
      </c>
      <c r="G11155" s="60">
        <v>1.0</v>
      </c>
      <c r="H11155" s="60">
        <v>1.0</v>
      </c>
      <c r="I11155" s="60">
        <v>2.4543845</v>
      </c>
      <c r="J11155" s="59">
        <v>2.0</v>
      </c>
      <c r="K11155" s="61">
        <f t="shared" si="1"/>
        <v>1</v>
      </c>
      <c r="L11155" s="62">
        <f t="shared" si="2"/>
        <v>1</v>
      </c>
    </row>
    <row r="11156">
      <c r="A11156" s="58">
        <v>45017.0</v>
      </c>
      <c r="B11156" s="24" t="s">
        <v>7100</v>
      </c>
      <c r="C11156" s="24" t="s">
        <v>7102</v>
      </c>
      <c r="D11156" s="59">
        <v>2.0</v>
      </c>
      <c r="E11156" s="59">
        <v>2.0</v>
      </c>
      <c r="F11156" s="59">
        <v>2.0</v>
      </c>
      <c r="G11156" s="60">
        <v>1.0</v>
      </c>
      <c r="H11156" s="60">
        <v>0.0</v>
      </c>
      <c r="I11156" s="60">
        <v>1.5668905</v>
      </c>
      <c r="J11156" s="59">
        <v>4.0</v>
      </c>
      <c r="K11156" s="61">
        <f t="shared" si="1"/>
        <v>1</v>
      </c>
      <c r="L11156" s="62">
        <f t="shared" si="2"/>
        <v>2</v>
      </c>
    </row>
    <row r="11157">
      <c r="A11157" s="58">
        <v>45017.0</v>
      </c>
      <c r="B11157" s="24" t="s">
        <v>6794</v>
      </c>
      <c r="C11157" s="24" t="s">
        <v>7104</v>
      </c>
      <c r="D11157" s="59">
        <v>2.0</v>
      </c>
      <c r="E11157" s="59">
        <v>2.0</v>
      </c>
      <c r="F11157" s="59">
        <v>0.0</v>
      </c>
      <c r="G11157" s="60">
        <v>1.0</v>
      </c>
      <c r="H11157" s="60">
        <v>0.0</v>
      </c>
      <c r="I11157" s="60">
        <v>381.031787</v>
      </c>
      <c r="J11157" s="59">
        <v>8.0</v>
      </c>
      <c r="K11157" s="61">
        <f t="shared" si="1"/>
        <v>0</v>
      </c>
      <c r="L11157" s="62">
        <f t="shared" si="2"/>
        <v>4</v>
      </c>
    </row>
    <row r="11158">
      <c r="A11158" s="58">
        <v>45017.0</v>
      </c>
      <c r="B11158" s="24" t="s">
        <v>6794</v>
      </c>
      <c r="C11158" s="24" t="s">
        <v>7174</v>
      </c>
      <c r="D11158" s="59">
        <v>2.0</v>
      </c>
      <c r="E11158" s="59">
        <v>3.0</v>
      </c>
      <c r="F11158" s="59">
        <v>0.0</v>
      </c>
      <c r="G11158" s="60">
        <v>1.5</v>
      </c>
      <c r="H11158" s="60">
        <v>0.0</v>
      </c>
      <c r="I11158" s="60">
        <v>18.589686</v>
      </c>
      <c r="J11158" s="59">
        <v>6.0</v>
      </c>
      <c r="K11158" s="61">
        <f t="shared" si="1"/>
        <v>0</v>
      </c>
      <c r="L11158" s="62">
        <f t="shared" si="2"/>
        <v>2</v>
      </c>
    </row>
    <row r="11159">
      <c r="A11159" s="58">
        <v>45017.0</v>
      </c>
      <c r="B11159" s="24" t="s">
        <v>6787</v>
      </c>
      <c r="C11159" s="24" t="s">
        <v>7651</v>
      </c>
      <c r="D11159" s="59">
        <v>2.0</v>
      </c>
      <c r="E11159" s="59">
        <v>6.0</v>
      </c>
      <c r="F11159" s="59">
        <v>1.0</v>
      </c>
      <c r="G11159" s="60">
        <v>3.0</v>
      </c>
      <c r="H11159" s="60">
        <v>0.0</v>
      </c>
      <c r="I11159" s="60">
        <v>528.360051833333</v>
      </c>
      <c r="J11159" s="59">
        <v>40.0</v>
      </c>
      <c r="K11159" s="61">
        <f t="shared" si="1"/>
        <v>0.1666666667</v>
      </c>
      <c r="L11159" s="62">
        <f t="shared" si="2"/>
        <v>6.666666667</v>
      </c>
    </row>
    <row r="11160">
      <c r="A11160" s="58">
        <v>45017.0</v>
      </c>
      <c r="B11160" s="24" t="s">
        <v>6787</v>
      </c>
      <c r="C11160" s="24" t="s">
        <v>7588</v>
      </c>
      <c r="D11160" s="59">
        <v>2.0</v>
      </c>
      <c r="E11160" s="59">
        <v>2.0</v>
      </c>
      <c r="F11160" s="59">
        <v>2.0</v>
      </c>
      <c r="G11160" s="60">
        <v>1.0</v>
      </c>
      <c r="H11160" s="60">
        <v>0.0</v>
      </c>
      <c r="I11160" s="60">
        <v>4.88760549999999</v>
      </c>
      <c r="J11160" s="59">
        <v>4.0</v>
      </c>
      <c r="K11160" s="61">
        <f t="shared" si="1"/>
        <v>1</v>
      </c>
      <c r="L11160" s="62">
        <f t="shared" si="2"/>
        <v>2</v>
      </c>
    </row>
    <row r="11161">
      <c r="A11161" s="58">
        <v>45017.0</v>
      </c>
      <c r="B11161" s="24" t="s">
        <v>7606</v>
      </c>
      <c r="C11161" s="24" t="s">
        <v>6921</v>
      </c>
      <c r="D11161" s="59">
        <v>2.0</v>
      </c>
      <c r="E11161" s="59">
        <v>2.0</v>
      </c>
      <c r="F11161" s="59">
        <v>0.0</v>
      </c>
      <c r="G11161" s="60">
        <v>2.0</v>
      </c>
      <c r="H11161" s="60">
        <v>0.5</v>
      </c>
      <c r="I11161" s="60">
        <v>0.581469</v>
      </c>
      <c r="J11161" s="59">
        <v>3.0</v>
      </c>
      <c r="K11161" s="61">
        <f t="shared" si="1"/>
        <v>0</v>
      </c>
      <c r="L11161" s="62">
        <f t="shared" si="2"/>
        <v>1.5</v>
      </c>
    </row>
    <row r="11162">
      <c r="A11162" s="58">
        <v>45017.0</v>
      </c>
      <c r="B11162" s="24" t="s">
        <v>6789</v>
      </c>
      <c r="C11162" s="24" t="s">
        <v>6921</v>
      </c>
      <c r="D11162" s="59">
        <v>2.0</v>
      </c>
      <c r="E11162" s="59">
        <v>2.0</v>
      </c>
      <c r="F11162" s="59">
        <v>0.0</v>
      </c>
      <c r="G11162" s="60">
        <v>1.0</v>
      </c>
      <c r="H11162" s="60">
        <v>0.0</v>
      </c>
      <c r="I11162" s="60">
        <v>46.1942315</v>
      </c>
      <c r="J11162" s="59">
        <v>6.0</v>
      </c>
      <c r="K11162" s="61">
        <f t="shared" si="1"/>
        <v>0</v>
      </c>
      <c r="L11162" s="62">
        <f t="shared" si="2"/>
        <v>3</v>
      </c>
    </row>
    <row r="11163">
      <c r="A11163" s="58">
        <v>45017.0</v>
      </c>
      <c r="B11163" s="24" t="s">
        <v>6787</v>
      </c>
      <c r="C11163" s="24" t="s">
        <v>6922</v>
      </c>
      <c r="D11163" s="59">
        <v>2.0</v>
      </c>
      <c r="E11163" s="59">
        <v>2.0</v>
      </c>
      <c r="F11163" s="59">
        <v>2.0</v>
      </c>
      <c r="G11163" s="60">
        <v>1.0</v>
      </c>
      <c r="H11163" s="60">
        <v>0.5</v>
      </c>
      <c r="I11163" s="60">
        <v>114.3783975</v>
      </c>
      <c r="J11163" s="59">
        <v>9.0</v>
      </c>
      <c r="K11163" s="61">
        <f t="shared" si="1"/>
        <v>1</v>
      </c>
      <c r="L11163" s="62">
        <f t="shared" si="2"/>
        <v>4.5</v>
      </c>
    </row>
    <row r="11164">
      <c r="A11164" s="58">
        <v>45017.0</v>
      </c>
      <c r="B11164" s="24" t="s">
        <v>3216</v>
      </c>
      <c r="C11164" s="27"/>
      <c r="D11164" s="59">
        <v>1.0</v>
      </c>
      <c r="E11164" s="59">
        <v>2.0</v>
      </c>
      <c r="F11164" s="59">
        <v>0.0</v>
      </c>
      <c r="G11164" s="60">
        <v>2.0</v>
      </c>
      <c r="H11164" s="60">
        <v>0.0</v>
      </c>
      <c r="I11164" s="60">
        <v>55.941832</v>
      </c>
      <c r="J11164" s="59">
        <v>12.0</v>
      </c>
      <c r="K11164" s="61">
        <f t="shared" si="1"/>
        <v>0</v>
      </c>
      <c r="L11164" s="62">
        <f t="shared" si="2"/>
        <v>6</v>
      </c>
    </row>
    <row r="11165">
      <c r="A11165" s="58">
        <v>45017.0</v>
      </c>
      <c r="B11165" s="24" t="s">
        <v>6942</v>
      </c>
      <c r="C11165" s="27"/>
      <c r="D11165" s="59">
        <v>1.0</v>
      </c>
      <c r="E11165" s="59">
        <v>1.0</v>
      </c>
      <c r="F11165" s="59">
        <v>1.0</v>
      </c>
      <c r="G11165" s="60">
        <v>1.0</v>
      </c>
      <c r="H11165" s="60">
        <v>0.0</v>
      </c>
      <c r="I11165" s="60">
        <v>5.073388</v>
      </c>
      <c r="J11165" s="59">
        <v>2.0</v>
      </c>
      <c r="K11165" s="61">
        <f t="shared" si="1"/>
        <v>1</v>
      </c>
      <c r="L11165" s="62">
        <f t="shared" si="2"/>
        <v>2</v>
      </c>
    </row>
    <row r="11166">
      <c r="A11166" s="58">
        <v>45017.0</v>
      </c>
      <c r="B11166" s="24" t="s">
        <v>7606</v>
      </c>
      <c r="C11166" s="24" t="s">
        <v>6792</v>
      </c>
      <c r="D11166" s="59">
        <v>1.0</v>
      </c>
      <c r="E11166" s="59">
        <v>1.0</v>
      </c>
      <c r="F11166" s="59">
        <v>0.0</v>
      </c>
      <c r="G11166" s="60">
        <v>1.0</v>
      </c>
      <c r="H11166" s="60">
        <v>1.0</v>
      </c>
      <c r="I11166" s="60">
        <v>0.0</v>
      </c>
      <c r="J11166" s="59">
        <v>0.0</v>
      </c>
      <c r="K11166" s="61">
        <f t="shared" si="1"/>
        <v>0</v>
      </c>
      <c r="L11166" s="62">
        <f t="shared" si="2"/>
        <v>0</v>
      </c>
    </row>
    <row r="11167">
      <c r="A11167" s="58">
        <v>45017.0</v>
      </c>
      <c r="B11167" s="24" t="s">
        <v>155</v>
      </c>
      <c r="C11167" s="24" t="s">
        <v>6803</v>
      </c>
      <c r="D11167" s="59">
        <v>1.0</v>
      </c>
      <c r="E11167" s="59">
        <v>1.0</v>
      </c>
      <c r="F11167" s="59">
        <v>0.0</v>
      </c>
      <c r="G11167" s="60">
        <v>1.0</v>
      </c>
      <c r="H11167" s="60">
        <v>0.0</v>
      </c>
      <c r="I11167" s="60">
        <v>6.212011</v>
      </c>
      <c r="J11167" s="59">
        <v>2.0</v>
      </c>
      <c r="K11167" s="61">
        <f t="shared" si="1"/>
        <v>0</v>
      </c>
      <c r="L11167" s="62">
        <f t="shared" si="2"/>
        <v>2</v>
      </c>
    </row>
    <row r="11168">
      <c r="A11168" s="58">
        <v>45017.0</v>
      </c>
      <c r="B11168" s="24" t="s">
        <v>6791</v>
      </c>
      <c r="C11168" s="24" t="s">
        <v>6817</v>
      </c>
      <c r="D11168" s="59">
        <v>1.0</v>
      </c>
      <c r="E11168" s="59">
        <v>1.0</v>
      </c>
      <c r="F11168" s="59">
        <v>0.0</v>
      </c>
      <c r="G11168" s="60">
        <v>1.0</v>
      </c>
      <c r="H11168" s="60">
        <v>0.0</v>
      </c>
      <c r="I11168" s="60">
        <v>979.855674</v>
      </c>
      <c r="J11168" s="59">
        <v>6.0</v>
      </c>
      <c r="K11168" s="61">
        <f t="shared" si="1"/>
        <v>0</v>
      </c>
      <c r="L11168" s="62">
        <f t="shared" si="2"/>
        <v>6</v>
      </c>
    </row>
    <row r="11169">
      <c r="A11169" s="58">
        <v>45017.0</v>
      </c>
      <c r="B11169" s="24" t="s">
        <v>155</v>
      </c>
      <c r="C11169" s="24" t="s">
        <v>6817</v>
      </c>
      <c r="D11169" s="59">
        <v>1.0</v>
      </c>
      <c r="E11169" s="59">
        <v>2.0</v>
      </c>
      <c r="F11169" s="59">
        <v>0.0</v>
      </c>
      <c r="G11169" s="60">
        <v>2.0</v>
      </c>
      <c r="H11169" s="60">
        <v>0.0</v>
      </c>
      <c r="I11169" s="60">
        <v>633.173425</v>
      </c>
      <c r="J11169" s="59">
        <v>20.0</v>
      </c>
      <c r="K11169" s="61">
        <f t="shared" si="1"/>
        <v>0</v>
      </c>
      <c r="L11169" s="62">
        <f t="shared" si="2"/>
        <v>10</v>
      </c>
    </row>
    <row r="11170">
      <c r="A11170" s="58">
        <v>45017.0</v>
      </c>
      <c r="B11170" s="24" t="s">
        <v>6794</v>
      </c>
      <c r="C11170" s="24" t="s">
        <v>7058</v>
      </c>
      <c r="D11170" s="59">
        <v>1.0</v>
      </c>
      <c r="E11170" s="59">
        <v>2.0</v>
      </c>
      <c r="F11170" s="59">
        <v>0.0</v>
      </c>
      <c r="G11170" s="60">
        <v>2.0</v>
      </c>
      <c r="H11170" s="60">
        <v>0.0</v>
      </c>
      <c r="I11170" s="60">
        <v>28.8116575</v>
      </c>
      <c r="J11170" s="59">
        <v>12.0</v>
      </c>
      <c r="K11170" s="61">
        <f t="shared" si="1"/>
        <v>0</v>
      </c>
      <c r="L11170" s="62">
        <f t="shared" si="2"/>
        <v>6</v>
      </c>
    </row>
    <row r="11171">
      <c r="A11171" s="58">
        <v>45017.0</v>
      </c>
      <c r="B11171" s="24" t="s">
        <v>6787</v>
      </c>
      <c r="C11171" s="24" t="s">
        <v>6861</v>
      </c>
      <c r="D11171" s="59">
        <v>1.0</v>
      </c>
      <c r="E11171" s="59">
        <v>1.0</v>
      </c>
      <c r="F11171" s="59">
        <v>1.0</v>
      </c>
      <c r="G11171" s="60">
        <v>1.0</v>
      </c>
      <c r="H11171" s="60">
        <v>0.0</v>
      </c>
      <c r="I11171" s="60">
        <v>183.607622</v>
      </c>
      <c r="J11171" s="59">
        <v>2.0</v>
      </c>
      <c r="K11171" s="61">
        <f t="shared" si="1"/>
        <v>1</v>
      </c>
      <c r="L11171" s="62">
        <f t="shared" si="2"/>
        <v>2</v>
      </c>
    </row>
    <row r="11172">
      <c r="A11172" s="58">
        <v>45017.0</v>
      </c>
      <c r="B11172" s="24" t="s">
        <v>6787</v>
      </c>
      <c r="C11172" s="24" t="s">
        <v>6833</v>
      </c>
      <c r="D11172" s="59">
        <v>1.0</v>
      </c>
      <c r="E11172" s="59">
        <v>1.0</v>
      </c>
      <c r="F11172" s="59">
        <v>0.0</v>
      </c>
      <c r="G11172" s="60">
        <v>1.0</v>
      </c>
      <c r="H11172" s="60">
        <v>0.0</v>
      </c>
      <c r="I11172" s="60">
        <v>807.3937</v>
      </c>
      <c r="J11172" s="59">
        <v>14.0</v>
      </c>
      <c r="K11172" s="61">
        <f t="shared" si="1"/>
        <v>0</v>
      </c>
      <c r="L11172" s="62">
        <f t="shared" si="2"/>
        <v>14</v>
      </c>
    </row>
    <row r="11173">
      <c r="A11173" s="58">
        <v>45017.0</v>
      </c>
      <c r="B11173" s="24" t="s">
        <v>6790</v>
      </c>
      <c r="C11173" s="24" t="s">
        <v>6833</v>
      </c>
      <c r="D11173" s="59">
        <v>1.0</v>
      </c>
      <c r="E11173" s="59">
        <v>1.0</v>
      </c>
      <c r="F11173" s="59">
        <v>1.0</v>
      </c>
      <c r="G11173" s="60">
        <v>1.0</v>
      </c>
      <c r="H11173" s="60">
        <v>0.0</v>
      </c>
      <c r="I11173" s="60">
        <v>4.840955</v>
      </c>
      <c r="J11173" s="59">
        <v>2.0</v>
      </c>
      <c r="K11173" s="61">
        <f t="shared" si="1"/>
        <v>1</v>
      </c>
      <c r="L11173" s="62">
        <f t="shared" si="2"/>
        <v>2</v>
      </c>
    </row>
    <row r="11174">
      <c r="A11174" s="58">
        <v>45017.0</v>
      </c>
      <c r="B11174" s="24" t="s">
        <v>6789</v>
      </c>
      <c r="C11174" s="24" t="s">
        <v>7064</v>
      </c>
      <c r="D11174" s="59">
        <v>1.0</v>
      </c>
      <c r="E11174" s="59">
        <v>1.0</v>
      </c>
      <c r="F11174" s="59">
        <v>1.0</v>
      </c>
      <c r="G11174" s="60">
        <v>1.0</v>
      </c>
      <c r="H11174" s="60">
        <v>0.0</v>
      </c>
      <c r="I11174" s="60">
        <v>833.825382</v>
      </c>
      <c r="J11174" s="59">
        <v>2.0</v>
      </c>
      <c r="K11174" s="61">
        <f t="shared" si="1"/>
        <v>1</v>
      </c>
      <c r="L11174" s="62">
        <f t="shared" si="2"/>
        <v>2</v>
      </c>
    </row>
    <row r="11175">
      <c r="A11175" s="58">
        <v>45017.0</v>
      </c>
      <c r="B11175" s="24" t="s">
        <v>6787</v>
      </c>
      <c r="C11175" s="24" t="s">
        <v>7065</v>
      </c>
      <c r="D11175" s="59">
        <v>1.0</v>
      </c>
      <c r="E11175" s="59">
        <v>1.0</v>
      </c>
      <c r="F11175" s="59">
        <v>1.0</v>
      </c>
      <c r="G11175" s="60">
        <v>1.0</v>
      </c>
      <c r="H11175" s="60">
        <v>0.0</v>
      </c>
      <c r="I11175" s="60">
        <v>63.62757</v>
      </c>
      <c r="J11175" s="59">
        <v>2.0</v>
      </c>
      <c r="K11175" s="61">
        <f t="shared" si="1"/>
        <v>1</v>
      </c>
      <c r="L11175" s="62">
        <f t="shared" si="2"/>
        <v>2</v>
      </c>
    </row>
    <row r="11176">
      <c r="A11176" s="58">
        <v>45017.0</v>
      </c>
      <c r="B11176" s="24" t="s">
        <v>6794</v>
      </c>
      <c r="C11176" s="24" t="s">
        <v>7065</v>
      </c>
      <c r="D11176" s="59">
        <v>1.0</v>
      </c>
      <c r="E11176" s="59">
        <v>4.0</v>
      </c>
      <c r="F11176" s="59">
        <v>0.0</v>
      </c>
      <c r="G11176" s="60">
        <v>4.0</v>
      </c>
      <c r="H11176" s="60">
        <v>0.0</v>
      </c>
      <c r="I11176" s="60">
        <v>2.49611</v>
      </c>
      <c r="J11176" s="59">
        <v>8.0</v>
      </c>
      <c r="K11176" s="61">
        <f t="shared" si="1"/>
        <v>0</v>
      </c>
      <c r="L11176" s="62">
        <f t="shared" si="2"/>
        <v>2</v>
      </c>
    </row>
    <row r="11177">
      <c r="A11177" s="58">
        <v>45017.0</v>
      </c>
      <c r="B11177" s="24" t="s">
        <v>155</v>
      </c>
      <c r="C11177" s="24" t="s">
        <v>7065</v>
      </c>
      <c r="D11177" s="59">
        <v>1.0</v>
      </c>
      <c r="E11177" s="59">
        <v>1.0</v>
      </c>
      <c r="F11177" s="59">
        <v>0.0</v>
      </c>
      <c r="G11177" s="60">
        <v>1.0</v>
      </c>
      <c r="H11177" s="60">
        <v>0.0</v>
      </c>
      <c r="I11177" s="60">
        <v>4.850292</v>
      </c>
      <c r="J11177" s="59">
        <v>2.0</v>
      </c>
      <c r="K11177" s="61">
        <f t="shared" si="1"/>
        <v>0</v>
      </c>
      <c r="L11177" s="62">
        <f t="shared" si="2"/>
        <v>2</v>
      </c>
    </row>
    <row r="11178">
      <c r="A11178" s="58">
        <v>45017.0</v>
      </c>
      <c r="B11178" s="24" t="s">
        <v>6787</v>
      </c>
      <c r="C11178" s="24" t="s">
        <v>6989</v>
      </c>
      <c r="D11178" s="59">
        <v>1.0</v>
      </c>
      <c r="E11178" s="59">
        <v>1.0</v>
      </c>
      <c r="F11178" s="59">
        <v>1.0</v>
      </c>
      <c r="G11178" s="60">
        <v>1.0</v>
      </c>
      <c r="H11178" s="60">
        <v>0.0</v>
      </c>
      <c r="I11178" s="60">
        <v>5.501648</v>
      </c>
      <c r="J11178" s="59">
        <v>2.0</v>
      </c>
      <c r="K11178" s="61">
        <f t="shared" si="1"/>
        <v>1</v>
      </c>
      <c r="L11178" s="62">
        <f t="shared" si="2"/>
        <v>2</v>
      </c>
    </row>
    <row r="11179">
      <c r="A11179" s="58">
        <v>45017.0</v>
      </c>
      <c r="B11179" s="24" t="s">
        <v>6794</v>
      </c>
      <c r="C11179" s="24" t="s">
        <v>6989</v>
      </c>
      <c r="D11179" s="59">
        <v>1.0</v>
      </c>
      <c r="E11179" s="59">
        <v>1.0</v>
      </c>
      <c r="F11179" s="59">
        <v>1.0</v>
      </c>
      <c r="G11179" s="60">
        <v>1.0</v>
      </c>
      <c r="H11179" s="60">
        <v>0.0</v>
      </c>
      <c r="I11179" s="60">
        <v>4.969713</v>
      </c>
      <c r="J11179" s="59">
        <v>2.0</v>
      </c>
      <c r="K11179" s="61">
        <f t="shared" si="1"/>
        <v>1</v>
      </c>
      <c r="L11179" s="62">
        <f t="shared" si="2"/>
        <v>2</v>
      </c>
    </row>
    <row r="11180">
      <c r="A11180" s="58">
        <v>45017.0</v>
      </c>
      <c r="B11180" s="24" t="s">
        <v>155</v>
      </c>
      <c r="C11180" s="24" t="s">
        <v>6989</v>
      </c>
      <c r="D11180" s="59">
        <v>1.0</v>
      </c>
      <c r="E11180" s="59">
        <v>1.0</v>
      </c>
      <c r="F11180" s="59">
        <v>0.0</v>
      </c>
      <c r="G11180" s="60">
        <v>1.0</v>
      </c>
      <c r="H11180" s="60">
        <v>0.0</v>
      </c>
      <c r="I11180" s="60">
        <v>16.40505</v>
      </c>
      <c r="J11180" s="59">
        <v>6.0</v>
      </c>
      <c r="K11180" s="61">
        <f t="shared" si="1"/>
        <v>0</v>
      </c>
      <c r="L11180" s="62">
        <f t="shared" si="2"/>
        <v>6</v>
      </c>
    </row>
    <row r="11181">
      <c r="A11181" s="58">
        <v>45017.0</v>
      </c>
      <c r="B11181" s="24" t="s">
        <v>6794</v>
      </c>
      <c r="C11181" s="24" t="s">
        <v>6990</v>
      </c>
      <c r="D11181" s="59">
        <v>1.0</v>
      </c>
      <c r="E11181" s="59">
        <v>1.0</v>
      </c>
      <c r="F11181" s="59">
        <v>0.0</v>
      </c>
      <c r="G11181" s="60">
        <v>1.0</v>
      </c>
      <c r="H11181" s="60">
        <v>0.0</v>
      </c>
      <c r="I11181" s="60">
        <v>622.492497</v>
      </c>
      <c r="J11181" s="59">
        <v>6.0</v>
      </c>
      <c r="K11181" s="61">
        <f t="shared" si="1"/>
        <v>0</v>
      </c>
      <c r="L11181" s="62">
        <f t="shared" si="2"/>
        <v>6</v>
      </c>
    </row>
    <row r="11182">
      <c r="A11182" s="58">
        <v>45017.0</v>
      </c>
      <c r="B11182" s="24" t="s">
        <v>6790</v>
      </c>
      <c r="C11182" s="24" t="s">
        <v>7068</v>
      </c>
      <c r="D11182" s="59">
        <v>1.0</v>
      </c>
      <c r="E11182" s="59">
        <v>2.0</v>
      </c>
      <c r="F11182" s="59">
        <v>0.0</v>
      </c>
      <c r="G11182" s="60">
        <v>2.0</v>
      </c>
      <c r="H11182" s="60">
        <v>0.0</v>
      </c>
      <c r="I11182" s="60">
        <v>181.0247445</v>
      </c>
      <c r="J11182" s="59">
        <v>4.0</v>
      </c>
      <c r="K11182" s="61">
        <f t="shared" si="1"/>
        <v>0</v>
      </c>
      <c r="L11182" s="62">
        <f t="shared" si="2"/>
        <v>2</v>
      </c>
    </row>
    <row r="11183">
      <c r="A11183" s="58">
        <v>45017.0</v>
      </c>
      <c r="B11183" s="24" t="s">
        <v>6790</v>
      </c>
      <c r="C11183" s="24" t="s">
        <v>6835</v>
      </c>
      <c r="D11183" s="59">
        <v>1.0</v>
      </c>
      <c r="E11183" s="59">
        <v>1.0</v>
      </c>
      <c r="F11183" s="59">
        <v>1.0</v>
      </c>
      <c r="G11183" s="60">
        <v>1.0</v>
      </c>
      <c r="H11183" s="60">
        <v>0.0</v>
      </c>
      <c r="I11183" s="60">
        <v>4.868486</v>
      </c>
      <c r="J11183" s="59">
        <v>3.0</v>
      </c>
      <c r="K11183" s="61">
        <f t="shared" si="1"/>
        <v>1</v>
      </c>
      <c r="L11183" s="62">
        <f t="shared" si="2"/>
        <v>3</v>
      </c>
    </row>
    <row r="11184">
      <c r="A11184" s="58">
        <v>45017.0</v>
      </c>
      <c r="B11184" s="24" t="s">
        <v>6787</v>
      </c>
      <c r="C11184" s="24" t="s">
        <v>6991</v>
      </c>
      <c r="D11184" s="59">
        <v>1.0</v>
      </c>
      <c r="E11184" s="59">
        <v>1.0</v>
      </c>
      <c r="F11184" s="59">
        <v>1.0</v>
      </c>
      <c r="G11184" s="60">
        <v>1.0</v>
      </c>
      <c r="H11184" s="60">
        <v>0.0</v>
      </c>
      <c r="I11184" s="60">
        <v>38.791086</v>
      </c>
      <c r="J11184" s="59">
        <v>2.0</v>
      </c>
      <c r="K11184" s="61">
        <f t="shared" si="1"/>
        <v>1</v>
      </c>
      <c r="L11184" s="62">
        <f t="shared" si="2"/>
        <v>2</v>
      </c>
    </row>
    <row r="11185">
      <c r="A11185" s="58">
        <v>45017.0</v>
      </c>
      <c r="B11185" s="24" t="s">
        <v>6789</v>
      </c>
      <c r="C11185" s="24" t="s">
        <v>6991</v>
      </c>
      <c r="D11185" s="59">
        <v>1.0</v>
      </c>
      <c r="E11185" s="59">
        <v>1.0</v>
      </c>
      <c r="F11185" s="59">
        <v>0.0</v>
      </c>
      <c r="G11185" s="60">
        <v>1.0</v>
      </c>
      <c r="H11185" s="60">
        <v>0.0</v>
      </c>
      <c r="I11185" s="60">
        <v>4.968931</v>
      </c>
      <c r="J11185" s="59">
        <v>2.0</v>
      </c>
      <c r="K11185" s="61">
        <f t="shared" si="1"/>
        <v>0</v>
      </c>
      <c r="L11185" s="62">
        <f t="shared" si="2"/>
        <v>2</v>
      </c>
    </row>
    <row r="11186">
      <c r="A11186" s="58">
        <v>45017.0</v>
      </c>
      <c r="B11186" s="24" t="s">
        <v>6787</v>
      </c>
      <c r="C11186" s="24" t="s">
        <v>7630</v>
      </c>
      <c r="D11186" s="59">
        <v>1.0</v>
      </c>
      <c r="E11186" s="59">
        <v>1.0</v>
      </c>
      <c r="F11186" s="59">
        <v>0.0</v>
      </c>
      <c r="G11186" s="60">
        <v>1.0</v>
      </c>
      <c r="H11186" s="60">
        <v>0.0</v>
      </c>
      <c r="I11186" s="60">
        <v>560.340077</v>
      </c>
      <c r="J11186" s="59">
        <v>2.0</v>
      </c>
      <c r="K11186" s="61">
        <f t="shared" si="1"/>
        <v>0</v>
      </c>
      <c r="L11186" s="62">
        <f t="shared" si="2"/>
        <v>2</v>
      </c>
    </row>
    <row r="11187">
      <c r="A11187" s="58">
        <v>45017.0</v>
      </c>
      <c r="B11187" s="24" t="s">
        <v>155</v>
      </c>
      <c r="C11187" s="24" t="s">
        <v>7464</v>
      </c>
      <c r="D11187" s="59">
        <v>1.0</v>
      </c>
      <c r="E11187" s="59">
        <v>1.0</v>
      </c>
      <c r="F11187" s="59">
        <v>0.0</v>
      </c>
      <c r="G11187" s="60">
        <v>1.0</v>
      </c>
      <c r="H11187" s="60">
        <v>0.0</v>
      </c>
      <c r="I11187" s="60">
        <v>4.68191</v>
      </c>
      <c r="J11187" s="59">
        <v>2.0</v>
      </c>
      <c r="K11187" s="61">
        <f t="shared" si="1"/>
        <v>0</v>
      </c>
      <c r="L11187" s="62">
        <f t="shared" si="2"/>
        <v>2</v>
      </c>
    </row>
    <row r="11188">
      <c r="A11188" s="58">
        <v>45017.0</v>
      </c>
      <c r="B11188" s="24" t="s">
        <v>3216</v>
      </c>
      <c r="C11188" s="24" t="s">
        <v>6994</v>
      </c>
      <c r="D11188" s="59">
        <v>1.0</v>
      </c>
      <c r="E11188" s="59">
        <v>1.0</v>
      </c>
      <c r="F11188" s="59">
        <v>0.0</v>
      </c>
      <c r="G11188" s="60">
        <v>1.0</v>
      </c>
      <c r="H11188" s="60">
        <v>0.0</v>
      </c>
      <c r="I11188" s="60">
        <v>470.009289</v>
      </c>
      <c r="J11188" s="59">
        <v>4.0</v>
      </c>
      <c r="K11188" s="61">
        <f t="shared" si="1"/>
        <v>0</v>
      </c>
      <c r="L11188" s="62">
        <f t="shared" si="2"/>
        <v>4</v>
      </c>
    </row>
    <row r="11189">
      <c r="A11189" s="58">
        <v>45017.0</v>
      </c>
      <c r="B11189" s="24" t="s">
        <v>3216</v>
      </c>
      <c r="C11189" s="24" t="s">
        <v>6886</v>
      </c>
      <c r="D11189" s="59">
        <v>1.0</v>
      </c>
      <c r="E11189" s="59">
        <v>1.0</v>
      </c>
      <c r="F11189" s="59">
        <v>0.0</v>
      </c>
      <c r="G11189" s="60">
        <v>1.0</v>
      </c>
      <c r="H11189" s="60">
        <v>0.0</v>
      </c>
      <c r="I11189" s="60">
        <v>22.304601</v>
      </c>
      <c r="J11189" s="59">
        <v>2.0</v>
      </c>
      <c r="K11189" s="61">
        <f t="shared" si="1"/>
        <v>0</v>
      </c>
      <c r="L11189" s="62">
        <f t="shared" si="2"/>
        <v>2</v>
      </c>
    </row>
    <row r="11190">
      <c r="A11190" s="58">
        <v>45017.0</v>
      </c>
      <c r="B11190" s="24" t="s">
        <v>6790</v>
      </c>
      <c r="C11190" s="24" t="s">
        <v>6886</v>
      </c>
      <c r="D11190" s="59">
        <v>1.0</v>
      </c>
      <c r="E11190" s="59">
        <v>1.0</v>
      </c>
      <c r="F11190" s="59">
        <v>0.0</v>
      </c>
      <c r="G11190" s="60">
        <v>1.0</v>
      </c>
      <c r="H11190" s="60">
        <v>0.0</v>
      </c>
      <c r="I11190" s="60">
        <v>1706.751329</v>
      </c>
      <c r="J11190" s="59">
        <v>6.0</v>
      </c>
      <c r="K11190" s="61">
        <f t="shared" si="1"/>
        <v>0</v>
      </c>
      <c r="L11190" s="62">
        <f t="shared" si="2"/>
        <v>6</v>
      </c>
    </row>
    <row r="11191">
      <c r="A11191" s="58">
        <v>45017.0</v>
      </c>
      <c r="B11191" s="24" t="s">
        <v>6794</v>
      </c>
      <c r="C11191" s="24" t="s">
        <v>6892</v>
      </c>
      <c r="D11191" s="59">
        <v>1.0</v>
      </c>
      <c r="E11191" s="59">
        <v>1.0</v>
      </c>
      <c r="F11191" s="59">
        <v>0.0</v>
      </c>
      <c r="G11191" s="60">
        <v>1.0</v>
      </c>
      <c r="H11191" s="60">
        <v>0.0</v>
      </c>
      <c r="I11191" s="60">
        <v>5.801028</v>
      </c>
      <c r="J11191" s="59">
        <v>2.0</v>
      </c>
      <c r="K11191" s="61">
        <f t="shared" si="1"/>
        <v>0</v>
      </c>
      <c r="L11191" s="62">
        <f t="shared" si="2"/>
        <v>2</v>
      </c>
    </row>
    <row r="11192">
      <c r="A11192" s="58">
        <v>45017.0</v>
      </c>
      <c r="B11192" s="24" t="s">
        <v>6791</v>
      </c>
      <c r="C11192" s="24" t="s">
        <v>6892</v>
      </c>
      <c r="D11192" s="59">
        <v>1.0</v>
      </c>
      <c r="E11192" s="59">
        <v>1.0</v>
      </c>
      <c r="F11192" s="59">
        <v>1.0</v>
      </c>
      <c r="G11192" s="60">
        <v>1.0</v>
      </c>
      <c r="H11192" s="60">
        <v>0.0</v>
      </c>
      <c r="I11192" s="60">
        <v>111.366307</v>
      </c>
      <c r="J11192" s="59">
        <v>2.0</v>
      </c>
      <c r="K11192" s="61">
        <f t="shared" si="1"/>
        <v>1</v>
      </c>
      <c r="L11192" s="62">
        <f t="shared" si="2"/>
        <v>2</v>
      </c>
    </row>
    <row r="11193">
      <c r="A11193" s="58">
        <v>45017.0</v>
      </c>
      <c r="B11193" s="24" t="s">
        <v>6787</v>
      </c>
      <c r="C11193" s="24" t="s">
        <v>7652</v>
      </c>
      <c r="D11193" s="59">
        <v>1.0</v>
      </c>
      <c r="E11193" s="59">
        <v>1.0</v>
      </c>
      <c r="F11193" s="59">
        <v>1.0</v>
      </c>
      <c r="G11193" s="60">
        <v>1.0</v>
      </c>
      <c r="H11193" s="60">
        <v>0.0</v>
      </c>
      <c r="I11193" s="60">
        <v>0.001597</v>
      </c>
      <c r="J11193" s="59">
        <v>2.0</v>
      </c>
      <c r="K11193" s="61">
        <f t="shared" si="1"/>
        <v>1</v>
      </c>
      <c r="L11193" s="62">
        <f t="shared" si="2"/>
        <v>2</v>
      </c>
    </row>
    <row r="11194">
      <c r="A11194" s="58">
        <v>45017.0</v>
      </c>
      <c r="B11194" s="24" t="s">
        <v>6787</v>
      </c>
      <c r="C11194" s="24" t="s">
        <v>7635</v>
      </c>
      <c r="D11194" s="59">
        <v>1.0</v>
      </c>
      <c r="E11194" s="59">
        <v>1.0</v>
      </c>
      <c r="F11194" s="59">
        <v>1.0</v>
      </c>
      <c r="G11194" s="60">
        <v>1.0</v>
      </c>
      <c r="H11194" s="60">
        <v>0.0</v>
      </c>
      <c r="I11194" s="60">
        <v>263.514655</v>
      </c>
      <c r="J11194" s="59">
        <v>14.0</v>
      </c>
      <c r="K11194" s="61">
        <f t="shared" si="1"/>
        <v>1</v>
      </c>
      <c r="L11194" s="62">
        <f t="shared" si="2"/>
        <v>14</v>
      </c>
    </row>
    <row r="11195">
      <c r="A11195" s="58">
        <v>45017.0</v>
      </c>
      <c r="B11195" s="24" t="s">
        <v>6789</v>
      </c>
      <c r="C11195" s="24" t="s">
        <v>7206</v>
      </c>
      <c r="D11195" s="59">
        <v>1.0</v>
      </c>
      <c r="E11195" s="59">
        <v>1.0</v>
      </c>
      <c r="F11195" s="59">
        <v>1.0</v>
      </c>
      <c r="G11195" s="60">
        <v>1.0</v>
      </c>
      <c r="H11195" s="60">
        <v>0.0</v>
      </c>
      <c r="I11195" s="60">
        <v>2.225757</v>
      </c>
      <c r="J11195" s="59">
        <v>2.0</v>
      </c>
      <c r="K11195" s="61">
        <f t="shared" si="1"/>
        <v>1</v>
      </c>
      <c r="L11195" s="62">
        <f t="shared" si="2"/>
        <v>2</v>
      </c>
    </row>
    <row r="11196">
      <c r="A11196" s="58">
        <v>45017.0</v>
      </c>
      <c r="B11196" s="24" t="s">
        <v>3216</v>
      </c>
      <c r="C11196" s="24" t="s">
        <v>7227</v>
      </c>
      <c r="D11196" s="59">
        <v>1.0</v>
      </c>
      <c r="E11196" s="59">
        <v>2.0</v>
      </c>
      <c r="F11196" s="59">
        <v>0.0</v>
      </c>
      <c r="G11196" s="60">
        <v>2.0</v>
      </c>
      <c r="H11196" s="60">
        <v>0.0</v>
      </c>
      <c r="I11196" s="60">
        <v>69.945095</v>
      </c>
      <c r="J11196" s="59">
        <v>6.0</v>
      </c>
      <c r="K11196" s="61">
        <f t="shared" si="1"/>
        <v>0</v>
      </c>
      <c r="L11196" s="62">
        <f t="shared" si="2"/>
        <v>3</v>
      </c>
    </row>
    <row r="11197">
      <c r="A11197" s="58">
        <v>45017.0</v>
      </c>
      <c r="B11197" s="24" t="s">
        <v>6789</v>
      </c>
      <c r="C11197" s="24" t="s">
        <v>7227</v>
      </c>
      <c r="D11197" s="59">
        <v>1.0</v>
      </c>
      <c r="E11197" s="59">
        <v>1.0</v>
      </c>
      <c r="F11197" s="59">
        <v>0.0</v>
      </c>
      <c r="G11197" s="60">
        <v>1.0</v>
      </c>
      <c r="H11197" s="60">
        <v>0.0</v>
      </c>
      <c r="I11197" s="60">
        <v>1075.316783</v>
      </c>
      <c r="J11197" s="59">
        <v>8.0</v>
      </c>
      <c r="K11197" s="61">
        <f t="shared" si="1"/>
        <v>0</v>
      </c>
      <c r="L11197" s="62">
        <f t="shared" si="2"/>
        <v>8</v>
      </c>
    </row>
    <row r="11198">
      <c r="A11198" s="58">
        <v>45017.0</v>
      </c>
      <c r="B11198" s="24" t="s">
        <v>6790</v>
      </c>
      <c r="C11198" s="24" t="s">
        <v>7554</v>
      </c>
      <c r="D11198" s="59">
        <v>1.0</v>
      </c>
      <c r="E11198" s="59">
        <v>1.0</v>
      </c>
      <c r="F11198" s="59">
        <v>0.0</v>
      </c>
      <c r="G11198" s="60">
        <v>1.0</v>
      </c>
      <c r="H11198" s="60">
        <v>0.0</v>
      </c>
      <c r="I11198" s="60">
        <v>25.530291</v>
      </c>
      <c r="J11198" s="59">
        <v>4.0</v>
      </c>
      <c r="K11198" s="61">
        <f t="shared" si="1"/>
        <v>0</v>
      </c>
      <c r="L11198" s="62">
        <f t="shared" si="2"/>
        <v>4</v>
      </c>
    </row>
    <row r="11199">
      <c r="A11199" s="58">
        <v>45017.0</v>
      </c>
      <c r="B11199" s="24" t="s">
        <v>6794</v>
      </c>
      <c r="C11199" s="24" t="s">
        <v>7653</v>
      </c>
      <c r="D11199" s="59">
        <v>1.0</v>
      </c>
      <c r="E11199" s="59">
        <v>1.0</v>
      </c>
      <c r="F11199" s="59">
        <v>0.0</v>
      </c>
      <c r="G11199" s="60">
        <v>1.0</v>
      </c>
      <c r="H11199" s="60">
        <v>0.0</v>
      </c>
      <c r="I11199" s="60">
        <v>4.994012</v>
      </c>
      <c r="J11199" s="59">
        <v>2.0</v>
      </c>
      <c r="K11199" s="61">
        <f t="shared" si="1"/>
        <v>0</v>
      </c>
      <c r="L11199" s="62">
        <f t="shared" si="2"/>
        <v>2</v>
      </c>
    </row>
    <row r="11200">
      <c r="A11200" s="58">
        <v>45017.0</v>
      </c>
      <c r="B11200" s="24" t="s">
        <v>6787</v>
      </c>
      <c r="C11200" s="24" t="s">
        <v>6907</v>
      </c>
      <c r="D11200" s="59">
        <v>1.0</v>
      </c>
      <c r="E11200" s="59">
        <v>1.0</v>
      </c>
      <c r="F11200" s="59">
        <v>1.0</v>
      </c>
      <c r="G11200" s="60">
        <v>1.0</v>
      </c>
      <c r="H11200" s="60">
        <v>0.0</v>
      </c>
      <c r="I11200" s="60">
        <v>32.148544</v>
      </c>
      <c r="J11200" s="59">
        <v>2.0</v>
      </c>
      <c r="K11200" s="61">
        <f t="shared" si="1"/>
        <v>1</v>
      </c>
      <c r="L11200" s="62">
        <f t="shared" si="2"/>
        <v>2</v>
      </c>
    </row>
    <row r="11201">
      <c r="A11201" s="58">
        <v>45017.0</v>
      </c>
      <c r="B11201" s="24" t="s">
        <v>6794</v>
      </c>
      <c r="C11201" s="24" t="s">
        <v>6808</v>
      </c>
      <c r="D11201" s="59">
        <v>1.0</v>
      </c>
      <c r="E11201" s="59">
        <v>1.0</v>
      </c>
      <c r="F11201" s="59">
        <v>0.0</v>
      </c>
      <c r="G11201" s="60">
        <v>1.0</v>
      </c>
      <c r="H11201" s="60">
        <v>0.0</v>
      </c>
      <c r="I11201" s="60">
        <v>11.314668</v>
      </c>
      <c r="J11201" s="59">
        <v>4.0</v>
      </c>
      <c r="K11201" s="61">
        <f t="shared" si="1"/>
        <v>0</v>
      </c>
      <c r="L11201" s="62">
        <f t="shared" si="2"/>
        <v>4</v>
      </c>
    </row>
    <row r="11202">
      <c r="A11202" s="58">
        <v>45017.0</v>
      </c>
      <c r="B11202" s="24" t="s">
        <v>155</v>
      </c>
      <c r="C11202" s="24" t="s">
        <v>6808</v>
      </c>
      <c r="D11202" s="59">
        <v>1.0</v>
      </c>
      <c r="E11202" s="59">
        <v>1.0</v>
      </c>
      <c r="F11202" s="59">
        <v>0.0</v>
      </c>
      <c r="G11202" s="60">
        <v>1.0</v>
      </c>
      <c r="H11202" s="60">
        <v>0.0</v>
      </c>
      <c r="I11202" s="60">
        <v>820.584711</v>
      </c>
      <c r="J11202" s="59">
        <v>12.0</v>
      </c>
      <c r="K11202" s="61">
        <f t="shared" si="1"/>
        <v>0</v>
      </c>
      <c r="L11202" s="62">
        <f t="shared" si="2"/>
        <v>12</v>
      </c>
    </row>
    <row r="11203">
      <c r="A11203" s="58">
        <v>45017.0</v>
      </c>
      <c r="B11203" s="24" t="s">
        <v>6787</v>
      </c>
      <c r="C11203" s="24" t="s">
        <v>7087</v>
      </c>
      <c r="D11203" s="59">
        <v>1.0</v>
      </c>
      <c r="E11203" s="59">
        <v>1.0</v>
      </c>
      <c r="F11203" s="59">
        <v>0.0</v>
      </c>
      <c r="G11203" s="60">
        <v>1.0</v>
      </c>
      <c r="H11203" s="60">
        <v>0.0</v>
      </c>
      <c r="I11203" s="60">
        <v>1413.213531</v>
      </c>
      <c r="J11203" s="59">
        <v>6.0</v>
      </c>
      <c r="K11203" s="61">
        <f t="shared" si="1"/>
        <v>0</v>
      </c>
      <c r="L11203" s="62">
        <f t="shared" si="2"/>
        <v>6</v>
      </c>
    </row>
    <row r="11204">
      <c r="A11204" s="58">
        <v>45017.0</v>
      </c>
      <c r="B11204" s="24" t="s">
        <v>3216</v>
      </c>
      <c r="C11204" s="24" t="s">
        <v>6800</v>
      </c>
      <c r="D11204" s="59">
        <v>1.0</v>
      </c>
      <c r="E11204" s="59">
        <v>1.0</v>
      </c>
      <c r="F11204" s="59">
        <v>0.0</v>
      </c>
      <c r="G11204" s="60">
        <v>1.0</v>
      </c>
      <c r="H11204" s="60">
        <v>0.0</v>
      </c>
      <c r="I11204" s="60">
        <v>5.869201</v>
      </c>
      <c r="J11204" s="59">
        <v>2.0</v>
      </c>
      <c r="K11204" s="61">
        <f t="shared" si="1"/>
        <v>0</v>
      </c>
      <c r="L11204" s="62">
        <f t="shared" si="2"/>
        <v>2</v>
      </c>
    </row>
    <row r="11205">
      <c r="A11205" s="58">
        <v>45017.0</v>
      </c>
      <c r="B11205" s="24" t="s">
        <v>6789</v>
      </c>
      <c r="C11205" s="24" t="s">
        <v>6800</v>
      </c>
      <c r="D11205" s="59">
        <v>1.0</v>
      </c>
      <c r="E11205" s="59">
        <v>1.0</v>
      </c>
      <c r="F11205" s="59">
        <v>1.0</v>
      </c>
      <c r="G11205" s="60">
        <v>1.0</v>
      </c>
      <c r="H11205" s="60">
        <v>0.0</v>
      </c>
      <c r="I11205" s="60">
        <v>1355.335518</v>
      </c>
      <c r="J11205" s="59">
        <v>4.0</v>
      </c>
      <c r="K11205" s="61">
        <f t="shared" si="1"/>
        <v>1</v>
      </c>
      <c r="L11205" s="62">
        <f t="shared" si="2"/>
        <v>4</v>
      </c>
    </row>
    <row r="11206">
      <c r="A11206" s="58">
        <v>45017.0</v>
      </c>
      <c r="B11206" s="24" t="s">
        <v>7100</v>
      </c>
      <c r="C11206" s="24" t="s">
        <v>7101</v>
      </c>
      <c r="D11206" s="59">
        <v>1.0</v>
      </c>
      <c r="E11206" s="59">
        <v>2.0</v>
      </c>
      <c r="F11206" s="59">
        <v>0.0</v>
      </c>
      <c r="G11206" s="60">
        <v>2.0</v>
      </c>
      <c r="H11206" s="60">
        <v>0.0</v>
      </c>
      <c r="I11206" s="60">
        <v>5.194945</v>
      </c>
      <c r="J11206" s="59">
        <v>4.0</v>
      </c>
      <c r="K11206" s="61">
        <f t="shared" si="1"/>
        <v>0</v>
      </c>
      <c r="L11206" s="62">
        <f t="shared" si="2"/>
        <v>2</v>
      </c>
    </row>
    <row r="11207">
      <c r="A11207" s="58">
        <v>45017.0</v>
      </c>
      <c r="B11207" s="24" t="s">
        <v>6794</v>
      </c>
      <c r="C11207" s="24" t="s">
        <v>7313</v>
      </c>
      <c r="D11207" s="59">
        <v>1.0</v>
      </c>
      <c r="E11207" s="59">
        <v>1.0</v>
      </c>
      <c r="F11207" s="59">
        <v>0.0</v>
      </c>
      <c r="G11207" s="60">
        <v>1.0</v>
      </c>
      <c r="H11207" s="60">
        <v>0.0</v>
      </c>
      <c r="I11207" s="60">
        <v>109.980456</v>
      </c>
      <c r="J11207" s="59">
        <v>2.0</v>
      </c>
      <c r="K11207" s="61">
        <f t="shared" si="1"/>
        <v>0</v>
      </c>
      <c r="L11207" s="62">
        <f t="shared" si="2"/>
        <v>2</v>
      </c>
    </row>
    <row r="11208">
      <c r="A11208" s="58">
        <v>45017.0</v>
      </c>
      <c r="B11208" s="24" t="s">
        <v>6791</v>
      </c>
      <c r="C11208" s="24" t="s">
        <v>7313</v>
      </c>
      <c r="D11208" s="59">
        <v>1.0</v>
      </c>
      <c r="E11208" s="59">
        <v>1.0</v>
      </c>
      <c r="F11208" s="59">
        <v>1.0</v>
      </c>
      <c r="G11208" s="60">
        <v>1.0</v>
      </c>
      <c r="H11208" s="60">
        <v>0.0</v>
      </c>
      <c r="I11208" s="60">
        <v>183.782188</v>
      </c>
      <c r="J11208" s="59">
        <v>2.0</v>
      </c>
      <c r="K11208" s="61">
        <f t="shared" si="1"/>
        <v>1</v>
      </c>
      <c r="L11208" s="62">
        <f t="shared" si="2"/>
        <v>2</v>
      </c>
    </row>
    <row r="11209">
      <c r="A11209" s="58">
        <v>45017.0</v>
      </c>
      <c r="B11209" s="24" t="s">
        <v>6787</v>
      </c>
      <c r="C11209" s="24" t="s">
        <v>6801</v>
      </c>
      <c r="D11209" s="59">
        <v>1.0</v>
      </c>
      <c r="E11209" s="59">
        <v>1.0</v>
      </c>
      <c r="F11209" s="59">
        <v>0.0</v>
      </c>
      <c r="G11209" s="60">
        <v>1.0</v>
      </c>
      <c r="H11209" s="60">
        <v>0.0</v>
      </c>
      <c r="I11209" s="60">
        <v>186.087768</v>
      </c>
      <c r="J11209" s="59">
        <v>10.0</v>
      </c>
      <c r="K11209" s="61">
        <f t="shared" si="1"/>
        <v>0</v>
      </c>
      <c r="L11209" s="62">
        <f t="shared" si="2"/>
        <v>10</v>
      </c>
    </row>
    <row r="11210">
      <c r="A11210" s="58">
        <v>45017.0</v>
      </c>
      <c r="B11210" s="24" t="s">
        <v>155</v>
      </c>
      <c r="C11210" s="24" t="s">
        <v>7650</v>
      </c>
      <c r="D11210" s="59">
        <v>1.0</v>
      </c>
      <c r="E11210" s="59">
        <v>1.0</v>
      </c>
      <c r="F11210" s="59">
        <v>0.0</v>
      </c>
      <c r="G11210" s="60">
        <v>1.0</v>
      </c>
      <c r="H11210" s="60">
        <v>0.0</v>
      </c>
      <c r="I11210" s="60">
        <v>67.555296</v>
      </c>
      <c r="J11210" s="59">
        <v>4.0</v>
      </c>
      <c r="K11210" s="61">
        <f t="shared" si="1"/>
        <v>0</v>
      </c>
      <c r="L11210" s="62">
        <f t="shared" si="2"/>
        <v>4</v>
      </c>
    </row>
    <row r="11211">
      <c r="A11211" s="58">
        <v>45017.0</v>
      </c>
      <c r="B11211" s="24" t="s">
        <v>155</v>
      </c>
      <c r="C11211" s="24" t="s">
        <v>7104</v>
      </c>
      <c r="D11211" s="59">
        <v>1.0</v>
      </c>
      <c r="E11211" s="59">
        <v>2.0</v>
      </c>
      <c r="F11211" s="59">
        <v>0.0</v>
      </c>
      <c r="G11211" s="60">
        <v>2.0</v>
      </c>
      <c r="H11211" s="60">
        <v>0.0</v>
      </c>
      <c r="I11211" s="60">
        <v>213.2063375</v>
      </c>
      <c r="J11211" s="59">
        <v>8.0</v>
      </c>
      <c r="K11211" s="61">
        <f t="shared" si="1"/>
        <v>0</v>
      </c>
      <c r="L11211" s="62">
        <f t="shared" si="2"/>
        <v>4</v>
      </c>
    </row>
    <row r="11212">
      <c r="A11212" s="58">
        <v>45017.0</v>
      </c>
      <c r="B11212" s="24" t="s">
        <v>6790</v>
      </c>
      <c r="C11212" s="24" t="s">
        <v>7104</v>
      </c>
      <c r="D11212" s="59">
        <v>1.0</v>
      </c>
      <c r="E11212" s="59">
        <v>1.0</v>
      </c>
      <c r="F11212" s="59">
        <v>0.0</v>
      </c>
      <c r="G11212" s="60">
        <v>1.0</v>
      </c>
      <c r="H11212" s="60">
        <v>0.0</v>
      </c>
      <c r="I11212" s="60">
        <v>1381.002907</v>
      </c>
      <c r="J11212" s="59">
        <v>12.0</v>
      </c>
      <c r="K11212" s="61">
        <f t="shared" si="1"/>
        <v>0</v>
      </c>
      <c r="L11212" s="62">
        <f t="shared" si="2"/>
        <v>12</v>
      </c>
    </row>
    <row r="11213">
      <c r="A11213" s="58">
        <v>45017.0</v>
      </c>
      <c r="B11213" s="24" t="s">
        <v>155</v>
      </c>
      <c r="C11213" s="24" t="s">
        <v>7174</v>
      </c>
      <c r="D11213" s="59">
        <v>1.0</v>
      </c>
      <c r="E11213" s="59">
        <v>1.0</v>
      </c>
      <c r="F11213" s="59">
        <v>0.0</v>
      </c>
      <c r="G11213" s="60">
        <v>1.0</v>
      </c>
      <c r="H11213" s="60">
        <v>0.0</v>
      </c>
      <c r="I11213" s="60">
        <v>2898.566168</v>
      </c>
      <c r="J11213" s="59">
        <v>46.0</v>
      </c>
      <c r="K11213" s="61">
        <f t="shared" si="1"/>
        <v>0</v>
      </c>
      <c r="L11213" s="62">
        <f t="shared" si="2"/>
        <v>46</v>
      </c>
    </row>
    <row r="11214">
      <c r="A11214" s="58">
        <v>45017.0</v>
      </c>
      <c r="B11214" s="24" t="s">
        <v>6787</v>
      </c>
      <c r="C11214" s="24" t="s">
        <v>7654</v>
      </c>
      <c r="D11214" s="59">
        <v>1.0</v>
      </c>
      <c r="E11214" s="59">
        <v>2.0</v>
      </c>
      <c r="F11214" s="59">
        <v>0.0</v>
      </c>
      <c r="G11214" s="60">
        <v>2.0</v>
      </c>
      <c r="H11214" s="60">
        <v>0.0</v>
      </c>
      <c r="I11214" s="60">
        <v>369.142526</v>
      </c>
      <c r="J11214" s="59">
        <v>24.0</v>
      </c>
      <c r="K11214" s="61">
        <f t="shared" si="1"/>
        <v>0</v>
      </c>
      <c r="L11214" s="62">
        <f t="shared" si="2"/>
        <v>12</v>
      </c>
    </row>
    <row r="11215">
      <c r="A11215" s="58">
        <v>45017.0</v>
      </c>
      <c r="B11215" s="24" t="s">
        <v>6794</v>
      </c>
      <c r="C11215" s="24" t="s">
        <v>7559</v>
      </c>
      <c r="D11215" s="59">
        <v>1.0</v>
      </c>
      <c r="E11215" s="59">
        <v>1.0</v>
      </c>
      <c r="F11215" s="59">
        <v>1.0</v>
      </c>
      <c r="G11215" s="60">
        <v>1.0</v>
      </c>
      <c r="H11215" s="60">
        <v>0.0</v>
      </c>
      <c r="I11215" s="60">
        <v>0.001087</v>
      </c>
      <c r="J11215" s="59">
        <v>2.0</v>
      </c>
      <c r="K11215" s="61">
        <f t="shared" si="1"/>
        <v>1</v>
      </c>
      <c r="L11215" s="62">
        <f t="shared" si="2"/>
        <v>2</v>
      </c>
    </row>
    <row r="11216">
      <c r="A11216" s="58">
        <v>45017.0</v>
      </c>
      <c r="B11216" s="24" t="s">
        <v>6787</v>
      </c>
      <c r="C11216" s="24" t="s">
        <v>7655</v>
      </c>
      <c r="D11216" s="59">
        <v>1.0</v>
      </c>
      <c r="E11216" s="59">
        <v>1.0</v>
      </c>
      <c r="F11216" s="59">
        <v>1.0</v>
      </c>
      <c r="G11216" s="60">
        <v>1.0</v>
      </c>
      <c r="H11216" s="60">
        <v>0.0</v>
      </c>
      <c r="I11216" s="60">
        <v>2.1E-5</v>
      </c>
      <c r="J11216" s="59">
        <v>2.0</v>
      </c>
      <c r="K11216" s="61">
        <f t="shared" si="1"/>
        <v>1</v>
      </c>
      <c r="L11216" s="62">
        <f t="shared" si="2"/>
        <v>2</v>
      </c>
    </row>
    <row r="11217">
      <c r="A11217" s="58">
        <v>45017.0</v>
      </c>
      <c r="B11217" s="24" t="s">
        <v>6789</v>
      </c>
      <c r="C11217" s="24" t="s">
        <v>7655</v>
      </c>
      <c r="D11217" s="59">
        <v>1.0</v>
      </c>
      <c r="E11217" s="59">
        <v>1.0</v>
      </c>
      <c r="F11217" s="59">
        <v>0.0</v>
      </c>
      <c r="G11217" s="60">
        <v>1.0</v>
      </c>
      <c r="H11217" s="60">
        <v>0.0</v>
      </c>
      <c r="I11217" s="60">
        <v>167.520445</v>
      </c>
      <c r="J11217" s="59">
        <v>8.0</v>
      </c>
      <c r="K11217" s="61">
        <f t="shared" si="1"/>
        <v>0</v>
      </c>
      <c r="L11217" s="62">
        <f t="shared" si="2"/>
        <v>8</v>
      </c>
    </row>
    <row r="11218">
      <c r="A11218" s="58">
        <v>45017.0</v>
      </c>
      <c r="B11218" s="24" t="s">
        <v>3216</v>
      </c>
      <c r="C11218" s="24" t="s">
        <v>7027</v>
      </c>
      <c r="D11218" s="59">
        <v>1.0</v>
      </c>
      <c r="E11218" s="59">
        <v>1.0</v>
      </c>
      <c r="F11218" s="59">
        <v>0.0</v>
      </c>
      <c r="G11218" s="60">
        <v>1.0</v>
      </c>
      <c r="H11218" s="60">
        <v>0.0</v>
      </c>
      <c r="I11218" s="60">
        <v>312.271409</v>
      </c>
      <c r="J11218" s="59">
        <v>4.0</v>
      </c>
      <c r="K11218" s="61">
        <f t="shared" si="1"/>
        <v>0</v>
      </c>
      <c r="L11218" s="62">
        <f t="shared" si="2"/>
        <v>4</v>
      </c>
    </row>
    <row r="11219">
      <c r="A11219" s="58">
        <v>45017.0</v>
      </c>
      <c r="B11219" s="24" t="s">
        <v>6789</v>
      </c>
      <c r="C11219" s="24" t="s">
        <v>7027</v>
      </c>
      <c r="D11219" s="59">
        <v>1.0</v>
      </c>
      <c r="E11219" s="59">
        <v>1.0</v>
      </c>
      <c r="F11219" s="59">
        <v>0.0</v>
      </c>
      <c r="G11219" s="60">
        <v>1.0</v>
      </c>
      <c r="H11219" s="60">
        <v>0.0</v>
      </c>
      <c r="I11219" s="60">
        <v>1605.490467</v>
      </c>
      <c r="J11219" s="59">
        <v>2.0</v>
      </c>
      <c r="K11219" s="61">
        <f t="shared" si="1"/>
        <v>0</v>
      </c>
      <c r="L11219" s="62">
        <f t="shared" si="2"/>
        <v>2</v>
      </c>
    </row>
    <row r="11220">
      <c r="A11220" s="58">
        <v>45017.0</v>
      </c>
      <c r="B11220" s="24" t="s">
        <v>6794</v>
      </c>
      <c r="C11220" s="24" t="s">
        <v>7027</v>
      </c>
      <c r="D11220" s="59">
        <v>1.0</v>
      </c>
      <c r="E11220" s="59">
        <v>1.0</v>
      </c>
      <c r="F11220" s="59">
        <v>1.0</v>
      </c>
      <c r="G11220" s="60">
        <v>1.0</v>
      </c>
      <c r="H11220" s="60">
        <v>0.0</v>
      </c>
      <c r="I11220" s="60">
        <v>5.441848</v>
      </c>
      <c r="J11220" s="59">
        <v>2.0</v>
      </c>
      <c r="K11220" s="61">
        <f t="shared" si="1"/>
        <v>1</v>
      </c>
      <c r="L11220" s="62">
        <f t="shared" si="2"/>
        <v>2</v>
      </c>
    </row>
    <row r="11221">
      <c r="A11221" s="58">
        <v>45017.0</v>
      </c>
      <c r="B11221" s="24" t="s">
        <v>155</v>
      </c>
      <c r="C11221" s="24" t="s">
        <v>7027</v>
      </c>
      <c r="D11221" s="59">
        <v>1.0</v>
      </c>
      <c r="E11221" s="59">
        <v>1.0</v>
      </c>
      <c r="F11221" s="59">
        <v>1.0</v>
      </c>
      <c r="G11221" s="60">
        <v>1.0</v>
      </c>
      <c r="H11221" s="60">
        <v>0.0</v>
      </c>
      <c r="I11221" s="60">
        <v>27.82352</v>
      </c>
      <c r="J11221" s="59">
        <v>2.0</v>
      </c>
      <c r="K11221" s="61">
        <f t="shared" si="1"/>
        <v>1</v>
      </c>
      <c r="L11221" s="62">
        <f t="shared" si="2"/>
        <v>2</v>
      </c>
    </row>
    <row r="11222">
      <c r="A11222" s="58">
        <v>45017.0</v>
      </c>
      <c r="B11222" s="24" t="s">
        <v>6790</v>
      </c>
      <c r="C11222" s="24" t="s">
        <v>7180</v>
      </c>
      <c r="D11222" s="59">
        <v>1.0</v>
      </c>
      <c r="E11222" s="59">
        <v>4.0</v>
      </c>
      <c r="F11222" s="59">
        <v>0.0</v>
      </c>
      <c r="G11222" s="60">
        <v>4.0</v>
      </c>
      <c r="H11222" s="60">
        <v>0.0</v>
      </c>
      <c r="I11222" s="60">
        <v>345.4055975</v>
      </c>
      <c r="J11222" s="59">
        <v>12.0</v>
      </c>
      <c r="K11222" s="61">
        <f t="shared" si="1"/>
        <v>0</v>
      </c>
      <c r="L11222" s="62">
        <f t="shared" si="2"/>
        <v>3</v>
      </c>
    </row>
    <row r="11223">
      <c r="A11223" s="58">
        <v>45017.0</v>
      </c>
      <c r="B11223" s="24" t="s">
        <v>6787</v>
      </c>
      <c r="C11223" s="24" t="s">
        <v>7656</v>
      </c>
      <c r="D11223" s="59">
        <v>1.0</v>
      </c>
      <c r="E11223" s="59">
        <v>1.0</v>
      </c>
      <c r="F11223" s="59">
        <v>1.0</v>
      </c>
      <c r="G11223" s="60">
        <v>1.0</v>
      </c>
      <c r="H11223" s="60">
        <v>0.0</v>
      </c>
      <c r="I11223" s="60">
        <v>84.037617</v>
      </c>
      <c r="J11223" s="59">
        <v>10.0</v>
      </c>
      <c r="K11223" s="61">
        <f t="shared" si="1"/>
        <v>1</v>
      </c>
      <c r="L11223" s="62">
        <f t="shared" si="2"/>
        <v>10</v>
      </c>
    </row>
    <row r="11224">
      <c r="A11224" s="58">
        <v>45017.0</v>
      </c>
      <c r="B11224" s="24" t="s">
        <v>6789</v>
      </c>
      <c r="C11224" s="24" t="s">
        <v>7651</v>
      </c>
      <c r="D11224" s="59">
        <v>1.0</v>
      </c>
      <c r="E11224" s="59">
        <v>1.0</v>
      </c>
      <c r="F11224" s="59">
        <v>0.0</v>
      </c>
      <c r="G11224" s="60">
        <v>1.0</v>
      </c>
      <c r="H11224" s="60">
        <v>0.0</v>
      </c>
      <c r="I11224" s="60">
        <v>24.735087</v>
      </c>
      <c r="J11224" s="59">
        <v>2.0</v>
      </c>
      <c r="K11224" s="61">
        <f t="shared" si="1"/>
        <v>0</v>
      </c>
      <c r="L11224" s="62">
        <f t="shared" si="2"/>
        <v>2</v>
      </c>
    </row>
    <row r="11225">
      <c r="A11225" s="58">
        <v>45017.0</v>
      </c>
      <c r="B11225" s="24" t="s">
        <v>155</v>
      </c>
      <c r="C11225" s="24" t="s">
        <v>7651</v>
      </c>
      <c r="D11225" s="59">
        <v>1.0</v>
      </c>
      <c r="E11225" s="59">
        <v>1.0</v>
      </c>
      <c r="F11225" s="59">
        <v>0.0</v>
      </c>
      <c r="G11225" s="60">
        <v>1.0</v>
      </c>
      <c r="H11225" s="60">
        <v>0.0</v>
      </c>
      <c r="I11225" s="60">
        <v>1712.335647</v>
      </c>
      <c r="J11225" s="59">
        <v>8.0</v>
      </c>
      <c r="K11225" s="61">
        <f t="shared" si="1"/>
        <v>0</v>
      </c>
      <c r="L11225" s="62">
        <f t="shared" si="2"/>
        <v>8</v>
      </c>
    </row>
    <row r="11226">
      <c r="A11226" s="58">
        <v>45017.0</v>
      </c>
      <c r="B11226" s="24" t="s">
        <v>6791</v>
      </c>
      <c r="C11226" s="24" t="s">
        <v>7111</v>
      </c>
      <c r="D11226" s="59">
        <v>1.0</v>
      </c>
      <c r="E11226" s="59">
        <v>1.0</v>
      </c>
      <c r="F11226" s="59">
        <v>1.0</v>
      </c>
      <c r="G11226" s="60">
        <v>1.0</v>
      </c>
      <c r="H11226" s="60">
        <v>0.0</v>
      </c>
      <c r="I11226" s="60">
        <v>43.394126</v>
      </c>
      <c r="J11226" s="59">
        <v>2.0</v>
      </c>
      <c r="K11226" s="61">
        <f t="shared" si="1"/>
        <v>1</v>
      </c>
      <c r="L11226" s="62">
        <f t="shared" si="2"/>
        <v>2</v>
      </c>
    </row>
    <row r="11227">
      <c r="A11227" s="58">
        <v>45017.0</v>
      </c>
      <c r="B11227" s="24" t="s">
        <v>7100</v>
      </c>
      <c r="C11227" s="24" t="s">
        <v>6921</v>
      </c>
      <c r="D11227" s="59">
        <v>1.0</v>
      </c>
      <c r="E11227" s="59">
        <v>15.0</v>
      </c>
      <c r="F11227" s="59">
        <v>2.0</v>
      </c>
      <c r="G11227" s="60">
        <v>15.0</v>
      </c>
      <c r="H11227" s="60">
        <v>0.266666666666666</v>
      </c>
      <c r="I11227" s="60">
        <v>29.3158926666666</v>
      </c>
      <c r="J11227" s="59">
        <v>57.0</v>
      </c>
      <c r="K11227" s="61">
        <f t="shared" si="1"/>
        <v>0.1333333333</v>
      </c>
      <c r="L11227" s="62">
        <f t="shared" si="2"/>
        <v>3.8</v>
      </c>
    </row>
    <row r="11228">
      <c r="A11228" s="58">
        <v>45017.0</v>
      </c>
      <c r="B11228" s="24" t="s">
        <v>6791</v>
      </c>
      <c r="C11228" s="24" t="s">
        <v>6922</v>
      </c>
      <c r="D11228" s="59">
        <v>1.0</v>
      </c>
      <c r="E11228" s="59">
        <v>1.0</v>
      </c>
      <c r="F11228" s="59">
        <v>1.0</v>
      </c>
      <c r="G11228" s="60">
        <v>1.0</v>
      </c>
      <c r="H11228" s="60">
        <v>0.0</v>
      </c>
      <c r="I11228" s="60">
        <v>299.068759</v>
      </c>
      <c r="J11228" s="59">
        <v>8.0</v>
      </c>
      <c r="K11228" s="61">
        <f t="shared" si="1"/>
        <v>1</v>
      </c>
      <c r="L11228" s="62">
        <f t="shared" si="2"/>
        <v>8</v>
      </c>
    </row>
    <row r="11229">
      <c r="A11229" s="58">
        <v>45017.0</v>
      </c>
      <c r="B11229" s="24" t="s">
        <v>155</v>
      </c>
      <c r="C11229" s="24" t="s">
        <v>6922</v>
      </c>
      <c r="D11229" s="59">
        <v>1.0</v>
      </c>
      <c r="E11229" s="59">
        <v>1.0</v>
      </c>
      <c r="F11229" s="59">
        <v>0.0</v>
      </c>
      <c r="G11229" s="60">
        <v>1.0</v>
      </c>
      <c r="H11229" s="60">
        <v>0.0</v>
      </c>
      <c r="I11229" s="60">
        <v>5.961649</v>
      </c>
      <c r="J11229" s="59">
        <v>2.0</v>
      </c>
      <c r="K11229" s="61">
        <f t="shared" si="1"/>
        <v>0</v>
      </c>
      <c r="L11229" s="62">
        <f t="shared" si="2"/>
        <v>2</v>
      </c>
    </row>
    <row r="11230">
      <c r="A11230" s="58">
        <v>45017.0</v>
      </c>
      <c r="B11230" s="24" t="s">
        <v>6789</v>
      </c>
      <c r="C11230" s="24" t="s">
        <v>7047</v>
      </c>
      <c r="D11230" s="59">
        <v>1.0</v>
      </c>
      <c r="E11230" s="59">
        <v>1.0</v>
      </c>
      <c r="F11230" s="59">
        <v>0.0</v>
      </c>
      <c r="G11230" s="60">
        <v>1.0</v>
      </c>
      <c r="H11230" s="60">
        <v>0.0</v>
      </c>
      <c r="I11230" s="60">
        <v>94.243937</v>
      </c>
      <c r="J11230" s="59">
        <v>2.0</v>
      </c>
      <c r="K11230" s="61">
        <f t="shared" si="1"/>
        <v>0</v>
      </c>
      <c r="L11230" s="62">
        <f t="shared" si="2"/>
        <v>2</v>
      </c>
    </row>
    <row r="11231">
      <c r="A11231" s="58">
        <v>45017.0</v>
      </c>
      <c r="B11231" s="24" t="s">
        <v>6787</v>
      </c>
      <c r="C11231" s="24" t="s">
        <v>6810</v>
      </c>
      <c r="D11231" s="59">
        <v>1.0</v>
      </c>
      <c r="E11231" s="59">
        <v>1.0</v>
      </c>
      <c r="F11231" s="59">
        <v>1.0</v>
      </c>
      <c r="G11231" s="60">
        <v>1.0</v>
      </c>
      <c r="H11231" s="60">
        <v>0.0</v>
      </c>
      <c r="I11231" s="60">
        <v>5.04914</v>
      </c>
      <c r="J11231" s="59">
        <v>2.0</v>
      </c>
      <c r="K11231" s="61">
        <f t="shared" si="1"/>
        <v>1</v>
      </c>
      <c r="L11231" s="62">
        <f t="shared" si="2"/>
        <v>2</v>
      </c>
    </row>
    <row r="11232">
      <c r="A11232" s="58">
        <v>45017.0</v>
      </c>
      <c r="B11232" s="24" t="s">
        <v>6789</v>
      </c>
      <c r="C11232" s="24" t="s">
        <v>6810</v>
      </c>
      <c r="D11232" s="59">
        <v>1.0</v>
      </c>
      <c r="E11232" s="59">
        <v>1.0</v>
      </c>
      <c r="F11232" s="59">
        <v>1.0</v>
      </c>
      <c r="G11232" s="60">
        <v>1.0</v>
      </c>
      <c r="H11232" s="60">
        <v>0.0</v>
      </c>
      <c r="I11232" s="60">
        <v>38.357859</v>
      </c>
      <c r="J11232" s="59">
        <v>6.0</v>
      </c>
      <c r="K11232" s="61">
        <f t="shared" si="1"/>
        <v>1</v>
      </c>
      <c r="L11232" s="62">
        <f t="shared" si="2"/>
        <v>6</v>
      </c>
    </row>
    <row r="11233">
      <c r="A11233" s="58">
        <v>45017.0</v>
      </c>
      <c r="B11233" s="24" t="s">
        <v>6787</v>
      </c>
      <c r="C11233" s="24" t="s">
        <v>6931</v>
      </c>
      <c r="D11233" s="59">
        <v>1.0</v>
      </c>
      <c r="E11233" s="59">
        <v>1.0</v>
      </c>
      <c r="F11233" s="59">
        <v>0.0</v>
      </c>
      <c r="G11233" s="60">
        <v>1.0</v>
      </c>
      <c r="H11233" s="60">
        <v>0.0</v>
      </c>
      <c r="I11233" s="60">
        <v>823.662532</v>
      </c>
      <c r="J11233" s="59">
        <v>2.0</v>
      </c>
      <c r="K11233" s="61">
        <f t="shared" si="1"/>
        <v>0</v>
      </c>
      <c r="L11233" s="62">
        <f t="shared" si="2"/>
        <v>2</v>
      </c>
    </row>
    <row r="11234">
      <c r="A11234" s="58">
        <v>45017.0</v>
      </c>
      <c r="B11234" s="24" t="s">
        <v>6789</v>
      </c>
      <c r="C11234" s="24" t="s">
        <v>6931</v>
      </c>
      <c r="D11234" s="59">
        <v>1.0</v>
      </c>
      <c r="E11234" s="59">
        <v>1.0</v>
      </c>
      <c r="F11234" s="59">
        <v>1.0</v>
      </c>
      <c r="G11234" s="60">
        <v>1.0</v>
      </c>
      <c r="H11234" s="60">
        <v>0.0</v>
      </c>
      <c r="I11234" s="60">
        <v>24.500614</v>
      </c>
      <c r="J11234" s="59">
        <v>2.0</v>
      </c>
      <c r="K11234" s="61">
        <f t="shared" si="1"/>
        <v>1</v>
      </c>
      <c r="L11234" s="62">
        <f t="shared" si="2"/>
        <v>2</v>
      </c>
    </row>
    <row r="11235">
      <c r="A11235" s="58">
        <v>45017.0</v>
      </c>
      <c r="B11235" s="24" t="s">
        <v>6790</v>
      </c>
      <c r="C11235" s="24" t="s">
        <v>6802</v>
      </c>
      <c r="D11235" s="59">
        <v>1.0</v>
      </c>
      <c r="E11235" s="59">
        <v>1.0</v>
      </c>
      <c r="F11235" s="59">
        <v>0.0</v>
      </c>
      <c r="G11235" s="60">
        <v>1.0</v>
      </c>
      <c r="H11235" s="60">
        <v>0.0</v>
      </c>
      <c r="I11235" s="60">
        <v>17.031773</v>
      </c>
      <c r="J11235" s="59">
        <v>2.0</v>
      </c>
      <c r="K11235" s="61">
        <f t="shared" si="1"/>
        <v>0</v>
      </c>
      <c r="L11235" s="62">
        <f t="shared" si="2"/>
        <v>2</v>
      </c>
    </row>
    <row r="11236">
      <c r="A11236" s="58">
        <v>44986.0</v>
      </c>
      <c r="B11236" s="24" t="s">
        <v>6789</v>
      </c>
      <c r="C11236" s="27"/>
      <c r="D11236" s="59">
        <v>779.0</v>
      </c>
      <c r="E11236" s="59">
        <v>1119.0</v>
      </c>
      <c r="F11236" s="59">
        <v>666.0</v>
      </c>
      <c r="G11236" s="60">
        <v>1.43830334190231</v>
      </c>
      <c r="H11236" s="60">
        <v>0.0241286863270777</v>
      </c>
      <c r="I11236" s="60">
        <v>212.293750158176</v>
      </c>
      <c r="J11236" s="59">
        <v>3916.0</v>
      </c>
      <c r="K11236" s="61">
        <f t="shared" si="1"/>
        <v>0.5951742627</v>
      </c>
      <c r="L11236" s="62">
        <f t="shared" si="2"/>
        <v>3.499553172</v>
      </c>
    </row>
    <row r="11237">
      <c r="A11237" s="58">
        <v>44986.0</v>
      </c>
      <c r="B11237" s="24" t="s">
        <v>6787</v>
      </c>
      <c r="C11237" s="27"/>
      <c r="D11237" s="59">
        <v>671.0</v>
      </c>
      <c r="E11237" s="59">
        <v>774.0</v>
      </c>
      <c r="F11237" s="59">
        <v>627.0</v>
      </c>
      <c r="G11237" s="60">
        <v>1.15522388059701</v>
      </c>
      <c r="H11237" s="60">
        <v>0.0723514211886304</v>
      </c>
      <c r="I11237" s="60">
        <v>79.5128948436692</v>
      </c>
      <c r="J11237" s="59">
        <v>2173.0</v>
      </c>
      <c r="K11237" s="61">
        <f t="shared" si="1"/>
        <v>0.8100775194</v>
      </c>
      <c r="L11237" s="62">
        <f t="shared" si="2"/>
        <v>2.80749354</v>
      </c>
    </row>
    <row r="11238">
      <c r="A11238" s="58">
        <v>44986.0</v>
      </c>
      <c r="B11238" s="24" t="s">
        <v>6789</v>
      </c>
      <c r="C11238" s="24" t="s">
        <v>7068</v>
      </c>
      <c r="D11238" s="59">
        <v>194.0</v>
      </c>
      <c r="E11238" s="59">
        <v>209.0</v>
      </c>
      <c r="F11238" s="59">
        <v>189.0</v>
      </c>
      <c r="G11238" s="60">
        <v>1.07731958762886</v>
      </c>
      <c r="H11238" s="60">
        <v>0.0239234449760765</v>
      </c>
      <c r="I11238" s="60">
        <v>214.57890899043</v>
      </c>
      <c r="J11238" s="59">
        <v>445.0</v>
      </c>
      <c r="K11238" s="61">
        <f t="shared" si="1"/>
        <v>0.9043062201</v>
      </c>
      <c r="L11238" s="62">
        <f t="shared" si="2"/>
        <v>2.129186603</v>
      </c>
    </row>
    <row r="11239">
      <c r="A11239" s="58">
        <v>44986.0</v>
      </c>
      <c r="B11239" s="24" t="s">
        <v>6789</v>
      </c>
      <c r="C11239" s="24" t="s">
        <v>6792</v>
      </c>
      <c r="D11239" s="59">
        <v>182.0</v>
      </c>
      <c r="E11239" s="59">
        <v>210.0</v>
      </c>
      <c r="F11239" s="59">
        <v>0.0</v>
      </c>
      <c r="G11239" s="60">
        <v>1.53284671532846</v>
      </c>
      <c r="H11239" s="60">
        <v>0.98095238095238</v>
      </c>
      <c r="I11239" s="60">
        <v>3.62149387619047</v>
      </c>
      <c r="J11239" s="59">
        <v>0.0</v>
      </c>
      <c r="K11239" s="61">
        <f t="shared" si="1"/>
        <v>0</v>
      </c>
      <c r="L11239" s="62">
        <f t="shared" si="2"/>
        <v>0</v>
      </c>
    </row>
    <row r="11240">
      <c r="A11240" s="58">
        <v>44986.0</v>
      </c>
      <c r="B11240" s="24" t="s">
        <v>6794</v>
      </c>
      <c r="C11240" s="24" t="s">
        <v>6815</v>
      </c>
      <c r="D11240" s="59">
        <v>173.0</v>
      </c>
      <c r="E11240" s="59">
        <v>235.0</v>
      </c>
      <c r="F11240" s="59">
        <v>141.0</v>
      </c>
      <c r="G11240" s="60">
        <v>1.35838150289017</v>
      </c>
      <c r="H11240" s="60">
        <v>0.0297872340425531</v>
      </c>
      <c r="I11240" s="60">
        <v>142.052297719148</v>
      </c>
      <c r="J11240" s="59">
        <v>602.0</v>
      </c>
      <c r="K11240" s="61">
        <f t="shared" si="1"/>
        <v>0.6</v>
      </c>
      <c r="L11240" s="62">
        <f t="shared" si="2"/>
        <v>2.561702128</v>
      </c>
    </row>
    <row r="11241">
      <c r="A11241" s="58">
        <v>44986.0</v>
      </c>
      <c r="B11241" s="24" t="s">
        <v>7100</v>
      </c>
      <c r="C11241" s="24" t="s">
        <v>7172</v>
      </c>
      <c r="D11241" s="59">
        <v>149.0</v>
      </c>
      <c r="E11241" s="59">
        <v>193.0</v>
      </c>
      <c r="F11241" s="59">
        <v>136.0</v>
      </c>
      <c r="G11241" s="60">
        <v>1.30405405405405</v>
      </c>
      <c r="H11241" s="60">
        <v>0.0569948186528497</v>
      </c>
      <c r="I11241" s="60">
        <v>66.3632818186528</v>
      </c>
      <c r="J11241" s="59">
        <v>415.0</v>
      </c>
      <c r="K11241" s="61">
        <f t="shared" si="1"/>
        <v>0.7046632124</v>
      </c>
      <c r="L11241" s="62">
        <f t="shared" si="2"/>
        <v>2.150259067</v>
      </c>
    </row>
    <row r="11242">
      <c r="A11242" s="58">
        <v>44986.0</v>
      </c>
      <c r="B11242" s="24" t="s">
        <v>6794</v>
      </c>
      <c r="C11242" s="27"/>
      <c r="D11242" s="59">
        <v>134.0</v>
      </c>
      <c r="E11242" s="59">
        <v>185.0</v>
      </c>
      <c r="F11242" s="59">
        <v>112.0</v>
      </c>
      <c r="G11242" s="60">
        <v>1.38059701492537</v>
      </c>
      <c r="H11242" s="60">
        <v>0.027027027027027</v>
      </c>
      <c r="I11242" s="60">
        <v>245.303207216216</v>
      </c>
      <c r="J11242" s="59">
        <v>824.0</v>
      </c>
      <c r="K11242" s="61">
        <f t="shared" si="1"/>
        <v>0.6054054054</v>
      </c>
      <c r="L11242" s="62">
        <f t="shared" si="2"/>
        <v>4.454054054</v>
      </c>
    </row>
    <row r="11243">
      <c r="A11243" s="58">
        <v>44986.0</v>
      </c>
      <c r="B11243" s="24" t="s">
        <v>6787</v>
      </c>
      <c r="C11243" s="24" t="s">
        <v>6908</v>
      </c>
      <c r="D11243" s="59">
        <v>117.0</v>
      </c>
      <c r="E11243" s="59">
        <v>117.0</v>
      </c>
      <c r="F11243" s="59">
        <v>117.0</v>
      </c>
      <c r="G11243" s="60">
        <v>1.0</v>
      </c>
      <c r="H11243" s="60">
        <v>0.0341880341880341</v>
      </c>
      <c r="I11243" s="60">
        <v>3.22700252991453</v>
      </c>
      <c r="J11243" s="59">
        <v>233.0</v>
      </c>
      <c r="K11243" s="61">
        <f t="shared" si="1"/>
        <v>1</v>
      </c>
      <c r="L11243" s="62">
        <f t="shared" si="2"/>
        <v>1.991452991</v>
      </c>
    </row>
    <row r="11244">
      <c r="A11244" s="58">
        <v>44986.0</v>
      </c>
      <c r="B11244" s="24" t="s">
        <v>7100</v>
      </c>
      <c r="C11244" s="27"/>
      <c r="D11244" s="59">
        <v>106.0</v>
      </c>
      <c r="E11244" s="59">
        <v>146.0</v>
      </c>
      <c r="F11244" s="59">
        <v>101.0</v>
      </c>
      <c r="G11244" s="60">
        <v>1.37735849056603</v>
      </c>
      <c r="H11244" s="60">
        <v>0.0547945205479452</v>
      </c>
      <c r="I11244" s="60">
        <v>92.5492892602739</v>
      </c>
      <c r="J11244" s="59">
        <v>408.0</v>
      </c>
      <c r="K11244" s="61">
        <f t="shared" si="1"/>
        <v>0.6917808219</v>
      </c>
      <c r="L11244" s="62">
        <f t="shared" si="2"/>
        <v>2.794520548</v>
      </c>
    </row>
    <row r="11245">
      <c r="A11245" s="58">
        <v>44986.0</v>
      </c>
      <c r="B11245" s="24" t="s">
        <v>6790</v>
      </c>
      <c r="C11245" s="24" t="s">
        <v>6815</v>
      </c>
      <c r="D11245" s="59">
        <v>104.0</v>
      </c>
      <c r="E11245" s="59">
        <v>149.0</v>
      </c>
      <c r="F11245" s="59">
        <v>73.0</v>
      </c>
      <c r="G11245" s="60">
        <v>1.4326923076923</v>
      </c>
      <c r="H11245" s="60">
        <v>0.046979865771812</v>
      </c>
      <c r="I11245" s="60">
        <v>112.81844385906</v>
      </c>
      <c r="J11245" s="59">
        <v>356.0</v>
      </c>
      <c r="K11245" s="61">
        <f t="shared" si="1"/>
        <v>0.4899328859</v>
      </c>
      <c r="L11245" s="62">
        <f t="shared" si="2"/>
        <v>2.389261745</v>
      </c>
    </row>
    <row r="11246">
      <c r="A11246" s="58">
        <v>44986.0</v>
      </c>
      <c r="B11246" s="24" t="s">
        <v>7100</v>
      </c>
      <c r="C11246" s="24" t="s">
        <v>6989</v>
      </c>
      <c r="D11246" s="59">
        <v>80.0</v>
      </c>
      <c r="E11246" s="59">
        <v>83.0</v>
      </c>
      <c r="F11246" s="59">
        <v>78.0</v>
      </c>
      <c r="G11246" s="60">
        <v>1.0375</v>
      </c>
      <c r="H11246" s="60">
        <v>0.0240963855421686</v>
      </c>
      <c r="I11246" s="60">
        <v>23.3068415421686</v>
      </c>
      <c r="J11246" s="59">
        <v>192.0</v>
      </c>
      <c r="K11246" s="61">
        <f t="shared" si="1"/>
        <v>0.9397590361</v>
      </c>
      <c r="L11246" s="62">
        <f t="shared" si="2"/>
        <v>2.313253012</v>
      </c>
    </row>
    <row r="11247">
      <c r="A11247" s="58">
        <v>44986.0</v>
      </c>
      <c r="B11247" s="24" t="s">
        <v>6791</v>
      </c>
      <c r="C11247" s="24" t="s">
        <v>7624</v>
      </c>
      <c r="D11247" s="59">
        <v>73.0</v>
      </c>
      <c r="E11247" s="59">
        <v>76.0</v>
      </c>
      <c r="F11247" s="59">
        <v>71.0</v>
      </c>
      <c r="G11247" s="60">
        <v>1.04109589041095</v>
      </c>
      <c r="H11247" s="60">
        <v>0.0263157894736842</v>
      </c>
      <c r="I11247" s="60">
        <v>123.077488947368</v>
      </c>
      <c r="J11247" s="59">
        <v>221.0</v>
      </c>
      <c r="K11247" s="61">
        <f t="shared" si="1"/>
        <v>0.9342105263</v>
      </c>
      <c r="L11247" s="62">
        <f t="shared" si="2"/>
        <v>2.907894737</v>
      </c>
    </row>
    <row r="11248">
      <c r="A11248" s="58">
        <v>44986.0</v>
      </c>
      <c r="B11248" s="24" t="s">
        <v>7100</v>
      </c>
      <c r="C11248" s="24" t="s">
        <v>6892</v>
      </c>
      <c r="D11248" s="59">
        <v>57.0</v>
      </c>
      <c r="E11248" s="59">
        <v>65.0</v>
      </c>
      <c r="F11248" s="59">
        <v>55.0</v>
      </c>
      <c r="G11248" s="60">
        <v>1.16071428571428</v>
      </c>
      <c r="H11248" s="60">
        <v>0.153846153846153</v>
      </c>
      <c r="I11248" s="60">
        <v>27.2706719846153</v>
      </c>
      <c r="J11248" s="59">
        <v>132.0</v>
      </c>
      <c r="K11248" s="61">
        <f t="shared" si="1"/>
        <v>0.8461538462</v>
      </c>
      <c r="L11248" s="62">
        <f t="shared" si="2"/>
        <v>2.030769231</v>
      </c>
    </row>
    <row r="11249">
      <c r="A11249" s="58">
        <v>44986.0</v>
      </c>
      <c r="B11249" s="24" t="s">
        <v>7606</v>
      </c>
      <c r="C11249" s="27"/>
      <c r="D11249" s="59">
        <v>50.0</v>
      </c>
      <c r="E11249" s="59">
        <v>59.0</v>
      </c>
      <c r="F11249" s="59">
        <v>50.0</v>
      </c>
      <c r="G11249" s="60">
        <v>1.18</v>
      </c>
      <c r="H11249" s="60">
        <v>0.203389830508474</v>
      </c>
      <c r="I11249" s="60">
        <v>58.2094735254237</v>
      </c>
      <c r="J11249" s="59">
        <v>115.0</v>
      </c>
      <c r="K11249" s="61">
        <f t="shared" si="1"/>
        <v>0.8474576271</v>
      </c>
      <c r="L11249" s="62">
        <f t="shared" si="2"/>
        <v>1.949152542</v>
      </c>
    </row>
    <row r="11250">
      <c r="A11250" s="58">
        <v>44986.0</v>
      </c>
      <c r="B11250" s="24" t="s">
        <v>155</v>
      </c>
      <c r="C11250" s="27"/>
      <c r="D11250" s="59">
        <v>46.0</v>
      </c>
      <c r="E11250" s="59">
        <v>86.0</v>
      </c>
      <c r="F11250" s="59">
        <v>36.0</v>
      </c>
      <c r="G11250" s="60">
        <v>1.8695652173913</v>
      </c>
      <c r="H11250" s="60">
        <v>0.0116279069767441</v>
      </c>
      <c r="I11250" s="60">
        <v>296.936222104651</v>
      </c>
      <c r="J11250" s="59">
        <v>419.0</v>
      </c>
      <c r="K11250" s="61">
        <f t="shared" si="1"/>
        <v>0.4186046512</v>
      </c>
      <c r="L11250" s="62">
        <f t="shared" si="2"/>
        <v>4.872093023</v>
      </c>
    </row>
    <row r="11251">
      <c r="A11251" s="58">
        <v>44986.0</v>
      </c>
      <c r="B11251" s="24" t="s">
        <v>6787</v>
      </c>
      <c r="C11251" s="24" t="s">
        <v>6815</v>
      </c>
      <c r="D11251" s="59">
        <v>45.0</v>
      </c>
      <c r="E11251" s="59">
        <v>88.0</v>
      </c>
      <c r="F11251" s="59">
        <v>32.0</v>
      </c>
      <c r="G11251" s="60">
        <v>1.95555555555555</v>
      </c>
      <c r="H11251" s="60">
        <v>0.0227272727272727</v>
      </c>
      <c r="I11251" s="60">
        <v>115.234492249999</v>
      </c>
      <c r="J11251" s="59">
        <v>223.0</v>
      </c>
      <c r="K11251" s="61">
        <f t="shared" si="1"/>
        <v>0.3636363636</v>
      </c>
      <c r="L11251" s="62">
        <f t="shared" si="2"/>
        <v>2.534090909</v>
      </c>
    </row>
    <row r="11252">
      <c r="A11252" s="58">
        <v>44986.0</v>
      </c>
      <c r="B11252" s="24" t="s">
        <v>6787</v>
      </c>
      <c r="C11252" s="24" t="s">
        <v>6792</v>
      </c>
      <c r="D11252" s="59">
        <v>44.0</v>
      </c>
      <c r="E11252" s="59">
        <v>53.0</v>
      </c>
      <c r="F11252" s="59">
        <v>0.0</v>
      </c>
      <c r="G11252" s="60">
        <v>1.96296296296296</v>
      </c>
      <c r="H11252" s="60">
        <v>1.0</v>
      </c>
      <c r="I11252" s="60">
        <v>0.0137814528301886</v>
      </c>
      <c r="J11252" s="59">
        <v>0.0</v>
      </c>
      <c r="K11252" s="61">
        <f t="shared" si="1"/>
        <v>0</v>
      </c>
      <c r="L11252" s="62">
        <f t="shared" si="2"/>
        <v>0</v>
      </c>
    </row>
    <row r="11253">
      <c r="A11253" s="58">
        <v>44986.0</v>
      </c>
      <c r="B11253" s="24" t="s">
        <v>6790</v>
      </c>
      <c r="C11253" s="27"/>
      <c r="D11253" s="59">
        <v>41.0</v>
      </c>
      <c r="E11253" s="59">
        <v>47.0</v>
      </c>
      <c r="F11253" s="59">
        <v>34.0</v>
      </c>
      <c r="G11253" s="60">
        <v>1.14634146341463</v>
      </c>
      <c r="H11253" s="60">
        <v>0.0638297872340425</v>
      </c>
      <c r="I11253" s="60">
        <v>84.633736787234</v>
      </c>
      <c r="J11253" s="59">
        <v>144.0</v>
      </c>
      <c r="K11253" s="61">
        <f t="shared" si="1"/>
        <v>0.7234042553</v>
      </c>
      <c r="L11253" s="62">
        <f t="shared" si="2"/>
        <v>3.063829787</v>
      </c>
    </row>
    <row r="11254">
      <c r="A11254" s="58">
        <v>44986.0</v>
      </c>
      <c r="B11254" s="24" t="s">
        <v>6794</v>
      </c>
      <c r="C11254" s="24" t="s">
        <v>6792</v>
      </c>
      <c r="D11254" s="59">
        <v>39.0</v>
      </c>
      <c r="E11254" s="59">
        <v>50.0</v>
      </c>
      <c r="F11254" s="59">
        <v>0.0</v>
      </c>
      <c r="G11254" s="60">
        <v>1.61290322580645</v>
      </c>
      <c r="H11254" s="60">
        <v>1.0</v>
      </c>
      <c r="I11254" s="60">
        <v>0.005334</v>
      </c>
      <c r="J11254" s="59">
        <v>0.0</v>
      </c>
      <c r="K11254" s="61">
        <f t="shared" si="1"/>
        <v>0</v>
      </c>
      <c r="L11254" s="62">
        <f t="shared" si="2"/>
        <v>0</v>
      </c>
    </row>
    <row r="11255">
      <c r="A11255" s="58">
        <v>44986.0</v>
      </c>
      <c r="B11255" s="24" t="s">
        <v>6789</v>
      </c>
      <c r="C11255" s="24" t="s">
        <v>6799</v>
      </c>
      <c r="D11255" s="59">
        <v>35.0</v>
      </c>
      <c r="E11255" s="59">
        <v>40.0</v>
      </c>
      <c r="F11255" s="59">
        <v>20.0</v>
      </c>
      <c r="G11255" s="60">
        <v>1.17647058823529</v>
      </c>
      <c r="H11255" s="60">
        <v>0.05</v>
      </c>
      <c r="I11255" s="60">
        <v>268.45697455</v>
      </c>
      <c r="J11255" s="59">
        <v>126.0</v>
      </c>
      <c r="K11255" s="61">
        <f t="shared" si="1"/>
        <v>0.5</v>
      </c>
      <c r="L11255" s="62">
        <f t="shared" si="2"/>
        <v>3.15</v>
      </c>
    </row>
    <row r="11256">
      <c r="A11256" s="58">
        <v>44986.0</v>
      </c>
      <c r="B11256" s="24" t="s">
        <v>7100</v>
      </c>
      <c r="C11256" s="24" t="s">
        <v>6802</v>
      </c>
      <c r="D11256" s="59">
        <v>32.0</v>
      </c>
      <c r="E11256" s="59">
        <v>32.0</v>
      </c>
      <c r="F11256" s="59">
        <v>32.0</v>
      </c>
      <c r="G11256" s="60">
        <v>1.0</v>
      </c>
      <c r="H11256" s="60">
        <v>0.0</v>
      </c>
      <c r="I11256" s="60">
        <v>3.190316375</v>
      </c>
      <c r="J11256" s="59">
        <v>64.0</v>
      </c>
      <c r="K11256" s="61">
        <f t="shared" si="1"/>
        <v>1</v>
      </c>
      <c r="L11256" s="62">
        <f t="shared" si="2"/>
        <v>2</v>
      </c>
    </row>
    <row r="11257">
      <c r="A11257" s="58">
        <v>44986.0</v>
      </c>
      <c r="B11257" s="24" t="s">
        <v>7606</v>
      </c>
      <c r="C11257" s="24" t="s">
        <v>7624</v>
      </c>
      <c r="D11257" s="59">
        <v>28.0</v>
      </c>
      <c r="E11257" s="59">
        <v>28.0</v>
      </c>
      <c r="F11257" s="59">
        <v>27.0</v>
      </c>
      <c r="G11257" s="60">
        <v>1.03703703703703</v>
      </c>
      <c r="H11257" s="60">
        <v>0.178571428571428</v>
      </c>
      <c r="I11257" s="60">
        <v>7.89930210714285</v>
      </c>
      <c r="J11257" s="59">
        <v>54.0</v>
      </c>
      <c r="K11257" s="61">
        <f t="shared" si="1"/>
        <v>0.9642857143</v>
      </c>
      <c r="L11257" s="62">
        <f t="shared" si="2"/>
        <v>1.928571429</v>
      </c>
    </row>
    <row r="11258">
      <c r="A11258" s="58">
        <v>44986.0</v>
      </c>
      <c r="B11258" s="24" t="s">
        <v>6789</v>
      </c>
      <c r="C11258" s="24" t="s">
        <v>6815</v>
      </c>
      <c r="D11258" s="59">
        <v>26.0</v>
      </c>
      <c r="E11258" s="59">
        <v>35.0</v>
      </c>
      <c r="F11258" s="59">
        <v>14.0</v>
      </c>
      <c r="G11258" s="60">
        <v>1.34615384615384</v>
      </c>
      <c r="H11258" s="60">
        <v>0.0</v>
      </c>
      <c r="I11258" s="60">
        <v>185.2960978</v>
      </c>
      <c r="J11258" s="59">
        <v>85.0</v>
      </c>
      <c r="K11258" s="61">
        <f t="shared" si="1"/>
        <v>0.4</v>
      </c>
      <c r="L11258" s="62">
        <f t="shared" si="2"/>
        <v>2.428571429</v>
      </c>
    </row>
    <row r="11259">
      <c r="A11259" s="58">
        <v>44986.0</v>
      </c>
      <c r="B11259" s="24" t="s">
        <v>6789</v>
      </c>
      <c r="C11259" s="24" t="s">
        <v>6803</v>
      </c>
      <c r="D11259" s="59">
        <v>23.0</v>
      </c>
      <c r="E11259" s="59">
        <v>33.0</v>
      </c>
      <c r="F11259" s="59">
        <v>19.0</v>
      </c>
      <c r="G11259" s="60">
        <v>1.43478260869565</v>
      </c>
      <c r="H11259" s="60">
        <v>0.0</v>
      </c>
      <c r="I11259" s="60">
        <v>39.9774138787878</v>
      </c>
      <c r="J11259" s="59">
        <v>68.0</v>
      </c>
      <c r="K11259" s="61">
        <f t="shared" si="1"/>
        <v>0.5757575758</v>
      </c>
      <c r="L11259" s="62">
        <f t="shared" si="2"/>
        <v>2.060606061</v>
      </c>
    </row>
    <row r="11260">
      <c r="A11260" s="58">
        <v>44986.0</v>
      </c>
      <c r="B11260" s="24" t="s">
        <v>6787</v>
      </c>
      <c r="C11260" s="24" t="s">
        <v>6892</v>
      </c>
      <c r="D11260" s="59">
        <v>20.0</v>
      </c>
      <c r="E11260" s="59">
        <v>20.0</v>
      </c>
      <c r="F11260" s="59">
        <v>19.0</v>
      </c>
      <c r="G11260" s="60">
        <v>1.0</v>
      </c>
      <c r="H11260" s="60">
        <v>0.0</v>
      </c>
      <c r="I11260" s="60">
        <v>88.17340935</v>
      </c>
      <c r="J11260" s="59">
        <v>40.0</v>
      </c>
      <c r="K11260" s="61">
        <f t="shared" si="1"/>
        <v>0.95</v>
      </c>
      <c r="L11260" s="62">
        <f t="shared" si="2"/>
        <v>2</v>
      </c>
    </row>
    <row r="11261">
      <c r="A11261" s="58">
        <v>44986.0</v>
      </c>
      <c r="B11261" s="24" t="s">
        <v>7606</v>
      </c>
      <c r="C11261" s="24" t="s">
        <v>6908</v>
      </c>
      <c r="D11261" s="59">
        <v>20.0</v>
      </c>
      <c r="E11261" s="59">
        <v>22.0</v>
      </c>
      <c r="F11261" s="59">
        <v>19.0</v>
      </c>
      <c r="G11261" s="60">
        <v>1.1</v>
      </c>
      <c r="H11261" s="60">
        <v>0.0454545454545454</v>
      </c>
      <c r="I11261" s="60">
        <v>8.07978068181818</v>
      </c>
      <c r="J11261" s="59">
        <v>49.0</v>
      </c>
      <c r="K11261" s="61">
        <f t="shared" si="1"/>
        <v>0.8636363636</v>
      </c>
      <c r="L11261" s="62">
        <f t="shared" si="2"/>
        <v>2.227272727</v>
      </c>
    </row>
    <row r="11262">
      <c r="A11262" s="58">
        <v>44986.0</v>
      </c>
      <c r="B11262" s="24" t="s">
        <v>6787</v>
      </c>
      <c r="C11262" s="24" t="s">
        <v>7624</v>
      </c>
      <c r="D11262" s="59">
        <v>18.0</v>
      </c>
      <c r="E11262" s="59">
        <v>19.0</v>
      </c>
      <c r="F11262" s="59">
        <v>17.0</v>
      </c>
      <c r="G11262" s="60">
        <v>1.05555555555555</v>
      </c>
      <c r="H11262" s="60">
        <v>0.0</v>
      </c>
      <c r="I11262" s="60">
        <v>174.157834421052</v>
      </c>
      <c r="J11262" s="59">
        <v>62.0</v>
      </c>
      <c r="K11262" s="61">
        <f t="shared" si="1"/>
        <v>0.8947368421</v>
      </c>
      <c r="L11262" s="62">
        <f t="shared" si="2"/>
        <v>3.263157895</v>
      </c>
    </row>
    <row r="11263">
      <c r="A11263" s="58">
        <v>44986.0</v>
      </c>
      <c r="B11263" s="24" t="s">
        <v>6787</v>
      </c>
      <c r="C11263" s="24" t="s">
        <v>6803</v>
      </c>
      <c r="D11263" s="59">
        <v>17.0</v>
      </c>
      <c r="E11263" s="59">
        <v>20.0</v>
      </c>
      <c r="F11263" s="59">
        <v>13.0</v>
      </c>
      <c r="G11263" s="60">
        <v>1.17647058823529</v>
      </c>
      <c r="H11263" s="60">
        <v>0.15</v>
      </c>
      <c r="I11263" s="60">
        <v>227.48278995</v>
      </c>
      <c r="J11263" s="59">
        <v>54.0</v>
      </c>
      <c r="K11263" s="61">
        <f t="shared" si="1"/>
        <v>0.65</v>
      </c>
      <c r="L11263" s="62">
        <f t="shared" si="2"/>
        <v>2.7</v>
      </c>
    </row>
    <row r="11264">
      <c r="A11264" s="58">
        <v>44986.0</v>
      </c>
      <c r="B11264" s="24" t="s">
        <v>6794</v>
      </c>
      <c r="C11264" s="24" t="s">
        <v>6892</v>
      </c>
      <c r="D11264" s="59">
        <v>17.0</v>
      </c>
      <c r="E11264" s="59">
        <v>19.0</v>
      </c>
      <c r="F11264" s="59">
        <v>14.0</v>
      </c>
      <c r="G11264" s="60">
        <v>1.11764705882352</v>
      </c>
      <c r="H11264" s="60">
        <v>0.0</v>
      </c>
      <c r="I11264" s="60">
        <v>220.31696268421</v>
      </c>
      <c r="J11264" s="59">
        <v>40.0</v>
      </c>
      <c r="K11264" s="61">
        <f t="shared" si="1"/>
        <v>0.7368421053</v>
      </c>
      <c r="L11264" s="62">
        <f t="shared" si="2"/>
        <v>2.105263158</v>
      </c>
    </row>
    <row r="11265">
      <c r="A11265" s="58">
        <v>44986.0</v>
      </c>
      <c r="B11265" s="24" t="s">
        <v>6789</v>
      </c>
      <c r="C11265" s="24" t="s">
        <v>6910</v>
      </c>
      <c r="D11265" s="59">
        <v>17.0</v>
      </c>
      <c r="E11265" s="59">
        <v>24.0</v>
      </c>
      <c r="F11265" s="59">
        <v>11.0</v>
      </c>
      <c r="G11265" s="60">
        <v>1.41176470588235</v>
      </c>
      <c r="H11265" s="60">
        <v>0.0833333333333333</v>
      </c>
      <c r="I11265" s="60">
        <v>296.734910458333</v>
      </c>
      <c r="J11265" s="59">
        <v>126.0</v>
      </c>
      <c r="K11265" s="61">
        <f t="shared" si="1"/>
        <v>0.4583333333</v>
      </c>
      <c r="L11265" s="62">
        <f t="shared" si="2"/>
        <v>5.25</v>
      </c>
    </row>
    <row r="11266">
      <c r="A11266" s="58">
        <v>44986.0</v>
      </c>
      <c r="B11266" s="24" t="s">
        <v>6789</v>
      </c>
      <c r="C11266" s="24" t="s">
        <v>6819</v>
      </c>
      <c r="D11266" s="59">
        <v>15.0</v>
      </c>
      <c r="E11266" s="59">
        <v>19.0</v>
      </c>
      <c r="F11266" s="59">
        <v>14.0</v>
      </c>
      <c r="G11266" s="60">
        <v>1.26666666666666</v>
      </c>
      <c r="H11266" s="60">
        <v>0.0</v>
      </c>
      <c r="I11266" s="60">
        <v>139.181331842105</v>
      </c>
      <c r="J11266" s="59">
        <v>40.0</v>
      </c>
      <c r="K11266" s="61">
        <f t="shared" si="1"/>
        <v>0.7368421053</v>
      </c>
      <c r="L11266" s="62">
        <f t="shared" si="2"/>
        <v>2.105263158</v>
      </c>
    </row>
    <row r="11267">
      <c r="A11267" s="58">
        <v>44986.0</v>
      </c>
      <c r="B11267" s="24" t="s">
        <v>6794</v>
      </c>
      <c r="C11267" s="24" t="s">
        <v>7074</v>
      </c>
      <c r="D11267" s="59">
        <v>15.0</v>
      </c>
      <c r="E11267" s="59">
        <v>15.0</v>
      </c>
      <c r="F11267" s="59">
        <v>10.0</v>
      </c>
      <c r="G11267" s="60">
        <v>1.0</v>
      </c>
      <c r="H11267" s="60">
        <v>0.0</v>
      </c>
      <c r="I11267" s="60">
        <v>10.6895234</v>
      </c>
      <c r="J11267" s="59">
        <v>32.0</v>
      </c>
      <c r="K11267" s="61">
        <f t="shared" si="1"/>
        <v>0.6666666667</v>
      </c>
      <c r="L11267" s="62">
        <f t="shared" si="2"/>
        <v>2.133333333</v>
      </c>
    </row>
    <row r="11268">
      <c r="A11268" s="58">
        <v>44986.0</v>
      </c>
      <c r="B11268" s="24" t="s">
        <v>7606</v>
      </c>
      <c r="C11268" s="24" t="s">
        <v>6921</v>
      </c>
      <c r="D11268" s="59">
        <v>15.0</v>
      </c>
      <c r="E11268" s="59">
        <v>16.0</v>
      </c>
      <c r="F11268" s="59">
        <v>15.0</v>
      </c>
      <c r="G11268" s="60">
        <v>1.06666666666666</v>
      </c>
      <c r="H11268" s="60">
        <v>0.0625</v>
      </c>
      <c r="I11268" s="60">
        <v>22.9424216874999</v>
      </c>
      <c r="J11268" s="59">
        <v>39.0</v>
      </c>
      <c r="K11268" s="61">
        <f t="shared" si="1"/>
        <v>0.9375</v>
      </c>
      <c r="L11268" s="62">
        <f t="shared" si="2"/>
        <v>2.4375</v>
      </c>
    </row>
    <row r="11269">
      <c r="A11269" s="58">
        <v>44986.0</v>
      </c>
      <c r="B11269" s="24" t="s">
        <v>6790</v>
      </c>
      <c r="C11269" s="24" t="s">
        <v>6792</v>
      </c>
      <c r="D11269" s="59">
        <v>14.0</v>
      </c>
      <c r="E11269" s="59">
        <v>15.0</v>
      </c>
      <c r="F11269" s="59">
        <v>0.0</v>
      </c>
      <c r="G11269" s="60">
        <v>2.14285714285714</v>
      </c>
      <c r="H11269" s="60">
        <v>1.0</v>
      </c>
      <c r="I11269" s="60">
        <v>0.0</v>
      </c>
      <c r="J11269" s="59">
        <v>0.0</v>
      </c>
      <c r="K11269" s="61">
        <f t="shared" si="1"/>
        <v>0</v>
      </c>
      <c r="L11269" s="62">
        <f t="shared" si="2"/>
        <v>0</v>
      </c>
    </row>
    <row r="11270">
      <c r="A11270" s="58">
        <v>44986.0</v>
      </c>
      <c r="B11270" s="24" t="s">
        <v>6791</v>
      </c>
      <c r="C11270" s="24" t="s">
        <v>7227</v>
      </c>
      <c r="D11270" s="59">
        <v>14.0</v>
      </c>
      <c r="E11270" s="59">
        <v>15.0</v>
      </c>
      <c r="F11270" s="59">
        <v>13.0</v>
      </c>
      <c r="G11270" s="60">
        <v>1.07142857142857</v>
      </c>
      <c r="H11270" s="60">
        <v>0.0666666666666666</v>
      </c>
      <c r="I11270" s="60">
        <v>32.7225814</v>
      </c>
      <c r="J11270" s="59">
        <v>33.0</v>
      </c>
      <c r="K11270" s="61">
        <f t="shared" si="1"/>
        <v>0.8666666667</v>
      </c>
      <c r="L11270" s="62">
        <f t="shared" si="2"/>
        <v>2.2</v>
      </c>
    </row>
    <row r="11271">
      <c r="A11271" s="58">
        <v>44986.0</v>
      </c>
      <c r="B11271" s="24" t="s">
        <v>6789</v>
      </c>
      <c r="C11271" s="24" t="s">
        <v>7313</v>
      </c>
      <c r="D11271" s="59">
        <v>14.0</v>
      </c>
      <c r="E11271" s="59">
        <v>43.0</v>
      </c>
      <c r="F11271" s="59">
        <v>2.0</v>
      </c>
      <c r="G11271" s="60">
        <v>3.07142857142857</v>
      </c>
      <c r="H11271" s="60">
        <v>0.0</v>
      </c>
      <c r="I11271" s="60">
        <v>121.964630069767</v>
      </c>
      <c r="J11271" s="59">
        <v>148.0</v>
      </c>
      <c r="K11271" s="61">
        <f t="shared" si="1"/>
        <v>0.04651162791</v>
      </c>
      <c r="L11271" s="62">
        <f t="shared" si="2"/>
        <v>3.441860465</v>
      </c>
    </row>
    <row r="11272">
      <c r="A11272" s="58">
        <v>44986.0</v>
      </c>
      <c r="B11272" s="24" t="s">
        <v>6787</v>
      </c>
      <c r="C11272" s="24" t="s">
        <v>6921</v>
      </c>
      <c r="D11272" s="59">
        <v>14.0</v>
      </c>
      <c r="E11272" s="59">
        <v>14.0</v>
      </c>
      <c r="F11272" s="59">
        <v>13.0</v>
      </c>
      <c r="G11272" s="60">
        <v>1.0</v>
      </c>
      <c r="H11272" s="60">
        <v>0.0</v>
      </c>
      <c r="I11272" s="60">
        <v>4.584954</v>
      </c>
      <c r="J11272" s="59">
        <v>28.0</v>
      </c>
      <c r="K11272" s="61">
        <f t="shared" si="1"/>
        <v>0.9285714286</v>
      </c>
      <c r="L11272" s="62">
        <f t="shared" si="2"/>
        <v>2</v>
      </c>
    </row>
    <row r="11273">
      <c r="A11273" s="58">
        <v>44986.0</v>
      </c>
      <c r="B11273" s="24" t="s">
        <v>6787</v>
      </c>
      <c r="C11273" s="24" t="s">
        <v>7227</v>
      </c>
      <c r="D11273" s="59">
        <v>13.0</v>
      </c>
      <c r="E11273" s="59">
        <v>13.0</v>
      </c>
      <c r="F11273" s="59">
        <v>12.0</v>
      </c>
      <c r="G11273" s="60">
        <v>1.0</v>
      </c>
      <c r="H11273" s="60">
        <v>0.0</v>
      </c>
      <c r="I11273" s="60">
        <v>167.533504384615</v>
      </c>
      <c r="J11273" s="59">
        <v>52.0</v>
      </c>
      <c r="K11273" s="61">
        <f t="shared" si="1"/>
        <v>0.9230769231</v>
      </c>
      <c r="L11273" s="62">
        <f t="shared" si="2"/>
        <v>4</v>
      </c>
    </row>
    <row r="11274">
      <c r="A11274" s="58">
        <v>44986.0</v>
      </c>
      <c r="B11274" s="24" t="s">
        <v>6787</v>
      </c>
      <c r="C11274" s="24" t="s">
        <v>6808</v>
      </c>
      <c r="D11274" s="59">
        <v>13.0</v>
      </c>
      <c r="E11274" s="59">
        <v>16.0</v>
      </c>
      <c r="F11274" s="59">
        <v>10.0</v>
      </c>
      <c r="G11274" s="60">
        <v>1.23076923076923</v>
      </c>
      <c r="H11274" s="60">
        <v>0.0625</v>
      </c>
      <c r="I11274" s="60">
        <v>291.1537643125</v>
      </c>
      <c r="J11274" s="59">
        <v>41.0</v>
      </c>
      <c r="K11274" s="61">
        <f t="shared" si="1"/>
        <v>0.625</v>
      </c>
      <c r="L11274" s="62">
        <f t="shared" si="2"/>
        <v>2.5625</v>
      </c>
    </row>
    <row r="11275">
      <c r="A11275" s="58">
        <v>44986.0</v>
      </c>
      <c r="B11275" s="24" t="s">
        <v>155</v>
      </c>
      <c r="C11275" s="24" t="s">
        <v>6792</v>
      </c>
      <c r="D11275" s="59">
        <v>11.0</v>
      </c>
      <c r="E11275" s="59">
        <v>18.0</v>
      </c>
      <c r="F11275" s="59">
        <v>0.0</v>
      </c>
      <c r="G11275" s="60">
        <v>2.57142857142857</v>
      </c>
      <c r="H11275" s="60">
        <v>1.0</v>
      </c>
      <c r="I11275" s="60">
        <v>0.00462305555555555</v>
      </c>
      <c r="J11275" s="59">
        <v>0.0</v>
      </c>
      <c r="K11275" s="61">
        <f t="shared" si="1"/>
        <v>0</v>
      </c>
      <c r="L11275" s="62">
        <f t="shared" si="2"/>
        <v>0</v>
      </c>
    </row>
    <row r="11276">
      <c r="A11276" s="58">
        <v>44986.0</v>
      </c>
      <c r="B11276" s="24" t="s">
        <v>6787</v>
      </c>
      <c r="C11276" s="24" t="s">
        <v>6835</v>
      </c>
      <c r="D11276" s="59">
        <v>11.0</v>
      </c>
      <c r="E11276" s="59">
        <v>17.0</v>
      </c>
      <c r="F11276" s="59">
        <v>11.0</v>
      </c>
      <c r="G11276" s="60">
        <v>1.54545454545454</v>
      </c>
      <c r="H11276" s="60">
        <v>0.0</v>
      </c>
      <c r="I11276" s="60">
        <v>55.4915099411764</v>
      </c>
      <c r="J11276" s="59">
        <v>35.0</v>
      </c>
      <c r="K11276" s="61">
        <f t="shared" si="1"/>
        <v>0.6470588235</v>
      </c>
      <c r="L11276" s="62">
        <f t="shared" si="2"/>
        <v>2.058823529</v>
      </c>
    </row>
    <row r="11277">
      <c r="A11277" s="58">
        <v>44986.0</v>
      </c>
      <c r="B11277" s="24" t="s">
        <v>6789</v>
      </c>
      <c r="C11277" s="24" t="s">
        <v>6835</v>
      </c>
      <c r="D11277" s="59">
        <v>11.0</v>
      </c>
      <c r="E11277" s="59">
        <v>12.0</v>
      </c>
      <c r="F11277" s="59">
        <v>10.0</v>
      </c>
      <c r="G11277" s="60">
        <v>1.09090909090909</v>
      </c>
      <c r="H11277" s="60">
        <v>0.0833333333333333</v>
      </c>
      <c r="I11277" s="60">
        <v>78.8009533333333</v>
      </c>
      <c r="J11277" s="59">
        <v>23.0</v>
      </c>
      <c r="K11277" s="61">
        <f t="shared" si="1"/>
        <v>0.8333333333</v>
      </c>
      <c r="L11277" s="62">
        <f t="shared" si="2"/>
        <v>1.916666667</v>
      </c>
    </row>
    <row r="11278">
      <c r="A11278" s="58">
        <v>44986.0</v>
      </c>
      <c r="B11278" s="24" t="s">
        <v>6787</v>
      </c>
      <c r="C11278" s="24" t="s">
        <v>6799</v>
      </c>
      <c r="D11278" s="59">
        <v>11.0</v>
      </c>
      <c r="E11278" s="59">
        <v>11.0</v>
      </c>
      <c r="F11278" s="59">
        <v>8.0</v>
      </c>
      <c r="G11278" s="60">
        <v>1.0</v>
      </c>
      <c r="H11278" s="60">
        <v>0.0909090909090909</v>
      </c>
      <c r="I11278" s="60">
        <v>391.766511</v>
      </c>
      <c r="J11278" s="59">
        <v>46.0</v>
      </c>
      <c r="K11278" s="61">
        <f t="shared" si="1"/>
        <v>0.7272727273</v>
      </c>
      <c r="L11278" s="62">
        <f t="shared" si="2"/>
        <v>4.181818182</v>
      </c>
    </row>
    <row r="11279">
      <c r="A11279" s="58">
        <v>44986.0</v>
      </c>
      <c r="B11279" s="24" t="s">
        <v>6789</v>
      </c>
      <c r="C11279" s="24" t="s">
        <v>6808</v>
      </c>
      <c r="D11279" s="59">
        <v>11.0</v>
      </c>
      <c r="E11279" s="59">
        <v>13.0</v>
      </c>
      <c r="F11279" s="59">
        <v>6.0</v>
      </c>
      <c r="G11279" s="60">
        <v>1.18181818181818</v>
      </c>
      <c r="H11279" s="60">
        <v>0.0</v>
      </c>
      <c r="I11279" s="60">
        <v>263.694020461538</v>
      </c>
      <c r="J11279" s="59">
        <v>46.0</v>
      </c>
      <c r="K11279" s="61">
        <f t="shared" si="1"/>
        <v>0.4615384615</v>
      </c>
      <c r="L11279" s="62">
        <f t="shared" si="2"/>
        <v>3.538461538</v>
      </c>
    </row>
    <row r="11280">
      <c r="A11280" s="58">
        <v>44986.0</v>
      </c>
      <c r="B11280" s="24" t="s">
        <v>6789</v>
      </c>
      <c r="C11280" s="24" t="s">
        <v>6817</v>
      </c>
      <c r="D11280" s="59">
        <v>10.0</v>
      </c>
      <c r="E11280" s="59">
        <v>17.0</v>
      </c>
      <c r="F11280" s="59">
        <v>1.0</v>
      </c>
      <c r="G11280" s="60">
        <v>1.7</v>
      </c>
      <c r="H11280" s="60">
        <v>0.0</v>
      </c>
      <c r="I11280" s="60">
        <v>323.218815705882</v>
      </c>
      <c r="J11280" s="59">
        <v>69.0</v>
      </c>
      <c r="K11280" s="61">
        <f t="shared" si="1"/>
        <v>0.05882352941</v>
      </c>
      <c r="L11280" s="62">
        <f t="shared" si="2"/>
        <v>4.058823529</v>
      </c>
    </row>
    <row r="11281">
      <c r="A11281" s="58">
        <v>44986.0</v>
      </c>
      <c r="B11281" s="24" t="s">
        <v>7606</v>
      </c>
      <c r="C11281" s="24" t="s">
        <v>7227</v>
      </c>
      <c r="D11281" s="59">
        <v>10.0</v>
      </c>
      <c r="E11281" s="59">
        <v>11.0</v>
      </c>
      <c r="F11281" s="59">
        <v>10.0</v>
      </c>
      <c r="G11281" s="60">
        <v>1.1</v>
      </c>
      <c r="H11281" s="60">
        <v>0.181818181818181</v>
      </c>
      <c r="I11281" s="60">
        <v>4.04671718181818</v>
      </c>
      <c r="J11281" s="59">
        <v>25.0</v>
      </c>
      <c r="K11281" s="61">
        <f t="shared" si="1"/>
        <v>0.9090909091</v>
      </c>
      <c r="L11281" s="62">
        <f t="shared" si="2"/>
        <v>2.272727273</v>
      </c>
    </row>
    <row r="11282">
      <c r="A11282" s="58">
        <v>44986.0</v>
      </c>
      <c r="B11282" s="24" t="s">
        <v>6787</v>
      </c>
      <c r="C11282" s="24" t="s">
        <v>7180</v>
      </c>
      <c r="D11282" s="59">
        <v>10.0</v>
      </c>
      <c r="E11282" s="59">
        <v>14.0</v>
      </c>
      <c r="F11282" s="59">
        <v>9.0</v>
      </c>
      <c r="G11282" s="60">
        <v>1.4</v>
      </c>
      <c r="H11282" s="60">
        <v>0.0</v>
      </c>
      <c r="I11282" s="60">
        <v>104.587793499999</v>
      </c>
      <c r="J11282" s="59">
        <v>39.0</v>
      </c>
      <c r="K11282" s="61">
        <f t="shared" si="1"/>
        <v>0.6428571429</v>
      </c>
      <c r="L11282" s="62">
        <f t="shared" si="2"/>
        <v>2.785714286</v>
      </c>
    </row>
    <row r="11283">
      <c r="A11283" s="58">
        <v>44986.0</v>
      </c>
      <c r="B11283" s="24" t="s">
        <v>6794</v>
      </c>
      <c r="C11283" s="24" t="s">
        <v>7180</v>
      </c>
      <c r="D11283" s="59">
        <v>10.0</v>
      </c>
      <c r="E11283" s="59">
        <v>12.0</v>
      </c>
      <c r="F11283" s="59">
        <v>8.0</v>
      </c>
      <c r="G11283" s="60">
        <v>1.2</v>
      </c>
      <c r="H11283" s="60">
        <v>0.0</v>
      </c>
      <c r="I11283" s="60">
        <v>135.977654083333</v>
      </c>
      <c r="J11283" s="59">
        <v>28.0</v>
      </c>
      <c r="K11283" s="61">
        <f t="shared" si="1"/>
        <v>0.6666666667</v>
      </c>
      <c r="L11283" s="62">
        <f t="shared" si="2"/>
        <v>2.333333333</v>
      </c>
    </row>
    <row r="11284">
      <c r="A11284" s="58">
        <v>44986.0</v>
      </c>
      <c r="B11284" s="24" t="s">
        <v>6789</v>
      </c>
      <c r="C11284" s="24" t="s">
        <v>6802</v>
      </c>
      <c r="D11284" s="59">
        <v>10.0</v>
      </c>
      <c r="E11284" s="59">
        <v>10.0</v>
      </c>
      <c r="F11284" s="59">
        <v>1.0</v>
      </c>
      <c r="G11284" s="60">
        <v>1.0</v>
      </c>
      <c r="H11284" s="60">
        <v>0.0</v>
      </c>
      <c r="I11284" s="60">
        <v>293.357298</v>
      </c>
      <c r="J11284" s="59">
        <v>52.0</v>
      </c>
      <c r="K11284" s="61">
        <f t="shared" si="1"/>
        <v>0.1</v>
      </c>
      <c r="L11284" s="62">
        <f t="shared" si="2"/>
        <v>5.2</v>
      </c>
    </row>
    <row r="11285">
      <c r="A11285" s="58">
        <v>44986.0</v>
      </c>
      <c r="B11285" s="24" t="s">
        <v>6787</v>
      </c>
      <c r="C11285" s="24" t="s">
        <v>6886</v>
      </c>
      <c r="D11285" s="59">
        <v>9.0</v>
      </c>
      <c r="E11285" s="59">
        <v>9.0</v>
      </c>
      <c r="F11285" s="59">
        <v>8.0</v>
      </c>
      <c r="G11285" s="60">
        <v>1.0</v>
      </c>
      <c r="H11285" s="60">
        <v>0.0</v>
      </c>
      <c r="I11285" s="60">
        <v>47.5322928888888</v>
      </c>
      <c r="J11285" s="59">
        <v>21.0</v>
      </c>
      <c r="K11285" s="61">
        <f t="shared" si="1"/>
        <v>0.8888888889</v>
      </c>
      <c r="L11285" s="62">
        <f t="shared" si="2"/>
        <v>2.333333333</v>
      </c>
    </row>
    <row r="11286">
      <c r="A11286" s="58">
        <v>44986.0</v>
      </c>
      <c r="B11286" s="24" t="s">
        <v>6794</v>
      </c>
      <c r="C11286" s="24" t="s">
        <v>6991</v>
      </c>
      <c r="D11286" s="59">
        <v>8.0</v>
      </c>
      <c r="E11286" s="59">
        <v>9.0</v>
      </c>
      <c r="F11286" s="59">
        <v>4.0</v>
      </c>
      <c r="G11286" s="60">
        <v>1.28571428571428</v>
      </c>
      <c r="H11286" s="60">
        <v>0.111111111111111</v>
      </c>
      <c r="I11286" s="60">
        <v>24.4980947777777</v>
      </c>
      <c r="J11286" s="59">
        <v>25.0</v>
      </c>
      <c r="K11286" s="61">
        <f t="shared" si="1"/>
        <v>0.4444444444</v>
      </c>
      <c r="L11286" s="62">
        <f t="shared" si="2"/>
        <v>2.777777778</v>
      </c>
    </row>
    <row r="11287">
      <c r="A11287" s="58">
        <v>44986.0</v>
      </c>
      <c r="B11287" s="24" t="s">
        <v>155</v>
      </c>
      <c r="C11287" s="24" t="s">
        <v>6815</v>
      </c>
      <c r="D11287" s="59">
        <v>8.0</v>
      </c>
      <c r="E11287" s="59">
        <v>15.0</v>
      </c>
      <c r="F11287" s="59">
        <v>6.0</v>
      </c>
      <c r="G11287" s="60">
        <v>1.875</v>
      </c>
      <c r="H11287" s="60">
        <v>0.133333333333333</v>
      </c>
      <c r="I11287" s="60">
        <v>256.113382333333</v>
      </c>
      <c r="J11287" s="59">
        <v>39.0</v>
      </c>
      <c r="K11287" s="61">
        <f t="shared" si="1"/>
        <v>0.4</v>
      </c>
      <c r="L11287" s="62">
        <f t="shared" si="2"/>
        <v>2.6</v>
      </c>
    </row>
    <row r="11288">
      <c r="A11288" s="58">
        <v>44986.0</v>
      </c>
      <c r="B11288" s="24" t="s">
        <v>6787</v>
      </c>
      <c r="C11288" s="24" t="s">
        <v>6797</v>
      </c>
      <c r="D11288" s="59">
        <v>8.0</v>
      </c>
      <c r="E11288" s="59">
        <v>8.0</v>
      </c>
      <c r="F11288" s="59">
        <v>8.0</v>
      </c>
      <c r="G11288" s="60">
        <v>1.0</v>
      </c>
      <c r="H11288" s="60">
        <v>0.0</v>
      </c>
      <c r="I11288" s="60">
        <v>3.977557</v>
      </c>
      <c r="J11288" s="59">
        <v>16.0</v>
      </c>
      <c r="K11288" s="61">
        <f t="shared" si="1"/>
        <v>1</v>
      </c>
      <c r="L11288" s="62">
        <f t="shared" si="2"/>
        <v>2</v>
      </c>
    </row>
    <row r="11289">
      <c r="A11289" s="58">
        <v>44986.0</v>
      </c>
      <c r="B11289" s="24" t="s">
        <v>6791</v>
      </c>
      <c r="C11289" s="24" t="s">
        <v>6802</v>
      </c>
      <c r="D11289" s="59">
        <v>8.0</v>
      </c>
      <c r="E11289" s="59">
        <v>8.0</v>
      </c>
      <c r="F11289" s="59">
        <v>8.0</v>
      </c>
      <c r="G11289" s="60">
        <v>1.0</v>
      </c>
      <c r="H11289" s="60">
        <v>0.125</v>
      </c>
      <c r="I11289" s="60">
        <v>26.55900825</v>
      </c>
      <c r="J11289" s="59">
        <v>20.0</v>
      </c>
      <c r="K11289" s="61">
        <f t="shared" si="1"/>
        <v>1</v>
      </c>
      <c r="L11289" s="62">
        <f t="shared" si="2"/>
        <v>2.5</v>
      </c>
    </row>
    <row r="11290">
      <c r="A11290" s="58">
        <v>44986.0</v>
      </c>
      <c r="B11290" s="24" t="s">
        <v>6790</v>
      </c>
      <c r="C11290" s="24" t="s">
        <v>7065</v>
      </c>
      <c r="D11290" s="59">
        <v>7.0</v>
      </c>
      <c r="E11290" s="59">
        <v>8.0</v>
      </c>
      <c r="F11290" s="59">
        <v>5.0</v>
      </c>
      <c r="G11290" s="60">
        <v>1.14285714285714</v>
      </c>
      <c r="H11290" s="60">
        <v>0.0</v>
      </c>
      <c r="I11290" s="60">
        <v>211.5614</v>
      </c>
      <c r="J11290" s="59">
        <v>19.0</v>
      </c>
      <c r="K11290" s="61">
        <f t="shared" si="1"/>
        <v>0.625</v>
      </c>
      <c r="L11290" s="62">
        <f t="shared" si="2"/>
        <v>2.375</v>
      </c>
    </row>
    <row r="11291">
      <c r="A11291" s="58">
        <v>44986.0</v>
      </c>
      <c r="B11291" s="24" t="s">
        <v>6789</v>
      </c>
      <c r="C11291" s="24" t="s">
        <v>6892</v>
      </c>
      <c r="D11291" s="59">
        <v>7.0</v>
      </c>
      <c r="E11291" s="59">
        <v>9.0</v>
      </c>
      <c r="F11291" s="59">
        <v>3.0</v>
      </c>
      <c r="G11291" s="60">
        <v>1.28571428571428</v>
      </c>
      <c r="H11291" s="60">
        <v>0.0</v>
      </c>
      <c r="I11291" s="60">
        <v>125.637868777777</v>
      </c>
      <c r="J11291" s="59">
        <v>32.0</v>
      </c>
      <c r="K11291" s="61">
        <f t="shared" si="1"/>
        <v>0.3333333333</v>
      </c>
      <c r="L11291" s="62">
        <f t="shared" si="2"/>
        <v>3.555555556</v>
      </c>
    </row>
    <row r="11292">
      <c r="A11292" s="58">
        <v>44986.0</v>
      </c>
      <c r="B11292" s="24" t="s">
        <v>6789</v>
      </c>
      <c r="C11292" s="24" t="s">
        <v>6800</v>
      </c>
      <c r="D11292" s="59">
        <v>7.0</v>
      </c>
      <c r="E11292" s="59">
        <v>9.0</v>
      </c>
      <c r="F11292" s="59">
        <v>4.0</v>
      </c>
      <c r="G11292" s="60">
        <v>1.28571428571428</v>
      </c>
      <c r="H11292" s="60">
        <v>0.0</v>
      </c>
      <c r="I11292" s="60">
        <v>31.0160264444444</v>
      </c>
      <c r="J11292" s="59">
        <v>18.0</v>
      </c>
      <c r="K11292" s="61">
        <f t="shared" si="1"/>
        <v>0.4444444444</v>
      </c>
      <c r="L11292" s="62">
        <f t="shared" si="2"/>
        <v>2</v>
      </c>
    </row>
    <row r="11293">
      <c r="A11293" s="58">
        <v>44986.0</v>
      </c>
      <c r="B11293" s="24" t="s">
        <v>6787</v>
      </c>
      <c r="C11293" s="24" t="s">
        <v>7172</v>
      </c>
      <c r="D11293" s="59">
        <v>7.0</v>
      </c>
      <c r="E11293" s="59">
        <v>9.0</v>
      </c>
      <c r="F11293" s="59">
        <v>5.0</v>
      </c>
      <c r="G11293" s="60">
        <v>1.28571428571428</v>
      </c>
      <c r="H11293" s="60">
        <v>0.0</v>
      </c>
      <c r="I11293" s="60">
        <v>6.27780555555555</v>
      </c>
      <c r="J11293" s="59">
        <v>18.0</v>
      </c>
      <c r="K11293" s="61">
        <f t="shared" si="1"/>
        <v>0.5555555556</v>
      </c>
      <c r="L11293" s="62">
        <f t="shared" si="2"/>
        <v>2</v>
      </c>
    </row>
    <row r="11294">
      <c r="A11294" s="58">
        <v>44986.0</v>
      </c>
      <c r="B11294" s="24" t="s">
        <v>6789</v>
      </c>
      <c r="C11294" s="24" t="s">
        <v>7058</v>
      </c>
      <c r="D11294" s="59">
        <v>6.0</v>
      </c>
      <c r="E11294" s="59">
        <v>6.0</v>
      </c>
      <c r="F11294" s="59">
        <v>5.0</v>
      </c>
      <c r="G11294" s="60">
        <v>1.0</v>
      </c>
      <c r="H11294" s="60">
        <v>0.0</v>
      </c>
      <c r="I11294" s="60">
        <v>50.4390364999999</v>
      </c>
      <c r="J11294" s="59">
        <v>16.0</v>
      </c>
      <c r="K11294" s="61">
        <f t="shared" si="1"/>
        <v>0.8333333333</v>
      </c>
      <c r="L11294" s="62">
        <f t="shared" si="2"/>
        <v>2.666666667</v>
      </c>
    </row>
    <row r="11295">
      <c r="A11295" s="58">
        <v>44986.0</v>
      </c>
      <c r="B11295" s="24" t="s">
        <v>6789</v>
      </c>
      <c r="C11295" s="24" t="s">
        <v>6990</v>
      </c>
      <c r="D11295" s="59">
        <v>6.0</v>
      </c>
      <c r="E11295" s="59">
        <v>7.0</v>
      </c>
      <c r="F11295" s="59">
        <v>5.0</v>
      </c>
      <c r="G11295" s="60">
        <v>1.16666666666666</v>
      </c>
      <c r="H11295" s="60">
        <v>0.0</v>
      </c>
      <c r="I11295" s="60">
        <v>205.826898571428</v>
      </c>
      <c r="J11295" s="59">
        <v>15.0</v>
      </c>
      <c r="K11295" s="61">
        <f t="shared" si="1"/>
        <v>0.7142857143</v>
      </c>
      <c r="L11295" s="62">
        <f t="shared" si="2"/>
        <v>2.142857143</v>
      </c>
    </row>
    <row r="11296">
      <c r="A11296" s="58">
        <v>44986.0</v>
      </c>
      <c r="B11296" s="24" t="s">
        <v>6794</v>
      </c>
      <c r="C11296" s="24" t="s">
        <v>6990</v>
      </c>
      <c r="D11296" s="59">
        <v>6.0</v>
      </c>
      <c r="E11296" s="59">
        <v>6.0</v>
      </c>
      <c r="F11296" s="59">
        <v>4.0</v>
      </c>
      <c r="G11296" s="60">
        <v>1.0</v>
      </c>
      <c r="H11296" s="60">
        <v>0.0</v>
      </c>
      <c r="I11296" s="60">
        <v>351.4485635</v>
      </c>
      <c r="J11296" s="59">
        <v>12.0</v>
      </c>
      <c r="K11296" s="61">
        <f t="shared" si="1"/>
        <v>0.6666666667</v>
      </c>
      <c r="L11296" s="62">
        <f t="shared" si="2"/>
        <v>2</v>
      </c>
    </row>
    <row r="11297">
      <c r="A11297" s="58">
        <v>44986.0</v>
      </c>
      <c r="B11297" s="24" t="s">
        <v>6789</v>
      </c>
      <c r="C11297" s="24" t="s">
        <v>7464</v>
      </c>
      <c r="D11297" s="59">
        <v>6.0</v>
      </c>
      <c r="E11297" s="59">
        <v>6.0</v>
      </c>
      <c r="F11297" s="59">
        <v>0.0</v>
      </c>
      <c r="G11297" s="60">
        <v>1.0</v>
      </c>
      <c r="H11297" s="60">
        <v>0.0</v>
      </c>
      <c r="I11297" s="60">
        <v>12.1065331666666</v>
      </c>
      <c r="J11297" s="59">
        <v>12.0</v>
      </c>
      <c r="K11297" s="61">
        <f t="shared" si="1"/>
        <v>0</v>
      </c>
      <c r="L11297" s="62">
        <f t="shared" si="2"/>
        <v>2</v>
      </c>
    </row>
    <row r="11298">
      <c r="A11298" s="58">
        <v>44986.0</v>
      </c>
      <c r="B11298" s="24" t="s">
        <v>6789</v>
      </c>
      <c r="C11298" s="24" t="s">
        <v>6896</v>
      </c>
      <c r="D11298" s="59">
        <v>6.0</v>
      </c>
      <c r="E11298" s="59">
        <v>7.0</v>
      </c>
      <c r="F11298" s="59">
        <v>6.0</v>
      </c>
      <c r="G11298" s="60">
        <v>1.16666666666666</v>
      </c>
      <c r="H11298" s="60">
        <v>0.0</v>
      </c>
      <c r="I11298" s="60">
        <v>74.2647334285714</v>
      </c>
      <c r="J11298" s="59">
        <v>14.0</v>
      </c>
      <c r="K11298" s="61">
        <f t="shared" si="1"/>
        <v>0.8571428571</v>
      </c>
      <c r="L11298" s="62">
        <f t="shared" si="2"/>
        <v>2</v>
      </c>
    </row>
    <row r="11299">
      <c r="A11299" s="58">
        <v>44986.0</v>
      </c>
      <c r="B11299" s="24" t="s">
        <v>6787</v>
      </c>
      <c r="C11299" s="24" t="s">
        <v>7313</v>
      </c>
      <c r="D11299" s="59">
        <v>6.0</v>
      </c>
      <c r="E11299" s="59">
        <v>7.0</v>
      </c>
      <c r="F11299" s="59">
        <v>4.0</v>
      </c>
      <c r="G11299" s="60">
        <v>1.16666666666666</v>
      </c>
      <c r="H11299" s="60">
        <v>0.0</v>
      </c>
      <c r="I11299" s="60">
        <v>317.190448571428</v>
      </c>
      <c r="J11299" s="59">
        <v>50.0</v>
      </c>
      <c r="K11299" s="61">
        <f t="shared" si="1"/>
        <v>0.5714285714</v>
      </c>
      <c r="L11299" s="62">
        <f t="shared" si="2"/>
        <v>7.142857143</v>
      </c>
    </row>
    <row r="11300">
      <c r="A11300" s="58">
        <v>44986.0</v>
      </c>
      <c r="B11300" s="24" t="s">
        <v>6789</v>
      </c>
      <c r="C11300" s="24" t="s">
        <v>7102</v>
      </c>
      <c r="D11300" s="59">
        <v>6.0</v>
      </c>
      <c r="E11300" s="59">
        <v>9.0</v>
      </c>
      <c r="F11300" s="59">
        <v>3.0</v>
      </c>
      <c r="G11300" s="60">
        <v>1.5</v>
      </c>
      <c r="H11300" s="60">
        <v>0.111111111111111</v>
      </c>
      <c r="I11300" s="60">
        <v>158.706752</v>
      </c>
      <c r="J11300" s="59">
        <v>27.0</v>
      </c>
      <c r="K11300" s="61">
        <f t="shared" si="1"/>
        <v>0.3333333333</v>
      </c>
      <c r="L11300" s="62">
        <f t="shared" si="2"/>
        <v>3</v>
      </c>
    </row>
    <row r="11301">
      <c r="A11301" s="58">
        <v>44986.0</v>
      </c>
      <c r="B11301" s="24" t="s">
        <v>6787</v>
      </c>
      <c r="C11301" s="24" t="s">
        <v>7027</v>
      </c>
      <c r="D11301" s="59">
        <v>6.0</v>
      </c>
      <c r="E11301" s="59">
        <v>6.0</v>
      </c>
      <c r="F11301" s="59">
        <v>6.0</v>
      </c>
      <c r="G11301" s="60">
        <v>1.0</v>
      </c>
      <c r="H11301" s="60">
        <v>0.0</v>
      </c>
      <c r="I11301" s="60">
        <v>6.56773516666666</v>
      </c>
      <c r="J11301" s="59">
        <v>11.0</v>
      </c>
      <c r="K11301" s="61">
        <f t="shared" si="1"/>
        <v>1</v>
      </c>
      <c r="L11301" s="62">
        <f t="shared" si="2"/>
        <v>1.833333333</v>
      </c>
    </row>
    <row r="11302">
      <c r="A11302" s="58">
        <v>44986.0</v>
      </c>
      <c r="B11302" s="24" t="s">
        <v>6794</v>
      </c>
      <c r="C11302" s="24" t="s">
        <v>7027</v>
      </c>
      <c r="D11302" s="59">
        <v>6.0</v>
      </c>
      <c r="E11302" s="59">
        <v>6.0</v>
      </c>
      <c r="F11302" s="59">
        <v>4.0</v>
      </c>
      <c r="G11302" s="60">
        <v>1.0</v>
      </c>
      <c r="H11302" s="60">
        <v>0.0</v>
      </c>
      <c r="I11302" s="60">
        <v>14.7562365</v>
      </c>
      <c r="J11302" s="59">
        <v>12.0</v>
      </c>
      <c r="K11302" s="61">
        <f t="shared" si="1"/>
        <v>0.6666666667</v>
      </c>
      <c r="L11302" s="62">
        <f t="shared" si="2"/>
        <v>2</v>
      </c>
    </row>
    <row r="11303">
      <c r="A11303" s="58">
        <v>44986.0</v>
      </c>
      <c r="B11303" s="24" t="s">
        <v>6790</v>
      </c>
      <c r="C11303" s="24" t="s">
        <v>7027</v>
      </c>
      <c r="D11303" s="59">
        <v>6.0</v>
      </c>
      <c r="E11303" s="59">
        <v>7.0</v>
      </c>
      <c r="F11303" s="59">
        <v>4.0</v>
      </c>
      <c r="G11303" s="60">
        <v>1.16666666666666</v>
      </c>
      <c r="H11303" s="60">
        <v>0.0</v>
      </c>
      <c r="I11303" s="60">
        <v>74.810557</v>
      </c>
      <c r="J11303" s="59">
        <v>16.0</v>
      </c>
      <c r="K11303" s="61">
        <f t="shared" si="1"/>
        <v>0.5714285714</v>
      </c>
      <c r="L11303" s="62">
        <f t="shared" si="2"/>
        <v>2.285714286</v>
      </c>
    </row>
    <row r="11304">
      <c r="A11304" s="58">
        <v>44986.0</v>
      </c>
      <c r="B11304" s="24" t="s">
        <v>6789</v>
      </c>
      <c r="C11304" s="24" t="s">
        <v>7180</v>
      </c>
      <c r="D11304" s="59">
        <v>6.0</v>
      </c>
      <c r="E11304" s="59">
        <v>7.0</v>
      </c>
      <c r="F11304" s="59">
        <v>5.0</v>
      </c>
      <c r="G11304" s="60">
        <v>1.16666666666666</v>
      </c>
      <c r="H11304" s="60">
        <v>0.0</v>
      </c>
      <c r="I11304" s="60">
        <v>55.3998041428571</v>
      </c>
      <c r="J11304" s="59">
        <v>16.0</v>
      </c>
      <c r="K11304" s="61">
        <f t="shared" si="1"/>
        <v>0.7142857143</v>
      </c>
      <c r="L11304" s="62">
        <f t="shared" si="2"/>
        <v>2.285714286</v>
      </c>
    </row>
    <row r="11305">
      <c r="A11305" s="58">
        <v>44986.0</v>
      </c>
      <c r="B11305" s="24" t="s">
        <v>7606</v>
      </c>
      <c r="C11305" s="24" t="s">
        <v>6797</v>
      </c>
      <c r="D11305" s="59">
        <v>6.0</v>
      </c>
      <c r="E11305" s="59">
        <v>6.0</v>
      </c>
      <c r="F11305" s="59">
        <v>6.0</v>
      </c>
      <c r="G11305" s="60">
        <v>1.0</v>
      </c>
      <c r="H11305" s="60">
        <v>0.166666666666666</v>
      </c>
      <c r="I11305" s="60">
        <v>2.86164566666666</v>
      </c>
      <c r="J11305" s="59">
        <v>13.0</v>
      </c>
      <c r="K11305" s="61">
        <f t="shared" si="1"/>
        <v>1</v>
      </c>
      <c r="L11305" s="62">
        <f t="shared" si="2"/>
        <v>2.166666667</v>
      </c>
    </row>
    <row r="11306">
      <c r="A11306" s="58">
        <v>44986.0</v>
      </c>
      <c r="B11306" s="24" t="s">
        <v>6787</v>
      </c>
      <c r="C11306" s="24" t="s">
        <v>6802</v>
      </c>
      <c r="D11306" s="59">
        <v>6.0</v>
      </c>
      <c r="E11306" s="59">
        <v>7.0</v>
      </c>
      <c r="F11306" s="59">
        <v>3.0</v>
      </c>
      <c r="G11306" s="60">
        <v>1.16666666666666</v>
      </c>
      <c r="H11306" s="60">
        <v>0.285714285714285</v>
      </c>
      <c r="I11306" s="60">
        <v>632.720556999999</v>
      </c>
      <c r="J11306" s="59">
        <v>34.0</v>
      </c>
      <c r="K11306" s="61">
        <f t="shared" si="1"/>
        <v>0.4285714286</v>
      </c>
      <c r="L11306" s="62">
        <f t="shared" si="2"/>
        <v>4.857142857</v>
      </c>
    </row>
    <row r="11307">
      <c r="A11307" s="58">
        <v>44986.0</v>
      </c>
      <c r="B11307" s="24" t="s">
        <v>155</v>
      </c>
      <c r="C11307" s="24" t="s">
        <v>6803</v>
      </c>
      <c r="D11307" s="59">
        <v>5.0</v>
      </c>
      <c r="E11307" s="59">
        <v>6.0</v>
      </c>
      <c r="F11307" s="59">
        <v>3.0</v>
      </c>
      <c r="G11307" s="60">
        <v>1.2</v>
      </c>
      <c r="H11307" s="60">
        <v>0.166666666666666</v>
      </c>
      <c r="I11307" s="60">
        <v>60.5111161666666</v>
      </c>
      <c r="J11307" s="59">
        <v>18.0</v>
      </c>
      <c r="K11307" s="61">
        <f t="shared" si="1"/>
        <v>0.5</v>
      </c>
      <c r="L11307" s="62">
        <f t="shared" si="2"/>
        <v>3</v>
      </c>
    </row>
    <row r="11308">
      <c r="A11308" s="58">
        <v>44986.0</v>
      </c>
      <c r="B11308" s="24" t="s">
        <v>6790</v>
      </c>
      <c r="C11308" s="24" t="s">
        <v>6833</v>
      </c>
      <c r="D11308" s="59">
        <v>5.0</v>
      </c>
      <c r="E11308" s="59">
        <v>7.0</v>
      </c>
      <c r="F11308" s="59">
        <v>4.0</v>
      </c>
      <c r="G11308" s="60">
        <v>1.4</v>
      </c>
      <c r="H11308" s="60">
        <v>0.0</v>
      </c>
      <c r="I11308" s="60">
        <v>38.3687505714285</v>
      </c>
      <c r="J11308" s="59">
        <v>15.0</v>
      </c>
      <c r="K11308" s="61">
        <f t="shared" si="1"/>
        <v>0.5714285714</v>
      </c>
      <c r="L11308" s="62">
        <f t="shared" si="2"/>
        <v>2.142857143</v>
      </c>
    </row>
    <row r="11309">
      <c r="A11309" s="58">
        <v>44986.0</v>
      </c>
      <c r="B11309" s="24" t="s">
        <v>6794</v>
      </c>
      <c r="C11309" s="24" t="s">
        <v>6989</v>
      </c>
      <c r="D11309" s="59">
        <v>5.0</v>
      </c>
      <c r="E11309" s="59">
        <v>5.0</v>
      </c>
      <c r="F11309" s="59">
        <v>3.0</v>
      </c>
      <c r="G11309" s="60">
        <v>1.0</v>
      </c>
      <c r="H11309" s="60">
        <v>0.0</v>
      </c>
      <c r="I11309" s="60">
        <v>6.71746819999999</v>
      </c>
      <c r="J11309" s="59">
        <v>10.0</v>
      </c>
      <c r="K11309" s="61">
        <f t="shared" si="1"/>
        <v>0.6</v>
      </c>
      <c r="L11309" s="62">
        <f t="shared" si="2"/>
        <v>2</v>
      </c>
    </row>
    <row r="11310">
      <c r="A11310" s="58">
        <v>44986.0</v>
      </c>
      <c r="B11310" s="24" t="s">
        <v>6789</v>
      </c>
      <c r="C11310" s="24" t="s">
        <v>7074</v>
      </c>
      <c r="D11310" s="59">
        <v>5.0</v>
      </c>
      <c r="E11310" s="59">
        <v>6.0</v>
      </c>
      <c r="F11310" s="59">
        <v>5.0</v>
      </c>
      <c r="G11310" s="60">
        <v>1.2</v>
      </c>
      <c r="H11310" s="60">
        <v>0.0</v>
      </c>
      <c r="I11310" s="60">
        <v>43.4516554999999</v>
      </c>
      <c r="J11310" s="59">
        <v>15.0</v>
      </c>
      <c r="K11310" s="61">
        <f t="shared" si="1"/>
        <v>0.8333333333</v>
      </c>
      <c r="L11310" s="62">
        <f t="shared" si="2"/>
        <v>2.5</v>
      </c>
    </row>
    <row r="11311">
      <c r="A11311" s="58">
        <v>44986.0</v>
      </c>
      <c r="B11311" s="24" t="s">
        <v>155</v>
      </c>
      <c r="C11311" s="24" t="s">
        <v>6892</v>
      </c>
      <c r="D11311" s="59">
        <v>5.0</v>
      </c>
      <c r="E11311" s="59">
        <v>5.0</v>
      </c>
      <c r="F11311" s="59">
        <v>5.0</v>
      </c>
      <c r="G11311" s="60">
        <v>1.0</v>
      </c>
      <c r="H11311" s="60">
        <v>0.0</v>
      </c>
      <c r="I11311" s="60">
        <v>5.0224072</v>
      </c>
      <c r="J11311" s="59">
        <v>10.0</v>
      </c>
      <c r="K11311" s="61">
        <f t="shared" si="1"/>
        <v>1</v>
      </c>
      <c r="L11311" s="62">
        <f t="shared" si="2"/>
        <v>2</v>
      </c>
    </row>
    <row r="11312">
      <c r="A11312" s="58">
        <v>44986.0</v>
      </c>
      <c r="B11312" s="24" t="s">
        <v>6794</v>
      </c>
      <c r="C11312" s="24" t="s">
        <v>7624</v>
      </c>
      <c r="D11312" s="59">
        <v>5.0</v>
      </c>
      <c r="E11312" s="59">
        <v>6.0</v>
      </c>
      <c r="F11312" s="59">
        <v>3.0</v>
      </c>
      <c r="G11312" s="60">
        <v>1.2</v>
      </c>
      <c r="H11312" s="60">
        <v>0.0</v>
      </c>
      <c r="I11312" s="60">
        <v>452.367573</v>
      </c>
      <c r="J11312" s="59">
        <v>20.0</v>
      </c>
      <c r="K11312" s="61">
        <f t="shared" si="1"/>
        <v>0.5</v>
      </c>
      <c r="L11312" s="62">
        <f t="shared" si="2"/>
        <v>3.333333333</v>
      </c>
    </row>
    <row r="11313">
      <c r="A11313" s="58">
        <v>44986.0</v>
      </c>
      <c r="B11313" s="24" t="s">
        <v>6787</v>
      </c>
      <c r="C11313" s="24" t="s">
        <v>6800</v>
      </c>
      <c r="D11313" s="59">
        <v>5.0</v>
      </c>
      <c r="E11313" s="59">
        <v>7.0</v>
      </c>
      <c r="F11313" s="59">
        <v>4.0</v>
      </c>
      <c r="G11313" s="60">
        <v>1.4</v>
      </c>
      <c r="H11313" s="60">
        <v>0.0</v>
      </c>
      <c r="I11313" s="60">
        <v>45.0896295714285</v>
      </c>
      <c r="J11313" s="59">
        <v>22.0</v>
      </c>
      <c r="K11313" s="61">
        <f t="shared" si="1"/>
        <v>0.5714285714</v>
      </c>
      <c r="L11313" s="62">
        <f t="shared" si="2"/>
        <v>3.142857143</v>
      </c>
    </row>
    <row r="11314">
      <c r="A11314" s="58">
        <v>44986.0</v>
      </c>
      <c r="B11314" s="24" t="s">
        <v>6789</v>
      </c>
      <c r="C11314" s="24" t="s">
        <v>7027</v>
      </c>
      <c r="D11314" s="59">
        <v>5.0</v>
      </c>
      <c r="E11314" s="59">
        <v>7.0</v>
      </c>
      <c r="F11314" s="59">
        <v>1.0</v>
      </c>
      <c r="G11314" s="60">
        <v>1.4</v>
      </c>
      <c r="H11314" s="60">
        <v>0.142857142857142</v>
      </c>
      <c r="I11314" s="60">
        <v>128.042954999999</v>
      </c>
      <c r="J11314" s="59">
        <v>13.0</v>
      </c>
      <c r="K11314" s="61">
        <f t="shared" si="1"/>
        <v>0.1428571429</v>
      </c>
      <c r="L11314" s="62">
        <f t="shared" si="2"/>
        <v>1.857142857</v>
      </c>
    </row>
    <row r="11315">
      <c r="A11315" s="58">
        <v>44986.0</v>
      </c>
      <c r="B11315" s="24" t="s">
        <v>6787</v>
      </c>
      <c r="C11315" s="24" t="s">
        <v>6922</v>
      </c>
      <c r="D11315" s="59">
        <v>5.0</v>
      </c>
      <c r="E11315" s="59">
        <v>5.0</v>
      </c>
      <c r="F11315" s="59">
        <v>3.0</v>
      </c>
      <c r="G11315" s="60">
        <v>1.0</v>
      </c>
      <c r="H11315" s="60">
        <v>0.0</v>
      </c>
      <c r="I11315" s="60">
        <v>664.854012</v>
      </c>
      <c r="J11315" s="59">
        <v>41.0</v>
      </c>
      <c r="K11315" s="61">
        <f t="shared" si="1"/>
        <v>0.6</v>
      </c>
      <c r="L11315" s="62">
        <f t="shared" si="2"/>
        <v>8.2</v>
      </c>
    </row>
    <row r="11316">
      <c r="A11316" s="58">
        <v>44986.0</v>
      </c>
      <c r="B11316" s="24" t="s">
        <v>6789</v>
      </c>
      <c r="C11316" s="24" t="s">
        <v>6797</v>
      </c>
      <c r="D11316" s="59">
        <v>5.0</v>
      </c>
      <c r="E11316" s="59">
        <v>9.0</v>
      </c>
      <c r="F11316" s="59">
        <v>1.0</v>
      </c>
      <c r="G11316" s="60">
        <v>1.8</v>
      </c>
      <c r="H11316" s="60">
        <v>0.0</v>
      </c>
      <c r="I11316" s="60">
        <v>8.06025977777777</v>
      </c>
      <c r="J11316" s="59">
        <v>22.0</v>
      </c>
      <c r="K11316" s="61">
        <f t="shared" si="1"/>
        <v>0.1111111111</v>
      </c>
      <c r="L11316" s="62">
        <f t="shared" si="2"/>
        <v>2.444444444</v>
      </c>
    </row>
    <row r="11317">
      <c r="A11317" s="58">
        <v>44986.0</v>
      </c>
      <c r="B11317" s="24" t="s">
        <v>6787</v>
      </c>
      <c r="C11317" s="24" t="s">
        <v>6931</v>
      </c>
      <c r="D11317" s="59">
        <v>5.0</v>
      </c>
      <c r="E11317" s="59">
        <v>5.0</v>
      </c>
      <c r="F11317" s="59">
        <v>5.0</v>
      </c>
      <c r="G11317" s="60">
        <v>1.0</v>
      </c>
      <c r="H11317" s="60">
        <v>0.0</v>
      </c>
      <c r="I11317" s="60">
        <v>8.6030042</v>
      </c>
      <c r="J11317" s="59">
        <v>18.0</v>
      </c>
      <c r="K11317" s="61">
        <f t="shared" si="1"/>
        <v>1</v>
      </c>
      <c r="L11317" s="62">
        <f t="shared" si="2"/>
        <v>3.6</v>
      </c>
    </row>
    <row r="11318">
      <c r="A11318" s="58">
        <v>44986.0</v>
      </c>
      <c r="B11318" s="24" t="s">
        <v>6791</v>
      </c>
      <c r="C11318" s="27"/>
      <c r="D11318" s="59">
        <v>4.0</v>
      </c>
      <c r="E11318" s="59">
        <v>5.0</v>
      </c>
      <c r="F11318" s="59">
        <v>0.0</v>
      </c>
      <c r="G11318" s="60">
        <v>1.25</v>
      </c>
      <c r="H11318" s="60">
        <v>0.2</v>
      </c>
      <c r="I11318" s="60">
        <v>30.6554688</v>
      </c>
      <c r="J11318" s="59">
        <v>21.0</v>
      </c>
      <c r="K11318" s="61">
        <f t="shared" si="1"/>
        <v>0</v>
      </c>
      <c r="L11318" s="62">
        <f t="shared" si="2"/>
        <v>4.2</v>
      </c>
    </row>
    <row r="11319">
      <c r="A11319" s="58">
        <v>44986.0</v>
      </c>
      <c r="B11319" s="24" t="s">
        <v>3216</v>
      </c>
      <c r="C11319" s="24" t="s">
        <v>6792</v>
      </c>
      <c r="D11319" s="59">
        <v>4.0</v>
      </c>
      <c r="E11319" s="59">
        <v>4.0</v>
      </c>
      <c r="F11319" s="59">
        <v>0.0</v>
      </c>
      <c r="G11319" s="60">
        <v>1.0</v>
      </c>
      <c r="H11319" s="60">
        <v>1.0</v>
      </c>
      <c r="I11319" s="60">
        <v>0.0</v>
      </c>
      <c r="J11319" s="59">
        <v>0.0</v>
      </c>
      <c r="K11319" s="61">
        <f t="shared" si="1"/>
        <v>0</v>
      </c>
      <c r="L11319" s="62">
        <f t="shared" si="2"/>
        <v>0</v>
      </c>
    </row>
    <row r="11320">
      <c r="A11320" s="58">
        <v>44986.0</v>
      </c>
      <c r="B11320" s="24" t="s">
        <v>6791</v>
      </c>
      <c r="C11320" s="24" t="s">
        <v>6792</v>
      </c>
      <c r="D11320" s="59">
        <v>4.0</v>
      </c>
      <c r="E11320" s="59">
        <v>4.0</v>
      </c>
      <c r="F11320" s="59">
        <v>0.0</v>
      </c>
      <c r="G11320" s="60">
        <v>2.0</v>
      </c>
      <c r="H11320" s="60">
        <v>1.0</v>
      </c>
      <c r="I11320" s="60">
        <v>0.0</v>
      </c>
      <c r="J11320" s="59">
        <v>0.0</v>
      </c>
      <c r="K11320" s="61">
        <f t="shared" si="1"/>
        <v>0</v>
      </c>
      <c r="L11320" s="62">
        <f t="shared" si="2"/>
        <v>0</v>
      </c>
    </row>
    <row r="11321">
      <c r="A11321" s="58">
        <v>44986.0</v>
      </c>
      <c r="B11321" s="24" t="s">
        <v>7100</v>
      </c>
      <c r="C11321" s="24" t="s">
        <v>6792</v>
      </c>
      <c r="D11321" s="59">
        <v>4.0</v>
      </c>
      <c r="E11321" s="59">
        <v>12.0</v>
      </c>
      <c r="F11321" s="59">
        <v>0.0</v>
      </c>
      <c r="G11321" s="60">
        <v>4.0</v>
      </c>
      <c r="H11321" s="60">
        <v>0.833333333333333</v>
      </c>
      <c r="I11321" s="60">
        <v>141.823863333333</v>
      </c>
      <c r="J11321" s="59">
        <v>0.0</v>
      </c>
      <c r="K11321" s="61">
        <f t="shared" si="1"/>
        <v>0</v>
      </c>
      <c r="L11321" s="62">
        <f t="shared" si="2"/>
        <v>0</v>
      </c>
    </row>
    <row r="11322">
      <c r="A11322" s="58">
        <v>44986.0</v>
      </c>
      <c r="B11322" s="24" t="s">
        <v>6787</v>
      </c>
      <c r="C11322" s="24" t="s">
        <v>6861</v>
      </c>
      <c r="D11322" s="59">
        <v>4.0</v>
      </c>
      <c r="E11322" s="59">
        <v>6.0</v>
      </c>
      <c r="F11322" s="59">
        <v>1.0</v>
      </c>
      <c r="G11322" s="60">
        <v>1.5</v>
      </c>
      <c r="H11322" s="60">
        <v>0.0</v>
      </c>
      <c r="I11322" s="60">
        <v>190.4311725</v>
      </c>
      <c r="J11322" s="59">
        <v>26.0</v>
      </c>
      <c r="K11322" s="61">
        <f t="shared" si="1"/>
        <v>0.1666666667</v>
      </c>
      <c r="L11322" s="62">
        <f t="shared" si="2"/>
        <v>4.333333333</v>
      </c>
    </row>
    <row r="11323">
      <c r="A11323" s="58">
        <v>44986.0</v>
      </c>
      <c r="B11323" s="24" t="s">
        <v>6794</v>
      </c>
      <c r="C11323" s="24" t="s">
        <v>7068</v>
      </c>
      <c r="D11323" s="59">
        <v>4.0</v>
      </c>
      <c r="E11323" s="59">
        <v>4.0</v>
      </c>
      <c r="F11323" s="59">
        <v>3.0</v>
      </c>
      <c r="G11323" s="60">
        <v>1.0</v>
      </c>
      <c r="H11323" s="60">
        <v>0.0</v>
      </c>
      <c r="I11323" s="60">
        <v>27.19511875</v>
      </c>
      <c r="J11323" s="59">
        <v>8.0</v>
      </c>
      <c r="K11323" s="61">
        <f t="shared" si="1"/>
        <v>0.75</v>
      </c>
      <c r="L11323" s="62">
        <f t="shared" si="2"/>
        <v>2</v>
      </c>
    </row>
    <row r="11324">
      <c r="A11324" s="58">
        <v>44986.0</v>
      </c>
      <c r="B11324" s="24" t="s">
        <v>6787</v>
      </c>
      <c r="C11324" s="24" t="s">
        <v>7464</v>
      </c>
      <c r="D11324" s="59">
        <v>4.0</v>
      </c>
      <c r="E11324" s="59">
        <v>6.0</v>
      </c>
      <c r="F11324" s="59">
        <v>3.0</v>
      </c>
      <c r="G11324" s="60">
        <v>1.5</v>
      </c>
      <c r="H11324" s="60">
        <v>0.0</v>
      </c>
      <c r="I11324" s="60">
        <v>16.6496965</v>
      </c>
      <c r="J11324" s="59">
        <v>12.0</v>
      </c>
      <c r="K11324" s="61">
        <f t="shared" si="1"/>
        <v>0.5</v>
      </c>
      <c r="L11324" s="62">
        <f t="shared" si="2"/>
        <v>2</v>
      </c>
    </row>
    <row r="11325">
      <c r="A11325" s="58">
        <v>44986.0</v>
      </c>
      <c r="B11325" s="24" t="s">
        <v>6789</v>
      </c>
      <c r="C11325" s="24" t="s">
        <v>6886</v>
      </c>
      <c r="D11325" s="59">
        <v>4.0</v>
      </c>
      <c r="E11325" s="59">
        <v>4.0</v>
      </c>
      <c r="F11325" s="59">
        <v>0.0</v>
      </c>
      <c r="G11325" s="60">
        <v>1.0</v>
      </c>
      <c r="H11325" s="60">
        <v>0.0</v>
      </c>
      <c r="I11325" s="60">
        <v>184.55768325</v>
      </c>
      <c r="J11325" s="59">
        <v>12.0</v>
      </c>
      <c r="K11325" s="61">
        <f t="shared" si="1"/>
        <v>0</v>
      </c>
      <c r="L11325" s="62">
        <f t="shared" si="2"/>
        <v>3</v>
      </c>
    </row>
    <row r="11326">
      <c r="A11326" s="58">
        <v>44986.0</v>
      </c>
      <c r="B11326" s="24" t="s">
        <v>6789</v>
      </c>
      <c r="C11326" s="24" t="s">
        <v>7624</v>
      </c>
      <c r="D11326" s="59">
        <v>4.0</v>
      </c>
      <c r="E11326" s="59">
        <v>4.0</v>
      </c>
      <c r="F11326" s="59">
        <v>1.0</v>
      </c>
      <c r="G11326" s="60">
        <v>1.0</v>
      </c>
      <c r="H11326" s="60">
        <v>0.0</v>
      </c>
      <c r="I11326" s="60">
        <v>19.50372225</v>
      </c>
      <c r="J11326" s="59">
        <v>11.0</v>
      </c>
      <c r="K11326" s="61">
        <f t="shared" si="1"/>
        <v>0.25</v>
      </c>
      <c r="L11326" s="62">
        <f t="shared" si="2"/>
        <v>2.75</v>
      </c>
    </row>
    <row r="11327">
      <c r="A11327" s="58">
        <v>44986.0</v>
      </c>
      <c r="B11327" s="24" t="s">
        <v>6791</v>
      </c>
      <c r="C11327" s="24" t="s">
        <v>7261</v>
      </c>
      <c r="D11327" s="59">
        <v>4.0</v>
      </c>
      <c r="E11327" s="59">
        <v>4.0</v>
      </c>
      <c r="F11327" s="59">
        <v>4.0</v>
      </c>
      <c r="G11327" s="60">
        <v>1.0</v>
      </c>
      <c r="H11327" s="60">
        <v>0.0</v>
      </c>
      <c r="I11327" s="60">
        <v>83.43993825</v>
      </c>
      <c r="J11327" s="59">
        <v>10.0</v>
      </c>
      <c r="K11327" s="61">
        <f t="shared" si="1"/>
        <v>1</v>
      </c>
      <c r="L11327" s="62">
        <f t="shared" si="2"/>
        <v>2.5</v>
      </c>
    </row>
    <row r="11328">
      <c r="A11328" s="58">
        <v>44986.0</v>
      </c>
      <c r="B11328" s="24" t="s">
        <v>155</v>
      </c>
      <c r="C11328" s="24" t="s">
        <v>6808</v>
      </c>
      <c r="D11328" s="59">
        <v>4.0</v>
      </c>
      <c r="E11328" s="59">
        <v>6.0</v>
      </c>
      <c r="F11328" s="59">
        <v>1.0</v>
      </c>
      <c r="G11328" s="60">
        <v>1.5</v>
      </c>
      <c r="H11328" s="60">
        <v>0.0</v>
      </c>
      <c r="I11328" s="60">
        <v>49.4529091666666</v>
      </c>
      <c r="J11328" s="59">
        <v>16.0</v>
      </c>
      <c r="K11328" s="61">
        <f t="shared" si="1"/>
        <v>0.1666666667</v>
      </c>
      <c r="L11328" s="62">
        <f t="shared" si="2"/>
        <v>2.666666667</v>
      </c>
    </row>
    <row r="11329">
      <c r="A11329" s="58">
        <v>44986.0</v>
      </c>
      <c r="B11329" s="24" t="s">
        <v>6789</v>
      </c>
      <c r="C11329" s="24" t="s">
        <v>6908</v>
      </c>
      <c r="D11329" s="59">
        <v>4.0</v>
      </c>
      <c r="E11329" s="59">
        <v>4.0</v>
      </c>
      <c r="F11329" s="59">
        <v>2.0</v>
      </c>
      <c r="G11329" s="60">
        <v>1.0</v>
      </c>
      <c r="H11329" s="60">
        <v>0.0</v>
      </c>
      <c r="I11329" s="60">
        <v>7.7313615</v>
      </c>
      <c r="J11329" s="59">
        <v>8.0</v>
      </c>
      <c r="K11329" s="61">
        <f t="shared" si="1"/>
        <v>0.5</v>
      </c>
      <c r="L11329" s="62">
        <f t="shared" si="2"/>
        <v>2</v>
      </c>
    </row>
    <row r="11330">
      <c r="A11330" s="58">
        <v>44986.0</v>
      </c>
      <c r="B11330" s="24" t="s">
        <v>6789</v>
      </c>
      <c r="C11330" s="24" t="s">
        <v>7172</v>
      </c>
      <c r="D11330" s="59">
        <v>4.0</v>
      </c>
      <c r="E11330" s="59">
        <v>5.0</v>
      </c>
      <c r="F11330" s="59">
        <v>3.0</v>
      </c>
      <c r="G11330" s="60">
        <v>1.25</v>
      </c>
      <c r="H11330" s="60">
        <v>0.0</v>
      </c>
      <c r="I11330" s="60">
        <v>139.6031918</v>
      </c>
      <c r="J11330" s="59">
        <v>14.0</v>
      </c>
      <c r="K11330" s="61">
        <f t="shared" si="1"/>
        <v>0.6</v>
      </c>
      <c r="L11330" s="62">
        <f t="shared" si="2"/>
        <v>2.8</v>
      </c>
    </row>
    <row r="11331">
      <c r="A11331" s="58">
        <v>44986.0</v>
      </c>
      <c r="B11331" s="24" t="s">
        <v>155</v>
      </c>
      <c r="C11331" s="24" t="s">
        <v>6910</v>
      </c>
      <c r="D11331" s="59">
        <v>4.0</v>
      </c>
      <c r="E11331" s="59">
        <v>7.0</v>
      </c>
      <c r="F11331" s="59">
        <v>0.0</v>
      </c>
      <c r="G11331" s="60">
        <v>1.75</v>
      </c>
      <c r="H11331" s="60">
        <v>0.0</v>
      </c>
      <c r="I11331" s="60">
        <v>248.358526285714</v>
      </c>
      <c r="J11331" s="59">
        <v>24.0</v>
      </c>
      <c r="K11331" s="61">
        <f t="shared" si="1"/>
        <v>0</v>
      </c>
      <c r="L11331" s="62">
        <f t="shared" si="2"/>
        <v>3.428571429</v>
      </c>
    </row>
    <row r="11332">
      <c r="A11332" s="58">
        <v>44986.0</v>
      </c>
      <c r="B11332" s="24" t="s">
        <v>3216</v>
      </c>
      <c r="C11332" s="27"/>
      <c r="D11332" s="59">
        <v>3.0</v>
      </c>
      <c r="E11332" s="59">
        <v>3.0</v>
      </c>
      <c r="F11332" s="59">
        <v>0.0</v>
      </c>
      <c r="G11332" s="60">
        <v>1.0</v>
      </c>
      <c r="H11332" s="60">
        <v>0.0</v>
      </c>
      <c r="I11332" s="60">
        <v>23.4100246666666</v>
      </c>
      <c r="J11332" s="59">
        <v>12.0</v>
      </c>
      <c r="K11332" s="61">
        <f t="shared" si="1"/>
        <v>0</v>
      </c>
      <c r="L11332" s="62">
        <f t="shared" si="2"/>
        <v>4</v>
      </c>
    </row>
    <row r="11333">
      <c r="A11333" s="58">
        <v>44986.0</v>
      </c>
      <c r="B11333" s="24" t="s">
        <v>155</v>
      </c>
      <c r="C11333" s="24" t="s">
        <v>6817</v>
      </c>
      <c r="D11333" s="59">
        <v>3.0</v>
      </c>
      <c r="E11333" s="59">
        <v>4.0</v>
      </c>
      <c r="F11333" s="59">
        <v>0.0</v>
      </c>
      <c r="G11333" s="60">
        <v>1.33333333333333</v>
      </c>
      <c r="H11333" s="60">
        <v>0.0</v>
      </c>
      <c r="I11333" s="60">
        <v>733.21197775</v>
      </c>
      <c r="J11333" s="59">
        <v>40.0</v>
      </c>
      <c r="K11333" s="61">
        <f t="shared" si="1"/>
        <v>0</v>
      </c>
      <c r="L11333" s="62">
        <f t="shared" si="2"/>
        <v>10</v>
      </c>
    </row>
    <row r="11334">
      <c r="A11334" s="58">
        <v>44986.0</v>
      </c>
      <c r="B11334" s="24" t="s">
        <v>6789</v>
      </c>
      <c r="C11334" s="24" t="s">
        <v>6953</v>
      </c>
      <c r="D11334" s="59">
        <v>3.0</v>
      </c>
      <c r="E11334" s="59">
        <v>3.0</v>
      </c>
      <c r="F11334" s="59">
        <v>3.0</v>
      </c>
      <c r="G11334" s="60">
        <v>1.0</v>
      </c>
      <c r="H11334" s="60">
        <v>0.333333333333333</v>
      </c>
      <c r="I11334" s="60">
        <v>55.4136176666666</v>
      </c>
      <c r="J11334" s="59">
        <v>5.0</v>
      </c>
      <c r="K11334" s="61">
        <f t="shared" si="1"/>
        <v>1</v>
      </c>
      <c r="L11334" s="62">
        <f t="shared" si="2"/>
        <v>1.666666667</v>
      </c>
    </row>
    <row r="11335">
      <c r="A11335" s="58">
        <v>44986.0</v>
      </c>
      <c r="B11335" s="24" t="s">
        <v>6794</v>
      </c>
      <c r="C11335" s="24" t="s">
        <v>6953</v>
      </c>
      <c r="D11335" s="59">
        <v>3.0</v>
      </c>
      <c r="E11335" s="59">
        <v>3.0</v>
      </c>
      <c r="F11335" s="59">
        <v>2.0</v>
      </c>
      <c r="G11335" s="60">
        <v>1.0</v>
      </c>
      <c r="H11335" s="60">
        <v>0.0</v>
      </c>
      <c r="I11335" s="60">
        <v>27.2808786666666</v>
      </c>
      <c r="J11335" s="59">
        <v>6.0</v>
      </c>
      <c r="K11335" s="61">
        <f t="shared" si="1"/>
        <v>0.6666666667</v>
      </c>
      <c r="L11335" s="62">
        <f t="shared" si="2"/>
        <v>2</v>
      </c>
    </row>
    <row r="11336">
      <c r="A11336" s="58">
        <v>44986.0</v>
      </c>
      <c r="B11336" s="24" t="s">
        <v>6789</v>
      </c>
      <c r="C11336" s="24" t="s">
        <v>6985</v>
      </c>
      <c r="D11336" s="59">
        <v>3.0</v>
      </c>
      <c r="E11336" s="59">
        <v>3.0</v>
      </c>
      <c r="F11336" s="59">
        <v>2.0</v>
      </c>
      <c r="G11336" s="60">
        <v>1.0</v>
      </c>
      <c r="H11336" s="60">
        <v>0.0</v>
      </c>
      <c r="I11336" s="60">
        <v>21.5072833333333</v>
      </c>
      <c r="J11336" s="59">
        <v>6.0</v>
      </c>
      <c r="K11336" s="61">
        <f t="shared" si="1"/>
        <v>0.6666666667</v>
      </c>
      <c r="L11336" s="62">
        <f t="shared" si="2"/>
        <v>2</v>
      </c>
    </row>
    <row r="11337">
      <c r="A11337" s="58">
        <v>44986.0</v>
      </c>
      <c r="B11337" s="24" t="s">
        <v>3216</v>
      </c>
      <c r="C11337" s="24" t="s">
        <v>6833</v>
      </c>
      <c r="D11337" s="59">
        <v>3.0</v>
      </c>
      <c r="E11337" s="59">
        <v>6.0</v>
      </c>
      <c r="F11337" s="59">
        <v>2.0</v>
      </c>
      <c r="G11337" s="60">
        <v>2.0</v>
      </c>
      <c r="H11337" s="60">
        <v>0.0</v>
      </c>
      <c r="I11337" s="60">
        <v>42.0252566666666</v>
      </c>
      <c r="J11337" s="59">
        <v>12.0</v>
      </c>
      <c r="K11337" s="61">
        <f t="shared" si="1"/>
        <v>0.3333333333</v>
      </c>
      <c r="L11337" s="62">
        <f t="shared" si="2"/>
        <v>2</v>
      </c>
    </row>
    <row r="11338">
      <c r="A11338" s="58">
        <v>44986.0</v>
      </c>
      <c r="B11338" s="24" t="s">
        <v>6787</v>
      </c>
      <c r="C11338" s="24" t="s">
        <v>7068</v>
      </c>
      <c r="D11338" s="59">
        <v>3.0</v>
      </c>
      <c r="E11338" s="59">
        <v>3.0</v>
      </c>
      <c r="F11338" s="59">
        <v>2.0</v>
      </c>
      <c r="G11338" s="60">
        <v>1.0</v>
      </c>
      <c r="H11338" s="60">
        <v>0.0</v>
      </c>
      <c r="I11338" s="60">
        <v>107.833749666666</v>
      </c>
      <c r="J11338" s="59">
        <v>6.0</v>
      </c>
      <c r="K11338" s="61">
        <f t="shared" si="1"/>
        <v>0.6666666667</v>
      </c>
      <c r="L11338" s="62">
        <f t="shared" si="2"/>
        <v>2</v>
      </c>
    </row>
    <row r="11339">
      <c r="A11339" s="58">
        <v>44986.0</v>
      </c>
      <c r="B11339" s="24" t="s">
        <v>155</v>
      </c>
      <c r="C11339" s="24" t="s">
        <v>7068</v>
      </c>
      <c r="D11339" s="59">
        <v>3.0</v>
      </c>
      <c r="E11339" s="59">
        <v>4.0</v>
      </c>
      <c r="F11339" s="59">
        <v>3.0</v>
      </c>
      <c r="G11339" s="60">
        <v>1.33333333333333</v>
      </c>
      <c r="H11339" s="60">
        <v>0.0</v>
      </c>
      <c r="I11339" s="60">
        <v>83.9532632499999</v>
      </c>
      <c r="J11339" s="59">
        <v>8.0</v>
      </c>
      <c r="K11339" s="61">
        <f t="shared" si="1"/>
        <v>0.75</v>
      </c>
      <c r="L11339" s="62">
        <f t="shared" si="2"/>
        <v>2</v>
      </c>
    </row>
    <row r="11340">
      <c r="A11340" s="58">
        <v>44986.0</v>
      </c>
      <c r="B11340" s="24" t="s">
        <v>6787</v>
      </c>
      <c r="C11340" s="24" t="s">
        <v>6991</v>
      </c>
      <c r="D11340" s="59">
        <v>3.0</v>
      </c>
      <c r="E11340" s="59">
        <v>3.0</v>
      </c>
      <c r="F11340" s="59">
        <v>2.0</v>
      </c>
      <c r="G11340" s="60">
        <v>1.0</v>
      </c>
      <c r="H11340" s="60">
        <v>0.333333333333333</v>
      </c>
      <c r="I11340" s="60">
        <v>63.898371</v>
      </c>
      <c r="J11340" s="59">
        <v>7.0</v>
      </c>
      <c r="K11340" s="61">
        <f t="shared" si="1"/>
        <v>0.6666666667</v>
      </c>
      <c r="L11340" s="62">
        <f t="shared" si="2"/>
        <v>2.333333333</v>
      </c>
    </row>
    <row r="11341">
      <c r="A11341" s="58">
        <v>44986.0</v>
      </c>
      <c r="B11341" s="24" t="s">
        <v>6790</v>
      </c>
      <c r="C11341" s="24" t="s">
        <v>6991</v>
      </c>
      <c r="D11341" s="59">
        <v>3.0</v>
      </c>
      <c r="E11341" s="59">
        <v>3.0</v>
      </c>
      <c r="F11341" s="59">
        <v>0.0</v>
      </c>
      <c r="G11341" s="60">
        <v>1.0</v>
      </c>
      <c r="H11341" s="60">
        <v>0.0</v>
      </c>
      <c r="I11341" s="60">
        <v>59.605913</v>
      </c>
      <c r="J11341" s="59">
        <v>14.0</v>
      </c>
      <c r="K11341" s="61">
        <f t="shared" si="1"/>
        <v>0</v>
      </c>
      <c r="L11341" s="62">
        <f t="shared" si="2"/>
        <v>4.666666667</v>
      </c>
    </row>
    <row r="11342">
      <c r="A11342" s="58">
        <v>44986.0</v>
      </c>
      <c r="B11342" s="24" t="s">
        <v>6787</v>
      </c>
      <c r="C11342" s="24" t="s">
        <v>7657</v>
      </c>
      <c r="D11342" s="59">
        <v>3.0</v>
      </c>
      <c r="E11342" s="59">
        <v>4.0</v>
      </c>
      <c r="F11342" s="59">
        <v>2.0</v>
      </c>
      <c r="G11342" s="60">
        <v>1.33333333333333</v>
      </c>
      <c r="H11342" s="60">
        <v>0.25</v>
      </c>
      <c r="I11342" s="60">
        <v>1060.626287</v>
      </c>
      <c r="J11342" s="59">
        <v>29.0</v>
      </c>
      <c r="K11342" s="61">
        <f t="shared" si="1"/>
        <v>0.5</v>
      </c>
      <c r="L11342" s="62">
        <f t="shared" si="2"/>
        <v>7.25</v>
      </c>
    </row>
    <row r="11343">
      <c r="A11343" s="58">
        <v>44986.0</v>
      </c>
      <c r="B11343" s="24" t="s">
        <v>6789</v>
      </c>
      <c r="C11343" s="24" t="s">
        <v>6994</v>
      </c>
      <c r="D11343" s="59">
        <v>3.0</v>
      </c>
      <c r="E11343" s="59">
        <v>4.0</v>
      </c>
      <c r="F11343" s="59">
        <v>2.0</v>
      </c>
      <c r="G11343" s="60">
        <v>1.33333333333333</v>
      </c>
      <c r="H11343" s="60">
        <v>0.0</v>
      </c>
      <c r="I11343" s="60">
        <v>317.228034</v>
      </c>
      <c r="J11343" s="59">
        <v>8.0</v>
      </c>
      <c r="K11343" s="61">
        <f t="shared" si="1"/>
        <v>0.5</v>
      </c>
      <c r="L11343" s="62">
        <f t="shared" si="2"/>
        <v>2</v>
      </c>
    </row>
    <row r="11344">
      <c r="A11344" s="58">
        <v>44986.0</v>
      </c>
      <c r="B11344" s="24" t="s">
        <v>155</v>
      </c>
      <c r="C11344" s="24" t="s">
        <v>6886</v>
      </c>
      <c r="D11344" s="59">
        <v>3.0</v>
      </c>
      <c r="E11344" s="59">
        <v>5.0</v>
      </c>
      <c r="F11344" s="59">
        <v>1.0</v>
      </c>
      <c r="G11344" s="60">
        <v>1.66666666666666</v>
      </c>
      <c r="H11344" s="60">
        <v>0.0</v>
      </c>
      <c r="I11344" s="60">
        <v>398.7732682</v>
      </c>
      <c r="J11344" s="59">
        <v>18.0</v>
      </c>
      <c r="K11344" s="61">
        <f t="shared" si="1"/>
        <v>0.2</v>
      </c>
      <c r="L11344" s="62">
        <f t="shared" si="2"/>
        <v>3.6</v>
      </c>
    </row>
    <row r="11345">
      <c r="A11345" s="58">
        <v>44986.0</v>
      </c>
      <c r="B11345" s="24" t="s">
        <v>7606</v>
      </c>
      <c r="C11345" s="24" t="s">
        <v>6892</v>
      </c>
      <c r="D11345" s="59">
        <v>3.0</v>
      </c>
      <c r="E11345" s="59">
        <v>3.0</v>
      </c>
      <c r="F11345" s="59">
        <v>2.0</v>
      </c>
      <c r="G11345" s="60">
        <v>1.0</v>
      </c>
      <c r="H11345" s="60">
        <v>0.0</v>
      </c>
      <c r="I11345" s="60">
        <v>4.37665566666666</v>
      </c>
      <c r="J11345" s="59">
        <v>6.0</v>
      </c>
      <c r="K11345" s="61">
        <f t="shared" si="1"/>
        <v>0.6666666667</v>
      </c>
      <c r="L11345" s="62">
        <f t="shared" si="2"/>
        <v>2</v>
      </c>
    </row>
    <row r="11346">
      <c r="A11346" s="58">
        <v>44986.0</v>
      </c>
      <c r="B11346" s="24" t="s">
        <v>3216</v>
      </c>
      <c r="C11346" s="24" t="s">
        <v>6905</v>
      </c>
      <c r="D11346" s="59">
        <v>3.0</v>
      </c>
      <c r="E11346" s="59">
        <v>4.0</v>
      </c>
      <c r="F11346" s="59">
        <v>1.0</v>
      </c>
      <c r="G11346" s="60">
        <v>1.33333333333333</v>
      </c>
      <c r="H11346" s="60">
        <v>0.0</v>
      </c>
      <c r="I11346" s="60">
        <v>140.2795385</v>
      </c>
      <c r="J11346" s="59">
        <v>22.0</v>
      </c>
      <c r="K11346" s="61">
        <f t="shared" si="1"/>
        <v>0.25</v>
      </c>
      <c r="L11346" s="62">
        <f t="shared" si="2"/>
        <v>5.5</v>
      </c>
    </row>
    <row r="11347">
      <c r="A11347" s="58">
        <v>44986.0</v>
      </c>
      <c r="B11347" s="24" t="s">
        <v>3216</v>
      </c>
      <c r="C11347" s="24" t="s">
        <v>7227</v>
      </c>
      <c r="D11347" s="59">
        <v>3.0</v>
      </c>
      <c r="E11347" s="59">
        <v>4.0</v>
      </c>
      <c r="F11347" s="59">
        <v>0.0</v>
      </c>
      <c r="G11347" s="60">
        <v>1.33333333333333</v>
      </c>
      <c r="H11347" s="60">
        <v>0.0</v>
      </c>
      <c r="I11347" s="60">
        <v>39.212509</v>
      </c>
      <c r="J11347" s="59">
        <v>8.0</v>
      </c>
      <c r="K11347" s="61">
        <f t="shared" si="1"/>
        <v>0</v>
      </c>
      <c r="L11347" s="62">
        <f t="shared" si="2"/>
        <v>2</v>
      </c>
    </row>
    <row r="11348">
      <c r="A11348" s="58">
        <v>44986.0</v>
      </c>
      <c r="B11348" s="24" t="s">
        <v>6789</v>
      </c>
      <c r="C11348" s="24" t="s">
        <v>7227</v>
      </c>
      <c r="D11348" s="59">
        <v>3.0</v>
      </c>
      <c r="E11348" s="59">
        <v>6.0</v>
      </c>
      <c r="F11348" s="59">
        <v>0.0</v>
      </c>
      <c r="G11348" s="60">
        <v>2.0</v>
      </c>
      <c r="H11348" s="60">
        <v>0.0</v>
      </c>
      <c r="I11348" s="60">
        <v>452.128360499999</v>
      </c>
      <c r="J11348" s="59">
        <v>24.0</v>
      </c>
      <c r="K11348" s="61">
        <f t="shared" si="1"/>
        <v>0</v>
      </c>
      <c r="L11348" s="62">
        <f t="shared" si="2"/>
        <v>4</v>
      </c>
    </row>
    <row r="11349">
      <c r="A11349" s="58">
        <v>44986.0</v>
      </c>
      <c r="B11349" s="24" t="s">
        <v>7100</v>
      </c>
      <c r="C11349" s="24" t="s">
        <v>7101</v>
      </c>
      <c r="D11349" s="59">
        <v>3.0</v>
      </c>
      <c r="E11349" s="59">
        <v>3.0</v>
      </c>
      <c r="F11349" s="59">
        <v>3.0</v>
      </c>
      <c r="G11349" s="60">
        <v>1.0</v>
      </c>
      <c r="H11349" s="60">
        <v>0.0</v>
      </c>
      <c r="I11349" s="60">
        <v>4.62504433333333</v>
      </c>
      <c r="J11349" s="59">
        <v>6.0</v>
      </c>
      <c r="K11349" s="61">
        <f t="shared" si="1"/>
        <v>1</v>
      </c>
      <c r="L11349" s="62">
        <f t="shared" si="2"/>
        <v>2</v>
      </c>
    </row>
    <row r="11350">
      <c r="A11350" s="58">
        <v>44986.0</v>
      </c>
      <c r="B11350" s="24" t="s">
        <v>155</v>
      </c>
      <c r="C11350" s="24" t="s">
        <v>6908</v>
      </c>
      <c r="D11350" s="59">
        <v>3.0</v>
      </c>
      <c r="E11350" s="59">
        <v>3.0</v>
      </c>
      <c r="F11350" s="59">
        <v>3.0</v>
      </c>
      <c r="G11350" s="60">
        <v>1.0</v>
      </c>
      <c r="H11350" s="60">
        <v>0.0</v>
      </c>
      <c r="I11350" s="60">
        <v>3.15646166666666</v>
      </c>
      <c r="J11350" s="59">
        <v>6.0</v>
      </c>
      <c r="K11350" s="61">
        <f t="shared" si="1"/>
        <v>1</v>
      </c>
      <c r="L11350" s="62">
        <f t="shared" si="2"/>
        <v>2</v>
      </c>
    </row>
    <row r="11351">
      <c r="A11351" s="58">
        <v>44986.0</v>
      </c>
      <c r="B11351" s="24" t="s">
        <v>6787</v>
      </c>
      <c r="C11351" s="24" t="s">
        <v>6910</v>
      </c>
      <c r="D11351" s="59">
        <v>3.0</v>
      </c>
      <c r="E11351" s="59">
        <v>3.0</v>
      </c>
      <c r="F11351" s="59">
        <v>1.0</v>
      </c>
      <c r="G11351" s="60">
        <v>1.0</v>
      </c>
      <c r="H11351" s="60">
        <v>0.0</v>
      </c>
      <c r="I11351" s="60">
        <v>647.278893999999</v>
      </c>
      <c r="J11351" s="59">
        <v>42.0</v>
      </c>
      <c r="K11351" s="61">
        <f t="shared" si="1"/>
        <v>0.3333333333</v>
      </c>
      <c r="L11351" s="62">
        <f t="shared" si="2"/>
        <v>14</v>
      </c>
    </row>
    <row r="11352">
      <c r="A11352" s="58">
        <v>44986.0</v>
      </c>
      <c r="B11352" s="24" t="s">
        <v>6787</v>
      </c>
      <c r="C11352" s="24" t="s">
        <v>7559</v>
      </c>
      <c r="D11352" s="59">
        <v>3.0</v>
      </c>
      <c r="E11352" s="59">
        <v>5.0</v>
      </c>
      <c r="F11352" s="59">
        <v>3.0</v>
      </c>
      <c r="G11352" s="60">
        <v>1.66666666666666</v>
      </c>
      <c r="H11352" s="60">
        <v>0.2</v>
      </c>
      <c r="I11352" s="60">
        <v>519.0225906</v>
      </c>
      <c r="J11352" s="59">
        <v>29.0</v>
      </c>
      <c r="K11352" s="61">
        <f t="shared" si="1"/>
        <v>0.6</v>
      </c>
      <c r="L11352" s="62">
        <f t="shared" si="2"/>
        <v>5.8</v>
      </c>
    </row>
    <row r="11353">
      <c r="A11353" s="58">
        <v>44986.0</v>
      </c>
      <c r="B11353" s="24" t="s">
        <v>6791</v>
      </c>
      <c r="C11353" s="24" t="s">
        <v>7111</v>
      </c>
      <c r="D11353" s="59">
        <v>3.0</v>
      </c>
      <c r="E11353" s="59">
        <v>3.0</v>
      </c>
      <c r="F11353" s="59">
        <v>3.0</v>
      </c>
      <c r="G11353" s="60">
        <v>1.0</v>
      </c>
      <c r="H11353" s="60">
        <v>0.0</v>
      </c>
      <c r="I11353" s="60">
        <v>27.5242006666666</v>
      </c>
      <c r="J11353" s="59">
        <v>10.0</v>
      </c>
      <c r="K11353" s="61">
        <f t="shared" si="1"/>
        <v>1</v>
      </c>
      <c r="L11353" s="62">
        <f t="shared" si="2"/>
        <v>3.333333333</v>
      </c>
    </row>
    <row r="11354">
      <c r="A11354" s="58">
        <v>44986.0</v>
      </c>
      <c r="B11354" s="24" t="s">
        <v>6789</v>
      </c>
      <c r="C11354" s="24" t="s">
        <v>6921</v>
      </c>
      <c r="D11354" s="59">
        <v>3.0</v>
      </c>
      <c r="E11354" s="59">
        <v>6.0</v>
      </c>
      <c r="F11354" s="59">
        <v>0.0</v>
      </c>
      <c r="G11354" s="60">
        <v>2.0</v>
      </c>
      <c r="H11354" s="60">
        <v>0.0</v>
      </c>
      <c r="I11354" s="60">
        <v>530.718245666666</v>
      </c>
      <c r="J11354" s="59">
        <v>30.0</v>
      </c>
      <c r="K11354" s="61">
        <f t="shared" si="1"/>
        <v>0</v>
      </c>
      <c r="L11354" s="62">
        <f t="shared" si="2"/>
        <v>5</v>
      </c>
    </row>
    <row r="11355">
      <c r="A11355" s="58">
        <v>44986.0</v>
      </c>
      <c r="B11355" s="24" t="s">
        <v>7606</v>
      </c>
      <c r="C11355" s="24" t="s">
        <v>6792</v>
      </c>
      <c r="D11355" s="59">
        <v>2.0</v>
      </c>
      <c r="E11355" s="59">
        <v>2.0</v>
      </c>
      <c r="F11355" s="59">
        <v>0.0</v>
      </c>
      <c r="G11355" s="60">
        <v>1.0</v>
      </c>
      <c r="H11355" s="60">
        <v>1.0</v>
      </c>
      <c r="I11355" s="60">
        <v>0.0</v>
      </c>
      <c r="J11355" s="59">
        <v>0.0</v>
      </c>
      <c r="K11355" s="61">
        <f t="shared" si="1"/>
        <v>0</v>
      </c>
      <c r="L11355" s="62">
        <f t="shared" si="2"/>
        <v>0</v>
      </c>
    </row>
    <row r="11356">
      <c r="A11356" s="58">
        <v>44986.0</v>
      </c>
      <c r="B11356" s="24" t="s">
        <v>6787</v>
      </c>
      <c r="C11356" s="24" t="s">
        <v>6817</v>
      </c>
      <c r="D11356" s="59">
        <v>2.0</v>
      </c>
      <c r="E11356" s="59">
        <v>2.0</v>
      </c>
      <c r="F11356" s="59">
        <v>2.0</v>
      </c>
      <c r="G11356" s="60">
        <v>1.0</v>
      </c>
      <c r="H11356" s="60">
        <v>0.0</v>
      </c>
      <c r="I11356" s="60">
        <v>3.60858999999999</v>
      </c>
      <c r="J11356" s="59">
        <v>4.0</v>
      </c>
      <c r="K11356" s="61">
        <f t="shared" si="1"/>
        <v>1</v>
      </c>
      <c r="L11356" s="62">
        <f t="shared" si="2"/>
        <v>2</v>
      </c>
    </row>
    <row r="11357">
      <c r="A11357" s="58">
        <v>44986.0</v>
      </c>
      <c r="B11357" s="24" t="s">
        <v>6787</v>
      </c>
      <c r="C11357" s="24" t="s">
        <v>7058</v>
      </c>
      <c r="D11357" s="59">
        <v>2.0</v>
      </c>
      <c r="E11357" s="59">
        <v>2.0</v>
      </c>
      <c r="F11357" s="59">
        <v>2.0</v>
      </c>
      <c r="G11357" s="60">
        <v>1.0</v>
      </c>
      <c r="H11357" s="60">
        <v>0.0</v>
      </c>
      <c r="I11357" s="60">
        <v>5.3663235</v>
      </c>
      <c r="J11357" s="59">
        <v>4.0</v>
      </c>
      <c r="K11357" s="61">
        <f t="shared" si="1"/>
        <v>1</v>
      </c>
      <c r="L11357" s="62">
        <f t="shared" si="2"/>
        <v>2</v>
      </c>
    </row>
    <row r="11358">
      <c r="A11358" s="58">
        <v>44986.0</v>
      </c>
      <c r="B11358" s="24" t="s">
        <v>6789</v>
      </c>
      <c r="C11358" s="24" t="s">
        <v>6833</v>
      </c>
      <c r="D11358" s="59">
        <v>2.0</v>
      </c>
      <c r="E11358" s="59">
        <v>3.0</v>
      </c>
      <c r="F11358" s="59">
        <v>0.0</v>
      </c>
      <c r="G11358" s="60">
        <v>1.5</v>
      </c>
      <c r="H11358" s="60">
        <v>0.333333333333333</v>
      </c>
      <c r="I11358" s="60">
        <v>3.76932399999999</v>
      </c>
      <c r="J11358" s="59">
        <v>5.0</v>
      </c>
      <c r="K11358" s="61">
        <f t="shared" si="1"/>
        <v>0</v>
      </c>
      <c r="L11358" s="62">
        <f t="shared" si="2"/>
        <v>1.666666667</v>
      </c>
    </row>
    <row r="11359">
      <c r="A11359" s="58">
        <v>44986.0</v>
      </c>
      <c r="B11359" s="24" t="s">
        <v>6787</v>
      </c>
      <c r="C11359" s="24" t="s">
        <v>6819</v>
      </c>
      <c r="D11359" s="59">
        <v>2.0</v>
      </c>
      <c r="E11359" s="59">
        <v>2.0</v>
      </c>
      <c r="F11359" s="59">
        <v>2.0</v>
      </c>
      <c r="G11359" s="60">
        <v>1.0</v>
      </c>
      <c r="H11359" s="60">
        <v>0.0</v>
      </c>
      <c r="I11359" s="60">
        <v>8.1550945</v>
      </c>
      <c r="J11359" s="59">
        <v>4.0</v>
      </c>
      <c r="K11359" s="61">
        <f t="shared" si="1"/>
        <v>1</v>
      </c>
      <c r="L11359" s="62">
        <f t="shared" si="2"/>
        <v>2</v>
      </c>
    </row>
    <row r="11360">
      <c r="A11360" s="58">
        <v>44986.0</v>
      </c>
      <c r="B11360" s="24" t="s">
        <v>6787</v>
      </c>
      <c r="C11360" s="24" t="s">
        <v>7065</v>
      </c>
      <c r="D11360" s="59">
        <v>2.0</v>
      </c>
      <c r="E11360" s="59">
        <v>2.0</v>
      </c>
      <c r="F11360" s="59">
        <v>0.0</v>
      </c>
      <c r="G11360" s="60">
        <v>1.0</v>
      </c>
      <c r="H11360" s="60">
        <v>0.0</v>
      </c>
      <c r="I11360" s="60">
        <v>398.596584</v>
      </c>
      <c r="J11360" s="59">
        <v>8.0</v>
      </c>
      <c r="K11360" s="61">
        <f t="shared" si="1"/>
        <v>0</v>
      </c>
      <c r="L11360" s="62">
        <f t="shared" si="2"/>
        <v>4</v>
      </c>
    </row>
    <row r="11361">
      <c r="A11361" s="58">
        <v>44986.0</v>
      </c>
      <c r="B11361" s="24" t="s">
        <v>6787</v>
      </c>
      <c r="C11361" s="24" t="s">
        <v>6989</v>
      </c>
      <c r="D11361" s="59">
        <v>2.0</v>
      </c>
      <c r="E11361" s="59">
        <v>3.0</v>
      </c>
      <c r="F11361" s="59">
        <v>2.0</v>
      </c>
      <c r="G11361" s="60">
        <v>1.5</v>
      </c>
      <c r="H11361" s="60">
        <v>0.0</v>
      </c>
      <c r="I11361" s="60">
        <v>6.73706766666666</v>
      </c>
      <c r="J11361" s="59">
        <v>8.0</v>
      </c>
      <c r="K11361" s="61">
        <f t="shared" si="1"/>
        <v>0.6666666667</v>
      </c>
      <c r="L11361" s="62">
        <f t="shared" si="2"/>
        <v>2.666666667</v>
      </c>
    </row>
    <row r="11362">
      <c r="A11362" s="58">
        <v>44986.0</v>
      </c>
      <c r="B11362" s="24" t="s">
        <v>6789</v>
      </c>
      <c r="C11362" s="24" t="s">
        <v>6989</v>
      </c>
      <c r="D11362" s="59">
        <v>2.0</v>
      </c>
      <c r="E11362" s="59">
        <v>2.0</v>
      </c>
      <c r="F11362" s="59">
        <v>0.0</v>
      </c>
      <c r="G11362" s="60">
        <v>1.0</v>
      </c>
      <c r="H11362" s="60">
        <v>0.0</v>
      </c>
      <c r="I11362" s="60">
        <v>156.9385985</v>
      </c>
      <c r="J11362" s="59">
        <v>8.0</v>
      </c>
      <c r="K11362" s="61">
        <f t="shared" si="1"/>
        <v>0</v>
      </c>
      <c r="L11362" s="62">
        <f t="shared" si="2"/>
        <v>4</v>
      </c>
    </row>
    <row r="11363">
      <c r="A11363" s="58">
        <v>44986.0</v>
      </c>
      <c r="B11363" s="24" t="s">
        <v>6790</v>
      </c>
      <c r="C11363" s="24" t="s">
        <v>6835</v>
      </c>
      <c r="D11363" s="59">
        <v>2.0</v>
      </c>
      <c r="E11363" s="59">
        <v>2.0</v>
      </c>
      <c r="F11363" s="59">
        <v>2.0</v>
      </c>
      <c r="G11363" s="60">
        <v>1.0</v>
      </c>
      <c r="H11363" s="60">
        <v>0.0</v>
      </c>
      <c r="I11363" s="60">
        <v>340.786059499999</v>
      </c>
      <c r="J11363" s="59">
        <v>5.0</v>
      </c>
      <c r="K11363" s="61">
        <f t="shared" si="1"/>
        <v>1</v>
      </c>
      <c r="L11363" s="62">
        <f t="shared" si="2"/>
        <v>2.5</v>
      </c>
    </row>
    <row r="11364">
      <c r="A11364" s="58">
        <v>44986.0</v>
      </c>
      <c r="B11364" s="24" t="s">
        <v>6794</v>
      </c>
      <c r="C11364" s="24" t="s">
        <v>7464</v>
      </c>
      <c r="D11364" s="59">
        <v>2.0</v>
      </c>
      <c r="E11364" s="59">
        <v>2.0</v>
      </c>
      <c r="F11364" s="59">
        <v>1.0</v>
      </c>
      <c r="G11364" s="60">
        <v>1.0</v>
      </c>
      <c r="H11364" s="60">
        <v>0.0</v>
      </c>
      <c r="I11364" s="60">
        <v>194.313637</v>
      </c>
      <c r="J11364" s="59">
        <v>4.0</v>
      </c>
      <c r="K11364" s="61">
        <f t="shared" si="1"/>
        <v>0.5</v>
      </c>
      <c r="L11364" s="62">
        <f t="shared" si="2"/>
        <v>2</v>
      </c>
    </row>
    <row r="11365">
      <c r="A11365" s="58">
        <v>44986.0</v>
      </c>
      <c r="B11365" s="24" t="s">
        <v>6789</v>
      </c>
      <c r="C11365" s="24" t="s">
        <v>7072</v>
      </c>
      <c r="D11365" s="59">
        <v>2.0</v>
      </c>
      <c r="E11365" s="59">
        <v>2.0</v>
      </c>
      <c r="F11365" s="59">
        <v>2.0</v>
      </c>
      <c r="G11365" s="60">
        <v>1.0</v>
      </c>
      <c r="H11365" s="60">
        <v>0.0</v>
      </c>
      <c r="I11365" s="60">
        <v>574.0170645</v>
      </c>
      <c r="J11365" s="59">
        <v>4.0</v>
      </c>
      <c r="K11365" s="61">
        <f t="shared" si="1"/>
        <v>1</v>
      </c>
      <c r="L11365" s="62">
        <f t="shared" si="2"/>
        <v>2</v>
      </c>
    </row>
    <row r="11366">
      <c r="A11366" s="58">
        <v>44986.0</v>
      </c>
      <c r="B11366" s="24" t="s">
        <v>6794</v>
      </c>
      <c r="C11366" s="24" t="s">
        <v>6799</v>
      </c>
      <c r="D11366" s="59">
        <v>2.0</v>
      </c>
      <c r="E11366" s="59">
        <v>5.0</v>
      </c>
      <c r="F11366" s="59">
        <v>0.0</v>
      </c>
      <c r="G11366" s="60">
        <v>2.5</v>
      </c>
      <c r="H11366" s="60">
        <v>0.0</v>
      </c>
      <c r="I11366" s="60">
        <v>4.56247699999999</v>
      </c>
      <c r="J11366" s="59">
        <v>10.0</v>
      </c>
      <c r="K11366" s="61">
        <f t="shared" si="1"/>
        <v>0</v>
      </c>
      <c r="L11366" s="62">
        <f t="shared" si="2"/>
        <v>2</v>
      </c>
    </row>
    <row r="11367">
      <c r="A11367" s="58">
        <v>44986.0</v>
      </c>
      <c r="B11367" s="24" t="s">
        <v>155</v>
      </c>
      <c r="C11367" s="24" t="s">
        <v>7227</v>
      </c>
      <c r="D11367" s="59">
        <v>2.0</v>
      </c>
      <c r="E11367" s="59">
        <v>2.0</v>
      </c>
      <c r="F11367" s="59">
        <v>1.0</v>
      </c>
      <c r="G11367" s="60">
        <v>1.0</v>
      </c>
      <c r="H11367" s="60">
        <v>0.0</v>
      </c>
      <c r="I11367" s="60">
        <v>894.4983545</v>
      </c>
      <c r="J11367" s="59">
        <v>4.0</v>
      </c>
      <c r="K11367" s="61">
        <f t="shared" si="1"/>
        <v>0.5</v>
      </c>
      <c r="L11367" s="62">
        <f t="shared" si="2"/>
        <v>2</v>
      </c>
    </row>
    <row r="11368">
      <c r="A11368" s="58">
        <v>44986.0</v>
      </c>
      <c r="B11368" s="24" t="s">
        <v>6787</v>
      </c>
      <c r="C11368" s="24" t="s">
        <v>7228</v>
      </c>
      <c r="D11368" s="59">
        <v>2.0</v>
      </c>
      <c r="E11368" s="59">
        <v>2.0</v>
      </c>
      <c r="F11368" s="59">
        <v>2.0</v>
      </c>
      <c r="G11368" s="60">
        <v>1.0</v>
      </c>
      <c r="H11368" s="60">
        <v>0.0</v>
      </c>
      <c r="I11368" s="60">
        <v>278.8549725</v>
      </c>
      <c r="J11368" s="59">
        <v>8.0</v>
      </c>
      <c r="K11368" s="61">
        <f t="shared" si="1"/>
        <v>1</v>
      </c>
      <c r="L11368" s="62">
        <f t="shared" si="2"/>
        <v>4</v>
      </c>
    </row>
    <row r="11369">
      <c r="A11369" s="58">
        <v>44986.0</v>
      </c>
      <c r="B11369" s="24" t="s">
        <v>6787</v>
      </c>
      <c r="C11369" s="24" t="s">
        <v>6907</v>
      </c>
      <c r="D11369" s="59">
        <v>2.0</v>
      </c>
      <c r="E11369" s="59">
        <v>2.0</v>
      </c>
      <c r="F11369" s="59">
        <v>2.0</v>
      </c>
      <c r="G11369" s="60">
        <v>1.0</v>
      </c>
      <c r="H11369" s="60">
        <v>0.0</v>
      </c>
      <c r="I11369" s="60">
        <v>222.183996</v>
      </c>
      <c r="J11369" s="59">
        <v>4.0</v>
      </c>
      <c r="K11369" s="61">
        <f t="shared" si="1"/>
        <v>1</v>
      </c>
      <c r="L11369" s="62">
        <f t="shared" si="2"/>
        <v>2</v>
      </c>
    </row>
    <row r="11370">
      <c r="A11370" s="58">
        <v>44986.0</v>
      </c>
      <c r="B11370" s="24" t="s">
        <v>155</v>
      </c>
      <c r="C11370" s="24" t="s">
        <v>6907</v>
      </c>
      <c r="D11370" s="59">
        <v>2.0</v>
      </c>
      <c r="E11370" s="59">
        <v>2.0</v>
      </c>
      <c r="F11370" s="59">
        <v>0.0</v>
      </c>
      <c r="G11370" s="60">
        <v>1.0</v>
      </c>
      <c r="H11370" s="60">
        <v>0.0</v>
      </c>
      <c r="I11370" s="60">
        <v>8.6597395</v>
      </c>
      <c r="J11370" s="59">
        <v>4.0</v>
      </c>
      <c r="K11370" s="61">
        <f t="shared" si="1"/>
        <v>0</v>
      </c>
      <c r="L11370" s="62">
        <f t="shared" si="2"/>
        <v>2</v>
      </c>
    </row>
    <row r="11371">
      <c r="A11371" s="58">
        <v>44986.0</v>
      </c>
      <c r="B11371" s="24" t="s">
        <v>6787</v>
      </c>
      <c r="C11371" s="24" t="s">
        <v>7101</v>
      </c>
      <c r="D11371" s="59">
        <v>2.0</v>
      </c>
      <c r="E11371" s="59">
        <v>2.0</v>
      </c>
      <c r="F11371" s="59">
        <v>2.0</v>
      </c>
      <c r="G11371" s="60">
        <v>1.0</v>
      </c>
      <c r="H11371" s="60">
        <v>0.0</v>
      </c>
      <c r="I11371" s="60">
        <v>15.570976</v>
      </c>
      <c r="J11371" s="59">
        <v>6.0</v>
      </c>
      <c r="K11371" s="61">
        <f t="shared" si="1"/>
        <v>1</v>
      </c>
      <c r="L11371" s="62">
        <f t="shared" si="2"/>
        <v>3</v>
      </c>
    </row>
    <row r="11372">
      <c r="A11372" s="58">
        <v>44986.0</v>
      </c>
      <c r="B11372" s="24" t="s">
        <v>6794</v>
      </c>
      <c r="C11372" s="24" t="s">
        <v>6910</v>
      </c>
      <c r="D11372" s="59">
        <v>2.0</v>
      </c>
      <c r="E11372" s="59">
        <v>2.0</v>
      </c>
      <c r="F11372" s="59">
        <v>0.0</v>
      </c>
      <c r="G11372" s="60">
        <v>1.0</v>
      </c>
      <c r="H11372" s="60">
        <v>0.0</v>
      </c>
      <c r="I11372" s="60">
        <v>13.5174375</v>
      </c>
      <c r="J11372" s="59">
        <v>4.0</v>
      </c>
      <c r="K11372" s="61">
        <f t="shared" si="1"/>
        <v>0</v>
      </c>
      <c r="L11372" s="62">
        <f t="shared" si="2"/>
        <v>2</v>
      </c>
    </row>
    <row r="11373">
      <c r="A11373" s="58">
        <v>44986.0</v>
      </c>
      <c r="B11373" s="24" t="s">
        <v>155</v>
      </c>
      <c r="C11373" s="24" t="s">
        <v>6921</v>
      </c>
      <c r="D11373" s="59">
        <v>2.0</v>
      </c>
      <c r="E11373" s="59">
        <v>2.0</v>
      </c>
      <c r="F11373" s="59">
        <v>2.0</v>
      </c>
      <c r="G11373" s="60">
        <v>1.0</v>
      </c>
      <c r="H11373" s="60">
        <v>0.0</v>
      </c>
      <c r="I11373" s="60">
        <v>3.5652345</v>
      </c>
      <c r="J11373" s="59">
        <v>4.0</v>
      </c>
      <c r="K11373" s="61">
        <f t="shared" si="1"/>
        <v>1</v>
      </c>
      <c r="L11373" s="62">
        <f t="shared" si="2"/>
        <v>2</v>
      </c>
    </row>
    <row r="11374">
      <c r="A11374" s="58">
        <v>44986.0</v>
      </c>
      <c r="B11374" s="24" t="s">
        <v>6789</v>
      </c>
      <c r="C11374" s="24" t="s">
        <v>6922</v>
      </c>
      <c r="D11374" s="59">
        <v>2.0</v>
      </c>
      <c r="E11374" s="59">
        <v>4.0</v>
      </c>
      <c r="F11374" s="59">
        <v>0.0</v>
      </c>
      <c r="G11374" s="60">
        <v>2.0</v>
      </c>
      <c r="H11374" s="60">
        <v>0.0</v>
      </c>
      <c r="I11374" s="60">
        <v>151.3648345</v>
      </c>
      <c r="J11374" s="59">
        <v>14.0</v>
      </c>
      <c r="K11374" s="61">
        <f t="shared" si="1"/>
        <v>0</v>
      </c>
      <c r="L11374" s="62">
        <f t="shared" si="2"/>
        <v>3.5</v>
      </c>
    </row>
    <row r="11375">
      <c r="A11375" s="58">
        <v>44986.0</v>
      </c>
      <c r="B11375" s="24" t="s">
        <v>155</v>
      </c>
      <c r="C11375" s="24" t="s">
        <v>6922</v>
      </c>
      <c r="D11375" s="59">
        <v>2.0</v>
      </c>
      <c r="E11375" s="59">
        <v>2.0</v>
      </c>
      <c r="F11375" s="59">
        <v>0.0</v>
      </c>
      <c r="G11375" s="60">
        <v>1.0</v>
      </c>
      <c r="H11375" s="60">
        <v>0.0</v>
      </c>
      <c r="I11375" s="60">
        <v>2413.6728785</v>
      </c>
      <c r="J11375" s="59">
        <v>6.0</v>
      </c>
      <c r="K11375" s="61">
        <f t="shared" si="1"/>
        <v>0</v>
      </c>
      <c r="L11375" s="62">
        <f t="shared" si="2"/>
        <v>3</v>
      </c>
    </row>
    <row r="11376">
      <c r="A11376" s="58">
        <v>44986.0</v>
      </c>
      <c r="B11376" s="24" t="s">
        <v>6789</v>
      </c>
      <c r="C11376" s="24" t="s">
        <v>7570</v>
      </c>
      <c r="D11376" s="59">
        <v>2.0</v>
      </c>
      <c r="E11376" s="59">
        <v>2.0</v>
      </c>
      <c r="F11376" s="59">
        <v>1.0</v>
      </c>
      <c r="G11376" s="60">
        <v>1.0</v>
      </c>
      <c r="H11376" s="60">
        <v>0.0</v>
      </c>
      <c r="I11376" s="60">
        <v>544.402931499999</v>
      </c>
      <c r="J11376" s="59">
        <v>4.0</v>
      </c>
      <c r="K11376" s="61">
        <f t="shared" si="1"/>
        <v>0.5</v>
      </c>
      <c r="L11376" s="62">
        <f t="shared" si="2"/>
        <v>2</v>
      </c>
    </row>
    <row r="11377">
      <c r="A11377" s="58">
        <v>44986.0</v>
      </c>
      <c r="B11377" s="24" t="s">
        <v>6794</v>
      </c>
      <c r="C11377" s="24" t="s">
        <v>6803</v>
      </c>
      <c r="D11377" s="59">
        <v>1.0</v>
      </c>
      <c r="E11377" s="59">
        <v>2.0</v>
      </c>
      <c r="F11377" s="59">
        <v>0.0</v>
      </c>
      <c r="G11377" s="60">
        <v>2.0</v>
      </c>
      <c r="H11377" s="60">
        <v>0.0</v>
      </c>
      <c r="I11377" s="60">
        <v>595.5551875</v>
      </c>
      <c r="J11377" s="59">
        <v>10.0</v>
      </c>
      <c r="K11377" s="61">
        <f t="shared" si="1"/>
        <v>0</v>
      </c>
      <c r="L11377" s="62">
        <f t="shared" si="2"/>
        <v>5</v>
      </c>
    </row>
    <row r="11378">
      <c r="A11378" s="58">
        <v>44986.0</v>
      </c>
      <c r="B11378" s="24" t="s">
        <v>6794</v>
      </c>
      <c r="C11378" s="24" t="s">
        <v>6817</v>
      </c>
      <c r="D11378" s="59">
        <v>1.0</v>
      </c>
      <c r="E11378" s="59">
        <v>1.0</v>
      </c>
      <c r="F11378" s="59">
        <v>0.0</v>
      </c>
      <c r="G11378" s="60">
        <v>1.0</v>
      </c>
      <c r="H11378" s="60">
        <v>0.0</v>
      </c>
      <c r="I11378" s="60">
        <v>4166.191549</v>
      </c>
      <c r="J11378" s="59">
        <v>32.0</v>
      </c>
      <c r="K11378" s="61">
        <f t="shared" si="1"/>
        <v>0</v>
      </c>
      <c r="L11378" s="62">
        <f t="shared" si="2"/>
        <v>32</v>
      </c>
    </row>
    <row r="11379">
      <c r="A11379" s="58">
        <v>44986.0</v>
      </c>
      <c r="B11379" s="24" t="s">
        <v>7100</v>
      </c>
      <c r="C11379" s="24" t="s">
        <v>6817</v>
      </c>
      <c r="D11379" s="59">
        <v>1.0</v>
      </c>
      <c r="E11379" s="59">
        <v>2.0</v>
      </c>
      <c r="F11379" s="59">
        <v>0.0</v>
      </c>
      <c r="G11379" s="60">
        <v>2.0</v>
      </c>
      <c r="H11379" s="60">
        <v>0.0</v>
      </c>
      <c r="I11379" s="60">
        <v>48.9560645</v>
      </c>
      <c r="J11379" s="59">
        <v>10.0</v>
      </c>
      <c r="K11379" s="61">
        <f t="shared" si="1"/>
        <v>0</v>
      </c>
      <c r="L11379" s="62">
        <f t="shared" si="2"/>
        <v>5</v>
      </c>
    </row>
    <row r="11380">
      <c r="A11380" s="58">
        <v>44986.0</v>
      </c>
      <c r="B11380" s="24" t="s">
        <v>6787</v>
      </c>
      <c r="C11380" s="24" t="s">
        <v>6953</v>
      </c>
      <c r="D11380" s="59">
        <v>1.0</v>
      </c>
      <c r="E11380" s="59">
        <v>1.0</v>
      </c>
      <c r="F11380" s="59">
        <v>1.0</v>
      </c>
      <c r="G11380" s="60">
        <v>1.0</v>
      </c>
      <c r="H11380" s="60">
        <v>0.0</v>
      </c>
      <c r="I11380" s="60">
        <v>4.888757</v>
      </c>
      <c r="J11380" s="59">
        <v>3.0</v>
      </c>
      <c r="K11380" s="61">
        <f t="shared" si="1"/>
        <v>1</v>
      </c>
      <c r="L11380" s="62">
        <f t="shared" si="2"/>
        <v>3</v>
      </c>
    </row>
    <row r="11381">
      <c r="A11381" s="58">
        <v>44986.0</v>
      </c>
      <c r="B11381" s="24" t="s">
        <v>7100</v>
      </c>
      <c r="C11381" s="24" t="s">
        <v>6953</v>
      </c>
      <c r="D11381" s="59">
        <v>1.0</v>
      </c>
      <c r="E11381" s="59">
        <v>1.0</v>
      </c>
      <c r="F11381" s="59">
        <v>0.0</v>
      </c>
      <c r="G11381" s="60">
        <v>1.0</v>
      </c>
      <c r="H11381" s="60">
        <v>0.0</v>
      </c>
      <c r="I11381" s="60">
        <v>4.907446</v>
      </c>
      <c r="J11381" s="59">
        <v>2.0</v>
      </c>
      <c r="K11381" s="61">
        <f t="shared" si="1"/>
        <v>0</v>
      </c>
      <c r="L11381" s="62">
        <f t="shared" si="2"/>
        <v>2</v>
      </c>
    </row>
    <row r="11382">
      <c r="A11382" s="58">
        <v>44986.0</v>
      </c>
      <c r="B11382" s="24" t="s">
        <v>155</v>
      </c>
      <c r="C11382" s="24" t="s">
        <v>6953</v>
      </c>
      <c r="D11382" s="59">
        <v>1.0</v>
      </c>
      <c r="E11382" s="59">
        <v>1.0</v>
      </c>
      <c r="F11382" s="59">
        <v>0.0</v>
      </c>
      <c r="G11382" s="60">
        <v>1.0</v>
      </c>
      <c r="H11382" s="60">
        <v>0.0</v>
      </c>
      <c r="I11382" s="60">
        <v>5.735786</v>
      </c>
      <c r="J11382" s="59">
        <v>2.0</v>
      </c>
      <c r="K11382" s="61">
        <f t="shared" si="1"/>
        <v>0</v>
      </c>
      <c r="L11382" s="62">
        <f t="shared" si="2"/>
        <v>2</v>
      </c>
    </row>
    <row r="11383">
      <c r="A11383" s="58">
        <v>44986.0</v>
      </c>
      <c r="B11383" s="24" t="s">
        <v>6789</v>
      </c>
      <c r="C11383" s="24" t="s">
        <v>7477</v>
      </c>
      <c r="D11383" s="59">
        <v>1.0</v>
      </c>
      <c r="E11383" s="59">
        <v>1.0</v>
      </c>
      <c r="F11383" s="59">
        <v>0.0</v>
      </c>
      <c r="G11383" s="60">
        <v>1.0</v>
      </c>
      <c r="H11383" s="60">
        <v>0.0</v>
      </c>
      <c r="I11383" s="60">
        <v>344.818006</v>
      </c>
      <c r="J11383" s="59">
        <v>8.0</v>
      </c>
      <c r="K11383" s="61">
        <f t="shared" si="1"/>
        <v>0</v>
      </c>
      <c r="L11383" s="62">
        <f t="shared" si="2"/>
        <v>8</v>
      </c>
    </row>
    <row r="11384">
      <c r="A11384" s="58">
        <v>44986.0</v>
      </c>
      <c r="B11384" s="24" t="s">
        <v>6787</v>
      </c>
      <c r="C11384" s="24" t="s">
        <v>7057</v>
      </c>
      <c r="D11384" s="59">
        <v>1.0</v>
      </c>
      <c r="E11384" s="59">
        <v>1.0</v>
      </c>
      <c r="F11384" s="59">
        <v>0.0</v>
      </c>
      <c r="G11384" s="60">
        <v>1.0</v>
      </c>
      <c r="H11384" s="60">
        <v>0.0</v>
      </c>
      <c r="I11384" s="60">
        <v>5.858067</v>
      </c>
      <c r="J11384" s="59">
        <v>2.0</v>
      </c>
      <c r="K11384" s="61">
        <f t="shared" si="1"/>
        <v>0</v>
      </c>
      <c r="L11384" s="62">
        <f t="shared" si="2"/>
        <v>2</v>
      </c>
    </row>
    <row r="11385">
      <c r="A11385" s="58">
        <v>44986.0</v>
      </c>
      <c r="B11385" s="24" t="s">
        <v>6789</v>
      </c>
      <c r="C11385" s="24" t="s">
        <v>7057</v>
      </c>
      <c r="D11385" s="59">
        <v>1.0</v>
      </c>
      <c r="E11385" s="59">
        <v>1.0</v>
      </c>
      <c r="F11385" s="59">
        <v>1.0</v>
      </c>
      <c r="G11385" s="60">
        <v>1.0</v>
      </c>
      <c r="H11385" s="60">
        <v>0.0</v>
      </c>
      <c r="I11385" s="60">
        <v>19.439286</v>
      </c>
      <c r="J11385" s="59">
        <v>2.0</v>
      </c>
      <c r="K11385" s="61">
        <f t="shared" si="1"/>
        <v>1</v>
      </c>
      <c r="L11385" s="62">
        <f t="shared" si="2"/>
        <v>2</v>
      </c>
    </row>
    <row r="11386">
      <c r="A11386" s="58">
        <v>44986.0</v>
      </c>
      <c r="B11386" s="24" t="s">
        <v>3216</v>
      </c>
      <c r="C11386" s="24" t="s">
        <v>6861</v>
      </c>
      <c r="D11386" s="59">
        <v>1.0</v>
      </c>
      <c r="E11386" s="59">
        <v>1.0</v>
      </c>
      <c r="F11386" s="59">
        <v>1.0</v>
      </c>
      <c r="G11386" s="60">
        <v>1.0</v>
      </c>
      <c r="H11386" s="60">
        <v>0.0</v>
      </c>
      <c r="I11386" s="60">
        <v>5.812802</v>
      </c>
      <c r="J11386" s="59">
        <v>2.0</v>
      </c>
      <c r="K11386" s="61">
        <f t="shared" si="1"/>
        <v>1</v>
      </c>
      <c r="L11386" s="62">
        <f t="shared" si="2"/>
        <v>2</v>
      </c>
    </row>
    <row r="11387">
      <c r="A11387" s="58">
        <v>44986.0</v>
      </c>
      <c r="B11387" s="24" t="s">
        <v>6789</v>
      </c>
      <c r="C11387" s="24" t="s">
        <v>6861</v>
      </c>
      <c r="D11387" s="59">
        <v>1.0</v>
      </c>
      <c r="E11387" s="59">
        <v>1.0</v>
      </c>
      <c r="F11387" s="59">
        <v>1.0</v>
      </c>
      <c r="G11387" s="60">
        <v>1.0</v>
      </c>
      <c r="H11387" s="60">
        <v>0.0</v>
      </c>
      <c r="I11387" s="60">
        <v>4.925023</v>
      </c>
      <c r="J11387" s="59">
        <v>2.0</v>
      </c>
      <c r="K11387" s="61">
        <f t="shared" si="1"/>
        <v>1</v>
      </c>
      <c r="L11387" s="62">
        <f t="shared" si="2"/>
        <v>2</v>
      </c>
    </row>
    <row r="11388">
      <c r="A11388" s="58">
        <v>44986.0</v>
      </c>
      <c r="B11388" s="24" t="s">
        <v>6787</v>
      </c>
      <c r="C11388" s="24" t="s">
        <v>7059</v>
      </c>
      <c r="D11388" s="59">
        <v>1.0</v>
      </c>
      <c r="E11388" s="59">
        <v>1.0</v>
      </c>
      <c r="F11388" s="59">
        <v>1.0</v>
      </c>
      <c r="G11388" s="60">
        <v>1.0</v>
      </c>
      <c r="H11388" s="60">
        <v>0.0</v>
      </c>
      <c r="I11388" s="60">
        <v>75.302979</v>
      </c>
      <c r="J11388" s="59">
        <v>2.0</v>
      </c>
      <c r="K11388" s="61">
        <f t="shared" si="1"/>
        <v>1</v>
      </c>
      <c r="L11388" s="62">
        <f t="shared" si="2"/>
        <v>2</v>
      </c>
    </row>
    <row r="11389">
      <c r="A11389" s="58">
        <v>44986.0</v>
      </c>
      <c r="B11389" s="24" t="s">
        <v>6789</v>
      </c>
      <c r="C11389" s="24" t="s">
        <v>7059</v>
      </c>
      <c r="D11389" s="59">
        <v>1.0</v>
      </c>
      <c r="E11389" s="59">
        <v>5.0</v>
      </c>
      <c r="F11389" s="59">
        <v>1.0</v>
      </c>
      <c r="G11389" s="60">
        <v>5.0</v>
      </c>
      <c r="H11389" s="60">
        <v>0.0</v>
      </c>
      <c r="I11389" s="60">
        <v>4.0707754</v>
      </c>
      <c r="J11389" s="59">
        <v>10.0</v>
      </c>
      <c r="K11389" s="61">
        <f t="shared" si="1"/>
        <v>0.2</v>
      </c>
      <c r="L11389" s="62">
        <f t="shared" si="2"/>
        <v>2</v>
      </c>
    </row>
    <row r="11390">
      <c r="A11390" s="58">
        <v>44986.0</v>
      </c>
      <c r="B11390" s="24" t="s">
        <v>6787</v>
      </c>
      <c r="C11390" s="24" t="s">
        <v>7060</v>
      </c>
      <c r="D11390" s="59">
        <v>1.0</v>
      </c>
      <c r="E11390" s="59">
        <v>1.0</v>
      </c>
      <c r="F11390" s="59">
        <v>0.0</v>
      </c>
      <c r="G11390" s="60">
        <v>1.0</v>
      </c>
      <c r="H11390" s="60">
        <v>0.0</v>
      </c>
      <c r="I11390" s="60">
        <v>1447.896664</v>
      </c>
      <c r="J11390" s="59">
        <v>6.0</v>
      </c>
      <c r="K11390" s="61">
        <f t="shared" si="1"/>
        <v>0</v>
      </c>
      <c r="L11390" s="62">
        <f t="shared" si="2"/>
        <v>6</v>
      </c>
    </row>
    <row r="11391">
      <c r="A11391" s="58">
        <v>44986.0</v>
      </c>
      <c r="B11391" s="24" t="s">
        <v>155</v>
      </c>
      <c r="C11391" s="24" t="s">
        <v>7060</v>
      </c>
      <c r="D11391" s="59">
        <v>1.0</v>
      </c>
      <c r="E11391" s="59">
        <v>1.0</v>
      </c>
      <c r="F11391" s="59">
        <v>0.0</v>
      </c>
      <c r="G11391" s="60">
        <v>1.0</v>
      </c>
      <c r="H11391" s="60">
        <v>0.0</v>
      </c>
      <c r="I11391" s="60">
        <v>1041.699531</v>
      </c>
      <c r="J11391" s="59">
        <v>16.0</v>
      </c>
      <c r="K11391" s="61">
        <f t="shared" si="1"/>
        <v>0</v>
      </c>
      <c r="L11391" s="62">
        <f t="shared" si="2"/>
        <v>16</v>
      </c>
    </row>
    <row r="11392">
      <c r="A11392" s="58">
        <v>44986.0</v>
      </c>
      <c r="B11392" s="24" t="s">
        <v>6787</v>
      </c>
      <c r="C11392" s="24" t="s">
        <v>6833</v>
      </c>
      <c r="D11392" s="59">
        <v>1.0</v>
      </c>
      <c r="E11392" s="59">
        <v>1.0</v>
      </c>
      <c r="F11392" s="59">
        <v>1.0</v>
      </c>
      <c r="G11392" s="60">
        <v>1.0</v>
      </c>
      <c r="H11392" s="60">
        <v>0.0</v>
      </c>
      <c r="I11392" s="60">
        <v>4.79457</v>
      </c>
      <c r="J11392" s="59">
        <v>2.0</v>
      </c>
      <c r="K11392" s="61">
        <f t="shared" si="1"/>
        <v>1</v>
      </c>
      <c r="L11392" s="62">
        <f t="shared" si="2"/>
        <v>2</v>
      </c>
    </row>
    <row r="11393">
      <c r="A11393" s="58">
        <v>44986.0</v>
      </c>
      <c r="B11393" s="24" t="s">
        <v>155</v>
      </c>
      <c r="C11393" s="24" t="s">
        <v>6833</v>
      </c>
      <c r="D11393" s="59">
        <v>1.0</v>
      </c>
      <c r="E11393" s="59">
        <v>1.0</v>
      </c>
      <c r="F11393" s="59">
        <v>1.0</v>
      </c>
      <c r="G11393" s="60">
        <v>1.0</v>
      </c>
      <c r="H11393" s="60">
        <v>0.0</v>
      </c>
      <c r="I11393" s="60">
        <v>73.244883</v>
      </c>
      <c r="J11393" s="59">
        <v>6.0</v>
      </c>
      <c r="K11393" s="61">
        <f t="shared" si="1"/>
        <v>1</v>
      </c>
      <c r="L11393" s="62">
        <f t="shared" si="2"/>
        <v>6</v>
      </c>
    </row>
    <row r="11394">
      <c r="A11394" s="58">
        <v>44986.0</v>
      </c>
      <c r="B11394" s="24" t="s">
        <v>6791</v>
      </c>
      <c r="C11394" s="24" t="s">
        <v>6819</v>
      </c>
      <c r="D11394" s="59">
        <v>1.0</v>
      </c>
      <c r="E11394" s="59">
        <v>1.0</v>
      </c>
      <c r="F11394" s="59">
        <v>0.0</v>
      </c>
      <c r="G11394" s="60">
        <v>1.0</v>
      </c>
      <c r="H11394" s="60">
        <v>0.0</v>
      </c>
      <c r="I11394" s="60">
        <v>4.910537</v>
      </c>
      <c r="J11394" s="59">
        <v>2.0</v>
      </c>
      <c r="K11394" s="61">
        <f t="shared" si="1"/>
        <v>0</v>
      </c>
      <c r="L11394" s="62">
        <f t="shared" si="2"/>
        <v>2</v>
      </c>
    </row>
    <row r="11395">
      <c r="A11395" s="58">
        <v>44986.0</v>
      </c>
      <c r="B11395" s="24" t="s">
        <v>6789</v>
      </c>
      <c r="C11395" s="24" t="s">
        <v>7064</v>
      </c>
      <c r="D11395" s="59">
        <v>1.0</v>
      </c>
      <c r="E11395" s="59">
        <v>1.0</v>
      </c>
      <c r="F11395" s="59">
        <v>0.0</v>
      </c>
      <c r="G11395" s="60">
        <v>1.0</v>
      </c>
      <c r="H11395" s="60">
        <v>0.0</v>
      </c>
      <c r="I11395" s="60">
        <v>4.640868</v>
      </c>
      <c r="J11395" s="59">
        <v>2.0</v>
      </c>
      <c r="K11395" s="61">
        <f t="shared" si="1"/>
        <v>0</v>
      </c>
      <c r="L11395" s="62">
        <f t="shared" si="2"/>
        <v>2</v>
      </c>
    </row>
    <row r="11396">
      <c r="A11396" s="58">
        <v>44986.0</v>
      </c>
      <c r="B11396" s="24" t="s">
        <v>155</v>
      </c>
      <c r="C11396" s="24" t="s">
        <v>6989</v>
      </c>
      <c r="D11396" s="59">
        <v>1.0</v>
      </c>
      <c r="E11396" s="59">
        <v>1.0</v>
      </c>
      <c r="F11396" s="59">
        <v>0.0</v>
      </c>
      <c r="G11396" s="60">
        <v>1.0</v>
      </c>
      <c r="H11396" s="60">
        <v>0.0</v>
      </c>
      <c r="I11396" s="60">
        <v>2797.679224</v>
      </c>
      <c r="J11396" s="59">
        <v>26.0</v>
      </c>
      <c r="K11396" s="61">
        <f t="shared" si="1"/>
        <v>0</v>
      </c>
      <c r="L11396" s="62">
        <f t="shared" si="2"/>
        <v>26</v>
      </c>
    </row>
    <row r="11397">
      <c r="A11397" s="58">
        <v>44986.0</v>
      </c>
      <c r="B11397" s="24" t="s">
        <v>6789</v>
      </c>
      <c r="C11397" s="24" t="s">
        <v>7067</v>
      </c>
      <c r="D11397" s="59">
        <v>1.0</v>
      </c>
      <c r="E11397" s="59">
        <v>1.0</v>
      </c>
      <c r="F11397" s="59">
        <v>0.0</v>
      </c>
      <c r="G11397" s="60">
        <v>1.0</v>
      </c>
      <c r="H11397" s="60">
        <v>0.0</v>
      </c>
      <c r="I11397" s="60">
        <v>6.651275</v>
      </c>
      <c r="J11397" s="59">
        <v>2.0</v>
      </c>
      <c r="K11397" s="61">
        <f t="shared" si="1"/>
        <v>0</v>
      </c>
      <c r="L11397" s="62">
        <f t="shared" si="2"/>
        <v>2</v>
      </c>
    </row>
    <row r="11398">
      <c r="A11398" s="58">
        <v>44986.0</v>
      </c>
      <c r="B11398" s="24" t="s">
        <v>6790</v>
      </c>
      <c r="C11398" s="24" t="s">
        <v>7067</v>
      </c>
      <c r="D11398" s="59">
        <v>1.0</v>
      </c>
      <c r="E11398" s="59">
        <v>1.0</v>
      </c>
      <c r="F11398" s="59">
        <v>1.0</v>
      </c>
      <c r="G11398" s="60">
        <v>1.0</v>
      </c>
      <c r="H11398" s="60">
        <v>0.0</v>
      </c>
      <c r="I11398" s="60">
        <v>13.964236</v>
      </c>
      <c r="J11398" s="59">
        <v>2.0</v>
      </c>
      <c r="K11398" s="61">
        <f t="shared" si="1"/>
        <v>1</v>
      </c>
      <c r="L11398" s="62">
        <f t="shared" si="2"/>
        <v>2</v>
      </c>
    </row>
    <row r="11399">
      <c r="A11399" s="58">
        <v>44986.0</v>
      </c>
      <c r="B11399" s="24" t="s">
        <v>6794</v>
      </c>
      <c r="C11399" s="24" t="s">
        <v>6835</v>
      </c>
      <c r="D11399" s="59">
        <v>1.0</v>
      </c>
      <c r="E11399" s="59">
        <v>5.0</v>
      </c>
      <c r="F11399" s="59">
        <v>1.0</v>
      </c>
      <c r="G11399" s="60">
        <v>5.0</v>
      </c>
      <c r="H11399" s="60">
        <v>0.0</v>
      </c>
      <c r="I11399" s="60">
        <v>267.4342424</v>
      </c>
      <c r="J11399" s="59">
        <v>11.0</v>
      </c>
      <c r="K11399" s="61">
        <f t="shared" si="1"/>
        <v>0.2</v>
      </c>
      <c r="L11399" s="62">
        <f t="shared" si="2"/>
        <v>2.2</v>
      </c>
    </row>
    <row r="11400">
      <c r="A11400" s="58">
        <v>44986.0</v>
      </c>
      <c r="B11400" s="24" t="s">
        <v>6789</v>
      </c>
      <c r="C11400" s="24" t="s">
        <v>6991</v>
      </c>
      <c r="D11400" s="59">
        <v>1.0</v>
      </c>
      <c r="E11400" s="59">
        <v>3.0</v>
      </c>
      <c r="F11400" s="59">
        <v>0.0</v>
      </c>
      <c r="G11400" s="60">
        <v>3.0</v>
      </c>
      <c r="H11400" s="60">
        <v>0.0</v>
      </c>
      <c r="I11400" s="60">
        <v>19.0736493333333</v>
      </c>
      <c r="J11400" s="59">
        <v>6.0</v>
      </c>
      <c r="K11400" s="61">
        <f t="shared" si="1"/>
        <v>0</v>
      </c>
      <c r="L11400" s="62">
        <f t="shared" si="2"/>
        <v>2</v>
      </c>
    </row>
    <row r="11401">
      <c r="A11401" s="58">
        <v>44986.0</v>
      </c>
      <c r="B11401" s="24" t="s">
        <v>7100</v>
      </c>
      <c r="C11401" s="24" t="s">
        <v>6991</v>
      </c>
      <c r="D11401" s="59">
        <v>1.0</v>
      </c>
      <c r="E11401" s="59">
        <v>1.0</v>
      </c>
      <c r="F11401" s="59">
        <v>0.0</v>
      </c>
      <c r="G11401" s="60">
        <v>1.0</v>
      </c>
      <c r="H11401" s="60">
        <v>0.0</v>
      </c>
      <c r="I11401" s="60">
        <v>4.911156</v>
      </c>
      <c r="J11401" s="59">
        <v>2.0</v>
      </c>
      <c r="K11401" s="61">
        <f t="shared" si="1"/>
        <v>0</v>
      </c>
      <c r="L11401" s="62">
        <f t="shared" si="2"/>
        <v>2</v>
      </c>
    </row>
    <row r="11402">
      <c r="A11402" s="58">
        <v>44986.0</v>
      </c>
      <c r="B11402" s="24" t="s">
        <v>155</v>
      </c>
      <c r="C11402" s="24" t="s">
        <v>6991</v>
      </c>
      <c r="D11402" s="59">
        <v>1.0</v>
      </c>
      <c r="E11402" s="59">
        <v>1.0</v>
      </c>
      <c r="F11402" s="59">
        <v>0.0</v>
      </c>
      <c r="G11402" s="60">
        <v>1.0</v>
      </c>
      <c r="H11402" s="60">
        <v>0.0</v>
      </c>
      <c r="I11402" s="60">
        <v>340.529396</v>
      </c>
      <c r="J11402" s="59">
        <v>6.0</v>
      </c>
      <c r="K11402" s="61">
        <f t="shared" si="1"/>
        <v>0</v>
      </c>
      <c r="L11402" s="62">
        <f t="shared" si="2"/>
        <v>6</v>
      </c>
    </row>
    <row r="11403">
      <c r="A11403" s="58">
        <v>44986.0</v>
      </c>
      <c r="B11403" s="24" t="s">
        <v>6789</v>
      </c>
      <c r="C11403" s="24" t="s">
        <v>7657</v>
      </c>
      <c r="D11403" s="59">
        <v>1.0</v>
      </c>
      <c r="E11403" s="59">
        <v>1.0</v>
      </c>
      <c r="F11403" s="59">
        <v>0.0</v>
      </c>
      <c r="G11403" s="60">
        <v>1.0</v>
      </c>
      <c r="H11403" s="60">
        <v>0.0</v>
      </c>
      <c r="I11403" s="60">
        <v>4.662763</v>
      </c>
      <c r="J11403" s="59">
        <v>2.0</v>
      </c>
      <c r="K11403" s="61">
        <f t="shared" si="1"/>
        <v>0</v>
      </c>
      <c r="L11403" s="62">
        <f t="shared" si="2"/>
        <v>2</v>
      </c>
    </row>
    <row r="11404">
      <c r="A11404" s="58">
        <v>44986.0</v>
      </c>
      <c r="B11404" s="24" t="s">
        <v>6787</v>
      </c>
      <c r="C11404" s="24" t="s">
        <v>6994</v>
      </c>
      <c r="D11404" s="59">
        <v>1.0</v>
      </c>
      <c r="E11404" s="59">
        <v>1.0</v>
      </c>
      <c r="F11404" s="59">
        <v>1.0</v>
      </c>
      <c r="G11404" s="60">
        <v>1.0</v>
      </c>
      <c r="H11404" s="60">
        <v>0.0</v>
      </c>
      <c r="I11404" s="60">
        <v>18.418419</v>
      </c>
      <c r="J11404" s="59">
        <v>2.0</v>
      </c>
      <c r="K11404" s="61">
        <f t="shared" si="1"/>
        <v>1</v>
      </c>
      <c r="L11404" s="62">
        <f t="shared" si="2"/>
        <v>2</v>
      </c>
    </row>
    <row r="11405">
      <c r="A11405" s="58">
        <v>44986.0</v>
      </c>
      <c r="B11405" s="24" t="s">
        <v>6794</v>
      </c>
      <c r="C11405" s="24" t="s">
        <v>6886</v>
      </c>
      <c r="D11405" s="59">
        <v>1.0</v>
      </c>
      <c r="E11405" s="59">
        <v>1.0</v>
      </c>
      <c r="F11405" s="59">
        <v>1.0</v>
      </c>
      <c r="G11405" s="60">
        <v>1.0</v>
      </c>
      <c r="H11405" s="60">
        <v>0.0</v>
      </c>
      <c r="I11405" s="60">
        <v>6.671361</v>
      </c>
      <c r="J11405" s="59">
        <v>2.0</v>
      </c>
      <c r="K11405" s="61">
        <f t="shared" si="1"/>
        <v>1</v>
      </c>
      <c r="L11405" s="62">
        <f t="shared" si="2"/>
        <v>2</v>
      </c>
    </row>
    <row r="11406">
      <c r="A11406" s="58">
        <v>44986.0</v>
      </c>
      <c r="B11406" s="24" t="s">
        <v>6791</v>
      </c>
      <c r="C11406" s="24" t="s">
        <v>6886</v>
      </c>
      <c r="D11406" s="59">
        <v>1.0</v>
      </c>
      <c r="E11406" s="59">
        <v>1.0</v>
      </c>
      <c r="F11406" s="59">
        <v>1.0</v>
      </c>
      <c r="G11406" s="60">
        <v>1.0</v>
      </c>
      <c r="H11406" s="60">
        <v>0.0</v>
      </c>
      <c r="I11406" s="60">
        <v>5.989087</v>
      </c>
      <c r="J11406" s="59">
        <v>2.0</v>
      </c>
      <c r="K11406" s="61">
        <f t="shared" si="1"/>
        <v>1</v>
      </c>
      <c r="L11406" s="62">
        <f t="shared" si="2"/>
        <v>2</v>
      </c>
    </row>
    <row r="11407">
      <c r="A11407" s="58">
        <v>44986.0</v>
      </c>
      <c r="B11407" s="24" t="s">
        <v>6787</v>
      </c>
      <c r="C11407" s="24" t="s">
        <v>7658</v>
      </c>
      <c r="D11407" s="59">
        <v>1.0</v>
      </c>
      <c r="E11407" s="59">
        <v>1.0</v>
      </c>
      <c r="F11407" s="59">
        <v>1.0</v>
      </c>
      <c r="G11407" s="60">
        <v>1.0</v>
      </c>
      <c r="H11407" s="60">
        <v>0.0</v>
      </c>
      <c r="I11407" s="60">
        <v>5.067806</v>
      </c>
      <c r="J11407" s="59">
        <v>2.0</v>
      </c>
      <c r="K11407" s="61">
        <f t="shared" si="1"/>
        <v>1</v>
      </c>
      <c r="L11407" s="62">
        <f t="shared" si="2"/>
        <v>2</v>
      </c>
    </row>
    <row r="11408">
      <c r="A11408" s="58">
        <v>44986.0</v>
      </c>
      <c r="B11408" s="24" t="s">
        <v>6791</v>
      </c>
      <c r="C11408" s="24" t="s">
        <v>6799</v>
      </c>
      <c r="D11408" s="59">
        <v>1.0</v>
      </c>
      <c r="E11408" s="59">
        <v>1.0</v>
      </c>
      <c r="F11408" s="59">
        <v>0.0</v>
      </c>
      <c r="G11408" s="60">
        <v>1.0</v>
      </c>
      <c r="H11408" s="60">
        <v>0.0</v>
      </c>
      <c r="I11408" s="60">
        <v>5.065749</v>
      </c>
      <c r="J11408" s="59">
        <v>2.0</v>
      </c>
      <c r="K11408" s="61">
        <f t="shared" si="1"/>
        <v>0</v>
      </c>
      <c r="L11408" s="62">
        <f t="shared" si="2"/>
        <v>2</v>
      </c>
    </row>
    <row r="11409">
      <c r="A11409" s="58">
        <v>44986.0</v>
      </c>
      <c r="B11409" s="24" t="s">
        <v>6790</v>
      </c>
      <c r="C11409" s="24" t="s">
        <v>6799</v>
      </c>
      <c r="D11409" s="59">
        <v>1.0</v>
      </c>
      <c r="E11409" s="59">
        <v>2.0</v>
      </c>
      <c r="F11409" s="59">
        <v>0.0</v>
      </c>
      <c r="G11409" s="60">
        <v>2.0</v>
      </c>
      <c r="H11409" s="60">
        <v>0.0</v>
      </c>
      <c r="I11409" s="60">
        <v>716.6375975</v>
      </c>
      <c r="J11409" s="59">
        <v>22.0</v>
      </c>
      <c r="K11409" s="61">
        <f t="shared" si="1"/>
        <v>0</v>
      </c>
      <c r="L11409" s="62">
        <f t="shared" si="2"/>
        <v>11</v>
      </c>
    </row>
    <row r="11410">
      <c r="A11410" s="58">
        <v>44986.0</v>
      </c>
      <c r="B11410" s="24" t="s">
        <v>6791</v>
      </c>
      <c r="C11410" s="24" t="s">
        <v>6892</v>
      </c>
      <c r="D11410" s="59">
        <v>1.0</v>
      </c>
      <c r="E11410" s="59">
        <v>1.0</v>
      </c>
      <c r="F11410" s="59">
        <v>0.0</v>
      </c>
      <c r="G11410" s="60">
        <v>1.0</v>
      </c>
      <c r="H11410" s="60">
        <v>0.0</v>
      </c>
      <c r="I11410" s="60">
        <v>5.995423</v>
      </c>
      <c r="J11410" s="59">
        <v>2.0</v>
      </c>
      <c r="K11410" s="61">
        <f t="shared" si="1"/>
        <v>0</v>
      </c>
      <c r="L11410" s="62">
        <f t="shared" si="2"/>
        <v>2</v>
      </c>
    </row>
    <row r="11411">
      <c r="A11411" s="58">
        <v>44986.0</v>
      </c>
      <c r="B11411" s="24" t="s">
        <v>6790</v>
      </c>
      <c r="C11411" s="24" t="s">
        <v>6892</v>
      </c>
      <c r="D11411" s="59">
        <v>1.0</v>
      </c>
      <c r="E11411" s="59">
        <v>1.0</v>
      </c>
      <c r="F11411" s="59">
        <v>0.0</v>
      </c>
      <c r="G11411" s="60">
        <v>1.0</v>
      </c>
      <c r="H11411" s="60">
        <v>0.0</v>
      </c>
      <c r="I11411" s="60">
        <v>289.486642</v>
      </c>
      <c r="J11411" s="59">
        <v>4.0</v>
      </c>
      <c r="K11411" s="61">
        <f t="shared" si="1"/>
        <v>0</v>
      </c>
      <c r="L11411" s="62">
        <f t="shared" si="2"/>
        <v>4</v>
      </c>
    </row>
    <row r="11412">
      <c r="A11412" s="58">
        <v>44986.0</v>
      </c>
      <c r="B11412" s="24" t="s">
        <v>6794</v>
      </c>
      <c r="C11412" s="24" t="s">
        <v>7659</v>
      </c>
      <c r="D11412" s="59">
        <v>1.0</v>
      </c>
      <c r="E11412" s="59">
        <v>1.0</v>
      </c>
      <c r="F11412" s="59">
        <v>0.0</v>
      </c>
      <c r="G11412" s="60">
        <v>1.0</v>
      </c>
      <c r="H11412" s="60">
        <v>0.0</v>
      </c>
      <c r="I11412" s="60">
        <v>201.688793</v>
      </c>
      <c r="J11412" s="59">
        <v>12.0</v>
      </c>
      <c r="K11412" s="61">
        <f t="shared" si="1"/>
        <v>0</v>
      </c>
      <c r="L11412" s="62">
        <f t="shared" si="2"/>
        <v>12</v>
      </c>
    </row>
    <row r="11413">
      <c r="A11413" s="58">
        <v>44986.0</v>
      </c>
      <c r="B11413" s="24" t="s">
        <v>6787</v>
      </c>
      <c r="C11413" s="24" t="s">
        <v>7635</v>
      </c>
      <c r="D11413" s="59">
        <v>1.0</v>
      </c>
      <c r="E11413" s="59">
        <v>1.0</v>
      </c>
      <c r="F11413" s="59">
        <v>1.0</v>
      </c>
      <c r="G11413" s="60">
        <v>1.0</v>
      </c>
      <c r="H11413" s="60">
        <v>0.0</v>
      </c>
      <c r="I11413" s="60">
        <v>5.016564</v>
      </c>
      <c r="J11413" s="59">
        <v>2.0</v>
      </c>
      <c r="K11413" s="61">
        <f t="shared" si="1"/>
        <v>1</v>
      </c>
      <c r="L11413" s="62">
        <f t="shared" si="2"/>
        <v>2</v>
      </c>
    </row>
    <row r="11414">
      <c r="A11414" s="58">
        <v>44986.0</v>
      </c>
      <c r="B11414" s="24" t="s">
        <v>6787</v>
      </c>
      <c r="C11414" s="24" t="s">
        <v>7156</v>
      </c>
      <c r="D11414" s="59">
        <v>1.0</v>
      </c>
      <c r="E11414" s="59">
        <v>1.0</v>
      </c>
      <c r="F11414" s="59">
        <v>1.0</v>
      </c>
      <c r="G11414" s="60">
        <v>1.0</v>
      </c>
      <c r="H11414" s="60">
        <v>0.0</v>
      </c>
      <c r="I11414" s="60">
        <v>4.847088</v>
      </c>
      <c r="J11414" s="59">
        <v>2.0</v>
      </c>
      <c r="K11414" s="61">
        <f t="shared" si="1"/>
        <v>1</v>
      </c>
      <c r="L11414" s="62">
        <f t="shared" si="2"/>
        <v>2</v>
      </c>
    </row>
    <row r="11415">
      <c r="A11415" s="58">
        <v>44986.0</v>
      </c>
      <c r="B11415" s="24" t="s">
        <v>6794</v>
      </c>
      <c r="C11415" s="24" t="s">
        <v>6905</v>
      </c>
      <c r="D11415" s="59">
        <v>1.0</v>
      </c>
      <c r="E11415" s="59">
        <v>1.0</v>
      </c>
      <c r="F11415" s="59">
        <v>0.0</v>
      </c>
      <c r="G11415" s="60">
        <v>1.0</v>
      </c>
      <c r="H11415" s="60">
        <v>0.0</v>
      </c>
      <c r="I11415" s="60">
        <v>8.860474</v>
      </c>
      <c r="J11415" s="59">
        <v>2.0</v>
      </c>
      <c r="K11415" s="61">
        <f t="shared" si="1"/>
        <v>0</v>
      </c>
      <c r="L11415" s="62">
        <f t="shared" si="2"/>
        <v>2</v>
      </c>
    </row>
    <row r="11416">
      <c r="A11416" s="58">
        <v>44986.0</v>
      </c>
      <c r="B11416" s="24" t="s">
        <v>3216</v>
      </c>
      <c r="C11416" s="24" t="s">
        <v>7242</v>
      </c>
      <c r="D11416" s="59">
        <v>1.0</v>
      </c>
      <c r="E11416" s="59">
        <v>2.0</v>
      </c>
      <c r="F11416" s="59">
        <v>0.0</v>
      </c>
      <c r="G11416" s="60">
        <v>2.0</v>
      </c>
      <c r="H11416" s="60">
        <v>0.0</v>
      </c>
      <c r="I11416" s="60">
        <v>8.2398355</v>
      </c>
      <c r="J11416" s="59">
        <v>6.0</v>
      </c>
      <c r="K11416" s="61">
        <f t="shared" si="1"/>
        <v>0</v>
      </c>
      <c r="L11416" s="62">
        <f t="shared" si="2"/>
        <v>3</v>
      </c>
    </row>
    <row r="11417">
      <c r="A11417" s="58">
        <v>44986.0</v>
      </c>
      <c r="B11417" s="24" t="s">
        <v>6789</v>
      </c>
      <c r="C11417" s="24" t="s">
        <v>7242</v>
      </c>
      <c r="D11417" s="59">
        <v>1.0</v>
      </c>
      <c r="E11417" s="59">
        <v>1.0</v>
      </c>
      <c r="F11417" s="59">
        <v>0.0</v>
      </c>
      <c r="G11417" s="60">
        <v>1.0</v>
      </c>
      <c r="H11417" s="60">
        <v>0.0</v>
      </c>
      <c r="I11417" s="60">
        <v>1.464235</v>
      </c>
      <c r="J11417" s="59">
        <v>2.0</v>
      </c>
      <c r="K11417" s="61">
        <f t="shared" si="1"/>
        <v>0</v>
      </c>
      <c r="L11417" s="62">
        <f t="shared" si="2"/>
        <v>2</v>
      </c>
    </row>
    <row r="11418">
      <c r="A11418" s="58">
        <v>44986.0</v>
      </c>
      <c r="B11418" s="24" t="s">
        <v>6794</v>
      </c>
      <c r="C11418" s="24" t="s">
        <v>7242</v>
      </c>
      <c r="D11418" s="59">
        <v>1.0</v>
      </c>
      <c r="E11418" s="59">
        <v>2.0</v>
      </c>
      <c r="F11418" s="59">
        <v>0.0</v>
      </c>
      <c r="G11418" s="60">
        <v>2.0</v>
      </c>
      <c r="H11418" s="60">
        <v>0.0</v>
      </c>
      <c r="I11418" s="60">
        <v>0.7503435</v>
      </c>
      <c r="J11418" s="59">
        <v>4.0</v>
      </c>
      <c r="K11418" s="61">
        <f t="shared" si="1"/>
        <v>0</v>
      </c>
      <c r="L11418" s="62">
        <f t="shared" si="2"/>
        <v>2</v>
      </c>
    </row>
    <row r="11419">
      <c r="A11419" s="58">
        <v>44986.0</v>
      </c>
      <c r="B11419" s="24" t="s">
        <v>7100</v>
      </c>
      <c r="C11419" s="24" t="s">
        <v>7624</v>
      </c>
      <c r="D11419" s="59">
        <v>1.0</v>
      </c>
      <c r="E11419" s="59">
        <v>6.0</v>
      </c>
      <c r="F11419" s="59">
        <v>0.0</v>
      </c>
      <c r="G11419" s="60">
        <v>6.0</v>
      </c>
      <c r="H11419" s="60">
        <v>0.0</v>
      </c>
      <c r="I11419" s="60">
        <v>861.219872</v>
      </c>
      <c r="J11419" s="59">
        <v>52.0</v>
      </c>
      <c r="K11419" s="61">
        <f t="shared" si="1"/>
        <v>0</v>
      </c>
      <c r="L11419" s="62">
        <f t="shared" si="2"/>
        <v>8.666666667</v>
      </c>
    </row>
    <row r="11420">
      <c r="A11420" s="58">
        <v>44986.0</v>
      </c>
      <c r="B11420" s="24" t="s">
        <v>6790</v>
      </c>
      <c r="C11420" s="24" t="s">
        <v>7624</v>
      </c>
      <c r="D11420" s="59">
        <v>1.0</v>
      </c>
      <c r="E11420" s="59">
        <v>1.0</v>
      </c>
      <c r="F11420" s="59">
        <v>0.0</v>
      </c>
      <c r="G11420" s="60">
        <v>1.0</v>
      </c>
      <c r="H11420" s="60">
        <v>0.0</v>
      </c>
      <c r="I11420" s="60">
        <v>26.302011</v>
      </c>
      <c r="J11420" s="59">
        <v>2.0</v>
      </c>
      <c r="K11420" s="61">
        <f t="shared" si="1"/>
        <v>0</v>
      </c>
      <c r="L11420" s="62">
        <f t="shared" si="2"/>
        <v>2</v>
      </c>
    </row>
    <row r="11421">
      <c r="A11421" s="58">
        <v>44986.0</v>
      </c>
      <c r="B11421" s="24" t="s">
        <v>6787</v>
      </c>
      <c r="C11421" s="24" t="s">
        <v>7206</v>
      </c>
      <c r="D11421" s="59">
        <v>1.0</v>
      </c>
      <c r="E11421" s="59">
        <v>1.0</v>
      </c>
      <c r="F11421" s="59">
        <v>0.0</v>
      </c>
      <c r="G11421" s="60">
        <v>1.0</v>
      </c>
      <c r="H11421" s="60">
        <v>0.0</v>
      </c>
      <c r="I11421" s="60">
        <v>258.503295</v>
      </c>
      <c r="J11421" s="59">
        <v>12.0</v>
      </c>
      <c r="K11421" s="61">
        <f t="shared" si="1"/>
        <v>0</v>
      </c>
      <c r="L11421" s="62">
        <f t="shared" si="2"/>
        <v>12</v>
      </c>
    </row>
    <row r="11422">
      <c r="A11422" s="58">
        <v>44986.0</v>
      </c>
      <c r="B11422" s="24" t="s">
        <v>155</v>
      </c>
      <c r="C11422" s="24" t="s">
        <v>7206</v>
      </c>
      <c r="D11422" s="59">
        <v>1.0</v>
      </c>
      <c r="E11422" s="59">
        <v>1.0</v>
      </c>
      <c r="F11422" s="59">
        <v>0.0</v>
      </c>
      <c r="G11422" s="60">
        <v>1.0</v>
      </c>
      <c r="H11422" s="60">
        <v>0.0</v>
      </c>
      <c r="I11422" s="60">
        <v>973.03963</v>
      </c>
      <c r="J11422" s="59">
        <v>8.0</v>
      </c>
      <c r="K11422" s="61">
        <f t="shared" si="1"/>
        <v>0</v>
      </c>
      <c r="L11422" s="62">
        <f t="shared" si="2"/>
        <v>8</v>
      </c>
    </row>
    <row r="11423">
      <c r="A11423" s="58">
        <v>44986.0</v>
      </c>
      <c r="B11423" s="24" t="s">
        <v>6794</v>
      </c>
      <c r="C11423" s="24" t="s">
        <v>7227</v>
      </c>
      <c r="D11423" s="59">
        <v>1.0</v>
      </c>
      <c r="E11423" s="59">
        <v>2.0</v>
      </c>
      <c r="F11423" s="59">
        <v>0.0</v>
      </c>
      <c r="G11423" s="60">
        <v>2.0</v>
      </c>
      <c r="H11423" s="60">
        <v>0.0</v>
      </c>
      <c r="I11423" s="60">
        <v>305.546059</v>
      </c>
      <c r="J11423" s="59">
        <v>5.0</v>
      </c>
      <c r="K11423" s="61">
        <f t="shared" si="1"/>
        <v>0</v>
      </c>
      <c r="L11423" s="62">
        <f t="shared" si="2"/>
        <v>2.5</v>
      </c>
    </row>
    <row r="11424">
      <c r="A11424" s="58">
        <v>44986.0</v>
      </c>
      <c r="B11424" s="24" t="s">
        <v>7100</v>
      </c>
      <c r="C11424" s="24" t="s">
        <v>7227</v>
      </c>
      <c r="D11424" s="59">
        <v>1.0</v>
      </c>
      <c r="E11424" s="59">
        <v>1.0</v>
      </c>
      <c r="F11424" s="59">
        <v>1.0</v>
      </c>
      <c r="G11424" s="60">
        <v>1.0</v>
      </c>
      <c r="H11424" s="60">
        <v>0.0</v>
      </c>
      <c r="I11424" s="60">
        <v>4.524133</v>
      </c>
      <c r="J11424" s="59">
        <v>2.0</v>
      </c>
      <c r="K11424" s="61">
        <f t="shared" si="1"/>
        <v>1</v>
      </c>
      <c r="L11424" s="62">
        <f t="shared" si="2"/>
        <v>2</v>
      </c>
    </row>
    <row r="11425">
      <c r="A11425" s="58">
        <v>44986.0</v>
      </c>
      <c r="B11425" s="24" t="s">
        <v>6790</v>
      </c>
      <c r="C11425" s="24" t="s">
        <v>7227</v>
      </c>
      <c r="D11425" s="59">
        <v>1.0</v>
      </c>
      <c r="E11425" s="59">
        <v>1.0</v>
      </c>
      <c r="F11425" s="59">
        <v>0.0</v>
      </c>
      <c r="G11425" s="60">
        <v>1.0</v>
      </c>
      <c r="H11425" s="60">
        <v>0.0</v>
      </c>
      <c r="I11425" s="60">
        <v>1326.797704</v>
      </c>
      <c r="J11425" s="59">
        <v>8.0</v>
      </c>
      <c r="K11425" s="61">
        <f t="shared" si="1"/>
        <v>0</v>
      </c>
      <c r="L11425" s="62">
        <f t="shared" si="2"/>
        <v>8</v>
      </c>
    </row>
    <row r="11426">
      <c r="A11426" s="58">
        <v>44986.0</v>
      </c>
      <c r="B11426" s="24" t="s">
        <v>6787</v>
      </c>
      <c r="C11426" s="24" t="s">
        <v>7554</v>
      </c>
      <c r="D11426" s="59">
        <v>1.0</v>
      </c>
      <c r="E11426" s="59">
        <v>2.0</v>
      </c>
      <c r="F11426" s="59">
        <v>0.0</v>
      </c>
      <c r="G11426" s="60">
        <v>2.0</v>
      </c>
      <c r="H11426" s="60">
        <v>0.0</v>
      </c>
      <c r="I11426" s="60">
        <v>3.64259949999999</v>
      </c>
      <c r="J11426" s="59">
        <v>4.0</v>
      </c>
      <c r="K11426" s="61">
        <f t="shared" si="1"/>
        <v>0</v>
      </c>
      <c r="L11426" s="62">
        <f t="shared" si="2"/>
        <v>2</v>
      </c>
    </row>
    <row r="11427">
      <c r="A11427" s="58">
        <v>44986.0</v>
      </c>
      <c r="B11427" s="24" t="s">
        <v>155</v>
      </c>
      <c r="C11427" s="24" t="s">
        <v>7554</v>
      </c>
      <c r="D11427" s="59">
        <v>1.0</v>
      </c>
      <c r="E11427" s="59">
        <v>1.0</v>
      </c>
      <c r="F11427" s="59">
        <v>0.0</v>
      </c>
      <c r="G11427" s="60">
        <v>1.0</v>
      </c>
      <c r="H11427" s="60">
        <v>0.0</v>
      </c>
      <c r="I11427" s="60">
        <v>68.109617</v>
      </c>
      <c r="J11427" s="59">
        <v>6.0</v>
      </c>
      <c r="K11427" s="61">
        <f t="shared" si="1"/>
        <v>0</v>
      </c>
      <c r="L11427" s="62">
        <f t="shared" si="2"/>
        <v>6</v>
      </c>
    </row>
    <row r="11428">
      <c r="A11428" s="58">
        <v>44986.0</v>
      </c>
      <c r="B11428" s="24" t="s">
        <v>6787</v>
      </c>
      <c r="C11428" s="24" t="s">
        <v>7261</v>
      </c>
      <c r="D11428" s="59">
        <v>1.0</v>
      </c>
      <c r="E11428" s="59">
        <v>1.0</v>
      </c>
      <c r="F11428" s="59">
        <v>1.0</v>
      </c>
      <c r="G11428" s="60">
        <v>1.0</v>
      </c>
      <c r="H11428" s="60">
        <v>0.0</v>
      </c>
      <c r="I11428" s="60">
        <v>7.225408</v>
      </c>
      <c r="J11428" s="59">
        <v>2.0</v>
      </c>
      <c r="K11428" s="61">
        <f t="shared" si="1"/>
        <v>1</v>
      </c>
      <c r="L11428" s="62">
        <f t="shared" si="2"/>
        <v>2</v>
      </c>
    </row>
    <row r="11429">
      <c r="A11429" s="58">
        <v>44986.0</v>
      </c>
      <c r="B11429" s="24" t="s">
        <v>155</v>
      </c>
      <c r="C11429" s="24" t="s">
        <v>7261</v>
      </c>
      <c r="D11429" s="59">
        <v>1.0</v>
      </c>
      <c r="E11429" s="59">
        <v>1.0</v>
      </c>
      <c r="F11429" s="59">
        <v>0.0</v>
      </c>
      <c r="G11429" s="60">
        <v>1.0</v>
      </c>
      <c r="H11429" s="60">
        <v>0.0</v>
      </c>
      <c r="I11429" s="60">
        <v>46.654784</v>
      </c>
      <c r="J11429" s="59">
        <v>2.0</v>
      </c>
      <c r="K11429" s="61">
        <f t="shared" si="1"/>
        <v>0</v>
      </c>
      <c r="L11429" s="62">
        <f t="shared" si="2"/>
        <v>2</v>
      </c>
    </row>
    <row r="11430">
      <c r="A11430" s="58">
        <v>44986.0</v>
      </c>
      <c r="B11430" s="24" t="s">
        <v>6789</v>
      </c>
      <c r="C11430" s="24" t="s">
        <v>7228</v>
      </c>
      <c r="D11430" s="59">
        <v>1.0</v>
      </c>
      <c r="E11430" s="59">
        <v>1.0</v>
      </c>
      <c r="F11430" s="59">
        <v>1.0</v>
      </c>
      <c r="G11430" s="60">
        <v>1.0</v>
      </c>
      <c r="H11430" s="60">
        <v>0.0</v>
      </c>
      <c r="I11430" s="60">
        <v>320.158729</v>
      </c>
      <c r="J11430" s="59">
        <v>2.0</v>
      </c>
      <c r="K11430" s="61">
        <f t="shared" si="1"/>
        <v>1</v>
      </c>
      <c r="L11430" s="62">
        <f t="shared" si="2"/>
        <v>2</v>
      </c>
    </row>
    <row r="11431">
      <c r="A11431" s="58">
        <v>44986.0</v>
      </c>
      <c r="B11431" s="24" t="s">
        <v>6789</v>
      </c>
      <c r="C11431" s="24" t="s">
        <v>6907</v>
      </c>
      <c r="D11431" s="59">
        <v>1.0</v>
      </c>
      <c r="E11431" s="59">
        <v>1.0</v>
      </c>
      <c r="F11431" s="59">
        <v>0.0</v>
      </c>
      <c r="G11431" s="60">
        <v>1.0</v>
      </c>
      <c r="H11431" s="60">
        <v>0.0</v>
      </c>
      <c r="I11431" s="60">
        <v>387.909102</v>
      </c>
      <c r="J11431" s="59">
        <v>12.0</v>
      </c>
      <c r="K11431" s="61">
        <f t="shared" si="1"/>
        <v>0</v>
      </c>
      <c r="L11431" s="62">
        <f t="shared" si="2"/>
        <v>12</v>
      </c>
    </row>
    <row r="11432">
      <c r="A11432" s="58">
        <v>44986.0</v>
      </c>
      <c r="B11432" s="24" t="s">
        <v>6794</v>
      </c>
      <c r="C11432" s="24" t="s">
        <v>6907</v>
      </c>
      <c r="D11432" s="59">
        <v>1.0</v>
      </c>
      <c r="E11432" s="59">
        <v>1.0</v>
      </c>
      <c r="F11432" s="59">
        <v>0.0</v>
      </c>
      <c r="G11432" s="60">
        <v>1.0</v>
      </c>
      <c r="H11432" s="60">
        <v>0.0</v>
      </c>
      <c r="I11432" s="60">
        <v>25.429757</v>
      </c>
      <c r="J11432" s="59">
        <v>2.0</v>
      </c>
      <c r="K11432" s="61">
        <f t="shared" si="1"/>
        <v>0</v>
      </c>
      <c r="L11432" s="62">
        <f t="shared" si="2"/>
        <v>2</v>
      </c>
    </row>
    <row r="11433">
      <c r="A11433" s="58">
        <v>44986.0</v>
      </c>
      <c r="B11433" s="24" t="s">
        <v>6789</v>
      </c>
      <c r="C11433" s="24" t="s">
        <v>7087</v>
      </c>
      <c r="D11433" s="59">
        <v>1.0</v>
      </c>
      <c r="E11433" s="59">
        <v>1.0</v>
      </c>
      <c r="F11433" s="59">
        <v>1.0</v>
      </c>
      <c r="G11433" s="60">
        <v>1.0</v>
      </c>
      <c r="H11433" s="60">
        <v>0.0</v>
      </c>
      <c r="I11433" s="60">
        <v>51.61547</v>
      </c>
      <c r="J11433" s="59">
        <v>2.0</v>
      </c>
      <c r="K11433" s="61">
        <f t="shared" si="1"/>
        <v>1</v>
      </c>
      <c r="L11433" s="62">
        <f t="shared" si="2"/>
        <v>2</v>
      </c>
    </row>
    <row r="11434">
      <c r="A11434" s="58">
        <v>44986.0</v>
      </c>
      <c r="B11434" s="24" t="s">
        <v>6794</v>
      </c>
      <c r="C11434" s="24" t="s">
        <v>6800</v>
      </c>
      <c r="D11434" s="59">
        <v>1.0</v>
      </c>
      <c r="E11434" s="59">
        <v>1.0</v>
      </c>
      <c r="F11434" s="59">
        <v>0.0</v>
      </c>
      <c r="G11434" s="60">
        <v>0.0</v>
      </c>
      <c r="H11434" s="60">
        <v>1.0</v>
      </c>
      <c r="I11434" s="60">
        <v>0.0</v>
      </c>
      <c r="J11434" s="59">
        <v>1.0</v>
      </c>
      <c r="K11434" s="61">
        <f t="shared" si="1"/>
        <v>0</v>
      </c>
      <c r="L11434" s="62">
        <f t="shared" si="2"/>
        <v>1</v>
      </c>
    </row>
    <row r="11435">
      <c r="A11435" s="58">
        <v>44986.0</v>
      </c>
      <c r="B11435" s="24" t="s">
        <v>155</v>
      </c>
      <c r="C11435" s="24" t="s">
        <v>6800</v>
      </c>
      <c r="D11435" s="59">
        <v>1.0</v>
      </c>
      <c r="E11435" s="59">
        <v>1.0</v>
      </c>
      <c r="F11435" s="59">
        <v>1.0</v>
      </c>
      <c r="G11435" s="60">
        <v>1.0</v>
      </c>
      <c r="H11435" s="60">
        <v>1.0</v>
      </c>
      <c r="I11435" s="60">
        <v>0.0</v>
      </c>
      <c r="J11435" s="59">
        <v>1.0</v>
      </c>
      <c r="K11435" s="61">
        <f t="shared" si="1"/>
        <v>1</v>
      </c>
      <c r="L11435" s="62">
        <f t="shared" si="2"/>
        <v>1</v>
      </c>
    </row>
    <row r="11436">
      <c r="A11436" s="58">
        <v>44986.0</v>
      </c>
      <c r="B11436" s="24" t="s">
        <v>6789</v>
      </c>
      <c r="C11436" s="24" t="s">
        <v>7101</v>
      </c>
      <c r="D11436" s="59">
        <v>1.0</v>
      </c>
      <c r="E11436" s="59">
        <v>1.0</v>
      </c>
      <c r="F11436" s="59">
        <v>0.0</v>
      </c>
      <c r="G11436" s="60">
        <v>1.0</v>
      </c>
      <c r="H11436" s="60">
        <v>0.0</v>
      </c>
      <c r="I11436" s="60">
        <v>189.351937</v>
      </c>
      <c r="J11436" s="59">
        <v>2.0</v>
      </c>
      <c r="K11436" s="61">
        <f t="shared" si="1"/>
        <v>0</v>
      </c>
      <c r="L11436" s="62">
        <f t="shared" si="2"/>
        <v>2</v>
      </c>
    </row>
    <row r="11437">
      <c r="A11437" s="58">
        <v>44986.0</v>
      </c>
      <c r="B11437" s="24" t="s">
        <v>7100</v>
      </c>
      <c r="C11437" s="24" t="s">
        <v>7313</v>
      </c>
      <c r="D11437" s="59">
        <v>1.0</v>
      </c>
      <c r="E11437" s="59">
        <v>2.0</v>
      </c>
      <c r="F11437" s="59">
        <v>0.0</v>
      </c>
      <c r="G11437" s="60">
        <v>2.0</v>
      </c>
      <c r="H11437" s="60">
        <v>0.0</v>
      </c>
      <c r="I11437" s="60">
        <v>930.3382895</v>
      </c>
      <c r="J11437" s="59">
        <v>18.0</v>
      </c>
      <c r="K11437" s="61">
        <f t="shared" si="1"/>
        <v>0</v>
      </c>
      <c r="L11437" s="62">
        <f t="shared" si="2"/>
        <v>9</v>
      </c>
    </row>
    <row r="11438">
      <c r="A11438" s="58">
        <v>44986.0</v>
      </c>
      <c r="B11438" s="24" t="s">
        <v>6791</v>
      </c>
      <c r="C11438" s="24" t="s">
        <v>6910</v>
      </c>
      <c r="D11438" s="59">
        <v>1.0</v>
      </c>
      <c r="E11438" s="59">
        <v>1.0</v>
      </c>
      <c r="F11438" s="59">
        <v>0.0</v>
      </c>
      <c r="G11438" s="60">
        <v>1.0</v>
      </c>
      <c r="H11438" s="60">
        <v>0.0</v>
      </c>
      <c r="I11438" s="60">
        <v>862.897829</v>
      </c>
      <c r="J11438" s="59">
        <v>6.0</v>
      </c>
      <c r="K11438" s="61">
        <f t="shared" si="1"/>
        <v>0</v>
      </c>
      <c r="L11438" s="62">
        <f t="shared" si="2"/>
        <v>6</v>
      </c>
    </row>
    <row r="11439">
      <c r="A11439" s="58">
        <v>44986.0</v>
      </c>
      <c r="B11439" s="24" t="s">
        <v>6787</v>
      </c>
      <c r="C11439" s="24" t="s">
        <v>7102</v>
      </c>
      <c r="D11439" s="59">
        <v>1.0</v>
      </c>
      <c r="E11439" s="59">
        <v>1.0</v>
      </c>
      <c r="F11439" s="59">
        <v>1.0</v>
      </c>
      <c r="G11439" s="60">
        <v>1.0</v>
      </c>
      <c r="H11439" s="60">
        <v>0.0</v>
      </c>
      <c r="I11439" s="60">
        <v>2.639989</v>
      </c>
      <c r="J11439" s="59">
        <v>2.0</v>
      </c>
      <c r="K11439" s="61">
        <f t="shared" si="1"/>
        <v>1</v>
      </c>
      <c r="L11439" s="62">
        <f t="shared" si="2"/>
        <v>2</v>
      </c>
    </row>
    <row r="11440">
      <c r="A11440" s="58">
        <v>44986.0</v>
      </c>
      <c r="B11440" s="24" t="s">
        <v>7100</v>
      </c>
      <c r="C11440" s="24" t="s">
        <v>7102</v>
      </c>
      <c r="D11440" s="59">
        <v>1.0</v>
      </c>
      <c r="E11440" s="59">
        <v>1.0</v>
      </c>
      <c r="F11440" s="59">
        <v>1.0</v>
      </c>
      <c r="G11440" s="60">
        <v>1.0</v>
      </c>
      <c r="H11440" s="60">
        <v>0.0</v>
      </c>
      <c r="I11440" s="60">
        <v>4.318634</v>
      </c>
      <c r="J11440" s="59">
        <v>2.0</v>
      </c>
      <c r="K11440" s="61">
        <f t="shared" si="1"/>
        <v>1</v>
      </c>
      <c r="L11440" s="62">
        <f t="shared" si="2"/>
        <v>2</v>
      </c>
    </row>
    <row r="11441">
      <c r="A11441" s="58">
        <v>44986.0</v>
      </c>
      <c r="B11441" s="24" t="s">
        <v>6789</v>
      </c>
      <c r="C11441" s="24" t="s">
        <v>6914</v>
      </c>
      <c r="D11441" s="59">
        <v>1.0</v>
      </c>
      <c r="E11441" s="59">
        <v>1.0</v>
      </c>
      <c r="F11441" s="59">
        <v>0.0</v>
      </c>
      <c r="G11441" s="60">
        <v>1.0</v>
      </c>
      <c r="H11441" s="60">
        <v>0.0</v>
      </c>
      <c r="I11441" s="60">
        <v>2.208714</v>
      </c>
      <c r="J11441" s="59">
        <v>2.0</v>
      </c>
      <c r="K11441" s="61">
        <f t="shared" si="1"/>
        <v>0</v>
      </c>
      <c r="L11441" s="62">
        <f t="shared" si="2"/>
        <v>2</v>
      </c>
    </row>
    <row r="11442">
      <c r="A11442" s="58">
        <v>44986.0</v>
      </c>
      <c r="B11442" s="24" t="s">
        <v>6794</v>
      </c>
      <c r="C11442" s="24" t="s">
        <v>7559</v>
      </c>
      <c r="D11442" s="59">
        <v>1.0</v>
      </c>
      <c r="E11442" s="59">
        <v>1.0</v>
      </c>
      <c r="F11442" s="59">
        <v>1.0</v>
      </c>
      <c r="G11442" s="60">
        <v>1.0</v>
      </c>
      <c r="H11442" s="60">
        <v>0.0</v>
      </c>
      <c r="I11442" s="60">
        <v>7.14367</v>
      </c>
      <c r="J11442" s="59">
        <v>4.0</v>
      </c>
      <c r="K11442" s="61">
        <f t="shared" si="1"/>
        <v>1</v>
      </c>
      <c r="L11442" s="62">
        <f t="shared" si="2"/>
        <v>4</v>
      </c>
    </row>
    <row r="11443">
      <c r="A11443" s="58">
        <v>44986.0</v>
      </c>
      <c r="B11443" s="24" t="s">
        <v>6787</v>
      </c>
      <c r="C11443" s="24" t="s">
        <v>7655</v>
      </c>
      <c r="D11443" s="59">
        <v>1.0</v>
      </c>
      <c r="E11443" s="59">
        <v>1.0</v>
      </c>
      <c r="F11443" s="59">
        <v>1.0</v>
      </c>
      <c r="G11443" s="60">
        <v>1.0</v>
      </c>
      <c r="H11443" s="60">
        <v>0.0</v>
      </c>
      <c r="I11443" s="60">
        <v>3.577981</v>
      </c>
      <c r="J11443" s="59">
        <v>2.0</v>
      </c>
      <c r="K11443" s="61">
        <f t="shared" si="1"/>
        <v>1</v>
      </c>
      <c r="L11443" s="62">
        <f t="shared" si="2"/>
        <v>2</v>
      </c>
    </row>
    <row r="11444">
      <c r="A11444" s="58">
        <v>44986.0</v>
      </c>
      <c r="B11444" s="24" t="s">
        <v>155</v>
      </c>
      <c r="C11444" s="24" t="s">
        <v>7027</v>
      </c>
      <c r="D11444" s="59">
        <v>1.0</v>
      </c>
      <c r="E11444" s="59">
        <v>1.0</v>
      </c>
      <c r="F11444" s="59">
        <v>0.0</v>
      </c>
      <c r="G11444" s="60">
        <v>1.0</v>
      </c>
      <c r="H11444" s="60">
        <v>0.0</v>
      </c>
      <c r="I11444" s="60">
        <v>810.771007</v>
      </c>
      <c r="J11444" s="59">
        <v>6.0</v>
      </c>
      <c r="K11444" s="61">
        <f t="shared" si="1"/>
        <v>0</v>
      </c>
      <c r="L11444" s="62">
        <f t="shared" si="2"/>
        <v>6</v>
      </c>
    </row>
    <row r="11445">
      <c r="A11445" s="58">
        <v>44986.0</v>
      </c>
      <c r="B11445" s="24" t="s">
        <v>6790</v>
      </c>
      <c r="C11445" s="24" t="s">
        <v>7180</v>
      </c>
      <c r="D11445" s="59">
        <v>1.0</v>
      </c>
      <c r="E11445" s="59">
        <v>1.0</v>
      </c>
      <c r="F11445" s="59">
        <v>0.0</v>
      </c>
      <c r="G11445" s="60">
        <v>1.0</v>
      </c>
      <c r="H11445" s="60">
        <v>0.0</v>
      </c>
      <c r="I11445" s="60">
        <v>250.290218</v>
      </c>
      <c r="J11445" s="59">
        <v>4.0</v>
      </c>
      <c r="K11445" s="61">
        <f t="shared" si="1"/>
        <v>0</v>
      </c>
      <c r="L11445" s="62">
        <f t="shared" si="2"/>
        <v>4</v>
      </c>
    </row>
    <row r="11446">
      <c r="A11446" s="58">
        <v>44986.0</v>
      </c>
      <c r="B11446" s="24" t="s">
        <v>6787</v>
      </c>
      <c r="C11446" s="24" t="s">
        <v>7111</v>
      </c>
      <c r="D11446" s="59">
        <v>1.0</v>
      </c>
      <c r="E11446" s="59">
        <v>1.0</v>
      </c>
      <c r="F11446" s="59">
        <v>0.0</v>
      </c>
      <c r="G11446" s="60">
        <v>1.0</v>
      </c>
      <c r="H11446" s="60">
        <v>0.0</v>
      </c>
      <c r="I11446" s="60">
        <v>13.99957</v>
      </c>
      <c r="J11446" s="59">
        <v>2.0</v>
      </c>
      <c r="K11446" s="61">
        <f t="shared" si="1"/>
        <v>0</v>
      </c>
      <c r="L11446" s="62">
        <f t="shared" si="2"/>
        <v>2</v>
      </c>
    </row>
    <row r="11447">
      <c r="A11447" s="58">
        <v>44986.0</v>
      </c>
      <c r="B11447" s="24" t="s">
        <v>6794</v>
      </c>
      <c r="C11447" s="24" t="s">
        <v>6921</v>
      </c>
      <c r="D11447" s="59">
        <v>1.0</v>
      </c>
      <c r="E11447" s="59">
        <v>5.0</v>
      </c>
      <c r="F11447" s="59">
        <v>0.0</v>
      </c>
      <c r="G11447" s="60">
        <v>5.0</v>
      </c>
      <c r="H11447" s="60">
        <v>0.0</v>
      </c>
      <c r="I11447" s="60">
        <v>99.7237272</v>
      </c>
      <c r="J11447" s="59">
        <v>12.0</v>
      </c>
      <c r="K11447" s="61">
        <f t="shared" si="1"/>
        <v>0</v>
      </c>
      <c r="L11447" s="62">
        <f t="shared" si="2"/>
        <v>2.4</v>
      </c>
    </row>
    <row r="11448">
      <c r="A11448" s="58">
        <v>44986.0</v>
      </c>
      <c r="B11448" s="24" t="s">
        <v>7100</v>
      </c>
      <c r="C11448" s="24" t="s">
        <v>6921</v>
      </c>
      <c r="D11448" s="59">
        <v>1.0</v>
      </c>
      <c r="E11448" s="59">
        <v>1.0</v>
      </c>
      <c r="F11448" s="59">
        <v>0.0</v>
      </c>
      <c r="G11448" s="60">
        <v>1.0</v>
      </c>
      <c r="H11448" s="60">
        <v>0.0</v>
      </c>
      <c r="I11448" s="60">
        <v>41.038958</v>
      </c>
      <c r="J11448" s="59">
        <v>9.0</v>
      </c>
      <c r="K11448" s="61">
        <f t="shared" si="1"/>
        <v>0</v>
      </c>
      <c r="L11448" s="62">
        <f t="shared" si="2"/>
        <v>9</v>
      </c>
    </row>
    <row r="11449">
      <c r="A11449" s="58">
        <v>44986.0</v>
      </c>
      <c r="B11449" s="24" t="s">
        <v>6794</v>
      </c>
      <c r="C11449" s="24" t="s">
        <v>6922</v>
      </c>
      <c r="D11449" s="59">
        <v>1.0</v>
      </c>
      <c r="E11449" s="59">
        <v>1.0</v>
      </c>
      <c r="F11449" s="59">
        <v>0.0</v>
      </c>
      <c r="G11449" s="60">
        <v>1.0</v>
      </c>
      <c r="H11449" s="60">
        <v>0.0</v>
      </c>
      <c r="I11449" s="60">
        <v>1313.698685</v>
      </c>
      <c r="J11449" s="59">
        <v>4.0</v>
      </c>
      <c r="K11449" s="61">
        <f t="shared" si="1"/>
        <v>0</v>
      </c>
      <c r="L11449" s="62">
        <f t="shared" si="2"/>
        <v>4</v>
      </c>
    </row>
    <row r="11450">
      <c r="A11450" s="58">
        <v>44986.0</v>
      </c>
      <c r="B11450" s="24" t="s">
        <v>6789</v>
      </c>
      <c r="C11450" s="24" t="s">
        <v>7047</v>
      </c>
      <c r="D11450" s="59">
        <v>1.0</v>
      </c>
      <c r="E11450" s="59">
        <v>1.0</v>
      </c>
      <c r="F11450" s="59">
        <v>0.0</v>
      </c>
      <c r="G11450" s="60">
        <v>1.0</v>
      </c>
      <c r="H11450" s="60">
        <v>0.0</v>
      </c>
      <c r="I11450" s="60">
        <v>18.268004</v>
      </c>
      <c r="J11450" s="59">
        <v>4.0</v>
      </c>
      <c r="K11450" s="61">
        <f t="shared" si="1"/>
        <v>0</v>
      </c>
      <c r="L11450" s="62">
        <f t="shared" si="2"/>
        <v>4</v>
      </c>
    </row>
    <row r="11451">
      <c r="A11451" s="58">
        <v>44986.0</v>
      </c>
      <c r="B11451" s="24" t="s">
        <v>6791</v>
      </c>
      <c r="C11451" s="24" t="s">
        <v>7047</v>
      </c>
      <c r="D11451" s="59">
        <v>1.0</v>
      </c>
      <c r="E11451" s="59">
        <v>1.0</v>
      </c>
      <c r="F11451" s="59">
        <v>1.0</v>
      </c>
      <c r="G11451" s="60">
        <v>1.0</v>
      </c>
      <c r="H11451" s="60">
        <v>0.0</v>
      </c>
      <c r="I11451" s="60">
        <v>1.074411</v>
      </c>
      <c r="J11451" s="59">
        <v>2.0</v>
      </c>
      <c r="K11451" s="61">
        <f t="shared" si="1"/>
        <v>1</v>
      </c>
      <c r="L11451" s="62">
        <f t="shared" si="2"/>
        <v>2</v>
      </c>
    </row>
    <row r="11452">
      <c r="A11452" s="58">
        <v>44986.0</v>
      </c>
      <c r="B11452" s="24" t="s">
        <v>7100</v>
      </c>
      <c r="C11452" s="24" t="s">
        <v>6797</v>
      </c>
      <c r="D11452" s="59">
        <v>1.0</v>
      </c>
      <c r="E11452" s="59">
        <v>2.0</v>
      </c>
      <c r="F11452" s="59">
        <v>0.0</v>
      </c>
      <c r="G11452" s="60">
        <v>2.0</v>
      </c>
      <c r="H11452" s="60">
        <v>0.5</v>
      </c>
      <c r="I11452" s="60">
        <v>0.724281</v>
      </c>
      <c r="J11452" s="59">
        <v>3.0</v>
      </c>
      <c r="K11452" s="61">
        <f t="shared" si="1"/>
        <v>0</v>
      </c>
      <c r="L11452" s="62">
        <f t="shared" si="2"/>
        <v>1.5</v>
      </c>
    </row>
    <row r="11453">
      <c r="A11453" s="58">
        <v>44986.0</v>
      </c>
      <c r="B11453" s="24" t="s">
        <v>155</v>
      </c>
      <c r="C11453" s="24" t="s">
        <v>6797</v>
      </c>
      <c r="D11453" s="59">
        <v>1.0</v>
      </c>
      <c r="E11453" s="59">
        <v>2.0</v>
      </c>
      <c r="F11453" s="59">
        <v>1.0</v>
      </c>
      <c r="G11453" s="60">
        <v>2.0</v>
      </c>
      <c r="H11453" s="60">
        <v>0.0</v>
      </c>
      <c r="I11453" s="60">
        <v>20.102931</v>
      </c>
      <c r="J11453" s="59">
        <v>4.0</v>
      </c>
      <c r="K11453" s="61">
        <f t="shared" si="1"/>
        <v>0.5</v>
      </c>
      <c r="L11453" s="62">
        <f t="shared" si="2"/>
        <v>2</v>
      </c>
    </row>
    <row r="11454">
      <c r="A11454" s="58">
        <v>44986.0</v>
      </c>
      <c r="B11454" s="24" t="s">
        <v>6789</v>
      </c>
      <c r="C11454" s="24" t="s">
        <v>7660</v>
      </c>
      <c r="D11454" s="59">
        <v>1.0</v>
      </c>
      <c r="E11454" s="59">
        <v>1.0</v>
      </c>
      <c r="F11454" s="59">
        <v>0.0</v>
      </c>
      <c r="G11454" s="60">
        <v>1.0</v>
      </c>
      <c r="H11454" s="60">
        <v>0.0</v>
      </c>
      <c r="I11454" s="60">
        <v>1352.049639</v>
      </c>
      <c r="J11454" s="59">
        <v>6.0</v>
      </c>
      <c r="K11454" s="61">
        <f t="shared" si="1"/>
        <v>0</v>
      </c>
      <c r="L11454" s="62">
        <f t="shared" si="2"/>
        <v>6</v>
      </c>
    </row>
    <row r="11455">
      <c r="A11455" s="58">
        <v>44986.0</v>
      </c>
      <c r="B11455" s="24" t="s">
        <v>6789</v>
      </c>
      <c r="C11455" s="24" t="s">
        <v>7508</v>
      </c>
      <c r="D11455" s="59">
        <v>1.0</v>
      </c>
      <c r="E11455" s="59">
        <v>1.0</v>
      </c>
      <c r="F11455" s="59">
        <v>1.0</v>
      </c>
      <c r="G11455" s="60">
        <v>1.0</v>
      </c>
      <c r="H11455" s="60">
        <v>0.0</v>
      </c>
      <c r="I11455" s="60">
        <v>230.409293</v>
      </c>
      <c r="J11455" s="59">
        <v>10.0</v>
      </c>
      <c r="K11455" s="61">
        <f t="shared" si="1"/>
        <v>1</v>
      </c>
      <c r="L11455" s="62">
        <f t="shared" si="2"/>
        <v>10</v>
      </c>
    </row>
    <row r="11456">
      <c r="A11456" s="58">
        <v>44986.0</v>
      </c>
      <c r="B11456" s="24" t="s">
        <v>155</v>
      </c>
      <c r="C11456" s="24" t="s">
        <v>7508</v>
      </c>
      <c r="D11456" s="59">
        <v>1.0</v>
      </c>
      <c r="E11456" s="59">
        <v>1.0</v>
      </c>
      <c r="F11456" s="59">
        <v>0.0</v>
      </c>
      <c r="G11456" s="60">
        <v>1.0</v>
      </c>
      <c r="H11456" s="60">
        <v>0.0</v>
      </c>
      <c r="I11456" s="60">
        <v>2.210768</v>
      </c>
      <c r="J11456" s="59">
        <v>2.0</v>
      </c>
      <c r="K11456" s="61">
        <f t="shared" si="1"/>
        <v>0</v>
      </c>
      <c r="L11456" s="62">
        <f t="shared" si="2"/>
        <v>2</v>
      </c>
    </row>
    <row r="11457">
      <c r="A11457" s="58">
        <v>44986.0</v>
      </c>
      <c r="B11457" s="24" t="s">
        <v>6794</v>
      </c>
      <c r="C11457" s="24" t="s">
        <v>6802</v>
      </c>
      <c r="D11457" s="59">
        <v>1.0</v>
      </c>
      <c r="E11457" s="59">
        <v>1.0</v>
      </c>
      <c r="F11457" s="59">
        <v>0.0</v>
      </c>
      <c r="G11457" s="60">
        <v>1.0</v>
      </c>
      <c r="H11457" s="60">
        <v>0.0</v>
      </c>
      <c r="I11457" s="60">
        <v>210.950171</v>
      </c>
      <c r="J11457" s="59">
        <v>2.0</v>
      </c>
      <c r="K11457" s="61">
        <f t="shared" si="1"/>
        <v>0</v>
      </c>
      <c r="L11457" s="62">
        <f t="shared" si="2"/>
        <v>2</v>
      </c>
    </row>
    <row r="11458">
      <c r="A11458" s="58">
        <v>44958.0</v>
      </c>
      <c r="B11458" s="24" t="s">
        <v>6787</v>
      </c>
      <c r="C11458" s="27"/>
      <c r="D11458" s="59">
        <v>629.0</v>
      </c>
      <c r="E11458" s="59">
        <v>712.0</v>
      </c>
      <c r="F11458" s="59">
        <v>605.0</v>
      </c>
      <c r="G11458" s="60">
        <v>1.13195548489666</v>
      </c>
      <c r="H11458" s="60">
        <v>0.0941011235955056</v>
      </c>
      <c r="I11458" s="60">
        <v>77.1805817696629</v>
      </c>
      <c r="J11458" s="59">
        <v>1825.0</v>
      </c>
      <c r="K11458" s="61">
        <f t="shared" si="1"/>
        <v>0.8497191011</v>
      </c>
      <c r="L11458" s="62">
        <f t="shared" si="2"/>
        <v>2.563202247</v>
      </c>
    </row>
    <row r="11459">
      <c r="A11459" s="58">
        <v>44958.0</v>
      </c>
      <c r="B11459" s="24" t="s">
        <v>6789</v>
      </c>
      <c r="C11459" s="27"/>
      <c r="D11459" s="59">
        <v>589.0</v>
      </c>
      <c r="E11459" s="59">
        <v>791.0</v>
      </c>
      <c r="F11459" s="59">
        <v>487.0</v>
      </c>
      <c r="G11459" s="60">
        <v>1.34295415959252</v>
      </c>
      <c r="H11459" s="60">
        <v>0.0151706700379266</v>
      </c>
      <c r="I11459" s="60">
        <v>184.265676375474</v>
      </c>
      <c r="J11459" s="59">
        <v>2928.0</v>
      </c>
      <c r="K11459" s="61">
        <f t="shared" si="1"/>
        <v>0.615676359</v>
      </c>
      <c r="L11459" s="62">
        <f t="shared" si="2"/>
        <v>3.701643489</v>
      </c>
    </row>
    <row r="11460">
      <c r="A11460" s="58">
        <v>44958.0</v>
      </c>
      <c r="B11460" s="24" t="s">
        <v>6789</v>
      </c>
      <c r="C11460" s="24" t="s">
        <v>7068</v>
      </c>
      <c r="D11460" s="59">
        <v>226.0</v>
      </c>
      <c r="E11460" s="59">
        <v>244.0</v>
      </c>
      <c r="F11460" s="59">
        <v>221.0</v>
      </c>
      <c r="G11460" s="60">
        <v>1.07964601769911</v>
      </c>
      <c r="H11460" s="60">
        <v>0.00819672131147541</v>
      </c>
      <c r="I11460" s="60">
        <v>169.945233081967</v>
      </c>
      <c r="J11460" s="59">
        <v>552.0</v>
      </c>
      <c r="K11460" s="61">
        <f t="shared" si="1"/>
        <v>0.9057377049</v>
      </c>
      <c r="L11460" s="62">
        <f t="shared" si="2"/>
        <v>2.262295082</v>
      </c>
    </row>
    <row r="11461">
      <c r="A11461" s="58">
        <v>44958.0</v>
      </c>
      <c r="B11461" s="24" t="s">
        <v>6787</v>
      </c>
      <c r="C11461" s="24" t="s">
        <v>6815</v>
      </c>
      <c r="D11461" s="59">
        <v>212.0</v>
      </c>
      <c r="E11461" s="59">
        <v>330.0</v>
      </c>
      <c r="F11461" s="59">
        <v>210.0</v>
      </c>
      <c r="G11461" s="60">
        <v>1.5566037735849</v>
      </c>
      <c r="H11461" s="60">
        <v>0.0212121212121212</v>
      </c>
      <c r="I11461" s="60">
        <v>138.101966796969</v>
      </c>
      <c r="J11461" s="59">
        <v>875.0</v>
      </c>
      <c r="K11461" s="61">
        <f t="shared" si="1"/>
        <v>0.6363636364</v>
      </c>
      <c r="L11461" s="62">
        <f t="shared" si="2"/>
        <v>2.651515152</v>
      </c>
    </row>
    <row r="11462">
      <c r="A11462" s="58">
        <v>44958.0</v>
      </c>
      <c r="B11462" s="24" t="s">
        <v>6787</v>
      </c>
      <c r="C11462" s="24" t="s">
        <v>6908</v>
      </c>
      <c r="D11462" s="59">
        <v>156.0</v>
      </c>
      <c r="E11462" s="59">
        <v>156.0</v>
      </c>
      <c r="F11462" s="59">
        <v>156.0</v>
      </c>
      <c r="G11462" s="60">
        <v>1.0</v>
      </c>
      <c r="H11462" s="60">
        <v>0.0256410256410256</v>
      </c>
      <c r="I11462" s="60">
        <v>5.28531476923077</v>
      </c>
      <c r="J11462" s="59">
        <v>318.0</v>
      </c>
      <c r="K11462" s="61">
        <f t="shared" si="1"/>
        <v>1</v>
      </c>
      <c r="L11462" s="62">
        <f t="shared" si="2"/>
        <v>2.038461538</v>
      </c>
    </row>
    <row r="11463">
      <c r="A11463" s="58">
        <v>44958.0</v>
      </c>
      <c r="B11463" s="24" t="s">
        <v>6789</v>
      </c>
      <c r="C11463" s="24" t="s">
        <v>6792</v>
      </c>
      <c r="D11463" s="59">
        <v>149.0</v>
      </c>
      <c r="E11463" s="59">
        <v>188.0</v>
      </c>
      <c r="F11463" s="59">
        <v>0.0</v>
      </c>
      <c r="G11463" s="60">
        <v>1.72477064220183</v>
      </c>
      <c r="H11463" s="60">
        <v>0.973404255319149</v>
      </c>
      <c r="I11463" s="60">
        <v>7.17487549468085</v>
      </c>
      <c r="J11463" s="59">
        <v>0.0</v>
      </c>
      <c r="K11463" s="61">
        <f t="shared" si="1"/>
        <v>0</v>
      </c>
      <c r="L11463" s="62">
        <f t="shared" si="2"/>
        <v>0</v>
      </c>
    </row>
    <row r="11464">
      <c r="A11464" s="58">
        <v>44958.0</v>
      </c>
      <c r="B11464" s="24" t="s">
        <v>6794</v>
      </c>
      <c r="C11464" s="27"/>
      <c r="D11464" s="59">
        <v>133.0</v>
      </c>
      <c r="E11464" s="59">
        <v>172.0</v>
      </c>
      <c r="F11464" s="59">
        <v>117.0</v>
      </c>
      <c r="G11464" s="60">
        <v>1.29323308270676</v>
      </c>
      <c r="H11464" s="60">
        <v>0.0348837209302325</v>
      </c>
      <c r="I11464" s="60">
        <v>236.166363308139</v>
      </c>
      <c r="J11464" s="59">
        <v>765.0</v>
      </c>
      <c r="K11464" s="61">
        <f t="shared" si="1"/>
        <v>0.6802325581</v>
      </c>
      <c r="L11464" s="62">
        <f t="shared" si="2"/>
        <v>4.447674419</v>
      </c>
    </row>
    <row r="11465">
      <c r="A11465" s="58">
        <v>44958.0</v>
      </c>
      <c r="B11465" s="24" t="s">
        <v>6794</v>
      </c>
      <c r="C11465" s="24" t="s">
        <v>6815</v>
      </c>
      <c r="D11465" s="59">
        <v>118.0</v>
      </c>
      <c r="E11465" s="59">
        <v>165.0</v>
      </c>
      <c r="F11465" s="59">
        <v>106.0</v>
      </c>
      <c r="G11465" s="60">
        <v>1.39830508474576</v>
      </c>
      <c r="H11465" s="60">
        <v>0.0</v>
      </c>
      <c r="I11465" s="60">
        <v>87.1752219818181</v>
      </c>
      <c r="J11465" s="59">
        <v>436.0</v>
      </c>
      <c r="K11465" s="61">
        <f t="shared" si="1"/>
        <v>0.6424242424</v>
      </c>
      <c r="L11465" s="62">
        <f t="shared" si="2"/>
        <v>2.642424242</v>
      </c>
    </row>
    <row r="11466">
      <c r="A11466" s="58">
        <v>44958.0</v>
      </c>
      <c r="B11466" s="24" t="s">
        <v>7100</v>
      </c>
      <c r="C11466" s="24" t="s">
        <v>7172</v>
      </c>
      <c r="D11466" s="59">
        <v>115.0</v>
      </c>
      <c r="E11466" s="59">
        <v>148.0</v>
      </c>
      <c r="F11466" s="59">
        <v>113.0</v>
      </c>
      <c r="G11466" s="60">
        <v>1.28695652173913</v>
      </c>
      <c r="H11466" s="60">
        <v>0.0472972972972973</v>
      </c>
      <c r="I11466" s="60">
        <v>20.0644988378378</v>
      </c>
      <c r="J11466" s="59">
        <v>302.0</v>
      </c>
      <c r="K11466" s="61">
        <f t="shared" si="1"/>
        <v>0.7635135135</v>
      </c>
      <c r="L11466" s="62">
        <f t="shared" si="2"/>
        <v>2.040540541</v>
      </c>
    </row>
    <row r="11467">
      <c r="A11467" s="58">
        <v>44958.0</v>
      </c>
      <c r="B11467" s="24" t="s">
        <v>6790</v>
      </c>
      <c r="C11467" s="24" t="s">
        <v>6815</v>
      </c>
      <c r="D11467" s="59">
        <v>84.0</v>
      </c>
      <c r="E11467" s="59">
        <v>129.0</v>
      </c>
      <c r="F11467" s="59">
        <v>58.0</v>
      </c>
      <c r="G11467" s="60">
        <v>1.55421686746987</v>
      </c>
      <c r="H11467" s="60">
        <v>0.0465116279069767</v>
      </c>
      <c r="I11467" s="60">
        <v>111.501638418604</v>
      </c>
      <c r="J11467" s="59">
        <v>314.0</v>
      </c>
      <c r="K11467" s="61">
        <f t="shared" si="1"/>
        <v>0.4496124031</v>
      </c>
      <c r="L11467" s="62">
        <f t="shared" si="2"/>
        <v>2.434108527</v>
      </c>
    </row>
    <row r="11468">
      <c r="A11468" s="58">
        <v>44958.0</v>
      </c>
      <c r="B11468" s="24" t="s">
        <v>6787</v>
      </c>
      <c r="C11468" s="24" t="s">
        <v>6792</v>
      </c>
      <c r="D11468" s="59">
        <v>78.0</v>
      </c>
      <c r="E11468" s="59">
        <v>95.0</v>
      </c>
      <c r="F11468" s="59">
        <v>0.0</v>
      </c>
      <c r="G11468" s="60">
        <v>1.79245283018867</v>
      </c>
      <c r="H11468" s="60">
        <v>0.968421052631579</v>
      </c>
      <c r="I11468" s="60">
        <v>24.5152050947368</v>
      </c>
      <c r="J11468" s="59">
        <v>0.0</v>
      </c>
      <c r="K11468" s="61">
        <f t="shared" si="1"/>
        <v>0</v>
      </c>
      <c r="L11468" s="62">
        <f t="shared" si="2"/>
        <v>0</v>
      </c>
    </row>
    <row r="11469">
      <c r="A11469" s="58">
        <v>44958.0</v>
      </c>
      <c r="B11469" s="24" t="s">
        <v>7606</v>
      </c>
      <c r="C11469" s="27"/>
      <c r="D11469" s="59">
        <v>76.0</v>
      </c>
      <c r="E11469" s="59">
        <v>77.0</v>
      </c>
      <c r="F11469" s="59">
        <v>74.0</v>
      </c>
      <c r="G11469" s="60">
        <v>1.01315789473684</v>
      </c>
      <c r="H11469" s="60">
        <v>0.103896103896103</v>
      </c>
      <c r="I11469" s="60">
        <v>78.3974564285714</v>
      </c>
      <c r="J11469" s="59">
        <v>167.0</v>
      </c>
      <c r="K11469" s="61">
        <f t="shared" si="1"/>
        <v>0.961038961</v>
      </c>
      <c r="L11469" s="62">
        <f t="shared" si="2"/>
        <v>2.168831169</v>
      </c>
    </row>
    <row r="11470">
      <c r="A11470" s="58">
        <v>44958.0</v>
      </c>
      <c r="B11470" s="24" t="s">
        <v>6791</v>
      </c>
      <c r="C11470" s="24" t="s">
        <v>7624</v>
      </c>
      <c r="D11470" s="59">
        <v>53.0</v>
      </c>
      <c r="E11470" s="59">
        <v>54.0</v>
      </c>
      <c r="F11470" s="59">
        <v>50.0</v>
      </c>
      <c r="G11470" s="60">
        <v>1.0188679245283</v>
      </c>
      <c r="H11470" s="60">
        <v>0.0185185185185185</v>
      </c>
      <c r="I11470" s="60">
        <v>118.790730833333</v>
      </c>
      <c r="J11470" s="59">
        <v>158.0</v>
      </c>
      <c r="K11470" s="61">
        <f t="shared" si="1"/>
        <v>0.9259259259</v>
      </c>
      <c r="L11470" s="62">
        <f t="shared" si="2"/>
        <v>2.925925926</v>
      </c>
    </row>
    <row r="11471">
      <c r="A11471" s="58">
        <v>44958.0</v>
      </c>
      <c r="B11471" s="24" t="s">
        <v>6787</v>
      </c>
      <c r="C11471" s="24" t="s">
        <v>7624</v>
      </c>
      <c r="D11471" s="59">
        <v>51.0</v>
      </c>
      <c r="E11471" s="59">
        <v>52.0</v>
      </c>
      <c r="F11471" s="59">
        <v>48.0</v>
      </c>
      <c r="G11471" s="60">
        <v>1.01960784313725</v>
      </c>
      <c r="H11471" s="60">
        <v>0.0</v>
      </c>
      <c r="I11471" s="60">
        <v>145.827443826923</v>
      </c>
      <c r="J11471" s="59">
        <v>150.0</v>
      </c>
      <c r="K11471" s="61">
        <f t="shared" si="1"/>
        <v>0.9230769231</v>
      </c>
      <c r="L11471" s="62">
        <f t="shared" si="2"/>
        <v>2.884615385</v>
      </c>
    </row>
    <row r="11472">
      <c r="A11472" s="58">
        <v>44958.0</v>
      </c>
      <c r="B11472" s="24" t="s">
        <v>7100</v>
      </c>
      <c r="C11472" s="24" t="s">
        <v>6922</v>
      </c>
      <c r="D11472" s="59">
        <v>50.0</v>
      </c>
      <c r="E11472" s="59">
        <v>50.0</v>
      </c>
      <c r="F11472" s="59">
        <v>47.0</v>
      </c>
      <c r="G11472" s="60">
        <v>1.0</v>
      </c>
      <c r="H11472" s="60">
        <v>0.02</v>
      </c>
      <c r="I11472" s="60">
        <v>7.81737195999999</v>
      </c>
      <c r="J11472" s="59">
        <v>107.0</v>
      </c>
      <c r="K11472" s="61">
        <f t="shared" si="1"/>
        <v>0.94</v>
      </c>
      <c r="L11472" s="62">
        <f t="shared" si="2"/>
        <v>2.14</v>
      </c>
    </row>
    <row r="11473">
      <c r="A11473" s="58">
        <v>44958.0</v>
      </c>
      <c r="B11473" s="24" t="s">
        <v>6794</v>
      </c>
      <c r="C11473" s="24" t="s">
        <v>6792</v>
      </c>
      <c r="D11473" s="59">
        <v>41.0</v>
      </c>
      <c r="E11473" s="59">
        <v>55.0</v>
      </c>
      <c r="F11473" s="59">
        <v>0.0</v>
      </c>
      <c r="G11473" s="60">
        <v>1.83333333333333</v>
      </c>
      <c r="H11473" s="60">
        <v>0.945454545454545</v>
      </c>
      <c r="I11473" s="60">
        <v>34.8998181272727</v>
      </c>
      <c r="J11473" s="59">
        <v>0.0</v>
      </c>
      <c r="K11473" s="61">
        <f t="shared" si="1"/>
        <v>0</v>
      </c>
      <c r="L11473" s="62">
        <f t="shared" si="2"/>
        <v>0</v>
      </c>
    </row>
    <row r="11474">
      <c r="A11474" s="58">
        <v>44958.0</v>
      </c>
      <c r="B11474" s="24" t="s">
        <v>6794</v>
      </c>
      <c r="C11474" s="24" t="s">
        <v>7180</v>
      </c>
      <c r="D11474" s="59">
        <v>38.0</v>
      </c>
      <c r="E11474" s="59">
        <v>40.0</v>
      </c>
      <c r="F11474" s="59">
        <v>29.0</v>
      </c>
      <c r="G11474" s="60">
        <v>1.05263157894736</v>
      </c>
      <c r="H11474" s="60">
        <v>0.05</v>
      </c>
      <c r="I11474" s="60">
        <v>103.0446419</v>
      </c>
      <c r="J11474" s="59">
        <v>102.0</v>
      </c>
      <c r="K11474" s="61">
        <f t="shared" si="1"/>
        <v>0.725</v>
      </c>
      <c r="L11474" s="62">
        <f t="shared" si="2"/>
        <v>2.55</v>
      </c>
    </row>
    <row r="11475">
      <c r="A11475" s="58">
        <v>44958.0</v>
      </c>
      <c r="B11475" s="24" t="s">
        <v>155</v>
      </c>
      <c r="C11475" s="27"/>
      <c r="D11475" s="59">
        <v>37.0</v>
      </c>
      <c r="E11475" s="59">
        <v>53.0</v>
      </c>
      <c r="F11475" s="59">
        <v>30.0</v>
      </c>
      <c r="G11475" s="60">
        <v>1.43243243243243</v>
      </c>
      <c r="H11475" s="60">
        <v>0.0</v>
      </c>
      <c r="I11475" s="60">
        <v>555.115273037735</v>
      </c>
      <c r="J11475" s="59">
        <v>291.0</v>
      </c>
      <c r="K11475" s="61">
        <f t="shared" si="1"/>
        <v>0.5660377358</v>
      </c>
      <c r="L11475" s="62">
        <f t="shared" si="2"/>
        <v>5.490566038</v>
      </c>
    </row>
    <row r="11476">
      <c r="A11476" s="58">
        <v>44958.0</v>
      </c>
      <c r="B11476" s="24" t="s">
        <v>6790</v>
      </c>
      <c r="C11476" s="24" t="s">
        <v>6921</v>
      </c>
      <c r="D11476" s="59">
        <v>37.0</v>
      </c>
      <c r="E11476" s="59">
        <v>39.0</v>
      </c>
      <c r="F11476" s="59">
        <v>37.0</v>
      </c>
      <c r="G11476" s="60">
        <v>1.05405405405405</v>
      </c>
      <c r="H11476" s="60">
        <v>0.153846153846153</v>
      </c>
      <c r="I11476" s="60">
        <v>110.697295743589</v>
      </c>
      <c r="J11476" s="59">
        <v>81.0</v>
      </c>
      <c r="K11476" s="61">
        <f t="shared" si="1"/>
        <v>0.9487179487</v>
      </c>
      <c r="L11476" s="62">
        <f t="shared" si="2"/>
        <v>2.076923077</v>
      </c>
    </row>
    <row r="11477">
      <c r="A11477" s="58">
        <v>44958.0</v>
      </c>
      <c r="B11477" s="24" t="s">
        <v>7100</v>
      </c>
      <c r="C11477" s="24" t="s">
        <v>6892</v>
      </c>
      <c r="D11477" s="59">
        <v>33.0</v>
      </c>
      <c r="E11477" s="59">
        <v>34.0</v>
      </c>
      <c r="F11477" s="59">
        <v>31.0</v>
      </c>
      <c r="G11477" s="60">
        <v>1.03030303030303</v>
      </c>
      <c r="H11477" s="60">
        <v>0.0588235294117647</v>
      </c>
      <c r="I11477" s="60">
        <v>78.3416226764705</v>
      </c>
      <c r="J11477" s="59">
        <v>68.0</v>
      </c>
      <c r="K11477" s="61">
        <f t="shared" si="1"/>
        <v>0.9117647059</v>
      </c>
      <c r="L11477" s="62">
        <f t="shared" si="2"/>
        <v>2</v>
      </c>
    </row>
    <row r="11478">
      <c r="A11478" s="58">
        <v>44958.0</v>
      </c>
      <c r="B11478" s="24" t="s">
        <v>6790</v>
      </c>
      <c r="C11478" s="27"/>
      <c r="D11478" s="59">
        <v>29.0</v>
      </c>
      <c r="E11478" s="59">
        <v>41.0</v>
      </c>
      <c r="F11478" s="59">
        <v>23.0</v>
      </c>
      <c r="G11478" s="60">
        <v>1.41379310344827</v>
      </c>
      <c r="H11478" s="60">
        <v>0.024390243902439</v>
      </c>
      <c r="I11478" s="60">
        <v>219.556061951219</v>
      </c>
      <c r="J11478" s="59">
        <v>153.0</v>
      </c>
      <c r="K11478" s="61">
        <f t="shared" si="1"/>
        <v>0.5609756098</v>
      </c>
      <c r="L11478" s="62">
        <f t="shared" si="2"/>
        <v>3.731707317</v>
      </c>
    </row>
    <row r="11479">
      <c r="A11479" s="58">
        <v>44958.0</v>
      </c>
      <c r="B11479" s="24" t="s">
        <v>6790</v>
      </c>
      <c r="C11479" s="24" t="s">
        <v>6792</v>
      </c>
      <c r="D11479" s="59">
        <v>26.0</v>
      </c>
      <c r="E11479" s="59">
        <v>35.0</v>
      </c>
      <c r="F11479" s="59">
        <v>0.0</v>
      </c>
      <c r="G11479" s="60">
        <v>2.1875</v>
      </c>
      <c r="H11479" s="60">
        <v>0.942857142857142</v>
      </c>
      <c r="I11479" s="60">
        <v>36.2981798571428</v>
      </c>
      <c r="J11479" s="59">
        <v>0.0</v>
      </c>
      <c r="K11479" s="61">
        <f t="shared" si="1"/>
        <v>0</v>
      </c>
      <c r="L11479" s="62">
        <f t="shared" si="2"/>
        <v>0</v>
      </c>
    </row>
    <row r="11480">
      <c r="A11480" s="58">
        <v>44958.0</v>
      </c>
      <c r="B11480" s="24" t="s">
        <v>6787</v>
      </c>
      <c r="C11480" s="24" t="s">
        <v>6892</v>
      </c>
      <c r="D11480" s="59">
        <v>26.0</v>
      </c>
      <c r="E11480" s="59">
        <v>37.0</v>
      </c>
      <c r="F11480" s="59">
        <v>22.0</v>
      </c>
      <c r="G11480" s="60">
        <v>1.42307692307692</v>
      </c>
      <c r="H11480" s="60">
        <v>0.0</v>
      </c>
      <c r="I11480" s="60">
        <v>223.960230783783</v>
      </c>
      <c r="J11480" s="59">
        <v>117.0</v>
      </c>
      <c r="K11480" s="61">
        <f t="shared" si="1"/>
        <v>0.5945945946</v>
      </c>
      <c r="L11480" s="62">
        <f t="shared" si="2"/>
        <v>3.162162162</v>
      </c>
    </row>
    <row r="11481">
      <c r="A11481" s="58">
        <v>44958.0</v>
      </c>
      <c r="B11481" s="24" t="s">
        <v>6794</v>
      </c>
      <c r="C11481" s="24" t="s">
        <v>6921</v>
      </c>
      <c r="D11481" s="59">
        <v>24.0</v>
      </c>
      <c r="E11481" s="59">
        <v>41.0</v>
      </c>
      <c r="F11481" s="59">
        <v>22.0</v>
      </c>
      <c r="G11481" s="60">
        <v>1.70833333333333</v>
      </c>
      <c r="H11481" s="60">
        <v>0.292682926829268</v>
      </c>
      <c r="I11481" s="60">
        <v>39.3664315853658</v>
      </c>
      <c r="J11481" s="59">
        <v>72.0</v>
      </c>
      <c r="K11481" s="61">
        <f t="shared" si="1"/>
        <v>0.5365853659</v>
      </c>
      <c r="L11481" s="62">
        <f t="shared" si="2"/>
        <v>1.756097561</v>
      </c>
    </row>
    <row r="11482">
      <c r="A11482" s="58">
        <v>44958.0</v>
      </c>
      <c r="B11482" s="24" t="s">
        <v>7606</v>
      </c>
      <c r="C11482" s="24" t="s">
        <v>7624</v>
      </c>
      <c r="D11482" s="59">
        <v>23.0</v>
      </c>
      <c r="E11482" s="59">
        <v>23.0</v>
      </c>
      <c r="F11482" s="59">
        <v>23.0</v>
      </c>
      <c r="G11482" s="60">
        <v>1.0</v>
      </c>
      <c r="H11482" s="60">
        <v>0.130434782608695</v>
      </c>
      <c r="I11482" s="60">
        <v>10.6728580434782</v>
      </c>
      <c r="J11482" s="59">
        <v>53.0</v>
      </c>
      <c r="K11482" s="61">
        <f t="shared" si="1"/>
        <v>1</v>
      </c>
      <c r="L11482" s="62">
        <f t="shared" si="2"/>
        <v>2.304347826</v>
      </c>
    </row>
    <row r="11483">
      <c r="A11483" s="58">
        <v>44958.0</v>
      </c>
      <c r="B11483" s="24" t="s">
        <v>7100</v>
      </c>
      <c r="C11483" s="24" t="s">
        <v>6802</v>
      </c>
      <c r="D11483" s="59">
        <v>23.0</v>
      </c>
      <c r="E11483" s="59">
        <v>25.0</v>
      </c>
      <c r="F11483" s="59">
        <v>23.0</v>
      </c>
      <c r="G11483" s="60">
        <v>1.08695652173913</v>
      </c>
      <c r="H11483" s="60">
        <v>0.0</v>
      </c>
      <c r="I11483" s="60">
        <v>22.14068416</v>
      </c>
      <c r="J11483" s="59">
        <v>52.0</v>
      </c>
      <c r="K11483" s="61">
        <f t="shared" si="1"/>
        <v>0.92</v>
      </c>
      <c r="L11483" s="62">
        <f t="shared" si="2"/>
        <v>2.08</v>
      </c>
    </row>
    <row r="11484">
      <c r="A11484" s="58">
        <v>44958.0</v>
      </c>
      <c r="B11484" s="24" t="s">
        <v>6789</v>
      </c>
      <c r="C11484" s="24" t="s">
        <v>6799</v>
      </c>
      <c r="D11484" s="59">
        <v>22.0</v>
      </c>
      <c r="E11484" s="59">
        <v>26.0</v>
      </c>
      <c r="F11484" s="59">
        <v>17.0</v>
      </c>
      <c r="G11484" s="60">
        <v>1.18181818181818</v>
      </c>
      <c r="H11484" s="60">
        <v>0.0</v>
      </c>
      <c r="I11484" s="60">
        <v>336.630760653846</v>
      </c>
      <c r="J11484" s="59">
        <v>102.0</v>
      </c>
      <c r="K11484" s="61">
        <f t="shared" si="1"/>
        <v>0.6538461538</v>
      </c>
      <c r="L11484" s="62">
        <f t="shared" si="2"/>
        <v>3.923076923</v>
      </c>
    </row>
    <row r="11485">
      <c r="A11485" s="58">
        <v>44958.0</v>
      </c>
      <c r="B11485" s="24" t="s">
        <v>3216</v>
      </c>
      <c r="C11485" s="24" t="s">
        <v>6833</v>
      </c>
      <c r="D11485" s="59">
        <v>21.0</v>
      </c>
      <c r="E11485" s="59">
        <v>21.0</v>
      </c>
      <c r="F11485" s="59">
        <v>21.0</v>
      </c>
      <c r="G11485" s="60">
        <v>1.0</v>
      </c>
      <c r="H11485" s="60">
        <v>0.0476190476190476</v>
      </c>
      <c r="I11485" s="60">
        <v>95.5885502857142</v>
      </c>
      <c r="J11485" s="59">
        <v>46.0</v>
      </c>
      <c r="K11485" s="61">
        <f t="shared" si="1"/>
        <v>1</v>
      </c>
      <c r="L11485" s="62">
        <f t="shared" si="2"/>
        <v>2.19047619</v>
      </c>
    </row>
    <row r="11486">
      <c r="A11486" s="58">
        <v>44958.0</v>
      </c>
      <c r="B11486" s="24" t="s">
        <v>6789</v>
      </c>
      <c r="C11486" s="24" t="s">
        <v>6819</v>
      </c>
      <c r="D11486" s="59">
        <v>17.0</v>
      </c>
      <c r="E11486" s="59">
        <v>22.0</v>
      </c>
      <c r="F11486" s="59">
        <v>15.0</v>
      </c>
      <c r="G11486" s="60">
        <v>1.29411764705882</v>
      </c>
      <c r="H11486" s="60">
        <v>0.0</v>
      </c>
      <c r="I11486" s="60">
        <v>192.101606727272</v>
      </c>
      <c r="J11486" s="59">
        <v>49.0</v>
      </c>
      <c r="K11486" s="61">
        <f t="shared" si="1"/>
        <v>0.6818181818</v>
      </c>
      <c r="L11486" s="62">
        <f t="shared" si="2"/>
        <v>2.227272727</v>
      </c>
    </row>
    <row r="11487">
      <c r="A11487" s="58">
        <v>44958.0</v>
      </c>
      <c r="B11487" s="24" t="s">
        <v>7606</v>
      </c>
      <c r="C11487" s="24" t="s">
        <v>6908</v>
      </c>
      <c r="D11487" s="59">
        <v>17.0</v>
      </c>
      <c r="E11487" s="59">
        <v>18.0</v>
      </c>
      <c r="F11487" s="59">
        <v>16.0</v>
      </c>
      <c r="G11487" s="60">
        <v>1.05882352941176</v>
      </c>
      <c r="H11487" s="60">
        <v>0.166666666666666</v>
      </c>
      <c r="I11487" s="60">
        <v>44.9833008333333</v>
      </c>
      <c r="J11487" s="59">
        <v>35.0</v>
      </c>
      <c r="K11487" s="61">
        <f t="shared" si="1"/>
        <v>0.8888888889</v>
      </c>
      <c r="L11487" s="62">
        <f t="shared" si="2"/>
        <v>1.944444444</v>
      </c>
    </row>
    <row r="11488">
      <c r="A11488" s="58">
        <v>44958.0</v>
      </c>
      <c r="B11488" s="24" t="s">
        <v>6790</v>
      </c>
      <c r="C11488" s="24" t="s">
        <v>6833</v>
      </c>
      <c r="D11488" s="59">
        <v>16.0</v>
      </c>
      <c r="E11488" s="59">
        <v>17.0</v>
      </c>
      <c r="F11488" s="59">
        <v>14.0</v>
      </c>
      <c r="G11488" s="60">
        <v>1.0625</v>
      </c>
      <c r="H11488" s="60">
        <v>0.0</v>
      </c>
      <c r="I11488" s="60">
        <v>105.762279470588</v>
      </c>
      <c r="J11488" s="59">
        <v>38.0</v>
      </c>
      <c r="K11488" s="61">
        <f t="shared" si="1"/>
        <v>0.8235294118</v>
      </c>
      <c r="L11488" s="62">
        <f t="shared" si="2"/>
        <v>2.235294118</v>
      </c>
    </row>
    <row r="11489">
      <c r="A11489" s="58">
        <v>44958.0</v>
      </c>
      <c r="B11489" s="24" t="s">
        <v>6787</v>
      </c>
      <c r="C11489" s="24" t="s">
        <v>6921</v>
      </c>
      <c r="D11489" s="59">
        <v>15.0</v>
      </c>
      <c r="E11489" s="59">
        <v>15.0</v>
      </c>
      <c r="F11489" s="59">
        <v>15.0</v>
      </c>
      <c r="G11489" s="60">
        <v>1.0</v>
      </c>
      <c r="H11489" s="60">
        <v>0.133333333333333</v>
      </c>
      <c r="I11489" s="60">
        <v>3.66058999999999</v>
      </c>
      <c r="J11489" s="59">
        <v>28.0</v>
      </c>
      <c r="K11489" s="61">
        <f t="shared" si="1"/>
        <v>1</v>
      </c>
      <c r="L11489" s="62">
        <f t="shared" si="2"/>
        <v>1.866666667</v>
      </c>
    </row>
    <row r="11490">
      <c r="A11490" s="58">
        <v>44958.0</v>
      </c>
      <c r="B11490" s="24" t="s">
        <v>6789</v>
      </c>
      <c r="C11490" s="24" t="s">
        <v>6803</v>
      </c>
      <c r="D11490" s="59">
        <v>14.0</v>
      </c>
      <c r="E11490" s="59">
        <v>23.0</v>
      </c>
      <c r="F11490" s="59">
        <v>6.0</v>
      </c>
      <c r="G11490" s="60">
        <v>1.64285714285714</v>
      </c>
      <c r="H11490" s="60">
        <v>0.0</v>
      </c>
      <c r="I11490" s="60">
        <v>497.689704347826</v>
      </c>
      <c r="J11490" s="59">
        <v>72.0</v>
      </c>
      <c r="K11490" s="61">
        <f t="shared" si="1"/>
        <v>0.2608695652</v>
      </c>
      <c r="L11490" s="62">
        <f t="shared" si="2"/>
        <v>3.130434783</v>
      </c>
    </row>
    <row r="11491">
      <c r="A11491" s="58">
        <v>44958.0</v>
      </c>
      <c r="B11491" s="24" t="s">
        <v>6787</v>
      </c>
      <c r="C11491" s="24" t="s">
        <v>6799</v>
      </c>
      <c r="D11491" s="59">
        <v>14.0</v>
      </c>
      <c r="E11491" s="59">
        <v>17.0</v>
      </c>
      <c r="F11491" s="59">
        <v>13.0</v>
      </c>
      <c r="G11491" s="60">
        <v>1.21428571428571</v>
      </c>
      <c r="H11491" s="60">
        <v>0.0588235294117647</v>
      </c>
      <c r="I11491" s="60">
        <v>115.312482647058</v>
      </c>
      <c r="J11491" s="59">
        <v>37.0</v>
      </c>
      <c r="K11491" s="61">
        <f t="shared" si="1"/>
        <v>0.7647058824</v>
      </c>
      <c r="L11491" s="62">
        <f t="shared" si="2"/>
        <v>2.176470588</v>
      </c>
    </row>
    <row r="11492">
      <c r="A11492" s="58">
        <v>44958.0</v>
      </c>
      <c r="B11492" s="24" t="s">
        <v>6787</v>
      </c>
      <c r="C11492" s="24" t="s">
        <v>7068</v>
      </c>
      <c r="D11492" s="59">
        <v>12.0</v>
      </c>
      <c r="E11492" s="59">
        <v>13.0</v>
      </c>
      <c r="F11492" s="59">
        <v>8.0</v>
      </c>
      <c r="G11492" s="60">
        <v>1.08333333333333</v>
      </c>
      <c r="H11492" s="60">
        <v>0.0769230769230769</v>
      </c>
      <c r="I11492" s="60">
        <v>133.404690461538</v>
      </c>
      <c r="J11492" s="59">
        <v>33.0</v>
      </c>
      <c r="K11492" s="61">
        <f t="shared" si="1"/>
        <v>0.6153846154</v>
      </c>
      <c r="L11492" s="62">
        <f t="shared" si="2"/>
        <v>2.538461538</v>
      </c>
    </row>
    <row r="11493">
      <c r="A11493" s="58">
        <v>44958.0</v>
      </c>
      <c r="B11493" s="24" t="s">
        <v>6791</v>
      </c>
      <c r="C11493" s="24" t="s">
        <v>7227</v>
      </c>
      <c r="D11493" s="59">
        <v>12.0</v>
      </c>
      <c r="E11493" s="59">
        <v>13.0</v>
      </c>
      <c r="F11493" s="59">
        <v>12.0</v>
      </c>
      <c r="G11493" s="60">
        <v>1.08333333333333</v>
      </c>
      <c r="H11493" s="60">
        <v>0.153846153846153</v>
      </c>
      <c r="I11493" s="60">
        <v>353.886046307692</v>
      </c>
      <c r="J11493" s="59">
        <v>37.0</v>
      </c>
      <c r="K11493" s="61">
        <f t="shared" si="1"/>
        <v>0.9230769231</v>
      </c>
      <c r="L11493" s="62">
        <f t="shared" si="2"/>
        <v>2.846153846</v>
      </c>
    </row>
    <row r="11494">
      <c r="A11494" s="58">
        <v>44958.0</v>
      </c>
      <c r="B11494" s="24" t="s">
        <v>6787</v>
      </c>
      <c r="C11494" s="24" t="s">
        <v>7180</v>
      </c>
      <c r="D11494" s="59">
        <v>12.0</v>
      </c>
      <c r="E11494" s="59">
        <v>23.0</v>
      </c>
      <c r="F11494" s="59">
        <v>5.0</v>
      </c>
      <c r="G11494" s="60">
        <v>1.91666666666666</v>
      </c>
      <c r="H11494" s="60">
        <v>0.0</v>
      </c>
      <c r="I11494" s="60">
        <v>302.382899695652</v>
      </c>
      <c r="J11494" s="59">
        <v>98.0</v>
      </c>
      <c r="K11494" s="61">
        <f t="shared" si="1"/>
        <v>0.2173913043</v>
      </c>
      <c r="L11494" s="62">
        <f t="shared" si="2"/>
        <v>4.260869565</v>
      </c>
    </row>
    <row r="11495">
      <c r="A11495" s="58">
        <v>44958.0</v>
      </c>
      <c r="B11495" s="24" t="s">
        <v>6789</v>
      </c>
      <c r="C11495" s="24" t="s">
        <v>6815</v>
      </c>
      <c r="D11495" s="59">
        <v>12.0</v>
      </c>
      <c r="E11495" s="59">
        <v>16.0</v>
      </c>
      <c r="F11495" s="59">
        <v>5.0</v>
      </c>
      <c r="G11495" s="60">
        <v>1.33333333333333</v>
      </c>
      <c r="H11495" s="60">
        <v>0.125</v>
      </c>
      <c r="I11495" s="60">
        <v>108.853600375</v>
      </c>
      <c r="J11495" s="59">
        <v>46.0</v>
      </c>
      <c r="K11495" s="61">
        <f t="shared" si="1"/>
        <v>0.3125</v>
      </c>
      <c r="L11495" s="62">
        <f t="shared" si="2"/>
        <v>2.875</v>
      </c>
    </row>
    <row r="11496">
      <c r="A11496" s="58">
        <v>44958.0</v>
      </c>
      <c r="B11496" s="24" t="s">
        <v>6787</v>
      </c>
      <c r="C11496" s="24" t="s">
        <v>6922</v>
      </c>
      <c r="D11496" s="59">
        <v>12.0</v>
      </c>
      <c r="E11496" s="59">
        <v>12.0</v>
      </c>
      <c r="F11496" s="59">
        <v>12.0</v>
      </c>
      <c r="G11496" s="60">
        <v>1.0</v>
      </c>
      <c r="H11496" s="60">
        <v>0.0</v>
      </c>
      <c r="I11496" s="60">
        <v>89.172701</v>
      </c>
      <c r="J11496" s="59">
        <v>24.0</v>
      </c>
      <c r="K11496" s="61">
        <f t="shared" si="1"/>
        <v>1</v>
      </c>
      <c r="L11496" s="62">
        <f t="shared" si="2"/>
        <v>2</v>
      </c>
    </row>
    <row r="11497">
      <c r="A11497" s="58">
        <v>44958.0</v>
      </c>
      <c r="B11497" s="24" t="s">
        <v>7100</v>
      </c>
      <c r="C11497" s="24" t="s">
        <v>6921</v>
      </c>
      <c r="D11497" s="59">
        <v>11.0</v>
      </c>
      <c r="E11497" s="59">
        <v>12.0</v>
      </c>
      <c r="F11497" s="59">
        <v>9.0</v>
      </c>
      <c r="G11497" s="60">
        <v>1.2</v>
      </c>
      <c r="H11497" s="60">
        <v>0.0833333333333333</v>
      </c>
      <c r="I11497" s="60">
        <v>8.6343865</v>
      </c>
      <c r="J11497" s="59">
        <v>27.0</v>
      </c>
      <c r="K11497" s="61">
        <f t="shared" si="1"/>
        <v>0.75</v>
      </c>
      <c r="L11497" s="62">
        <f t="shared" si="2"/>
        <v>2.25</v>
      </c>
    </row>
    <row r="11498">
      <c r="A11498" s="58">
        <v>44958.0</v>
      </c>
      <c r="B11498" s="24" t="s">
        <v>6789</v>
      </c>
      <c r="C11498" s="24" t="s">
        <v>6808</v>
      </c>
      <c r="D11498" s="59">
        <v>10.0</v>
      </c>
      <c r="E11498" s="59">
        <v>11.0</v>
      </c>
      <c r="F11498" s="59">
        <v>6.0</v>
      </c>
      <c r="G11498" s="60">
        <v>1.1</v>
      </c>
      <c r="H11498" s="60">
        <v>0.0</v>
      </c>
      <c r="I11498" s="60">
        <v>322.203778636363</v>
      </c>
      <c r="J11498" s="59">
        <v>37.0</v>
      </c>
      <c r="K11498" s="61">
        <f t="shared" si="1"/>
        <v>0.5454545455</v>
      </c>
      <c r="L11498" s="62">
        <f t="shared" si="2"/>
        <v>3.363636364</v>
      </c>
    </row>
    <row r="11499">
      <c r="A11499" s="58">
        <v>44958.0</v>
      </c>
      <c r="B11499" s="24" t="s">
        <v>6787</v>
      </c>
      <c r="C11499" s="24" t="s">
        <v>7172</v>
      </c>
      <c r="D11499" s="59">
        <v>10.0</v>
      </c>
      <c r="E11499" s="59">
        <v>11.0</v>
      </c>
      <c r="F11499" s="59">
        <v>9.0</v>
      </c>
      <c r="G11499" s="60">
        <v>1.1</v>
      </c>
      <c r="H11499" s="60">
        <v>0.0909090909090909</v>
      </c>
      <c r="I11499" s="60">
        <v>11.9854194545454</v>
      </c>
      <c r="J11499" s="59">
        <v>23.0</v>
      </c>
      <c r="K11499" s="61">
        <f t="shared" si="1"/>
        <v>0.8181818182</v>
      </c>
      <c r="L11499" s="62">
        <f t="shared" si="2"/>
        <v>2.090909091</v>
      </c>
    </row>
    <row r="11500">
      <c r="A11500" s="58">
        <v>44958.0</v>
      </c>
      <c r="B11500" s="24" t="s">
        <v>155</v>
      </c>
      <c r="C11500" s="24" t="s">
        <v>6921</v>
      </c>
      <c r="D11500" s="59">
        <v>10.0</v>
      </c>
      <c r="E11500" s="59">
        <v>10.0</v>
      </c>
      <c r="F11500" s="59">
        <v>8.0</v>
      </c>
      <c r="G11500" s="60">
        <v>1.0</v>
      </c>
      <c r="H11500" s="60">
        <v>0.1</v>
      </c>
      <c r="I11500" s="60">
        <v>18.8644477999999</v>
      </c>
      <c r="J11500" s="59">
        <v>21.0</v>
      </c>
      <c r="K11500" s="61">
        <f t="shared" si="1"/>
        <v>0.8</v>
      </c>
      <c r="L11500" s="62">
        <f t="shared" si="2"/>
        <v>2.1</v>
      </c>
    </row>
    <row r="11501">
      <c r="A11501" s="58">
        <v>44958.0</v>
      </c>
      <c r="B11501" s="24" t="s">
        <v>6787</v>
      </c>
      <c r="C11501" s="24" t="s">
        <v>7570</v>
      </c>
      <c r="D11501" s="59">
        <v>10.0</v>
      </c>
      <c r="E11501" s="59">
        <v>14.0</v>
      </c>
      <c r="F11501" s="59">
        <v>7.0</v>
      </c>
      <c r="G11501" s="60">
        <v>1.4</v>
      </c>
      <c r="H11501" s="60">
        <v>0.0</v>
      </c>
      <c r="I11501" s="60">
        <v>511.893519857142</v>
      </c>
      <c r="J11501" s="59">
        <v>110.0</v>
      </c>
      <c r="K11501" s="61">
        <f t="shared" si="1"/>
        <v>0.5</v>
      </c>
      <c r="L11501" s="62">
        <f t="shared" si="2"/>
        <v>7.857142857</v>
      </c>
    </row>
    <row r="11502">
      <c r="A11502" s="58">
        <v>44958.0</v>
      </c>
      <c r="B11502" s="24" t="s">
        <v>6787</v>
      </c>
      <c r="C11502" s="24" t="s">
        <v>6803</v>
      </c>
      <c r="D11502" s="59">
        <v>9.0</v>
      </c>
      <c r="E11502" s="59">
        <v>11.0</v>
      </c>
      <c r="F11502" s="59">
        <v>8.0</v>
      </c>
      <c r="G11502" s="60">
        <v>1.22222222222222</v>
      </c>
      <c r="H11502" s="60">
        <v>0.0</v>
      </c>
      <c r="I11502" s="60">
        <v>332.353699545454</v>
      </c>
      <c r="J11502" s="59">
        <v>58.0</v>
      </c>
      <c r="K11502" s="61">
        <f t="shared" si="1"/>
        <v>0.7272727273</v>
      </c>
      <c r="L11502" s="62">
        <f t="shared" si="2"/>
        <v>5.272727273</v>
      </c>
    </row>
    <row r="11503">
      <c r="A11503" s="58">
        <v>44958.0</v>
      </c>
      <c r="B11503" s="24" t="s">
        <v>6794</v>
      </c>
      <c r="C11503" s="24" t="s">
        <v>6803</v>
      </c>
      <c r="D11503" s="59">
        <v>9.0</v>
      </c>
      <c r="E11503" s="59">
        <v>10.0</v>
      </c>
      <c r="F11503" s="59">
        <v>2.0</v>
      </c>
      <c r="G11503" s="60">
        <v>1.11111111111111</v>
      </c>
      <c r="H11503" s="60">
        <v>0.0</v>
      </c>
      <c r="I11503" s="60">
        <v>874.980838</v>
      </c>
      <c r="J11503" s="59">
        <v>40.0</v>
      </c>
      <c r="K11503" s="61">
        <f t="shared" si="1"/>
        <v>0.2</v>
      </c>
      <c r="L11503" s="62">
        <f t="shared" si="2"/>
        <v>4</v>
      </c>
    </row>
    <row r="11504">
      <c r="A11504" s="58">
        <v>44958.0</v>
      </c>
      <c r="B11504" s="24" t="s">
        <v>6787</v>
      </c>
      <c r="C11504" s="24" t="s">
        <v>7027</v>
      </c>
      <c r="D11504" s="59">
        <v>9.0</v>
      </c>
      <c r="E11504" s="59">
        <v>9.0</v>
      </c>
      <c r="F11504" s="59">
        <v>8.0</v>
      </c>
      <c r="G11504" s="60">
        <v>1.0</v>
      </c>
      <c r="H11504" s="60">
        <v>0.0</v>
      </c>
      <c r="I11504" s="60">
        <v>28.4670247777777</v>
      </c>
      <c r="J11504" s="59">
        <v>18.0</v>
      </c>
      <c r="K11504" s="61">
        <f t="shared" si="1"/>
        <v>0.8888888889</v>
      </c>
      <c r="L11504" s="62">
        <f t="shared" si="2"/>
        <v>2</v>
      </c>
    </row>
    <row r="11505">
      <c r="A11505" s="58">
        <v>44958.0</v>
      </c>
      <c r="B11505" s="24" t="s">
        <v>155</v>
      </c>
      <c r="C11505" s="24" t="s">
        <v>6815</v>
      </c>
      <c r="D11505" s="59">
        <v>9.0</v>
      </c>
      <c r="E11505" s="59">
        <v>11.0</v>
      </c>
      <c r="F11505" s="59">
        <v>6.0</v>
      </c>
      <c r="G11505" s="60">
        <v>1.22222222222222</v>
      </c>
      <c r="H11505" s="60">
        <v>0.0</v>
      </c>
      <c r="I11505" s="60">
        <v>85.1922739090909</v>
      </c>
      <c r="J11505" s="59">
        <v>26.0</v>
      </c>
      <c r="K11505" s="61">
        <f t="shared" si="1"/>
        <v>0.5454545455</v>
      </c>
      <c r="L11505" s="62">
        <f t="shared" si="2"/>
        <v>2.363636364</v>
      </c>
    </row>
    <row r="11506">
      <c r="A11506" s="58">
        <v>44958.0</v>
      </c>
      <c r="B11506" s="24" t="s">
        <v>6787</v>
      </c>
      <c r="C11506" s="24" t="s">
        <v>6802</v>
      </c>
      <c r="D11506" s="59">
        <v>9.0</v>
      </c>
      <c r="E11506" s="59">
        <v>9.0</v>
      </c>
      <c r="F11506" s="59">
        <v>6.0</v>
      </c>
      <c r="G11506" s="60">
        <v>1.0</v>
      </c>
      <c r="H11506" s="60">
        <v>0.0</v>
      </c>
      <c r="I11506" s="60">
        <v>623.164098888888</v>
      </c>
      <c r="J11506" s="59">
        <v>40.0</v>
      </c>
      <c r="K11506" s="61">
        <f t="shared" si="1"/>
        <v>0.6666666667</v>
      </c>
      <c r="L11506" s="62">
        <f t="shared" si="2"/>
        <v>4.444444444</v>
      </c>
    </row>
    <row r="11507">
      <c r="A11507" s="58">
        <v>44958.0</v>
      </c>
      <c r="B11507" s="24" t="s">
        <v>6787</v>
      </c>
      <c r="C11507" s="24" t="s">
        <v>6817</v>
      </c>
      <c r="D11507" s="59">
        <v>8.0</v>
      </c>
      <c r="E11507" s="59">
        <v>11.0</v>
      </c>
      <c r="F11507" s="59">
        <v>7.0</v>
      </c>
      <c r="G11507" s="60">
        <v>1.375</v>
      </c>
      <c r="H11507" s="60">
        <v>0.0909090909090909</v>
      </c>
      <c r="I11507" s="60">
        <v>65.4438196363636</v>
      </c>
      <c r="J11507" s="59">
        <v>33.0</v>
      </c>
      <c r="K11507" s="61">
        <f t="shared" si="1"/>
        <v>0.6363636364</v>
      </c>
      <c r="L11507" s="62">
        <f t="shared" si="2"/>
        <v>3</v>
      </c>
    </row>
    <row r="11508">
      <c r="A11508" s="58">
        <v>44958.0</v>
      </c>
      <c r="B11508" s="24" t="s">
        <v>6789</v>
      </c>
      <c r="C11508" s="24" t="s">
        <v>6817</v>
      </c>
      <c r="D11508" s="59">
        <v>8.0</v>
      </c>
      <c r="E11508" s="59">
        <v>9.0</v>
      </c>
      <c r="F11508" s="59">
        <v>2.0</v>
      </c>
      <c r="G11508" s="60">
        <v>1.125</v>
      </c>
      <c r="H11508" s="60">
        <v>0.0</v>
      </c>
      <c r="I11508" s="60">
        <v>1055.202975</v>
      </c>
      <c r="J11508" s="59">
        <v>66.0</v>
      </c>
      <c r="K11508" s="61">
        <f t="shared" si="1"/>
        <v>0.2222222222</v>
      </c>
      <c r="L11508" s="62">
        <f t="shared" si="2"/>
        <v>7.333333333</v>
      </c>
    </row>
    <row r="11509">
      <c r="A11509" s="58">
        <v>44958.0</v>
      </c>
      <c r="B11509" s="24" t="s">
        <v>6790</v>
      </c>
      <c r="C11509" s="24" t="s">
        <v>6835</v>
      </c>
      <c r="D11509" s="59">
        <v>8.0</v>
      </c>
      <c r="E11509" s="59">
        <v>10.0</v>
      </c>
      <c r="F11509" s="59">
        <v>7.0</v>
      </c>
      <c r="G11509" s="60">
        <v>1.25</v>
      </c>
      <c r="H11509" s="60">
        <v>0.0</v>
      </c>
      <c r="I11509" s="60">
        <v>41.3804115999999</v>
      </c>
      <c r="J11509" s="59">
        <v>23.0</v>
      </c>
      <c r="K11509" s="61">
        <f t="shared" si="1"/>
        <v>0.7</v>
      </c>
      <c r="L11509" s="62">
        <f t="shared" si="2"/>
        <v>2.3</v>
      </c>
    </row>
    <row r="11510">
      <c r="A11510" s="58">
        <v>44958.0</v>
      </c>
      <c r="B11510" s="24" t="s">
        <v>155</v>
      </c>
      <c r="C11510" s="24" t="s">
        <v>6792</v>
      </c>
      <c r="D11510" s="59">
        <v>7.0</v>
      </c>
      <c r="E11510" s="59">
        <v>16.0</v>
      </c>
      <c r="F11510" s="59">
        <v>0.0</v>
      </c>
      <c r="G11510" s="60">
        <v>2.66666666666666</v>
      </c>
      <c r="H11510" s="60">
        <v>0.9375</v>
      </c>
      <c r="I11510" s="60">
        <v>3.0597459375</v>
      </c>
      <c r="J11510" s="59">
        <v>0.0</v>
      </c>
      <c r="K11510" s="61">
        <f t="shared" si="1"/>
        <v>0</v>
      </c>
      <c r="L11510" s="62">
        <f t="shared" si="2"/>
        <v>0</v>
      </c>
    </row>
    <row r="11511">
      <c r="A11511" s="58">
        <v>44958.0</v>
      </c>
      <c r="B11511" s="24" t="s">
        <v>6789</v>
      </c>
      <c r="C11511" s="24" t="s">
        <v>6985</v>
      </c>
      <c r="D11511" s="59">
        <v>7.0</v>
      </c>
      <c r="E11511" s="59">
        <v>7.0</v>
      </c>
      <c r="F11511" s="59">
        <v>7.0</v>
      </c>
      <c r="G11511" s="60">
        <v>1.0</v>
      </c>
      <c r="H11511" s="60">
        <v>0.0</v>
      </c>
      <c r="I11511" s="60">
        <v>26.2955178571428</v>
      </c>
      <c r="J11511" s="59">
        <v>19.0</v>
      </c>
      <c r="K11511" s="61">
        <f t="shared" si="1"/>
        <v>1</v>
      </c>
      <c r="L11511" s="62">
        <f t="shared" si="2"/>
        <v>2.714285714</v>
      </c>
    </row>
    <row r="11512">
      <c r="A11512" s="58">
        <v>44958.0</v>
      </c>
      <c r="B11512" s="24" t="s">
        <v>6789</v>
      </c>
      <c r="C11512" s="24" t="s">
        <v>6835</v>
      </c>
      <c r="D11512" s="59">
        <v>7.0</v>
      </c>
      <c r="E11512" s="59">
        <v>8.0</v>
      </c>
      <c r="F11512" s="59">
        <v>6.0</v>
      </c>
      <c r="G11512" s="60">
        <v>1.14285714285714</v>
      </c>
      <c r="H11512" s="60">
        <v>0.0</v>
      </c>
      <c r="I11512" s="60">
        <v>337.44926325</v>
      </c>
      <c r="J11512" s="59">
        <v>18.0</v>
      </c>
      <c r="K11512" s="61">
        <f t="shared" si="1"/>
        <v>0.75</v>
      </c>
      <c r="L11512" s="62">
        <f t="shared" si="2"/>
        <v>2.25</v>
      </c>
    </row>
    <row r="11513">
      <c r="A11513" s="58">
        <v>44958.0</v>
      </c>
      <c r="B11513" s="24" t="s">
        <v>6789</v>
      </c>
      <c r="C11513" s="24" t="s">
        <v>6994</v>
      </c>
      <c r="D11513" s="59">
        <v>7.0</v>
      </c>
      <c r="E11513" s="59">
        <v>7.0</v>
      </c>
      <c r="F11513" s="59">
        <v>7.0</v>
      </c>
      <c r="G11513" s="60">
        <v>1.0</v>
      </c>
      <c r="H11513" s="60">
        <v>0.142857142857142</v>
      </c>
      <c r="I11513" s="60">
        <v>66.6491798571428</v>
      </c>
      <c r="J11513" s="59">
        <v>14.0</v>
      </c>
      <c r="K11513" s="61">
        <f t="shared" si="1"/>
        <v>1</v>
      </c>
      <c r="L11513" s="62">
        <f t="shared" si="2"/>
        <v>2</v>
      </c>
    </row>
    <row r="11514">
      <c r="A11514" s="58">
        <v>44958.0</v>
      </c>
      <c r="B11514" s="24" t="s">
        <v>6789</v>
      </c>
      <c r="C11514" s="24" t="s">
        <v>7624</v>
      </c>
      <c r="D11514" s="59">
        <v>7.0</v>
      </c>
      <c r="E11514" s="59">
        <v>10.0</v>
      </c>
      <c r="F11514" s="59">
        <v>3.0</v>
      </c>
      <c r="G11514" s="60">
        <v>1.42857142857142</v>
      </c>
      <c r="H11514" s="60">
        <v>0.0</v>
      </c>
      <c r="I11514" s="60">
        <v>340.4202794</v>
      </c>
      <c r="J11514" s="59">
        <v>30.0</v>
      </c>
      <c r="K11514" s="61">
        <f t="shared" si="1"/>
        <v>0.3</v>
      </c>
      <c r="L11514" s="62">
        <f t="shared" si="2"/>
        <v>3</v>
      </c>
    </row>
    <row r="11515">
      <c r="A11515" s="58">
        <v>44958.0</v>
      </c>
      <c r="B11515" s="24" t="s">
        <v>6789</v>
      </c>
      <c r="C11515" s="24" t="s">
        <v>6908</v>
      </c>
      <c r="D11515" s="59">
        <v>7.0</v>
      </c>
      <c r="E11515" s="59">
        <v>10.0</v>
      </c>
      <c r="F11515" s="59">
        <v>3.0</v>
      </c>
      <c r="G11515" s="60">
        <v>1.42857142857142</v>
      </c>
      <c r="H11515" s="60">
        <v>0.2</v>
      </c>
      <c r="I11515" s="60">
        <v>210.5603467</v>
      </c>
      <c r="J11515" s="59">
        <v>24.0</v>
      </c>
      <c r="K11515" s="61">
        <f t="shared" si="1"/>
        <v>0.3</v>
      </c>
      <c r="L11515" s="62">
        <f t="shared" si="2"/>
        <v>2.4</v>
      </c>
    </row>
    <row r="11516">
      <c r="A11516" s="58">
        <v>44958.0</v>
      </c>
      <c r="B11516" s="24" t="s">
        <v>6787</v>
      </c>
      <c r="C11516" s="24" t="s">
        <v>6808</v>
      </c>
      <c r="D11516" s="59">
        <v>6.0</v>
      </c>
      <c r="E11516" s="59">
        <v>8.0</v>
      </c>
      <c r="F11516" s="59">
        <v>4.0</v>
      </c>
      <c r="G11516" s="60">
        <v>1.33333333333333</v>
      </c>
      <c r="H11516" s="60">
        <v>0.0</v>
      </c>
      <c r="I11516" s="60">
        <v>17.6363114999999</v>
      </c>
      <c r="J11516" s="59">
        <v>24.0</v>
      </c>
      <c r="K11516" s="61">
        <f t="shared" si="1"/>
        <v>0.5</v>
      </c>
      <c r="L11516" s="62">
        <f t="shared" si="2"/>
        <v>3</v>
      </c>
    </row>
    <row r="11517">
      <c r="A11517" s="58">
        <v>44958.0</v>
      </c>
      <c r="B11517" s="24" t="s">
        <v>6787</v>
      </c>
      <c r="C11517" s="24" t="s">
        <v>7101</v>
      </c>
      <c r="D11517" s="59">
        <v>6.0</v>
      </c>
      <c r="E11517" s="59">
        <v>7.0</v>
      </c>
      <c r="F11517" s="59">
        <v>5.0</v>
      </c>
      <c r="G11517" s="60">
        <v>1.16666666666666</v>
      </c>
      <c r="H11517" s="60">
        <v>0.142857142857142</v>
      </c>
      <c r="I11517" s="60">
        <v>247.632786571428</v>
      </c>
      <c r="J11517" s="59">
        <v>15.0</v>
      </c>
      <c r="K11517" s="61">
        <f t="shared" si="1"/>
        <v>0.7142857143</v>
      </c>
      <c r="L11517" s="62">
        <f t="shared" si="2"/>
        <v>2.142857143</v>
      </c>
    </row>
    <row r="11518">
      <c r="A11518" s="58">
        <v>44958.0</v>
      </c>
      <c r="B11518" s="24" t="s">
        <v>6787</v>
      </c>
      <c r="C11518" s="24" t="s">
        <v>7313</v>
      </c>
      <c r="D11518" s="59">
        <v>6.0</v>
      </c>
      <c r="E11518" s="59">
        <v>6.0</v>
      </c>
      <c r="F11518" s="59">
        <v>4.0</v>
      </c>
      <c r="G11518" s="60">
        <v>1.0</v>
      </c>
      <c r="H11518" s="60">
        <v>0.0</v>
      </c>
      <c r="I11518" s="60">
        <v>258.3835065</v>
      </c>
      <c r="J11518" s="59">
        <v>20.0</v>
      </c>
      <c r="K11518" s="61">
        <f t="shared" si="1"/>
        <v>0.6666666667</v>
      </c>
      <c r="L11518" s="62">
        <f t="shared" si="2"/>
        <v>3.333333333</v>
      </c>
    </row>
    <row r="11519">
      <c r="A11519" s="58">
        <v>44958.0</v>
      </c>
      <c r="B11519" s="24" t="s">
        <v>6787</v>
      </c>
      <c r="C11519" s="24" t="s">
        <v>7102</v>
      </c>
      <c r="D11519" s="59">
        <v>6.0</v>
      </c>
      <c r="E11519" s="59">
        <v>6.0</v>
      </c>
      <c r="F11519" s="59">
        <v>5.0</v>
      </c>
      <c r="G11519" s="60">
        <v>1.0</v>
      </c>
      <c r="H11519" s="60">
        <v>0.333333333333333</v>
      </c>
      <c r="I11519" s="60">
        <v>87.2535401666666</v>
      </c>
      <c r="J11519" s="59">
        <v>26.0</v>
      </c>
      <c r="K11519" s="61">
        <f t="shared" si="1"/>
        <v>0.8333333333</v>
      </c>
      <c r="L11519" s="62">
        <f t="shared" si="2"/>
        <v>4.333333333</v>
      </c>
    </row>
    <row r="11520">
      <c r="A11520" s="58">
        <v>44958.0</v>
      </c>
      <c r="B11520" s="24" t="s">
        <v>6789</v>
      </c>
      <c r="C11520" s="24" t="s">
        <v>7027</v>
      </c>
      <c r="D11520" s="59">
        <v>6.0</v>
      </c>
      <c r="E11520" s="59">
        <v>6.0</v>
      </c>
      <c r="F11520" s="59">
        <v>0.0</v>
      </c>
      <c r="G11520" s="60">
        <v>1.0</v>
      </c>
      <c r="H11520" s="60">
        <v>0.0</v>
      </c>
      <c r="I11520" s="60">
        <v>471.330890333333</v>
      </c>
      <c r="J11520" s="59">
        <v>21.0</v>
      </c>
      <c r="K11520" s="61">
        <f t="shared" si="1"/>
        <v>0</v>
      </c>
      <c r="L11520" s="62">
        <f t="shared" si="2"/>
        <v>3.5</v>
      </c>
    </row>
    <row r="11521">
      <c r="A11521" s="58">
        <v>44958.0</v>
      </c>
      <c r="B11521" s="24" t="s">
        <v>6789</v>
      </c>
      <c r="C11521" s="24" t="s">
        <v>6802</v>
      </c>
      <c r="D11521" s="59">
        <v>6.0</v>
      </c>
      <c r="E11521" s="59">
        <v>9.0</v>
      </c>
      <c r="F11521" s="59">
        <v>2.0</v>
      </c>
      <c r="G11521" s="60">
        <v>1.5</v>
      </c>
      <c r="H11521" s="60">
        <v>0.111111111111111</v>
      </c>
      <c r="I11521" s="60">
        <v>432.419909777777</v>
      </c>
      <c r="J11521" s="59">
        <v>33.0</v>
      </c>
      <c r="K11521" s="61">
        <f t="shared" si="1"/>
        <v>0.2222222222</v>
      </c>
      <c r="L11521" s="62">
        <f t="shared" si="2"/>
        <v>3.666666667</v>
      </c>
    </row>
    <row r="11522">
      <c r="A11522" s="58">
        <v>44958.0</v>
      </c>
      <c r="B11522" s="24" t="s">
        <v>6794</v>
      </c>
      <c r="C11522" s="24" t="s">
        <v>6817</v>
      </c>
      <c r="D11522" s="59">
        <v>5.0</v>
      </c>
      <c r="E11522" s="59">
        <v>9.0</v>
      </c>
      <c r="F11522" s="59">
        <v>0.0</v>
      </c>
      <c r="G11522" s="60">
        <v>1.8</v>
      </c>
      <c r="H11522" s="60">
        <v>0.0</v>
      </c>
      <c r="I11522" s="60">
        <v>396.082429999999</v>
      </c>
      <c r="J11522" s="59">
        <v>48.0</v>
      </c>
      <c r="K11522" s="61">
        <f t="shared" si="1"/>
        <v>0</v>
      </c>
      <c r="L11522" s="62">
        <f t="shared" si="2"/>
        <v>5.333333333</v>
      </c>
    </row>
    <row r="11523">
      <c r="A11523" s="58">
        <v>44958.0</v>
      </c>
      <c r="B11523" s="24" t="s">
        <v>6789</v>
      </c>
      <c r="C11523" s="24" t="s">
        <v>7058</v>
      </c>
      <c r="D11523" s="59">
        <v>5.0</v>
      </c>
      <c r="E11523" s="59">
        <v>5.0</v>
      </c>
      <c r="F11523" s="59">
        <v>5.0</v>
      </c>
      <c r="G11523" s="60">
        <v>1.0</v>
      </c>
      <c r="H11523" s="60">
        <v>0.0</v>
      </c>
      <c r="I11523" s="60">
        <v>149.406434</v>
      </c>
      <c r="J11523" s="59">
        <v>12.0</v>
      </c>
      <c r="K11523" s="61">
        <f t="shared" si="1"/>
        <v>1</v>
      </c>
      <c r="L11523" s="62">
        <f t="shared" si="2"/>
        <v>2.4</v>
      </c>
    </row>
    <row r="11524">
      <c r="A11524" s="58">
        <v>44958.0</v>
      </c>
      <c r="B11524" s="24" t="s">
        <v>6789</v>
      </c>
      <c r="C11524" s="24" t="s">
        <v>6990</v>
      </c>
      <c r="D11524" s="59">
        <v>5.0</v>
      </c>
      <c r="E11524" s="59">
        <v>6.0</v>
      </c>
      <c r="F11524" s="59">
        <v>3.0</v>
      </c>
      <c r="G11524" s="60">
        <v>1.2</v>
      </c>
      <c r="H11524" s="60">
        <v>0.0</v>
      </c>
      <c r="I11524" s="60">
        <v>542.590044333333</v>
      </c>
      <c r="J11524" s="59">
        <v>28.0</v>
      </c>
      <c r="K11524" s="61">
        <f t="shared" si="1"/>
        <v>0.5</v>
      </c>
      <c r="L11524" s="62">
        <f t="shared" si="2"/>
        <v>4.666666667</v>
      </c>
    </row>
    <row r="11525">
      <c r="A11525" s="58">
        <v>44958.0</v>
      </c>
      <c r="B11525" s="24" t="s">
        <v>6789</v>
      </c>
      <c r="C11525" s="24" t="s">
        <v>6886</v>
      </c>
      <c r="D11525" s="59">
        <v>5.0</v>
      </c>
      <c r="E11525" s="59">
        <v>6.0</v>
      </c>
      <c r="F11525" s="59">
        <v>2.0</v>
      </c>
      <c r="G11525" s="60">
        <v>1.2</v>
      </c>
      <c r="H11525" s="60">
        <v>0.0</v>
      </c>
      <c r="I11525" s="60">
        <v>85.0024555</v>
      </c>
      <c r="J11525" s="59">
        <v>22.0</v>
      </c>
      <c r="K11525" s="61">
        <f t="shared" si="1"/>
        <v>0.3333333333</v>
      </c>
      <c r="L11525" s="62">
        <f t="shared" si="2"/>
        <v>3.666666667</v>
      </c>
    </row>
    <row r="11526">
      <c r="A11526" s="58">
        <v>44958.0</v>
      </c>
      <c r="B11526" s="24" t="s">
        <v>6790</v>
      </c>
      <c r="C11526" s="24" t="s">
        <v>7227</v>
      </c>
      <c r="D11526" s="59">
        <v>5.0</v>
      </c>
      <c r="E11526" s="59">
        <v>5.0</v>
      </c>
      <c r="F11526" s="59">
        <v>5.0</v>
      </c>
      <c r="G11526" s="60">
        <v>1.0</v>
      </c>
      <c r="H11526" s="60">
        <v>0.0</v>
      </c>
      <c r="I11526" s="60">
        <v>5.3714988</v>
      </c>
      <c r="J11526" s="59">
        <v>10.0</v>
      </c>
      <c r="K11526" s="61">
        <f t="shared" si="1"/>
        <v>1</v>
      </c>
      <c r="L11526" s="62">
        <f t="shared" si="2"/>
        <v>2</v>
      </c>
    </row>
    <row r="11527">
      <c r="A11527" s="58">
        <v>44958.0</v>
      </c>
      <c r="B11527" s="24" t="s">
        <v>6787</v>
      </c>
      <c r="C11527" s="24" t="s">
        <v>6800</v>
      </c>
      <c r="D11527" s="59">
        <v>5.0</v>
      </c>
      <c r="E11527" s="59">
        <v>5.0</v>
      </c>
      <c r="F11527" s="59">
        <v>5.0</v>
      </c>
      <c r="G11527" s="60">
        <v>1.0</v>
      </c>
      <c r="H11527" s="60">
        <v>0.4</v>
      </c>
      <c r="I11527" s="60">
        <v>10.1210598</v>
      </c>
      <c r="J11527" s="59">
        <v>8.0</v>
      </c>
      <c r="K11527" s="61">
        <f t="shared" si="1"/>
        <v>1</v>
      </c>
      <c r="L11527" s="62">
        <f t="shared" si="2"/>
        <v>1.6</v>
      </c>
    </row>
    <row r="11528">
      <c r="A11528" s="58">
        <v>44958.0</v>
      </c>
      <c r="B11528" s="24" t="s">
        <v>6789</v>
      </c>
      <c r="C11528" s="24" t="s">
        <v>7180</v>
      </c>
      <c r="D11528" s="59">
        <v>5.0</v>
      </c>
      <c r="E11528" s="59">
        <v>8.0</v>
      </c>
      <c r="F11528" s="59">
        <v>0.0</v>
      </c>
      <c r="G11528" s="60">
        <v>1.6</v>
      </c>
      <c r="H11528" s="60">
        <v>0.0</v>
      </c>
      <c r="I11528" s="60">
        <v>120.09526425</v>
      </c>
      <c r="J11528" s="59">
        <v>28.0</v>
      </c>
      <c r="K11528" s="61">
        <f t="shared" si="1"/>
        <v>0</v>
      </c>
      <c r="L11528" s="62">
        <f t="shared" si="2"/>
        <v>3.5</v>
      </c>
    </row>
    <row r="11529">
      <c r="A11529" s="58">
        <v>44958.0</v>
      </c>
      <c r="B11529" s="24" t="s">
        <v>6789</v>
      </c>
      <c r="C11529" s="24" t="s">
        <v>6922</v>
      </c>
      <c r="D11529" s="59">
        <v>5.0</v>
      </c>
      <c r="E11529" s="59">
        <v>5.0</v>
      </c>
      <c r="F11529" s="59">
        <v>3.0</v>
      </c>
      <c r="G11529" s="60">
        <v>1.0</v>
      </c>
      <c r="H11529" s="60">
        <v>0.0</v>
      </c>
      <c r="I11529" s="60">
        <v>49.4012434</v>
      </c>
      <c r="J11529" s="59">
        <v>16.0</v>
      </c>
      <c r="K11529" s="61">
        <f t="shared" si="1"/>
        <v>0.6</v>
      </c>
      <c r="L11529" s="62">
        <f t="shared" si="2"/>
        <v>3.2</v>
      </c>
    </row>
    <row r="11530">
      <c r="A11530" s="58">
        <v>44958.0</v>
      </c>
      <c r="B11530" s="24" t="s">
        <v>6789</v>
      </c>
      <c r="C11530" s="24" t="s">
        <v>6797</v>
      </c>
      <c r="D11530" s="59">
        <v>5.0</v>
      </c>
      <c r="E11530" s="59">
        <v>5.0</v>
      </c>
      <c r="F11530" s="59">
        <v>3.0</v>
      </c>
      <c r="G11530" s="60">
        <v>1.0</v>
      </c>
      <c r="H11530" s="60">
        <v>0.0</v>
      </c>
      <c r="I11530" s="60">
        <v>28.3156494</v>
      </c>
      <c r="J11530" s="59">
        <v>23.0</v>
      </c>
      <c r="K11530" s="61">
        <f t="shared" si="1"/>
        <v>0.6</v>
      </c>
      <c r="L11530" s="62">
        <f t="shared" si="2"/>
        <v>4.6</v>
      </c>
    </row>
    <row r="11531">
      <c r="A11531" s="58">
        <v>44958.0</v>
      </c>
      <c r="B11531" s="24" t="s">
        <v>3216</v>
      </c>
      <c r="C11531" s="27"/>
      <c r="D11531" s="59">
        <v>4.0</v>
      </c>
      <c r="E11531" s="59">
        <v>4.0</v>
      </c>
      <c r="F11531" s="59">
        <v>3.0</v>
      </c>
      <c r="G11531" s="60">
        <v>1.0</v>
      </c>
      <c r="H11531" s="60">
        <v>0.25</v>
      </c>
      <c r="I11531" s="60">
        <v>15.344862</v>
      </c>
      <c r="J11531" s="59">
        <v>11.0</v>
      </c>
      <c r="K11531" s="61">
        <f t="shared" si="1"/>
        <v>0.75</v>
      </c>
      <c r="L11531" s="62">
        <f t="shared" si="2"/>
        <v>2.75</v>
      </c>
    </row>
    <row r="11532">
      <c r="A11532" s="58">
        <v>44958.0</v>
      </c>
      <c r="B11532" s="24" t="s">
        <v>7100</v>
      </c>
      <c r="C11532" s="27"/>
      <c r="D11532" s="59">
        <v>4.0</v>
      </c>
      <c r="E11532" s="59">
        <v>22.0</v>
      </c>
      <c r="F11532" s="59">
        <v>1.0</v>
      </c>
      <c r="G11532" s="60">
        <v>5.5</v>
      </c>
      <c r="H11532" s="60">
        <v>0.181818181818181</v>
      </c>
      <c r="I11532" s="60">
        <v>168.959203045454</v>
      </c>
      <c r="J11532" s="59">
        <v>60.0</v>
      </c>
      <c r="K11532" s="61">
        <f t="shared" si="1"/>
        <v>0.04545454545</v>
      </c>
      <c r="L11532" s="62">
        <f t="shared" si="2"/>
        <v>2.727272727</v>
      </c>
    </row>
    <row r="11533">
      <c r="A11533" s="58">
        <v>44958.0</v>
      </c>
      <c r="B11533" s="24" t="s">
        <v>6791</v>
      </c>
      <c r="C11533" s="24" t="s">
        <v>6792</v>
      </c>
      <c r="D11533" s="59">
        <v>4.0</v>
      </c>
      <c r="E11533" s="59">
        <v>5.0</v>
      </c>
      <c r="F11533" s="59">
        <v>0.0</v>
      </c>
      <c r="G11533" s="60">
        <v>2.5</v>
      </c>
      <c r="H11533" s="60">
        <v>1.0</v>
      </c>
      <c r="I11533" s="60">
        <v>0.0</v>
      </c>
      <c r="J11533" s="59">
        <v>0.0</v>
      </c>
      <c r="K11533" s="61">
        <f t="shared" si="1"/>
        <v>0</v>
      </c>
      <c r="L11533" s="62">
        <f t="shared" si="2"/>
        <v>0</v>
      </c>
    </row>
    <row r="11534">
      <c r="A11534" s="58">
        <v>44958.0</v>
      </c>
      <c r="B11534" s="24" t="s">
        <v>6789</v>
      </c>
      <c r="C11534" s="24" t="s">
        <v>7074</v>
      </c>
      <c r="D11534" s="59">
        <v>4.0</v>
      </c>
      <c r="E11534" s="59">
        <v>4.0</v>
      </c>
      <c r="F11534" s="59">
        <v>3.0</v>
      </c>
      <c r="G11534" s="60">
        <v>1.0</v>
      </c>
      <c r="H11534" s="60">
        <v>0.0</v>
      </c>
      <c r="I11534" s="60">
        <v>109.990671249999</v>
      </c>
      <c r="J11534" s="59">
        <v>10.0</v>
      </c>
      <c r="K11534" s="61">
        <f t="shared" si="1"/>
        <v>0.75</v>
      </c>
      <c r="L11534" s="62">
        <f t="shared" si="2"/>
        <v>2.5</v>
      </c>
    </row>
    <row r="11535">
      <c r="A11535" s="58">
        <v>44958.0</v>
      </c>
      <c r="B11535" s="24" t="s">
        <v>6794</v>
      </c>
      <c r="C11535" s="24" t="s">
        <v>6886</v>
      </c>
      <c r="D11535" s="59">
        <v>4.0</v>
      </c>
      <c r="E11535" s="59">
        <v>4.0</v>
      </c>
      <c r="F11535" s="59">
        <v>1.0</v>
      </c>
      <c r="G11535" s="60">
        <v>1.33333333333333</v>
      </c>
      <c r="H11535" s="60">
        <v>0.5</v>
      </c>
      <c r="I11535" s="60">
        <v>241.6740595</v>
      </c>
      <c r="J11535" s="59">
        <v>6.0</v>
      </c>
      <c r="K11535" s="61">
        <f t="shared" si="1"/>
        <v>0.25</v>
      </c>
      <c r="L11535" s="62">
        <f t="shared" si="2"/>
        <v>1.5</v>
      </c>
    </row>
    <row r="11536">
      <c r="A11536" s="58">
        <v>44958.0</v>
      </c>
      <c r="B11536" s="24" t="s">
        <v>6789</v>
      </c>
      <c r="C11536" s="24" t="s">
        <v>6892</v>
      </c>
      <c r="D11536" s="59">
        <v>4.0</v>
      </c>
      <c r="E11536" s="59">
        <v>4.0</v>
      </c>
      <c r="F11536" s="59">
        <v>0.0</v>
      </c>
      <c r="G11536" s="60">
        <v>1.0</v>
      </c>
      <c r="H11536" s="60">
        <v>0.0</v>
      </c>
      <c r="I11536" s="60">
        <v>654.307624</v>
      </c>
      <c r="J11536" s="59">
        <v>22.0</v>
      </c>
      <c r="K11536" s="61">
        <f t="shared" si="1"/>
        <v>0</v>
      </c>
      <c r="L11536" s="62">
        <f t="shared" si="2"/>
        <v>5.5</v>
      </c>
    </row>
    <row r="11537">
      <c r="A11537" s="58">
        <v>44958.0</v>
      </c>
      <c r="B11537" s="24" t="s">
        <v>155</v>
      </c>
      <c r="C11537" s="24" t="s">
        <v>6892</v>
      </c>
      <c r="D11537" s="59">
        <v>4.0</v>
      </c>
      <c r="E11537" s="59">
        <v>6.0</v>
      </c>
      <c r="F11537" s="59">
        <v>2.0</v>
      </c>
      <c r="G11537" s="60">
        <v>1.5</v>
      </c>
      <c r="H11537" s="60">
        <v>0.0</v>
      </c>
      <c r="I11537" s="60">
        <v>449.144111166666</v>
      </c>
      <c r="J11537" s="59">
        <v>61.0</v>
      </c>
      <c r="K11537" s="61">
        <f t="shared" si="1"/>
        <v>0.3333333333</v>
      </c>
      <c r="L11537" s="62">
        <f t="shared" si="2"/>
        <v>10.16666667</v>
      </c>
    </row>
    <row r="11538">
      <c r="A11538" s="58">
        <v>44958.0</v>
      </c>
      <c r="B11538" s="24" t="s">
        <v>6789</v>
      </c>
      <c r="C11538" s="24" t="s">
        <v>6896</v>
      </c>
      <c r="D11538" s="59">
        <v>4.0</v>
      </c>
      <c r="E11538" s="59">
        <v>4.0</v>
      </c>
      <c r="F11538" s="59">
        <v>4.0</v>
      </c>
      <c r="G11538" s="60">
        <v>1.0</v>
      </c>
      <c r="H11538" s="60">
        <v>0.0</v>
      </c>
      <c r="I11538" s="60">
        <v>750.2222495</v>
      </c>
      <c r="J11538" s="59">
        <v>13.0</v>
      </c>
      <c r="K11538" s="61">
        <f t="shared" si="1"/>
        <v>1</v>
      </c>
      <c r="L11538" s="62">
        <f t="shared" si="2"/>
        <v>3.25</v>
      </c>
    </row>
    <row r="11539">
      <c r="A11539" s="58">
        <v>44958.0</v>
      </c>
      <c r="B11539" s="24" t="s">
        <v>155</v>
      </c>
      <c r="C11539" s="24" t="s">
        <v>6908</v>
      </c>
      <c r="D11539" s="59">
        <v>4.0</v>
      </c>
      <c r="E11539" s="59">
        <v>4.0</v>
      </c>
      <c r="F11539" s="59">
        <v>4.0</v>
      </c>
      <c r="G11539" s="60">
        <v>1.0</v>
      </c>
      <c r="H11539" s="60">
        <v>0.0</v>
      </c>
      <c r="I11539" s="60">
        <v>4.74917525</v>
      </c>
      <c r="J11539" s="59">
        <v>8.0</v>
      </c>
      <c r="K11539" s="61">
        <f t="shared" si="1"/>
        <v>1</v>
      </c>
      <c r="L11539" s="62">
        <f t="shared" si="2"/>
        <v>2</v>
      </c>
    </row>
    <row r="11540">
      <c r="A11540" s="58">
        <v>44958.0</v>
      </c>
      <c r="B11540" s="24" t="s">
        <v>6789</v>
      </c>
      <c r="C11540" s="24" t="s">
        <v>7172</v>
      </c>
      <c r="D11540" s="59">
        <v>4.0</v>
      </c>
      <c r="E11540" s="59">
        <v>5.0</v>
      </c>
      <c r="F11540" s="59">
        <v>3.0</v>
      </c>
      <c r="G11540" s="60">
        <v>1.25</v>
      </c>
      <c r="H11540" s="60">
        <v>0.0</v>
      </c>
      <c r="I11540" s="60">
        <v>525.4111746</v>
      </c>
      <c r="J11540" s="59">
        <v>30.0</v>
      </c>
      <c r="K11540" s="61">
        <f t="shared" si="1"/>
        <v>0.6</v>
      </c>
      <c r="L11540" s="62">
        <f t="shared" si="2"/>
        <v>6</v>
      </c>
    </row>
    <row r="11541">
      <c r="A11541" s="58">
        <v>44958.0</v>
      </c>
      <c r="B11541" s="24" t="s">
        <v>6789</v>
      </c>
      <c r="C11541" s="24" t="s">
        <v>7313</v>
      </c>
      <c r="D11541" s="59">
        <v>4.0</v>
      </c>
      <c r="E11541" s="59">
        <v>6.0</v>
      </c>
      <c r="F11541" s="59">
        <v>1.0</v>
      </c>
      <c r="G11541" s="60">
        <v>1.5</v>
      </c>
      <c r="H11541" s="60">
        <v>0.0</v>
      </c>
      <c r="I11541" s="60">
        <v>123.7749855</v>
      </c>
      <c r="J11541" s="59">
        <v>20.0</v>
      </c>
      <c r="K11541" s="61">
        <f t="shared" si="1"/>
        <v>0.1666666667</v>
      </c>
      <c r="L11541" s="62">
        <f t="shared" si="2"/>
        <v>3.333333333</v>
      </c>
    </row>
    <row r="11542">
      <c r="A11542" s="58">
        <v>44958.0</v>
      </c>
      <c r="B11542" s="24" t="s">
        <v>6787</v>
      </c>
      <c r="C11542" s="24" t="s">
        <v>6910</v>
      </c>
      <c r="D11542" s="59">
        <v>4.0</v>
      </c>
      <c r="E11542" s="59">
        <v>4.0</v>
      </c>
      <c r="F11542" s="59">
        <v>4.0</v>
      </c>
      <c r="G11542" s="60">
        <v>1.0</v>
      </c>
      <c r="H11542" s="60">
        <v>0.0</v>
      </c>
      <c r="I11542" s="60">
        <v>357.603512999999</v>
      </c>
      <c r="J11542" s="59">
        <v>31.0</v>
      </c>
      <c r="K11542" s="61">
        <f t="shared" si="1"/>
        <v>1</v>
      </c>
      <c r="L11542" s="62">
        <f t="shared" si="2"/>
        <v>7.75</v>
      </c>
    </row>
    <row r="11543">
      <c r="A11543" s="58">
        <v>44958.0</v>
      </c>
      <c r="B11543" s="24" t="s">
        <v>6787</v>
      </c>
      <c r="C11543" s="24" t="s">
        <v>7661</v>
      </c>
      <c r="D11543" s="59">
        <v>4.0</v>
      </c>
      <c r="E11543" s="59">
        <v>4.0</v>
      </c>
      <c r="F11543" s="59">
        <v>4.0</v>
      </c>
      <c r="G11543" s="60">
        <v>1.0</v>
      </c>
      <c r="H11543" s="60">
        <v>0.25</v>
      </c>
      <c r="I11543" s="60">
        <v>159.71351575</v>
      </c>
      <c r="J11543" s="59">
        <v>8.0</v>
      </c>
      <c r="K11543" s="61">
        <f t="shared" si="1"/>
        <v>1</v>
      </c>
      <c r="L11543" s="62">
        <f t="shared" si="2"/>
        <v>2</v>
      </c>
    </row>
    <row r="11544">
      <c r="A11544" s="58">
        <v>44958.0</v>
      </c>
      <c r="B11544" s="24" t="s">
        <v>6791</v>
      </c>
      <c r="C11544" s="24" t="s">
        <v>7111</v>
      </c>
      <c r="D11544" s="59">
        <v>4.0</v>
      </c>
      <c r="E11544" s="59">
        <v>4.0</v>
      </c>
      <c r="F11544" s="59">
        <v>4.0</v>
      </c>
      <c r="G11544" s="60">
        <v>1.0</v>
      </c>
      <c r="H11544" s="60">
        <v>0.0</v>
      </c>
      <c r="I11544" s="60">
        <v>236.5435475</v>
      </c>
      <c r="J11544" s="59">
        <v>13.0</v>
      </c>
      <c r="K11544" s="61">
        <f t="shared" si="1"/>
        <v>1</v>
      </c>
      <c r="L11544" s="62">
        <f t="shared" si="2"/>
        <v>3.25</v>
      </c>
    </row>
    <row r="11545">
      <c r="A11545" s="58">
        <v>44958.0</v>
      </c>
      <c r="B11545" s="24" t="s">
        <v>6789</v>
      </c>
      <c r="C11545" s="24" t="s">
        <v>6921</v>
      </c>
      <c r="D11545" s="59">
        <v>4.0</v>
      </c>
      <c r="E11545" s="59">
        <v>4.0</v>
      </c>
      <c r="F11545" s="59">
        <v>1.0</v>
      </c>
      <c r="G11545" s="60">
        <v>1.0</v>
      </c>
      <c r="H11545" s="60">
        <v>0.0</v>
      </c>
      <c r="I11545" s="60">
        <v>773.05976025</v>
      </c>
      <c r="J11545" s="59">
        <v>12.0</v>
      </c>
      <c r="K11545" s="61">
        <f t="shared" si="1"/>
        <v>0.25</v>
      </c>
      <c r="L11545" s="62">
        <f t="shared" si="2"/>
        <v>3</v>
      </c>
    </row>
    <row r="11546">
      <c r="A11546" s="58">
        <v>44958.0</v>
      </c>
      <c r="B11546" s="24" t="s">
        <v>6787</v>
      </c>
      <c r="C11546" s="24" t="s">
        <v>6797</v>
      </c>
      <c r="D11546" s="59">
        <v>4.0</v>
      </c>
      <c r="E11546" s="59">
        <v>4.0</v>
      </c>
      <c r="F11546" s="59">
        <v>3.0</v>
      </c>
      <c r="G11546" s="60">
        <v>1.0</v>
      </c>
      <c r="H11546" s="60">
        <v>0.0</v>
      </c>
      <c r="I11546" s="60">
        <v>611.95223275</v>
      </c>
      <c r="J11546" s="59">
        <v>26.0</v>
      </c>
      <c r="K11546" s="61">
        <f t="shared" si="1"/>
        <v>0.75</v>
      </c>
      <c r="L11546" s="62">
        <f t="shared" si="2"/>
        <v>6.5</v>
      </c>
    </row>
    <row r="11547">
      <c r="A11547" s="58">
        <v>44958.0</v>
      </c>
      <c r="B11547" s="24" t="s">
        <v>6790</v>
      </c>
      <c r="C11547" s="24" t="s">
        <v>6797</v>
      </c>
      <c r="D11547" s="59">
        <v>4.0</v>
      </c>
      <c r="E11547" s="59">
        <v>4.0</v>
      </c>
      <c r="F11547" s="59">
        <v>3.0</v>
      </c>
      <c r="G11547" s="60">
        <v>1.0</v>
      </c>
      <c r="H11547" s="60">
        <v>0.25</v>
      </c>
      <c r="I11547" s="60">
        <v>36.6170775</v>
      </c>
      <c r="J11547" s="59">
        <v>10.0</v>
      </c>
      <c r="K11547" s="61">
        <f t="shared" si="1"/>
        <v>0.75</v>
      </c>
      <c r="L11547" s="62">
        <f t="shared" si="2"/>
        <v>2.5</v>
      </c>
    </row>
    <row r="11548">
      <c r="A11548" s="58">
        <v>44958.0</v>
      </c>
      <c r="B11548" s="24" t="s">
        <v>3216</v>
      </c>
      <c r="C11548" s="24" t="s">
        <v>6792</v>
      </c>
      <c r="D11548" s="59">
        <v>3.0</v>
      </c>
      <c r="E11548" s="59">
        <v>4.0</v>
      </c>
      <c r="F11548" s="59">
        <v>0.0</v>
      </c>
      <c r="G11548" s="60">
        <v>1.33333333333333</v>
      </c>
      <c r="H11548" s="60">
        <v>1.0</v>
      </c>
      <c r="I11548" s="60">
        <v>0.0</v>
      </c>
      <c r="J11548" s="59">
        <v>0.0</v>
      </c>
      <c r="K11548" s="61">
        <f t="shared" si="1"/>
        <v>0</v>
      </c>
      <c r="L11548" s="62">
        <f t="shared" si="2"/>
        <v>0</v>
      </c>
    </row>
    <row r="11549">
      <c r="A11549" s="58">
        <v>44958.0</v>
      </c>
      <c r="B11549" s="24" t="s">
        <v>6789</v>
      </c>
      <c r="C11549" s="24" t="s">
        <v>6953</v>
      </c>
      <c r="D11549" s="59">
        <v>3.0</v>
      </c>
      <c r="E11549" s="59">
        <v>3.0</v>
      </c>
      <c r="F11549" s="59">
        <v>2.0</v>
      </c>
      <c r="G11549" s="60">
        <v>1.0</v>
      </c>
      <c r="H11549" s="60">
        <v>0.0</v>
      </c>
      <c r="I11549" s="60">
        <v>1068.84269</v>
      </c>
      <c r="J11549" s="59">
        <v>14.0</v>
      </c>
      <c r="K11549" s="61">
        <f t="shared" si="1"/>
        <v>0.6666666667</v>
      </c>
      <c r="L11549" s="62">
        <f t="shared" si="2"/>
        <v>4.666666667</v>
      </c>
    </row>
    <row r="11550">
      <c r="A11550" s="58">
        <v>44958.0</v>
      </c>
      <c r="B11550" s="24" t="s">
        <v>6794</v>
      </c>
      <c r="C11550" s="24" t="s">
        <v>6953</v>
      </c>
      <c r="D11550" s="59">
        <v>3.0</v>
      </c>
      <c r="E11550" s="59">
        <v>3.0</v>
      </c>
      <c r="F11550" s="59">
        <v>1.0</v>
      </c>
      <c r="G11550" s="60">
        <v>1.0</v>
      </c>
      <c r="H11550" s="60">
        <v>0.0</v>
      </c>
      <c r="I11550" s="60">
        <v>47.1640776666666</v>
      </c>
      <c r="J11550" s="59">
        <v>6.0</v>
      </c>
      <c r="K11550" s="61">
        <f t="shared" si="1"/>
        <v>0.3333333333</v>
      </c>
      <c r="L11550" s="62">
        <f t="shared" si="2"/>
        <v>2</v>
      </c>
    </row>
    <row r="11551">
      <c r="A11551" s="58">
        <v>44958.0</v>
      </c>
      <c r="B11551" s="24" t="s">
        <v>6787</v>
      </c>
      <c r="C11551" s="24" t="s">
        <v>7057</v>
      </c>
      <c r="D11551" s="59">
        <v>3.0</v>
      </c>
      <c r="E11551" s="59">
        <v>3.0</v>
      </c>
      <c r="F11551" s="59">
        <v>0.0</v>
      </c>
      <c r="G11551" s="60">
        <v>1.0</v>
      </c>
      <c r="H11551" s="60">
        <v>0.0</v>
      </c>
      <c r="I11551" s="60">
        <v>629.249775666666</v>
      </c>
      <c r="J11551" s="59">
        <v>6.0</v>
      </c>
      <c r="K11551" s="61">
        <f t="shared" si="1"/>
        <v>0</v>
      </c>
      <c r="L11551" s="62">
        <f t="shared" si="2"/>
        <v>2</v>
      </c>
    </row>
    <row r="11552">
      <c r="A11552" s="58">
        <v>44958.0</v>
      </c>
      <c r="B11552" s="24" t="s">
        <v>6789</v>
      </c>
      <c r="C11552" s="24" t="s">
        <v>6861</v>
      </c>
      <c r="D11552" s="59">
        <v>3.0</v>
      </c>
      <c r="E11552" s="59">
        <v>5.0</v>
      </c>
      <c r="F11552" s="59">
        <v>2.0</v>
      </c>
      <c r="G11552" s="60">
        <v>1.66666666666666</v>
      </c>
      <c r="H11552" s="60">
        <v>0.0</v>
      </c>
      <c r="I11552" s="60">
        <v>339.519868199999</v>
      </c>
      <c r="J11552" s="59">
        <v>14.0</v>
      </c>
      <c r="K11552" s="61">
        <f t="shared" si="1"/>
        <v>0.4</v>
      </c>
      <c r="L11552" s="62">
        <f t="shared" si="2"/>
        <v>2.8</v>
      </c>
    </row>
    <row r="11553">
      <c r="A11553" s="58">
        <v>44958.0</v>
      </c>
      <c r="B11553" s="24" t="s">
        <v>6794</v>
      </c>
      <c r="C11553" s="24" t="s">
        <v>6833</v>
      </c>
      <c r="D11553" s="59">
        <v>3.0</v>
      </c>
      <c r="E11553" s="59">
        <v>4.0</v>
      </c>
      <c r="F11553" s="59">
        <v>2.0</v>
      </c>
      <c r="G11553" s="60">
        <v>1.33333333333333</v>
      </c>
      <c r="H11553" s="60">
        <v>0.0</v>
      </c>
      <c r="I11553" s="60">
        <v>155.76437325</v>
      </c>
      <c r="J11553" s="59">
        <v>11.0</v>
      </c>
      <c r="K11553" s="61">
        <f t="shared" si="1"/>
        <v>0.5</v>
      </c>
      <c r="L11553" s="62">
        <f t="shared" si="2"/>
        <v>2.75</v>
      </c>
    </row>
    <row r="11554">
      <c r="A11554" s="58">
        <v>44958.0</v>
      </c>
      <c r="B11554" s="24" t="s">
        <v>6787</v>
      </c>
      <c r="C11554" s="24" t="s">
        <v>6989</v>
      </c>
      <c r="D11554" s="59">
        <v>3.0</v>
      </c>
      <c r="E11554" s="59">
        <v>3.0</v>
      </c>
      <c r="F11554" s="59">
        <v>3.0</v>
      </c>
      <c r="G11554" s="60">
        <v>1.0</v>
      </c>
      <c r="H11554" s="60">
        <v>0.0</v>
      </c>
      <c r="I11554" s="60">
        <v>25.8876083333333</v>
      </c>
      <c r="J11554" s="59">
        <v>6.0</v>
      </c>
      <c r="K11554" s="61">
        <f t="shared" si="1"/>
        <v>1</v>
      </c>
      <c r="L11554" s="62">
        <f t="shared" si="2"/>
        <v>2</v>
      </c>
    </row>
    <row r="11555">
      <c r="A11555" s="58">
        <v>44958.0</v>
      </c>
      <c r="B11555" s="24" t="s">
        <v>6789</v>
      </c>
      <c r="C11555" s="24" t="s">
        <v>6989</v>
      </c>
      <c r="D11555" s="59">
        <v>3.0</v>
      </c>
      <c r="E11555" s="59">
        <v>3.0</v>
      </c>
      <c r="F11555" s="59">
        <v>0.0</v>
      </c>
      <c r="G11555" s="60">
        <v>1.0</v>
      </c>
      <c r="H11555" s="60">
        <v>0.0</v>
      </c>
      <c r="I11555" s="60">
        <v>209.108339</v>
      </c>
      <c r="J11555" s="59">
        <v>10.0</v>
      </c>
      <c r="K11555" s="61">
        <f t="shared" si="1"/>
        <v>0</v>
      </c>
      <c r="L11555" s="62">
        <f t="shared" si="2"/>
        <v>3.333333333</v>
      </c>
    </row>
    <row r="11556">
      <c r="A11556" s="58">
        <v>44958.0</v>
      </c>
      <c r="B11556" s="24" t="s">
        <v>6794</v>
      </c>
      <c r="C11556" s="24" t="s">
        <v>6835</v>
      </c>
      <c r="D11556" s="59">
        <v>3.0</v>
      </c>
      <c r="E11556" s="59">
        <v>4.0</v>
      </c>
      <c r="F11556" s="59">
        <v>2.0</v>
      </c>
      <c r="G11556" s="60">
        <v>1.33333333333333</v>
      </c>
      <c r="H11556" s="60">
        <v>0.0</v>
      </c>
      <c r="I11556" s="60">
        <v>342.70605275</v>
      </c>
      <c r="J11556" s="59">
        <v>9.0</v>
      </c>
      <c r="K11556" s="61">
        <f t="shared" si="1"/>
        <v>0.5</v>
      </c>
      <c r="L11556" s="62">
        <f t="shared" si="2"/>
        <v>2.25</v>
      </c>
    </row>
    <row r="11557">
      <c r="A11557" s="58">
        <v>44958.0</v>
      </c>
      <c r="B11557" s="24" t="s">
        <v>6787</v>
      </c>
      <c r="C11557" s="24" t="s">
        <v>6886</v>
      </c>
      <c r="D11557" s="59">
        <v>3.0</v>
      </c>
      <c r="E11557" s="59">
        <v>3.0</v>
      </c>
      <c r="F11557" s="59">
        <v>1.0</v>
      </c>
      <c r="G11557" s="60">
        <v>1.0</v>
      </c>
      <c r="H11557" s="60">
        <v>0.0</v>
      </c>
      <c r="I11557" s="60">
        <v>17.800393</v>
      </c>
      <c r="J11557" s="59">
        <v>6.0</v>
      </c>
      <c r="K11557" s="61">
        <f t="shared" si="1"/>
        <v>0.3333333333</v>
      </c>
      <c r="L11557" s="62">
        <f t="shared" si="2"/>
        <v>2</v>
      </c>
    </row>
    <row r="11558">
      <c r="A11558" s="58">
        <v>44958.0</v>
      </c>
      <c r="B11558" s="24" t="s">
        <v>6790</v>
      </c>
      <c r="C11558" s="24" t="s">
        <v>6892</v>
      </c>
      <c r="D11558" s="59">
        <v>3.0</v>
      </c>
      <c r="E11558" s="59">
        <v>3.0</v>
      </c>
      <c r="F11558" s="59">
        <v>1.0</v>
      </c>
      <c r="G11558" s="60">
        <v>1.0</v>
      </c>
      <c r="H11558" s="60">
        <v>0.0</v>
      </c>
      <c r="I11558" s="60">
        <v>874.787745</v>
      </c>
      <c r="J11558" s="59">
        <v>10.0</v>
      </c>
      <c r="K11558" s="61">
        <f t="shared" si="1"/>
        <v>0.3333333333</v>
      </c>
      <c r="L11558" s="62">
        <f t="shared" si="2"/>
        <v>3.333333333</v>
      </c>
    </row>
    <row r="11559">
      <c r="A11559" s="58">
        <v>44958.0</v>
      </c>
      <c r="B11559" s="24" t="s">
        <v>155</v>
      </c>
      <c r="C11559" s="24" t="s">
        <v>7624</v>
      </c>
      <c r="D11559" s="59">
        <v>3.0</v>
      </c>
      <c r="E11559" s="59">
        <v>3.0</v>
      </c>
      <c r="F11559" s="59">
        <v>1.0</v>
      </c>
      <c r="G11559" s="60">
        <v>1.0</v>
      </c>
      <c r="H11559" s="60">
        <v>0.0</v>
      </c>
      <c r="I11559" s="60">
        <v>467.753663333333</v>
      </c>
      <c r="J11559" s="59">
        <v>8.0</v>
      </c>
      <c r="K11559" s="61">
        <f t="shared" si="1"/>
        <v>0.3333333333</v>
      </c>
      <c r="L11559" s="62">
        <f t="shared" si="2"/>
        <v>2.666666667</v>
      </c>
    </row>
    <row r="11560">
      <c r="A11560" s="58">
        <v>44958.0</v>
      </c>
      <c r="B11560" s="24" t="s">
        <v>7606</v>
      </c>
      <c r="C11560" s="24" t="s">
        <v>7227</v>
      </c>
      <c r="D11560" s="59">
        <v>3.0</v>
      </c>
      <c r="E11560" s="59">
        <v>3.0</v>
      </c>
      <c r="F11560" s="59">
        <v>3.0</v>
      </c>
      <c r="G11560" s="60">
        <v>1.0</v>
      </c>
      <c r="H11560" s="60">
        <v>0.333333333333333</v>
      </c>
      <c r="I11560" s="60">
        <v>0.469483333333333</v>
      </c>
      <c r="J11560" s="59">
        <v>5.0</v>
      </c>
      <c r="K11560" s="61">
        <f t="shared" si="1"/>
        <v>1</v>
      </c>
      <c r="L11560" s="62">
        <f t="shared" si="2"/>
        <v>1.666666667</v>
      </c>
    </row>
    <row r="11561">
      <c r="A11561" s="58">
        <v>44958.0</v>
      </c>
      <c r="B11561" s="24" t="s">
        <v>7100</v>
      </c>
      <c r="C11561" s="24" t="s">
        <v>6907</v>
      </c>
      <c r="D11561" s="59">
        <v>3.0</v>
      </c>
      <c r="E11561" s="59">
        <v>6.0</v>
      </c>
      <c r="F11561" s="59">
        <v>3.0</v>
      </c>
      <c r="G11561" s="60">
        <v>2.0</v>
      </c>
      <c r="H11561" s="60">
        <v>0.0</v>
      </c>
      <c r="I11561" s="60">
        <v>3.30657316666666</v>
      </c>
      <c r="J11561" s="59">
        <v>12.0</v>
      </c>
      <c r="K11561" s="61">
        <f t="shared" si="1"/>
        <v>0.5</v>
      </c>
      <c r="L11561" s="62">
        <f t="shared" si="2"/>
        <v>2</v>
      </c>
    </row>
    <row r="11562">
      <c r="A11562" s="58">
        <v>44958.0</v>
      </c>
      <c r="B11562" s="24" t="s">
        <v>6789</v>
      </c>
      <c r="C11562" s="24" t="s">
        <v>6800</v>
      </c>
      <c r="D11562" s="59">
        <v>3.0</v>
      </c>
      <c r="E11562" s="59">
        <v>3.0</v>
      </c>
      <c r="F11562" s="59">
        <v>2.0</v>
      </c>
      <c r="G11562" s="60">
        <v>1.0</v>
      </c>
      <c r="H11562" s="60">
        <v>0.0</v>
      </c>
      <c r="I11562" s="60">
        <v>15.041951</v>
      </c>
      <c r="J11562" s="59">
        <v>6.0</v>
      </c>
      <c r="K11562" s="61">
        <f t="shared" si="1"/>
        <v>0.6666666667</v>
      </c>
      <c r="L11562" s="62">
        <f t="shared" si="2"/>
        <v>2</v>
      </c>
    </row>
    <row r="11563">
      <c r="A11563" s="58">
        <v>44958.0</v>
      </c>
      <c r="B11563" s="24" t="s">
        <v>6789</v>
      </c>
      <c r="C11563" s="24" t="s">
        <v>7102</v>
      </c>
      <c r="D11563" s="59">
        <v>3.0</v>
      </c>
      <c r="E11563" s="59">
        <v>3.0</v>
      </c>
      <c r="F11563" s="59">
        <v>1.0</v>
      </c>
      <c r="G11563" s="60">
        <v>1.0</v>
      </c>
      <c r="H11563" s="60">
        <v>0.0</v>
      </c>
      <c r="I11563" s="60">
        <v>417.988380333333</v>
      </c>
      <c r="J11563" s="59">
        <v>11.0</v>
      </c>
      <c r="K11563" s="61">
        <f t="shared" si="1"/>
        <v>0.3333333333</v>
      </c>
      <c r="L11563" s="62">
        <f t="shared" si="2"/>
        <v>3.666666667</v>
      </c>
    </row>
    <row r="11564">
      <c r="A11564" s="58">
        <v>44958.0</v>
      </c>
      <c r="B11564" s="24" t="s">
        <v>6794</v>
      </c>
      <c r="C11564" s="24" t="s">
        <v>7027</v>
      </c>
      <c r="D11564" s="59">
        <v>3.0</v>
      </c>
      <c r="E11564" s="59">
        <v>3.0</v>
      </c>
      <c r="F11564" s="59">
        <v>2.0</v>
      </c>
      <c r="G11564" s="60">
        <v>1.0</v>
      </c>
      <c r="H11564" s="60">
        <v>0.0</v>
      </c>
      <c r="I11564" s="60">
        <v>21.5056546666666</v>
      </c>
      <c r="J11564" s="59">
        <v>6.0</v>
      </c>
      <c r="K11564" s="61">
        <f t="shared" si="1"/>
        <v>0.6666666667</v>
      </c>
      <c r="L11564" s="62">
        <f t="shared" si="2"/>
        <v>2</v>
      </c>
    </row>
    <row r="11565">
      <c r="A11565" s="58">
        <v>44958.0</v>
      </c>
      <c r="B11565" s="24" t="s">
        <v>7606</v>
      </c>
      <c r="C11565" s="24" t="s">
        <v>6921</v>
      </c>
      <c r="D11565" s="59">
        <v>3.0</v>
      </c>
      <c r="E11565" s="59">
        <v>3.0</v>
      </c>
      <c r="F11565" s="59">
        <v>2.0</v>
      </c>
      <c r="G11565" s="60">
        <v>1.0</v>
      </c>
      <c r="H11565" s="60">
        <v>0.0</v>
      </c>
      <c r="I11565" s="60">
        <v>13.2354983333333</v>
      </c>
      <c r="J11565" s="59">
        <v>8.0</v>
      </c>
      <c r="K11565" s="61">
        <f t="shared" si="1"/>
        <v>0.6666666667</v>
      </c>
      <c r="L11565" s="62">
        <f t="shared" si="2"/>
        <v>2.666666667</v>
      </c>
    </row>
    <row r="11566">
      <c r="A11566" s="58">
        <v>44958.0</v>
      </c>
      <c r="B11566" s="24" t="s">
        <v>6789</v>
      </c>
      <c r="C11566" s="24" t="s">
        <v>7047</v>
      </c>
      <c r="D11566" s="59">
        <v>3.0</v>
      </c>
      <c r="E11566" s="59">
        <v>4.0</v>
      </c>
      <c r="F11566" s="59">
        <v>2.0</v>
      </c>
      <c r="G11566" s="60">
        <v>1.33333333333333</v>
      </c>
      <c r="H11566" s="60">
        <v>0.0</v>
      </c>
      <c r="I11566" s="60">
        <v>407.17214375</v>
      </c>
      <c r="J11566" s="59">
        <v>12.0</v>
      </c>
      <c r="K11566" s="61">
        <f t="shared" si="1"/>
        <v>0.5</v>
      </c>
      <c r="L11566" s="62">
        <f t="shared" si="2"/>
        <v>3</v>
      </c>
    </row>
    <row r="11567">
      <c r="A11567" s="58">
        <v>44958.0</v>
      </c>
      <c r="B11567" s="24" t="s">
        <v>6794</v>
      </c>
      <c r="C11567" s="24" t="s">
        <v>6797</v>
      </c>
      <c r="D11567" s="59">
        <v>3.0</v>
      </c>
      <c r="E11567" s="59">
        <v>3.0</v>
      </c>
      <c r="F11567" s="59">
        <v>1.0</v>
      </c>
      <c r="G11567" s="60">
        <v>1.0</v>
      </c>
      <c r="H11567" s="60">
        <v>0.0</v>
      </c>
      <c r="I11567" s="60">
        <v>44.4971046666666</v>
      </c>
      <c r="J11567" s="59">
        <v>12.0</v>
      </c>
      <c r="K11567" s="61">
        <f t="shared" si="1"/>
        <v>0.3333333333</v>
      </c>
      <c r="L11567" s="62">
        <f t="shared" si="2"/>
        <v>4</v>
      </c>
    </row>
    <row r="11568">
      <c r="A11568" s="58">
        <v>44958.0</v>
      </c>
      <c r="B11568" s="24" t="s">
        <v>6787</v>
      </c>
      <c r="C11568" s="24" t="s">
        <v>7508</v>
      </c>
      <c r="D11568" s="59">
        <v>3.0</v>
      </c>
      <c r="E11568" s="59">
        <v>4.0</v>
      </c>
      <c r="F11568" s="59">
        <v>1.0</v>
      </c>
      <c r="G11568" s="60">
        <v>1.33333333333333</v>
      </c>
      <c r="H11568" s="60">
        <v>0.0</v>
      </c>
      <c r="I11568" s="60">
        <v>560.923317</v>
      </c>
      <c r="J11568" s="59">
        <v>36.0</v>
      </c>
      <c r="K11568" s="61">
        <f t="shared" si="1"/>
        <v>0.25</v>
      </c>
      <c r="L11568" s="62">
        <f t="shared" si="2"/>
        <v>9</v>
      </c>
    </row>
    <row r="11569">
      <c r="A11569" s="58">
        <v>44958.0</v>
      </c>
      <c r="B11569" s="24" t="s">
        <v>6789</v>
      </c>
      <c r="C11569" s="24" t="s">
        <v>7570</v>
      </c>
      <c r="D11569" s="59">
        <v>3.0</v>
      </c>
      <c r="E11569" s="59">
        <v>8.0</v>
      </c>
      <c r="F11569" s="59">
        <v>0.0</v>
      </c>
      <c r="G11569" s="60">
        <v>2.66666666666666</v>
      </c>
      <c r="H11569" s="60">
        <v>0.0</v>
      </c>
      <c r="I11569" s="60">
        <v>425.950952375</v>
      </c>
      <c r="J11569" s="59">
        <v>30.0</v>
      </c>
      <c r="K11569" s="61">
        <f t="shared" si="1"/>
        <v>0</v>
      </c>
      <c r="L11569" s="62">
        <f t="shared" si="2"/>
        <v>3.75</v>
      </c>
    </row>
    <row r="11570">
      <c r="A11570" s="58">
        <v>44958.0</v>
      </c>
      <c r="B11570" s="24" t="s">
        <v>7100</v>
      </c>
      <c r="C11570" s="24" t="s">
        <v>6792</v>
      </c>
      <c r="D11570" s="59">
        <v>2.0</v>
      </c>
      <c r="E11570" s="59">
        <v>2.0</v>
      </c>
      <c r="F11570" s="59">
        <v>0.0</v>
      </c>
      <c r="G11570" s="60">
        <v>2.0</v>
      </c>
      <c r="H11570" s="60">
        <v>0.5</v>
      </c>
      <c r="I11570" s="60">
        <v>304.5441755</v>
      </c>
      <c r="J11570" s="59">
        <v>0.0</v>
      </c>
      <c r="K11570" s="61">
        <f t="shared" si="1"/>
        <v>0</v>
      </c>
      <c r="L11570" s="62">
        <f t="shared" si="2"/>
        <v>0</v>
      </c>
    </row>
    <row r="11571">
      <c r="A11571" s="58">
        <v>44958.0</v>
      </c>
      <c r="B11571" s="24" t="s">
        <v>6790</v>
      </c>
      <c r="C11571" s="24" t="s">
        <v>6803</v>
      </c>
      <c r="D11571" s="59">
        <v>2.0</v>
      </c>
      <c r="E11571" s="59">
        <v>2.0</v>
      </c>
      <c r="F11571" s="59">
        <v>0.0</v>
      </c>
      <c r="G11571" s="60">
        <v>1.0</v>
      </c>
      <c r="H11571" s="60">
        <v>0.0</v>
      </c>
      <c r="I11571" s="60">
        <v>45.9052669999999</v>
      </c>
      <c r="J11571" s="59">
        <v>4.0</v>
      </c>
      <c r="K11571" s="61">
        <f t="shared" si="1"/>
        <v>0</v>
      </c>
      <c r="L11571" s="62">
        <f t="shared" si="2"/>
        <v>2</v>
      </c>
    </row>
    <row r="11572">
      <c r="A11572" s="58">
        <v>44958.0</v>
      </c>
      <c r="B11572" s="24" t="s">
        <v>6790</v>
      </c>
      <c r="C11572" s="24" t="s">
        <v>6817</v>
      </c>
      <c r="D11572" s="59">
        <v>2.0</v>
      </c>
      <c r="E11572" s="59">
        <v>3.0</v>
      </c>
      <c r="F11572" s="59">
        <v>0.0</v>
      </c>
      <c r="G11572" s="60">
        <v>1.5</v>
      </c>
      <c r="H11572" s="60">
        <v>0.0</v>
      </c>
      <c r="I11572" s="60">
        <v>11.4668176666666</v>
      </c>
      <c r="J11572" s="59">
        <v>8.0</v>
      </c>
      <c r="K11572" s="61">
        <f t="shared" si="1"/>
        <v>0</v>
      </c>
      <c r="L11572" s="62">
        <f t="shared" si="2"/>
        <v>2.666666667</v>
      </c>
    </row>
    <row r="11573">
      <c r="A11573" s="58">
        <v>44958.0</v>
      </c>
      <c r="B11573" s="24" t="s">
        <v>6787</v>
      </c>
      <c r="C11573" s="24" t="s">
        <v>6953</v>
      </c>
      <c r="D11573" s="59">
        <v>2.0</v>
      </c>
      <c r="E11573" s="59">
        <v>3.0</v>
      </c>
      <c r="F11573" s="59">
        <v>2.0</v>
      </c>
      <c r="G11573" s="60">
        <v>1.5</v>
      </c>
      <c r="H11573" s="60">
        <v>0.0</v>
      </c>
      <c r="I11573" s="60">
        <v>120.774748</v>
      </c>
      <c r="J11573" s="59">
        <v>8.0</v>
      </c>
      <c r="K11573" s="61">
        <f t="shared" si="1"/>
        <v>0.6666666667</v>
      </c>
      <c r="L11573" s="62">
        <f t="shared" si="2"/>
        <v>2.666666667</v>
      </c>
    </row>
    <row r="11574">
      <c r="A11574" s="58">
        <v>44958.0</v>
      </c>
      <c r="B11574" s="24" t="s">
        <v>6789</v>
      </c>
      <c r="C11574" s="24" t="s">
        <v>7057</v>
      </c>
      <c r="D11574" s="59">
        <v>2.0</v>
      </c>
      <c r="E11574" s="59">
        <v>3.0</v>
      </c>
      <c r="F11574" s="59">
        <v>2.0</v>
      </c>
      <c r="G11574" s="60">
        <v>1.5</v>
      </c>
      <c r="H11574" s="60">
        <v>0.0</v>
      </c>
      <c r="I11574" s="60">
        <v>5.267895</v>
      </c>
      <c r="J11574" s="59">
        <v>6.0</v>
      </c>
      <c r="K11574" s="61">
        <f t="shared" si="1"/>
        <v>0.6666666667</v>
      </c>
      <c r="L11574" s="62">
        <f t="shared" si="2"/>
        <v>2</v>
      </c>
    </row>
    <row r="11575">
      <c r="A11575" s="58">
        <v>44958.0</v>
      </c>
      <c r="B11575" s="24" t="s">
        <v>6794</v>
      </c>
      <c r="C11575" s="24" t="s">
        <v>7057</v>
      </c>
      <c r="D11575" s="59">
        <v>2.0</v>
      </c>
      <c r="E11575" s="59">
        <v>2.0</v>
      </c>
      <c r="F11575" s="59">
        <v>1.0</v>
      </c>
      <c r="G11575" s="60">
        <v>2.0</v>
      </c>
      <c r="H11575" s="60">
        <v>0.5</v>
      </c>
      <c r="I11575" s="60">
        <v>45.470973</v>
      </c>
      <c r="J11575" s="59">
        <v>3.0</v>
      </c>
      <c r="K11575" s="61">
        <f t="shared" si="1"/>
        <v>0.5</v>
      </c>
      <c r="L11575" s="62">
        <f t="shared" si="2"/>
        <v>1.5</v>
      </c>
    </row>
    <row r="11576">
      <c r="A11576" s="58">
        <v>44958.0</v>
      </c>
      <c r="B11576" s="24" t="s">
        <v>6789</v>
      </c>
      <c r="C11576" s="24" t="s">
        <v>7059</v>
      </c>
      <c r="D11576" s="59">
        <v>2.0</v>
      </c>
      <c r="E11576" s="59">
        <v>4.0</v>
      </c>
      <c r="F11576" s="59">
        <v>2.0</v>
      </c>
      <c r="G11576" s="60">
        <v>2.0</v>
      </c>
      <c r="H11576" s="60">
        <v>0.0</v>
      </c>
      <c r="I11576" s="60">
        <v>247.94322225</v>
      </c>
      <c r="J11576" s="59">
        <v>8.0</v>
      </c>
      <c r="K11576" s="61">
        <f t="shared" si="1"/>
        <v>0.5</v>
      </c>
      <c r="L11576" s="62">
        <f t="shared" si="2"/>
        <v>2</v>
      </c>
    </row>
    <row r="11577">
      <c r="A11577" s="58">
        <v>44958.0</v>
      </c>
      <c r="B11577" s="24" t="s">
        <v>6794</v>
      </c>
      <c r="C11577" s="24" t="s">
        <v>7065</v>
      </c>
      <c r="D11577" s="59">
        <v>2.0</v>
      </c>
      <c r="E11577" s="59">
        <v>2.0</v>
      </c>
      <c r="F11577" s="59">
        <v>1.0</v>
      </c>
      <c r="G11577" s="60">
        <v>1.0</v>
      </c>
      <c r="H11577" s="60">
        <v>0.0</v>
      </c>
      <c r="I11577" s="60">
        <v>6.312671</v>
      </c>
      <c r="J11577" s="59">
        <v>5.0</v>
      </c>
      <c r="K11577" s="61">
        <f t="shared" si="1"/>
        <v>0.5</v>
      </c>
      <c r="L11577" s="62">
        <f t="shared" si="2"/>
        <v>2.5</v>
      </c>
    </row>
    <row r="11578">
      <c r="A11578" s="58">
        <v>44958.0</v>
      </c>
      <c r="B11578" s="24" t="s">
        <v>6787</v>
      </c>
      <c r="C11578" s="24" t="s">
        <v>6990</v>
      </c>
      <c r="D11578" s="59">
        <v>2.0</v>
      </c>
      <c r="E11578" s="59">
        <v>2.0</v>
      </c>
      <c r="F11578" s="59">
        <v>0.0</v>
      </c>
      <c r="G11578" s="60">
        <v>1.0</v>
      </c>
      <c r="H11578" s="60">
        <v>0.0</v>
      </c>
      <c r="I11578" s="60">
        <v>868.8485855</v>
      </c>
      <c r="J11578" s="59">
        <v>6.0</v>
      </c>
      <c r="K11578" s="61">
        <f t="shared" si="1"/>
        <v>0</v>
      </c>
      <c r="L11578" s="62">
        <f t="shared" si="2"/>
        <v>3</v>
      </c>
    </row>
    <row r="11579">
      <c r="A11579" s="58">
        <v>44958.0</v>
      </c>
      <c r="B11579" s="24" t="s">
        <v>6789</v>
      </c>
      <c r="C11579" s="24" t="s">
        <v>7067</v>
      </c>
      <c r="D11579" s="59">
        <v>2.0</v>
      </c>
      <c r="E11579" s="59">
        <v>5.0</v>
      </c>
      <c r="F11579" s="59">
        <v>1.0</v>
      </c>
      <c r="G11579" s="60">
        <v>2.5</v>
      </c>
      <c r="H11579" s="60">
        <v>0.0</v>
      </c>
      <c r="I11579" s="60">
        <v>12.6202282</v>
      </c>
      <c r="J11579" s="59">
        <v>12.0</v>
      </c>
      <c r="K11579" s="61">
        <f t="shared" si="1"/>
        <v>0.2</v>
      </c>
      <c r="L11579" s="62">
        <f t="shared" si="2"/>
        <v>2.4</v>
      </c>
    </row>
    <row r="11580">
      <c r="A11580" s="58">
        <v>44958.0</v>
      </c>
      <c r="B11580" s="24" t="s">
        <v>155</v>
      </c>
      <c r="C11580" s="24" t="s">
        <v>7068</v>
      </c>
      <c r="D11580" s="59">
        <v>2.0</v>
      </c>
      <c r="E11580" s="59">
        <v>2.0</v>
      </c>
      <c r="F11580" s="59">
        <v>1.0</v>
      </c>
      <c r="G11580" s="60">
        <v>1.0</v>
      </c>
      <c r="H11580" s="60">
        <v>0.0</v>
      </c>
      <c r="I11580" s="60">
        <v>85.585101</v>
      </c>
      <c r="J11580" s="59">
        <v>4.0</v>
      </c>
      <c r="K11580" s="61">
        <f t="shared" si="1"/>
        <v>0.5</v>
      </c>
      <c r="L11580" s="62">
        <f t="shared" si="2"/>
        <v>2</v>
      </c>
    </row>
    <row r="11581">
      <c r="A11581" s="58">
        <v>44958.0</v>
      </c>
      <c r="B11581" s="24" t="s">
        <v>6787</v>
      </c>
      <c r="C11581" s="24" t="s">
        <v>6994</v>
      </c>
      <c r="D11581" s="59">
        <v>2.0</v>
      </c>
      <c r="E11581" s="59">
        <v>3.0</v>
      </c>
      <c r="F11581" s="59">
        <v>1.0</v>
      </c>
      <c r="G11581" s="60">
        <v>1.5</v>
      </c>
      <c r="H11581" s="60">
        <v>0.0</v>
      </c>
      <c r="I11581" s="60">
        <v>21.5664216666666</v>
      </c>
      <c r="J11581" s="59">
        <v>6.0</v>
      </c>
      <c r="K11581" s="61">
        <f t="shared" si="1"/>
        <v>0.3333333333</v>
      </c>
      <c r="L11581" s="62">
        <f t="shared" si="2"/>
        <v>2</v>
      </c>
    </row>
    <row r="11582">
      <c r="A11582" s="58">
        <v>44958.0</v>
      </c>
      <c r="B11582" s="24" t="s">
        <v>6794</v>
      </c>
      <c r="C11582" s="24" t="s">
        <v>6994</v>
      </c>
      <c r="D11582" s="59">
        <v>2.0</v>
      </c>
      <c r="E11582" s="59">
        <v>2.0</v>
      </c>
      <c r="F11582" s="59">
        <v>0.0</v>
      </c>
      <c r="G11582" s="60">
        <v>1.0</v>
      </c>
      <c r="H11582" s="60">
        <v>0.0</v>
      </c>
      <c r="I11582" s="60">
        <v>289.8139615</v>
      </c>
      <c r="J11582" s="59">
        <v>4.0</v>
      </c>
      <c r="K11582" s="61">
        <f t="shared" si="1"/>
        <v>0</v>
      </c>
      <c r="L11582" s="62">
        <f t="shared" si="2"/>
        <v>2</v>
      </c>
    </row>
    <row r="11583">
      <c r="A11583" s="58">
        <v>44958.0</v>
      </c>
      <c r="B11583" s="24" t="s">
        <v>6789</v>
      </c>
      <c r="C11583" s="24" t="s">
        <v>7072</v>
      </c>
      <c r="D11583" s="59">
        <v>2.0</v>
      </c>
      <c r="E11583" s="59">
        <v>2.0</v>
      </c>
      <c r="F11583" s="59">
        <v>2.0</v>
      </c>
      <c r="G11583" s="60">
        <v>1.0</v>
      </c>
      <c r="H11583" s="60">
        <v>0.0</v>
      </c>
      <c r="I11583" s="60">
        <v>45.2871015</v>
      </c>
      <c r="J11583" s="59">
        <v>4.0</v>
      </c>
      <c r="K11583" s="61">
        <f t="shared" si="1"/>
        <v>1</v>
      </c>
      <c r="L11583" s="62">
        <f t="shared" si="2"/>
        <v>2</v>
      </c>
    </row>
    <row r="11584">
      <c r="A11584" s="58">
        <v>44958.0</v>
      </c>
      <c r="B11584" s="24" t="s">
        <v>6790</v>
      </c>
      <c r="C11584" s="24" t="s">
        <v>6886</v>
      </c>
      <c r="D11584" s="59">
        <v>2.0</v>
      </c>
      <c r="E11584" s="59">
        <v>2.0</v>
      </c>
      <c r="F11584" s="59">
        <v>0.0</v>
      </c>
      <c r="G11584" s="60">
        <v>1.0</v>
      </c>
      <c r="H11584" s="60">
        <v>0.0</v>
      </c>
      <c r="I11584" s="60">
        <v>1076.91833099999</v>
      </c>
      <c r="J11584" s="59">
        <v>8.0</v>
      </c>
      <c r="K11584" s="61">
        <f t="shared" si="1"/>
        <v>0</v>
      </c>
      <c r="L11584" s="62">
        <f t="shared" si="2"/>
        <v>4</v>
      </c>
    </row>
    <row r="11585">
      <c r="A11585" s="58">
        <v>44958.0</v>
      </c>
      <c r="B11585" s="24" t="s">
        <v>7606</v>
      </c>
      <c r="C11585" s="24" t="s">
        <v>6892</v>
      </c>
      <c r="D11585" s="59">
        <v>2.0</v>
      </c>
      <c r="E11585" s="59">
        <v>3.0</v>
      </c>
      <c r="F11585" s="59">
        <v>2.0</v>
      </c>
      <c r="G11585" s="60">
        <v>1.5</v>
      </c>
      <c r="H11585" s="60">
        <v>0.0</v>
      </c>
      <c r="I11585" s="60">
        <v>6.40794366666666</v>
      </c>
      <c r="J11585" s="59">
        <v>6.0</v>
      </c>
      <c r="K11585" s="61">
        <f t="shared" si="1"/>
        <v>0.6666666667</v>
      </c>
      <c r="L11585" s="62">
        <f t="shared" si="2"/>
        <v>2</v>
      </c>
    </row>
    <row r="11586">
      <c r="A11586" s="58">
        <v>44958.0</v>
      </c>
      <c r="B11586" s="24" t="s">
        <v>3216</v>
      </c>
      <c r="C11586" s="24" t="s">
        <v>6892</v>
      </c>
      <c r="D11586" s="59">
        <v>2.0</v>
      </c>
      <c r="E11586" s="59">
        <v>2.0</v>
      </c>
      <c r="F11586" s="59">
        <v>1.0</v>
      </c>
      <c r="G11586" s="60">
        <v>1.0</v>
      </c>
      <c r="H11586" s="60">
        <v>0.0</v>
      </c>
      <c r="I11586" s="60">
        <v>11.724541</v>
      </c>
      <c r="J11586" s="59">
        <v>6.0</v>
      </c>
      <c r="K11586" s="61">
        <f t="shared" si="1"/>
        <v>0.5</v>
      </c>
      <c r="L11586" s="62">
        <f t="shared" si="2"/>
        <v>3</v>
      </c>
    </row>
    <row r="11587">
      <c r="A11587" s="58">
        <v>44958.0</v>
      </c>
      <c r="B11587" s="24" t="s">
        <v>6789</v>
      </c>
      <c r="C11587" s="24" t="s">
        <v>6904</v>
      </c>
      <c r="D11587" s="59">
        <v>2.0</v>
      </c>
      <c r="E11587" s="59">
        <v>2.0</v>
      </c>
      <c r="F11587" s="59">
        <v>2.0</v>
      </c>
      <c r="G11587" s="60">
        <v>1.0</v>
      </c>
      <c r="H11587" s="60">
        <v>0.0</v>
      </c>
      <c r="I11587" s="60">
        <v>5.169356</v>
      </c>
      <c r="J11587" s="59">
        <v>4.0</v>
      </c>
      <c r="K11587" s="61">
        <f t="shared" si="1"/>
        <v>1</v>
      </c>
      <c r="L11587" s="62">
        <f t="shared" si="2"/>
        <v>2</v>
      </c>
    </row>
    <row r="11588">
      <c r="A11588" s="58">
        <v>44958.0</v>
      </c>
      <c r="B11588" s="24" t="s">
        <v>3216</v>
      </c>
      <c r="C11588" s="24" t="s">
        <v>7624</v>
      </c>
      <c r="D11588" s="59">
        <v>2.0</v>
      </c>
      <c r="E11588" s="59">
        <v>3.0</v>
      </c>
      <c r="F11588" s="59">
        <v>0.0</v>
      </c>
      <c r="G11588" s="60">
        <v>1.5</v>
      </c>
      <c r="H11588" s="60">
        <v>0.0</v>
      </c>
      <c r="I11588" s="60">
        <v>7.23366199999999</v>
      </c>
      <c r="J11588" s="59">
        <v>6.0</v>
      </c>
      <c r="K11588" s="61">
        <f t="shared" si="1"/>
        <v>0</v>
      </c>
      <c r="L11588" s="62">
        <f t="shared" si="2"/>
        <v>2</v>
      </c>
    </row>
    <row r="11589">
      <c r="A11589" s="58">
        <v>44958.0</v>
      </c>
      <c r="B11589" s="24" t="s">
        <v>7100</v>
      </c>
      <c r="C11589" s="24" t="s">
        <v>7624</v>
      </c>
      <c r="D11589" s="59">
        <v>2.0</v>
      </c>
      <c r="E11589" s="59">
        <v>2.0</v>
      </c>
      <c r="F11589" s="59">
        <v>2.0</v>
      </c>
      <c r="G11589" s="60">
        <v>1.0</v>
      </c>
      <c r="H11589" s="60">
        <v>0.0</v>
      </c>
      <c r="I11589" s="60">
        <v>16.9882565</v>
      </c>
      <c r="J11589" s="59">
        <v>6.0</v>
      </c>
      <c r="K11589" s="61">
        <f t="shared" si="1"/>
        <v>1</v>
      </c>
      <c r="L11589" s="62">
        <f t="shared" si="2"/>
        <v>3</v>
      </c>
    </row>
    <row r="11590">
      <c r="A11590" s="58">
        <v>44958.0</v>
      </c>
      <c r="B11590" s="24" t="s">
        <v>6787</v>
      </c>
      <c r="C11590" s="24" t="s">
        <v>7227</v>
      </c>
      <c r="D11590" s="59">
        <v>2.0</v>
      </c>
      <c r="E11590" s="59">
        <v>2.0</v>
      </c>
      <c r="F11590" s="59">
        <v>2.0</v>
      </c>
      <c r="G11590" s="60">
        <v>1.0</v>
      </c>
      <c r="H11590" s="60">
        <v>0.0</v>
      </c>
      <c r="I11590" s="60">
        <v>4.8933</v>
      </c>
      <c r="J11590" s="59">
        <v>4.0</v>
      </c>
      <c r="K11590" s="61">
        <f t="shared" si="1"/>
        <v>1</v>
      </c>
      <c r="L11590" s="62">
        <f t="shared" si="2"/>
        <v>2</v>
      </c>
    </row>
    <row r="11591">
      <c r="A11591" s="58">
        <v>44958.0</v>
      </c>
      <c r="B11591" s="24" t="s">
        <v>6789</v>
      </c>
      <c r="C11591" s="24" t="s">
        <v>7227</v>
      </c>
      <c r="D11591" s="59">
        <v>2.0</v>
      </c>
      <c r="E11591" s="59">
        <v>4.0</v>
      </c>
      <c r="F11591" s="59">
        <v>0.0</v>
      </c>
      <c r="G11591" s="60">
        <v>2.0</v>
      </c>
      <c r="H11591" s="60">
        <v>0.0</v>
      </c>
      <c r="I11591" s="60">
        <v>111.23702275</v>
      </c>
      <c r="J11591" s="59">
        <v>10.0</v>
      </c>
      <c r="K11591" s="61">
        <f t="shared" si="1"/>
        <v>0</v>
      </c>
      <c r="L11591" s="62">
        <f t="shared" si="2"/>
        <v>2.5</v>
      </c>
    </row>
    <row r="11592">
      <c r="A11592" s="58">
        <v>44958.0</v>
      </c>
      <c r="B11592" s="24" t="s">
        <v>6787</v>
      </c>
      <c r="C11592" s="24" t="s">
        <v>6907</v>
      </c>
      <c r="D11592" s="59">
        <v>2.0</v>
      </c>
      <c r="E11592" s="59">
        <v>4.0</v>
      </c>
      <c r="F11592" s="59">
        <v>1.0</v>
      </c>
      <c r="G11592" s="60">
        <v>2.0</v>
      </c>
      <c r="H11592" s="60">
        <v>0.0</v>
      </c>
      <c r="I11592" s="60">
        <v>47.1851195</v>
      </c>
      <c r="J11592" s="59">
        <v>22.0</v>
      </c>
      <c r="K11592" s="61">
        <f t="shared" si="1"/>
        <v>0.25</v>
      </c>
      <c r="L11592" s="62">
        <f t="shared" si="2"/>
        <v>5.5</v>
      </c>
    </row>
    <row r="11593">
      <c r="A11593" s="58">
        <v>44958.0</v>
      </c>
      <c r="B11593" s="24" t="s">
        <v>6789</v>
      </c>
      <c r="C11593" s="24" t="s">
        <v>6907</v>
      </c>
      <c r="D11593" s="59">
        <v>2.0</v>
      </c>
      <c r="E11593" s="59">
        <v>7.0</v>
      </c>
      <c r="F11593" s="59">
        <v>1.0</v>
      </c>
      <c r="G11593" s="60">
        <v>3.5</v>
      </c>
      <c r="H11593" s="60">
        <v>0.0</v>
      </c>
      <c r="I11593" s="60">
        <v>7.10803528571428</v>
      </c>
      <c r="J11593" s="59">
        <v>14.0</v>
      </c>
      <c r="K11593" s="61">
        <f t="shared" si="1"/>
        <v>0.1428571429</v>
      </c>
      <c r="L11593" s="62">
        <f t="shared" si="2"/>
        <v>2</v>
      </c>
    </row>
    <row r="11594">
      <c r="A11594" s="58">
        <v>44958.0</v>
      </c>
      <c r="B11594" s="24" t="s">
        <v>7100</v>
      </c>
      <c r="C11594" s="24" t="s">
        <v>7101</v>
      </c>
      <c r="D11594" s="59">
        <v>2.0</v>
      </c>
      <c r="E11594" s="59">
        <v>2.0</v>
      </c>
      <c r="F11594" s="59">
        <v>2.0</v>
      </c>
      <c r="G11594" s="60">
        <v>1.0</v>
      </c>
      <c r="H11594" s="60">
        <v>0.0</v>
      </c>
      <c r="I11594" s="60">
        <v>5.6722565</v>
      </c>
      <c r="J11594" s="59">
        <v>4.0</v>
      </c>
      <c r="K11594" s="61">
        <f t="shared" si="1"/>
        <v>1</v>
      </c>
      <c r="L11594" s="62">
        <f t="shared" si="2"/>
        <v>2</v>
      </c>
    </row>
    <row r="11595">
      <c r="A11595" s="58">
        <v>44958.0</v>
      </c>
      <c r="B11595" s="24" t="s">
        <v>6794</v>
      </c>
      <c r="C11595" s="24" t="s">
        <v>6908</v>
      </c>
      <c r="D11595" s="59">
        <v>2.0</v>
      </c>
      <c r="E11595" s="59">
        <v>2.0</v>
      </c>
      <c r="F11595" s="59">
        <v>2.0</v>
      </c>
      <c r="G11595" s="60">
        <v>1.0</v>
      </c>
      <c r="H11595" s="60">
        <v>0.0</v>
      </c>
      <c r="I11595" s="60">
        <v>4.44466049999999</v>
      </c>
      <c r="J11595" s="59">
        <v>4.0</v>
      </c>
      <c r="K11595" s="61">
        <f t="shared" si="1"/>
        <v>1</v>
      </c>
      <c r="L11595" s="62">
        <f t="shared" si="2"/>
        <v>2</v>
      </c>
    </row>
    <row r="11596">
      <c r="A11596" s="58">
        <v>44958.0</v>
      </c>
      <c r="B11596" s="24" t="s">
        <v>155</v>
      </c>
      <c r="C11596" s="24" t="s">
        <v>7313</v>
      </c>
      <c r="D11596" s="59">
        <v>2.0</v>
      </c>
      <c r="E11596" s="59">
        <v>2.0</v>
      </c>
      <c r="F11596" s="59">
        <v>0.0</v>
      </c>
      <c r="G11596" s="60">
        <v>1.0</v>
      </c>
      <c r="H11596" s="60">
        <v>0.0</v>
      </c>
      <c r="I11596" s="60">
        <v>132.478528999999</v>
      </c>
      <c r="J11596" s="59">
        <v>8.0</v>
      </c>
      <c r="K11596" s="61">
        <f t="shared" si="1"/>
        <v>0</v>
      </c>
      <c r="L11596" s="62">
        <f t="shared" si="2"/>
        <v>4</v>
      </c>
    </row>
    <row r="11597">
      <c r="A11597" s="58">
        <v>44958.0</v>
      </c>
      <c r="B11597" s="24" t="s">
        <v>155</v>
      </c>
      <c r="C11597" s="24" t="s">
        <v>7102</v>
      </c>
      <c r="D11597" s="59">
        <v>2.0</v>
      </c>
      <c r="E11597" s="59">
        <v>3.0</v>
      </c>
      <c r="F11597" s="59">
        <v>0.0</v>
      </c>
      <c r="G11597" s="60">
        <v>1.5</v>
      </c>
      <c r="H11597" s="60">
        <v>0.0</v>
      </c>
      <c r="I11597" s="60">
        <v>605.485429333333</v>
      </c>
      <c r="J11597" s="59">
        <v>16.0</v>
      </c>
      <c r="K11597" s="61">
        <f t="shared" si="1"/>
        <v>0</v>
      </c>
      <c r="L11597" s="62">
        <f t="shared" si="2"/>
        <v>5.333333333</v>
      </c>
    </row>
    <row r="11598">
      <c r="A11598" s="58">
        <v>44958.0</v>
      </c>
      <c r="B11598" s="24" t="s">
        <v>6794</v>
      </c>
      <c r="C11598" s="24" t="s">
        <v>7559</v>
      </c>
      <c r="D11598" s="59">
        <v>2.0</v>
      </c>
      <c r="E11598" s="59">
        <v>2.0</v>
      </c>
      <c r="F11598" s="59">
        <v>2.0</v>
      </c>
      <c r="G11598" s="60">
        <v>1.0</v>
      </c>
      <c r="H11598" s="60">
        <v>1.0</v>
      </c>
      <c r="I11598" s="60">
        <v>0.0</v>
      </c>
      <c r="J11598" s="59">
        <v>2.0</v>
      </c>
      <c r="K11598" s="61">
        <f t="shared" si="1"/>
        <v>1</v>
      </c>
      <c r="L11598" s="62">
        <f t="shared" si="2"/>
        <v>1</v>
      </c>
    </row>
    <row r="11599">
      <c r="A11599" s="58">
        <v>44958.0</v>
      </c>
      <c r="B11599" s="24" t="s">
        <v>6790</v>
      </c>
      <c r="C11599" s="24" t="s">
        <v>7180</v>
      </c>
      <c r="D11599" s="59">
        <v>2.0</v>
      </c>
      <c r="E11599" s="59">
        <v>2.0</v>
      </c>
      <c r="F11599" s="59">
        <v>0.0</v>
      </c>
      <c r="G11599" s="60">
        <v>1.0</v>
      </c>
      <c r="H11599" s="60">
        <v>0.5</v>
      </c>
      <c r="I11599" s="60">
        <v>310.04815</v>
      </c>
      <c r="J11599" s="59">
        <v>6.0</v>
      </c>
      <c r="K11599" s="61">
        <f t="shared" si="1"/>
        <v>0</v>
      </c>
      <c r="L11599" s="62">
        <f t="shared" si="2"/>
        <v>3</v>
      </c>
    </row>
    <row r="11600">
      <c r="A11600" s="58">
        <v>44958.0</v>
      </c>
      <c r="B11600" s="24" t="s">
        <v>7100</v>
      </c>
      <c r="C11600" s="24" t="s">
        <v>6797</v>
      </c>
      <c r="D11600" s="59">
        <v>2.0</v>
      </c>
      <c r="E11600" s="59">
        <v>2.0</v>
      </c>
      <c r="F11600" s="59">
        <v>1.0</v>
      </c>
      <c r="G11600" s="60">
        <v>1.0</v>
      </c>
      <c r="H11600" s="60">
        <v>0.0</v>
      </c>
      <c r="I11600" s="60">
        <v>2.5140395</v>
      </c>
      <c r="J11600" s="59">
        <v>4.0</v>
      </c>
      <c r="K11600" s="61">
        <f t="shared" si="1"/>
        <v>0.5</v>
      </c>
      <c r="L11600" s="62">
        <f t="shared" si="2"/>
        <v>2</v>
      </c>
    </row>
    <row r="11601">
      <c r="A11601" s="58">
        <v>44958.0</v>
      </c>
      <c r="B11601" s="24" t="s">
        <v>6787</v>
      </c>
      <c r="C11601" s="24" t="s">
        <v>6810</v>
      </c>
      <c r="D11601" s="59">
        <v>2.0</v>
      </c>
      <c r="E11601" s="59">
        <v>2.0</v>
      </c>
      <c r="F11601" s="59">
        <v>1.0</v>
      </c>
      <c r="G11601" s="60">
        <v>1.0</v>
      </c>
      <c r="H11601" s="60">
        <v>0.0</v>
      </c>
      <c r="I11601" s="60">
        <v>4.83231999999999</v>
      </c>
      <c r="J11601" s="59">
        <v>4.0</v>
      </c>
      <c r="K11601" s="61">
        <f t="shared" si="1"/>
        <v>0.5</v>
      </c>
      <c r="L11601" s="62">
        <f t="shared" si="2"/>
        <v>2</v>
      </c>
    </row>
    <row r="11602">
      <c r="A11602" s="58">
        <v>44958.0</v>
      </c>
      <c r="B11602" s="24" t="s">
        <v>6789</v>
      </c>
      <c r="C11602" s="24" t="s">
        <v>7508</v>
      </c>
      <c r="D11602" s="59">
        <v>2.0</v>
      </c>
      <c r="E11602" s="59">
        <v>3.0</v>
      </c>
      <c r="F11602" s="59">
        <v>0.0</v>
      </c>
      <c r="G11602" s="60">
        <v>1.5</v>
      </c>
      <c r="H11602" s="60">
        <v>0.0</v>
      </c>
      <c r="I11602" s="60">
        <v>941.169066999999</v>
      </c>
      <c r="J11602" s="59">
        <v>36.0</v>
      </c>
      <c r="K11602" s="61">
        <f t="shared" si="1"/>
        <v>0</v>
      </c>
      <c r="L11602" s="62">
        <f t="shared" si="2"/>
        <v>12</v>
      </c>
    </row>
    <row r="11603">
      <c r="A11603" s="58">
        <v>44958.0</v>
      </c>
      <c r="B11603" s="24" t="s">
        <v>155</v>
      </c>
      <c r="C11603" s="24" t="s">
        <v>6802</v>
      </c>
      <c r="D11603" s="59">
        <v>2.0</v>
      </c>
      <c r="E11603" s="59">
        <v>2.0</v>
      </c>
      <c r="F11603" s="59">
        <v>0.0</v>
      </c>
      <c r="G11603" s="60">
        <v>1.0</v>
      </c>
      <c r="H11603" s="60">
        <v>0.0</v>
      </c>
      <c r="I11603" s="60">
        <v>540.9777495</v>
      </c>
      <c r="J11603" s="59">
        <v>32.0</v>
      </c>
      <c r="K11603" s="61">
        <f t="shared" si="1"/>
        <v>0</v>
      </c>
      <c r="L11603" s="62">
        <f t="shared" si="2"/>
        <v>16</v>
      </c>
    </row>
    <row r="11604">
      <c r="A11604" s="58">
        <v>44958.0</v>
      </c>
      <c r="B11604" s="24" t="s">
        <v>6942</v>
      </c>
      <c r="C11604" s="27"/>
      <c r="D11604" s="59">
        <v>1.0</v>
      </c>
      <c r="E11604" s="59">
        <v>1.0</v>
      </c>
      <c r="F11604" s="59">
        <v>1.0</v>
      </c>
      <c r="G11604" s="60">
        <v>1.0</v>
      </c>
      <c r="H11604" s="60">
        <v>0.0</v>
      </c>
      <c r="I11604" s="60">
        <v>290.531365</v>
      </c>
      <c r="J11604" s="59">
        <v>4.0</v>
      </c>
      <c r="K11604" s="61">
        <f t="shared" si="1"/>
        <v>1</v>
      </c>
      <c r="L11604" s="62">
        <f t="shared" si="2"/>
        <v>4</v>
      </c>
    </row>
    <row r="11605">
      <c r="A11605" s="58">
        <v>44958.0</v>
      </c>
      <c r="B11605" s="24" t="s">
        <v>6791</v>
      </c>
      <c r="C11605" s="27"/>
      <c r="D11605" s="59">
        <v>1.0</v>
      </c>
      <c r="E11605" s="59">
        <v>3.0</v>
      </c>
      <c r="F11605" s="59">
        <v>0.0</v>
      </c>
      <c r="G11605" s="60">
        <v>3.0</v>
      </c>
      <c r="H11605" s="60">
        <v>0.0</v>
      </c>
      <c r="I11605" s="60">
        <v>119.489064</v>
      </c>
      <c r="J11605" s="59">
        <v>6.0</v>
      </c>
      <c r="K11605" s="61">
        <f t="shared" si="1"/>
        <v>0</v>
      </c>
      <c r="L11605" s="62">
        <f t="shared" si="2"/>
        <v>2</v>
      </c>
    </row>
    <row r="11606">
      <c r="A11606" s="58">
        <v>44958.0</v>
      </c>
      <c r="B11606" s="24" t="s">
        <v>6787</v>
      </c>
      <c r="C11606" s="24" t="s">
        <v>6965</v>
      </c>
      <c r="D11606" s="59">
        <v>1.0</v>
      </c>
      <c r="E11606" s="59">
        <v>1.0</v>
      </c>
      <c r="F11606" s="59">
        <v>1.0</v>
      </c>
      <c r="G11606" s="60">
        <v>1.0</v>
      </c>
      <c r="H11606" s="60">
        <v>0.0</v>
      </c>
      <c r="I11606" s="60">
        <v>30.163953</v>
      </c>
      <c r="J11606" s="59">
        <v>1.0</v>
      </c>
      <c r="K11606" s="61">
        <f t="shared" si="1"/>
        <v>1</v>
      </c>
      <c r="L11606" s="62">
        <f t="shared" si="2"/>
        <v>1</v>
      </c>
    </row>
    <row r="11607">
      <c r="A11607" s="58">
        <v>44958.0</v>
      </c>
      <c r="B11607" s="24" t="s">
        <v>155</v>
      </c>
      <c r="C11607" s="24" t="s">
        <v>6803</v>
      </c>
      <c r="D11607" s="59">
        <v>1.0</v>
      </c>
      <c r="E11607" s="59">
        <v>3.0</v>
      </c>
      <c r="F11607" s="59">
        <v>0.0</v>
      </c>
      <c r="G11607" s="60">
        <v>3.0</v>
      </c>
      <c r="H11607" s="60">
        <v>0.0</v>
      </c>
      <c r="I11607" s="60">
        <v>396.476246666666</v>
      </c>
      <c r="J11607" s="59">
        <v>12.0</v>
      </c>
      <c r="K11607" s="61">
        <f t="shared" si="1"/>
        <v>0</v>
      </c>
      <c r="L11607" s="62">
        <f t="shared" si="2"/>
        <v>4</v>
      </c>
    </row>
    <row r="11608">
      <c r="A11608" s="58">
        <v>44958.0</v>
      </c>
      <c r="B11608" s="24" t="s">
        <v>6789</v>
      </c>
      <c r="C11608" s="24" t="s">
        <v>7564</v>
      </c>
      <c r="D11608" s="59">
        <v>1.0</v>
      </c>
      <c r="E11608" s="59">
        <v>1.0</v>
      </c>
      <c r="F11608" s="59">
        <v>0.0</v>
      </c>
      <c r="G11608" s="60">
        <v>1.0</v>
      </c>
      <c r="H11608" s="60">
        <v>0.0</v>
      </c>
      <c r="I11608" s="60">
        <v>0.005967</v>
      </c>
      <c r="J11608" s="59">
        <v>2.0</v>
      </c>
      <c r="K11608" s="61">
        <f t="shared" si="1"/>
        <v>0</v>
      </c>
      <c r="L11608" s="62">
        <f t="shared" si="2"/>
        <v>2</v>
      </c>
    </row>
    <row r="11609">
      <c r="A11609" s="58">
        <v>44958.0</v>
      </c>
      <c r="B11609" s="24" t="s">
        <v>3216</v>
      </c>
      <c r="C11609" s="24" t="s">
        <v>6861</v>
      </c>
      <c r="D11609" s="59">
        <v>1.0</v>
      </c>
      <c r="E11609" s="59">
        <v>1.0</v>
      </c>
      <c r="F11609" s="59">
        <v>1.0</v>
      </c>
      <c r="G11609" s="60">
        <v>1.0</v>
      </c>
      <c r="H11609" s="60">
        <v>1.0</v>
      </c>
      <c r="I11609" s="60">
        <v>0.0</v>
      </c>
      <c r="J11609" s="59">
        <v>1.0</v>
      </c>
      <c r="K11609" s="61">
        <f t="shared" si="1"/>
        <v>1</v>
      </c>
      <c r="L11609" s="62">
        <f t="shared" si="2"/>
        <v>1</v>
      </c>
    </row>
    <row r="11610">
      <c r="A11610" s="58">
        <v>44958.0</v>
      </c>
      <c r="B11610" s="24" t="s">
        <v>6787</v>
      </c>
      <c r="C11610" s="24" t="s">
        <v>6833</v>
      </c>
      <c r="D11610" s="59">
        <v>1.0</v>
      </c>
      <c r="E11610" s="59">
        <v>1.0</v>
      </c>
      <c r="F11610" s="59">
        <v>1.0</v>
      </c>
      <c r="G11610" s="60">
        <v>1.0</v>
      </c>
      <c r="H11610" s="60">
        <v>0.0</v>
      </c>
      <c r="I11610" s="60">
        <v>41.721669</v>
      </c>
      <c r="J11610" s="59">
        <v>4.0</v>
      </c>
      <c r="K11610" s="61">
        <f t="shared" si="1"/>
        <v>1</v>
      </c>
      <c r="L11610" s="62">
        <f t="shared" si="2"/>
        <v>4</v>
      </c>
    </row>
    <row r="11611">
      <c r="A11611" s="58">
        <v>44958.0</v>
      </c>
      <c r="B11611" s="24" t="s">
        <v>6789</v>
      </c>
      <c r="C11611" s="24" t="s">
        <v>6833</v>
      </c>
      <c r="D11611" s="59">
        <v>1.0</v>
      </c>
      <c r="E11611" s="59">
        <v>2.0</v>
      </c>
      <c r="F11611" s="59">
        <v>0.0</v>
      </c>
      <c r="G11611" s="60">
        <v>2.0</v>
      </c>
      <c r="H11611" s="60">
        <v>0.0</v>
      </c>
      <c r="I11611" s="60">
        <v>5.687419</v>
      </c>
      <c r="J11611" s="59">
        <v>6.0</v>
      </c>
      <c r="K11611" s="61">
        <f t="shared" si="1"/>
        <v>0</v>
      </c>
      <c r="L11611" s="62">
        <f t="shared" si="2"/>
        <v>3</v>
      </c>
    </row>
    <row r="11612">
      <c r="A11612" s="58">
        <v>44958.0</v>
      </c>
      <c r="B11612" s="24" t="s">
        <v>6787</v>
      </c>
      <c r="C11612" s="24" t="s">
        <v>7065</v>
      </c>
      <c r="D11612" s="59">
        <v>1.0</v>
      </c>
      <c r="E11612" s="59">
        <v>1.0</v>
      </c>
      <c r="F11612" s="59">
        <v>0.0</v>
      </c>
      <c r="G11612" s="60">
        <v>1.0</v>
      </c>
      <c r="H11612" s="60">
        <v>0.0</v>
      </c>
      <c r="I11612" s="60">
        <v>102.589122</v>
      </c>
      <c r="J11612" s="59">
        <v>4.0</v>
      </c>
      <c r="K11612" s="61">
        <f t="shared" si="1"/>
        <v>0</v>
      </c>
      <c r="L11612" s="62">
        <f t="shared" si="2"/>
        <v>4</v>
      </c>
    </row>
    <row r="11613">
      <c r="A11613" s="58">
        <v>44958.0</v>
      </c>
      <c r="B11613" s="24" t="s">
        <v>7100</v>
      </c>
      <c r="C11613" s="24" t="s">
        <v>7065</v>
      </c>
      <c r="D11613" s="59">
        <v>1.0</v>
      </c>
      <c r="E11613" s="59">
        <v>1.0</v>
      </c>
      <c r="F11613" s="59">
        <v>1.0</v>
      </c>
      <c r="G11613" s="60">
        <v>1.0</v>
      </c>
      <c r="H11613" s="60">
        <v>0.0</v>
      </c>
      <c r="I11613" s="60">
        <v>4.960198</v>
      </c>
      <c r="J11613" s="59">
        <v>2.0</v>
      </c>
      <c r="K11613" s="61">
        <f t="shared" si="1"/>
        <v>1</v>
      </c>
      <c r="L11613" s="62">
        <f t="shared" si="2"/>
        <v>2</v>
      </c>
    </row>
    <row r="11614">
      <c r="A11614" s="58">
        <v>44958.0</v>
      </c>
      <c r="B11614" s="24" t="s">
        <v>6794</v>
      </c>
      <c r="C11614" s="24" t="s">
        <v>6989</v>
      </c>
      <c r="D11614" s="59">
        <v>1.0</v>
      </c>
      <c r="E11614" s="59">
        <v>1.0</v>
      </c>
      <c r="F11614" s="59">
        <v>0.0</v>
      </c>
      <c r="G11614" s="60">
        <v>1.0</v>
      </c>
      <c r="H11614" s="60">
        <v>0.0</v>
      </c>
      <c r="I11614" s="60">
        <v>14.415878</v>
      </c>
      <c r="J11614" s="59">
        <v>2.0</v>
      </c>
      <c r="K11614" s="61">
        <f t="shared" si="1"/>
        <v>0</v>
      </c>
      <c r="L11614" s="62">
        <f t="shared" si="2"/>
        <v>2</v>
      </c>
    </row>
    <row r="11615">
      <c r="A11615" s="58">
        <v>44958.0</v>
      </c>
      <c r="B11615" s="24" t="s">
        <v>6790</v>
      </c>
      <c r="C11615" s="24" t="s">
        <v>6989</v>
      </c>
      <c r="D11615" s="59">
        <v>1.0</v>
      </c>
      <c r="E11615" s="59">
        <v>1.0</v>
      </c>
      <c r="F11615" s="59">
        <v>0.0</v>
      </c>
      <c r="G11615" s="60">
        <v>1.0</v>
      </c>
      <c r="H11615" s="60">
        <v>0.0</v>
      </c>
      <c r="I11615" s="60">
        <v>335.07381</v>
      </c>
      <c r="J11615" s="59">
        <v>2.0</v>
      </c>
      <c r="K11615" s="61">
        <f t="shared" si="1"/>
        <v>0</v>
      </c>
      <c r="L11615" s="62">
        <f t="shared" si="2"/>
        <v>2</v>
      </c>
    </row>
    <row r="11616">
      <c r="A11616" s="58">
        <v>44958.0</v>
      </c>
      <c r="B11616" s="24" t="s">
        <v>155</v>
      </c>
      <c r="C11616" s="24" t="s">
        <v>6990</v>
      </c>
      <c r="D11616" s="59">
        <v>1.0</v>
      </c>
      <c r="E11616" s="59">
        <v>1.0</v>
      </c>
      <c r="F11616" s="59">
        <v>0.0</v>
      </c>
      <c r="G11616" s="60">
        <v>1.0</v>
      </c>
      <c r="H11616" s="60">
        <v>0.0</v>
      </c>
      <c r="I11616" s="60">
        <v>499.040566</v>
      </c>
      <c r="J11616" s="59">
        <v>4.0</v>
      </c>
      <c r="K11616" s="61">
        <f t="shared" si="1"/>
        <v>0</v>
      </c>
      <c r="L11616" s="62">
        <f t="shared" si="2"/>
        <v>4</v>
      </c>
    </row>
    <row r="11617">
      <c r="A11617" s="58">
        <v>44958.0</v>
      </c>
      <c r="B11617" s="24" t="s">
        <v>6790</v>
      </c>
      <c r="C11617" s="24" t="s">
        <v>6990</v>
      </c>
      <c r="D11617" s="59">
        <v>1.0</v>
      </c>
      <c r="E11617" s="59">
        <v>1.0</v>
      </c>
      <c r="F11617" s="59">
        <v>0.0</v>
      </c>
      <c r="G11617" s="60">
        <v>1.0</v>
      </c>
      <c r="H11617" s="60">
        <v>0.0</v>
      </c>
      <c r="I11617" s="60">
        <v>27.648102</v>
      </c>
      <c r="J11617" s="59">
        <v>4.0</v>
      </c>
      <c r="K11617" s="61">
        <f t="shared" si="1"/>
        <v>0</v>
      </c>
      <c r="L11617" s="62">
        <f t="shared" si="2"/>
        <v>4</v>
      </c>
    </row>
    <row r="11618">
      <c r="A11618" s="58">
        <v>44958.0</v>
      </c>
      <c r="B11618" s="24" t="s">
        <v>6794</v>
      </c>
      <c r="C11618" s="24" t="s">
        <v>7067</v>
      </c>
      <c r="D11618" s="59">
        <v>1.0</v>
      </c>
      <c r="E11618" s="59">
        <v>1.0</v>
      </c>
      <c r="F11618" s="59">
        <v>1.0</v>
      </c>
      <c r="G11618" s="60">
        <v>1.0</v>
      </c>
      <c r="H11618" s="60">
        <v>0.0</v>
      </c>
      <c r="I11618" s="60">
        <v>5.217635</v>
      </c>
      <c r="J11618" s="59">
        <v>3.0</v>
      </c>
      <c r="K11618" s="61">
        <f t="shared" si="1"/>
        <v>1</v>
      </c>
      <c r="L11618" s="62">
        <f t="shared" si="2"/>
        <v>3</v>
      </c>
    </row>
    <row r="11619">
      <c r="A11619" s="58">
        <v>44958.0</v>
      </c>
      <c r="B11619" s="24" t="s">
        <v>6787</v>
      </c>
      <c r="C11619" s="24" t="s">
        <v>6835</v>
      </c>
      <c r="D11619" s="59">
        <v>1.0</v>
      </c>
      <c r="E11619" s="59">
        <v>1.0</v>
      </c>
      <c r="F11619" s="59">
        <v>1.0</v>
      </c>
      <c r="G11619" s="60">
        <v>1.0</v>
      </c>
      <c r="H11619" s="60">
        <v>0.0</v>
      </c>
      <c r="I11619" s="60">
        <v>192.046571</v>
      </c>
      <c r="J11619" s="59">
        <v>2.0</v>
      </c>
      <c r="K11619" s="61">
        <f t="shared" si="1"/>
        <v>1</v>
      </c>
      <c r="L11619" s="62">
        <f t="shared" si="2"/>
        <v>2</v>
      </c>
    </row>
    <row r="11620">
      <c r="A11620" s="58">
        <v>44958.0</v>
      </c>
      <c r="B11620" s="24" t="s">
        <v>6794</v>
      </c>
      <c r="C11620" s="24" t="s">
        <v>7074</v>
      </c>
      <c r="D11620" s="59">
        <v>1.0</v>
      </c>
      <c r="E11620" s="59">
        <v>1.0</v>
      </c>
      <c r="F11620" s="59">
        <v>1.0</v>
      </c>
      <c r="G11620" s="60">
        <v>1.0</v>
      </c>
      <c r="H11620" s="60">
        <v>0.0</v>
      </c>
      <c r="I11620" s="60">
        <v>1607.033033</v>
      </c>
      <c r="J11620" s="59">
        <v>2.0</v>
      </c>
      <c r="K11620" s="61">
        <f t="shared" si="1"/>
        <v>1</v>
      </c>
      <c r="L11620" s="62">
        <f t="shared" si="2"/>
        <v>2</v>
      </c>
    </row>
    <row r="11621">
      <c r="A11621" s="58">
        <v>44958.0</v>
      </c>
      <c r="B11621" s="24" t="s">
        <v>6791</v>
      </c>
      <c r="C11621" s="24" t="s">
        <v>6886</v>
      </c>
      <c r="D11621" s="59">
        <v>1.0</v>
      </c>
      <c r="E11621" s="59">
        <v>1.0</v>
      </c>
      <c r="F11621" s="59">
        <v>1.0</v>
      </c>
      <c r="G11621" s="60">
        <v>1.0</v>
      </c>
      <c r="H11621" s="60">
        <v>0.0</v>
      </c>
      <c r="I11621" s="60">
        <v>12.138231</v>
      </c>
      <c r="J11621" s="59">
        <v>2.0</v>
      </c>
      <c r="K11621" s="61">
        <f t="shared" si="1"/>
        <v>1</v>
      </c>
      <c r="L11621" s="62">
        <f t="shared" si="2"/>
        <v>2</v>
      </c>
    </row>
    <row r="11622">
      <c r="A11622" s="58">
        <v>44958.0</v>
      </c>
      <c r="B11622" s="24" t="s">
        <v>7100</v>
      </c>
      <c r="C11622" s="24" t="s">
        <v>6886</v>
      </c>
      <c r="D11622" s="59">
        <v>1.0</v>
      </c>
      <c r="E11622" s="59">
        <v>1.0</v>
      </c>
      <c r="F11622" s="59">
        <v>0.0</v>
      </c>
      <c r="G11622" s="60">
        <v>1.0</v>
      </c>
      <c r="H11622" s="60">
        <v>0.0</v>
      </c>
      <c r="I11622" s="60">
        <v>6.714686</v>
      </c>
      <c r="J11622" s="59">
        <v>4.0</v>
      </c>
      <c r="K11622" s="61">
        <f t="shared" si="1"/>
        <v>0</v>
      </c>
      <c r="L11622" s="62">
        <f t="shared" si="2"/>
        <v>4</v>
      </c>
    </row>
    <row r="11623">
      <c r="A11623" s="58">
        <v>44958.0</v>
      </c>
      <c r="B11623" s="24" t="s">
        <v>155</v>
      </c>
      <c r="C11623" s="24" t="s">
        <v>6886</v>
      </c>
      <c r="D11623" s="59">
        <v>1.0</v>
      </c>
      <c r="E11623" s="59">
        <v>1.0</v>
      </c>
      <c r="F11623" s="59">
        <v>0.0</v>
      </c>
      <c r="G11623" s="60">
        <v>1.0</v>
      </c>
      <c r="H11623" s="60">
        <v>0.0</v>
      </c>
      <c r="I11623" s="60">
        <v>4.975615</v>
      </c>
      <c r="J11623" s="59">
        <v>2.0</v>
      </c>
      <c r="K11623" s="61">
        <f t="shared" si="1"/>
        <v>0</v>
      </c>
      <c r="L11623" s="62">
        <f t="shared" si="2"/>
        <v>2</v>
      </c>
    </row>
    <row r="11624">
      <c r="A11624" s="58">
        <v>44958.0</v>
      </c>
      <c r="B11624" s="24" t="s">
        <v>6787</v>
      </c>
      <c r="C11624" s="24" t="s">
        <v>7511</v>
      </c>
      <c r="D11624" s="59">
        <v>1.0</v>
      </c>
      <c r="E11624" s="59">
        <v>3.0</v>
      </c>
      <c r="F11624" s="59">
        <v>0.0</v>
      </c>
      <c r="G11624" s="60">
        <v>3.0</v>
      </c>
      <c r="H11624" s="60">
        <v>0.0</v>
      </c>
      <c r="I11624" s="60">
        <v>659.89601</v>
      </c>
      <c r="J11624" s="59">
        <v>24.0</v>
      </c>
      <c r="K11624" s="61">
        <f t="shared" si="1"/>
        <v>0</v>
      </c>
      <c r="L11624" s="62">
        <f t="shared" si="2"/>
        <v>8</v>
      </c>
    </row>
    <row r="11625">
      <c r="A11625" s="58">
        <v>44958.0</v>
      </c>
      <c r="B11625" s="24" t="s">
        <v>6794</v>
      </c>
      <c r="C11625" s="24" t="s">
        <v>6799</v>
      </c>
      <c r="D11625" s="59">
        <v>1.0</v>
      </c>
      <c r="E11625" s="59">
        <v>2.0</v>
      </c>
      <c r="F11625" s="59">
        <v>0.0</v>
      </c>
      <c r="G11625" s="60">
        <v>2.0</v>
      </c>
      <c r="H11625" s="60">
        <v>0.0</v>
      </c>
      <c r="I11625" s="60">
        <v>3.6235</v>
      </c>
      <c r="J11625" s="59">
        <v>4.0</v>
      </c>
      <c r="K11625" s="61">
        <f t="shared" si="1"/>
        <v>0</v>
      </c>
      <c r="L11625" s="62">
        <f t="shared" si="2"/>
        <v>2</v>
      </c>
    </row>
    <row r="11626">
      <c r="A11626" s="58">
        <v>44958.0</v>
      </c>
      <c r="B11626" s="24" t="s">
        <v>6794</v>
      </c>
      <c r="C11626" s="24" t="s">
        <v>6892</v>
      </c>
      <c r="D11626" s="59">
        <v>1.0</v>
      </c>
      <c r="E11626" s="59">
        <v>2.0</v>
      </c>
      <c r="F11626" s="59">
        <v>0.0</v>
      </c>
      <c r="G11626" s="60">
        <v>2.0</v>
      </c>
      <c r="H11626" s="60">
        <v>0.0</v>
      </c>
      <c r="I11626" s="60">
        <v>1329.792237</v>
      </c>
      <c r="J11626" s="59">
        <v>9.0</v>
      </c>
      <c r="K11626" s="61">
        <f t="shared" si="1"/>
        <v>0</v>
      </c>
      <c r="L11626" s="62">
        <f t="shared" si="2"/>
        <v>4.5</v>
      </c>
    </row>
    <row r="11627">
      <c r="A11627" s="58">
        <v>44958.0</v>
      </c>
      <c r="B11627" s="24" t="s">
        <v>6787</v>
      </c>
      <c r="C11627" s="24" t="s">
        <v>6896</v>
      </c>
      <c r="D11627" s="59">
        <v>1.0</v>
      </c>
      <c r="E11627" s="59">
        <v>4.0</v>
      </c>
      <c r="F11627" s="59">
        <v>1.0</v>
      </c>
      <c r="G11627" s="60">
        <v>4.0</v>
      </c>
      <c r="H11627" s="60">
        <v>0.0</v>
      </c>
      <c r="I11627" s="60">
        <v>334.23799625</v>
      </c>
      <c r="J11627" s="59">
        <v>12.0</v>
      </c>
      <c r="K11627" s="61">
        <f t="shared" si="1"/>
        <v>0.25</v>
      </c>
      <c r="L11627" s="62">
        <f t="shared" si="2"/>
        <v>3</v>
      </c>
    </row>
    <row r="11628">
      <c r="A11628" s="58">
        <v>44958.0</v>
      </c>
      <c r="B11628" s="24" t="s">
        <v>7100</v>
      </c>
      <c r="C11628" s="24" t="s">
        <v>7662</v>
      </c>
      <c r="D11628" s="59">
        <v>1.0</v>
      </c>
      <c r="E11628" s="59">
        <v>1.0</v>
      </c>
      <c r="F11628" s="59">
        <v>0.0</v>
      </c>
      <c r="G11628" s="60">
        <v>1.0</v>
      </c>
      <c r="H11628" s="60">
        <v>0.0</v>
      </c>
      <c r="I11628" s="60">
        <v>1379.921311</v>
      </c>
      <c r="J11628" s="59">
        <v>8.0</v>
      </c>
      <c r="K11628" s="61">
        <f t="shared" si="1"/>
        <v>0</v>
      </c>
      <c r="L11628" s="62">
        <f t="shared" si="2"/>
        <v>8</v>
      </c>
    </row>
    <row r="11629">
      <c r="A11629" s="58">
        <v>44958.0</v>
      </c>
      <c r="B11629" s="24" t="s">
        <v>155</v>
      </c>
      <c r="C11629" s="24" t="s">
        <v>7663</v>
      </c>
      <c r="D11629" s="59">
        <v>1.0</v>
      </c>
      <c r="E11629" s="59">
        <v>1.0</v>
      </c>
      <c r="F11629" s="59">
        <v>0.0</v>
      </c>
      <c r="G11629" s="60">
        <v>1.0</v>
      </c>
      <c r="H11629" s="60">
        <v>0.0</v>
      </c>
      <c r="I11629" s="60">
        <v>44.575168</v>
      </c>
      <c r="J11629" s="59">
        <v>4.0</v>
      </c>
      <c r="K11629" s="61">
        <f t="shared" si="1"/>
        <v>0</v>
      </c>
      <c r="L11629" s="62">
        <f t="shared" si="2"/>
        <v>4</v>
      </c>
    </row>
    <row r="11630">
      <c r="A11630" s="58">
        <v>44958.0</v>
      </c>
      <c r="B11630" s="24" t="s">
        <v>6787</v>
      </c>
      <c r="C11630" s="24" t="s">
        <v>7401</v>
      </c>
      <c r="D11630" s="59">
        <v>1.0</v>
      </c>
      <c r="E11630" s="59">
        <v>1.0</v>
      </c>
      <c r="F11630" s="59">
        <v>1.0</v>
      </c>
      <c r="G11630" s="60">
        <v>1.0</v>
      </c>
      <c r="H11630" s="60">
        <v>0.0</v>
      </c>
      <c r="I11630" s="60">
        <v>1.11442</v>
      </c>
      <c r="J11630" s="59">
        <v>2.0</v>
      </c>
      <c r="K11630" s="61">
        <f t="shared" si="1"/>
        <v>1</v>
      </c>
      <c r="L11630" s="62">
        <f t="shared" si="2"/>
        <v>2</v>
      </c>
    </row>
    <row r="11631">
      <c r="A11631" s="58">
        <v>44958.0</v>
      </c>
      <c r="B11631" s="24" t="s">
        <v>6787</v>
      </c>
      <c r="C11631" s="24" t="s">
        <v>6904</v>
      </c>
      <c r="D11631" s="59">
        <v>1.0</v>
      </c>
      <c r="E11631" s="59">
        <v>1.0</v>
      </c>
      <c r="F11631" s="59">
        <v>1.0</v>
      </c>
      <c r="G11631" s="60">
        <v>1.0</v>
      </c>
      <c r="H11631" s="60">
        <v>0.0</v>
      </c>
      <c r="I11631" s="60">
        <v>4.936555</v>
      </c>
      <c r="J11631" s="59">
        <v>2.0</v>
      </c>
      <c r="K11631" s="61">
        <f t="shared" si="1"/>
        <v>1</v>
      </c>
      <c r="L11631" s="62">
        <f t="shared" si="2"/>
        <v>2</v>
      </c>
    </row>
    <row r="11632">
      <c r="A11632" s="58">
        <v>44958.0</v>
      </c>
      <c r="B11632" s="24" t="s">
        <v>6787</v>
      </c>
      <c r="C11632" s="24" t="s">
        <v>6905</v>
      </c>
      <c r="D11632" s="59">
        <v>1.0</v>
      </c>
      <c r="E11632" s="59">
        <v>1.0</v>
      </c>
      <c r="F11632" s="59">
        <v>1.0</v>
      </c>
      <c r="G11632" s="60">
        <v>1.0</v>
      </c>
      <c r="H11632" s="60">
        <v>0.0</v>
      </c>
      <c r="I11632" s="60">
        <v>3.832021</v>
      </c>
      <c r="J11632" s="59">
        <v>2.0</v>
      </c>
      <c r="K11632" s="61">
        <f t="shared" si="1"/>
        <v>1</v>
      </c>
      <c r="L11632" s="62">
        <f t="shared" si="2"/>
        <v>2</v>
      </c>
    </row>
    <row r="11633">
      <c r="A11633" s="58">
        <v>44958.0</v>
      </c>
      <c r="B11633" s="24" t="s">
        <v>3216</v>
      </c>
      <c r="C11633" s="24" t="s">
        <v>6905</v>
      </c>
      <c r="D11633" s="59">
        <v>1.0</v>
      </c>
      <c r="E11633" s="59">
        <v>3.0</v>
      </c>
      <c r="F11633" s="59">
        <v>0.0</v>
      </c>
      <c r="G11633" s="60">
        <v>3.0</v>
      </c>
      <c r="H11633" s="60">
        <v>0.0</v>
      </c>
      <c r="I11633" s="60">
        <v>49.6945163333333</v>
      </c>
      <c r="J11633" s="59">
        <v>6.0</v>
      </c>
      <c r="K11633" s="61">
        <f t="shared" si="1"/>
        <v>0</v>
      </c>
      <c r="L11633" s="62">
        <f t="shared" si="2"/>
        <v>2</v>
      </c>
    </row>
    <row r="11634">
      <c r="A11634" s="58">
        <v>44958.0</v>
      </c>
      <c r="B11634" s="24" t="s">
        <v>6794</v>
      </c>
      <c r="C11634" s="24" t="s">
        <v>6905</v>
      </c>
      <c r="D11634" s="59">
        <v>1.0</v>
      </c>
      <c r="E11634" s="59">
        <v>3.0</v>
      </c>
      <c r="F11634" s="59">
        <v>0.0</v>
      </c>
      <c r="G11634" s="60">
        <v>3.0</v>
      </c>
      <c r="H11634" s="60">
        <v>0.0</v>
      </c>
      <c r="I11634" s="60">
        <v>30.089399</v>
      </c>
      <c r="J11634" s="59">
        <v>6.0</v>
      </c>
      <c r="K11634" s="61">
        <f t="shared" si="1"/>
        <v>0</v>
      </c>
      <c r="L11634" s="62">
        <f t="shared" si="2"/>
        <v>2</v>
      </c>
    </row>
    <row r="11635">
      <c r="A11635" s="58">
        <v>44958.0</v>
      </c>
      <c r="B11635" s="24" t="s">
        <v>3216</v>
      </c>
      <c r="C11635" s="24" t="s">
        <v>7242</v>
      </c>
      <c r="D11635" s="59">
        <v>1.0</v>
      </c>
      <c r="E11635" s="59">
        <v>1.0</v>
      </c>
      <c r="F11635" s="59">
        <v>1.0</v>
      </c>
      <c r="G11635" s="60">
        <v>1.0</v>
      </c>
      <c r="H11635" s="60">
        <v>0.0</v>
      </c>
      <c r="I11635" s="60">
        <v>185.648114</v>
      </c>
      <c r="J11635" s="59">
        <v>6.0</v>
      </c>
      <c r="K11635" s="61">
        <f t="shared" si="1"/>
        <v>1</v>
      </c>
      <c r="L11635" s="62">
        <f t="shared" si="2"/>
        <v>6</v>
      </c>
    </row>
    <row r="11636">
      <c r="A11636" s="58">
        <v>44958.0</v>
      </c>
      <c r="B11636" s="24" t="s">
        <v>6787</v>
      </c>
      <c r="C11636" s="24" t="s">
        <v>7664</v>
      </c>
      <c r="D11636" s="59">
        <v>1.0</v>
      </c>
      <c r="E11636" s="59">
        <v>1.0</v>
      </c>
      <c r="F11636" s="59">
        <v>1.0</v>
      </c>
      <c r="G11636" s="60">
        <v>1.0</v>
      </c>
      <c r="H11636" s="60">
        <v>0.0</v>
      </c>
      <c r="I11636" s="60">
        <v>134.120114</v>
      </c>
      <c r="J11636" s="59">
        <v>15.0</v>
      </c>
      <c r="K11636" s="61">
        <f t="shared" si="1"/>
        <v>1</v>
      </c>
      <c r="L11636" s="62">
        <f t="shared" si="2"/>
        <v>15</v>
      </c>
    </row>
    <row r="11637">
      <c r="A11637" s="58">
        <v>44958.0</v>
      </c>
      <c r="B11637" s="24" t="s">
        <v>6794</v>
      </c>
      <c r="C11637" s="24" t="s">
        <v>7624</v>
      </c>
      <c r="D11637" s="59">
        <v>1.0</v>
      </c>
      <c r="E11637" s="59">
        <v>1.0</v>
      </c>
      <c r="F11637" s="59">
        <v>0.0</v>
      </c>
      <c r="G11637" s="60">
        <v>1.0</v>
      </c>
      <c r="H11637" s="60">
        <v>0.0</v>
      </c>
      <c r="I11637" s="60">
        <v>4.821316</v>
      </c>
      <c r="J11637" s="59">
        <v>2.0</v>
      </c>
      <c r="K11637" s="61">
        <f t="shared" si="1"/>
        <v>0</v>
      </c>
      <c r="L11637" s="62">
        <f t="shared" si="2"/>
        <v>2</v>
      </c>
    </row>
    <row r="11638">
      <c r="A11638" s="58">
        <v>44958.0</v>
      </c>
      <c r="B11638" s="24" t="s">
        <v>6790</v>
      </c>
      <c r="C11638" s="24" t="s">
        <v>7624</v>
      </c>
      <c r="D11638" s="59">
        <v>1.0</v>
      </c>
      <c r="E11638" s="59">
        <v>1.0</v>
      </c>
      <c r="F11638" s="59">
        <v>0.0</v>
      </c>
      <c r="G11638" s="60">
        <v>1.0</v>
      </c>
      <c r="H11638" s="60">
        <v>0.0</v>
      </c>
      <c r="I11638" s="60">
        <v>36.789288</v>
      </c>
      <c r="J11638" s="59">
        <v>2.0</v>
      </c>
      <c r="K11638" s="61">
        <f t="shared" si="1"/>
        <v>0</v>
      </c>
      <c r="L11638" s="62">
        <f t="shared" si="2"/>
        <v>2</v>
      </c>
    </row>
    <row r="11639">
      <c r="A11639" s="58">
        <v>44958.0</v>
      </c>
      <c r="B11639" s="24" t="s">
        <v>6794</v>
      </c>
      <c r="C11639" s="24" t="s">
        <v>7227</v>
      </c>
      <c r="D11639" s="59">
        <v>1.0</v>
      </c>
      <c r="E11639" s="59">
        <v>1.0</v>
      </c>
      <c r="F11639" s="59">
        <v>0.0</v>
      </c>
      <c r="G11639" s="60">
        <v>1.0</v>
      </c>
      <c r="H11639" s="60">
        <v>0.0</v>
      </c>
      <c r="I11639" s="60">
        <v>1929.244584</v>
      </c>
      <c r="J11639" s="59">
        <v>4.0</v>
      </c>
      <c r="K11639" s="61">
        <f t="shared" si="1"/>
        <v>0</v>
      </c>
      <c r="L11639" s="62">
        <f t="shared" si="2"/>
        <v>4</v>
      </c>
    </row>
    <row r="11640">
      <c r="A11640" s="58">
        <v>44958.0</v>
      </c>
      <c r="B11640" s="24" t="s">
        <v>7100</v>
      </c>
      <c r="C11640" s="24" t="s">
        <v>7227</v>
      </c>
      <c r="D11640" s="59">
        <v>1.0</v>
      </c>
      <c r="E11640" s="59">
        <v>1.0</v>
      </c>
      <c r="F11640" s="59">
        <v>1.0</v>
      </c>
      <c r="G11640" s="60">
        <v>1.0</v>
      </c>
      <c r="H11640" s="60">
        <v>0.0</v>
      </c>
      <c r="I11640" s="60">
        <v>95.659904</v>
      </c>
      <c r="J11640" s="59">
        <v>2.0</v>
      </c>
      <c r="K11640" s="61">
        <f t="shared" si="1"/>
        <v>1</v>
      </c>
      <c r="L11640" s="62">
        <f t="shared" si="2"/>
        <v>2</v>
      </c>
    </row>
    <row r="11641">
      <c r="A11641" s="58">
        <v>44958.0</v>
      </c>
      <c r="B11641" s="24" t="s">
        <v>155</v>
      </c>
      <c r="C11641" s="24" t="s">
        <v>7227</v>
      </c>
      <c r="D11641" s="59">
        <v>1.0</v>
      </c>
      <c r="E11641" s="59">
        <v>2.0</v>
      </c>
      <c r="F11641" s="59">
        <v>0.0</v>
      </c>
      <c r="G11641" s="60">
        <v>2.0</v>
      </c>
      <c r="H11641" s="60">
        <v>0.0</v>
      </c>
      <c r="I11641" s="60">
        <v>107.9595605</v>
      </c>
      <c r="J11641" s="59">
        <v>8.0</v>
      </c>
      <c r="K11641" s="61">
        <f t="shared" si="1"/>
        <v>0</v>
      </c>
      <c r="L11641" s="62">
        <f t="shared" si="2"/>
        <v>4</v>
      </c>
    </row>
    <row r="11642">
      <c r="A11642" s="58">
        <v>44958.0</v>
      </c>
      <c r="B11642" s="24" t="s">
        <v>6787</v>
      </c>
      <c r="C11642" s="24" t="s">
        <v>7261</v>
      </c>
      <c r="D11642" s="59">
        <v>1.0</v>
      </c>
      <c r="E11642" s="59">
        <v>1.0</v>
      </c>
      <c r="F11642" s="59">
        <v>1.0</v>
      </c>
      <c r="G11642" s="60">
        <v>1.0</v>
      </c>
      <c r="H11642" s="60">
        <v>0.0</v>
      </c>
      <c r="I11642" s="60">
        <v>18.893296</v>
      </c>
      <c r="J11642" s="59">
        <v>2.0</v>
      </c>
      <c r="K11642" s="61">
        <f t="shared" si="1"/>
        <v>1</v>
      </c>
      <c r="L11642" s="62">
        <f t="shared" si="2"/>
        <v>2</v>
      </c>
    </row>
    <row r="11643">
      <c r="A11643" s="58">
        <v>44958.0</v>
      </c>
      <c r="B11643" s="24" t="s">
        <v>3216</v>
      </c>
      <c r="C11643" s="24" t="s">
        <v>7261</v>
      </c>
      <c r="D11643" s="59">
        <v>1.0</v>
      </c>
      <c r="E11643" s="59">
        <v>1.0</v>
      </c>
      <c r="F11643" s="59">
        <v>0.0</v>
      </c>
      <c r="G11643" s="60">
        <v>1.0</v>
      </c>
      <c r="H11643" s="60">
        <v>0.0</v>
      </c>
      <c r="I11643" s="60">
        <v>0.797257</v>
      </c>
      <c r="J11643" s="59">
        <v>2.0</v>
      </c>
      <c r="K11643" s="61">
        <f t="shared" si="1"/>
        <v>0</v>
      </c>
      <c r="L11643" s="62">
        <f t="shared" si="2"/>
        <v>2</v>
      </c>
    </row>
    <row r="11644">
      <c r="A11644" s="58">
        <v>44958.0</v>
      </c>
      <c r="B11644" s="24" t="s">
        <v>6789</v>
      </c>
      <c r="C11644" s="24" t="s">
        <v>7261</v>
      </c>
      <c r="D11644" s="59">
        <v>1.0</v>
      </c>
      <c r="E11644" s="59">
        <v>2.0</v>
      </c>
      <c r="F11644" s="59">
        <v>1.0</v>
      </c>
      <c r="G11644" s="60">
        <v>2.0</v>
      </c>
      <c r="H11644" s="60">
        <v>0.0</v>
      </c>
      <c r="I11644" s="60">
        <v>749.627349</v>
      </c>
      <c r="J11644" s="59">
        <v>28.0</v>
      </c>
      <c r="K11644" s="61">
        <f t="shared" si="1"/>
        <v>0.5</v>
      </c>
      <c r="L11644" s="62">
        <f t="shared" si="2"/>
        <v>14</v>
      </c>
    </row>
    <row r="11645">
      <c r="A11645" s="58">
        <v>44958.0</v>
      </c>
      <c r="B11645" s="24" t="s">
        <v>6789</v>
      </c>
      <c r="C11645" s="24" t="s">
        <v>7228</v>
      </c>
      <c r="D11645" s="59">
        <v>1.0</v>
      </c>
      <c r="E11645" s="59">
        <v>3.0</v>
      </c>
      <c r="F11645" s="59">
        <v>0.0</v>
      </c>
      <c r="G11645" s="60">
        <v>3.0</v>
      </c>
      <c r="H11645" s="60">
        <v>0.0</v>
      </c>
      <c r="I11645" s="60">
        <v>409.193225999999</v>
      </c>
      <c r="J11645" s="59">
        <v>6.0</v>
      </c>
      <c r="K11645" s="61">
        <f t="shared" si="1"/>
        <v>0</v>
      </c>
      <c r="L11645" s="62">
        <f t="shared" si="2"/>
        <v>2</v>
      </c>
    </row>
    <row r="11646">
      <c r="A11646" s="58">
        <v>44958.0</v>
      </c>
      <c r="B11646" s="24" t="s">
        <v>6794</v>
      </c>
      <c r="C11646" s="24" t="s">
        <v>7228</v>
      </c>
      <c r="D11646" s="59">
        <v>1.0</v>
      </c>
      <c r="E11646" s="59">
        <v>1.0</v>
      </c>
      <c r="F11646" s="59">
        <v>1.0</v>
      </c>
      <c r="G11646" s="60">
        <v>1.0</v>
      </c>
      <c r="H11646" s="60">
        <v>0.0</v>
      </c>
      <c r="I11646" s="60">
        <v>18.597546</v>
      </c>
      <c r="J11646" s="59">
        <v>2.0</v>
      </c>
      <c r="K11646" s="61">
        <f t="shared" si="1"/>
        <v>1</v>
      </c>
      <c r="L11646" s="62">
        <f t="shared" si="2"/>
        <v>2</v>
      </c>
    </row>
    <row r="11647">
      <c r="A11647" s="58">
        <v>44958.0</v>
      </c>
      <c r="B11647" s="24" t="s">
        <v>6794</v>
      </c>
      <c r="C11647" s="24" t="s">
        <v>6808</v>
      </c>
      <c r="D11647" s="59">
        <v>1.0</v>
      </c>
      <c r="E11647" s="59">
        <v>1.0</v>
      </c>
      <c r="F11647" s="59">
        <v>0.0</v>
      </c>
      <c r="G11647" s="60">
        <v>1.0</v>
      </c>
      <c r="H11647" s="60">
        <v>0.0</v>
      </c>
      <c r="I11647" s="60">
        <v>5.78898</v>
      </c>
      <c r="J11647" s="59">
        <v>2.0</v>
      </c>
      <c r="K11647" s="61">
        <f t="shared" si="1"/>
        <v>0</v>
      </c>
      <c r="L11647" s="62">
        <f t="shared" si="2"/>
        <v>2</v>
      </c>
    </row>
    <row r="11648">
      <c r="A11648" s="58">
        <v>44958.0</v>
      </c>
      <c r="B11648" s="24" t="s">
        <v>155</v>
      </c>
      <c r="C11648" s="24" t="s">
        <v>6800</v>
      </c>
      <c r="D11648" s="59">
        <v>1.0</v>
      </c>
      <c r="E11648" s="59">
        <v>1.0</v>
      </c>
      <c r="F11648" s="59">
        <v>0.0</v>
      </c>
      <c r="G11648" s="60">
        <v>1.0</v>
      </c>
      <c r="H11648" s="60">
        <v>0.0</v>
      </c>
      <c r="I11648" s="60">
        <v>2.721449</v>
      </c>
      <c r="J11648" s="59">
        <v>2.0</v>
      </c>
      <c r="K11648" s="61">
        <f t="shared" si="1"/>
        <v>0</v>
      </c>
      <c r="L11648" s="62">
        <f t="shared" si="2"/>
        <v>2</v>
      </c>
    </row>
    <row r="11649">
      <c r="A11649" s="58">
        <v>44958.0</v>
      </c>
      <c r="B11649" s="24" t="s">
        <v>6789</v>
      </c>
      <c r="C11649" s="24" t="s">
        <v>7101</v>
      </c>
      <c r="D11649" s="59">
        <v>1.0</v>
      </c>
      <c r="E11649" s="59">
        <v>1.0</v>
      </c>
      <c r="F11649" s="59">
        <v>0.0</v>
      </c>
      <c r="G11649" s="60">
        <v>1.0</v>
      </c>
      <c r="H11649" s="60">
        <v>0.0</v>
      </c>
      <c r="I11649" s="60">
        <v>23.084773</v>
      </c>
      <c r="J11649" s="59">
        <v>8.0</v>
      </c>
      <c r="K11649" s="61">
        <f t="shared" si="1"/>
        <v>0</v>
      </c>
      <c r="L11649" s="62">
        <f t="shared" si="2"/>
        <v>8</v>
      </c>
    </row>
    <row r="11650">
      <c r="A11650" s="58">
        <v>44958.0</v>
      </c>
      <c r="B11650" s="24" t="s">
        <v>6794</v>
      </c>
      <c r="C11650" s="24" t="s">
        <v>7101</v>
      </c>
      <c r="D11650" s="59">
        <v>1.0</v>
      </c>
      <c r="E11650" s="59">
        <v>1.0</v>
      </c>
      <c r="F11650" s="59">
        <v>0.0</v>
      </c>
      <c r="G11650" s="60">
        <v>1.0</v>
      </c>
      <c r="H11650" s="60">
        <v>0.0</v>
      </c>
      <c r="I11650" s="60">
        <v>17.046203</v>
      </c>
      <c r="J11650" s="59">
        <v>6.0</v>
      </c>
      <c r="K11650" s="61">
        <f t="shared" si="1"/>
        <v>0</v>
      </c>
      <c r="L11650" s="62">
        <f t="shared" si="2"/>
        <v>6</v>
      </c>
    </row>
    <row r="11651">
      <c r="A11651" s="58">
        <v>44958.0</v>
      </c>
      <c r="B11651" s="24" t="s">
        <v>6790</v>
      </c>
      <c r="C11651" s="24" t="s">
        <v>7172</v>
      </c>
      <c r="D11651" s="59">
        <v>1.0</v>
      </c>
      <c r="E11651" s="59">
        <v>2.0</v>
      </c>
      <c r="F11651" s="59">
        <v>0.0</v>
      </c>
      <c r="G11651" s="60">
        <v>2.0</v>
      </c>
      <c r="H11651" s="60">
        <v>0.0</v>
      </c>
      <c r="I11651" s="60">
        <v>931.974540999999</v>
      </c>
      <c r="J11651" s="59">
        <v>28.0</v>
      </c>
      <c r="K11651" s="61">
        <f t="shared" si="1"/>
        <v>0</v>
      </c>
      <c r="L11651" s="62">
        <f t="shared" si="2"/>
        <v>14</v>
      </c>
    </row>
    <row r="11652">
      <c r="A11652" s="58">
        <v>44958.0</v>
      </c>
      <c r="B11652" s="24" t="s">
        <v>6794</v>
      </c>
      <c r="C11652" s="24" t="s">
        <v>7313</v>
      </c>
      <c r="D11652" s="59">
        <v>1.0</v>
      </c>
      <c r="E11652" s="59">
        <v>1.0</v>
      </c>
      <c r="F11652" s="59">
        <v>0.0</v>
      </c>
      <c r="G11652" s="60">
        <v>1.0</v>
      </c>
      <c r="H11652" s="60">
        <v>0.0</v>
      </c>
      <c r="I11652" s="60">
        <v>627.647152</v>
      </c>
      <c r="J11652" s="59">
        <v>4.0</v>
      </c>
      <c r="K11652" s="61">
        <f t="shared" si="1"/>
        <v>0</v>
      </c>
      <c r="L11652" s="62">
        <f t="shared" si="2"/>
        <v>4</v>
      </c>
    </row>
    <row r="11653">
      <c r="A11653" s="58">
        <v>44958.0</v>
      </c>
      <c r="B11653" s="24" t="s">
        <v>6790</v>
      </c>
      <c r="C11653" s="24" t="s">
        <v>7313</v>
      </c>
      <c r="D11653" s="59">
        <v>1.0</v>
      </c>
      <c r="E11653" s="59">
        <v>1.0</v>
      </c>
      <c r="F11653" s="59">
        <v>0.0</v>
      </c>
      <c r="G11653" s="60">
        <v>1.0</v>
      </c>
      <c r="H11653" s="60">
        <v>1.0</v>
      </c>
      <c r="I11653" s="60">
        <v>0.0</v>
      </c>
      <c r="J11653" s="59">
        <v>2.0</v>
      </c>
      <c r="K11653" s="61">
        <f t="shared" si="1"/>
        <v>0</v>
      </c>
      <c r="L11653" s="62">
        <f t="shared" si="2"/>
        <v>2</v>
      </c>
    </row>
    <row r="11654">
      <c r="A11654" s="58">
        <v>44958.0</v>
      </c>
      <c r="B11654" s="24" t="s">
        <v>6789</v>
      </c>
      <c r="C11654" s="24" t="s">
        <v>6910</v>
      </c>
      <c r="D11654" s="59">
        <v>1.0</v>
      </c>
      <c r="E11654" s="59">
        <v>1.0</v>
      </c>
      <c r="F11654" s="59">
        <v>1.0</v>
      </c>
      <c r="G11654" s="60">
        <v>1.0</v>
      </c>
      <c r="H11654" s="60">
        <v>0.0</v>
      </c>
      <c r="I11654" s="60">
        <v>100.379667</v>
      </c>
      <c r="J11654" s="59">
        <v>6.0</v>
      </c>
      <c r="K11654" s="61">
        <f t="shared" si="1"/>
        <v>1</v>
      </c>
      <c r="L11654" s="62">
        <f t="shared" si="2"/>
        <v>6</v>
      </c>
    </row>
    <row r="11655">
      <c r="A11655" s="58">
        <v>44958.0</v>
      </c>
      <c r="B11655" s="24" t="s">
        <v>6794</v>
      </c>
      <c r="C11655" s="24" t="s">
        <v>6910</v>
      </c>
      <c r="D11655" s="59">
        <v>1.0</v>
      </c>
      <c r="E11655" s="59">
        <v>1.0</v>
      </c>
      <c r="F11655" s="59">
        <v>0.0</v>
      </c>
      <c r="G11655" s="60">
        <v>1.0</v>
      </c>
      <c r="H11655" s="60">
        <v>0.0</v>
      </c>
      <c r="I11655" s="60">
        <v>6.455441</v>
      </c>
      <c r="J11655" s="59">
        <v>2.0</v>
      </c>
      <c r="K11655" s="61">
        <f t="shared" si="1"/>
        <v>0</v>
      </c>
      <c r="L11655" s="62">
        <f t="shared" si="2"/>
        <v>2</v>
      </c>
    </row>
    <row r="11656">
      <c r="A11656" s="58">
        <v>44958.0</v>
      </c>
      <c r="B11656" s="24" t="s">
        <v>6787</v>
      </c>
      <c r="C11656" s="24" t="s">
        <v>7559</v>
      </c>
      <c r="D11656" s="59">
        <v>1.0</v>
      </c>
      <c r="E11656" s="59">
        <v>1.0</v>
      </c>
      <c r="F11656" s="59">
        <v>1.0</v>
      </c>
      <c r="G11656" s="60">
        <v>1.0</v>
      </c>
      <c r="H11656" s="60">
        <v>0.0</v>
      </c>
      <c r="I11656" s="60">
        <v>7.656417</v>
      </c>
      <c r="J11656" s="59">
        <v>6.0</v>
      </c>
      <c r="K11656" s="61">
        <f t="shared" si="1"/>
        <v>1</v>
      </c>
      <c r="L11656" s="62">
        <f t="shared" si="2"/>
        <v>6</v>
      </c>
    </row>
    <row r="11657">
      <c r="A11657" s="58">
        <v>44958.0</v>
      </c>
      <c r="B11657" s="24" t="s">
        <v>6789</v>
      </c>
      <c r="C11657" s="24" t="s">
        <v>7274</v>
      </c>
      <c r="D11657" s="59">
        <v>1.0</v>
      </c>
      <c r="E11657" s="59">
        <v>1.0</v>
      </c>
      <c r="F11657" s="59">
        <v>0.0</v>
      </c>
      <c r="G11657" s="60">
        <v>1.0</v>
      </c>
      <c r="H11657" s="60">
        <v>0.0</v>
      </c>
      <c r="I11657" s="60">
        <v>0.17187</v>
      </c>
      <c r="J11657" s="59">
        <v>2.0</v>
      </c>
      <c r="K11657" s="61">
        <f t="shared" si="1"/>
        <v>0</v>
      </c>
      <c r="L11657" s="62">
        <f t="shared" si="2"/>
        <v>2</v>
      </c>
    </row>
    <row r="11658">
      <c r="A11658" s="58">
        <v>44958.0</v>
      </c>
      <c r="B11658" s="24" t="s">
        <v>6791</v>
      </c>
      <c r="C11658" s="24" t="s">
        <v>7180</v>
      </c>
      <c r="D11658" s="59">
        <v>1.0</v>
      </c>
      <c r="E11658" s="59">
        <v>1.0</v>
      </c>
      <c r="F11658" s="59">
        <v>0.0</v>
      </c>
      <c r="G11658" s="60">
        <v>1.0</v>
      </c>
      <c r="H11658" s="60">
        <v>0.0</v>
      </c>
      <c r="I11658" s="60">
        <v>254.409347</v>
      </c>
      <c r="J11658" s="59">
        <v>2.0</v>
      </c>
      <c r="K11658" s="61">
        <f t="shared" si="1"/>
        <v>0</v>
      </c>
      <c r="L11658" s="62">
        <f t="shared" si="2"/>
        <v>2</v>
      </c>
    </row>
    <row r="11659">
      <c r="A11659" s="58">
        <v>44958.0</v>
      </c>
      <c r="B11659" s="24" t="s">
        <v>155</v>
      </c>
      <c r="C11659" s="24" t="s">
        <v>7180</v>
      </c>
      <c r="D11659" s="59">
        <v>1.0</v>
      </c>
      <c r="E11659" s="59">
        <v>3.0</v>
      </c>
      <c r="F11659" s="59">
        <v>0.0</v>
      </c>
      <c r="G11659" s="60">
        <v>3.0</v>
      </c>
      <c r="H11659" s="60">
        <v>0.0</v>
      </c>
      <c r="I11659" s="60">
        <v>582.953548666666</v>
      </c>
      <c r="J11659" s="59">
        <v>20.0</v>
      </c>
      <c r="K11659" s="61">
        <f t="shared" si="1"/>
        <v>0</v>
      </c>
      <c r="L11659" s="62">
        <f t="shared" si="2"/>
        <v>6.666666667</v>
      </c>
    </row>
    <row r="11660">
      <c r="A11660" s="58">
        <v>44958.0</v>
      </c>
      <c r="B11660" s="24" t="s">
        <v>6789</v>
      </c>
      <c r="C11660" s="24" t="s">
        <v>7111</v>
      </c>
      <c r="D11660" s="59">
        <v>1.0</v>
      </c>
      <c r="E11660" s="59">
        <v>2.0</v>
      </c>
      <c r="F11660" s="59">
        <v>1.0</v>
      </c>
      <c r="G11660" s="60">
        <v>2.0</v>
      </c>
      <c r="H11660" s="60">
        <v>0.0</v>
      </c>
      <c r="I11660" s="60">
        <v>304.007893</v>
      </c>
      <c r="J11660" s="59">
        <v>6.0</v>
      </c>
      <c r="K11660" s="61">
        <f t="shared" si="1"/>
        <v>0.5</v>
      </c>
      <c r="L11660" s="62">
        <f t="shared" si="2"/>
        <v>3</v>
      </c>
    </row>
    <row r="11661">
      <c r="A11661" s="58">
        <v>44958.0</v>
      </c>
      <c r="B11661" s="24" t="s">
        <v>6787</v>
      </c>
      <c r="C11661" s="24" t="s">
        <v>7588</v>
      </c>
      <c r="D11661" s="59">
        <v>1.0</v>
      </c>
      <c r="E11661" s="59">
        <v>1.0</v>
      </c>
      <c r="F11661" s="59">
        <v>1.0</v>
      </c>
      <c r="G11661" s="60">
        <v>1.0</v>
      </c>
      <c r="H11661" s="60">
        <v>0.0</v>
      </c>
      <c r="I11661" s="60">
        <v>4.420542</v>
      </c>
      <c r="J11661" s="59">
        <v>2.0</v>
      </c>
      <c r="K11661" s="61">
        <f t="shared" si="1"/>
        <v>1</v>
      </c>
      <c r="L11661" s="62">
        <f t="shared" si="2"/>
        <v>2</v>
      </c>
    </row>
    <row r="11662">
      <c r="A11662" s="58">
        <v>44958.0</v>
      </c>
      <c r="B11662" s="24" t="s">
        <v>6791</v>
      </c>
      <c r="C11662" s="24" t="s">
        <v>6921</v>
      </c>
      <c r="D11662" s="59">
        <v>1.0</v>
      </c>
      <c r="E11662" s="59">
        <v>1.0</v>
      </c>
      <c r="F11662" s="59">
        <v>1.0</v>
      </c>
      <c r="G11662" s="60">
        <v>1.0</v>
      </c>
      <c r="H11662" s="60">
        <v>0.0</v>
      </c>
      <c r="I11662" s="60">
        <v>18.474679</v>
      </c>
      <c r="J11662" s="59">
        <v>2.0</v>
      </c>
      <c r="K11662" s="61">
        <f t="shared" si="1"/>
        <v>1</v>
      </c>
      <c r="L11662" s="62">
        <f t="shared" si="2"/>
        <v>2</v>
      </c>
    </row>
    <row r="11663">
      <c r="A11663" s="58">
        <v>44958.0</v>
      </c>
      <c r="B11663" s="24" t="s">
        <v>7606</v>
      </c>
      <c r="C11663" s="24" t="s">
        <v>6922</v>
      </c>
      <c r="D11663" s="59">
        <v>1.0</v>
      </c>
      <c r="E11663" s="59">
        <v>1.0</v>
      </c>
      <c r="F11663" s="59">
        <v>0.0</v>
      </c>
      <c r="G11663" s="60">
        <v>1.0</v>
      </c>
      <c r="H11663" s="60">
        <v>0.0</v>
      </c>
      <c r="I11663" s="60">
        <v>0.410883</v>
      </c>
      <c r="J11663" s="59">
        <v>2.0</v>
      </c>
      <c r="K11663" s="61">
        <f t="shared" si="1"/>
        <v>0</v>
      </c>
      <c r="L11663" s="62">
        <f t="shared" si="2"/>
        <v>2</v>
      </c>
    </row>
    <row r="11664">
      <c r="A11664" s="58">
        <v>44958.0</v>
      </c>
      <c r="B11664" s="24" t="s">
        <v>6791</v>
      </c>
      <c r="C11664" s="24" t="s">
        <v>6922</v>
      </c>
      <c r="D11664" s="59">
        <v>1.0</v>
      </c>
      <c r="E11664" s="59">
        <v>1.0</v>
      </c>
      <c r="F11664" s="59">
        <v>1.0</v>
      </c>
      <c r="G11664" s="60">
        <v>1.0</v>
      </c>
      <c r="H11664" s="60">
        <v>0.0</v>
      </c>
      <c r="I11664" s="60">
        <v>18.002001</v>
      </c>
      <c r="J11664" s="59">
        <v>4.0</v>
      </c>
      <c r="K11664" s="61">
        <f t="shared" si="1"/>
        <v>1</v>
      </c>
      <c r="L11664" s="62">
        <f t="shared" si="2"/>
        <v>4</v>
      </c>
    </row>
    <row r="11665">
      <c r="A11665" s="58">
        <v>44958.0</v>
      </c>
      <c r="B11665" s="24" t="s">
        <v>6787</v>
      </c>
      <c r="C11665" s="24" t="s">
        <v>7047</v>
      </c>
      <c r="D11665" s="59">
        <v>1.0</v>
      </c>
      <c r="E11665" s="59">
        <v>1.0</v>
      </c>
      <c r="F11665" s="59">
        <v>0.0</v>
      </c>
      <c r="G11665" s="60">
        <v>1.0</v>
      </c>
      <c r="H11665" s="60">
        <v>0.0</v>
      </c>
      <c r="I11665" s="60">
        <v>15.824833</v>
      </c>
      <c r="J11665" s="59">
        <v>6.0</v>
      </c>
      <c r="K11665" s="61">
        <f t="shared" si="1"/>
        <v>0</v>
      </c>
      <c r="L11665" s="62">
        <f t="shared" si="2"/>
        <v>6</v>
      </c>
    </row>
    <row r="11666">
      <c r="A11666" s="58">
        <v>44958.0</v>
      </c>
      <c r="B11666" s="24" t="s">
        <v>6794</v>
      </c>
      <c r="C11666" s="24" t="s">
        <v>7047</v>
      </c>
      <c r="D11666" s="59">
        <v>1.0</v>
      </c>
      <c r="E11666" s="59">
        <v>1.0</v>
      </c>
      <c r="F11666" s="59">
        <v>0.0</v>
      </c>
      <c r="G11666" s="60">
        <v>1.0</v>
      </c>
      <c r="H11666" s="60">
        <v>0.0</v>
      </c>
      <c r="I11666" s="60">
        <v>441.509797</v>
      </c>
      <c r="J11666" s="59">
        <v>6.0</v>
      </c>
      <c r="K11666" s="61">
        <f t="shared" si="1"/>
        <v>0</v>
      </c>
      <c r="L11666" s="62">
        <f t="shared" si="2"/>
        <v>6</v>
      </c>
    </row>
    <row r="11667">
      <c r="A11667" s="58">
        <v>44958.0</v>
      </c>
      <c r="B11667" s="24" t="s">
        <v>6787</v>
      </c>
      <c r="C11667" s="24" t="s">
        <v>6931</v>
      </c>
      <c r="D11667" s="59">
        <v>1.0</v>
      </c>
      <c r="E11667" s="59">
        <v>1.0</v>
      </c>
      <c r="F11667" s="59">
        <v>1.0</v>
      </c>
      <c r="G11667" s="60">
        <v>1.0</v>
      </c>
      <c r="H11667" s="60">
        <v>0.0</v>
      </c>
      <c r="I11667" s="60">
        <v>1.493106</v>
      </c>
      <c r="J11667" s="59">
        <v>2.0</v>
      </c>
      <c r="K11667" s="61">
        <f t="shared" si="1"/>
        <v>1</v>
      </c>
      <c r="L11667" s="62">
        <f t="shared" si="2"/>
        <v>2</v>
      </c>
    </row>
    <row r="11668">
      <c r="A11668" s="58">
        <v>44958.0</v>
      </c>
      <c r="B11668" s="24" t="s">
        <v>6789</v>
      </c>
      <c r="C11668" s="24" t="s">
        <v>6931</v>
      </c>
      <c r="D11668" s="59">
        <v>1.0</v>
      </c>
      <c r="E11668" s="59">
        <v>1.0</v>
      </c>
      <c r="F11668" s="59">
        <v>1.0</v>
      </c>
      <c r="G11668" s="60">
        <v>1.0</v>
      </c>
      <c r="H11668" s="60">
        <v>0.0</v>
      </c>
      <c r="I11668" s="60">
        <v>92.205706</v>
      </c>
      <c r="J11668" s="59">
        <v>4.0</v>
      </c>
      <c r="K11668" s="61">
        <f t="shared" si="1"/>
        <v>1</v>
      </c>
      <c r="L11668" s="62">
        <f t="shared" si="2"/>
        <v>4</v>
      </c>
    </row>
    <row r="11669">
      <c r="A11669" s="58">
        <v>44958.0</v>
      </c>
      <c r="B11669" s="24" t="s">
        <v>6789</v>
      </c>
      <c r="C11669" s="24" t="s">
        <v>6962</v>
      </c>
      <c r="D11669" s="59">
        <v>1.0</v>
      </c>
      <c r="E11669" s="59">
        <v>1.0</v>
      </c>
      <c r="F11669" s="59">
        <v>0.0</v>
      </c>
      <c r="G11669" s="60">
        <v>1.0</v>
      </c>
      <c r="H11669" s="60">
        <v>0.0</v>
      </c>
      <c r="I11669" s="60">
        <v>3.072451</v>
      </c>
      <c r="J11669" s="59">
        <v>2.0</v>
      </c>
      <c r="K11669" s="61">
        <f t="shared" si="1"/>
        <v>0</v>
      </c>
      <c r="L11669" s="62">
        <f t="shared" si="2"/>
        <v>2</v>
      </c>
    </row>
    <row r="11670">
      <c r="A11670" s="58">
        <v>44958.0</v>
      </c>
      <c r="B11670" s="24" t="s">
        <v>155</v>
      </c>
      <c r="C11670" s="24" t="s">
        <v>7284</v>
      </c>
      <c r="D11670" s="59">
        <v>1.0</v>
      </c>
      <c r="E11670" s="59">
        <v>1.0</v>
      </c>
      <c r="F11670" s="59">
        <v>0.0</v>
      </c>
      <c r="G11670" s="60">
        <v>1.0</v>
      </c>
      <c r="H11670" s="60">
        <v>0.0</v>
      </c>
      <c r="I11670" s="60">
        <v>2.79619</v>
      </c>
      <c r="J11670" s="59">
        <v>2.0</v>
      </c>
      <c r="K11670" s="61">
        <f t="shared" si="1"/>
        <v>0</v>
      </c>
      <c r="L11670" s="62">
        <f t="shared" si="2"/>
        <v>2</v>
      </c>
    </row>
    <row r="11671">
      <c r="A11671" s="58">
        <v>44958.0</v>
      </c>
      <c r="B11671" s="24" t="s">
        <v>155</v>
      </c>
      <c r="C11671" s="24" t="s">
        <v>7508</v>
      </c>
      <c r="D11671" s="59">
        <v>1.0</v>
      </c>
      <c r="E11671" s="59">
        <v>1.0</v>
      </c>
      <c r="F11671" s="59">
        <v>0.0</v>
      </c>
      <c r="G11671" s="60">
        <v>1.0</v>
      </c>
      <c r="H11671" s="60">
        <v>0.0</v>
      </c>
      <c r="I11671" s="60">
        <v>88.195601</v>
      </c>
      <c r="J11671" s="59">
        <v>2.0</v>
      </c>
      <c r="K11671" s="61">
        <f t="shared" si="1"/>
        <v>0</v>
      </c>
      <c r="L11671" s="62">
        <f t="shared" si="2"/>
        <v>2</v>
      </c>
    </row>
    <row r="11672">
      <c r="A11672" s="58">
        <v>44958.0</v>
      </c>
      <c r="B11672" s="24" t="s">
        <v>7100</v>
      </c>
      <c r="C11672" s="24" t="s">
        <v>7570</v>
      </c>
      <c r="D11672" s="59">
        <v>1.0</v>
      </c>
      <c r="E11672" s="59">
        <v>1.0</v>
      </c>
      <c r="F11672" s="59">
        <v>0.0</v>
      </c>
      <c r="G11672" s="60">
        <v>1.0</v>
      </c>
      <c r="H11672" s="60">
        <v>0.0</v>
      </c>
      <c r="I11672" s="60">
        <v>917.905478</v>
      </c>
      <c r="J11672" s="59">
        <v>28.0</v>
      </c>
      <c r="K11672" s="61">
        <f t="shared" si="1"/>
        <v>0</v>
      </c>
      <c r="L11672" s="62">
        <f t="shared" si="2"/>
        <v>28</v>
      </c>
    </row>
    <row r="11673">
      <c r="A11673" s="58">
        <v>44958.0</v>
      </c>
      <c r="B11673" s="24" t="s">
        <v>155</v>
      </c>
      <c r="C11673" s="24" t="s">
        <v>7570</v>
      </c>
      <c r="D11673" s="59">
        <v>1.0</v>
      </c>
      <c r="E11673" s="59">
        <v>2.0</v>
      </c>
      <c r="F11673" s="59">
        <v>0.0</v>
      </c>
      <c r="G11673" s="60">
        <v>2.0</v>
      </c>
      <c r="H11673" s="60">
        <v>0.0</v>
      </c>
      <c r="I11673" s="60">
        <v>2601.5541235</v>
      </c>
      <c r="J11673" s="59">
        <v>16.0</v>
      </c>
      <c r="K11673" s="61">
        <f t="shared" si="1"/>
        <v>0</v>
      </c>
      <c r="L11673" s="62">
        <f t="shared" si="2"/>
        <v>8</v>
      </c>
    </row>
    <row r="11674">
      <c r="A11674" s="58">
        <v>44958.0</v>
      </c>
      <c r="B11674" s="24" t="s">
        <v>6794</v>
      </c>
      <c r="C11674" s="24" t="s">
        <v>6802</v>
      </c>
      <c r="D11674" s="59">
        <v>1.0</v>
      </c>
      <c r="E11674" s="59">
        <v>1.0</v>
      </c>
      <c r="F11674" s="59">
        <v>0.0</v>
      </c>
      <c r="G11674" s="60">
        <v>1.0</v>
      </c>
      <c r="H11674" s="60">
        <v>0.0</v>
      </c>
      <c r="I11674" s="60">
        <v>125.100067</v>
      </c>
      <c r="J11674" s="59">
        <v>6.0</v>
      </c>
      <c r="K11674" s="61">
        <f t="shared" si="1"/>
        <v>0</v>
      </c>
      <c r="L11674" s="62">
        <f t="shared" si="2"/>
        <v>6</v>
      </c>
    </row>
    <row r="11675">
      <c r="A11675" s="58">
        <v>44927.0</v>
      </c>
      <c r="B11675" s="24" t="s">
        <v>6787</v>
      </c>
      <c r="C11675" s="27"/>
      <c r="D11675" s="59">
        <v>967.0</v>
      </c>
      <c r="E11675" s="59">
        <v>1049.0</v>
      </c>
      <c r="F11675" s="59">
        <v>935.0</v>
      </c>
      <c r="G11675" s="60">
        <v>1.08479834539813</v>
      </c>
      <c r="H11675" s="60">
        <v>0.0810295519542421</v>
      </c>
      <c r="I11675" s="60">
        <v>45.8636176472831</v>
      </c>
      <c r="J11675" s="59">
        <v>2586.0</v>
      </c>
      <c r="K11675" s="61">
        <f t="shared" si="1"/>
        <v>0.8913250715</v>
      </c>
      <c r="L11675" s="62">
        <f t="shared" si="2"/>
        <v>2.465204957</v>
      </c>
    </row>
    <row r="11676">
      <c r="A11676" s="58">
        <v>44927.0</v>
      </c>
      <c r="B11676" s="24" t="s">
        <v>6789</v>
      </c>
      <c r="C11676" s="27"/>
      <c r="D11676" s="59">
        <v>694.0</v>
      </c>
      <c r="E11676" s="59">
        <v>917.0</v>
      </c>
      <c r="F11676" s="59">
        <v>595.0</v>
      </c>
      <c r="G11676" s="60">
        <v>1.32132564841498</v>
      </c>
      <c r="H11676" s="60">
        <v>0.0207197382769901</v>
      </c>
      <c r="I11676" s="60">
        <v>208.820353785169</v>
      </c>
      <c r="J11676" s="59">
        <v>3381.0</v>
      </c>
      <c r="K11676" s="61">
        <f t="shared" si="1"/>
        <v>0.6488549618</v>
      </c>
      <c r="L11676" s="62">
        <f t="shared" si="2"/>
        <v>3.687022901</v>
      </c>
    </row>
    <row r="11677">
      <c r="A11677" s="58">
        <v>44927.0</v>
      </c>
      <c r="B11677" s="24" t="s">
        <v>6789</v>
      </c>
      <c r="C11677" s="24" t="s">
        <v>7068</v>
      </c>
      <c r="D11677" s="59">
        <v>296.0</v>
      </c>
      <c r="E11677" s="59">
        <v>316.0</v>
      </c>
      <c r="F11677" s="59">
        <v>290.0</v>
      </c>
      <c r="G11677" s="60">
        <v>1.07118644067796</v>
      </c>
      <c r="H11677" s="60">
        <v>0.0316455696202531</v>
      </c>
      <c r="I11677" s="60">
        <v>145.752579341772</v>
      </c>
      <c r="J11677" s="59">
        <v>691.0</v>
      </c>
      <c r="K11677" s="61">
        <f t="shared" si="1"/>
        <v>0.917721519</v>
      </c>
      <c r="L11677" s="62">
        <f t="shared" si="2"/>
        <v>2.186708861</v>
      </c>
    </row>
    <row r="11678">
      <c r="A11678" s="58">
        <v>44927.0</v>
      </c>
      <c r="B11678" s="24" t="s">
        <v>6789</v>
      </c>
      <c r="C11678" s="24" t="s">
        <v>6792</v>
      </c>
      <c r="D11678" s="59">
        <v>168.0</v>
      </c>
      <c r="E11678" s="59">
        <v>199.0</v>
      </c>
      <c r="F11678" s="59">
        <v>0.0</v>
      </c>
      <c r="G11678" s="60">
        <v>1.61788617886178</v>
      </c>
      <c r="H11678" s="60">
        <v>0.974874371859296</v>
      </c>
      <c r="I11678" s="60">
        <v>3.80346276884422</v>
      </c>
      <c r="J11678" s="59">
        <v>0.0</v>
      </c>
      <c r="K11678" s="61">
        <f t="shared" si="1"/>
        <v>0</v>
      </c>
      <c r="L11678" s="62">
        <f t="shared" si="2"/>
        <v>0</v>
      </c>
    </row>
    <row r="11679">
      <c r="A11679" s="58">
        <v>44927.0</v>
      </c>
      <c r="B11679" s="24" t="s">
        <v>6790</v>
      </c>
      <c r="C11679" s="24" t="s">
        <v>6815</v>
      </c>
      <c r="D11679" s="59">
        <v>126.0</v>
      </c>
      <c r="E11679" s="59">
        <v>164.0</v>
      </c>
      <c r="F11679" s="59">
        <v>120.0</v>
      </c>
      <c r="G11679" s="60">
        <v>1.3015873015873</v>
      </c>
      <c r="H11679" s="60">
        <v>0.0304878048780487</v>
      </c>
      <c r="I11679" s="60">
        <v>151.890548999999</v>
      </c>
      <c r="J11679" s="59">
        <v>404.0</v>
      </c>
      <c r="K11679" s="61">
        <f t="shared" si="1"/>
        <v>0.7317073171</v>
      </c>
      <c r="L11679" s="62">
        <f t="shared" si="2"/>
        <v>2.463414634</v>
      </c>
    </row>
    <row r="11680">
      <c r="A11680" s="58">
        <v>44927.0</v>
      </c>
      <c r="B11680" s="24" t="s">
        <v>6794</v>
      </c>
      <c r="C11680" s="27"/>
      <c r="D11680" s="59">
        <v>117.0</v>
      </c>
      <c r="E11680" s="59">
        <v>148.0</v>
      </c>
      <c r="F11680" s="59">
        <v>103.0</v>
      </c>
      <c r="G11680" s="60">
        <v>1.26495726495726</v>
      </c>
      <c r="H11680" s="60">
        <v>0.00675675675675675</v>
      </c>
      <c r="I11680" s="60">
        <v>235.550081817567</v>
      </c>
      <c r="J11680" s="59">
        <v>592.0</v>
      </c>
      <c r="K11680" s="61">
        <f t="shared" si="1"/>
        <v>0.6959459459</v>
      </c>
      <c r="L11680" s="62">
        <f t="shared" si="2"/>
        <v>4</v>
      </c>
    </row>
    <row r="11681">
      <c r="A11681" s="58">
        <v>44927.0</v>
      </c>
      <c r="B11681" s="24" t="s">
        <v>7606</v>
      </c>
      <c r="C11681" s="27"/>
      <c r="D11681" s="59">
        <v>115.0</v>
      </c>
      <c r="E11681" s="59">
        <v>119.0</v>
      </c>
      <c r="F11681" s="59">
        <v>109.0</v>
      </c>
      <c r="G11681" s="60">
        <v>1.03478260869565</v>
      </c>
      <c r="H11681" s="60">
        <v>0.0924369747899159</v>
      </c>
      <c r="I11681" s="60">
        <v>19.0807159411764</v>
      </c>
      <c r="J11681" s="59">
        <v>243.0</v>
      </c>
      <c r="K11681" s="61">
        <f t="shared" si="1"/>
        <v>0.9159663866</v>
      </c>
      <c r="L11681" s="62">
        <f t="shared" si="2"/>
        <v>2.042016807</v>
      </c>
    </row>
    <row r="11682">
      <c r="A11682" s="58">
        <v>44927.0</v>
      </c>
      <c r="B11682" s="24" t="s">
        <v>7100</v>
      </c>
      <c r="C11682" s="24" t="s">
        <v>6922</v>
      </c>
      <c r="D11682" s="59">
        <v>91.0</v>
      </c>
      <c r="E11682" s="59">
        <v>98.0</v>
      </c>
      <c r="F11682" s="59">
        <v>87.0</v>
      </c>
      <c r="G11682" s="60">
        <v>1.08888888888888</v>
      </c>
      <c r="H11682" s="60">
        <v>0.163265306122448</v>
      </c>
      <c r="I11682" s="60">
        <v>27.6151577959183</v>
      </c>
      <c r="J11682" s="59">
        <v>214.0</v>
      </c>
      <c r="K11682" s="61">
        <f t="shared" si="1"/>
        <v>0.887755102</v>
      </c>
      <c r="L11682" s="62">
        <f t="shared" si="2"/>
        <v>2.183673469</v>
      </c>
    </row>
    <row r="11683">
      <c r="A11683" s="58">
        <v>44927.0</v>
      </c>
      <c r="B11683" s="24" t="s">
        <v>6794</v>
      </c>
      <c r="C11683" s="24" t="s">
        <v>6815</v>
      </c>
      <c r="D11683" s="59">
        <v>86.0</v>
      </c>
      <c r="E11683" s="59">
        <v>90.0</v>
      </c>
      <c r="F11683" s="59">
        <v>80.0</v>
      </c>
      <c r="G11683" s="60">
        <v>1.04651162790697</v>
      </c>
      <c r="H11683" s="60">
        <v>0.0111111111111111</v>
      </c>
      <c r="I11683" s="60">
        <v>97.5410635666666</v>
      </c>
      <c r="J11683" s="59">
        <v>266.0</v>
      </c>
      <c r="K11683" s="61">
        <f t="shared" si="1"/>
        <v>0.8888888889</v>
      </c>
      <c r="L11683" s="62">
        <f t="shared" si="2"/>
        <v>2.955555556</v>
      </c>
    </row>
    <row r="11684">
      <c r="A11684" s="58">
        <v>44927.0</v>
      </c>
      <c r="B11684" s="24" t="s">
        <v>155</v>
      </c>
      <c r="C11684" s="27"/>
      <c r="D11684" s="59">
        <v>64.0</v>
      </c>
      <c r="E11684" s="59">
        <v>76.0</v>
      </c>
      <c r="F11684" s="59">
        <v>58.0</v>
      </c>
      <c r="G11684" s="60">
        <v>1.1875</v>
      </c>
      <c r="H11684" s="60">
        <v>0.0</v>
      </c>
      <c r="I11684" s="60">
        <v>218.651810947368</v>
      </c>
      <c r="J11684" s="59">
        <v>298.0</v>
      </c>
      <c r="K11684" s="61">
        <f t="shared" si="1"/>
        <v>0.7631578947</v>
      </c>
      <c r="L11684" s="62">
        <f t="shared" si="2"/>
        <v>3.921052632</v>
      </c>
    </row>
    <row r="11685">
      <c r="A11685" s="58">
        <v>44927.0</v>
      </c>
      <c r="B11685" s="24" t="s">
        <v>6787</v>
      </c>
      <c r="C11685" s="24" t="s">
        <v>6792</v>
      </c>
      <c r="D11685" s="59">
        <v>53.0</v>
      </c>
      <c r="E11685" s="59">
        <v>61.0</v>
      </c>
      <c r="F11685" s="59">
        <v>0.0</v>
      </c>
      <c r="G11685" s="60">
        <v>1.69444444444444</v>
      </c>
      <c r="H11685" s="60">
        <v>0.950819672131147</v>
      </c>
      <c r="I11685" s="60">
        <v>1.66443257377049</v>
      </c>
      <c r="J11685" s="59">
        <v>0.0</v>
      </c>
      <c r="K11685" s="61">
        <f t="shared" si="1"/>
        <v>0</v>
      </c>
      <c r="L11685" s="62">
        <f t="shared" si="2"/>
        <v>0</v>
      </c>
    </row>
    <row r="11686">
      <c r="A11686" s="58">
        <v>44927.0</v>
      </c>
      <c r="B11686" s="24" t="s">
        <v>6790</v>
      </c>
      <c r="C11686" s="24" t="s">
        <v>6921</v>
      </c>
      <c r="D11686" s="59">
        <v>53.0</v>
      </c>
      <c r="E11686" s="59">
        <v>54.0</v>
      </c>
      <c r="F11686" s="59">
        <v>48.0</v>
      </c>
      <c r="G11686" s="60">
        <v>1.05882352941176</v>
      </c>
      <c r="H11686" s="60">
        <v>0.203703703703703</v>
      </c>
      <c r="I11686" s="60">
        <v>20.3211507592592</v>
      </c>
      <c r="J11686" s="59">
        <v>108.0</v>
      </c>
      <c r="K11686" s="61">
        <f t="shared" si="1"/>
        <v>0.8888888889</v>
      </c>
      <c r="L11686" s="62">
        <f t="shared" si="2"/>
        <v>2</v>
      </c>
    </row>
    <row r="11687">
      <c r="A11687" s="58">
        <v>44927.0</v>
      </c>
      <c r="B11687" s="24" t="s">
        <v>6791</v>
      </c>
      <c r="C11687" s="24" t="s">
        <v>7624</v>
      </c>
      <c r="D11687" s="59">
        <v>51.0</v>
      </c>
      <c r="E11687" s="59">
        <v>53.0</v>
      </c>
      <c r="F11687" s="59">
        <v>47.0</v>
      </c>
      <c r="G11687" s="60">
        <v>1.0392156862745</v>
      </c>
      <c r="H11687" s="60">
        <v>0.0</v>
      </c>
      <c r="I11687" s="60">
        <v>87.7157510377358</v>
      </c>
      <c r="J11687" s="59">
        <v>120.0</v>
      </c>
      <c r="K11687" s="61">
        <f t="shared" si="1"/>
        <v>0.8867924528</v>
      </c>
      <c r="L11687" s="62">
        <f t="shared" si="2"/>
        <v>2.264150943</v>
      </c>
    </row>
    <row r="11688">
      <c r="A11688" s="58">
        <v>44927.0</v>
      </c>
      <c r="B11688" s="24" t="s">
        <v>6794</v>
      </c>
      <c r="C11688" s="24" t="s">
        <v>6921</v>
      </c>
      <c r="D11688" s="59">
        <v>51.0</v>
      </c>
      <c r="E11688" s="59">
        <v>60.0</v>
      </c>
      <c r="F11688" s="59">
        <v>47.0</v>
      </c>
      <c r="G11688" s="60">
        <v>1.2</v>
      </c>
      <c r="H11688" s="60">
        <v>0.25</v>
      </c>
      <c r="I11688" s="60">
        <v>16.97863015</v>
      </c>
      <c r="J11688" s="59">
        <v>125.0</v>
      </c>
      <c r="K11688" s="61">
        <f t="shared" si="1"/>
        <v>0.7833333333</v>
      </c>
      <c r="L11688" s="62">
        <f t="shared" si="2"/>
        <v>2.083333333</v>
      </c>
    </row>
    <row r="11689">
      <c r="A11689" s="58">
        <v>44927.0</v>
      </c>
      <c r="B11689" s="24" t="s">
        <v>6794</v>
      </c>
      <c r="C11689" s="24" t="s">
        <v>6792</v>
      </c>
      <c r="D11689" s="59">
        <v>40.0</v>
      </c>
      <c r="E11689" s="59">
        <v>50.0</v>
      </c>
      <c r="F11689" s="59">
        <v>0.0</v>
      </c>
      <c r="G11689" s="60">
        <v>1.92307692307692</v>
      </c>
      <c r="H11689" s="60">
        <v>1.0</v>
      </c>
      <c r="I11689" s="60">
        <v>0.11200422</v>
      </c>
      <c r="J11689" s="59">
        <v>0.0</v>
      </c>
      <c r="K11689" s="61">
        <f t="shared" si="1"/>
        <v>0</v>
      </c>
      <c r="L11689" s="62">
        <f t="shared" si="2"/>
        <v>0</v>
      </c>
    </row>
    <row r="11690">
      <c r="A11690" s="58">
        <v>44927.0</v>
      </c>
      <c r="B11690" s="24" t="s">
        <v>6787</v>
      </c>
      <c r="C11690" s="24" t="s">
        <v>6815</v>
      </c>
      <c r="D11690" s="59">
        <v>39.0</v>
      </c>
      <c r="E11690" s="59">
        <v>58.0</v>
      </c>
      <c r="F11690" s="59">
        <v>38.0</v>
      </c>
      <c r="G11690" s="60">
        <v>1.48717948717948</v>
      </c>
      <c r="H11690" s="60">
        <v>0.0172413793103448</v>
      </c>
      <c r="I11690" s="60">
        <v>94.0066197586206</v>
      </c>
      <c r="J11690" s="59">
        <v>144.0</v>
      </c>
      <c r="K11690" s="61">
        <f t="shared" si="1"/>
        <v>0.6551724138</v>
      </c>
      <c r="L11690" s="62">
        <f t="shared" si="2"/>
        <v>2.482758621</v>
      </c>
    </row>
    <row r="11691">
      <c r="A11691" s="58">
        <v>44927.0</v>
      </c>
      <c r="B11691" s="24" t="s">
        <v>6787</v>
      </c>
      <c r="C11691" s="24" t="s">
        <v>6921</v>
      </c>
      <c r="D11691" s="59">
        <v>33.0</v>
      </c>
      <c r="E11691" s="59">
        <v>33.0</v>
      </c>
      <c r="F11691" s="59">
        <v>33.0</v>
      </c>
      <c r="G11691" s="60">
        <v>1.0</v>
      </c>
      <c r="H11691" s="60">
        <v>0.0</v>
      </c>
      <c r="I11691" s="60">
        <v>5.88260063636363</v>
      </c>
      <c r="J11691" s="59">
        <v>68.0</v>
      </c>
      <c r="K11691" s="61">
        <f t="shared" si="1"/>
        <v>1</v>
      </c>
      <c r="L11691" s="62">
        <f t="shared" si="2"/>
        <v>2.060606061</v>
      </c>
    </row>
    <row r="11692">
      <c r="A11692" s="58">
        <v>44927.0</v>
      </c>
      <c r="B11692" s="24" t="s">
        <v>6790</v>
      </c>
      <c r="C11692" s="24" t="s">
        <v>6792</v>
      </c>
      <c r="D11692" s="59">
        <v>31.0</v>
      </c>
      <c r="E11692" s="59">
        <v>32.0</v>
      </c>
      <c r="F11692" s="59">
        <v>0.0</v>
      </c>
      <c r="G11692" s="60">
        <v>1.68421052631578</v>
      </c>
      <c r="H11692" s="60">
        <v>0.90625</v>
      </c>
      <c r="I11692" s="60">
        <v>9.56848</v>
      </c>
      <c r="J11692" s="59">
        <v>0.0</v>
      </c>
      <c r="K11692" s="61">
        <f t="shared" si="1"/>
        <v>0</v>
      </c>
      <c r="L11692" s="62">
        <f t="shared" si="2"/>
        <v>0</v>
      </c>
    </row>
    <row r="11693">
      <c r="A11693" s="58">
        <v>44927.0</v>
      </c>
      <c r="B11693" s="24" t="s">
        <v>6789</v>
      </c>
      <c r="C11693" s="24" t="s">
        <v>6799</v>
      </c>
      <c r="D11693" s="59">
        <v>30.0</v>
      </c>
      <c r="E11693" s="59">
        <v>33.0</v>
      </c>
      <c r="F11693" s="59">
        <v>19.0</v>
      </c>
      <c r="G11693" s="60">
        <v>1.1</v>
      </c>
      <c r="H11693" s="60">
        <v>0.0</v>
      </c>
      <c r="I11693" s="60">
        <v>177.116001848484</v>
      </c>
      <c r="J11693" s="59">
        <v>106.0</v>
      </c>
      <c r="K11693" s="61">
        <f t="shared" si="1"/>
        <v>0.5757575758</v>
      </c>
      <c r="L11693" s="62">
        <f t="shared" si="2"/>
        <v>3.212121212</v>
      </c>
    </row>
    <row r="11694">
      <c r="A11694" s="58">
        <v>44927.0</v>
      </c>
      <c r="B11694" s="24" t="s">
        <v>6787</v>
      </c>
      <c r="C11694" s="24" t="s">
        <v>6922</v>
      </c>
      <c r="D11694" s="59">
        <v>24.0</v>
      </c>
      <c r="E11694" s="59">
        <v>24.0</v>
      </c>
      <c r="F11694" s="59">
        <v>21.0</v>
      </c>
      <c r="G11694" s="60">
        <v>1.0</v>
      </c>
      <c r="H11694" s="60">
        <v>0.0416666666666666</v>
      </c>
      <c r="I11694" s="60">
        <v>13.1466179166666</v>
      </c>
      <c r="J11694" s="59">
        <v>64.0</v>
      </c>
      <c r="K11694" s="61">
        <f t="shared" si="1"/>
        <v>0.875</v>
      </c>
      <c r="L11694" s="62">
        <f t="shared" si="2"/>
        <v>2.666666667</v>
      </c>
    </row>
    <row r="11695">
      <c r="A11695" s="58">
        <v>44927.0</v>
      </c>
      <c r="B11695" s="24" t="s">
        <v>6790</v>
      </c>
      <c r="C11695" s="27"/>
      <c r="D11695" s="59">
        <v>23.0</v>
      </c>
      <c r="E11695" s="59">
        <v>35.0</v>
      </c>
      <c r="F11695" s="59">
        <v>8.0</v>
      </c>
      <c r="G11695" s="60">
        <v>1.59090909090909</v>
      </c>
      <c r="H11695" s="60">
        <v>0.2</v>
      </c>
      <c r="I11695" s="60">
        <v>266.251854485714</v>
      </c>
      <c r="J11695" s="59">
        <v>123.0</v>
      </c>
      <c r="K11695" s="61">
        <f t="shared" si="1"/>
        <v>0.2285714286</v>
      </c>
      <c r="L11695" s="62">
        <f t="shared" si="2"/>
        <v>3.514285714</v>
      </c>
    </row>
    <row r="11696">
      <c r="A11696" s="58">
        <v>44927.0</v>
      </c>
      <c r="B11696" s="24" t="s">
        <v>7100</v>
      </c>
      <c r="C11696" s="24" t="s">
        <v>6921</v>
      </c>
      <c r="D11696" s="59">
        <v>17.0</v>
      </c>
      <c r="E11696" s="59">
        <v>19.0</v>
      </c>
      <c r="F11696" s="59">
        <v>16.0</v>
      </c>
      <c r="G11696" s="60">
        <v>1.11764705882352</v>
      </c>
      <c r="H11696" s="60">
        <v>0.0526315789473684</v>
      </c>
      <c r="I11696" s="60">
        <v>90.8639844210526</v>
      </c>
      <c r="J11696" s="59">
        <v>50.0</v>
      </c>
      <c r="K11696" s="61">
        <f t="shared" si="1"/>
        <v>0.8421052632</v>
      </c>
      <c r="L11696" s="62">
        <f t="shared" si="2"/>
        <v>2.631578947</v>
      </c>
    </row>
    <row r="11697">
      <c r="A11697" s="58">
        <v>44927.0</v>
      </c>
      <c r="B11697" s="24" t="s">
        <v>6790</v>
      </c>
      <c r="C11697" s="24" t="s">
        <v>7067</v>
      </c>
      <c r="D11697" s="59">
        <v>15.0</v>
      </c>
      <c r="E11697" s="59">
        <v>18.0</v>
      </c>
      <c r="F11697" s="59">
        <v>13.0</v>
      </c>
      <c r="G11697" s="60">
        <v>1.2</v>
      </c>
      <c r="H11697" s="60">
        <v>0.0555555555555555</v>
      </c>
      <c r="I11697" s="60">
        <v>218.160638888888</v>
      </c>
      <c r="J11697" s="59">
        <v>61.0</v>
      </c>
      <c r="K11697" s="61">
        <f t="shared" si="1"/>
        <v>0.7222222222</v>
      </c>
      <c r="L11697" s="62">
        <f t="shared" si="2"/>
        <v>3.388888889</v>
      </c>
    </row>
    <row r="11698">
      <c r="A11698" s="58">
        <v>44927.0</v>
      </c>
      <c r="B11698" s="24" t="s">
        <v>6787</v>
      </c>
      <c r="C11698" s="24" t="s">
        <v>7624</v>
      </c>
      <c r="D11698" s="59">
        <v>15.0</v>
      </c>
      <c r="E11698" s="59">
        <v>16.0</v>
      </c>
      <c r="F11698" s="59">
        <v>12.0</v>
      </c>
      <c r="G11698" s="60">
        <v>1.06666666666666</v>
      </c>
      <c r="H11698" s="60">
        <v>0.0625</v>
      </c>
      <c r="I11698" s="60">
        <v>216.654899999999</v>
      </c>
      <c r="J11698" s="59">
        <v>94.0</v>
      </c>
      <c r="K11698" s="61">
        <f t="shared" si="1"/>
        <v>0.75</v>
      </c>
      <c r="L11698" s="62">
        <f t="shared" si="2"/>
        <v>5.875</v>
      </c>
    </row>
    <row r="11699">
      <c r="A11699" s="58">
        <v>44927.0</v>
      </c>
      <c r="B11699" s="24" t="s">
        <v>6789</v>
      </c>
      <c r="C11699" s="24" t="s">
        <v>6808</v>
      </c>
      <c r="D11699" s="59">
        <v>15.0</v>
      </c>
      <c r="E11699" s="59">
        <v>16.0</v>
      </c>
      <c r="F11699" s="59">
        <v>9.0</v>
      </c>
      <c r="G11699" s="60">
        <v>1.06666666666666</v>
      </c>
      <c r="H11699" s="60">
        <v>0.0</v>
      </c>
      <c r="I11699" s="60">
        <v>333.4699400625</v>
      </c>
      <c r="J11699" s="59">
        <v>66.0</v>
      </c>
      <c r="K11699" s="61">
        <f t="shared" si="1"/>
        <v>0.5625</v>
      </c>
      <c r="L11699" s="62">
        <f t="shared" si="2"/>
        <v>4.125</v>
      </c>
    </row>
    <row r="11700">
      <c r="A11700" s="58">
        <v>44927.0</v>
      </c>
      <c r="B11700" s="24" t="s">
        <v>6787</v>
      </c>
      <c r="C11700" s="24" t="s">
        <v>6803</v>
      </c>
      <c r="D11700" s="59">
        <v>14.0</v>
      </c>
      <c r="E11700" s="59">
        <v>40.0</v>
      </c>
      <c r="F11700" s="59">
        <v>10.0</v>
      </c>
      <c r="G11700" s="60">
        <v>2.85714285714285</v>
      </c>
      <c r="H11700" s="60">
        <v>0.0</v>
      </c>
      <c r="I11700" s="60">
        <v>190.48159785</v>
      </c>
      <c r="J11700" s="59">
        <v>179.0</v>
      </c>
      <c r="K11700" s="61">
        <f t="shared" si="1"/>
        <v>0.25</v>
      </c>
      <c r="L11700" s="62">
        <f t="shared" si="2"/>
        <v>4.475</v>
      </c>
    </row>
    <row r="11701">
      <c r="A11701" s="58">
        <v>44927.0</v>
      </c>
      <c r="B11701" s="24" t="s">
        <v>6789</v>
      </c>
      <c r="C11701" s="24" t="s">
        <v>6835</v>
      </c>
      <c r="D11701" s="59">
        <v>13.0</v>
      </c>
      <c r="E11701" s="59">
        <v>14.0</v>
      </c>
      <c r="F11701" s="59">
        <v>12.0</v>
      </c>
      <c r="G11701" s="60">
        <v>1.07692307692307</v>
      </c>
      <c r="H11701" s="60">
        <v>0.0</v>
      </c>
      <c r="I11701" s="60">
        <v>476.793856642857</v>
      </c>
      <c r="J11701" s="59">
        <v>32.0</v>
      </c>
      <c r="K11701" s="61">
        <f t="shared" si="1"/>
        <v>0.8571428571</v>
      </c>
      <c r="L11701" s="62">
        <f t="shared" si="2"/>
        <v>2.285714286</v>
      </c>
    </row>
    <row r="11702">
      <c r="A11702" s="58">
        <v>44927.0</v>
      </c>
      <c r="B11702" s="24" t="s">
        <v>6787</v>
      </c>
      <c r="C11702" s="24" t="s">
        <v>7027</v>
      </c>
      <c r="D11702" s="59">
        <v>12.0</v>
      </c>
      <c r="E11702" s="59">
        <v>12.0</v>
      </c>
      <c r="F11702" s="59">
        <v>11.0</v>
      </c>
      <c r="G11702" s="60">
        <v>1.0</v>
      </c>
      <c r="H11702" s="60">
        <v>0.0</v>
      </c>
      <c r="I11702" s="60">
        <v>289.498379999999</v>
      </c>
      <c r="J11702" s="59">
        <v>30.0</v>
      </c>
      <c r="K11702" s="61">
        <f t="shared" si="1"/>
        <v>0.9166666667</v>
      </c>
      <c r="L11702" s="62">
        <f t="shared" si="2"/>
        <v>2.5</v>
      </c>
    </row>
    <row r="11703">
      <c r="A11703" s="58">
        <v>44927.0</v>
      </c>
      <c r="B11703" s="24" t="s">
        <v>6789</v>
      </c>
      <c r="C11703" s="24" t="s">
        <v>6802</v>
      </c>
      <c r="D11703" s="59">
        <v>12.0</v>
      </c>
      <c r="E11703" s="59">
        <v>19.0</v>
      </c>
      <c r="F11703" s="59">
        <v>2.0</v>
      </c>
      <c r="G11703" s="60">
        <v>1.72727272727272</v>
      </c>
      <c r="H11703" s="60">
        <v>0.105263157894736</v>
      </c>
      <c r="I11703" s="60">
        <v>307.826152</v>
      </c>
      <c r="J11703" s="59">
        <v>54.0</v>
      </c>
      <c r="K11703" s="61">
        <f t="shared" si="1"/>
        <v>0.1052631579</v>
      </c>
      <c r="L11703" s="62">
        <f t="shared" si="2"/>
        <v>2.842105263</v>
      </c>
    </row>
    <row r="11704">
      <c r="A11704" s="58">
        <v>44927.0</v>
      </c>
      <c r="B11704" s="24" t="s">
        <v>6787</v>
      </c>
      <c r="C11704" s="24" t="s">
        <v>6799</v>
      </c>
      <c r="D11704" s="59">
        <v>11.0</v>
      </c>
      <c r="E11704" s="59">
        <v>12.0</v>
      </c>
      <c r="F11704" s="59">
        <v>9.0</v>
      </c>
      <c r="G11704" s="60">
        <v>1.09090909090909</v>
      </c>
      <c r="H11704" s="60">
        <v>0.0</v>
      </c>
      <c r="I11704" s="60">
        <v>197.750602333333</v>
      </c>
      <c r="J11704" s="59">
        <v>34.0</v>
      </c>
      <c r="K11704" s="61">
        <f t="shared" si="1"/>
        <v>0.75</v>
      </c>
      <c r="L11704" s="62">
        <f t="shared" si="2"/>
        <v>2.833333333</v>
      </c>
    </row>
    <row r="11705">
      <c r="A11705" s="58">
        <v>44927.0</v>
      </c>
      <c r="B11705" s="24" t="s">
        <v>6787</v>
      </c>
      <c r="C11705" s="24" t="s">
        <v>7068</v>
      </c>
      <c r="D11705" s="59">
        <v>10.0</v>
      </c>
      <c r="E11705" s="59">
        <v>13.0</v>
      </c>
      <c r="F11705" s="59">
        <v>9.0</v>
      </c>
      <c r="G11705" s="60">
        <v>1.3</v>
      </c>
      <c r="H11705" s="60">
        <v>0.0</v>
      </c>
      <c r="I11705" s="60">
        <v>251.170897076923</v>
      </c>
      <c r="J11705" s="59">
        <v>28.0</v>
      </c>
      <c r="K11705" s="61">
        <f t="shared" si="1"/>
        <v>0.6923076923</v>
      </c>
      <c r="L11705" s="62">
        <f t="shared" si="2"/>
        <v>2.153846154</v>
      </c>
    </row>
    <row r="11706">
      <c r="A11706" s="58">
        <v>44927.0</v>
      </c>
      <c r="B11706" s="24" t="s">
        <v>7606</v>
      </c>
      <c r="C11706" s="24" t="s">
        <v>7624</v>
      </c>
      <c r="D11706" s="59">
        <v>10.0</v>
      </c>
      <c r="E11706" s="59">
        <v>12.0</v>
      </c>
      <c r="F11706" s="59">
        <v>10.0</v>
      </c>
      <c r="G11706" s="60">
        <v>1.2</v>
      </c>
      <c r="H11706" s="60">
        <v>0.166666666666666</v>
      </c>
      <c r="I11706" s="60">
        <v>61.0803681666666</v>
      </c>
      <c r="J11706" s="59">
        <v>22.0</v>
      </c>
      <c r="K11706" s="61">
        <f t="shared" si="1"/>
        <v>0.8333333333</v>
      </c>
      <c r="L11706" s="62">
        <f t="shared" si="2"/>
        <v>1.833333333</v>
      </c>
    </row>
    <row r="11707">
      <c r="A11707" s="58">
        <v>44927.0</v>
      </c>
      <c r="B11707" s="24" t="s">
        <v>6787</v>
      </c>
      <c r="C11707" s="24" t="s">
        <v>6797</v>
      </c>
      <c r="D11707" s="59">
        <v>9.0</v>
      </c>
      <c r="E11707" s="59">
        <v>9.0</v>
      </c>
      <c r="F11707" s="59">
        <v>8.0</v>
      </c>
      <c r="G11707" s="60">
        <v>1.0</v>
      </c>
      <c r="H11707" s="60">
        <v>0.0</v>
      </c>
      <c r="I11707" s="60">
        <v>7.70779022222222</v>
      </c>
      <c r="J11707" s="59">
        <v>18.0</v>
      </c>
      <c r="K11707" s="61">
        <f t="shared" si="1"/>
        <v>0.8888888889</v>
      </c>
      <c r="L11707" s="62">
        <f t="shared" si="2"/>
        <v>2</v>
      </c>
    </row>
    <row r="11708">
      <c r="A11708" s="58">
        <v>44927.0</v>
      </c>
      <c r="B11708" s="24" t="s">
        <v>6789</v>
      </c>
      <c r="C11708" s="24" t="s">
        <v>6819</v>
      </c>
      <c r="D11708" s="59">
        <v>8.0</v>
      </c>
      <c r="E11708" s="59">
        <v>10.0</v>
      </c>
      <c r="F11708" s="59">
        <v>6.0</v>
      </c>
      <c r="G11708" s="60">
        <v>1.25</v>
      </c>
      <c r="H11708" s="60">
        <v>0.0</v>
      </c>
      <c r="I11708" s="60">
        <v>619.560042599999</v>
      </c>
      <c r="J11708" s="59">
        <v>34.0</v>
      </c>
      <c r="K11708" s="61">
        <f t="shared" si="1"/>
        <v>0.6</v>
      </c>
      <c r="L11708" s="62">
        <f t="shared" si="2"/>
        <v>3.4</v>
      </c>
    </row>
    <row r="11709">
      <c r="A11709" s="58">
        <v>44927.0</v>
      </c>
      <c r="B11709" s="24" t="s">
        <v>6789</v>
      </c>
      <c r="C11709" s="24" t="s">
        <v>7313</v>
      </c>
      <c r="D11709" s="59">
        <v>8.0</v>
      </c>
      <c r="E11709" s="59">
        <v>11.0</v>
      </c>
      <c r="F11709" s="59">
        <v>5.0</v>
      </c>
      <c r="G11709" s="60">
        <v>1.375</v>
      </c>
      <c r="H11709" s="60">
        <v>0.0</v>
      </c>
      <c r="I11709" s="60">
        <v>232.941048818181</v>
      </c>
      <c r="J11709" s="59">
        <v>26.0</v>
      </c>
      <c r="K11709" s="61">
        <f t="shared" si="1"/>
        <v>0.4545454545</v>
      </c>
      <c r="L11709" s="62">
        <f t="shared" si="2"/>
        <v>2.363636364</v>
      </c>
    </row>
    <row r="11710">
      <c r="A11710" s="58">
        <v>44927.0</v>
      </c>
      <c r="B11710" s="24" t="s">
        <v>6794</v>
      </c>
      <c r="C11710" s="24" t="s">
        <v>6989</v>
      </c>
      <c r="D11710" s="59">
        <v>7.0</v>
      </c>
      <c r="E11710" s="59">
        <v>10.0</v>
      </c>
      <c r="F11710" s="59">
        <v>0.0</v>
      </c>
      <c r="G11710" s="60">
        <v>1.42857142857142</v>
      </c>
      <c r="H11710" s="60">
        <v>0.0</v>
      </c>
      <c r="I11710" s="60">
        <v>160.844480799999</v>
      </c>
      <c r="J11710" s="59">
        <v>27.0</v>
      </c>
      <c r="K11710" s="61">
        <f t="shared" si="1"/>
        <v>0</v>
      </c>
      <c r="L11710" s="62">
        <f t="shared" si="2"/>
        <v>2.7</v>
      </c>
    </row>
    <row r="11711">
      <c r="A11711" s="58">
        <v>44927.0</v>
      </c>
      <c r="B11711" s="24" t="s">
        <v>6787</v>
      </c>
      <c r="C11711" s="24" t="s">
        <v>6800</v>
      </c>
      <c r="D11711" s="59">
        <v>7.0</v>
      </c>
      <c r="E11711" s="59">
        <v>8.0</v>
      </c>
      <c r="F11711" s="59">
        <v>6.0</v>
      </c>
      <c r="G11711" s="60">
        <v>1.14285714285714</v>
      </c>
      <c r="H11711" s="60">
        <v>0.0</v>
      </c>
      <c r="I11711" s="60">
        <v>124.541669375</v>
      </c>
      <c r="J11711" s="59">
        <v>22.0</v>
      </c>
      <c r="K11711" s="61">
        <f t="shared" si="1"/>
        <v>0.75</v>
      </c>
      <c r="L11711" s="62">
        <f t="shared" si="2"/>
        <v>2.75</v>
      </c>
    </row>
    <row r="11712">
      <c r="A11712" s="58">
        <v>44927.0</v>
      </c>
      <c r="B11712" s="24" t="s">
        <v>6789</v>
      </c>
      <c r="C11712" s="24" t="s">
        <v>7027</v>
      </c>
      <c r="D11712" s="59">
        <v>7.0</v>
      </c>
      <c r="E11712" s="59">
        <v>9.0</v>
      </c>
      <c r="F11712" s="59">
        <v>1.0</v>
      </c>
      <c r="G11712" s="60">
        <v>1.28571428571428</v>
      </c>
      <c r="H11712" s="60">
        <v>0.0</v>
      </c>
      <c r="I11712" s="60">
        <v>448.539903777777</v>
      </c>
      <c r="J11712" s="59">
        <v>22.0</v>
      </c>
      <c r="K11712" s="61">
        <f t="shared" si="1"/>
        <v>0.1111111111</v>
      </c>
      <c r="L11712" s="62">
        <f t="shared" si="2"/>
        <v>2.444444444</v>
      </c>
    </row>
    <row r="11713">
      <c r="A11713" s="58">
        <v>44927.0</v>
      </c>
      <c r="B11713" s="24" t="s">
        <v>6789</v>
      </c>
      <c r="C11713" s="24" t="s">
        <v>6815</v>
      </c>
      <c r="D11713" s="59">
        <v>7.0</v>
      </c>
      <c r="E11713" s="59">
        <v>11.0</v>
      </c>
      <c r="F11713" s="59">
        <v>3.0</v>
      </c>
      <c r="G11713" s="60">
        <v>1.57142857142857</v>
      </c>
      <c r="H11713" s="60">
        <v>0.0</v>
      </c>
      <c r="I11713" s="60">
        <v>19.6234908181818</v>
      </c>
      <c r="J11713" s="59">
        <v>28.0</v>
      </c>
      <c r="K11713" s="61">
        <f t="shared" si="1"/>
        <v>0.2727272727</v>
      </c>
      <c r="L11713" s="62">
        <f t="shared" si="2"/>
        <v>2.545454545</v>
      </c>
    </row>
    <row r="11714">
      <c r="A11714" s="58">
        <v>44927.0</v>
      </c>
      <c r="B11714" s="24" t="s">
        <v>155</v>
      </c>
      <c r="C11714" s="24" t="s">
        <v>6921</v>
      </c>
      <c r="D11714" s="59">
        <v>7.0</v>
      </c>
      <c r="E11714" s="59">
        <v>7.0</v>
      </c>
      <c r="F11714" s="59">
        <v>7.0</v>
      </c>
      <c r="G11714" s="60">
        <v>1.0</v>
      </c>
      <c r="H11714" s="60">
        <v>0.0</v>
      </c>
      <c r="I11714" s="60">
        <v>15.6002948571428</v>
      </c>
      <c r="J11714" s="59">
        <v>16.0</v>
      </c>
      <c r="K11714" s="61">
        <f t="shared" si="1"/>
        <v>1</v>
      </c>
      <c r="L11714" s="62">
        <f t="shared" si="2"/>
        <v>2.285714286</v>
      </c>
    </row>
    <row r="11715">
      <c r="A11715" s="58">
        <v>44927.0</v>
      </c>
      <c r="B11715" s="24" t="s">
        <v>6789</v>
      </c>
      <c r="C11715" s="24" t="s">
        <v>6797</v>
      </c>
      <c r="D11715" s="59">
        <v>7.0</v>
      </c>
      <c r="E11715" s="59">
        <v>10.0</v>
      </c>
      <c r="F11715" s="59">
        <v>4.0</v>
      </c>
      <c r="G11715" s="60">
        <v>1.42857142857142</v>
      </c>
      <c r="H11715" s="60">
        <v>0.0</v>
      </c>
      <c r="I11715" s="60">
        <v>235.256376</v>
      </c>
      <c r="J11715" s="59">
        <v>25.0</v>
      </c>
      <c r="K11715" s="61">
        <f t="shared" si="1"/>
        <v>0.4</v>
      </c>
      <c r="L11715" s="62">
        <f t="shared" si="2"/>
        <v>2.5</v>
      </c>
    </row>
    <row r="11716">
      <c r="A11716" s="58">
        <v>44927.0</v>
      </c>
      <c r="B11716" s="24" t="s">
        <v>6787</v>
      </c>
      <c r="C11716" s="24" t="s">
        <v>6931</v>
      </c>
      <c r="D11716" s="59">
        <v>7.0</v>
      </c>
      <c r="E11716" s="59">
        <v>8.0</v>
      </c>
      <c r="F11716" s="59">
        <v>5.0</v>
      </c>
      <c r="G11716" s="60">
        <v>1.14285714285714</v>
      </c>
      <c r="H11716" s="60">
        <v>0.0</v>
      </c>
      <c r="I11716" s="60">
        <v>48.96924975</v>
      </c>
      <c r="J11716" s="59">
        <v>19.0</v>
      </c>
      <c r="K11716" s="61">
        <f t="shared" si="1"/>
        <v>0.625</v>
      </c>
      <c r="L11716" s="62">
        <f t="shared" si="2"/>
        <v>2.375</v>
      </c>
    </row>
    <row r="11717">
      <c r="A11717" s="58">
        <v>44927.0</v>
      </c>
      <c r="B11717" s="24" t="s">
        <v>6787</v>
      </c>
      <c r="C11717" s="24" t="s">
        <v>6802</v>
      </c>
      <c r="D11717" s="59">
        <v>7.0</v>
      </c>
      <c r="E11717" s="59">
        <v>7.0</v>
      </c>
      <c r="F11717" s="59">
        <v>5.0</v>
      </c>
      <c r="G11717" s="60">
        <v>1.0</v>
      </c>
      <c r="H11717" s="60">
        <v>0.0</v>
      </c>
      <c r="I11717" s="60">
        <v>659.67251</v>
      </c>
      <c r="J11717" s="59">
        <v>51.0</v>
      </c>
      <c r="K11717" s="61">
        <f t="shared" si="1"/>
        <v>0.7142857143</v>
      </c>
      <c r="L11717" s="62">
        <f t="shared" si="2"/>
        <v>7.285714286</v>
      </c>
    </row>
    <row r="11718">
      <c r="A11718" s="58">
        <v>44927.0</v>
      </c>
      <c r="B11718" s="24" t="s">
        <v>3216</v>
      </c>
      <c r="C11718" s="24" t="s">
        <v>6792</v>
      </c>
      <c r="D11718" s="59">
        <v>6.0</v>
      </c>
      <c r="E11718" s="59">
        <v>7.0</v>
      </c>
      <c r="F11718" s="59">
        <v>0.0</v>
      </c>
      <c r="G11718" s="60">
        <v>1.4</v>
      </c>
      <c r="H11718" s="60">
        <v>1.0</v>
      </c>
      <c r="I11718" s="60">
        <v>0.118918142857142</v>
      </c>
      <c r="J11718" s="59">
        <v>0.0</v>
      </c>
      <c r="K11718" s="61">
        <f t="shared" si="1"/>
        <v>0</v>
      </c>
      <c r="L11718" s="62">
        <f t="shared" si="2"/>
        <v>0</v>
      </c>
    </row>
    <row r="11719">
      <c r="A11719" s="58">
        <v>44927.0</v>
      </c>
      <c r="B11719" s="24" t="s">
        <v>155</v>
      </c>
      <c r="C11719" s="24" t="s">
        <v>6792</v>
      </c>
      <c r="D11719" s="59">
        <v>6.0</v>
      </c>
      <c r="E11719" s="59">
        <v>12.0</v>
      </c>
      <c r="F11719" s="59">
        <v>0.0</v>
      </c>
      <c r="G11719" s="60">
        <v>4.0</v>
      </c>
      <c r="H11719" s="60">
        <v>0.916666666666666</v>
      </c>
      <c r="I11719" s="60">
        <v>1.23514641666666</v>
      </c>
      <c r="J11719" s="59">
        <v>0.0</v>
      </c>
      <c r="K11719" s="61">
        <f t="shared" si="1"/>
        <v>0</v>
      </c>
      <c r="L11719" s="62">
        <f t="shared" si="2"/>
        <v>0</v>
      </c>
    </row>
    <row r="11720">
      <c r="A11720" s="58">
        <v>44927.0</v>
      </c>
      <c r="B11720" s="24" t="s">
        <v>6789</v>
      </c>
      <c r="C11720" s="24" t="s">
        <v>7058</v>
      </c>
      <c r="D11720" s="59">
        <v>6.0</v>
      </c>
      <c r="E11720" s="59">
        <v>6.0</v>
      </c>
      <c r="F11720" s="59">
        <v>5.0</v>
      </c>
      <c r="G11720" s="60">
        <v>1.0</v>
      </c>
      <c r="H11720" s="60">
        <v>0.0</v>
      </c>
      <c r="I11720" s="60">
        <v>101.0253255</v>
      </c>
      <c r="J11720" s="59">
        <v>13.0</v>
      </c>
      <c r="K11720" s="61">
        <f t="shared" si="1"/>
        <v>0.8333333333</v>
      </c>
      <c r="L11720" s="62">
        <f t="shared" si="2"/>
        <v>2.166666667</v>
      </c>
    </row>
    <row r="11721">
      <c r="A11721" s="58">
        <v>44927.0</v>
      </c>
      <c r="B11721" s="24" t="s">
        <v>6787</v>
      </c>
      <c r="C11721" s="24" t="s">
        <v>6835</v>
      </c>
      <c r="D11721" s="59">
        <v>6.0</v>
      </c>
      <c r="E11721" s="59">
        <v>6.0</v>
      </c>
      <c r="F11721" s="59">
        <v>6.0</v>
      </c>
      <c r="G11721" s="60">
        <v>1.0</v>
      </c>
      <c r="H11721" s="60">
        <v>0.333333333333333</v>
      </c>
      <c r="I11721" s="60">
        <v>419.7038065</v>
      </c>
      <c r="J11721" s="59">
        <v>16.0</v>
      </c>
      <c r="K11721" s="61">
        <f t="shared" si="1"/>
        <v>1</v>
      </c>
      <c r="L11721" s="62">
        <f t="shared" si="2"/>
        <v>2.666666667</v>
      </c>
    </row>
    <row r="11722">
      <c r="A11722" s="58">
        <v>44927.0</v>
      </c>
      <c r="B11722" s="24" t="s">
        <v>6789</v>
      </c>
      <c r="C11722" s="24" t="s">
        <v>6994</v>
      </c>
      <c r="D11722" s="59">
        <v>6.0</v>
      </c>
      <c r="E11722" s="59">
        <v>8.0</v>
      </c>
      <c r="F11722" s="59">
        <v>4.0</v>
      </c>
      <c r="G11722" s="60">
        <v>1.33333333333333</v>
      </c>
      <c r="H11722" s="60">
        <v>0.0</v>
      </c>
      <c r="I11722" s="60">
        <v>549.8140845</v>
      </c>
      <c r="J11722" s="59">
        <v>22.0</v>
      </c>
      <c r="K11722" s="61">
        <f t="shared" si="1"/>
        <v>0.5</v>
      </c>
      <c r="L11722" s="62">
        <f t="shared" si="2"/>
        <v>2.75</v>
      </c>
    </row>
    <row r="11723">
      <c r="A11723" s="58">
        <v>44927.0</v>
      </c>
      <c r="B11723" s="24" t="s">
        <v>6787</v>
      </c>
      <c r="C11723" s="24" t="s">
        <v>7511</v>
      </c>
      <c r="D11723" s="59">
        <v>6.0</v>
      </c>
      <c r="E11723" s="59">
        <v>12.0</v>
      </c>
      <c r="F11723" s="59">
        <v>4.0</v>
      </c>
      <c r="G11723" s="60">
        <v>2.0</v>
      </c>
      <c r="H11723" s="60">
        <v>0.0</v>
      </c>
      <c r="I11723" s="60">
        <v>986.85786175</v>
      </c>
      <c r="J11723" s="59">
        <v>125.0</v>
      </c>
      <c r="K11723" s="61">
        <f t="shared" si="1"/>
        <v>0.3333333333</v>
      </c>
      <c r="L11723" s="62">
        <f t="shared" si="2"/>
        <v>10.41666667</v>
      </c>
    </row>
    <row r="11724">
      <c r="A11724" s="58">
        <v>44927.0</v>
      </c>
      <c r="B11724" s="24" t="s">
        <v>7100</v>
      </c>
      <c r="C11724" s="24" t="s">
        <v>6907</v>
      </c>
      <c r="D11724" s="59">
        <v>6.0</v>
      </c>
      <c r="E11724" s="59">
        <v>6.0</v>
      </c>
      <c r="F11724" s="59">
        <v>6.0</v>
      </c>
      <c r="G11724" s="60">
        <v>1.0</v>
      </c>
      <c r="H11724" s="60">
        <v>0.0</v>
      </c>
      <c r="I11724" s="60">
        <v>6.857038</v>
      </c>
      <c r="J11724" s="59">
        <v>14.0</v>
      </c>
      <c r="K11724" s="61">
        <f t="shared" si="1"/>
        <v>1</v>
      </c>
      <c r="L11724" s="62">
        <f t="shared" si="2"/>
        <v>2.333333333</v>
      </c>
    </row>
    <row r="11725">
      <c r="A11725" s="58">
        <v>44927.0</v>
      </c>
      <c r="B11725" s="24" t="s">
        <v>6787</v>
      </c>
      <c r="C11725" s="24" t="s">
        <v>6989</v>
      </c>
      <c r="D11725" s="59">
        <v>5.0</v>
      </c>
      <c r="E11725" s="59">
        <v>6.0</v>
      </c>
      <c r="F11725" s="59">
        <v>1.0</v>
      </c>
      <c r="G11725" s="60">
        <v>1.2</v>
      </c>
      <c r="H11725" s="60">
        <v>0.0</v>
      </c>
      <c r="I11725" s="60">
        <v>219.574251166666</v>
      </c>
      <c r="J11725" s="59">
        <v>30.0</v>
      </c>
      <c r="K11725" s="61">
        <f t="shared" si="1"/>
        <v>0.1666666667</v>
      </c>
      <c r="L11725" s="62">
        <f t="shared" si="2"/>
        <v>5</v>
      </c>
    </row>
    <row r="11726">
      <c r="A11726" s="58">
        <v>44927.0</v>
      </c>
      <c r="B11726" s="24" t="s">
        <v>6794</v>
      </c>
      <c r="C11726" s="24" t="s">
        <v>7067</v>
      </c>
      <c r="D11726" s="59">
        <v>5.0</v>
      </c>
      <c r="E11726" s="59">
        <v>5.0</v>
      </c>
      <c r="F11726" s="59">
        <v>4.0</v>
      </c>
      <c r="G11726" s="60">
        <v>1.0</v>
      </c>
      <c r="H11726" s="60">
        <v>0.0</v>
      </c>
      <c r="I11726" s="60">
        <v>12.9283076</v>
      </c>
      <c r="J11726" s="59">
        <v>11.0</v>
      </c>
      <c r="K11726" s="61">
        <f t="shared" si="1"/>
        <v>0.8</v>
      </c>
      <c r="L11726" s="62">
        <f t="shared" si="2"/>
        <v>2.2</v>
      </c>
    </row>
    <row r="11727">
      <c r="A11727" s="58">
        <v>44927.0</v>
      </c>
      <c r="B11727" s="24" t="s">
        <v>6794</v>
      </c>
      <c r="C11727" s="24" t="s">
        <v>6994</v>
      </c>
      <c r="D11727" s="59">
        <v>5.0</v>
      </c>
      <c r="E11727" s="59">
        <v>5.0</v>
      </c>
      <c r="F11727" s="59">
        <v>3.0</v>
      </c>
      <c r="G11727" s="60">
        <v>1.0</v>
      </c>
      <c r="H11727" s="60">
        <v>0.0</v>
      </c>
      <c r="I11727" s="60">
        <v>202.7193336</v>
      </c>
      <c r="J11727" s="59">
        <v>10.0</v>
      </c>
      <c r="K11727" s="61">
        <f t="shared" si="1"/>
        <v>0.6</v>
      </c>
      <c r="L11727" s="62">
        <f t="shared" si="2"/>
        <v>2</v>
      </c>
    </row>
    <row r="11728">
      <c r="A11728" s="58">
        <v>44927.0</v>
      </c>
      <c r="B11728" s="24" t="s">
        <v>3216</v>
      </c>
      <c r="C11728" s="24" t="s">
        <v>7242</v>
      </c>
      <c r="D11728" s="59">
        <v>5.0</v>
      </c>
      <c r="E11728" s="59">
        <v>6.0</v>
      </c>
      <c r="F11728" s="59">
        <v>1.0</v>
      </c>
      <c r="G11728" s="60">
        <v>1.2</v>
      </c>
      <c r="H11728" s="60">
        <v>0.166666666666666</v>
      </c>
      <c r="I11728" s="60">
        <v>17.7019605</v>
      </c>
      <c r="J11728" s="59">
        <v>17.0</v>
      </c>
      <c r="K11728" s="61">
        <f t="shared" si="1"/>
        <v>0.1666666667</v>
      </c>
      <c r="L11728" s="62">
        <f t="shared" si="2"/>
        <v>2.833333333</v>
      </c>
    </row>
    <row r="11729">
      <c r="A11729" s="58">
        <v>44927.0</v>
      </c>
      <c r="B11729" s="24" t="s">
        <v>6794</v>
      </c>
      <c r="C11729" s="24" t="s">
        <v>7624</v>
      </c>
      <c r="D11729" s="59">
        <v>5.0</v>
      </c>
      <c r="E11729" s="59">
        <v>9.0</v>
      </c>
      <c r="F11729" s="59">
        <v>0.0</v>
      </c>
      <c r="G11729" s="60">
        <v>1.8</v>
      </c>
      <c r="H11729" s="60">
        <v>0.0</v>
      </c>
      <c r="I11729" s="60">
        <v>139.428166888888</v>
      </c>
      <c r="J11729" s="59">
        <v>27.0</v>
      </c>
      <c r="K11729" s="61">
        <f t="shared" si="1"/>
        <v>0</v>
      </c>
      <c r="L11729" s="62">
        <f t="shared" si="2"/>
        <v>3</v>
      </c>
    </row>
    <row r="11730">
      <c r="A11730" s="58">
        <v>44927.0</v>
      </c>
      <c r="B11730" s="24" t="s">
        <v>155</v>
      </c>
      <c r="C11730" s="24" t="s">
        <v>7624</v>
      </c>
      <c r="D11730" s="59">
        <v>5.0</v>
      </c>
      <c r="E11730" s="59">
        <v>8.0</v>
      </c>
      <c r="F11730" s="59">
        <v>4.0</v>
      </c>
      <c r="G11730" s="60">
        <v>1.6</v>
      </c>
      <c r="H11730" s="60">
        <v>0.0</v>
      </c>
      <c r="I11730" s="60">
        <v>19.214123625</v>
      </c>
      <c r="J11730" s="59">
        <v>19.0</v>
      </c>
      <c r="K11730" s="61">
        <f t="shared" si="1"/>
        <v>0.5</v>
      </c>
      <c r="L11730" s="62">
        <f t="shared" si="2"/>
        <v>2.375</v>
      </c>
    </row>
    <row r="11731">
      <c r="A11731" s="58">
        <v>44927.0</v>
      </c>
      <c r="B11731" s="24" t="s">
        <v>6787</v>
      </c>
      <c r="C11731" s="24" t="s">
        <v>7227</v>
      </c>
      <c r="D11731" s="59">
        <v>5.0</v>
      </c>
      <c r="E11731" s="59">
        <v>8.0</v>
      </c>
      <c r="F11731" s="59">
        <v>1.0</v>
      </c>
      <c r="G11731" s="60">
        <v>1.6</v>
      </c>
      <c r="H11731" s="60">
        <v>0.0</v>
      </c>
      <c r="I11731" s="60">
        <v>494.48856675</v>
      </c>
      <c r="J11731" s="59">
        <v>34.0</v>
      </c>
      <c r="K11731" s="61">
        <f t="shared" si="1"/>
        <v>0.125</v>
      </c>
      <c r="L11731" s="62">
        <f t="shared" si="2"/>
        <v>4.25</v>
      </c>
    </row>
    <row r="11732">
      <c r="A11732" s="58">
        <v>44927.0</v>
      </c>
      <c r="B11732" s="24" t="s">
        <v>6787</v>
      </c>
      <c r="C11732" s="24" t="s">
        <v>7172</v>
      </c>
      <c r="D11732" s="59">
        <v>5.0</v>
      </c>
      <c r="E11732" s="59">
        <v>5.0</v>
      </c>
      <c r="F11732" s="59">
        <v>2.0</v>
      </c>
      <c r="G11732" s="60">
        <v>1.0</v>
      </c>
      <c r="H11732" s="60">
        <v>0.0</v>
      </c>
      <c r="I11732" s="60">
        <v>377.2280598</v>
      </c>
      <c r="J11732" s="59">
        <v>30.0</v>
      </c>
      <c r="K11732" s="61">
        <f t="shared" si="1"/>
        <v>0.4</v>
      </c>
      <c r="L11732" s="62">
        <f t="shared" si="2"/>
        <v>6</v>
      </c>
    </row>
    <row r="11733">
      <c r="A11733" s="58">
        <v>44927.0</v>
      </c>
      <c r="B11733" s="24" t="s">
        <v>6787</v>
      </c>
      <c r="C11733" s="24" t="s">
        <v>6910</v>
      </c>
      <c r="D11733" s="59">
        <v>5.0</v>
      </c>
      <c r="E11733" s="59">
        <v>5.0</v>
      </c>
      <c r="F11733" s="59">
        <v>4.0</v>
      </c>
      <c r="G11733" s="60">
        <v>1.0</v>
      </c>
      <c r="H11733" s="60">
        <v>0.0</v>
      </c>
      <c r="I11733" s="60">
        <v>20.5872457999999</v>
      </c>
      <c r="J11733" s="59">
        <v>15.0</v>
      </c>
      <c r="K11733" s="61">
        <f t="shared" si="1"/>
        <v>0.8</v>
      </c>
      <c r="L11733" s="62">
        <f t="shared" si="2"/>
        <v>3</v>
      </c>
    </row>
    <row r="11734">
      <c r="A11734" s="58">
        <v>44927.0</v>
      </c>
      <c r="B11734" s="24" t="s">
        <v>6789</v>
      </c>
      <c r="C11734" s="24" t="s">
        <v>6922</v>
      </c>
      <c r="D11734" s="59">
        <v>5.0</v>
      </c>
      <c r="E11734" s="59">
        <v>5.0</v>
      </c>
      <c r="F11734" s="59">
        <v>2.0</v>
      </c>
      <c r="G11734" s="60">
        <v>1.0</v>
      </c>
      <c r="H11734" s="60">
        <v>0.0</v>
      </c>
      <c r="I11734" s="60">
        <v>252.0192466</v>
      </c>
      <c r="J11734" s="59">
        <v>31.0</v>
      </c>
      <c r="K11734" s="61">
        <f t="shared" si="1"/>
        <v>0.4</v>
      </c>
      <c r="L11734" s="62">
        <f t="shared" si="2"/>
        <v>6.2</v>
      </c>
    </row>
    <row r="11735">
      <c r="A11735" s="58">
        <v>44927.0</v>
      </c>
      <c r="B11735" s="24" t="s">
        <v>155</v>
      </c>
      <c r="C11735" s="24" t="s">
        <v>6922</v>
      </c>
      <c r="D11735" s="59">
        <v>5.0</v>
      </c>
      <c r="E11735" s="59">
        <v>5.0</v>
      </c>
      <c r="F11735" s="59">
        <v>5.0</v>
      </c>
      <c r="G11735" s="60">
        <v>1.0</v>
      </c>
      <c r="H11735" s="60">
        <v>0.0</v>
      </c>
      <c r="I11735" s="60">
        <v>4.2939138</v>
      </c>
      <c r="J11735" s="59">
        <v>10.0</v>
      </c>
      <c r="K11735" s="61">
        <f t="shared" si="1"/>
        <v>1</v>
      </c>
      <c r="L11735" s="62">
        <f t="shared" si="2"/>
        <v>2</v>
      </c>
    </row>
    <row r="11736">
      <c r="A11736" s="58">
        <v>44927.0</v>
      </c>
      <c r="B11736" s="24" t="s">
        <v>6787</v>
      </c>
      <c r="C11736" s="24" t="s">
        <v>6817</v>
      </c>
      <c r="D11736" s="59">
        <v>4.0</v>
      </c>
      <c r="E11736" s="59">
        <v>5.0</v>
      </c>
      <c r="F11736" s="59">
        <v>1.0</v>
      </c>
      <c r="G11736" s="60">
        <v>1.25</v>
      </c>
      <c r="H11736" s="60">
        <v>0.0</v>
      </c>
      <c r="I11736" s="60">
        <v>36.0494348</v>
      </c>
      <c r="J11736" s="59">
        <v>18.0</v>
      </c>
      <c r="K11736" s="61">
        <f t="shared" si="1"/>
        <v>0.2</v>
      </c>
      <c r="L11736" s="62">
        <f t="shared" si="2"/>
        <v>3.6</v>
      </c>
    </row>
    <row r="11737">
      <c r="A11737" s="58">
        <v>44927.0</v>
      </c>
      <c r="B11737" s="24" t="s">
        <v>6789</v>
      </c>
      <c r="C11737" s="24" t="s">
        <v>6817</v>
      </c>
      <c r="D11737" s="59">
        <v>4.0</v>
      </c>
      <c r="E11737" s="59">
        <v>5.0</v>
      </c>
      <c r="F11737" s="59">
        <v>2.0</v>
      </c>
      <c r="G11737" s="60">
        <v>1.25</v>
      </c>
      <c r="H11737" s="60">
        <v>0.0</v>
      </c>
      <c r="I11737" s="60">
        <v>83.7236122</v>
      </c>
      <c r="J11737" s="59">
        <v>27.0</v>
      </c>
      <c r="K11737" s="61">
        <f t="shared" si="1"/>
        <v>0.4</v>
      </c>
      <c r="L11737" s="62">
        <f t="shared" si="2"/>
        <v>5.4</v>
      </c>
    </row>
    <row r="11738">
      <c r="A11738" s="58">
        <v>44927.0</v>
      </c>
      <c r="B11738" s="24" t="s">
        <v>6794</v>
      </c>
      <c r="C11738" s="24" t="s">
        <v>6817</v>
      </c>
      <c r="D11738" s="59">
        <v>4.0</v>
      </c>
      <c r="E11738" s="59">
        <v>7.0</v>
      </c>
      <c r="F11738" s="59">
        <v>0.0</v>
      </c>
      <c r="G11738" s="60">
        <v>1.75</v>
      </c>
      <c r="H11738" s="60">
        <v>0.0</v>
      </c>
      <c r="I11738" s="60">
        <v>716.966392714285</v>
      </c>
      <c r="J11738" s="59">
        <v>52.0</v>
      </c>
      <c r="K11738" s="61">
        <f t="shared" si="1"/>
        <v>0</v>
      </c>
      <c r="L11738" s="62">
        <f t="shared" si="2"/>
        <v>7.428571429</v>
      </c>
    </row>
    <row r="11739">
      <c r="A11739" s="58">
        <v>44927.0</v>
      </c>
      <c r="B11739" s="24" t="s">
        <v>6789</v>
      </c>
      <c r="C11739" s="24" t="s">
        <v>6953</v>
      </c>
      <c r="D11739" s="59">
        <v>4.0</v>
      </c>
      <c r="E11739" s="59">
        <v>4.0</v>
      </c>
      <c r="F11739" s="59">
        <v>4.0</v>
      </c>
      <c r="G11739" s="60">
        <v>1.0</v>
      </c>
      <c r="H11739" s="60">
        <v>0.0</v>
      </c>
      <c r="I11739" s="60">
        <v>55.3431952499999</v>
      </c>
      <c r="J11739" s="59">
        <v>8.0</v>
      </c>
      <c r="K11739" s="61">
        <f t="shared" si="1"/>
        <v>1</v>
      </c>
      <c r="L11739" s="62">
        <f t="shared" si="2"/>
        <v>2</v>
      </c>
    </row>
    <row r="11740">
      <c r="A11740" s="58">
        <v>44927.0</v>
      </c>
      <c r="B11740" s="24" t="s">
        <v>6787</v>
      </c>
      <c r="C11740" s="24" t="s">
        <v>7059</v>
      </c>
      <c r="D11740" s="59">
        <v>4.0</v>
      </c>
      <c r="E11740" s="59">
        <v>4.0</v>
      </c>
      <c r="F11740" s="59">
        <v>4.0</v>
      </c>
      <c r="G11740" s="60">
        <v>1.0</v>
      </c>
      <c r="H11740" s="60">
        <v>0.0</v>
      </c>
      <c r="I11740" s="60">
        <v>22.16684475</v>
      </c>
      <c r="J11740" s="59">
        <v>10.0</v>
      </c>
      <c r="K11740" s="61">
        <f t="shared" si="1"/>
        <v>1</v>
      </c>
      <c r="L11740" s="62">
        <f t="shared" si="2"/>
        <v>2.5</v>
      </c>
    </row>
    <row r="11741">
      <c r="A11741" s="58">
        <v>44927.0</v>
      </c>
      <c r="B11741" s="24" t="s">
        <v>6794</v>
      </c>
      <c r="C11741" s="24" t="s">
        <v>6835</v>
      </c>
      <c r="D11741" s="59">
        <v>4.0</v>
      </c>
      <c r="E11741" s="59">
        <v>4.0</v>
      </c>
      <c r="F11741" s="59">
        <v>2.0</v>
      </c>
      <c r="G11741" s="60">
        <v>1.0</v>
      </c>
      <c r="H11741" s="60">
        <v>0.0</v>
      </c>
      <c r="I11741" s="60">
        <v>89.05197875</v>
      </c>
      <c r="J11741" s="59">
        <v>9.0</v>
      </c>
      <c r="K11741" s="61">
        <f t="shared" si="1"/>
        <v>0.5</v>
      </c>
      <c r="L11741" s="62">
        <f t="shared" si="2"/>
        <v>2.25</v>
      </c>
    </row>
    <row r="11742">
      <c r="A11742" s="58">
        <v>44927.0</v>
      </c>
      <c r="B11742" s="24" t="s">
        <v>6789</v>
      </c>
      <c r="C11742" s="24" t="s">
        <v>7072</v>
      </c>
      <c r="D11742" s="59">
        <v>4.0</v>
      </c>
      <c r="E11742" s="59">
        <v>4.0</v>
      </c>
      <c r="F11742" s="59">
        <v>4.0</v>
      </c>
      <c r="G11742" s="60">
        <v>1.0</v>
      </c>
      <c r="H11742" s="60">
        <v>0.0</v>
      </c>
      <c r="I11742" s="60">
        <v>50.5989455</v>
      </c>
      <c r="J11742" s="59">
        <v>8.0</v>
      </c>
      <c r="K11742" s="61">
        <f t="shared" si="1"/>
        <v>1</v>
      </c>
      <c r="L11742" s="62">
        <f t="shared" si="2"/>
        <v>2</v>
      </c>
    </row>
    <row r="11743">
      <c r="A11743" s="58">
        <v>44927.0</v>
      </c>
      <c r="B11743" s="24" t="s">
        <v>6789</v>
      </c>
      <c r="C11743" s="24" t="s">
        <v>7074</v>
      </c>
      <c r="D11743" s="59">
        <v>4.0</v>
      </c>
      <c r="E11743" s="59">
        <v>7.0</v>
      </c>
      <c r="F11743" s="59">
        <v>3.0</v>
      </c>
      <c r="G11743" s="60">
        <v>1.75</v>
      </c>
      <c r="H11743" s="60">
        <v>0.0</v>
      </c>
      <c r="I11743" s="60">
        <v>71.8446501428571</v>
      </c>
      <c r="J11743" s="59">
        <v>14.0</v>
      </c>
      <c r="K11743" s="61">
        <f t="shared" si="1"/>
        <v>0.4285714286</v>
      </c>
      <c r="L11743" s="62">
        <f t="shared" si="2"/>
        <v>2</v>
      </c>
    </row>
    <row r="11744">
      <c r="A11744" s="58">
        <v>44927.0</v>
      </c>
      <c r="B11744" s="24" t="s">
        <v>6789</v>
      </c>
      <c r="C11744" s="24" t="s">
        <v>6886</v>
      </c>
      <c r="D11744" s="59">
        <v>4.0</v>
      </c>
      <c r="E11744" s="59">
        <v>4.0</v>
      </c>
      <c r="F11744" s="59">
        <v>2.0</v>
      </c>
      <c r="G11744" s="60">
        <v>1.0</v>
      </c>
      <c r="H11744" s="60">
        <v>0.0</v>
      </c>
      <c r="I11744" s="60">
        <v>40.6339625</v>
      </c>
      <c r="J11744" s="59">
        <v>14.0</v>
      </c>
      <c r="K11744" s="61">
        <f t="shared" si="1"/>
        <v>0.5</v>
      </c>
      <c r="L11744" s="62">
        <f t="shared" si="2"/>
        <v>3.5</v>
      </c>
    </row>
    <row r="11745">
      <c r="A11745" s="58">
        <v>44927.0</v>
      </c>
      <c r="B11745" s="24" t="s">
        <v>6794</v>
      </c>
      <c r="C11745" s="24" t="s">
        <v>6886</v>
      </c>
      <c r="D11745" s="59">
        <v>4.0</v>
      </c>
      <c r="E11745" s="59">
        <v>6.0</v>
      </c>
      <c r="F11745" s="59">
        <v>1.0</v>
      </c>
      <c r="G11745" s="60">
        <v>1.5</v>
      </c>
      <c r="H11745" s="60">
        <v>0.166666666666666</v>
      </c>
      <c r="I11745" s="60">
        <v>399.457333</v>
      </c>
      <c r="J11745" s="59">
        <v>22.0</v>
      </c>
      <c r="K11745" s="61">
        <f t="shared" si="1"/>
        <v>0.1666666667</v>
      </c>
      <c r="L11745" s="62">
        <f t="shared" si="2"/>
        <v>3.666666667</v>
      </c>
    </row>
    <row r="11746">
      <c r="A11746" s="58">
        <v>44927.0</v>
      </c>
      <c r="B11746" s="24" t="s">
        <v>3216</v>
      </c>
      <c r="C11746" s="24" t="s">
        <v>6905</v>
      </c>
      <c r="D11746" s="59">
        <v>4.0</v>
      </c>
      <c r="E11746" s="59">
        <v>6.0</v>
      </c>
      <c r="F11746" s="59">
        <v>2.0</v>
      </c>
      <c r="G11746" s="60">
        <v>1.5</v>
      </c>
      <c r="H11746" s="60">
        <v>0.166666666666666</v>
      </c>
      <c r="I11746" s="60">
        <v>33.8648578333333</v>
      </c>
      <c r="J11746" s="59">
        <v>15.0</v>
      </c>
      <c r="K11746" s="61">
        <f t="shared" si="1"/>
        <v>0.3333333333</v>
      </c>
      <c r="L11746" s="62">
        <f t="shared" si="2"/>
        <v>2.5</v>
      </c>
    </row>
    <row r="11747">
      <c r="A11747" s="58">
        <v>44927.0</v>
      </c>
      <c r="B11747" s="24" t="s">
        <v>3216</v>
      </c>
      <c r="C11747" s="24" t="s">
        <v>7624</v>
      </c>
      <c r="D11747" s="59">
        <v>4.0</v>
      </c>
      <c r="E11747" s="59">
        <v>7.0</v>
      </c>
      <c r="F11747" s="59">
        <v>4.0</v>
      </c>
      <c r="G11747" s="60">
        <v>1.75</v>
      </c>
      <c r="H11747" s="60">
        <v>0.0</v>
      </c>
      <c r="I11747" s="60">
        <v>317.921611857142</v>
      </c>
      <c r="J11747" s="59">
        <v>20.0</v>
      </c>
      <c r="K11747" s="61">
        <f t="shared" si="1"/>
        <v>0.5714285714</v>
      </c>
      <c r="L11747" s="62">
        <f t="shared" si="2"/>
        <v>2.857142857</v>
      </c>
    </row>
    <row r="11748">
      <c r="A11748" s="58">
        <v>44927.0</v>
      </c>
      <c r="B11748" s="24" t="s">
        <v>6791</v>
      </c>
      <c r="C11748" s="24" t="s">
        <v>7227</v>
      </c>
      <c r="D11748" s="59">
        <v>4.0</v>
      </c>
      <c r="E11748" s="59">
        <v>4.0</v>
      </c>
      <c r="F11748" s="59">
        <v>4.0</v>
      </c>
      <c r="G11748" s="60">
        <v>1.0</v>
      </c>
      <c r="H11748" s="60">
        <v>0.25</v>
      </c>
      <c r="I11748" s="60">
        <v>119.566765</v>
      </c>
      <c r="J11748" s="59">
        <v>7.0</v>
      </c>
      <c r="K11748" s="61">
        <f t="shared" si="1"/>
        <v>1</v>
      </c>
      <c r="L11748" s="62">
        <f t="shared" si="2"/>
        <v>1.75</v>
      </c>
    </row>
    <row r="11749">
      <c r="A11749" s="58">
        <v>44927.0</v>
      </c>
      <c r="B11749" s="24" t="s">
        <v>6787</v>
      </c>
      <c r="C11749" s="24" t="s">
        <v>6808</v>
      </c>
      <c r="D11749" s="59">
        <v>4.0</v>
      </c>
      <c r="E11749" s="59">
        <v>4.0</v>
      </c>
      <c r="F11749" s="59">
        <v>3.0</v>
      </c>
      <c r="G11749" s="60">
        <v>1.0</v>
      </c>
      <c r="H11749" s="60">
        <v>0.0</v>
      </c>
      <c r="I11749" s="60">
        <v>8.183909</v>
      </c>
      <c r="J11749" s="59">
        <v>12.0</v>
      </c>
      <c r="K11749" s="61">
        <f t="shared" si="1"/>
        <v>0.75</v>
      </c>
      <c r="L11749" s="62">
        <f t="shared" si="2"/>
        <v>3</v>
      </c>
    </row>
    <row r="11750">
      <c r="A11750" s="58">
        <v>44927.0</v>
      </c>
      <c r="B11750" s="24" t="s">
        <v>6787</v>
      </c>
      <c r="C11750" s="24" t="s">
        <v>7313</v>
      </c>
      <c r="D11750" s="59">
        <v>4.0</v>
      </c>
      <c r="E11750" s="59">
        <v>4.0</v>
      </c>
      <c r="F11750" s="59">
        <v>2.0</v>
      </c>
      <c r="G11750" s="60">
        <v>1.0</v>
      </c>
      <c r="H11750" s="60">
        <v>0.0</v>
      </c>
      <c r="I11750" s="60">
        <v>277.908499</v>
      </c>
      <c r="J11750" s="59">
        <v>17.0</v>
      </c>
      <c r="K11750" s="61">
        <f t="shared" si="1"/>
        <v>0.5</v>
      </c>
      <c r="L11750" s="62">
        <f t="shared" si="2"/>
        <v>4.25</v>
      </c>
    </row>
    <row r="11751">
      <c r="A11751" s="58">
        <v>44927.0</v>
      </c>
      <c r="B11751" s="24" t="s">
        <v>6789</v>
      </c>
      <c r="C11751" s="24" t="s">
        <v>7102</v>
      </c>
      <c r="D11751" s="59">
        <v>4.0</v>
      </c>
      <c r="E11751" s="59">
        <v>6.0</v>
      </c>
      <c r="F11751" s="59">
        <v>2.0</v>
      </c>
      <c r="G11751" s="60">
        <v>1.5</v>
      </c>
      <c r="H11751" s="60">
        <v>0.0</v>
      </c>
      <c r="I11751" s="60">
        <v>249.598331833333</v>
      </c>
      <c r="J11751" s="59">
        <v>22.0</v>
      </c>
      <c r="K11751" s="61">
        <f t="shared" si="1"/>
        <v>0.3333333333</v>
      </c>
      <c r="L11751" s="62">
        <f t="shared" si="2"/>
        <v>3.666666667</v>
      </c>
    </row>
    <row r="11752">
      <c r="A11752" s="58">
        <v>44927.0</v>
      </c>
      <c r="B11752" s="24" t="s">
        <v>6789</v>
      </c>
      <c r="C11752" s="24" t="s">
        <v>6921</v>
      </c>
      <c r="D11752" s="59">
        <v>4.0</v>
      </c>
      <c r="E11752" s="59">
        <v>4.0</v>
      </c>
      <c r="F11752" s="59">
        <v>2.0</v>
      </c>
      <c r="G11752" s="60">
        <v>1.0</v>
      </c>
      <c r="H11752" s="60">
        <v>0.0</v>
      </c>
      <c r="I11752" s="60">
        <v>441.16504225</v>
      </c>
      <c r="J11752" s="59">
        <v>21.0</v>
      </c>
      <c r="K11752" s="61">
        <f t="shared" si="1"/>
        <v>0.5</v>
      </c>
      <c r="L11752" s="62">
        <f t="shared" si="2"/>
        <v>5.25</v>
      </c>
    </row>
    <row r="11753">
      <c r="A11753" s="58">
        <v>44927.0</v>
      </c>
      <c r="B11753" s="24" t="s">
        <v>7606</v>
      </c>
      <c r="C11753" s="24" t="s">
        <v>6922</v>
      </c>
      <c r="D11753" s="59">
        <v>4.0</v>
      </c>
      <c r="E11753" s="59">
        <v>4.0</v>
      </c>
      <c r="F11753" s="59">
        <v>1.0</v>
      </c>
      <c r="G11753" s="60">
        <v>1.0</v>
      </c>
      <c r="H11753" s="60">
        <v>0.0</v>
      </c>
      <c r="I11753" s="60">
        <v>2.9258205</v>
      </c>
      <c r="J11753" s="59">
        <v>8.0</v>
      </c>
      <c r="K11753" s="61">
        <f t="shared" si="1"/>
        <v>0.25</v>
      </c>
      <c r="L11753" s="62">
        <f t="shared" si="2"/>
        <v>2</v>
      </c>
    </row>
    <row r="11754">
      <c r="A11754" s="58">
        <v>44927.0</v>
      </c>
      <c r="B11754" s="24" t="s">
        <v>6794</v>
      </c>
      <c r="C11754" s="24" t="s">
        <v>6797</v>
      </c>
      <c r="D11754" s="59">
        <v>4.0</v>
      </c>
      <c r="E11754" s="59">
        <v>5.0</v>
      </c>
      <c r="F11754" s="59">
        <v>3.0</v>
      </c>
      <c r="G11754" s="60">
        <v>1.25</v>
      </c>
      <c r="H11754" s="60">
        <v>0.0</v>
      </c>
      <c r="I11754" s="60">
        <v>8.5087974</v>
      </c>
      <c r="J11754" s="59">
        <v>10.0</v>
      </c>
      <c r="K11754" s="61">
        <f t="shared" si="1"/>
        <v>0.6</v>
      </c>
      <c r="L11754" s="62">
        <f t="shared" si="2"/>
        <v>2</v>
      </c>
    </row>
    <row r="11755">
      <c r="A11755" s="58">
        <v>44927.0</v>
      </c>
      <c r="B11755" s="24" t="s">
        <v>6791</v>
      </c>
      <c r="C11755" s="27"/>
      <c r="D11755" s="59">
        <v>3.0</v>
      </c>
      <c r="E11755" s="59">
        <v>3.0</v>
      </c>
      <c r="F11755" s="59">
        <v>0.0</v>
      </c>
      <c r="G11755" s="60">
        <v>1.0</v>
      </c>
      <c r="H11755" s="60">
        <v>0.0</v>
      </c>
      <c r="I11755" s="60">
        <v>153.942154999999</v>
      </c>
      <c r="J11755" s="59">
        <v>18.0</v>
      </c>
      <c r="K11755" s="61">
        <f t="shared" si="1"/>
        <v>0</v>
      </c>
      <c r="L11755" s="62">
        <f t="shared" si="2"/>
        <v>6</v>
      </c>
    </row>
    <row r="11756">
      <c r="A11756" s="58">
        <v>44927.0</v>
      </c>
      <c r="B11756" s="24" t="s">
        <v>7100</v>
      </c>
      <c r="C11756" s="27"/>
      <c r="D11756" s="59">
        <v>3.0</v>
      </c>
      <c r="E11756" s="59">
        <v>11.0</v>
      </c>
      <c r="F11756" s="59">
        <v>0.0</v>
      </c>
      <c r="G11756" s="60">
        <v>3.66666666666666</v>
      </c>
      <c r="H11756" s="60">
        <v>0.0</v>
      </c>
      <c r="I11756" s="60">
        <v>154.722131454545</v>
      </c>
      <c r="J11756" s="59">
        <v>102.0</v>
      </c>
      <c r="K11756" s="61">
        <f t="shared" si="1"/>
        <v>0</v>
      </c>
      <c r="L11756" s="62">
        <f t="shared" si="2"/>
        <v>9.272727273</v>
      </c>
    </row>
    <row r="11757">
      <c r="A11757" s="58">
        <v>44927.0</v>
      </c>
      <c r="B11757" s="24" t="s">
        <v>6789</v>
      </c>
      <c r="C11757" s="24" t="s">
        <v>7057</v>
      </c>
      <c r="D11757" s="59">
        <v>3.0</v>
      </c>
      <c r="E11757" s="59">
        <v>5.0</v>
      </c>
      <c r="F11757" s="59">
        <v>3.0</v>
      </c>
      <c r="G11757" s="60">
        <v>1.66666666666666</v>
      </c>
      <c r="H11757" s="60">
        <v>0.0</v>
      </c>
      <c r="I11757" s="60">
        <v>4.947192</v>
      </c>
      <c r="J11757" s="59">
        <v>10.0</v>
      </c>
      <c r="K11757" s="61">
        <f t="shared" si="1"/>
        <v>0.6</v>
      </c>
      <c r="L11757" s="62">
        <f t="shared" si="2"/>
        <v>2</v>
      </c>
    </row>
    <row r="11758">
      <c r="A11758" s="58">
        <v>44927.0</v>
      </c>
      <c r="B11758" s="24" t="s">
        <v>6789</v>
      </c>
      <c r="C11758" s="24" t="s">
        <v>6861</v>
      </c>
      <c r="D11758" s="59">
        <v>3.0</v>
      </c>
      <c r="E11758" s="59">
        <v>3.0</v>
      </c>
      <c r="F11758" s="59">
        <v>3.0</v>
      </c>
      <c r="G11758" s="60">
        <v>1.0</v>
      </c>
      <c r="H11758" s="60">
        <v>0.0</v>
      </c>
      <c r="I11758" s="60">
        <v>218.932592</v>
      </c>
      <c r="J11758" s="59">
        <v>23.0</v>
      </c>
      <c r="K11758" s="61">
        <f t="shared" si="1"/>
        <v>1</v>
      </c>
      <c r="L11758" s="62">
        <f t="shared" si="2"/>
        <v>7.666666667</v>
      </c>
    </row>
    <row r="11759">
      <c r="A11759" s="58">
        <v>44927.0</v>
      </c>
      <c r="B11759" s="24" t="s">
        <v>6789</v>
      </c>
      <c r="C11759" s="24" t="s">
        <v>7059</v>
      </c>
      <c r="D11759" s="59">
        <v>3.0</v>
      </c>
      <c r="E11759" s="59">
        <v>3.0</v>
      </c>
      <c r="F11759" s="59">
        <v>3.0</v>
      </c>
      <c r="G11759" s="60">
        <v>1.0</v>
      </c>
      <c r="H11759" s="60">
        <v>0.0</v>
      </c>
      <c r="I11759" s="60">
        <v>49.168045</v>
      </c>
      <c r="J11759" s="59">
        <v>6.0</v>
      </c>
      <c r="K11759" s="61">
        <f t="shared" si="1"/>
        <v>1</v>
      </c>
      <c r="L11759" s="62">
        <f t="shared" si="2"/>
        <v>2</v>
      </c>
    </row>
    <row r="11760">
      <c r="A11760" s="58">
        <v>44927.0</v>
      </c>
      <c r="B11760" s="24" t="s">
        <v>6789</v>
      </c>
      <c r="C11760" s="24" t="s">
        <v>7067</v>
      </c>
      <c r="D11760" s="59">
        <v>3.0</v>
      </c>
      <c r="E11760" s="59">
        <v>3.0</v>
      </c>
      <c r="F11760" s="59">
        <v>2.0</v>
      </c>
      <c r="G11760" s="60">
        <v>1.0</v>
      </c>
      <c r="H11760" s="60">
        <v>0.0</v>
      </c>
      <c r="I11760" s="60">
        <v>32.4630203333333</v>
      </c>
      <c r="J11760" s="59">
        <v>6.0</v>
      </c>
      <c r="K11760" s="61">
        <f t="shared" si="1"/>
        <v>0.6666666667</v>
      </c>
      <c r="L11760" s="62">
        <f t="shared" si="2"/>
        <v>2</v>
      </c>
    </row>
    <row r="11761">
      <c r="A11761" s="58">
        <v>44927.0</v>
      </c>
      <c r="B11761" s="24" t="s">
        <v>155</v>
      </c>
      <c r="C11761" s="24" t="s">
        <v>7068</v>
      </c>
      <c r="D11761" s="59">
        <v>3.0</v>
      </c>
      <c r="E11761" s="59">
        <v>3.0</v>
      </c>
      <c r="F11761" s="59">
        <v>2.0</v>
      </c>
      <c r="G11761" s="60">
        <v>1.0</v>
      </c>
      <c r="H11761" s="60">
        <v>0.0</v>
      </c>
      <c r="I11761" s="60">
        <v>236.254773</v>
      </c>
      <c r="J11761" s="59">
        <v>8.0</v>
      </c>
      <c r="K11761" s="61">
        <f t="shared" si="1"/>
        <v>0.6666666667</v>
      </c>
      <c r="L11761" s="62">
        <f t="shared" si="2"/>
        <v>2.666666667</v>
      </c>
    </row>
    <row r="11762">
      <c r="A11762" s="58">
        <v>44927.0</v>
      </c>
      <c r="B11762" s="24" t="s">
        <v>6790</v>
      </c>
      <c r="C11762" s="24" t="s">
        <v>6835</v>
      </c>
      <c r="D11762" s="59">
        <v>3.0</v>
      </c>
      <c r="E11762" s="59">
        <v>3.0</v>
      </c>
      <c r="F11762" s="59">
        <v>2.0</v>
      </c>
      <c r="G11762" s="60">
        <v>1.0</v>
      </c>
      <c r="H11762" s="60">
        <v>0.0</v>
      </c>
      <c r="I11762" s="60">
        <v>14.4088216666666</v>
      </c>
      <c r="J11762" s="59">
        <v>8.0</v>
      </c>
      <c r="K11762" s="61">
        <f t="shared" si="1"/>
        <v>0.6666666667</v>
      </c>
      <c r="L11762" s="62">
        <f t="shared" si="2"/>
        <v>2.666666667</v>
      </c>
    </row>
    <row r="11763">
      <c r="A11763" s="58">
        <v>44927.0</v>
      </c>
      <c r="B11763" s="24" t="s">
        <v>6787</v>
      </c>
      <c r="C11763" s="24" t="s">
        <v>6994</v>
      </c>
      <c r="D11763" s="59">
        <v>3.0</v>
      </c>
      <c r="E11763" s="59">
        <v>3.0</v>
      </c>
      <c r="F11763" s="59">
        <v>2.0</v>
      </c>
      <c r="G11763" s="60">
        <v>1.0</v>
      </c>
      <c r="H11763" s="60">
        <v>0.333333333333333</v>
      </c>
      <c r="I11763" s="60">
        <v>15.4704746666666</v>
      </c>
      <c r="J11763" s="59">
        <v>5.0</v>
      </c>
      <c r="K11763" s="61">
        <f t="shared" si="1"/>
        <v>0.6666666667</v>
      </c>
      <c r="L11763" s="62">
        <f t="shared" si="2"/>
        <v>1.666666667</v>
      </c>
    </row>
    <row r="11764">
      <c r="A11764" s="58">
        <v>44927.0</v>
      </c>
      <c r="B11764" s="24" t="s">
        <v>6794</v>
      </c>
      <c r="C11764" s="24" t="s">
        <v>7074</v>
      </c>
      <c r="D11764" s="59">
        <v>3.0</v>
      </c>
      <c r="E11764" s="59">
        <v>3.0</v>
      </c>
      <c r="F11764" s="59">
        <v>2.0</v>
      </c>
      <c r="G11764" s="60">
        <v>1.0</v>
      </c>
      <c r="H11764" s="60">
        <v>0.0</v>
      </c>
      <c r="I11764" s="60">
        <v>10.9859973333333</v>
      </c>
      <c r="J11764" s="59">
        <v>7.0</v>
      </c>
      <c r="K11764" s="61">
        <f t="shared" si="1"/>
        <v>0.6666666667</v>
      </c>
      <c r="L11764" s="62">
        <f t="shared" si="2"/>
        <v>2.333333333</v>
      </c>
    </row>
    <row r="11765">
      <c r="A11765" s="58">
        <v>44927.0</v>
      </c>
      <c r="B11765" s="24" t="s">
        <v>6787</v>
      </c>
      <c r="C11765" s="24" t="s">
        <v>6886</v>
      </c>
      <c r="D11765" s="59">
        <v>3.0</v>
      </c>
      <c r="E11765" s="59">
        <v>3.0</v>
      </c>
      <c r="F11765" s="59">
        <v>3.0</v>
      </c>
      <c r="G11765" s="60">
        <v>1.0</v>
      </c>
      <c r="H11765" s="60">
        <v>0.0</v>
      </c>
      <c r="I11765" s="60">
        <v>591.048919333333</v>
      </c>
      <c r="J11765" s="59">
        <v>8.0</v>
      </c>
      <c r="K11765" s="61">
        <f t="shared" si="1"/>
        <v>1</v>
      </c>
      <c r="L11765" s="62">
        <f t="shared" si="2"/>
        <v>2.666666667</v>
      </c>
    </row>
    <row r="11766">
      <c r="A11766" s="58">
        <v>44927.0</v>
      </c>
      <c r="B11766" s="24" t="s">
        <v>6790</v>
      </c>
      <c r="C11766" s="24" t="s">
        <v>7624</v>
      </c>
      <c r="D11766" s="59">
        <v>3.0</v>
      </c>
      <c r="E11766" s="59">
        <v>3.0</v>
      </c>
      <c r="F11766" s="59">
        <v>3.0</v>
      </c>
      <c r="G11766" s="60">
        <v>1.0</v>
      </c>
      <c r="H11766" s="60">
        <v>0.0</v>
      </c>
      <c r="I11766" s="60">
        <v>5.57744133333333</v>
      </c>
      <c r="J11766" s="59">
        <v>6.0</v>
      </c>
      <c r="K11766" s="61">
        <f t="shared" si="1"/>
        <v>1</v>
      </c>
      <c r="L11766" s="62">
        <f t="shared" si="2"/>
        <v>2</v>
      </c>
    </row>
    <row r="11767">
      <c r="A11767" s="58">
        <v>44927.0</v>
      </c>
      <c r="B11767" s="24" t="s">
        <v>6789</v>
      </c>
      <c r="C11767" s="24" t="s">
        <v>6800</v>
      </c>
      <c r="D11767" s="59">
        <v>3.0</v>
      </c>
      <c r="E11767" s="59">
        <v>3.0</v>
      </c>
      <c r="F11767" s="59">
        <v>2.0</v>
      </c>
      <c r="G11767" s="60">
        <v>1.0</v>
      </c>
      <c r="H11767" s="60">
        <v>0.333333333333333</v>
      </c>
      <c r="I11767" s="60">
        <v>398.696791333333</v>
      </c>
      <c r="J11767" s="59">
        <v>6.0</v>
      </c>
      <c r="K11767" s="61">
        <f t="shared" si="1"/>
        <v>0.6666666667</v>
      </c>
      <c r="L11767" s="62">
        <f t="shared" si="2"/>
        <v>2</v>
      </c>
    </row>
    <row r="11768">
      <c r="A11768" s="58">
        <v>44927.0</v>
      </c>
      <c r="B11768" s="24" t="s">
        <v>6789</v>
      </c>
      <c r="C11768" s="24" t="s">
        <v>6908</v>
      </c>
      <c r="D11768" s="59">
        <v>3.0</v>
      </c>
      <c r="E11768" s="59">
        <v>3.0</v>
      </c>
      <c r="F11768" s="59">
        <v>3.0</v>
      </c>
      <c r="G11768" s="60">
        <v>1.0</v>
      </c>
      <c r="H11768" s="60">
        <v>0.0</v>
      </c>
      <c r="I11768" s="60">
        <v>91.558913</v>
      </c>
      <c r="J11768" s="59">
        <v>11.0</v>
      </c>
      <c r="K11768" s="61">
        <f t="shared" si="1"/>
        <v>1</v>
      </c>
      <c r="L11768" s="62">
        <f t="shared" si="2"/>
        <v>3.666666667</v>
      </c>
    </row>
    <row r="11769">
      <c r="A11769" s="58">
        <v>44927.0</v>
      </c>
      <c r="B11769" s="24" t="s">
        <v>6794</v>
      </c>
      <c r="C11769" s="24" t="s">
        <v>7172</v>
      </c>
      <c r="D11769" s="59">
        <v>3.0</v>
      </c>
      <c r="E11769" s="59">
        <v>3.0</v>
      </c>
      <c r="F11769" s="59">
        <v>0.0</v>
      </c>
      <c r="G11769" s="60">
        <v>1.0</v>
      </c>
      <c r="H11769" s="60">
        <v>0.0</v>
      </c>
      <c r="I11769" s="60">
        <v>620.304591</v>
      </c>
      <c r="J11769" s="59">
        <v>20.0</v>
      </c>
      <c r="K11769" s="61">
        <f t="shared" si="1"/>
        <v>0</v>
      </c>
      <c r="L11769" s="62">
        <f t="shared" si="2"/>
        <v>6.666666667</v>
      </c>
    </row>
    <row r="11770">
      <c r="A11770" s="58">
        <v>44927.0</v>
      </c>
      <c r="B11770" s="24" t="s">
        <v>3216</v>
      </c>
      <c r="C11770" s="24" t="s">
        <v>6910</v>
      </c>
      <c r="D11770" s="59">
        <v>3.0</v>
      </c>
      <c r="E11770" s="59">
        <v>3.0</v>
      </c>
      <c r="F11770" s="59">
        <v>1.0</v>
      </c>
      <c r="G11770" s="60">
        <v>1.0</v>
      </c>
      <c r="H11770" s="60">
        <v>0.0</v>
      </c>
      <c r="I11770" s="60">
        <v>213.726098666666</v>
      </c>
      <c r="J11770" s="59">
        <v>8.0</v>
      </c>
      <c r="K11770" s="61">
        <f t="shared" si="1"/>
        <v>0.3333333333</v>
      </c>
      <c r="L11770" s="62">
        <f t="shared" si="2"/>
        <v>2.666666667</v>
      </c>
    </row>
    <row r="11771">
      <c r="A11771" s="58">
        <v>44927.0</v>
      </c>
      <c r="B11771" s="24" t="s">
        <v>6789</v>
      </c>
      <c r="C11771" s="24" t="s">
        <v>6910</v>
      </c>
      <c r="D11771" s="59">
        <v>3.0</v>
      </c>
      <c r="E11771" s="59">
        <v>9.0</v>
      </c>
      <c r="F11771" s="59">
        <v>0.0</v>
      </c>
      <c r="G11771" s="60">
        <v>3.0</v>
      </c>
      <c r="H11771" s="60">
        <v>0.0</v>
      </c>
      <c r="I11771" s="60">
        <v>199.830899666666</v>
      </c>
      <c r="J11771" s="59">
        <v>26.0</v>
      </c>
      <c r="K11771" s="61">
        <f t="shared" si="1"/>
        <v>0</v>
      </c>
      <c r="L11771" s="62">
        <f t="shared" si="2"/>
        <v>2.888888889</v>
      </c>
    </row>
    <row r="11772">
      <c r="A11772" s="58">
        <v>44927.0</v>
      </c>
      <c r="B11772" s="24" t="s">
        <v>6791</v>
      </c>
      <c r="C11772" s="24" t="s">
        <v>7111</v>
      </c>
      <c r="D11772" s="59">
        <v>3.0</v>
      </c>
      <c r="E11772" s="59">
        <v>3.0</v>
      </c>
      <c r="F11772" s="59">
        <v>3.0</v>
      </c>
      <c r="G11772" s="60">
        <v>1.0</v>
      </c>
      <c r="H11772" s="60">
        <v>0.0</v>
      </c>
      <c r="I11772" s="60">
        <v>48.7531776666666</v>
      </c>
      <c r="J11772" s="59">
        <v>7.0</v>
      </c>
      <c r="K11772" s="61">
        <f t="shared" si="1"/>
        <v>1</v>
      </c>
      <c r="L11772" s="62">
        <f t="shared" si="2"/>
        <v>2.333333333</v>
      </c>
    </row>
    <row r="11773">
      <c r="A11773" s="58">
        <v>44927.0</v>
      </c>
      <c r="B11773" s="24" t="s">
        <v>7606</v>
      </c>
      <c r="C11773" s="24" t="s">
        <v>6921</v>
      </c>
      <c r="D11773" s="59">
        <v>3.0</v>
      </c>
      <c r="E11773" s="59">
        <v>3.0</v>
      </c>
      <c r="F11773" s="59">
        <v>0.0</v>
      </c>
      <c r="G11773" s="60">
        <v>1.0</v>
      </c>
      <c r="H11773" s="60">
        <v>0.0</v>
      </c>
      <c r="I11773" s="60">
        <v>2.33087066666666</v>
      </c>
      <c r="J11773" s="59">
        <v>6.0</v>
      </c>
      <c r="K11773" s="61">
        <f t="shared" si="1"/>
        <v>0</v>
      </c>
      <c r="L11773" s="62">
        <f t="shared" si="2"/>
        <v>2</v>
      </c>
    </row>
    <row r="11774">
      <c r="A11774" s="58">
        <v>44927.0</v>
      </c>
      <c r="B11774" s="24" t="s">
        <v>6794</v>
      </c>
      <c r="C11774" s="24" t="s">
        <v>6922</v>
      </c>
      <c r="D11774" s="59">
        <v>3.0</v>
      </c>
      <c r="E11774" s="59">
        <v>5.0</v>
      </c>
      <c r="F11774" s="59">
        <v>0.0</v>
      </c>
      <c r="G11774" s="60">
        <v>1.66666666666666</v>
      </c>
      <c r="H11774" s="60">
        <v>0.0</v>
      </c>
      <c r="I11774" s="60">
        <v>1032.296022</v>
      </c>
      <c r="J11774" s="59">
        <v>26.0</v>
      </c>
      <c r="K11774" s="61">
        <f t="shared" si="1"/>
        <v>0</v>
      </c>
      <c r="L11774" s="62">
        <f t="shared" si="2"/>
        <v>5.2</v>
      </c>
    </row>
    <row r="11775">
      <c r="A11775" s="58">
        <v>44927.0</v>
      </c>
      <c r="B11775" s="24" t="s">
        <v>7606</v>
      </c>
      <c r="C11775" s="24" t="s">
        <v>6797</v>
      </c>
      <c r="D11775" s="59">
        <v>3.0</v>
      </c>
      <c r="E11775" s="59">
        <v>3.0</v>
      </c>
      <c r="F11775" s="59">
        <v>3.0</v>
      </c>
      <c r="G11775" s="60">
        <v>1.0</v>
      </c>
      <c r="H11775" s="60">
        <v>0.0</v>
      </c>
      <c r="I11775" s="60">
        <v>2.61883033333333</v>
      </c>
      <c r="J11775" s="59">
        <v>6.0</v>
      </c>
      <c r="K11775" s="61">
        <f t="shared" si="1"/>
        <v>1</v>
      </c>
      <c r="L11775" s="62">
        <f t="shared" si="2"/>
        <v>2</v>
      </c>
    </row>
    <row r="11776">
      <c r="A11776" s="58">
        <v>44927.0</v>
      </c>
      <c r="B11776" s="24" t="s">
        <v>6790</v>
      </c>
      <c r="C11776" s="24" t="s">
        <v>6797</v>
      </c>
      <c r="D11776" s="59">
        <v>3.0</v>
      </c>
      <c r="E11776" s="59">
        <v>3.0</v>
      </c>
      <c r="F11776" s="59">
        <v>1.0</v>
      </c>
      <c r="G11776" s="60">
        <v>1.5</v>
      </c>
      <c r="H11776" s="60">
        <v>0.333333333333333</v>
      </c>
      <c r="I11776" s="60">
        <v>87.6201426666666</v>
      </c>
      <c r="J11776" s="59">
        <v>20.0</v>
      </c>
      <c r="K11776" s="61">
        <f t="shared" si="1"/>
        <v>0.3333333333</v>
      </c>
      <c r="L11776" s="62">
        <f t="shared" si="2"/>
        <v>6.666666667</v>
      </c>
    </row>
    <row r="11777">
      <c r="A11777" s="58">
        <v>44927.0</v>
      </c>
      <c r="B11777" s="24" t="s">
        <v>6787</v>
      </c>
      <c r="C11777" s="24" t="s">
        <v>6810</v>
      </c>
      <c r="D11777" s="59">
        <v>3.0</v>
      </c>
      <c r="E11777" s="59">
        <v>4.0</v>
      </c>
      <c r="F11777" s="59">
        <v>2.0</v>
      </c>
      <c r="G11777" s="60">
        <v>1.33333333333333</v>
      </c>
      <c r="H11777" s="60">
        <v>0.25</v>
      </c>
      <c r="I11777" s="60">
        <v>52.60700875</v>
      </c>
      <c r="J11777" s="59">
        <v>9.0</v>
      </c>
      <c r="K11777" s="61">
        <f t="shared" si="1"/>
        <v>0.5</v>
      </c>
      <c r="L11777" s="62">
        <f t="shared" si="2"/>
        <v>2.25</v>
      </c>
    </row>
    <row r="11778">
      <c r="A11778" s="58">
        <v>44927.0</v>
      </c>
      <c r="B11778" s="24" t="s">
        <v>3216</v>
      </c>
      <c r="C11778" s="27"/>
      <c r="D11778" s="59">
        <v>2.0</v>
      </c>
      <c r="E11778" s="59">
        <v>5.0</v>
      </c>
      <c r="F11778" s="59">
        <v>0.0</v>
      </c>
      <c r="G11778" s="60">
        <v>2.5</v>
      </c>
      <c r="H11778" s="60">
        <v>0.0</v>
      </c>
      <c r="I11778" s="60">
        <v>177.2250152</v>
      </c>
      <c r="J11778" s="59">
        <v>24.0</v>
      </c>
      <c r="K11778" s="61">
        <f t="shared" si="1"/>
        <v>0</v>
      </c>
      <c r="L11778" s="62">
        <f t="shared" si="2"/>
        <v>4.8</v>
      </c>
    </row>
    <row r="11779">
      <c r="A11779" s="58">
        <v>44927.0</v>
      </c>
      <c r="B11779" s="24" t="s">
        <v>7100</v>
      </c>
      <c r="C11779" s="24" t="s">
        <v>6792</v>
      </c>
      <c r="D11779" s="59">
        <v>2.0</v>
      </c>
      <c r="E11779" s="59">
        <v>2.0</v>
      </c>
      <c r="F11779" s="59">
        <v>0.0</v>
      </c>
      <c r="G11779" s="60">
        <v>2.0</v>
      </c>
      <c r="H11779" s="60">
        <v>1.0</v>
      </c>
      <c r="I11779" s="60">
        <v>0.0</v>
      </c>
      <c r="J11779" s="59">
        <v>0.0</v>
      </c>
      <c r="K11779" s="61">
        <f t="shared" si="1"/>
        <v>0</v>
      </c>
      <c r="L11779" s="62">
        <f t="shared" si="2"/>
        <v>0</v>
      </c>
    </row>
    <row r="11780">
      <c r="A11780" s="58">
        <v>44927.0</v>
      </c>
      <c r="B11780" s="24" t="s">
        <v>6789</v>
      </c>
      <c r="C11780" s="24" t="s">
        <v>6985</v>
      </c>
      <c r="D11780" s="59">
        <v>2.0</v>
      </c>
      <c r="E11780" s="59">
        <v>2.0</v>
      </c>
      <c r="F11780" s="59">
        <v>2.0</v>
      </c>
      <c r="G11780" s="60">
        <v>1.0</v>
      </c>
      <c r="H11780" s="60">
        <v>0.0</v>
      </c>
      <c r="I11780" s="60">
        <v>101.848927</v>
      </c>
      <c r="J11780" s="59">
        <v>5.0</v>
      </c>
      <c r="K11780" s="61">
        <f t="shared" si="1"/>
        <v>1</v>
      </c>
      <c r="L11780" s="62">
        <f t="shared" si="2"/>
        <v>2.5</v>
      </c>
    </row>
    <row r="11781">
      <c r="A11781" s="58">
        <v>44927.0</v>
      </c>
      <c r="B11781" s="24" t="s">
        <v>6789</v>
      </c>
      <c r="C11781" s="24" t="s">
        <v>6989</v>
      </c>
      <c r="D11781" s="59">
        <v>2.0</v>
      </c>
      <c r="E11781" s="59">
        <v>2.0</v>
      </c>
      <c r="F11781" s="59">
        <v>0.0</v>
      </c>
      <c r="G11781" s="60">
        <v>1.0</v>
      </c>
      <c r="H11781" s="60">
        <v>0.0</v>
      </c>
      <c r="I11781" s="60">
        <v>165.768283</v>
      </c>
      <c r="J11781" s="59">
        <v>9.0</v>
      </c>
      <c r="K11781" s="61">
        <f t="shared" si="1"/>
        <v>0</v>
      </c>
      <c r="L11781" s="62">
        <f t="shared" si="2"/>
        <v>4.5</v>
      </c>
    </row>
    <row r="11782">
      <c r="A11782" s="58">
        <v>44927.0</v>
      </c>
      <c r="B11782" s="24" t="s">
        <v>155</v>
      </c>
      <c r="C11782" s="24" t="s">
        <v>6989</v>
      </c>
      <c r="D11782" s="59">
        <v>2.0</v>
      </c>
      <c r="E11782" s="59">
        <v>2.0</v>
      </c>
      <c r="F11782" s="59">
        <v>0.0</v>
      </c>
      <c r="G11782" s="60">
        <v>1.0</v>
      </c>
      <c r="H11782" s="60">
        <v>0.0</v>
      </c>
      <c r="I11782" s="60">
        <v>873.075536999999</v>
      </c>
      <c r="J11782" s="59">
        <v>10.0</v>
      </c>
      <c r="K11782" s="61">
        <f t="shared" si="1"/>
        <v>0</v>
      </c>
      <c r="L11782" s="62">
        <f t="shared" si="2"/>
        <v>5</v>
      </c>
    </row>
    <row r="11783">
      <c r="A11783" s="58">
        <v>44927.0</v>
      </c>
      <c r="B11783" s="24" t="s">
        <v>6787</v>
      </c>
      <c r="C11783" s="24" t="s">
        <v>7665</v>
      </c>
      <c r="D11783" s="59">
        <v>2.0</v>
      </c>
      <c r="E11783" s="59">
        <v>2.0</v>
      </c>
      <c r="F11783" s="59">
        <v>1.0</v>
      </c>
      <c r="G11783" s="60">
        <v>1.0</v>
      </c>
      <c r="H11783" s="60">
        <v>0.0</v>
      </c>
      <c r="I11783" s="60">
        <v>55.9534685</v>
      </c>
      <c r="J11783" s="59">
        <v>8.0</v>
      </c>
      <c r="K11783" s="61">
        <f t="shared" si="1"/>
        <v>0.5</v>
      </c>
      <c r="L11783" s="62">
        <f t="shared" si="2"/>
        <v>4</v>
      </c>
    </row>
    <row r="11784">
      <c r="A11784" s="58">
        <v>44927.0</v>
      </c>
      <c r="B11784" s="24" t="s">
        <v>6787</v>
      </c>
      <c r="C11784" s="24" t="s">
        <v>6904</v>
      </c>
      <c r="D11784" s="59">
        <v>2.0</v>
      </c>
      <c r="E11784" s="59">
        <v>3.0</v>
      </c>
      <c r="F11784" s="59">
        <v>2.0</v>
      </c>
      <c r="G11784" s="60">
        <v>1.5</v>
      </c>
      <c r="H11784" s="60">
        <v>0.0</v>
      </c>
      <c r="I11784" s="60">
        <v>4.594642</v>
      </c>
      <c r="J11784" s="59">
        <v>6.0</v>
      </c>
      <c r="K11784" s="61">
        <f t="shared" si="1"/>
        <v>0.6666666667</v>
      </c>
      <c r="L11784" s="62">
        <f t="shared" si="2"/>
        <v>2</v>
      </c>
    </row>
    <row r="11785">
      <c r="A11785" s="58">
        <v>44927.0</v>
      </c>
      <c r="B11785" s="24" t="s">
        <v>6790</v>
      </c>
      <c r="C11785" s="24" t="s">
        <v>6905</v>
      </c>
      <c r="D11785" s="59">
        <v>2.0</v>
      </c>
      <c r="E11785" s="59">
        <v>3.0</v>
      </c>
      <c r="F11785" s="59">
        <v>0.0</v>
      </c>
      <c r="G11785" s="60">
        <v>1.5</v>
      </c>
      <c r="H11785" s="60">
        <v>0.0</v>
      </c>
      <c r="I11785" s="60">
        <v>24.7298803333333</v>
      </c>
      <c r="J11785" s="59">
        <v>14.0</v>
      </c>
      <c r="K11785" s="61">
        <f t="shared" si="1"/>
        <v>0</v>
      </c>
      <c r="L11785" s="62">
        <f t="shared" si="2"/>
        <v>4.666666667</v>
      </c>
    </row>
    <row r="11786">
      <c r="A11786" s="58">
        <v>44927.0</v>
      </c>
      <c r="B11786" s="24" t="s">
        <v>6789</v>
      </c>
      <c r="C11786" s="24" t="s">
        <v>7624</v>
      </c>
      <c r="D11786" s="59">
        <v>2.0</v>
      </c>
      <c r="E11786" s="59">
        <v>5.0</v>
      </c>
      <c r="F11786" s="59">
        <v>0.0</v>
      </c>
      <c r="G11786" s="60">
        <v>2.5</v>
      </c>
      <c r="H11786" s="60">
        <v>0.0</v>
      </c>
      <c r="I11786" s="60">
        <v>376.126354</v>
      </c>
      <c r="J11786" s="59">
        <v>10.0</v>
      </c>
      <c r="K11786" s="61">
        <f t="shared" si="1"/>
        <v>0</v>
      </c>
      <c r="L11786" s="62">
        <f t="shared" si="2"/>
        <v>2</v>
      </c>
    </row>
    <row r="11787">
      <c r="A11787" s="58">
        <v>44927.0</v>
      </c>
      <c r="B11787" s="24" t="s">
        <v>6789</v>
      </c>
      <c r="C11787" s="24" t="s">
        <v>7227</v>
      </c>
      <c r="D11787" s="59">
        <v>2.0</v>
      </c>
      <c r="E11787" s="59">
        <v>2.0</v>
      </c>
      <c r="F11787" s="59">
        <v>0.0</v>
      </c>
      <c r="G11787" s="60">
        <v>1.0</v>
      </c>
      <c r="H11787" s="60">
        <v>0.0</v>
      </c>
      <c r="I11787" s="60">
        <v>760.2093825</v>
      </c>
      <c r="J11787" s="59">
        <v>6.0</v>
      </c>
      <c r="K11787" s="61">
        <f t="shared" si="1"/>
        <v>0</v>
      </c>
      <c r="L11787" s="62">
        <f t="shared" si="2"/>
        <v>3</v>
      </c>
    </row>
    <row r="11788">
      <c r="A11788" s="58">
        <v>44927.0</v>
      </c>
      <c r="B11788" s="24" t="s">
        <v>6794</v>
      </c>
      <c r="C11788" s="24" t="s">
        <v>7227</v>
      </c>
      <c r="D11788" s="59">
        <v>2.0</v>
      </c>
      <c r="E11788" s="59">
        <v>2.0</v>
      </c>
      <c r="F11788" s="59">
        <v>0.0</v>
      </c>
      <c r="G11788" s="60">
        <v>1.0</v>
      </c>
      <c r="H11788" s="60">
        <v>0.0</v>
      </c>
      <c r="I11788" s="60">
        <v>70.6084085</v>
      </c>
      <c r="J11788" s="59">
        <v>6.0</v>
      </c>
      <c r="K11788" s="61">
        <f t="shared" si="1"/>
        <v>0</v>
      </c>
      <c r="L11788" s="62">
        <f t="shared" si="2"/>
        <v>3</v>
      </c>
    </row>
    <row r="11789">
      <c r="A11789" s="58">
        <v>44927.0</v>
      </c>
      <c r="B11789" s="24" t="s">
        <v>3216</v>
      </c>
      <c r="C11789" s="24" t="s">
        <v>6907</v>
      </c>
      <c r="D11789" s="59">
        <v>2.0</v>
      </c>
      <c r="E11789" s="59">
        <v>2.0</v>
      </c>
      <c r="F11789" s="59">
        <v>0.0</v>
      </c>
      <c r="G11789" s="60">
        <v>1.0</v>
      </c>
      <c r="H11789" s="60">
        <v>0.0</v>
      </c>
      <c r="I11789" s="60">
        <v>201.574786</v>
      </c>
      <c r="J11789" s="59">
        <v>6.0</v>
      </c>
      <c r="K11789" s="61">
        <f t="shared" si="1"/>
        <v>0</v>
      </c>
      <c r="L11789" s="62">
        <f t="shared" si="2"/>
        <v>3</v>
      </c>
    </row>
    <row r="11790">
      <c r="A11790" s="58">
        <v>44927.0</v>
      </c>
      <c r="B11790" s="24" t="s">
        <v>6787</v>
      </c>
      <c r="C11790" s="24" t="s">
        <v>7087</v>
      </c>
      <c r="D11790" s="59">
        <v>2.0</v>
      </c>
      <c r="E11790" s="59">
        <v>2.0</v>
      </c>
      <c r="F11790" s="59">
        <v>2.0</v>
      </c>
      <c r="G11790" s="60">
        <v>1.0</v>
      </c>
      <c r="H11790" s="60">
        <v>0.0</v>
      </c>
      <c r="I11790" s="60">
        <v>33.176489</v>
      </c>
      <c r="J11790" s="59">
        <v>12.0</v>
      </c>
      <c r="K11790" s="61">
        <f t="shared" si="1"/>
        <v>1</v>
      </c>
      <c r="L11790" s="62">
        <f t="shared" si="2"/>
        <v>6</v>
      </c>
    </row>
    <row r="11791">
      <c r="A11791" s="58">
        <v>44927.0</v>
      </c>
      <c r="B11791" s="24" t="s">
        <v>6789</v>
      </c>
      <c r="C11791" s="24" t="s">
        <v>7101</v>
      </c>
      <c r="D11791" s="59">
        <v>2.0</v>
      </c>
      <c r="E11791" s="59">
        <v>2.0</v>
      </c>
      <c r="F11791" s="59">
        <v>0.0</v>
      </c>
      <c r="G11791" s="60">
        <v>1.0</v>
      </c>
      <c r="H11791" s="60">
        <v>0.0</v>
      </c>
      <c r="I11791" s="60">
        <v>482.545588</v>
      </c>
      <c r="J11791" s="59">
        <v>6.0</v>
      </c>
      <c r="K11791" s="61">
        <f t="shared" si="1"/>
        <v>0</v>
      </c>
      <c r="L11791" s="62">
        <f t="shared" si="2"/>
        <v>3</v>
      </c>
    </row>
    <row r="11792">
      <c r="A11792" s="58">
        <v>44927.0</v>
      </c>
      <c r="B11792" s="24" t="s">
        <v>6789</v>
      </c>
      <c r="C11792" s="24" t="s">
        <v>6931</v>
      </c>
      <c r="D11792" s="59">
        <v>2.0</v>
      </c>
      <c r="E11792" s="59">
        <v>2.0</v>
      </c>
      <c r="F11792" s="59">
        <v>2.0</v>
      </c>
      <c r="G11792" s="60">
        <v>1.0</v>
      </c>
      <c r="H11792" s="60">
        <v>0.0</v>
      </c>
      <c r="I11792" s="60">
        <v>22.4107859999999</v>
      </c>
      <c r="J11792" s="59">
        <v>5.0</v>
      </c>
      <c r="K11792" s="61">
        <f t="shared" si="1"/>
        <v>1</v>
      </c>
      <c r="L11792" s="62">
        <f t="shared" si="2"/>
        <v>2.5</v>
      </c>
    </row>
    <row r="11793">
      <c r="A11793" s="58">
        <v>44927.0</v>
      </c>
      <c r="B11793" s="24" t="s">
        <v>6942</v>
      </c>
      <c r="C11793" s="27"/>
      <c r="D11793" s="59">
        <v>1.0</v>
      </c>
      <c r="E11793" s="59">
        <v>1.0</v>
      </c>
      <c r="F11793" s="59">
        <v>1.0</v>
      </c>
      <c r="G11793" s="60">
        <v>1.0</v>
      </c>
      <c r="H11793" s="60">
        <v>0.0</v>
      </c>
      <c r="I11793" s="60">
        <v>46.966686</v>
      </c>
      <c r="J11793" s="59">
        <v>3.0</v>
      </c>
      <c r="K11793" s="61">
        <f t="shared" si="1"/>
        <v>1</v>
      </c>
      <c r="L11793" s="62">
        <f t="shared" si="2"/>
        <v>3</v>
      </c>
    </row>
    <row r="11794">
      <c r="A11794" s="58">
        <v>44927.0</v>
      </c>
      <c r="B11794" s="24" t="s">
        <v>7606</v>
      </c>
      <c r="C11794" s="24" t="s">
        <v>6792</v>
      </c>
      <c r="D11794" s="59">
        <v>1.0</v>
      </c>
      <c r="E11794" s="59">
        <v>1.0</v>
      </c>
      <c r="F11794" s="59">
        <v>0.0</v>
      </c>
      <c r="G11794" s="60">
        <v>1.0</v>
      </c>
      <c r="H11794" s="60">
        <v>1.0</v>
      </c>
      <c r="I11794" s="60">
        <v>0.0</v>
      </c>
      <c r="J11794" s="59">
        <v>0.0</v>
      </c>
      <c r="K11794" s="61">
        <f t="shared" si="1"/>
        <v>0</v>
      </c>
      <c r="L11794" s="62">
        <f t="shared" si="2"/>
        <v>0</v>
      </c>
    </row>
    <row r="11795">
      <c r="A11795" s="58">
        <v>44927.0</v>
      </c>
      <c r="B11795" s="24" t="s">
        <v>6791</v>
      </c>
      <c r="C11795" s="24" t="s">
        <v>6792</v>
      </c>
      <c r="D11795" s="59">
        <v>1.0</v>
      </c>
      <c r="E11795" s="59">
        <v>1.0</v>
      </c>
      <c r="F11795" s="59">
        <v>0.0</v>
      </c>
      <c r="G11795" s="60">
        <v>0.0</v>
      </c>
      <c r="H11795" s="60">
        <v>1.0</v>
      </c>
      <c r="I11795" s="60">
        <v>0.0</v>
      </c>
      <c r="J11795" s="59">
        <v>0.0</v>
      </c>
      <c r="K11795" s="61">
        <f t="shared" si="1"/>
        <v>0</v>
      </c>
      <c r="L11795" s="62">
        <f t="shared" si="2"/>
        <v>0</v>
      </c>
    </row>
    <row r="11796">
      <c r="A11796" s="58">
        <v>44927.0</v>
      </c>
      <c r="B11796" s="24" t="s">
        <v>6787</v>
      </c>
      <c r="C11796" s="24" t="s">
        <v>7499</v>
      </c>
      <c r="D11796" s="59">
        <v>1.0</v>
      </c>
      <c r="E11796" s="59">
        <v>1.0</v>
      </c>
      <c r="F11796" s="59">
        <v>1.0</v>
      </c>
      <c r="G11796" s="60">
        <v>1.0</v>
      </c>
      <c r="H11796" s="60">
        <v>0.0</v>
      </c>
      <c r="I11796" s="60">
        <v>31.502763</v>
      </c>
      <c r="J11796" s="59">
        <v>1.0</v>
      </c>
      <c r="K11796" s="61">
        <f t="shared" si="1"/>
        <v>1</v>
      </c>
      <c r="L11796" s="62">
        <f t="shared" si="2"/>
        <v>1</v>
      </c>
    </row>
    <row r="11797">
      <c r="A11797" s="58">
        <v>44927.0</v>
      </c>
      <c r="B11797" s="24" t="s">
        <v>6787</v>
      </c>
      <c r="C11797" s="24" t="s">
        <v>7666</v>
      </c>
      <c r="D11797" s="59">
        <v>1.0</v>
      </c>
      <c r="E11797" s="59">
        <v>1.0</v>
      </c>
      <c r="F11797" s="59">
        <v>0.0</v>
      </c>
      <c r="G11797" s="60">
        <v>1.0</v>
      </c>
      <c r="H11797" s="60">
        <v>0.0</v>
      </c>
      <c r="I11797" s="60">
        <v>8.155028</v>
      </c>
      <c r="J11797" s="59">
        <v>4.0</v>
      </c>
      <c r="K11797" s="61">
        <f t="shared" si="1"/>
        <v>0</v>
      </c>
      <c r="L11797" s="62">
        <f t="shared" si="2"/>
        <v>4</v>
      </c>
    </row>
    <row r="11798">
      <c r="A11798" s="58">
        <v>44927.0</v>
      </c>
      <c r="B11798" s="24" t="s">
        <v>6789</v>
      </c>
      <c r="C11798" s="24" t="s">
        <v>6803</v>
      </c>
      <c r="D11798" s="59">
        <v>1.0</v>
      </c>
      <c r="E11798" s="59">
        <v>1.0</v>
      </c>
      <c r="F11798" s="59">
        <v>0.0</v>
      </c>
      <c r="G11798" s="60">
        <v>1.0</v>
      </c>
      <c r="H11798" s="60">
        <v>0.0</v>
      </c>
      <c r="I11798" s="60">
        <v>3376.679049</v>
      </c>
      <c r="J11798" s="59">
        <v>16.0</v>
      </c>
      <c r="K11798" s="61">
        <f t="shared" si="1"/>
        <v>0</v>
      </c>
      <c r="L11798" s="62">
        <f t="shared" si="2"/>
        <v>16</v>
      </c>
    </row>
    <row r="11799">
      <c r="A11799" s="58">
        <v>44927.0</v>
      </c>
      <c r="B11799" s="24" t="s">
        <v>6794</v>
      </c>
      <c r="C11799" s="24" t="s">
        <v>6803</v>
      </c>
      <c r="D11799" s="59">
        <v>1.0</v>
      </c>
      <c r="E11799" s="59">
        <v>1.0</v>
      </c>
      <c r="F11799" s="59">
        <v>0.0</v>
      </c>
      <c r="G11799" s="60">
        <v>1.0</v>
      </c>
      <c r="H11799" s="60">
        <v>0.0</v>
      </c>
      <c r="I11799" s="60">
        <v>4.889201</v>
      </c>
      <c r="J11799" s="59">
        <v>2.0</v>
      </c>
      <c r="K11799" s="61">
        <f t="shared" si="1"/>
        <v>0</v>
      </c>
      <c r="L11799" s="62">
        <f t="shared" si="2"/>
        <v>2</v>
      </c>
    </row>
    <row r="11800">
      <c r="A11800" s="58">
        <v>44927.0</v>
      </c>
      <c r="B11800" s="24" t="s">
        <v>155</v>
      </c>
      <c r="C11800" s="24" t="s">
        <v>6803</v>
      </c>
      <c r="D11800" s="59">
        <v>1.0</v>
      </c>
      <c r="E11800" s="59">
        <v>3.0</v>
      </c>
      <c r="F11800" s="59">
        <v>0.0</v>
      </c>
      <c r="G11800" s="60">
        <v>3.0</v>
      </c>
      <c r="H11800" s="60">
        <v>0.0</v>
      </c>
      <c r="I11800" s="60">
        <v>24.296558</v>
      </c>
      <c r="J11800" s="59">
        <v>6.0</v>
      </c>
      <c r="K11800" s="61">
        <f t="shared" si="1"/>
        <v>0</v>
      </c>
      <c r="L11800" s="62">
        <f t="shared" si="2"/>
        <v>2</v>
      </c>
    </row>
    <row r="11801">
      <c r="A11801" s="58">
        <v>44927.0</v>
      </c>
      <c r="B11801" s="24" t="s">
        <v>6790</v>
      </c>
      <c r="C11801" s="24" t="s">
        <v>6817</v>
      </c>
      <c r="D11801" s="59">
        <v>1.0</v>
      </c>
      <c r="E11801" s="59">
        <v>1.0</v>
      </c>
      <c r="F11801" s="59">
        <v>0.0</v>
      </c>
      <c r="G11801" s="60">
        <v>1.0</v>
      </c>
      <c r="H11801" s="60">
        <v>0.0</v>
      </c>
      <c r="I11801" s="60">
        <v>457.254596</v>
      </c>
      <c r="J11801" s="59">
        <v>16.0</v>
      </c>
      <c r="K11801" s="61">
        <f t="shared" si="1"/>
        <v>0</v>
      </c>
      <c r="L11801" s="62">
        <f t="shared" si="2"/>
        <v>16</v>
      </c>
    </row>
    <row r="11802">
      <c r="A11802" s="58">
        <v>44927.0</v>
      </c>
      <c r="B11802" s="24" t="s">
        <v>6787</v>
      </c>
      <c r="C11802" s="24" t="s">
        <v>7667</v>
      </c>
      <c r="D11802" s="59">
        <v>1.0</v>
      </c>
      <c r="E11802" s="59">
        <v>1.0</v>
      </c>
      <c r="F11802" s="59">
        <v>1.0</v>
      </c>
      <c r="G11802" s="60">
        <v>1.0</v>
      </c>
      <c r="H11802" s="60">
        <v>1.0</v>
      </c>
      <c r="I11802" s="60">
        <v>0.0</v>
      </c>
      <c r="J11802" s="59">
        <v>1.0</v>
      </c>
      <c r="K11802" s="61">
        <f t="shared" si="1"/>
        <v>1</v>
      </c>
      <c r="L11802" s="62">
        <f t="shared" si="2"/>
        <v>1</v>
      </c>
    </row>
    <row r="11803">
      <c r="A11803" s="58">
        <v>44927.0</v>
      </c>
      <c r="B11803" s="24" t="s">
        <v>6787</v>
      </c>
      <c r="C11803" s="24" t="s">
        <v>7058</v>
      </c>
      <c r="D11803" s="59">
        <v>1.0</v>
      </c>
      <c r="E11803" s="59">
        <v>4.0</v>
      </c>
      <c r="F11803" s="59">
        <v>1.0</v>
      </c>
      <c r="G11803" s="60">
        <v>4.0</v>
      </c>
      <c r="H11803" s="60">
        <v>0.0</v>
      </c>
      <c r="I11803" s="60">
        <v>5.27116625</v>
      </c>
      <c r="J11803" s="59">
        <v>8.0</v>
      </c>
      <c r="K11803" s="61">
        <f t="shared" si="1"/>
        <v>0.25</v>
      </c>
      <c r="L11803" s="62">
        <f t="shared" si="2"/>
        <v>2</v>
      </c>
    </row>
    <row r="11804">
      <c r="A11804" s="58">
        <v>44927.0</v>
      </c>
      <c r="B11804" s="24" t="s">
        <v>6787</v>
      </c>
      <c r="C11804" s="24" t="s">
        <v>6861</v>
      </c>
      <c r="D11804" s="59">
        <v>1.0</v>
      </c>
      <c r="E11804" s="59">
        <v>1.0</v>
      </c>
      <c r="F11804" s="59">
        <v>0.0</v>
      </c>
      <c r="G11804" s="60">
        <v>1.0</v>
      </c>
      <c r="H11804" s="60">
        <v>0.0</v>
      </c>
      <c r="I11804" s="60">
        <v>4.909366</v>
      </c>
      <c r="J11804" s="59">
        <v>2.0</v>
      </c>
      <c r="K11804" s="61">
        <f t="shared" si="1"/>
        <v>0</v>
      </c>
      <c r="L11804" s="62">
        <f t="shared" si="2"/>
        <v>2</v>
      </c>
    </row>
    <row r="11805">
      <c r="A11805" s="58">
        <v>44927.0</v>
      </c>
      <c r="B11805" s="24" t="s">
        <v>6787</v>
      </c>
      <c r="C11805" s="24" t="s">
        <v>7064</v>
      </c>
      <c r="D11805" s="59">
        <v>1.0</v>
      </c>
      <c r="E11805" s="59">
        <v>1.0</v>
      </c>
      <c r="F11805" s="59">
        <v>1.0</v>
      </c>
      <c r="G11805" s="60">
        <v>1.0</v>
      </c>
      <c r="H11805" s="60">
        <v>0.0</v>
      </c>
      <c r="I11805" s="60">
        <v>152.955262</v>
      </c>
      <c r="J11805" s="59">
        <v>2.0</v>
      </c>
      <c r="K11805" s="61">
        <f t="shared" si="1"/>
        <v>1</v>
      </c>
      <c r="L11805" s="62">
        <f t="shared" si="2"/>
        <v>2</v>
      </c>
    </row>
    <row r="11806">
      <c r="A11806" s="58">
        <v>44927.0</v>
      </c>
      <c r="B11806" s="24" t="s">
        <v>6787</v>
      </c>
      <c r="C11806" s="24" t="s">
        <v>7065</v>
      </c>
      <c r="D11806" s="59">
        <v>1.0</v>
      </c>
      <c r="E11806" s="59">
        <v>1.0</v>
      </c>
      <c r="F11806" s="59">
        <v>1.0</v>
      </c>
      <c r="G11806" s="60">
        <v>1.0</v>
      </c>
      <c r="H11806" s="60">
        <v>0.0</v>
      </c>
      <c r="I11806" s="60">
        <v>443.820541</v>
      </c>
      <c r="J11806" s="59">
        <v>4.0</v>
      </c>
      <c r="K11806" s="61">
        <f t="shared" si="1"/>
        <v>1</v>
      </c>
      <c r="L11806" s="62">
        <f t="shared" si="2"/>
        <v>4</v>
      </c>
    </row>
    <row r="11807">
      <c r="A11807" s="58">
        <v>44927.0</v>
      </c>
      <c r="B11807" s="24" t="s">
        <v>6794</v>
      </c>
      <c r="C11807" s="24" t="s">
        <v>7065</v>
      </c>
      <c r="D11807" s="59">
        <v>1.0</v>
      </c>
      <c r="E11807" s="59">
        <v>1.0</v>
      </c>
      <c r="F11807" s="59">
        <v>0.0</v>
      </c>
      <c r="G11807" s="60">
        <v>1.0</v>
      </c>
      <c r="H11807" s="60">
        <v>0.0</v>
      </c>
      <c r="I11807" s="60">
        <v>4.900259</v>
      </c>
      <c r="J11807" s="59">
        <v>2.0</v>
      </c>
      <c r="K11807" s="61">
        <f t="shared" si="1"/>
        <v>0</v>
      </c>
      <c r="L11807" s="62">
        <f t="shared" si="2"/>
        <v>2</v>
      </c>
    </row>
    <row r="11808">
      <c r="A11808" s="58">
        <v>44927.0</v>
      </c>
      <c r="B11808" s="24" t="s">
        <v>3216</v>
      </c>
      <c r="C11808" s="24" t="s">
        <v>6989</v>
      </c>
      <c r="D11808" s="59">
        <v>1.0</v>
      </c>
      <c r="E11808" s="59">
        <v>1.0</v>
      </c>
      <c r="F11808" s="59">
        <v>0.0</v>
      </c>
      <c r="G11808" s="60">
        <v>1.0</v>
      </c>
      <c r="H11808" s="60">
        <v>0.0</v>
      </c>
      <c r="I11808" s="60">
        <v>11.183753</v>
      </c>
      <c r="J11808" s="59">
        <v>4.0</v>
      </c>
      <c r="K11808" s="61">
        <f t="shared" si="1"/>
        <v>0</v>
      </c>
      <c r="L11808" s="62">
        <f t="shared" si="2"/>
        <v>4</v>
      </c>
    </row>
    <row r="11809">
      <c r="A11809" s="58">
        <v>44927.0</v>
      </c>
      <c r="B11809" s="24" t="s">
        <v>6789</v>
      </c>
      <c r="C11809" s="24" t="s">
        <v>6990</v>
      </c>
      <c r="D11809" s="59">
        <v>1.0</v>
      </c>
      <c r="E11809" s="59">
        <v>1.0</v>
      </c>
      <c r="F11809" s="59">
        <v>1.0</v>
      </c>
      <c r="G11809" s="60">
        <v>1.0</v>
      </c>
      <c r="H11809" s="60">
        <v>0.0</v>
      </c>
      <c r="I11809" s="60">
        <v>1702.009342</v>
      </c>
      <c r="J11809" s="59">
        <v>2.0</v>
      </c>
      <c r="K11809" s="61">
        <f t="shared" si="1"/>
        <v>1</v>
      </c>
      <c r="L11809" s="62">
        <f t="shared" si="2"/>
        <v>2</v>
      </c>
    </row>
    <row r="11810">
      <c r="A11810" s="58">
        <v>44927.0</v>
      </c>
      <c r="B11810" s="24" t="s">
        <v>6794</v>
      </c>
      <c r="C11810" s="24" t="s">
        <v>7068</v>
      </c>
      <c r="D11810" s="59">
        <v>1.0</v>
      </c>
      <c r="E11810" s="59">
        <v>1.0</v>
      </c>
      <c r="F11810" s="59">
        <v>0.0</v>
      </c>
      <c r="G11810" s="60">
        <v>1.0</v>
      </c>
      <c r="H11810" s="60">
        <v>0.0</v>
      </c>
      <c r="I11810" s="60">
        <v>27.981278</v>
      </c>
      <c r="J11810" s="59">
        <v>2.0</v>
      </c>
      <c r="K11810" s="61">
        <f t="shared" si="1"/>
        <v>0</v>
      </c>
      <c r="L11810" s="62">
        <f t="shared" si="2"/>
        <v>2</v>
      </c>
    </row>
    <row r="11811">
      <c r="A11811" s="58">
        <v>44927.0</v>
      </c>
      <c r="B11811" s="24" t="s">
        <v>6789</v>
      </c>
      <c r="C11811" s="24" t="s">
        <v>7668</v>
      </c>
      <c r="D11811" s="59">
        <v>1.0</v>
      </c>
      <c r="E11811" s="59">
        <v>1.0</v>
      </c>
      <c r="F11811" s="59">
        <v>0.0</v>
      </c>
      <c r="G11811" s="60">
        <v>1.0</v>
      </c>
      <c r="H11811" s="60">
        <v>0.0</v>
      </c>
      <c r="I11811" s="60">
        <v>4.735469</v>
      </c>
      <c r="J11811" s="59">
        <v>2.0</v>
      </c>
      <c r="K11811" s="61">
        <f t="shared" si="1"/>
        <v>0</v>
      </c>
      <c r="L11811" s="62">
        <f t="shared" si="2"/>
        <v>2</v>
      </c>
    </row>
    <row r="11812">
      <c r="A11812" s="58">
        <v>44927.0</v>
      </c>
      <c r="B11812" s="24" t="s">
        <v>6787</v>
      </c>
      <c r="C11812" s="24" t="s">
        <v>7669</v>
      </c>
      <c r="D11812" s="59">
        <v>1.0</v>
      </c>
      <c r="E11812" s="59">
        <v>1.0</v>
      </c>
      <c r="F11812" s="59">
        <v>1.0</v>
      </c>
      <c r="G11812" s="60">
        <v>1.0</v>
      </c>
      <c r="H11812" s="60">
        <v>1.0</v>
      </c>
      <c r="I11812" s="60">
        <v>0.0</v>
      </c>
      <c r="J11812" s="59">
        <v>1.0</v>
      </c>
      <c r="K11812" s="61">
        <f t="shared" si="1"/>
        <v>1</v>
      </c>
      <c r="L11812" s="62">
        <f t="shared" si="2"/>
        <v>1</v>
      </c>
    </row>
    <row r="11813">
      <c r="A11813" s="58">
        <v>44927.0</v>
      </c>
      <c r="B11813" s="24" t="s">
        <v>6787</v>
      </c>
      <c r="C11813" s="24" t="s">
        <v>7074</v>
      </c>
      <c r="D11813" s="59">
        <v>1.0</v>
      </c>
      <c r="E11813" s="59">
        <v>1.0</v>
      </c>
      <c r="F11813" s="59">
        <v>1.0</v>
      </c>
      <c r="G11813" s="60">
        <v>1.0</v>
      </c>
      <c r="H11813" s="60">
        <v>0.0</v>
      </c>
      <c r="I11813" s="60">
        <v>248.300594</v>
      </c>
      <c r="J11813" s="59">
        <v>35.0</v>
      </c>
      <c r="K11813" s="61">
        <f t="shared" si="1"/>
        <v>1</v>
      </c>
      <c r="L11813" s="62">
        <f t="shared" si="2"/>
        <v>35</v>
      </c>
    </row>
    <row r="11814">
      <c r="A11814" s="58">
        <v>44927.0</v>
      </c>
      <c r="B11814" s="24" t="s">
        <v>155</v>
      </c>
      <c r="C11814" s="24" t="s">
        <v>6886</v>
      </c>
      <c r="D11814" s="59">
        <v>1.0</v>
      </c>
      <c r="E11814" s="59">
        <v>1.0</v>
      </c>
      <c r="F11814" s="59">
        <v>0.0</v>
      </c>
      <c r="G11814" s="60">
        <v>1.0</v>
      </c>
      <c r="H11814" s="60">
        <v>0.0</v>
      </c>
      <c r="I11814" s="60">
        <v>902.837872</v>
      </c>
      <c r="J11814" s="59">
        <v>8.0</v>
      </c>
      <c r="K11814" s="61">
        <f t="shared" si="1"/>
        <v>0</v>
      </c>
      <c r="L11814" s="62">
        <f t="shared" si="2"/>
        <v>8</v>
      </c>
    </row>
    <row r="11815">
      <c r="A11815" s="58">
        <v>44927.0</v>
      </c>
      <c r="B11815" s="24" t="s">
        <v>6787</v>
      </c>
      <c r="C11815" s="24" t="s">
        <v>7670</v>
      </c>
      <c r="D11815" s="59">
        <v>1.0</v>
      </c>
      <c r="E11815" s="59">
        <v>1.0</v>
      </c>
      <c r="F11815" s="59">
        <v>0.0</v>
      </c>
      <c r="G11815" s="60">
        <v>1.0</v>
      </c>
      <c r="H11815" s="60">
        <v>0.0</v>
      </c>
      <c r="I11815" s="60">
        <v>39.280606</v>
      </c>
      <c r="J11815" s="59">
        <v>2.0</v>
      </c>
      <c r="K11815" s="61">
        <f t="shared" si="1"/>
        <v>0</v>
      </c>
      <c r="L11815" s="62">
        <f t="shared" si="2"/>
        <v>2</v>
      </c>
    </row>
    <row r="11816">
      <c r="A11816" s="58">
        <v>44927.0</v>
      </c>
      <c r="B11816" s="24" t="s">
        <v>3216</v>
      </c>
      <c r="C11816" s="24" t="s">
        <v>7511</v>
      </c>
      <c r="D11816" s="59">
        <v>1.0</v>
      </c>
      <c r="E11816" s="59">
        <v>1.0</v>
      </c>
      <c r="F11816" s="59">
        <v>0.0</v>
      </c>
      <c r="G11816" s="60">
        <v>1.0</v>
      </c>
      <c r="H11816" s="60">
        <v>0.0</v>
      </c>
      <c r="I11816" s="60">
        <v>95.199198</v>
      </c>
      <c r="J11816" s="59">
        <v>2.0</v>
      </c>
      <c r="K11816" s="61">
        <f t="shared" si="1"/>
        <v>0</v>
      </c>
      <c r="L11816" s="62">
        <f t="shared" si="2"/>
        <v>2</v>
      </c>
    </row>
    <row r="11817">
      <c r="A11817" s="58">
        <v>44927.0</v>
      </c>
      <c r="B11817" s="24" t="s">
        <v>6789</v>
      </c>
      <c r="C11817" s="24" t="s">
        <v>7511</v>
      </c>
      <c r="D11817" s="59">
        <v>1.0</v>
      </c>
      <c r="E11817" s="59">
        <v>3.0</v>
      </c>
      <c r="F11817" s="59">
        <v>0.0</v>
      </c>
      <c r="G11817" s="60">
        <v>3.0</v>
      </c>
      <c r="H11817" s="60">
        <v>0.0</v>
      </c>
      <c r="I11817" s="60">
        <v>422.339068333333</v>
      </c>
      <c r="J11817" s="59">
        <v>10.0</v>
      </c>
      <c r="K11817" s="61">
        <f t="shared" si="1"/>
        <v>0</v>
      </c>
      <c r="L11817" s="62">
        <f t="shared" si="2"/>
        <v>3.333333333</v>
      </c>
    </row>
    <row r="11818">
      <c r="A11818" s="58">
        <v>44927.0</v>
      </c>
      <c r="B11818" s="24" t="s">
        <v>6787</v>
      </c>
      <c r="C11818" s="24" t="s">
        <v>7658</v>
      </c>
      <c r="D11818" s="59">
        <v>1.0</v>
      </c>
      <c r="E11818" s="59">
        <v>1.0</v>
      </c>
      <c r="F11818" s="59">
        <v>0.0</v>
      </c>
      <c r="G11818" s="60">
        <v>1.0</v>
      </c>
      <c r="H11818" s="60">
        <v>0.0</v>
      </c>
      <c r="I11818" s="60">
        <v>613.257768</v>
      </c>
      <c r="J11818" s="59">
        <v>4.0</v>
      </c>
      <c r="K11818" s="61">
        <f t="shared" si="1"/>
        <v>0</v>
      </c>
      <c r="L11818" s="62">
        <f t="shared" si="2"/>
        <v>4</v>
      </c>
    </row>
    <row r="11819">
      <c r="A11819" s="58">
        <v>44927.0</v>
      </c>
      <c r="B11819" s="24" t="s">
        <v>6794</v>
      </c>
      <c r="C11819" s="24" t="s">
        <v>6799</v>
      </c>
      <c r="D11819" s="59">
        <v>1.0</v>
      </c>
      <c r="E11819" s="59">
        <v>1.0</v>
      </c>
      <c r="F11819" s="59">
        <v>0.0</v>
      </c>
      <c r="G11819" s="60">
        <v>1.0</v>
      </c>
      <c r="H11819" s="60">
        <v>0.0</v>
      </c>
      <c r="I11819" s="60">
        <v>5.010228</v>
      </c>
      <c r="J11819" s="59">
        <v>2.0</v>
      </c>
      <c r="K11819" s="61">
        <f t="shared" si="1"/>
        <v>0</v>
      </c>
      <c r="L11819" s="62">
        <f t="shared" si="2"/>
        <v>2</v>
      </c>
    </row>
    <row r="11820">
      <c r="A11820" s="58">
        <v>44927.0</v>
      </c>
      <c r="B11820" s="24" t="s">
        <v>155</v>
      </c>
      <c r="C11820" s="24" t="s">
        <v>6799</v>
      </c>
      <c r="D11820" s="59">
        <v>1.0</v>
      </c>
      <c r="E11820" s="59">
        <v>3.0</v>
      </c>
      <c r="F11820" s="59">
        <v>0.0</v>
      </c>
      <c r="G11820" s="60">
        <v>3.0</v>
      </c>
      <c r="H11820" s="60">
        <v>0.0</v>
      </c>
      <c r="I11820" s="60">
        <v>4.92507866666666</v>
      </c>
      <c r="J11820" s="59">
        <v>6.0</v>
      </c>
      <c r="K11820" s="61">
        <f t="shared" si="1"/>
        <v>0</v>
      </c>
      <c r="L11820" s="62">
        <f t="shared" si="2"/>
        <v>2</v>
      </c>
    </row>
    <row r="11821">
      <c r="A11821" s="58">
        <v>44927.0</v>
      </c>
      <c r="B11821" s="24" t="s">
        <v>6787</v>
      </c>
      <c r="C11821" s="24" t="s">
        <v>6896</v>
      </c>
      <c r="D11821" s="59">
        <v>1.0</v>
      </c>
      <c r="E11821" s="59">
        <v>1.0</v>
      </c>
      <c r="F11821" s="59">
        <v>0.0</v>
      </c>
      <c r="G11821" s="60">
        <v>1.0</v>
      </c>
      <c r="H11821" s="60">
        <v>0.0</v>
      </c>
      <c r="I11821" s="60">
        <v>5.006037</v>
      </c>
      <c r="J11821" s="59">
        <v>2.0</v>
      </c>
      <c r="K11821" s="61">
        <f t="shared" si="1"/>
        <v>0</v>
      </c>
      <c r="L11821" s="62">
        <f t="shared" si="2"/>
        <v>2</v>
      </c>
    </row>
    <row r="11822">
      <c r="A11822" s="58">
        <v>44927.0</v>
      </c>
      <c r="B11822" s="24" t="s">
        <v>3216</v>
      </c>
      <c r="C11822" s="24" t="s">
        <v>7307</v>
      </c>
      <c r="D11822" s="59">
        <v>1.0</v>
      </c>
      <c r="E11822" s="59">
        <v>1.0</v>
      </c>
      <c r="F11822" s="59">
        <v>1.0</v>
      </c>
      <c r="G11822" s="60">
        <v>1.0</v>
      </c>
      <c r="H11822" s="60">
        <v>0.0</v>
      </c>
      <c r="I11822" s="60">
        <v>5.001356</v>
      </c>
      <c r="J11822" s="59">
        <v>2.0</v>
      </c>
      <c r="K11822" s="61">
        <f t="shared" si="1"/>
        <v>1</v>
      </c>
      <c r="L11822" s="62">
        <f t="shared" si="2"/>
        <v>2</v>
      </c>
    </row>
    <row r="11823">
      <c r="A11823" s="58">
        <v>44927.0</v>
      </c>
      <c r="B11823" s="24" t="s">
        <v>6789</v>
      </c>
      <c r="C11823" s="24" t="s">
        <v>7671</v>
      </c>
      <c r="D11823" s="59">
        <v>1.0</v>
      </c>
      <c r="E11823" s="59">
        <v>1.0</v>
      </c>
      <c r="F11823" s="59">
        <v>0.0</v>
      </c>
      <c r="G11823" s="60">
        <v>1.0</v>
      </c>
      <c r="H11823" s="60">
        <v>0.0</v>
      </c>
      <c r="I11823" s="60">
        <v>20.246365</v>
      </c>
      <c r="J11823" s="59">
        <v>4.0</v>
      </c>
      <c r="K11823" s="61">
        <f t="shared" si="1"/>
        <v>0</v>
      </c>
      <c r="L11823" s="62">
        <f t="shared" si="2"/>
        <v>4</v>
      </c>
    </row>
    <row r="11824">
      <c r="A11824" s="58">
        <v>44927.0</v>
      </c>
      <c r="B11824" s="24" t="s">
        <v>6789</v>
      </c>
      <c r="C11824" s="24" t="s">
        <v>7672</v>
      </c>
      <c r="D11824" s="59">
        <v>1.0</v>
      </c>
      <c r="E11824" s="59">
        <v>1.0</v>
      </c>
      <c r="F11824" s="59">
        <v>1.0</v>
      </c>
      <c r="G11824" s="60">
        <v>1.0</v>
      </c>
      <c r="H11824" s="60">
        <v>0.0</v>
      </c>
      <c r="I11824" s="60">
        <v>9.643158</v>
      </c>
      <c r="J11824" s="59">
        <v>6.0</v>
      </c>
      <c r="K11824" s="61">
        <f t="shared" si="1"/>
        <v>1</v>
      </c>
      <c r="L11824" s="62">
        <f t="shared" si="2"/>
        <v>6</v>
      </c>
    </row>
    <row r="11825">
      <c r="A11825" s="58">
        <v>44927.0</v>
      </c>
      <c r="B11825" s="24" t="s">
        <v>6789</v>
      </c>
      <c r="C11825" s="24" t="s">
        <v>7673</v>
      </c>
      <c r="D11825" s="59">
        <v>1.0</v>
      </c>
      <c r="E11825" s="59">
        <v>1.0</v>
      </c>
      <c r="F11825" s="59">
        <v>0.0</v>
      </c>
      <c r="G11825" s="60">
        <v>1.0</v>
      </c>
      <c r="H11825" s="60">
        <v>0.0</v>
      </c>
      <c r="I11825" s="60">
        <v>18.737134</v>
      </c>
      <c r="J11825" s="59">
        <v>4.0</v>
      </c>
      <c r="K11825" s="61">
        <f t="shared" si="1"/>
        <v>0</v>
      </c>
      <c r="L11825" s="62">
        <f t="shared" si="2"/>
        <v>4</v>
      </c>
    </row>
    <row r="11826">
      <c r="A11826" s="58">
        <v>44927.0</v>
      </c>
      <c r="B11826" s="24" t="s">
        <v>6789</v>
      </c>
      <c r="C11826" s="24" t="s">
        <v>6905</v>
      </c>
      <c r="D11826" s="59">
        <v>1.0</v>
      </c>
      <c r="E11826" s="59">
        <v>1.0</v>
      </c>
      <c r="F11826" s="59">
        <v>0.0</v>
      </c>
      <c r="G11826" s="60">
        <v>1.0</v>
      </c>
      <c r="H11826" s="60">
        <v>0.0</v>
      </c>
      <c r="I11826" s="60">
        <v>6.693774</v>
      </c>
      <c r="J11826" s="59">
        <v>2.0</v>
      </c>
      <c r="K11826" s="61">
        <f t="shared" si="1"/>
        <v>0</v>
      </c>
      <c r="L11826" s="62">
        <f t="shared" si="2"/>
        <v>2</v>
      </c>
    </row>
    <row r="11827">
      <c r="A11827" s="58">
        <v>44927.0</v>
      </c>
      <c r="B11827" s="24" t="s">
        <v>6791</v>
      </c>
      <c r="C11827" s="24" t="s">
        <v>6905</v>
      </c>
      <c r="D11827" s="59">
        <v>1.0</v>
      </c>
      <c r="E11827" s="59">
        <v>1.0</v>
      </c>
      <c r="F11827" s="59">
        <v>1.0</v>
      </c>
      <c r="G11827" s="60">
        <v>1.0</v>
      </c>
      <c r="H11827" s="60">
        <v>0.0</v>
      </c>
      <c r="I11827" s="60">
        <v>10.670123</v>
      </c>
      <c r="J11827" s="59">
        <v>2.0</v>
      </c>
      <c r="K11827" s="61">
        <f t="shared" si="1"/>
        <v>1</v>
      </c>
      <c r="L11827" s="62">
        <f t="shared" si="2"/>
        <v>2</v>
      </c>
    </row>
    <row r="11828">
      <c r="A11828" s="58">
        <v>44927.0</v>
      </c>
      <c r="B11828" s="24" t="s">
        <v>6789</v>
      </c>
      <c r="C11828" s="24" t="s">
        <v>7617</v>
      </c>
      <c r="D11828" s="59">
        <v>1.0</v>
      </c>
      <c r="E11828" s="59">
        <v>1.0</v>
      </c>
      <c r="F11828" s="59">
        <v>0.0</v>
      </c>
      <c r="G11828" s="60">
        <v>1.0</v>
      </c>
      <c r="H11828" s="60">
        <v>0.0</v>
      </c>
      <c r="I11828" s="60">
        <v>13.508792</v>
      </c>
      <c r="J11828" s="59">
        <v>2.0</v>
      </c>
      <c r="K11828" s="61">
        <f t="shared" si="1"/>
        <v>0</v>
      </c>
      <c r="L11828" s="62">
        <f t="shared" si="2"/>
        <v>2</v>
      </c>
    </row>
    <row r="11829">
      <c r="A11829" s="58">
        <v>44927.0</v>
      </c>
      <c r="B11829" s="24" t="s">
        <v>7100</v>
      </c>
      <c r="C11829" s="24" t="s">
        <v>7624</v>
      </c>
      <c r="D11829" s="59">
        <v>1.0</v>
      </c>
      <c r="E11829" s="59">
        <v>2.0</v>
      </c>
      <c r="F11829" s="59">
        <v>0.0</v>
      </c>
      <c r="G11829" s="60">
        <v>2.0</v>
      </c>
      <c r="H11829" s="60">
        <v>0.0</v>
      </c>
      <c r="I11829" s="60">
        <v>50.8718545</v>
      </c>
      <c r="J11829" s="59">
        <v>4.0</v>
      </c>
      <c r="K11829" s="61">
        <f t="shared" si="1"/>
        <v>0</v>
      </c>
      <c r="L11829" s="62">
        <f t="shared" si="2"/>
        <v>2</v>
      </c>
    </row>
    <row r="11830">
      <c r="A11830" s="58">
        <v>44927.0</v>
      </c>
      <c r="B11830" s="24" t="s">
        <v>7606</v>
      </c>
      <c r="C11830" s="24" t="s">
        <v>7227</v>
      </c>
      <c r="D11830" s="59">
        <v>1.0</v>
      </c>
      <c r="E11830" s="59">
        <v>1.0</v>
      </c>
      <c r="F11830" s="59">
        <v>1.0</v>
      </c>
      <c r="G11830" s="60">
        <v>1.0</v>
      </c>
      <c r="H11830" s="60">
        <v>0.0</v>
      </c>
      <c r="I11830" s="60">
        <v>5.008218</v>
      </c>
      <c r="J11830" s="59">
        <v>2.0</v>
      </c>
      <c r="K11830" s="61">
        <f t="shared" si="1"/>
        <v>1</v>
      </c>
      <c r="L11830" s="62">
        <f t="shared" si="2"/>
        <v>2</v>
      </c>
    </row>
    <row r="11831">
      <c r="A11831" s="58">
        <v>44927.0</v>
      </c>
      <c r="B11831" s="24" t="s">
        <v>155</v>
      </c>
      <c r="C11831" s="24" t="s">
        <v>7227</v>
      </c>
      <c r="D11831" s="59">
        <v>1.0</v>
      </c>
      <c r="E11831" s="59">
        <v>2.0</v>
      </c>
      <c r="F11831" s="59">
        <v>0.0</v>
      </c>
      <c r="G11831" s="60">
        <v>2.0</v>
      </c>
      <c r="H11831" s="60">
        <v>0.0</v>
      </c>
      <c r="I11831" s="60">
        <v>193.81494</v>
      </c>
      <c r="J11831" s="59">
        <v>6.0</v>
      </c>
      <c r="K11831" s="61">
        <f t="shared" si="1"/>
        <v>0</v>
      </c>
      <c r="L11831" s="62">
        <f t="shared" si="2"/>
        <v>3</v>
      </c>
    </row>
    <row r="11832">
      <c r="A11832" s="58">
        <v>44927.0</v>
      </c>
      <c r="B11832" s="24" t="s">
        <v>6790</v>
      </c>
      <c r="C11832" s="24" t="s">
        <v>7227</v>
      </c>
      <c r="D11832" s="59">
        <v>1.0</v>
      </c>
      <c r="E11832" s="59">
        <v>1.0</v>
      </c>
      <c r="F11832" s="59">
        <v>1.0</v>
      </c>
      <c r="G11832" s="60">
        <v>1.0</v>
      </c>
      <c r="H11832" s="60">
        <v>0.0</v>
      </c>
      <c r="I11832" s="60">
        <v>390.92954</v>
      </c>
      <c r="J11832" s="59">
        <v>2.0</v>
      </c>
      <c r="K11832" s="61">
        <f t="shared" si="1"/>
        <v>1</v>
      </c>
      <c r="L11832" s="62">
        <f t="shared" si="2"/>
        <v>2</v>
      </c>
    </row>
    <row r="11833">
      <c r="A11833" s="58">
        <v>44927.0</v>
      </c>
      <c r="B11833" s="24" t="s">
        <v>6789</v>
      </c>
      <c r="C11833" s="24" t="s">
        <v>7228</v>
      </c>
      <c r="D11833" s="59">
        <v>1.0</v>
      </c>
      <c r="E11833" s="59">
        <v>1.0</v>
      </c>
      <c r="F11833" s="59">
        <v>1.0</v>
      </c>
      <c r="G11833" s="60">
        <v>1.0</v>
      </c>
      <c r="H11833" s="60">
        <v>0.0</v>
      </c>
      <c r="I11833" s="60">
        <v>45.60654</v>
      </c>
      <c r="J11833" s="59">
        <v>6.0</v>
      </c>
      <c r="K11833" s="61">
        <f t="shared" si="1"/>
        <v>1</v>
      </c>
      <c r="L11833" s="62">
        <f t="shared" si="2"/>
        <v>6</v>
      </c>
    </row>
    <row r="11834">
      <c r="A11834" s="58">
        <v>44927.0</v>
      </c>
      <c r="B11834" s="24" t="s">
        <v>6791</v>
      </c>
      <c r="C11834" s="24" t="s">
        <v>7228</v>
      </c>
      <c r="D11834" s="59">
        <v>1.0</v>
      </c>
      <c r="E11834" s="59">
        <v>1.0</v>
      </c>
      <c r="F11834" s="59">
        <v>1.0</v>
      </c>
      <c r="G11834" s="60">
        <v>1.0</v>
      </c>
      <c r="H11834" s="60">
        <v>0.0</v>
      </c>
      <c r="I11834" s="60">
        <v>64.656773</v>
      </c>
      <c r="J11834" s="59">
        <v>8.0</v>
      </c>
      <c r="K11834" s="61">
        <f t="shared" si="1"/>
        <v>1</v>
      </c>
      <c r="L11834" s="62">
        <f t="shared" si="2"/>
        <v>8</v>
      </c>
    </row>
    <row r="11835">
      <c r="A11835" s="58">
        <v>44927.0</v>
      </c>
      <c r="B11835" s="24" t="s">
        <v>6790</v>
      </c>
      <c r="C11835" s="24" t="s">
        <v>6907</v>
      </c>
      <c r="D11835" s="59">
        <v>1.0</v>
      </c>
      <c r="E11835" s="59">
        <v>1.0</v>
      </c>
      <c r="F11835" s="59">
        <v>0.0</v>
      </c>
      <c r="G11835" s="60">
        <v>1.0</v>
      </c>
      <c r="H11835" s="60">
        <v>0.0</v>
      </c>
      <c r="I11835" s="60">
        <v>732.178948</v>
      </c>
      <c r="J11835" s="59">
        <v>8.0</v>
      </c>
      <c r="K11835" s="61">
        <f t="shared" si="1"/>
        <v>0</v>
      </c>
      <c r="L11835" s="62">
        <f t="shared" si="2"/>
        <v>8</v>
      </c>
    </row>
    <row r="11836">
      <c r="A11836" s="58">
        <v>44927.0</v>
      </c>
      <c r="B11836" s="24" t="s">
        <v>6787</v>
      </c>
      <c r="C11836" s="24" t="s">
        <v>7674</v>
      </c>
      <c r="D11836" s="59">
        <v>1.0</v>
      </c>
      <c r="E11836" s="59">
        <v>1.0</v>
      </c>
      <c r="F11836" s="59">
        <v>1.0</v>
      </c>
      <c r="G11836" s="60">
        <v>1.0</v>
      </c>
      <c r="H11836" s="60">
        <v>1.0</v>
      </c>
      <c r="I11836" s="60">
        <v>0.0</v>
      </c>
      <c r="J11836" s="59">
        <v>1.0</v>
      </c>
      <c r="K11836" s="61">
        <f t="shared" si="1"/>
        <v>1</v>
      </c>
      <c r="L11836" s="62">
        <f t="shared" si="2"/>
        <v>1</v>
      </c>
    </row>
    <row r="11837">
      <c r="A11837" s="58">
        <v>44927.0</v>
      </c>
      <c r="B11837" s="24" t="s">
        <v>6787</v>
      </c>
      <c r="C11837" s="24" t="s">
        <v>7101</v>
      </c>
      <c r="D11837" s="59">
        <v>1.0</v>
      </c>
      <c r="E11837" s="59">
        <v>1.0</v>
      </c>
      <c r="F11837" s="59">
        <v>1.0</v>
      </c>
      <c r="G11837" s="60">
        <v>1.0</v>
      </c>
      <c r="H11837" s="60">
        <v>0.0</v>
      </c>
      <c r="I11837" s="60">
        <v>2.968727</v>
      </c>
      <c r="J11837" s="59">
        <v>2.0</v>
      </c>
      <c r="K11837" s="61">
        <f t="shared" si="1"/>
        <v>1</v>
      </c>
      <c r="L11837" s="62">
        <f t="shared" si="2"/>
        <v>2</v>
      </c>
    </row>
    <row r="11838">
      <c r="A11838" s="58">
        <v>44927.0</v>
      </c>
      <c r="B11838" s="24" t="s">
        <v>7100</v>
      </c>
      <c r="C11838" s="24" t="s">
        <v>7101</v>
      </c>
      <c r="D11838" s="59">
        <v>1.0</v>
      </c>
      <c r="E11838" s="59">
        <v>1.0</v>
      </c>
      <c r="F11838" s="59">
        <v>0.0</v>
      </c>
      <c r="G11838" s="60">
        <v>1.0</v>
      </c>
      <c r="H11838" s="60">
        <v>0.0</v>
      </c>
      <c r="I11838" s="60">
        <v>1588.043846</v>
      </c>
      <c r="J11838" s="59">
        <v>8.0</v>
      </c>
      <c r="K11838" s="61">
        <f t="shared" si="1"/>
        <v>0</v>
      </c>
      <c r="L11838" s="62">
        <f t="shared" si="2"/>
        <v>8</v>
      </c>
    </row>
    <row r="11839">
      <c r="A11839" s="58">
        <v>44927.0</v>
      </c>
      <c r="B11839" s="24" t="s">
        <v>6787</v>
      </c>
      <c r="C11839" s="24" t="s">
        <v>6908</v>
      </c>
      <c r="D11839" s="59">
        <v>1.0</v>
      </c>
      <c r="E11839" s="59">
        <v>1.0</v>
      </c>
      <c r="F11839" s="59">
        <v>1.0</v>
      </c>
      <c r="G11839" s="60">
        <v>1.0</v>
      </c>
      <c r="H11839" s="60">
        <v>0.0</v>
      </c>
      <c r="I11839" s="60">
        <v>2.790269</v>
      </c>
      <c r="J11839" s="59">
        <v>2.0</v>
      </c>
      <c r="K11839" s="61">
        <f t="shared" si="1"/>
        <v>1</v>
      </c>
      <c r="L11839" s="62">
        <f t="shared" si="2"/>
        <v>2</v>
      </c>
    </row>
    <row r="11840">
      <c r="A11840" s="58">
        <v>44927.0</v>
      </c>
      <c r="B11840" s="24" t="s">
        <v>3216</v>
      </c>
      <c r="C11840" s="24" t="s">
        <v>7172</v>
      </c>
      <c r="D11840" s="59">
        <v>1.0</v>
      </c>
      <c r="E11840" s="59">
        <v>2.0</v>
      </c>
      <c r="F11840" s="59">
        <v>0.0</v>
      </c>
      <c r="G11840" s="60">
        <v>2.0</v>
      </c>
      <c r="H11840" s="60">
        <v>0.0</v>
      </c>
      <c r="I11840" s="60">
        <v>4.6419745</v>
      </c>
      <c r="J11840" s="59">
        <v>4.0</v>
      </c>
      <c r="K11840" s="61">
        <f t="shared" si="1"/>
        <v>0</v>
      </c>
      <c r="L11840" s="62">
        <f t="shared" si="2"/>
        <v>2</v>
      </c>
    </row>
    <row r="11841">
      <c r="A11841" s="58">
        <v>44927.0</v>
      </c>
      <c r="B11841" s="24" t="s">
        <v>7100</v>
      </c>
      <c r="C11841" s="24" t="s">
        <v>7172</v>
      </c>
      <c r="D11841" s="59">
        <v>1.0</v>
      </c>
      <c r="E11841" s="59">
        <v>1.0</v>
      </c>
      <c r="F11841" s="59">
        <v>0.0</v>
      </c>
      <c r="G11841" s="60">
        <v>1.0</v>
      </c>
      <c r="H11841" s="60">
        <v>0.0</v>
      </c>
      <c r="I11841" s="60">
        <v>6.006592</v>
      </c>
      <c r="J11841" s="59">
        <v>2.0</v>
      </c>
      <c r="K11841" s="61">
        <f t="shared" si="1"/>
        <v>0</v>
      </c>
      <c r="L11841" s="62">
        <f t="shared" si="2"/>
        <v>2</v>
      </c>
    </row>
    <row r="11842">
      <c r="A11842" s="58">
        <v>44927.0</v>
      </c>
      <c r="B11842" s="24" t="s">
        <v>155</v>
      </c>
      <c r="C11842" s="24" t="s">
        <v>7172</v>
      </c>
      <c r="D11842" s="59">
        <v>1.0</v>
      </c>
      <c r="E11842" s="59">
        <v>2.0</v>
      </c>
      <c r="F11842" s="59">
        <v>0.0</v>
      </c>
      <c r="G11842" s="60">
        <v>2.0</v>
      </c>
      <c r="H11842" s="60">
        <v>0.0</v>
      </c>
      <c r="I11842" s="60">
        <v>442.83506</v>
      </c>
      <c r="J11842" s="59">
        <v>6.0</v>
      </c>
      <c r="K11842" s="61">
        <f t="shared" si="1"/>
        <v>0</v>
      </c>
      <c r="L11842" s="62">
        <f t="shared" si="2"/>
        <v>3</v>
      </c>
    </row>
    <row r="11843">
      <c r="A11843" s="58">
        <v>44927.0</v>
      </c>
      <c r="B11843" s="24" t="s">
        <v>6790</v>
      </c>
      <c r="C11843" s="24" t="s">
        <v>7313</v>
      </c>
      <c r="D11843" s="59">
        <v>1.0</v>
      </c>
      <c r="E11843" s="59">
        <v>1.0</v>
      </c>
      <c r="F11843" s="59">
        <v>0.0</v>
      </c>
      <c r="G11843" s="60">
        <v>1.0</v>
      </c>
      <c r="H11843" s="60">
        <v>1.0</v>
      </c>
      <c r="I11843" s="60">
        <v>0.0</v>
      </c>
      <c r="J11843" s="59">
        <v>2.0</v>
      </c>
      <c r="K11843" s="61">
        <f t="shared" si="1"/>
        <v>0</v>
      </c>
      <c r="L11843" s="62">
        <f t="shared" si="2"/>
        <v>2</v>
      </c>
    </row>
    <row r="11844">
      <c r="A11844" s="58">
        <v>44927.0</v>
      </c>
      <c r="B11844" s="24" t="s">
        <v>6794</v>
      </c>
      <c r="C11844" s="24" t="s">
        <v>6910</v>
      </c>
      <c r="D11844" s="59">
        <v>1.0</v>
      </c>
      <c r="E11844" s="59">
        <v>1.0</v>
      </c>
      <c r="F11844" s="59">
        <v>0.0</v>
      </c>
      <c r="G11844" s="60">
        <v>1.0</v>
      </c>
      <c r="H11844" s="60">
        <v>0.0</v>
      </c>
      <c r="I11844" s="60">
        <v>4.846063</v>
      </c>
      <c r="J11844" s="59">
        <v>2.0</v>
      </c>
      <c r="K11844" s="61">
        <f t="shared" si="1"/>
        <v>0</v>
      </c>
      <c r="L11844" s="62">
        <f t="shared" si="2"/>
        <v>2</v>
      </c>
    </row>
    <row r="11845">
      <c r="A11845" s="58">
        <v>44927.0</v>
      </c>
      <c r="B11845" s="24" t="s">
        <v>6787</v>
      </c>
      <c r="C11845" s="24" t="s">
        <v>7102</v>
      </c>
      <c r="D11845" s="59">
        <v>1.0</v>
      </c>
      <c r="E11845" s="59">
        <v>1.0</v>
      </c>
      <c r="F11845" s="59">
        <v>1.0</v>
      </c>
      <c r="G11845" s="60">
        <v>1.0</v>
      </c>
      <c r="H11845" s="60">
        <v>0.0</v>
      </c>
      <c r="I11845" s="60">
        <v>2.386114</v>
      </c>
      <c r="J11845" s="59">
        <v>2.0</v>
      </c>
      <c r="K11845" s="61">
        <f t="shared" si="1"/>
        <v>1</v>
      </c>
      <c r="L11845" s="62">
        <f t="shared" si="2"/>
        <v>2</v>
      </c>
    </row>
    <row r="11846">
      <c r="A11846" s="58">
        <v>44927.0</v>
      </c>
      <c r="B11846" s="24" t="s">
        <v>6794</v>
      </c>
      <c r="C11846" s="24" t="s">
        <v>7102</v>
      </c>
      <c r="D11846" s="59">
        <v>1.0</v>
      </c>
      <c r="E11846" s="59">
        <v>1.0</v>
      </c>
      <c r="F11846" s="59">
        <v>0.0</v>
      </c>
      <c r="G11846" s="60">
        <v>1.0</v>
      </c>
      <c r="H11846" s="60">
        <v>0.0</v>
      </c>
      <c r="I11846" s="60">
        <v>7.023723</v>
      </c>
      <c r="J11846" s="59">
        <v>2.0</v>
      </c>
      <c r="K11846" s="61">
        <f t="shared" si="1"/>
        <v>0</v>
      </c>
      <c r="L11846" s="62">
        <f t="shared" si="2"/>
        <v>2</v>
      </c>
    </row>
    <row r="11847">
      <c r="A11847" s="58">
        <v>44927.0</v>
      </c>
      <c r="B11847" s="24" t="s">
        <v>6794</v>
      </c>
      <c r="C11847" s="24" t="s">
        <v>7559</v>
      </c>
      <c r="D11847" s="59">
        <v>1.0</v>
      </c>
      <c r="E11847" s="59">
        <v>1.0</v>
      </c>
      <c r="F11847" s="59">
        <v>1.0</v>
      </c>
      <c r="G11847" s="60">
        <v>1.0</v>
      </c>
      <c r="H11847" s="60">
        <v>0.0</v>
      </c>
      <c r="I11847" s="60">
        <v>335.084644</v>
      </c>
      <c r="J11847" s="59">
        <v>16.0</v>
      </c>
      <c r="K11847" s="61">
        <f t="shared" si="1"/>
        <v>1</v>
      </c>
      <c r="L11847" s="62">
        <f t="shared" si="2"/>
        <v>16</v>
      </c>
    </row>
    <row r="11848">
      <c r="A11848" s="58">
        <v>44927.0</v>
      </c>
      <c r="B11848" s="24" t="s">
        <v>6794</v>
      </c>
      <c r="C11848" s="24" t="s">
        <v>7276</v>
      </c>
      <c r="D11848" s="59">
        <v>1.0</v>
      </c>
      <c r="E11848" s="59">
        <v>1.0</v>
      </c>
      <c r="F11848" s="59">
        <v>1.0</v>
      </c>
      <c r="G11848" s="60">
        <v>1.0</v>
      </c>
      <c r="H11848" s="60">
        <v>0.0</v>
      </c>
      <c r="I11848" s="60">
        <v>5.61652</v>
      </c>
      <c r="J11848" s="59">
        <v>2.0</v>
      </c>
      <c r="K11848" s="61">
        <f t="shared" si="1"/>
        <v>1</v>
      </c>
      <c r="L11848" s="62">
        <f t="shared" si="2"/>
        <v>2</v>
      </c>
    </row>
    <row r="11849">
      <c r="A11849" s="58">
        <v>44927.0</v>
      </c>
      <c r="B11849" s="24" t="s">
        <v>6791</v>
      </c>
      <c r="C11849" s="24" t="s">
        <v>7601</v>
      </c>
      <c r="D11849" s="59">
        <v>1.0</v>
      </c>
      <c r="E11849" s="59">
        <v>1.0</v>
      </c>
      <c r="F11849" s="59">
        <v>1.0</v>
      </c>
      <c r="G11849" s="60">
        <v>1.0</v>
      </c>
      <c r="H11849" s="60">
        <v>0.0</v>
      </c>
      <c r="I11849" s="60">
        <v>2173.3627</v>
      </c>
      <c r="J11849" s="59">
        <v>7.0</v>
      </c>
      <c r="K11849" s="61">
        <f t="shared" si="1"/>
        <v>1</v>
      </c>
      <c r="L11849" s="62">
        <f t="shared" si="2"/>
        <v>7</v>
      </c>
    </row>
    <row r="11850">
      <c r="A11850" s="58">
        <v>44927.0</v>
      </c>
      <c r="B11850" s="24" t="s">
        <v>155</v>
      </c>
      <c r="C11850" s="24" t="s">
        <v>7047</v>
      </c>
      <c r="D11850" s="59">
        <v>1.0</v>
      </c>
      <c r="E11850" s="59">
        <v>1.0</v>
      </c>
      <c r="F11850" s="59">
        <v>0.0</v>
      </c>
      <c r="G11850" s="60">
        <v>1.0</v>
      </c>
      <c r="H11850" s="60">
        <v>0.0</v>
      </c>
      <c r="I11850" s="60">
        <v>1706.639828</v>
      </c>
      <c r="J11850" s="59">
        <v>10.0</v>
      </c>
      <c r="K11850" s="61">
        <f t="shared" si="1"/>
        <v>0</v>
      </c>
      <c r="L11850" s="62">
        <f t="shared" si="2"/>
        <v>10</v>
      </c>
    </row>
    <row r="11851">
      <c r="A11851" s="58">
        <v>44927.0</v>
      </c>
      <c r="B11851" s="24" t="s">
        <v>6791</v>
      </c>
      <c r="C11851" s="24" t="s">
        <v>6797</v>
      </c>
      <c r="D11851" s="59">
        <v>1.0</v>
      </c>
      <c r="E11851" s="59">
        <v>1.0</v>
      </c>
      <c r="F11851" s="59">
        <v>1.0</v>
      </c>
      <c r="G11851" s="60">
        <v>1.0</v>
      </c>
      <c r="H11851" s="60">
        <v>0.0</v>
      </c>
      <c r="I11851" s="60">
        <v>10.627757</v>
      </c>
      <c r="J11851" s="59">
        <v>2.0</v>
      </c>
      <c r="K11851" s="61">
        <f t="shared" si="1"/>
        <v>1</v>
      </c>
      <c r="L11851" s="62">
        <f t="shared" si="2"/>
        <v>2</v>
      </c>
    </row>
    <row r="11852">
      <c r="A11852" s="58">
        <v>44927.0</v>
      </c>
      <c r="B11852" s="24" t="s">
        <v>7100</v>
      </c>
      <c r="C11852" s="24" t="s">
        <v>6797</v>
      </c>
      <c r="D11852" s="59">
        <v>1.0</v>
      </c>
      <c r="E11852" s="59">
        <v>1.0</v>
      </c>
      <c r="F11852" s="59">
        <v>1.0</v>
      </c>
      <c r="G11852" s="60">
        <v>1.0</v>
      </c>
      <c r="H11852" s="60">
        <v>0.0</v>
      </c>
      <c r="I11852" s="60">
        <v>124.372426</v>
      </c>
      <c r="J11852" s="59">
        <v>8.0</v>
      </c>
      <c r="K11852" s="61">
        <f t="shared" si="1"/>
        <v>1</v>
      </c>
      <c r="L11852" s="62">
        <f t="shared" si="2"/>
        <v>8</v>
      </c>
    </row>
    <row r="11853">
      <c r="A11853" s="58">
        <v>44927.0</v>
      </c>
      <c r="B11853" s="24" t="s">
        <v>155</v>
      </c>
      <c r="C11853" s="24" t="s">
        <v>6797</v>
      </c>
      <c r="D11853" s="59">
        <v>1.0</v>
      </c>
      <c r="E11853" s="59">
        <v>1.0</v>
      </c>
      <c r="F11853" s="59">
        <v>1.0</v>
      </c>
      <c r="G11853" s="60">
        <v>1.0</v>
      </c>
      <c r="H11853" s="60">
        <v>0.0</v>
      </c>
      <c r="I11853" s="60">
        <v>0.001422</v>
      </c>
      <c r="J11853" s="59">
        <v>2.0</v>
      </c>
      <c r="K11853" s="61">
        <f t="shared" si="1"/>
        <v>1</v>
      </c>
      <c r="L11853" s="62">
        <f t="shared" si="2"/>
        <v>2</v>
      </c>
    </row>
    <row r="11854">
      <c r="A11854" s="58">
        <v>44927.0</v>
      </c>
      <c r="B11854" s="24" t="s">
        <v>6789</v>
      </c>
      <c r="C11854" s="24" t="s">
        <v>6810</v>
      </c>
      <c r="D11854" s="59">
        <v>1.0</v>
      </c>
      <c r="E11854" s="59">
        <v>1.0</v>
      </c>
      <c r="F11854" s="59">
        <v>1.0</v>
      </c>
      <c r="G11854" s="60">
        <v>1.0</v>
      </c>
      <c r="H11854" s="60">
        <v>0.0</v>
      </c>
      <c r="I11854" s="60">
        <v>87.920653</v>
      </c>
      <c r="J11854" s="59">
        <v>8.0</v>
      </c>
      <c r="K11854" s="61">
        <f t="shared" si="1"/>
        <v>1</v>
      </c>
      <c r="L11854" s="62">
        <f t="shared" si="2"/>
        <v>8</v>
      </c>
    </row>
    <row r="11855">
      <c r="A11855" s="58">
        <v>44927.0</v>
      </c>
      <c r="B11855" s="24" t="s">
        <v>6794</v>
      </c>
      <c r="C11855" s="24" t="s">
        <v>6810</v>
      </c>
      <c r="D11855" s="59">
        <v>1.0</v>
      </c>
      <c r="E11855" s="59">
        <v>1.0</v>
      </c>
      <c r="F11855" s="59">
        <v>0.0</v>
      </c>
      <c r="G11855" s="60">
        <v>1.0</v>
      </c>
      <c r="H11855" s="60">
        <v>0.0</v>
      </c>
      <c r="I11855" s="60">
        <v>50.530043</v>
      </c>
      <c r="J11855" s="59">
        <v>6.0</v>
      </c>
      <c r="K11855" s="61">
        <f t="shared" si="1"/>
        <v>0</v>
      </c>
      <c r="L11855" s="62">
        <f t="shared" si="2"/>
        <v>6</v>
      </c>
    </row>
    <row r="11856">
      <c r="A11856" s="58">
        <v>44927.0</v>
      </c>
      <c r="B11856" s="24" t="s">
        <v>6790</v>
      </c>
      <c r="C11856" s="24" t="s">
        <v>6962</v>
      </c>
      <c r="D11856" s="59">
        <v>1.0</v>
      </c>
      <c r="E11856" s="59">
        <v>1.0</v>
      </c>
      <c r="F11856" s="59">
        <v>0.0</v>
      </c>
      <c r="G11856" s="60">
        <v>1.0</v>
      </c>
      <c r="H11856" s="60">
        <v>0.0</v>
      </c>
      <c r="I11856" s="60">
        <v>1098.135258</v>
      </c>
      <c r="J11856" s="59">
        <v>6.0</v>
      </c>
      <c r="K11856" s="61">
        <f t="shared" si="1"/>
        <v>0</v>
      </c>
      <c r="L11856" s="62">
        <f t="shared" si="2"/>
        <v>6</v>
      </c>
    </row>
    <row r="11857">
      <c r="A11857" s="58">
        <v>44927.0</v>
      </c>
      <c r="B11857" s="24" t="s">
        <v>6789</v>
      </c>
      <c r="C11857" s="24" t="s">
        <v>7284</v>
      </c>
      <c r="D11857" s="59">
        <v>1.0</v>
      </c>
      <c r="E11857" s="59">
        <v>2.0</v>
      </c>
      <c r="F11857" s="59">
        <v>0.0</v>
      </c>
      <c r="G11857" s="60">
        <v>2.0</v>
      </c>
      <c r="H11857" s="60">
        <v>0.0</v>
      </c>
      <c r="I11857" s="60">
        <v>9.4434025</v>
      </c>
      <c r="J11857" s="59">
        <v>4.0</v>
      </c>
      <c r="K11857" s="61">
        <f t="shared" si="1"/>
        <v>0</v>
      </c>
      <c r="L11857" s="62">
        <f t="shared" si="2"/>
        <v>2</v>
      </c>
    </row>
    <row r="11858">
      <c r="A11858" s="58">
        <v>44927.0</v>
      </c>
      <c r="B11858" s="24" t="s">
        <v>155</v>
      </c>
      <c r="C11858" s="24" t="s">
        <v>6802</v>
      </c>
      <c r="D11858" s="59">
        <v>1.0</v>
      </c>
      <c r="E11858" s="59">
        <v>1.0</v>
      </c>
      <c r="F11858" s="59">
        <v>0.0</v>
      </c>
      <c r="G11858" s="60">
        <v>1.0</v>
      </c>
      <c r="H11858" s="60">
        <v>0.0</v>
      </c>
      <c r="I11858" s="60">
        <v>72.968077</v>
      </c>
      <c r="J11858" s="59">
        <v>4.0</v>
      </c>
      <c r="K11858" s="61">
        <f t="shared" si="1"/>
        <v>0</v>
      </c>
      <c r="L11858" s="62">
        <f t="shared" si="2"/>
        <v>4</v>
      </c>
    </row>
    <row r="11859">
      <c r="A11859" s="58">
        <v>44896.0</v>
      </c>
      <c r="B11859" s="24" t="s">
        <v>6787</v>
      </c>
      <c r="C11859" s="27"/>
      <c r="D11859" s="59">
        <v>880.0</v>
      </c>
      <c r="E11859" s="59">
        <v>970.0</v>
      </c>
      <c r="F11859" s="59">
        <v>849.0</v>
      </c>
      <c r="G11859" s="60">
        <v>1.10352673492605</v>
      </c>
      <c r="H11859" s="60">
        <v>0.0618556701030927</v>
      </c>
      <c r="I11859" s="60">
        <v>75.5615648525773</v>
      </c>
      <c r="J11859" s="59">
        <v>2718.0</v>
      </c>
      <c r="K11859" s="61">
        <f t="shared" si="1"/>
        <v>0.875257732</v>
      </c>
      <c r="L11859" s="62">
        <f t="shared" si="2"/>
        <v>2.802061856</v>
      </c>
    </row>
    <row r="11860">
      <c r="A11860" s="58">
        <v>44896.0</v>
      </c>
      <c r="B11860" s="24" t="s">
        <v>6789</v>
      </c>
      <c r="C11860" s="27"/>
      <c r="D11860" s="59">
        <v>501.0</v>
      </c>
      <c r="E11860" s="59">
        <v>655.0</v>
      </c>
      <c r="F11860" s="59">
        <v>422.0</v>
      </c>
      <c r="G11860" s="60">
        <v>1.30738522954091</v>
      </c>
      <c r="H11860" s="60">
        <v>0.0259541984732824</v>
      </c>
      <c r="I11860" s="60">
        <v>268.289240563358</v>
      </c>
      <c r="J11860" s="59">
        <v>2549.0</v>
      </c>
      <c r="K11860" s="61">
        <f t="shared" si="1"/>
        <v>0.6442748092</v>
      </c>
      <c r="L11860" s="62">
        <f t="shared" si="2"/>
        <v>3.891603053</v>
      </c>
    </row>
    <row r="11861">
      <c r="A11861" s="58">
        <v>44896.0</v>
      </c>
      <c r="B11861" s="24" t="s">
        <v>6789</v>
      </c>
      <c r="C11861" s="24" t="s">
        <v>7068</v>
      </c>
      <c r="D11861" s="59">
        <v>349.0</v>
      </c>
      <c r="E11861" s="59">
        <v>381.0</v>
      </c>
      <c r="F11861" s="59">
        <v>343.0</v>
      </c>
      <c r="G11861" s="60">
        <v>1.0916905444126</v>
      </c>
      <c r="H11861" s="60">
        <v>0.0262467191601049</v>
      </c>
      <c r="I11861" s="60">
        <v>173.798488585301</v>
      </c>
      <c r="J11861" s="59">
        <v>842.0</v>
      </c>
      <c r="K11861" s="61">
        <f t="shared" si="1"/>
        <v>0.9002624672</v>
      </c>
      <c r="L11861" s="62">
        <f t="shared" si="2"/>
        <v>2.209973753</v>
      </c>
    </row>
    <row r="11862">
      <c r="A11862" s="58">
        <v>44896.0</v>
      </c>
      <c r="B11862" s="24" t="s">
        <v>6790</v>
      </c>
      <c r="C11862" s="24" t="s">
        <v>6835</v>
      </c>
      <c r="D11862" s="59">
        <v>284.0</v>
      </c>
      <c r="E11862" s="59">
        <v>309.0</v>
      </c>
      <c r="F11862" s="59">
        <v>271.0</v>
      </c>
      <c r="G11862" s="60">
        <v>1.08802816901408</v>
      </c>
      <c r="H11862" s="60">
        <v>0.0485436893203883</v>
      </c>
      <c r="I11862" s="60">
        <v>193.572402220064</v>
      </c>
      <c r="J11862" s="59">
        <v>788.0</v>
      </c>
      <c r="K11862" s="61">
        <f t="shared" si="1"/>
        <v>0.8770226537</v>
      </c>
      <c r="L11862" s="62">
        <f t="shared" si="2"/>
        <v>2.550161812</v>
      </c>
    </row>
    <row r="11863">
      <c r="A11863" s="58">
        <v>44896.0</v>
      </c>
      <c r="B11863" s="24" t="s">
        <v>6789</v>
      </c>
      <c r="C11863" s="24" t="s">
        <v>6792</v>
      </c>
      <c r="D11863" s="59">
        <v>165.0</v>
      </c>
      <c r="E11863" s="59">
        <v>203.0</v>
      </c>
      <c r="F11863" s="59">
        <v>0.0</v>
      </c>
      <c r="G11863" s="60">
        <v>1.75</v>
      </c>
      <c r="H11863" s="60">
        <v>0.945812807881773</v>
      </c>
      <c r="I11863" s="60">
        <v>15.7216783990147</v>
      </c>
      <c r="J11863" s="59">
        <v>0.0</v>
      </c>
      <c r="K11863" s="61">
        <f t="shared" si="1"/>
        <v>0</v>
      </c>
      <c r="L11863" s="62">
        <f t="shared" si="2"/>
        <v>0</v>
      </c>
    </row>
    <row r="11864">
      <c r="A11864" s="58">
        <v>44896.0</v>
      </c>
      <c r="B11864" s="24" t="s">
        <v>6794</v>
      </c>
      <c r="C11864" s="24" t="s">
        <v>6835</v>
      </c>
      <c r="D11864" s="59">
        <v>139.0</v>
      </c>
      <c r="E11864" s="59">
        <v>155.0</v>
      </c>
      <c r="F11864" s="59">
        <v>132.0</v>
      </c>
      <c r="G11864" s="60">
        <v>1.11510791366906</v>
      </c>
      <c r="H11864" s="60">
        <v>0.064516129032258</v>
      </c>
      <c r="I11864" s="60">
        <v>157.34427356129</v>
      </c>
      <c r="J11864" s="59">
        <v>339.0</v>
      </c>
      <c r="K11864" s="61">
        <f t="shared" si="1"/>
        <v>0.8516129032</v>
      </c>
      <c r="L11864" s="62">
        <f t="shared" si="2"/>
        <v>2.187096774</v>
      </c>
    </row>
    <row r="11865">
      <c r="A11865" s="58">
        <v>44896.0</v>
      </c>
      <c r="B11865" s="24" t="s">
        <v>6794</v>
      </c>
      <c r="C11865" s="27"/>
      <c r="D11865" s="59">
        <v>135.0</v>
      </c>
      <c r="E11865" s="59">
        <v>152.0</v>
      </c>
      <c r="F11865" s="59">
        <v>124.0</v>
      </c>
      <c r="G11865" s="60">
        <v>1.12592592592592</v>
      </c>
      <c r="H11865" s="60">
        <v>0.00657894736842105</v>
      </c>
      <c r="I11865" s="60">
        <v>249.106056052631</v>
      </c>
      <c r="J11865" s="59">
        <v>605.0</v>
      </c>
      <c r="K11865" s="61">
        <f t="shared" si="1"/>
        <v>0.8157894737</v>
      </c>
      <c r="L11865" s="62">
        <f t="shared" si="2"/>
        <v>3.980263158</v>
      </c>
    </row>
    <row r="11866">
      <c r="A11866" s="58">
        <v>44896.0</v>
      </c>
      <c r="B11866" s="24" t="s">
        <v>7606</v>
      </c>
      <c r="C11866" s="27"/>
      <c r="D11866" s="59">
        <v>95.0</v>
      </c>
      <c r="E11866" s="59">
        <v>111.0</v>
      </c>
      <c r="F11866" s="59">
        <v>93.0</v>
      </c>
      <c r="G11866" s="60">
        <v>1.16842105263157</v>
      </c>
      <c r="H11866" s="60">
        <v>0.0990990990990991</v>
      </c>
      <c r="I11866" s="60">
        <v>16.6546409459459</v>
      </c>
      <c r="J11866" s="59">
        <v>236.0</v>
      </c>
      <c r="K11866" s="61">
        <f t="shared" si="1"/>
        <v>0.8378378378</v>
      </c>
      <c r="L11866" s="62">
        <f t="shared" si="2"/>
        <v>2.126126126</v>
      </c>
    </row>
    <row r="11867">
      <c r="A11867" s="58">
        <v>44896.0</v>
      </c>
      <c r="B11867" s="24" t="s">
        <v>6794</v>
      </c>
      <c r="C11867" s="24" t="s">
        <v>6921</v>
      </c>
      <c r="D11867" s="59">
        <v>62.0</v>
      </c>
      <c r="E11867" s="59">
        <v>66.0</v>
      </c>
      <c r="F11867" s="59">
        <v>61.0</v>
      </c>
      <c r="G11867" s="60">
        <v>1.06451612903225</v>
      </c>
      <c r="H11867" s="60">
        <v>0.212121212121212</v>
      </c>
      <c r="I11867" s="60">
        <v>57.3353868787878</v>
      </c>
      <c r="J11867" s="59">
        <v>142.0</v>
      </c>
      <c r="K11867" s="61">
        <f t="shared" si="1"/>
        <v>0.9242424242</v>
      </c>
      <c r="L11867" s="62">
        <f t="shared" si="2"/>
        <v>2.151515152</v>
      </c>
    </row>
    <row r="11868">
      <c r="A11868" s="58">
        <v>44896.0</v>
      </c>
      <c r="B11868" s="24" t="s">
        <v>6790</v>
      </c>
      <c r="C11868" s="24" t="s">
        <v>6921</v>
      </c>
      <c r="D11868" s="59">
        <v>58.0</v>
      </c>
      <c r="E11868" s="59">
        <v>58.0</v>
      </c>
      <c r="F11868" s="59">
        <v>55.0</v>
      </c>
      <c r="G11868" s="60">
        <v>1.0</v>
      </c>
      <c r="H11868" s="60">
        <v>0.206896551724137</v>
      </c>
      <c r="I11868" s="60">
        <v>45.2632663448275</v>
      </c>
      <c r="J11868" s="59">
        <v>133.0</v>
      </c>
      <c r="K11868" s="61">
        <f t="shared" si="1"/>
        <v>0.9482758621</v>
      </c>
      <c r="L11868" s="62">
        <f t="shared" si="2"/>
        <v>2.293103448</v>
      </c>
    </row>
    <row r="11869">
      <c r="A11869" s="58">
        <v>44896.0</v>
      </c>
      <c r="B11869" s="24" t="s">
        <v>6787</v>
      </c>
      <c r="C11869" s="24" t="s">
        <v>6792</v>
      </c>
      <c r="D11869" s="59">
        <v>56.0</v>
      </c>
      <c r="E11869" s="59">
        <v>70.0</v>
      </c>
      <c r="F11869" s="59">
        <v>0.0</v>
      </c>
      <c r="G11869" s="60">
        <v>1.75</v>
      </c>
      <c r="H11869" s="60">
        <v>0.985714285714285</v>
      </c>
      <c r="I11869" s="60">
        <v>9.36450924285714</v>
      </c>
      <c r="J11869" s="59">
        <v>0.0</v>
      </c>
      <c r="K11869" s="61">
        <f t="shared" si="1"/>
        <v>0</v>
      </c>
      <c r="L11869" s="62">
        <f t="shared" si="2"/>
        <v>0</v>
      </c>
    </row>
    <row r="11870">
      <c r="A11870" s="58">
        <v>44896.0</v>
      </c>
      <c r="B11870" s="24" t="s">
        <v>6787</v>
      </c>
      <c r="C11870" s="24" t="s">
        <v>6835</v>
      </c>
      <c r="D11870" s="59">
        <v>54.0</v>
      </c>
      <c r="E11870" s="59">
        <v>73.0</v>
      </c>
      <c r="F11870" s="59">
        <v>53.0</v>
      </c>
      <c r="G11870" s="60">
        <v>1.37735849056603</v>
      </c>
      <c r="H11870" s="60">
        <v>0.0273972602739726</v>
      </c>
      <c r="I11870" s="60">
        <v>106.440807630136</v>
      </c>
      <c r="J11870" s="59">
        <v>163.0</v>
      </c>
      <c r="K11870" s="61">
        <f t="shared" si="1"/>
        <v>0.7260273973</v>
      </c>
      <c r="L11870" s="62">
        <f t="shared" si="2"/>
        <v>2.232876712</v>
      </c>
    </row>
    <row r="11871">
      <c r="A11871" s="58">
        <v>44896.0</v>
      </c>
      <c r="B11871" s="24" t="s">
        <v>6794</v>
      </c>
      <c r="C11871" s="24" t="s">
        <v>6792</v>
      </c>
      <c r="D11871" s="59">
        <v>51.0</v>
      </c>
      <c r="E11871" s="59">
        <v>57.0</v>
      </c>
      <c r="F11871" s="59">
        <v>0.0</v>
      </c>
      <c r="G11871" s="60">
        <v>1.54054054054054</v>
      </c>
      <c r="H11871" s="60">
        <v>0.964912280701754</v>
      </c>
      <c r="I11871" s="60">
        <v>4.07131387719298</v>
      </c>
      <c r="J11871" s="59">
        <v>0.0</v>
      </c>
      <c r="K11871" s="61">
        <f t="shared" si="1"/>
        <v>0</v>
      </c>
      <c r="L11871" s="62">
        <f t="shared" si="2"/>
        <v>0</v>
      </c>
    </row>
    <row r="11872">
      <c r="A11872" s="58">
        <v>44896.0</v>
      </c>
      <c r="B11872" s="24" t="s">
        <v>6790</v>
      </c>
      <c r="C11872" s="24" t="s">
        <v>6792</v>
      </c>
      <c r="D11872" s="59">
        <v>39.0</v>
      </c>
      <c r="E11872" s="59">
        <v>43.0</v>
      </c>
      <c r="F11872" s="59">
        <v>0.0</v>
      </c>
      <c r="G11872" s="60">
        <v>2.38888888888888</v>
      </c>
      <c r="H11872" s="60">
        <v>0.883720930232558</v>
      </c>
      <c r="I11872" s="60">
        <v>30.9506940697674</v>
      </c>
      <c r="J11872" s="59">
        <v>0.0</v>
      </c>
      <c r="K11872" s="61">
        <f t="shared" si="1"/>
        <v>0</v>
      </c>
      <c r="L11872" s="62">
        <f t="shared" si="2"/>
        <v>0</v>
      </c>
    </row>
    <row r="11873">
      <c r="A11873" s="58">
        <v>44896.0</v>
      </c>
      <c r="B11873" s="24" t="s">
        <v>155</v>
      </c>
      <c r="C11873" s="27"/>
      <c r="D11873" s="59">
        <v>31.0</v>
      </c>
      <c r="E11873" s="59">
        <v>54.0</v>
      </c>
      <c r="F11873" s="59">
        <v>26.0</v>
      </c>
      <c r="G11873" s="60">
        <v>1.74193548387096</v>
      </c>
      <c r="H11873" s="60">
        <v>0.0</v>
      </c>
      <c r="I11873" s="60">
        <v>332.337097055555</v>
      </c>
      <c r="J11873" s="59">
        <v>276.0</v>
      </c>
      <c r="K11873" s="61">
        <f t="shared" si="1"/>
        <v>0.4814814815</v>
      </c>
      <c r="L11873" s="62">
        <f t="shared" si="2"/>
        <v>5.111111111</v>
      </c>
    </row>
    <row r="11874">
      <c r="A11874" s="58">
        <v>44896.0</v>
      </c>
      <c r="B11874" s="24" t="s">
        <v>7100</v>
      </c>
      <c r="C11874" s="24" t="s">
        <v>6921</v>
      </c>
      <c r="D11874" s="59">
        <v>30.0</v>
      </c>
      <c r="E11874" s="59">
        <v>31.0</v>
      </c>
      <c r="F11874" s="59">
        <v>29.0</v>
      </c>
      <c r="G11874" s="60">
        <v>1.03333333333333</v>
      </c>
      <c r="H11874" s="60">
        <v>0.161290322580645</v>
      </c>
      <c r="I11874" s="60">
        <v>88.8626688709677</v>
      </c>
      <c r="J11874" s="59">
        <v>69.0</v>
      </c>
      <c r="K11874" s="61">
        <f t="shared" si="1"/>
        <v>0.935483871</v>
      </c>
      <c r="L11874" s="62">
        <f t="shared" si="2"/>
        <v>2.225806452</v>
      </c>
    </row>
    <row r="11875">
      <c r="A11875" s="58">
        <v>44896.0</v>
      </c>
      <c r="B11875" s="24" t="s">
        <v>6787</v>
      </c>
      <c r="C11875" s="24" t="s">
        <v>6815</v>
      </c>
      <c r="D11875" s="59">
        <v>28.0</v>
      </c>
      <c r="E11875" s="59">
        <v>38.0</v>
      </c>
      <c r="F11875" s="59">
        <v>24.0</v>
      </c>
      <c r="G11875" s="60">
        <v>1.35714285714285</v>
      </c>
      <c r="H11875" s="60">
        <v>0.0526315789473684</v>
      </c>
      <c r="I11875" s="60">
        <v>135.248097499999</v>
      </c>
      <c r="J11875" s="59">
        <v>112.0</v>
      </c>
      <c r="K11875" s="61">
        <f t="shared" si="1"/>
        <v>0.6315789474</v>
      </c>
      <c r="L11875" s="62">
        <f t="shared" si="2"/>
        <v>2.947368421</v>
      </c>
    </row>
    <row r="11876">
      <c r="A11876" s="58">
        <v>44896.0</v>
      </c>
      <c r="B11876" s="24" t="s">
        <v>7100</v>
      </c>
      <c r="C11876" s="24" t="s">
        <v>6922</v>
      </c>
      <c r="D11876" s="59">
        <v>27.0</v>
      </c>
      <c r="E11876" s="59">
        <v>27.0</v>
      </c>
      <c r="F11876" s="59">
        <v>27.0</v>
      </c>
      <c r="G11876" s="60">
        <v>1.0</v>
      </c>
      <c r="H11876" s="60">
        <v>0.111111111111111</v>
      </c>
      <c r="I11876" s="60">
        <v>46.7144887037037</v>
      </c>
      <c r="J11876" s="59">
        <v>63.0</v>
      </c>
      <c r="K11876" s="61">
        <f t="shared" si="1"/>
        <v>1</v>
      </c>
      <c r="L11876" s="62">
        <f t="shared" si="2"/>
        <v>2.333333333</v>
      </c>
    </row>
    <row r="11877">
      <c r="A11877" s="58">
        <v>44896.0</v>
      </c>
      <c r="B11877" s="24" t="s">
        <v>6794</v>
      </c>
      <c r="C11877" s="24" t="s">
        <v>7067</v>
      </c>
      <c r="D11877" s="59">
        <v>22.0</v>
      </c>
      <c r="E11877" s="59">
        <v>23.0</v>
      </c>
      <c r="F11877" s="59">
        <v>19.0</v>
      </c>
      <c r="G11877" s="60">
        <v>1.04545454545454</v>
      </c>
      <c r="H11877" s="60">
        <v>0.0434782608695652</v>
      </c>
      <c r="I11877" s="60">
        <v>232.392431565217</v>
      </c>
      <c r="J11877" s="59">
        <v>90.0</v>
      </c>
      <c r="K11877" s="61">
        <f t="shared" si="1"/>
        <v>0.8260869565</v>
      </c>
      <c r="L11877" s="62">
        <f t="shared" si="2"/>
        <v>3.913043478</v>
      </c>
    </row>
    <row r="11878">
      <c r="A11878" s="58">
        <v>44896.0</v>
      </c>
      <c r="B11878" s="24" t="s">
        <v>6787</v>
      </c>
      <c r="C11878" s="24" t="s">
        <v>6921</v>
      </c>
      <c r="D11878" s="59">
        <v>21.0</v>
      </c>
      <c r="E11878" s="59">
        <v>21.0</v>
      </c>
      <c r="F11878" s="59">
        <v>21.0</v>
      </c>
      <c r="G11878" s="60">
        <v>1.0</v>
      </c>
      <c r="H11878" s="60">
        <v>0.0476190476190476</v>
      </c>
      <c r="I11878" s="60">
        <v>4.6483019047619</v>
      </c>
      <c r="J11878" s="59">
        <v>41.0</v>
      </c>
      <c r="K11878" s="61">
        <f t="shared" si="1"/>
        <v>1</v>
      </c>
      <c r="L11878" s="62">
        <f t="shared" si="2"/>
        <v>1.952380952</v>
      </c>
    </row>
    <row r="11879">
      <c r="A11879" s="58">
        <v>44896.0</v>
      </c>
      <c r="B11879" s="24" t="s">
        <v>6790</v>
      </c>
      <c r="C11879" s="27"/>
      <c r="D11879" s="59">
        <v>20.0</v>
      </c>
      <c r="E11879" s="59">
        <v>23.0</v>
      </c>
      <c r="F11879" s="59">
        <v>7.0</v>
      </c>
      <c r="G11879" s="60">
        <v>1.15</v>
      </c>
      <c r="H11879" s="60">
        <v>0.304347826086956</v>
      </c>
      <c r="I11879" s="60">
        <v>102.856054173913</v>
      </c>
      <c r="J11879" s="59">
        <v>72.0</v>
      </c>
      <c r="K11879" s="61">
        <f t="shared" si="1"/>
        <v>0.3043478261</v>
      </c>
      <c r="L11879" s="62">
        <f t="shared" si="2"/>
        <v>3.130434783</v>
      </c>
    </row>
    <row r="11880">
      <c r="A11880" s="58">
        <v>44896.0</v>
      </c>
      <c r="B11880" s="24" t="s">
        <v>6787</v>
      </c>
      <c r="C11880" s="24" t="s">
        <v>6800</v>
      </c>
      <c r="D11880" s="59">
        <v>20.0</v>
      </c>
      <c r="E11880" s="59">
        <v>21.0</v>
      </c>
      <c r="F11880" s="59">
        <v>19.0</v>
      </c>
      <c r="G11880" s="60">
        <v>1.05</v>
      </c>
      <c r="H11880" s="60">
        <v>0.238095238095238</v>
      </c>
      <c r="I11880" s="60">
        <v>57.9932787619047</v>
      </c>
      <c r="J11880" s="59">
        <v>41.0</v>
      </c>
      <c r="K11880" s="61">
        <f t="shared" si="1"/>
        <v>0.9047619048</v>
      </c>
      <c r="L11880" s="62">
        <f t="shared" si="2"/>
        <v>1.952380952</v>
      </c>
    </row>
    <row r="11881">
      <c r="A11881" s="58">
        <v>44896.0</v>
      </c>
      <c r="B11881" s="24" t="s">
        <v>6787</v>
      </c>
      <c r="C11881" s="24" t="s">
        <v>6922</v>
      </c>
      <c r="D11881" s="59">
        <v>20.0</v>
      </c>
      <c r="E11881" s="59">
        <v>20.0</v>
      </c>
      <c r="F11881" s="59">
        <v>20.0</v>
      </c>
      <c r="G11881" s="60">
        <v>1.0</v>
      </c>
      <c r="H11881" s="60">
        <v>0.0</v>
      </c>
      <c r="I11881" s="60">
        <v>4.70934155</v>
      </c>
      <c r="J11881" s="59">
        <v>40.0</v>
      </c>
      <c r="K11881" s="61">
        <f t="shared" si="1"/>
        <v>1</v>
      </c>
      <c r="L11881" s="62">
        <f t="shared" si="2"/>
        <v>2</v>
      </c>
    </row>
    <row r="11882">
      <c r="A11882" s="58">
        <v>44896.0</v>
      </c>
      <c r="B11882" s="24" t="s">
        <v>6791</v>
      </c>
      <c r="C11882" s="24" t="s">
        <v>7307</v>
      </c>
      <c r="D11882" s="59">
        <v>18.0</v>
      </c>
      <c r="E11882" s="59">
        <v>18.0</v>
      </c>
      <c r="F11882" s="59">
        <v>18.0</v>
      </c>
      <c r="G11882" s="60">
        <v>1.0</v>
      </c>
      <c r="H11882" s="60">
        <v>0.0555555555555555</v>
      </c>
      <c r="I11882" s="60">
        <v>75.3248029444444</v>
      </c>
      <c r="J11882" s="59">
        <v>44.0</v>
      </c>
      <c r="K11882" s="61">
        <f t="shared" si="1"/>
        <v>1</v>
      </c>
      <c r="L11882" s="62">
        <f t="shared" si="2"/>
        <v>2.444444444</v>
      </c>
    </row>
    <row r="11883">
      <c r="A11883" s="58">
        <v>44896.0</v>
      </c>
      <c r="B11883" s="24" t="s">
        <v>6787</v>
      </c>
      <c r="C11883" s="24" t="s">
        <v>7307</v>
      </c>
      <c r="D11883" s="59">
        <v>17.0</v>
      </c>
      <c r="E11883" s="59">
        <v>20.0</v>
      </c>
      <c r="F11883" s="59">
        <v>12.0</v>
      </c>
      <c r="G11883" s="60">
        <v>1.17647058823529</v>
      </c>
      <c r="H11883" s="60">
        <v>0.0</v>
      </c>
      <c r="I11883" s="60">
        <v>340.020897499999</v>
      </c>
      <c r="J11883" s="59">
        <v>49.0</v>
      </c>
      <c r="K11883" s="61">
        <f t="shared" si="1"/>
        <v>0.6</v>
      </c>
      <c r="L11883" s="62">
        <f t="shared" si="2"/>
        <v>2.45</v>
      </c>
    </row>
    <row r="11884">
      <c r="A11884" s="58">
        <v>44896.0</v>
      </c>
      <c r="B11884" s="24" t="s">
        <v>6787</v>
      </c>
      <c r="C11884" s="24" t="s">
        <v>7068</v>
      </c>
      <c r="D11884" s="59">
        <v>16.0</v>
      </c>
      <c r="E11884" s="59">
        <v>17.0</v>
      </c>
      <c r="F11884" s="59">
        <v>15.0</v>
      </c>
      <c r="G11884" s="60">
        <v>1.0625</v>
      </c>
      <c r="H11884" s="60">
        <v>0.0</v>
      </c>
      <c r="I11884" s="60">
        <v>174.517716352941</v>
      </c>
      <c r="J11884" s="59">
        <v>36.0</v>
      </c>
      <c r="K11884" s="61">
        <f t="shared" si="1"/>
        <v>0.8823529412</v>
      </c>
      <c r="L11884" s="62">
        <f t="shared" si="2"/>
        <v>2.117647059</v>
      </c>
    </row>
    <row r="11885">
      <c r="A11885" s="58">
        <v>44896.0</v>
      </c>
      <c r="B11885" s="24" t="s">
        <v>6787</v>
      </c>
      <c r="C11885" s="24" t="s">
        <v>7067</v>
      </c>
      <c r="D11885" s="59">
        <v>14.0</v>
      </c>
      <c r="E11885" s="59">
        <v>15.0</v>
      </c>
      <c r="F11885" s="59">
        <v>8.0</v>
      </c>
      <c r="G11885" s="60">
        <v>1.07142857142857</v>
      </c>
      <c r="H11885" s="60">
        <v>0.0</v>
      </c>
      <c r="I11885" s="60">
        <v>369.535598</v>
      </c>
      <c r="J11885" s="59">
        <v>40.0</v>
      </c>
      <c r="K11885" s="61">
        <f t="shared" si="1"/>
        <v>0.5333333333</v>
      </c>
      <c r="L11885" s="62">
        <f t="shared" si="2"/>
        <v>2.666666667</v>
      </c>
    </row>
    <row r="11886">
      <c r="A11886" s="58">
        <v>44896.0</v>
      </c>
      <c r="B11886" s="24" t="s">
        <v>7606</v>
      </c>
      <c r="C11886" s="24" t="s">
        <v>6922</v>
      </c>
      <c r="D11886" s="59">
        <v>14.0</v>
      </c>
      <c r="E11886" s="59">
        <v>14.0</v>
      </c>
      <c r="F11886" s="59">
        <v>12.0</v>
      </c>
      <c r="G11886" s="60">
        <v>1.0</v>
      </c>
      <c r="H11886" s="60">
        <v>0.142857142857142</v>
      </c>
      <c r="I11886" s="60">
        <v>14.4569101428571</v>
      </c>
      <c r="J11886" s="59">
        <v>30.0</v>
      </c>
      <c r="K11886" s="61">
        <f t="shared" si="1"/>
        <v>0.8571428571</v>
      </c>
      <c r="L11886" s="62">
        <f t="shared" si="2"/>
        <v>2.142857143</v>
      </c>
    </row>
    <row r="11887">
      <c r="A11887" s="58">
        <v>44896.0</v>
      </c>
      <c r="B11887" s="24" t="s">
        <v>6789</v>
      </c>
      <c r="C11887" s="24" t="s">
        <v>6817</v>
      </c>
      <c r="D11887" s="59">
        <v>13.0</v>
      </c>
      <c r="E11887" s="59">
        <v>23.0</v>
      </c>
      <c r="F11887" s="59">
        <v>4.0</v>
      </c>
      <c r="G11887" s="60">
        <v>1.76923076923076</v>
      </c>
      <c r="H11887" s="60">
        <v>0.0</v>
      </c>
      <c r="I11887" s="60">
        <v>612.913162043478</v>
      </c>
      <c r="J11887" s="59">
        <v>180.0</v>
      </c>
      <c r="K11887" s="61">
        <f t="shared" si="1"/>
        <v>0.1739130435</v>
      </c>
      <c r="L11887" s="62">
        <f t="shared" si="2"/>
        <v>7.826086957</v>
      </c>
    </row>
    <row r="11888">
      <c r="A11888" s="58">
        <v>44896.0</v>
      </c>
      <c r="B11888" s="24" t="s">
        <v>6789</v>
      </c>
      <c r="C11888" s="24" t="s">
        <v>6799</v>
      </c>
      <c r="D11888" s="59">
        <v>13.0</v>
      </c>
      <c r="E11888" s="59">
        <v>13.0</v>
      </c>
      <c r="F11888" s="59">
        <v>6.0</v>
      </c>
      <c r="G11888" s="60">
        <v>1.0</v>
      </c>
      <c r="H11888" s="60">
        <v>0.0</v>
      </c>
      <c r="I11888" s="60">
        <v>216.70923</v>
      </c>
      <c r="J11888" s="59">
        <v>57.0</v>
      </c>
      <c r="K11888" s="61">
        <f t="shared" si="1"/>
        <v>0.4615384615</v>
      </c>
      <c r="L11888" s="62">
        <f t="shared" si="2"/>
        <v>4.384615385</v>
      </c>
    </row>
    <row r="11889">
      <c r="A11889" s="58">
        <v>44896.0</v>
      </c>
      <c r="B11889" s="24" t="s">
        <v>6787</v>
      </c>
      <c r="C11889" s="24" t="s">
        <v>7624</v>
      </c>
      <c r="D11889" s="59">
        <v>13.0</v>
      </c>
      <c r="E11889" s="59">
        <v>14.0</v>
      </c>
      <c r="F11889" s="59">
        <v>6.0</v>
      </c>
      <c r="G11889" s="60">
        <v>1.07692307692307</v>
      </c>
      <c r="H11889" s="60">
        <v>0.0</v>
      </c>
      <c r="I11889" s="60">
        <v>254.976306142857</v>
      </c>
      <c r="J11889" s="59">
        <v>36.0</v>
      </c>
      <c r="K11889" s="61">
        <f t="shared" si="1"/>
        <v>0.4285714286</v>
      </c>
      <c r="L11889" s="62">
        <f t="shared" si="2"/>
        <v>2.571428571</v>
      </c>
    </row>
    <row r="11890">
      <c r="A11890" s="58">
        <v>44896.0</v>
      </c>
      <c r="B11890" s="24" t="s">
        <v>6787</v>
      </c>
      <c r="C11890" s="24" t="s">
        <v>6931</v>
      </c>
      <c r="D11890" s="59">
        <v>13.0</v>
      </c>
      <c r="E11890" s="59">
        <v>13.0</v>
      </c>
      <c r="F11890" s="59">
        <v>12.0</v>
      </c>
      <c r="G11890" s="60">
        <v>1.0</v>
      </c>
      <c r="H11890" s="60">
        <v>0.153846153846153</v>
      </c>
      <c r="I11890" s="60">
        <v>4.05157546153846</v>
      </c>
      <c r="J11890" s="59">
        <v>24.0</v>
      </c>
      <c r="K11890" s="61">
        <f t="shared" si="1"/>
        <v>0.9230769231</v>
      </c>
      <c r="L11890" s="62">
        <f t="shared" si="2"/>
        <v>1.846153846</v>
      </c>
    </row>
    <row r="11891">
      <c r="A11891" s="58">
        <v>44896.0</v>
      </c>
      <c r="B11891" s="24" t="s">
        <v>6789</v>
      </c>
      <c r="C11891" s="24" t="s">
        <v>6835</v>
      </c>
      <c r="D11891" s="59">
        <v>12.0</v>
      </c>
      <c r="E11891" s="59">
        <v>12.0</v>
      </c>
      <c r="F11891" s="59">
        <v>9.0</v>
      </c>
      <c r="G11891" s="60">
        <v>1.0</v>
      </c>
      <c r="H11891" s="60">
        <v>0.0</v>
      </c>
      <c r="I11891" s="60">
        <v>213.741956416666</v>
      </c>
      <c r="J11891" s="59">
        <v>40.0</v>
      </c>
      <c r="K11891" s="61">
        <f t="shared" si="1"/>
        <v>0.75</v>
      </c>
      <c r="L11891" s="62">
        <f t="shared" si="2"/>
        <v>3.333333333</v>
      </c>
    </row>
    <row r="11892">
      <c r="A11892" s="58">
        <v>44896.0</v>
      </c>
      <c r="B11892" s="24" t="s">
        <v>6789</v>
      </c>
      <c r="C11892" s="24" t="s">
        <v>6802</v>
      </c>
      <c r="D11892" s="59">
        <v>12.0</v>
      </c>
      <c r="E11892" s="59">
        <v>20.0</v>
      </c>
      <c r="F11892" s="59">
        <v>0.0</v>
      </c>
      <c r="G11892" s="60">
        <v>1.81818181818181</v>
      </c>
      <c r="H11892" s="60">
        <v>0.05</v>
      </c>
      <c r="I11892" s="60">
        <v>438.5572344</v>
      </c>
      <c r="J11892" s="59">
        <v>82.0</v>
      </c>
      <c r="K11892" s="61">
        <f t="shared" si="1"/>
        <v>0</v>
      </c>
      <c r="L11892" s="62">
        <f t="shared" si="2"/>
        <v>4.1</v>
      </c>
    </row>
    <row r="11893">
      <c r="A11893" s="58">
        <v>44896.0</v>
      </c>
      <c r="B11893" s="24" t="s">
        <v>6787</v>
      </c>
      <c r="C11893" s="24" t="s">
        <v>7261</v>
      </c>
      <c r="D11893" s="59">
        <v>11.0</v>
      </c>
      <c r="E11893" s="59">
        <v>15.0</v>
      </c>
      <c r="F11893" s="59">
        <v>6.0</v>
      </c>
      <c r="G11893" s="60">
        <v>1.36363636363636</v>
      </c>
      <c r="H11893" s="60">
        <v>0.0</v>
      </c>
      <c r="I11893" s="60">
        <v>197.983526666666</v>
      </c>
      <c r="J11893" s="59">
        <v>52.0</v>
      </c>
      <c r="K11893" s="61">
        <f t="shared" si="1"/>
        <v>0.4</v>
      </c>
      <c r="L11893" s="62">
        <f t="shared" si="2"/>
        <v>3.466666667</v>
      </c>
    </row>
    <row r="11894">
      <c r="A11894" s="58">
        <v>44896.0</v>
      </c>
      <c r="B11894" s="24" t="s">
        <v>6789</v>
      </c>
      <c r="C11894" s="24" t="s">
        <v>6922</v>
      </c>
      <c r="D11894" s="59">
        <v>9.0</v>
      </c>
      <c r="E11894" s="59">
        <v>12.0</v>
      </c>
      <c r="F11894" s="59">
        <v>3.0</v>
      </c>
      <c r="G11894" s="60">
        <v>1.33333333333333</v>
      </c>
      <c r="H11894" s="60">
        <v>0.0833333333333333</v>
      </c>
      <c r="I11894" s="60">
        <v>444.169768166666</v>
      </c>
      <c r="J11894" s="59">
        <v>45.0</v>
      </c>
      <c r="K11894" s="61">
        <f t="shared" si="1"/>
        <v>0.25</v>
      </c>
      <c r="L11894" s="62">
        <f t="shared" si="2"/>
        <v>3.75</v>
      </c>
    </row>
    <row r="11895">
      <c r="A11895" s="58">
        <v>44896.0</v>
      </c>
      <c r="B11895" s="24" t="s">
        <v>6794</v>
      </c>
      <c r="C11895" s="24" t="s">
        <v>7065</v>
      </c>
      <c r="D11895" s="59">
        <v>8.0</v>
      </c>
      <c r="E11895" s="59">
        <v>9.0</v>
      </c>
      <c r="F11895" s="59">
        <v>5.0</v>
      </c>
      <c r="G11895" s="60">
        <v>1.125</v>
      </c>
      <c r="H11895" s="60">
        <v>0.0</v>
      </c>
      <c r="I11895" s="60">
        <v>69.201805</v>
      </c>
      <c r="J11895" s="59">
        <v>29.0</v>
      </c>
      <c r="K11895" s="61">
        <f t="shared" si="1"/>
        <v>0.5555555556</v>
      </c>
      <c r="L11895" s="62">
        <f t="shared" si="2"/>
        <v>3.222222222</v>
      </c>
    </row>
    <row r="11896">
      <c r="A11896" s="58">
        <v>44896.0</v>
      </c>
      <c r="B11896" s="24" t="s">
        <v>6787</v>
      </c>
      <c r="C11896" s="24" t="s">
        <v>6802</v>
      </c>
      <c r="D11896" s="59">
        <v>8.0</v>
      </c>
      <c r="E11896" s="59">
        <v>9.0</v>
      </c>
      <c r="F11896" s="59">
        <v>4.0</v>
      </c>
      <c r="G11896" s="60">
        <v>1.28571428571428</v>
      </c>
      <c r="H11896" s="60">
        <v>0.111111111111111</v>
      </c>
      <c r="I11896" s="60">
        <v>288.110879999999</v>
      </c>
      <c r="J11896" s="59">
        <v>70.0</v>
      </c>
      <c r="K11896" s="61">
        <f t="shared" si="1"/>
        <v>0.4444444444</v>
      </c>
      <c r="L11896" s="62">
        <f t="shared" si="2"/>
        <v>7.777777778</v>
      </c>
    </row>
    <row r="11897">
      <c r="A11897" s="58">
        <v>44896.0</v>
      </c>
      <c r="B11897" s="24" t="s">
        <v>6787</v>
      </c>
      <c r="C11897" s="24" t="s">
        <v>6994</v>
      </c>
      <c r="D11897" s="59">
        <v>7.0</v>
      </c>
      <c r="E11897" s="59">
        <v>9.0</v>
      </c>
      <c r="F11897" s="59">
        <v>0.0</v>
      </c>
      <c r="G11897" s="60">
        <v>1.28571428571428</v>
      </c>
      <c r="H11897" s="60">
        <v>0.0</v>
      </c>
      <c r="I11897" s="60">
        <v>416.013764111111</v>
      </c>
      <c r="J11897" s="59">
        <v>28.0</v>
      </c>
      <c r="K11897" s="61">
        <f t="shared" si="1"/>
        <v>0</v>
      </c>
      <c r="L11897" s="62">
        <f t="shared" si="2"/>
        <v>3.111111111</v>
      </c>
    </row>
    <row r="11898">
      <c r="A11898" s="58">
        <v>44896.0</v>
      </c>
      <c r="B11898" s="24" t="s">
        <v>6787</v>
      </c>
      <c r="C11898" s="24" t="s">
        <v>6886</v>
      </c>
      <c r="D11898" s="59">
        <v>7.0</v>
      </c>
      <c r="E11898" s="59">
        <v>8.0</v>
      </c>
      <c r="F11898" s="59">
        <v>5.0</v>
      </c>
      <c r="G11898" s="60">
        <v>1.14285714285714</v>
      </c>
      <c r="H11898" s="60">
        <v>0.125</v>
      </c>
      <c r="I11898" s="60">
        <v>250.594193625</v>
      </c>
      <c r="J11898" s="59">
        <v>26.0</v>
      </c>
      <c r="K11898" s="61">
        <f t="shared" si="1"/>
        <v>0.625</v>
      </c>
      <c r="L11898" s="62">
        <f t="shared" si="2"/>
        <v>3.25</v>
      </c>
    </row>
    <row r="11899">
      <c r="A11899" s="58">
        <v>44896.0</v>
      </c>
      <c r="B11899" s="24" t="s">
        <v>6789</v>
      </c>
      <c r="C11899" s="24" t="s">
        <v>6886</v>
      </c>
      <c r="D11899" s="59">
        <v>7.0</v>
      </c>
      <c r="E11899" s="59">
        <v>9.0</v>
      </c>
      <c r="F11899" s="59">
        <v>5.0</v>
      </c>
      <c r="G11899" s="60">
        <v>1.28571428571428</v>
      </c>
      <c r="H11899" s="60">
        <v>0.0</v>
      </c>
      <c r="I11899" s="60">
        <v>345.872350222222</v>
      </c>
      <c r="J11899" s="59">
        <v>46.0</v>
      </c>
      <c r="K11899" s="61">
        <f t="shared" si="1"/>
        <v>0.5555555556</v>
      </c>
      <c r="L11899" s="62">
        <f t="shared" si="2"/>
        <v>5.111111111</v>
      </c>
    </row>
    <row r="11900">
      <c r="A11900" s="58">
        <v>44896.0</v>
      </c>
      <c r="B11900" s="24" t="s">
        <v>6789</v>
      </c>
      <c r="C11900" s="24" t="s">
        <v>6819</v>
      </c>
      <c r="D11900" s="59">
        <v>6.0</v>
      </c>
      <c r="E11900" s="59">
        <v>6.0</v>
      </c>
      <c r="F11900" s="59">
        <v>6.0</v>
      </c>
      <c r="G11900" s="60">
        <v>1.0</v>
      </c>
      <c r="H11900" s="60">
        <v>0.0</v>
      </c>
      <c r="I11900" s="60">
        <v>84.0676675</v>
      </c>
      <c r="J11900" s="59">
        <v>26.0</v>
      </c>
      <c r="K11900" s="61">
        <f t="shared" si="1"/>
        <v>1</v>
      </c>
      <c r="L11900" s="62">
        <f t="shared" si="2"/>
        <v>4.333333333</v>
      </c>
    </row>
    <row r="11901">
      <c r="A11901" s="58">
        <v>44896.0</v>
      </c>
      <c r="B11901" s="24" t="s">
        <v>6789</v>
      </c>
      <c r="C11901" s="24" t="s">
        <v>7261</v>
      </c>
      <c r="D11901" s="59">
        <v>6.0</v>
      </c>
      <c r="E11901" s="59">
        <v>8.0</v>
      </c>
      <c r="F11901" s="59">
        <v>0.0</v>
      </c>
      <c r="G11901" s="60">
        <v>1.33333333333333</v>
      </c>
      <c r="H11901" s="60">
        <v>0.0</v>
      </c>
      <c r="I11901" s="60">
        <v>19.659771625</v>
      </c>
      <c r="J11901" s="59">
        <v>16.0</v>
      </c>
      <c r="K11901" s="61">
        <f t="shared" si="1"/>
        <v>0</v>
      </c>
      <c r="L11901" s="62">
        <f t="shared" si="2"/>
        <v>2</v>
      </c>
    </row>
    <row r="11902">
      <c r="A11902" s="58">
        <v>44896.0</v>
      </c>
      <c r="B11902" s="24" t="s">
        <v>6789</v>
      </c>
      <c r="C11902" s="24" t="s">
        <v>6800</v>
      </c>
      <c r="D11902" s="59">
        <v>6.0</v>
      </c>
      <c r="E11902" s="59">
        <v>6.0</v>
      </c>
      <c r="F11902" s="59">
        <v>3.0</v>
      </c>
      <c r="G11902" s="60">
        <v>1.0</v>
      </c>
      <c r="H11902" s="60">
        <v>0.0</v>
      </c>
      <c r="I11902" s="60">
        <v>220.8757975</v>
      </c>
      <c r="J11902" s="59">
        <v>14.0</v>
      </c>
      <c r="K11902" s="61">
        <f t="shared" si="1"/>
        <v>0.5</v>
      </c>
      <c r="L11902" s="62">
        <f t="shared" si="2"/>
        <v>2.333333333</v>
      </c>
    </row>
    <row r="11903">
      <c r="A11903" s="58">
        <v>44896.0</v>
      </c>
      <c r="B11903" s="24" t="s">
        <v>6787</v>
      </c>
      <c r="C11903" s="24" t="s">
        <v>6797</v>
      </c>
      <c r="D11903" s="59">
        <v>6.0</v>
      </c>
      <c r="E11903" s="59">
        <v>6.0</v>
      </c>
      <c r="F11903" s="59">
        <v>4.0</v>
      </c>
      <c r="G11903" s="60">
        <v>1.0</v>
      </c>
      <c r="H11903" s="60">
        <v>0.0</v>
      </c>
      <c r="I11903" s="60">
        <v>9.59086116666666</v>
      </c>
      <c r="J11903" s="59">
        <v>12.0</v>
      </c>
      <c r="K11903" s="61">
        <f t="shared" si="1"/>
        <v>0.6666666667</v>
      </c>
      <c r="L11903" s="62">
        <f t="shared" si="2"/>
        <v>2</v>
      </c>
    </row>
    <row r="11904">
      <c r="A11904" s="58">
        <v>44896.0</v>
      </c>
      <c r="B11904" s="24" t="s">
        <v>6789</v>
      </c>
      <c r="C11904" s="24" t="s">
        <v>6990</v>
      </c>
      <c r="D11904" s="59">
        <v>5.0</v>
      </c>
      <c r="E11904" s="59">
        <v>5.0</v>
      </c>
      <c r="F11904" s="59">
        <v>2.0</v>
      </c>
      <c r="G11904" s="60">
        <v>1.0</v>
      </c>
      <c r="H11904" s="60">
        <v>0.0</v>
      </c>
      <c r="I11904" s="60">
        <v>360.288293</v>
      </c>
      <c r="J11904" s="59">
        <v>12.0</v>
      </c>
      <c r="K11904" s="61">
        <f t="shared" si="1"/>
        <v>0.4</v>
      </c>
      <c r="L11904" s="62">
        <f t="shared" si="2"/>
        <v>2.4</v>
      </c>
    </row>
    <row r="11905">
      <c r="A11905" s="58">
        <v>44896.0</v>
      </c>
      <c r="B11905" s="24" t="s">
        <v>6789</v>
      </c>
      <c r="C11905" s="24" t="s">
        <v>6994</v>
      </c>
      <c r="D11905" s="59">
        <v>5.0</v>
      </c>
      <c r="E11905" s="59">
        <v>5.0</v>
      </c>
      <c r="F11905" s="59">
        <v>0.0</v>
      </c>
      <c r="G11905" s="60">
        <v>1.0</v>
      </c>
      <c r="H11905" s="60">
        <v>0.0</v>
      </c>
      <c r="I11905" s="60">
        <v>40.9445436</v>
      </c>
      <c r="J11905" s="59">
        <v>16.0</v>
      </c>
      <c r="K11905" s="61">
        <f t="shared" si="1"/>
        <v>0</v>
      </c>
      <c r="L11905" s="62">
        <f t="shared" si="2"/>
        <v>3.2</v>
      </c>
    </row>
    <row r="11906">
      <c r="A11906" s="58">
        <v>44896.0</v>
      </c>
      <c r="B11906" s="24" t="s">
        <v>6787</v>
      </c>
      <c r="C11906" s="24" t="s">
        <v>6905</v>
      </c>
      <c r="D11906" s="59">
        <v>5.0</v>
      </c>
      <c r="E11906" s="59">
        <v>5.0</v>
      </c>
      <c r="F11906" s="59">
        <v>3.0</v>
      </c>
      <c r="G11906" s="60">
        <v>1.0</v>
      </c>
      <c r="H11906" s="60">
        <v>0.0</v>
      </c>
      <c r="I11906" s="60">
        <v>218.635838</v>
      </c>
      <c r="J11906" s="59">
        <v>16.0</v>
      </c>
      <c r="K11906" s="61">
        <f t="shared" si="1"/>
        <v>0.6</v>
      </c>
      <c r="L11906" s="62">
        <f t="shared" si="2"/>
        <v>3.2</v>
      </c>
    </row>
    <row r="11907">
      <c r="A11907" s="58">
        <v>44896.0</v>
      </c>
      <c r="B11907" s="24" t="s">
        <v>6789</v>
      </c>
      <c r="C11907" s="24" t="s">
        <v>7101</v>
      </c>
      <c r="D11907" s="59">
        <v>5.0</v>
      </c>
      <c r="E11907" s="59">
        <v>7.0</v>
      </c>
      <c r="F11907" s="59">
        <v>0.0</v>
      </c>
      <c r="G11907" s="60">
        <v>1.4</v>
      </c>
      <c r="H11907" s="60">
        <v>0.0</v>
      </c>
      <c r="I11907" s="60">
        <v>178.280263285714</v>
      </c>
      <c r="J11907" s="59">
        <v>24.0</v>
      </c>
      <c r="K11907" s="61">
        <f t="shared" si="1"/>
        <v>0</v>
      </c>
      <c r="L11907" s="62">
        <f t="shared" si="2"/>
        <v>3.428571429</v>
      </c>
    </row>
    <row r="11908">
      <c r="A11908" s="58">
        <v>44896.0</v>
      </c>
      <c r="B11908" s="24" t="s">
        <v>6789</v>
      </c>
      <c r="C11908" s="24" t="s">
        <v>6910</v>
      </c>
      <c r="D11908" s="59">
        <v>5.0</v>
      </c>
      <c r="E11908" s="59">
        <v>7.0</v>
      </c>
      <c r="F11908" s="59">
        <v>2.0</v>
      </c>
      <c r="G11908" s="60">
        <v>1.4</v>
      </c>
      <c r="H11908" s="60">
        <v>0.142857142857142</v>
      </c>
      <c r="I11908" s="60">
        <v>224.502556571428</v>
      </c>
      <c r="J11908" s="59">
        <v>24.0</v>
      </c>
      <c r="K11908" s="61">
        <f t="shared" si="1"/>
        <v>0.2857142857</v>
      </c>
      <c r="L11908" s="62">
        <f t="shared" si="2"/>
        <v>3.428571429</v>
      </c>
    </row>
    <row r="11909">
      <c r="A11909" s="58">
        <v>44896.0</v>
      </c>
      <c r="B11909" s="24" t="s">
        <v>6791</v>
      </c>
      <c r="C11909" s="24" t="s">
        <v>7601</v>
      </c>
      <c r="D11909" s="59">
        <v>5.0</v>
      </c>
      <c r="E11909" s="59">
        <v>5.0</v>
      </c>
      <c r="F11909" s="59">
        <v>5.0</v>
      </c>
      <c r="G11909" s="60">
        <v>1.0</v>
      </c>
      <c r="H11909" s="60">
        <v>0.0</v>
      </c>
      <c r="I11909" s="60">
        <v>31.9223228</v>
      </c>
      <c r="J11909" s="59">
        <v>10.0</v>
      </c>
      <c r="K11909" s="61">
        <f t="shared" si="1"/>
        <v>1</v>
      </c>
      <c r="L11909" s="62">
        <f t="shared" si="2"/>
        <v>2</v>
      </c>
    </row>
    <row r="11910">
      <c r="A11910" s="58">
        <v>44896.0</v>
      </c>
      <c r="B11910" s="24" t="s">
        <v>6791</v>
      </c>
      <c r="C11910" s="24" t="s">
        <v>7111</v>
      </c>
      <c r="D11910" s="59">
        <v>5.0</v>
      </c>
      <c r="E11910" s="59">
        <v>5.0</v>
      </c>
      <c r="F11910" s="59">
        <v>5.0</v>
      </c>
      <c r="G11910" s="60">
        <v>1.0</v>
      </c>
      <c r="H11910" s="60">
        <v>0.0</v>
      </c>
      <c r="I11910" s="60">
        <v>62.7331996</v>
      </c>
      <c r="J11910" s="59">
        <v>15.0</v>
      </c>
      <c r="K11910" s="61">
        <f t="shared" si="1"/>
        <v>1</v>
      </c>
      <c r="L11910" s="62">
        <f t="shared" si="2"/>
        <v>3</v>
      </c>
    </row>
    <row r="11911">
      <c r="A11911" s="58">
        <v>44896.0</v>
      </c>
      <c r="B11911" s="24" t="s">
        <v>155</v>
      </c>
      <c r="C11911" s="24" t="s">
        <v>6922</v>
      </c>
      <c r="D11911" s="59">
        <v>5.0</v>
      </c>
      <c r="E11911" s="59">
        <v>5.0</v>
      </c>
      <c r="F11911" s="59">
        <v>5.0</v>
      </c>
      <c r="G11911" s="60">
        <v>1.0</v>
      </c>
      <c r="H11911" s="60">
        <v>0.0</v>
      </c>
      <c r="I11911" s="60">
        <v>5.2416914</v>
      </c>
      <c r="J11911" s="59">
        <v>10.0</v>
      </c>
      <c r="K11911" s="61">
        <f t="shared" si="1"/>
        <v>1</v>
      </c>
      <c r="L11911" s="62">
        <f t="shared" si="2"/>
        <v>2</v>
      </c>
    </row>
    <row r="11912">
      <c r="A11912" s="58">
        <v>44896.0</v>
      </c>
      <c r="B11912" s="24" t="s">
        <v>155</v>
      </c>
      <c r="C11912" s="24" t="s">
        <v>6792</v>
      </c>
      <c r="D11912" s="59">
        <v>4.0</v>
      </c>
      <c r="E11912" s="59">
        <v>13.0</v>
      </c>
      <c r="F11912" s="59">
        <v>0.0</v>
      </c>
      <c r="G11912" s="60">
        <v>3.25</v>
      </c>
      <c r="H11912" s="60">
        <v>0.923076923076923</v>
      </c>
      <c r="I11912" s="60">
        <v>5.07400692307692</v>
      </c>
      <c r="J11912" s="59">
        <v>0.0</v>
      </c>
      <c r="K11912" s="61">
        <f t="shared" si="1"/>
        <v>0</v>
      </c>
      <c r="L11912" s="62">
        <f t="shared" si="2"/>
        <v>0</v>
      </c>
    </row>
    <row r="11913">
      <c r="A11913" s="58">
        <v>44896.0</v>
      </c>
      <c r="B11913" s="24" t="s">
        <v>6787</v>
      </c>
      <c r="C11913" s="24" t="s">
        <v>6803</v>
      </c>
      <c r="D11913" s="59">
        <v>4.0</v>
      </c>
      <c r="E11913" s="59">
        <v>17.0</v>
      </c>
      <c r="F11913" s="59">
        <v>1.0</v>
      </c>
      <c r="G11913" s="60">
        <v>4.25</v>
      </c>
      <c r="H11913" s="60">
        <v>0.0</v>
      </c>
      <c r="I11913" s="60">
        <v>1425.15718458823</v>
      </c>
      <c r="J11913" s="59">
        <v>123.0</v>
      </c>
      <c r="K11913" s="61">
        <f t="shared" si="1"/>
        <v>0.05882352941</v>
      </c>
      <c r="L11913" s="62">
        <f t="shared" si="2"/>
        <v>7.235294118</v>
      </c>
    </row>
    <row r="11914">
      <c r="A11914" s="58">
        <v>44896.0</v>
      </c>
      <c r="B11914" s="24" t="s">
        <v>6787</v>
      </c>
      <c r="C11914" s="24" t="s">
        <v>6817</v>
      </c>
      <c r="D11914" s="59">
        <v>4.0</v>
      </c>
      <c r="E11914" s="59">
        <v>5.0</v>
      </c>
      <c r="F11914" s="59">
        <v>2.0</v>
      </c>
      <c r="G11914" s="60">
        <v>1.25</v>
      </c>
      <c r="H11914" s="60">
        <v>0.0</v>
      </c>
      <c r="I11914" s="60">
        <v>98.2643144</v>
      </c>
      <c r="J11914" s="59">
        <v>20.0</v>
      </c>
      <c r="K11914" s="61">
        <f t="shared" si="1"/>
        <v>0.4</v>
      </c>
      <c r="L11914" s="62">
        <f t="shared" si="2"/>
        <v>4</v>
      </c>
    </row>
    <row r="11915">
      <c r="A11915" s="58">
        <v>44896.0</v>
      </c>
      <c r="B11915" s="24" t="s">
        <v>7606</v>
      </c>
      <c r="C11915" s="24" t="s">
        <v>7307</v>
      </c>
      <c r="D11915" s="59">
        <v>4.0</v>
      </c>
      <c r="E11915" s="59">
        <v>4.0</v>
      </c>
      <c r="F11915" s="59">
        <v>4.0</v>
      </c>
      <c r="G11915" s="60">
        <v>1.0</v>
      </c>
      <c r="H11915" s="60">
        <v>0.0</v>
      </c>
      <c r="I11915" s="60">
        <v>7.17686125</v>
      </c>
      <c r="J11915" s="59">
        <v>10.0</v>
      </c>
      <c r="K11915" s="61">
        <f t="shared" si="1"/>
        <v>1</v>
      </c>
      <c r="L11915" s="62">
        <f t="shared" si="2"/>
        <v>2.5</v>
      </c>
    </row>
    <row r="11916">
      <c r="A11916" s="58">
        <v>44896.0</v>
      </c>
      <c r="B11916" s="24" t="s">
        <v>6789</v>
      </c>
      <c r="C11916" s="24" t="s">
        <v>7624</v>
      </c>
      <c r="D11916" s="59">
        <v>4.0</v>
      </c>
      <c r="E11916" s="59">
        <v>5.0</v>
      </c>
      <c r="F11916" s="59">
        <v>0.0</v>
      </c>
      <c r="G11916" s="60">
        <v>1.25</v>
      </c>
      <c r="H11916" s="60">
        <v>0.0</v>
      </c>
      <c r="I11916" s="60">
        <v>232.602631799999</v>
      </c>
      <c r="J11916" s="59">
        <v>14.0</v>
      </c>
      <c r="K11916" s="61">
        <f t="shared" si="1"/>
        <v>0</v>
      </c>
      <c r="L11916" s="62">
        <f t="shared" si="2"/>
        <v>2.8</v>
      </c>
    </row>
    <row r="11917">
      <c r="A11917" s="58">
        <v>44896.0</v>
      </c>
      <c r="B11917" s="24" t="s">
        <v>6787</v>
      </c>
      <c r="C11917" s="24" t="s">
        <v>7648</v>
      </c>
      <c r="D11917" s="59">
        <v>4.0</v>
      </c>
      <c r="E11917" s="59">
        <v>6.0</v>
      </c>
      <c r="F11917" s="59">
        <v>1.0</v>
      </c>
      <c r="G11917" s="60">
        <v>1.5</v>
      </c>
      <c r="H11917" s="60">
        <v>0.0</v>
      </c>
      <c r="I11917" s="60">
        <v>526.020074333333</v>
      </c>
      <c r="J11917" s="59">
        <v>48.0</v>
      </c>
      <c r="K11917" s="61">
        <f t="shared" si="1"/>
        <v>0.1666666667</v>
      </c>
      <c r="L11917" s="62">
        <f t="shared" si="2"/>
        <v>8</v>
      </c>
    </row>
    <row r="11918">
      <c r="A11918" s="58">
        <v>44896.0</v>
      </c>
      <c r="B11918" s="24" t="s">
        <v>6789</v>
      </c>
      <c r="C11918" s="24" t="s">
        <v>6907</v>
      </c>
      <c r="D11918" s="59">
        <v>4.0</v>
      </c>
      <c r="E11918" s="59">
        <v>4.0</v>
      </c>
      <c r="F11918" s="59">
        <v>2.0</v>
      </c>
      <c r="G11918" s="60">
        <v>1.0</v>
      </c>
      <c r="H11918" s="60">
        <v>0.0</v>
      </c>
      <c r="I11918" s="60">
        <v>507.6969665</v>
      </c>
      <c r="J11918" s="59">
        <v>15.0</v>
      </c>
      <c r="K11918" s="61">
        <f t="shared" si="1"/>
        <v>0.5</v>
      </c>
      <c r="L11918" s="62">
        <f t="shared" si="2"/>
        <v>3.75</v>
      </c>
    </row>
    <row r="11919">
      <c r="A11919" s="58">
        <v>44896.0</v>
      </c>
      <c r="B11919" s="24" t="s">
        <v>6789</v>
      </c>
      <c r="C11919" s="24" t="s">
        <v>6808</v>
      </c>
      <c r="D11919" s="59">
        <v>4.0</v>
      </c>
      <c r="E11919" s="59">
        <v>5.0</v>
      </c>
      <c r="F11919" s="59">
        <v>1.0</v>
      </c>
      <c r="G11919" s="60">
        <v>1.25</v>
      </c>
      <c r="H11919" s="60">
        <v>0.0</v>
      </c>
      <c r="I11919" s="60">
        <v>793.1887736</v>
      </c>
      <c r="J11919" s="59">
        <v>44.0</v>
      </c>
      <c r="K11919" s="61">
        <f t="shared" si="1"/>
        <v>0.2</v>
      </c>
      <c r="L11919" s="62">
        <f t="shared" si="2"/>
        <v>8.8</v>
      </c>
    </row>
    <row r="11920">
      <c r="A11920" s="58">
        <v>44896.0</v>
      </c>
      <c r="B11920" s="24" t="s">
        <v>6787</v>
      </c>
      <c r="C11920" s="24" t="s">
        <v>7313</v>
      </c>
      <c r="D11920" s="59">
        <v>4.0</v>
      </c>
      <c r="E11920" s="59">
        <v>4.0</v>
      </c>
      <c r="F11920" s="59">
        <v>4.0</v>
      </c>
      <c r="G11920" s="60">
        <v>1.0</v>
      </c>
      <c r="H11920" s="60">
        <v>0.0</v>
      </c>
      <c r="I11920" s="60">
        <v>428.7523395</v>
      </c>
      <c r="J11920" s="59">
        <v>13.0</v>
      </c>
      <c r="K11920" s="61">
        <f t="shared" si="1"/>
        <v>1</v>
      </c>
      <c r="L11920" s="62">
        <f t="shared" si="2"/>
        <v>3.25</v>
      </c>
    </row>
    <row r="11921">
      <c r="A11921" s="58">
        <v>44896.0</v>
      </c>
      <c r="B11921" s="24" t="s">
        <v>6789</v>
      </c>
      <c r="C11921" s="24" t="s">
        <v>7313</v>
      </c>
      <c r="D11921" s="59">
        <v>4.0</v>
      </c>
      <c r="E11921" s="59">
        <v>4.0</v>
      </c>
      <c r="F11921" s="59">
        <v>1.0</v>
      </c>
      <c r="G11921" s="60">
        <v>1.0</v>
      </c>
      <c r="H11921" s="60">
        <v>0.0</v>
      </c>
      <c r="I11921" s="60">
        <v>571.91363175</v>
      </c>
      <c r="J11921" s="59">
        <v>20.0</v>
      </c>
      <c r="K11921" s="61">
        <f t="shared" si="1"/>
        <v>0.25</v>
      </c>
      <c r="L11921" s="62">
        <f t="shared" si="2"/>
        <v>5</v>
      </c>
    </row>
    <row r="11922">
      <c r="A11922" s="58">
        <v>44896.0</v>
      </c>
      <c r="B11922" s="24" t="s">
        <v>6787</v>
      </c>
      <c r="C11922" s="24" t="s">
        <v>7027</v>
      </c>
      <c r="D11922" s="59">
        <v>4.0</v>
      </c>
      <c r="E11922" s="59">
        <v>7.0</v>
      </c>
      <c r="F11922" s="59">
        <v>2.0</v>
      </c>
      <c r="G11922" s="60">
        <v>1.75</v>
      </c>
      <c r="H11922" s="60">
        <v>0.0</v>
      </c>
      <c r="I11922" s="60">
        <v>756.23191</v>
      </c>
      <c r="J11922" s="59">
        <v>47.0</v>
      </c>
      <c r="K11922" s="61">
        <f t="shared" si="1"/>
        <v>0.2857142857</v>
      </c>
      <c r="L11922" s="62">
        <f t="shared" si="2"/>
        <v>6.714285714</v>
      </c>
    </row>
    <row r="11923">
      <c r="A11923" s="58">
        <v>44896.0</v>
      </c>
      <c r="B11923" s="24" t="s">
        <v>7606</v>
      </c>
      <c r="C11923" s="24" t="s">
        <v>6921</v>
      </c>
      <c r="D11923" s="59">
        <v>4.0</v>
      </c>
      <c r="E11923" s="59">
        <v>7.0</v>
      </c>
      <c r="F11923" s="59">
        <v>3.0</v>
      </c>
      <c r="G11923" s="60">
        <v>1.75</v>
      </c>
      <c r="H11923" s="60">
        <v>0.142857142857142</v>
      </c>
      <c r="I11923" s="60">
        <v>124.539463</v>
      </c>
      <c r="J11923" s="59">
        <v>17.0</v>
      </c>
      <c r="K11923" s="61">
        <f t="shared" si="1"/>
        <v>0.4285714286</v>
      </c>
      <c r="L11923" s="62">
        <f t="shared" si="2"/>
        <v>2.428571429</v>
      </c>
    </row>
    <row r="11924">
      <c r="A11924" s="58">
        <v>44896.0</v>
      </c>
      <c r="B11924" s="24" t="s">
        <v>6789</v>
      </c>
      <c r="C11924" s="24" t="s">
        <v>6921</v>
      </c>
      <c r="D11924" s="59">
        <v>4.0</v>
      </c>
      <c r="E11924" s="59">
        <v>7.0</v>
      </c>
      <c r="F11924" s="59">
        <v>0.0</v>
      </c>
      <c r="G11924" s="60">
        <v>1.75</v>
      </c>
      <c r="H11924" s="60">
        <v>0.0</v>
      </c>
      <c r="I11924" s="60">
        <v>237.921376285714</v>
      </c>
      <c r="J11924" s="59">
        <v>28.0</v>
      </c>
      <c r="K11924" s="61">
        <f t="shared" si="1"/>
        <v>0</v>
      </c>
      <c r="L11924" s="62">
        <f t="shared" si="2"/>
        <v>4</v>
      </c>
    </row>
    <row r="11925">
      <c r="A11925" s="58">
        <v>44896.0</v>
      </c>
      <c r="B11925" s="24" t="s">
        <v>155</v>
      </c>
      <c r="C11925" s="24" t="s">
        <v>6921</v>
      </c>
      <c r="D11925" s="59">
        <v>4.0</v>
      </c>
      <c r="E11925" s="59">
        <v>4.0</v>
      </c>
      <c r="F11925" s="59">
        <v>4.0</v>
      </c>
      <c r="G11925" s="60">
        <v>1.0</v>
      </c>
      <c r="H11925" s="60">
        <v>0.0</v>
      </c>
      <c r="I11925" s="60">
        <v>4.0454055</v>
      </c>
      <c r="J11925" s="59">
        <v>8.0</v>
      </c>
      <c r="K11925" s="61">
        <f t="shared" si="1"/>
        <v>1</v>
      </c>
      <c r="L11925" s="62">
        <f t="shared" si="2"/>
        <v>2</v>
      </c>
    </row>
    <row r="11926">
      <c r="A11926" s="58">
        <v>44896.0</v>
      </c>
      <c r="B11926" s="24" t="s">
        <v>6790</v>
      </c>
      <c r="C11926" s="24" t="s">
        <v>6797</v>
      </c>
      <c r="D11926" s="59">
        <v>4.0</v>
      </c>
      <c r="E11926" s="59">
        <v>4.0</v>
      </c>
      <c r="F11926" s="59">
        <v>4.0</v>
      </c>
      <c r="G11926" s="60">
        <v>1.0</v>
      </c>
      <c r="H11926" s="60">
        <v>0.0</v>
      </c>
      <c r="I11926" s="60">
        <v>70.63490025</v>
      </c>
      <c r="J11926" s="59">
        <v>12.0</v>
      </c>
      <c r="K11926" s="61">
        <f t="shared" si="1"/>
        <v>1</v>
      </c>
      <c r="L11926" s="62">
        <f t="shared" si="2"/>
        <v>3</v>
      </c>
    </row>
    <row r="11927">
      <c r="A11927" s="58">
        <v>44896.0</v>
      </c>
      <c r="B11927" s="24" t="s">
        <v>6787</v>
      </c>
      <c r="C11927" s="24" t="s">
        <v>6810</v>
      </c>
      <c r="D11927" s="59">
        <v>4.0</v>
      </c>
      <c r="E11927" s="59">
        <v>4.0</v>
      </c>
      <c r="F11927" s="59">
        <v>4.0</v>
      </c>
      <c r="G11927" s="60">
        <v>1.0</v>
      </c>
      <c r="H11927" s="60">
        <v>0.5</v>
      </c>
      <c r="I11927" s="60">
        <v>3.04787774999999</v>
      </c>
      <c r="J11927" s="59">
        <v>6.0</v>
      </c>
      <c r="K11927" s="61">
        <f t="shared" si="1"/>
        <v>1</v>
      </c>
      <c r="L11927" s="62">
        <f t="shared" si="2"/>
        <v>1.5</v>
      </c>
    </row>
    <row r="11928">
      <c r="A11928" s="58">
        <v>44896.0</v>
      </c>
      <c r="B11928" s="24" t="s">
        <v>6787</v>
      </c>
      <c r="C11928" s="24" t="s">
        <v>6962</v>
      </c>
      <c r="D11928" s="59">
        <v>4.0</v>
      </c>
      <c r="E11928" s="59">
        <v>4.0</v>
      </c>
      <c r="F11928" s="59">
        <v>1.0</v>
      </c>
      <c r="G11928" s="60">
        <v>1.0</v>
      </c>
      <c r="H11928" s="60">
        <v>0.0</v>
      </c>
      <c r="I11928" s="60">
        <v>462.2867865</v>
      </c>
      <c r="J11928" s="59">
        <v>10.0</v>
      </c>
      <c r="K11928" s="61">
        <f t="shared" si="1"/>
        <v>0.25</v>
      </c>
      <c r="L11928" s="62">
        <f t="shared" si="2"/>
        <v>2.5</v>
      </c>
    </row>
    <row r="11929">
      <c r="A11929" s="58">
        <v>44896.0</v>
      </c>
      <c r="B11929" s="24" t="s">
        <v>6794</v>
      </c>
      <c r="C11929" s="24" t="s">
        <v>6802</v>
      </c>
      <c r="D11929" s="59">
        <v>4.0</v>
      </c>
      <c r="E11929" s="59">
        <v>5.0</v>
      </c>
      <c r="F11929" s="59">
        <v>0.0</v>
      </c>
      <c r="G11929" s="60">
        <v>1.25</v>
      </c>
      <c r="H11929" s="60">
        <v>0.2</v>
      </c>
      <c r="I11929" s="60">
        <v>24.7333688</v>
      </c>
      <c r="J11929" s="59">
        <v>15.0</v>
      </c>
      <c r="K11929" s="61">
        <f t="shared" si="1"/>
        <v>0</v>
      </c>
      <c r="L11929" s="62">
        <f t="shared" si="2"/>
        <v>3</v>
      </c>
    </row>
    <row r="11930">
      <c r="A11930" s="58">
        <v>44896.0</v>
      </c>
      <c r="B11930" s="24" t="s">
        <v>6791</v>
      </c>
      <c r="C11930" s="24" t="s">
        <v>6792</v>
      </c>
      <c r="D11930" s="59">
        <v>3.0</v>
      </c>
      <c r="E11930" s="59">
        <v>3.0</v>
      </c>
      <c r="F11930" s="59">
        <v>0.0</v>
      </c>
      <c r="G11930" s="60">
        <v>1.5</v>
      </c>
      <c r="H11930" s="60">
        <v>1.0</v>
      </c>
      <c r="I11930" s="60">
        <v>0.0</v>
      </c>
      <c r="J11930" s="59">
        <v>0.0</v>
      </c>
      <c r="K11930" s="61">
        <f t="shared" si="1"/>
        <v>0</v>
      </c>
      <c r="L11930" s="62">
        <f t="shared" si="2"/>
        <v>0</v>
      </c>
    </row>
    <row r="11931">
      <c r="A11931" s="58">
        <v>44896.0</v>
      </c>
      <c r="B11931" s="24" t="s">
        <v>6789</v>
      </c>
      <c r="C11931" s="24" t="s">
        <v>7057</v>
      </c>
      <c r="D11931" s="59">
        <v>3.0</v>
      </c>
      <c r="E11931" s="59">
        <v>3.0</v>
      </c>
      <c r="F11931" s="59">
        <v>1.0</v>
      </c>
      <c r="G11931" s="60">
        <v>1.0</v>
      </c>
      <c r="H11931" s="60">
        <v>0.0</v>
      </c>
      <c r="I11931" s="60">
        <v>40.8242723333333</v>
      </c>
      <c r="J11931" s="59">
        <v>8.0</v>
      </c>
      <c r="K11931" s="61">
        <f t="shared" si="1"/>
        <v>0.3333333333</v>
      </c>
      <c r="L11931" s="62">
        <f t="shared" si="2"/>
        <v>2.666666667</v>
      </c>
    </row>
    <row r="11932">
      <c r="A11932" s="58">
        <v>44896.0</v>
      </c>
      <c r="B11932" s="24" t="s">
        <v>6789</v>
      </c>
      <c r="C11932" s="24" t="s">
        <v>7065</v>
      </c>
      <c r="D11932" s="59">
        <v>3.0</v>
      </c>
      <c r="E11932" s="59">
        <v>6.0</v>
      </c>
      <c r="F11932" s="59">
        <v>0.0</v>
      </c>
      <c r="G11932" s="60">
        <v>2.0</v>
      </c>
      <c r="H11932" s="60">
        <v>0.0</v>
      </c>
      <c r="I11932" s="60">
        <v>448.616314166666</v>
      </c>
      <c r="J11932" s="59">
        <v>20.0</v>
      </c>
      <c r="K11932" s="61">
        <f t="shared" si="1"/>
        <v>0</v>
      </c>
      <c r="L11932" s="62">
        <f t="shared" si="2"/>
        <v>3.333333333</v>
      </c>
    </row>
    <row r="11933">
      <c r="A11933" s="58">
        <v>44896.0</v>
      </c>
      <c r="B11933" s="24" t="s">
        <v>6789</v>
      </c>
      <c r="C11933" s="24" t="s">
        <v>7067</v>
      </c>
      <c r="D11933" s="59">
        <v>3.0</v>
      </c>
      <c r="E11933" s="59">
        <v>3.0</v>
      </c>
      <c r="F11933" s="59">
        <v>1.0</v>
      </c>
      <c r="G11933" s="60">
        <v>1.0</v>
      </c>
      <c r="H11933" s="60">
        <v>0.0</v>
      </c>
      <c r="I11933" s="60">
        <v>125.368939333333</v>
      </c>
      <c r="J11933" s="59">
        <v>10.0</v>
      </c>
      <c r="K11933" s="61">
        <f t="shared" si="1"/>
        <v>0.3333333333</v>
      </c>
      <c r="L11933" s="62">
        <f t="shared" si="2"/>
        <v>3.333333333</v>
      </c>
    </row>
    <row r="11934">
      <c r="A11934" s="58">
        <v>44896.0</v>
      </c>
      <c r="B11934" s="24" t="s">
        <v>155</v>
      </c>
      <c r="C11934" s="24" t="s">
        <v>7068</v>
      </c>
      <c r="D11934" s="59">
        <v>3.0</v>
      </c>
      <c r="E11934" s="59">
        <v>3.0</v>
      </c>
      <c r="F11934" s="59">
        <v>3.0</v>
      </c>
      <c r="G11934" s="60">
        <v>1.0</v>
      </c>
      <c r="H11934" s="60">
        <v>0.0</v>
      </c>
      <c r="I11934" s="60">
        <v>156.054133666666</v>
      </c>
      <c r="J11934" s="59">
        <v>7.0</v>
      </c>
      <c r="K11934" s="61">
        <f t="shared" si="1"/>
        <v>1</v>
      </c>
      <c r="L11934" s="62">
        <f t="shared" si="2"/>
        <v>2.333333333</v>
      </c>
    </row>
    <row r="11935">
      <c r="A11935" s="58">
        <v>44896.0</v>
      </c>
      <c r="B11935" s="24" t="s">
        <v>6789</v>
      </c>
      <c r="C11935" s="24" t="s">
        <v>7072</v>
      </c>
      <c r="D11935" s="59">
        <v>3.0</v>
      </c>
      <c r="E11935" s="59">
        <v>3.0</v>
      </c>
      <c r="F11935" s="59">
        <v>3.0</v>
      </c>
      <c r="G11935" s="60">
        <v>1.0</v>
      </c>
      <c r="H11935" s="60">
        <v>0.0</v>
      </c>
      <c r="I11935" s="60">
        <v>16.068141</v>
      </c>
      <c r="J11935" s="59">
        <v>6.0</v>
      </c>
      <c r="K11935" s="61">
        <f t="shared" si="1"/>
        <v>1</v>
      </c>
      <c r="L11935" s="62">
        <f t="shared" si="2"/>
        <v>2</v>
      </c>
    </row>
    <row r="11936">
      <c r="A11936" s="58">
        <v>44896.0</v>
      </c>
      <c r="B11936" s="24" t="s">
        <v>6789</v>
      </c>
      <c r="C11936" s="24" t="s">
        <v>7074</v>
      </c>
      <c r="D11936" s="59">
        <v>3.0</v>
      </c>
      <c r="E11936" s="59">
        <v>3.0</v>
      </c>
      <c r="F11936" s="59">
        <v>2.0</v>
      </c>
      <c r="G11936" s="60">
        <v>1.0</v>
      </c>
      <c r="H11936" s="60">
        <v>0.0</v>
      </c>
      <c r="I11936" s="60">
        <v>24.8538039999999</v>
      </c>
      <c r="J11936" s="59">
        <v>5.0</v>
      </c>
      <c r="K11936" s="61">
        <f t="shared" si="1"/>
        <v>0.6666666667</v>
      </c>
      <c r="L11936" s="62">
        <f t="shared" si="2"/>
        <v>1.666666667</v>
      </c>
    </row>
    <row r="11937">
      <c r="A11937" s="58">
        <v>44896.0</v>
      </c>
      <c r="B11937" s="24" t="s">
        <v>6787</v>
      </c>
      <c r="C11937" s="24" t="s">
        <v>6799</v>
      </c>
      <c r="D11937" s="59">
        <v>3.0</v>
      </c>
      <c r="E11937" s="59">
        <v>3.0</v>
      </c>
      <c r="F11937" s="59">
        <v>2.0</v>
      </c>
      <c r="G11937" s="60">
        <v>1.0</v>
      </c>
      <c r="H11937" s="60">
        <v>0.0</v>
      </c>
      <c r="I11937" s="60">
        <v>572.396279666666</v>
      </c>
      <c r="J11937" s="59">
        <v>6.0</v>
      </c>
      <c r="K11937" s="61">
        <f t="shared" si="1"/>
        <v>0.6666666667</v>
      </c>
      <c r="L11937" s="62">
        <f t="shared" si="2"/>
        <v>2</v>
      </c>
    </row>
    <row r="11938">
      <c r="A11938" s="58">
        <v>44896.0</v>
      </c>
      <c r="B11938" s="24" t="s">
        <v>6794</v>
      </c>
      <c r="C11938" s="24" t="s">
        <v>7261</v>
      </c>
      <c r="D11938" s="59">
        <v>3.0</v>
      </c>
      <c r="E11938" s="59">
        <v>3.0</v>
      </c>
      <c r="F11938" s="59">
        <v>0.0</v>
      </c>
      <c r="G11938" s="60">
        <v>1.0</v>
      </c>
      <c r="H11938" s="60">
        <v>0.0</v>
      </c>
      <c r="I11938" s="60">
        <v>28.7701923333333</v>
      </c>
      <c r="J11938" s="59">
        <v>6.0</v>
      </c>
      <c r="K11938" s="61">
        <f t="shared" si="1"/>
        <v>0</v>
      </c>
      <c r="L11938" s="62">
        <f t="shared" si="2"/>
        <v>2</v>
      </c>
    </row>
    <row r="11939">
      <c r="A11939" s="58">
        <v>44896.0</v>
      </c>
      <c r="B11939" s="24" t="s">
        <v>6787</v>
      </c>
      <c r="C11939" s="24" t="s">
        <v>6808</v>
      </c>
      <c r="D11939" s="59">
        <v>3.0</v>
      </c>
      <c r="E11939" s="59">
        <v>3.0</v>
      </c>
      <c r="F11939" s="59">
        <v>3.0</v>
      </c>
      <c r="G11939" s="60">
        <v>1.0</v>
      </c>
      <c r="H11939" s="60">
        <v>0.0</v>
      </c>
      <c r="I11939" s="60">
        <v>188.055778</v>
      </c>
      <c r="J11939" s="59">
        <v>23.0</v>
      </c>
      <c r="K11939" s="61">
        <f t="shared" si="1"/>
        <v>1</v>
      </c>
      <c r="L11939" s="62">
        <f t="shared" si="2"/>
        <v>7.666666667</v>
      </c>
    </row>
    <row r="11940">
      <c r="A11940" s="58">
        <v>44896.0</v>
      </c>
      <c r="B11940" s="24" t="s">
        <v>6789</v>
      </c>
      <c r="C11940" s="24" t="s">
        <v>7087</v>
      </c>
      <c r="D11940" s="59">
        <v>3.0</v>
      </c>
      <c r="E11940" s="59">
        <v>3.0</v>
      </c>
      <c r="F11940" s="59">
        <v>2.0</v>
      </c>
      <c r="G11940" s="60">
        <v>1.0</v>
      </c>
      <c r="H11940" s="60">
        <v>0.0</v>
      </c>
      <c r="I11940" s="60">
        <v>746.879082333333</v>
      </c>
      <c r="J11940" s="59">
        <v>14.0</v>
      </c>
      <c r="K11940" s="61">
        <f t="shared" si="1"/>
        <v>0.6666666667</v>
      </c>
      <c r="L11940" s="62">
        <f t="shared" si="2"/>
        <v>4.666666667</v>
      </c>
    </row>
    <row r="11941">
      <c r="A11941" s="58">
        <v>44896.0</v>
      </c>
      <c r="B11941" s="24" t="s">
        <v>6790</v>
      </c>
      <c r="C11941" s="24" t="s">
        <v>6910</v>
      </c>
      <c r="D11941" s="59">
        <v>3.0</v>
      </c>
      <c r="E11941" s="59">
        <v>3.0</v>
      </c>
      <c r="F11941" s="59">
        <v>1.0</v>
      </c>
      <c r="G11941" s="60">
        <v>1.0</v>
      </c>
      <c r="H11941" s="60">
        <v>0.0</v>
      </c>
      <c r="I11941" s="60">
        <v>595.498431</v>
      </c>
      <c r="J11941" s="59">
        <v>12.0</v>
      </c>
      <c r="K11941" s="61">
        <f t="shared" si="1"/>
        <v>0.3333333333</v>
      </c>
      <c r="L11941" s="62">
        <f t="shared" si="2"/>
        <v>4</v>
      </c>
    </row>
    <row r="11942">
      <c r="A11942" s="58">
        <v>44896.0</v>
      </c>
      <c r="B11942" s="24" t="s">
        <v>6789</v>
      </c>
      <c r="C11942" s="24" t="s">
        <v>7102</v>
      </c>
      <c r="D11942" s="59">
        <v>3.0</v>
      </c>
      <c r="E11942" s="59">
        <v>3.0</v>
      </c>
      <c r="F11942" s="59">
        <v>2.0</v>
      </c>
      <c r="G11942" s="60">
        <v>1.0</v>
      </c>
      <c r="H11942" s="60">
        <v>0.0</v>
      </c>
      <c r="I11942" s="60">
        <v>25.6547926666666</v>
      </c>
      <c r="J11942" s="59">
        <v>6.0</v>
      </c>
      <c r="K11942" s="61">
        <f t="shared" si="1"/>
        <v>0.6666666667</v>
      </c>
      <c r="L11942" s="62">
        <f t="shared" si="2"/>
        <v>2</v>
      </c>
    </row>
    <row r="11943">
      <c r="A11943" s="58">
        <v>44896.0</v>
      </c>
      <c r="B11943" s="24" t="s">
        <v>6789</v>
      </c>
      <c r="C11943" s="24" t="s">
        <v>6815</v>
      </c>
      <c r="D11943" s="59">
        <v>3.0</v>
      </c>
      <c r="E11943" s="59">
        <v>5.0</v>
      </c>
      <c r="F11943" s="59">
        <v>0.0</v>
      </c>
      <c r="G11943" s="60">
        <v>1.66666666666666</v>
      </c>
      <c r="H11943" s="60">
        <v>0.0</v>
      </c>
      <c r="I11943" s="60">
        <v>442.652245799999</v>
      </c>
      <c r="J11943" s="59">
        <v>20.0</v>
      </c>
      <c r="K11943" s="61">
        <f t="shared" si="1"/>
        <v>0</v>
      </c>
      <c r="L11943" s="62">
        <f t="shared" si="2"/>
        <v>4</v>
      </c>
    </row>
    <row r="11944">
      <c r="A11944" s="58">
        <v>44896.0</v>
      </c>
      <c r="B11944" s="24" t="s">
        <v>6794</v>
      </c>
      <c r="C11944" s="24" t="s">
        <v>6815</v>
      </c>
      <c r="D11944" s="59">
        <v>3.0</v>
      </c>
      <c r="E11944" s="59">
        <v>6.0</v>
      </c>
      <c r="F11944" s="59">
        <v>2.0</v>
      </c>
      <c r="G11944" s="60">
        <v>2.0</v>
      </c>
      <c r="H11944" s="60">
        <v>0.0</v>
      </c>
      <c r="I11944" s="60">
        <v>6.88748833333333</v>
      </c>
      <c r="J11944" s="59">
        <v>13.0</v>
      </c>
      <c r="K11944" s="61">
        <f t="shared" si="1"/>
        <v>0.3333333333</v>
      </c>
      <c r="L11944" s="62">
        <f t="shared" si="2"/>
        <v>2.166666667</v>
      </c>
    </row>
    <row r="11945">
      <c r="A11945" s="58">
        <v>44896.0</v>
      </c>
      <c r="B11945" s="24" t="s">
        <v>7100</v>
      </c>
      <c r="C11945" s="24" t="s">
        <v>6797</v>
      </c>
      <c r="D11945" s="59">
        <v>3.0</v>
      </c>
      <c r="E11945" s="59">
        <v>3.0</v>
      </c>
      <c r="F11945" s="59">
        <v>3.0</v>
      </c>
      <c r="G11945" s="60">
        <v>1.0</v>
      </c>
      <c r="H11945" s="60">
        <v>0.0</v>
      </c>
      <c r="I11945" s="60">
        <v>51.828232</v>
      </c>
      <c r="J11945" s="59">
        <v>12.0</v>
      </c>
      <c r="K11945" s="61">
        <f t="shared" si="1"/>
        <v>1</v>
      </c>
      <c r="L11945" s="62">
        <f t="shared" si="2"/>
        <v>4</v>
      </c>
    </row>
    <row r="11946">
      <c r="A11946" s="58">
        <v>44896.0</v>
      </c>
      <c r="B11946" s="24" t="s">
        <v>7100</v>
      </c>
      <c r="C11946" s="27"/>
      <c r="D11946" s="59">
        <v>2.0</v>
      </c>
      <c r="E11946" s="59">
        <v>5.0</v>
      </c>
      <c r="F11946" s="59">
        <v>1.0</v>
      </c>
      <c r="G11946" s="60">
        <v>2.5</v>
      </c>
      <c r="H11946" s="60">
        <v>0.2</v>
      </c>
      <c r="I11946" s="60">
        <v>12.9564032</v>
      </c>
      <c r="J11946" s="59">
        <v>11.0</v>
      </c>
      <c r="K11946" s="61">
        <f t="shared" si="1"/>
        <v>0.2</v>
      </c>
      <c r="L11946" s="62">
        <f t="shared" si="2"/>
        <v>2.2</v>
      </c>
    </row>
    <row r="11947">
      <c r="A11947" s="58">
        <v>44896.0</v>
      </c>
      <c r="B11947" s="24" t="s">
        <v>7606</v>
      </c>
      <c r="C11947" s="24" t="s">
        <v>6792</v>
      </c>
      <c r="D11947" s="59">
        <v>2.0</v>
      </c>
      <c r="E11947" s="59">
        <v>2.0</v>
      </c>
      <c r="F11947" s="59">
        <v>0.0</v>
      </c>
      <c r="G11947" s="60">
        <v>1.0</v>
      </c>
      <c r="H11947" s="60">
        <v>1.0</v>
      </c>
      <c r="I11947" s="60">
        <v>0.0</v>
      </c>
      <c r="J11947" s="59">
        <v>0.0</v>
      </c>
      <c r="K11947" s="61">
        <f t="shared" si="1"/>
        <v>0</v>
      </c>
      <c r="L11947" s="62">
        <f t="shared" si="2"/>
        <v>0</v>
      </c>
    </row>
    <row r="11948">
      <c r="A11948" s="58">
        <v>44896.0</v>
      </c>
      <c r="B11948" s="24" t="s">
        <v>155</v>
      </c>
      <c r="C11948" s="24" t="s">
        <v>6817</v>
      </c>
      <c r="D11948" s="59">
        <v>2.0</v>
      </c>
      <c r="E11948" s="59">
        <v>2.0</v>
      </c>
      <c r="F11948" s="59">
        <v>0.0</v>
      </c>
      <c r="G11948" s="60">
        <v>1.0</v>
      </c>
      <c r="H11948" s="60">
        <v>0.0</v>
      </c>
      <c r="I11948" s="60">
        <v>2758.629288</v>
      </c>
      <c r="J11948" s="59">
        <v>176.0</v>
      </c>
      <c r="K11948" s="61">
        <f t="shared" si="1"/>
        <v>0</v>
      </c>
      <c r="L11948" s="62">
        <f t="shared" si="2"/>
        <v>88</v>
      </c>
    </row>
    <row r="11949">
      <c r="A11949" s="58">
        <v>44896.0</v>
      </c>
      <c r="B11949" s="24" t="s">
        <v>6789</v>
      </c>
      <c r="C11949" s="24" t="s">
        <v>6953</v>
      </c>
      <c r="D11949" s="59">
        <v>2.0</v>
      </c>
      <c r="E11949" s="59">
        <v>2.0</v>
      </c>
      <c r="F11949" s="59">
        <v>2.0</v>
      </c>
      <c r="G11949" s="60">
        <v>1.0</v>
      </c>
      <c r="H11949" s="60">
        <v>0.0</v>
      </c>
      <c r="I11949" s="60">
        <v>47.2602885</v>
      </c>
      <c r="J11949" s="59">
        <v>5.0</v>
      </c>
      <c r="K11949" s="61">
        <f t="shared" si="1"/>
        <v>1</v>
      </c>
      <c r="L11949" s="62">
        <f t="shared" si="2"/>
        <v>2.5</v>
      </c>
    </row>
    <row r="11950">
      <c r="A11950" s="58">
        <v>44896.0</v>
      </c>
      <c r="B11950" s="24" t="s">
        <v>6789</v>
      </c>
      <c r="C11950" s="24" t="s">
        <v>6861</v>
      </c>
      <c r="D11950" s="59">
        <v>2.0</v>
      </c>
      <c r="E11950" s="59">
        <v>2.0</v>
      </c>
      <c r="F11950" s="59">
        <v>2.0</v>
      </c>
      <c r="G11950" s="60">
        <v>1.0</v>
      </c>
      <c r="H11950" s="60">
        <v>0.0</v>
      </c>
      <c r="I11950" s="60">
        <v>241.969469</v>
      </c>
      <c r="J11950" s="59">
        <v>18.0</v>
      </c>
      <c r="K11950" s="61">
        <f t="shared" si="1"/>
        <v>1</v>
      </c>
      <c r="L11950" s="62">
        <f t="shared" si="2"/>
        <v>9</v>
      </c>
    </row>
    <row r="11951">
      <c r="A11951" s="58">
        <v>44896.0</v>
      </c>
      <c r="B11951" s="24" t="s">
        <v>6790</v>
      </c>
      <c r="C11951" s="24" t="s">
        <v>7067</v>
      </c>
      <c r="D11951" s="59">
        <v>2.0</v>
      </c>
      <c r="E11951" s="59">
        <v>2.0</v>
      </c>
      <c r="F11951" s="59">
        <v>0.0</v>
      </c>
      <c r="G11951" s="60">
        <v>2.0</v>
      </c>
      <c r="H11951" s="60">
        <v>1.0</v>
      </c>
      <c r="I11951" s="60">
        <v>572.1425755</v>
      </c>
      <c r="J11951" s="59">
        <v>5.0</v>
      </c>
      <c r="K11951" s="61">
        <f t="shared" si="1"/>
        <v>0</v>
      </c>
      <c r="L11951" s="62">
        <f t="shared" si="2"/>
        <v>2.5</v>
      </c>
    </row>
    <row r="11952">
      <c r="A11952" s="58">
        <v>44896.0</v>
      </c>
      <c r="B11952" s="24" t="s">
        <v>6794</v>
      </c>
      <c r="C11952" s="24" t="s">
        <v>6799</v>
      </c>
      <c r="D11952" s="59">
        <v>2.0</v>
      </c>
      <c r="E11952" s="59">
        <v>4.0</v>
      </c>
      <c r="F11952" s="59">
        <v>0.0</v>
      </c>
      <c r="G11952" s="60">
        <v>2.0</v>
      </c>
      <c r="H11952" s="60">
        <v>0.0</v>
      </c>
      <c r="I11952" s="60">
        <v>183.9267275</v>
      </c>
      <c r="J11952" s="59">
        <v>16.0</v>
      </c>
      <c r="K11952" s="61">
        <f t="shared" si="1"/>
        <v>0</v>
      </c>
      <c r="L11952" s="62">
        <f t="shared" si="2"/>
        <v>4</v>
      </c>
    </row>
    <row r="11953">
      <c r="A11953" s="58">
        <v>44896.0</v>
      </c>
      <c r="B11953" s="24" t="s">
        <v>6789</v>
      </c>
      <c r="C11953" s="24" t="s">
        <v>6896</v>
      </c>
      <c r="D11953" s="59">
        <v>2.0</v>
      </c>
      <c r="E11953" s="59">
        <v>2.0</v>
      </c>
      <c r="F11953" s="59">
        <v>2.0</v>
      </c>
      <c r="G11953" s="60">
        <v>1.0</v>
      </c>
      <c r="H11953" s="60">
        <v>0.0</v>
      </c>
      <c r="I11953" s="60">
        <v>103.467063</v>
      </c>
      <c r="J11953" s="59">
        <v>4.0</v>
      </c>
      <c r="K11953" s="61">
        <f t="shared" si="1"/>
        <v>1</v>
      </c>
      <c r="L11953" s="62">
        <f t="shared" si="2"/>
        <v>2</v>
      </c>
    </row>
    <row r="11954">
      <c r="A11954" s="58">
        <v>44896.0</v>
      </c>
      <c r="B11954" s="24" t="s">
        <v>155</v>
      </c>
      <c r="C11954" s="24" t="s">
        <v>7307</v>
      </c>
      <c r="D11954" s="59">
        <v>2.0</v>
      </c>
      <c r="E11954" s="59">
        <v>2.0</v>
      </c>
      <c r="F11954" s="59">
        <v>0.0</v>
      </c>
      <c r="G11954" s="60">
        <v>1.0</v>
      </c>
      <c r="H11954" s="60">
        <v>0.0</v>
      </c>
      <c r="I11954" s="60">
        <v>232.665949</v>
      </c>
      <c r="J11954" s="59">
        <v>6.0</v>
      </c>
      <c r="K11954" s="61">
        <f t="shared" si="1"/>
        <v>0</v>
      </c>
      <c r="L11954" s="62">
        <f t="shared" si="2"/>
        <v>3</v>
      </c>
    </row>
    <row r="11955">
      <c r="A11955" s="58">
        <v>44896.0</v>
      </c>
      <c r="B11955" s="24" t="s">
        <v>6794</v>
      </c>
      <c r="C11955" s="24" t="s">
        <v>6905</v>
      </c>
      <c r="D11955" s="59">
        <v>2.0</v>
      </c>
      <c r="E11955" s="59">
        <v>2.0</v>
      </c>
      <c r="F11955" s="59">
        <v>0.0</v>
      </c>
      <c r="G11955" s="60">
        <v>1.0</v>
      </c>
      <c r="H11955" s="60">
        <v>0.0</v>
      </c>
      <c r="I11955" s="60">
        <v>44.5825795</v>
      </c>
      <c r="J11955" s="59">
        <v>4.0</v>
      </c>
      <c r="K11955" s="61">
        <f t="shared" si="1"/>
        <v>0</v>
      </c>
      <c r="L11955" s="62">
        <f t="shared" si="2"/>
        <v>2</v>
      </c>
    </row>
    <row r="11956">
      <c r="A11956" s="58">
        <v>44896.0</v>
      </c>
      <c r="B11956" s="24" t="s">
        <v>6794</v>
      </c>
      <c r="C11956" s="24" t="s">
        <v>7624</v>
      </c>
      <c r="D11956" s="59">
        <v>2.0</v>
      </c>
      <c r="E11956" s="59">
        <v>2.0</v>
      </c>
      <c r="F11956" s="59">
        <v>0.0</v>
      </c>
      <c r="G11956" s="60">
        <v>1.0</v>
      </c>
      <c r="H11956" s="60">
        <v>0.0</v>
      </c>
      <c r="I11956" s="60">
        <v>212.748669</v>
      </c>
      <c r="J11956" s="59">
        <v>4.0</v>
      </c>
      <c r="K11956" s="61">
        <f t="shared" si="1"/>
        <v>0</v>
      </c>
      <c r="L11956" s="62">
        <f t="shared" si="2"/>
        <v>2</v>
      </c>
    </row>
    <row r="11957">
      <c r="A11957" s="58">
        <v>44896.0</v>
      </c>
      <c r="B11957" s="24" t="s">
        <v>6787</v>
      </c>
      <c r="C11957" s="24" t="s">
        <v>7101</v>
      </c>
      <c r="D11957" s="59">
        <v>2.0</v>
      </c>
      <c r="E11957" s="59">
        <v>2.0</v>
      </c>
      <c r="F11957" s="59">
        <v>1.0</v>
      </c>
      <c r="G11957" s="60">
        <v>1.0</v>
      </c>
      <c r="H11957" s="60">
        <v>0.0</v>
      </c>
      <c r="I11957" s="60">
        <v>108.958579</v>
      </c>
      <c r="J11957" s="59">
        <v>4.0</v>
      </c>
      <c r="K11957" s="61">
        <f t="shared" si="1"/>
        <v>0.5</v>
      </c>
      <c r="L11957" s="62">
        <f t="shared" si="2"/>
        <v>2</v>
      </c>
    </row>
    <row r="11958">
      <c r="A11958" s="58">
        <v>44896.0</v>
      </c>
      <c r="B11958" s="24" t="s">
        <v>6789</v>
      </c>
      <c r="C11958" s="24" t="s">
        <v>6908</v>
      </c>
      <c r="D11958" s="59">
        <v>2.0</v>
      </c>
      <c r="E11958" s="59">
        <v>2.0</v>
      </c>
      <c r="F11958" s="59">
        <v>0.0</v>
      </c>
      <c r="G11958" s="60">
        <v>1.0</v>
      </c>
      <c r="H11958" s="60">
        <v>0.0</v>
      </c>
      <c r="I11958" s="60">
        <v>356.8725565</v>
      </c>
      <c r="J11958" s="59">
        <v>6.0</v>
      </c>
      <c r="K11958" s="61">
        <f t="shared" si="1"/>
        <v>0</v>
      </c>
      <c r="L11958" s="62">
        <f t="shared" si="2"/>
        <v>3</v>
      </c>
    </row>
    <row r="11959">
      <c r="A11959" s="58">
        <v>44896.0</v>
      </c>
      <c r="B11959" s="24" t="s">
        <v>6787</v>
      </c>
      <c r="C11959" s="24" t="s">
        <v>6910</v>
      </c>
      <c r="D11959" s="59">
        <v>2.0</v>
      </c>
      <c r="E11959" s="59">
        <v>2.0</v>
      </c>
      <c r="F11959" s="59">
        <v>1.0</v>
      </c>
      <c r="G11959" s="60">
        <v>1.0</v>
      </c>
      <c r="H11959" s="60">
        <v>0.5</v>
      </c>
      <c r="I11959" s="60">
        <v>2.4445765</v>
      </c>
      <c r="J11959" s="59">
        <v>3.0</v>
      </c>
      <c r="K11959" s="61">
        <f t="shared" si="1"/>
        <v>0.5</v>
      </c>
      <c r="L11959" s="62">
        <f t="shared" si="2"/>
        <v>1.5</v>
      </c>
    </row>
    <row r="11960">
      <c r="A11960" s="58">
        <v>44896.0</v>
      </c>
      <c r="B11960" s="24" t="s">
        <v>6790</v>
      </c>
      <c r="C11960" s="24" t="s">
        <v>7274</v>
      </c>
      <c r="D11960" s="59">
        <v>2.0</v>
      </c>
      <c r="E11960" s="59">
        <v>2.0</v>
      </c>
      <c r="F11960" s="59">
        <v>1.0</v>
      </c>
      <c r="G11960" s="60">
        <v>1.0</v>
      </c>
      <c r="H11960" s="60">
        <v>0.0</v>
      </c>
      <c r="I11960" s="60">
        <v>21.490101</v>
      </c>
      <c r="J11960" s="59">
        <v>12.0</v>
      </c>
      <c r="K11960" s="61">
        <f t="shared" si="1"/>
        <v>0.5</v>
      </c>
      <c r="L11960" s="62">
        <f t="shared" si="2"/>
        <v>6</v>
      </c>
    </row>
    <row r="11961">
      <c r="A11961" s="58">
        <v>44896.0</v>
      </c>
      <c r="B11961" s="24" t="s">
        <v>155</v>
      </c>
      <c r="C11961" s="24" t="s">
        <v>7027</v>
      </c>
      <c r="D11961" s="59">
        <v>2.0</v>
      </c>
      <c r="E11961" s="59">
        <v>3.0</v>
      </c>
      <c r="F11961" s="59">
        <v>0.0</v>
      </c>
      <c r="G11961" s="60">
        <v>1.5</v>
      </c>
      <c r="H11961" s="60">
        <v>0.0</v>
      </c>
      <c r="I11961" s="60">
        <v>524.191172333333</v>
      </c>
      <c r="J11961" s="59">
        <v>20.0</v>
      </c>
      <c r="K11961" s="61">
        <f t="shared" si="1"/>
        <v>0</v>
      </c>
      <c r="L11961" s="62">
        <f t="shared" si="2"/>
        <v>6.666666667</v>
      </c>
    </row>
    <row r="11962">
      <c r="A11962" s="58">
        <v>44896.0</v>
      </c>
      <c r="B11962" s="24" t="s">
        <v>6789</v>
      </c>
      <c r="C11962" s="24" t="s">
        <v>7601</v>
      </c>
      <c r="D11962" s="59">
        <v>2.0</v>
      </c>
      <c r="E11962" s="59">
        <v>2.0</v>
      </c>
      <c r="F11962" s="59">
        <v>1.0</v>
      </c>
      <c r="G11962" s="60">
        <v>1.0</v>
      </c>
      <c r="H11962" s="60">
        <v>0.0</v>
      </c>
      <c r="I11962" s="60">
        <v>247.191493</v>
      </c>
      <c r="J11962" s="59">
        <v>12.0</v>
      </c>
      <c r="K11962" s="61">
        <f t="shared" si="1"/>
        <v>0.5</v>
      </c>
      <c r="L11962" s="62">
        <f t="shared" si="2"/>
        <v>6</v>
      </c>
    </row>
    <row r="11963">
      <c r="A11963" s="58">
        <v>44896.0</v>
      </c>
      <c r="B11963" s="24" t="s">
        <v>6789</v>
      </c>
      <c r="C11963" s="24" t="s">
        <v>6797</v>
      </c>
      <c r="D11963" s="59">
        <v>2.0</v>
      </c>
      <c r="E11963" s="59">
        <v>2.0</v>
      </c>
      <c r="F11963" s="59">
        <v>1.0</v>
      </c>
      <c r="G11963" s="60">
        <v>1.0</v>
      </c>
      <c r="H11963" s="60">
        <v>0.0</v>
      </c>
      <c r="I11963" s="60">
        <v>5.20686</v>
      </c>
      <c r="J11963" s="59">
        <v>4.0</v>
      </c>
      <c r="K11963" s="61">
        <f t="shared" si="1"/>
        <v>0.5</v>
      </c>
      <c r="L11963" s="62">
        <f t="shared" si="2"/>
        <v>2</v>
      </c>
    </row>
    <row r="11964">
      <c r="A11964" s="58">
        <v>44896.0</v>
      </c>
      <c r="B11964" s="24" t="s">
        <v>6791</v>
      </c>
      <c r="C11964" s="27"/>
      <c r="D11964" s="59">
        <v>1.0</v>
      </c>
      <c r="E11964" s="59">
        <v>1.0</v>
      </c>
      <c r="F11964" s="59">
        <v>0.0</v>
      </c>
      <c r="G11964" s="60">
        <v>1.0</v>
      </c>
      <c r="H11964" s="60">
        <v>0.0</v>
      </c>
      <c r="I11964" s="60">
        <v>4.786281</v>
      </c>
      <c r="J11964" s="59">
        <v>2.0</v>
      </c>
      <c r="K11964" s="61">
        <f t="shared" si="1"/>
        <v>0</v>
      </c>
      <c r="L11964" s="62">
        <f t="shared" si="2"/>
        <v>2</v>
      </c>
    </row>
    <row r="11965">
      <c r="A11965" s="58">
        <v>44896.0</v>
      </c>
      <c r="B11965" s="24" t="s">
        <v>6787</v>
      </c>
      <c r="C11965" s="24" t="s">
        <v>7675</v>
      </c>
      <c r="D11965" s="59">
        <v>1.0</v>
      </c>
      <c r="E11965" s="59">
        <v>1.0</v>
      </c>
      <c r="F11965" s="59">
        <v>1.0</v>
      </c>
      <c r="G11965" s="60">
        <v>1.0</v>
      </c>
      <c r="H11965" s="60">
        <v>0.0</v>
      </c>
      <c r="I11965" s="60">
        <v>4.931687</v>
      </c>
      <c r="J11965" s="59">
        <v>2.0</v>
      </c>
      <c r="K11965" s="61">
        <f t="shared" si="1"/>
        <v>1</v>
      </c>
      <c r="L11965" s="62">
        <f t="shared" si="2"/>
        <v>2</v>
      </c>
    </row>
    <row r="11966">
      <c r="A11966" s="58">
        <v>44896.0</v>
      </c>
      <c r="B11966" s="24" t="s">
        <v>6789</v>
      </c>
      <c r="C11966" s="24" t="s">
        <v>6803</v>
      </c>
      <c r="D11966" s="59">
        <v>1.0</v>
      </c>
      <c r="E11966" s="59">
        <v>1.0</v>
      </c>
      <c r="F11966" s="59">
        <v>0.0</v>
      </c>
      <c r="G11966" s="60">
        <v>1.0</v>
      </c>
      <c r="H11966" s="60">
        <v>0.0</v>
      </c>
      <c r="I11966" s="60">
        <v>48.175231</v>
      </c>
      <c r="J11966" s="59">
        <v>2.0</v>
      </c>
      <c r="K11966" s="61">
        <f t="shared" si="1"/>
        <v>0</v>
      </c>
      <c r="L11966" s="62">
        <f t="shared" si="2"/>
        <v>2</v>
      </c>
    </row>
    <row r="11967">
      <c r="A11967" s="58">
        <v>44896.0</v>
      </c>
      <c r="B11967" s="24" t="s">
        <v>6794</v>
      </c>
      <c r="C11967" s="24" t="s">
        <v>6817</v>
      </c>
      <c r="D11967" s="59">
        <v>1.0</v>
      </c>
      <c r="E11967" s="59">
        <v>1.0</v>
      </c>
      <c r="F11967" s="59">
        <v>0.0</v>
      </c>
      <c r="G11967" s="60">
        <v>1.0</v>
      </c>
      <c r="H11967" s="60">
        <v>0.0</v>
      </c>
      <c r="I11967" s="60">
        <v>10.70565</v>
      </c>
      <c r="J11967" s="59">
        <v>4.0</v>
      </c>
      <c r="K11967" s="61">
        <f t="shared" si="1"/>
        <v>0</v>
      </c>
      <c r="L11967" s="62">
        <f t="shared" si="2"/>
        <v>4</v>
      </c>
    </row>
    <row r="11968">
      <c r="A11968" s="58">
        <v>44896.0</v>
      </c>
      <c r="B11968" s="24" t="s">
        <v>155</v>
      </c>
      <c r="C11968" s="24" t="s">
        <v>7057</v>
      </c>
      <c r="D11968" s="59">
        <v>1.0</v>
      </c>
      <c r="E11968" s="59">
        <v>1.0</v>
      </c>
      <c r="F11968" s="59">
        <v>0.0</v>
      </c>
      <c r="G11968" s="60">
        <v>1.0</v>
      </c>
      <c r="H11968" s="60">
        <v>0.0</v>
      </c>
      <c r="I11968" s="60">
        <v>242.836271</v>
      </c>
      <c r="J11968" s="59">
        <v>2.0</v>
      </c>
      <c r="K11968" s="61">
        <f t="shared" si="1"/>
        <v>0</v>
      </c>
      <c r="L11968" s="62">
        <f t="shared" si="2"/>
        <v>2</v>
      </c>
    </row>
    <row r="11969">
      <c r="A11969" s="58">
        <v>44896.0</v>
      </c>
      <c r="B11969" s="24" t="s">
        <v>6787</v>
      </c>
      <c r="C11969" s="24" t="s">
        <v>7058</v>
      </c>
      <c r="D11969" s="59">
        <v>1.0</v>
      </c>
      <c r="E11969" s="59">
        <v>1.0</v>
      </c>
      <c r="F11969" s="59">
        <v>1.0</v>
      </c>
      <c r="G11969" s="60">
        <v>1.0</v>
      </c>
      <c r="H11969" s="60">
        <v>0.0</v>
      </c>
      <c r="I11969" s="60">
        <v>5.197899</v>
      </c>
      <c r="J11969" s="59">
        <v>2.0</v>
      </c>
      <c r="K11969" s="61">
        <f t="shared" si="1"/>
        <v>1</v>
      </c>
      <c r="L11969" s="62">
        <f t="shared" si="2"/>
        <v>2</v>
      </c>
    </row>
    <row r="11970">
      <c r="A11970" s="58">
        <v>44896.0</v>
      </c>
      <c r="B11970" s="24" t="s">
        <v>6789</v>
      </c>
      <c r="C11970" s="24" t="s">
        <v>7058</v>
      </c>
      <c r="D11970" s="59">
        <v>1.0</v>
      </c>
      <c r="E11970" s="59">
        <v>1.0</v>
      </c>
      <c r="F11970" s="59">
        <v>1.0</v>
      </c>
      <c r="G11970" s="60">
        <v>1.0</v>
      </c>
      <c r="H11970" s="60">
        <v>0.0</v>
      </c>
      <c r="I11970" s="60">
        <v>81.683415</v>
      </c>
      <c r="J11970" s="59">
        <v>2.0</v>
      </c>
      <c r="K11970" s="61">
        <f t="shared" si="1"/>
        <v>1</v>
      </c>
      <c r="L11970" s="62">
        <f t="shared" si="2"/>
        <v>2</v>
      </c>
    </row>
    <row r="11971">
      <c r="A11971" s="58">
        <v>44896.0</v>
      </c>
      <c r="B11971" s="24" t="s">
        <v>6787</v>
      </c>
      <c r="C11971" s="24" t="s">
        <v>7560</v>
      </c>
      <c r="D11971" s="59">
        <v>1.0</v>
      </c>
      <c r="E11971" s="59">
        <v>1.0</v>
      </c>
      <c r="F11971" s="59">
        <v>1.0</v>
      </c>
      <c r="G11971" s="60">
        <v>1.0</v>
      </c>
      <c r="H11971" s="60">
        <v>1.0</v>
      </c>
      <c r="I11971" s="60">
        <v>0.0</v>
      </c>
      <c r="J11971" s="59">
        <v>1.0</v>
      </c>
      <c r="K11971" s="61">
        <f t="shared" si="1"/>
        <v>1</v>
      </c>
      <c r="L11971" s="62">
        <f t="shared" si="2"/>
        <v>1</v>
      </c>
    </row>
    <row r="11972">
      <c r="A11972" s="58">
        <v>44896.0</v>
      </c>
      <c r="B11972" s="24" t="s">
        <v>6794</v>
      </c>
      <c r="C11972" s="24" t="s">
        <v>6861</v>
      </c>
      <c r="D11972" s="59">
        <v>1.0</v>
      </c>
      <c r="E11972" s="59">
        <v>1.0</v>
      </c>
      <c r="F11972" s="59">
        <v>0.0</v>
      </c>
      <c r="G11972" s="60">
        <v>1.0</v>
      </c>
      <c r="H11972" s="60">
        <v>0.0</v>
      </c>
      <c r="I11972" s="60">
        <v>1778.565305</v>
      </c>
      <c r="J11972" s="59">
        <v>2.0</v>
      </c>
      <c r="K11972" s="61">
        <f t="shared" si="1"/>
        <v>0</v>
      </c>
      <c r="L11972" s="62">
        <f t="shared" si="2"/>
        <v>2</v>
      </c>
    </row>
    <row r="11973">
      <c r="A11973" s="58">
        <v>44896.0</v>
      </c>
      <c r="B11973" s="24" t="s">
        <v>155</v>
      </c>
      <c r="C11973" s="24" t="s">
        <v>6861</v>
      </c>
      <c r="D11973" s="59">
        <v>1.0</v>
      </c>
      <c r="E11973" s="59">
        <v>1.0</v>
      </c>
      <c r="F11973" s="59">
        <v>0.0</v>
      </c>
      <c r="G11973" s="60">
        <v>1.0</v>
      </c>
      <c r="H11973" s="60">
        <v>0.0</v>
      </c>
      <c r="I11973" s="60">
        <v>4.146234</v>
      </c>
      <c r="J11973" s="59">
        <v>2.0</v>
      </c>
      <c r="K11973" s="61">
        <f t="shared" si="1"/>
        <v>0</v>
      </c>
      <c r="L11973" s="62">
        <f t="shared" si="2"/>
        <v>2</v>
      </c>
    </row>
    <row r="11974">
      <c r="A11974" s="58">
        <v>44896.0</v>
      </c>
      <c r="B11974" s="24" t="s">
        <v>155</v>
      </c>
      <c r="C11974" s="24" t="s">
        <v>7059</v>
      </c>
      <c r="D11974" s="59">
        <v>1.0</v>
      </c>
      <c r="E11974" s="59">
        <v>2.0</v>
      </c>
      <c r="F11974" s="59">
        <v>0.0</v>
      </c>
      <c r="G11974" s="60">
        <v>2.0</v>
      </c>
      <c r="H11974" s="60">
        <v>0.0</v>
      </c>
      <c r="I11974" s="60">
        <v>800.181054</v>
      </c>
      <c r="J11974" s="59">
        <v>38.0</v>
      </c>
      <c r="K11974" s="61">
        <f t="shared" si="1"/>
        <v>0</v>
      </c>
      <c r="L11974" s="62">
        <f t="shared" si="2"/>
        <v>19</v>
      </c>
    </row>
    <row r="11975">
      <c r="A11975" s="58">
        <v>44896.0</v>
      </c>
      <c r="B11975" s="24" t="s">
        <v>6789</v>
      </c>
      <c r="C11975" s="24" t="s">
        <v>7060</v>
      </c>
      <c r="D11975" s="59">
        <v>1.0</v>
      </c>
      <c r="E11975" s="59">
        <v>1.0</v>
      </c>
      <c r="F11975" s="59">
        <v>1.0</v>
      </c>
      <c r="G11975" s="60">
        <v>1.0</v>
      </c>
      <c r="H11975" s="60">
        <v>0.0</v>
      </c>
      <c r="I11975" s="60">
        <v>3.648015</v>
      </c>
      <c r="J11975" s="59">
        <v>2.0</v>
      </c>
      <c r="K11975" s="61">
        <f t="shared" si="1"/>
        <v>1</v>
      </c>
      <c r="L11975" s="62">
        <f t="shared" si="2"/>
        <v>2</v>
      </c>
    </row>
    <row r="11976">
      <c r="A11976" s="58">
        <v>44896.0</v>
      </c>
      <c r="B11976" s="24" t="s">
        <v>6789</v>
      </c>
      <c r="C11976" s="24" t="s">
        <v>6985</v>
      </c>
      <c r="D11976" s="59">
        <v>1.0</v>
      </c>
      <c r="E11976" s="59">
        <v>1.0</v>
      </c>
      <c r="F11976" s="59">
        <v>1.0</v>
      </c>
      <c r="G11976" s="60">
        <v>1.0</v>
      </c>
      <c r="H11976" s="60">
        <v>0.0</v>
      </c>
      <c r="I11976" s="60">
        <v>111.616086</v>
      </c>
      <c r="J11976" s="59">
        <v>2.0</v>
      </c>
      <c r="K11976" s="61">
        <f t="shared" si="1"/>
        <v>1</v>
      </c>
      <c r="L11976" s="62">
        <f t="shared" si="2"/>
        <v>2</v>
      </c>
    </row>
    <row r="11977">
      <c r="A11977" s="58">
        <v>44896.0</v>
      </c>
      <c r="B11977" s="24" t="s">
        <v>6789</v>
      </c>
      <c r="C11977" s="24" t="s">
        <v>6833</v>
      </c>
      <c r="D11977" s="59">
        <v>1.0</v>
      </c>
      <c r="E11977" s="59">
        <v>1.0</v>
      </c>
      <c r="F11977" s="59">
        <v>1.0</v>
      </c>
      <c r="G11977" s="60">
        <v>1.0</v>
      </c>
      <c r="H11977" s="60">
        <v>0.0</v>
      </c>
      <c r="I11977" s="60">
        <v>129.369103</v>
      </c>
      <c r="J11977" s="59">
        <v>2.0</v>
      </c>
      <c r="K11977" s="61">
        <f t="shared" si="1"/>
        <v>1</v>
      </c>
      <c r="L11977" s="62">
        <f t="shared" si="2"/>
        <v>2</v>
      </c>
    </row>
    <row r="11978">
      <c r="A11978" s="58">
        <v>44896.0</v>
      </c>
      <c r="B11978" s="24" t="s">
        <v>6787</v>
      </c>
      <c r="C11978" s="24" t="s">
        <v>7062</v>
      </c>
      <c r="D11978" s="59">
        <v>1.0</v>
      </c>
      <c r="E11978" s="59">
        <v>1.0</v>
      </c>
      <c r="F11978" s="59">
        <v>0.0</v>
      </c>
      <c r="G11978" s="60">
        <v>1.0</v>
      </c>
      <c r="H11978" s="60">
        <v>0.0</v>
      </c>
      <c r="I11978" s="60">
        <v>1536.761337</v>
      </c>
      <c r="J11978" s="59">
        <v>14.0</v>
      </c>
      <c r="K11978" s="61">
        <f t="shared" si="1"/>
        <v>0</v>
      </c>
      <c r="L11978" s="62">
        <f t="shared" si="2"/>
        <v>14</v>
      </c>
    </row>
    <row r="11979">
      <c r="A11979" s="58">
        <v>44896.0</v>
      </c>
      <c r="B11979" s="24" t="s">
        <v>6789</v>
      </c>
      <c r="C11979" s="24" t="s">
        <v>7062</v>
      </c>
      <c r="D11979" s="59">
        <v>1.0</v>
      </c>
      <c r="E11979" s="59">
        <v>1.0</v>
      </c>
      <c r="F11979" s="59">
        <v>0.0</v>
      </c>
      <c r="G11979" s="60">
        <v>1.0</v>
      </c>
      <c r="H11979" s="60">
        <v>0.0</v>
      </c>
      <c r="I11979" s="60">
        <v>490.44863</v>
      </c>
      <c r="J11979" s="59">
        <v>6.0</v>
      </c>
      <c r="K11979" s="61">
        <f t="shared" si="1"/>
        <v>0</v>
      </c>
      <c r="L11979" s="62">
        <f t="shared" si="2"/>
        <v>6</v>
      </c>
    </row>
    <row r="11980">
      <c r="A11980" s="58">
        <v>44896.0</v>
      </c>
      <c r="B11980" s="24" t="s">
        <v>6787</v>
      </c>
      <c r="C11980" s="24" t="s">
        <v>7065</v>
      </c>
      <c r="D11980" s="59">
        <v>1.0</v>
      </c>
      <c r="E11980" s="59">
        <v>1.0</v>
      </c>
      <c r="F11980" s="59">
        <v>0.0</v>
      </c>
      <c r="G11980" s="60">
        <v>1.0</v>
      </c>
      <c r="H11980" s="60">
        <v>0.0</v>
      </c>
      <c r="I11980" s="60">
        <v>1092.054428</v>
      </c>
      <c r="J11980" s="59">
        <v>2.0</v>
      </c>
      <c r="K11980" s="61">
        <f t="shared" si="1"/>
        <v>0</v>
      </c>
      <c r="L11980" s="62">
        <f t="shared" si="2"/>
        <v>2</v>
      </c>
    </row>
    <row r="11981">
      <c r="A11981" s="58">
        <v>44896.0</v>
      </c>
      <c r="B11981" s="24" t="s">
        <v>6790</v>
      </c>
      <c r="C11981" s="24" t="s">
        <v>7065</v>
      </c>
      <c r="D11981" s="59">
        <v>1.0</v>
      </c>
      <c r="E11981" s="59">
        <v>1.0</v>
      </c>
      <c r="F11981" s="59">
        <v>0.0</v>
      </c>
      <c r="G11981" s="60">
        <v>1.0</v>
      </c>
      <c r="H11981" s="60">
        <v>0.0</v>
      </c>
      <c r="I11981" s="60">
        <v>3.184971</v>
      </c>
      <c r="J11981" s="59">
        <v>2.0</v>
      </c>
      <c r="K11981" s="61">
        <f t="shared" si="1"/>
        <v>0</v>
      </c>
      <c r="L11981" s="62">
        <f t="shared" si="2"/>
        <v>2</v>
      </c>
    </row>
    <row r="11982">
      <c r="A11982" s="58">
        <v>44896.0</v>
      </c>
      <c r="B11982" s="24" t="s">
        <v>155</v>
      </c>
      <c r="C11982" s="24" t="s">
        <v>7067</v>
      </c>
      <c r="D11982" s="59">
        <v>1.0</v>
      </c>
      <c r="E11982" s="59">
        <v>1.0</v>
      </c>
      <c r="F11982" s="59">
        <v>0.0</v>
      </c>
      <c r="G11982" s="60">
        <v>1.0</v>
      </c>
      <c r="H11982" s="60">
        <v>0.0</v>
      </c>
      <c r="I11982" s="60">
        <v>26.80046</v>
      </c>
      <c r="J11982" s="59">
        <v>2.0</v>
      </c>
      <c r="K11982" s="61">
        <f t="shared" si="1"/>
        <v>0</v>
      </c>
      <c r="L11982" s="62">
        <f t="shared" si="2"/>
        <v>2</v>
      </c>
    </row>
    <row r="11983">
      <c r="A11983" s="58">
        <v>44896.0</v>
      </c>
      <c r="B11983" s="24" t="s">
        <v>6794</v>
      </c>
      <c r="C11983" s="24" t="s">
        <v>6994</v>
      </c>
      <c r="D11983" s="59">
        <v>1.0</v>
      </c>
      <c r="E11983" s="59">
        <v>1.0</v>
      </c>
      <c r="F11983" s="59">
        <v>0.0</v>
      </c>
      <c r="G11983" s="60">
        <v>1.0</v>
      </c>
      <c r="H11983" s="60">
        <v>0.0</v>
      </c>
      <c r="I11983" s="60">
        <v>30.548758</v>
      </c>
      <c r="J11983" s="59">
        <v>2.0</v>
      </c>
      <c r="K11983" s="61">
        <f t="shared" si="1"/>
        <v>0</v>
      </c>
      <c r="L11983" s="62">
        <f t="shared" si="2"/>
        <v>2</v>
      </c>
    </row>
    <row r="11984">
      <c r="A11984" s="58">
        <v>44896.0</v>
      </c>
      <c r="B11984" s="24" t="s">
        <v>6787</v>
      </c>
      <c r="C11984" s="24" t="s">
        <v>7074</v>
      </c>
      <c r="D11984" s="59">
        <v>1.0</v>
      </c>
      <c r="E11984" s="59">
        <v>1.0</v>
      </c>
      <c r="F11984" s="59">
        <v>1.0</v>
      </c>
      <c r="G11984" s="60">
        <v>1.0</v>
      </c>
      <c r="H11984" s="60">
        <v>0.0</v>
      </c>
      <c r="I11984" s="60">
        <v>4.823836</v>
      </c>
      <c r="J11984" s="59">
        <v>2.0</v>
      </c>
      <c r="K11984" s="61">
        <f t="shared" si="1"/>
        <v>1</v>
      </c>
      <c r="L11984" s="62">
        <f t="shared" si="2"/>
        <v>2</v>
      </c>
    </row>
    <row r="11985">
      <c r="A11985" s="58">
        <v>44896.0</v>
      </c>
      <c r="B11985" s="24" t="s">
        <v>155</v>
      </c>
      <c r="C11985" s="24" t="s">
        <v>7074</v>
      </c>
      <c r="D11985" s="59">
        <v>1.0</v>
      </c>
      <c r="E11985" s="59">
        <v>1.0</v>
      </c>
      <c r="F11985" s="59">
        <v>1.0</v>
      </c>
      <c r="G11985" s="60">
        <v>1.0</v>
      </c>
      <c r="H11985" s="60">
        <v>0.0</v>
      </c>
      <c r="I11985" s="60">
        <v>2.529606</v>
      </c>
      <c r="J11985" s="59">
        <v>2.0</v>
      </c>
      <c r="K11985" s="61">
        <f t="shared" si="1"/>
        <v>1</v>
      </c>
      <c r="L11985" s="62">
        <f t="shared" si="2"/>
        <v>2</v>
      </c>
    </row>
    <row r="11986">
      <c r="A11986" s="58">
        <v>44896.0</v>
      </c>
      <c r="B11986" s="24" t="s">
        <v>6790</v>
      </c>
      <c r="C11986" s="24" t="s">
        <v>7074</v>
      </c>
      <c r="D11986" s="59">
        <v>1.0</v>
      </c>
      <c r="E11986" s="59">
        <v>1.0</v>
      </c>
      <c r="F11986" s="59">
        <v>0.0</v>
      </c>
      <c r="G11986" s="60">
        <v>1.0</v>
      </c>
      <c r="H11986" s="60">
        <v>1.0</v>
      </c>
      <c r="I11986" s="60">
        <v>0.0</v>
      </c>
      <c r="J11986" s="59">
        <v>2.0</v>
      </c>
      <c r="K11986" s="61">
        <f t="shared" si="1"/>
        <v>0</v>
      </c>
      <c r="L11986" s="62">
        <f t="shared" si="2"/>
        <v>2</v>
      </c>
    </row>
    <row r="11987">
      <c r="A11987" s="58">
        <v>44896.0</v>
      </c>
      <c r="B11987" s="24" t="s">
        <v>6794</v>
      </c>
      <c r="C11987" s="24" t="s">
        <v>6886</v>
      </c>
      <c r="D11987" s="59">
        <v>1.0</v>
      </c>
      <c r="E11987" s="59">
        <v>1.0</v>
      </c>
      <c r="F11987" s="59">
        <v>0.0</v>
      </c>
      <c r="G11987" s="60">
        <v>1.0</v>
      </c>
      <c r="H11987" s="60">
        <v>0.0</v>
      </c>
      <c r="I11987" s="60">
        <v>47.037329</v>
      </c>
      <c r="J11987" s="59">
        <v>2.0</v>
      </c>
      <c r="K11987" s="61">
        <f t="shared" si="1"/>
        <v>0</v>
      </c>
      <c r="L11987" s="62">
        <f t="shared" si="2"/>
        <v>2</v>
      </c>
    </row>
    <row r="11988">
      <c r="A11988" s="58">
        <v>44896.0</v>
      </c>
      <c r="B11988" s="24" t="s">
        <v>6791</v>
      </c>
      <c r="C11988" s="24" t="s">
        <v>6886</v>
      </c>
      <c r="D11988" s="59">
        <v>1.0</v>
      </c>
      <c r="E11988" s="59">
        <v>1.0</v>
      </c>
      <c r="F11988" s="59">
        <v>1.0</v>
      </c>
      <c r="G11988" s="60">
        <v>1.0</v>
      </c>
      <c r="H11988" s="60">
        <v>0.0</v>
      </c>
      <c r="I11988" s="60">
        <v>1.198864</v>
      </c>
      <c r="J11988" s="59">
        <v>2.0</v>
      </c>
      <c r="K11988" s="61">
        <f t="shared" si="1"/>
        <v>1</v>
      </c>
      <c r="L11988" s="62">
        <f t="shared" si="2"/>
        <v>2</v>
      </c>
    </row>
    <row r="11989">
      <c r="A11989" s="58">
        <v>44896.0</v>
      </c>
      <c r="B11989" s="24" t="s">
        <v>155</v>
      </c>
      <c r="C11989" s="24" t="s">
        <v>6886</v>
      </c>
      <c r="D11989" s="59">
        <v>1.0</v>
      </c>
      <c r="E11989" s="59">
        <v>2.0</v>
      </c>
      <c r="F11989" s="59">
        <v>0.0</v>
      </c>
      <c r="G11989" s="60">
        <v>2.0</v>
      </c>
      <c r="H11989" s="60">
        <v>0.0</v>
      </c>
      <c r="I11989" s="60">
        <v>2366.5634975</v>
      </c>
      <c r="J11989" s="59">
        <v>24.0</v>
      </c>
      <c r="K11989" s="61">
        <f t="shared" si="1"/>
        <v>0</v>
      </c>
      <c r="L11989" s="62">
        <f t="shared" si="2"/>
        <v>12</v>
      </c>
    </row>
    <row r="11990">
      <c r="A11990" s="58">
        <v>44896.0</v>
      </c>
      <c r="B11990" s="24" t="s">
        <v>6787</v>
      </c>
      <c r="C11990" s="24" t="s">
        <v>6896</v>
      </c>
      <c r="D11990" s="59">
        <v>1.0</v>
      </c>
      <c r="E11990" s="59">
        <v>1.0</v>
      </c>
      <c r="F11990" s="59">
        <v>0.0</v>
      </c>
      <c r="G11990" s="60">
        <v>1.0</v>
      </c>
      <c r="H11990" s="60">
        <v>0.0</v>
      </c>
      <c r="I11990" s="60">
        <v>294.161863</v>
      </c>
      <c r="J11990" s="59">
        <v>14.0</v>
      </c>
      <c r="K11990" s="61">
        <f t="shared" si="1"/>
        <v>0</v>
      </c>
      <c r="L11990" s="62">
        <f t="shared" si="2"/>
        <v>14</v>
      </c>
    </row>
    <row r="11991">
      <c r="A11991" s="58">
        <v>44896.0</v>
      </c>
      <c r="B11991" s="24" t="s">
        <v>6789</v>
      </c>
      <c r="C11991" s="24" t="s">
        <v>7307</v>
      </c>
      <c r="D11991" s="59">
        <v>1.0</v>
      </c>
      <c r="E11991" s="59">
        <v>1.0</v>
      </c>
      <c r="F11991" s="59">
        <v>0.0</v>
      </c>
      <c r="G11991" s="60">
        <v>1.0</v>
      </c>
      <c r="H11991" s="60">
        <v>0.0</v>
      </c>
      <c r="I11991" s="60">
        <v>36.588746</v>
      </c>
      <c r="J11991" s="59">
        <v>2.0</v>
      </c>
      <c r="K11991" s="61">
        <f t="shared" si="1"/>
        <v>0</v>
      </c>
      <c r="L11991" s="62">
        <f t="shared" si="2"/>
        <v>2</v>
      </c>
    </row>
    <row r="11992">
      <c r="A11992" s="58">
        <v>44896.0</v>
      </c>
      <c r="B11992" s="24" t="s">
        <v>6789</v>
      </c>
      <c r="C11992" s="24" t="s">
        <v>7676</v>
      </c>
      <c r="D11992" s="59">
        <v>1.0</v>
      </c>
      <c r="E11992" s="59">
        <v>1.0</v>
      </c>
      <c r="F11992" s="59">
        <v>1.0</v>
      </c>
      <c r="G11992" s="60">
        <v>1.0</v>
      </c>
      <c r="H11992" s="60">
        <v>0.0</v>
      </c>
      <c r="I11992" s="60">
        <v>3.31165</v>
      </c>
      <c r="J11992" s="59">
        <v>2.0</v>
      </c>
      <c r="K11992" s="61">
        <f t="shared" si="1"/>
        <v>1</v>
      </c>
      <c r="L11992" s="62">
        <f t="shared" si="2"/>
        <v>2</v>
      </c>
    </row>
    <row r="11993">
      <c r="A11993" s="58">
        <v>44896.0</v>
      </c>
      <c r="B11993" s="24" t="s">
        <v>6789</v>
      </c>
      <c r="C11993" s="24" t="s">
        <v>7677</v>
      </c>
      <c r="D11993" s="59">
        <v>1.0</v>
      </c>
      <c r="E11993" s="59">
        <v>1.0</v>
      </c>
      <c r="F11993" s="59">
        <v>0.0</v>
      </c>
      <c r="G11993" s="60">
        <v>1.0</v>
      </c>
      <c r="H11993" s="60">
        <v>0.0</v>
      </c>
      <c r="I11993" s="60">
        <v>432.478727</v>
      </c>
      <c r="J11993" s="59">
        <v>2.0</v>
      </c>
      <c r="K11993" s="61">
        <f t="shared" si="1"/>
        <v>0</v>
      </c>
      <c r="L11993" s="62">
        <f t="shared" si="2"/>
        <v>2</v>
      </c>
    </row>
    <row r="11994">
      <c r="A11994" s="58">
        <v>44896.0</v>
      </c>
      <c r="B11994" s="24" t="s">
        <v>6787</v>
      </c>
      <c r="C11994" s="24" t="s">
        <v>7673</v>
      </c>
      <c r="D11994" s="59">
        <v>1.0</v>
      </c>
      <c r="E11994" s="59">
        <v>1.0</v>
      </c>
      <c r="F11994" s="59">
        <v>1.0</v>
      </c>
      <c r="G11994" s="60">
        <v>1.0</v>
      </c>
      <c r="H11994" s="60">
        <v>0.0</v>
      </c>
      <c r="I11994" s="60">
        <v>44.340784</v>
      </c>
      <c r="J11994" s="59">
        <v>8.0</v>
      </c>
      <c r="K11994" s="61">
        <f t="shared" si="1"/>
        <v>1</v>
      </c>
      <c r="L11994" s="62">
        <f t="shared" si="2"/>
        <v>8</v>
      </c>
    </row>
    <row r="11995">
      <c r="A11995" s="58">
        <v>44896.0</v>
      </c>
      <c r="B11995" s="24" t="s">
        <v>6789</v>
      </c>
      <c r="C11995" s="24" t="s">
        <v>7156</v>
      </c>
      <c r="D11995" s="59">
        <v>1.0</v>
      </c>
      <c r="E11995" s="59">
        <v>1.0</v>
      </c>
      <c r="F11995" s="59">
        <v>0.0</v>
      </c>
      <c r="G11995" s="60">
        <v>1.0</v>
      </c>
      <c r="H11995" s="60">
        <v>0.0</v>
      </c>
      <c r="I11995" s="60">
        <v>595.903305</v>
      </c>
      <c r="J11995" s="59">
        <v>22.0</v>
      </c>
      <c r="K11995" s="61">
        <f t="shared" si="1"/>
        <v>0</v>
      </c>
      <c r="L11995" s="62">
        <f t="shared" si="2"/>
        <v>22</v>
      </c>
    </row>
    <row r="11996">
      <c r="A11996" s="58">
        <v>44896.0</v>
      </c>
      <c r="B11996" s="24" t="s">
        <v>6787</v>
      </c>
      <c r="C11996" s="24" t="s">
        <v>6904</v>
      </c>
      <c r="D11996" s="59">
        <v>1.0</v>
      </c>
      <c r="E11996" s="59">
        <v>1.0</v>
      </c>
      <c r="F11996" s="59">
        <v>1.0</v>
      </c>
      <c r="G11996" s="60">
        <v>1.0</v>
      </c>
      <c r="H11996" s="60">
        <v>0.0</v>
      </c>
      <c r="I11996" s="60">
        <v>3.52121</v>
      </c>
      <c r="J11996" s="59">
        <v>2.0</v>
      </c>
      <c r="K11996" s="61">
        <f t="shared" si="1"/>
        <v>1</v>
      </c>
      <c r="L11996" s="62">
        <f t="shared" si="2"/>
        <v>2</v>
      </c>
    </row>
    <row r="11997">
      <c r="A11997" s="58">
        <v>44896.0</v>
      </c>
      <c r="B11997" s="24" t="s">
        <v>6789</v>
      </c>
      <c r="C11997" s="24" t="s">
        <v>6905</v>
      </c>
      <c r="D11997" s="59">
        <v>1.0</v>
      </c>
      <c r="E11997" s="59">
        <v>1.0</v>
      </c>
      <c r="F11997" s="59">
        <v>0.0</v>
      </c>
      <c r="G11997" s="60">
        <v>1.0</v>
      </c>
      <c r="H11997" s="60">
        <v>0.0</v>
      </c>
      <c r="I11997" s="60">
        <v>74.792325</v>
      </c>
      <c r="J11997" s="59">
        <v>2.0</v>
      </c>
      <c r="K11997" s="61">
        <f t="shared" si="1"/>
        <v>0</v>
      </c>
      <c r="L11997" s="62">
        <f t="shared" si="2"/>
        <v>2</v>
      </c>
    </row>
    <row r="11998">
      <c r="A11998" s="58">
        <v>44896.0</v>
      </c>
      <c r="B11998" s="24" t="s">
        <v>6790</v>
      </c>
      <c r="C11998" s="24" t="s">
        <v>6905</v>
      </c>
      <c r="D11998" s="59">
        <v>1.0</v>
      </c>
      <c r="E11998" s="59">
        <v>3.0</v>
      </c>
      <c r="F11998" s="59">
        <v>0.0</v>
      </c>
      <c r="G11998" s="60">
        <v>3.0</v>
      </c>
      <c r="H11998" s="60">
        <v>0.666666666666666</v>
      </c>
      <c r="I11998" s="60">
        <v>3.48356866666666</v>
      </c>
      <c r="J11998" s="59">
        <v>4.0</v>
      </c>
      <c r="K11998" s="61">
        <f t="shared" si="1"/>
        <v>0</v>
      </c>
      <c r="L11998" s="62">
        <f t="shared" si="2"/>
        <v>1.333333333</v>
      </c>
    </row>
    <row r="11999">
      <c r="A11999" s="58">
        <v>44896.0</v>
      </c>
      <c r="B11999" s="24" t="s">
        <v>6790</v>
      </c>
      <c r="C11999" s="24" t="s">
        <v>7242</v>
      </c>
      <c r="D11999" s="59">
        <v>1.0</v>
      </c>
      <c r="E11999" s="59">
        <v>1.0</v>
      </c>
      <c r="F11999" s="59">
        <v>1.0</v>
      </c>
      <c r="G11999" s="60">
        <v>1.0</v>
      </c>
      <c r="H11999" s="60">
        <v>0.0</v>
      </c>
      <c r="I11999" s="60">
        <v>14.760289</v>
      </c>
      <c r="J11999" s="59">
        <v>3.0</v>
      </c>
      <c r="K11999" s="61">
        <f t="shared" si="1"/>
        <v>1</v>
      </c>
      <c r="L11999" s="62">
        <f t="shared" si="2"/>
        <v>3</v>
      </c>
    </row>
    <row r="12000">
      <c r="A12000" s="58">
        <v>44896.0</v>
      </c>
      <c r="B12000" s="24" t="s">
        <v>155</v>
      </c>
      <c r="C12000" s="24" t="s">
        <v>7261</v>
      </c>
      <c r="D12000" s="59">
        <v>1.0</v>
      </c>
      <c r="E12000" s="59">
        <v>1.0</v>
      </c>
      <c r="F12000" s="59">
        <v>0.0</v>
      </c>
      <c r="G12000" s="60">
        <v>1.0</v>
      </c>
      <c r="H12000" s="60">
        <v>0.0</v>
      </c>
      <c r="I12000" s="60">
        <v>1478.180192</v>
      </c>
      <c r="J12000" s="59">
        <v>2.0</v>
      </c>
      <c r="K12000" s="61">
        <f t="shared" si="1"/>
        <v>0</v>
      </c>
      <c r="L12000" s="62">
        <f t="shared" si="2"/>
        <v>2</v>
      </c>
    </row>
    <row r="12001">
      <c r="A12001" s="58">
        <v>44896.0</v>
      </c>
      <c r="B12001" s="24" t="s">
        <v>6787</v>
      </c>
      <c r="C12001" s="24" t="s">
        <v>7678</v>
      </c>
      <c r="D12001" s="59">
        <v>1.0</v>
      </c>
      <c r="E12001" s="59">
        <v>1.0</v>
      </c>
      <c r="F12001" s="59">
        <v>0.0</v>
      </c>
      <c r="G12001" s="60">
        <v>1.0</v>
      </c>
      <c r="H12001" s="60">
        <v>0.0</v>
      </c>
      <c r="I12001" s="60">
        <v>350.54322</v>
      </c>
      <c r="J12001" s="59">
        <v>10.0</v>
      </c>
      <c r="K12001" s="61">
        <f t="shared" si="1"/>
        <v>0</v>
      </c>
      <c r="L12001" s="62">
        <f t="shared" si="2"/>
        <v>10</v>
      </c>
    </row>
    <row r="12002">
      <c r="A12002" s="58">
        <v>44896.0</v>
      </c>
      <c r="B12002" s="24" t="s">
        <v>6787</v>
      </c>
      <c r="C12002" s="24" t="s">
        <v>7679</v>
      </c>
      <c r="D12002" s="59">
        <v>1.0</v>
      </c>
      <c r="E12002" s="59">
        <v>1.0</v>
      </c>
      <c r="F12002" s="59">
        <v>0.0</v>
      </c>
      <c r="G12002" s="60">
        <v>1.0</v>
      </c>
      <c r="H12002" s="60">
        <v>0.0</v>
      </c>
      <c r="I12002" s="60">
        <v>4470.47031</v>
      </c>
      <c r="J12002" s="59">
        <v>30.0</v>
      </c>
      <c r="K12002" s="61">
        <f t="shared" si="1"/>
        <v>0</v>
      </c>
      <c r="L12002" s="62">
        <f t="shared" si="2"/>
        <v>30</v>
      </c>
    </row>
    <row r="12003">
      <c r="A12003" s="58">
        <v>44896.0</v>
      </c>
      <c r="B12003" s="24" t="s">
        <v>6789</v>
      </c>
      <c r="C12003" s="24" t="s">
        <v>7680</v>
      </c>
      <c r="D12003" s="59">
        <v>1.0</v>
      </c>
      <c r="E12003" s="59">
        <v>1.0</v>
      </c>
      <c r="F12003" s="59">
        <v>0.0</v>
      </c>
      <c r="G12003" s="60">
        <v>1.0</v>
      </c>
      <c r="H12003" s="60">
        <v>0.0</v>
      </c>
      <c r="I12003" s="60">
        <v>1231.981193</v>
      </c>
      <c r="J12003" s="59">
        <v>34.0</v>
      </c>
      <c r="K12003" s="61">
        <f t="shared" si="1"/>
        <v>0</v>
      </c>
      <c r="L12003" s="62">
        <f t="shared" si="2"/>
        <v>34</v>
      </c>
    </row>
    <row r="12004">
      <c r="A12004" s="58">
        <v>44896.0</v>
      </c>
      <c r="B12004" s="24" t="s">
        <v>6787</v>
      </c>
      <c r="C12004" s="24" t="s">
        <v>7228</v>
      </c>
      <c r="D12004" s="59">
        <v>1.0</v>
      </c>
      <c r="E12004" s="59">
        <v>1.0</v>
      </c>
      <c r="F12004" s="59">
        <v>1.0</v>
      </c>
      <c r="G12004" s="60">
        <v>1.0</v>
      </c>
      <c r="H12004" s="60">
        <v>0.0</v>
      </c>
      <c r="I12004" s="60">
        <v>1530.799069</v>
      </c>
      <c r="J12004" s="59">
        <v>12.0</v>
      </c>
      <c r="K12004" s="61">
        <f t="shared" si="1"/>
        <v>1</v>
      </c>
      <c r="L12004" s="62">
        <f t="shared" si="2"/>
        <v>12</v>
      </c>
    </row>
    <row r="12005">
      <c r="A12005" s="58">
        <v>44896.0</v>
      </c>
      <c r="B12005" s="24" t="s">
        <v>6791</v>
      </c>
      <c r="C12005" s="24" t="s">
        <v>7228</v>
      </c>
      <c r="D12005" s="59">
        <v>1.0</v>
      </c>
      <c r="E12005" s="59">
        <v>1.0</v>
      </c>
      <c r="F12005" s="59">
        <v>1.0</v>
      </c>
      <c r="G12005" s="60">
        <v>1.0</v>
      </c>
      <c r="H12005" s="60">
        <v>0.0</v>
      </c>
      <c r="I12005" s="60">
        <v>9.536135</v>
      </c>
      <c r="J12005" s="59">
        <v>2.0</v>
      </c>
      <c r="K12005" s="61">
        <f t="shared" si="1"/>
        <v>1</v>
      </c>
      <c r="L12005" s="62">
        <f t="shared" si="2"/>
        <v>2</v>
      </c>
    </row>
    <row r="12006">
      <c r="A12006" s="58">
        <v>44896.0</v>
      </c>
      <c r="B12006" s="24" t="s">
        <v>7100</v>
      </c>
      <c r="C12006" s="24" t="s">
        <v>6808</v>
      </c>
      <c r="D12006" s="59">
        <v>1.0</v>
      </c>
      <c r="E12006" s="59">
        <v>1.0</v>
      </c>
      <c r="F12006" s="59">
        <v>0.0</v>
      </c>
      <c r="G12006" s="60">
        <v>1.0</v>
      </c>
      <c r="H12006" s="60">
        <v>0.0</v>
      </c>
      <c r="I12006" s="60">
        <v>82.157661</v>
      </c>
      <c r="J12006" s="59">
        <v>2.0</v>
      </c>
      <c r="K12006" s="61">
        <f t="shared" si="1"/>
        <v>0</v>
      </c>
      <c r="L12006" s="62">
        <f t="shared" si="2"/>
        <v>2</v>
      </c>
    </row>
    <row r="12007">
      <c r="A12007" s="58">
        <v>44896.0</v>
      </c>
      <c r="B12007" s="24" t="s">
        <v>155</v>
      </c>
      <c r="C12007" s="24" t="s">
        <v>6808</v>
      </c>
      <c r="D12007" s="59">
        <v>1.0</v>
      </c>
      <c r="E12007" s="59">
        <v>1.0</v>
      </c>
      <c r="F12007" s="59">
        <v>0.0</v>
      </c>
      <c r="G12007" s="60">
        <v>1.0</v>
      </c>
      <c r="H12007" s="60">
        <v>0.0</v>
      </c>
      <c r="I12007" s="60">
        <v>137.522578</v>
      </c>
      <c r="J12007" s="59">
        <v>5.0</v>
      </c>
      <c r="K12007" s="61">
        <f t="shared" si="1"/>
        <v>0</v>
      </c>
      <c r="L12007" s="62">
        <f t="shared" si="2"/>
        <v>5</v>
      </c>
    </row>
    <row r="12008">
      <c r="A12008" s="58">
        <v>44896.0</v>
      </c>
      <c r="B12008" s="24" t="s">
        <v>6787</v>
      </c>
      <c r="C12008" s="24" t="s">
        <v>6908</v>
      </c>
      <c r="D12008" s="59">
        <v>1.0</v>
      </c>
      <c r="E12008" s="59">
        <v>1.0</v>
      </c>
      <c r="F12008" s="59">
        <v>1.0</v>
      </c>
      <c r="G12008" s="60">
        <v>1.0</v>
      </c>
      <c r="H12008" s="60">
        <v>0.0</v>
      </c>
      <c r="I12008" s="60">
        <v>3.374031</v>
      </c>
      <c r="J12008" s="59">
        <v>2.0</v>
      </c>
      <c r="K12008" s="61">
        <f t="shared" si="1"/>
        <v>1</v>
      </c>
      <c r="L12008" s="62">
        <f t="shared" si="2"/>
        <v>2</v>
      </c>
    </row>
    <row r="12009">
      <c r="A12009" s="58">
        <v>44896.0</v>
      </c>
      <c r="B12009" s="24" t="s">
        <v>6787</v>
      </c>
      <c r="C12009" s="24" t="s">
        <v>7172</v>
      </c>
      <c r="D12009" s="59">
        <v>1.0</v>
      </c>
      <c r="E12009" s="59">
        <v>1.0</v>
      </c>
      <c r="F12009" s="59">
        <v>1.0</v>
      </c>
      <c r="G12009" s="60">
        <v>1.0</v>
      </c>
      <c r="H12009" s="60">
        <v>0.0</v>
      </c>
      <c r="I12009" s="60">
        <v>2.878724</v>
      </c>
      <c r="J12009" s="59">
        <v>2.0</v>
      </c>
      <c r="K12009" s="61">
        <f t="shared" si="1"/>
        <v>1</v>
      </c>
      <c r="L12009" s="62">
        <f t="shared" si="2"/>
        <v>2</v>
      </c>
    </row>
    <row r="12010">
      <c r="A12010" s="58">
        <v>44896.0</v>
      </c>
      <c r="B12010" s="24" t="s">
        <v>6789</v>
      </c>
      <c r="C12010" s="24" t="s">
        <v>7172</v>
      </c>
      <c r="D12010" s="59">
        <v>1.0</v>
      </c>
      <c r="E12010" s="59">
        <v>1.0</v>
      </c>
      <c r="F12010" s="59">
        <v>0.0</v>
      </c>
      <c r="G12010" s="60">
        <v>1.0</v>
      </c>
      <c r="H12010" s="60">
        <v>0.0</v>
      </c>
      <c r="I12010" s="60">
        <v>148.586186</v>
      </c>
      <c r="J12010" s="59">
        <v>4.0</v>
      </c>
      <c r="K12010" s="61">
        <f t="shared" si="1"/>
        <v>0</v>
      </c>
      <c r="L12010" s="62">
        <f t="shared" si="2"/>
        <v>4</v>
      </c>
    </row>
    <row r="12011">
      <c r="A12011" s="58">
        <v>44896.0</v>
      </c>
      <c r="B12011" s="24" t="s">
        <v>6790</v>
      </c>
      <c r="C12011" s="24" t="s">
        <v>7313</v>
      </c>
      <c r="D12011" s="59">
        <v>1.0</v>
      </c>
      <c r="E12011" s="59">
        <v>1.0</v>
      </c>
      <c r="F12011" s="59">
        <v>1.0</v>
      </c>
      <c r="G12011" s="60">
        <v>1.0</v>
      </c>
      <c r="H12011" s="60">
        <v>0.0</v>
      </c>
      <c r="I12011" s="60">
        <v>1.536789</v>
      </c>
      <c r="J12011" s="59">
        <v>2.0</v>
      </c>
      <c r="K12011" s="61">
        <f t="shared" si="1"/>
        <v>1</v>
      </c>
      <c r="L12011" s="62">
        <f t="shared" si="2"/>
        <v>2</v>
      </c>
    </row>
    <row r="12012">
      <c r="A12012" s="58">
        <v>44896.0</v>
      </c>
      <c r="B12012" s="24" t="s">
        <v>6787</v>
      </c>
      <c r="C12012" s="24" t="s">
        <v>7102</v>
      </c>
      <c r="D12012" s="59">
        <v>1.0</v>
      </c>
      <c r="E12012" s="59">
        <v>1.0</v>
      </c>
      <c r="F12012" s="59">
        <v>1.0</v>
      </c>
      <c r="G12012" s="60">
        <v>1.0</v>
      </c>
      <c r="H12012" s="60">
        <v>0.0</v>
      </c>
      <c r="I12012" s="60">
        <v>2.676488</v>
      </c>
      <c r="J12012" s="59">
        <v>2.0</v>
      </c>
      <c r="K12012" s="61">
        <f t="shared" si="1"/>
        <v>1</v>
      </c>
      <c r="L12012" s="62">
        <f t="shared" si="2"/>
        <v>2</v>
      </c>
    </row>
    <row r="12013">
      <c r="A12013" s="58">
        <v>44896.0</v>
      </c>
      <c r="B12013" s="24" t="s">
        <v>7100</v>
      </c>
      <c r="C12013" s="24" t="s">
        <v>6914</v>
      </c>
      <c r="D12013" s="59">
        <v>1.0</v>
      </c>
      <c r="E12013" s="59">
        <v>1.0</v>
      </c>
      <c r="F12013" s="59">
        <v>0.0</v>
      </c>
      <c r="G12013" s="60">
        <v>0.0</v>
      </c>
      <c r="H12013" s="60">
        <v>1.0</v>
      </c>
      <c r="I12013" s="60">
        <v>0.0</v>
      </c>
      <c r="J12013" s="59">
        <v>1.0</v>
      </c>
      <c r="K12013" s="61">
        <f t="shared" si="1"/>
        <v>0</v>
      </c>
      <c r="L12013" s="62">
        <f t="shared" si="2"/>
        <v>1</v>
      </c>
    </row>
    <row r="12014">
      <c r="A12014" s="58">
        <v>44896.0</v>
      </c>
      <c r="B12014" s="24" t="s">
        <v>6789</v>
      </c>
      <c r="C12014" s="24" t="s">
        <v>7655</v>
      </c>
      <c r="D12014" s="59">
        <v>1.0</v>
      </c>
      <c r="E12014" s="59">
        <v>1.0</v>
      </c>
      <c r="F12014" s="59">
        <v>0.0</v>
      </c>
      <c r="G12014" s="60">
        <v>1.0</v>
      </c>
      <c r="H12014" s="60">
        <v>0.0</v>
      </c>
      <c r="I12014" s="60">
        <v>804.184059</v>
      </c>
      <c r="J12014" s="59">
        <v>39.0</v>
      </c>
      <c r="K12014" s="61">
        <f t="shared" si="1"/>
        <v>0</v>
      </c>
      <c r="L12014" s="62">
        <f t="shared" si="2"/>
        <v>39</v>
      </c>
    </row>
    <row r="12015">
      <c r="A12015" s="58">
        <v>44896.0</v>
      </c>
      <c r="B12015" s="24" t="s">
        <v>6789</v>
      </c>
      <c r="C12015" s="24" t="s">
        <v>7027</v>
      </c>
      <c r="D12015" s="59">
        <v>1.0</v>
      </c>
      <c r="E12015" s="59">
        <v>1.0</v>
      </c>
      <c r="F12015" s="59">
        <v>0.0</v>
      </c>
      <c r="G12015" s="60">
        <v>1.0</v>
      </c>
      <c r="H12015" s="60">
        <v>0.0</v>
      </c>
      <c r="I12015" s="60">
        <v>993.210521</v>
      </c>
      <c r="J12015" s="59">
        <v>2.0</v>
      </c>
      <c r="K12015" s="61">
        <f t="shared" si="1"/>
        <v>0</v>
      </c>
      <c r="L12015" s="62">
        <f t="shared" si="2"/>
        <v>2</v>
      </c>
    </row>
    <row r="12016">
      <c r="A12016" s="58">
        <v>44896.0</v>
      </c>
      <c r="B12016" s="24" t="s">
        <v>6790</v>
      </c>
      <c r="C12016" s="24" t="s">
        <v>7027</v>
      </c>
      <c r="D12016" s="59">
        <v>1.0</v>
      </c>
      <c r="E12016" s="59">
        <v>1.0</v>
      </c>
      <c r="F12016" s="59">
        <v>0.0</v>
      </c>
      <c r="G12016" s="60">
        <v>1.0</v>
      </c>
      <c r="H12016" s="60">
        <v>1.0</v>
      </c>
      <c r="I12016" s="60">
        <v>16.534905</v>
      </c>
      <c r="J12016" s="59">
        <v>2.0</v>
      </c>
      <c r="K12016" s="61">
        <f t="shared" si="1"/>
        <v>0</v>
      </c>
      <c r="L12016" s="62">
        <f t="shared" si="2"/>
        <v>2</v>
      </c>
    </row>
    <row r="12017">
      <c r="A12017" s="58">
        <v>44896.0</v>
      </c>
      <c r="B12017" s="24" t="s">
        <v>7606</v>
      </c>
      <c r="C12017" s="24" t="s">
        <v>7601</v>
      </c>
      <c r="D12017" s="59">
        <v>1.0</v>
      </c>
      <c r="E12017" s="59">
        <v>1.0</v>
      </c>
      <c r="F12017" s="59">
        <v>1.0</v>
      </c>
      <c r="G12017" s="60">
        <v>1.0</v>
      </c>
      <c r="H12017" s="60">
        <v>0.0</v>
      </c>
      <c r="I12017" s="60">
        <v>4.924087</v>
      </c>
      <c r="J12017" s="59">
        <v>2.0</v>
      </c>
      <c r="K12017" s="61">
        <f t="shared" si="1"/>
        <v>1</v>
      </c>
      <c r="L12017" s="62">
        <f t="shared" si="2"/>
        <v>2</v>
      </c>
    </row>
    <row r="12018">
      <c r="A12018" s="58">
        <v>44896.0</v>
      </c>
      <c r="B12018" s="24" t="s">
        <v>7100</v>
      </c>
      <c r="C12018" s="24" t="s">
        <v>7601</v>
      </c>
      <c r="D12018" s="59">
        <v>1.0</v>
      </c>
      <c r="E12018" s="59">
        <v>1.0</v>
      </c>
      <c r="F12018" s="59">
        <v>1.0</v>
      </c>
      <c r="G12018" s="60">
        <v>1.0</v>
      </c>
      <c r="H12018" s="60">
        <v>0.0</v>
      </c>
      <c r="I12018" s="60">
        <v>67.392602</v>
      </c>
      <c r="J12018" s="59">
        <v>8.0</v>
      </c>
      <c r="K12018" s="61">
        <f t="shared" si="1"/>
        <v>1</v>
      </c>
      <c r="L12018" s="62">
        <f t="shared" si="2"/>
        <v>8</v>
      </c>
    </row>
    <row r="12019">
      <c r="A12019" s="58">
        <v>44896.0</v>
      </c>
      <c r="B12019" s="24" t="s">
        <v>6789</v>
      </c>
      <c r="C12019" s="24" t="s">
        <v>7111</v>
      </c>
      <c r="D12019" s="59">
        <v>1.0</v>
      </c>
      <c r="E12019" s="59">
        <v>1.0</v>
      </c>
      <c r="F12019" s="59">
        <v>1.0</v>
      </c>
      <c r="G12019" s="60">
        <v>1.0</v>
      </c>
      <c r="H12019" s="60">
        <v>0.0</v>
      </c>
      <c r="I12019" s="60">
        <v>513.310385</v>
      </c>
      <c r="J12019" s="59">
        <v>20.0</v>
      </c>
      <c r="K12019" s="61">
        <f t="shared" si="1"/>
        <v>1</v>
      </c>
      <c r="L12019" s="62">
        <f t="shared" si="2"/>
        <v>20</v>
      </c>
    </row>
    <row r="12020">
      <c r="A12020" s="58">
        <v>44896.0</v>
      </c>
      <c r="B12020" s="24" t="s">
        <v>6787</v>
      </c>
      <c r="C12020" s="24" t="s">
        <v>7588</v>
      </c>
      <c r="D12020" s="59">
        <v>1.0</v>
      </c>
      <c r="E12020" s="59">
        <v>1.0</v>
      </c>
      <c r="F12020" s="59">
        <v>1.0</v>
      </c>
      <c r="G12020" s="60">
        <v>1.0</v>
      </c>
      <c r="H12020" s="60">
        <v>0.0</v>
      </c>
      <c r="I12020" s="60">
        <v>4.806937</v>
      </c>
      <c r="J12020" s="59">
        <v>2.0</v>
      </c>
      <c r="K12020" s="61">
        <f t="shared" si="1"/>
        <v>1</v>
      </c>
      <c r="L12020" s="62">
        <f t="shared" si="2"/>
        <v>2</v>
      </c>
    </row>
    <row r="12021">
      <c r="A12021" s="58">
        <v>44896.0</v>
      </c>
      <c r="B12021" s="24" t="s">
        <v>155</v>
      </c>
      <c r="C12021" s="24" t="s">
        <v>7681</v>
      </c>
      <c r="D12021" s="59">
        <v>1.0</v>
      </c>
      <c r="E12021" s="59">
        <v>1.0</v>
      </c>
      <c r="F12021" s="59">
        <v>1.0</v>
      </c>
      <c r="G12021" s="60">
        <v>1.0</v>
      </c>
      <c r="H12021" s="60">
        <v>0.0</v>
      </c>
      <c r="I12021" s="60">
        <v>13.438541</v>
      </c>
      <c r="J12021" s="59">
        <v>2.0</v>
      </c>
      <c r="K12021" s="61">
        <f t="shared" si="1"/>
        <v>1</v>
      </c>
      <c r="L12021" s="62">
        <f t="shared" si="2"/>
        <v>2</v>
      </c>
    </row>
    <row r="12022">
      <c r="A12022" s="58">
        <v>44896.0</v>
      </c>
      <c r="B12022" s="24" t="s">
        <v>6794</v>
      </c>
      <c r="C12022" s="24" t="s">
        <v>6922</v>
      </c>
      <c r="D12022" s="59">
        <v>1.0</v>
      </c>
      <c r="E12022" s="59">
        <v>1.0</v>
      </c>
      <c r="F12022" s="59">
        <v>0.0</v>
      </c>
      <c r="G12022" s="60">
        <v>1.0</v>
      </c>
      <c r="H12022" s="60">
        <v>0.0</v>
      </c>
      <c r="I12022" s="60">
        <v>333.055339</v>
      </c>
      <c r="J12022" s="59">
        <v>4.0</v>
      </c>
      <c r="K12022" s="61">
        <f t="shared" si="1"/>
        <v>0</v>
      </c>
      <c r="L12022" s="62">
        <f t="shared" si="2"/>
        <v>4</v>
      </c>
    </row>
    <row r="12023">
      <c r="A12023" s="58">
        <v>44896.0</v>
      </c>
      <c r="B12023" s="24" t="s">
        <v>6791</v>
      </c>
      <c r="C12023" s="24" t="s">
        <v>6922</v>
      </c>
      <c r="D12023" s="59">
        <v>1.0</v>
      </c>
      <c r="E12023" s="59">
        <v>1.0</v>
      </c>
      <c r="F12023" s="59">
        <v>1.0</v>
      </c>
      <c r="G12023" s="60">
        <v>1.0</v>
      </c>
      <c r="H12023" s="60">
        <v>0.0</v>
      </c>
      <c r="I12023" s="60">
        <v>5.644457</v>
      </c>
      <c r="J12023" s="59">
        <v>2.0</v>
      </c>
      <c r="K12023" s="61">
        <f t="shared" si="1"/>
        <v>1</v>
      </c>
      <c r="L12023" s="62">
        <f t="shared" si="2"/>
        <v>2</v>
      </c>
    </row>
    <row r="12024">
      <c r="A12024" s="58">
        <v>44896.0</v>
      </c>
      <c r="B12024" s="24" t="s">
        <v>6789</v>
      </c>
      <c r="C12024" s="24" t="s">
        <v>7047</v>
      </c>
      <c r="D12024" s="59">
        <v>1.0</v>
      </c>
      <c r="E12024" s="59">
        <v>1.0</v>
      </c>
      <c r="F12024" s="59">
        <v>0.0</v>
      </c>
      <c r="G12024" s="60">
        <v>1.0</v>
      </c>
      <c r="H12024" s="60">
        <v>0.0</v>
      </c>
      <c r="I12024" s="60">
        <v>14.866788</v>
      </c>
      <c r="J12024" s="59">
        <v>2.0</v>
      </c>
      <c r="K12024" s="61">
        <f t="shared" si="1"/>
        <v>0</v>
      </c>
      <c r="L12024" s="62">
        <f t="shared" si="2"/>
        <v>2</v>
      </c>
    </row>
    <row r="12025">
      <c r="A12025" s="58">
        <v>44896.0</v>
      </c>
      <c r="B12025" s="24" t="s">
        <v>6794</v>
      </c>
      <c r="C12025" s="24" t="s">
        <v>7047</v>
      </c>
      <c r="D12025" s="59">
        <v>1.0</v>
      </c>
      <c r="E12025" s="59">
        <v>1.0</v>
      </c>
      <c r="F12025" s="59">
        <v>0.0</v>
      </c>
      <c r="G12025" s="60">
        <v>1.0</v>
      </c>
      <c r="H12025" s="60">
        <v>0.0</v>
      </c>
      <c r="I12025" s="60">
        <v>19.870728</v>
      </c>
      <c r="J12025" s="59">
        <v>2.0</v>
      </c>
      <c r="K12025" s="61">
        <f t="shared" si="1"/>
        <v>0</v>
      </c>
      <c r="L12025" s="62">
        <f t="shared" si="2"/>
        <v>2</v>
      </c>
    </row>
    <row r="12026">
      <c r="A12026" s="58">
        <v>44896.0</v>
      </c>
      <c r="B12026" s="24" t="s">
        <v>7606</v>
      </c>
      <c r="C12026" s="24" t="s">
        <v>6797</v>
      </c>
      <c r="D12026" s="59">
        <v>1.0</v>
      </c>
      <c r="E12026" s="59">
        <v>1.0</v>
      </c>
      <c r="F12026" s="59">
        <v>1.0</v>
      </c>
      <c r="G12026" s="60">
        <v>1.0</v>
      </c>
      <c r="H12026" s="60">
        <v>0.0</v>
      </c>
      <c r="I12026" s="60">
        <v>13.670004</v>
      </c>
      <c r="J12026" s="59">
        <v>2.0</v>
      </c>
      <c r="K12026" s="61">
        <f t="shared" si="1"/>
        <v>1</v>
      </c>
      <c r="L12026" s="62">
        <f t="shared" si="2"/>
        <v>2</v>
      </c>
    </row>
    <row r="12027">
      <c r="A12027" s="58">
        <v>44896.0</v>
      </c>
      <c r="B12027" s="24" t="s">
        <v>6789</v>
      </c>
      <c r="C12027" s="24" t="s">
        <v>6810</v>
      </c>
      <c r="D12027" s="59">
        <v>1.0</v>
      </c>
      <c r="E12027" s="59">
        <v>1.0</v>
      </c>
      <c r="F12027" s="59">
        <v>0.0</v>
      </c>
      <c r="G12027" s="60">
        <v>1.0</v>
      </c>
      <c r="H12027" s="60">
        <v>0.0</v>
      </c>
      <c r="I12027" s="60">
        <v>1313.969716</v>
      </c>
      <c r="J12027" s="59">
        <v>2.0</v>
      </c>
      <c r="K12027" s="61">
        <f t="shared" si="1"/>
        <v>0</v>
      </c>
      <c r="L12027" s="62">
        <f t="shared" si="2"/>
        <v>2</v>
      </c>
    </row>
    <row r="12028">
      <c r="A12028" s="58">
        <v>44896.0</v>
      </c>
      <c r="B12028" s="24" t="s">
        <v>6789</v>
      </c>
      <c r="C12028" s="24" t="s">
        <v>6931</v>
      </c>
      <c r="D12028" s="59">
        <v>1.0</v>
      </c>
      <c r="E12028" s="59">
        <v>1.0</v>
      </c>
      <c r="F12028" s="59">
        <v>0.0</v>
      </c>
      <c r="G12028" s="60">
        <v>1.0</v>
      </c>
      <c r="H12028" s="60">
        <v>0.0</v>
      </c>
      <c r="I12028" s="60">
        <v>4.906859</v>
      </c>
      <c r="J12028" s="59">
        <v>2.0</v>
      </c>
      <c r="K12028" s="61">
        <f t="shared" si="1"/>
        <v>0</v>
      </c>
      <c r="L12028" s="62">
        <f t="shared" si="2"/>
        <v>2</v>
      </c>
    </row>
    <row r="12029">
      <c r="A12029" s="58">
        <v>44896.0</v>
      </c>
      <c r="B12029" s="24" t="s">
        <v>155</v>
      </c>
      <c r="C12029" s="24" t="s">
        <v>6931</v>
      </c>
      <c r="D12029" s="59">
        <v>1.0</v>
      </c>
      <c r="E12029" s="59">
        <v>1.0</v>
      </c>
      <c r="F12029" s="59">
        <v>0.0</v>
      </c>
      <c r="G12029" s="60">
        <v>1.0</v>
      </c>
      <c r="H12029" s="60">
        <v>0.0</v>
      </c>
      <c r="I12029" s="60">
        <v>5.86993</v>
      </c>
      <c r="J12029" s="59">
        <v>4.0</v>
      </c>
      <c r="K12029" s="61">
        <f t="shared" si="1"/>
        <v>0</v>
      </c>
      <c r="L12029" s="62">
        <f t="shared" si="2"/>
        <v>4</v>
      </c>
    </row>
    <row r="12030">
      <c r="A12030" s="58">
        <v>44896.0</v>
      </c>
      <c r="B12030" s="24" t="s">
        <v>6789</v>
      </c>
      <c r="C12030" s="24" t="s">
        <v>6962</v>
      </c>
      <c r="D12030" s="59">
        <v>1.0</v>
      </c>
      <c r="E12030" s="59">
        <v>1.0</v>
      </c>
      <c r="F12030" s="59">
        <v>0.0</v>
      </c>
      <c r="G12030" s="60">
        <v>1.0</v>
      </c>
      <c r="H12030" s="60">
        <v>0.0</v>
      </c>
      <c r="I12030" s="60">
        <v>3.999969</v>
      </c>
      <c r="J12030" s="59">
        <v>2.0</v>
      </c>
      <c r="K12030" s="61">
        <f t="shared" si="1"/>
        <v>0</v>
      </c>
      <c r="L12030" s="62">
        <f t="shared" si="2"/>
        <v>2</v>
      </c>
    </row>
    <row r="12031">
      <c r="A12031" s="58">
        <v>44896.0</v>
      </c>
      <c r="B12031" s="24" t="s">
        <v>155</v>
      </c>
      <c r="C12031" s="24" t="s">
        <v>6962</v>
      </c>
      <c r="D12031" s="59">
        <v>1.0</v>
      </c>
      <c r="E12031" s="59">
        <v>1.0</v>
      </c>
      <c r="F12031" s="59">
        <v>0.0</v>
      </c>
      <c r="G12031" s="60">
        <v>1.0</v>
      </c>
      <c r="H12031" s="60">
        <v>0.0</v>
      </c>
      <c r="I12031" s="60">
        <v>3209.416502</v>
      </c>
      <c r="J12031" s="59">
        <v>10.0</v>
      </c>
      <c r="K12031" s="61">
        <f t="shared" si="1"/>
        <v>0</v>
      </c>
      <c r="L12031" s="62">
        <f t="shared" si="2"/>
        <v>10</v>
      </c>
    </row>
    <row r="12032">
      <c r="A12032" s="58">
        <v>44896.0</v>
      </c>
      <c r="B12032" s="24" t="s">
        <v>6787</v>
      </c>
      <c r="C12032" s="24" t="s">
        <v>7508</v>
      </c>
      <c r="D12032" s="59">
        <v>1.0</v>
      </c>
      <c r="E12032" s="59">
        <v>1.0</v>
      </c>
      <c r="F12032" s="59">
        <v>0.0</v>
      </c>
      <c r="G12032" s="60">
        <v>1.0</v>
      </c>
      <c r="H12032" s="60">
        <v>0.0</v>
      </c>
      <c r="I12032" s="60">
        <v>9.702977</v>
      </c>
      <c r="J12032" s="59">
        <v>2.0</v>
      </c>
      <c r="K12032" s="61">
        <f t="shared" si="1"/>
        <v>0</v>
      </c>
      <c r="L12032" s="62">
        <f t="shared" si="2"/>
        <v>2</v>
      </c>
    </row>
    <row r="12033">
      <c r="A12033" s="58">
        <v>44866.0</v>
      </c>
      <c r="B12033" s="24" t="s">
        <v>6787</v>
      </c>
      <c r="C12033" s="27"/>
      <c r="D12033" s="59">
        <v>314.0</v>
      </c>
      <c r="E12033" s="59">
        <v>371.0</v>
      </c>
      <c r="F12033" s="59">
        <v>291.0</v>
      </c>
      <c r="G12033" s="60">
        <v>1.18910256410256</v>
      </c>
      <c r="H12033" s="60">
        <v>0.0997304582210242</v>
      </c>
      <c r="I12033" s="60">
        <v>224.572601660377</v>
      </c>
      <c r="J12033" s="59">
        <v>1944.0</v>
      </c>
      <c r="K12033" s="61">
        <f t="shared" si="1"/>
        <v>0.7843665768</v>
      </c>
      <c r="L12033" s="62">
        <f t="shared" si="2"/>
        <v>5.239892183</v>
      </c>
    </row>
    <row r="12034">
      <c r="A12034" s="58">
        <v>44866.0</v>
      </c>
      <c r="B12034" s="24" t="s">
        <v>6789</v>
      </c>
      <c r="C12034" s="24" t="s">
        <v>7068</v>
      </c>
      <c r="D12034" s="59">
        <v>223.0</v>
      </c>
      <c r="E12034" s="59">
        <v>242.0</v>
      </c>
      <c r="F12034" s="59">
        <v>223.0</v>
      </c>
      <c r="G12034" s="60">
        <v>1.08520179372197</v>
      </c>
      <c r="H12034" s="60">
        <v>0.115702479338842</v>
      </c>
      <c r="I12034" s="60">
        <v>141.917984123966</v>
      </c>
      <c r="J12034" s="59">
        <v>435.0</v>
      </c>
      <c r="K12034" s="61">
        <f t="shared" si="1"/>
        <v>0.9214876033</v>
      </c>
      <c r="L12034" s="62">
        <f t="shared" si="2"/>
        <v>1.797520661</v>
      </c>
    </row>
    <row r="12035">
      <c r="A12035" s="58">
        <v>44866.0</v>
      </c>
      <c r="B12035" s="24" t="s">
        <v>6789</v>
      </c>
      <c r="C12035" s="27"/>
      <c r="D12035" s="59">
        <v>213.0</v>
      </c>
      <c r="E12035" s="59">
        <v>311.0</v>
      </c>
      <c r="F12035" s="59">
        <v>175.0</v>
      </c>
      <c r="G12035" s="60">
        <v>1.46009389671361</v>
      </c>
      <c r="H12035" s="60">
        <v>0.0610932475884244</v>
      </c>
      <c r="I12035" s="60">
        <v>276.696692871382</v>
      </c>
      <c r="J12035" s="59">
        <v>1346.0</v>
      </c>
      <c r="K12035" s="61">
        <f t="shared" si="1"/>
        <v>0.5627009646</v>
      </c>
      <c r="L12035" s="62">
        <f t="shared" si="2"/>
        <v>4.327974277</v>
      </c>
    </row>
    <row r="12036">
      <c r="A12036" s="58">
        <v>44866.0</v>
      </c>
      <c r="B12036" s="24" t="s">
        <v>6790</v>
      </c>
      <c r="C12036" s="24" t="s">
        <v>6835</v>
      </c>
      <c r="D12036" s="59">
        <v>130.0</v>
      </c>
      <c r="E12036" s="59">
        <v>130.0</v>
      </c>
      <c r="F12036" s="59">
        <v>128.0</v>
      </c>
      <c r="G12036" s="60">
        <v>1.00775193798449</v>
      </c>
      <c r="H12036" s="60">
        <v>0.0307692307692307</v>
      </c>
      <c r="I12036" s="60">
        <v>91.3820210538461</v>
      </c>
      <c r="J12036" s="59">
        <v>301.0</v>
      </c>
      <c r="K12036" s="61">
        <f t="shared" si="1"/>
        <v>0.9846153846</v>
      </c>
      <c r="L12036" s="62">
        <f t="shared" si="2"/>
        <v>2.315384615</v>
      </c>
    </row>
    <row r="12037">
      <c r="A12037" s="58">
        <v>44866.0</v>
      </c>
      <c r="B12037" s="24" t="s">
        <v>6789</v>
      </c>
      <c r="C12037" s="24" t="s">
        <v>6792</v>
      </c>
      <c r="D12037" s="59">
        <v>66.0</v>
      </c>
      <c r="E12037" s="59">
        <v>94.0</v>
      </c>
      <c r="F12037" s="59">
        <v>0.0</v>
      </c>
      <c r="G12037" s="60">
        <v>2.0</v>
      </c>
      <c r="H12037" s="60">
        <v>0.936170212765957</v>
      </c>
      <c r="I12037" s="60">
        <v>23.8524292978723</v>
      </c>
      <c r="J12037" s="59">
        <v>0.0</v>
      </c>
      <c r="K12037" s="61">
        <f t="shared" si="1"/>
        <v>0</v>
      </c>
      <c r="L12037" s="62">
        <f t="shared" si="2"/>
        <v>0</v>
      </c>
    </row>
    <row r="12038">
      <c r="A12038" s="58">
        <v>44866.0</v>
      </c>
      <c r="B12038" s="24" t="s">
        <v>6794</v>
      </c>
      <c r="C12038" s="27"/>
      <c r="D12038" s="59">
        <v>51.0</v>
      </c>
      <c r="E12038" s="59">
        <v>59.0</v>
      </c>
      <c r="F12038" s="59">
        <v>45.0</v>
      </c>
      <c r="G12038" s="60">
        <v>1.15686274509803</v>
      </c>
      <c r="H12038" s="60">
        <v>0.0677966101694915</v>
      </c>
      <c r="I12038" s="60">
        <v>155.668692999999</v>
      </c>
      <c r="J12038" s="59">
        <v>202.0</v>
      </c>
      <c r="K12038" s="61">
        <f t="shared" si="1"/>
        <v>0.7627118644</v>
      </c>
      <c r="L12038" s="62">
        <f t="shared" si="2"/>
        <v>3.423728814</v>
      </c>
    </row>
    <row r="12039">
      <c r="A12039" s="58">
        <v>44866.0</v>
      </c>
      <c r="B12039" s="24" t="s">
        <v>6787</v>
      </c>
      <c r="C12039" s="24" t="s">
        <v>6792</v>
      </c>
      <c r="D12039" s="59">
        <v>44.0</v>
      </c>
      <c r="E12039" s="59">
        <v>62.0</v>
      </c>
      <c r="F12039" s="59">
        <v>0.0</v>
      </c>
      <c r="G12039" s="60">
        <v>1.77142857142857</v>
      </c>
      <c r="H12039" s="60">
        <v>1.0</v>
      </c>
      <c r="I12039" s="60">
        <v>0.470920854838709</v>
      </c>
      <c r="J12039" s="59">
        <v>0.0</v>
      </c>
      <c r="K12039" s="61">
        <f t="shared" si="1"/>
        <v>0</v>
      </c>
      <c r="L12039" s="62">
        <f t="shared" si="2"/>
        <v>0</v>
      </c>
    </row>
    <row r="12040">
      <c r="A12040" s="58">
        <v>44866.0</v>
      </c>
      <c r="B12040" s="24" t="s">
        <v>6787</v>
      </c>
      <c r="C12040" s="24" t="s">
        <v>6835</v>
      </c>
      <c r="D12040" s="59">
        <v>42.0</v>
      </c>
      <c r="E12040" s="59">
        <v>64.0</v>
      </c>
      <c r="F12040" s="59">
        <v>37.0</v>
      </c>
      <c r="G12040" s="60">
        <v>1.52380952380952</v>
      </c>
      <c r="H12040" s="60">
        <v>0.078125</v>
      </c>
      <c r="I12040" s="60">
        <v>367.794393968749</v>
      </c>
      <c r="J12040" s="59">
        <v>252.0</v>
      </c>
      <c r="K12040" s="61">
        <f t="shared" si="1"/>
        <v>0.578125</v>
      </c>
      <c r="L12040" s="62">
        <f t="shared" si="2"/>
        <v>3.9375</v>
      </c>
    </row>
    <row r="12041">
      <c r="A12041" s="58">
        <v>44866.0</v>
      </c>
      <c r="B12041" s="24" t="s">
        <v>6787</v>
      </c>
      <c r="C12041" s="24" t="s">
        <v>6815</v>
      </c>
      <c r="D12041" s="59">
        <v>42.0</v>
      </c>
      <c r="E12041" s="59">
        <v>47.0</v>
      </c>
      <c r="F12041" s="59">
        <v>38.0</v>
      </c>
      <c r="G12041" s="60">
        <v>1.14634146341463</v>
      </c>
      <c r="H12041" s="60">
        <v>0.297872340425531</v>
      </c>
      <c r="I12041" s="60">
        <v>144.216824021276</v>
      </c>
      <c r="J12041" s="59">
        <v>102.0</v>
      </c>
      <c r="K12041" s="61">
        <f t="shared" si="1"/>
        <v>0.8085106383</v>
      </c>
      <c r="L12041" s="62">
        <f t="shared" si="2"/>
        <v>2.170212766</v>
      </c>
    </row>
    <row r="12042">
      <c r="A12042" s="58">
        <v>44866.0</v>
      </c>
      <c r="B12042" s="24" t="s">
        <v>7606</v>
      </c>
      <c r="C12042" s="27"/>
      <c r="D12042" s="59">
        <v>24.0</v>
      </c>
      <c r="E12042" s="59">
        <v>24.0</v>
      </c>
      <c r="F12042" s="59">
        <v>24.0</v>
      </c>
      <c r="G12042" s="60">
        <v>1.0</v>
      </c>
      <c r="H12042" s="60">
        <v>0.25</v>
      </c>
      <c r="I12042" s="60">
        <v>46.4014490833333</v>
      </c>
      <c r="J12042" s="59">
        <v>41.0</v>
      </c>
      <c r="K12042" s="61">
        <f t="shared" si="1"/>
        <v>1</v>
      </c>
      <c r="L12042" s="62">
        <f t="shared" si="2"/>
        <v>1.708333333</v>
      </c>
    </row>
    <row r="12043">
      <c r="A12043" s="58">
        <v>44866.0</v>
      </c>
      <c r="B12043" s="24" t="s">
        <v>155</v>
      </c>
      <c r="C12043" s="27"/>
      <c r="D12043" s="59">
        <v>21.0</v>
      </c>
      <c r="E12043" s="59">
        <v>37.0</v>
      </c>
      <c r="F12043" s="59">
        <v>11.0</v>
      </c>
      <c r="G12043" s="60">
        <v>1.76190476190476</v>
      </c>
      <c r="H12043" s="60">
        <v>0.027027027027027</v>
      </c>
      <c r="I12043" s="60">
        <v>686.558173351351</v>
      </c>
      <c r="J12043" s="59">
        <v>234.0</v>
      </c>
      <c r="K12043" s="61">
        <f t="shared" si="1"/>
        <v>0.2972972973</v>
      </c>
      <c r="L12043" s="62">
        <f t="shared" si="2"/>
        <v>6.324324324</v>
      </c>
    </row>
    <row r="12044">
      <c r="A12044" s="58">
        <v>44866.0</v>
      </c>
      <c r="B12044" s="24" t="s">
        <v>6794</v>
      </c>
      <c r="C12044" s="24" t="s">
        <v>6835</v>
      </c>
      <c r="D12044" s="59">
        <v>20.0</v>
      </c>
      <c r="E12044" s="59">
        <v>26.0</v>
      </c>
      <c r="F12044" s="59">
        <v>18.0</v>
      </c>
      <c r="G12044" s="60">
        <v>1.3</v>
      </c>
      <c r="H12044" s="60">
        <v>0.0</v>
      </c>
      <c r="I12044" s="60">
        <v>196.083386423076</v>
      </c>
      <c r="J12044" s="59">
        <v>90.0</v>
      </c>
      <c r="K12044" s="61">
        <f t="shared" si="1"/>
        <v>0.6923076923</v>
      </c>
      <c r="L12044" s="62">
        <f t="shared" si="2"/>
        <v>3.461538462</v>
      </c>
    </row>
    <row r="12045">
      <c r="A12045" s="58">
        <v>44866.0</v>
      </c>
      <c r="B12045" s="24" t="s">
        <v>6794</v>
      </c>
      <c r="C12045" s="24" t="s">
        <v>6921</v>
      </c>
      <c r="D12045" s="59">
        <v>20.0</v>
      </c>
      <c r="E12045" s="59">
        <v>20.0</v>
      </c>
      <c r="F12045" s="59">
        <v>19.0</v>
      </c>
      <c r="G12045" s="60">
        <v>1.0</v>
      </c>
      <c r="H12045" s="60">
        <v>0.3</v>
      </c>
      <c r="I12045" s="60">
        <v>74.1287961</v>
      </c>
      <c r="J12045" s="59">
        <v>36.0</v>
      </c>
      <c r="K12045" s="61">
        <f t="shared" si="1"/>
        <v>0.95</v>
      </c>
      <c r="L12045" s="62">
        <f t="shared" si="2"/>
        <v>1.8</v>
      </c>
    </row>
    <row r="12046">
      <c r="A12046" s="58">
        <v>44866.0</v>
      </c>
      <c r="B12046" s="24" t="s">
        <v>7100</v>
      </c>
      <c r="C12046" s="24" t="s">
        <v>6922</v>
      </c>
      <c r="D12046" s="59">
        <v>19.0</v>
      </c>
      <c r="E12046" s="59">
        <v>19.0</v>
      </c>
      <c r="F12046" s="59">
        <v>19.0</v>
      </c>
      <c r="G12046" s="60">
        <v>1.0</v>
      </c>
      <c r="H12046" s="60">
        <v>0.0526315789473684</v>
      </c>
      <c r="I12046" s="60">
        <v>37.9314811052631</v>
      </c>
      <c r="J12046" s="59">
        <v>39.0</v>
      </c>
      <c r="K12046" s="61">
        <f t="shared" si="1"/>
        <v>1</v>
      </c>
      <c r="L12046" s="62">
        <f t="shared" si="2"/>
        <v>2.052631579</v>
      </c>
    </row>
    <row r="12047">
      <c r="A12047" s="58">
        <v>44866.0</v>
      </c>
      <c r="B12047" s="24" t="s">
        <v>6787</v>
      </c>
      <c r="C12047" s="24" t="s">
        <v>7074</v>
      </c>
      <c r="D12047" s="59">
        <v>16.0</v>
      </c>
      <c r="E12047" s="59">
        <v>22.0</v>
      </c>
      <c r="F12047" s="59">
        <v>10.0</v>
      </c>
      <c r="G12047" s="60">
        <v>1.375</v>
      </c>
      <c r="H12047" s="60">
        <v>0.0454545454545454</v>
      </c>
      <c r="I12047" s="60">
        <v>574.935520136363</v>
      </c>
      <c r="J12047" s="59">
        <v>152.0</v>
      </c>
      <c r="K12047" s="61">
        <f t="shared" si="1"/>
        <v>0.4545454545</v>
      </c>
      <c r="L12047" s="62">
        <f t="shared" si="2"/>
        <v>6.909090909</v>
      </c>
    </row>
    <row r="12048">
      <c r="A12048" s="58">
        <v>44866.0</v>
      </c>
      <c r="B12048" s="24" t="s">
        <v>6790</v>
      </c>
      <c r="C12048" s="24" t="s">
        <v>6921</v>
      </c>
      <c r="D12048" s="59">
        <v>15.0</v>
      </c>
      <c r="E12048" s="59">
        <v>15.0</v>
      </c>
      <c r="F12048" s="59">
        <v>14.0</v>
      </c>
      <c r="G12048" s="60">
        <v>1.0</v>
      </c>
      <c r="H12048" s="60">
        <v>0.133333333333333</v>
      </c>
      <c r="I12048" s="60">
        <v>112.679429666666</v>
      </c>
      <c r="J12048" s="59">
        <v>42.0</v>
      </c>
      <c r="K12048" s="61">
        <f t="shared" si="1"/>
        <v>0.9333333333</v>
      </c>
      <c r="L12048" s="62">
        <f t="shared" si="2"/>
        <v>2.8</v>
      </c>
    </row>
    <row r="12049">
      <c r="A12049" s="58">
        <v>44866.0</v>
      </c>
      <c r="B12049" s="24" t="s">
        <v>6787</v>
      </c>
      <c r="C12049" s="24" t="s">
        <v>6922</v>
      </c>
      <c r="D12049" s="59">
        <v>14.0</v>
      </c>
      <c r="E12049" s="59">
        <v>14.0</v>
      </c>
      <c r="F12049" s="59">
        <v>12.0</v>
      </c>
      <c r="G12049" s="60">
        <v>1.0</v>
      </c>
      <c r="H12049" s="60">
        <v>0.0</v>
      </c>
      <c r="I12049" s="60">
        <v>434.327653714285</v>
      </c>
      <c r="J12049" s="59">
        <v>98.0</v>
      </c>
      <c r="K12049" s="61">
        <f t="shared" si="1"/>
        <v>0.8571428571</v>
      </c>
      <c r="L12049" s="62">
        <f t="shared" si="2"/>
        <v>7</v>
      </c>
    </row>
    <row r="12050">
      <c r="A12050" s="58">
        <v>44866.0</v>
      </c>
      <c r="B12050" s="24" t="s">
        <v>6787</v>
      </c>
      <c r="C12050" s="24" t="s">
        <v>7068</v>
      </c>
      <c r="D12050" s="59">
        <v>12.0</v>
      </c>
      <c r="E12050" s="59">
        <v>13.0</v>
      </c>
      <c r="F12050" s="59">
        <v>12.0</v>
      </c>
      <c r="G12050" s="60">
        <v>1.08333333333333</v>
      </c>
      <c r="H12050" s="60">
        <v>0.0769230769230769</v>
      </c>
      <c r="I12050" s="60">
        <v>207.249815846153</v>
      </c>
      <c r="J12050" s="59">
        <v>30.0</v>
      </c>
      <c r="K12050" s="61">
        <f t="shared" si="1"/>
        <v>0.9230769231</v>
      </c>
      <c r="L12050" s="62">
        <f t="shared" si="2"/>
        <v>2.307692308</v>
      </c>
    </row>
    <row r="12051">
      <c r="A12051" s="58">
        <v>44866.0</v>
      </c>
      <c r="B12051" s="24" t="s">
        <v>6787</v>
      </c>
      <c r="C12051" s="24" t="s">
        <v>7065</v>
      </c>
      <c r="D12051" s="59">
        <v>11.0</v>
      </c>
      <c r="E12051" s="59">
        <v>12.0</v>
      </c>
      <c r="F12051" s="59">
        <v>7.0</v>
      </c>
      <c r="G12051" s="60">
        <v>1.09090909090909</v>
      </c>
      <c r="H12051" s="60">
        <v>0.0833333333333333</v>
      </c>
      <c r="I12051" s="60">
        <v>62.6348939166666</v>
      </c>
      <c r="J12051" s="59">
        <v>37.0</v>
      </c>
      <c r="K12051" s="61">
        <f t="shared" si="1"/>
        <v>0.5833333333</v>
      </c>
      <c r="L12051" s="62">
        <f t="shared" si="2"/>
        <v>3.083333333</v>
      </c>
    </row>
    <row r="12052">
      <c r="A12052" s="58">
        <v>44866.0</v>
      </c>
      <c r="B12052" s="24" t="s">
        <v>6790</v>
      </c>
      <c r="C12052" s="24" t="s">
        <v>6792</v>
      </c>
      <c r="D12052" s="59">
        <v>10.0</v>
      </c>
      <c r="E12052" s="59">
        <v>10.0</v>
      </c>
      <c r="F12052" s="59">
        <v>0.0</v>
      </c>
      <c r="G12052" s="60">
        <v>1.11111111111111</v>
      </c>
      <c r="H12052" s="60">
        <v>0.9</v>
      </c>
      <c r="I12052" s="60">
        <v>72.5723366</v>
      </c>
      <c r="J12052" s="59">
        <v>0.0</v>
      </c>
      <c r="K12052" s="61">
        <f t="shared" si="1"/>
        <v>0</v>
      </c>
      <c r="L12052" s="62">
        <f t="shared" si="2"/>
        <v>0</v>
      </c>
    </row>
    <row r="12053">
      <c r="A12053" s="58">
        <v>44866.0</v>
      </c>
      <c r="B12053" s="24" t="s">
        <v>6789</v>
      </c>
      <c r="C12053" s="24" t="s">
        <v>7313</v>
      </c>
      <c r="D12053" s="59">
        <v>10.0</v>
      </c>
      <c r="E12053" s="59">
        <v>13.0</v>
      </c>
      <c r="F12053" s="59">
        <v>1.0</v>
      </c>
      <c r="G12053" s="60">
        <v>1.3</v>
      </c>
      <c r="H12053" s="60">
        <v>0.0</v>
      </c>
      <c r="I12053" s="60">
        <v>357.075083</v>
      </c>
      <c r="J12053" s="59">
        <v>50.0</v>
      </c>
      <c r="K12053" s="61">
        <f t="shared" si="1"/>
        <v>0.07692307692</v>
      </c>
      <c r="L12053" s="62">
        <f t="shared" si="2"/>
        <v>3.846153846</v>
      </c>
    </row>
    <row r="12054">
      <c r="A12054" s="58">
        <v>44866.0</v>
      </c>
      <c r="B12054" s="24" t="s">
        <v>155</v>
      </c>
      <c r="C12054" s="24" t="s">
        <v>6792</v>
      </c>
      <c r="D12054" s="59">
        <v>9.0</v>
      </c>
      <c r="E12054" s="59">
        <v>12.0</v>
      </c>
      <c r="F12054" s="59">
        <v>0.0</v>
      </c>
      <c r="G12054" s="60">
        <v>1.5</v>
      </c>
      <c r="H12054" s="60">
        <v>1.0</v>
      </c>
      <c r="I12054" s="60">
        <v>0.0</v>
      </c>
      <c r="J12054" s="59">
        <v>0.0</v>
      </c>
      <c r="K12054" s="61">
        <f t="shared" si="1"/>
        <v>0</v>
      </c>
      <c r="L12054" s="62">
        <f t="shared" si="2"/>
        <v>0</v>
      </c>
    </row>
    <row r="12055">
      <c r="A12055" s="58">
        <v>44866.0</v>
      </c>
      <c r="B12055" s="24" t="s">
        <v>6787</v>
      </c>
      <c r="C12055" s="24" t="s">
        <v>7146</v>
      </c>
      <c r="D12055" s="59">
        <v>9.0</v>
      </c>
      <c r="E12055" s="59">
        <v>17.0</v>
      </c>
      <c r="F12055" s="59">
        <v>5.0</v>
      </c>
      <c r="G12055" s="60">
        <v>1.88888888888888</v>
      </c>
      <c r="H12055" s="60">
        <v>0.0588235294117647</v>
      </c>
      <c r="I12055" s="60">
        <v>1070.58288264705</v>
      </c>
      <c r="J12055" s="59">
        <v>161.0</v>
      </c>
      <c r="K12055" s="61">
        <f t="shared" si="1"/>
        <v>0.2941176471</v>
      </c>
      <c r="L12055" s="62">
        <f t="shared" si="2"/>
        <v>9.470588235</v>
      </c>
    </row>
    <row r="12056">
      <c r="A12056" s="58">
        <v>44866.0</v>
      </c>
      <c r="B12056" s="24" t="s">
        <v>6789</v>
      </c>
      <c r="C12056" s="24" t="s">
        <v>6799</v>
      </c>
      <c r="D12056" s="59">
        <v>9.0</v>
      </c>
      <c r="E12056" s="59">
        <v>10.0</v>
      </c>
      <c r="F12056" s="59">
        <v>2.0</v>
      </c>
      <c r="G12056" s="60">
        <v>1.11111111111111</v>
      </c>
      <c r="H12056" s="60">
        <v>0.0</v>
      </c>
      <c r="I12056" s="60">
        <v>44.9624488999999</v>
      </c>
      <c r="J12056" s="59">
        <v>29.0</v>
      </c>
      <c r="K12056" s="61">
        <f t="shared" si="1"/>
        <v>0.2</v>
      </c>
      <c r="L12056" s="62">
        <f t="shared" si="2"/>
        <v>2.9</v>
      </c>
    </row>
    <row r="12057">
      <c r="A12057" s="58">
        <v>44866.0</v>
      </c>
      <c r="B12057" s="24" t="s">
        <v>6794</v>
      </c>
      <c r="C12057" s="24" t="s">
        <v>6792</v>
      </c>
      <c r="D12057" s="59">
        <v>8.0</v>
      </c>
      <c r="E12057" s="59">
        <v>11.0</v>
      </c>
      <c r="F12057" s="59">
        <v>0.0</v>
      </c>
      <c r="G12057" s="60">
        <v>1.57142857142857</v>
      </c>
      <c r="H12057" s="60">
        <v>0.909090909090909</v>
      </c>
      <c r="I12057" s="60">
        <v>20.1685419090909</v>
      </c>
      <c r="J12057" s="59">
        <v>0.0</v>
      </c>
      <c r="K12057" s="61">
        <f t="shared" si="1"/>
        <v>0</v>
      </c>
      <c r="L12057" s="62">
        <f t="shared" si="2"/>
        <v>0</v>
      </c>
    </row>
    <row r="12058">
      <c r="A12058" s="58">
        <v>44866.0</v>
      </c>
      <c r="B12058" s="24" t="s">
        <v>6787</v>
      </c>
      <c r="C12058" s="24" t="s">
        <v>6817</v>
      </c>
      <c r="D12058" s="59">
        <v>8.0</v>
      </c>
      <c r="E12058" s="59">
        <v>13.0</v>
      </c>
      <c r="F12058" s="59">
        <v>3.0</v>
      </c>
      <c r="G12058" s="60">
        <v>1.625</v>
      </c>
      <c r="H12058" s="60">
        <v>0.0769230769230769</v>
      </c>
      <c r="I12058" s="60">
        <v>503.927670615384</v>
      </c>
      <c r="J12058" s="59">
        <v>102.0</v>
      </c>
      <c r="K12058" s="61">
        <f t="shared" si="1"/>
        <v>0.2307692308</v>
      </c>
      <c r="L12058" s="62">
        <f t="shared" si="2"/>
        <v>7.846153846</v>
      </c>
    </row>
    <row r="12059">
      <c r="A12059" s="58">
        <v>44866.0</v>
      </c>
      <c r="B12059" s="24" t="s">
        <v>6791</v>
      </c>
      <c r="C12059" s="24" t="s">
        <v>7307</v>
      </c>
      <c r="D12059" s="59">
        <v>8.0</v>
      </c>
      <c r="E12059" s="59">
        <v>8.0</v>
      </c>
      <c r="F12059" s="59">
        <v>8.0</v>
      </c>
      <c r="G12059" s="60">
        <v>1.0</v>
      </c>
      <c r="H12059" s="60">
        <v>0.0</v>
      </c>
      <c r="I12059" s="60">
        <v>184.70739325</v>
      </c>
      <c r="J12059" s="59">
        <v>24.0</v>
      </c>
      <c r="K12059" s="61">
        <f t="shared" si="1"/>
        <v>1</v>
      </c>
      <c r="L12059" s="62">
        <f t="shared" si="2"/>
        <v>3</v>
      </c>
    </row>
    <row r="12060">
      <c r="A12060" s="58">
        <v>44866.0</v>
      </c>
      <c r="B12060" s="24" t="s">
        <v>6787</v>
      </c>
      <c r="C12060" s="24" t="s">
        <v>7313</v>
      </c>
      <c r="D12060" s="59">
        <v>8.0</v>
      </c>
      <c r="E12060" s="59">
        <v>9.0</v>
      </c>
      <c r="F12060" s="59">
        <v>5.0</v>
      </c>
      <c r="G12060" s="60">
        <v>1.125</v>
      </c>
      <c r="H12060" s="60">
        <v>0.0</v>
      </c>
      <c r="I12060" s="60">
        <v>563.580834111111</v>
      </c>
      <c r="J12060" s="59">
        <v>88.0</v>
      </c>
      <c r="K12060" s="61">
        <f t="shared" si="1"/>
        <v>0.5555555556</v>
      </c>
      <c r="L12060" s="62">
        <f t="shared" si="2"/>
        <v>9.777777778</v>
      </c>
    </row>
    <row r="12061">
      <c r="A12061" s="58">
        <v>44866.0</v>
      </c>
      <c r="B12061" s="24" t="s">
        <v>6787</v>
      </c>
      <c r="C12061" s="24" t="s">
        <v>6802</v>
      </c>
      <c r="D12061" s="59">
        <v>8.0</v>
      </c>
      <c r="E12061" s="59">
        <v>9.0</v>
      </c>
      <c r="F12061" s="59">
        <v>2.0</v>
      </c>
      <c r="G12061" s="60">
        <v>1.125</v>
      </c>
      <c r="H12061" s="60">
        <v>0.222222222222222</v>
      </c>
      <c r="I12061" s="60">
        <v>214.865531444444</v>
      </c>
      <c r="J12061" s="59">
        <v>48.0</v>
      </c>
      <c r="K12061" s="61">
        <f t="shared" si="1"/>
        <v>0.2222222222</v>
      </c>
      <c r="L12061" s="62">
        <f t="shared" si="2"/>
        <v>5.333333333</v>
      </c>
    </row>
    <row r="12062">
      <c r="A12062" s="58">
        <v>44866.0</v>
      </c>
      <c r="B12062" s="24" t="s">
        <v>6787</v>
      </c>
      <c r="C12062" s="24" t="s">
        <v>6886</v>
      </c>
      <c r="D12062" s="59">
        <v>7.0</v>
      </c>
      <c r="E12062" s="59">
        <v>9.0</v>
      </c>
      <c r="F12062" s="59">
        <v>5.0</v>
      </c>
      <c r="G12062" s="60">
        <v>1.28571428571428</v>
      </c>
      <c r="H12062" s="60">
        <v>0.111111111111111</v>
      </c>
      <c r="I12062" s="60">
        <v>84.0590958888888</v>
      </c>
      <c r="J12062" s="59">
        <v>21.0</v>
      </c>
      <c r="K12062" s="61">
        <f t="shared" si="1"/>
        <v>0.5555555556</v>
      </c>
      <c r="L12062" s="62">
        <f t="shared" si="2"/>
        <v>2.333333333</v>
      </c>
    </row>
    <row r="12063">
      <c r="A12063" s="58">
        <v>44866.0</v>
      </c>
      <c r="B12063" s="24" t="s">
        <v>6787</v>
      </c>
      <c r="C12063" s="24" t="s">
        <v>7307</v>
      </c>
      <c r="D12063" s="59">
        <v>7.0</v>
      </c>
      <c r="E12063" s="59">
        <v>7.0</v>
      </c>
      <c r="F12063" s="59">
        <v>7.0</v>
      </c>
      <c r="G12063" s="60">
        <v>1.0</v>
      </c>
      <c r="H12063" s="60">
        <v>0.0</v>
      </c>
      <c r="I12063" s="60">
        <v>6.00201671428571</v>
      </c>
      <c r="J12063" s="59">
        <v>15.0</v>
      </c>
      <c r="K12063" s="61">
        <f t="shared" si="1"/>
        <v>1</v>
      </c>
      <c r="L12063" s="62">
        <f t="shared" si="2"/>
        <v>2.142857143</v>
      </c>
    </row>
    <row r="12064">
      <c r="A12064" s="58">
        <v>44866.0</v>
      </c>
      <c r="B12064" s="24" t="s">
        <v>155</v>
      </c>
      <c r="C12064" s="24" t="s">
        <v>6921</v>
      </c>
      <c r="D12064" s="59">
        <v>7.0</v>
      </c>
      <c r="E12064" s="59">
        <v>7.0</v>
      </c>
      <c r="F12064" s="59">
        <v>7.0</v>
      </c>
      <c r="G12064" s="60">
        <v>1.0</v>
      </c>
      <c r="H12064" s="60">
        <v>0.0</v>
      </c>
      <c r="I12064" s="60">
        <v>5.00893328571428</v>
      </c>
      <c r="J12064" s="59">
        <v>17.0</v>
      </c>
      <c r="K12064" s="61">
        <f t="shared" si="1"/>
        <v>1</v>
      </c>
      <c r="L12064" s="62">
        <f t="shared" si="2"/>
        <v>2.428571429</v>
      </c>
    </row>
    <row r="12065">
      <c r="A12065" s="58">
        <v>44866.0</v>
      </c>
      <c r="B12065" s="24" t="s">
        <v>6789</v>
      </c>
      <c r="C12065" s="24" t="s">
        <v>6835</v>
      </c>
      <c r="D12065" s="59">
        <v>6.0</v>
      </c>
      <c r="E12065" s="59">
        <v>6.0</v>
      </c>
      <c r="F12065" s="59">
        <v>1.0</v>
      </c>
      <c r="G12065" s="60">
        <v>1.0</v>
      </c>
      <c r="H12065" s="60">
        <v>0.0</v>
      </c>
      <c r="I12065" s="60">
        <v>374.767109666666</v>
      </c>
      <c r="J12065" s="59">
        <v>22.0</v>
      </c>
      <c r="K12065" s="61">
        <f t="shared" si="1"/>
        <v>0.1666666667</v>
      </c>
      <c r="L12065" s="62">
        <f t="shared" si="2"/>
        <v>3.666666667</v>
      </c>
    </row>
    <row r="12066">
      <c r="A12066" s="58">
        <v>44866.0</v>
      </c>
      <c r="B12066" s="24" t="s">
        <v>7606</v>
      </c>
      <c r="C12066" s="24" t="s">
        <v>7307</v>
      </c>
      <c r="D12066" s="59">
        <v>6.0</v>
      </c>
      <c r="E12066" s="59">
        <v>6.0</v>
      </c>
      <c r="F12066" s="59">
        <v>6.0</v>
      </c>
      <c r="G12066" s="60">
        <v>1.0</v>
      </c>
      <c r="H12066" s="60">
        <v>0.0</v>
      </c>
      <c r="I12066" s="60">
        <v>16.0141865</v>
      </c>
      <c r="J12066" s="59">
        <v>11.0</v>
      </c>
      <c r="K12066" s="61">
        <f t="shared" si="1"/>
        <v>1</v>
      </c>
      <c r="L12066" s="62">
        <f t="shared" si="2"/>
        <v>1.833333333</v>
      </c>
    </row>
    <row r="12067">
      <c r="A12067" s="58">
        <v>44866.0</v>
      </c>
      <c r="B12067" s="24" t="s">
        <v>6787</v>
      </c>
      <c r="C12067" s="24" t="s">
        <v>6907</v>
      </c>
      <c r="D12067" s="59">
        <v>6.0</v>
      </c>
      <c r="E12067" s="59">
        <v>15.0</v>
      </c>
      <c r="F12067" s="59">
        <v>3.0</v>
      </c>
      <c r="G12067" s="60">
        <v>2.5</v>
      </c>
      <c r="H12067" s="60">
        <v>0.0</v>
      </c>
      <c r="I12067" s="60">
        <v>1377.523405</v>
      </c>
      <c r="J12067" s="59">
        <v>167.0</v>
      </c>
      <c r="K12067" s="61">
        <f t="shared" si="1"/>
        <v>0.2</v>
      </c>
      <c r="L12067" s="62">
        <f t="shared" si="2"/>
        <v>11.13333333</v>
      </c>
    </row>
    <row r="12068">
      <c r="A12068" s="58">
        <v>44866.0</v>
      </c>
      <c r="B12068" s="24" t="s">
        <v>6789</v>
      </c>
      <c r="C12068" s="24" t="s">
        <v>6808</v>
      </c>
      <c r="D12068" s="59">
        <v>6.0</v>
      </c>
      <c r="E12068" s="59">
        <v>7.0</v>
      </c>
      <c r="F12068" s="59">
        <v>1.0</v>
      </c>
      <c r="G12068" s="60">
        <v>1.16666666666666</v>
      </c>
      <c r="H12068" s="60">
        <v>0.0</v>
      </c>
      <c r="I12068" s="60">
        <v>1672.51709842857</v>
      </c>
      <c r="J12068" s="59">
        <v>72.0</v>
      </c>
      <c r="K12068" s="61">
        <f t="shared" si="1"/>
        <v>0.1428571429</v>
      </c>
      <c r="L12068" s="62">
        <f t="shared" si="2"/>
        <v>10.28571429</v>
      </c>
    </row>
    <row r="12069">
      <c r="A12069" s="58">
        <v>44866.0</v>
      </c>
      <c r="B12069" s="24" t="s">
        <v>6787</v>
      </c>
      <c r="C12069" s="24" t="s">
        <v>7101</v>
      </c>
      <c r="D12069" s="59">
        <v>6.0</v>
      </c>
      <c r="E12069" s="59">
        <v>6.0</v>
      </c>
      <c r="F12069" s="59">
        <v>2.0</v>
      </c>
      <c r="G12069" s="60">
        <v>1.0</v>
      </c>
      <c r="H12069" s="60">
        <v>0.0</v>
      </c>
      <c r="I12069" s="60">
        <v>500.338368666666</v>
      </c>
      <c r="J12069" s="59">
        <v>44.0</v>
      </c>
      <c r="K12069" s="61">
        <f t="shared" si="1"/>
        <v>0.3333333333</v>
      </c>
      <c r="L12069" s="62">
        <f t="shared" si="2"/>
        <v>7.333333333</v>
      </c>
    </row>
    <row r="12070">
      <c r="A12070" s="58">
        <v>44866.0</v>
      </c>
      <c r="B12070" s="24" t="s">
        <v>155</v>
      </c>
      <c r="C12070" s="24" t="s">
        <v>7313</v>
      </c>
      <c r="D12070" s="59">
        <v>6.0</v>
      </c>
      <c r="E12070" s="59">
        <v>7.0</v>
      </c>
      <c r="F12070" s="59">
        <v>5.0</v>
      </c>
      <c r="G12070" s="60">
        <v>1.16666666666666</v>
      </c>
      <c r="H12070" s="60">
        <v>0.0</v>
      </c>
      <c r="I12070" s="60">
        <v>57.4191214285714</v>
      </c>
      <c r="J12070" s="59">
        <v>19.0</v>
      </c>
      <c r="K12070" s="61">
        <f t="shared" si="1"/>
        <v>0.7142857143</v>
      </c>
      <c r="L12070" s="62">
        <f t="shared" si="2"/>
        <v>2.714285714</v>
      </c>
    </row>
    <row r="12071">
      <c r="A12071" s="58">
        <v>44866.0</v>
      </c>
      <c r="B12071" s="24" t="s">
        <v>6787</v>
      </c>
      <c r="C12071" s="24" t="s">
        <v>6797</v>
      </c>
      <c r="D12071" s="59">
        <v>6.0</v>
      </c>
      <c r="E12071" s="59">
        <v>8.0</v>
      </c>
      <c r="F12071" s="59">
        <v>5.0</v>
      </c>
      <c r="G12071" s="60">
        <v>1.33333333333333</v>
      </c>
      <c r="H12071" s="60">
        <v>0.125</v>
      </c>
      <c r="I12071" s="60">
        <v>309.4068875</v>
      </c>
      <c r="J12071" s="59">
        <v>33.0</v>
      </c>
      <c r="K12071" s="61">
        <f t="shared" si="1"/>
        <v>0.625</v>
      </c>
      <c r="L12071" s="62">
        <f t="shared" si="2"/>
        <v>4.125</v>
      </c>
    </row>
    <row r="12072">
      <c r="A12072" s="58">
        <v>44866.0</v>
      </c>
      <c r="B12072" s="24" t="s">
        <v>6789</v>
      </c>
      <c r="C12072" s="24" t="s">
        <v>6802</v>
      </c>
      <c r="D12072" s="59">
        <v>6.0</v>
      </c>
      <c r="E12072" s="59">
        <v>8.0</v>
      </c>
      <c r="F12072" s="59">
        <v>0.0</v>
      </c>
      <c r="G12072" s="60">
        <v>1.33333333333333</v>
      </c>
      <c r="H12072" s="60">
        <v>0.0</v>
      </c>
      <c r="I12072" s="60">
        <v>411.217954125</v>
      </c>
      <c r="J12072" s="59">
        <v>20.0</v>
      </c>
      <c r="K12072" s="61">
        <f t="shared" si="1"/>
        <v>0</v>
      </c>
      <c r="L12072" s="62">
        <f t="shared" si="2"/>
        <v>2.5</v>
      </c>
    </row>
    <row r="12073">
      <c r="A12073" s="58">
        <v>44866.0</v>
      </c>
      <c r="B12073" s="24" t="s">
        <v>6789</v>
      </c>
      <c r="C12073" s="24" t="s">
        <v>6817</v>
      </c>
      <c r="D12073" s="59">
        <v>5.0</v>
      </c>
      <c r="E12073" s="59">
        <v>9.0</v>
      </c>
      <c r="F12073" s="59">
        <v>1.0</v>
      </c>
      <c r="G12073" s="60">
        <v>1.8</v>
      </c>
      <c r="H12073" s="60">
        <v>0.0</v>
      </c>
      <c r="I12073" s="60">
        <v>1419.45271433333</v>
      </c>
      <c r="J12073" s="59">
        <v>131.0</v>
      </c>
      <c r="K12073" s="61">
        <f t="shared" si="1"/>
        <v>0.1111111111</v>
      </c>
      <c r="L12073" s="62">
        <f t="shared" si="2"/>
        <v>14.55555556</v>
      </c>
    </row>
    <row r="12074">
      <c r="A12074" s="58">
        <v>44866.0</v>
      </c>
      <c r="B12074" s="24" t="s">
        <v>6789</v>
      </c>
      <c r="C12074" s="24" t="s">
        <v>7074</v>
      </c>
      <c r="D12074" s="59">
        <v>5.0</v>
      </c>
      <c r="E12074" s="59">
        <v>15.0</v>
      </c>
      <c r="F12074" s="59">
        <v>0.0</v>
      </c>
      <c r="G12074" s="60">
        <v>3.0</v>
      </c>
      <c r="H12074" s="60">
        <v>0.0666666666666666</v>
      </c>
      <c r="I12074" s="60">
        <v>247.564022066666</v>
      </c>
      <c r="J12074" s="59">
        <v>65.0</v>
      </c>
      <c r="K12074" s="61">
        <f t="shared" si="1"/>
        <v>0</v>
      </c>
      <c r="L12074" s="62">
        <f t="shared" si="2"/>
        <v>4.333333333</v>
      </c>
    </row>
    <row r="12075">
      <c r="A12075" s="58">
        <v>44866.0</v>
      </c>
      <c r="B12075" s="24" t="s">
        <v>6789</v>
      </c>
      <c r="C12075" s="24" t="s">
        <v>6905</v>
      </c>
      <c r="D12075" s="59">
        <v>5.0</v>
      </c>
      <c r="E12075" s="59">
        <v>6.0</v>
      </c>
      <c r="F12075" s="59">
        <v>0.0</v>
      </c>
      <c r="G12075" s="60">
        <v>1.2</v>
      </c>
      <c r="H12075" s="60">
        <v>0.166666666666666</v>
      </c>
      <c r="I12075" s="60">
        <v>845.926272</v>
      </c>
      <c r="J12075" s="59">
        <v>26.0</v>
      </c>
      <c r="K12075" s="61">
        <f t="shared" si="1"/>
        <v>0</v>
      </c>
      <c r="L12075" s="62">
        <f t="shared" si="2"/>
        <v>4.333333333</v>
      </c>
    </row>
    <row r="12076">
      <c r="A12076" s="58">
        <v>44866.0</v>
      </c>
      <c r="B12076" s="24" t="s">
        <v>6789</v>
      </c>
      <c r="C12076" s="24" t="s">
        <v>6907</v>
      </c>
      <c r="D12076" s="59">
        <v>5.0</v>
      </c>
      <c r="E12076" s="59">
        <v>6.0</v>
      </c>
      <c r="F12076" s="59">
        <v>1.0</v>
      </c>
      <c r="G12076" s="60">
        <v>1.2</v>
      </c>
      <c r="H12076" s="60">
        <v>0.166666666666666</v>
      </c>
      <c r="I12076" s="60">
        <v>322.071214</v>
      </c>
      <c r="J12076" s="59">
        <v>40.0</v>
      </c>
      <c r="K12076" s="61">
        <f t="shared" si="1"/>
        <v>0.1666666667</v>
      </c>
      <c r="L12076" s="62">
        <f t="shared" si="2"/>
        <v>6.666666667</v>
      </c>
    </row>
    <row r="12077">
      <c r="A12077" s="58">
        <v>44866.0</v>
      </c>
      <c r="B12077" s="24" t="s">
        <v>6789</v>
      </c>
      <c r="C12077" s="24" t="s">
        <v>6797</v>
      </c>
      <c r="D12077" s="59">
        <v>5.0</v>
      </c>
      <c r="E12077" s="59">
        <v>5.0</v>
      </c>
      <c r="F12077" s="59">
        <v>1.0</v>
      </c>
      <c r="G12077" s="60">
        <v>1.0</v>
      </c>
      <c r="H12077" s="60">
        <v>0.2</v>
      </c>
      <c r="I12077" s="60">
        <v>80.2932708</v>
      </c>
      <c r="J12077" s="59">
        <v>9.0</v>
      </c>
      <c r="K12077" s="61">
        <f t="shared" si="1"/>
        <v>0.2</v>
      </c>
      <c r="L12077" s="62">
        <f t="shared" si="2"/>
        <v>1.8</v>
      </c>
    </row>
    <row r="12078">
      <c r="A12078" s="58">
        <v>44866.0</v>
      </c>
      <c r="B12078" s="24" t="s">
        <v>6787</v>
      </c>
      <c r="C12078" s="24" t="s">
        <v>6799</v>
      </c>
      <c r="D12078" s="59">
        <v>4.0</v>
      </c>
      <c r="E12078" s="59">
        <v>4.0</v>
      </c>
      <c r="F12078" s="59">
        <v>1.0</v>
      </c>
      <c r="G12078" s="60">
        <v>1.0</v>
      </c>
      <c r="H12078" s="60">
        <v>0.0</v>
      </c>
      <c r="I12078" s="60">
        <v>202.53633225</v>
      </c>
      <c r="J12078" s="59">
        <v>30.0</v>
      </c>
      <c r="K12078" s="61">
        <f t="shared" si="1"/>
        <v>0.25</v>
      </c>
      <c r="L12078" s="62">
        <f t="shared" si="2"/>
        <v>7.5</v>
      </c>
    </row>
    <row r="12079">
      <c r="A12079" s="58">
        <v>44866.0</v>
      </c>
      <c r="B12079" s="24" t="s">
        <v>6787</v>
      </c>
      <c r="C12079" s="24" t="s">
        <v>7682</v>
      </c>
      <c r="D12079" s="59">
        <v>4.0</v>
      </c>
      <c r="E12079" s="59">
        <v>5.0</v>
      </c>
      <c r="F12079" s="59">
        <v>4.0</v>
      </c>
      <c r="G12079" s="60">
        <v>1.25</v>
      </c>
      <c r="H12079" s="60">
        <v>0.2</v>
      </c>
      <c r="I12079" s="60">
        <v>249.712320199999</v>
      </c>
      <c r="J12079" s="59">
        <v>16.0</v>
      </c>
      <c r="K12079" s="61">
        <f t="shared" si="1"/>
        <v>0.8</v>
      </c>
      <c r="L12079" s="62">
        <f t="shared" si="2"/>
        <v>3.2</v>
      </c>
    </row>
    <row r="12080">
      <c r="A12080" s="58">
        <v>44866.0</v>
      </c>
      <c r="B12080" s="24" t="s">
        <v>6789</v>
      </c>
      <c r="C12080" s="24" t="s">
        <v>6800</v>
      </c>
      <c r="D12080" s="59">
        <v>4.0</v>
      </c>
      <c r="E12080" s="59">
        <v>4.0</v>
      </c>
      <c r="F12080" s="59">
        <v>4.0</v>
      </c>
      <c r="G12080" s="60">
        <v>1.0</v>
      </c>
      <c r="H12080" s="60">
        <v>0.0</v>
      </c>
      <c r="I12080" s="60">
        <v>331.776915</v>
      </c>
      <c r="J12080" s="59">
        <v>9.0</v>
      </c>
      <c r="K12080" s="61">
        <f t="shared" si="1"/>
        <v>1</v>
      </c>
      <c r="L12080" s="62">
        <f t="shared" si="2"/>
        <v>2.25</v>
      </c>
    </row>
    <row r="12081">
      <c r="A12081" s="58">
        <v>44866.0</v>
      </c>
      <c r="B12081" s="24" t="s">
        <v>6789</v>
      </c>
      <c r="C12081" s="24" t="s">
        <v>6921</v>
      </c>
      <c r="D12081" s="59">
        <v>4.0</v>
      </c>
      <c r="E12081" s="59">
        <v>4.0</v>
      </c>
      <c r="F12081" s="59">
        <v>1.0</v>
      </c>
      <c r="G12081" s="60">
        <v>1.0</v>
      </c>
      <c r="H12081" s="60">
        <v>0.0</v>
      </c>
      <c r="I12081" s="60">
        <v>330.2012375</v>
      </c>
      <c r="J12081" s="59">
        <v>40.0</v>
      </c>
      <c r="K12081" s="61">
        <f t="shared" si="1"/>
        <v>0.25</v>
      </c>
      <c r="L12081" s="62">
        <f t="shared" si="2"/>
        <v>10</v>
      </c>
    </row>
    <row r="12082">
      <c r="A12082" s="58">
        <v>44866.0</v>
      </c>
      <c r="B12082" s="24" t="s">
        <v>6789</v>
      </c>
      <c r="C12082" s="24" t="s">
        <v>6953</v>
      </c>
      <c r="D12082" s="59">
        <v>3.0</v>
      </c>
      <c r="E12082" s="59">
        <v>3.0</v>
      </c>
      <c r="F12082" s="59">
        <v>2.0</v>
      </c>
      <c r="G12082" s="60">
        <v>1.0</v>
      </c>
      <c r="H12082" s="60">
        <v>0.333333333333333</v>
      </c>
      <c r="I12082" s="60">
        <v>29.3131286666666</v>
      </c>
      <c r="J12082" s="59">
        <v>5.0</v>
      </c>
      <c r="K12082" s="61">
        <f t="shared" si="1"/>
        <v>0.6666666667</v>
      </c>
      <c r="L12082" s="62">
        <f t="shared" si="2"/>
        <v>1.666666667</v>
      </c>
    </row>
    <row r="12083">
      <c r="A12083" s="58">
        <v>44866.0</v>
      </c>
      <c r="B12083" s="24" t="s">
        <v>155</v>
      </c>
      <c r="C12083" s="24" t="s">
        <v>7307</v>
      </c>
      <c r="D12083" s="59">
        <v>3.0</v>
      </c>
      <c r="E12083" s="59">
        <v>3.0</v>
      </c>
      <c r="F12083" s="59">
        <v>3.0</v>
      </c>
      <c r="G12083" s="60">
        <v>1.0</v>
      </c>
      <c r="H12083" s="60">
        <v>0.0</v>
      </c>
      <c r="I12083" s="60">
        <v>3.97687833333333</v>
      </c>
      <c r="J12083" s="59">
        <v>6.0</v>
      </c>
      <c r="K12083" s="61">
        <f t="shared" si="1"/>
        <v>1</v>
      </c>
      <c r="L12083" s="62">
        <f t="shared" si="2"/>
        <v>2</v>
      </c>
    </row>
    <row r="12084">
      <c r="A12084" s="58">
        <v>44866.0</v>
      </c>
      <c r="B12084" s="24" t="s">
        <v>6787</v>
      </c>
      <c r="C12084" s="24" t="s">
        <v>7683</v>
      </c>
      <c r="D12084" s="59">
        <v>3.0</v>
      </c>
      <c r="E12084" s="59">
        <v>5.0</v>
      </c>
      <c r="F12084" s="59">
        <v>1.0</v>
      </c>
      <c r="G12084" s="60">
        <v>1.66666666666666</v>
      </c>
      <c r="H12084" s="60">
        <v>0.0</v>
      </c>
      <c r="I12084" s="60">
        <v>1647.3862202</v>
      </c>
      <c r="J12084" s="59">
        <v>75.0</v>
      </c>
      <c r="K12084" s="61">
        <f t="shared" si="1"/>
        <v>0.2</v>
      </c>
      <c r="L12084" s="62">
        <f t="shared" si="2"/>
        <v>15</v>
      </c>
    </row>
    <row r="12085">
      <c r="A12085" s="58">
        <v>44866.0</v>
      </c>
      <c r="B12085" s="24" t="s">
        <v>6787</v>
      </c>
      <c r="C12085" s="24" t="s">
        <v>6904</v>
      </c>
      <c r="D12085" s="59">
        <v>3.0</v>
      </c>
      <c r="E12085" s="59">
        <v>3.0</v>
      </c>
      <c r="F12085" s="59">
        <v>2.0</v>
      </c>
      <c r="G12085" s="60">
        <v>1.0</v>
      </c>
      <c r="H12085" s="60">
        <v>0.0</v>
      </c>
      <c r="I12085" s="60">
        <v>58.6568246666666</v>
      </c>
      <c r="J12085" s="59">
        <v>14.0</v>
      </c>
      <c r="K12085" s="61">
        <f t="shared" si="1"/>
        <v>0.6666666667</v>
      </c>
      <c r="L12085" s="62">
        <f t="shared" si="2"/>
        <v>4.666666667</v>
      </c>
    </row>
    <row r="12086">
      <c r="A12086" s="58">
        <v>44866.0</v>
      </c>
      <c r="B12086" s="24" t="s">
        <v>6787</v>
      </c>
      <c r="C12086" s="24" t="s">
        <v>6905</v>
      </c>
      <c r="D12086" s="59">
        <v>3.0</v>
      </c>
      <c r="E12086" s="59">
        <v>3.0</v>
      </c>
      <c r="F12086" s="59">
        <v>2.0</v>
      </c>
      <c r="G12086" s="60">
        <v>1.0</v>
      </c>
      <c r="H12086" s="60">
        <v>0.666666666666666</v>
      </c>
      <c r="I12086" s="60">
        <v>349.867315333333</v>
      </c>
      <c r="J12086" s="59">
        <v>42.0</v>
      </c>
      <c r="K12086" s="61">
        <f t="shared" si="1"/>
        <v>0.6666666667</v>
      </c>
      <c r="L12086" s="62">
        <f t="shared" si="2"/>
        <v>14</v>
      </c>
    </row>
    <row r="12087">
      <c r="A12087" s="58">
        <v>44866.0</v>
      </c>
      <c r="B12087" s="24" t="s">
        <v>6789</v>
      </c>
      <c r="C12087" s="24" t="s">
        <v>7101</v>
      </c>
      <c r="D12087" s="59">
        <v>3.0</v>
      </c>
      <c r="E12087" s="59">
        <v>5.0</v>
      </c>
      <c r="F12087" s="59">
        <v>0.0</v>
      </c>
      <c r="G12087" s="60">
        <v>1.66666666666666</v>
      </c>
      <c r="H12087" s="60">
        <v>0.0</v>
      </c>
      <c r="I12087" s="60">
        <v>273.015465</v>
      </c>
      <c r="J12087" s="59">
        <v>16.0</v>
      </c>
      <c r="K12087" s="61">
        <f t="shared" si="1"/>
        <v>0</v>
      </c>
      <c r="L12087" s="62">
        <f t="shared" si="2"/>
        <v>3.2</v>
      </c>
    </row>
    <row r="12088">
      <c r="A12088" s="58">
        <v>44866.0</v>
      </c>
      <c r="B12088" s="24" t="s">
        <v>6787</v>
      </c>
      <c r="C12088" s="24" t="s">
        <v>6910</v>
      </c>
      <c r="D12088" s="59">
        <v>3.0</v>
      </c>
      <c r="E12088" s="59">
        <v>3.0</v>
      </c>
      <c r="F12088" s="59">
        <v>2.0</v>
      </c>
      <c r="G12088" s="60">
        <v>1.0</v>
      </c>
      <c r="H12088" s="60">
        <v>0.0</v>
      </c>
      <c r="I12088" s="60">
        <v>262.674702666666</v>
      </c>
      <c r="J12088" s="59">
        <v>8.0</v>
      </c>
      <c r="K12088" s="61">
        <f t="shared" si="1"/>
        <v>0.6666666667</v>
      </c>
      <c r="L12088" s="62">
        <f t="shared" si="2"/>
        <v>2.666666667</v>
      </c>
    </row>
    <row r="12089">
      <c r="A12089" s="58">
        <v>44866.0</v>
      </c>
      <c r="B12089" s="24" t="s">
        <v>6794</v>
      </c>
      <c r="C12089" s="24" t="s">
        <v>6815</v>
      </c>
      <c r="D12089" s="59">
        <v>3.0</v>
      </c>
      <c r="E12089" s="59">
        <v>3.0</v>
      </c>
      <c r="F12089" s="59">
        <v>2.0</v>
      </c>
      <c r="G12089" s="60">
        <v>1.0</v>
      </c>
      <c r="H12089" s="60">
        <v>0.666666666666666</v>
      </c>
      <c r="I12089" s="60">
        <v>28.634292</v>
      </c>
      <c r="J12089" s="59">
        <v>3.0</v>
      </c>
      <c r="K12089" s="61">
        <f t="shared" si="1"/>
        <v>0.6666666667</v>
      </c>
      <c r="L12089" s="62">
        <f t="shared" si="2"/>
        <v>1</v>
      </c>
    </row>
    <row r="12090">
      <c r="A12090" s="58">
        <v>44866.0</v>
      </c>
      <c r="B12090" s="24" t="s">
        <v>7606</v>
      </c>
      <c r="C12090" s="24" t="s">
        <v>6921</v>
      </c>
      <c r="D12090" s="59">
        <v>3.0</v>
      </c>
      <c r="E12090" s="59">
        <v>3.0</v>
      </c>
      <c r="F12090" s="59">
        <v>3.0</v>
      </c>
      <c r="G12090" s="60">
        <v>1.0</v>
      </c>
      <c r="H12090" s="60">
        <v>0.0</v>
      </c>
      <c r="I12090" s="60">
        <v>4.80715866666666</v>
      </c>
      <c r="J12090" s="59">
        <v>6.0</v>
      </c>
      <c r="K12090" s="61">
        <f t="shared" si="1"/>
        <v>1</v>
      </c>
      <c r="L12090" s="62">
        <f t="shared" si="2"/>
        <v>2</v>
      </c>
    </row>
    <row r="12091">
      <c r="A12091" s="58">
        <v>44866.0</v>
      </c>
      <c r="B12091" s="24" t="s">
        <v>7100</v>
      </c>
      <c r="C12091" s="24" t="s">
        <v>6921</v>
      </c>
      <c r="D12091" s="59">
        <v>3.0</v>
      </c>
      <c r="E12091" s="59">
        <v>3.0</v>
      </c>
      <c r="F12091" s="59">
        <v>3.0</v>
      </c>
      <c r="G12091" s="60">
        <v>1.0</v>
      </c>
      <c r="H12091" s="60">
        <v>0.0</v>
      </c>
      <c r="I12091" s="60">
        <v>5.571803</v>
      </c>
      <c r="J12091" s="59">
        <v>6.0</v>
      </c>
      <c r="K12091" s="61">
        <f t="shared" si="1"/>
        <v>1</v>
      </c>
      <c r="L12091" s="62">
        <f t="shared" si="2"/>
        <v>2</v>
      </c>
    </row>
    <row r="12092">
      <c r="A12092" s="58">
        <v>44866.0</v>
      </c>
      <c r="B12092" s="24" t="s">
        <v>155</v>
      </c>
      <c r="C12092" s="24" t="s">
        <v>6922</v>
      </c>
      <c r="D12092" s="59">
        <v>3.0</v>
      </c>
      <c r="E12092" s="59">
        <v>3.0</v>
      </c>
      <c r="F12092" s="59">
        <v>3.0</v>
      </c>
      <c r="G12092" s="60">
        <v>1.0</v>
      </c>
      <c r="H12092" s="60">
        <v>0.333333333333333</v>
      </c>
      <c r="I12092" s="60">
        <v>13.7063166666666</v>
      </c>
      <c r="J12092" s="59">
        <v>4.0</v>
      </c>
      <c r="K12092" s="61">
        <f t="shared" si="1"/>
        <v>1</v>
      </c>
      <c r="L12092" s="62">
        <f t="shared" si="2"/>
        <v>1.333333333</v>
      </c>
    </row>
    <row r="12093">
      <c r="A12093" s="58">
        <v>44866.0</v>
      </c>
      <c r="B12093" s="24" t="s">
        <v>6787</v>
      </c>
      <c r="C12093" s="24" t="s">
        <v>7508</v>
      </c>
      <c r="D12093" s="59">
        <v>3.0</v>
      </c>
      <c r="E12093" s="59">
        <v>5.0</v>
      </c>
      <c r="F12093" s="59">
        <v>0.0</v>
      </c>
      <c r="G12093" s="60">
        <v>1.66666666666666</v>
      </c>
      <c r="H12093" s="60">
        <v>0.0</v>
      </c>
      <c r="I12093" s="60">
        <v>145.9088882</v>
      </c>
      <c r="J12093" s="59">
        <v>14.0</v>
      </c>
      <c r="K12093" s="61">
        <f t="shared" si="1"/>
        <v>0</v>
      </c>
      <c r="L12093" s="62">
        <f t="shared" si="2"/>
        <v>2.8</v>
      </c>
    </row>
    <row r="12094">
      <c r="A12094" s="58">
        <v>44866.0</v>
      </c>
      <c r="B12094" s="24" t="s">
        <v>7100</v>
      </c>
      <c r="C12094" s="27"/>
      <c r="D12094" s="59">
        <v>2.0</v>
      </c>
      <c r="E12094" s="59">
        <v>2.0</v>
      </c>
      <c r="F12094" s="59">
        <v>2.0</v>
      </c>
      <c r="G12094" s="60">
        <v>1.0</v>
      </c>
      <c r="H12094" s="60">
        <v>0.0</v>
      </c>
      <c r="I12094" s="60">
        <v>5.7206055</v>
      </c>
      <c r="J12094" s="59">
        <v>4.0</v>
      </c>
      <c r="K12094" s="61">
        <f t="shared" si="1"/>
        <v>1</v>
      </c>
      <c r="L12094" s="62">
        <f t="shared" si="2"/>
        <v>2</v>
      </c>
    </row>
    <row r="12095">
      <c r="A12095" s="58">
        <v>44866.0</v>
      </c>
      <c r="B12095" s="24" t="s">
        <v>6789</v>
      </c>
      <c r="C12095" s="24" t="s">
        <v>7146</v>
      </c>
      <c r="D12095" s="59">
        <v>2.0</v>
      </c>
      <c r="E12095" s="59">
        <v>4.0</v>
      </c>
      <c r="F12095" s="59">
        <v>0.0</v>
      </c>
      <c r="G12095" s="60">
        <v>2.0</v>
      </c>
      <c r="H12095" s="60">
        <v>0.0</v>
      </c>
      <c r="I12095" s="60">
        <v>1055.986752</v>
      </c>
      <c r="J12095" s="59">
        <v>43.0</v>
      </c>
      <c r="K12095" s="61">
        <f t="shared" si="1"/>
        <v>0</v>
      </c>
      <c r="L12095" s="62">
        <f t="shared" si="2"/>
        <v>10.75</v>
      </c>
    </row>
    <row r="12096">
      <c r="A12096" s="58">
        <v>44866.0</v>
      </c>
      <c r="B12096" s="24" t="s">
        <v>155</v>
      </c>
      <c r="C12096" s="24" t="s">
        <v>7146</v>
      </c>
      <c r="D12096" s="59">
        <v>2.0</v>
      </c>
      <c r="E12096" s="59">
        <v>3.0</v>
      </c>
      <c r="F12096" s="59">
        <v>0.0</v>
      </c>
      <c r="G12096" s="60">
        <v>3.0</v>
      </c>
      <c r="H12096" s="60">
        <v>0.333333333333333</v>
      </c>
      <c r="I12096" s="60">
        <v>266.026919333333</v>
      </c>
      <c r="J12096" s="59">
        <v>13.0</v>
      </c>
      <c r="K12096" s="61">
        <f t="shared" si="1"/>
        <v>0</v>
      </c>
      <c r="L12096" s="62">
        <f t="shared" si="2"/>
        <v>4.333333333</v>
      </c>
    </row>
    <row r="12097">
      <c r="A12097" s="58">
        <v>44866.0</v>
      </c>
      <c r="B12097" s="24" t="s">
        <v>155</v>
      </c>
      <c r="C12097" s="24" t="s">
        <v>6817</v>
      </c>
      <c r="D12097" s="59">
        <v>2.0</v>
      </c>
      <c r="E12097" s="59">
        <v>3.0</v>
      </c>
      <c r="F12097" s="59">
        <v>0.0</v>
      </c>
      <c r="G12097" s="60">
        <v>1.5</v>
      </c>
      <c r="H12097" s="60">
        <v>0.0</v>
      </c>
      <c r="I12097" s="60">
        <v>309.325993666666</v>
      </c>
      <c r="J12097" s="59">
        <v>24.0</v>
      </c>
      <c r="K12097" s="61">
        <f t="shared" si="1"/>
        <v>0</v>
      </c>
      <c r="L12097" s="62">
        <f t="shared" si="2"/>
        <v>8</v>
      </c>
    </row>
    <row r="12098">
      <c r="A12098" s="58">
        <v>44866.0</v>
      </c>
      <c r="B12098" s="24" t="s">
        <v>6789</v>
      </c>
      <c r="C12098" s="24" t="s">
        <v>7057</v>
      </c>
      <c r="D12098" s="59">
        <v>2.0</v>
      </c>
      <c r="E12098" s="59">
        <v>3.0</v>
      </c>
      <c r="F12098" s="59">
        <v>2.0</v>
      </c>
      <c r="G12098" s="60">
        <v>1.5</v>
      </c>
      <c r="H12098" s="60">
        <v>0.0</v>
      </c>
      <c r="I12098" s="60">
        <v>622.210394</v>
      </c>
      <c r="J12098" s="59">
        <v>8.0</v>
      </c>
      <c r="K12098" s="61">
        <f t="shared" si="1"/>
        <v>0.6666666667</v>
      </c>
      <c r="L12098" s="62">
        <f t="shared" si="2"/>
        <v>2.666666667</v>
      </c>
    </row>
    <row r="12099">
      <c r="A12099" s="58">
        <v>44866.0</v>
      </c>
      <c r="B12099" s="24" t="s">
        <v>6787</v>
      </c>
      <c r="C12099" s="24" t="s">
        <v>7059</v>
      </c>
      <c r="D12099" s="59">
        <v>2.0</v>
      </c>
      <c r="E12099" s="59">
        <v>3.0</v>
      </c>
      <c r="F12099" s="59">
        <v>0.0</v>
      </c>
      <c r="G12099" s="60">
        <v>1.5</v>
      </c>
      <c r="H12099" s="60">
        <v>0.0</v>
      </c>
      <c r="I12099" s="60">
        <v>5.67633633333333</v>
      </c>
      <c r="J12099" s="59">
        <v>6.0</v>
      </c>
      <c r="K12099" s="61">
        <f t="shared" si="1"/>
        <v>0</v>
      </c>
      <c r="L12099" s="62">
        <f t="shared" si="2"/>
        <v>2</v>
      </c>
    </row>
    <row r="12100">
      <c r="A12100" s="58">
        <v>44866.0</v>
      </c>
      <c r="B12100" s="24" t="s">
        <v>6789</v>
      </c>
      <c r="C12100" s="24" t="s">
        <v>7059</v>
      </c>
      <c r="D12100" s="59">
        <v>2.0</v>
      </c>
      <c r="E12100" s="59">
        <v>2.0</v>
      </c>
      <c r="F12100" s="59">
        <v>0.0</v>
      </c>
      <c r="G12100" s="60">
        <v>1.0</v>
      </c>
      <c r="H12100" s="60">
        <v>0.0</v>
      </c>
      <c r="I12100" s="60">
        <v>879.159177</v>
      </c>
      <c r="J12100" s="59">
        <v>26.0</v>
      </c>
      <c r="K12100" s="61">
        <f t="shared" si="1"/>
        <v>0</v>
      </c>
      <c r="L12100" s="62">
        <f t="shared" si="2"/>
        <v>13</v>
      </c>
    </row>
    <row r="12101">
      <c r="A12101" s="58">
        <v>44866.0</v>
      </c>
      <c r="B12101" s="24" t="s">
        <v>155</v>
      </c>
      <c r="C12101" s="24" t="s">
        <v>7068</v>
      </c>
      <c r="D12101" s="59">
        <v>2.0</v>
      </c>
      <c r="E12101" s="59">
        <v>3.0</v>
      </c>
      <c r="F12101" s="59">
        <v>2.0</v>
      </c>
      <c r="G12101" s="60">
        <v>1.5</v>
      </c>
      <c r="H12101" s="60">
        <v>0.0</v>
      </c>
      <c r="I12101" s="60">
        <v>271.157231999999</v>
      </c>
      <c r="J12101" s="59">
        <v>5.0</v>
      </c>
      <c r="K12101" s="61">
        <f t="shared" si="1"/>
        <v>0.6666666667</v>
      </c>
      <c r="L12101" s="62">
        <f t="shared" si="2"/>
        <v>1.666666667</v>
      </c>
    </row>
    <row r="12102">
      <c r="A12102" s="58">
        <v>44866.0</v>
      </c>
      <c r="B12102" s="24" t="s">
        <v>155</v>
      </c>
      <c r="C12102" s="24" t="s">
        <v>6886</v>
      </c>
      <c r="D12102" s="59">
        <v>2.0</v>
      </c>
      <c r="E12102" s="59">
        <v>2.0</v>
      </c>
      <c r="F12102" s="59">
        <v>0.0</v>
      </c>
      <c r="G12102" s="60">
        <v>1.0</v>
      </c>
      <c r="H12102" s="60">
        <v>0.0</v>
      </c>
      <c r="I12102" s="60">
        <v>8.6569905</v>
      </c>
      <c r="J12102" s="59">
        <v>5.0</v>
      </c>
      <c r="K12102" s="61">
        <f t="shared" si="1"/>
        <v>0</v>
      </c>
      <c r="L12102" s="62">
        <f t="shared" si="2"/>
        <v>2.5</v>
      </c>
    </row>
    <row r="12103">
      <c r="A12103" s="58">
        <v>44866.0</v>
      </c>
      <c r="B12103" s="24" t="s">
        <v>6789</v>
      </c>
      <c r="C12103" s="24" t="s">
        <v>7683</v>
      </c>
      <c r="D12103" s="59">
        <v>2.0</v>
      </c>
      <c r="E12103" s="59">
        <v>4.0</v>
      </c>
      <c r="F12103" s="59">
        <v>0.0</v>
      </c>
      <c r="G12103" s="60">
        <v>2.0</v>
      </c>
      <c r="H12103" s="60">
        <v>0.0</v>
      </c>
      <c r="I12103" s="60">
        <v>276.29647425</v>
      </c>
      <c r="J12103" s="59">
        <v>14.0</v>
      </c>
      <c r="K12103" s="61">
        <f t="shared" si="1"/>
        <v>0</v>
      </c>
      <c r="L12103" s="62">
        <f t="shared" si="2"/>
        <v>3.5</v>
      </c>
    </row>
    <row r="12104">
      <c r="A12104" s="58">
        <v>44866.0</v>
      </c>
      <c r="B12104" s="24" t="s">
        <v>6787</v>
      </c>
      <c r="C12104" s="24" t="s">
        <v>6808</v>
      </c>
      <c r="D12104" s="59">
        <v>2.0</v>
      </c>
      <c r="E12104" s="59">
        <v>3.0</v>
      </c>
      <c r="F12104" s="59">
        <v>0.0</v>
      </c>
      <c r="G12104" s="60">
        <v>1.5</v>
      </c>
      <c r="H12104" s="60">
        <v>0.0</v>
      </c>
      <c r="I12104" s="60">
        <v>559.510285666666</v>
      </c>
      <c r="J12104" s="59">
        <v>20.0</v>
      </c>
      <c r="K12104" s="61">
        <f t="shared" si="1"/>
        <v>0</v>
      </c>
      <c r="L12104" s="62">
        <f t="shared" si="2"/>
        <v>6.666666667</v>
      </c>
    </row>
    <row r="12105">
      <c r="A12105" s="58">
        <v>44866.0</v>
      </c>
      <c r="B12105" s="24" t="s">
        <v>6789</v>
      </c>
      <c r="C12105" s="24" t="s">
        <v>7087</v>
      </c>
      <c r="D12105" s="59">
        <v>2.0</v>
      </c>
      <c r="E12105" s="59">
        <v>2.0</v>
      </c>
      <c r="F12105" s="59">
        <v>0.0</v>
      </c>
      <c r="G12105" s="60">
        <v>1.0</v>
      </c>
      <c r="H12105" s="60">
        <v>0.0</v>
      </c>
      <c r="I12105" s="60">
        <v>2194.5689465</v>
      </c>
      <c r="J12105" s="59">
        <v>103.0</v>
      </c>
      <c r="K12105" s="61">
        <f t="shared" si="1"/>
        <v>0</v>
      </c>
      <c r="L12105" s="62">
        <f t="shared" si="2"/>
        <v>51.5</v>
      </c>
    </row>
    <row r="12106">
      <c r="A12106" s="58">
        <v>44866.0</v>
      </c>
      <c r="B12106" s="24" t="s">
        <v>6787</v>
      </c>
      <c r="C12106" s="24" t="s">
        <v>6908</v>
      </c>
      <c r="D12106" s="59">
        <v>2.0</v>
      </c>
      <c r="E12106" s="59">
        <v>2.0</v>
      </c>
      <c r="F12106" s="59">
        <v>1.0</v>
      </c>
      <c r="G12106" s="60">
        <v>1.0</v>
      </c>
      <c r="H12106" s="60">
        <v>0.5</v>
      </c>
      <c r="I12106" s="60">
        <v>1867.688704</v>
      </c>
      <c r="J12106" s="59">
        <v>19.0</v>
      </c>
      <c r="K12106" s="61">
        <f t="shared" si="1"/>
        <v>0.5</v>
      </c>
      <c r="L12106" s="62">
        <f t="shared" si="2"/>
        <v>9.5</v>
      </c>
    </row>
    <row r="12107">
      <c r="A12107" s="58">
        <v>44866.0</v>
      </c>
      <c r="B12107" s="24" t="s">
        <v>6787</v>
      </c>
      <c r="C12107" s="24" t="s">
        <v>7172</v>
      </c>
      <c r="D12107" s="59">
        <v>2.0</v>
      </c>
      <c r="E12107" s="59">
        <v>2.0</v>
      </c>
      <c r="F12107" s="59">
        <v>0.0</v>
      </c>
      <c r="G12107" s="60">
        <v>1.0</v>
      </c>
      <c r="H12107" s="60">
        <v>0.0</v>
      </c>
      <c r="I12107" s="60">
        <v>454.6670285</v>
      </c>
      <c r="J12107" s="59">
        <v>6.0</v>
      </c>
      <c r="K12107" s="61">
        <f t="shared" si="1"/>
        <v>0</v>
      </c>
      <c r="L12107" s="62">
        <f t="shared" si="2"/>
        <v>3</v>
      </c>
    </row>
    <row r="12108">
      <c r="A12108" s="58">
        <v>44866.0</v>
      </c>
      <c r="B12108" s="24" t="s">
        <v>6789</v>
      </c>
      <c r="C12108" s="24" t="s">
        <v>7172</v>
      </c>
      <c r="D12108" s="59">
        <v>2.0</v>
      </c>
      <c r="E12108" s="59">
        <v>2.0</v>
      </c>
      <c r="F12108" s="59">
        <v>1.0</v>
      </c>
      <c r="G12108" s="60">
        <v>1.0</v>
      </c>
      <c r="H12108" s="60">
        <v>0.0</v>
      </c>
      <c r="I12108" s="60">
        <v>36.8208475</v>
      </c>
      <c r="J12108" s="59">
        <v>8.0</v>
      </c>
      <c r="K12108" s="61">
        <f t="shared" si="1"/>
        <v>0.5</v>
      </c>
      <c r="L12108" s="62">
        <f t="shared" si="2"/>
        <v>4</v>
      </c>
    </row>
    <row r="12109">
      <c r="A12109" s="58">
        <v>44866.0</v>
      </c>
      <c r="B12109" s="24" t="s">
        <v>6789</v>
      </c>
      <c r="C12109" s="24" t="s">
        <v>6910</v>
      </c>
      <c r="D12109" s="59">
        <v>2.0</v>
      </c>
      <c r="E12109" s="59">
        <v>2.0</v>
      </c>
      <c r="F12109" s="59">
        <v>0.0</v>
      </c>
      <c r="G12109" s="60">
        <v>1.0</v>
      </c>
      <c r="H12109" s="60">
        <v>0.0</v>
      </c>
      <c r="I12109" s="60">
        <v>51.0740605</v>
      </c>
      <c r="J12109" s="59">
        <v>5.0</v>
      </c>
      <c r="K12109" s="61">
        <f t="shared" si="1"/>
        <v>0</v>
      </c>
      <c r="L12109" s="62">
        <f t="shared" si="2"/>
        <v>2.5</v>
      </c>
    </row>
    <row r="12110">
      <c r="A12110" s="58">
        <v>44866.0</v>
      </c>
      <c r="B12110" s="24" t="s">
        <v>6789</v>
      </c>
      <c r="C12110" s="24" t="s">
        <v>7102</v>
      </c>
      <c r="D12110" s="59">
        <v>2.0</v>
      </c>
      <c r="E12110" s="59">
        <v>2.0</v>
      </c>
      <c r="F12110" s="59">
        <v>0.0</v>
      </c>
      <c r="G12110" s="60">
        <v>1.0</v>
      </c>
      <c r="H12110" s="60">
        <v>0.0</v>
      </c>
      <c r="I12110" s="60">
        <v>1109.1656285</v>
      </c>
      <c r="J12110" s="59">
        <v>12.0</v>
      </c>
      <c r="K12110" s="61">
        <f t="shared" si="1"/>
        <v>0</v>
      </c>
      <c r="L12110" s="62">
        <f t="shared" si="2"/>
        <v>6</v>
      </c>
    </row>
    <row r="12111">
      <c r="A12111" s="58">
        <v>44866.0</v>
      </c>
      <c r="B12111" s="24" t="s">
        <v>6787</v>
      </c>
      <c r="C12111" s="24" t="s">
        <v>7027</v>
      </c>
      <c r="D12111" s="59">
        <v>2.0</v>
      </c>
      <c r="E12111" s="59">
        <v>3.0</v>
      </c>
      <c r="F12111" s="59">
        <v>1.0</v>
      </c>
      <c r="G12111" s="60">
        <v>1.5</v>
      </c>
      <c r="H12111" s="60">
        <v>0.0</v>
      </c>
      <c r="I12111" s="60">
        <v>591.852352</v>
      </c>
      <c r="J12111" s="59">
        <v>45.0</v>
      </c>
      <c r="K12111" s="61">
        <f t="shared" si="1"/>
        <v>0.3333333333</v>
      </c>
      <c r="L12111" s="62">
        <f t="shared" si="2"/>
        <v>15</v>
      </c>
    </row>
    <row r="12112">
      <c r="A12112" s="58">
        <v>44866.0</v>
      </c>
      <c r="B12112" s="24" t="s">
        <v>6789</v>
      </c>
      <c r="C12112" s="24" t="s">
        <v>7027</v>
      </c>
      <c r="D12112" s="59">
        <v>2.0</v>
      </c>
      <c r="E12112" s="59">
        <v>2.0</v>
      </c>
      <c r="F12112" s="59">
        <v>0.0</v>
      </c>
      <c r="G12112" s="60">
        <v>1.0</v>
      </c>
      <c r="H12112" s="60">
        <v>0.0</v>
      </c>
      <c r="I12112" s="60">
        <v>466.877150499999</v>
      </c>
      <c r="J12112" s="59">
        <v>4.0</v>
      </c>
      <c r="K12112" s="61">
        <f t="shared" si="1"/>
        <v>0</v>
      </c>
      <c r="L12112" s="62">
        <f t="shared" si="2"/>
        <v>2</v>
      </c>
    </row>
    <row r="12113">
      <c r="A12113" s="58">
        <v>44866.0</v>
      </c>
      <c r="B12113" s="24" t="s">
        <v>6789</v>
      </c>
      <c r="C12113" s="24" t="s">
        <v>6815</v>
      </c>
      <c r="D12113" s="59">
        <v>2.0</v>
      </c>
      <c r="E12113" s="59">
        <v>2.0</v>
      </c>
      <c r="F12113" s="59">
        <v>2.0</v>
      </c>
      <c r="G12113" s="60">
        <v>1.0</v>
      </c>
      <c r="H12113" s="60">
        <v>1.0</v>
      </c>
      <c r="I12113" s="60">
        <v>0.0</v>
      </c>
      <c r="J12113" s="59">
        <v>2.0</v>
      </c>
      <c r="K12113" s="61">
        <f t="shared" si="1"/>
        <v>1</v>
      </c>
      <c r="L12113" s="62">
        <f t="shared" si="2"/>
        <v>1</v>
      </c>
    </row>
    <row r="12114">
      <c r="A12114" s="58">
        <v>44866.0</v>
      </c>
      <c r="B12114" s="24" t="s">
        <v>6787</v>
      </c>
      <c r="C12114" s="24" t="s">
        <v>6921</v>
      </c>
      <c r="D12114" s="59">
        <v>2.0</v>
      </c>
      <c r="E12114" s="59">
        <v>2.0</v>
      </c>
      <c r="F12114" s="59">
        <v>2.0</v>
      </c>
      <c r="G12114" s="60">
        <v>1.0</v>
      </c>
      <c r="H12114" s="60">
        <v>0.0</v>
      </c>
      <c r="I12114" s="60">
        <v>4.9845065</v>
      </c>
      <c r="J12114" s="59">
        <v>4.0</v>
      </c>
      <c r="K12114" s="61">
        <f t="shared" si="1"/>
        <v>1</v>
      </c>
      <c r="L12114" s="62">
        <f t="shared" si="2"/>
        <v>2</v>
      </c>
    </row>
    <row r="12115">
      <c r="A12115" s="58">
        <v>44866.0</v>
      </c>
      <c r="B12115" s="24" t="s">
        <v>7606</v>
      </c>
      <c r="C12115" s="24" t="s">
        <v>6922</v>
      </c>
      <c r="D12115" s="59">
        <v>2.0</v>
      </c>
      <c r="E12115" s="59">
        <v>2.0</v>
      </c>
      <c r="F12115" s="59">
        <v>0.0</v>
      </c>
      <c r="G12115" s="60">
        <v>1.0</v>
      </c>
      <c r="H12115" s="60">
        <v>0.0</v>
      </c>
      <c r="I12115" s="60">
        <v>137.1905095</v>
      </c>
      <c r="J12115" s="59">
        <v>12.0</v>
      </c>
      <c r="K12115" s="61">
        <f t="shared" si="1"/>
        <v>0</v>
      </c>
      <c r="L12115" s="62">
        <f t="shared" si="2"/>
        <v>6</v>
      </c>
    </row>
    <row r="12116">
      <c r="A12116" s="58">
        <v>44866.0</v>
      </c>
      <c r="B12116" s="24" t="s">
        <v>6789</v>
      </c>
      <c r="C12116" s="24" t="s">
        <v>6922</v>
      </c>
      <c r="D12116" s="59">
        <v>2.0</v>
      </c>
      <c r="E12116" s="59">
        <v>4.0</v>
      </c>
      <c r="F12116" s="59">
        <v>0.0</v>
      </c>
      <c r="G12116" s="60">
        <v>2.0</v>
      </c>
      <c r="H12116" s="60">
        <v>0.0</v>
      </c>
      <c r="I12116" s="60">
        <v>509.50177475</v>
      </c>
      <c r="J12116" s="59">
        <v>18.0</v>
      </c>
      <c r="K12116" s="61">
        <f t="shared" si="1"/>
        <v>0</v>
      </c>
      <c r="L12116" s="62">
        <f t="shared" si="2"/>
        <v>4.5</v>
      </c>
    </row>
    <row r="12117">
      <c r="A12117" s="58">
        <v>44866.0</v>
      </c>
      <c r="B12117" s="24" t="s">
        <v>6790</v>
      </c>
      <c r="C12117" s="24" t="s">
        <v>6797</v>
      </c>
      <c r="D12117" s="59">
        <v>2.0</v>
      </c>
      <c r="E12117" s="59">
        <v>2.0</v>
      </c>
      <c r="F12117" s="59">
        <v>2.0</v>
      </c>
      <c r="G12117" s="60">
        <v>1.0</v>
      </c>
      <c r="H12117" s="60">
        <v>0.5</v>
      </c>
      <c r="I12117" s="60">
        <v>2.3951735</v>
      </c>
      <c r="J12117" s="59">
        <v>3.0</v>
      </c>
      <c r="K12117" s="61">
        <f t="shared" si="1"/>
        <v>1</v>
      </c>
      <c r="L12117" s="62">
        <f t="shared" si="2"/>
        <v>1.5</v>
      </c>
    </row>
    <row r="12118">
      <c r="A12118" s="58">
        <v>44866.0</v>
      </c>
      <c r="B12118" s="24" t="s">
        <v>6787</v>
      </c>
      <c r="C12118" s="24" t="s">
        <v>6962</v>
      </c>
      <c r="D12118" s="59">
        <v>2.0</v>
      </c>
      <c r="E12118" s="59">
        <v>2.0</v>
      </c>
      <c r="F12118" s="59">
        <v>1.0</v>
      </c>
      <c r="G12118" s="60">
        <v>1.0</v>
      </c>
      <c r="H12118" s="60">
        <v>0.0</v>
      </c>
      <c r="I12118" s="60">
        <v>7.2709505</v>
      </c>
      <c r="J12118" s="59">
        <v>5.0</v>
      </c>
      <c r="K12118" s="61">
        <f t="shared" si="1"/>
        <v>0.5</v>
      </c>
      <c r="L12118" s="62">
        <f t="shared" si="2"/>
        <v>2.5</v>
      </c>
    </row>
    <row r="12119">
      <c r="A12119" s="58">
        <v>44866.0</v>
      </c>
      <c r="B12119" s="24" t="s">
        <v>155</v>
      </c>
      <c r="C12119" s="24" t="s">
        <v>6962</v>
      </c>
      <c r="D12119" s="59">
        <v>2.0</v>
      </c>
      <c r="E12119" s="59">
        <v>2.0</v>
      </c>
      <c r="F12119" s="59">
        <v>2.0</v>
      </c>
      <c r="G12119" s="60">
        <v>1.0</v>
      </c>
      <c r="H12119" s="60">
        <v>0.5</v>
      </c>
      <c r="I12119" s="60">
        <v>5.1299945</v>
      </c>
      <c r="J12119" s="59">
        <v>4.0</v>
      </c>
      <c r="K12119" s="61">
        <f t="shared" si="1"/>
        <v>1</v>
      </c>
      <c r="L12119" s="62">
        <f t="shared" si="2"/>
        <v>2</v>
      </c>
    </row>
    <row r="12120">
      <c r="A12120" s="58">
        <v>44866.0</v>
      </c>
      <c r="B12120" s="24" t="s">
        <v>7606</v>
      </c>
      <c r="C12120" s="24" t="s">
        <v>6792</v>
      </c>
      <c r="D12120" s="59">
        <v>1.0</v>
      </c>
      <c r="E12120" s="59">
        <v>1.0</v>
      </c>
      <c r="F12120" s="59">
        <v>0.0</v>
      </c>
      <c r="G12120" s="60">
        <v>1.0</v>
      </c>
      <c r="H12120" s="60">
        <v>1.0</v>
      </c>
      <c r="I12120" s="60">
        <v>0.0</v>
      </c>
      <c r="J12120" s="59">
        <v>0.0</v>
      </c>
      <c r="K12120" s="61">
        <f t="shared" si="1"/>
        <v>0</v>
      </c>
      <c r="L12120" s="62">
        <f t="shared" si="2"/>
        <v>0</v>
      </c>
    </row>
    <row r="12121">
      <c r="A12121" s="58">
        <v>44866.0</v>
      </c>
      <c r="B12121" s="24" t="s">
        <v>6787</v>
      </c>
      <c r="C12121" s="24" t="s">
        <v>7597</v>
      </c>
      <c r="D12121" s="59">
        <v>1.0</v>
      </c>
      <c r="E12121" s="59">
        <v>1.0</v>
      </c>
      <c r="F12121" s="59">
        <v>0.0</v>
      </c>
      <c r="G12121" s="60">
        <v>1.0</v>
      </c>
      <c r="H12121" s="60">
        <v>0.0</v>
      </c>
      <c r="I12121" s="60">
        <v>77.130782</v>
      </c>
      <c r="J12121" s="59">
        <v>6.0</v>
      </c>
      <c r="K12121" s="61">
        <f t="shared" si="1"/>
        <v>0</v>
      </c>
      <c r="L12121" s="62">
        <f t="shared" si="2"/>
        <v>6</v>
      </c>
    </row>
    <row r="12122">
      <c r="A12122" s="58">
        <v>44866.0</v>
      </c>
      <c r="B12122" s="24" t="s">
        <v>6794</v>
      </c>
      <c r="C12122" s="24" t="s">
        <v>7564</v>
      </c>
      <c r="D12122" s="59">
        <v>1.0</v>
      </c>
      <c r="E12122" s="59">
        <v>7.0</v>
      </c>
      <c r="F12122" s="59">
        <v>0.0</v>
      </c>
      <c r="G12122" s="60">
        <v>7.0</v>
      </c>
      <c r="H12122" s="60">
        <v>0.0</v>
      </c>
      <c r="I12122" s="60">
        <v>14.8516434285714</v>
      </c>
      <c r="J12122" s="59">
        <v>14.0</v>
      </c>
      <c r="K12122" s="61">
        <f t="shared" si="1"/>
        <v>0</v>
      </c>
      <c r="L12122" s="62">
        <f t="shared" si="2"/>
        <v>2</v>
      </c>
    </row>
    <row r="12123">
      <c r="A12123" s="58">
        <v>44866.0</v>
      </c>
      <c r="B12123" s="24" t="s">
        <v>6794</v>
      </c>
      <c r="C12123" s="24" t="s">
        <v>6817</v>
      </c>
      <c r="D12123" s="59">
        <v>1.0</v>
      </c>
      <c r="E12123" s="59">
        <v>1.0</v>
      </c>
      <c r="F12123" s="59">
        <v>0.0</v>
      </c>
      <c r="G12123" s="60">
        <v>1.0</v>
      </c>
      <c r="H12123" s="60">
        <v>0.0</v>
      </c>
      <c r="I12123" s="60">
        <v>111.231824</v>
      </c>
      <c r="J12123" s="59">
        <v>6.0</v>
      </c>
      <c r="K12123" s="61">
        <f t="shared" si="1"/>
        <v>0</v>
      </c>
      <c r="L12123" s="62">
        <f t="shared" si="2"/>
        <v>6</v>
      </c>
    </row>
    <row r="12124">
      <c r="A12124" s="58">
        <v>44866.0</v>
      </c>
      <c r="B12124" s="24" t="s">
        <v>6787</v>
      </c>
      <c r="C12124" s="24" t="s">
        <v>6953</v>
      </c>
      <c r="D12124" s="59">
        <v>1.0</v>
      </c>
      <c r="E12124" s="59">
        <v>1.0</v>
      </c>
      <c r="F12124" s="59">
        <v>1.0</v>
      </c>
      <c r="G12124" s="60">
        <v>1.0</v>
      </c>
      <c r="H12124" s="60">
        <v>0.0</v>
      </c>
      <c r="I12124" s="60">
        <v>4.79605</v>
      </c>
      <c r="J12124" s="59">
        <v>2.0</v>
      </c>
      <c r="K12124" s="61">
        <f t="shared" si="1"/>
        <v>1</v>
      </c>
      <c r="L12124" s="62">
        <f t="shared" si="2"/>
        <v>2</v>
      </c>
    </row>
    <row r="12125">
      <c r="A12125" s="58">
        <v>44866.0</v>
      </c>
      <c r="B12125" s="24" t="s">
        <v>6787</v>
      </c>
      <c r="C12125" s="24" t="s">
        <v>7477</v>
      </c>
      <c r="D12125" s="59">
        <v>1.0</v>
      </c>
      <c r="E12125" s="59">
        <v>1.0</v>
      </c>
      <c r="F12125" s="59">
        <v>0.0</v>
      </c>
      <c r="G12125" s="60">
        <v>1.0</v>
      </c>
      <c r="H12125" s="60">
        <v>0.0</v>
      </c>
      <c r="I12125" s="60">
        <v>439.953727</v>
      </c>
      <c r="J12125" s="59">
        <v>10.0</v>
      </c>
      <c r="K12125" s="61">
        <f t="shared" si="1"/>
        <v>0</v>
      </c>
      <c r="L12125" s="62">
        <f t="shared" si="2"/>
        <v>10</v>
      </c>
    </row>
    <row r="12126">
      <c r="A12126" s="58">
        <v>44866.0</v>
      </c>
      <c r="B12126" s="24" t="s">
        <v>6787</v>
      </c>
      <c r="C12126" s="24" t="s">
        <v>7057</v>
      </c>
      <c r="D12126" s="59">
        <v>1.0</v>
      </c>
      <c r="E12126" s="59">
        <v>1.0</v>
      </c>
      <c r="F12126" s="59">
        <v>0.0</v>
      </c>
      <c r="G12126" s="60">
        <v>1.0</v>
      </c>
      <c r="H12126" s="60">
        <v>0.0</v>
      </c>
      <c r="I12126" s="60">
        <v>756.759633</v>
      </c>
      <c r="J12126" s="59">
        <v>20.0</v>
      </c>
      <c r="K12126" s="61">
        <f t="shared" si="1"/>
        <v>0</v>
      </c>
      <c r="L12126" s="62">
        <f t="shared" si="2"/>
        <v>20</v>
      </c>
    </row>
    <row r="12127">
      <c r="A12127" s="58">
        <v>44866.0</v>
      </c>
      <c r="B12127" s="24" t="s">
        <v>155</v>
      </c>
      <c r="C12127" s="24" t="s">
        <v>7057</v>
      </c>
      <c r="D12127" s="59">
        <v>1.0</v>
      </c>
      <c r="E12127" s="59">
        <v>2.0</v>
      </c>
      <c r="F12127" s="59">
        <v>0.0</v>
      </c>
      <c r="G12127" s="60">
        <v>2.0</v>
      </c>
      <c r="H12127" s="60">
        <v>0.0</v>
      </c>
      <c r="I12127" s="60">
        <v>1424.635638</v>
      </c>
      <c r="J12127" s="59">
        <v>58.0</v>
      </c>
      <c r="K12127" s="61">
        <f t="shared" si="1"/>
        <v>0</v>
      </c>
      <c r="L12127" s="62">
        <f t="shared" si="2"/>
        <v>29</v>
      </c>
    </row>
    <row r="12128">
      <c r="A12128" s="58">
        <v>44866.0</v>
      </c>
      <c r="B12128" s="24" t="s">
        <v>6787</v>
      </c>
      <c r="C12128" s="24" t="s">
        <v>7058</v>
      </c>
      <c r="D12128" s="59">
        <v>1.0</v>
      </c>
      <c r="E12128" s="59">
        <v>1.0</v>
      </c>
      <c r="F12128" s="59">
        <v>0.0</v>
      </c>
      <c r="G12128" s="60">
        <v>1.0</v>
      </c>
      <c r="H12128" s="60">
        <v>0.0</v>
      </c>
      <c r="I12128" s="60">
        <v>138.524937</v>
      </c>
      <c r="J12128" s="59">
        <v>22.0</v>
      </c>
      <c r="K12128" s="61">
        <f t="shared" si="1"/>
        <v>0</v>
      </c>
      <c r="L12128" s="62">
        <f t="shared" si="2"/>
        <v>22</v>
      </c>
    </row>
    <row r="12129">
      <c r="A12129" s="58">
        <v>44866.0</v>
      </c>
      <c r="B12129" s="24" t="s">
        <v>6789</v>
      </c>
      <c r="C12129" s="24" t="s">
        <v>7058</v>
      </c>
      <c r="D12129" s="59">
        <v>1.0</v>
      </c>
      <c r="E12129" s="59">
        <v>1.0</v>
      </c>
      <c r="F12129" s="59">
        <v>1.0</v>
      </c>
      <c r="G12129" s="60">
        <v>1.0</v>
      </c>
      <c r="H12129" s="60">
        <v>0.0</v>
      </c>
      <c r="I12129" s="60">
        <v>98.891092</v>
      </c>
      <c r="J12129" s="59">
        <v>1.0</v>
      </c>
      <c r="K12129" s="61">
        <f t="shared" si="1"/>
        <v>1</v>
      </c>
      <c r="L12129" s="62">
        <f t="shared" si="2"/>
        <v>1</v>
      </c>
    </row>
    <row r="12130">
      <c r="A12130" s="58">
        <v>44866.0</v>
      </c>
      <c r="B12130" s="24" t="s">
        <v>6789</v>
      </c>
      <c r="C12130" s="24" t="s">
        <v>6861</v>
      </c>
      <c r="D12130" s="59">
        <v>1.0</v>
      </c>
      <c r="E12130" s="59">
        <v>1.0</v>
      </c>
      <c r="F12130" s="59">
        <v>0.0</v>
      </c>
      <c r="G12130" s="60">
        <v>1.0</v>
      </c>
      <c r="H12130" s="60">
        <v>0.0</v>
      </c>
      <c r="I12130" s="60">
        <v>243.020874</v>
      </c>
      <c r="J12130" s="59">
        <v>8.0</v>
      </c>
      <c r="K12130" s="61">
        <f t="shared" si="1"/>
        <v>0</v>
      </c>
      <c r="L12130" s="62">
        <f t="shared" si="2"/>
        <v>8</v>
      </c>
    </row>
    <row r="12131">
      <c r="A12131" s="58">
        <v>44866.0</v>
      </c>
      <c r="B12131" s="24" t="s">
        <v>6794</v>
      </c>
      <c r="C12131" s="24" t="s">
        <v>6861</v>
      </c>
      <c r="D12131" s="59">
        <v>1.0</v>
      </c>
      <c r="E12131" s="59">
        <v>1.0</v>
      </c>
      <c r="F12131" s="59">
        <v>0.0</v>
      </c>
      <c r="G12131" s="60">
        <v>1.0</v>
      </c>
      <c r="H12131" s="60">
        <v>0.0</v>
      </c>
      <c r="I12131" s="60">
        <v>5.188598</v>
      </c>
      <c r="J12131" s="59">
        <v>2.0</v>
      </c>
      <c r="K12131" s="61">
        <f t="shared" si="1"/>
        <v>0</v>
      </c>
      <c r="L12131" s="62">
        <f t="shared" si="2"/>
        <v>2</v>
      </c>
    </row>
    <row r="12132">
      <c r="A12132" s="58">
        <v>44866.0</v>
      </c>
      <c r="B12132" s="24" t="s">
        <v>155</v>
      </c>
      <c r="C12132" s="24" t="s">
        <v>7059</v>
      </c>
      <c r="D12132" s="59">
        <v>1.0</v>
      </c>
      <c r="E12132" s="59">
        <v>1.0</v>
      </c>
      <c r="F12132" s="59">
        <v>0.0</v>
      </c>
      <c r="G12132" s="60">
        <v>1.0</v>
      </c>
      <c r="H12132" s="60">
        <v>0.0</v>
      </c>
      <c r="I12132" s="60">
        <v>3872.557747</v>
      </c>
      <c r="J12132" s="59">
        <v>19.0</v>
      </c>
      <c r="K12132" s="61">
        <f t="shared" si="1"/>
        <v>0</v>
      </c>
      <c r="L12132" s="62">
        <f t="shared" si="2"/>
        <v>19</v>
      </c>
    </row>
    <row r="12133">
      <c r="A12133" s="58">
        <v>44866.0</v>
      </c>
      <c r="B12133" s="24" t="s">
        <v>6787</v>
      </c>
      <c r="C12133" s="24" t="s">
        <v>7060</v>
      </c>
      <c r="D12133" s="59">
        <v>1.0</v>
      </c>
      <c r="E12133" s="59">
        <v>3.0</v>
      </c>
      <c r="F12133" s="59">
        <v>0.0</v>
      </c>
      <c r="G12133" s="60">
        <v>3.0</v>
      </c>
      <c r="H12133" s="60">
        <v>0.0</v>
      </c>
      <c r="I12133" s="60">
        <v>1223.47863733333</v>
      </c>
      <c r="J12133" s="59">
        <v>40.0</v>
      </c>
      <c r="K12133" s="61">
        <f t="shared" si="1"/>
        <v>0</v>
      </c>
      <c r="L12133" s="62">
        <f t="shared" si="2"/>
        <v>13.33333333</v>
      </c>
    </row>
    <row r="12134">
      <c r="A12134" s="58">
        <v>44866.0</v>
      </c>
      <c r="B12134" s="24" t="s">
        <v>6789</v>
      </c>
      <c r="C12134" s="24" t="s">
        <v>7060</v>
      </c>
      <c r="D12134" s="59">
        <v>1.0</v>
      </c>
      <c r="E12134" s="59">
        <v>1.0</v>
      </c>
      <c r="F12134" s="59">
        <v>0.0</v>
      </c>
      <c r="G12134" s="60">
        <v>1.0</v>
      </c>
      <c r="H12134" s="60">
        <v>0.0</v>
      </c>
      <c r="I12134" s="60">
        <v>1587.516233</v>
      </c>
      <c r="J12134" s="59">
        <v>20.0</v>
      </c>
      <c r="K12134" s="61">
        <f t="shared" si="1"/>
        <v>0</v>
      </c>
      <c r="L12134" s="62">
        <f t="shared" si="2"/>
        <v>20</v>
      </c>
    </row>
    <row r="12135">
      <c r="A12135" s="58">
        <v>44866.0</v>
      </c>
      <c r="B12135" s="24" t="s">
        <v>6787</v>
      </c>
      <c r="C12135" s="24" t="s">
        <v>7684</v>
      </c>
      <c r="D12135" s="59">
        <v>1.0</v>
      </c>
      <c r="E12135" s="59">
        <v>4.0</v>
      </c>
      <c r="F12135" s="59">
        <v>0.0</v>
      </c>
      <c r="G12135" s="60">
        <v>4.0</v>
      </c>
      <c r="H12135" s="60">
        <v>0.0</v>
      </c>
      <c r="I12135" s="60">
        <v>2343.1076545</v>
      </c>
      <c r="J12135" s="59">
        <v>106.0</v>
      </c>
      <c r="K12135" s="61">
        <f t="shared" si="1"/>
        <v>0</v>
      </c>
      <c r="L12135" s="62">
        <f t="shared" si="2"/>
        <v>26.5</v>
      </c>
    </row>
    <row r="12136">
      <c r="A12136" s="58">
        <v>44866.0</v>
      </c>
      <c r="B12136" s="24" t="s">
        <v>6789</v>
      </c>
      <c r="C12136" s="24" t="s">
        <v>7684</v>
      </c>
      <c r="D12136" s="59">
        <v>1.0</v>
      </c>
      <c r="E12136" s="59">
        <v>1.0</v>
      </c>
      <c r="F12136" s="59">
        <v>0.0</v>
      </c>
      <c r="G12136" s="60">
        <v>1.0</v>
      </c>
      <c r="H12136" s="60">
        <v>0.0</v>
      </c>
      <c r="I12136" s="60">
        <v>13.638663</v>
      </c>
      <c r="J12136" s="59">
        <v>2.0</v>
      </c>
      <c r="K12136" s="61">
        <f t="shared" si="1"/>
        <v>0</v>
      </c>
      <c r="L12136" s="62">
        <f t="shared" si="2"/>
        <v>2</v>
      </c>
    </row>
    <row r="12137">
      <c r="A12137" s="58">
        <v>44866.0</v>
      </c>
      <c r="B12137" s="24" t="s">
        <v>6787</v>
      </c>
      <c r="C12137" s="24" t="s">
        <v>6985</v>
      </c>
      <c r="D12137" s="59">
        <v>1.0</v>
      </c>
      <c r="E12137" s="59">
        <v>1.0</v>
      </c>
      <c r="F12137" s="59">
        <v>1.0</v>
      </c>
      <c r="G12137" s="60">
        <v>1.0</v>
      </c>
      <c r="H12137" s="60">
        <v>0.0</v>
      </c>
      <c r="I12137" s="60">
        <v>768.648802</v>
      </c>
      <c r="J12137" s="59">
        <v>9.0</v>
      </c>
      <c r="K12137" s="61">
        <f t="shared" si="1"/>
        <v>1</v>
      </c>
      <c r="L12137" s="62">
        <f t="shared" si="2"/>
        <v>9</v>
      </c>
    </row>
    <row r="12138">
      <c r="A12138" s="58">
        <v>44866.0</v>
      </c>
      <c r="B12138" s="24" t="s">
        <v>6789</v>
      </c>
      <c r="C12138" s="24" t="s">
        <v>6985</v>
      </c>
      <c r="D12138" s="59">
        <v>1.0</v>
      </c>
      <c r="E12138" s="59">
        <v>1.0</v>
      </c>
      <c r="F12138" s="59">
        <v>0.0</v>
      </c>
      <c r="G12138" s="60">
        <v>1.0</v>
      </c>
      <c r="H12138" s="60">
        <v>0.0</v>
      </c>
      <c r="I12138" s="60">
        <v>6.241438</v>
      </c>
      <c r="J12138" s="59">
        <v>4.0</v>
      </c>
      <c r="K12138" s="61">
        <f t="shared" si="1"/>
        <v>0</v>
      </c>
      <c r="L12138" s="62">
        <f t="shared" si="2"/>
        <v>4</v>
      </c>
    </row>
    <row r="12139">
      <c r="A12139" s="58">
        <v>44866.0</v>
      </c>
      <c r="B12139" s="24" t="s">
        <v>6787</v>
      </c>
      <c r="C12139" s="24" t="s">
        <v>6833</v>
      </c>
      <c r="D12139" s="59">
        <v>1.0</v>
      </c>
      <c r="E12139" s="59">
        <v>1.0</v>
      </c>
      <c r="F12139" s="59">
        <v>0.0</v>
      </c>
      <c r="G12139" s="60">
        <v>1.0</v>
      </c>
      <c r="H12139" s="60">
        <v>0.0</v>
      </c>
      <c r="I12139" s="60">
        <v>344.224124</v>
      </c>
      <c r="J12139" s="59">
        <v>8.0</v>
      </c>
      <c r="K12139" s="61">
        <f t="shared" si="1"/>
        <v>0</v>
      </c>
      <c r="L12139" s="62">
        <f t="shared" si="2"/>
        <v>8</v>
      </c>
    </row>
    <row r="12140">
      <c r="A12140" s="58">
        <v>44866.0</v>
      </c>
      <c r="B12140" s="24" t="s">
        <v>6787</v>
      </c>
      <c r="C12140" s="24" t="s">
        <v>7062</v>
      </c>
      <c r="D12140" s="59">
        <v>1.0</v>
      </c>
      <c r="E12140" s="59">
        <v>1.0</v>
      </c>
      <c r="F12140" s="59">
        <v>0.0</v>
      </c>
      <c r="G12140" s="60">
        <v>1.0</v>
      </c>
      <c r="H12140" s="60">
        <v>0.0</v>
      </c>
      <c r="I12140" s="60">
        <v>4378.992033</v>
      </c>
      <c r="J12140" s="59">
        <v>58.0</v>
      </c>
      <c r="K12140" s="61">
        <f t="shared" si="1"/>
        <v>0</v>
      </c>
      <c r="L12140" s="62">
        <f t="shared" si="2"/>
        <v>58</v>
      </c>
    </row>
    <row r="12141">
      <c r="A12141" s="58">
        <v>44866.0</v>
      </c>
      <c r="B12141" s="24" t="s">
        <v>6789</v>
      </c>
      <c r="C12141" s="24" t="s">
        <v>7062</v>
      </c>
      <c r="D12141" s="59">
        <v>1.0</v>
      </c>
      <c r="E12141" s="59">
        <v>1.0</v>
      </c>
      <c r="F12141" s="59">
        <v>0.0</v>
      </c>
      <c r="G12141" s="60">
        <v>1.0</v>
      </c>
      <c r="H12141" s="60">
        <v>0.0</v>
      </c>
      <c r="I12141" s="60">
        <v>115.324815</v>
      </c>
      <c r="J12141" s="59">
        <v>4.0</v>
      </c>
      <c r="K12141" s="61">
        <f t="shared" si="1"/>
        <v>0</v>
      </c>
      <c r="L12141" s="62">
        <f t="shared" si="2"/>
        <v>4</v>
      </c>
    </row>
    <row r="12142">
      <c r="A12142" s="58">
        <v>44866.0</v>
      </c>
      <c r="B12142" s="24" t="s">
        <v>6789</v>
      </c>
      <c r="C12142" s="24" t="s">
        <v>7437</v>
      </c>
      <c r="D12142" s="59">
        <v>1.0</v>
      </c>
      <c r="E12142" s="59">
        <v>1.0</v>
      </c>
      <c r="F12142" s="59">
        <v>0.0</v>
      </c>
      <c r="G12142" s="60">
        <v>1.0</v>
      </c>
      <c r="H12142" s="60">
        <v>0.0</v>
      </c>
      <c r="I12142" s="60">
        <v>276.820166</v>
      </c>
      <c r="J12142" s="59">
        <v>2.0</v>
      </c>
      <c r="K12142" s="61">
        <f t="shared" si="1"/>
        <v>0</v>
      </c>
      <c r="L12142" s="62">
        <f t="shared" si="2"/>
        <v>2</v>
      </c>
    </row>
    <row r="12143">
      <c r="A12143" s="58">
        <v>44866.0</v>
      </c>
      <c r="B12143" s="24" t="s">
        <v>6789</v>
      </c>
      <c r="C12143" s="24" t="s">
        <v>7065</v>
      </c>
      <c r="D12143" s="59">
        <v>1.0</v>
      </c>
      <c r="E12143" s="59">
        <v>4.0</v>
      </c>
      <c r="F12143" s="59">
        <v>0.0</v>
      </c>
      <c r="G12143" s="60">
        <v>4.0</v>
      </c>
      <c r="H12143" s="60">
        <v>0.0</v>
      </c>
      <c r="I12143" s="60">
        <v>506.95849575</v>
      </c>
      <c r="J12143" s="59">
        <v>20.0</v>
      </c>
      <c r="K12143" s="61">
        <f t="shared" si="1"/>
        <v>0</v>
      </c>
      <c r="L12143" s="62">
        <f t="shared" si="2"/>
        <v>5</v>
      </c>
    </row>
    <row r="12144">
      <c r="A12144" s="58">
        <v>44866.0</v>
      </c>
      <c r="B12144" s="24" t="s">
        <v>155</v>
      </c>
      <c r="C12144" s="24" t="s">
        <v>6835</v>
      </c>
      <c r="D12144" s="59">
        <v>1.0</v>
      </c>
      <c r="E12144" s="59">
        <v>1.0</v>
      </c>
      <c r="F12144" s="59">
        <v>0.0</v>
      </c>
      <c r="G12144" s="60">
        <v>1.0</v>
      </c>
      <c r="H12144" s="60">
        <v>0.0</v>
      </c>
      <c r="I12144" s="60">
        <v>4.925904</v>
      </c>
      <c r="J12144" s="59">
        <v>2.0</v>
      </c>
      <c r="K12144" s="61">
        <f t="shared" si="1"/>
        <v>0</v>
      </c>
      <c r="L12144" s="62">
        <f t="shared" si="2"/>
        <v>2</v>
      </c>
    </row>
    <row r="12145">
      <c r="A12145" s="58">
        <v>44866.0</v>
      </c>
      <c r="B12145" s="24" t="s">
        <v>6789</v>
      </c>
      <c r="C12145" s="24" t="s">
        <v>7072</v>
      </c>
      <c r="D12145" s="59">
        <v>1.0</v>
      </c>
      <c r="E12145" s="59">
        <v>2.0</v>
      </c>
      <c r="F12145" s="59">
        <v>0.0</v>
      </c>
      <c r="G12145" s="60">
        <v>2.0</v>
      </c>
      <c r="H12145" s="60">
        <v>0.0</v>
      </c>
      <c r="I12145" s="60">
        <v>5.689119</v>
      </c>
      <c r="J12145" s="59">
        <v>4.0</v>
      </c>
      <c r="K12145" s="61">
        <f t="shared" si="1"/>
        <v>0</v>
      </c>
      <c r="L12145" s="62">
        <f t="shared" si="2"/>
        <v>2</v>
      </c>
    </row>
    <row r="12146">
      <c r="A12146" s="58">
        <v>44866.0</v>
      </c>
      <c r="B12146" s="24" t="s">
        <v>6789</v>
      </c>
      <c r="C12146" s="24" t="s">
        <v>6886</v>
      </c>
      <c r="D12146" s="59">
        <v>1.0</v>
      </c>
      <c r="E12146" s="59">
        <v>1.0</v>
      </c>
      <c r="F12146" s="59">
        <v>0.0</v>
      </c>
      <c r="G12146" s="60">
        <v>1.0</v>
      </c>
      <c r="H12146" s="60">
        <v>0.0</v>
      </c>
      <c r="I12146" s="60">
        <v>1504.633195</v>
      </c>
      <c r="J12146" s="59">
        <v>2.0</v>
      </c>
      <c r="K12146" s="61">
        <f t="shared" si="1"/>
        <v>0</v>
      </c>
      <c r="L12146" s="62">
        <f t="shared" si="2"/>
        <v>2</v>
      </c>
    </row>
    <row r="12147">
      <c r="A12147" s="58">
        <v>44866.0</v>
      </c>
      <c r="B12147" s="24" t="s">
        <v>6787</v>
      </c>
      <c r="C12147" s="24" t="s">
        <v>6896</v>
      </c>
      <c r="D12147" s="59">
        <v>1.0</v>
      </c>
      <c r="E12147" s="59">
        <v>1.0</v>
      </c>
      <c r="F12147" s="59">
        <v>1.0</v>
      </c>
      <c r="G12147" s="60">
        <v>1.0</v>
      </c>
      <c r="H12147" s="60">
        <v>0.0</v>
      </c>
      <c r="I12147" s="60">
        <v>4.990569</v>
      </c>
      <c r="J12147" s="59">
        <v>2.0</v>
      </c>
      <c r="K12147" s="61">
        <f t="shared" si="1"/>
        <v>1</v>
      </c>
      <c r="L12147" s="62">
        <f t="shared" si="2"/>
        <v>2</v>
      </c>
    </row>
    <row r="12148">
      <c r="A12148" s="58">
        <v>44866.0</v>
      </c>
      <c r="B12148" s="24" t="s">
        <v>7606</v>
      </c>
      <c r="C12148" s="24" t="s">
        <v>6896</v>
      </c>
      <c r="D12148" s="59">
        <v>1.0</v>
      </c>
      <c r="E12148" s="59">
        <v>1.0</v>
      </c>
      <c r="F12148" s="59">
        <v>0.0</v>
      </c>
      <c r="G12148" s="60">
        <v>1.0</v>
      </c>
      <c r="H12148" s="60">
        <v>0.0</v>
      </c>
      <c r="I12148" s="60">
        <v>6166.109283</v>
      </c>
      <c r="J12148" s="59">
        <v>48.0</v>
      </c>
      <c r="K12148" s="61">
        <f t="shared" si="1"/>
        <v>0</v>
      </c>
      <c r="L12148" s="62">
        <f t="shared" si="2"/>
        <v>48</v>
      </c>
    </row>
    <row r="12149">
      <c r="A12149" s="58">
        <v>44866.0</v>
      </c>
      <c r="B12149" s="24" t="s">
        <v>6789</v>
      </c>
      <c r="C12149" s="24" t="s">
        <v>6896</v>
      </c>
      <c r="D12149" s="59">
        <v>1.0</v>
      </c>
      <c r="E12149" s="59">
        <v>1.0</v>
      </c>
      <c r="F12149" s="59">
        <v>0.0</v>
      </c>
      <c r="G12149" s="60">
        <v>0.0</v>
      </c>
      <c r="H12149" s="60">
        <v>1.0</v>
      </c>
      <c r="I12149" s="60">
        <v>0.0</v>
      </c>
      <c r="J12149" s="59">
        <v>1.0</v>
      </c>
      <c r="K12149" s="61">
        <f t="shared" si="1"/>
        <v>0</v>
      </c>
      <c r="L12149" s="62">
        <f t="shared" si="2"/>
        <v>1</v>
      </c>
    </row>
    <row r="12150">
      <c r="A12150" s="58">
        <v>44866.0</v>
      </c>
      <c r="B12150" s="24" t="s">
        <v>155</v>
      </c>
      <c r="C12150" s="24" t="s">
        <v>6896</v>
      </c>
      <c r="D12150" s="59">
        <v>1.0</v>
      </c>
      <c r="E12150" s="59">
        <v>1.0</v>
      </c>
      <c r="F12150" s="59">
        <v>0.0</v>
      </c>
      <c r="G12150" s="60">
        <v>1.0</v>
      </c>
      <c r="H12150" s="60">
        <v>0.0</v>
      </c>
      <c r="I12150" s="60">
        <v>1497.007324</v>
      </c>
      <c r="J12150" s="59">
        <v>16.0</v>
      </c>
      <c r="K12150" s="61">
        <f t="shared" si="1"/>
        <v>0</v>
      </c>
      <c r="L12150" s="62">
        <f t="shared" si="2"/>
        <v>16</v>
      </c>
    </row>
    <row r="12151">
      <c r="A12151" s="58">
        <v>44866.0</v>
      </c>
      <c r="B12151" s="24" t="s">
        <v>6789</v>
      </c>
      <c r="C12151" s="24" t="s">
        <v>7307</v>
      </c>
      <c r="D12151" s="59">
        <v>1.0</v>
      </c>
      <c r="E12151" s="59">
        <v>1.0</v>
      </c>
      <c r="F12151" s="59">
        <v>0.0</v>
      </c>
      <c r="G12151" s="60">
        <v>1.0</v>
      </c>
      <c r="H12151" s="60">
        <v>0.0</v>
      </c>
      <c r="I12151" s="60">
        <v>15.716817</v>
      </c>
      <c r="J12151" s="59">
        <v>2.0</v>
      </c>
      <c r="K12151" s="61">
        <f t="shared" si="1"/>
        <v>0</v>
      </c>
      <c r="L12151" s="62">
        <f t="shared" si="2"/>
        <v>2</v>
      </c>
    </row>
    <row r="12152">
      <c r="A12152" s="58">
        <v>44866.0</v>
      </c>
      <c r="B12152" s="24" t="s">
        <v>7100</v>
      </c>
      <c r="C12152" s="24" t="s">
        <v>7307</v>
      </c>
      <c r="D12152" s="59">
        <v>1.0</v>
      </c>
      <c r="E12152" s="59">
        <v>1.0</v>
      </c>
      <c r="F12152" s="59">
        <v>1.0</v>
      </c>
      <c r="G12152" s="60">
        <v>1.0</v>
      </c>
      <c r="H12152" s="60">
        <v>0.0</v>
      </c>
      <c r="I12152" s="60">
        <v>5.016018</v>
      </c>
      <c r="J12152" s="59">
        <v>2.0</v>
      </c>
      <c r="K12152" s="61">
        <f t="shared" si="1"/>
        <v>1</v>
      </c>
      <c r="L12152" s="62">
        <f t="shared" si="2"/>
        <v>2</v>
      </c>
    </row>
    <row r="12153">
      <c r="A12153" s="58">
        <v>44866.0</v>
      </c>
      <c r="B12153" s="24" t="s">
        <v>6790</v>
      </c>
      <c r="C12153" s="24" t="s">
        <v>7307</v>
      </c>
      <c r="D12153" s="59">
        <v>1.0</v>
      </c>
      <c r="E12153" s="59">
        <v>1.0</v>
      </c>
      <c r="F12153" s="59">
        <v>0.0</v>
      </c>
      <c r="G12153" s="60">
        <v>1.0</v>
      </c>
      <c r="H12153" s="60">
        <v>1.0</v>
      </c>
      <c r="I12153" s="60">
        <v>0.0</v>
      </c>
      <c r="J12153" s="59">
        <v>1.0</v>
      </c>
      <c r="K12153" s="61">
        <f t="shared" si="1"/>
        <v>0</v>
      </c>
      <c r="L12153" s="62">
        <f t="shared" si="2"/>
        <v>1</v>
      </c>
    </row>
    <row r="12154">
      <c r="A12154" s="58">
        <v>44866.0</v>
      </c>
      <c r="B12154" s="24" t="s">
        <v>6789</v>
      </c>
      <c r="C12154" s="24" t="s">
        <v>7008</v>
      </c>
      <c r="D12154" s="59">
        <v>1.0</v>
      </c>
      <c r="E12154" s="59">
        <v>1.0</v>
      </c>
      <c r="F12154" s="59">
        <v>0.0</v>
      </c>
      <c r="G12154" s="60">
        <v>1.0</v>
      </c>
      <c r="H12154" s="60">
        <v>0.0</v>
      </c>
      <c r="I12154" s="60">
        <v>1577.240483</v>
      </c>
      <c r="J12154" s="59">
        <v>16.0</v>
      </c>
      <c r="K12154" s="61">
        <f t="shared" si="1"/>
        <v>0</v>
      </c>
      <c r="L12154" s="62">
        <f t="shared" si="2"/>
        <v>16</v>
      </c>
    </row>
    <row r="12155">
      <c r="A12155" s="58">
        <v>44866.0</v>
      </c>
      <c r="B12155" s="24" t="s">
        <v>6787</v>
      </c>
      <c r="C12155" s="24" t="s">
        <v>7156</v>
      </c>
      <c r="D12155" s="59">
        <v>1.0</v>
      </c>
      <c r="E12155" s="59">
        <v>1.0</v>
      </c>
      <c r="F12155" s="59">
        <v>0.0</v>
      </c>
      <c r="G12155" s="60">
        <v>1.0</v>
      </c>
      <c r="H12155" s="60">
        <v>0.0</v>
      </c>
      <c r="I12155" s="60">
        <v>673.72939</v>
      </c>
      <c r="J12155" s="59">
        <v>6.0</v>
      </c>
      <c r="K12155" s="61">
        <f t="shared" si="1"/>
        <v>0</v>
      </c>
      <c r="L12155" s="62">
        <f t="shared" si="2"/>
        <v>6</v>
      </c>
    </row>
    <row r="12156">
      <c r="A12156" s="58">
        <v>44866.0</v>
      </c>
      <c r="B12156" s="24" t="s">
        <v>6789</v>
      </c>
      <c r="C12156" s="24" t="s">
        <v>7156</v>
      </c>
      <c r="D12156" s="59">
        <v>1.0</v>
      </c>
      <c r="E12156" s="59">
        <v>1.0</v>
      </c>
      <c r="F12156" s="59">
        <v>0.0</v>
      </c>
      <c r="G12156" s="60">
        <v>1.0</v>
      </c>
      <c r="H12156" s="60">
        <v>0.0</v>
      </c>
      <c r="I12156" s="60">
        <v>17.998215</v>
      </c>
      <c r="J12156" s="59">
        <v>4.0</v>
      </c>
      <c r="K12156" s="61">
        <f t="shared" si="1"/>
        <v>0</v>
      </c>
      <c r="L12156" s="62">
        <f t="shared" si="2"/>
        <v>4</v>
      </c>
    </row>
    <row r="12157">
      <c r="A12157" s="58">
        <v>44866.0</v>
      </c>
      <c r="B12157" s="24" t="s">
        <v>6789</v>
      </c>
      <c r="C12157" s="24" t="s">
        <v>6904</v>
      </c>
      <c r="D12157" s="59">
        <v>1.0</v>
      </c>
      <c r="E12157" s="59">
        <v>1.0</v>
      </c>
      <c r="F12157" s="59">
        <v>1.0</v>
      </c>
      <c r="G12157" s="60">
        <v>1.0</v>
      </c>
      <c r="H12157" s="60">
        <v>0.0</v>
      </c>
      <c r="I12157" s="60">
        <v>9.252807</v>
      </c>
      <c r="J12157" s="59">
        <v>4.0</v>
      </c>
      <c r="K12157" s="61">
        <f t="shared" si="1"/>
        <v>1</v>
      </c>
      <c r="L12157" s="62">
        <f t="shared" si="2"/>
        <v>4</v>
      </c>
    </row>
    <row r="12158">
      <c r="A12158" s="58">
        <v>44866.0</v>
      </c>
      <c r="B12158" s="24" t="s">
        <v>6794</v>
      </c>
      <c r="C12158" s="24" t="s">
        <v>6905</v>
      </c>
      <c r="D12158" s="59">
        <v>1.0</v>
      </c>
      <c r="E12158" s="59">
        <v>2.0</v>
      </c>
      <c r="F12158" s="59">
        <v>0.0</v>
      </c>
      <c r="G12158" s="60">
        <v>2.0</v>
      </c>
      <c r="H12158" s="60">
        <v>0.0</v>
      </c>
      <c r="I12158" s="60">
        <v>1.883238</v>
      </c>
      <c r="J12158" s="59">
        <v>4.0</v>
      </c>
      <c r="K12158" s="61">
        <f t="shared" si="1"/>
        <v>0</v>
      </c>
      <c r="L12158" s="62">
        <f t="shared" si="2"/>
        <v>2</v>
      </c>
    </row>
    <row r="12159">
      <c r="A12159" s="58">
        <v>44866.0</v>
      </c>
      <c r="B12159" s="24" t="s">
        <v>6787</v>
      </c>
      <c r="C12159" s="24" t="s">
        <v>7228</v>
      </c>
      <c r="D12159" s="59">
        <v>1.0</v>
      </c>
      <c r="E12159" s="59">
        <v>1.0</v>
      </c>
      <c r="F12159" s="59">
        <v>1.0</v>
      </c>
      <c r="G12159" s="60">
        <v>1.0</v>
      </c>
      <c r="H12159" s="60">
        <v>0.0</v>
      </c>
      <c r="I12159" s="60">
        <v>403.759885</v>
      </c>
      <c r="J12159" s="59">
        <v>5.0</v>
      </c>
      <c r="K12159" s="61">
        <f t="shared" si="1"/>
        <v>1</v>
      </c>
      <c r="L12159" s="62">
        <f t="shared" si="2"/>
        <v>5</v>
      </c>
    </row>
    <row r="12160">
      <c r="A12160" s="58">
        <v>44866.0</v>
      </c>
      <c r="B12160" s="24" t="s">
        <v>155</v>
      </c>
      <c r="C12160" s="24" t="s">
        <v>6907</v>
      </c>
      <c r="D12160" s="59">
        <v>1.0</v>
      </c>
      <c r="E12160" s="59">
        <v>1.0</v>
      </c>
      <c r="F12160" s="59">
        <v>0.0</v>
      </c>
      <c r="G12160" s="60">
        <v>1.0</v>
      </c>
      <c r="H12160" s="60">
        <v>0.0</v>
      </c>
      <c r="I12160" s="60">
        <v>359.481828</v>
      </c>
      <c r="J12160" s="59">
        <v>8.0</v>
      </c>
      <c r="K12160" s="61">
        <f t="shared" si="1"/>
        <v>0</v>
      </c>
      <c r="L12160" s="62">
        <f t="shared" si="2"/>
        <v>8</v>
      </c>
    </row>
    <row r="12161">
      <c r="A12161" s="58">
        <v>44866.0</v>
      </c>
      <c r="B12161" s="24" t="s">
        <v>6790</v>
      </c>
      <c r="C12161" s="24" t="s">
        <v>6907</v>
      </c>
      <c r="D12161" s="59">
        <v>1.0</v>
      </c>
      <c r="E12161" s="59">
        <v>1.0</v>
      </c>
      <c r="F12161" s="59">
        <v>0.0</v>
      </c>
      <c r="G12161" s="60">
        <v>1.0</v>
      </c>
      <c r="H12161" s="60">
        <v>1.0</v>
      </c>
      <c r="I12161" s="60">
        <v>164.84961</v>
      </c>
      <c r="J12161" s="59">
        <v>4.0</v>
      </c>
      <c r="K12161" s="61">
        <f t="shared" si="1"/>
        <v>0</v>
      </c>
      <c r="L12161" s="62">
        <f t="shared" si="2"/>
        <v>4</v>
      </c>
    </row>
    <row r="12162">
      <c r="A12162" s="58">
        <v>44866.0</v>
      </c>
      <c r="B12162" s="24" t="s">
        <v>6787</v>
      </c>
      <c r="C12162" s="24" t="s">
        <v>7685</v>
      </c>
      <c r="D12162" s="59">
        <v>1.0</v>
      </c>
      <c r="E12162" s="59">
        <v>1.0</v>
      </c>
      <c r="F12162" s="59">
        <v>0.0</v>
      </c>
      <c r="G12162" s="60">
        <v>1.0</v>
      </c>
      <c r="H12162" s="60">
        <v>0.0</v>
      </c>
      <c r="I12162" s="60">
        <v>294.09366</v>
      </c>
      <c r="J12162" s="59">
        <v>8.0</v>
      </c>
      <c r="K12162" s="61">
        <f t="shared" si="1"/>
        <v>0</v>
      </c>
      <c r="L12162" s="62">
        <f t="shared" si="2"/>
        <v>8</v>
      </c>
    </row>
    <row r="12163">
      <c r="A12163" s="58">
        <v>44866.0</v>
      </c>
      <c r="B12163" s="24" t="s">
        <v>6794</v>
      </c>
      <c r="C12163" s="24" t="s">
        <v>6808</v>
      </c>
      <c r="D12163" s="59">
        <v>1.0</v>
      </c>
      <c r="E12163" s="59">
        <v>1.0</v>
      </c>
      <c r="F12163" s="59">
        <v>0.0</v>
      </c>
      <c r="G12163" s="60">
        <v>1.0</v>
      </c>
      <c r="H12163" s="60">
        <v>0.0</v>
      </c>
      <c r="I12163" s="60">
        <v>17.389987</v>
      </c>
      <c r="J12163" s="59">
        <v>2.0</v>
      </c>
      <c r="K12163" s="61">
        <f t="shared" si="1"/>
        <v>0</v>
      </c>
      <c r="L12163" s="62">
        <f t="shared" si="2"/>
        <v>2</v>
      </c>
    </row>
    <row r="12164">
      <c r="A12164" s="58">
        <v>44866.0</v>
      </c>
      <c r="B12164" s="24" t="s">
        <v>155</v>
      </c>
      <c r="C12164" s="24" t="s">
        <v>6808</v>
      </c>
      <c r="D12164" s="59">
        <v>1.0</v>
      </c>
      <c r="E12164" s="59">
        <v>1.0</v>
      </c>
      <c r="F12164" s="59">
        <v>0.0</v>
      </c>
      <c r="G12164" s="60">
        <v>1.0</v>
      </c>
      <c r="H12164" s="60">
        <v>0.0</v>
      </c>
      <c r="I12164" s="60">
        <v>33.746251</v>
      </c>
      <c r="J12164" s="59">
        <v>4.0</v>
      </c>
      <c r="K12164" s="61">
        <f t="shared" si="1"/>
        <v>0</v>
      </c>
      <c r="L12164" s="62">
        <f t="shared" si="2"/>
        <v>4</v>
      </c>
    </row>
    <row r="12165">
      <c r="A12165" s="58">
        <v>44866.0</v>
      </c>
      <c r="B12165" s="24" t="s">
        <v>6790</v>
      </c>
      <c r="C12165" s="24" t="s">
        <v>6808</v>
      </c>
      <c r="D12165" s="59">
        <v>1.0</v>
      </c>
      <c r="E12165" s="59">
        <v>1.0</v>
      </c>
      <c r="F12165" s="59">
        <v>0.0</v>
      </c>
      <c r="G12165" s="60">
        <v>1.0</v>
      </c>
      <c r="H12165" s="60">
        <v>0.0</v>
      </c>
      <c r="I12165" s="60">
        <v>4.941872</v>
      </c>
      <c r="J12165" s="59">
        <v>2.0</v>
      </c>
      <c r="K12165" s="61">
        <f t="shared" si="1"/>
        <v>0</v>
      </c>
      <c r="L12165" s="62">
        <f t="shared" si="2"/>
        <v>2</v>
      </c>
    </row>
    <row r="12166">
      <c r="A12166" s="58">
        <v>44866.0</v>
      </c>
      <c r="B12166" s="24" t="s">
        <v>6787</v>
      </c>
      <c r="C12166" s="24" t="s">
        <v>7087</v>
      </c>
      <c r="D12166" s="59">
        <v>1.0</v>
      </c>
      <c r="E12166" s="59">
        <v>1.0</v>
      </c>
      <c r="F12166" s="59">
        <v>1.0</v>
      </c>
      <c r="G12166" s="60">
        <v>1.0</v>
      </c>
      <c r="H12166" s="60">
        <v>0.0</v>
      </c>
      <c r="I12166" s="60">
        <v>35.635541</v>
      </c>
      <c r="J12166" s="59">
        <v>3.0</v>
      </c>
      <c r="K12166" s="61">
        <f t="shared" si="1"/>
        <v>1</v>
      </c>
      <c r="L12166" s="62">
        <f t="shared" si="2"/>
        <v>3</v>
      </c>
    </row>
    <row r="12167">
      <c r="A12167" s="58">
        <v>44866.0</v>
      </c>
      <c r="B12167" s="24" t="s">
        <v>6787</v>
      </c>
      <c r="C12167" s="24" t="s">
        <v>6800</v>
      </c>
      <c r="D12167" s="59">
        <v>1.0</v>
      </c>
      <c r="E12167" s="59">
        <v>1.0</v>
      </c>
      <c r="F12167" s="59">
        <v>1.0</v>
      </c>
      <c r="G12167" s="60">
        <v>1.0</v>
      </c>
      <c r="H12167" s="60">
        <v>0.0</v>
      </c>
      <c r="I12167" s="60">
        <v>4.822018</v>
      </c>
      <c r="J12167" s="59">
        <v>2.0</v>
      </c>
      <c r="K12167" s="61">
        <f t="shared" si="1"/>
        <v>1</v>
      </c>
      <c r="L12167" s="62">
        <f t="shared" si="2"/>
        <v>2</v>
      </c>
    </row>
    <row r="12168">
      <c r="A12168" s="58">
        <v>44866.0</v>
      </c>
      <c r="B12168" s="24" t="s">
        <v>155</v>
      </c>
      <c r="C12168" s="24" t="s">
        <v>6800</v>
      </c>
      <c r="D12168" s="59">
        <v>1.0</v>
      </c>
      <c r="E12168" s="59">
        <v>3.0</v>
      </c>
      <c r="F12168" s="59">
        <v>0.0</v>
      </c>
      <c r="G12168" s="60">
        <v>3.0</v>
      </c>
      <c r="H12168" s="60">
        <v>0.0</v>
      </c>
      <c r="I12168" s="60">
        <v>5.089859</v>
      </c>
      <c r="J12168" s="59">
        <v>6.0</v>
      </c>
      <c r="K12168" s="61">
        <f t="shared" si="1"/>
        <v>0</v>
      </c>
      <c r="L12168" s="62">
        <f t="shared" si="2"/>
        <v>2</v>
      </c>
    </row>
    <row r="12169">
      <c r="A12169" s="58">
        <v>44866.0</v>
      </c>
      <c r="B12169" s="24" t="s">
        <v>6789</v>
      </c>
      <c r="C12169" s="24" t="s">
        <v>6908</v>
      </c>
      <c r="D12169" s="59">
        <v>1.0</v>
      </c>
      <c r="E12169" s="59">
        <v>1.0</v>
      </c>
      <c r="F12169" s="59">
        <v>0.0</v>
      </c>
      <c r="G12169" s="60">
        <v>1.0</v>
      </c>
      <c r="H12169" s="60">
        <v>0.0</v>
      </c>
      <c r="I12169" s="60">
        <v>189.046663</v>
      </c>
      <c r="J12169" s="59">
        <v>2.0</v>
      </c>
      <c r="K12169" s="61">
        <f t="shared" si="1"/>
        <v>0</v>
      </c>
      <c r="L12169" s="62">
        <f t="shared" si="2"/>
        <v>2</v>
      </c>
    </row>
    <row r="12170">
      <c r="A12170" s="58">
        <v>44866.0</v>
      </c>
      <c r="B12170" s="24" t="s">
        <v>6794</v>
      </c>
      <c r="C12170" s="24" t="s">
        <v>6910</v>
      </c>
      <c r="D12170" s="59">
        <v>1.0</v>
      </c>
      <c r="E12170" s="59">
        <v>2.0</v>
      </c>
      <c r="F12170" s="59">
        <v>0.0</v>
      </c>
      <c r="G12170" s="60">
        <v>2.0</v>
      </c>
      <c r="H12170" s="60">
        <v>0.0</v>
      </c>
      <c r="I12170" s="60">
        <v>313.985605</v>
      </c>
      <c r="J12170" s="59">
        <v>4.0</v>
      </c>
      <c r="K12170" s="61">
        <f t="shared" si="1"/>
        <v>0</v>
      </c>
      <c r="L12170" s="62">
        <f t="shared" si="2"/>
        <v>2</v>
      </c>
    </row>
    <row r="12171">
      <c r="A12171" s="58">
        <v>44866.0</v>
      </c>
      <c r="B12171" s="24" t="s">
        <v>6790</v>
      </c>
      <c r="C12171" s="24" t="s">
        <v>6910</v>
      </c>
      <c r="D12171" s="59">
        <v>1.0</v>
      </c>
      <c r="E12171" s="59">
        <v>1.0</v>
      </c>
      <c r="F12171" s="59">
        <v>0.0</v>
      </c>
      <c r="G12171" s="60">
        <v>1.0</v>
      </c>
      <c r="H12171" s="60">
        <v>1.0</v>
      </c>
      <c r="I12171" s="60">
        <v>10.80424</v>
      </c>
      <c r="J12171" s="59">
        <v>2.0</v>
      </c>
      <c r="K12171" s="61">
        <f t="shared" si="1"/>
        <v>0</v>
      </c>
      <c r="L12171" s="62">
        <f t="shared" si="2"/>
        <v>2</v>
      </c>
    </row>
    <row r="12172">
      <c r="A12172" s="58">
        <v>44866.0</v>
      </c>
      <c r="B12172" s="24" t="s">
        <v>6794</v>
      </c>
      <c r="C12172" s="24" t="s">
        <v>7559</v>
      </c>
      <c r="D12172" s="59">
        <v>1.0</v>
      </c>
      <c r="E12172" s="59">
        <v>1.0</v>
      </c>
      <c r="F12172" s="59">
        <v>1.0</v>
      </c>
      <c r="G12172" s="60">
        <v>1.0</v>
      </c>
      <c r="H12172" s="60">
        <v>0.0</v>
      </c>
      <c r="I12172" s="60">
        <v>1699.420174</v>
      </c>
      <c r="J12172" s="59">
        <v>11.0</v>
      </c>
      <c r="K12172" s="61">
        <f t="shared" si="1"/>
        <v>1</v>
      </c>
      <c r="L12172" s="62">
        <f t="shared" si="2"/>
        <v>11</v>
      </c>
    </row>
    <row r="12173">
      <c r="A12173" s="58">
        <v>44866.0</v>
      </c>
      <c r="B12173" s="24" t="s">
        <v>155</v>
      </c>
      <c r="C12173" s="24" t="s">
        <v>7027</v>
      </c>
      <c r="D12173" s="59">
        <v>1.0</v>
      </c>
      <c r="E12173" s="59">
        <v>1.0</v>
      </c>
      <c r="F12173" s="59">
        <v>0.0</v>
      </c>
      <c r="G12173" s="60">
        <v>1.0</v>
      </c>
      <c r="H12173" s="60">
        <v>0.0</v>
      </c>
      <c r="I12173" s="60">
        <v>717.321163</v>
      </c>
      <c r="J12173" s="59">
        <v>4.0</v>
      </c>
      <c r="K12173" s="61">
        <f t="shared" si="1"/>
        <v>0</v>
      </c>
      <c r="L12173" s="62">
        <f t="shared" si="2"/>
        <v>4</v>
      </c>
    </row>
    <row r="12174">
      <c r="A12174" s="58">
        <v>44866.0</v>
      </c>
      <c r="B12174" s="24" t="s">
        <v>155</v>
      </c>
      <c r="C12174" s="24" t="s">
        <v>6815</v>
      </c>
      <c r="D12174" s="59">
        <v>1.0</v>
      </c>
      <c r="E12174" s="59">
        <v>1.0</v>
      </c>
      <c r="F12174" s="59">
        <v>0.0</v>
      </c>
      <c r="G12174" s="60">
        <v>1.0</v>
      </c>
      <c r="H12174" s="60">
        <v>0.0</v>
      </c>
      <c r="I12174" s="60">
        <v>212.470859</v>
      </c>
      <c r="J12174" s="59">
        <v>8.0</v>
      </c>
      <c r="K12174" s="61">
        <f t="shared" si="1"/>
        <v>0</v>
      </c>
      <c r="L12174" s="62">
        <f t="shared" si="2"/>
        <v>8</v>
      </c>
    </row>
    <row r="12175">
      <c r="A12175" s="58">
        <v>44866.0</v>
      </c>
      <c r="B12175" s="24" t="s">
        <v>6787</v>
      </c>
      <c r="C12175" s="24" t="s">
        <v>7601</v>
      </c>
      <c r="D12175" s="59">
        <v>1.0</v>
      </c>
      <c r="E12175" s="59">
        <v>1.0</v>
      </c>
      <c r="F12175" s="59">
        <v>1.0</v>
      </c>
      <c r="G12175" s="60">
        <v>1.0</v>
      </c>
      <c r="H12175" s="60">
        <v>0.0</v>
      </c>
      <c r="I12175" s="60">
        <v>4.972818</v>
      </c>
      <c r="J12175" s="59">
        <v>2.0</v>
      </c>
      <c r="K12175" s="61">
        <f t="shared" si="1"/>
        <v>1</v>
      </c>
      <c r="L12175" s="62">
        <f t="shared" si="2"/>
        <v>2</v>
      </c>
    </row>
    <row r="12176">
      <c r="A12176" s="58">
        <v>44866.0</v>
      </c>
      <c r="B12176" s="24" t="s">
        <v>7606</v>
      </c>
      <c r="C12176" s="24" t="s">
        <v>7601</v>
      </c>
      <c r="D12176" s="59">
        <v>1.0</v>
      </c>
      <c r="E12176" s="59">
        <v>1.0</v>
      </c>
      <c r="F12176" s="59">
        <v>1.0</v>
      </c>
      <c r="G12176" s="60">
        <v>1.0</v>
      </c>
      <c r="H12176" s="60">
        <v>0.0</v>
      </c>
      <c r="I12176" s="60">
        <v>4.960187</v>
      </c>
      <c r="J12176" s="59">
        <v>2.0</v>
      </c>
      <c r="K12176" s="61">
        <f t="shared" si="1"/>
        <v>1</v>
      </c>
      <c r="L12176" s="62">
        <f t="shared" si="2"/>
        <v>2</v>
      </c>
    </row>
    <row r="12177">
      <c r="A12177" s="58">
        <v>44866.0</v>
      </c>
      <c r="B12177" s="24" t="s">
        <v>6787</v>
      </c>
      <c r="C12177" s="24" t="s">
        <v>7588</v>
      </c>
      <c r="D12177" s="59">
        <v>1.0</v>
      </c>
      <c r="E12177" s="59">
        <v>1.0</v>
      </c>
      <c r="F12177" s="59">
        <v>1.0</v>
      </c>
      <c r="G12177" s="60">
        <v>1.0</v>
      </c>
      <c r="H12177" s="60">
        <v>0.0</v>
      </c>
      <c r="I12177" s="60">
        <v>5.236335</v>
      </c>
      <c r="J12177" s="59">
        <v>2.0</v>
      </c>
      <c r="K12177" s="61">
        <f t="shared" si="1"/>
        <v>1</v>
      </c>
      <c r="L12177" s="62">
        <f t="shared" si="2"/>
        <v>2</v>
      </c>
    </row>
    <row r="12178">
      <c r="A12178" s="58">
        <v>44866.0</v>
      </c>
      <c r="B12178" s="24" t="s">
        <v>6794</v>
      </c>
      <c r="C12178" s="24" t="s">
        <v>6922</v>
      </c>
      <c r="D12178" s="59">
        <v>1.0</v>
      </c>
      <c r="E12178" s="59">
        <v>1.0</v>
      </c>
      <c r="F12178" s="59">
        <v>0.0</v>
      </c>
      <c r="G12178" s="60">
        <v>1.0</v>
      </c>
      <c r="H12178" s="60">
        <v>0.0</v>
      </c>
      <c r="I12178" s="60">
        <v>48.327292</v>
      </c>
      <c r="J12178" s="59">
        <v>4.0</v>
      </c>
      <c r="K12178" s="61">
        <f t="shared" si="1"/>
        <v>0</v>
      </c>
      <c r="L12178" s="62">
        <f t="shared" si="2"/>
        <v>4</v>
      </c>
    </row>
    <row r="12179">
      <c r="A12179" s="58">
        <v>44866.0</v>
      </c>
      <c r="B12179" s="24" t="s">
        <v>7606</v>
      </c>
      <c r="C12179" s="24" t="s">
        <v>7047</v>
      </c>
      <c r="D12179" s="59">
        <v>1.0</v>
      </c>
      <c r="E12179" s="59">
        <v>1.0</v>
      </c>
      <c r="F12179" s="59">
        <v>0.0</v>
      </c>
      <c r="G12179" s="60">
        <v>1.0</v>
      </c>
      <c r="H12179" s="60">
        <v>0.0</v>
      </c>
      <c r="I12179" s="60">
        <v>105.390327</v>
      </c>
      <c r="J12179" s="59">
        <v>4.0</v>
      </c>
      <c r="K12179" s="61">
        <f t="shared" si="1"/>
        <v>0</v>
      </c>
      <c r="L12179" s="62">
        <f t="shared" si="2"/>
        <v>4</v>
      </c>
    </row>
    <row r="12180">
      <c r="A12180" s="58">
        <v>44866.0</v>
      </c>
      <c r="B12180" s="24" t="s">
        <v>6794</v>
      </c>
      <c r="C12180" s="24" t="s">
        <v>6797</v>
      </c>
      <c r="D12180" s="59">
        <v>1.0</v>
      </c>
      <c r="E12180" s="59">
        <v>1.0</v>
      </c>
      <c r="F12180" s="59">
        <v>1.0</v>
      </c>
      <c r="G12180" s="60">
        <v>1.0</v>
      </c>
      <c r="H12180" s="60">
        <v>0.0</v>
      </c>
      <c r="I12180" s="60">
        <v>69.813326</v>
      </c>
      <c r="J12180" s="59">
        <v>2.0</v>
      </c>
      <c r="K12180" s="61">
        <f t="shared" si="1"/>
        <v>1</v>
      </c>
      <c r="L12180" s="62">
        <f t="shared" si="2"/>
        <v>2</v>
      </c>
    </row>
    <row r="12181">
      <c r="A12181" s="58">
        <v>44866.0</v>
      </c>
      <c r="B12181" s="24" t="s">
        <v>155</v>
      </c>
      <c r="C12181" s="24" t="s">
        <v>6797</v>
      </c>
      <c r="D12181" s="59">
        <v>1.0</v>
      </c>
      <c r="E12181" s="59">
        <v>1.0</v>
      </c>
      <c r="F12181" s="59">
        <v>1.0</v>
      </c>
      <c r="G12181" s="60">
        <v>1.0</v>
      </c>
      <c r="H12181" s="60">
        <v>1.0</v>
      </c>
      <c r="I12181" s="60">
        <v>8.253085</v>
      </c>
      <c r="J12181" s="59">
        <v>1.0</v>
      </c>
      <c r="K12181" s="61">
        <f t="shared" si="1"/>
        <v>1</v>
      </c>
      <c r="L12181" s="62">
        <f t="shared" si="2"/>
        <v>1</v>
      </c>
    </row>
    <row r="12182">
      <c r="A12182" s="58">
        <v>44866.0</v>
      </c>
      <c r="B12182" s="24" t="s">
        <v>6787</v>
      </c>
      <c r="C12182" s="24" t="s">
        <v>6931</v>
      </c>
      <c r="D12182" s="59">
        <v>1.0</v>
      </c>
      <c r="E12182" s="59">
        <v>1.0</v>
      </c>
      <c r="F12182" s="59">
        <v>1.0</v>
      </c>
      <c r="G12182" s="60">
        <v>1.0</v>
      </c>
      <c r="H12182" s="60">
        <v>0.0</v>
      </c>
      <c r="I12182" s="60">
        <v>4.312074</v>
      </c>
      <c r="J12182" s="59">
        <v>2.0</v>
      </c>
      <c r="K12182" s="61">
        <f t="shared" si="1"/>
        <v>1</v>
      </c>
      <c r="L12182" s="62">
        <f t="shared" si="2"/>
        <v>2</v>
      </c>
    </row>
    <row r="12183">
      <c r="A12183" s="58">
        <v>44866.0</v>
      </c>
      <c r="B12183" s="24" t="s">
        <v>155</v>
      </c>
      <c r="C12183" s="24" t="s">
        <v>6931</v>
      </c>
      <c r="D12183" s="59">
        <v>1.0</v>
      </c>
      <c r="E12183" s="59">
        <v>1.0</v>
      </c>
      <c r="F12183" s="59">
        <v>1.0</v>
      </c>
      <c r="G12183" s="60">
        <v>1.0</v>
      </c>
      <c r="H12183" s="60">
        <v>0.0</v>
      </c>
      <c r="I12183" s="60">
        <v>11.502448</v>
      </c>
      <c r="J12183" s="59">
        <v>4.0</v>
      </c>
      <c r="K12183" s="61">
        <f t="shared" si="1"/>
        <v>1</v>
      </c>
      <c r="L12183" s="62">
        <f t="shared" si="2"/>
        <v>4</v>
      </c>
    </row>
    <row r="12184">
      <c r="A12184" s="58">
        <v>44866.0</v>
      </c>
      <c r="B12184" s="24" t="s">
        <v>6789</v>
      </c>
      <c r="C12184" s="24" t="s">
        <v>7508</v>
      </c>
      <c r="D12184" s="59">
        <v>1.0</v>
      </c>
      <c r="E12184" s="59">
        <v>1.0</v>
      </c>
      <c r="F12184" s="59">
        <v>0.0</v>
      </c>
      <c r="G12184" s="60">
        <v>1.0</v>
      </c>
      <c r="H12184" s="60">
        <v>0.0</v>
      </c>
      <c r="I12184" s="60">
        <v>17.302722</v>
      </c>
      <c r="J12184" s="59">
        <v>4.0</v>
      </c>
      <c r="K12184" s="61">
        <f t="shared" si="1"/>
        <v>0</v>
      </c>
      <c r="L12184" s="62">
        <f t="shared" si="2"/>
        <v>4</v>
      </c>
    </row>
    <row r="12185">
      <c r="A12185" s="58">
        <v>44866.0</v>
      </c>
      <c r="B12185" s="24" t="s">
        <v>155</v>
      </c>
      <c r="C12185" s="24" t="s">
        <v>6802</v>
      </c>
      <c r="D12185" s="59">
        <v>1.0</v>
      </c>
      <c r="E12185" s="59">
        <v>1.0</v>
      </c>
      <c r="F12185" s="59">
        <v>0.0</v>
      </c>
      <c r="G12185" s="60">
        <v>1.0</v>
      </c>
      <c r="H12185" s="60">
        <v>0.0</v>
      </c>
      <c r="I12185" s="60">
        <v>2032.614497</v>
      </c>
      <c r="J12185" s="59">
        <v>14.0</v>
      </c>
      <c r="K12185" s="61">
        <f t="shared" si="1"/>
        <v>0</v>
      </c>
      <c r="L12185" s="62">
        <f t="shared" si="2"/>
        <v>14</v>
      </c>
    </row>
    <row r="12186">
      <c r="A12186" s="58">
        <v>44866.0</v>
      </c>
      <c r="B12186" s="24" t="s">
        <v>6790</v>
      </c>
      <c r="C12186" s="24" t="s">
        <v>6802</v>
      </c>
      <c r="D12186" s="59">
        <v>1.0</v>
      </c>
      <c r="E12186" s="59">
        <v>1.0</v>
      </c>
      <c r="F12186" s="59">
        <v>0.0</v>
      </c>
      <c r="G12186" s="60">
        <v>1.0</v>
      </c>
      <c r="H12186" s="60">
        <v>1.0</v>
      </c>
      <c r="I12186" s="60">
        <v>483.463477</v>
      </c>
      <c r="J12186" s="59">
        <v>4.0</v>
      </c>
      <c r="K12186" s="61">
        <f t="shared" si="1"/>
        <v>0</v>
      </c>
      <c r="L12186" s="62">
        <f t="shared" si="2"/>
        <v>4</v>
      </c>
    </row>
    <row r="12187">
      <c r="A12187" s="58">
        <v>44835.0</v>
      </c>
      <c r="B12187" s="24" t="s">
        <v>6787</v>
      </c>
      <c r="C12187" s="27"/>
      <c r="D12187" s="59">
        <v>1221.0</v>
      </c>
      <c r="E12187" s="59">
        <v>1467.0</v>
      </c>
      <c r="F12187" s="59">
        <v>1177.0</v>
      </c>
      <c r="G12187" s="60">
        <v>1.2113955408753</v>
      </c>
      <c r="H12187" s="60">
        <v>0.752556237218813</v>
      </c>
      <c r="I12187" s="60">
        <v>114.650158032719</v>
      </c>
      <c r="J12187" s="59">
        <v>2471.0</v>
      </c>
      <c r="K12187" s="61">
        <f t="shared" si="1"/>
        <v>0.8023176551</v>
      </c>
      <c r="L12187" s="62">
        <f t="shared" si="2"/>
        <v>1.684389911</v>
      </c>
    </row>
    <row r="12188">
      <c r="A12188" s="58">
        <v>44835.0</v>
      </c>
      <c r="B12188" s="24" t="s">
        <v>6789</v>
      </c>
      <c r="C12188" s="27"/>
      <c r="D12188" s="59">
        <v>938.0</v>
      </c>
      <c r="E12188" s="59">
        <v>1454.0</v>
      </c>
      <c r="F12188" s="59">
        <v>822.0</v>
      </c>
      <c r="G12188" s="60">
        <v>1.58733624454148</v>
      </c>
      <c r="H12188" s="60">
        <v>0.444291609353507</v>
      </c>
      <c r="I12188" s="60">
        <v>238.854243115543</v>
      </c>
      <c r="J12188" s="59">
        <v>2179.0</v>
      </c>
      <c r="K12188" s="61">
        <f t="shared" si="1"/>
        <v>0.5653370014</v>
      </c>
      <c r="L12188" s="62">
        <f t="shared" si="2"/>
        <v>1.498624484</v>
      </c>
    </row>
    <row r="12189">
      <c r="A12189" s="58">
        <v>44835.0</v>
      </c>
      <c r="B12189" s="24" t="s">
        <v>6794</v>
      </c>
      <c r="C12189" s="27"/>
      <c r="D12189" s="59">
        <v>185.0</v>
      </c>
      <c r="E12189" s="59">
        <v>270.0</v>
      </c>
      <c r="F12189" s="59">
        <v>168.0</v>
      </c>
      <c r="G12189" s="60">
        <v>1.47540983606557</v>
      </c>
      <c r="H12189" s="60">
        <v>0.407407407407407</v>
      </c>
      <c r="I12189" s="60">
        <v>118.948219888888</v>
      </c>
      <c r="J12189" s="59">
        <v>349.0</v>
      </c>
      <c r="K12189" s="61">
        <f t="shared" si="1"/>
        <v>0.6222222222</v>
      </c>
      <c r="L12189" s="62">
        <f t="shared" si="2"/>
        <v>1.292592593</v>
      </c>
    </row>
    <row r="12190">
      <c r="A12190" s="58">
        <v>44835.0</v>
      </c>
      <c r="B12190" s="24" t="s">
        <v>6790</v>
      </c>
      <c r="C12190" s="27"/>
      <c r="D12190" s="59">
        <v>153.0</v>
      </c>
      <c r="E12190" s="59">
        <v>189.0</v>
      </c>
      <c r="F12190" s="59">
        <v>138.0</v>
      </c>
      <c r="G12190" s="60">
        <v>1.24342105263157</v>
      </c>
      <c r="H12190" s="60">
        <v>0.814814814814814</v>
      </c>
      <c r="I12190" s="60">
        <v>140.57875637037</v>
      </c>
      <c r="J12190" s="59">
        <v>255.0</v>
      </c>
      <c r="K12190" s="61">
        <f t="shared" si="1"/>
        <v>0.7301587302</v>
      </c>
      <c r="L12190" s="62">
        <f t="shared" si="2"/>
        <v>1.349206349</v>
      </c>
    </row>
    <row r="12191">
      <c r="A12191" s="58">
        <v>44835.0</v>
      </c>
      <c r="B12191" s="24" t="s">
        <v>155</v>
      </c>
      <c r="C12191" s="27"/>
      <c r="D12191" s="59">
        <v>118.0</v>
      </c>
      <c r="E12191" s="59">
        <v>158.0</v>
      </c>
      <c r="F12191" s="59">
        <v>102.0</v>
      </c>
      <c r="G12191" s="60">
        <v>1.35042735042735</v>
      </c>
      <c r="H12191" s="60">
        <v>0.677215189873417</v>
      </c>
      <c r="I12191" s="60">
        <v>214.61861256962</v>
      </c>
      <c r="J12191" s="59">
        <v>423.0</v>
      </c>
      <c r="K12191" s="61">
        <f t="shared" si="1"/>
        <v>0.6455696203</v>
      </c>
      <c r="L12191" s="62">
        <f t="shared" si="2"/>
        <v>2.67721519</v>
      </c>
    </row>
    <row r="12192">
      <c r="A12192" s="58">
        <v>44835.0</v>
      </c>
      <c r="B12192" s="24" t="s">
        <v>7606</v>
      </c>
      <c r="C12192" s="27"/>
      <c r="D12192" s="59">
        <v>107.0</v>
      </c>
      <c r="E12192" s="59">
        <v>115.0</v>
      </c>
      <c r="F12192" s="59">
        <v>104.0</v>
      </c>
      <c r="G12192" s="60">
        <v>1.08490566037735</v>
      </c>
      <c r="H12192" s="60">
        <v>0.869565217391304</v>
      </c>
      <c r="I12192" s="60">
        <v>14.9136371391304</v>
      </c>
      <c r="J12192" s="59">
        <v>124.0</v>
      </c>
      <c r="K12192" s="61">
        <f t="shared" si="1"/>
        <v>0.9043478261</v>
      </c>
      <c r="L12192" s="62">
        <f t="shared" si="2"/>
        <v>1.07826087</v>
      </c>
    </row>
    <row r="12193">
      <c r="A12193" s="58">
        <v>44835.0</v>
      </c>
      <c r="B12193" s="24" t="s">
        <v>6791</v>
      </c>
      <c r="C12193" s="27"/>
      <c r="D12193" s="59">
        <v>29.0</v>
      </c>
      <c r="E12193" s="59">
        <v>35.0</v>
      </c>
      <c r="F12193" s="59">
        <v>23.0</v>
      </c>
      <c r="G12193" s="60">
        <v>1.34615384615384</v>
      </c>
      <c r="H12193" s="60">
        <v>0.457142857142857</v>
      </c>
      <c r="I12193" s="60">
        <v>69.9701115142857</v>
      </c>
      <c r="J12193" s="59">
        <v>47.0</v>
      </c>
      <c r="K12193" s="61">
        <f t="shared" si="1"/>
        <v>0.6571428571</v>
      </c>
      <c r="L12193" s="62">
        <f t="shared" si="2"/>
        <v>1.342857143</v>
      </c>
    </row>
    <row r="12194">
      <c r="A12194" s="58">
        <v>44835.0</v>
      </c>
      <c r="B12194" s="24" t="s">
        <v>6789</v>
      </c>
      <c r="C12194" s="24" t="s">
        <v>7068</v>
      </c>
      <c r="D12194" s="59">
        <v>25.0</v>
      </c>
      <c r="E12194" s="59">
        <v>26.0</v>
      </c>
      <c r="F12194" s="59">
        <v>25.0</v>
      </c>
      <c r="G12194" s="60">
        <v>1.04</v>
      </c>
      <c r="H12194" s="60">
        <v>0.269230769230769</v>
      </c>
      <c r="I12194" s="60">
        <v>276.517879461538</v>
      </c>
      <c r="J12194" s="59">
        <v>33.0</v>
      </c>
      <c r="K12194" s="61">
        <f t="shared" si="1"/>
        <v>0.9615384615</v>
      </c>
      <c r="L12194" s="62">
        <f t="shared" si="2"/>
        <v>1.269230769</v>
      </c>
    </row>
    <row r="12195">
      <c r="A12195" s="58">
        <v>44835.0</v>
      </c>
      <c r="B12195" s="24" t="s">
        <v>6789</v>
      </c>
      <c r="C12195" s="24" t="s">
        <v>6792</v>
      </c>
      <c r="D12195" s="59">
        <v>16.0</v>
      </c>
      <c r="E12195" s="59">
        <v>20.0</v>
      </c>
      <c r="F12195" s="59">
        <v>0.0</v>
      </c>
      <c r="G12195" s="60">
        <v>2.22222222222222</v>
      </c>
      <c r="H12195" s="60">
        <v>1.0</v>
      </c>
      <c r="I12195" s="60">
        <v>0.06818575</v>
      </c>
      <c r="J12195" s="59">
        <v>0.0</v>
      </c>
      <c r="K12195" s="61">
        <f t="shared" si="1"/>
        <v>0</v>
      </c>
      <c r="L12195" s="62">
        <f t="shared" si="2"/>
        <v>0</v>
      </c>
    </row>
    <row r="12196">
      <c r="A12196" s="58">
        <v>44835.0</v>
      </c>
      <c r="B12196" s="24" t="s">
        <v>7100</v>
      </c>
      <c r="C12196" s="27"/>
      <c r="D12196" s="59">
        <v>15.0</v>
      </c>
      <c r="E12196" s="59">
        <v>15.0</v>
      </c>
      <c r="F12196" s="59">
        <v>12.0</v>
      </c>
      <c r="G12196" s="60">
        <v>1.15384615384615</v>
      </c>
      <c r="H12196" s="60">
        <v>0.733333333333333</v>
      </c>
      <c r="I12196" s="60">
        <v>49.5364707333333</v>
      </c>
      <c r="J12196" s="59">
        <v>16.0</v>
      </c>
      <c r="K12196" s="61">
        <f t="shared" si="1"/>
        <v>0.8</v>
      </c>
      <c r="L12196" s="62">
        <f t="shared" si="2"/>
        <v>1.066666667</v>
      </c>
    </row>
    <row r="12197">
      <c r="A12197" s="58">
        <v>44835.0</v>
      </c>
      <c r="B12197" s="24" t="s">
        <v>6787</v>
      </c>
      <c r="C12197" s="24" t="s">
        <v>6815</v>
      </c>
      <c r="D12197" s="59">
        <v>12.0</v>
      </c>
      <c r="E12197" s="59">
        <v>13.0</v>
      </c>
      <c r="F12197" s="59">
        <v>12.0</v>
      </c>
      <c r="G12197" s="60">
        <v>1.08333333333333</v>
      </c>
      <c r="H12197" s="60">
        <v>0.538461538461538</v>
      </c>
      <c r="I12197" s="60">
        <v>82.5851182307692</v>
      </c>
      <c r="J12197" s="59">
        <v>16.0</v>
      </c>
      <c r="K12197" s="61">
        <f t="shared" si="1"/>
        <v>0.9230769231</v>
      </c>
      <c r="L12197" s="62">
        <f t="shared" si="2"/>
        <v>1.230769231</v>
      </c>
    </row>
    <row r="12198">
      <c r="A12198" s="58">
        <v>44835.0</v>
      </c>
      <c r="B12198" s="24" t="s">
        <v>6787</v>
      </c>
      <c r="C12198" s="24" t="s">
        <v>6792</v>
      </c>
      <c r="D12198" s="59">
        <v>11.0</v>
      </c>
      <c r="E12198" s="59">
        <v>13.0</v>
      </c>
      <c r="F12198" s="59">
        <v>0.0</v>
      </c>
      <c r="G12198" s="60">
        <v>1.625</v>
      </c>
      <c r="H12198" s="60">
        <v>0.923076923076923</v>
      </c>
      <c r="I12198" s="60">
        <v>9.19286969230769</v>
      </c>
      <c r="J12198" s="59">
        <v>0.0</v>
      </c>
      <c r="K12198" s="61">
        <f t="shared" si="1"/>
        <v>0</v>
      </c>
      <c r="L12198" s="62">
        <f t="shared" si="2"/>
        <v>0</v>
      </c>
    </row>
    <row r="12199">
      <c r="A12199" s="58">
        <v>44835.0</v>
      </c>
      <c r="B12199" s="24" t="s">
        <v>6794</v>
      </c>
      <c r="C12199" s="24" t="s">
        <v>6815</v>
      </c>
      <c r="D12199" s="59">
        <v>5.0</v>
      </c>
      <c r="E12199" s="59">
        <v>6.0</v>
      </c>
      <c r="F12199" s="59">
        <v>4.0</v>
      </c>
      <c r="G12199" s="60">
        <v>1.2</v>
      </c>
      <c r="H12199" s="60">
        <v>0.333333333333333</v>
      </c>
      <c r="I12199" s="60">
        <v>53.8359926666666</v>
      </c>
      <c r="J12199" s="59">
        <v>10.0</v>
      </c>
      <c r="K12199" s="61">
        <f t="shared" si="1"/>
        <v>0.6666666667</v>
      </c>
      <c r="L12199" s="62">
        <f t="shared" si="2"/>
        <v>1.666666667</v>
      </c>
    </row>
    <row r="12200">
      <c r="A12200" s="58">
        <v>44835.0</v>
      </c>
      <c r="B12200" s="24" t="s">
        <v>6794</v>
      </c>
      <c r="C12200" s="24" t="s">
        <v>6792</v>
      </c>
      <c r="D12200" s="59">
        <v>3.0</v>
      </c>
      <c r="E12200" s="59">
        <v>3.0</v>
      </c>
      <c r="F12200" s="59">
        <v>0.0</v>
      </c>
      <c r="G12200" s="60">
        <v>1.0</v>
      </c>
      <c r="H12200" s="60">
        <v>0.666666666666666</v>
      </c>
      <c r="I12200" s="60">
        <v>274.863017</v>
      </c>
      <c r="J12200" s="59">
        <v>0.0</v>
      </c>
      <c r="K12200" s="61">
        <f t="shared" si="1"/>
        <v>0</v>
      </c>
      <c r="L12200" s="62">
        <f t="shared" si="2"/>
        <v>0</v>
      </c>
    </row>
    <row r="12201">
      <c r="A12201" s="58">
        <v>44835.0</v>
      </c>
      <c r="B12201" s="24" t="s">
        <v>6787</v>
      </c>
      <c r="C12201" s="24" t="s">
        <v>6808</v>
      </c>
      <c r="D12201" s="59">
        <v>3.0</v>
      </c>
      <c r="E12201" s="59">
        <v>3.0</v>
      </c>
      <c r="F12201" s="59">
        <v>2.0</v>
      </c>
      <c r="G12201" s="60">
        <v>1.0</v>
      </c>
      <c r="H12201" s="60">
        <v>0.0</v>
      </c>
      <c r="I12201" s="60">
        <v>245.905370666666</v>
      </c>
      <c r="J12201" s="59">
        <v>23.0</v>
      </c>
      <c r="K12201" s="61">
        <f t="shared" si="1"/>
        <v>0.6666666667</v>
      </c>
      <c r="L12201" s="62">
        <f t="shared" si="2"/>
        <v>7.666666667</v>
      </c>
    </row>
    <row r="12202">
      <c r="A12202" s="58">
        <v>44835.0</v>
      </c>
      <c r="B12202" s="24" t="s">
        <v>155</v>
      </c>
      <c r="C12202" s="24" t="s">
        <v>6962</v>
      </c>
      <c r="D12202" s="59">
        <v>3.0</v>
      </c>
      <c r="E12202" s="59">
        <v>5.0</v>
      </c>
      <c r="F12202" s="59">
        <v>3.0</v>
      </c>
      <c r="G12202" s="60">
        <v>1.66666666666666</v>
      </c>
      <c r="H12202" s="60">
        <v>0.4</v>
      </c>
      <c r="I12202" s="60">
        <v>182.6356374</v>
      </c>
      <c r="J12202" s="59">
        <v>6.0</v>
      </c>
      <c r="K12202" s="61">
        <f t="shared" si="1"/>
        <v>0.6</v>
      </c>
      <c r="L12202" s="62">
        <f t="shared" si="2"/>
        <v>1.2</v>
      </c>
    </row>
    <row r="12203">
      <c r="A12203" s="58">
        <v>44835.0</v>
      </c>
      <c r="B12203" s="24" t="s">
        <v>6787</v>
      </c>
      <c r="C12203" s="24" t="s">
        <v>7146</v>
      </c>
      <c r="D12203" s="59">
        <v>2.0</v>
      </c>
      <c r="E12203" s="59">
        <v>4.0</v>
      </c>
      <c r="F12203" s="59">
        <v>2.0</v>
      </c>
      <c r="G12203" s="60">
        <v>2.0</v>
      </c>
      <c r="H12203" s="60">
        <v>0.0</v>
      </c>
      <c r="I12203" s="60">
        <v>808.45355575</v>
      </c>
      <c r="J12203" s="59">
        <v>30.0</v>
      </c>
      <c r="K12203" s="61">
        <f t="shared" si="1"/>
        <v>0.5</v>
      </c>
      <c r="L12203" s="62">
        <f t="shared" si="2"/>
        <v>7.5</v>
      </c>
    </row>
    <row r="12204">
      <c r="A12204" s="58">
        <v>44835.0</v>
      </c>
      <c r="B12204" s="24" t="s">
        <v>6787</v>
      </c>
      <c r="C12204" s="24" t="s">
        <v>6896</v>
      </c>
      <c r="D12204" s="59">
        <v>2.0</v>
      </c>
      <c r="E12204" s="59">
        <v>2.0</v>
      </c>
      <c r="F12204" s="59">
        <v>1.0</v>
      </c>
      <c r="G12204" s="60">
        <v>1.0</v>
      </c>
      <c r="H12204" s="60">
        <v>0.0</v>
      </c>
      <c r="I12204" s="60">
        <v>3095.2575765</v>
      </c>
      <c r="J12204" s="59">
        <v>48.0</v>
      </c>
      <c r="K12204" s="61">
        <f t="shared" si="1"/>
        <v>0.5</v>
      </c>
      <c r="L12204" s="62">
        <f t="shared" si="2"/>
        <v>24</v>
      </c>
    </row>
    <row r="12205">
      <c r="A12205" s="58">
        <v>44835.0</v>
      </c>
      <c r="B12205" s="24" t="s">
        <v>6789</v>
      </c>
      <c r="C12205" s="24" t="s">
        <v>6905</v>
      </c>
      <c r="D12205" s="59">
        <v>2.0</v>
      </c>
      <c r="E12205" s="59">
        <v>2.0</v>
      </c>
      <c r="F12205" s="59">
        <v>0.0</v>
      </c>
      <c r="G12205" s="60">
        <v>1.0</v>
      </c>
      <c r="H12205" s="60">
        <v>0.0</v>
      </c>
      <c r="I12205" s="60">
        <v>695.259</v>
      </c>
      <c r="J12205" s="59">
        <v>3.0</v>
      </c>
      <c r="K12205" s="61">
        <f t="shared" si="1"/>
        <v>0</v>
      </c>
      <c r="L12205" s="62">
        <f t="shared" si="2"/>
        <v>1.5</v>
      </c>
    </row>
    <row r="12206">
      <c r="A12206" s="58">
        <v>44835.0</v>
      </c>
      <c r="B12206" s="24" t="s">
        <v>6789</v>
      </c>
      <c r="C12206" s="24" t="s">
        <v>6808</v>
      </c>
      <c r="D12206" s="59">
        <v>2.0</v>
      </c>
      <c r="E12206" s="59">
        <v>2.0</v>
      </c>
      <c r="F12206" s="59">
        <v>0.0</v>
      </c>
      <c r="G12206" s="60">
        <v>1.0</v>
      </c>
      <c r="H12206" s="60">
        <v>0.0</v>
      </c>
      <c r="I12206" s="60">
        <v>1072.984982</v>
      </c>
      <c r="J12206" s="59">
        <v>19.0</v>
      </c>
      <c r="K12206" s="61">
        <f t="shared" si="1"/>
        <v>0</v>
      </c>
      <c r="L12206" s="62">
        <f t="shared" si="2"/>
        <v>9.5</v>
      </c>
    </row>
    <row r="12207">
      <c r="A12207" s="58">
        <v>44835.0</v>
      </c>
      <c r="B12207" s="24" t="s">
        <v>6787</v>
      </c>
      <c r="C12207" s="24" t="s">
        <v>6802</v>
      </c>
      <c r="D12207" s="59">
        <v>2.0</v>
      </c>
      <c r="E12207" s="59">
        <v>2.0</v>
      </c>
      <c r="F12207" s="59">
        <v>0.0</v>
      </c>
      <c r="G12207" s="60">
        <v>1.0</v>
      </c>
      <c r="H12207" s="60">
        <v>0.0</v>
      </c>
      <c r="I12207" s="60">
        <v>148.2580965</v>
      </c>
      <c r="J12207" s="59">
        <v>20.0</v>
      </c>
      <c r="K12207" s="61">
        <f t="shared" si="1"/>
        <v>0</v>
      </c>
      <c r="L12207" s="62">
        <f t="shared" si="2"/>
        <v>10</v>
      </c>
    </row>
    <row r="12208">
      <c r="A12208" s="58">
        <v>44835.0</v>
      </c>
      <c r="B12208" s="24" t="s">
        <v>6789</v>
      </c>
      <c r="C12208" s="24" t="s">
        <v>6802</v>
      </c>
      <c r="D12208" s="59">
        <v>2.0</v>
      </c>
      <c r="E12208" s="59">
        <v>2.0</v>
      </c>
      <c r="F12208" s="59">
        <v>0.0</v>
      </c>
      <c r="G12208" s="60">
        <v>1.0</v>
      </c>
      <c r="H12208" s="60">
        <v>0.0</v>
      </c>
      <c r="I12208" s="60">
        <v>281.6817805</v>
      </c>
      <c r="J12208" s="59">
        <v>24.0</v>
      </c>
      <c r="K12208" s="61">
        <f t="shared" si="1"/>
        <v>0</v>
      </c>
      <c r="L12208" s="62">
        <f t="shared" si="2"/>
        <v>12</v>
      </c>
    </row>
    <row r="12209">
      <c r="A12209" s="58">
        <v>44835.0</v>
      </c>
      <c r="B12209" s="24" t="s">
        <v>155</v>
      </c>
      <c r="C12209" s="24" t="s">
        <v>6792</v>
      </c>
      <c r="D12209" s="59">
        <v>1.0</v>
      </c>
      <c r="E12209" s="59">
        <v>1.0</v>
      </c>
      <c r="F12209" s="59">
        <v>0.0</v>
      </c>
      <c r="G12209" s="60">
        <v>1.0</v>
      </c>
      <c r="H12209" s="60">
        <v>1.0</v>
      </c>
      <c r="I12209" s="60">
        <v>0.0</v>
      </c>
      <c r="J12209" s="59">
        <v>0.0</v>
      </c>
      <c r="K12209" s="61">
        <f t="shared" si="1"/>
        <v>0</v>
      </c>
      <c r="L12209" s="62">
        <f t="shared" si="2"/>
        <v>0</v>
      </c>
    </row>
    <row r="12210">
      <c r="A12210" s="58">
        <v>44835.0</v>
      </c>
      <c r="B12210" s="24" t="s">
        <v>6789</v>
      </c>
      <c r="C12210" s="24" t="s">
        <v>7686</v>
      </c>
      <c r="D12210" s="59">
        <v>1.0</v>
      </c>
      <c r="E12210" s="59">
        <v>1.0</v>
      </c>
      <c r="F12210" s="59">
        <v>0.0</v>
      </c>
      <c r="G12210" s="60">
        <v>1.0</v>
      </c>
      <c r="H12210" s="60">
        <v>0.0</v>
      </c>
      <c r="I12210" s="60">
        <v>119.380503</v>
      </c>
      <c r="J12210" s="59">
        <v>14.0</v>
      </c>
      <c r="K12210" s="61">
        <f t="shared" si="1"/>
        <v>0</v>
      </c>
      <c r="L12210" s="62">
        <f t="shared" si="2"/>
        <v>14</v>
      </c>
    </row>
    <row r="12211">
      <c r="A12211" s="58">
        <v>44835.0</v>
      </c>
      <c r="B12211" s="24" t="s">
        <v>6794</v>
      </c>
      <c r="C12211" s="24" t="s">
        <v>7146</v>
      </c>
      <c r="D12211" s="59">
        <v>1.0</v>
      </c>
      <c r="E12211" s="59">
        <v>1.0</v>
      </c>
      <c r="F12211" s="59">
        <v>1.0</v>
      </c>
      <c r="G12211" s="60">
        <v>1.0</v>
      </c>
      <c r="H12211" s="60">
        <v>0.0</v>
      </c>
      <c r="I12211" s="60">
        <v>581.280165</v>
      </c>
      <c r="J12211" s="59">
        <v>23.0</v>
      </c>
      <c r="K12211" s="61">
        <f t="shared" si="1"/>
        <v>1</v>
      </c>
      <c r="L12211" s="62">
        <f t="shared" si="2"/>
        <v>23</v>
      </c>
    </row>
    <row r="12212">
      <c r="A12212" s="58">
        <v>44835.0</v>
      </c>
      <c r="B12212" s="24" t="s">
        <v>6787</v>
      </c>
      <c r="C12212" s="24" t="s">
        <v>7564</v>
      </c>
      <c r="D12212" s="59">
        <v>1.0</v>
      </c>
      <c r="E12212" s="59">
        <v>2.0</v>
      </c>
      <c r="F12212" s="59">
        <v>0.0</v>
      </c>
      <c r="G12212" s="60">
        <v>0.0</v>
      </c>
      <c r="H12212" s="60">
        <v>1.0</v>
      </c>
      <c r="I12212" s="60">
        <v>0.0</v>
      </c>
      <c r="J12212" s="59">
        <v>2.0</v>
      </c>
      <c r="K12212" s="61">
        <f t="shared" si="1"/>
        <v>0</v>
      </c>
      <c r="L12212" s="62">
        <f t="shared" si="2"/>
        <v>1</v>
      </c>
    </row>
    <row r="12213">
      <c r="A12213" s="58">
        <v>44835.0</v>
      </c>
      <c r="B12213" s="24" t="s">
        <v>155</v>
      </c>
      <c r="C12213" s="24" t="s">
        <v>6817</v>
      </c>
      <c r="D12213" s="59">
        <v>1.0</v>
      </c>
      <c r="E12213" s="59">
        <v>1.0</v>
      </c>
      <c r="F12213" s="59">
        <v>1.0</v>
      </c>
      <c r="G12213" s="60">
        <v>1.0</v>
      </c>
      <c r="H12213" s="60">
        <v>0.0</v>
      </c>
      <c r="I12213" s="60">
        <v>155.368854</v>
      </c>
      <c r="J12213" s="59">
        <v>9.0</v>
      </c>
      <c r="K12213" s="61">
        <f t="shared" si="1"/>
        <v>1</v>
      </c>
      <c r="L12213" s="62">
        <f t="shared" si="2"/>
        <v>9</v>
      </c>
    </row>
    <row r="12214">
      <c r="A12214" s="58">
        <v>44835.0</v>
      </c>
      <c r="B12214" s="24" t="s">
        <v>6787</v>
      </c>
      <c r="C12214" s="24" t="s">
        <v>7059</v>
      </c>
      <c r="D12214" s="59">
        <v>1.0</v>
      </c>
      <c r="E12214" s="59">
        <v>1.0</v>
      </c>
      <c r="F12214" s="59">
        <v>1.0</v>
      </c>
      <c r="G12214" s="60">
        <v>1.0</v>
      </c>
      <c r="H12214" s="60">
        <v>0.0</v>
      </c>
      <c r="I12214" s="60">
        <v>69.796714</v>
      </c>
      <c r="J12214" s="59">
        <v>13.0</v>
      </c>
      <c r="K12214" s="61">
        <f t="shared" si="1"/>
        <v>1</v>
      </c>
      <c r="L12214" s="62">
        <f t="shared" si="2"/>
        <v>13</v>
      </c>
    </row>
    <row r="12215">
      <c r="A12215" s="58">
        <v>44835.0</v>
      </c>
      <c r="B12215" s="24" t="s">
        <v>6787</v>
      </c>
      <c r="C12215" s="24" t="s">
        <v>7068</v>
      </c>
      <c r="D12215" s="59">
        <v>1.0</v>
      </c>
      <c r="E12215" s="59">
        <v>2.0</v>
      </c>
      <c r="F12215" s="59">
        <v>1.0</v>
      </c>
      <c r="G12215" s="60">
        <v>2.0</v>
      </c>
      <c r="H12215" s="60">
        <v>0.5</v>
      </c>
      <c r="I12215" s="60">
        <v>505.538856</v>
      </c>
      <c r="J12215" s="59">
        <v>2.0</v>
      </c>
      <c r="K12215" s="61">
        <f t="shared" si="1"/>
        <v>0.5</v>
      </c>
      <c r="L12215" s="62">
        <f t="shared" si="2"/>
        <v>1</v>
      </c>
    </row>
    <row r="12216">
      <c r="A12216" s="58">
        <v>44835.0</v>
      </c>
      <c r="B12216" s="24" t="s">
        <v>6787</v>
      </c>
      <c r="C12216" s="24" t="s">
        <v>6886</v>
      </c>
      <c r="D12216" s="59">
        <v>1.0</v>
      </c>
      <c r="E12216" s="59">
        <v>1.0</v>
      </c>
      <c r="F12216" s="59">
        <v>0.0</v>
      </c>
      <c r="G12216" s="60">
        <v>1.0</v>
      </c>
      <c r="H12216" s="60">
        <v>0.0</v>
      </c>
      <c r="I12216" s="60">
        <v>5.357643</v>
      </c>
      <c r="J12216" s="59">
        <v>2.0</v>
      </c>
      <c r="K12216" s="61">
        <f t="shared" si="1"/>
        <v>0</v>
      </c>
      <c r="L12216" s="62">
        <f t="shared" si="2"/>
        <v>2</v>
      </c>
    </row>
    <row r="12217">
      <c r="A12217" s="58">
        <v>44835.0</v>
      </c>
      <c r="B12217" s="24" t="s">
        <v>6790</v>
      </c>
      <c r="C12217" s="24" t="s">
        <v>6886</v>
      </c>
      <c r="D12217" s="59">
        <v>1.0</v>
      </c>
      <c r="E12217" s="59">
        <v>1.0</v>
      </c>
      <c r="F12217" s="59">
        <v>0.0</v>
      </c>
      <c r="G12217" s="60">
        <v>1.0</v>
      </c>
      <c r="H12217" s="60">
        <v>1.0</v>
      </c>
      <c r="I12217" s="60">
        <v>603.440276</v>
      </c>
      <c r="J12217" s="59">
        <v>0.0</v>
      </c>
      <c r="K12217" s="61">
        <f t="shared" si="1"/>
        <v>0</v>
      </c>
      <c r="L12217" s="62">
        <f t="shared" si="2"/>
        <v>0</v>
      </c>
    </row>
    <row r="12218">
      <c r="A12218" s="58">
        <v>44835.0</v>
      </c>
      <c r="B12218" s="24" t="s">
        <v>6789</v>
      </c>
      <c r="C12218" s="24" t="s">
        <v>6896</v>
      </c>
      <c r="D12218" s="59">
        <v>1.0</v>
      </c>
      <c r="E12218" s="59">
        <v>2.0</v>
      </c>
      <c r="F12218" s="59">
        <v>0.0</v>
      </c>
      <c r="G12218" s="60">
        <v>2.0</v>
      </c>
      <c r="H12218" s="60">
        <v>0.0</v>
      </c>
      <c r="I12218" s="60">
        <v>599.0691335</v>
      </c>
      <c r="J12218" s="59">
        <v>8.0</v>
      </c>
      <c r="K12218" s="61">
        <f t="shared" si="1"/>
        <v>0</v>
      </c>
      <c r="L12218" s="62">
        <f t="shared" si="2"/>
        <v>4</v>
      </c>
    </row>
    <row r="12219">
      <c r="A12219" s="58">
        <v>44835.0</v>
      </c>
      <c r="B12219" s="24" t="s">
        <v>6794</v>
      </c>
      <c r="C12219" s="24" t="s">
        <v>6896</v>
      </c>
      <c r="D12219" s="59">
        <v>1.0</v>
      </c>
      <c r="E12219" s="59">
        <v>1.0</v>
      </c>
      <c r="F12219" s="59">
        <v>0.0</v>
      </c>
      <c r="G12219" s="60">
        <v>1.0</v>
      </c>
      <c r="H12219" s="60">
        <v>0.0</v>
      </c>
      <c r="I12219" s="60">
        <v>219.506098</v>
      </c>
      <c r="J12219" s="59">
        <v>10.0</v>
      </c>
      <c r="K12219" s="61">
        <f t="shared" si="1"/>
        <v>0</v>
      </c>
      <c r="L12219" s="62">
        <f t="shared" si="2"/>
        <v>10</v>
      </c>
    </row>
    <row r="12220">
      <c r="A12220" s="58">
        <v>44835.0</v>
      </c>
      <c r="B12220" s="24" t="s">
        <v>7606</v>
      </c>
      <c r="C12220" s="24" t="s">
        <v>7307</v>
      </c>
      <c r="D12220" s="59">
        <v>1.0</v>
      </c>
      <c r="E12220" s="59">
        <v>1.0</v>
      </c>
      <c r="F12220" s="59">
        <v>1.0</v>
      </c>
      <c r="G12220" s="60">
        <v>1.0</v>
      </c>
      <c r="H12220" s="60">
        <v>1.0</v>
      </c>
      <c r="I12220" s="60">
        <v>3.383946</v>
      </c>
      <c r="J12220" s="59">
        <v>1.0</v>
      </c>
      <c r="K12220" s="61">
        <f t="shared" si="1"/>
        <v>1</v>
      </c>
      <c r="L12220" s="62">
        <f t="shared" si="2"/>
        <v>1</v>
      </c>
    </row>
    <row r="12221">
      <c r="A12221" s="58">
        <v>44835.0</v>
      </c>
      <c r="B12221" s="24" t="s">
        <v>155</v>
      </c>
      <c r="C12221" s="24" t="s">
        <v>6905</v>
      </c>
      <c r="D12221" s="59">
        <v>1.0</v>
      </c>
      <c r="E12221" s="59">
        <v>1.0</v>
      </c>
      <c r="F12221" s="59">
        <v>0.0</v>
      </c>
      <c r="G12221" s="60">
        <v>1.0</v>
      </c>
      <c r="H12221" s="60">
        <v>0.0</v>
      </c>
      <c r="I12221" s="60">
        <v>57.691654</v>
      </c>
      <c r="J12221" s="59">
        <v>10.0</v>
      </c>
      <c r="K12221" s="61">
        <f t="shared" si="1"/>
        <v>0</v>
      </c>
      <c r="L12221" s="62">
        <f t="shared" si="2"/>
        <v>10</v>
      </c>
    </row>
    <row r="12222">
      <c r="A12222" s="58">
        <v>44835.0</v>
      </c>
      <c r="B12222" s="24" t="s">
        <v>6787</v>
      </c>
      <c r="C12222" s="24" t="s">
        <v>7242</v>
      </c>
      <c r="D12222" s="59">
        <v>1.0</v>
      </c>
      <c r="E12222" s="59">
        <v>1.0</v>
      </c>
      <c r="F12222" s="59">
        <v>1.0</v>
      </c>
      <c r="G12222" s="60">
        <v>1.0</v>
      </c>
      <c r="H12222" s="60">
        <v>0.0</v>
      </c>
      <c r="I12222" s="60">
        <v>271.827683</v>
      </c>
      <c r="J12222" s="59">
        <v>2.0</v>
      </c>
      <c r="K12222" s="61">
        <f t="shared" si="1"/>
        <v>1</v>
      </c>
      <c r="L12222" s="62">
        <f t="shared" si="2"/>
        <v>2</v>
      </c>
    </row>
    <row r="12223">
      <c r="A12223" s="58">
        <v>44835.0</v>
      </c>
      <c r="B12223" s="24" t="s">
        <v>6789</v>
      </c>
      <c r="C12223" s="24" t="s">
        <v>7680</v>
      </c>
      <c r="D12223" s="59">
        <v>1.0</v>
      </c>
      <c r="E12223" s="59">
        <v>1.0</v>
      </c>
      <c r="F12223" s="59">
        <v>1.0</v>
      </c>
      <c r="G12223" s="60">
        <v>1.0</v>
      </c>
      <c r="H12223" s="60">
        <v>0.0</v>
      </c>
      <c r="I12223" s="60">
        <v>8.914311</v>
      </c>
      <c r="J12223" s="59">
        <v>3.0</v>
      </c>
      <c r="K12223" s="61">
        <f t="shared" si="1"/>
        <v>1</v>
      </c>
      <c r="L12223" s="62">
        <f t="shared" si="2"/>
        <v>3</v>
      </c>
    </row>
    <row r="12224">
      <c r="A12224" s="58">
        <v>44835.0</v>
      </c>
      <c r="B12224" s="24" t="s">
        <v>6794</v>
      </c>
      <c r="C12224" s="24" t="s">
        <v>6808</v>
      </c>
      <c r="D12224" s="59">
        <v>1.0</v>
      </c>
      <c r="E12224" s="59">
        <v>1.0</v>
      </c>
      <c r="F12224" s="59">
        <v>0.0</v>
      </c>
      <c r="G12224" s="60">
        <v>1.0</v>
      </c>
      <c r="H12224" s="60">
        <v>0.0</v>
      </c>
      <c r="I12224" s="60">
        <v>119.349187</v>
      </c>
      <c r="J12224" s="59">
        <v>14.0</v>
      </c>
      <c r="K12224" s="61">
        <f t="shared" si="1"/>
        <v>0</v>
      </c>
      <c r="L12224" s="62">
        <f t="shared" si="2"/>
        <v>14</v>
      </c>
    </row>
    <row r="12225">
      <c r="A12225" s="58">
        <v>44835.0</v>
      </c>
      <c r="B12225" s="24" t="s">
        <v>6789</v>
      </c>
      <c r="C12225" s="24" t="s">
        <v>7596</v>
      </c>
      <c r="D12225" s="59">
        <v>1.0</v>
      </c>
      <c r="E12225" s="59">
        <v>1.0</v>
      </c>
      <c r="F12225" s="59">
        <v>0.0</v>
      </c>
      <c r="G12225" s="60">
        <v>1.0</v>
      </c>
      <c r="H12225" s="60">
        <v>0.0</v>
      </c>
      <c r="I12225" s="60">
        <v>704.826805</v>
      </c>
      <c r="J12225" s="59">
        <v>5.0</v>
      </c>
      <c r="K12225" s="61">
        <f t="shared" si="1"/>
        <v>0</v>
      </c>
      <c r="L12225" s="62">
        <f t="shared" si="2"/>
        <v>5</v>
      </c>
    </row>
    <row r="12226">
      <c r="A12226" s="58">
        <v>44835.0</v>
      </c>
      <c r="B12226" s="24" t="s">
        <v>155</v>
      </c>
      <c r="C12226" s="24" t="s">
        <v>7172</v>
      </c>
      <c r="D12226" s="59">
        <v>1.0</v>
      </c>
      <c r="E12226" s="59">
        <v>1.0</v>
      </c>
      <c r="F12226" s="59">
        <v>0.0</v>
      </c>
      <c r="G12226" s="60">
        <v>1.0</v>
      </c>
      <c r="H12226" s="60">
        <v>0.0</v>
      </c>
      <c r="I12226" s="60">
        <v>1015.96774</v>
      </c>
      <c r="J12226" s="59">
        <v>6.0</v>
      </c>
      <c r="K12226" s="61">
        <f t="shared" si="1"/>
        <v>0</v>
      </c>
      <c r="L12226" s="62">
        <f t="shared" si="2"/>
        <v>6</v>
      </c>
    </row>
    <row r="12227">
      <c r="A12227" s="58">
        <v>44835.0</v>
      </c>
      <c r="B12227" s="24" t="s">
        <v>6794</v>
      </c>
      <c r="C12227" s="24" t="s">
        <v>7313</v>
      </c>
      <c r="D12227" s="59">
        <v>1.0</v>
      </c>
      <c r="E12227" s="59">
        <v>1.0</v>
      </c>
      <c r="F12227" s="59">
        <v>0.0</v>
      </c>
      <c r="G12227" s="60">
        <v>1.0</v>
      </c>
      <c r="H12227" s="60">
        <v>0.0</v>
      </c>
      <c r="I12227" s="60">
        <v>384.163171</v>
      </c>
      <c r="J12227" s="59">
        <v>11.0</v>
      </c>
      <c r="K12227" s="61">
        <f t="shared" si="1"/>
        <v>0</v>
      </c>
      <c r="L12227" s="62">
        <f t="shared" si="2"/>
        <v>11</v>
      </c>
    </row>
    <row r="12228">
      <c r="A12228" s="58">
        <v>44835.0</v>
      </c>
      <c r="B12228" s="24" t="s">
        <v>155</v>
      </c>
      <c r="C12228" s="24" t="s">
        <v>7313</v>
      </c>
      <c r="D12228" s="59">
        <v>1.0</v>
      </c>
      <c r="E12228" s="59">
        <v>1.0</v>
      </c>
      <c r="F12228" s="59">
        <v>1.0</v>
      </c>
      <c r="G12228" s="60">
        <v>1.0</v>
      </c>
      <c r="H12228" s="60">
        <v>0.0</v>
      </c>
      <c r="I12228" s="60">
        <v>2069.451295</v>
      </c>
      <c r="J12228" s="59">
        <v>39.0</v>
      </c>
      <c r="K12228" s="61">
        <f t="shared" si="1"/>
        <v>1</v>
      </c>
      <c r="L12228" s="62">
        <f t="shared" si="2"/>
        <v>39</v>
      </c>
    </row>
    <row r="12229">
      <c r="A12229" s="58">
        <v>44835.0</v>
      </c>
      <c r="B12229" s="24" t="s">
        <v>6787</v>
      </c>
      <c r="C12229" s="24" t="s">
        <v>6910</v>
      </c>
      <c r="D12229" s="59">
        <v>1.0</v>
      </c>
      <c r="E12229" s="59">
        <v>1.0</v>
      </c>
      <c r="F12229" s="59">
        <v>0.0</v>
      </c>
      <c r="G12229" s="60">
        <v>1.0</v>
      </c>
      <c r="H12229" s="60">
        <v>0.0</v>
      </c>
      <c r="I12229" s="60">
        <v>236.46015</v>
      </c>
      <c r="J12229" s="59">
        <v>5.0</v>
      </c>
      <c r="K12229" s="61">
        <f t="shared" si="1"/>
        <v>0</v>
      </c>
      <c r="L12229" s="62">
        <f t="shared" si="2"/>
        <v>5</v>
      </c>
    </row>
    <row r="12230">
      <c r="A12230" s="58">
        <v>44835.0</v>
      </c>
      <c r="B12230" s="24" t="s">
        <v>6794</v>
      </c>
      <c r="C12230" s="24" t="s">
        <v>7046</v>
      </c>
      <c r="D12230" s="59">
        <v>1.0</v>
      </c>
      <c r="E12230" s="59">
        <v>1.0</v>
      </c>
      <c r="F12230" s="59">
        <v>0.0</v>
      </c>
      <c r="G12230" s="60">
        <v>1.0</v>
      </c>
      <c r="H12230" s="60">
        <v>0.0</v>
      </c>
      <c r="I12230" s="60">
        <v>468.733421</v>
      </c>
      <c r="J12230" s="59">
        <v>7.0</v>
      </c>
      <c r="K12230" s="61">
        <f t="shared" si="1"/>
        <v>0</v>
      </c>
      <c r="L12230" s="62">
        <f t="shared" si="2"/>
        <v>7</v>
      </c>
    </row>
    <row r="12231">
      <c r="A12231" s="58">
        <v>44835.0</v>
      </c>
      <c r="B12231" s="24" t="s">
        <v>155</v>
      </c>
      <c r="C12231" s="24" t="s">
        <v>7046</v>
      </c>
      <c r="D12231" s="59">
        <v>1.0</v>
      </c>
      <c r="E12231" s="59">
        <v>1.0</v>
      </c>
      <c r="F12231" s="59">
        <v>0.0</v>
      </c>
      <c r="G12231" s="60">
        <v>1.0</v>
      </c>
      <c r="H12231" s="60">
        <v>0.0</v>
      </c>
      <c r="I12231" s="60">
        <v>483.465841</v>
      </c>
      <c r="J12231" s="59">
        <v>3.0</v>
      </c>
      <c r="K12231" s="61">
        <f t="shared" si="1"/>
        <v>0</v>
      </c>
      <c r="L12231" s="62">
        <f t="shared" si="2"/>
        <v>3</v>
      </c>
    </row>
    <row r="12232">
      <c r="A12232" s="58">
        <v>44835.0</v>
      </c>
      <c r="B12232" s="24" t="s">
        <v>6790</v>
      </c>
      <c r="C12232" s="24" t="s">
        <v>6815</v>
      </c>
      <c r="D12232" s="59">
        <v>1.0</v>
      </c>
      <c r="E12232" s="59">
        <v>1.0</v>
      </c>
      <c r="F12232" s="59">
        <v>0.0</v>
      </c>
      <c r="G12232" s="60">
        <v>1.0</v>
      </c>
      <c r="H12232" s="60">
        <v>1.0</v>
      </c>
      <c r="I12232" s="60">
        <v>0.0</v>
      </c>
      <c r="J12232" s="59">
        <v>1.0</v>
      </c>
      <c r="K12232" s="61">
        <f t="shared" si="1"/>
        <v>0</v>
      </c>
      <c r="L12232" s="62">
        <f t="shared" si="2"/>
        <v>1</v>
      </c>
    </row>
    <row r="12233">
      <c r="A12233" s="58">
        <v>44835.0</v>
      </c>
      <c r="B12233" s="24" t="s">
        <v>6789</v>
      </c>
      <c r="C12233" s="24" t="s">
        <v>6921</v>
      </c>
      <c r="D12233" s="59">
        <v>1.0</v>
      </c>
      <c r="E12233" s="59">
        <v>1.0</v>
      </c>
      <c r="F12233" s="59">
        <v>0.0</v>
      </c>
      <c r="G12233" s="60">
        <v>1.0</v>
      </c>
      <c r="H12233" s="60">
        <v>0.0</v>
      </c>
      <c r="I12233" s="60">
        <v>37.062494</v>
      </c>
      <c r="J12233" s="59">
        <v>6.0</v>
      </c>
      <c r="K12233" s="61">
        <f t="shared" si="1"/>
        <v>0</v>
      </c>
      <c r="L12233" s="62">
        <f t="shared" si="2"/>
        <v>6</v>
      </c>
    </row>
    <row r="12234">
      <c r="A12234" s="58">
        <v>44835.0</v>
      </c>
      <c r="B12234" s="24" t="s">
        <v>6787</v>
      </c>
      <c r="C12234" s="24" t="s">
        <v>6922</v>
      </c>
      <c r="D12234" s="59">
        <v>1.0</v>
      </c>
      <c r="E12234" s="59">
        <v>2.0</v>
      </c>
      <c r="F12234" s="59">
        <v>1.0</v>
      </c>
      <c r="G12234" s="60">
        <v>2.0</v>
      </c>
      <c r="H12234" s="60">
        <v>0.5</v>
      </c>
      <c r="I12234" s="60">
        <v>126.004893</v>
      </c>
      <c r="J12234" s="59">
        <v>5.0</v>
      </c>
      <c r="K12234" s="61">
        <f t="shared" si="1"/>
        <v>0.5</v>
      </c>
      <c r="L12234" s="62">
        <f t="shared" si="2"/>
        <v>2.5</v>
      </c>
    </row>
    <row r="12235">
      <c r="A12235" s="58">
        <v>44835.0</v>
      </c>
      <c r="B12235" s="24" t="s">
        <v>6787</v>
      </c>
      <c r="C12235" s="24" t="s">
        <v>7047</v>
      </c>
      <c r="D12235" s="59">
        <v>1.0</v>
      </c>
      <c r="E12235" s="59">
        <v>1.0</v>
      </c>
      <c r="F12235" s="59">
        <v>1.0</v>
      </c>
      <c r="G12235" s="60">
        <v>1.0</v>
      </c>
      <c r="H12235" s="60">
        <v>0.0</v>
      </c>
      <c r="I12235" s="60">
        <v>456.133944</v>
      </c>
      <c r="J12235" s="59">
        <v>3.0</v>
      </c>
      <c r="K12235" s="61">
        <f t="shared" si="1"/>
        <v>1</v>
      </c>
      <c r="L12235" s="62">
        <f t="shared" si="2"/>
        <v>3</v>
      </c>
    </row>
    <row r="12236">
      <c r="A12236" s="58">
        <v>44835.0</v>
      </c>
      <c r="B12236" s="24" t="s">
        <v>6789</v>
      </c>
      <c r="C12236" s="24" t="s">
        <v>6797</v>
      </c>
      <c r="D12236" s="59">
        <v>1.0</v>
      </c>
      <c r="E12236" s="59">
        <v>1.0</v>
      </c>
      <c r="F12236" s="59">
        <v>0.0</v>
      </c>
      <c r="G12236" s="60">
        <v>1.0</v>
      </c>
      <c r="H12236" s="60">
        <v>0.0</v>
      </c>
      <c r="I12236" s="60">
        <v>4.218157</v>
      </c>
      <c r="J12236" s="59">
        <v>2.0</v>
      </c>
      <c r="K12236" s="61">
        <f t="shared" si="1"/>
        <v>0</v>
      </c>
      <c r="L12236" s="62">
        <f t="shared" si="2"/>
        <v>2</v>
      </c>
    </row>
    <row r="12237">
      <c r="A12237" s="58">
        <v>44835.0</v>
      </c>
      <c r="B12237" s="24" t="s">
        <v>6789</v>
      </c>
      <c r="C12237" s="24" t="s">
        <v>6810</v>
      </c>
      <c r="D12237" s="59">
        <v>1.0</v>
      </c>
      <c r="E12237" s="59">
        <v>1.0</v>
      </c>
      <c r="F12237" s="59">
        <v>0.0</v>
      </c>
      <c r="G12237" s="60">
        <v>1.0</v>
      </c>
      <c r="H12237" s="60">
        <v>0.0</v>
      </c>
      <c r="I12237" s="60">
        <v>147.933588</v>
      </c>
      <c r="J12237" s="59">
        <v>1.0</v>
      </c>
      <c r="K12237" s="61">
        <f t="shared" si="1"/>
        <v>0</v>
      </c>
      <c r="L12237" s="62">
        <f t="shared" si="2"/>
        <v>1</v>
      </c>
    </row>
    <row r="12238">
      <c r="A12238" s="58">
        <v>44835.0</v>
      </c>
      <c r="B12238" s="24" t="s">
        <v>6794</v>
      </c>
      <c r="C12238" s="24" t="s">
        <v>6810</v>
      </c>
      <c r="D12238" s="59">
        <v>1.0</v>
      </c>
      <c r="E12238" s="59">
        <v>1.0</v>
      </c>
      <c r="F12238" s="59">
        <v>0.0</v>
      </c>
      <c r="G12238" s="60">
        <v>1.0</v>
      </c>
      <c r="H12238" s="60">
        <v>0.0</v>
      </c>
      <c r="I12238" s="60">
        <v>1386.974239</v>
      </c>
      <c r="J12238" s="59">
        <v>12.0</v>
      </c>
      <c r="K12238" s="61">
        <f t="shared" si="1"/>
        <v>0</v>
      </c>
      <c r="L12238" s="62">
        <f t="shared" si="2"/>
        <v>12</v>
      </c>
    </row>
    <row r="12239">
      <c r="A12239" s="58">
        <v>44805.0</v>
      </c>
      <c r="B12239" s="24" t="s">
        <v>7606</v>
      </c>
      <c r="C12239" s="27"/>
      <c r="D12239" s="59">
        <v>953.0</v>
      </c>
      <c r="E12239" s="59">
        <v>968.0</v>
      </c>
      <c r="F12239" s="59">
        <v>946.0</v>
      </c>
      <c r="G12239" s="60">
        <v>1.01894736842105</v>
      </c>
      <c r="H12239" s="60">
        <v>0.949380165289256</v>
      </c>
      <c r="I12239" s="60">
        <v>4.06764735020661</v>
      </c>
      <c r="J12239" s="59">
        <v>1000.0</v>
      </c>
      <c r="K12239" s="61">
        <f t="shared" si="1"/>
        <v>0.9772727273</v>
      </c>
      <c r="L12239" s="62">
        <f t="shared" si="2"/>
        <v>1.033057851</v>
      </c>
    </row>
    <row r="12240">
      <c r="A12240" s="58">
        <v>44805.0</v>
      </c>
      <c r="B12240" s="24" t="s">
        <v>6789</v>
      </c>
      <c r="C12240" s="27"/>
      <c r="D12240" s="59">
        <v>789.0</v>
      </c>
      <c r="E12240" s="59">
        <v>1283.0</v>
      </c>
      <c r="F12240" s="59">
        <v>691.0</v>
      </c>
      <c r="G12240" s="60">
        <v>1.65122265122265</v>
      </c>
      <c r="H12240" s="60">
        <v>0.491816056118472</v>
      </c>
      <c r="I12240" s="60">
        <v>178.799881316445</v>
      </c>
      <c r="J12240" s="59">
        <v>1835.0</v>
      </c>
      <c r="K12240" s="61">
        <f t="shared" si="1"/>
        <v>0.5385814497</v>
      </c>
      <c r="L12240" s="62">
        <f t="shared" si="2"/>
        <v>1.430241621</v>
      </c>
    </row>
    <row r="12241">
      <c r="A12241" s="58">
        <v>44805.0</v>
      </c>
      <c r="B12241" s="24" t="s">
        <v>6787</v>
      </c>
      <c r="C12241" s="27"/>
      <c r="D12241" s="59">
        <v>690.0</v>
      </c>
      <c r="E12241" s="59">
        <v>933.0</v>
      </c>
      <c r="F12241" s="59">
        <v>654.0</v>
      </c>
      <c r="G12241" s="60">
        <v>1.37610619469026</v>
      </c>
      <c r="H12241" s="60">
        <v>0.69989281886388</v>
      </c>
      <c r="I12241" s="60">
        <v>103.535669161843</v>
      </c>
      <c r="J12241" s="59">
        <v>1236.0</v>
      </c>
      <c r="K12241" s="61">
        <f t="shared" si="1"/>
        <v>0.7009646302</v>
      </c>
      <c r="L12241" s="62">
        <f t="shared" si="2"/>
        <v>1.324758842</v>
      </c>
    </row>
    <row r="12242">
      <c r="A12242" s="58">
        <v>44805.0</v>
      </c>
      <c r="B12242" s="24" t="s">
        <v>6790</v>
      </c>
      <c r="C12242" s="27"/>
      <c r="D12242" s="59">
        <v>317.0</v>
      </c>
      <c r="E12242" s="59">
        <v>370.0</v>
      </c>
      <c r="F12242" s="59">
        <v>297.0</v>
      </c>
      <c r="G12242" s="60">
        <v>1.18210862619808</v>
      </c>
      <c r="H12242" s="60">
        <v>0.791891891891891</v>
      </c>
      <c r="I12242" s="60">
        <v>35.1604658972972</v>
      </c>
      <c r="J12242" s="59">
        <v>399.0</v>
      </c>
      <c r="K12242" s="61">
        <f t="shared" si="1"/>
        <v>0.8027027027</v>
      </c>
      <c r="L12242" s="62">
        <f t="shared" si="2"/>
        <v>1.078378378</v>
      </c>
    </row>
    <row r="12243">
      <c r="A12243" s="58">
        <v>44805.0</v>
      </c>
      <c r="B12243" s="24" t="s">
        <v>6794</v>
      </c>
      <c r="C12243" s="27"/>
      <c r="D12243" s="59">
        <v>171.0</v>
      </c>
      <c r="E12243" s="59">
        <v>252.0</v>
      </c>
      <c r="F12243" s="59">
        <v>152.0</v>
      </c>
      <c r="G12243" s="60">
        <v>1.52727272727272</v>
      </c>
      <c r="H12243" s="60">
        <v>0.539682539682539</v>
      </c>
      <c r="I12243" s="60">
        <v>136.418771174603</v>
      </c>
      <c r="J12243" s="59">
        <v>367.0</v>
      </c>
      <c r="K12243" s="61">
        <f t="shared" si="1"/>
        <v>0.6031746032</v>
      </c>
      <c r="L12243" s="62">
        <f t="shared" si="2"/>
        <v>1.456349206</v>
      </c>
    </row>
    <row r="12244">
      <c r="A12244" s="58">
        <v>44805.0</v>
      </c>
      <c r="B12244" s="24" t="s">
        <v>6791</v>
      </c>
      <c r="C12244" s="27"/>
      <c r="D12244" s="59">
        <v>104.0</v>
      </c>
      <c r="E12244" s="59">
        <v>120.0</v>
      </c>
      <c r="F12244" s="59">
        <v>92.0</v>
      </c>
      <c r="G12244" s="60">
        <v>1.2</v>
      </c>
      <c r="H12244" s="60">
        <v>0.475</v>
      </c>
      <c r="I12244" s="60">
        <v>101.701327575</v>
      </c>
      <c r="J12244" s="59">
        <v>149.0</v>
      </c>
      <c r="K12244" s="61">
        <f t="shared" si="1"/>
        <v>0.7666666667</v>
      </c>
      <c r="L12244" s="62">
        <f t="shared" si="2"/>
        <v>1.241666667</v>
      </c>
    </row>
    <row r="12245">
      <c r="A12245" s="58">
        <v>44805.0</v>
      </c>
      <c r="B12245" s="24" t="s">
        <v>155</v>
      </c>
      <c r="C12245" s="27"/>
      <c r="D12245" s="59">
        <v>102.0</v>
      </c>
      <c r="E12245" s="59">
        <v>129.0</v>
      </c>
      <c r="F12245" s="59">
        <v>91.0</v>
      </c>
      <c r="G12245" s="60">
        <v>1.27722772277227</v>
      </c>
      <c r="H12245" s="60">
        <v>0.65891472868217</v>
      </c>
      <c r="I12245" s="60">
        <v>82.2249014263565</v>
      </c>
      <c r="J12245" s="59">
        <v>174.0</v>
      </c>
      <c r="K12245" s="61">
        <f t="shared" si="1"/>
        <v>0.7054263566</v>
      </c>
      <c r="L12245" s="62">
        <f t="shared" si="2"/>
        <v>1.348837209</v>
      </c>
    </row>
    <row r="12246">
      <c r="A12246" s="58">
        <v>44805.0</v>
      </c>
      <c r="B12246" s="24" t="s">
        <v>7100</v>
      </c>
      <c r="C12246" s="27"/>
      <c r="D12246" s="59">
        <v>96.0</v>
      </c>
      <c r="E12246" s="59">
        <v>109.0</v>
      </c>
      <c r="F12246" s="59">
        <v>91.0</v>
      </c>
      <c r="G12246" s="60">
        <v>1.1595744680851</v>
      </c>
      <c r="H12246" s="60">
        <v>0.871559633027522</v>
      </c>
      <c r="I12246" s="60">
        <v>44.832031119266</v>
      </c>
      <c r="J12246" s="59">
        <v>115.0</v>
      </c>
      <c r="K12246" s="61">
        <f t="shared" si="1"/>
        <v>0.8348623853</v>
      </c>
      <c r="L12246" s="62">
        <f t="shared" si="2"/>
        <v>1.055045872</v>
      </c>
    </row>
    <row r="12247">
      <c r="A12247" s="58">
        <v>44805.0</v>
      </c>
      <c r="B12247" s="24" t="s">
        <v>7296</v>
      </c>
      <c r="C12247" s="27"/>
      <c r="D12247" s="59">
        <v>6.0</v>
      </c>
      <c r="E12247" s="59">
        <v>6.0</v>
      </c>
      <c r="F12247" s="59">
        <v>6.0</v>
      </c>
      <c r="G12247" s="60">
        <v>1.0</v>
      </c>
      <c r="H12247" s="60">
        <v>1.0</v>
      </c>
      <c r="I12247" s="60">
        <v>0.0</v>
      </c>
      <c r="J12247" s="59">
        <v>6.0</v>
      </c>
      <c r="K12247" s="61">
        <f t="shared" si="1"/>
        <v>1</v>
      </c>
      <c r="L12247" s="62">
        <f t="shared" si="2"/>
        <v>1</v>
      </c>
    </row>
    <row r="12248">
      <c r="A12248" s="58">
        <v>44805.0</v>
      </c>
      <c r="B12248" s="24" t="s">
        <v>6942</v>
      </c>
      <c r="C12248" s="27"/>
      <c r="D12248" s="59">
        <v>1.0</v>
      </c>
      <c r="E12248" s="59">
        <v>2.0</v>
      </c>
      <c r="F12248" s="59">
        <v>0.0</v>
      </c>
      <c r="G12248" s="60">
        <v>2.0</v>
      </c>
      <c r="H12248" s="60">
        <v>0.0</v>
      </c>
      <c r="I12248" s="60">
        <v>70.157938</v>
      </c>
      <c r="J12248" s="59">
        <v>3.0</v>
      </c>
      <c r="K12248" s="61">
        <f t="shared" si="1"/>
        <v>0</v>
      </c>
      <c r="L12248" s="62">
        <f t="shared" si="2"/>
        <v>1.5</v>
      </c>
    </row>
    <row r="12249">
      <c r="A12249" s="58">
        <v>44774.0</v>
      </c>
      <c r="B12249" s="24" t="s">
        <v>7606</v>
      </c>
      <c r="C12249" s="27"/>
      <c r="D12249" s="59">
        <v>1047.0</v>
      </c>
      <c r="E12249" s="59">
        <v>1054.0</v>
      </c>
      <c r="F12249" s="59">
        <v>1043.0</v>
      </c>
      <c r="G12249" s="60">
        <v>1.00861244019138</v>
      </c>
      <c r="H12249" s="60">
        <v>0.971537001897533</v>
      </c>
      <c r="I12249" s="60">
        <v>2.90991898766603</v>
      </c>
      <c r="J12249" s="59">
        <v>1076.0</v>
      </c>
      <c r="K12249" s="61">
        <f t="shared" si="1"/>
        <v>0.9895635674</v>
      </c>
      <c r="L12249" s="62">
        <f t="shared" si="2"/>
        <v>1.020872865</v>
      </c>
    </row>
    <row r="12250">
      <c r="A12250" s="58">
        <v>44774.0</v>
      </c>
      <c r="B12250" s="24" t="s">
        <v>6790</v>
      </c>
      <c r="C12250" s="27"/>
      <c r="D12250" s="59">
        <v>693.0</v>
      </c>
      <c r="E12250" s="59">
        <v>879.0</v>
      </c>
      <c r="F12250" s="59">
        <v>656.0</v>
      </c>
      <c r="G12250" s="60">
        <v>1.27761627906976</v>
      </c>
      <c r="H12250" s="60">
        <v>0.787258248009101</v>
      </c>
      <c r="I12250" s="60">
        <v>71.82288629124</v>
      </c>
      <c r="J12250" s="59">
        <v>1012.0</v>
      </c>
      <c r="K12250" s="61">
        <f t="shared" si="1"/>
        <v>0.7463026166</v>
      </c>
      <c r="L12250" s="62">
        <f t="shared" si="2"/>
        <v>1.151308305</v>
      </c>
    </row>
    <row r="12251">
      <c r="A12251" s="58">
        <v>44774.0</v>
      </c>
      <c r="B12251" s="24" t="s">
        <v>6789</v>
      </c>
      <c r="C12251" s="27"/>
      <c r="D12251" s="59">
        <v>564.0</v>
      </c>
      <c r="E12251" s="59">
        <v>973.0</v>
      </c>
      <c r="F12251" s="59">
        <v>462.0</v>
      </c>
      <c r="G12251" s="60">
        <v>1.7375</v>
      </c>
      <c r="H12251" s="60">
        <v>0.450154162384378</v>
      </c>
      <c r="I12251" s="60">
        <v>230.723905255909</v>
      </c>
      <c r="J12251" s="59">
        <v>1729.0</v>
      </c>
      <c r="K12251" s="61">
        <f t="shared" si="1"/>
        <v>0.4748201439</v>
      </c>
      <c r="L12251" s="62">
        <f t="shared" si="2"/>
        <v>1.776978417</v>
      </c>
    </row>
    <row r="12252">
      <c r="A12252" s="58">
        <v>44774.0</v>
      </c>
      <c r="B12252" s="24" t="s">
        <v>6787</v>
      </c>
      <c r="C12252" s="27"/>
      <c r="D12252" s="59">
        <v>503.0</v>
      </c>
      <c r="E12252" s="59">
        <v>763.0</v>
      </c>
      <c r="F12252" s="59">
        <v>475.0</v>
      </c>
      <c r="G12252" s="60">
        <v>1.52295409181636</v>
      </c>
      <c r="H12252" s="60">
        <v>0.543905635648754</v>
      </c>
      <c r="I12252" s="60">
        <v>150.875884982962</v>
      </c>
      <c r="J12252" s="59">
        <v>1176.0</v>
      </c>
      <c r="K12252" s="61">
        <f t="shared" si="1"/>
        <v>0.622542595</v>
      </c>
      <c r="L12252" s="62">
        <f t="shared" si="2"/>
        <v>1.541284404</v>
      </c>
    </row>
    <row r="12253">
      <c r="A12253" s="58">
        <v>44774.0</v>
      </c>
      <c r="B12253" s="24" t="s">
        <v>6794</v>
      </c>
      <c r="C12253" s="27"/>
      <c r="D12253" s="59">
        <v>325.0</v>
      </c>
      <c r="E12253" s="59">
        <v>480.0</v>
      </c>
      <c r="F12253" s="59">
        <v>291.0</v>
      </c>
      <c r="G12253" s="60">
        <v>1.49532710280373</v>
      </c>
      <c r="H12253" s="60">
        <v>0.495833333333333</v>
      </c>
      <c r="I12253" s="60">
        <v>152.222648345833</v>
      </c>
      <c r="J12253" s="59">
        <v>687.0</v>
      </c>
      <c r="K12253" s="61">
        <f t="shared" si="1"/>
        <v>0.60625</v>
      </c>
      <c r="L12253" s="62">
        <f t="shared" si="2"/>
        <v>1.43125</v>
      </c>
    </row>
    <row r="12254">
      <c r="A12254" s="58">
        <v>44774.0</v>
      </c>
      <c r="B12254" s="24" t="s">
        <v>6791</v>
      </c>
      <c r="C12254" s="27"/>
      <c r="D12254" s="59">
        <v>219.0</v>
      </c>
      <c r="E12254" s="59">
        <v>286.0</v>
      </c>
      <c r="F12254" s="59">
        <v>205.0</v>
      </c>
      <c r="G12254" s="60">
        <v>1.30593607305936</v>
      </c>
      <c r="H12254" s="60">
        <v>0.391608391608391</v>
      </c>
      <c r="I12254" s="60">
        <v>140.969502493007</v>
      </c>
      <c r="J12254" s="59">
        <v>390.0</v>
      </c>
      <c r="K12254" s="61">
        <f t="shared" si="1"/>
        <v>0.7167832168</v>
      </c>
      <c r="L12254" s="62">
        <f t="shared" si="2"/>
        <v>1.363636364</v>
      </c>
    </row>
    <row r="12255">
      <c r="A12255" s="58">
        <v>44774.0</v>
      </c>
      <c r="B12255" s="24" t="s">
        <v>7100</v>
      </c>
      <c r="C12255" s="27"/>
      <c r="D12255" s="59">
        <v>87.0</v>
      </c>
      <c r="E12255" s="59">
        <v>108.0</v>
      </c>
      <c r="F12255" s="59">
        <v>77.0</v>
      </c>
      <c r="G12255" s="60">
        <v>1.3012048192771</v>
      </c>
      <c r="H12255" s="60">
        <v>0.861111111111111</v>
      </c>
      <c r="I12255" s="60">
        <v>20.0968836944444</v>
      </c>
      <c r="J12255" s="59">
        <v>110.0</v>
      </c>
      <c r="K12255" s="61">
        <f t="shared" si="1"/>
        <v>0.712962963</v>
      </c>
      <c r="L12255" s="62">
        <f t="shared" si="2"/>
        <v>1.018518519</v>
      </c>
    </row>
    <row r="12256">
      <c r="A12256" s="58">
        <v>44774.0</v>
      </c>
      <c r="B12256" s="24" t="s">
        <v>155</v>
      </c>
      <c r="C12256" s="27"/>
      <c r="D12256" s="59">
        <v>60.0</v>
      </c>
      <c r="E12256" s="59">
        <v>68.0</v>
      </c>
      <c r="F12256" s="59">
        <v>52.0</v>
      </c>
      <c r="G12256" s="60">
        <v>1.15254237288135</v>
      </c>
      <c r="H12256" s="60">
        <v>0.558823529411764</v>
      </c>
      <c r="I12256" s="60">
        <v>172.721400632352</v>
      </c>
      <c r="J12256" s="59">
        <v>110.0</v>
      </c>
      <c r="K12256" s="61">
        <f t="shared" si="1"/>
        <v>0.7647058824</v>
      </c>
      <c r="L12256" s="62">
        <f t="shared" si="2"/>
        <v>1.617647059</v>
      </c>
    </row>
    <row r="12257">
      <c r="A12257" s="58">
        <v>44774.0</v>
      </c>
      <c r="B12257" s="24" t="s">
        <v>6942</v>
      </c>
      <c r="C12257" s="27"/>
      <c r="D12257" s="59">
        <v>3.0</v>
      </c>
      <c r="E12257" s="59">
        <v>3.0</v>
      </c>
      <c r="F12257" s="59">
        <v>3.0</v>
      </c>
      <c r="G12257" s="60">
        <v>1.0</v>
      </c>
      <c r="H12257" s="60">
        <v>0.0</v>
      </c>
      <c r="I12257" s="60">
        <v>320.611800333333</v>
      </c>
      <c r="J12257" s="59">
        <v>3.0</v>
      </c>
      <c r="K12257" s="61">
        <f t="shared" si="1"/>
        <v>1</v>
      </c>
      <c r="L12257" s="62">
        <f t="shared" si="2"/>
        <v>1</v>
      </c>
    </row>
    <row r="12258">
      <c r="A12258" s="58">
        <v>44774.0</v>
      </c>
      <c r="B12258" s="24" t="s">
        <v>3216</v>
      </c>
      <c r="C12258" s="27"/>
      <c r="D12258" s="59">
        <v>2.0</v>
      </c>
      <c r="E12258" s="59">
        <v>3.0</v>
      </c>
      <c r="F12258" s="59">
        <v>0.0</v>
      </c>
      <c r="G12258" s="60">
        <v>3.0</v>
      </c>
      <c r="H12258" s="60">
        <v>1.0</v>
      </c>
      <c r="I12258" s="60">
        <v>0.0</v>
      </c>
      <c r="J12258" s="59">
        <v>1.0</v>
      </c>
      <c r="K12258" s="61">
        <f t="shared" si="1"/>
        <v>0</v>
      </c>
      <c r="L12258" s="62">
        <f t="shared" si="2"/>
        <v>0.3333333333</v>
      </c>
    </row>
    <row r="12259">
      <c r="A12259" s="58">
        <v>44743.0</v>
      </c>
      <c r="B12259" s="24" t="s">
        <v>6789</v>
      </c>
      <c r="C12259" s="27"/>
      <c r="D12259" s="59">
        <v>593.0</v>
      </c>
      <c r="E12259" s="59">
        <v>1099.0</v>
      </c>
      <c r="F12259" s="59">
        <v>485.0</v>
      </c>
      <c r="G12259" s="60">
        <v>1.85328836424957</v>
      </c>
      <c r="H12259" s="60">
        <v>0.458598726114649</v>
      </c>
      <c r="I12259" s="60">
        <v>204.272416567788</v>
      </c>
      <c r="J12259" s="59">
        <v>1661.0</v>
      </c>
      <c r="K12259" s="61">
        <f t="shared" si="1"/>
        <v>0.4413102821</v>
      </c>
      <c r="L12259" s="62">
        <f t="shared" si="2"/>
        <v>1.511373976</v>
      </c>
    </row>
    <row r="12260">
      <c r="A12260" s="58">
        <v>44743.0</v>
      </c>
      <c r="B12260" s="24" t="s">
        <v>6787</v>
      </c>
      <c r="C12260" s="27"/>
      <c r="D12260" s="59">
        <v>587.0</v>
      </c>
      <c r="E12260" s="59">
        <v>828.0</v>
      </c>
      <c r="F12260" s="59">
        <v>537.0</v>
      </c>
      <c r="G12260" s="60">
        <v>1.41056218057921</v>
      </c>
      <c r="H12260" s="60">
        <v>0.573671497584541</v>
      </c>
      <c r="I12260" s="60">
        <v>121.318136992753</v>
      </c>
      <c r="J12260" s="59">
        <v>1046.0</v>
      </c>
      <c r="K12260" s="61">
        <f t="shared" si="1"/>
        <v>0.6485507246</v>
      </c>
      <c r="L12260" s="62">
        <f t="shared" si="2"/>
        <v>1.263285024</v>
      </c>
    </row>
    <row r="12261">
      <c r="A12261" s="58">
        <v>44743.0</v>
      </c>
      <c r="B12261" s="24" t="s">
        <v>6790</v>
      </c>
      <c r="C12261" s="27"/>
      <c r="D12261" s="59">
        <v>495.0</v>
      </c>
      <c r="E12261" s="59">
        <v>621.0</v>
      </c>
      <c r="F12261" s="59">
        <v>447.0</v>
      </c>
      <c r="G12261" s="60">
        <v>1.25454545454545</v>
      </c>
      <c r="H12261" s="60">
        <v>0.687600644122383</v>
      </c>
      <c r="I12261" s="60">
        <v>127.83055710628</v>
      </c>
      <c r="J12261" s="59">
        <v>716.0</v>
      </c>
      <c r="K12261" s="61">
        <f t="shared" si="1"/>
        <v>0.7198067633</v>
      </c>
      <c r="L12261" s="62">
        <f t="shared" si="2"/>
        <v>1.152979066</v>
      </c>
    </row>
    <row r="12262">
      <c r="A12262" s="58">
        <v>44743.0</v>
      </c>
      <c r="B12262" s="24" t="s">
        <v>7100</v>
      </c>
      <c r="C12262" s="27"/>
      <c r="D12262" s="59">
        <v>408.0</v>
      </c>
      <c r="E12262" s="59">
        <v>502.0</v>
      </c>
      <c r="F12262" s="59">
        <v>380.0</v>
      </c>
      <c r="G12262" s="60">
        <v>1.23039215686274</v>
      </c>
      <c r="H12262" s="60">
        <v>0.918326693227091</v>
      </c>
      <c r="I12262" s="60">
        <v>20.8644299780876</v>
      </c>
      <c r="J12262" s="59">
        <v>532.0</v>
      </c>
      <c r="K12262" s="61">
        <f t="shared" si="1"/>
        <v>0.7569721116</v>
      </c>
      <c r="L12262" s="62">
        <f t="shared" si="2"/>
        <v>1.059760956</v>
      </c>
    </row>
    <row r="12263">
      <c r="A12263" s="58">
        <v>44743.0</v>
      </c>
      <c r="B12263" s="24" t="s">
        <v>6794</v>
      </c>
      <c r="C12263" s="27"/>
      <c r="D12263" s="59">
        <v>406.0</v>
      </c>
      <c r="E12263" s="59">
        <v>536.0</v>
      </c>
      <c r="F12263" s="59">
        <v>377.0</v>
      </c>
      <c r="G12263" s="60">
        <v>1.32019704433497</v>
      </c>
      <c r="H12263" s="60">
        <v>0.587686567164179</v>
      </c>
      <c r="I12263" s="60">
        <v>106.16006996082</v>
      </c>
      <c r="J12263" s="59">
        <v>695.0</v>
      </c>
      <c r="K12263" s="61">
        <f t="shared" si="1"/>
        <v>0.703358209</v>
      </c>
      <c r="L12263" s="62">
        <f t="shared" si="2"/>
        <v>1.296641791</v>
      </c>
    </row>
    <row r="12264">
      <c r="A12264" s="58">
        <v>44743.0</v>
      </c>
      <c r="B12264" s="24" t="s">
        <v>6791</v>
      </c>
      <c r="C12264" s="27"/>
      <c r="D12264" s="59">
        <v>110.0</v>
      </c>
      <c r="E12264" s="59">
        <v>175.0</v>
      </c>
      <c r="F12264" s="59">
        <v>94.0</v>
      </c>
      <c r="G12264" s="60">
        <v>1.59090909090909</v>
      </c>
      <c r="H12264" s="60">
        <v>0.542857142857142</v>
      </c>
      <c r="I12264" s="60">
        <v>147.632666994285</v>
      </c>
      <c r="J12264" s="59">
        <v>171.0</v>
      </c>
      <c r="K12264" s="61">
        <f t="shared" si="1"/>
        <v>0.5371428571</v>
      </c>
      <c r="L12264" s="62">
        <f t="shared" si="2"/>
        <v>0.9771428571</v>
      </c>
    </row>
    <row r="12265">
      <c r="A12265" s="58">
        <v>44743.0</v>
      </c>
      <c r="B12265" s="24" t="s">
        <v>155</v>
      </c>
      <c r="C12265" s="27"/>
      <c r="D12265" s="59">
        <v>56.0</v>
      </c>
      <c r="E12265" s="59">
        <v>122.0</v>
      </c>
      <c r="F12265" s="59">
        <v>50.0</v>
      </c>
      <c r="G12265" s="60">
        <v>2.17857142857142</v>
      </c>
      <c r="H12265" s="60">
        <v>0.688524590163934</v>
      </c>
      <c r="I12265" s="60">
        <v>165.339256147541</v>
      </c>
      <c r="J12265" s="59">
        <v>216.0</v>
      </c>
      <c r="K12265" s="61">
        <f t="shared" si="1"/>
        <v>0.4098360656</v>
      </c>
      <c r="L12265" s="62">
        <f t="shared" si="2"/>
        <v>1.770491803</v>
      </c>
    </row>
    <row r="12266">
      <c r="A12266" s="58">
        <v>44743.0</v>
      </c>
      <c r="B12266" s="24" t="s">
        <v>3216</v>
      </c>
      <c r="C12266" s="27"/>
      <c r="D12266" s="59">
        <v>29.0</v>
      </c>
      <c r="E12266" s="59">
        <v>55.0</v>
      </c>
      <c r="F12266" s="59">
        <v>17.0</v>
      </c>
      <c r="G12266" s="60">
        <v>1.89655172413793</v>
      </c>
      <c r="H12266" s="60">
        <v>0.672727272727272</v>
      </c>
      <c r="I12266" s="60">
        <v>150.084223818181</v>
      </c>
      <c r="J12266" s="59">
        <v>87.0</v>
      </c>
      <c r="K12266" s="61">
        <f t="shared" si="1"/>
        <v>0.3090909091</v>
      </c>
      <c r="L12266" s="62">
        <f t="shared" si="2"/>
        <v>1.581818182</v>
      </c>
    </row>
    <row r="12267">
      <c r="A12267" s="58">
        <v>44743.0</v>
      </c>
      <c r="B12267" s="24" t="s">
        <v>7296</v>
      </c>
      <c r="C12267" s="27"/>
      <c r="D12267" s="59">
        <v>13.0</v>
      </c>
      <c r="E12267" s="59">
        <v>13.0</v>
      </c>
      <c r="F12267" s="59">
        <v>13.0</v>
      </c>
      <c r="G12267" s="60">
        <v>1.0</v>
      </c>
      <c r="H12267" s="60">
        <v>0.923076923076923</v>
      </c>
      <c r="I12267" s="60">
        <v>2.40112423076923</v>
      </c>
      <c r="J12267" s="59">
        <v>15.0</v>
      </c>
      <c r="K12267" s="61">
        <f t="shared" si="1"/>
        <v>1</v>
      </c>
      <c r="L12267" s="62">
        <f t="shared" si="2"/>
        <v>1.153846154</v>
      </c>
    </row>
    <row r="12268">
      <c r="A12268" s="58">
        <v>44743.0</v>
      </c>
      <c r="B12268" s="24" t="s">
        <v>7606</v>
      </c>
      <c r="C12268" s="27"/>
      <c r="D12268" s="59">
        <v>8.0</v>
      </c>
      <c r="E12268" s="59">
        <v>9.0</v>
      </c>
      <c r="F12268" s="59">
        <v>8.0</v>
      </c>
      <c r="G12268" s="60">
        <v>1.125</v>
      </c>
      <c r="H12268" s="60">
        <v>0.222222222222222</v>
      </c>
      <c r="I12268" s="60">
        <v>357.625724111111</v>
      </c>
      <c r="J12268" s="59">
        <v>11.0</v>
      </c>
      <c r="K12268" s="61">
        <f t="shared" si="1"/>
        <v>0.8888888889</v>
      </c>
      <c r="L12268" s="62">
        <f t="shared" si="2"/>
        <v>1.222222222</v>
      </c>
    </row>
    <row r="12269">
      <c r="A12269" s="58">
        <v>44743.0</v>
      </c>
      <c r="B12269" s="24" t="s">
        <v>6942</v>
      </c>
      <c r="C12269" s="27"/>
      <c r="D12269" s="59">
        <v>3.0</v>
      </c>
      <c r="E12269" s="59">
        <v>5.0</v>
      </c>
      <c r="F12269" s="59">
        <v>1.0</v>
      </c>
      <c r="G12269" s="60">
        <v>1.66666666666666</v>
      </c>
      <c r="H12269" s="60">
        <v>0.4</v>
      </c>
      <c r="I12269" s="60">
        <v>801.858382</v>
      </c>
      <c r="J12269" s="59">
        <v>6.0</v>
      </c>
      <c r="K12269" s="61">
        <f t="shared" si="1"/>
        <v>0.2</v>
      </c>
      <c r="L12269" s="62">
        <f t="shared" si="2"/>
        <v>1.2</v>
      </c>
    </row>
    <row r="12270">
      <c r="A12270" s="58">
        <v>44713.0</v>
      </c>
      <c r="B12270" s="24" t="s">
        <v>7100</v>
      </c>
      <c r="C12270" s="27"/>
      <c r="D12270" s="59">
        <v>2239.0</v>
      </c>
      <c r="E12270" s="59">
        <v>2501.0</v>
      </c>
      <c r="F12270" s="59">
        <v>2201.0</v>
      </c>
      <c r="G12270" s="60">
        <v>1.11701652523447</v>
      </c>
      <c r="H12270" s="60">
        <v>0.914434226309476</v>
      </c>
      <c r="I12270" s="60">
        <v>17.6053720695721</v>
      </c>
      <c r="J12270" s="59">
        <v>2622.0</v>
      </c>
      <c r="K12270" s="61">
        <f t="shared" si="1"/>
        <v>0.8800479808</v>
      </c>
      <c r="L12270" s="62">
        <f t="shared" si="2"/>
        <v>1.048380648</v>
      </c>
    </row>
    <row r="12271">
      <c r="A12271" s="58">
        <v>44713.0</v>
      </c>
      <c r="B12271" s="24" t="s">
        <v>6789</v>
      </c>
      <c r="C12271" s="27"/>
      <c r="D12271" s="59">
        <v>664.0</v>
      </c>
      <c r="E12271" s="59">
        <v>1180.0</v>
      </c>
      <c r="F12271" s="59">
        <v>565.0</v>
      </c>
      <c r="G12271" s="60">
        <v>1.77710843373493</v>
      </c>
      <c r="H12271" s="60">
        <v>0.432203389830508</v>
      </c>
      <c r="I12271" s="60">
        <v>203.955520971186</v>
      </c>
      <c r="J12271" s="59">
        <v>1728.0</v>
      </c>
      <c r="K12271" s="61">
        <f t="shared" si="1"/>
        <v>0.4788135593</v>
      </c>
      <c r="L12271" s="62">
        <f t="shared" si="2"/>
        <v>1.46440678</v>
      </c>
    </row>
    <row r="12272">
      <c r="A12272" s="58">
        <v>44713.0</v>
      </c>
      <c r="B12272" s="24" t="s">
        <v>6787</v>
      </c>
      <c r="C12272" s="27"/>
      <c r="D12272" s="59">
        <v>513.0</v>
      </c>
      <c r="E12272" s="59">
        <v>768.0</v>
      </c>
      <c r="F12272" s="59">
        <v>483.0</v>
      </c>
      <c r="G12272" s="60">
        <v>1.49707602339181</v>
      </c>
      <c r="H12272" s="60">
        <v>0.6015625</v>
      </c>
      <c r="I12272" s="60">
        <v>118.049496480468</v>
      </c>
      <c r="J12272" s="59">
        <v>1068.0</v>
      </c>
      <c r="K12272" s="61">
        <f t="shared" si="1"/>
        <v>0.62890625</v>
      </c>
      <c r="L12272" s="62">
        <f t="shared" si="2"/>
        <v>1.390625</v>
      </c>
    </row>
    <row r="12273">
      <c r="A12273" s="58">
        <v>44713.0</v>
      </c>
      <c r="B12273" s="24" t="s">
        <v>6794</v>
      </c>
      <c r="C12273" s="27"/>
      <c r="D12273" s="59">
        <v>328.0</v>
      </c>
      <c r="E12273" s="59">
        <v>415.0</v>
      </c>
      <c r="F12273" s="59">
        <v>306.0</v>
      </c>
      <c r="G12273" s="60">
        <v>1.26524390243902</v>
      </c>
      <c r="H12273" s="60">
        <v>0.53012048192771</v>
      </c>
      <c r="I12273" s="60">
        <v>120.309526308433</v>
      </c>
      <c r="J12273" s="59">
        <v>604.0</v>
      </c>
      <c r="K12273" s="61">
        <f t="shared" si="1"/>
        <v>0.7373493976</v>
      </c>
      <c r="L12273" s="62">
        <f t="shared" si="2"/>
        <v>1.455421687</v>
      </c>
    </row>
    <row r="12274">
      <c r="A12274" s="58">
        <v>44713.0</v>
      </c>
      <c r="B12274" s="24" t="s">
        <v>6790</v>
      </c>
      <c r="C12274" s="27"/>
      <c r="D12274" s="59">
        <v>225.0</v>
      </c>
      <c r="E12274" s="59">
        <v>355.0</v>
      </c>
      <c r="F12274" s="59">
        <v>192.0</v>
      </c>
      <c r="G12274" s="60">
        <v>1.57777777777777</v>
      </c>
      <c r="H12274" s="60">
        <v>0.467605633802816</v>
      </c>
      <c r="I12274" s="60">
        <v>172.518605740845</v>
      </c>
      <c r="J12274" s="59">
        <v>517.0</v>
      </c>
      <c r="K12274" s="61">
        <f t="shared" si="1"/>
        <v>0.5408450704</v>
      </c>
      <c r="L12274" s="62">
        <f t="shared" si="2"/>
        <v>1.456338028</v>
      </c>
    </row>
    <row r="12275">
      <c r="A12275" s="58">
        <v>44713.0</v>
      </c>
      <c r="B12275" s="24" t="s">
        <v>155</v>
      </c>
      <c r="C12275" s="27"/>
      <c r="D12275" s="59">
        <v>80.0</v>
      </c>
      <c r="E12275" s="59">
        <v>121.0</v>
      </c>
      <c r="F12275" s="59">
        <v>71.0</v>
      </c>
      <c r="G12275" s="60">
        <v>1.5125</v>
      </c>
      <c r="H12275" s="60">
        <v>0.768595041322314</v>
      </c>
      <c r="I12275" s="60">
        <v>50.0551541404958</v>
      </c>
      <c r="J12275" s="59">
        <v>127.0</v>
      </c>
      <c r="K12275" s="61">
        <f t="shared" si="1"/>
        <v>0.5867768595</v>
      </c>
      <c r="L12275" s="62">
        <f t="shared" si="2"/>
        <v>1.049586777</v>
      </c>
    </row>
    <row r="12276">
      <c r="A12276" s="58">
        <v>44713.0</v>
      </c>
      <c r="B12276" s="24" t="s">
        <v>6791</v>
      </c>
      <c r="C12276" s="27"/>
      <c r="D12276" s="59">
        <v>78.0</v>
      </c>
      <c r="E12276" s="59">
        <v>102.0</v>
      </c>
      <c r="F12276" s="59">
        <v>67.0</v>
      </c>
      <c r="G12276" s="60">
        <v>1.3076923076923</v>
      </c>
      <c r="H12276" s="60">
        <v>0.470588235294117</v>
      </c>
      <c r="I12276" s="60">
        <v>107.458166382352</v>
      </c>
      <c r="J12276" s="59">
        <v>116.0</v>
      </c>
      <c r="K12276" s="61">
        <f t="shared" si="1"/>
        <v>0.6568627451</v>
      </c>
      <c r="L12276" s="62">
        <f t="shared" si="2"/>
        <v>1.137254902</v>
      </c>
    </row>
    <row r="12277">
      <c r="A12277" s="58">
        <v>44713.0</v>
      </c>
      <c r="B12277" s="24" t="s">
        <v>3216</v>
      </c>
      <c r="C12277" s="27"/>
      <c r="D12277" s="59">
        <v>42.0</v>
      </c>
      <c r="E12277" s="59">
        <v>46.0</v>
      </c>
      <c r="F12277" s="59">
        <v>40.0</v>
      </c>
      <c r="G12277" s="60">
        <v>1.09523809523809</v>
      </c>
      <c r="H12277" s="60">
        <v>0.826086956521739</v>
      </c>
      <c r="I12277" s="60">
        <v>18.4706627173913</v>
      </c>
      <c r="J12277" s="59">
        <v>58.0</v>
      </c>
      <c r="K12277" s="61">
        <f t="shared" si="1"/>
        <v>0.8695652174</v>
      </c>
      <c r="L12277" s="62">
        <f t="shared" si="2"/>
        <v>1.260869565</v>
      </c>
    </row>
    <row r="12278">
      <c r="A12278" s="58">
        <v>44713.0</v>
      </c>
      <c r="B12278" s="24" t="s">
        <v>7296</v>
      </c>
      <c r="C12278" s="27"/>
      <c r="D12278" s="59">
        <v>29.0</v>
      </c>
      <c r="E12278" s="59">
        <v>29.0</v>
      </c>
      <c r="F12278" s="59">
        <v>29.0</v>
      </c>
      <c r="G12278" s="60">
        <v>1.0</v>
      </c>
      <c r="H12278" s="60">
        <v>0.96551724137931</v>
      </c>
      <c r="I12278" s="60">
        <v>3.11239920689655</v>
      </c>
      <c r="J12278" s="59">
        <v>34.0</v>
      </c>
      <c r="K12278" s="61">
        <f t="shared" si="1"/>
        <v>1</v>
      </c>
      <c r="L12278" s="62">
        <f t="shared" si="2"/>
        <v>1.172413793</v>
      </c>
    </row>
    <row r="12279">
      <c r="A12279" s="58">
        <v>44713.0</v>
      </c>
      <c r="B12279" s="24" t="s">
        <v>7606</v>
      </c>
      <c r="C12279" s="27"/>
      <c r="D12279" s="59">
        <v>2.0</v>
      </c>
      <c r="E12279" s="59">
        <v>2.0</v>
      </c>
      <c r="F12279" s="59">
        <v>2.0</v>
      </c>
      <c r="G12279" s="60">
        <v>1.0</v>
      </c>
      <c r="H12279" s="60">
        <v>0.5</v>
      </c>
      <c r="I12279" s="60">
        <v>572.126272</v>
      </c>
      <c r="J12279" s="59">
        <v>4.0</v>
      </c>
      <c r="K12279" s="61">
        <f t="shared" si="1"/>
        <v>1</v>
      </c>
      <c r="L12279" s="62">
        <f t="shared" si="2"/>
        <v>2</v>
      </c>
    </row>
    <row r="12280">
      <c r="A12280" s="58">
        <v>44682.0</v>
      </c>
      <c r="B12280" s="24" t="s">
        <v>7100</v>
      </c>
      <c r="C12280" s="27"/>
      <c r="D12280" s="59">
        <v>1250.0</v>
      </c>
      <c r="E12280" s="59">
        <v>1420.0</v>
      </c>
      <c r="F12280" s="59">
        <v>1231.0</v>
      </c>
      <c r="G12280" s="60">
        <v>1.136</v>
      </c>
      <c r="H12280" s="60">
        <v>0.925352112676056</v>
      </c>
      <c r="I12280" s="60">
        <v>22.9049757584506</v>
      </c>
      <c r="J12280" s="59">
        <v>1497.0</v>
      </c>
      <c r="K12280" s="61">
        <f t="shared" si="1"/>
        <v>0.8669014085</v>
      </c>
      <c r="L12280" s="62">
        <f t="shared" si="2"/>
        <v>1.054225352</v>
      </c>
    </row>
    <row r="12281">
      <c r="A12281" s="58">
        <v>44682.0</v>
      </c>
      <c r="B12281" s="24" t="s">
        <v>6789</v>
      </c>
      <c r="C12281" s="27"/>
      <c r="D12281" s="59">
        <v>661.0</v>
      </c>
      <c r="E12281" s="59">
        <v>1309.0</v>
      </c>
      <c r="F12281" s="59">
        <v>556.0</v>
      </c>
      <c r="G12281" s="60">
        <v>1.98033282904689</v>
      </c>
      <c r="H12281" s="60">
        <v>0.429335370511841</v>
      </c>
      <c r="I12281" s="60">
        <v>226.006699533231</v>
      </c>
      <c r="J12281" s="59">
        <v>2178.0</v>
      </c>
      <c r="K12281" s="61">
        <f t="shared" si="1"/>
        <v>0.4247517189</v>
      </c>
      <c r="L12281" s="62">
        <f t="shared" si="2"/>
        <v>1.663865546</v>
      </c>
    </row>
    <row r="12282">
      <c r="A12282" s="58">
        <v>44682.0</v>
      </c>
      <c r="B12282" s="24" t="s">
        <v>6787</v>
      </c>
      <c r="C12282" s="27"/>
      <c r="D12282" s="59">
        <v>419.0</v>
      </c>
      <c r="E12282" s="59">
        <v>692.0</v>
      </c>
      <c r="F12282" s="59">
        <v>376.0</v>
      </c>
      <c r="G12282" s="60">
        <v>1.65155131264916</v>
      </c>
      <c r="H12282" s="60">
        <v>0.544797687861271</v>
      </c>
      <c r="I12282" s="60">
        <v>183.739129530346</v>
      </c>
      <c r="J12282" s="59">
        <v>994.0</v>
      </c>
      <c r="K12282" s="61">
        <f t="shared" si="1"/>
        <v>0.5433526012</v>
      </c>
      <c r="L12282" s="62">
        <f t="shared" si="2"/>
        <v>1.436416185</v>
      </c>
    </row>
    <row r="12283">
      <c r="A12283" s="58">
        <v>44682.0</v>
      </c>
      <c r="B12283" s="24" t="s">
        <v>6794</v>
      </c>
      <c r="C12283" s="27"/>
      <c r="D12283" s="59">
        <v>257.0</v>
      </c>
      <c r="E12283" s="59">
        <v>374.0</v>
      </c>
      <c r="F12283" s="59">
        <v>228.0</v>
      </c>
      <c r="G12283" s="60">
        <v>1.45525291828793</v>
      </c>
      <c r="H12283" s="60">
        <v>0.438502673796791</v>
      </c>
      <c r="I12283" s="60">
        <v>121.469348561497</v>
      </c>
      <c r="J12283" s="59">
        <v>580.0</v>
      </c>
      <c r="K12283" s="61">
        <f t="shared" si="1"/>
        <v>0.6096256684</v>
      </c>
      <c r="L12283" s="62">
        <f t="shared" si="2"/>
        <v>1.550802139</v>
      </c>
    </row>
    <row r="12284">
      <c r="A12284" s="58">
        <v>44682.0</v>
      </c>
      <c r="B12284" s="24" t="s">
        <v>155</v>
      </c>
      <c r="C12284" s="27"/>
      <c r="D12284" s="59">
        <v>33.0</v>
      </c>
      <c r="E12284" s="59">
        <v>79.0</v>
      </c>
      <c r="F12284" s="59">
        <v>24.0</v>
      </c>
      <c r="G12284" s="60">
        <v>2.39393939393939</v>
      </c>
      <c r="H12284" s="60">
        <v>0.443037974683544</v>
      </c>
      <c r="I12284" s="60">
        <v>383.981422278481</v>
      </c>
      <c r="J12284" s="59">
        <v>140.0</v>
      </c>
      <c r="K12284" s="61">
        <f t="shared" si="1"/>
        <v>0.3037974684</v>
      </c>
      <c r="L12284" s="62">
        <f t="shared" si="2"/>
        <v>1.772151899</v>
      </c>
    </row>
    <row r="12285">
      <c r="A12285" s="58">
        <v>44682.0</v>
      </c>
      <c r="B12285" s="24" t="s">
        <v>6791</v>
      </c>
      <c r="C12285" s="27"/>
      <c r="D12285" s="59">
        <v>18.0</v>
      </c>
      <c r="E12285" s="59">
        <v>26.0</v>
      </c>
      <c r="F12285" s="59">
        <v>15.0</v>
      </c>
      <c r="G12285" s="60">
        <v>1.44444444444444</v>
      </c>
      <c r="H12285" s="60">
        <v>0.307692307692307</v>
      </c>
      <c r="I12285" s="60">
        <v>478.889474384615</v>
      </c>
      <c r="J12285" s="59">
        <v>69.0</v>
      </c>
      <c r="K12285" s="61">
        <f t="shared" si="1"/>
        <v>0.5769230769</v>
      </c>
      <c r="L12285" s="62">
        <f t="shared" si="2"/>
        <v>2.653846154</v>
      </c>
    </row>
    <row r="12286">
      <c r="A12286" s="58">
        <v>44682.0</v>
      </c>
      <c r="B12286" s="24" t="s">
        <v>6790</v>
      </c>
      <c r="C12286" s="27"/>
      <c r="D12286" s="59">
        <v>13.0</v>
      </c>
      <c r="E12286" s="59">
        <v>21.0</v>
      </c>
      <c r="F12286" s="59">
        <v>0.0</v>
      </c>
      <c r="G12286" s="60">
        <v>1.61538461538461</v>
      </c>
      <c r="H12286" s="60">
        <v>0.619047619047619</v>
      </c>
      <c r="I12286" s="60">
        <v>171.327178380952</v>
      </c>
      <c r="J12286" s="59">
        <v>37.0</v>
      </c>
      <c r="K12286" s="61">
        <f t="shared" si="1"/>
        <v>0</v>
      </c>
      <c r="L12286" s="62">
        <f t="shared" si="2"/>
        <v>1.761904762</v>
      </c>
    </row>
    <row r="12287">
      <c r="A12287" s="58">
        <v>44682.0</v>
      </c>
      <c r="B12287" s="24" t="s">
        <v>7606</v>
      </c>
      <c r="C12287" s="27"/>
      <c r="D12287" s="59">
        <v>5.0</v>
      </c>
      <c r="E12287" s="59">
        <v>6.0</v>
      </c>
      <c r="F12287" s="59">
        <v>4.0</v>
      </c>
      <c r="G12287" s="60">
        <v>1.2</v>
      </c>
      <c r="H12287" s="60">
        <v>0.5</v>
      </c>
      <c r="I12287" s="60">
        <v>152.243605</v>
      </c>
      <c r="J12287" s="59">
        <v>9.0</v>
      </c>
      <c r="K12287" s="61">
        <f t="shared" si="1"/>
        <v>0.6666666667</v>
      </c>
      <c r="L12287" s="62">
        <f t="shared" si="2"/>
        <v>1.5</v>
      </c>
    </row>
    <row r="12288">
      <c r="A12288" s="58">
        <v>44652.0</v>
      </c>
      <c r="B12288" s="24" t="s">
        <v>7100</v>
      </c>
      <c r="C12288" s="27"/>
      <c r="D12288" s="59">
        <v>848.0</v>
      </c>
      <c r="E12288" s="59">
        <v>915.0</v>
      </c>
      <c r="F12288" s="59">
        <v>845.0</v>
      </c>
      <c r="G12288" s="60">
        <v>1.07900943396226</v>
      </c>
      <c r="H12288" s="60">
        <v>0.940983606557377</v>
      </c>
      <c r="I12288" s="60">
        <v>12.3700978535519</v>
      </c>
      <c r="J12288" s="59">
        <v>929.0</v>
      </c>
      <c r="K12288" s="61">
        <f t="shared" si="1"/>
        <v>0.9234972678</v>
      </c>
      <c r="L12288" s="62">
        <f t="shared" si="2"/>
        <v>1.015300546</v>
      </c>
    </row>
    <row r="12289">
      <c r="A12289" s="58">
        <v>44652.0</v>
      </c>
      <c r="B12289" s="24" t="s">
        <v>6789</v>
      </c>
      <c r="C12289" s="27"/>
      <c r="D12289" s="59">
        <v>640.0</v>
      </c>
      <c r="E12289" s="59">
        <v>1070.0</v>
      </c>
      <c r="F12289" s="59">
        <v>576.0</v>
      </c>
      <c r="G12289" s="60">
        <v>1.671875</v>
      </c>
      <c r="H12289" s="60">
        <v>0.36822429906542</v>
      </c>
      <c r="I12289" s="60">
        <v>272.0522977757</v>
      </c>
      <c r="J12289" s="59">
        <v>1860.0</v>
      </c>
      <c r="K12289" s="61">
        <f t="shared" si="1"/>
        <v>0.538317757</v>
      </c>
      <c r="L12289" s="62">
        <f t="shared" si="2"/>
        <v>1.738317757</v>
      </c>
    </row>
    <row r="12290">
      <c r="A12290" s="58">
        <v>44652.0</v>
      </c>
      <c r="B12290" s="24" t="s">
        <v>6787</v>
      </c>
      <c r="C12290" s="27"/>
      <c r="D12290" s="59">
        <v>521.0</v>
      </c>
      <c r="E12290" s="59">
        <v>761.0</v>
      </c>
      <c r="F12290" s="59">
        <v>474.0</v>
      </c>
      <c r="G12290" s="60">
        <v>1.46065259117082</v>
      </c>
      <c r="H12290" s="60">
        <v>0.470433639947437</v>
      </c>
      <c r="I12290" s="60">
        <v>166.053601014454</v>
      </c>
      <c r="J12290" s="59">
        <v>1273.0</v>
      </c>
      <c r="K12290" s="61">
        <f t="shared" si="1"/>
        <v>0.6228646518</v>
      </c>
      <c r="L12290" s="62">
        <f t="shared" si="2"/>
        <v>1.672798949</v>
      </c>
    </row>
    <row r="12291">
      <c r="A12291" s="58">
        <v>44652.0</v>
      </c>
      <c r="B12291" s="24" t="s">
        <v>6794</v>
      </c>
      <c r="C12291" s="27"/>
      <c r="D12291" s="59">
        <v>389.0</v>
      </c>
      <c r="E12291" s="59">
        <v>618.0</v>
      </c>
      <c r="F12291" s="59">
        <v>360.0</v>
      </c>
      <c r="G12291" s="60">
        <v>1.58868894601542</v>
      </c>
      <c r="H12291" s="60">
        <v>0.449838187702265</v>
      </c>
      <c r="I12291" s="60">
        <v>160.759104053398</v>
      </c>
      <c r="J12291" s="59">
        <v>1028.0</v>
      </c>
      <c r="K12291" s="61">
        <f t="shared" si="1"/>
        <v>0.5825242718</v>
      </c>
      <c r="L12291" s="62">
        <f t="shared" si="2"/>
        <v>1.663430421</v>
      </c>
    </row>
    <row r="12292">
      <c r="A12292" s="58">
        <v>44652.0</v>
      </c>
      <c r="B12292" s="24" t="s">
        <v>6791</v>
      </c>
      <c r="C12292" s="27"/>
      <c r="D12292" s="59">
        <v>24.0</v>
      </c>
      <c r="E12292" s="59">
        <v>29.0</v>
      </c>
      <c r="F12292" s="59">
        <v>19.0</v>
      </c>
      <c r="G12292" s="60">
        <v>1.20833333333333</v>
      </c>
      <c r="H12292" s="60">
        <v>0.379310344827586</v>
      </c>
      <c r="I12292" s="60">
        <v>233.978706551724</v>
      </c>
      <c r="J12292" s="59">
        <v>50.0</v>
      </c>
      <c r="K12292" s="61">
        <f t="shared" si="1"/>
        <v>0.6551724138</v>
      </c>
      <c r="L12292" s="62">
        <f t="shared" si="2"/>
        <v>1.724137931</v>
      </c>
    </row>
    <row r="12293">
      <c r="A12293" s="58">
        <v>44652.0</v>
      </c>
      <c r="B12293" s="24" t="s">
        <v>155</v>
      </c>
      <c r="C12293" s="27"/>
      <c r="D12293" s="59">
        <v>17.0</v>
      </c>
      <c r="E12293" s="59">
        <v>68.0</v>
      </c>
      <c r="F12293" s="59">
        <v>11.0</v>
      </c>
      <c r="G12293" s="60">
        <v>4.0</v>
      </c>
      <c r="H12293" s="60">
        <v>0.426470588235294</v>
      </c>
      <c r="I12293" s="60">
        <v>242.552580073529</v>
      </c>
      <c r="J12293" s="59">
        <v>138.0</v>
      </c>
      <c r="K12293" s="61">
        <f t="shared" si="1"/>
        <v>0.1617647059</v>
      </c>
      <c r="L12293" s="62">
        <f t="shared" si="2"/>
        <v>2.029411765</v>
      </c>
    </row>
    <row r="12294">
      <c r="A12294" s="58">
        <v>44652.0</v>
      </c>
      <c r="B12294" s="24" t="s">
        <v>6790</v>
      </c>
      <c r="C12294" s="27"/>
      <c r="D12294" s="59">
        <v>4.0</v>
      </c>
      <c r="E12294" s="59">
        <v>4.0</v>
      </c>
      <c r="F12294" s="59">
        <v>0.0</v>
      </c>
      <c r="G12294" s="60">
        <v>1.0</v>
      </c>
      <c r="H12294" s="60">
        <v>1.0</v>
      </c>
      <c r="I12294" s="60">
        <v>140.097122749999</v>
      </c>
      <c r="J12294" s="59">
        <v>5.0</v>
      </c>
      <c r="K12294" s="61">
        <f t="shared" si="1"/>
        <v>0</v>
      </c>
      <c r="L12294" s="62">
        <f t="shared" si="2"/>
        <v>1.25</v>
      </c>
    </row>
    <row r="12295">
      <c r="A12295" s="58">
        <v>44652.0</v>
      </c>
      <c r="B12295" s="24" t="s">
        <v>7606</v>
      </c>
      <c r="C12295" s="27"/>
      <c r="D12295" s="59">
        <v>3.0</v>
      </c>
      <c r="E12295" s="59">
        <v>4.0</v>
      </c>
      <c r="F12295" s="59">
        <v>2.0</v>
      </c>
      <c r="G12295" s="60">
        <v>1.33333333333333</v>
      </c>
      <c r="H12295" s="60">
        <v>0.75</v>
      </c>
      <c r="I12295" s="60">
        <v>0.47470475</v>
      </c>
      <c r="J12295" s="59">
        <v>4.0</v>
      </c>
      <c r="K12295" s="61">
        <f t="shared" si="1"/>
        <v>0.5</v>
      </c>
      <c r="L12295" s="62">
        <f t="shared" si="2"/>
        <v>1</v>
      </c>
    </row>
    <row r="12296">
      <c r="A12296" s="58">
        <v>44621.0</v>
      </c>
      <c r="B12296" s="24" t="s">
        <v>6789</v>
      </c>
      <c r="C12296" s="27"/>
      <c r="D12296" s="59">
        <v>556.0</v>
      </c>
      <c r="E12296" s="59">
        <v>907.0</v>
      </c>
      <c r="F12296" s="59">
        <v>494.0</v>
      </c>
      <c r="G12296" s="60">
        <v>1.63129496402877</v>
      </c>
      <c r="H12296" s="60">
        <v>0.415656008820286</v>
      </c>
      <c r="I12296" s="60">
        <v>193.020056746416</v>
      </c>
      <c r="J12296" s="59">
        <v>1304.0</v>
      </c>
      <c r="K12296" s="61">
        <f t="shared" si="1"/>
        <v>0.5446527012</v>
      </c>
      <c r="L12296" s="62">
        <f t="shared" si="2"/>
        <v>1.437706725</v>
      </c>
    </row>
    <row r="12297">
      <c r="A12297" s="58">
        <v>44621.0</v>
      </c>
      <c r="B12297" s="24" t="s">
        <v>6787</v>
      </c>
      <c r="C12297" s="27"/>
      <c r="D12297" s="59">
        <v>407.0</v>
      </c>
      <c r="E12297" s="59">
        <v>748.0</v>
      </c>
      <c r="F12297" s="59">
        <v>367.0</v>
      </c>
      <c r="G12297" s="60">
        <v>1.83783783783783</v>
      </c>
      <c r="H12297" s="60">
        <v>0.41711229946524</v>
      </c>
      <c r="I12297" s="60">
        <v>303.930644044117</v>
      </c>
      <c r="J12297" s="59">
        <v>1869.0</v>
      </c>
      <c r="K12297" s="61">
        <f t="shared" si="1"/>
        <v>0.4906417112</v>
      </c>
      <c r="L12297" s="62">
        <f t="shared" si="2"/>
        <v>2.498663102</v>
      </c>
    </row>
    <row r="12298">
      <c r="A12298" s="58">
        <v>44621.0</v>
      </c>
      <c r="B12298" s="24" t="s">
        <v>6790</v>
      </c>
      <c r="C12298" s="27"/>
      <c r="D12298" s="59">
        <v>266.0</v>
      </c>
      <c r="E12298" s="59">
        <v>411.0</v>
      </c>
      <c r="F12298" s="59">
        <v>196.0</v>
      </c>
      <c r="G12298" s="60">
        <v>1.55681818181818</v>
      </c>
      <c r="H12298" s="60">
        <v>0.980535279805352</v>
      </c>
      <c r="I12298" s="60">
        <v>7.30260226034063</v>
      </c>
      <c r="J12298" s="59">
        <v>944.0</v>
      </c>
      <c r="K12298" s="61">
        <f t="shared" si="1"/>
        <v>0.4768856448</v>
      </c>
      <c r="L12298" s="62">
        <f t="shared" si="2"/>
        <v>2.296836983</v>
      </c>
    </row>
    <row r="12299">
      <c r="A12299" s="58">
        <v>44621.0</v>
      </c>
      <c r="B12299" s="24" t="s">
        <v>7100</v>
      </c>
      <c r="C12299" s="27"/>
      <c r="D12299" s="59">
        <v>240.0</v>
      </c>
      <c r="E12299" s="59">
        <v>286.0</v>
      </c>
      <c r="F12299" s="59">
        <v>235.0</v>
      </c>
      <c r="G12299" s="60">
        <v>1.19166666666666</v>
      </c>
      <c r="H12299" s="60">
        <v>0.674825174825174</v>
      </c>
      <c r="I12299" s="60">
        <v>73.3744543251747</v>
      </c>
      <c r="J12299" s="59">
        <v>305.0</v>
      </c>
      <c r="K12299" s="61">
        <f t="shared" si="1"/>
        <v>0.8216783217</v>
      </c>
      <c r="L12299" s="62">
        <f t="shared" si="2"/>
        <v>1.066433566</v>
      </c>
    </row>
    <row r="12300">
      <c r="A12300" s="58">
        <v>44621.0</v>
      </c>
      <c r="B12300" s="24" t="s">
        <v>6794</v>
      </c>
      <c r="C12300" s="27"/>
      <c r="D12300" s="59">
        <v>204.0</v>
      </c>
      <c r="E12300" s="59">
        <v>297.0</v>
      </c>
      <c r="F12300" s="59">
        <v>179.0</v>
      </c>
      <c r="G12300" s="60">
        <v>1.45588235294117</v>
      </c>
      <c r="H12300" s="60">
        <v>0.441077441077441</v>
      </c>
      <c r="I12300" s="60">
        <v>120.473325276094</v>
      </c>
      <c r="J12300" s="59">
        <v>481.0</v>
      </c>
      <c r="K12300" s="61">
        <f t="shared" si="1"/>
        <v>0.6026936027</v>
      </c>
      <c r="L12300" s="62">
        <f t="shared" si="2"/>
        <v>1.61952862</v>
      </c>
    </row>
    <row r="12301">
      <c r="A12301" s="58">
        <v>44621.0</v>
      </c>
      <c r="B12301" s="24" t="s">
        <v>6791</v>
      </c>
      <c r="C12301" s="27"/>
      <c r="D12301" s="59">
        <v>28.0</v>
      </c>
      <c r="E12301" s="59">
        <v>30.0</v>
      </c>
      <c r="F12301" s="59">
        <v>27.0</v>
      </c>
      <c r="G12301" s="60">
        <v>1.07142857142857</v>
      </c>
      <c r="H12301" s="60">
        <v>0.533333333333333</v>
      </c>
      <c r="I12301" s="60">
        <v>133.2481115</v>
      </c>
      <c r="J12301" s="59">
        <v>35.0</v>
      </c>
      <c r="K12301" s="61">
        <f t="shared" si="1"/>
        <v>0.9</v>
      </c>
      <c r="L12301" s="62">
        <f t="shared" si="2"/>
        <v>1.166666667</v>
      </c>
    </row>
    <row r="12302">
      <c r="A12302" s="58">
        <v>44621.0</v>
      </c>
      <c r="B12302" s="24" t="s">
        <v>155</v>
      </c>
      <c r="C12302" s="27"/>
      <c r="D12302" s="59">
        <v>21.0</v>
      </c>
      <c r="E12302" s="59">
        <v>79.0</v>
      </c>
      <c r="F12302" s="59">
        <v>13.0</v>
      </c>
      <c r="G12302" s="60">
        <v>3.76190476190476</v>
      </c>
      <c r="H12302" s="60">
        <v>0.379746835443038</v>
      </c>
      <c r="I12302" s="60">
        <v>285.094317518987</v>
      </c>
      <c r="J12302" s="59">
        <v>159.0</v>
      </c>
      <c r="K12302" s="61">
        <f t="shared" si="1"/>
        <v>0.164556962</v>
      </c>
      <c r="L12302" s="62">
        <f t="shared" si="2"/>
        <v>2.012658228</v>
      </c>
    </row>
    <row r="12303">
      <c r="A12303" s="58">
        <v>44621.0</v>
      </c>
      <c r="B12303" s="24" t="s">
        <v>7606</v>
      </c>
      <c r="C12303" s="27"/>
      <c r="D12303" s="59">
        <v>1.0</v>
      </c>
      <c r="E12303" s="59">
        <v>1.0</v>
      </c>
      <c r="F12303" s="59">
        <v>0.0</v>
      </c>
      <c r="G12303" s="60">
        <v>1.0</v>
      </c>
      <c r="H12303" s="60">
        <v>1.0</v>
      </c>
      <c r="I12303" s="60">
        <v>0.0</v>
      </c>
      <c r="J12303" s="59">
        <v>1.0</v>
      </c>
      <c r="K12303" s="61">
        <f t="shared" si="1"/>
        <v>0</v>
      </c>
      <c r="L12303" s="62">
        <f t="shared" si="2"/>
        <v>1</v>
      </c>
    </row>
    <row r="12304">
      <c r="A12304" s="58">
        <v>44621.0</v>
      </c>
      <c r="B12304" s="24" t="s">
        <v>6942</v>
      </c>
      <c r="C12304" s="27"/>
      <c r="D12304" s="59">
        <v>1.0</v>
      </c>
      <c r="E12304" s="59">
        <v>1.0</v>
      </c>
      <c r="F12304" s="59">
        <v>1.0</v>
      </c>
      <c r="G12304" s="60">
        <v>1.0</v>
      </c>
      <c r="H12304" s="60">
        <v>1.0</v>
      </c>
      <c r="I12304" s="60">
        <v>0.0</v>
      </c>
      <c r="J12304" s="59">
        <v>1.0</v>
      </c>
      <c r="K12304" s="61">
        <f t="shared" si="1"/>
        <v>1</v>
      </c>
      <c r="L12304" s="62">
        <f t="shared" si="2"/>
        <v>1</v>
      </c>
    </row>
    <row r="12305">
      <c r="A12305" s="58">
        <v>44593.0</v>
      </c>
      <c r="B12305" s="24" t="s">
        <v>6789</v>
      </c>
      <c r="C12305" s="27"/>
      <c r="D12305" s="59">
        <v>494.0</v>
      </c>
      <c r="E12305" s="59">
        <v>782.0</v>
      </c>
      <c r="F12305" s="59">
        <v>440.0</v>
      </c>
      <c r="G12305" s="60">
        <v>1.582995951417</v>
      </c>
      <c r="H12305" s="60">
        <v>0.28388746803069</v>
      </c>
      <c r="I12305" s="60">
        <v>192.916598537084</v>
      </c>
      <c r="J12305" s="59">
        <v>1504.0</v>
      </c>
      <c r="K12305" s="61">
        <f t="shared" si="1"/>
        <v>0.5626598465</v>
      </c>
      <c r="L12305" s="62">
        <f t="shared" si="2"/>
        <v>1.923273657</v>
      </c>
    </row>
    <row r="12306">
      <c r="A12306" s="58">
        <v>44593.0</v>
      </c>
      <c r="B12306" s="24" t="s">
        <v>6787</v>
      </c>
      <c r="C12306" s="27"/>
      <c r="D12306" s="59">
        <v>446.0</v>
      </c>
      <c r="E12306" s="59">
        <v>736.0</v>
      </c>
      <c r="F12306" s="59">
        <v>415.0</v>
      </c>
      <c r="G12306" s="60">
        <v>1.65022421524663</v>
      </c>
      <c r="H12306" s="60">
        <v>0.283967391304347</v>
      </c>
      <c r="I12306" s="60">
        <v>164.417178911684</v>
      </c>
      <c r="J12306" s="59">
        <v>1671.0</v>
      </c>
      <c r="K12306" s="61">
        <f t="shared" si="1"/>
        <v>0.5638586957</v>
      </c>
      <c r="L12306" s="62">
        <f t="shared" si="2"/>
        <v>2.270380435</v>
      </c>
    </row>
    <row r="12307">
      <c r="A12307" s="58">
        <v>44593.0</v>
      </c>
      <c r="B12307" s="24" t="s">
        <v>7606</v>
      </c>
      <c r="C12307" s="27"/>
      <c r="D12307" s="59">
        <v>263.0</v>
      </c>
      <c r="E12307" s="59">
        <v>273.0</v>
      </c>
      <c r="F12307" s="59">
        <v>249.0</v>
      </c>
      <c r="G12307" s="60">
        <v>1.03802281368821</v>
      </c>
      <c r="H12307" s="60">
        <v>0.19047619047619</v>
      </c>
      <c r="I12307" s="60">
        <v>42.0520045750915</v>
      </c>
      <c r="J12307" s="59">
        <v>703.0</v>
      </c>
      <c r="K12307" s="61">
        <f t="shared" si="1"/>
        <v>0.9120879121</v>
      </c>
      <c r="L12307" s="62">
        <f t="shared" si="2"/>
        <v>2.575091575</v>
      </c>
    </row>
    <row r="12308">
      <c r="A12308" s="58">
        <v>44593.0</v>
      </c>
      <c r="B12308" s="24" t="s">
        <v>6794</v>
      </c>
      <c r="C12308" s="27"/>
      <c r="D12308" s="59">
        <v>156.0</v>
      </c>
      <c r="E12308" s="59">
        <v>193.0</v>
      </c>
      <c r="F12308" s="59">
        <v>141.0</v>
      </c>
      <c r="G12308" s="60">
        <v>1.23717948717948</v>
      </c>
      <c r="H12308" s="60">
        <v>0.264248704663212</v>
      </c>
      <c r="I12308" s="60">
        <v>134.574247196891</v>
      </c>
      <c r="J12308" s="59">
        <v>355.0</v>
      </c>
      <c r="K12308" s="61">
        <f t="shared" si="1"/>
        <v>0.7305699482</v>
      </c>
      <c r="L12308" s="62">
        <f t="shared" si="2"/>
        <v>1.839378238</v>
      </c>
    </row>
    <row r="12309">
      <c r="A12309" s="58">
        <v>44593.0</v>
      </c>
      <c r="B12309" s="24" t="s">
        <v>6791</v>
      </c>
      <c r="C12309" s="27"/>
      <c r="D12309" s="59">
        <v>62.0</v>
      </c>
      <c r="E12309" s="59">
        <v>76.0</v>
      </c>
      <c r="F12309" s="59">
        <v>59.0</v>
      </c>
      <c r="G12309" s="60">
        <v>1.2258064516129</v>
      </c>
      <c r="H12309" s="60">
        <v>0.263157894736842</v>
      </c>
      <c r="I12309" s="60">
        <v>98.8567154605263</v>
      </c>
      <c r="J12309" s="59">
        <v>178.0</v>
      </c>
      <c r="K12309" s="61">
        <f t="shared" si="1"/>
        <v>0.7763157895</v>
      </c>
      <c r="L12309" s="62">
        <f t="shared" si="2"/>
        <v>2.342105263</v>
      </c>
    </row>
    <row r="12310">
      <c r="A12310" s="58">
        <v>44593.0</v>
      </c>
      <c r="B12310" s="24" t="s">
        <v>7100</v>
      </c>
      <c r="C12310" s="27"/>
      <c r="D12310" s="59">
        <v>47.0</v>
      </c>
      <c r="E12310" s="59">
        <v>53.0</v>
      </c>
      <c r="F12310" s="59">
        <v>46.0</v>
      </c>
      <c r="G12310" s="60">
        <v>1.12765957446808</v>
      </c>
      <c r="H12310" s="60">
        <v>0.433962264150943</v>
      </c>
      <c r="I12310" s="60">
        <v>78.4321687169811</v>
      </c>
      <c r="J12310" s="59">
        <v>72.0</v>
      </c>
      <c r="K12310" s="61">
        <f t="shared" si="1"/>
        <v>0.8679245283</v>
      </c>
      <c r="L12310" s="62">
        <f t="shared" si="2"/>
        <v>1.358490566</v>
      </c>
    </row>
    <row r="12311">
      <c r="A12311" s="58">
        <v>44593.0</v>
      </c>
      <c r="B12311" s="24" t="s">
        <v>155</v>
      </c>
      <c r="C12311" s="27"/>
      <c r="D12311" s="59">
        <v>22.0</v>
      </c>
      <c r="E12311" s="59">
        <v>70.0</v>
      </c>
      <c r="F12311" s="59">
        <v>17.0</v>
      </c>
      <c r="G12311" s="60">
        <v>3.18181818181818</v>
      </c>
      <c r="H12311" s="60">
        <v>0.2</v>
      </c>
      <c r="I12311" s="60">
        <v>350.923705271428</v>
      </c>
      <c r="J12311" s="59">
        <v>200.0</v>
      </c>
      <c r="K12311" s="61">
        <f t="shared" si="1"/>
        <v>0.2428571429</v>
      </c>
      <c r="L12311" s="62">
        <f t="shared" si="2"/>
        <v>2.857142857</v>
      </c>
    </row>
    <row r="12312">
      <c r="A12312" s="58">
        <v>44593.0</v>
      </c>
      <c r="B12312" s="24" t="s">
        <v>6790</v>
      </c>
      <c r="C12312" s="27"/>
      <c r="D12312" s="59">
        <v>5.0</v>
      </c>
      <c r="E12312" s="59">
        <v>36.0</v>
      </c>
      <c r="F12312" s="59">
        <v>0.0</v>
      </c>
      <c r="G12312" s="60">
        <v>7.2</v>
      </c>
      <c r="H12312" s="60">
        <v>0.361111111111111</v>
      </c>
      <c r="I12312" s="60">
        <v>271.033123944444</v>
      </c>
      <c r="J12312" s="59">
        <v>104.0</v>
      </c>
      <c r="K12312" s="61">
        <f t="shared" si="1"/>
        <v>0</v>
      </c>
      <c r="L12312" s="62">
        <f t="shared" si="2"/>
        <v>2.888888889</v>
      </c>
    </row>
    <row r="12313">
      <c r="A12313" s="58">
        <v>44593.0</v>
      </c>
      <c r="B12313" s="24" t="s">
        <v>6942</v>
      </c>
      <c r="C12313" s="27"/>
      <c r="D12313" s="59">
        <v>2.0</v>
      </c>
      <c r="E12313" s="59">
        <v>2.0</v>
      </c>
      <c r="F12313" s="59">
        <v>2.0</v>
      </c>
      <c r="G12313" s="60">
        <v>1.0</v>
      </c>
      <c r="H12313" s="60">
        <v>0.0</v>
      </c>
      <c r="I12313" s="60">
        <v>2.782619</v>
      </c>
      <c r="J12313" s="59">
        <v>4.0</v>
      </c>
      <c r="K12313" s="61">
        <f t="shared" si="1"/>
        <v>1</v>
      </c>
      <c r="L12313" s="62">
        <f t="shared" si="2"/>
        <v>2</v>
      </c>
    </row>
    <row r="12314">
      <c r="A12314" s="58">
        <v>44562.0</v>
      </c>
      <c r="B12314" s="24" t="s">
        <v>6789</v>
      </c>
      <c r="C12314" s="27"/>
      <c r="D12314" s="59">
        <v>433.0</v>
      </c>
      <c r="E12314" s="59">
        <v>635.0</v>
      </c>
      <c r="F12314" s="59">
        <v>398.0</v>
      </c>
      <c r="G12314" s="60">
        <v>1.46651270207852</v>
      </c>
      <c r="H12314" s="60">
        <v>0.355905511811023</v>
      </c>
      <c r="I12314" s="60">
        <v>149.209135697637</v>
      </c>
      <c r="J12314" s="59">
        <v>829.0</v>
      </c>
      <c r="K12314" s="61">
        <f t="shared" si="1"/>
        <v>0.6267716535</v>
      </c>
      <c r="L12314" s="62">
        <f t="shared" si="2"/>
        <v>1.305511811</v>
      </c>
    </row>
    <row r="12315">
      <c r="A12315" s="58">
        <v>44562.0</v>
      </c>
      <c r="B12315" s="24" t="s">
        <v>7606</v>
      </c>
      <c r="C12315" s="27"/>
      <c r="D12315" s="59">
        <v>273.0</v>
      </c>
      <c r="E12315" s="59">
        <v>403.0</v>
      </c>
      <c r="F12315" s="59">
        <v>262.0</v>
      </c>
      <c r="G12315" s="60">
        <v>1.47619047619047</v>
      </c>
      <c r="H12315" s="60">
        <v>0.794044665012407</v>
      </c>
      <c r="I12315" s="60">
        <v>36.1062275880893</v>
      </c>
      <c r="J12315" s="59">
        <v>473.0</v>
      </c>
      <c r="K12315" s="61">
        <f t="shared" si="1"/>
        <v>0.6501240695</v>
      </c>
      <c r="L12315" s="62">
        <f t="shared" si="2"/>
        <v>1.17369727</v>
      </c>
    </row>
    <row r="12316">
      <c r="A12316" s="58">
        <v>44562.0</v>
      </c>
      <c r="B12316" s="24" t="s">
        <v>6787</v>
      </c>
      <c r="C12316" s="27"/>
      <c r="D12316" s="59">
        <v>253.0</v>
      </c>
      <c r="E12316" s="59">
        <v>351.0</v>
      </c>
      <c r="F12316" s="59">
        <v>238.0</v>
      </c>
      <c r="G12316" s="60">
        <v>1.38735177865612</v>
      </c>
      <c r="H12316" s="60">
        <v>0.464387464387464</v>
      </c>
      <c r="I12316" s="60">
        <v>147.757362079772</v>
      </c>
      <c r="J12316" s="59">
        <v>443.0</v>
      </c>
      <c r="K12316" s="61">
        <f t="shared" si="1"/>
        <v>0.6780626781</v>
      </c>
      <c r="L12316" s="62">
        <f t="shared" si="2"/>
        <v>1.262108262</v>
      </c>
    </row>
    <row r="12317">
      <c r="A12317" s="58">
        <v>44562.0</v>
      </c>
      <c r="B12317" s="24" t="s">
        <v>6794</v>
      </c>
      <c r="C12317" s="27"/>
      <c r="D12317" s="59">
        <v>157.0</v>
      </c>
      <c r="E12317" s="59">
        <v>201.0</v>
      </c>
      <c r="F12317" s="59">
        <v>150.0</v>
      </c>
      <c r="G12317" s="60">
        <v>1.28025477707006</v>
      </c>
      <c r="H12317" s="60">
        <v>0.35820895522388</v>
      </c>
      <c r="I12317" s="60">
        <v>125.287934099502</v>
      </c>
      <c r="J12317" s="59">
        <v>263.0</v>
      </c>
      <c r="K12317" s="61">
        <f t="shared" si="1"/>
        <v>0.7462686567</v>
      </c>
      <c r="L12317" s="62">
        <f t="shared" si="2"/>
        <v>1.308457711</v>
      </c>
    </row>
    <row r="12318">
      <c r="A12318" s="58">
        <v>44562.0</v>
      </c>
      <c r="B12318" s="24" t="s">
        <v>6791</v>
      </c>
      <c r="C12318" s="27"/>
      <c r="D12318" s="59">
        <v>114.0</v>
      </c>
      <c r="E12318" s="59">
        <v>125.0</v>
      </c>
      <c r="F12318" s="59">
        <v>111.0</v>
      </c>
      <c r="G12318" s="60">
        <v>1.09649122807017</v>
      </c>
      <c r="H12318" s="60">
        <v>0.408</v>
      </c>
      <c r="I12318" s="60">
        <v>95.746553352</v>
      </c>
      <c r="J12318" s="59">
        <v>132.0</v>
      </c>
      <c r="K12318" s="61">
        <f t="shared" si="1"/>
        <v>0.888</v>
      </c>
      <c r="L12318" s="62">
        <f t="shared" si="2"/>
        <v>1.056</v>
      </c>
    </row>
    <row r="12319">
      <c r="A12319" s="58">
        <v>44562.0</v>
      </c>
      <c r="B12319" s="24" t="s">
        <v>155</v>
      </c>
      <c r="C12319" s="27"/>
      <c r="D12319" s="59">
        <v>17.0</v>
      </c>
      <c r="E12319" s="59">
        <v>37.0</v>
      </c>
      <c r="F12319" s="59">
        <v>14.0</v>
      </c>
      <c r="G12319" s="60">
        <v>2.17647058823529</v>
      </c>
      <c r="H12319" s="60">
        <v>0.54054054054054</v>
      </c>
      <c r="I12319" s="60">
        <v>242.338924351351</v>
      </c>
      <c r="J12319" s="59">
        <v>39.0</v>
      </c>
      <c r="K12319" s="61">
        <f t="shared" si="1"/>
        <v>0.3783783784</v>
      </c>
      <c r="L12319" s="62">
        <f t="shared" si="2"/>
        <v>1.054054054</v>
      </c>
    </row>
    <row r="12320">
      <c r="A12320" s="58">
        <v>44562.0</v>
      </c>
      <c r="B12320" s="24" t="s">
        <v>6790</v>
      </c>
      <c r="C12320" s="27"/>
      <c r="D12320" s="59">
        <v>11.0</v>
      </c>
      <c r="E12320" s="59">
        <v>20.0</v>
      </c>
      <c r="F12320" s="59">
        <v>5.0</v>
      </c>
      <c r="G12320" s="60">
        <v>1.81818181818181</v>
      </c>
      <c r="H12320" s="60">
        <v>0.6</v>
      </c>
      <c r="I12320" s="60">
        <v>91.7430768</v>
      </c>
      <c r="J12320" s="59">
        <v>19.0</v>
      </c>
      <c r="K12320" s="61">
        <f t="shared" si="1"/>
        <v>0.25</v>
      </c>
      <c r="L12320" s="62">
        <f t="shared" si="2"/>
        <v>0.95</v>
      </c>
    </row>
    <row r="12321">
      <c r="A12321" s="58">
        <v>44531.0</v>
      </c>
      <c r="B12321" s="24" t="s">
        <v>6789</v>
      </c>
      <c r="C12321" s="27"/>
      <c r="D12321" s="59">
        <v>299.0</v>
      </c>
      <c r="E12321" s="59">
        <v>487.0</v>
      </c>
      <c r="F12321" s="59">
        <v>262.0</v>
      </c>
      <c r="G12321" s="60">
        <v>1.62876254180602</v>
      </c>
      <c r="H12321" s="60">
        <v>0.412731006160164</v>
      </c>
      <c r="I12321" s="60">
        <v>184.756043022587</v>
      </c>
      <c r="J12321" s="59">
        <v>640.0</v>
      </c>
      <c r="K12321" s="61">
        <f t="shared" si="1"/>
        <v>0.5379876797</v>
      </c>
      <c r="L12321" s="62">
        <f t="shared" si="2"/>
        <v>1.314168378</v>
      </c>
    </row>
    <row r="12322">
      <c r="A12322" s="58">
        <v>44531.0</v>
      </c>
      <c r="B12322" s="24" t="s">
        <v>6787</v>
      </c>
      <c r="C12322" s="27"/>
      <c r="D12322" s="59">
        <v>226.0</v>
      </c>
      <c r="E12322" s="59">
        <v>319.0</v>
      </c>
      <c r="F12322" s="59">
        <v>204.0</v>
      </c>
      <c r="G12322" s="60">
        <v>1.41150442477876</v>
      </c>
      <c r="H12322" s="60">
        <v>0.476489028213166</v>
      </c>
      <c r="I12322" s="60">
        <v>121.944915097178</v>
      </c>
      <c r="J12322" s="59">
        <v>404.0</v>
      </c>
      <c r="K12322" s="61">
        <f t="shared" si="1"/>
        <v>0.6394984326</v>
      </c>
      <c r="L12322" s="62">
        <f t="shared" si="2"/>
        <v>1.26645768</v>
      </c>
    </row>
    <row r="12323">
      <c r="A12323" s="58">
        <v>44531.0</v>
      </c>
      <c r="B12323" s="24" t="s">
        <v>6794</v>
      </c>
      <c r="C12323" s="27"/>
      <c r="D12323" s="59">
        <v>96.0</v>
      </c>
      <c r="E12323" s="59">
        <v>133.0</v>
      </c>
      <c r="F12323" s="59">
        <v>90.0</v>
      </c>
      <c r="G12323" s="60">
        <v>1.38541666666666</v>
      </c>
      <c r="H12323" s="60">
        <v>0.353383458646616</v>
      </c>
      <c r="I12323" s="60">
        <v>160.256370488721</v>
      </c>
      <c r="J12323" s="59">
        <v>189.0</v>
      </c>
      <c r="K12323" s="61">
        <f t="shared" si="1"/>
        <v>0.6766917293</v>
      </c>
      <c r="L12323" s="62">
        <f t="shared" si="2"/>
        <v>1.421052632</v>
      </c>
    </row>
    <row r="12324">
      <c r="A12324" s="58">
        <v>44531.0</v>
      </c>
      <c r="B12324" s="24" t="s">
        <v>7606</v>
      </c>
      <c r="C12324" s="27"/>
      <c r="D12324" s="59">
        <v>95.0</v>
      </c>
      <c r="E12324" s="59">
        <v>121.0</v>
      </c>
      <c r="F12324" s="59">
        <v>93.0</v>
      </c>
      <c r="G12324" s="60">
        <v>1.27368421052631</v>
      </c>
      <c r="H12324" s="60">
        <v>0.818181818181818</v>
      </c>
      <c r="I12324" s="60">
        <v>23.3738608842975</v>
      </c>
      <c r="J12324" s="59">
        <v>138.0</v>
      </c>
      <c r="K12324" s="61">
        <f t="shared" si="1"/>
        <v>0.7685950413</v>
      </c>
      <c r="L12324" s="62">
        <f t="shared" si="2"/>
        <v>1.140495868</v>
      </c>
    </row>
    <row r="12325">
      <c r="A12325" s="58">
        <v>44531.0</v>
      </c>
      <c r="B12325" s="24" t="s">
        <v>6791</v>
      </c>
      <c r="C12325" s="27"/>
      <c r="D12325" s="59">
        <v>61.0</v>
      </c>
      <c r="E12325" s="59">
        <v>81.0</v>
      </c>
      <c r="F12325" s="59">
        <v>55.0</v>
      </c>
      <c r="G12325" s="60">
        <v>1.32786885245901</v>
      </c>
      <c r="H12325" s="60">
        <v>0.419753086419753</v>
      </c>
      <c r="I12325" s="60">
        <v>216.482077148148</v>
      </c>
      <c r="J12325" s="59">
        <v>106.0</v>
      </c>
      <c r="K12325" s="61">
        <f t="shared" si="1"/>
        <v>0.6790123457</v>
      </c>
      <c r="L12325" s="62">
        <f t="shared" si="2"/>
        <v>1.308641975</v>
      </c>
    </row>
    <row r="12326">
      <c r="A12326" s="58">
        <v>44531.0</v>
      </c>
      <c r="B12326" s="24" t="s">
        <v>155</v>
      </c>
      <c r="C12326" s="27"/>
      <c r="D12326" s="59">
        <v>14.0</v>
      </c>
      <c r="E12326" s="59">
        <v>36.0</v>
      </c>
      <c r="F12326" s="59">
        <v>10.0</v>
      </c>
      <c r="G12326" s="60">
        <v>2.57142857142857</v>
      </c>
      <c r="H12326" s="60">
        <v>0.472222222222222</v>
      </c>
      <c r="I12326" s="60">
        <v>189.433568305555</v>
      </c>
      <c r="J12326" s="59">
        <v>55.0</v>
      </c>
      <c r="K12326" s="61">
        <f t="shared" si="1"/>
        <v>0.2777777778</v>
      </c>
      <c r="L12326" s="62">
        <f t="shared" si="2"/>
        <v>1.527777778</v>
      </c>
    </row>
    <row r="12327">
      <c r="A12327" s="58">
        <v>44531.0</v>
      </c>
      <c r="B12327" s="24" t="s">
        <v>6790</v>
      </c>
      <c r="C12327" s="27"/>
      <c r="D12327" s="59">
        <v>8.0</v>
      </c>
      <c r="E12327" s="59">
        <v>17.0</v>
      </c>
      <c r="F12327" s="59">
        <v>5.0</v>
      </c>
      <c r="G12327" s="60">
        <v>2.125</v>
      </c>
      <c r="H12327" s="60">
        <v>0.529411764705882</v>
      </c>
      <c r="I12327" s="60">
        <v>385.097941411764</v>
      </c>
      <c r="J12327" s="59">
        <v>22.0</v>
      </c>
      <c r="K12327" s="61">
        <f t="shared" si="1"/>
        <v>0.2941176471</v>
      </c>
      <c r="L12327" s="62">
        <f t="shared" si="2"/>
        <v>1.294117647</v>
      </c>
    </row>
    <row r="12328">
      <c r="A12328" s="58">
        <v>44531.0</v>
      </c>
      <c r="B12328" s="24" t="s">
        <v>7687</v>
      </c>
      <c r="C12328" s="27"/>
      <c r="D12328" s="59">
        <v>1.0</v>
      </c>
      <c r="E12328" s="59">
        <v>1.0</v>
      </c>
      <c r="F12328" s="59">
        <v>0.0</v>
      </c>
      <c r="G12328" s="60">
        <v>1.0</v>
      </c>
      <c r="H12328" s="60">
        <v>0.0</v>
      </c>
      <c r="I12328" s="60">
        <v>41.915846</v>
      </c>
      <c r="J12328" s="59">
        <v>2.0</v>
      </c>
      <c r="K12328" s="61">
        <f t="shared" si="1"/>
        <v>0</v>
      </c>
      <c r="L12328" s="62">
        <f t="shared" si="2"/>
        <v>2</v>
      </c>
    </row>
    <row r="12329">
      <c r="A12329" s="58">
        <v>44501.0</v>
      </c>
      <c r="B12329" s="24" t="s">
        <v>6789</v>
      </c>
      <c r="C12329" s="27"/>
      <c r="D12329" s="59">
        <v>358.0</v>
      </c>
      <c r="E12329" s="59">
        <v>563.0</v>
      </c>
      <c r="F12329" s="59">
        <v>310.0</v>
      </c>
      <c r="G12329" s="60">
        <v>1.57262569832402</v>
      </c>
      <c r="H12329" s="60">
        <v>0.715808170515097</v>
      </c>
      <c r="I12329" s="60">
        <v>191.421583769094</v>
      </c>
      <c r="J12329" s="59">
        <v>761.0</v>
      </c>
      <c r="K12329" s="61">
        <f t="shared" si="1"/>
        <v>0.5506216696</v>
      </c>
      <c r="L12329" s="62">
        <f t="shared" si="2"/>
        <v>1.351687389</v>
      </c>
    </row>
    <row r="12330">
      <c r="A12330" s="58">
        <v>44501.0</v>
      </c>
      <c r="B12330" s="24" t="s">
        <v>6787</v>
      </c>
      <c r="C12330" s="27"/>
      <c r="D12330" s="59">
        <v>179.0</v>
      </c>
      <c r="E12330" s="59">
        <v>258.0</v>
      </c>
      <c r="F12330" s="59">
        <v>168.0</v>
      </c>
      <c r="G12330" s="60">
        <v>1.4413407821229</v>
      </c>
      <c r="H12330" s="60">
        <v>0.748062015503876</v>
      </c>
      <c r="I12330" s="60">
        <v>170.158430767441</v>
      </c>
      <c r="J12330" s="59">
        <v>329.0</v>
      </c>
      <c r="K12330" s="61">
        <f t="shared" si="1"/>
        <v>0.6511627907</v>
      </c>
      <c r="L12330" s="62">
        <f t="shared" si="2"/>
        <v>1.275193798</v>
      </c>
    </row>
    <row r="12331">
      <c r="A12331" s="58">
        <v>44501.0</v>
      </c>
      <c r="B12331" s="24" t="s">
        <v>6794</v>
      </c>
      <c r="C12331" s="27"/>
      <c r="D12331" s="59">
        <v>101.0</v>
      </c>
      <c r="E12331" s="59">
        <v>129.0</v>
      </c>
      <c r="F12331" s="59">
        <v>93.0</v>
      </c>
      <c r="G12331" s="60">
        <v>1.27722772277227</v>
      </c>
      <c r="H12331" s="60">
        <v>0.829457364341085</v>
      </c>
      <c r="I12331" s="60">
        <v>118.019962519379</v>
      </c>
      <c r="J12331" s="59">
        <v>159.0</v>
      </c>
      <c r="K12331" s="61">
        <f t="shared" si="1"/>
        <v>0.7209302326</v>
      </c>
      <c r="L12331" s="62">
        <f t="shared" si="2"/>
        <v>1.23255814</v>
      </c>
    </row>
    <row r="12332">
      <c r="A12332" s="58">
        <v>44501.0</v>
      </c>
      <c r="B12332" s="24" t="s">
        <v>6791</v>
      </c>
      <c r="C12332" s="27"/>
      <c r="D12332" s="59">
        <v>26.0</v>
      </c>
      <c r="E12332" s="59">
        <v>30.0</v>
      </c>
      <c r="F12332" s="59">
        <v>24.0</v>
      </c>
      <c r="G12332" s="60">
        <v>1.15384615384615</v>
      </c>
      <c r="H12332" s="60">
        <v>0.7</v>
      </c>
      <c r="I12332" s="60">
        <v>42.6951905</v>
      </c>
      <c r="J12332" s="59">
        <v>31.0</v>
      </c>
      <c r="K12332" s="61">
        <f t="shared" si="1"/>
        <v>0.8</v>
      </c>
      <c r="L12332" s="62">
        <f t="shared" si="2"/>
        <v>1.033333333</v>
      </c>
    </row>
    <row r="12333">
      <c r="A12333" s="58">
        <v>44501.0</v>
      </c>
      <c r="B12333" s="24" t="s">
        <v>7606</v>
      </c>
      <c r="C12333" s="27"/>
      <c r="D12333" s="59">
        <v>19.0</v>
      </c>
      <c r="E12333" s="59">
        <v>21.0</v>
      </c>
      <c r="F12333" s="59">
        <v>19.0</v>
      </c>
      <c r="G12333" s="60">
        <v>1.10526315789473</v>
      </c>
      <c r="H12333" s="60">
        <v>0.666666666666666</v>
      </c>
      <c r="I12333" s="60">
        <v>10.5948256666666</v>
      </c>
      <c r="J12333" s="59">
        <v>23.0</v>
      </c>
      <c r="K12333" s="61">
        <f t="shared" si="1"/>
        <v>0.9047619048</v>
      </c>
      <c r="L12333" s="62">
        <f t="shared" si="2"/>
        <v>1.095238095</v>
      </c>
    </row>
    <row r="12334">
      <c r="A12334" s="58">
        <v>44501.0</v>
      </c>
      <c r="B12334" s="24" t="s">
        <v>155</v>
      </c>
      <c r="C12334" s="27"/>
      <c r="D12334" s="59">
        <v>17.0</v>
      </c>
      <c r="E12334" s="59">
        <v>45.0</v>
      </c>
      <c r="F12334" s="59">
        <v>9.0</v>
      </c>
      <c r="G12334" s="60">
        <v>2.64705882352941</v>
      </c>
      <c r="H12334" s="60">
        <v>0.844444444444444</v>
      </c>
      <c r="I12334" s="60">
        <v>270.184648955555</v>
      </c>
      <c r="J12334" s="59">
        <v>63.0</v>
      </c>
      <c r="K12334" s="61">
        <f t="shared" si="1"/>
        <v>0.2</v>
      </c>
      <c r="L12334" s="62">
        <f t="shared" si="2"/>
        <v>1.4</v>
      </c>
    </row>
    <row r="12335">
      <c r="A12335" s="58">
        <v>44501.0</v>
      </c>
      <c r="B12335" s="24" t="s">
        <v>6790</v>
      </c>
      <c r="C12335" s="27"/>
      <c r="D12335" s="59">
        <v>1.0</v>
      </c>
      <c r="E12335" s="59">
        <v>1.0</v>
      </c>
      <c r="F12335" s="59">
        <v>0.0</v>
      </c>
      <c r="G12335" s="60">
        <v>1.0</v>
      </c>
      <c r="H12335" s="60">
        <v>1.0</v>
      </c>
      <c r="I12335" s="60">
        <v>181.259417</v>
      </c>
      <c r="J12335" s="59">
        <v>6.0</v>
      </c>
      <c r="K12335" s="61">
        <f t="shared" si="1"/>
        <v>0</v>
      </c>
      <c r="L12335" s="62">
        <f t="shared" si="2"/>
        <v>6</v>
      </c>
    </row>
    <row r="12336">
      <c r="A12336" s="58">
        <v>44470.0</v>
      </c>
      <c r="B12336" s="24" t="s">
        <v>6789</v>
      </c>
      <c r="C12336" s="27"/>
      <c r="D12336" s="59">
        <v>427.0</v>
      </c>
      <c r="E12336" s="59">
        <v>679.0</v>
      </c>
      <c r="F12336" s="59">
        <v>363.0</v>
      </c>
      <c r="G12336" s="60">
        <v>1.59016393442622</v>
      </c>
      <c r="H12336" s="60">
        <v>1.0</v>
      </c>
      <c r="I12336" s="60">
        <v>212.574573808541</v>
      </c>
      <c r="J12336" s="59">
        <v>899.0</v>
      </c>
      <c r="K12336" s="61">
        <f t="shared" si="1"/>
        <v>0.5346097202</v>
      </c>
      <c r="L12336" s="62">
        <f t="shared" si="2"/>
        <v>1.324005891</v>
      </c>
    </row>
    <row r="12337">
      <c r="A12337" s="58">
        <v>44470.0</v>
      </c>
      <c r="B12337" s="24" t="s">
        <v>6787</v>
      </c>
      <c r="C12337" s="27"/>
      <c r="D12337" s="59">
        <v>267.0</v>
      </c>
      <c r="E12337" s="59">
        <v>361.0</v>
      </c>
      <c r="F12337" s="59">
        <v>245.0</v>
      </c>
      <c r="G12337" s="60">
        <v>1.35205992509363</v>
      </c>
      <c r="H12337" s="60">
        <v>1.0</v>
      </c>
      <c r="I12337" s="60">
        <v>147.312362908587</v>
      </c>
      <c r="J12337" s="59">
        <v>475.0</v>
      </c>
      <c r="K12337" s="61">
        <f t="shared" si="1"/>
        <v>0.6786703601</v>
      </c>
      <c r="L12337" s="62">
        <f t="shared" si="2"/>
        <v>1.315789474</v>
      </c>
    </row>
    <row r="12338">
      <c r="A12338" s="58">
        <v>44470.0</v>
      </c>
      <c r="B12338" s="24" t="s">
        <v>6794</v>
      </c>
      <c r="C12338" s="27"/>
      <c r="D12338" s="59">
        <v>115.0</v>
      </c>
      <c r="E12338" s="59">
        <v>174.0</v>
      </c>
      <c r="F12338" s="59">
        <v>102.0</v>
      </c>
      <c r="G12338" s="60">
        <v>1.51304347826086</v>
      </c>
      <c r="H12338" s="60">
        <v>1.0</v>
      </c>
      <c r="I12338" s="60">
        <v>179.184511591954</v>
      </c>
      <c r="J12338" s="59">
        <v>217.0</v>
      </c>
      <c r="K12338" s="61">
        <f t="shared" si="1"/>
        <v>0.5862068966</v>
      </c>
      <c r="L12338" s="62">
        <f t="shared" si="2"/>
        <v>1.247126437</v>
      </c>
    </row>
    <row r="12339">
      <c r="A12339" s="58">
        <v>44470.0</v>
      </c>
      <c r="B12339" s="24" t="s">
        <v>155</v>
      </c>
      <c r="C12339" s="27"/>
      <c r="D12339" s="59">
        <v>17.0</v>
      </c>
      <c r="E12339" s="59">
        <v>26.0</v>
      </c>
      <c r="F12339" s="59">
        <v>14.0</v>
      </c>
      <c r="G12339" s="60">
        <v>1.52941176470588</v>
      </c>
      <c r="H12339" s="60">
        <v>1.0</v>
      </c>
      <c r="I12339" s="60">
        <v>289.345797230769</v>
      </c>
      <c r="J12339" s="59">
        <v>43.0</v>
      </c>
      <c r="K12339" s="61">
        <f t="shared" si="1"/>
        <v>0.5384615385</v>
      </c>
      <c r="L12339" s="62">
        <f t="shared" si="2"/>
        <v>1.653846154</v>
      </c>
    </row>
    <row r="12340">
      <c r="A12340" s="58">
        <v>44470.0</v>
      </c>
      <c r="B12340" s="24" t="s">
        <v>6790</v>
      </c>
      <c r="C12340" s="27"/>
      <c r="D12340" s="59">
        <v>5.0</v>
      </c>
      <c r="E12340" s="59">
        <v>5.0</v>
      </c>
      <c r="F12340" s="59">
        <v>0.0</v>
      </c>
      <c r="G12340" s="60">
        <v>1.0</v>
      </c>
      <c r="H12340" s="60">
        <v>1.0</v>
      </c>
      <c r="I12340" s="60">
        <v>173.9929816</v>
      </c>
      <c r="J12340" s="59">
        <v>3.0</v>
      </c>
      <c r="K12340" s="61">
        <f t="shared" si="1"/>
        <v>0</v>
      </c>
      <c r="L12340" s="62">
        <f t="shared" si="2"/>
        <v>0.6</v>
      </c>
    </row>
    <row r="12341">
      <c r="A12341" s="58">
        <v>44440.0</v>
      </c>
      <c r="B12341" s="24" t="s">
        <v>6789</v>
      </c>
      <c r="C12341" s="27"/>
      <c r="D12341" s="59">
        <v>1072.0</v>
      </c>
      <c r="E12341" s="59">
        <v>1537.0</v>
      </c>
      <c r="F12341" s="59">
        <v>1044.0</v>
      </c>
      <c r="G12341" s="60">
        <v>1.43376865671641</v>
      </c>
      <c r="H12341" s="60">
        <v>1.0</v>
      </c>
      <c r="I12341" s="60">
        <v>199.563923281066</v>
      </c>
      <c r="J12341" s="59">
        <v>2233.0</v>
      </c>
      <c r="K12341" s="61">
        <f t="shared" si="1"/>
        <v>0.679245283</v>
      </c>
      <c r="L12341" s="62">
        <f t="shared" si="2"/>
        <v>1.452830189</v>
      </c>
    </row>
    <row r="12342">
      <c r="A12342" s="58">
        <v>44440.0</v>
      </c>
      <c r="B12342" s="24" t="s">
        <v>6794</v>
      </c>
      <c r="C12342" s="27"/>
      <c r="D12342" s="59">
        <v>739.0</v>
      </c>
      <c r="E12342" s="59">
        <v>1000.0</v>
      </c>
      <c r="F12342" s="59">
        <v>728.0</v>
      </c>
      <c r="G12342" s="60">
        <v>1.3531799729364</v>
      </c>
      <c r="H12342" s="60">
        <v>1.0</v>
      </c>
      <c r="I12342" s="60">
        <v>140.861552321</v>
      </c>
      <c r="J12342" s="59">
        <v>1241.0</v>
      </c>
      <c r="K12342" s="61">
        <f t="shared" si="1"/>
        <v>0.728</v>
      </c>
      <c r="L12342" s="62">
        <f t="shared" si="2"/>
        <v>1.241</v>
      </c>
    </row>
    <row r="12343">
      <c r="A12343" s="58">
        <v>44440.0</v>
      </c>
      <c r="B12343" s="24" t="s">
        <v>6787</v>
      </c>
      <c r="C12343" s="27"/>
      <c r="D12343" s="59">
        <v>722.0</v>
      </c>
      <c r="E12343" s="59">
        <v>1135.0</v>
      </c>
      <c r="F12343" s="59">
        <v>723.0</v>
      </c>
      <c r="G12343" s="60">
        <v>1.57202216066482</v>
      </c>
      <c r="H12343" s="60">
        <v>1.0</v>
      </c>
      <c r="I12343" s="60">
        <v>224.871361852863</v>
      </c>
      <c r="J12343" s="59">
        <v>1944.0</v>
      </c>
      <c r="K12343" s="61">
        <f t="shared" si="1"/>
        <v>0.6370044053</v>
      </c>
      <c r="L12343" s="62">
        <f t="shared" si="2"/>
        <v>1.71277533</v>
      </c>
    </row>
    <row r="12344">
      <c r="A12344" s="58">
        <v>44440.0</v>
      </c>
      <c r="B12344" s="24" t="s">
        <v>155</v>
      </c>
      <c r="C12344" s="27"/>
      <c r="D12344" s="59">
        <v>38.0</v>
      </c>
      <c r="E12344" s="59">
        <v>55.0</v>
      </c>
      <c r="F12344" s="59">
        <v>29.0</v>
      </c>
      <c r="G12344" s="60">
        <v>1.44736842105263</v>
      </c>
      <c r="H12344" s="60">
        <v>1.0</v>
      </c>
      <c r="I12344" s="60">
        <v>247.004522345454</v>
      </c>
      <c r="J12344" s="59">
        <v>70.0</v>
      </c>
      <c r="K12344" s="61">
        <f t="shared" si="1"/>
        <v>0.5272727273</v>
      </c>
      <c r="L12344" s="62">
        <f t="shared" si="2"/>
        <v>1.272727273</v>
      </c>
    </row>
    <row r="12345">
      <c r="A12345" s="58">
        <v>44440.0</v>
      </c>
      <c r="B12345" s="24" t="s">
        <v>6790</v>
      </c>
      <c r="C12345" s="27"/>
      <c r="D12345" s="59">
        <v>5.0</v>
      </c>
      <c r="E12345" s="59">
        <v>5.0</v>
      </c>
      <c r="F12345" s="59">
        <v>1.0</v>
      </c>
      <c r="G12345" s="60">
        <v>1.0</v>
      </c>
      <c r="H12345" s="60">
        <v>1.0</v>
      </c>
      <c r="I12345" s="60">
        <v>36.5327116</v>
      </c>
      <c r="J12345" s="59">
        <v>10.0</v>
      </c>
      <c r="K12345" s="61">
        <f t="shared" si="1"/>
        <v>0.2</v>
      </c>
      <c r="L12345" s="62">
        <f t="shared" si="2"/>
        <v>2</v>
      </c>
    </row>
    <row r="12346">
      <c r="A12346" s="58">
        <v>44440.0</v>
      </c>
      <c r="B12346" s="24" t="s">
        <v>3216</v>
      </c>
      <c r="C12346" s="27"/>
      <c r="D12346" s="59">
        <v>2.0</v>
      </c>
      <c r="E12346" s="59">
        <v>2.0</v>
      </c>
      <c r="F12346" s="59">
        <v>2.0</v>
      </c>
      <c r="G12346" s="60">
        <v>1.0</v>
      </c>
      <c r="H12346" s="60">
        <v>1.0</v>
      </c>
      <c r="I12346" s="60">
        <v>119.1074235</v>
      </c>
      <c r="J12346" s="59">
        <v>3.0</v>
      </c>
      <c r="K12346" s="61">
        <f t="shared" si="1"/>
        <v>1</v>
      </c>
      <c r="L12346" s="62">
        <f t="shared" si="2"/>
        <v>1.5</v>
      </c>
    </row>
  </sheetData>
  <drawing r:id="rId1"/>
</worksheet>
</file>